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quintano/"/>
    </mc:Choice>
  </mc:AlternateContent>
  <xr:revisionPtr revIDLastSave="1" documentId="13_ncr:1_{1A19F2F2-E5BC-4011-976D-2F317E95F54F}" xr6:coauthVersionLast="47" xr6:coauthVersionMax="47" xr10:uidLastSave="{660C1D77-55EB-468F-99EA-A19E283FC30E}"/>
  <bookViews>
    <workbookView xWindow="-108" yWindow="-108" windowWidth="23256" windowHeight="12456" firstSheet="1" activeTab="5" xr2:uid="{40A86831-1444-4F51-A6DB-A6A266A10341}"/>
  </bookViews>
  <sheets>
    <sheet name="ELV_Fire_Security_BOQ" sheetId="32" r:id="rId1"/>
    <sheet name="Notes" sheetId="10" r:id="rId2"/>
    <sheet name="Quote" sheetId="18" r:id="rId3"/>
    <sheet name="ML_Sum" sheetId="1" r:id="rId4"/>
    <sheet name="Elec_Rates" sheetId="11" r:id="rId5"/>
    <sheet name="Elec_Est" sheetId="8" r:id="rId6"/>
    <sheet name="Fire_Stopping_Est" sheetId="26" r:id="rId7"/>
    <sheet name="MEP_BOQ" sheetId="28" r:id="rId8"/>
    <sheet name="Fire_Stopping_BOQ" sheetId="30" r:id="rId9"/>
    <sheet name="Summary" sheetId="31" r:id="rId10"/>
    <sheet name="E_DBOQ" sheetId="20" r:id="rId11"/>
    <sheet name="Ardic" sheetId="23" r:id="rId12"/>
    <sheet name="Price Comparisons" sheetId="24" r:id="rId13"/>
    <sheet name="Sheet1" sheetId="27" r:id="rId14"/>
  </sheets>
  <definedNames>
    <definedName name="_xlnm._FilterDatabase" localSheetId="5" hidden="1">Elec_Est!$L$1:$L$11647</definedName>
    <definedName name="_xlnm._FilterDatabase" localSheetId="4" hidden="1">Elec_Rates!$L$1:$L$1137</definedName>
    <definedName name="_xlnm._FilterDatabase" localSheetId="0" hidden="1">ELV_Fire_Security_BOQ!$A$1:$A$1121</definedName>
    <definedName name="_xlnm._FilterDatabase" localSheetId="6" hidden="1">Fire_Stopping_Est!$D$1:$D$2490</definedName>
    <definedName name="_xlnm._FilterDatabase" localSheetId="7" hidden="1">MEP_BOQ!$B$1:$B$1663</definedName>
    <definedName name="Access_Bathroom" localSheetId="6">Fire_Stopping_Est!#REF!</definedName>
    <definedName name="Access_Bathroom">Elec_Est!$A$11001</definedName>
    <definedName name="Access_Control" localSheetId="6">Fire_Stopping_Est!#REF!</definedName>
    <definedName name="Access_Control">Elec_Est!$A$10069</definedName>
    <definedName name="AREAS" localSheetId="0">ML_Sum!$X$1:$AD$16</definedName>
    <definedName name="AREAS" localSheetId="2">#REF!</definedName>
    <definedName name="AREAS">ML_Sum!$X$1:$AD$16</definedName>
    <definedName name="CCTV" localSheetId="6">Fire_Stopping_Est!#REF!</definedName>
    <definedName name="CCTV">Elec_Est!$A$9809</definedName>
    <definedName name="Data" localSheetId="6">Fire_Stopping_Est!#REF!</definedName>
    <definedName name="Data">Elec_Est!$A$6644</definedName>
    <definedName name="Electrical" localSheetId="6">Fire_Stopping_Est!#REF!</definedName>
    <definedName name="Electrical">Elec_Est!$A$131</definedName>
    <definedName name="Fire_Alarm" localSheetId="6">Fire_Stopping_Est!#REF!</definedName>
    <definedName name="Fire_Alarm">Elec_Est!$A$8157</definedName>
    <definedName name="Fire_Stopping" localSheetId="6">Fire_Stopping_Est!#REF!</definedName>
    <definedName name="Fire_Stopping">Elec_Est!$A$7844</definedName>
    <definedName name="FO">#REF!</definedName>
    <definedName name="Guard">#REF!</definedName>
    <definedName name="Intercom" localSheetId="6">Fire_Stopping_Est!#REF!</definedName>
    <definedName name="Intercom">Elec_Est!$A$10379</definedName>
    <definedName name="Intruder_Alarm">#REF!</definedName>
    <definedName name="LPS">Elec_Est!$A$7739</definedName>
    <definedName name="Preliminaries" localSheetId="6">Fire_Stopping_Est!#REF!</definedName>
    <definedName name="Preliminaries">Elec_Est!$A$16</definedName>
    <definedName name="_xlnm.Print_Area" localSheetId="5">Elec_Est!$A$1:$T$4690</definedName>
    <definedName name="_xlnm.Print_Area" localSheetId="0">ELV_Fire_Security_BOQ!$A$1:$F$1115</definedName>
    <definedName name="_xlnm.Print_Area" localSheetId="8">Fire_Stopping_BOQ!$A$1:$F$152</definedName>
    <definedName name="_xlnm.Print_Area" localSheetId="6">Fire_Stopping_Est!$A$1:$T$13</definedName>
    <definedName name="_xlnm.Print_Area" localSheetId="7">MEP_BOQ!$A$1:$F$1661</definedName>
    <definedName name="Security" localSheetId="6">Fire_Stopping_Est!#REF!</definedName>
    <definedName name="Security">Elec_Est!$A$10539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31" l="1"/>
  <c r="D38" i="31"/>
  <c r="D32" i="31"/>
  <c r="D31" i="31"/>
  <c r="D29" i="31"/>
  <c r="E1021" i="32"/>
  <c r="F1021" i="32" s="1"/>
  <c r="E1019" i="32"/>
  <c r="E843" i="32"/>
  <c r="E823" i="32"/>
  <c r="E807" i="32"/>
  <c r="F807" i="32" s="1"/>
  <c r="E790" i="32"/>
  <c r="E223" i="32"/>
  <c r="E23" i="32"/>
  <c r="E22" i="32"/>
  <c r="E21" i="32"/>
  <c r="E20" i="32"/>
  <c r="E19" i="32"/>
  <c r="E18" i="32"/>
  <c r="E17" i="32"/>
  <c r="E16" i="32"/>
  <c r="E11" i="32"/>
  <c r="E10" i="32"/>
  <c r="E9" i="32"/>
  <c r="E8" i="32"/>
  <c r="E7" i="32"/>
  <c r="F1063" i="32"/>
  <c r="F1062" i="32"/>
  <c r="F1061" i="32"/>
  <c r="F1060" i="32"/>
  <c r="F1059" i="32"/>
  <c r="F1058" i="32"/>
  <c r="F1057" i="32"/>
  <c r="F1056" i="32"/>
  <c r="F1055" i="32"/>
  <c r="F1054" i="32"/>
  <c r="F1053" i="32"/>
  <c r="F1052" i="32"/>
  <c r="F1051" i="32"/>
  <c r="F1050" i="32"/>
  <c r="F1049" i="32"/>
  <c r="F1048" i="32"/>
  <c r="F1047" i="32"/>
  <c r="F1046" i="32"/>
  <c r="F1045" i="32"/>
  <c r="F1044" i="32"/>
  <c r="F1043" i="32"/>
  <c r="F1042" i="32"/>
  <c r="F1041" i="32"/>
  <c r="A1030" i="32"/>
  <c r="A1031" i="32" s="1"/>
  <c r="A1032" i="32" s="1"/>
  <c r="A1033" i="32" s="1"/>
  <c r="A1034" i="32" s="1"/>
  <c r="A1036" i="32" s="1"/>
  <c r="A1037" i="32" s="1"/>
  <c r="A1038" i="32" s="1"/>
  <c r="A1039" i="32" s="1"/>
  <c r="A1040" i="32" s="1"/>
  <c r="A1041" i="32" s="1"/>
  <c r="A1042" i="32" s="1"/>
  <c r="A1043" i="32" s="1"/>
  <c r="A1044" i="32" s="1"/>
  <c r="A1045" i="32" s="1"/>
  <c r="A1046" i="32" s="1"/>
  <c r="A1047" i="32" s="1"/>
  <c r="A1048" i="32" s="1"/>
  <c r="A1049" i="32" s="1"/>
  <c r="A1050" i="32" s="1"/>
  <c r="A1051" i="32" s="1"/>
  <c r="A1052" i="32" s="1"/>
  <c r="A1053" i="32" s="1"/>
  <c r="A1054" i="32" s="1"/>
  <c r="A1055" i="32" s="1"/>
  <c r="A1056" i="32" s="1"/>
  <c r="A1057" i="32" s="1"/>
  <c r="A1058" i="32" s="1"/>
  <c r="A1059" i="32" s="1"/>
  <c r="A1060" i="32" s="1"/>
  <c r="A1061" i="32" s="1"/>
  <c r="A1062" i="32" s="1"/>
  <c r="A1063" i="32" s="1"/>
  <c r="A1018" i="32"/>
  <c r="A1019" i="32" s="1"/>
  <c r="A1021" i="32" s="1"/>
  <c r="F1010" i="32"/>
  <c r="F1009" i="32"/>
  <c r="F1008" i="32"/>
  <c r="F1007" i="32"/>
  <c r="F1006" i="32"/>
  <c r="F1005" i="32"/>
  <c r="F1004" i="32"/>
  <c r="F1003" i="32"/>
  <c r="F1002" i="32"/>
  <c r="F1001" i="32"/>
  <c r="F1000" i="32"/>
  <c r="F998" i="32"/>
  <c r="F996" i="32"/>
  <c r="F995" i="32"/>
  <c r="F994" i="32"/>
  <c r="F992" i="32"/>
  <c r="F991" i="32"/>
  <c r="F989" i="32"/>
  <c r="F988" i="32"/>
  <c r="F987" i="32"/>
  <c r="F1011" i="32" s="1"/>
  <c r="F986" i="32"/>
  <c r="F985" i="32"/>
  <c r="F984" i="32"/>
  <c r="F983" i="32"/>
  <c r="F982" i="32"/>
  <c r="F981" i="32"/>
  <c r="F980" i="32"/>
  <c r="F978" i="32"/>
  <c r="A978" i="32"/>
  <c r="A980" i="32" s="1"/>
  <c r="A981" i="32" s="1"/>
  <c r="A982" i="32" s="1"/>
  <c r="A983" i="32" s="1"/>
  <c r="A984" i="32" s="1"/>
  <c r="A985" i="32" s="1"/>
  <c r="A986" i="32" s="1"/>
  <c r="A987" i="32" s="1"/>
  <c r="A988" i="32" s="1"/>
  <c r="A989" i="32" s="1"/>
  <c r="A991" i="32" s="1"/>
  <c r="A992" i="32" s="1"/>
  <c r="A994" i="32" s="1"/>
  <c r="A995" i="32" s="1"/>
  <c r="A996" i="32" s="1"/>
  <c r="A998" i="32" s="1"/>
  <c r="A1000" i="32" s="1"/>
  <c r="A1001" i="32" s="1"/>
  <c r="A1002" i="32" s="1"/>
  <c r="A1003" i="32" s="1"/>
  <c r="A1004" i="32" s="1"/>
  <c r="A1005" i="32" s="1"/>
  <c r="A1006" i="32" s="1"/>
  <c r="A1007" i="32" s="1"/>
  <c r="A1008" i="32" s="1"/>
  <c r="A1009" i="32" s="1"/>
  <c r="A1010" i="32" s="1"/>
  <c r="F977" i="32"/>
  <c r="F970" i="32"/>
  <c r="F969" i="32"/>
  <c r="F968" i="32"/>
  <c r="F966" i="32"/>
  <c r="F965" i="32"/>
  <c r="F964" i="32"/>
  <c r="F963" i="32"/>
  <c r="F962" i="32"/>
  <c r="F961" i="32"/>
  <c r="F959" i="32"/>
  <c r="F958" i="32"/>
  <c r="F956" i="32"/>
  <c r="F955" i="32"/>
  <c r="F954" i="32"/>
  <c r="F952" i="32"/>
  <c r="F951" i="32"/>
  <c r="F950" i="32"/>
  <c r="F949" i="32"/>
  <c r="F948" i="32"/>
  <c r="F947" i="32"/>
  <c r="F945" i="32"/>
  <c r="F944" i="32"/>
  <c r="F942" i="32"/>
  <c r="F916" i="32"/>
  <c r="F915" i="32"/>
  <c r="F914" i="32"/>
  <c r="F913" i="32"/>
  <c r="F912" i="32"/>
  <c r="F911" i="32"/>
  <c r="F910" i="32"/>
  <c r="F909" i="32"/>
  <c r="F906" i="32"/>
  <c r="F905" i="32"/>
  <c r="F904" i="32"/>
  <c r="F903" i="32"/>
  <c r="F972" i="32" s="1"/>
  <c r="E1107" i="32" s="1"/>
  <c r="F897" i="32"/>
  <c r="F896" i="32"/>
  <c r="F895" i="32"/>
  <c r="F894" i="32"/>
  <c r="F893" i="32"/>
  <c r="F892" i="32"/>
  <c r="F891" i="32"/>
  <c r="F890" i="32"/>
  <c r="F889" i="32"/>
  <c r="F888" i="32"/>
  <c r="F887" i="32"/>
  <c r="F885" i="32"/>
  <c r="F884" i="32"/>
  <c r="F882" i="32"/>
  <c r="F881" i="32"/>
  <c r="F880" i="32"/>
  <c r="F879" i="32"/>
  <c r="F878" i="32"/>
  <c r="F877" i="32"/>
  <c r="F876" i="32"/>
  <c r="F875" i="32"/>
  <c r="F874" i="32"/>
  <c r="F873" i="32"/>
  <c r="F871" i="32"/>
  <c r="F870" i="32"/>
  <c r="F868" i="32"/>
  <c r="F867" i="32"/>
  <c r="F866" i="32"/>
  <c r="F865" i="32"/>
  <c r="F864" i="32"/>
  <c r="F863" i="32"/>
  <c r="F862" i="32"/>
  <c r="F861" i="32"/>
  <c r="F860" i="32"/>
  <c r="F898" i="32" s="1"/>
  <c r="E1106" i="32" s="1"/>
  <c r="F859" i="32"/>
  <c r="F858" i="32"/>
  <c r="F857" i="32"/>
  <c r="A856" i="32"/>
  <c r="A858" i="32" s="1"/>
  <c r="A859" i="32" s="1"/>
  <c r="A860" i="32" s="1"/>
  <c r="A861" i="32" s="1"/>
  <c r="A862" i="32" s="1"/>
  <c r="A863" i="32" s="1"/>
  <c r="A864" i="32" s="1"/>
  <c r="A865" i="32" s="1"/>
  <c r="A866" i="32" s="1"/>
  <c r="A867" i="32" s="1"/>
  <c r="A868" i="32" s="1"/>
  <c r="A870" i="32" s="1"/>
  <c r="A871" i="32" s="1"/>
  <c r="A874" i="32" s="1"/>
  <c r="A875" i="32" s="1"/>
  <c r="A876" i="32" s="1"/>
  <c r="A877" i="32" s="1"/>
  <c r="A878" i="32" s="1"/>
  <c r="A879" i="32" s="1"/>
  <c r="A880" i="32" s="1"/>
  <c r="A881" i="32" s="1"/>
  <c r="A882" i="32" s="1"/>
  <c r="A884" i="32" s="1"/>
  <c r="A885" i="32" s="1"/>
  <c r="A887" i="32" s="1"/>
  <c r="A888" i="32" s="1"/>
  <c r="A889" i="32" s="1"/>
  <c r="A890" i="32" s="1"/>
  <c r="A891" i="32" s="1"/>
  <c r="A892" i="32" s="1"/>
  <c r="A893" i="32" s="1"/>
  <c r="A894" i="32" s="1"/>
  <c r="A895" i="32" s="1"/>
  <c r="A896" i="32" s="1"/>
  <c r="A897" i="32" s="1"/>
  <c r="A903" i="32" s="1"/>
  <c r="A904" i="32" s="1"/>
  <c r="A905" i="32" s="1"/>
  <c r="A906" i="32" s="1"/>
  <c r="A909" i="32" s="1"/>
  <c r="A910" i="32" s="1"/>
  <c r="A911" i="32" s="1"/>
  <c r="A912" i="32" s="1"/>
  <c r="A913" i="32" s="1"/>
  <c r="A914" i="32" s="1"/>
  <c r="A915" i="32" s="1"/>
  <c r="A916" i="32" s="1"/>
  <c r="A919" i="32" s="1"/>
  <c r="A920" i="32" s="1"/>
  <c r="A921" i="32" s="1"/>
  <c r="A922" i="32" s="1"/>
  <c r="A923" i="32" s="1"/>
  <c r="A924" i="32" s="1"/>
  <c r="A925" i="32" s="1"/>
  <c r="A926" i="32" s="1"/>
  <c r="A928" i="32" s="1"/>
  <c r="A929" i="32" s="1"/>
  <c r="A931" i="32" s="1"/>
  <c r="A932" i="32" s="1"/>
  <c r="A933" i="32" s="1"/>
  <c r="A934" i="32" s="1"/>
  <c r="A935" i="32" s="1"/>
  <c r="A936" i="32" s="1"/>
  <c r="A937" i="32" s="1"/>
  <c r="A938" i="32" s="1"/>
  <c r="A939" i="32" s="1"/>
  <c r="A940" i="32" s="1"/>
  <c r="F843" i="32"/>
  <c r="F790" i="32"/>
  <c r="A777" i="32"/>
  <c r="A778" i="32" s="1"/>
  <c r="A779" i="32" s="1"/>
  <c r="A780" i="32" s="1"/>
  <c r="A782" i="32" s="1"/>
  <c r="A783" i="32" s="1"/>
  <c r="A784" i="32" s="1"/>
  <c r="A785" i="32" s="1"/>
  <c r="A787" i="32" s="1"/>
  <c r="A788" i="32" s="1"/>
  <c r="A789" i="32" s="1"/>
  <c r="A790" i="32" s="1"/>
  <c r="A791" i="32" s="1"/>
  <c r="A794" i="32" s="1"/>
  <c r="A795" i="32" s="1"/>
  <c r="A796" i="32" s="1"/>
  <c r="A797" i="32" s="1"/>
  <c r="A799" i="32" s="1"/>
  <c r="A800" i="32" s="1"/>
  <c r="A801" i="32" s="1"/>
  <c r="A802" i="32" s="1"/>
  <c r="A804" i="32" s="1"/>
  <c r="A805" i="32" s="1"/>
  <c r="A806" i="32" s="1"/>
  <c r="A807" i="32" s="1"/>
  <c r="A810" i="32" s="1"/>
  <c r="A811" i="32" s="1"/>
  <c r="A812" i="32" s="1"/>
  <c r="A813" i="32" s="1"/>
  <c r="A815" i="32" s="1"/>
  <c r="A816" i="32" s="1"/>
  <c r="A817" i="32" s="1"/>
  <c r="A818" i="32" s="1"/>
  <c r="A820" i="32" s="1"/>
  <c r="A821" i="32" s="1"/>
  <c r="A822" i="32" s="1"/>
  <c r="A823" i="32" s="1"/>
  <c r="A830" i="32" s="1"/>
  <c r="A831" i="32" s="1"/>
  <c r="A832" i="32" s="1"/>
  <c r="A833" i="32" s="1"/>
  <c r="A835" i="32" s="1"/>
  <c r="A836" i="32" s="1"/>
  <c r="A837" i="32" s="1"/>
  <c r="A838" i="32" s="1"/>
  <c r="A840" i="32" s="1"/>
  <c r="A841" i="32" s="1"/>
  <c r="A842" i="32" s="1"/>
  <c r="A843" i="32" s="1"/>
  <c r="A845" i="32" s="1"/>
  <c r="A846" i="32" s="1"/>
  <c r="A684" i="32"/>
  <c r="A686" i="32" s="1"/>
  <c r="A688" i="32" s="1"/>
  <c r="A691" i="32" s="1"/>
  <c r="A692" i="32" s="1"/>
  <c r="A693" i="32" s="1"/>
  <c r="A694" i="32" s="1"/>
  <c r="A696" i="32" s="1"/>
  <c r="A697" i="32" s="1"/>
  <c r="A698" i="32" s="1"/>
  <c r="A699" i="32" s="1"/>
  <c r="A701" i="32" s="1"/>
  <c r="A702" i="32" s="1"/>
  <c r="A703" i="32" s="1"/>
  <c r="A704" i="32" s="1"/>
  <c r="A707" i="32" s="1"/>
  <c r="A708" i="32" s="1"/>
  <c r="A709" i="32" s="1"/>
  <c r="A711" i="32" s="1"/>
  <c r="A712" i="32" s="1"/>
  <c r="A713" i="32" s="1"/>
  <c r="A715" i="32" s="1"/>
  <c r="A716" i="32" s="1"/>
  <c r="A717" i="32" s="1"/>
  <c r="A718" i="32" s="1"/>
  <c r="A721" i="32" s="1"/>
  <c r="A722" i="32" s="1"/>
  <c r="A724" i="32" s="1"/>
  <c r="A725" i="32" s="1"/>
  <c r="A727" i="32" s="1"/>
  <c r="A728" i="32" s="1"/>
  <c r="A735" i="32" s="1"/>
  <c r="A736" i="32" s="1"/>
  <c r="A738" i="32" s="1"/>
  <c r="A739" i="32" s="1"/>
  <c r="A741" i="32" s="1"/>
  <c r="A742" i="32" s="1"/>
  <c r="A746" i="32" s="1"/>
  <c r="A748" i="32" s="1"/>
  <c r="A750" i="32" s="1"/>
  <c r="A753" i="32" s="1"/>
  <c r="A754" i="32" s="1"/>
  <c r="A755" i="32" s="1"/>
  <c r="A757" i="32" s="1"/>
  <c r="A758" i="32" s="1"/>
  <c r="A759" i="32" s="1"/>
  <c r="A761" i="32" s="1"/>
  <c r="A762" i="32" s="1"/>
  <c r="A763" i="32" s="1"/>
  <c r="A764" i="32" s="1"/>
  <c r="A766" i="32" s="1"/>
  <c r="A767" i="32" s="1"/>
  <c r="A649" i="32"/>
  <c r="A651" i="32" s="1"/>
  <c r="A652" i="32" s="1"/>
  <c r="A654" i="32" s="1"/>
  <c r="A655" i="32" s="1"/>
  <c r="A656" i="32" s="1"/>
  <c r="A658" i="32" s="1"/>
  <c r="A659" i="32" s="1"/>
  <c r="A660" i="32" s="1"/>
  <c r="A661" i="32" s="1"/>
  <c r="A664" i="32" s="1"/>
  <c r="A666" i="32" s="1"/>
  <c r="A668" i="32" s="1"/>
  <c r="A670" i="32" s="1"/>
  <c r="A671" i="32" s="1"/>
  <c r="A672" i="32" s="1"/>
  <c r="A673" i="32" s="1"/>
  <c r="A584" i="32"/>
  <c r="A586" i="32" s="1"/>
  <c r="A588" i="32" s="1"/>
  <c r="A591" i="32" s="1"/>
  <c r="A593" i="32" s="1"/>
  <c r="A595" i="32" s="1"/>
  <c r="A596" i="32" s="1"/>
  <c r="A598" i="32" s="1"/>
  <c r="A599" i="32" s="1"/>
  <c r="A602" i="32" s="1"/>
  <c r="A603" i="32" s="1"/>
  <c r="A605" i="32" s="1"/>
  <c r="A606" i="32" s="1"/>
  <c r="A608" i="32" s="1"/>
  <c r="A609" i="32" s="1"/>
  <c r="A612" i="32" s="1"/>
  <c r="A613" i="32" s="1"/>
  <c r="A615" i="32" s="1"/>
  <c r="A616" i="32" s="1"/>
  <c r="A618" i="32" s="1"/>
  <c r="A619" i="32" s="1"/>
  <c r="A626" i="32" s="1"/>
  <c r="A628" i="32" s="1"/>
  <c r="A630" i="32" s="1"/>
  <c r="A633" i="32" s="1"/>
  <c r="A634" i="32" s="1"/>
  <c r="A635" i="32" s="1"/>
  <c r="A636" i="32" s="1"/>
  <c r="A637" i="32" s="1"/>
  <c r="A638" i="32" s="1"/>
  <c r="A639" i="32" s="1"/>
  <c r="A530" i="32"/>
  <c r="A531" i="32" s="1"/>
  <c r="A533" i="32" s="1"/>
  <c r="A534" i="32" s="1"/>
  <c r="A535" i="32" s="1"/>
  <c r="A539" i="32" s="1"/>
  <c r="A540" i="32" s="1"/>
  <c r="A543" i="32" s="1"/>
  <c r="A544" i="32" s="1"/>
  <c r="A545" i="32" s="1"/>
  <c r="A549" i="32" s="1"/>
  <c r="A550" i="32" s="1"/>
  <c r="A551" i="32" s="1"/>
  <c r="A555" i="32" s="1"/>
  <c r="A556" i="32" s="1"/>
  <c r="A560" i="32" s="1"/>
  <c r="A561" i="32" s="1"/>
  <c r="A562" i="32" s="1"/>
  <c r="A565" i="32" s="1"/>
  <c r="A566" i="32" s="1"/>
  <c r="A567" i="32" s="1"/>
  <c r="A570" i="32" s="1"/>
  <c r="A572" i="32" s="1"/>
  <c r="A573" i="32" s="1"/>
  <c r="A574" i="32" s="1"/>
  <c r="F519" i="32"/>
  <c r="F518" i="32"/>
  <c r="F516" i="32"/>
  <c r="F515" i="32"/>
  <c r="F514" i="32"/>
  <c r="F520" i="32" s="1"/>
  <c r="F508" i="32"/>
  <c r="F507" i="32"/>
  <c r="F506" i="32"/>
  <c r="F496" i="32"/>
  <c r="F495" i="32"/>
  <c r="F494" i="32"/>
  <c r="F491" i="32"/>
  <c r="F490" i="32"/>
  <c r="F489" i="32"/>
  <c r="F488" i="32"/>
  <c r="F487" i="32"/>
  <c r="F486" i="32"/>
  <c r="F485" i="32"/>
  <c r="F478" i="32"/>
  <c r="F477" i="32"/>
  <c r="F476" i="32"/>
  <c r="F475" i="32"/>
  <c r="F472" i="32"/>
  <c r="F471" i="32"/>
  <c r="F470" i="32"/>
  <c r="F469" i="32"/>
  <c r="F468" i="32"/>
  <c r="F467" i="32"/>
  <c r="F466" i="32"/>
  <c r="F461" i="32"/>
  <c r="E1088" i="32" s="1"/>
  <c r="F460" i="32"/>
  <c r="F459" i="32"/>
  <c r="F458" i="32"/>
  <c r="F457" i="32"/>
  <c r="F456" i="32"/>
  <c r="F455" i="32"/>
  <c r="F454" i="32"/>
  <c r="F452" i="32"/>
  <c r="F451" i="32"/>
  <c r="F450" i="32"/>
  <c r="F449" i="32"/>
  <c r="F448" i="32"/>
  <c r="F447" i="32"/>
  <c r="F446" i="32"/>
  <c r="F440" i="32"/>
  <c r="F439" i="32"/>
  <c r="F438" i="32"/>
  <c r="F437" i="32"/>
  <c r="F436" i="32"/>
  <c r="F435" i="32"/>
  <c r="F434" i="32"/>
  <c r="F432" i="32"/>
  <c r="F431" i="32"/>
  <c r="F430" i="32"/>
  <c r="F429" i="32"/>
  <c r="F428" i="32"/>
  <c r="F427" i="32"/>
  <c r="F426" i="32"/>
  <c r="A426" i="32"/>
  <c r="A427" i="32" s="1"/>
  <c r="A428" i="32" s="1"/>
  <c r="A429" i="32" s="1"/>
  <c r="A430" i="32" s="1"/>
  <c r="A431" i="32" s="1"/>
  <c r="A432" i="32" s="1"/>
  <c r="A434" i="32" s="1"/>
  <c r="A435" i="32" s="1"/>
  <c r="A436" i="32" s="1"/>
  <c r="A437" i="32" s="1"/>
  <c r="A438" i="32" s="1"/>
  <c r="A439" i="32" s="1"/>
  <c r="A440" i="32" s="1"/>
  <c r="A446" i="32" s="1"/>
  <c r="A447" i="32" s="1"/>
  <c r="A448" i="32" s="1"/>
  <c r="A449" i="32" s="1"/>
  <c r="A450" i="32" s="1"/>
  <c r="A451" i="32" s="1"/>
  <c r="A452" i="32" s="1"/>
  <c r="A454" i="32" s="1"/>
  <c r="A455" i="32" s="1"/>
  <c r="A456" i="32" s="1"/>
  <c r="A457" i="32" s="1"/>
  <c r="A458" i="32" s="1"/>
  <c r="A459" i="32" s="1"/>
  <c r="A460" i="32" s="1"/>
  <c r="A466" i="32" s="1"/>
  <c r="A467" i="32" s="1"/>
  <c r="A468" i="32" s="1"/>
  <c r="A469" i="32" s="1"/>
  <c r="A470" i="32" s="1"/>
  <c r="A471" i="32" s="1"/>
  <c r="A472" i="32" s="1"/>
  <c r="A475" i="32" s="1"/>
  <c r="A476" i="32" s="1"/>
  <c r="A477" i="32" s="1"/>
  <c r="A478" i="32" s="1"/>
  <c r="A485" i="32" s="1"/>
  <c r="A486" i="32" s="1"/>
  <c r="A487" i="32" s="1"/>
  <c r="A488" i="32" s="1"/>
  <c r="A489" i="32" s="1"/>
  <c r="A490" i="32" s="1"/>
  <c r="A491" i="32" s="1"/>
  <c r="A494" i="32" s="1"/>
  <c r="A495" i="32" s="1"/>
  <c r="A496" i="32" s="1"/>
  <c r="A497" i="32" s="1"/>
  <c r="A498" i="32" s="1"/>
  <c r="A499" i="32" s="1"/>
  <c r="A500" i="32" s="1"/>
  <c r="A506" i="32" s="1"/>
  <c r="A507" i="32" s="1"/>
  <c r="A508" i="32" s="1"/>
  <c r="A509" i="32" s="1"/>
  <c r="A510" i="32" s="1"/>
  <c r="A511" i="32" s="1"/>
  <c r="A512" i="32" s="1"/>
  <c r="A514" i="32" s="1"/>
  <c r="A515" i="32" s="1"/>
  <c r="A516" i="32" s="1"/>
  <c r="A518" i="32" s="1"/>
  <c r="A519" i="32" s="1"/>
  <c r="F416" i="32"/>
  <c r="F415" i="32"/>
  <c r="F414" i="32"/>
  <c r="F413" i="32"/>
  <c r="F412" i="32"/>
  <c r="F411" i="32"/>
  <c r="F409" i="32"/>
  <c r="F408" i="32"/>
  <c r="F407" i="32"/>
  <c r="F406" i="32"/>
  <c r="F405" i="32"/>
  <c r="F404" i="32"/>
  <c r="F403" i="32"/>
  <c r="F401" i="32"/>
  <c r="F400" i="32"/>
  <c r="F399" i="32"/>
  <c r="F398" i="32"/>
  <c r="F397" i="32"/>
  <c r="F396" i="32"/>
  <c r="F395" i="32"/>
  <c r="F394" i="32"/>
  <c r="F392" i="32"/>
  <c r="F391" i="32"/>
  <c r="F390" i="32"/>
  <c r="F389" i="32"/>
  <c r="F388" i="32"/>
  <c r="F387" i="32"/>
  <c r="F386" i="32"/>
  <c r="F384" i="32"/>
  <c r="F383" i="32"/>
  <c r="F382" i="32"/>
  <c r="F381" i="32"/>
  <c r="F380" i="32"/>
  <c r="F417" i="32" s="1"/>
  <c r="F379" i="32"/>
  <c r="F378" i="32"/>
  <c r="F377" i="32"/>
  <c r="F376" i="32"/>
  <c r="F375" i="32"/>
  <c r="F374" i="32"/>
  <c r="F368" i="32"/>
  <c r="F367" i="32"/>
  <c r="F366" i="32"/>
  <c r="F365" i="32"/>
  <c r="F364" i="32"/>
  <c r="F363" i="32"/>
  <c r="F362" i="32"/>
  <c r="F361" i="32"/>
  <c r="F358" i="32"/>
  <c r="F357" i="32"/>
  <c r="F355" i="32"/>
  <c r="F354" i="32"/>
  <c r="F352" i="32"/>
  <c r="F351" i="32"/>
  <c r="F350" i="32"/>
  <c r="F349" i="32"/>
  <c r="F348" i="32"/>
  <c r="F347" i="32"/>
  <c r="F345" i="32"/>
  <c r="F343" i="32"/>
  <c r="F340" i="32"/>
  <c r="F338" i="32"/>
  <c r="F336" i="32"/>
  <c r="F335" i="32"/>
  <c r="F334" i="32"/>
  <c r="F333" i="32"/>
  <c r="F332" i="32"/>
  <c r="A332" i="32"/>
  <c r="A333" i="32" s="1"/>
  <c r="A334" i="32" s="1"/>
  <c r="A335" i="32" s="1"/>
  <c r="A338" i="32" s="1"/>
  <c r="A340" i="32" s="1"/>
  <c r="A343" i="32" s="1"/>
  <c r="A345" i="32" s="1"/>
  <c r="A347" i="32" s="1"/>
  <c r="A348" i="32" s="1"/>
  <c r="A349" i="32" s="1"/>
  <c r="A350" i="32" s="1"/>
  <c r="A351" i="32" s="1"/>
  <c r="A352" i="32" s="1"/>
  <c r="A354" i="32" s="1"/>
  <c r="A355" i="32" s="1"/>
  <c r="A357" i="32" s="1"/>
  <c r="A358" i="32" s="1"/>
  <c r="A361" i="32" s="1"/>
  <c r="A362" i="32" s="1"/>
  <c r="A363" i="32" s="1"/>
  <c r="A364" i="32" s="1"/>
  <c r="A365" i="32" s="1"/>
  <c r="A366" i="32" s="1"/>
  <c r="A367" i="32" s="1"/>
  <c r="A368" i="32" s="1"/>
  <c r="A374" i="32" s="1"/>
  <c r="A375" i="32" s="1"/>
  <c r="A376" i="32" s="1"/>
  <c r="A377" i="32" s="1"/>
  <c r="A378" i="32" s="1"/>
  <c r="A379" i="32" s="1"/>
  <c r="A380" i="32" s="1"/>
  <c r="A381" i="32" s="1"/>
  <c r="A382" i="32" s="1"/>
  <c r="A383" i="32" s="1"/>
  <c r="A384" i="32" s="1"/>
  <c r="A386" i="32" s="1"/>
  <c r="A387" i="32" s="1"/>
  <c r="A388" i="32" s="1"/>
  <c r="A389" i="32" s="1"/>
  <c r="A390" i="32" s="1"/>
  <c r="A391" i="32" s="1"/>
  <c r="A392" i="32" s="1"/>
  <c r="A394" i="32" s="1"/>
  <c r="A395" i="32" s="1"/>
  <c r="A396" i="32" s="1"/>
  <c r="A397" i="32" s="1"/>
  <c r="A398" i="32" s="1"/>
  <c r="A399" i="32" s="1"/>
  <c r="A400" i="32" s="1"/>
  <c r="A401" i="32" s="1"/>
  <c r="A403" i="32" s="1"/>
  <c r="A404" i="32" s="1"/>
  <c r="A405" i="32" s="1"/>
  <c r="A406" i="32" s="1"/>
  <c r="A407" i="32" s="1"/>
  <c r="A408" i="32" s="1"/>
  <c r="A409" i="32" s="1"/>
  <c r="A411" i="32" s="1"/>
  <c r="A412" i="32" s="1"/>
  <c r="A413" i="32" s="1"/>
  <c r="A414" i="32" s="1"/>
  <c r="A415" i="32" s="1"/>
  <c r="A416" i="32" s="1"/>
  <c r="A34" i="32"/>
  <c r="A35" i="32" s="1"/>
  <c r="A36" i="32" s="1"/>
  <c r="A37" i="32" s="1"/>
  <c r="A38" i="32" s="1"/>
  <c r="A39" i="32" s="1"/>
  <c r="A40" i="32" s="1"/>
  <c r="A41" i="32" s="1"/>
  <c r="A42" i="32" s="1"/>
  <c r="A44" i="32" s="1"/>
  <c r="A45" i="32" s="1"/>
  <c r="A46" i="32" s="1"/>
  <c r="A47" i="32" s="1"/>
  <c r="A48" i="32" s="1"/>
  <c r="A49" i="32" s="1"/>
  <c r="A50" i="32" s="1"/>
  <c r="A51" i="32" s="1"/>
  <c r="A52" i="32" s="1"/>
  <c r="A54" i="32" s="1"/>
  <c r="A55" i="32" s="1"/>
  <c r="A56" i="32" s="1"/>
  <c r="A57" i="32" s="1"/>
  <c r="A58" i="32" s="1"/>
  <c r="A59" i="32" s="1"/>
  <c r="A60" i="32" s="1"/>
  <c r="A61" i="32" s="1"/>
  <c r="A62" i="32" s="1"/>
  <c r="A69" i="32" s="1"/>
  <c r="A70" i="32" s="1"/>
  <c r="A71" i="32" s="1"/>
  <c r="A72" i="32" s="1"/>
  <c r="A73" i="32" s="1"/>
  <c r="A74" i="32" s="1"/>
  <c r="A75" i="32" s="1"/>
  <c r="A76" i="32" s="1"/>
  <c r="A77" i="32" s="1"/>
  <c r="A78" i="32" s="1"/>
  <c r="A80" i="32" s="1"/>
  <c r="A81" i="32" s="1"/>
  <c r="A82" i="32" s="1"/>
  <c r="A83" i="32" s="1"/>
  <c r="A84" i="32" s="1"/>
  <c r="A85" i="32" s="1"/>
  <c r="A86" i="32" s="1"/>
  <c r="A87" i="32" s="1"/>
  <c r="A88" i="32" s="1"/>
  <c r="A89" i="32" s="1"/>
  <c r="A91" i="32" s="1"/>
  <c r="A92" i="32" s="1"/>
  <c r="A93" i="32" s="1"/>
  <c r="A94" i="32" s="1"/>
  <c r="A95" i="32" s="1"/>
  <c r="A96" i="32" s="1"/>
  <c r="A97" i="32" s="1"/>
  <c r="A98" i="32" s="1"/>
  <c r="A99" i="32" s="1"/>
  <c r="A100" i="32" s="1"/>
  <c r="A107" i="32" s="1"/>
  <c r="A108" i="32" s="1"/>
  <c r="A109" i="32" s="1"/>
  <c r="A110" i="32" s="1"/>
  <c r="A111" i="32" s="1"/>
  <c r="A112" i="32" s="1"/>
  <c r="A113" i="32" s="1"/>
  <c r="A114" i="32" s="1"/>
  <c r="A116" i="32" s="1"/>
  <c r="A117" i="32" s="1"/>
  <c r="A118" i="32" s="1"/>
  <c r="A119" i="32" s="1"/>
  <c r="A120" i="32" s="1"/>
  <c r="A121" i="32" s="1"/>
  <c r="A122" i="32" s="1"/>
  <c r="A123" i="32" s="1"/>
  <c r="A125" i="32" s="1"/>
  <c r="A126" i="32" s="1"/>
  <c r="A127" i="32" s="1"/>
  <c r="A128" i="32" s="1"/>
  <c r="A129" i="32" s="1"/>
  <c r="A130" i="32" s="1"/>
  <c r="A131" i="32" s="1"/>
  <c r="A132" i="32" s="1"/>
  <c r="A133" i="32" s="1"/>
  <c r="A134" i="32" s="1"/>
  <c r="A141" i="32" s="1"/>
  <c r="A143" i="32" s="1"/>
  <c r="A144" i="32" s="1"/>
  <c r="A145" i="32" s="1"/>
  <c r="A146" i="32" s="1"/>
  <c r="A147" i="32" s="1"/>
  <c r="A148" i="32" s="1"/>
  <c r="A149" i="32" s="1"/>
  <c r="A150" i="32" s="1"/>
  <c r="A151" i="32" s="1"/>
  <c r="A152" i="32" s="1"/>
  <c r="A153" i="32" s="1"/>
  <c r="A155" i="32" s="1"/>
  <c r="A156" i="32" s="1"/>
  <c r="A158" i="32" s="1"/>
  <c r="A159" i="32" s="1"/>
  <c r="A160" i="32" s="1"/>
  <c r="A161" i="32" s="1"/>
  <c r="A162" i="32" s="1"/>
  <c r="A163" i="32" s="1"/>
  <c r="A164" i="32" s="1"/>
  <c r="A165" i="32" s="1"/>
  <c r="A166" i="32" s="1"/>
  <c r="A167" i="32" s="1"/>
  <c r="A168" i="32" s="1"/>
  <c r="A169" i="32" s="1"/>
  <c r="A171" i="32" s="1"/>
  <c r="A172" i="32" s="1"/>
  <c r="A173" i="32" s="1"/>
  <c r="A174" i="32" s="1"/>
  <c r="A175" i="32" s="1"/>
  <c r="A176" i="32" s="1"/>
  <c r="A177" i="32" s="1"/>
  <c r="A178" i="32" s="1"/>
  <c r="A179" i="32" s="1"/>
  <c r="A180" i="32" s="1"/>
  <c r="A181" i="32" s="1"/>
  <c r="A182" i="32" s="1"/>
  <c r="A183" i="32" s="1"/>
  <c r="A184" i="32" s="1"/>
  <c r="A185" i="32" s="1"/>
  <c r="A186" i="32" s="1"/>
  <c r="A187" i="32" s="1"/>
  <c r="A194" i="32" s="1"/>
  <c r="A195" i="32" s="1"/>
  <c r="A196" i="32" s="1"/>
  <c r="A197" i="32" s="1"/>
  <c r="A198" i="32" s="1"/>
  <c r="A200" i="32" s="1"/>
  <c r="A201" i="32" s="1"/>
  <c r="A202" i="32" s="1"/>
  <c r="A203" i="32" s="1"/>
  <c r="A204" i="32" s="1"/>
  <c r="A206" i="32" s="1"/>
  <c r="A207" i="32" s="1"/>
  <c r="A208" i="32" s="1"/>
  <c r="A209" i="32" s="1"/>
  <c r="A210" i="32" s="1"/>
  <c r="A218" i="32" s="1"/>
  <c r="A219" i="32" s="1"/>
  <c r="A220" i="32" s="1"/>
  <c r="A221" i="32" s="1"/>
  <c r="A222" i="32" s="1"/>
  <c r="A223" i="32" s="1"/>
  <c r="A226" i="32" s="1"/>
  <c r="A227" i="32" s="1"/>
  <c r="A228" i="32" s="1"/>
  <c r="A229" i="32" s="1"/>
  <c r="A230" i="32" s="1"/>
  <c r="A232" i="32" s="1"/>
  <c r="A233" i="32" s="1"/>
  <c r="A234" i="32" s="1"/>
  <c r="A235" i="32" s="1"/>
  <c r="A236" i="32" s="1"/>
  <c r="A237" i="32" s="1"/>
  <c r="A238" i="32" s="1"/>
  <c r="A239" i="32" s="1"/>
  <c r="A240" i="32" s="1"/>
  <c r="A242" i="32" s="1"/>
  <c r="A243" i="32" s="1"/>
  <c r="A244" i="32" s="1"/>
  <c r="A245" i="32" s="1"/>
  <c r="A246" i="32" s="1"/>
  <c r="A247" i="32" s="1"/>
  <c r="A248" i="32" s="1"/>
  <c r="A249" i="32" s="1"/>
  <c r="A250" i="32" s="1"/>
  <c r="A257" i="32" s="1"/>
  <c r="A258" i="32" s="1"/>
  <c r="A259" i="32" s="1"/>
  <c r="A260" i="32" s="1"/>
  <c r="A261" i="32" s="1"/>
  <c r="A263" i="32" s="1"/>
  <c r="A264" i="32" s="1"/>
  <c r="A265" i="32" s="1"/>
  <c r="A266" i="32" s="1"/>
  <c r="A267" i="32" s="1"/>
  <c r="A269" i="32" s="1"/>
  <c r="A270" i="32" s="1"/>
  <c r="A271" i="32" s="1"/>
  <c r="A272" i="32" s="1"/>
  <c r="A273" i="32" s="1"/>
  <c r="A276" i="32" s="1"/>
  <c r="A277" i="32" s="1"/>
  <c r="A278" i="32" s="1"/>
  <c r="A280" i="32" s="1"/>
  <c r="A281" i="32" s="1"/>
  <c r="A282" i="32" s="1"/>
  <c r="A284" i="32" s="1"/>
  <c r="A285" i="32" s="1"/>
  <c r="A286" i="32" s="1"/>
  <c r="A293" i="32" s="1"/>
  <c r="A294" i="32" s="1"/>
  <c r="A295" i="32" s="1"/>
  <c r="A296" i="32" s="1"/>
  <c r="A297" i="32" s="1"/>
  <c r="A299" i="32" s="1"/>
  <c r="A300" i="32" s="1"/>
  <c r="A301" i="32" s="1"/>
  <c r="A302" i="32" s="1"/>
  <c r="A303" i="32" s="1"/>
  <c r="A305" i="32" s="1"/>
  <c r="A306" i="32" s="1"/>
  <c r="A307" i="32" s="1"/>
  <c r="A308" i="32" s="1"/>
  <c r="A309" i="32" s="1"/>
  <c r="A312" i="32" s="1"/>
  <c r="A313" i="32" s="1"/>
  <c r="A315" i="32" s="1"/>
  <c r="A316" i="32" s="1"/>
  <c r="A318" i="32" s="1"/>
  <c r="A319" i="32" s="1"/>
  <c r="A321" i="32" s="1"/>
  <c r="A322" i="32" s="1"/>
  <c r="A323" i="32" s="1"/>
  <c r="F26" i="32"/>
  <c r="F24" i="32"/>
  <c r="E1073" i="32" s="1"/>
  <c r="F12" i="32"/>
  <c r="E1072" i="32" s="1"/>
  <c r="A7" i="32"/>
  <c r="A8" i="32" s="1"/>
  <c r="A9" i="32" s="1"/>
  <c r="A10" i="32" s="1"/>
  <c r="A11" i="32" s="1"/>
  <c r="A16" i="32" s="1"/>
  <c r="A17" i="32" s="1"/>
  <c r="A18" i="32" s="1"/>
  <c r="A19" i="32" s="1"/>
  <c r="A20" i="32" s="1"/>
  <c r="A21" i="32" s="1"/>
  <c r="A22" i="32" s="1"/>
  <c r="A23" i="32" s="1"/>
  <c r="E1085" i="32" l="1"/>
  <c r="E1108" i="32"/>
  <c r="F1109" i="32" s="1"/>
  <c r="F1013" i="32"/>
  <c r="F441" i="32"/>
  <c r="E1087" i="32" s="1"/>
  <c r="E1091" i="32"/>
  <c r="F1074" i="32"/>
  <c r="F501" i="32"/>
  <c r="E1090" i="32" s="1"/>
  <c r="F369" i="32"/>
  <c r="E1084" i="32" s="1"/>
  <c r="F1086" i="32" s="1"/>
  <c r="F479" i="32"/>
  <c r="E1089" i="32" s="1"/>
  <c r="F1064" i="32"/>
  <c r="F1066" i="32" l="1"/>
  <c r="E1112" i="32"/>
  <c r="F1113" i="32" s="1"/>
  <c r="F522" i="32"/>
  <c r="F1092" i="32"/>
  <c r="F419" i="32"/>
  <c r="D7758" i="8" l="1"/>
  <c r="B52" i="31"/>
  <c r="W53" i="1"/>
  <c r="D11643" i="8" l="1"/>
  <c r="D11642" i="8"/>
  <c r="D11641" i="8"/>
  <c r="D11640" i="8"/>
  <c r="D11639" i="8"/>
  <c r="D11638" i="8"/>
  <c r="D11637" i="8"/>
  <c r="D11636" i="8"/>
  <c r="D11635" i="8"/>
  <c r="D11634" i="8"/>
  <c r="D11633" i="8"/>
  <c r="D11632" i="8"/>
  <c r="D11631" i="8"/>
  <c r="D11630" i="8"/>
  <c r="D11629" i="8"/>
  <c r="D11628" i="8"/>
  <c r="D11627" i="8"/>
  <c r="D11626" i="8"/>
  <c r="D11625" i="8"/>
  <c r="D11624" i="8"/>
  <c r="D11623" i="8"/>
  <c r="D11622" i="8"/>
  <c r="D11621" i="8"/>
  <c r="D11620" i="8"/>
  <c r="D11619" i="8"/>
  <c r="D11618" i="8"/>
  <c r="D11617" i="8"/>
  <c r="D11616" i="8"/>
  <c r="D11615" i="8"/>
  <c r="D11614" i="8"/>
  <c r="D11613" i="8"/>
  <c r="D11612" i="8"/>
  <c r="D11611" i="8"/>
  <c r="D11610" i="8"/>
  <c r="D11609" i="8"/>
  <c r="D11608" i="8"/>
  <c r="D11607" i="8"/>
  <c r="D11606" i="8"/>
  <c r="D11605" i="8"/>
  <c r="D11604" i="8"/>
  <c r="D11603" i="8"/>
  <c r="D11602" i="8"/>
  <c r="D11601" i="8"/>
  <c r="D11600" i="8"/>
  <c r="D11599" i="8"/>
  <c r="D11598" i="8"/>
  <c r="D11597" i="8"/>
  <c r="D11596" i="8"/>
  <c r="D11595" i="8"/>
  <c r="D11594" i="8"/>
  <c r="D11593" i="8"/>
  <c r="D11592" i="8"/>
  <c r="D11591" i="8"/>
  <c r="D11590" i="8"/>
  <c r="D11589" i="8"/>
  <c r="D11588" i="8"/>
  <c r="D11587" i="8"/>
  <c r="D11586" i="8"/>
  <c r="D11585" i="8"/>
  <c r="D11584" i="8"/>
  <c r="D11583" i="8"/>
  <c r="D11582" i="8"/>
  <c r="D11581" i="8"/>
  <c r="D11580" i="8"/>
  <c r="D11579" i="8"/>
  <c r="D11578" i="8"/>
  <c r="D11577" i="8"/>
  <c r="D11576" i="8"/>
  <c r="D11575" i="8"/>
  <c r="D11574" i="8"/>
  <c r="D11573" i="8"/>
  <c r="D11572" i="8"/>
  <c r="D11571" i="8"/>
  <c r="D11570" i="8"/>
  <c r="D11569" i="8"/>
  <c r="D11568" i="8"/>
  <c r="D11567" i="8"/>
  <c r="D11566" i="8"/>
  <c r="D11565" i="8"/>
  <c r="D11564" i="8"/>
  <c r="D11563" i="8"/>
  <c r="D11562" i="8"/>
  <c r="D11561" i="8"/>
  <c r="D11560" i="8"/>
  <c r="D11559" i="8"/>
  <c r="D11558" i="8"/>
  <c r="D11557" i="8"/>
  <c r="D11556" i="8"/>
  <c r="D11555" i="8"/>
  <c r="D11554" i="8"/>
  <c r="D11553" i="8"/>
  <c r="D11552" i="8"/>
  <c r="D11551" i="8"/>
  <c r="D11550" i="8"/>
  <c r="D11549" i="8"/>
  <c r="D11548" i="8"/>
  <c r="D11547" i="8"/>
  <c r="D11645" i="8"/>
  <c r="T10" i="1"/>
  <c r="S10" i="1"/>
  <c r="T9" i="1"/>
  <c r="S9" i="1"/>
  <c r="Q7714" i="8"/>
  <c r="Q7680" i="8"/>
  <c r="Q7674" i="8"/>
  <c r="Q7668" i="8"/>
  <c r="Q7662" i="8"/>
  <c r="Q7656" i="8"/>
  <c r="Q7650" i="8"/>
  <c r="Q7644" i="8"/>
  <c r="Q7638" i="8"/>
  <c r="Q7632" i="8"/>
  <c r="Q7616" i="8"/>
  <c r="Q7604" i="8"/>
  <c r="Q7598" i="8"/>
  <c r="Q7592" i="8"/>
  <c r="Q7582" i="8"/>
  <c r="Q7576" i="8"/>
  <c r="Q7570" i="8"/>
  <c r="Q7564" i="8"/>
  <c r="Q7558" i="8"/>
  <c r="Q7548" i="8"/>
  <c r="Q7542" i="8"/>
  <c r="Q7536" i="8"/>
  <c r="Q7530" i="8"/>
  <c r="Q7524" i="8"/>
  <c r="Q7518" i="8"/>
  <c r="Q7459" i="8"/>
  <c r="Q7453" i="8"/>
  <c r="Q7447" i="8"/>
  <c r="Q7441" i="8"/>
  <c r="Q7435" i="8"/>
  <c r="Q7425" i="8"/>
  <c r="Q7419" i="8"/>
  <c r="Q7413" i="8"/>
  <c r="Q7407" i="8"/>
  <c r="Q7401" i="8"/>
  <c r="Q7370" i="8"/>
  <c r="Q7364" i="8"/>
  <c r="Q7358" i="8"/>
  <c r="Q7352" i="8"/>
  <c r="Q7346" i="8"/>
  <c r="Q7336" i="8"/>
  <c r="Q7330" i="8"/>
  <c r="Q7324" i="8"/>
  <c r="Q7314" i="8"/>
  <c r="Q7289" i="8"/>
  <c r="Q7283" i="8"/>
  <c r="Q7277" i="8"/>
  <c r="Q7271" i="8"/>
  <c r="Q7261" i="8"/>
  <c r="Q7255" i="8"/>
  <c r="Q7249" i="8"/>
  <c r="Q7243" i="8"/>
  <c r="Q7237" i="8"/>
  <c r="Q7206" i="8"/>
  <c r="Q7194" i="8"/>
  <c r="Q7188" i="8"/>
  <c r="Q7182" i="8"/>
  <c r="Q7176" i="8"/>
  <c r="Q7166" i="8"/>
  <c r="Q7160" i="8"/>
  <c r="Q7154" i="8"/>
  <c r="Q7146" i="8"/>
  <c r="Q7132" i="8"/>
  <c r="Q7116" i="8"/>
  <c r="Q7110" i="8"/>
  <c r="Q7104" i="8"/>
  <c r="Q7098" i="8"/>
  <c r="Q7092" i="8"/>
  <c r="Q7030" i="8"/>
  <c r="Q7024" i="8"/>
  <c r="Q7018" i="8"/>
  <c r="Q7012" i="8"/>
  <c r="Q7006" i="8"/>
  <c r="Q6996" i="8"/>
  <c r="Q6990" i="8"/>
  <c r="Q6984" i="8"/>
  <c r="Q6978" i="8"/>
  <c r="Q6968" i="8"/>
  <c r="Q6962" i="8"/>
  <c r="Q6956" i="8"/>
  <c r="Q6950" i="8"/>
  <c r="Q6944" i="8"/>
  <c r="Q6919" i="8"/>
  <c r="Q6913" i="8"/>
  <c r="Q6907" i="8"/>
  <c r="Q6901" i="8"/>
  <c r="Q6895" i="8"/>
  <c r="Q6889" i="8"/>
  <c r="Q6879" i="8"/>
  <c r="Q6873" i="8"/>
  <c r="Q6867" i="8"/>
  <c r="Q6861" i="8"/>
  <c r="Q6855" i="8"/>
  <c r="Q6849" i="8"/>
  <c r="Q6843" i="8"/>
  <c r="Q6837" i="8"/>
  <c r="Q6831" i="8"/>
  <c r="Q6800" i="8"/>
  <c r="Q6788" i="8"/>
  <c r="Q6782" i="8"/>
  <c r="Q6776" i="8"/>
  <c r="Q6766" i="8"/>
  <c r="Q6756" i="8"/>
  <c r="Q6750" i="8"/>
  <c r="Q6744" i="8"/>
  <c r="Q6719" i="8"/>
  <c r="Q6713" i="8"/>
  <c r="Q6707" i="8"/>
  <c r="Q6701" i="8"/>
  <c r="Q6691" i="8"/>
  <c r="Q6685" i="8"/>
  <c r="Q6679" i="8"/>
  <c r="Q6673" i="8"/>
  <c r="Q188" i="8"/>
  <c r="R188" i="8" s="1"/>
  <c r="Q142" i="8"/>
  <c r="Q11390" i="8"/>
  <c r="Q11374" i="8"/>
  <c r="Q11368" i="8"/>
  <c r="Q11340" i="8"/>
  <c r="Q11362" i="8"/>
  <c r="Q11352" i="8"/>
  <c r="Q11346" i="8"/>
  <c r="Q11334" i="8"/>
  <c r="Q11276" i="8"/>
  <c r="Q11270" i="8"/>
  <c r="Q11264" i="8"/>
  <c r="Q11254" i="8"/>
  <c r="Q11248" i="8"/>
  <c r="Q11242" i="8"/>
  <c r="Q11236" i="8"/>
  <c r="Q11184" i="8"/>
  <c r="Q11178" i="8"/>
  <c r="Q11172" i="8"/>
  <c r="Q11162" i="8"/>
  <c r="Q11156" i="8"/>
  <c r="Q11150" i="8"/>
  <c r="Q11144" i="8"/>
  <c r="Q11098" i="8"/>
  <c r="Q11086" i="8"/>
  <c r="Q11080" i="8"/>
  <c r="Q11074" i="8"/>
  <c r="Q11064" i="8"/>
  <c r="Q11058" i="8"/>
  <c r="Q11052" i="8"/>
  <c r="Q11046" i="8"/>
  <c r="Q10976" i="8"/>
  <c r="Q10966" i="8"/>
  <c r="Q10960" i="8"/>
  <c r="Q10954" i="8"/>
  <c r="Q10948" i="8"/>
  <c r="Q10938" i="8"/>
  <c r="Q10932" i="8"/>
  <c r="Q10926" i="8"/>
  <c r="Q10890" i="8"/>
  <c r="Q10880" i="8"/>
  <c r="Q10850" i="8"/>
  <c r="Q10844" i="8"/>
  <c r="Q10834" i="8"/>
  <c r="Q10828" i="8"/>
  <c r="Q10792" i="8"/>
  <c r="Q10786" i="8"/>
  <c r="Q10776" i="8"/>
  <c r="Q10770" i="8"/>
  <c r="Q10740" i="8"/>
  <c r="Q10734" i="8"/>
  <c r="Q10728" i="8"/>
  <c r="Q10722" i="8"/>
  <c r="Q10712" i="8"/>
  <c r="Q10706" i="8"/>
  <c r="Q10700" i="8"/>
  <c r="Q10664" i="8"/>
  <c r="Q10658" i="8"/>
  <c r="Q10652" i="8"/>
  <c r="Q10646" i="8"/>
  <c r="Q10636" i="8"/>
  <c r="Q10630" i="8"/>
  <c r="Q10624" i="8"/>
  <c r="Q10618" i="8"/>
  <c r="Q10576" i="8"/>
  <c r="Q10566" i="8"/>
  <c r="Q10514" i="8"/>
  <c r="Q10508" i="8"/>
  <c r="Q10492" i="8"/>
  <c r="Q10482" i="8"/>
  <c r="Q10458" i="8"/>
  <c r="Q10452" i="8"/>
  <c r="Q10446" i="8"/>
  <c r="Q10440" i="8"/>
  <c r="Q10430" i="8"/>
  <c r="Q10424" i="8"/>
  <c r="Q10418" i="8"/>
  <c r="Q10354" i="8"/>
  <c r="Q10336" i="8"/>
  <c r="Q10330" i="8"/>
  <c r="Q10324" i="8"/>
  <c r="Q10310" i="8"/>
  <c r="Q10300" i="8"/>
  <c r="Q10269" i="8"/>
  <c r="Q10263" i="8"/>
  <c r="Q10253" i="8"/>
  <c r="Q10247" i="8"/>
  <c r="Q10215" i="8"/>
  <c r="Q10209" i="8"/>
  <c r="Q10199" i="8"/>
  <c r="Q10193" i="8"/>
  <c r="Q10161" i="8"/>
  <c r="Q10155" i="8"/>
  <c r="Q10145" i="8"/>
  <c r="Q10139" i="8"/>
  <c r="Q10103" i="8"/>
  <c r="Q10093" i="8"/>
  <c r="Q10044" i="8"/>
  <c r="Q10038" i="8"/>
  <c r="Q10028" i="8"/>
  <c r="Q10014" i="8"/>
  <c r="Q10008" i="8"/>
  <c r="Q10002" i="8"/>
  <c r="Q9988" i="8"/>
  <c r="Q9982" i="8"/>
  <c r="Q9976" i="8"/>
  <c r="Q9958" i="8"/>
  <c r="Q9952" i="8"/>
  <c r="Q9934" i="8"/>
  <c r="Q9928" i="8"/>
  <c r="Q9922" i="8"/>
  <c r="Q9904" i="8"/>
  <c r="Q9898" i="8"/>
  <c r="Q9892" i="8"/>
  <c r="Q9878" i="8"/>
  <c r="Q9872" i="8"/>
  <c r="Q9854" i="8"/>
  <c r="Q9848" i="8"/>
  <c r="Q9842" i="8"/>
  <c r="Q9832" i="8"/>
  <c r="Q9826" i="8"/>
  <c r="Q9784" i="8"/>
  <c r="Q9778" i="8"/>
  <c r="Q9768" i="8"/>
  <c r="Q9762" i="8"/>
  <c r="Q9752" i="8"/>
  <c r="Q9746" i="8"/>
  <c r="Q9714" i="8"/>
  <c r="Q9708" i="8"/>
  <c r="Q9702" i="8"/>
  <c r="Q9696" i="8"/>
  <c r="Q9690" i="8"/>
  <c r="Q9680" i="8"/>
  <c r="Q9674" i="8"/>
  <c r="Q9668" i="8"/>
  <c r="Q9662" i="8"/>
  <c r="Q9656" i="8"/>
  <c r="Q9597" i="8"/>
  <c r="Q9591" i="8"/>
  <c r="Q9585" i="8"/>
  <c r="Q9575" i="8"/>
  <c r="Q9569" i="8"/>
  <c r="Q9563" i="8"/>
  <c r="Q9524" i="8"/>
  <c r="Q9518" i="8"/>
  <c r="Q9512" i="8"/>
  <c r="Q9506" i="8"/>
  <c r="Q9500" i="8"/>
  <c r="Q9490" i="8"/>
  <c r="Q9484" i="8"/>
  <c r="Q9478" i="8"/>
  <c r="Q9472" i="8"/>
  <c r="Q9466" i="8"/>
  <c r="Q9407" i="8"/>
  <c r="Q9401" i="8"/>
  <c r="Q9395" i="8"/>
  <c r="Q9389" i="8"/>
  <c r="Q9383" i="8"/>
  <c r="Q9377" i="8"/>
  <c r="Q9371" i="8"/>
  <c r="Q9365" i="8"/>
  <c r="Q9359" i="8"/>
  <c r="Q9349" i="8"/>
  <c r="Q9343" i="8"/>
  <c r="Q9337" i="8"/>
  <c r="Q9331" i="8"/>
  <c r="Q9325" i="8"/>
  <c r="Q9319" i="8"/>
  <c r="Q9313" i="8"/>
  <c r="Q9307" i="8"/>
  <c r="Q9301" i="8"/>
  <c r="Q9182" i="8"/>
  <c r="Q9176" i="8"/>
  <c r="Q9170" i="8"/>
  <c r="Q9164" i="8"/>
  <c r="Q9158" i="8"/>
  <c r="Q9148" i="8"/>
  <c r="Q9142" i="8"/>
  <c r="Q9136" i="8"/>
  <c r="Q9130" i="8"/>
  <c r="Q9124" i="8"/>
  <c r="Q9065" i="8"/>
  <c r="Q9059" i="8"/>
  <c r="Q9053" i="8"/>
  <c r="Q9047" i="8"/>
  <c r="Q9041" i="8"/>
  <c r="Q9035" i="8"/>
  <c r="Q9029" i="8"/>
  <c r="Q9023" i="8"/>
  <c r="Q9017" i="8"/>
  <c r="Q9011" i="8"/>
  <c r="Q9005" i="8"/>
  <c r="Q8999" i="8"/>
  <c r="Q8993" i="8"/>
  <c r="Q8987" i="8"/>
  <c r="Q8981" i="8"/>
  <c r="Q8975" i="8"/>
  <c r="Q8969" i="8"/>
  <c r="Q8959" i="8"/>
  <c r="Q8953" i="8"/>
  <c r="Q8947" i="8"/>
  <c r="Q8941" i="8"/>
  <c r="Q8935" i="8"/>
  <c r="Q8929" i="8"/>
  <c r="Q8923" i="8"/>
  <c r="Q8917" i="8"/>
  <c r="Q8911" i="8"/>
  <c r="Q8905" i="8"/>
  <c r="Q8899" i="8"/>
  <c r="Q8893" i="8"/>
  <c r="Q8745" i="8"/>
  <c r="Q8739" i="8"/>
  <c r="Q8733" i="8"/>
  <c r="Q8727" i="8"/>
  <c r="Q8721" i="8"/>
  <c r="Q8715" i="8"/>
  <c r="Q8709" i="8"/>
  <c r="Q8703" i="8"/>
  <c r="Q8697" i="8"/>
  <c r="Q8691" i="8"/>
  <c r="Q8681" i="8"/>
  <c r="Q8675" i="8"/>
  <c r="Q8669" i="8"/>
  <c r="Q8663" i="8"/>
  <c r="Q8657" i="8"/>
  <c r="Q8651" i="8"/>
  <c r="Q8645" i="8"/>
  <c r="Q8639" i="8"/>
  <c r="Q8559" i="8"/>
  <c r="Q8553" i="8"/>
  <c r="Q8547" i="8"/>
  <c r="Q8541" i="8"/>
  <c r="Q8535" i="8"/>
  <c r="Q8529" i="8"/>
  <c r="Q8523" i="8"/>
  <c r="Q8517" i="8"/>
  <c r="Q8511" i="8"/>
  <c r="Q8505" i="8"/>
  <c r="Q8495" i="8"/>
  <c r="Q8489" i="8"/>
  <c r="Q8483" i="8"/>
  <c r="Q8477" i="8"/>
  <c r="Q8471" i="8"/>
  <c r="Q8465" i="8"/>
  <c r="Q8459" i="8"/>
  <c r="Q8447" i="8"/>
  <c r="Q8441" i="8"/>
  <c r="Q8347" i="8"/>
  <c r="Q8341" i="8"/>
  <c r="Q8335" i="8"/>
  <c r="Q8329" i="8"/>
  <c r="Q8323" i="8"/>
  <c r="Q8317" i="8"/>
  <c r="Q8311" i="8"/>
  <c r="Q8305" i="8"/>
  <c r="Q8299" i="8"/>
  <c r="Q8289" i="8"/>
  <c r="Q8283" i="8"/>
  <c r="Q8277" i="8"/>
  <c r="Q8271" i="8"/>
  <c r="Q8265" i="8"/>
  <c r="Q8259" i="8"/>
  <c r="Q8253" i="8"/>
  <c r="Q8247" i="8"/>
  <c r="Q8241" i="8"/>
  <c r="F26" i="31"/>
  <c r="Q5113" i="8" l="1"/>
  <c r="Q5101" i="8"/>
  <c r="E26" i="31" l="1"/>
  <c r="R236" i="8" l="1"/>
  <c r="Q235" i="8"/>
  <c r="Q227" i="8"/>
  <c r="Q211" i="8"/>
  <c r="R143" i="8"/>
  <c r="E1426" i="28" l="1"/>
  <c r="E92" i="30"/>
  <c r="F92" i="30" s="1"/>
  <c r="E91"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A101" i="30"/>
  <c r="A102" i="30" s="1"/>
  <c r="A103" i="30" s="1"/>
  <c r="A104" i="30" s="1"/>
  <c r="A105" i="30" s="1"/>
  <c r="A107" i="30" s="1"/>
  <c r="A108" i="30" s="1"/>
  <c r="A109" i="30" s="1"/>
  <c r="A110" i="30" s="1"/>
  <c r="A111" i="30" s="1"/>
  <c r="A112" i="30" s="1"/>
  <c r="A113" i="30" s="1"/>
  <c r="A114" i="30" s="1"/>
  <c r="A115" i="30" s="1"/>
  <c r="A116" i="30" s="1"/>
  <c r="A117" i="30" s="1"/>
  <c r="A118" i="30" s="1"/>
  <c r="A119" i="30" s="1"/>
  <c r="A120" i="30" s="1"/>
  <c r="A121" i="30" s="1"/>
  <c r="A122" i="30" s="1"/>
  <c r="A123" i="30" s="1"/>
  <c r="A124" i="30" s="1"/>
  <c r="A125" i="30" s="1"/>
  <c r="A126" i="30" s="1"/>
  <c r="A127" i="30" s="1"/>
  <c r="A128" i="30" s="1"/>
  <c r="A129" i="30" s="1"/>
  <c r="A130" i="30" s="1"/>
  <c r="A131" i="30" s="1"/>
  <c r="A132" i="30" s="1"/>
  <c r="A133" i="30" s="1"/>
  <c r="A134" i="30" s="1"/>
  <c r="A135" i="30" s="1"/>
  <c r="A32" i="30"/>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90" i="30" s="1"/>
  <c r="A91" i="30" s="1"/>
  <c r="A92" i="30" s="1"/>
  <c r="F23" i="30"/>
  <c r="F22" i="30"/>
  <c r="F21" i="30"/>
  <c r="F20" i="30"/>
  <c r="F19" i="30"/>
  <c r="F18" i="30"/>
  <c r="F17" i="30"/>
  <c r="F16" i="30"/>
  <c r="F11" i="30"/>
  <c r="F10" i="30"/>
  <c r="F9" i="30"/>
  <c r="F8" i="30"/>
  <c r="F7" i="30"/>
  <c r="A7" i="30"/>
  <c r="A8" i="30" s="1"/>
  <c r="A9" i="30" s="1"/>
  <c r="A10" i="30" s="1"/>
  <c r="A11" i="30" s="1"/>
  <c r="A16" i="30" s="1"/>
  <c r="A17" i="30" s="1"/>
  <c r="A18" i="30" s="1"/>
  <c r="A19" i="30" s="1"/>
  <c r="A20" i="30" s="1"/>
  <c r="A21" i="30" s="1"/>
  <c r="A22" i="30" s="1"/>
  <c r="A23" i="30" s="1"/>
  <c r="F136" i="30" l="1"/>
  <c r="F24" i="30"/>
  <c r="E145" i="30" s="1"/>
  <c r="F12" i="30"/>
  <c r="E144" i="30" s="1"/>
  <c r="F138" i="30"/>
  <c r="E149" i="30"/>
  <c r="F150" i="30" s="1"/>
  <c r="F146" i="30" l="1"/>
  <c r="F26" i="30"/>
  <c r="E1557" i="28" l="1"/>
  <c r="E1526" i="28"/>
  <c r="E1525" i="28"/>
  <c r="E1506" i="28"/>
  <c r="R7183" i="8"/>
  <c r="R7182" i="8"/>
  <c r="A7132" i="8"/>
  <c r="A7128" i="8"/>
  <c r="A7124" i="8"/>
  <c r="A7082" i="8"/>
  <c r="A7081" i="8"/>
  <c r="A7080" i="8"/>
  <c r="A7079" i="8"/>
  <c r="A7078" i="8"/>
  <c r="A7077" i="8"/>
  <c r="A7076" i="8"/>
  <c r="A7075" i="8"/>
  <c r="A7074" i="8"/>
  <c r="A7073" i="8"/>
  <c r="A7070" i="8"/>
  <c r="A6663" i="8"/>
  <c r="A6661" i="8"/>
  <c r="E1354" i="28"/>
  <c r="E1319" i="28"/>
  <c r="E1318" i="28"/>
  <c r="E1044" i="28"/>
  <c r="E1011" i="28"/>
  <c r="E981" i="28"/>
  <c r="E959" i="28"/>
  <c r="E926" i="28"/>
  <c r="E880" i="28"/>
  <c r="E866" i="28"/>
  <c r="E844" i="28"/>
  <c r="E820" i="28"/>
  <c r="E778" i="28"/>
  <c r="R3070" i="8"/>
  <c r="D3069" i="8"/>
  <c r="C3069" i="8"/>
  <c r="R3035" i="8"/>
  <c r="D3034" i="8"/>
  <c r="C3034" i="8"/>
  <c r="R3021" i="8"/>
  <c r="D3020" i="8"/>
  <c r="C3020" i="8"/>
  <c r="D1585" i="8"/>
  <c r="C1585" i="8"/>
  <c r="D1574" i="8"/>
  <c r="C1574" i="8"/>
  <c r="D1567" i="8"/>
  <c r="C1567" i="8"/>
  <c r="R1586" i="8"/>
  <c r="R1568" i="8"/>
  <c r="R1575" i="8"/>
  <c r="D1045" i="8"/>
  <c r="C1045" i="8"/>
  <c r="R1046" i="8"/>
  <c r="D975" i="8"/>
  <c r="C975" i="8"/>
  <c r="R976" i="8"/>
  <c r="R948" i="8"/>
  <c r="D947" i="8"/>
  <c r="C947" i="8"/>
  <c r="D945" i="8"/>
  <c r="C945" i="8"/>
  <c r="R719" i="8"/>
  <c r="D718" i="8"/>
  <c r="C718" i="8"/>
  <c r="D716" i="8"/>
  <c r="C716" i="8"/>
  <c r="D714" i="8"/>
  <c r="C714" i="8"/>
  <c r="D694" i="8"/>
  <c r="C694" i="8"/>
  <c r="R695" i="8"/>
  <c r="D687" i="8"/>
  <c r="C687" i="8"/>
  <c r="R688" i="8"/>
  <c r="D673" i="8"/>
  <c r="C673" i="8"/>
  <c r="R1066" i="11"/>
  <c r="R674" i="8"/>
  <c r="R641" i="8"/>
  <c r="D640" i="8"/>
  <c r="C640" i="8"/>
  <c r="D638" i="8"/>
  <c r="C638" i="8"/>
  <c r="R523" i="8"/>
  <c r="R522" i="8"/>
  <c r="R521" i="8"/>
  <c r="R520" i="8"/>
  <c r="R519" i="8"/>
  <c r="S184" i="8"/>
  <c r="Q184" i="8"/>
  <c r="D946" i="8"/>
  <c r="D693" i="8"/>
  <c r="D974" i="8"/>
  <c r="D3068" i="8"/>
  <c r="D686" i="8"/>
  <c r="D944" i="8"/>
  <c r="D3033" i="8"/>
  <c r="D637" i="8"/>
  <c r="D1573" i="8"/>
  <c r="D1044" i="8"/>
  <c r="D1566" i="8"/>
  <c r="D1584" i="8"/>
  <c r="D672" i="8"/>
  <c r="D3019" i="8"/>
  <c r="D639" i="8"/>
  <c r="D715" i="8"/>
  <c r="D717" i="8"/>
  <c r="D713" i="8"/>
  <c r="R7184" i="8" l="1"/>
  <c r="AM7180" i="8" s="1"/>
  <c r="R524" i="8"/>
  <c r="AM517" i="8" l="1"/>
  <c r="R245" i="8"/>
  <c r="R244" i="8"/>
  <c r="D197" i="8"/>
  <c r="R230" i="8"/>
  <c r="R229" i="8"/>
  <c r="R228" i="8"/>
  <c r="R227" i="8"/>
  <c r="R214" i="8"/>
  <c r="R213" i="8"/>
  <c r="R212" i="8"/>
  <c r="R211" i="8"/>
  <c r="S169" i="8"/>
  <c r="Q169" i="8"/>
  <c r="R246" i="8" l="1"/>
  <c r="AM242" i="8" s="1"/>
  <c r="R231" i="8"/>
  <c r="AM225" i="8" s="1"/>
  <c r="R215" i="8"/>
  <c r="AM209" i="8" s="1"/>
  <c r="R184" i="8"/>
  <c r="R190" i="8"/>
  <c r="R189" i="8"/>
  <c r="R185" i="8"/>
  <c r="E23" i="28"/>
  <c r="E22" i="28"/>
  <c r="E21" i="28"/>
  <c r="E20" i="28"/>
  <c r="E18" i="28"/>
  <c r="E17" i="28"/>
  <c r="E16" i="28"/>
  <c r="E11" i="28"/>
  <c r="E9" i="28"/>
  <c r="E8" i="28"/>
  <c r="F1602" i="28"/>
  <c r="F1601" i="28"/>
  <c r="F1600" i="28"/>
  <c r="F1599" i="28"/>
  <c r="F1598" i="28"/>
  <c r="F1597" i="28"/>
  <c r="F1596" i="28"/>
  <c r="F1595" i="28"/>
  <c r="F1594" i="28"/>
  <c r="F1593" i="28"/>
  <c r="F1592" i="28"/>
  <c r="F1591" i="28"/>
  <c r="F1590" i="28"/>
  <c r="F1589" i="28"/>
  <c r="F1588" i="28"/>
  <c r="F1587" i="28"/>
  <c r="F1586" i="28"/>
  <c r="F1585" i="28"/>
  <c r="F1584" i="28"/>
  <c r="F1583" i="28"/>
  <c r="F1582" i="28"/>
  <c r="F1581" i="28"/>
  <c r="F1580" i="28"/>
  <c r="F1579" i="28"/>
  <c r="A1568" i="28"/>
  <c r="A1569" i="28" s="1"/>
  <c r="A1570" i="28" s="1"/>
  <c r="A1571" i="28" s="1"/>
  <c r="A1572" i="28" s="1"/>
  <c r="A1574" i="28" s="1"/>
  <c r="A1575" i="28" s="1"/>
  <c r="A1576" i="28" s="1"/>
  <c r="A1577" i="28" s="1"/>
  <c r="A1578" i="28" s="1"/>
  <c r="A1579" i="28" s="1"/>
  <c r="A1580" i="28" s="1"/>
  <c r="A1581" i="28" s="1"/>
  <c r="A1582" i="28" s="1"/>
  <c r="A1583" i="28" s="1"/>
  <c r="A1584" i="28" s="1"/>
  <c r="A1585" i="28" s="1"/>
  <c r="A1586" i="28" s="1"/>
  <c r="A1587" i="28" s="1"/>
  <c r="A1588" i="28" s="1"/>
  <c r="A1589" i="28" s="1"/>
  <c r="A1590" i="28" s="1"/>
  <c r="A1591" i="28" s="1"/>
  <c r="A1592" i="28" s="1"/>
  <c r="A1593" i="28" s="1"/>
  <c r="A1594" i="28" s="1"/>
  <c r="A1595" i="28" s="1"/>
  <c r="A1596" i="28" s="1"/>
  <c r="A1597" i="28" s="1"/>
  <c r="A1598" i="28" s="1"/>
  <c r="A1599" i="28" s="1"/>
  <c r="A1600" i="28" s="1"/>
  <c r="A1601" i="28" s="1"/>
  <c r="A1602" i="28" s="1"/>
  <c r="A1556" i="28"/>
  <c r="A1557" i="28" s="1"/>
  <c r="A1559" i="28" s="1"/>
  <c r="A1536" i="28"/>
  <c r="A1537" i="28" s="1"/>
  <c r="A1538" i="28" s="1"/>
  <c r="A1539" i="28" s="1"/>
  <c r="A1540" i="28" s="1"/>
  <c r="A1541" i="28" s="1"/>
  <c r="A1542" i="28" s="1"/>
  <c r="A1543" i="28" s="1"/>
  <c r="A1544" i="28" s="1"/>
  <c r="A1545" i="28" s="1"/>
  <c r="A1547" i="28" s="1"/>
  <c r="A1548" i="28" s="1"/>
  <c r="F1506" i="28"/>
  <c r="F1354" i="28"/>
  <c r="A1330" i="28"/>
  <c r="A1332" i="28" s="1"/>
  <c r="A1333" i="28" s="1"/>
  <c r="A1334" i="28" s="1"/>
  <c r="A1335" i="28" s="1"/>
  <c r="A1337" i="28" s="1"/>
  <c r="A1338" i="28" s="1"/>
  <c r="A1339" i="28" s="1"/>
  <c r="A1340" i="28" s="1"/>
  <c r="A1343" i="28" s="1"/>
  <c r="A1345" i="28" s="1"/>
  <c r="A1346" i="28" s="1"/>
  <c r="A1347" i="28" s="1"/>
  <c r="A1349" i="28" s="1"/>
  <c r="A1351" i="28" s="1"/>
  <c r="A1352" i="28" s="1"/>
  <c r="A1353" i="28" s="1"/>
  <c r="A1354" i="28" s="1"/>
  <c r="A1355" i="28" s="1"/>
  <c r="A1362" i="28" s="1"/>
  <c r="A1364" i="28" s="1"/>
  <c r="A1365" i="28" s="1"/>
  <c r="A1366" i="28" s="1"/>
  <c r="A1367" i="28" s="1"/>
  <c r="A1368" i="28" s="1"/>
  <c r="A1369" i="28" s="1"/>
  <c r="A1370" i="28" s="1"/>
  <c r="A1371" i="28" s="1"/>
  <c r="A1372" i="28" s="1"/>
  <c r="A1374" i="28" s="1"/>
  <c r="A1375" i="28" s="1"/>
  <c r="A1376" i="28" s="1"/>
  <c r="A1377" i="28" s="1"/>
  <c r="A1378" i="28" s="1"/>
  <c r="A1379" i="28" s="1"/>
  <c r="A1382" i="28" s="1"/>
  <c r="A1384" i="28" s="1"/>
  <c r="A1385" i="28" s="1"/>
  <c r="A1386" i="28" s="1"/>
  <c r="A1387" i="28" s="1"/>
  <c r="A1388" i="28" s="1"/>
  <c r="A1390" i="28" s="1"/>
  <c r="A1391" i="28" s="1"/>
  <c r="A1392" i="28" s="1"/>
  <c r="A1393" i="28" s="1"/>
  <c r="A1395" i="28" s="1"/>
  <c r="A1396" i="28" s="1"/>
  <c r="A1397" i="28" s="1"/>
  <c r="A1398" i="28" s="1"/>
  <c r="A1399" i="28" s="1"/>
  <c r="A1406" i="28" s="1"/>
  <c r="A1408" i="28" s="1"/>
  <c r="A1410" i="28" s="1"/>
  <c r="A1411" i="28" s="1"/>
  <c r="A1412" i="28" s="1"/>
  <c r="A1413" i="28" s="1"/>
  <c r="A1414" i="28" s="1"/>
  <c r="A1416" i="28" s="1"/>
  <c r="A1417" i="28" s="1"/>
  <c r="A1418" i="28" s="1"/>
  <c r="A1419" i="28" s="1"/>
  <c r="A1420" i="28" s="1"/>
  <c r="A1422" i="28" s="1"/>
  <c r="A1424" i="28" s="1"/>
  <c r="A1425" i="28" s="1"/>
  <c r="A1426" i="28" s="1"/>
  <c r="A1427" i="28" s="1"/>
  <c r="A1434" i="28" s="1"/>
  <c r="A1436" i="28" s="1"/>
  <c r="A1437" i="28" s="1"/>
  <c r="A1438" i="28" s="1"/>
  <c r="A1439" i="28" s="1"/>
  <c r="A1440" i="28" s="1"/>
  <c r="A1442" i="28" s="1"/>
  <c r="A1443" i="28" s="1"/>
  <c r="A1444" i="28" s="1"/>
  <c r="A1445" i="28" s="1"/>
  <c r="A1448" i="28" s="1"/>
  <c r="A1450" i="28" s="1"/>
  <c r="A1452" i="28" s="1"/>
  <c r="A1453" i="28" s="1"/>
  <c r="A1454" i="28" s="1"/>
  <c r="A1456" i="28" s="1"/>
  <c r="A1457" i="28" s="1"/>
  <c r="A1458" i="28" s="1"/>
  <c r="A1459" i="28" s="1"/>
  <c r="A1460" i="28" s="1"/>
  <c r="A1467" i="28" s="1"/>
  <c r="A1469" i="28" s="1"/>
  <c r="A1470" i="28" s="1"/>
  <c r="A1471" i="28" s="1"/>
  <c r="A1472" i="28" s="1"/>
  <c r="A1473" i="28" s="1"/>
  <c r="A1475" i="28" s="1"/>
  <c r="A1476" i="28" s="1"/>
  <c r="A1477" i="28" s="1"/>
  <c r="A1478" i="28" s="1"/>
  <c r="A1479" i="28" s="1"/>
  <c r="A1481" i="28" s="1"/>
  <c r="A1482" i="28" s="1"/>
  <c r="A1483" i="28" s="1"/>
  <c r="A1484" i="28" s="1"/>
  <c r="A1485" i="28" s="1"/>
  <c r="A1488" i="28" s="1"/>
  <c r="A1490" i="28" s="1"/>
  <c r="A1491" i="28" s="1"/>
  <c r="A1492" i="28" s="1"/>
  <c r="A1493" i="28" s="1"/>
  <c r="A1494" i="28" s="1"/>
  <c r="A1495" i="28" s="1"/>
  <c r="A1497" i="28" s="1"/>
  <c r="A1498" i="28" s="1"/>
  <c r="A1499" i="28" s="1"/>
  <c r="A1500" i="28" s="1"/>
  <c r="A1501" i="28" s="1"/>
  <c r="A1503" i="28" s="1"/>
  <c r="A1504" i="28" s="1"/>
  <c r="A1505" i="28" s="1"/>
  <c r="A1506" i="28" s="1"/>
  <c r="A1507" i="28" s="1"/>
  <c r="A1513" i="28" s="1"/>
  <c r="A1514" i="28" s="1"/>
  <c r="A1515" i="28" s="1"/>
  <c r="A1516" i="28" s="1"/>
  <c r="A1517" i="28" s="1"/>
  <c r="A1518" i="28" s="1"/>
  <c r="A1519" i="28" s="1"/>
  <c r="A1520" i="28" s="1"/>
  <c r="A1521" i="28" s="1"/>
  <c r="A1523" i="28" s="1"/>
  <c r="A1524" i="28" s="1"/>
  <c r="A1525" i="28" s="1"/>
  <c r="A1526" i="28" s="1"/>
  <c r="A1527" i="28" s="1"/>
  <c r="A1528" i="28" s="1"/>
  <c r="F1319" i="28"/>
  <c r="F1318" i="28"/>
  <c r="A1172" i="28"/>
  <c r="A1173" i="28" s="1"/>
  <c r="A1174" i="28" s="1"/>
  <c r="A1175" i="28" s="1"/>
  <c r="A1176" i="28" s="1"/>
  <c r="A1177" i="28" s="1"/>
  <c r="A1178" i="28" s="1"/>
  <c r="A1180" i="28" s="1"/>
  <c r="A1181" i="28" s="1"/>
  <c r="A1182" i="28" s="1"/>
  <c r="A1183" i="28" s="1"/>
  <c r="A1185" i="28" s="1"/>
  <c r="A1186" i="28" s="1"/>
  <c r="A1187" i="28" s="1"/>
  <c r="A1189" i="28" s="1"/>
  <c r="A1190" i="28" s="1"/>
  <c r="A1192" i="28" s="1"/>
  <c r="A1193" i="28" s="1"/>
  <c r="A1194" i="28" s="1"/>
  <c r="A1197" i="28" s="1"/>
  <c r="A1198" i="28" s="1"/>
  <c r="A1199" i="28" s="1"/>
  <c r="A1201" i="28" s="1"/>
  <c r="A1202" i="28" s="1"/>
  <c r="A1204" i="28" s="1"/>
  <c r="A1206" i="28" s="1"/>
  <c r="A1208" i="28" s="1"/>
  <c r="A1210" i="28" s="1"/>
  <c r="A1213" i="28" s="1"/>
  <c r="A1215" i="28" s="1"/>
  <c r="A1217" i="28" s="1"/>
  <c r="A1218" i="28" s="1"/>
  <c r="A1219" i="28" s="1"/>
  <c r="A1221" i="28" s="1"/>
  <c r="A1222" i="28" s="1"/>
  <c r="A1223" i="28" s="1"/>
  <c r="A1224" i="28" s="1"/>
  <c r="A1226" i="28" s="1"/>
  <c r="A1227" i="28" s="1"/>
  <c r="A1234" i="28" s="1"/>
  <c r="A1235" i="28" s="1"/>
  <c r="A1236" i="28" s="1"/>
  <c r="A1238" i="28" s="1"/>
  <c r="A1240" i="28" s="1"/>
  <c r="A1241" i="28" s="1"/>
  <c r="A1242" i="28" s="1"/>
  <c r="A1244" i="28" s="1"/>
  <c r="A1245" i="28" s="1"/>
  <c r="A1246" i="28" s="1"/>
  <c r="A1247" i="28" s="1"/>
  <c r="A1249" i="28" s="1"/>
  <c r="A1252" i="28" s="1"/>
  <c r="A1253" i="28" s="1"/>
  <c r="A1255" i="28" s="1"/>
  <c r="A1256" i="28" s="1"/>
  <c r="A1258" i="28" s="1"/>
  <c r="A1260" i="28" s="1"/>
  <c r="A1262" i="28" s="1"/>
  <c r="A1266" i="28" s="1"/>
  <c r="A1268" i="28" s="1"/>
  <c r="A1269" i="28" s="1"/>
  <c r="A1270" i="28" s="1"/>
  <c r="A1272" i="28" s="1"/>
  <c r="A1274" i="28" s="1"/>
  <c r="A1277" i="28" s="1"/>
  <c r="A1278" i="28" s="1"/>
  <c r="A1279" i="28" s="1"/>
  <c r="A1280" i="28" s="1"/>
  <c r="A1282" i="28" s="1"/>
  <c r="A1283" i="28" s="1"/>
  <c r="A1284" i="28" s="1"/>
  <c r="A1285" i="28" s="1"/>
  <c r="A1292" i="28" s="1"/>
  <c r="A1293" i="28" s="1"/>
  <c r="A1294" i="28" s="1"/>
  <c r="A1295" i="28" s="1"/>
  <c r="A1296" i="28" s="1"/>
  <c r="A1298" i="28" s="1"/>
  <c r="A1300" i="28" s="1"/>
  <c r="A1301" i="28" s="1"/>
  <c r="A1303" i="28" s="1"/>
  <c r="A1304" i="28" s="1"/>
  <c r="A1305" i="28" s="1"/>
  <c r="A1306" i="28" s="1"/>
  <c r="A1307" i="28" s="1"/>
  <c r="A1309" i="28" s="1"/>
  <c r="A1310" i="28" s="1"/>
  <c r="A1312" i="28" s="1"/>
  <c r="A1313" i="28" s="1"/>
  <c r="A1315" i="28" s="1"/>
  <c r="A1316" i="28" s="1"/>
  <c r="A1318" i="28" s="1"/>
  <c r="A1319" i="28" s="1"/>
  <c r="A1320" i="28" s="1"/>
  <c r="A1104" i="28"/>
  <c r="A1105" i="28" s="1"/>
  <c r="A1106" i="28" s="1"/>
  <c r="A1107" i="28" s="1"/>
  <c r="A1108" i="28" s="1"/>
  <c r="A1109" i="28" s="1"/>
  <c r="A1110" i="28" s="1"/>
  <c r="A1111" i="28" s="1"/>
  <c r="A1112" i="28" s="1"/>
  <c r="A1113" i="28" s="1"/>
  <c r="A1114" i="28" s="1"/>
  <c r="A1115" i="28" s="1"/>
  <c r="A1117" i="28" s="1"/>
  <c r="A1118" i="28" s="1"/>
  <c r="A1119" i="28" s="1"/>
  <c r="A1120" i="28" s="1"/>
  <c r="A1121" i="28" s="1"/>
  <c r="A1122" i="28" s="1"/>
  <c r="A1123" i="28" s="1"/>
  <c r="A1124" i="28" s="1"/>
  <c r="A1125" i="28" s="1"/>
  <c r="A1126" i="28" s="1"/>
  <c r="A1127" i="28" s="1"/>
  <c r="A1128" i="28" s="1"/>
  <c r="A1129" i="28" s="1"/>
  <c r="A1130" i="28" s="1"/>
  <c r="A1131" i="28" s="1"/>
  <c r="A1133" i="28" s="1"/>
  <c r="A1134" i="28" s="1"/>
  <c r="A1135" i="28" s="1"/>
  <c r="A1136" i="28" s="1"/>
  <c r="A1137" i="28" s="1"/>
  <c r="A1138" i="28" s="1"/>
  <c r="A1139" i="28" s="1"/>
  <c r="A1141" i="28" s="1"/>
  <c r="A1142" i="28" s="1"/>
  <c r="A1143" i="28" s="1"/>
  <c r="A1144" i="28" s="1"/>
  <c r="A1145" i="28" s="1"/>
  <c r="A1146" i="28" s="1"/>
  <c r="A1147" i="28" s="1"/>
  <c r="A1148" i="28" s="1"/>
  <c r="A1149" i="28" s="1"/>
  <c r="A1150" i="28" s="1"/>
  <c r="A1152" i="28" s="1"/>
  <c r="A1153" i="28" s="1"/>
  <c r="A1154" i="28" s="1"/>
  <c r="A1155" i="28" s="1"/>
  <c r="A1156" i="28" s="1"/>
  <c r="A1157" i="28" s="1"/>
  <c r="A1158" i="28" s="1"/>
  <c r="A1159" i="28" s="1"/>
  <c r="A1161" i="28" s="1"/>
  <c r="A1071" i="28"/>
  <c r="A1072" i="28" s="1"/>
  <c r="A1073" i="28" s="1"/>
  <c r="A1074" i="28" s="1"/>
  <c r="A1075" i="28" s="1"/>
  <c r="A1076" i="28" s="1"/>
  <c r="A1077" i="28" s="1"/>
  <c r="A1078" i="28" s="1"/>
  <c r="A1080" i="28" s="1"/>
  <c r="A1081" i="28" s="1"/>
  <c r="A1082" i="28" s="1"/>
  <c r="A1083" i="28" s="1"/>
  <c r="A1084" i="28" s="1"/>
  <c r="A1085" i="28" s="1"/>
  <c r="A1086" i="28" s="1"/>
  <c r="A1087" i="28" s="1"/>
  <c r="A1089" i="28" s="1"/>
  <c r="A1091" i="28" s="1"/>
  <c r="A1092" i="28" s="1"/>
  <c r="A1094" i="28" s="1"/>
  <c r="F1044" i="28"/>
  <c r="F981" i="28"/>
  <c r="F959" i="28"/>
  <c r="F926" i="28"/>
  <c r="F880" i="28"/>
  <c r="F866" i="28"/>
  <c r="F844" i="28"/>
  <c r="F820" i="28"/>
  <c r="F778" i="28"/>
  <c r="A317" i="28"/>
  <c r="A318" i="28" s="1"/>
  <c r="A320" i="28" s="1"/>
  <c r="A321" i="28" s="1"/>
  <c r="A323" i="28" s="1"/>
  <c r="A325" i="28" s="1"/>
  <c r="A327" i="28" s="1"/>
  <c r="A328" i="28" s="1"/>
  <c r="A329" i="28" s="1"/>
  <c r="A330" i="28" s="1"/>
  <c r="A331" i="28" s="1"/>
  <c r="A332" i="28" s="1"/>
  <c r="A333" i="28" s="1"/>
  <c r="A334" i="28" s="1"/>
  <c r="A335" i="28" s="1"/>
  <c r="A336" i="28" s="1"/>
  <c r="A337" i="28" s="1"/>
  <c r="A338" i="28" s="1"/>
  <c r="A339" i="28" s="1"/>
  <c r="A340" i="28" s="1"/>
  <c r="A341" i="28" s="1"/>
  <c r="A342" i="28" s="1"/>
  <c r="A343" i="28" s="1"/>
  <c r="A344" i="28" s="1"/>
  <c r="A345" i="28" s="1"/>
  <c r="A346" i="28" s="1"/>
  <c r="A347" i="28" s="1"/>
  <c r="A353" i="28" s="1"/>
  <c r="A354" i="28" s="1"/>
  <c r="A356" i="28" s="1"/>
  <c r="A357" i="28" s="1"/>
  <c r="A358" i="28" s="1"/>
  <c r="A359" i="28" s="1"/>
  <c r="A360" i="28" s="1"/>
  <c r="A363" i="28" s="1"/>
  <c r="A365" i="28" s="1"/>
  <c r="A368" i="28" s="1"/>
  <c r="A370" i="28" s="1"/>
  <c r="A372" i="28" s="1"/>
  <c r="A375" i="28" s="1"/>
  <c r="A378" i="28" s="1"/>
  <c r="A379" i="28" s="1"/>
  <c r="A380" i="28" s="1"/>
  <c r="A381" i="28" s="1"/>
  <c r="A388" i="28" s="1"/>
  <c r="A389" i="28" s="1"/>
  <c r="A390" i="28" s="1"/>
  <c r="A391" i="28" s="1"/>
  <c r="A392" i="28" s="1"/>
  <c r="A393" i="28" s="1"/>
  <c r="A394" i="28" s="1"/>
  <c r="A395" i="28" s="1"/>
  <c r="A396" i="28" s="1"/>
  <c r="A397" i="28" s="1"/>
  <c r="A398" i="28" s="1"/>
  <c r="A399" i="28" s="1"/>
  <c r="A400" i="28" s="1"/>
  <c r="A401" i="28" s="1"/>
  <c r="A402" i="28" s="1"/>
  <c r="A403" i="28" s="1"/>
  <c r="A404" i="28" s="1"/>
  <c r="A405" i="28" s="1"/>
  <c r="A406" i="28" s="1"/>
  <c r="A407" i="28" s="1"/>
  <c r="A408" i="28" s="1"/>
  <c r="A409" i="28" s="1"/>
  <c r="A410" i="28" s="1"/>
  <c r="A411" i="28" s="1"/>
  <c r="A413" i="28" s="1"/>
  <c r="A414" i="28" s="1"/>
  <c r="A415" i="28" s="1"/>
  <c r="A417" i="28" s="1"/>
  <c r="A419" i="28" s="1"/>
  <c r="A422" i="28" s="1"/>
  <c r="A423" i="28" s="1"/>
  <c r="A424" i="28" s="1"/>
  <c r="A425" i="28" s="1"/>
  <c r="A426" i="28" s="1"/>
  <c r="A429" i="28" s="1"/>
  <c r="A430" i="28" s="1"/>
  <c r="A431" i="28" s="1"/>
  <c r="A438" i="28" s="1"/>
  <c r="A439" i="28" s="1"/>
  <c r="A440" i="28" s="1"/>
  <c r="A442" i="28" s="1"/>
  <c r="A445" i="28" s="1"/>
  <c r="A446" i="28" s="1"/>
  <c r="A447" i="28" s="1"/>
  <c r="A448" i="28" s="1"/>
  <c r="A449" i="28" s="1"/>
  <c r="A450" i="28" s="1"/>
  <c r="A451" i="28" s="1"/>
  <c r="A452" i="28" s="1"/>
  <c r="A453" i="28" s="1"/>
  <c r="A454" i="28" s="1"/>
  <c r="A456" i="28" s="1"/>
  <c r="A457" i="28" s="1"/>
  <c r="A458" i="28" s="1"/>
  <c r="A461" i="28" s="1"/>
  <c r="A462" i="28" s="1"/>
  <c r="A463" i="28" s="1"/>
  <c r="A464" i="28" s="1"/>
  <c r="A465" i="28" s="1"/>
  <c r="A466" i="28" s="1"/>
  <c r="A467" i="28" s="1"/>
  <c r="A468" i="28" s="1"/>
  <c r="A469" i="28" s="1"/>
  <c r="A471" i="28" s="1"/>
  <c r="A474" i="28" s="1"/>
  <c r="A475" i="28" s="1"/>
  <c r="A476" i="28" s="1"/>
  <c r="A477" i="28" s="1"/>
  <c r="A478" i="28" s="1"/>
  <c r="A480" i="28" s="1"/>
  <c r="A481" i="28" s="1"/>
  <c r="A484" i="28" s="1"/>
  <c r="A485" i="28" s="1"/>
  <c r="A486" i="28" s="1"/>
  <c r="A487" i="28" s="1"/>
  <c r="A488" i="28" s="1"/>
  <c r="A489" i="28" s="1"/>
  <c r="A490" i="28" s="1"/>
  <c r="A492" i="28" s="1"/>
  <c r="A493" i="28" s="1"/>
  <c r="A494" i="28" s="1"/>
  <c r="A501" i="28" s="1"/>
  <c r="A502" i="28" s="1"/>
  <c r="A503" i="28" s="1"/>
  <c r="A504" i="28" s="1"/>
  <c r="A505" i="28" s="1"/>
  <c r="A506" i="28" s="1"/>
  <c r="A507" i="28" s="1"/>
  <c r="A508" i="28" s="1"/>
  <c r="A509" i="28" s="1"/>
  <c r="A510" i="28" s="1"/>
  <c r="A512" i="28" s="1"/>
  <c r="A513" i="28" s="1"/>
  <c r="A522" i="28" s="1"/>
  <c r="A523" i="28" s="1"/>
  <c r="A525" i="28" s="1"/>
  <c r="A526" i="28" s="1"/>
  <c r="A527" i="28" s="1"/>
  <c r="A529" i="28" s="1"/>
  <c r="A532" i="28" s="1"/>
  <c r="A533" i="28" s="1"/>
  <c r="A534" i="28" s="1"/>
  <c r="A535" i="28" s="1"/>
  <c r="A536" i="28" s="1"/>
  <c r="A537" i="28" s="1"/>
  <c r="A538" i="28" s="1"/>
  <c r="A539" i="28" s="1"/>
  <c r="A540" i="28" s="1"/>
  <c r="A541" i="28" s="1"/>
  <c r="A542" i="28" s="1"/>
  <c r="A543" i="28" s="1"/>
  <c r="A544" i="28" s="1"/>
  <c r="A545" i="28" s="1"/>
  <c r="A546" i="28" s="1"/>
  <c r="A547" i="28" s="1"/>
  <c r="A548" i="28" s="1"/>
  <c r="A549" i="28" s="1"/>
  <c r="A550" i="28" s="1"/>
  <c r="A551" i="28" s="1"/>
  <c r="A552" i="28" s="1"/>
  <c r="A553" i="28" s="1"/>
  <c r="A555" i="28" s="1"/>
  <c r="A558" i="28" s="1"/>
  <c r="A560" i="28" s="1"/>
  <c r="A567" i="28" s="1"/>
  <c r="A569" i="28" s="1"/>
  <c r="A570" i="28" s="1"/>
  <c r="A571" i="28" s="1"/>
  <c r="A573" i="28" s="1"/>
  <c r="A576" i="28" s="1"/>
  <c r="A577" i="28" s="1"/>
  <c r="A578" i="28" s="1"/>
  <c r="A579" i="28" s="1"/>
  <c r="A580" i="28" s="1"/>
  <c r="A581" i="28" s="1"/>
  <c r="A582" i="28" s="1"/>
  <c r="A583" i="28" s="1"/>
  <c r="A584" i="28" s="1"/>
  <c r="A585" i="28" s="1"/>
  <c r="A587" i="28" s="1"/>
  <c r="A588" i="28" s="1"/>
  <c r="A591" i="28" s="1"/>
  <c r="A592" i="28" s="1"/>
  <c r="A593" i="28" s="1"/>
  <c r="A594" i="28" s="1"/>
  <c r="A595" i="28" s="1"/>
  <c r="A596" i="28" s="1"/>
  <c r="A597" i="28" s="1"/>
  <c r="A598" i="28" s="1"/>
  <c r="A599" i="28" s="1"/>
  <c r="A600" i="28" s="1"/>
  <c r="A601" i="28" s="1"/>
  <c r="A602" i="28" s="1"/>
  <c r="A603" i="28" s="1"/>
  <c r="A605" i="28" s="1"/>
  <c r="A608" i="28" s="1"/>
  <c r="A609" i="28" s="1"/>
  <c r="A610" i="28" s="1"/>
  <c r="A611" i="28" s="1"/>
  <c r="A612" i="28" s="1"/>
  <c r="A613" i="28" s="1"/>
  <c r="A614" i="28" s="1"/>
  <c r="A615" i="28" s="1"/>
  <c r="A617" i="28" s="1"/>
  <c r="A618" i="28" s="1"/>
  <c r="A625" i="28" s="1"/>
  <c r="A626" i="28" s="1"/>
  <c r="A627" i="28" s="1"/>
  <c r="A628" i="28" s="1"/>
  <c r="A629" i="28" s="1"/>
  <c r="A630" i="28" s="1"/>
  <c r="A631" i="28" s="1"/>
  <c r="A633" i="28" s="1"/>
  <c r="A634" i="28" s="1"/>
  <c r="A637" i="28" s="1"/>
  <c r="A638" i="28" s="1"/>
  <c r="A639" i="28" s="1"/>
  <c r="A640" i="28" s="1"/>
  <c r="A641" i="28" s="1"/>
  <c r="A642" i="28" s="1"/>
  <c r="A643" i="28" s="1"/>
  <c r="A644" i="28" s="1"/>
  <c r="A645" i="28" s="1"/>
  <c r="A646" i="28" s="1"/>
  <c r="A647" i="28" s="1"/>
  <c r="A648" i="28" s="1"/>
  <c r="A649" i="28" s="1"/>
  <c r="A650" i="28" s="1"/>
  <c r="A651" i="28" s="1"/>
  <c r="A652" i="28" s="1"/>
  <c r="A653" i="28" s="1"/>
  <c r="A654" i="28" s="1"/>
  <c r="A656" i="28" s="1"/>
  <c r="A657" i="28" s="1"/>
  <c r="A658" i="28" s="1"/>
  <c r="A661" i="28" s="1"/>
  <c r="A662" i="28" s="1"/>
  <c r="A664" i="28" s="1"/>
  <c r="A671" i="28" s="1"/>
  <c r="A672" i="28" s="1"/>
  <c r="A673" i="28" s="1"/>
  <c r="A674" i="28" s="1"/>
  <c r="A676" i="28" s="1"/>
  <c r="A677" i="28" s="1"/>
  <c r="A678" i="28" s="1"/>
  <c r="A681" i="28" s="1"/>
  <c r="A683" i="28" s="1"/>
  <c r="A685" i="28" s="1"/>
  <c r="A688" i="28" s="1"/>
  <c r="A689" i="28" s="1"/>
  <c r="A690" i="28" s="1"/>
  <c r="A692" i="28" s="1"/>
  <c r="A693" i="28" s="1"/>
  <c r="A696" i="28" s="1"/>
  <c r="A697" i="28" s="1"/>
  <c r="A698" i="28" s="1"/>
  <c r="A700" i="28" s="1"/>
  <c r="A701" i="28" s="1"/>
  <c r="A704" i="28" s="1"/>
  <c r="A706" i="28" s="1"/>
  <c r="A707" i="28" s="1"/>
  <c r="A709" i="28" s="1"/>
  <c r="A716" i="28" s="1"/>
  <c r="A717" i="28" s="1"/>
  <c r="A718" i="28" s="1"/>
  <c r="A719" i="28" s="1"/>
  <c r="A720" i="28" s="1"/>
  <c r="A721" i="28" s="1"/>
  <c r="A724" i="28" s="1"/>
  <c r="A726" i="28" s="1"/>
  <c r="A727" i="28" s="1"/>
  <c r="A728" i="28" s="1"/>
  <c r="A730" i="28" s="1"/>
  <c r="A733" i="28" s="1"/>
  <c r="A734" i="28" s="1"/>
  <c r="A735" i="28" s="1"/>
  <c r="A736" i="28" s="1"/>
  <c r="A737" i="28" s="1"/>
  <c r="A738" i="28" s="1"/>
  <c r="A739" i="28" s="1"/>
  <c r="A741" i="28" s="1"/>
  <c r="A742" i="28" s="1"/>
  <c r="A743" i="28" s="1"/>
  <c r="A744" i="28" s="1"/>
  <c r="A752" i="28" s="1"/>
  <c r="A753" i="28" s="1"/>
  <c r="A754" i="28" s="1"/>
  <c r="A755" i="28" s="1"/>
  <c r="A756" i="28" s="1"/>
  <c r="A757" i="28" s="1"/>
  <c r="A758" i="28" s="1"/>
  <c r="A759" i="28" s="1"/>
  <c r="A760" i="28" s="1"/>
  <c r="A761" i="28" s="1"/>
  <c r="A763" i="28" s="1"/>
  <c r="A765" i="28" s="1"/>
  <c r="A766" i="28" s="1"/>
  <c r="A767" i="28" s="1"/>
  <c r="A768" i="28" s="1"/>
  <c r="A770" i="28" s="1"/>
  <c r="A771" i="28" s="1"/>
  <c r="A772" i="28" s="1"/>
  <c r="A773" i="28" s="1"/>
  <c r="A774" i="28" s="1"/>
  <c r="A775" i="28" s="1"/>
  <c r="A776" i="28" s="1"/>
  <c r="A777" i="28" s="1"/>
  <c r="A778" i="28" s="1"/>
  <c r="A779" i="28" s="1"/>
  <c r="A781" i="28" s="1"/>
  <c r="A782" i="28" s="1"/>
  <c r="A783" i="28" s="1"/>
  <c r="A784" i="28" s="1"/>
  <c r="A785" i="28" s="1"/>
  <c r="A788" i="28" s="1"/>
  <c r="A791" i="28" s="1"/>
  <c r="A793" i="28" s="1"/>
  <c r="A796" i="28" s="1"/>
  <c r="A803" i="28" s="1"/>
  <c r="A804" i="28" s="1"/>
  <c r="A805" i="28" s="1"/>
  <c r="A806" i="28" s="1"/>
  <c r="A807" i="28" s="1"/>
  <c r="A808" i="28" s="1"/>
  <c r="A809" i="28" s="1"/>
  <c r="A810" i="28" s="1"/>
  <c r="A811" i="28" s="1"/>
  <c r="A812" i="28" s="1"/>
  <c r="A813" i="28" s="1"/>
  <c r="A814" i="28" s="1"/>
  <c r="A815" i="28" s="1"/>
  <c r="A816" i="28" s="1"/>
  <c r="A817" i="28" s="1"/>
  <c r="A818" i="28" s="1"/>
  <c r="A819" i="28" s="1"/>
  <c r="A820" i="28" s="1"/>
  <c r="A821" i="28" s="1"/>
  <c r="A823" i="28" s="1"/>
  <c r="A824" i="28" s="1"/>
  <c r="A825" i="28" s="1"/>
  <c r="A829" i="28" s="1"/>
  <c r="A830" i="28" s="1"/>
  <c r="A831" i="28" s="1"/>
  <c r="A832" i="28" s="1"/>
  <c r="A833" i="28" s="1"/>
  <c r="A834" i="28" s="1"/>
  <c r="A835" i="28" s="1"/>
  <c r="A836" i="28" s="1"/>
  <c r="A837" i="28" s="1"/>
  <c r="A838" i="28" s="1"/>
  <c r="A839" i="28" s="1"/>
  <c r="A840" i="28" s="1"/>
  <c r="A841" i="28" s="1"/>
  <c r="A842" i="28" s="1"/>
  <c r="A843" i="28" s="1"/>
  <c r="A844" i="28" s="1"/>
  <c r="A845" i="28" s="1"/>
  <c r="A847" i="28" s="1"/>
  <c r="A848" i="28" s="1"/>
  <c r="A849" i="28" s="1"/>
  <c r="A856" i="28" s="1"/>
  <c r="A857" i="28" s="1"/>
  <c r="A858" i="28" s="1"/>
  <c r="A859" i="28" s="1"/>
  <c r="A860" i="28" s="1"/>
  <c r="A861" i="28" s="1"/>
  <c r="A862" i="28" s="1"/>
  <c r="A863" i="28" s="1"/>
  <c r="A864" i="28" s="1"/>
  <c r="A865" i="28" s="1"/>
  <c r="A866" i="28" s="1"/>
  <c r="A868" i="28" s="1"/>
  <c r="A869" i="28" s="1"/>
  <c r="A870" i="28" s="1"/>
  <c r="A873" i="28" s="1"/>
  <c r="A874" i="28" s="1"/>
  <c r="A875" i="28" s="1"/>
  <c r="A876" i="28" s="1"/>
  <c r="A877" i="28" s="1"/>
  <c r="A878" i="28" s="1"/>
  <c r="A879" i="28" s="1"/>
  <c r="A880" i="28" s="1"/>
  <c r="A881" i="28" s="1"/>
  <c r="A883" i="28" s="1"/>
  <c r="A884" i="28" s="1"/>
  <c r="A885" i="28" s="1"/>
  <c r="A888" i="28" s="1"/>
  <c r="A889" i="28" s="1"/>
  <c r="A890" i="28" s="1"/>
  <c r="A891" i="28" s="1"/>
  <c r="A892" i="28" s="1"/>
  <c r="A894" i="28" s="1"/>
  <c r="A901" i="28" s="1"/>
  <c r="A902" i="28" s="1"/>
  <c r="A903" i="28" s="1"/>
  <c r="A904" i="28" s="1"/>
  <c r="A905" i="28" s="1"/>
  <c r="A906" i="28" s="1"/>
  <c r="A907" i="28" s="1"/>
  <c r="A908" i="28" s="1"/>
  <c r="A909" i="28" s="1"/>
  <c r="A910" i="28" s="1"/>
  <c r="A911" i="28" s="1"/>
  <c r="A912" i="28" s="1"/>
  <c r="A913" i="28" s="1"/>
  <c r="A915" i="28" s="1"/>
  <c r="A916" i="28" s="1"/>
  <c r="A917" i="28" s="1"/>
  <c r="A918" i="28" s="1"/>
  <c r="A921" i="28" s="1"/>
  <c r="A922" i="28" s="1"/>
  <c r="A923" i="28" s="1"/>
  <c r="A924" i="28" s="1"/>
  <c r="A925" i="28" s="1"/>
  <c r="A926" i="28" s="1"/>
  <c r="A927" i="28" s="1"/>
  <c r="A929" i="28" s="1"/>
  <c r="A930" i="28" s="1"/>
  <c r="A933" i="28" s="1"/>
  <c r="A934" i="28" s="1"/>
  <c r="A936" i="28" s="1"/>
  <c r="A937" i="28" s="1"/>
  <c r="A945" i="28" s="1"/>
  <c r="A946" i="28" s="1"/>
  <c r="A947" i="28" s="1"/>
  <c r="A948" i="28" s="1"/>
  <c r="A949" i="28" s="1"/>
  <c r="A950" i="28" s="1"/>
  <c r="A951" i="28" s="1"/>
  <c r="A952" i="28" s="1"/>
  <c r="A953" i="28" s="1"/>
  <c r="A954" i="28" s="1"/>
  <c r="A955" i="28" s="1"/>
  <c r="A956" i="28" s="1"/>
  <c r="A957" i="28" s="1"/>
  <c r="A958" i="28" s="1"/>
  <c r="A959" i="28" s="1"/>
  <c r="A960" i="28" s="1"/>
  <c r="A962" i="28" s="1"/>
  <c r="A963" i="28" s="1"/>
  <c r="A964" i="28" s="1"/>
  <c r="A967" i="28" s="1"/>
  <c r="A968" i="28" s="1"/>
  <c r="A969" i="28" s="1"/>
  <c r="A970" i="28" s="1"/>
  <c r="A971" i="28" s="1"/>
  <c r="A972" i="28" s="1"/>
  <c r="A973" i="28" s="1"/>
  <c r="A974" i="28" s="1"/>
  <c r="A975" i="28" s="1"/>
  <c r="A976" i="28" s="1"/>
  <c r="A977" i="28" s="1"/>
  <c r="A978" i="28" s="1"/>
  <c r="A979" i="28" s="1"/>
  <c r="A980" i="28" s="1"/>
  <c r="A981" i="28" s="1"/>
  <c r="A982" i="28" s="1"/>
  <c r="A984" i="28" s="1"/>
  <c r="A985" i="28" s="1"/>
  <c r="A986" i="28" s="1"/>
  <c r="A987" i="28" s="1"/>
  <c r="A995" i="28" s="1"/>
  <c r="A996" i="28" s="1"/>
  <c r="A997" i="28" s="1"/>
  <c r="A998" i="28" s="1"/>
  <c r="A999" i="28" s="1"/>
  <c r="A1000" i="28" s="1"/>
  <c r="A1001" i="28" s="1"/>
  <c r="A1002" i="28" s="1"/>
  <c r="A1003" i="28" s="1"/>
  <c r="A1004" i="28" s="1"/>
  <c r="A1005" i="28" s="1"/>
  <c r="A1006" i="28" s="1"/>
  <c r="A1007" i="28" s="1"/>
  <c r="A1008" i="28" s="1"/>
  <c r="A1009" i="28" s="1"/>
  <c r="A1010" i="28" s="1"/>
  <c r="A1011" i="28" s="1"/>
  <c r="A1012" i="28" s="1"/>
  <c r="A1014" i="28" s="1"/>
  <c r="A1015" i="28" s="1"/>
  <c r="A1016" i="28" s="1"/>
  <c r="A1017" i="28" s="1"/>
  <c r="A1020" i="28" s="1"/>
  <c r="A1022" i="28" s="1"/>
  <c r="A1030" i="28" s="1"/>
  <c r="A1031" i="28" s="1"/>
  <c r="A1032" i="28" s="1"/>
  <c r="A1033" i="28" s="1"/>
  <c r="A1034" i="28" s="1"/>
  <c r="A1035" i="28" s="1"/>
  <c r="A1036" i="28" s="1"/>
  <c r="A1037" i="28" s="1"/>
  <c r="A1038" i="28" s="1"/>
  <c r="A1039" i="28" s="1"/>
  <c r="A1040" i="28" s="1"/>
  <c r="A1041" i="28" s="1"/>
  <c r="A1042" i="28" s="1"/>
  <c r="A1043" i="28" s="1"/>
  <c r="A1044" i="28" s="1"/>
  <c r="A1045" i="28" s="1"/>
  <c r="A1047" i="28" s="1"/>
  <c r="A1048" i="28" s="1"/>
  <c r="A1049" i="28" s="1"/>
  <c r="A1050" i="28" s="1"/>
  <c r="A1051" i="28" s="1"/>
  <c r="A1052" i="28" s="1"/>
  <c r="A1056" i="28" s="1"/>
  <c r="A1058" i="28" s="1"/>
  <c r="A1059" i="28" s="1"/>
  <c r="A1060" i="28" s="1"/>
  <c r="A1061" i="28" s="1"/>
  <c r="F308" i="28"/>
  <c r="F307" i="28"/>
  <c r="F306" i="28"/>
  <c r="F305" i="28"/>
  <c r="F303" i="28"/>
  <c r="F302" i="28"/>
  <c r="F301" i="28"/>
  <c r="F300" i="28"/>
  <c r="F297" i="28"/>
  <c r="F296" i="28"/>
  <c r="F295" i="28"/>
  <c r="F294" i="28"/>
  <c r="F286" i="28"/>
  <c r="F285" i="28"/>
  <c r="F284" i="28"/>
  <c r="F281" i="28"/>
  <c r="F280" i="28"/>
  <c r="F279" i="28"/>
  <c r="F276" i="28"/>
  <c r="F275" i="28"/>
  <c r="F274" i="28"/>
  <c r="F273" i="28"/>
  <c r="F270" i="28"/>
  <c r="F269" i="28"/>
  <c r="F268" i="28"/>
  <c r="F267" i="28"/>
  <c r="F266" i="28"/>
  <c r="F265" i="28"/>
  <c r="F258" i="28"/>
  <c r="F257" i="28"/>
  <c r="F256" i="28"/>
  <c r="F255" i="28"/>
  <c r="F252" i="28"/>
  <c r="F251" i="28"/>
  <c r="F250" i="28"/>
  <c r="F249" i="28"/>
  <c r="F248" i="28"/>
  <c r="F247" i="28"/>
  <c r="F246" i="28"/>
  <c r="F245" i="28"/>
  <c r="F244" i="28"/>
  <c r="F243" i="28"/>
  <c r="F240" i="28"/>
  <c r="F239" i="28"/>
  <c r="F238" i="28"/>
  <c r="F237" i="28"/>
  <c r="F236" i="28"/>
  <c r="F235" i="28"/>
  <c r="F234" i="28"/>
  <c r="F233" i="28"/>
  <c r="F232" i="28"/>
  <c r="F225" i="28"/>
  <c r="F224" i="28"/>
  <c r="F223" i="28"/>
  <c r="F222" i="28"/>
  <c r="F221" i="28"/>
  <c r="F218" i="28"/>
  <c r="F217" i="28"/>
  <c r="F216" i="28"/>
  <c r="F213" i="28"/>
  <c r="F211" i="28"/>
  <c r="F210" i="28"/>
  <c r="F209" i="28"/>
  <c r="F205" i="28"/>
  <c r="F204" i="28"/>
  <c r="F203" i="28"/>
  <c r="F202" i="28"/>
  <c r="F201" i="28"/>
  <c r="F198" i="28"/>
  <c r="F197" i="28"/>
  <c r="F196" i="28"/>
  <c r="F195" i="28"/>
  <c r="F194" i="28"/>
  <c r="F191" i="28"/>
  <c r="F190" i="28"/>
  <c r="F189" i="28"/>
  <c r="F188" i="28"/>
  <c r="F187" i="28"/>
  <c r="F186" i="28"/>
  <c r="F185" i="28"/>
  <c r="A185" i="28"/>
  <c r="A186" i="28" s="1"/>
  <c r="A187" i="28" s="1"/>
  <c r="A188" i="28" s="1"/>
  <c r="A189" i="28" s="1"/>
  <c r="A190" i="28" s="1"/>
  <c r="A191" i="28" s="1"/>
  <c r="A194" i="28" s="1"/>
  <c r="A195" i="28" s="1"/>
  <c r="A196" i="28" s="1"/>
  <c r="A197" i="28" s="1"/>
  <c r="A198" i="28" s="1"/>
  <c r="A201" i="28" s="1"/>
  <c r="A202" i="28" s="1"/>
  <c r="A203" i="28" s="1"/>
  <c r="A204" i="28" s="1"/>
  <c r="A205" i="28" s="1"/>
  <c r="A209" i="28" s="1"/>
  <c r="A210" i="28" s="1"/>
  <c r="A211" i="28" s="1"/>
  <c r="A213" i="28" s="1"/>
  <c r="A216" i="28" s="1"/>
  <c r="A217" i="28" s="1"/>
  <c r="A218" i="28" s="1"/>
  <c r="A221" i="28" s="1"/>
  <c r="A222" i="28" s="1"/>
  <c r="A223" i="28" s="1"/>
  <c r="A224" i="28" s="1"/>
  <c r="A225" i="28" s="1"/>
  <c r="A232" i="28" s="1"/>
  <c r="A233" i="28" s="1"/>
  <c r="A234" i="28" s="1"/>
  <c r="A235" i="28" s="1"/>
  <c r="A236" i="28" s="1"/>
  <c r="A237" i="28" s="1"/>
  <c r="A238" i="28" s="1"/>
  <c r="A239" i="28" s="1"/>
  <c r="A240" i="28" s="1"/>
  <c r="A243" i="28" s="1"/>
  <c r="A244" i="28" s="1"/>
  <c r="A245" i="28" s="1"/>
  <c r="A246" i="28" s="1"/>
  <c r="A247" i="28" s="1"/>
  <c r="A248" i="28" s="1"/>
  <c r="A249" i="28" s="1"/>
  <c r="A250" i="28" s="1"/>
  <c r="A251" i="28" s="1"/>
  <c r="A252" i="28" s="1"/>
  <c r="A255" i="28" s="1"/>
  <c r="A256" i="28" s="1"/>
  <c r="A257" i="28" s="1"/>
  <c r="A258" i="28" s="1"/>
  <c r="A265" i="28" s="1"/>
  <c r="A266" i="28" s="1"/>
  <c r="A267" i="28" s="1"/>
  <c r="A268" i="28" s="1"/>
  <c r="A269" i="28" s="1"/>
  <c r="A270" i="28" s="1"/>
  <c r="A273" i="28" s="1"/>
  <c r="A274" i="28" s="1"/>
  <c r="A275" i="28" s="1"/>
  <c r="A276" i="28" s="1"/>
  <c r="A279" i="28" s="1"/>
  <c r="A280" i="28" s="1"/>
  <c r="A281" i="28" s="1"/>
  <c r="A284" i="28" s="1"/>
  <c r="A285" i="28" s="1"/>
  <c r="A286" i="28" s="1"/>
  <c r="A289" i="28" s="1"/>
  <c r="A290" i="28" s="1"/>
  <c r="A291" i="28" s="1"/>
  <c r="A294" i="28" s="1"/>
  <c r="A295" i="28" s="1"/>
  <c r="A296" i="28" s="1"/>
  <c r="A297" i="28" s="1"/>
  <c r="A300" i="28" s="1"/>
  <c r="A301" i="28" s="1"/>
  <c r="A302" i="28" s="1"/>
  <c r="A303" i="28" s="1"/>
  <c r="A305" i="28" s="1"/>
  <c r="A306" i="28" s="1"/>
  <c r="A307" i="28" s="1"/>
  <c r="A308" i="28" s="1"/>
  <c r="F175" i="28"/>
  <c r="F174" i="28"/>
  <c r="F173" i="28"/>
  <c r="F171" i="28"/>
  <c r="F170" i="28"/>
  <c r="F169" i="28"/>
  <c r="F167" i="28"/>
  <c r="F166" i="28"/>
  <c r="F165" i="28"/>
  <c r="F162" i="28"/>
  <c r="F161" i="28"/>
  <c r="F160" i="28"/>
  <c r="F158" i="28"/>
  <c r="F157" i="28"/>
  <c r="F156" i="28"/>
  <c r="F155" i="28"/>
  <c r="F154" i="28"/>
  <c r="F152" i="28"/>
  <c r="F151" i="28"/>
  <c r="F150" i="28"/>
  <c r="F149" i="28"/>
  <c r="F147" i="28"/>
  <c r="F146" i="28"/>
  <c r="F145" i="28"/>
  <c r="F144" i="28"/>
  <c r="F143" i="28"/>
  <c r="F142" i="28"/>
  <c r="F135" i="28"/>
  <c r="F134" i="28"/>
  <c r="F133" i="28"/>
  <c r="F132" i="28"/>
  <c r="F131" i="28"/>
  <c r="F129" i="28"/>
  <c r="F128" i="28"/>
  <c r="F127" i="28"/>
  <c r="F126" i="28"/>
  <c r="F125" i="28"/>
  <c r="F123" i="28"/>
  <c r="F122" i="28"/>
  <c r="F121" i="28"/>
  <c r="F120" i="28"/>
  <c r="F118" i="28"/>
  <c r="F117" i="28"/>
  <c r="F116" i="28"/>
  <c r="F115" i="28"/>
  <c r="F114" i="28"/>
  <c r="F113" i="28"/>
  <c r="F110" i="28"/>
  <c r="F109" i="28"/>
  <c r="F108" i="28"/>
  <c r="F107" i="28"/>
  <c r="F106" i="28"/>
  <c r="F104" i="28"/>
  <c r="F103" i="28"/>
  <c r="F102" i="28"/>
  <c r="F101" i="28"/>
  <c r="F100" i="28"/>
  <c r="F98" i="28"/>
  <c r="F97" i="28"/>
  <c r="F96" i="28"/>
  <c r="F95" i="28"/>
  <c r="F93" i="28"/>
  <c r="F92" i="28"/>
  <c r="F91" i="28"/>
  <c r="F90" i="28"/>
  <c r="F89" i="28"/>
  <c r="F88" i="28"/>
  <c r="F87" i="28"/>
  <c r="F80" i="28"/>
  <c r="F79" i="28"/>
  <c r="F78" i="28"/>
  <c r="F77" i="28"/>
  <c r="F76" i="28"/>
  <c r="F74" i="28"/>
  <c r="F73" i="28"/>
  <c r="F72" i="28"/>
  <c r="F70" i="28"/>
  <c r="F69" i="28"/>
  <c r="F67" i="28"/>
  <c r="F66" i="28"/>
  <c r="F65" i="28"/>
  <c r="F64" i="28"/>
  <c r="F63" i="28"/>
  <c r="F62" i="28"/>
  <c r="F59" i="28"/>
  <c r="F57" i="28"/>
  <c r="F54" i="28"/>
  <c r="F53" i="28"/>
  <c r="F52" i="28"/>
  <c r="F51" i="28"/>
  <c r="F50" i="28"/>
  <c r="F49" i="28"/>
  <c r="F48" i="28"/>
  <c r="F47" i="28"/>
  <c r="F46" i="28"/>
  <c r="F45" i="28"/>
  <c r="F44" i="28"/>
  <c r="F43" i="28"/>
  <c r="F42" i="28"/>
  <c r="F41" i="28"/>
  <c r="F38" i="28"/>
  <c r="F37" i="28"/>
  <c r="F36" i="28"/>
  <c r="F35" i="28"/>
  <c r="F34" i="28"/>
  <c r="F33" i="28"/>
  <c r="A33" i="28"/>
  <c r="A34" i="28" s="1"/>
  <c r="A35" i="28" s="1"/>
  <c r="A36" i="28" s="1"/>
  <c r="A37" i="28" s="1"/>
  <c r="A38" i="28" s="1"/>
  <c r="A41" i="28" s="1"/>
  <c r="A42" i="28" s="1"/>
  <c r="A43" i="28" s="1"/>
  <c r="A44" i="28" s="1"/>
  <c r="A45" i="28" s="1"/>
  <c r="A46" i="28" s="1"/>
  <c r="A47" i="28" s="1"/>
  <c r="A48" i="28" s="1"/>
  <c r="A49" i="28" s="1"/>
  <c r="A50" i="28" s="1"/>
  <c r="A51" i="28" s="1"/>
  <c r="A52" i="28" s="1"/>
  <c r="A53" i="28" s="1"/>
  <c r="A54" i="28" s="1"/>
  <c r="A57" i="28" s="1"/>
  <c r="A59" i="28" s="1"/>
  <c r="A62" i="28" s="1"/>
  <c r="A63" i="28" s="1"/>
  <c r="A64" i="28" s="1"/>
  <c r="A65" i="28" s="1"/>
  <c r="A66" i="28" s="1"/>
  <c r="A67" i="28" s="1"/>
  <c r="A69" i="28" s="1"/>
  <c r="A70" i="28" s="1"/>
  <c r="A72" i="28" s="1"/>
  <c r="A73" i="28" s="1"/>
  <c r="A74" i="28" s="1"/>
  <c r="A76" i="28" s="1"/>
  <c r="A77" i="28" s="1"/>
  <c r="A78" i="28" s="1"/>
  <c r="A79" i="28" s="1"/>
  <c r="A80" i="28" s="1"/>
  <c r="A87" i="28" s="1"/>
  <c r="A88" i="28" s="1"/>
  <c r="A89" i="28" s="1"/>
  <c r="A90" i="28" s="1"/>
  <c r="A91" i="28" s="1"/>
  <c r="A92" i="28" s="1"/>
  <c r="A93" i="28" s="1"/>
  <c r="A95" i="28" s="1"/>
  <c r="A96" i="28" s="1"/>
  <c r="A97" i="28" s="1"/>
  <c r="A98" i="28" s="1"/>
  <c r="A100" i="28" s="1"/>
  <c r="A101" i="28" s="1"/>
  <c r="A102" i="28" s="1"/>
  <c r="A103" i="28" s="1"/>
  <c r="A104" i="28" s="1"/>
  <c r="A106" i="28" s="1"/>
  <c r="A107" i="28" s="1"/>
  <c r="A108" i="28" s="1"/>
  <c r="A109" i="28" s="1"/>
  <c r="A110" i="28" s="1"/>
  <c r="A113" i="28" s="1"/>
  <c r="A114" i="28" s="1"/>
  <c r="A115" i="28" s="1"/>
  <c r="A116" i="28" s="1"/>
  <c r="A117" i="28" s="1"/>
  <c r="A118" i="28" s="1"/>
  <c r="A120" i="28" s="1"/>
  <c r="A121" i="28" s="1"/>
  <c r="A122" i="28" s="1"/>
  <c r="A123" i="28" s="1"/>
  <c r="A125" i="28" s="1"/>
  <c r="A126" i="28" s="1"/>
  <c r="A127" i="28" s="1"/>
  <c r="A128" i="28" s="1"/>
  <c r="A129" i="28" s="1"/>
  <c r="A131" i="28" s="1"/>
  <c r="A132" i="28" s="1"/>
  <c r="A133" i="28" s="1"/>
  <c r="A134" i="28" s="1"/>
  <c r="A135" i="28" s="1"/>
  <c r="A142" i="28" s="1"/>
  <c r="A143" i="28" s="1"/>
  <c r="A144" i="28" s="1"/>
  <c r="A145" i="28" s="1"/>
  <c r="A146" i="28" s="1"/>
  <c r="A147" i="28" s="1"/>
  <c r="A149" i="28" s="1"/>
  <c r="A150" i="28" s="1"/>
  <c r="A151" i="28" s="1"/>
  <c r="A152" i="28" s="1"/>
  <c r="A154" i="28" s="1"/>
  <c r="A155" i="28" s="1"/>
  <c r="A156" i="28" s="1"/>
  <c r="A157" i="28" s="1"/>
  <c r="A158" i="28" s="1"/>
  <c r="A160" i="28" s="1"/>
  <c r="A161" i="28" s="1"/>
  <c r="A162" i="28" s="1"/>
  <c r="A165" i="28" s="1"/>
  <c r="A166" i="28" s="1"/>
  <c r="A167" i="28" s="1"/>
  <c r="A169" i="28" s="1"/>
  <c r="A170" i="28" s="1"/>
  <c r="A171" i="28" s="1"/>
  <c r="A173" i="28" s="1"/>
  <c r="A174" i="28" s="1"/>
  <c r="A175" i="28" s="1"/>
  <c r="A7" i="28"/>
  <c r="A8" i="28" s="1"/>
  <c r="A9" i="28" s="1"/>
  <c r="A10" i="28" s="1"/>
  <c r="A11" i="28" s="1"/>
  <c r="A16" i="28" s="1"/>
  <c r="A17" i="28" s="1"/>
  <c r="A18" i="28" s="1"/>
  <c r="A19" i="28" s="1"/>
  <c r="A20" i="28" s="1"/>
  <c r="A21" i="28" s="1"/>
  <c r="A22" i="28" s="1"/>
  <c r="A23" i="28" s="1"/>
  <c r="F1603" i="28" l="1"/>
  <c r="E1658" i="28" s="1"/>
  <c r="F1659" i="28" s="1"/>
  <c r="D17" i="31" s="1"/>
  <c r="F226" i="28"/>
  <c r="E1618" i="28" s="1"/>
  <c r="F81" i="28"/>
  <c r="E1614" i="28" s="1"/>
  <c r="F176" i="28"/>
  <c r="E1616" i="28" s="1"/>
  <c r="R191" i="8"/>
  <c r="R186" i="8"/>
  <c r="R193" i="8"/>
  <c r="F259" i="28"/>
  <c r="E1619" i="28" s="1"/>
  <c r="F1605" i="28"/>
  <c r="F136" i="28"/>
  <c r="E1615" i="28" s="1"/>
  <c r="F309" i="28"/>
  <c r="F1617" i="28" l="1"/>
  <c r="AM180" i="8"/>
  <c r="E1620" i="28"/>
  <c r="F1621" i="28" s="1"/>
  <c r="F311" i="28"/>
  <c r="F178" i="28"/>
  <c r="A566" i="8" l="1"/>
  <c r="S8" i="1" l="1"/>
  <c r="T8" i="1" s="1"/>
  <c r="S7" i="1"/>
  <c r="S6" i="1"/>
  <c r="S5" i="1"/>
  <c r="S2" i="1"/>
  <c r="Q11429" i="8"/>
  <c r="Q10869" i="8"/>
  <c r="Q9240" i="8"/>
  <c r="Q9209" i="8"/>
  <c r="Q8882" i="8"/>
  <c r="Q8866" i="8"/>
  <c r="Q7858" i="8"/>
  <c r="Q7081" i="8"/>
  <c r="Q7061" i="8"/>
  <c r="Q7052" i="8"/>
  <c r="Q2448" i="8"/>
  <c r="Q2438" i="8"/>
  <c r="Q2429" i="8"/>
  <c r="Q2171" i="8"/>
  <c r="Q996" i="11"/>
  <c r="Q989" i="11"/>
  <c r="Q730" i="11"/>
  <c r="Q683" i="11"/>
  <c r="Q536" i="11"/>
  <c r="Q505" i="11"/>
  <c r="Q412" i="11"/>
  <c r="Q98" i="11"/>
  <c r="Q85" i="11"/>
  <c r="Q11430" i="8"/>
  <c r="Q10870" i="8"/>
  <c r="Q9241" i="8"/>
  <c r="Q9210" i="8"/>
  <c r="Q8883" i="8"/>
  <c r="Q8867" i="8"/>
  <c r="Q7859" i="8"/>
  <c r="Q7753" i="8"/>
  <c r="Q7082" i="8"/>
  <c r="Q7062" i="8"/>
  <c r="Q7053" i="8"/>
  <c r="Q2449" i="8"/>
  <c r="Q2439" i="8"/>
  <c r="Q2430" i="8"/>
  <c r="Q2172" i="8"/>
  <c r="Q997" i="11"/>
  <c r="Q990" i="11"/>
  <c r="Q731" i="11"/>
  <c r="Q684" i="11"/>
  <c r="Q537" i="11"/>
  <c r="Q506" i="11"/>
  <c r="Q413" i="11"/>
  <c r="Q99" i="11"/>
  <c r="Q86" i="11"/>
  <c r="D9" i="8"/>
  <c r="Q579" i="8"/>
  <c r="A7859" i="8"/>
  <c r="A7858" i="8"/>
  <c r="A7857" i="8"/>
  <c r="A7856" i="8"/>
  <c r="A7855" i="8"/>
  <c r="A7854" i="8"/>
  <c r="A7853" i="8"/>
  <c r="A7852" i="8"/>
  <c r="A7851" i="8"/>
  <c r="A7850" i="8"/>
  <c r="A7849" i="8"/>
  <c r="A11430" i="8"/>
  <c r="A11429" i="8"/>
  <c r="A11428" i="8"/>
  <c r="A11427" i="8"/>
  <c r="A11426" i="8"/>
  <c r="A11425" i="8"/>
  <c r="A11424" i="8"/>
  <c r="A11423" i="8"/>
  <c r="A11422" i="8"/>
  <c r="A11421" i="8"/>
  <c r="A11420" i="8"/>
  <c r="Q11428" i="8"/>
  <c r="Q11427" i="8"/>
  <c r="Q11426" i="8"/>
  <c r="Q11425" i="8"/>
  <c r="Q11424" i="8"/>
  <c r="Q11423" i="8"/>
  <c r="Q11422" i="8"/>
  <c r="Q11421" i="8"/>
  <c r="Q11420" i="8"/>
  <c r="R11425" i="8" l="1"/>
  <c r="R11422" i="8"/>
  <c r="R11421" i="8"/>
  <c r="R11420" i="8"/>
  <c r="R11430" i="8"/>
  <c r="R11429" i="8"/>
  <c r="R11428" i="8"/>
  <c r="R11427" i="8"/>
  <c r="R11426" i="8"/>
  <c r="R11424" i="8"/>
  <c r="R11423" i="8"/>
  <c r="A134" i="11" l="1"/>
  <c r="A10818" i="8"/>
  <c r="A10760" i="8"/>
  <c r="A10812" i="8"/>
  <c r="A10754" i="8"/>
  <c r="A10556" i="8"/>
  <c r="A10590" i="8"/>
  <c r="B4932" i="8" l="1"/>
  <c r="A56" i="11"/>
  <c r="A46" i="11"/>
  <c r="A39" i="11"/>
  <c r="A19" i="11"/>
  <c r="D4189" i="8" l="1"/>
  <c r="C4189" i="8"/>
  <c r="D4188" i="8"/>
  <c r="S522" i="11" l="1"/>
  <c r="S512" i="11"/>
  <c r="S500" i="11"/>
  <c r="S490" i="11"/>
  <c r="S480" i="11"/>
  <c r="S470" i="11"/>
  <c r="S460" i="11"/>
  <c r="S450" i="11"/>
  <c r="S439" i="11"/>
  <c r="S429" i="11"/>
  <c r="S419" i="11"/>
  <c r="S407" i="11"/>
  <c r="S397" i="11"/>
  <c r="S387" i="11"/>
  <c r="S377" i="11"/>
  <c r="S367" i="11"/>
  <c r="S357" i="11"/>
  <c r="S347" i="11"/>
  <c r="S337" i="11"/>
  <c r="S327" i="11"/>
  <c r="S317" i="11"/>
  <c r="S305" i="11"/>
  <c r="S295" i="11"/>
  <c r="S283" i="11"/>
  <c r="S273" i="11"/>
  <c r="S263" i="11"/>
  <c r="S251" i="11"/>
  <c r="S239" i="11"/>
  <c r="A3225" i="8"/>
  <c r="A3224" i="8"/>
  <c r="Q66" i="11" l="1"/>
  <c r="Q60" i="11"/>
  <c r="A8877" i="8" l="1"/>
  <c r="A8861" i="8"/>
  <c r="Q7857" i="8"/>
  <c r="Q7856" i="8"/>
  <c r="Q7855" i="8"/>
  <c r="Q7854" i="8"/>
  <c r="Q7853" i="8"/>
  <c r="Q7852" i="8"/>
  <c r="Q7851" i="8"/>
  <c r="Q7850" i="8"/>
  <c r="Q7849" i="8"/>
  <c r="S4" i="1"/>
  <c r="S3" i="1"/>
  <c r="Q7493" i="8"/>
  <c r="Q7487" i="8"/>
  <c r="Q7481" i="8"/>
  <c r="Q7475" i="8"/>
  <c r="Q7469" i="8"/>
  <c r="Q595" i="8"/>
  <c r="Q594" i="8"/>
  <c r="Q593" i="8"/>
  <c r="Q592" i="8"/>
  <c r="Q343" i="26" l="1"/>
  <c r="Q337" i="26"/>
  <c r="Q331" i="26"/>
  <c r="Q325" i="26"/>
  <c r="Q319" i="26"/>
  <c r="Q313" i="26"/>
  <c r="Q307" i="26"/>
  <c r="Q301" i="26"/>
  <c r="Q295" i="26"/>
  <c r="Q289" i="26"/>
  <c r="Q283" i="26"/>
  <c r="Q277" i="26"/>
  <c r="Q271" i="26"/>
  <c r="Q265" i="26"/>
  <c r="Q259" i="26"/>
  <c r="Q253" i="26"/>
  <c r="Q247" i="26"/>
  <c r="Q241" i="26"/>
  <c r="Q235" i="26"/>
  <c r="Q229" i="26"/>
  <c r="Q223" i="26"/>
  <c r="Q217" i="26"/>
  <c r="Q211" i="26"/>
  <c r="Q205" i="26"/>
  <c r="Q199" i="26"/>
  <c r="Q193" i="26"/>
  <c r="Q187" i="26"/>
  <c r="Q181" i="26"/>
  <c r="Q157" i="26"/>
  <c r="Q151" i="26"/>
  <c r="Q145" i="26"/>
  <c r="Q139" i="26"/>
  <c r="Q133" i="26"/>
  <c r="Q127" i="26"/>
  <c r="Q121" i="26"/>
  <c r="Q115" i="26"/>
  <c r="Q109" i="26"/>
  <c r="Q103" i="26"/>
  <c r="Q97" i="26"/>
  <c r="Q91" i="26"/>
  <c r="Q85" i="26"/>
  <c r="Q79" i="26"/>
  <c r="Q73" i="26"/>
  <c r="Q67" i="26"/>
  <c r="Q61" i="26"/>
  <c r="Q55" i="26"/>
  <c r="Q49" i="26"/>
  <c r="Q43" i="26"/>
  <c r="Q37" i="26"/>
  <c r="Q31" i="26"/>
  <c r="Q25" i="26"/>
  <c r="Q4967" i="8" l="1"/>
  <c r="Q4961" i="8"/>
  <c r="Q4954" i="8"/>
  <c r="Q4905" i="8"/>
  <c r="Q4511" i="8"/>
  <c r="Q3849" i="8"/>
  <c r="Q3732" i="8"/>
  <c r="Q3225" i="8"/>
  <c r="Q3199" i="8"/>
  <c r="Q3196" i="8"/>
  <c r="Q563" i="8"/>
  <c r="Q475" i="8"/>
  <c r="Q150" i="8"/>
  <c r="Q522" i="11"/>
  <c r="Q512" i="11"/>
  <c r="Q500" i="11"/>
  <c r="Q490" i="11"/>
  <c r="Q480" i="11"/>
  <c r="Q470" i="11"/>
  <c r="Q460" i="11"/>
  <c r="Q450" i="11"/>
  <c r="Q439" i="11"/>
  <c r="Q429" i="11"/>
  <c r="Q419" i="11"/>
  <c r="Q407" i="11"/>
  <c r="Q397" i="11"/>
  <c r="Q130" i="11"/>
  <c r="Q123" i="11"/>
  <c r="Q387" i="11"/>
  <c r="Q377" i="11"/>
  <c r="Q367" i="11"/>
  <c r="Q357" i="11"/>
  <c r="Q347" i="11"/>
  <c r="Q337" i="11"/>
  <c r="Q327" i="11"/>
  <c r="Q317" i="11"/>
  <c r="Q305" i="11"/>
  <c r="Q295" i="11"/>
  <c r="Q283" i="11"/>
  <c r="Q273" i="11"/>
  <c r="Q263" i="11"/>
  <c r="Q152" i="11"/>
  <c r="Q137" i="11"/>
  <c r="Q116" i="11"/>
  <c r="Q106" i="11"/>
  <c r="Q82" i="11"/>
  <c r="Q72" i="11"/>
  <c r="Q49" i="11"/>
  <c r="Q42" i="11"/>
  <c r="Q33" i="11"/>
  <c r="Q22" i="11"/>
  <c r="Q149" i="11"/>
  <c r="Q148" i="11"/>
  <c r="Q147" i="11"/>
  <c r="Q146" i="11"/>
  <c r="Q145" i="11"/>
  <c r="Q144" i="11"/>
  <c r="Q143" i="11"/>
  <c r="Q8881" i="8"/>
  <c r="Q8880" i="8"/>
  <c r="Q8879" i="8"/>
  <c r="Q8878" i="8"/>
  <c r="Q8877" i="8"/>
  <c r="Q8876" i="8"/>
  <c r="Q8875" i="8"/>
  <c r="Q8874" i="8"/>
  <c r="Q8865" i="8"/>
  <c r="Q8864" i="8"/>
  <c r="Q8863" i="8"/>
  <c r="Q8862" i="8"/>
  <c r="Q8861" i="8"/>
  <c r="Q8860" i="8"/>
  <c r="Q8859" i="8"/>
  <c r="Q8858" i="8"/>
  <c r="Q7142" i="8"/>
  <c r="Q7128" i="8"/>
  <c r="Q7080" i="8"/>
  <c r="Q7079" i="8"/>
  <c r="Q7078" i="8"/>
  <c r="Q7077" i="8"/>
  <c r="Q7076" i="8"/>
  <c r="Q7075" i="8"/>
  <c r="Q7074" i="8"/>
  <c r="Q7073" i="8"/>
  <c r="Q2170" i="8"/>
  <c r="Q2169" i="8"/>
  <c r="Q2168" i="8"/>
  <c r="Q2167" i="8"/>
  <c r="Q2166" i="8"/>
  <c r="Q2165" i="8"/>
  <c r="Q2164" i="8"/>
  <c r="Q2163" i="8"/>
  <c r="J24" i="1"/>
  <c r="J25" i="1"/>
  <c r="J26" i="1"/>
  <c r="J27" i="1"/>
  <c r="H28" i="1"/>
  <c r="J28" i="1"/>
  <c r="H29" i="1"/>
  <c r="I29" i="1"/>
  <c r="J29" i="1"/>
  <c r="H30" i="1"/>
  <c r="I30" i="1"/>
  <c r="J30" i="1"/>
  <c r="H31" i="1"/>
  <c r="I31" i="1"/>
  <c r="J31" i="1"/>
  <c r="H32" i="1"/>
  <c r="I32" i="1"/>
  <c r="J32" i="1"/>
  <c r="T7" i="1"/>
  <c r="I28" i="1" s="1"/>
  <c r="R7858" i="8" l="1"/>
  <c r="R7859" i="8"/>
  <c r="R583" i="8" l="1"/>
  <c r="Q175" i="26" l="1"/>
  <c r="Q169" i="26"/>
  <c r="Q163" i="26"/>
  <c r="H27" i="1" l="1"/>
  <c r="T6" i="1"/>
  <c r="I27" i="1" s="1"/>
  <c r="R7755" i="8"/>
  <c r="Q7752" i="8"/>
  <c r="R7752" i="8" s="1"/>
  <c r="R7754" i="8"/>
  <c r="R7753" i="8"/>
  <c r="R7759" i="8"/>
  <c r="R7760" i="8"/>
  <c r="R7756" i="8"/>
  <c r="R7757" i="8" l="1"/>
  <c r="R7761" i="8"/>
  <c r="AG7761" i="8" l="1"/>
  <c r="R7763" i="8"/>
  <c r="AM7748" i="8" s="1"/>
  <c r="R2439" i="8"/>
  <c r="R2438" i="8"/>
  <c r="R2447" i="8"/>
  <c r="R2446" i="8"/>
  <c r="R2445" i="8"/>
  <c r="R2437" i="8"/>
  <c r="R2436" i="8"/>
  <c r="R2428" i="8"/>
  <c r="R2427" i="8"/>
  <c r="R2429" i="8"/>
  <c r="R1552" i="8"/>
  <c r="R1551" i="8"/>
  <c r="R1550" i="8"/>
  <c r="R1544" i="8"/>
  <c r="R1543" i="8"/>
  <c r="R1542" i="8"/>
  <c r="R1215" i="8"/>
  <c r="R1207" i="8"/>
  <c r="R1209" i="8"/>
  <c r="R1208" i="8"/>
  <c r="R1206" i="8"/>
  <c r="T477" i="26"/>
  <c r="R477" i="26"/>
  <c r="T476" i="26"/>
  <c r="R476" i="26"/>
  <c r="T475" i="26"/>
  <c r="R475" i="26"/>
  <c r="T474" i="26"/>
  <c r="R474" i="26"/>
  <c r="T473" i="26"/>
  <c r="R473" i="26"/>
  <c r="T472" i="26"/>
  <c r="R472" i="26"/>
  <c r="T471" i="26"/>
  <c r="R471" i="26"/>
  <c r="T470" i="26"/>
  <c r="R470" i="26"/>
  <c r="T469" i="26"/>
  <c r="R469" i="26"/>
  <c r="T468" i="26"/>
  <c r="R468" i="26"/>
  <c r="T467" i="26"/>
  <c r="R467" i="26"/>
  <c r="T466" i="26"/>
  <c r="R466" i="26"/>
  <c r="T465" i="26"/>
  <c r="R465" i="26"/>
  <c r="T464" i="26"/>
  <c r="R464" i="26"/>
  <c r="T463" i="26"/>
  <c r="R463" i="26"/>
  <c r="T462" i="26"/>
  <c r="R462" i="26"/>
  <c r="T461" i="26"/>
  <c r="R461" i="26"/>
  <c r="T460" i="26"/>
  <c r="R460" i="26"/>
  <c r="T459" i="26"/>
  <c r="R459" i="26"/>
  <c r="T458" i="26"/>
  <c r="R458" i="26"/>
  <c r="T457" i="26"/>
  <c r="R457" i="26"/>
  <c r="T456" i="26"/>
  <c r="R456" i="26"/>
  <c r="T455" i="26"/>
  <c r="R455" i="26"/>
  <c r="T454" i="26"/>
  <c r="R454" i="26"/>
  <c r="T453" i="26"/>
  <c r="R453" i="26"/>
  <c r="T452" i="26"/>
  <c r="R452" i="26"/>
  <c r="T451" i="26"/>
  <c r="R451" i="26"/>
  <c r="T450" i="26"/>
  <c r="R450" i="26"/>
  <c r="T449" i="26"/>
  <c r="R449" i="26"/>
  <c r="T447" i="26"/>
  <c r="R447" i="26"/>
  <c r="T446" i="26"/>
  <c r="R446" i="26"/>
  <c r="T445" i="26"/>
  <c r="R445" i="26"/>
  <c r="T444" i="26"/>
  <c r="R444" i="26"/>
  <c r="T443" i="26"/>
  <c r="R443" i="26"/>
  <c r="T442" i="26"/>
  <c r="R442" i="26"/>
  <c r="T441" i="26"/>
  <c r="R441" i="26"/>
  <c r="T440" i="26"/>
  <c r="R440" i="26"/>
  <c r="T439" i="26"/>
  <c r="R439" i="26"/>
  <c r="T438" i="26"/>
  <c r="R438" i="26"/>
  <c r="T437" i="26"/>
  <c r="R437" i="26"/>
  <c r="T436" i="26"/>
  <c r="R436" i="26"/>
  <c r="T435" i="26"/>
  <c r="R435" i="26"/>
  <c r="T434" i="26"/>
  <c r="R434" i="26"/>
  <c r="T433" i="26"/>
  <c r="R433" i="26"/>
  <c r="T432" i="26"/>
  <c r="R432" i="26"/>
  <c r="T431" i="26"/>
  <c r="R431" i="26"/>
  <c r="T430" i="26"/>
  <c r="R430" i="26"/>
  <c r="T429" i="26"/>
  <c r="R429" i="26"/>
  <c r="T428" i="26"/>
  <c r="R428" i="26"/>
  <c r="T427" i="26"/>
  <c r="R427" i="26"/>
  <c r="T426" i="26"/>
  <c r="R426" i="26"/>
  <c r="T425" i="26"/>
  <c r="R425" i="26"/>
  <c r="T424" i="26"/>
  <c r="R424" i="26"/>
  <c r="T423" i="26"/>
  <c r="R423" i="26"/>
  <c r="T422" i="26"/>
  <c r="R422" i="26"/>
  <c r="T410" i="26"/>
  <c r="R410" i="26"/>
  <c r="F410" i="26"/>
  <c r="T409" i="26"/>
  <c r="R409" i="26"/>
  <c r="F409" i="26"/>
  <c r="T408" i="26"/>
  <c r="R408" i="26"/>
  <c r="F408" i="26"/>
  <c r="T407" i="26"/>
  <c r="R407" i="26"/>
  <c r="F407" i="26"/>
  <c r="T405" i="26"/>
  <c r="R405" i="26"/>
  <c r="F405" i="26"/>
  <c r="T404" i="26"/>
  <c r="R404" i="26"/>
  <c r="F404" i="26"/>
  <c r="T403" i="26"/>
  <c r="R403" i="26"/>
  <c r="F403" i="26"/>
  <c r="T402" i="26"/>
  <c r="R402" i="26"/>
  <c r="F402" i="26"/>
  <c r="T479" i="26" l="1"/>
  <c r="R1214" i="8"/>
  <c r="R1216" i="8"/>
  <c r="R480" i="26"/>
  <c r="R479" i="26"/>
  <c r="R482" i="26"/>
  <c r="T480" i="26"/>
  <c r="T482" i="26"/>
  <c r="D2396" i="8"/>
  <c r="D2389" i="8"/>
  <c r="D2382" i="8"/>
  <c r="D2375" i="8"/>
  <c r="D2368" i="8"/>
  <c r="D2361" i="8"/>
  <c r="D2354" i="8"/>
  <c r="D2347" i="8"/>
  <c r="D2340" i="8"/>
  <c r="D2333" i="8"/>
  <c r="D2326" i="8"/>
  <c r="D2319" i="8"/>
  <c r="D1133" i="8"/>
  <c r="D1140" i="8"/>
  <c r="D1147" i="8"/>
  <c r="D1175" i="8"/>
  <c r="D1168" i="8"/>
  <c r="D1161" i="8"/>
  <c r="D1154" i="8"/>
  <c r="R507" i="11"/>
  <c r="R2430" i="8"/>
  <c r="H25" i="1"/>
  <c r="H24" i="1"/>
  <c r="D1167" i="8"/>
  <c r="D1174" i="8"/>
  <c r="D2332" i="8"/>
  <c r="D2381" i="8"/>
  <c r="D1153" i="8"/>
  <c r="D2374" i="8"/>
  <c r="D2353" i="8"/>
  <c r="D2388" i="8"/>
  <c r="D2346" i="8"/>
  <c r="D2339" i="8"/>
  <c r="D2367" i="8"/>
  <c r="D2395" i="8"/>
  <c r="D1160" i="8"/>
  <c r="D2360" i="8"/>
  <c r="D1146" i="8"/>
  <c r="D1139" i="8"/>
  <c r="D2325" i="8"/>
  <c r="D1132" i="8"/>
  <c r="D2318" i="8"/>
  <c r="T5" i="1" l="1"/>
  <c r="I26" i="1" s="1"/>
  <c r="H26" i="1"/>
  <c r="R2448" i="8"/>
  <c r="R2449" i="8"/>
  <c r="R506" i="8" l="1"/>
  <c r="Q504" i="8"/>
  <c r="R485" i="8"/>
  <c r="R484" i="8"/>
  <c r="Q483" i="8"/>
  <c r="R504" i="8" l="1"/>
  <c r="R505" i="8"/>
  <c r="R503" i="8"/>
  <c r="R483" i="8"/>
  <c r="R482" i="8"/>
  <c r="Q3185" i="8" l="1"/>
  <c r="S90" i="8"/>
  <c r="R90" i="8"/>
  <c r="Q54" i="8"/>
  <c r="R54" i="8" s="1"/>
  <c r="R53" i="8"/>
  <c r="R52" i="8"/>
  <c r="R51" i="8"/>
  <c r="R25" i="8"/>
  <c r="Q535" i="11" l="1"/>
  <c r="Q534" i="11"/>
  <c r="Q533" i="11"/>
  <c r="Q532" i="11"/>
  <c r="Q531" i="11"/>
  <c r="Q530" i="11"/>
  <c r="Q529" i="11"/>
  <c r="Q528" i="11"/>
  <c r="Q151" i="11"/>
  <c r="R588" i="8"/>
  <c r="R587" i="8"/>
  <c r="R577" i="8"/>
  <c r="R586" i="8"/>
  <c r="R585" i="8"/>
  <c r="R595" i="8"/>
  <c r="R594" i="8"/>
  <c r="R592" i="8"/>
  <c r="R581" i="8"/>
  <c r="R580" i="8"/>
  <c r="R579" i="8"/>
  <c r="D576" i="8"/>
  <c r="C576" i="8"/>
  <c r="R573" i="8"/>
  <c r="R572" i="8"/>
  <c r="R571" i="8"/>
  <c r="D570" i="8"/>
  <c r="C570" i="8"/>
  <c r="R565" i="8"/>
  <c r="R564" i="8"/>
  <c r="R596" i="8"/>
  <c r="R589" i="8"/>
  <c r="D569" i="8"/>
  <c r="D575" i="8"/>
  <c r="R593" i="8" l="1"/>
  <c r="R597" i="8" s="1"/>
  <c r="R566" i="8"/>
  <c r="R563" i="8"/>
  <c r="Q938" i="11"/>
  <c r="R153" i="8"/>
  <c r="R151" i="8"/>
  <c r="R154" i="8"/>
  <c r="R152" i="8"/>
  <c r="R150" i="8" l="1"/>
  <c r="R480" i="8" l="1"/>
  <c r="R475" i="8"/>
  <c r="R477" i="8"/>
  <c r="R478" i="8" l="1"/>
  <c r="R476" i="8"/>
  <c r="R479" i="8"/>
  <c r="S144" i="8"/>
  <c r="R144" i="8"/>
  <c r="R7857" i="8"/>
  <c r="R7856" i="8"/>
  <c r="R7855" i="8"/>
  <c r="R7854" i="8"/>
  <c r="R7853" i="8"/>
  <c r="R7852" i="8"/>
  <c r="R7851" i="8"/>
  <c r="R7850" i="8"/>
  <c r="R7849" i="8"/>
  <c r="E17" i="24" l="1"/>
  <c r="F17" i="24" s="1"/>
  <c r="E18" i="24"/>
  <c r="F18" i="24" s="1"/>
  <c r="E16" i="24"/>
  <c r="F16" i="24" s="1"/>
  <c r="G23" i="24"/>
  <c r="H23" i="24" s="1"/>
  <c r="F19" i="24" l="1"/>
  <c r="S450" i="8"/>
  <c r="S440" i="8"/>
  <c r="S430" i="8"/>
  <c r="S420" i="8"/>
  <c r="S410" i="8"/>
  <c r="S400" i="8"/>
  <c r="S380" i="8"/>
  <c r="S310" i="8"/>
  <c r="S290" i="8"/>
  <c r="S280" i="8"/>
  <c r="S270" i="8"/>
  <c r="S250" i="8"/>
  <c r="S370" i="8"/>
  <c r="R10608" i="8" l="1"/>
  <c r="R10596" i="8"/>
  <c r="R9241" i="8"/>
  <c r="R9240" i="8"/>
  <c r="R7147" i="8"/>
  <c r="R7146" i="8"/>
  <c r="R7143" i="8"/>
  <c r="R7142" i="8"/>
  <c r="R7128" i="8"/>
  <c r="R7133" i="8"/>
  <c r="R7129" i="8"/>
  <c r="R8881" i="8"/>
  <c r="R8864" i="8"/>
  <c r="R7062" i="8"/>
  <c r="R7061" i="8"/>
  <c r="D7058" i="8"/>
  <c r="C7058" i="8"/>
  <c r="D7060" i="8"/>
  <c r="D7057" i="8"/>
  <c r="D7059" i="8"/>
  <c r="R10869" i="8" l="1"/>
  <c r="R10870" i="8"/>
  <c r="R10868" i="8"/>
  <c r="R10910" i="8"/>
  <c r="R10916" i="8"/>
  <c r="R10904" i="8"/>
  <c r="R10818" i="8"/>
  <c r="R10812" i="8"/>
  <c r="R10760" i="8"/>
  <c r="R10754" i="8"/>
  <c r="R10690" i="8"/>
  <c r="R10684" i="8"/>
  <c r="R10678" i="8"/>
  <c r="R10602" i="8"/>
  <c r="R10590" i="8"/>
  <c r="R10556" i="8"/>
  <c r="R9209" i="8"/>
  <c r="R9210" i="8"/>
  <c r="R7144" i="8"/>
  <c r="R7148" i="8"/>
  <c r="R7130" i="8"/>
  <c r="R7132" i="8"/>
  <c r="R7134" i="8" s="1"/>
  <c r="C7060" i="8"/>
  <c r="D6658" i="8"/>
  <c r="R1014" i="11"/>
  <c r="R7082" i="8"/>
  <c r="R7081" i="8"/>
  <c r="D6663" i="8"/>
  <c r="C6663" i="8"/>
  <c r="D7056" i="8"/>
  <c r="C7056" i="8"/>
  <c r="D6661" i="8"/>
  <c r="R8867" i="8"/>
  <c r="R8866" i="8"/>
  <c r="R11446" i="8"/>
  <c r="R11436" i="8"/>
  <c r="D11324" i="8"/>
  <c r="C11324" i="8"/>
  <c r="D11317" i="8"/>
  <c r="C11317" i="8"/>
  <c r="D11310" i="8"/>
  <c r="C11310" i="8"/>
  <c r="D11303" i="8"/>
  <c r="C11303" i="8"/>
  <c r="D11226" i="8"/>
  <c r="C11226" i="8"/>
  <c r="D11219" i="8"/>
  <c r="C11219" i="8"/>
  <c r="D11212" i="8"/>
  <c r="C11212" i="8"/>
  <c r="D11205" i="8"/>
  <c r="C11205" i="8"/>
  <c r="D11134" i="8"/>
  <c r="C11134" i="8"/>
  <c r="D11127" i="8"/>
  <c r="C11127" i="8"/>
  <c r="D11120" i="8"/>
  <c r="C11120" i="8"/>
  <c r="D11113" i="8"/>
  <c r="C11113" i="8"/>
  <c r="D11036" i="8"/>
  <c r="C11036" i="8"/>
  <c r="D11029" i="8"/>
  <c r="C11029" i="8"/>
  <c r="D11022" i="8"/>
  <c r="C11022" i="8"/>
  <c r="D11015" i="8"/>
  <c r="C11015" i="8"/>
  <c r="R1050" i="11"/>
  <c r="R10502" i="8"/>
  <c r="R10472" i="8"/>
  <c r="R10408" i="8"/>
  <c r="R10402" i="8"/>
  <c r="D10290" i="8"/>
  <c r="C10290" i="8"/>
  <c r="D10237" i="8"/>
  <c r="C10237" i="8"/>
  <c r="D10230" i="8"/>
  <c r="C10230" i="8"/>
  <c r="D10183" i="8"/>
  <c r="C10183" i="8"/>
  <c r="D10176" i="8"/>
  <c r="C10176" i="8"/>
  <c r="D10129" i="8"/>
  <c r="C10129" i="8"/>
  <c r="R1044" i="11"/>
  <c r="D10118" i="8"/>
  <c r="C10118" i="8"/>
  <c r="D10083" i="8"/>
  <c r="C10083" i="8"/>
  <c r="R1038" i="11"/>
  <c r="R11398" i="8"/>
  <c r="R11397" i="8"/>
  <c r="R11396" i="8"/>
  <c r="R10984" i="8"/>
  <c r="R10983" i="8"/>
  <c r="R10982" i="8"/>
  <c r="R10522" i="8"/>
  <c r="R10521" i="8"/>
  <c r="R10520" i="8"/>
  <c r="R10360" i="8"/>
  <c r="R10362" i="8"/>
  <c r="R10361" i="8"/>
  <c r="R10052" i="8"/>
  <c r="R10051" i="8"/>
  <c r="R10050" i="8"/>
  <c r="R9790" i="8"/>
  <c r="R9792" i="8"/>
  <c r="R9791" i="8"/>
  <c r="R8948" i="8"/>
  <c r="R8942" i="8"/>
  <c r="R8930" i="8"/>
  <c r="R8924" i="8"/>
  <c r="R8918" i="8"/>
  <c r="R8912" i="8"/>
  <c r="R8906" i="8"/>
  <c r="R8900" i="8"/>
  <c r="R8894" i="8"/>
  <c r="R8692" i="8"/>
  <c r="R8698" i="8"/>
  <c r="T3" i="1"/>
  <c r="I24" i="1" s="1"/>
  <c r="T4" i="1"/>
  <c r="I25" i="1" s="1"/>
  <c r="D8217" i="8"/>
  <c r="C8217" i="8"/>
  <c r="D8210" i="8"/>
  <c r="D8203" i="8"/>
  <c r="R7877" i="8"/>
  <c r="R7876" i="8"/>
  <c r="R7827" i="8"/>
  <c r="R7826" i="8"/>
  <c r="R7825" i="8"/>
  <c r="R7720" i="8"/>
  <c r="R7722" i="8"/>
  <c r="R7721" i="8"/>
  <c r="R7723" i="8"/>
  <c r="R7697" i="8"/>
  <c r="R7696" i="8"/>
  <c r="R7691" i="8"/>
  <c r="D6734" i="8"/>
  <c r="C6734" i="8"/>
  <c r="D11309" i="8"/>
  <c r="D10082" i="8"/>
  <c r="D10175" i="8"/>
  <c r="D11204" i="8"/>
  <c r="D8209" i="8"/>
  <c r="D10182" i="8"/>
  <c r="D11014" i="8"/>
  <c r="D8216" i="8"/>
  <c r="D11323" i="8"/>
  <c r="D10236" i="8"/>
  <c r="D11112" i="8"/>
  <c r="D10289" i="8"/>
  <c r="D11225" i="8"/>
  <c r="D6660" i="8"/>
  <c r="D6733" i="8"/>
  <c r="D6662" i="8"/>
  <c r="D11211" i="8"/>
  <c r="D11119" i="8"/>
  <c r="D8202" i="8"/>
  <c r="D11218" i="8"/>
  <c r="D7055" i="8"/>
  <c r="D11021" i="8"/>
  <c r="D11028" i="8"/>
  <c r="D10117" i="8"/>
  <c r="D11316" i="8"/>
  <c r="D6657" i="8"/>
  <c r="D10229" i="8"/>
  <c r="D11302" i="8"/>
  <c r="D11035" i="8"/>
  <c r="D11126" i="8"/>
  <c r="D11133" i="8"/>
  <c r="D10128" i="8"/>
  <c r="R7150" i="8" l="1"/>
  <c r="AM7138" i="8" s="1"/>
  <c r="R7136" i="8"/>
  <c r="AM7124" i="8" s="1"/>
  <c r="R7079" i="8"/>
  <c r="R7052" i="8"/>
  <c r="R7053" i="8"/>
  <c r="R7075" i="8"/>
  <c r="C6661" i="8"/>
  <c r="R7077" i="8"/>
  <c r="R7073" i="8"/>
  <c r="R7074" i="8"/>
  <c r="R7076" i="8"/>
  <c r="R8860" i="8"/>
  <c r="R7078" i="8"/>
  <c r="R7080" i="8"/>
  <c r="R8862" i="8"/>
  <c r="R8858" i="8"/>
  <c r="R8865" i="8"/>
  <c r="R8859" i="8"/>
  <c r="R8861" i="8"/>
  <c r="R8863" i="8"/>
  <c r="R8877" i="8"/>
  <c r="R8880" i="8"/>
  <c r="R8875" i="8"/>
  <c r="R8874" i="8"/>
  <c r="R8876" i="8"/>
  <c r="R8878" i="8"/>
  <c r="R8879" i="8"/>
  <c r="R8882" i="8"/>
  <c r="R8883" i="8"/>
  <c r="R10392" i="8"/>
  <c r="R10348" i="8"/>
  <c r="R10342" i="8"/>
  <c r="R10844" i="8"/>
  <c r="C8210" i="8"/>
  <c r="C8203" i="8"/>
  <c r="R7875" i="8"/>
  <c r="R7724" i="8"/>
  <c r="R7698" i="8"/>
  <c r="AM7694" i="8" s="1"/>
  <c r="R7690" i="8"/>
  <c r="R7692" i="8" s="1"/>
  <c r="AM7688" i="8" l="1"/>
  <c r="R385" i="26" l="1"/>
  <c r="E385" i="26"/>
  <c r="R379" i="26"/>
  <c r="E379" i="26"/>
  <c r="R373" i="26"/>
  <c r="E373" i="26"/>
  <c r="R367" i="26"/>
  <c r="E367" i="26"/>
  <c r="R361" i="26"/>
  <c r="E361" i="26"/>
  <c r="R355" i="26"/>
  <c r="E355" i="26"/>
  <c r="R349" i="26"/>
  <c r="E349" i="26"/>
  <c r="R343" i="26"/>
  <c r="E343" i="26"/>
  <c r="R337" i="26"/>
  <c r="E337" i="26"/>
  <c r="R331" i="26"/>
  <c r="E331" i="26"/>
  <c r="R325" i="26"/>
  <c r="E325" i="26"/>
  <c r="R319" i="26"/>
  <c r="E319" i="26"/>
  <c r="R313" i="26"/>
  <c r="E313" i="26"/>
  <c r="R307" i="26"/>
  <c r="E307" i="26"/>
  <c r="R301" i="26"/>
  <c r="E301" i="26"/>
  <c r="R295" i="26"/>
  <c r="E295" i="26"/>
  <c r="R289" i="26"/>
  <c r="E289" i="26"/>
  <c r="R283" i="26"/>
  <c r="E283" i="26"/>
  <c r="R277" i="26"/>
  <c r="E277" i="26"/>
  <c r="R271" i="26"/>
  <c r="E271" i="26"/>
  <c r="R265" i="26"/>
  <c r="E265" i="26"/>
  <c r="R259" i="26"/>
  <c r="E259" i="26"/>
  <c r="R253" i="26"/>
  <c r="E253" i="26"/>
  <c r="R247" i="26"/>
  <c r="E247" i="26"/>
  <c r="R241" i="26"/>
  <c r="E241" i="26"/>
  <c r="R235" i="26"/>
  <c r="E235" i="26"/>
  <c r="R229" i="26"/>
  <c r="E229" i="26"/>
  <c r="R223" i="26"/>
  <c r="E223" i="26"/>
  <c r="R217" i="26"/>
  <c r="E217" i="26"/>
  <c r="R211" i="26"/>
  <c r="E211" i="26"/>
  <c r="R205" i="26"/>
  <c r="E205" i="26"/>
  <c r="R199" i="26"/>
  <c r="E199" i="26"/>
  <c r="R193" i="26"/>
  <c r="E193" i="26"/>
  <c r="R187" i="26"/>
  <c r="E187" i="26"/>
  <c r="R181" i="26"/>
  <c r="E181" i="26"/>
  <c r="R175" i="26"/>
  <c r="E175" i="26"/>
  <c r="R169" i="26"/>
  <c r="E169" i="26"/>
  <c r="R163" i="26"/>
  <c r="E163" i="26"/>
  <c r="R157" i="26"/>
  <c r="E157" i="26"/>
  <c r="R151" i="26"/>
  <c r="E151" i="26"/>
  <c r="R145" i="26"/>
  <c r="E145" i="26"/>
  <c r="R139" i="26"/>
  <c r="E139" i="26"/>
  <c r="R133" i="26"/>
  <c r="E133" i="26"/>
  <c r="R127" i="26"/>
  <c r="E127" i="26"/>
  <c r="R121" i="26"/>
  <c r="E121" i="26"/>
  <c r="R115" i="26"/>
  <c r="E115" i="26"/>
  <c r="R109" i="26"/>
  <c r="E109" i="26"/>
  <c r="R103" i="26"/>
  <c r="E103" i="26"/>
  <c r="R97" i="26"/>
  <c r="E97" i="26"/>
  <c r="R91" i="26"/>
  <c r="E91" i="26"/>
  <c r="R85" i="26"/>
  <c r="E85" i="26"/>
  <c r="R79" i="26"/>
  <c r="E79" i="26"/>
  <c r="R73" i="26"/>
  <c r="E73" i="26"/>
  <c r="R67" i="26"/>
  <c r="E67" i="26"/>
  <c r="R61" i="26"/>
  <c r="E61" i="26"/>
  <c r="R55" i="26"/>
  <c r="E55" i="26"/>
  <c r="R49" i="26"/>
  <c r="E49" i="26"/>
  <c r="R43" i="26"/>
  <c r="E43" i="26"/>
  <c r="R37" i="26"/>
  <c r="E37" i="26"/>
  <c r="R31" i="26"/>
  <c r="E31" i="26"/>
  <c r="E25" i="26"/>
  <c r="R25" i="26"/>
  <c r="R448" i="26" l="1"/>
  <c r="R386" i="26"/>
  <c r="R380" i="26"/>
  <c r="R374" i="26"/>
  <c r="R368" i="26"/>
  <c r="R362" i="26"/>
  <c r="R356" i="26"/>
  <c r="R350" i="26"/>
  <c r="R344" i="26"/>
  <c r="R338" i="26"/>
  <c r="R332" i="26"/>
  <c r="R326" i="26"/>
  <c r="R320" i="26"/>
  <c r="R314" i="26"/>
  <c r="R308" i="26"/>
  <c r="R302" i="26"/>
  <c r="R296" i="26"/>
  <c r="R290" i="26"/>
  <c r="R284" i="26"/>
  <c r="R278" i="26"/>
  <c r="R272" i="26"/>
  <c r="R266" i="26"/>
  <c r="R260" i="26"/>
  <c r="R254" i="26"/>
  <c r="R248" i="26"/>
  <c r="R242" i="26"/>
  <c r="R236" i="26"/>
  <c r="R230" i="26"/>
  <c r="R224" i="26"/>
  <c r="R218" i="26"/>
  <c r="R212" i="26"/>
  <c r="R206" i="26"/>
  <c r="R200" i="26"/>
  <c r="R194" i="26"/>
  <c r="R188" i="26"/>
  <c r="R182" i="26"/>
  <c r="R176" i="26"/>
  <c r="R170" i="26"/>
  <c r="R164" i="26"/>
  <c r="R158" i="26"/>
  <c r="R152" i="26"/>
  <c r="R146" i="26"/>
  <c r="R140" i="26"/>
  <c r="R134" i="26"/>
  <c r="R128" i="26"/>
  <c r="R122" i="26"/>
  <c r="R116" i="26"/>
  <c r="R110" i="26"/>
  <c r="R104" i="26"/>
  <c r="R98" i="26"/>
  <c r="R92" i="26"/>
  <c r="R86" i="26"/>
  <c r="R80" i="26"/>
  <c r="R74" i="26"/>
  <c r="R68" i="26"/>
  <c r="R62" i="26"/>
  <c r="R56" i="26"/>
  <c r="R50" i="26"/>
  <c r="R44" i="26"/>
  <c r="R38" i="26"/>
  <c r="R32" i="26"/>
  <c r="R26" i="26"/>
  <c r="R413" i="26" s="1"/>
  <c r="R481" i="26" l="1"/>
  <c r="R483" i="26" s="1"/>
  <c r="R421" i="26"/>
  <c r="R381" i="26"/>
  <c r="R357" i="26"/>
  <c r="R279" i="26"/>
  <c r="R177" i="26"/>
  <c r="R111" i="26"/>
  <c r="R345" i="26"/>
  <c r="R237" i="26"/>
  <c r="R129" i="26"/>
  <c r="R351" i="26"/>
  <c r="R375" i="26"/>
  <c r="R249" i="26"/>
  <c r="R201" i="26"/>
  <c r="R291" i="26"/>
  <c r="R297" i="26"/>
  <c r="R321" i="26"/>
  <c r="R339" i="26"/>
  <c r="R327" i="26"/>
  <c r="R165" i="26"/>
  <c r="R315" i="26"/>
  <c r="R363" i="26"/>
  <c r="R369" i="26"/>
  <c r="R225" i="26"/>
  <c r="R255" i="26"/>
  <c r="R213" i="26"/>
  <c r="R261" i="26"/>
  <c r="R285" i="26"/>
  <c r="R309" i="26"/>
  <c r="R333" i="26"/>
  <c r="R387" i="26"/>
  <c r="R189" i="26"/>
  <c r="R273" i="26"/>
  <c r="R303" i="26"/>
  <c r="R231" i="26"/>
  <c r="R135" i="26"/>
  <c r="R267" i="26"/>
  <c r="R63" i="26"/>
  <c r="R99" i="26"/>
  <c r="R195" i="26"/>
  <c r="R219" i="26"/>
  <c r="R183" i="26"/>
  <c r="R93" i="26"/>
  <c r="R27" i="26"/>
  <c r="R141" i="26"/>
  <c r="R147" i="26"/>
  <c r="R159" i="26"/>
  <c r="R243" i="26"/>
  <c r="R69" i="26"/>
  <c r="R207" i="26"/>
  <c r="R51" i="26"/>
  <c r="R123" i="26"/>
  <c r="R171" i="26"/>
  <c r="R33" i="26"/>
  <c r="R39" i="26"/>
  <c r="R81" i="26"/>
  <c r="R117" i="26"/>
  <c r="R57" i="26"/>
  <c r="R75" i="26"/>
  <c r="R105" i="26"/>
  <c r="R153" i="26"/>
  <c r="R45" i="26"/>
  <c r="R87" i="26"/>
  <c r="D2488" i="26"/>
  <c r="D2487" i="26"/>
  <c r="D2486" i="26"/>
  <c r="D2485" i="26"/>
  <c r="D2484" i="26"/>
  <c r="D2483" i="26"/>
  <c r="D2482" i="26"/>
  <c r="D2481" i="26"/>
  <c r="D2480" i="26"/>
  <c r="D2479" i="26"/>
  <c r="D2478" i="26"/>
  <c r="D2477" i="26"/>
  <c r="D2476" i="26"/>
  <c r="D2475" i="26"/>
  <c r="D2474" i="26"/>
  <c r="D2473" i="26"/>
  <c r="D2472" i="26"/>
  <c r="D2471" i="26"/>
  <c r="D2470" i="26"/>
  <c r="D2469" i="26"/>
  <c r="D2468" i="26"/>
  <c r="D2467" i="26"/>
  <c r="D2466" i="26"/>
  <c r="D2465" i="26"/>
  <c r="D2464" i="26"/>
  <c r="D2463" i="26"/>
  <c r="D2462" i="26"/>
  <c r="D2461" i="26"/>
  <c r="D2460" i="26"/>
  <c r="D2459" i="26"/>
  <c r="D2458" i="26"/>
  <c r="D2457" i="26"/>
  <c r="D2456" i="26"/>
  <c r="D2455" i="26"/>
  <c r="D2454" i="26"/>
  <c r="D2453" i="26"/>
  <c r="D2452" i="26"/>
  <c r="D2451" i="26"/>
  <c r="D2450" i="26"/>
  <c r="D2449" i="26"/>
  <c r="D2448" i="26"/>
  <c r="D2447" i="26"/>
  <c r="D2446" i="26"/>
  <c r="D2445" i="26"/>
  <c r="D2444" i="26"/>
  <c r="D2443" i="26"/>
  <c r="D2442" i="26"/>
  <c r="D2441" i="26"/>
  <c r="D2440" i="26"/>
  <c r="D2439" i="26"/>
  <c r="D2438" i="26"/>
  <c r="D2437" i="26"/>
  <c r="D2436" i="26"/>
  <c r="D2435" i="26"/>
  <c r="D2434" i="26"/>
  <c r="D2433" i="26"/>
  <c r="D2432" i="26"/>
  <c r="D2431" i="26"/>
  <c r="D2430" i="26"/>
  <c r="D2429" i="26"/>
  <c r="D2428" i="26"/>
  <c r="D2427" i="26"/>
  <c r="D2426" i="26"/>
  <c r="D2425" i="26"/>
  <c r="D2424" i="26"/>
  <c r="D2423" i="26"/>
  <c r="D2422" i="26"/>
  <c r="D2421" i="26"/>
  <c r="D2420" i="26"/>
  <c r="D2419" i="26"/>
  <c r="D2418" i="26"/>
  <c r="D2417" i="26"/>
  <c r="D2416" i="26"/>
  <c r="D2415" i="26"/>
  <c r="D2414" i="26"/>
  <c r="D2413" i="26"/>
  <c r="D2412" i="26"/>
  <c r="D2411" i="26"/>
  <c r="D2410" i="26"/>
  <c r="D2409" i="26"/>
  <c r="D2408" i="26"/>
  <c r="D2407" i="26"/>
  <c r="D2406" i="26"/>
  <c r="D2405" i="26"/>
  <c r="D2404" i="26"/>
  <c r="D2403" i="26"/>
  <c r="D2402" i="26"/>
  <c r="D2401" i="26"/>
  <c r="D2400" i="26"/>
  <c r="D2399" i="26"/>
  <c r="D2398" i="26"/>
  <c r="D2397" i="26"/>
  <c r="T2388" i="26"/>
  <c r="R2388" i="26"/>
  <c r="T2386" i="26"/>
  <c r="R2386" i="26"/>
  <c r="T2383" i="26"/>
  <c r="R2383" i="26"/>
  <c r="T2381" i="26"/>
  <c r="R2381" i="26"/>
  <c r="T2378" i="26"/>
  <c r="R2378" i="26"/>
  <c r="T2377" i="26"/>
  <c r="R2377" i="26"/>
  <c r="T2376" i="26"/>
  <c r="R2376" i="26"/>
  <c r="T2374" i="26"/>
  <c r="R2374" i="26"/>
  <c r="T2373" i="26"/>
  <c r="R2373" i="26"/>
  <c r="T2370" i="26"/>
  <c r="R2370" i="26"/>
  <c r="T2369" i="26"/>
  <c r="R2369" i="26"/>
  <c r="T2368" i="26"/>
  <c r="R2368" i="26"/>
  <c r="T2366" i="26"/>
  <c r="R2366" i="26"/>
  <c r="T2365" i="26"/>
  <c r="R2365" i="26"/>
  <c r="T2364" i="26"/>
  <c r="R2364" i="26"/>
  <c r="T2363" i="26"/>
  <c r="R2363" i="26"/>
  <c r="T2362" i="26"/>
  <c r="R2362" i="26"/>
  <c r="T2361" i="26"/>
  <c r="R2361" i="26"/>
  <c r="T2360" i="26"/>
  <c r="R2360" i="26"/>
  <c r="R2359" i="26"/>
  <c r="T2358" i="26"/>
  <c r="R2358" i="26"/>
  <c r="T2357" i="26"/>
  <c r="R2357" i="26"/>
  <c r="T2353" i="26"/>
  <c r="R2353" i="26"/>
  <c r="T2352" i="26"/>
  <c r="R2352" i="26"/>
  <c r="T2351" i="26"/>
  <c r="R2351" i="26"/>
  <c r="T2350" i="26"/>
  <c r="R2350" i="26"/>
  <c r="T2349" i="26"/>
  <c r="R2349" i="26"/>
  <c r="T2348" i="26"/>
  <c r="R2348" i="26"/>
  <c r="T2347" i="26"/>
  <c r="R2347" i="26"/>
  <c r="T2343" i="26"/>
  <c r="R2343" i="26"/>
  <c r="T2340" i="26"/>
  <c r="R2340" i="26"/>
  <c r="T2339" i="26"/>
  <c r="R2339" i="26"/>
  <c r="T2337" i="26"/>
  <c r="R2337" i="26"/>
  <c r="T2336" i="26"/>
  <c r="R2336" i="26"/>
  <c r="T2334" i="26"/>
  <c r="R2334" i="26"/>
  <c r="T2321" i="26"/>
  <c r="R2321" i="26"/>
  <c r="F2321" i="26"/>
  <c r="T2320" i="26"/>
  <c r="R2320" i="26"/>
  <c r="F2320" i="26"/>
  <c r="T2319" i="26"/>
  <c r="R2319" i="26"/>
  <c r="F2319" i="26"/>
  <c r="T2318" i="26"/>
  <c r="R2318" i="26"/>
  <c r="F2318" i="26"/>
  <c r="T2316" i="26"/>
  <c r="R2316" i="26"/>
  <c r="F2316" i="26"/>
  <c r="T2315" i="26"/>
  <c r="R2315" i="26"/>
  <c r="F2315" i="26"/>
  <c r="T2314" i="26"/>
  <c r="R2314" i="26"/>
  <c r="F2314" i="26"/>
  <c r="R2367" i="26"/>
  <c r="R2375" i="26"/>
  <c r="T12" i="26"/>
  <c r="S12" i="26"/>
  <c r="Q12" i="26"/>
  <c r="F12" i="26"/>
  <c r="T11" i="26"/>
  <c r="AJ410" i="26" s="1"/>
  <c r="S11" i="26"/>
  <c r="AH410" i="26" s="1"/>
  <c r="Q11" i="26"/>
  <c r="F11" i="26"/>
  <c r="T10" i="26"/>
  <c r="AJ409" i="26" s="1"/>
  <c r="S10" i="26"/>
  <c r="AH409" i="26" s="1"/>
  <c r="Q10" i="26"/>
  <c r="F10" i="26"/>
  <c r="T9" i="26"/>
  <c r="AJ408" i="26" s="1"/>
  <c r="S9" i="26"/>
  <c r="AH408" i="26" s="1"/>
  <c r="Q9" i="26"/>
  <c r="O9" i="26"/>
  <c r="F9" i="26"/>
  <c r="D9" i="26"/>
  <c r="T8" i="26"/>
  <c r="AJ407" i="26" s="1"/>
  <c r="S8" i="26"/>
  <c r="AH407" i="26" s="1"/>
  <c r="Q8" i="26"/>
  <c r="O8" i="26"/>
  <c r="F8" i="26"/>
  <c r="D8" i="26"/>
  <c r="T7" i="26"/>
  <c r="S7" i="26"/>
  <c r="Q7" i="26"/>
  <c r="O7" i="26"/>
  <c r="F7" i="26"/>
  <c r="T6" i="26"/>
  <c r="AJ405" i="26" s="1"/>
  <c r="S6" i="26"/>
  <c r="Q6" i="26"/>
  <c r="F6" i="26"/>
  <c r="D6" i="26"/>
  <c r="T5" i="26"/>
  <c r="S5" i="26"/>
  <c r="AH404" i="26" s="1"/>
  <c r="Q5" i="26"/>
  <c r="F5" i="26"/>
  <c r="D5" i="26"/>
  <c r="T4" i="26"/>
  <c r="AJ403" i="26" s="1"/>
  <c r="S4" i="26"/>
  <c r="AH403" i="26" s="1"/>
  <c r="Q4" i="26"/>
  <c r="F4" i="26"/>
  <c r="D4" i="26"/>
  <c r="T3" i="26"/>
  <c r="AJ402" i="26" s="1"/>
  <c r="S3" i="26"/>
  <c r="AH402" i="26" s="1"/>
  <c r="Q3" i="26"/>
  <c r="F3" i="26"/>
  <c r="D3" i="26"/>
  <c r="S2" i="26"/>
  <c r="Q2" i="26"/>
  <c r="F2" i="26"/>
  <c r="D2" i="26"/>
  <c r="U1" i="26"/>
  <c r="T1" i="26"/>
  <c r="F1" i="26"/>
  <c r="D1" i="26"/>
  <c r="C1" i="26"/>
  <c r="R2317" i="26" l="1"/>
  <c r="AM77" i="26"/>
  <c r="AM239" i="26"/>
  <c r="AM221" i="26"/>
  <c r="AM293" i="26"/>
  <c r="AM341" i="26"/>
  <c r="AM35" i="26"/>
  <c r="AM155" i="26"/>
  <c r="AM95" i="26"/>
  <c r="AM383" i="26"/>
  <c r="AM365" i="26"/>
  <c r="AM287" i="26"/>
  <c r="AM107" i="26"/>
  <c r="AM29" i="26"/>
  <c r="AM143" i="26"/>
  <c r="AM59" i="26"/>
  <c r="AM329" i="26"/>
  <c r="AM359" i="26"/>
  <c r="AM197" i="26"/>
  <c r="AM173" i="26"/>
  <c r="AM167" i="26"/>
  <c r="AM137" i="26"/>
  <c r="AM263" i="26"/>
  <c r="AM305" i="26"/>
  <c r="AM311" i="26"/>
  <c r="AM245" i="26"/>
  <c r="AM275" i="26"/>
  <c r="AM119" i="26"/>
  <c r="R406" i="26"/>
  <c r="AH406" i="26" s="1"/>
  <c r="AM131" i="26"/>
  <c r="AM281" i="26"/>
  <c r="AM161" i="26"/>
  <c r="AM371" i="26"/>
  <c r="AM353" i="26"/>
  <c r="AM47" i="26"/>
  <c r="AM89" i="26"/>
  <c r="AM227" i="26"/>
  <c r="AM257" i="26"/>
  <c r="AM323" i="26"/>
  <c r="AM347" i="26"/>
  <c r="AM179" i="26"/>
  <c r="AM299" i="26"/>
  <c r="AM209" i="26"/>
  <c r="AM335" i="26"/>
  <c r="AM125" i="26"/>
  <c r="AM113" i="26"/>
  <c r="AM65" i="26"/>
  <c r="AM269" i="26"/>
  <c r="AM251" i="26"/>
  <c r="AM317" i="26"/>
  <c r="AM233" i="26"/>
  <c r="E2312" i="26"/>
  <c r="E401" i="26"/>
  <c r="E410" i="26"/>
  <c r="E409" i="26"/>
  <c r="E2317" i="26"/>
  <c r="E406" i="26"/>
  <c r="E2319" i="26"/>
  <c r="E408" i="26"/>
  <c r="E2314" i="26"/>
  <c r="E403" i="26"/>
  <c r="E2315" i="26"/>
  <c r="E404" i="26"/>
  <c r="E2313" i="26"/>
  <c r="E402" i="26"/>
  <c r="E2318" i="26"/>
  <c r="E407" i="26"/>
  <c r="AJ404" i="26"/>
  <c r="AH405" i="26"/>
  <c r="E2316" i="26"/>
  <c r="E405" i="26"/>
  <c r="AM377" i="26"/>
  <c r="R401" i="26"/>
  <c r="R415" i="26"/>
  <c r="AM23" i="26"/>
  <c r="R390" i="26"/>
  <c r="T25" i="26"/>
  <c r="T385" i="26"/>
  <c r="T337" i="26"/>
  <c r="T289" i="26"/>
  <c r="T241" i="26"/>
  <c r="T193" i="26"/>
  <c r="T145" i="26"/>
  <c r="T97" i="26"/>
  <c r="T49" i="26"/>
  <c r="T259" i="26"/>
  <c r="T367" i="26"/>
  <c r="T319" i="26"/>
  <c r="T271" i="26"/>
  <c r="T223" i="26"/>
  <c r="T175" i="26"/>
  <c r="T127" i="26"/>
  <c r="T79" i="26"/>
  <c r="T31" i="26"/>
  <c r="T229" i="26"/>
  <c r="T181" i="26"/>
  <c r="T163" i="26"/>
  <c r="T67" i="26"/>
  <c r="T349" i="26"/>
  <c r="T301" i="26"/>
  <c r="T253" i="26"/>
  <c r="T205" i="26"/>
  <c r="T157" i="26"/>
  <c r="T109" i="26"/>
  <c r="T61" i="26"/>
  <c r="T37" i="26"/>
  <c r="T307" i="26"/>
  <c r="T115" i="26"/>
  <c r="T379" i="26"/>
  <c r="T331" i="26"/>
  <c r="T283" i="26"/>
  <c r="T235" i="26"/>
  <c r="T187" i="26"/>
  <c r="T139" i="26"/>
  <c r="T91" i="26"/>
  <c r="T43" i="26"/>
  <c r="T277" i="26"/>
  <c r="T133" i="26"/>
  <c r="T85" i="26"/>
  <c r="T355" i="26"/>
  <c r="T361" i="26"/>
  <c r="T313" i="26"/>
  <c r="T265" i="26"/>
  <c r="T217" i="26"/>
  <c r="T169" i="26"/>
  <c r="T121" i="26"/>
  <c r="T73" i="26"/>
  <c r="T325" i="26"/>
  <c r="T343" i="26"/>
  <c r="T295" i="26"/>
  <c r="T247" i="26"/>
  <c r="T199" i="26"/>
  <c r="T151" i="26"/>
  <c r="T103" i="26"/>
  <c r="T55" i="26"/>
  <c r="T373" i="26"/>
  <c r="T211" i="26"/>
  <c r="AJ2321" i="26"/>
  <c r="AJ2315" i="26"/>
  <c r="AM191" i="26"/>
  <c r="T374" i="26"/>
  <c r="B375" i="26" s="1"/>
  <c r="T350" i="26"/>
  <c r="B351" i="26" s="1"/>
  <c r="T278" i="26"/>
  <c r="B279" i="26" s="1"/>
  <c r="T242" i="26"/>
  <c r="B243" i="26" s="1"/>
  <c r="T224" i="26"/>
  <c r="B225" i="26" s="1"/>
  <c r="T176" i="26"/>
  <c r="B177" i="26" s="1"/>
  <c r="T158" i="26"/>
  <c r="B159" i="26" s="1"/>
  <c r="T140" i="26"/>
  <c r="B141" i="26" s="1"/>
  <c r="T122" i="26"/>
  <c r="B123" i="26" s="1"/>
  <c r="T386" i="26"/>
  <c r="B387" i="26" s="1"/>
  <c r="T272" i="26"/>
  <c r="B273" i="26" s="1"/>
  <c r="T32" i="26"/>
  <c r="B33" i="26" s="1"/>
  <c r="T326" i="26"/>
  <c r="B327" i="26" s="1"/>
  <c r="T302" i="26"/>
  <c r="B303" i="26" s="1"/>
  <c r="T260" i="26"/>
  <c r="B261" i="26" s="1"/>
  <c r="T212" i="26"/>
  <c r="B213" i="26" s="1"/>
  <c r="T182" i="26"/>
  <c r="B183" i="26" s="1"/>
  <c r="T56" i="26"/>
  <c r="B57" i="26" s="1"/>
  <c r="T338" i="26"/>
  <c r="B339" i="26" s="1"/>
  <c r="T80" i="26"/>
  <c r="B81" i="26" s="1"/>
  <c r="T380" i="26"/>
  <c r="B381" i="26" s="1"/>
  <c r="T356" i="26"/>
  <c r="B357" i="26" s="1"/>
  <c r="T146" i="26"/>
  <c r="B147" i="26" s="1"/>
  <c r="T110" i="26"/>
  <c r="B111" i="26" s="1"/>
  <c r="T92" i="26"/>
  <c r="B93" i="26" s="1"/>
  <c r="T74" i="26"/>
  <c r="B75" i="26" s="1"/>
  <c r="T44" i="26"/>
  <c r="B45" i="26" s="1"/>
  <c r="T26" i="26"/>
  <c r="B27" i="26" s="1"/>
  <c r="T116" i="26"/>
  <c r="B117" i="26" s="1"/>
  <c r="T362" i="26"/>
  <c r="B363" i="26" s="1"/>
  <c r="T332" i="26"/>
  <c r="B333" i="26" s="1"/>
  <c r="T308" i="26"/>
  <c r="B309" i="26" s="1"/>
  <c r="T284" i="26"/>
  <c r="B285" i="26" s="1"/>
  <c r="T266" i="26"/>
  <c r="B267" i="26" s="1"/>
  <c r="T248" i="26"/>
  <c r="B249" i="26" s="1"/>
  <c r="T230" i="26"/>
  <c r="B231" i="26" s="1"/>
  <c r="T188" i="26"/>
  <c r="B189" i="26" s="1"/>
  <c r="T164" i="26"/>
  <c r="B165" i="26" s="1"/>
  <c r="T128" i="26"/>
  <c r="B129" i="26" s="1"/>
  <c r="T290" i="26"/>
  <c r="B291" i="26" s="1"/>
  <c r="T134" i="26"/>
  <c r="B135" i="26" s="1"/>
  <c r="T314" i="26"/>
  <c r="B315" i="26" s="1"/>
  <c r="T218" i="26"/>
  <c r="B219" i="26" s="1"/>
  <c r="T194" i="26"/>
  <c r="B195" i="26" s="1"/>
  <c r="T98" i="26"/>
  <c r="B99" i="26" s="1"/>
  <c r="T62" i="26"/>
  <c r="B63" i="26" s="1"/>
  <c r="T368" i="26"/>
  <c r="B369" i="26" s="1"/>
  <c r="T344" i="26"/>
  <c r="B345" i="26" s="1"/>
  <c r="T320" i="26"/>
  <c r="B321" i="26" s="1"/>
  <c r="T296" i="26"/>
  <c r="B297" i="26" s="1"/>
  <c r="T206" i="26"/>
  <c r="B207" i="26" s="1"/>
  <c r="T104" i="26"/>
  <c r="B105" i="26" s="1"/>
  <c r="T86" i="26"/>
  <c r="B87" i="26" s="1"/>
  <c r="T68" i="26"/>
  <c r="B69" i="26" s="1"/>
  <c r="T38" i="26"/>
  <c r="B39" i="26" s="1"/>
  <c r="T152" i="26"/>
  <c r="B153" i="26" s="1"/>
  <c r="T170" i="26"/>
  <c r="B171" i="26" s="1"/>
  <c r="T254" i="26"/>
  <c r="B255" i="26" s="1"/>
  <c r="T50" i="26"/>
  <c r="B51" i="26" s="1"/>
  <c r="T236" i="26"/>
  <c r="B237" i="26" s="1"/>
  <c r="T200" i="26"/>
  <c r="B201" i="26" s="1"/>
  <c r="AM215" i="26"/>
  <c r="AM203" i="26"/>
  <c r="AM185" i="26"/>
  <c r="AM83" i="26"/>
  <c r="AM41" i="26"/>
  <c r="AM149" i="26"/>
  <c r="AM101" i="26"/>
  <c r="AM71" i="26"/>
  <c r="AM53" i="26"/>
  <c r="AJ2314" i="26"/>
  <c r="AJ2316" i="26"/>
  <c r="AH2315" i="26"/>
  <c r="R2338" i="26"/>
  <c r="AH2320" i="26"/>
  <c r="R2341" i="26"/>
  <c r="R2371" i="26"/>
  <c r="R2384" i="26"/>
  <c r="R2313" i="26"/>
  <c r="AH2313" i="26" s="1"/>
  <c r="E2321" i="26"/>
  <c r="E2320" i="26"/>
  <c r="R2356" i="26"/>
  <c r="R2333" i="26"/>
  <c r="B2442" i="26"/>
  <c r="B2463" i="26"/>
  <c r="R2372" i="26"/>
  <c r="T2387" i="26"/>
  <c r="R2335" i="26"/>
  <c r="R2380" i="26"/>
  <c r="R2344" i="26"/>
  <c r="R2342" i="26"/>
  <c r="R2345" i="26"/>
  <c r="R2382" i="26"/>
  <c r="R2346" i="26"/>
  <c r="B2422" i="26"/>
  <c r="B2488" i="26"/>
  <c r="B2446" i="26"/>
  <c r="B2454" i="26"/>
  <c r="B2470" i="26"/>
  <c r="B2478" i="26"/>
  <c r="AJ2318" i="26"/>
  <c r="AH2319" i="26"/>
  <c r="B2486" i="26"/>
  <c r="AJ2320" i="26"/>
  <c r="AH2314" i="26"/>
  <c r="AH2316" i="26"/>
  <c r="AH2321" i="26"/>
  <c r="B2402" i="26"/>
  <c r="B2466" i="26"/>
  <c r="AJ2319" i="26"/>
  <c r="AH2317" i="26"/>
  <c r="B2404" i="26"/>
  <c r="B2412" i="26"/>
  <c r="B2436" i="26"/>
  <c r="B2444" i="26"/>
  <c r="B2468" i="26"/>
  <c r="B2476" i="26"/>
  <c r="AH2318" i="26"/>
  <c r="B2408" i="26"/>
  <c r="B2416" i="26"/>
  <c r="B2440" i="26"/>
  <c r="B2448" i="26"/>
  <c r="B2472" i="26"/>
  <c r="B2480" i="26"/>
  <c r="T413" i="26" l="1"/>
  <c r="T448" i="26"/>
  <c r="R396" i="26"/>
  <c r="R419" i="26" s="1"/>
  <c r="R417" i="26"/>
  <c r="R411" i="26"/>
  <c r="AH401" i="26"/>
  <c r="AH411" i="26" s="1"/>
  <c r="T2359" i="26"/>
  <c r="T81" i="26"/>
  <c r="T363" i="26"/>
  <c r="T27" i="26"/>
  <c r="T261" i="26"/>
  <c r="T351" i="26"/>
  <c r="T321" i="26"/>
  <c r="T291" i="26"/>
  <c r="T75" i="26"/>
  <c r="T129" i="26"/>
  <c r="T333" i="26"/>
  <c r="T237" i="26"/>
  <c r="T153" i="26"/>
  <c r="T381" i="26"/>
  <c r="T189" i="26"/>
  <c r="T57" i="26"/>
  <c r="T123" i="26"/>
  <c r="T141" i="26"/>
  <c r="T345" i="26"/>
  <c r="T99" i="26"/>
  <c r="T105" i="26"/>
  <c r="T339" i="26"/>
  <c r="T147" i="26"/>
  <c r="T219" i="26"/>
  <c r="T249" i="26"/>
  <c r="T303" i="26"/>
  <c r="T177" i="26"/>
  <c r="T243" i="26"/>
  <c r="T267" i="26"/>
  <c r="T213" i="26"/>
  <c r="T201" i="26"/>
  <c r="T69" i="26"/>
  <c r="T165" i="26"/>
  <c r="T93" i="26"/>
  <c r="T87" i="26"/>
  <c r="T297" i="26"/>
  <c r="T255" i="26"/>
  <c r="T51" i="26"/>
  <c r="T315" i="26"/>
  <c r="T273" i="26"/>
  <c r="T387" i="26"/>
  <c r="T357" i="26"/>
  <c r="T231" i="26"/>
  <c r="T279" i="26"/>
  <c r="T39" i="26"/>
  <c r="T183" i="26"/>
  <c r="T63" i="26"/>
  <c r="T207" i="26"/>
  <c r="T111" i="26"/>
  <c r="T117" i="26"/>
  <c r="T45" i="26"/>
  <c r="T375" i="26"/>
  <c r="T171" i="26"/>
  <c r="T369" i="26"/>
  <c r="T309" i="26"/>
  <c r="T33" i="26"/>
  <c r="T135" i="26"/>
  <c r="T195" i="26"/>
  <c r="T327" i="26"/>
  <c r="T159" i="26"/>
  <c r="T225" i="26"/>
  <c r="T285" i="26"/>
  <c r="B2414" i="26"/>
  <c r="B2400" i="26"/>
  <c r="B2431" i="26"/>
  <c r="B2464" i="26"/>
  <c r="B2428" i="26"/>
  <c r="B2482" i="26"/>
  <c r="B2456" i="26"/>
  <c r="B2484" i="26"/>
  <c r="B2420" i="26"/>
  <c r="B2474" i="26"/>
  <c r="B2462" i="26"/>
  <c r="B2406" i="26"/>
  <c r="B2432" i="26"/>
  <c r="B2460" i="26"/>
  <c r="B2398" i="26"/>
  <c r="B2438" i="26"/>
  <c r="B2424" i="26"/>
  <c r="B2452" i="26"/>
  <c r="B2430" i="26"/>
  <c r="B2417" i="26"/>
  <c r="B2435" i="26"/>
  <c r="B2426" i="26"/>
  <c r="B2421" i="26"/>
  <c r="B2467" i="26"/>
  <c r="B2458" i="26"/>
  <c r="B2459" i="26"/>
  <c r="B2427" i="26"/>
  <c r="B2477" i="26"/>
  <c r="B2445" i="26"/>
  <c r="B2413" i="26"/>
  <c r="B2418" i="26"/>
  <c r="B2487" i="26"/>
  <c r="B2455" i="26"/>
  <c r="B2423" i="26"/>
  <c r="B2473" i="26"/>
  <c r="B2441" i="26"/>
  <c r="B2409" i="26"/>
  <c r="B2483" i="26"/>
  <c r="B2451" i="26"/>
  <c r="B2419" i="26"/>
  <c r="B2469" i="26"/>
  <c r="B2437" i="26"/>
  <c r="B2405" i="26"/>
  <c r="B2410" i="26"/>
  <c r="B2450" i="26"/>
  <c r="B2479" i="26"/>
  <c r="B2447" i="26"/>
  <c r="B2415" i="26"/>
  <c r="B2465" i="26"/>
  <c r="B2433" i="26"/>
  <c r="B2401" i="26"/>
  <c r="B2475" i="26"/>
  <c r="B2443" i="26"/>
  <c r="B2411" i="26"/>
  <c r="B2461" i="26"/>
  <c r="B2429" i="26"/>
  <c r="B2397" i="26"/>
  <c r="B2471" i="26"/>
  <c r="B2439" i="26"/>
  <c r="B2407" i="26"/>
  <c r="B2457" i="26"/>
  <c r="B2425" i="26"/>
  <c r="B2399" i="26"/>
  <c r="B2434" i="26"/>
  <c r="T2355" i="26"/>
  <c r="B2449" i="26"/>
  <c r="R2355" i="26"/>
  <c r="R2385" i="26"/>
  <c r="R2393" i="26" s="1"/>
  <c r="B2453" i="26"/>
  <c r="R2391" i="26"/>
  <c r="B2481" i="26"/>
  <c r="B2485" i="26"/>
  <c r="T2333" i="26"/>
  <c r="T2372" i="26"/>
  <c r="T2341" i="26"/>
  <c r="T2356" i="26"/>
  <c r="T2367" i="26"/>
  <c r="T2385" i="26"/>
  <c r="T2335" i="26"/>
  <c r="R2379" i="26"/>
  <c r="T2380" i="26"/>
  <c r="T2379" i="26"/>
  <c r="B2403" i="26"/>
  <c r="T2382" i="26"/>
  <c r="T2338" i="26"/>
  <c r="T2375" i="26"/>
  <c r="R2392" i="26"/>
  <c r="R2387" i="26"/>
  <c r="T2345" i="26"/>
  <c r="T2346" i="26"/>
  <c r="R2354" i="26"/>
  <c r="T2342" i="26"/>
  <c r="T2344" i="26"/>
  <c r="T2371" i="26"/>
  <c r="T2354" i="26"/>
  <c r="T2384" i="26"/>
  <c r="T353" i="26" l="1"/>
  <c r="AN125" i="26"/>
  <c r="AO125" i="26" s="1"/>
  <c r="AN77" i="26"/>
  <c r="AO77" i="26" s="1"/>
  <c r="T383" i="26"/>
  <c r="AN71" i="26"/>
  <c r="AO71" i="26" s="1"/>
  <c r="AN287" i="26"/>
  <c r="AO287" i="26" s="1"/>
  <c r="T365" i="26"/>
  <c r="AN317" i="26"/>
  <c r="AO317" i="26" s="1"/>
  <c r="T377" i="26"/>
  <c r="AN347" i="26"/>
  <c r="AO347" i="26" s="1"/>
  <c r="T347" i="26"/>
  <c r="T371" i="26"/>
  <c r="AN257" i="26"/>
  <c r="AO257" i="26" s="1"/>
  <c r="AN23" i="26"/>
  <c r="AO23" i="26" s="1"/>
  <c r="AN329" i="26"/>
  <c r="AO329" i="26" s="1"/>
  <c r="AN359" i="26"/>
  <c r="AO359" i="26" s="1"/>
  <c r="T359" i="26"/>
  <c r="T481" i="26"/>
  <c r="T483" i="26" s="1"/>
  <c r="T421" i="26"/>
  <c r="AN233" i="26"/>
  <c r="AO233" i="26" s="1"/>
  <c r="AN239" i="26"/>
  <c r="AO239" i="26" s="1"/>
  <c r="AN29" i="26"/>
  <c r="AO29" i="26" s="1"/>
  <c r="AN365" i="26"/>
  <c r="AO365" i="26" s="1"/>
  <c r="AN227" i="26"/>
  <c r="AO227" i="26" s="1"/>
  <c r="AN83" i="26"/>
  <c r="AO83" i="26" s="1"/>
  <c r="AN173" i="26"/>
  <c r="AO173" i="26" s="1"/>
  <c r="AN95" i="26"/>
  <c r="AO95" i="26" s="1"/>
  <c r="AN119" i="26"/>
  <c r="AO119" i="26" s="1"/>
  <c r="AN383" i="26"/>
  <c r="AO383" i="26" s="1"/>
  <c r="AN47" i="26"/>
  <c r="AO47" i="26" s="1"/>
  <c r="AN161" i="26"/>
  <c r="AO161" i="26" s="1"/>
  <c r="AN209" i="26"/>
  <c r="AO209" i="26" s="1"/>
  <c r="AN299" i="26"/>
  <c r="AO299" i="26" s="1"/>
  <c r="AN341" i="26"/>
  <c r="AO341" i="26" s="1"/>
  <c r="AN221" i="26"/>
  <c r="AO221" i="26" s="1"/>
  <c r="AN305" i="26"/>
  <c r="AO305" i="26" s="1"/>
  <c r="AN41" i="26"/>
  <c r="AO41" i="26" s="1"/>
  <c r="AN269" i="26"/>
  <c r="AO269" i="26" s="1"/>
  <c r="AN65" i="26"/>
  <c r="AO65" i="26" s="1"/>
  <c r="AN263" i="26"/>
  <c r="AO263" i="26" s="1"/>
  <c r="AN245" i="26"/>
  <c r="AO245" i="26" s="1"/>
  <c r="AN137" i="26"/>
  <c r="AO137" i="26" s="1"/>
  <c r="AN203" i="26"/>
  <c r="AO203" i="26" s="1"/>
  <c r="AN35" i="26"/>
  <c r="AO35" i="26" s="1"/>
  <c r="AN251" i="26"/>
  <c r="AO251" i="26" s="1"/>
  <c r="AN377" i="26"/>
  <c r="AO377" i="26" s="1"/>
  <c r="AN131" i="26"/>
  <c r="AO131" i="26" s="1"/>
  <c r="AN59" i="26"/>
  <c r="AO59" i="26" s="1"/>
  <c r="AN275" i="26"/>
  <c r="AO275" i="26" s="1"/>
  <c r="AN293" i="26"/>
  <c r="AO293" i="26" s="1"/>
  <c r="AN167" i="26"/>
  <c r="AO167" i="26" s="1"/>
  <c r="AN353" i="26"/>
  <c r="AO353" i="26" s="1"/>
  <c r="AN89" i="26"/>
  <c r="AO89" i="26" s="1"/>
  <c r="AN197" i="26"/>
  <c r="AO197" i="26" s="1"/>
  <c r="AN149" i="26"/>
  <c r="AO149" i="26" s="1"/>
  <c r="AN281" i="26"/>
  <c r="AO281" i="26" s="1"/>
  <c r="AN371" i="26"/>
  <c r="AO371" i="26" s="1"/>
  <c r="AN155" i="26"/>
  <c r="AO155" i="26" s="1"/>
  <c r="AN113" i="26"/>
  <c r="AO113" i="26" s="1"/>
  <c r="AN215" i="26"/>
  <c r="AO215" i="26" s="1"/>
  <c r="AN53" i="26"/>
  <c r="AO53" i="26" s="1"/>
  <c r="AN191" i="26"/>
  <c r="AO191" i="26" s="1"/>
  <c r="AN335" i="26"/>
  <c r="AO335" i="26" s="1"/>
  <c r="AN101" i="26"/>
  <c r="AO101" i="26" s="1"/>
  <c r="AN323" i="26"/>
  <c r="AO323" i="26" s="1"/>
  <c r="AN107" i="26"/>
  <c r="AO107" i="26" s="1"/>
  <c r="AN179" i="26"/>
  <c r="AO179" i="26" s="1"/>
  <c r="AN311" i="26"/>
  <c r="AO311" i="26" s="1"/>
  <c r="AN143" i="26"/>
  <c r="AO143" i="26" s="1"/>
  <c r="AN185" i="26"/>
  <c r="AO185" i="26" s="1"/>
  <c r="R2332" i="26"/>
  <c r="T2313" i="26"/>
  <c r="AJ2313" i="26" s="1"/>
  <c r="R2390" i="26"/>
  <c r="R2394" i="26" s="1"/>
  <c r="T2393" i="26"/>
  <c r="T2391" i="26"/>
  <c r="T2392" i="26"/>
  <c r="T2390" i="26"/>
  <c r="T2332" i="26"/>
  <c r="T2394" i="26" l="1"/>
  <c r="F2313" i="26" l="1"/>
  <c r="F6" i="24" l="1"/>
  <c r="F7" i="24"/>
  <c r="F8" i="24"/>
  <c r="F5" i="24"/>
  <c r="F9" i="24" l="1"/>
  <c r="C18" i="24"/>
  <c r="D18" i="24" s="1"/>
  <c r="C17" i="24"/>
  <c r="D17" i="24" s="1"/>
  <c r="R4913" i="8"/>
  <c r="R3612" i="8"/>
  <c r="R4519" i="8"/>
  <c r="S3611" i="8"/>
  <c r="R3611" i="8"/>
  <c r="S4912" i="8"/>
  <c r="R4912" i="8"/>
  <c r="S4518" i="8"/>
  <c r="R4518" i="8"/>
  <c r="C16" i="24"/>
  <c r="D16" i="24" s="1"/>
  <c r="D6" i="24"/>
  <c r="D7" i="24"/>
  <c r="D8" i="24"/>
  <c r="D5" i="24"/>
  <c r="Q926" i="11"/>
  <c r="Q913" i="11"/>
  <c r="Q980" i="11"/>
  <c r="Q973" i="11"/>
  <c r="Q966" i="11"/>
  <c r="Q959" i="11"/>
  <c r="Q952" i="11"/>
  <c r="Q95" i="11"/>
  <c r="Q936" i="11"/>
  <c r="Q6206" i="8"/>
  <c r="Q6205" i="8"/>
  <c r="R6205" i="8" s="1"/>
  <c r="Q6199" i="8"/>
  <c r="Q6198" i="8"/>
  <c r="R6198" i="8" s="1"/>
  <c r="Q6533" i="8"/>
  <c r="Q6532" i="8"/>
  <c r="R6532" i="8" s="1"/>
  <c r="Q6526" i="8"/>
  <c r="Q6525" i="8"/>
  <c r="R6525" i="8" s="1"/>
  <c r="Q6519" i="8"/>
  <c r="Q6518" i="8"/>
  <c r="R6518" i="8" s="1"/>
  <c r="Q6512" i="8"/>
  <c r="Q6511" i="8"/>
  <c r="R6511" i="8" s="1"/>
  <c r="Q6505" i="8"/>
  <c r="Q6504" i="8"/>
  <c r="R6504" i="8" s="1"/>
  <c r="Q6399" i="8"/>
  <c r="Q6392" i="8"/>
  <c r="Q6385" i="8"/>
  <c r="Q6378" i="8"/>
  <c r="Q6400" i="8"/>
  <c r="Q6393" i="8"/>
  <c r="Q6386" i="8"/>
  <c r="Q6379" i="8"/>
  <c r="Q741" i="11"/>
  <c r="Q753" i="11"/>
  <c r="Q764" i="11"/>
  <c r="Q776" i="11"/>
  <c r="Q787" i="11"/>
  <c r="Q799" i="11"/>
  <c r="Q899" i="11"/>
  <c r="Q885" i="11"/>
  <c r="Q857" i="11"/>
  <c r="Q814" i="11"/>
  <c r="Q871" i="11"/>
  <c r="Q843" i="11"/>
  <c r="Q828" i="11"/>
  <c r="Q896" i="11"/>
  <c r="Q882" i="11"/>
  <c r="Q868" i="11"/>
  <c r="Q854" i="11"/>
  <c r="Q840" i="11"/>
  <c r="Q825" i="11"/>
  <c r="Q811" i="11"/>
  <c r="Q898" i="11"/>
  <c r="Q884" i="11"/>
  <c r="Q870" i="11"/>
  <c r="Q856" i="11"/>
  <c r="Q842" i="11"/>
  <c r="Q827" i="11"/>
  <c r="Q813" i="11"/>
  <c r="Q897" i="11"/>
  <c r="Q883" i="11"/>
  <c r="Q869" i="11"/>
  <c r="Q855" i="11"/>
  <c r="Q841" i="11"/>
  <c r="Q826" i="11"/>
  <c r="Q812" i="11"/>
  <c r="Q895" i="11"/>
  <c r="Q867" i="11"/>
  <c r="Q881" i="11"/>
  <c r="Q853" i="11"/>
  <c r="Q839" i="11"/>
  <c r="Q824" i="11"/>
  <c r="Q810" i="11"/>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2" i="23"/>
  <c r="D19" i="24" l="1"/>
  <c r="D9" i="24"/>
  <c r="R6512" i="8"/>
  <c r="R6519" i="8"/>
  <c r="R6206" i="8"/>
  <c r="R6505" i="8"/>
  <c r="R6533" i="8"/>
  <c r="R6199" i="8"/>
  <c r="R6526" i="8"/>
  <c r="R2171" i="8"/>
  <c r="D6162" i="8"/>
  <c r="C6162" i="8"/>
  <c r="D6120" i="8"/>
  <c r="C6120" i="8"/>
  <c r="D6087" i="8"/>
  <c r="C6087" i="8"/>
  <c r="D6059" i="8"/>
  <c r="C6059" i="8"/>
  <c r="D6048" i="8"/>
  <c r="C6048" i="8"/>
  <c r="D6037" i="8"/>
  <c r="C6037" i="8"/>
  <c r="R998" i="11"/>
  <c r="D4848" i="8"/>
  <c r="D3972" i="8"/>
  <c r="D3885" i="8"/>
  <c r="D3699" i="8"/>
  <c r="D3678" i="8"/>
  <c r="R76" i="11"/>
  <c r="D3488" i="8"/>
  <c r="D4568" i="8"/>
  <c r="D4398" i="8"/>
  <c r="R131" i="11"/>
  <c r="A79" i="11"/>
  <c r="C4036" i="8"/>
  <c r="D4036" i="8"/>
  <c r="D4027" i="8"/>
  <c r="C4027" i="8"/>
  <c r="D4018" i="8"/>
  <c r="C4018" i="8"/>
  <c r="D3965" i="8"/>
  <c r="C3965" i="8"/>
  <c r="D4009" i="8"/>
  <c r="C4009" i="8"/>
  <c r="D4000" i="8"/>
  <c r="C4000" i="8"/>
  <c r="D3991" i="8"/>
  <c r="C3991" i="8"/>
  <c r="D3982" i="8"/>
  <c r="C3982" i="8"/>
  <c r="R100" i="11"/>
  <c r="Q728" i="11"/>
  <c r="Q681" i="11"/>
  <c r="D3964" i="8"/>
  <c r="D3698" i="8"/>
  <c r="D4035" i="8"/>
  <c r="D6047" i="8"/>
  <c r="D4397" i="8"/>
  <c r="D6086" i="8"/>
  <c r="D3677" i="8"/>
  <c r="D3990" i="8"/>
  <c r="D4017" i="8"/>
  <c r="D3487" i="8"/>
  <c r="D3999" i="8"/>
  <c r="D6036" i="8"/>
  <c r="D6058" i="8"/>
  <c r="D3981" i="8"/>
  <c r="D6119" i="8"/>
  <c r="D4847" i="8"/>
  <c r="D3971" i="8"/>
  <c r="D4567" i="8"/>
  <c r="D6161" i="8"/>
  <c r="D3884" i="8"/>
  <c r="D4026" i="8"/>
  <c r="D4008" i="8"/>
  <c r="R2172" i="8" l="1"/>
  <c r="D6339" i="8"/>
  <c r="D6338" i="8"/>
  <c r="D6046" i="8" l="1"/>
  <c r="C6046" i="8"/>
  <c r="D6045" i="8"/>
  <c r="D5875" i="8" l="1"/>
  <c r="C5875" i="8"/>
  <c r="D5862" i="8"/>
  <c r="C5862" i="8"/>
  <c r="D5849" i="8"/>
  <c r="C5849" i="8"/>
  <c r="D5836" i="8"/>
  <c r="C5836" i="8"/>
  <c r="D5827" i="8"/>
  <c r="C5827" i="8"/>
  <c r="D5814" i="8"/>
  <c r="C5814" i="8"/>
  <c r="D5805" i="8"/>
  <c r="C5805" i="8"/>
  <c r="D5796" i="8"/>
  <c r="C5796" i="8"/>
  <c r="D6160" i="8"/>
  <c r="C6160" i="8"/>
  <c r="D6118" i="8"/>
  <c r="C6118" i="8"/>
  <c r="D6085" i="8"/>
  <c r="C6085" i="8"/>
  <c r="D6057" i="8"/>
  <c r="D6035" i="8"/>
  <c r="R732" i="11"/>
  <c r="A112" i="11"/>
  <c r="Q150" i="11"/>
  <c r="R2169" i="8"/>
  <c r="D6159" i="8"/>
  <c r="D5826" i="8"/>
  <c r="D5804" i="8"/>
  <c r="D5874" i="8"/>
  <c r="D5813" i="8"/>
  <c r="D5861" i="8"/>
  <c r="D5848" i="8"/>
  <c r="D5795" i="8"/>
  <c r="D6034" i="8"/>
  <c r="D5835" i="8"/>
  <c r="D6117" i="8"/>
  <c r="D6056" i="8"/>
  <c r="D6084" i="8"/>
  <c r="R2165" i="8" l="1"/>
  <c r="Q4195" i="8"/>
  <c r="Q4196" i="8"/>
  <c r="Q2199" i="8"/>
  <c r="Q2200" i="8"/>
  <c r="Q2191" i="8"/>
  <c r="Q2190" i="8"/>
  <c r="R5886" i="8" l="1"/>
  <c r="S5889" i="8"/>
  <c r="R5889" i="8"/>
  <c r="R5887" i="8"/>
  <c r="R2166" i="8" l="1"/>
  <c r="Q800" i="11"/>
  <c r="D2154" i="8"/>
  <c r="D2147" i="8"/>
  <c r="D2140" i="8"/>
  <c r="D2133" i="8"/>
  <c r="D2126" i="8"/>
  <c r="D2119" i="8"/>
  <c r="R538" i="11"/>
  <c r="R2200" i="8"/>
  <c r="R2193" i="8"/>
  <c r="R2192" i="8"/>
  <c r="R2190" i="8"/>
  <c r="R2170" i="8"/>
  <c r="R2168" i="8"/>
  <c r="R2167" i="8"/>
  <c r="R2164" i="8"/>
  <c r="R4196" i="8"/>
  <c r="R4195" i="8"/>
  <c r="D4178" i="8"/>
  <c r="D4171" i="8"/>
  <c r="R153" i="11"/>
  <c r="D2146" i="8"/>
  <c r="D2153" i="8"/>
  <c r="D4177" i="8"/>
  <c r="D2125" i="8"/>
  <c r="D2139" i="8"/>
  <c r="D2118" i="8"/>
  <c r="D4170" i="8"/>
  <c r="D2132" i="8"/>
  <c r="R2201" i="8" l="1"/>
  <c r="R2199" i="8"/>
  <c r="R2202" i="8"/>
  <c r="R2191" i="8"/>
  <c r="R2163" i="8"/>
  <c r="R4197" i="8"/>
  <c r="R4198" i="8"/>
  <c r="R7809" i="8"/>
  <c r="R7779" i="8"/>
  <c r="R7767" i="8"/>
  <c r="R7702" i="8"/>
  <c r="R7680" i="8"/>
  <c r="R7674" i="8"/>
  <c r="R7644" i="8"/>
  <c r="R7616" i="8"/>
  <c r="R7604" i="8"/>
  <c r="R7582" i="8"/>
  <c r="R7576" i="8"/>
  <c r="R7564" i="8"/>
  <c r="R7548" i="8"/>
  <c r="R7536" i="8"/>
  <c r="R7524" i="8"/>
  <c r="D7508" i="8"/>
  <c r="C7508" i="8"/>
  <c r="D7507" i="8"/>
  <c r="R7819" i="8" l="1"/>
  <c r="R7797" i="8"/>
  <c r="R7744" i="8"/>
  <c r="R7803" i="8"/>
  <c r="R7785" i="8"/>
  <c r="R7773" i="8"/>
  <c r="R7791" i="8"/>
  <c r="R7708" i="8"/>
  <c r="R7714" i="8"/>
  <c r="R7668" i="8"/>
  <c r="R7662" i="8"/>
  <c r="R7638" i="8"/>
  <c r="R7656" i="8"/>
  <c r="R7650" i="8"/>
  <c r="R7632" i="8"/>
  <c r="R7610" i="8"/>
  <c r="R7592" i="8"/>
  <c r="R7598" i="8"/>
  <c r="R7530" i="8"/>
  <c r="R7518" i="8"/>
  <c r="R7570" i="8"/>
  <c r="R7558" i="8"/>
  <c r="R7542" i="8"/>
  <c r="R7481" i="8"/>
  <c r="R7475" i="8"/>
  <c r="R7435" i="8"/>
  <c r="R7425" i="8"/>
  <c r="R7413" i="8"/>
  <c r="D7391" i="8"/>
  <c r="C7391" i="8"/>
  <c r="R7370" i="8"/>
  <c r="R7364" i="8"/>
  <c r="R7358" i="8"/>
  <c r="R7352" i="8"/>
  <c r="R7324" i="8"/>
  <c r="R7314" i="8"/>
  <c r="D7304" i="8"/>
  <c r="C7304" i="8"/>
  <c r="R7261" i="8"/>
  <c r="R7255" i="8"/>
  <c r="D7227" i="8"/>
  <c r="C7227" i="8"/>
  <c r="R7200" i="8"/>
  <c r="R7188" i="8"/>
  <c r="R7176" i="8"/>
  <c r="R7166" i="8"/>
  <c r="R7160" i="8"/>
  <c r="R7110" i="8"/>
  <c r="R7092" i="8"/>
  <c r="D7051" i="8"/>
  <c r="C7051" i="8"/>
  <c r="R7030" i="8"/>
  <c r="R7018" i="8"/>
  <c r="R6996" i="8"/>
  <c r="R6990" i="8"/>
  <c r="R6968" i="8"/>
  <c r="R6962" i="8"/>
  <c r="R6944" i="8"/>
  <c r="D6934" i="8"/>
  <c r="C6934" i="8"/>
  <c r="R6873" i="8"/>
  <c r="R6831" i="8"/>
  <c r="D6821" i="8"/>
  <c r="C6821" i="8"/>
  <c r="R1020" i="11"/>
  <c r="R6794" i="8"/>
  <c r="R6788" i="8"/>
  <c r="R6766" i="8"/>
  <c r="R6719" i="8"/>
  <c r="R6713" i="8"/>
  <c r="R6691" i="8"/>
  <c r="R6679" i="8"/>
  <c r="Q5885" i="8"/>
  <c r="D7303" i="8"/>
  <c r="D6820" i="8"/>
  <c r="D6933" i="8"/>
  <c r="D7226" i="8"/>
  <c r="D7050" i="8"/>
  <c r="D7390" i="8"/>
  <c r="R7469" i="8" l="1"/>
  <c r="R7487" i="8"/>
  <c r="R7493" i="8"/>
  <c r="R7447" i="8"/>
  <c r="R7401" i="8"/>
  <c r="R7453" i="8"/>
  <c r="R7419" i="8"/>
  <c r="R7441" i="8"/>
  <c r="R7407" i="8"/>
  <c r="R7459" i="8"/>
  <c r="R7346" i="8"/>
  <c r="R7330" i="8"/>
  <c r="R7336" i="8"/>
  <c r="R7237" i="8"/>
  <c r="R7277" i="8"/>
  <c r="R7243" i="8"/>
  <c r="R7283" i="8"/>
  <c r="R7249" i="8"/>
  <c r="R7271" i="8"/>
  <c r="R7289" i="8"/>
  <c r="R7206" i="8"/>
  <c r="R7194" i="8"/>
  <c r="R7098" i="8"/>
  <c r="R7154" i="8"/>
  <c r="R7116" i="8"/>
  <c r="R7104" i="8"/>
  <c r="R7012" i="8"/>
  <c r="R7006" i="8"/>
  <c r="R7024" i="8"/>
  <c r="R6984" i="8"/>
  <c r="R6950" i="8"/>
  <c r="R6956" i="8"/>
  <c r="R6978" i="8"/>
  <c r="R6907" i="8"/>
  <c r="R6913" i="8"/>
  <c r="R6901" i="8"/>
  <c r="R6919" i="8"/>
  <c r="R6889" i="8"/>
  <c r="R6867" i="8"/>
  <c r="R6895" i="8"/>
  <c r="R6861" i="8"/>
  <c r="R6879" i="8"/>
  <c r="R6849" i="8"/>
  <c r="R6855" i="8"/>
  <c r="R6837" i="8"/>
  <c r="R6843" i="8"/>
  <c r="R6776" i="8"/>
  <c r="R6782" i="8"/>
  <c r="R6800" i="8"/>
  <c r="R6756" i="8"/>
  <c r="R6750" i="8"/>
  <c r="R6744" i="8"/>
  <c r="R6707" i="8"/>
  <c r="R6701" i="8"/>
  <c r="R6685" i="8"/>
  <c r="R6673" i="8"/>
  <c r="R2681" i="8"/>
  <c r="D2680" i="8"/>
  <c r="C2680" i="8"/>
  <c r="D2679" i="8"/>
  <c r="R991" i="11" l="1"/>
  <c r="D4034" i="8"/>
  <c r="D4025" i="8"/>
  <c r="D4016" i="8"/>
  <c r="D4007" i="8"/>
  <c r="D3998" i="8"/>
  <c r="D3989" i="8"/>
  <c r="D3980" i="8"/>
  <c r="D3963" i="8"/>
  <c r="R88" i="11"/>
  <c r="D4024" i="8"/>
  <c r="D3988" i="8"/>
  <c r="D4006" i="8"/>
  <c r="D4015" i="8"/>
  <c r="D3979" i="8"/>
  <c r="D4033" i="8"/>
  <c r="D3997" i="8"/>
  <c r="D3962" i="8"/>
  <c r="D9736" i="8" l="1"/>
  <c r="C9736" i="8"/>
  <c r="D9729" i="8"/>
  <c r="C9729" i="8"/>
  <c r="D9646" i="8"/>
  <c r="C9646" i="8"/>
  <c r="D9639" i="8"/>
  <c r="C9639" i="8"/>
  <c r="D9632" i="8"/>
  <c r="C9632" i="8"/>
  <c r="D9625" i="8"/>
  <c r="C9625" i="8"/>
  <c r="D9618" i="8"/>
  <c r="C9618" i="8"/>
  <c r="D9553" i="8"/>
  <c r="D9546" i="8"/>
  <c r="D9539" i="8"/>
  <c r="D9456" i="8"/>
  <c r="D9449" i="8"/>
  <c r="D9442" i="8"/>
  <c r="C9435" i="8"/>
  <c r="D9435" i="8"/>
  <c r="D9428" i="8"/>
  <c r="C9428" i="8"/>
  <c r="D9291" i="8"/>
  <c r="D9284" i="8"/>
  <c r="D9277" i="8"/>
  <c r="D9270" i="8"/>
  <c r="C9263" i="8"/>
  <c r="D9263" i="8"/>
  <c r="D9248" i="8"/>
  <c r="D9238" i="8"/>
  <c r="D9231" i="8"/>
  <c r="D9224" i="8"/>
  <c r="D9217" i="8"/>
  <c r="D9207" i="8"/>
  <c r="D9114" i="8"/>
  <c r="D9107" i="8"/>
  <c r="D9100" i="8"/>
  <c r="D9093" i="8"/>
  <c r="C9086" i="8"/>
  <c r="D9086" i="8"/>
  <c r="D8847" i="8"/>
  <c r="D8840" i="8"/>
  <c r="D8833" i="8"/>
  <c r="D8826" i="8"/>
  <c r="D8819" i="8"/>
  <c r="D8812" i="8"/>
  <c r="D8805" i="8"/>
  <c r="D8798" i="8"/>
  <c r="D8791" i="8"/>
  <c r="D8784" i="8"/>
  <c r="C8777" i="8"/>
  <c r="D8777" i="8"/>
  <c r="D8766" i="8"/>
  <c r="C8766" i="8"/>
  <c r="D8629" i="8"/>
  <c r="C8629" i="8"/>
  <c r="D8622" i="8"/>
  <c r="C8622" i="8"/>
  <c r="D8615" i="8"/>
  <c r="C8615" i="8"/>
  <c r="D8608" i="8"/>
  <c r="C8608" i="8"/>
  <c r="D8601" i="8"/>
  <c r="C8601" i="8"/>
  <c r="D8594" i="8"/>
  <c r="C8594" i="8"/>
  <c r="D8431" i="8"/>
  <c r="D8424" i="8"/>
  <c r="D8417" i="8"/>
  <c r="D8410" i="8"/>
  <c r="D8403" i="8"/>
  <c r="D8396" i="8"/>
  <c r="D8587" i="8"/>
  <c r="C8587" i="8"/>
  <c r="D8580" i="8"/>
  <c r="C8580" i="8"/>
  <c r="D8389" i="8"/>
  <c r="C8389" i="8"/>
  <c r="D8382" i="8"/>
  <c r="D8375" i="8"/>
  <c r="D8368" i="8"/>
  <c r="D8231" i="8"/>
  <c r="D8224" i="8"/>
  <c r="D8196" i="8"/>
  <c r="D8189" i="8"/>
  <c r="C8182" i="8"/>
  <c r="D8182" i="8"/>
  <c r="D8175" i="8"/>
  <c r="C8175" i="8"/>
  <c r="R1032" i="11"/>
  <c r="R1026" i="11"/>
  <c r="C6658" i="8"/>
  <c r="R1008" i="11"/>
  <c r="R6623" i="8"/>
  <c r="R6622" i="8"/>
  <c r="R6621" i="8"/>
  <c r="D6599" i="8"/>
  <c r="C6599" i="8"/>
  <c r="D6597" i="8"/>
  <c r="C6597" i="8"/>
  <c r="D6590" i="8"/>
  <c r="C6590" i="8"/>
  <c r="D6588" i="8"/>
  <c r="C6588" i="8"/>
  <c r="D6577" i="8"/>
  <c r="C6577" i="8"/>
  <c r="D6575" i="8"/>
  <c r="C6575" i="8"/>
  <c r="D6568" i="8"/>
  <c r="C6568" i="8"/>
  <c r="D6566" i="8"/>
  <c r="C6566" i="8"/>
  <c r="D6555" i="8"/>
  <c r="C6555" i="8"/>
  <c r="D6553" i="8"/>
  <c r="C6553" i="8"/>
  <c r="D6546" i="8"/>
  <c r="C6546" i="8"/>
  <c r="D6544" i="8"/>
  <c r="C6544" i="8"/>
  <c r="D6494" i="8"/>
  <c r="C6494" i="8"/>
  <c r="D6492" i="8"/>
  <c r="C6492" i="8"/>
  <c r="D6485" i="8"/>
  <c r="C6485" i="8"/>
  <c r="D6483" i="8"/>
  <c r="C6483" i="8"/>
  <c r="D6472" i="8"/>
  <c r="C6472" i="8"/>
  <c r="D6470" i="8"/>
  <c r="C6470" i="8"/>
  <c r="D6459" i="8"/>
  <c r="C6459" i="8"/>
  <c r="D6457" i="8"/>
  <c r="C6457" i="8"/>
  <c r="D6450" i="8"/>
  <c r="C6450" i="8"/>
  <c r="D6448" i="8"/>
  <c r="C6448" i="8"/>
  <c r="D6441" i="8"/>
  <c r="C6441" i="8"/>
  <c r="D6439" i="8"/>
  <c r="C6439" i="8"/>
  <c r="D6432" i="8"/>
  <c r="C6432" i="8"/>
  <c r="D6430" i="8"/>
  <c r="C6430" i="8"/>
  <c r="D6423" i="8"/>
  <c r="C6423" i="8"/>
  <c r="D6421" i="8"/>
  <c r="C6421" i="8"/>
  <c r="R6400" i="8"/>
  <c r="R6399" i="8"/>
  <c r="R6393" i="8"/>
  <c r="R6392" i="8"/>
  <c r="R6386" i="8"/>
  <c r="R6385" i="8"/>
  <c r="R6379" i="8"/>
  <c r="R6378" i="8"/>
  <c r="D6368" i="8"/>
  <c r="C6368" i="8"/>
  <c r="D6366" i="8"/>
  <c r="C6366" i="8"/>
  <c r="D6359" i="8"/>
  <c r="C6359" i="8"/>
  <c r="D6357" i="8"/>
  <c r="C6357" i="8"/>
  <c r="D6350" i="8"/>
  <c r="C6350" i="8"/>
  <c r="D6348" i="8"/>
  <c r="C6348" i="8"/>
  <c r="D6341" i="8"/>
  <c r="C6341" i="8"/>
  <c r="C6339" i="8"/>
  <c r="D6324" i="8"/>
  <c r="C6324" i="8"/>
  <c r="D6322" i="8"/>
  <c r="C6322" i="8"/>
  <c r="D6311" i="8"/>
  <c r="C6311" i="8"/>
  <c r="D6309" i="8"/>
  <c r="C6309" i="8"/>
  <c r="D6298" i="8"/>
  <c r="C6298" i="8"/>
  <c r="D6296" i="8"/>
  <c r="C6296" i="8"/>
  <c r="D6289" i="8"/>
  <c r="C6289" i="8"/>
  <c r="D6287" i="8"/>
  <c r="C6287" i="8"/>
  <c r="D6280" i="8"/>
  <c r="C6280" i="8"/>
  <c r="D6278" i="8"/>
  <c r="C6278" i="8"/>
  <c r="D6267" i="8"/>
  <c r="C6267" i="8"/>
  <c r="D6265" i="8"/>
  <c r="C6265" i="8"/>
  <c r="D6245" i="8"/>
  <c r="C6245" i="8"/>
  <c r="D6243" i="8"/>
  <c r="C6243" i="8"/>
  <c r="D6232" i="8"/>
  <c r="C6232" i="8"/>
  <c r="D6230" i="8"/>
  <c r="C6230" i="8"/>
  <c r="D6219" i="8"/>
  <c r="C6219" i="8"/>
  <c r="D6217" i="8"/>
  <c r="C6217" i="8"/>
  <c r="D6188" i="8"/>
  <c r="C6188" i="8"/>
  <c r="D6186" i="8"/>
  <c r="C6186" i="8"/>
  <c r="D6179" i="8"/>
  <c r="C6179" i="8"/>
  <c r="D6177" i="8"/>
  <c r="C6177" i="8"/>
  <c r="D6158" i="8"/>
  <c r="C6158" i="8"/>
  <c r="D6147" i="8"/>
  <c r="C6147" i="8"/>
  <c r="D6145" i="8"/>
  <c r="C6145" i="8"/>
  <c r="R904" i="11"/>
  <c r="D6138" i="8"/>
  <c r="C6138" i="8"/>
  <c r="D6136" i="8"/>
  <c r="C6136" i="8"/>
  <c r="R876" i="11"/>
  <c r="R6130" i="8"/>
  <c r="D6129" i="8"/>
  <c r="C6129" i="8"/>
  <c r="D6127" i="8"/>
  <c r="C6127" i="8"/>
  <c r="D6116" i="8"/>
  <c r="C6116" i="8"/>
  <c r="D6105" i="8"/>
  <c r="C6105" i="8"/>
  <c r="D6103" i="8"/>
  <c r="C6103" i="8"/>
  <c r="D6096" i="8"/>
  <c r="C6096" i="8"/>
  <c r="D6094" i="8"/>
  <c r="C6094" i="8"/>
  <c r="D6083" i="8"/>
  <c r="C6083" i="8"/>
  <c r="D6072" i="8"/>
  <c r="C6072" i="8"/>
  <c r="D6070" i="8"/>
  <c r="C6070" i="8"/>
  <c r="C6057" i="8"/>
  <c r="D6055" i="8"/>
  <c r="C6055" i="8"/>
  <c r="D6044" i="8"/>
  <c r="C6044" i="8"/>
  <c r="C6035" i="8"/>
  <c r="D6033" i="8"/>
  <c r="C6033" i="8"/>
  <c r="D6012" i="8"/>
  <c r="C6012" i="8"/>
  <c r="D6010" i="8"/>
  <c r="C6010" i="8"/>
  <c r="D6003" i="8"/>
  <c r="C6003" i="8"/>
  <c r="D6001" i="8"/>
  <c r="C6001" i="8"/>
  <c r="D5990" i="8"/>
  <c r="C5990" i="8"/>
  <c r="D5988" i="8"/>
  <c r="C5988" i="8"/>
  <c r="D8586" i="8"/>
  <c r="D6187" i="8"/>
  <c r="D6347" i="8"/>
  <c r="D6429" i="8"/>
  <c r="D9085" i="8"/>
  <c r="D9441" i="8"/>
  <c r="D6587" i="8"/>
  <c r="D8846" i="8"/>
  <c r="D9113" i="8"/>
  <c r="D6071" i="8"/>
  <c r="D9638" i="8"/>
  <c r="D9230" i="8"/>
  <c r="D6493" i="8"/>
  <c r="D8797" i="8"/>
  <c r="D6554" i="8"/>
  <c r="D6349" i="8"/>
  <c r="D6286" i="8"/>
  <c r="D8832" i="8"/>
  <c r="D8174" i="8"/>
  <c r="D6565" i="8"/>
  <c r="D6545" i="8"/>
  <c r="D8223" i="8"/>
  <c r="D8367" i="8"/>
  <c r="D9106" i="8"/>
  <c r="D8628" i="8"/>
  <c r="D6440" i="8"/>
  <c r="D9645" i="8"/>
  <c r="D6144" i="8"/>
  <c r="D9545" i="8"/>
  <c r="D6231" i="8"/>
  <c r="D9223" i="8"/>
  <c r="D8430" i="8"/>
  <c r="D6596" i="8"/>
  <c r="D6128" i="8"/>
  <c r="D6574" i="8"/>
  <c r="D6323" i="8"/>
  <c r="D9283" i="8"/>
  <c r="D6229" i="8"/>
  <c r="D8783" i="8"/>
  <c r="D6295" i="8"/>
  <c r="D6277" i="8"/>
  <c r="D8579" i="8"/>
  <c r="D6297" i="8"/>
  <c r="D9624" i="8"/>
  <c r="D9237" i="8"/>
  <c r="D8409" i="8"/>
  <c r="D6576" i="8"/>
  <c r="D9092" i="8"/>
  <c r="D6567" i="8"/>
  <c r="D8593" i="8"/>
  <c r="D9735" i="8"/>
  <c r="D9538" i="8"/>
  <c r="D6178" i="8"/>
  <c r="D6082" i="8"/>
  <c r="D6422" i="8"/>
  <c r="D9434" i="8"/>
  <c r="D9448" i="8"/>
  <c r="D6095" i="8"/>
  <c r="D6431" i="8"/>
  <c r="D6288" i="8"/>
  <c r="D6032" i="8"/>
  <c r="D6438" i="8"/>
  <c r="D9269" i="8"/>
  <c r="D6054" i="8"/>
  <c r="D6216" i="8"/>
  <c r="D8381" i="8"/>
  <c r="D6356" i="8"/>
  <c r="D9206" i="8"/>
  <c r="D6458" i="8"/>
  <c r="D6279" i="8"/>
  <c r="D6000" i="8"/>
  <c r="D6340" i="8"/>
  <c r="D6115" i="8"/>
  <c r="D9617" i="8"/>
  <c r="D9290" i="8"/>
  <c r="D6135" i="8"/>
  <c r="D6242" i="8"/>
  <c r="D9427" i="8"/>
  <c r="D6491" i="8"/>
  <c r="D6598" i="8"/>
  <c r="D6009" i="8"/>
  <c r="D5987" i="8"/>
  <c r="D6469" i="8"/>
  <c r="D6589" i="8"/>
  <c r="D8188" i="8"/>
  <c r="D6157" i="8"/>
  <c r="D6365" i="8"/>
  <c r="D9631" i="8"/>
  <c r="D8607" i="8"/>
  <c r="D8621" i="8"/>
  <c r="D6218" i="8"/>
  <c r="D8765" i="8"/>
  <c r="D8839" i="8"/>
  <c r="D6358" i="8"/>
  <c r="D6146" i="8"/>
  <c r="D6266" i="8"/>
  <c r="D6185" i="8"/>
  <c r="D9099" i="8"/>
  <c r="D9728" i="8"/>
  <c r="D8790" i="8"/>
  <c r="D6456" i="8"/>
  <c r="D6449" i="8"/>
  <c r="D6244" i="8"/>
  <c r="D6552" i="8"/>
  <c r="D8804" i="8"/>
  <c r="D8818" i="8"/>
  <c r="D8811" i="8"/>
  <c r="D6176" i="8"/>
  <c r="D6310" i="8"/>
  <c r="D8423" i="8"/>
  <c r="D8388" i="8"/>
  <c r="D6126" i="8"/>
  <c r="D9247" i="8"/>
  <c r="D6471" i="8"/>
  <c r="D6104" i="8"/>
  <c r="D8181" i="8"/>
  <c r="D6011" i="8"/>
  <c r="D6093" i="8"/>
  <c r="D9276" i="8"/>
  <c r="D8776" i="8"/>
  <c r="D6447" i="8"/>
  <c r="D8402" i="8"/>
  <c r="D6264" i="8"/>
  <c r="D8600" i="8"/>
  <c r="D8614" i="8"/>
  <c r="D9455" i="8"/>
  <c r="D6102" i="8"/>
  <c r="D6543" i="8"/>
  <c r="D6308" i="8"/>
  <c r="D8230" i="8"/>
  <c r="D8416" i="8"/>
  <c r="D6482" i="8"/>
  <c r="D8395" i="8"/>
  <c r="D6069" i="8"/>
  <c r="D6367" i="8"/>
  <c r="D5989" i="8"/>
  <c r="D6484" i="8"/>
  <c r="D9552" i="8"/>
  <c r="D8195" i="8"/>
  <c r="D6137" i="8"/>
  <c r="D6043" i="8"/>
  <c r="D8374" i="8"/>
  <c r="D6002" i="8"/>
  <c r="D9262" i="8"/>
  <c r="D9216" i="8"/>
  <c r="D6321" i="8"/>
  <c r="D6420" i="8"/>
  <c r="D8825" i="8"/>
  <c r="C9553" i="8" l="1"/>
  <c r="C9546" i="8"/>
  <c r="C9539" i="8"/>
  <c r="C9456" i="8"/>
  <c r="C9449" i="8"/>
  <c r="C9442" i="8"/>
  <c r="C9270" i="8"/>
  <c r="C9277" i="8"/>
  <c r="C9284" i="8"/>
  <c r="C9291" i="8"/>
  <c r="C9207" i="8"/>
  <c r="C9217" i="8"/>
  <c r="C9224" i="8"/>
  <c r="C9231" i="8"/>
  <c r="C9238" i="8"/>
  <c r="C9248" i="8"/>
  <c r="C9093" i="8"/>
  <c r="C9100" i="8"/>
  <c r="C9107" i="8"/>
  <c r="C9114" i="8"/>
  <c r="C8847" i="8"/>
  <c r="C8840" i="8"/>
  <c r="C8833" i="8"/>
  <c r="C8819" i="8"/>
  <c r="C8826" i="8"/>
  <c r="C8812" i="8"/>
  <c r="C8805" i="8"/>
  <c r="C8784" i="8"/>
  <c r="C8791" i="8"/>
  <c r="C8798" i="8"/>
  <c r="C8431" i="8"/>
  <c r="C8424" i="8"/>
  <c r="C8417" i="8"/>
  <c r="C8410" i="8"/>
  <c r="C8403" i="8"/>
  <c r="C8396" i="8"/>
  <c r="C8382" i="8"/>
  <c r="C8375" i="8"/>
  <c r="C8368" i="8"/>
  <c r="C8231" i="8"/>
  <c r="C8224" i="8"/>
  <c r="C8196" i="8"/>
  <c r="C8189" i="8"/>
  <c r="R890" i="11"/>
  <c r="D5981" i="8"/>
  <c r="C5981" i="8"/>
  <c r="D5979" i="8"/>
  <c r="C5979" i="8"/>
  <c r="D5972" i="8"/>
  <c r="C5972" i="8"/>
  <c r="D5970" i="8"/>
  <c r="C5970" i="8"/>
  <c r="D5963" i="8"/>
  <c r="C5963" i="8"/>
  <c r="D5961" i="8"/>
  <c r="C5961" i="8"/>
  <c r="D5950" i="8"/>
  <c r="C5950" i="8"/>
  <c r="D5948" i="8"/>
  <c r="C5948" i="8"/>
  <c r="D5941" i="8"/>
  <c r="C5941" i="8"/>
  <c r="D5939" i="8"/>
  <c r="C5939" i="8"/>
  <c r="D5932" i="8"/>
  <c r="C5932" i="8"/>
  <c r="D5930" i="8"/>
  <c r="C5930" i="8"/>
  <c r="D5919" i="8"/>
  <c r="C5919" i="8"/>
  <c r="D5917" i="8"/>
  <c r="C5917" i="8"/>
  <c r="D5906" i="8"/>
  <c r="C5906" i="8"/>
  <c r="D5904" i="8"/>
  <c r="C5904" i="8"/>
  <c r="R5888" i="8"/>
  <c r="R5885" i="8"/>
  <c r="D5873" i="8"/>
  <c r="C5873" i="8"/>
  <c r="D5860" i="8"/>
  <c r="C5860" i="8"/>
  <c r="D5847" i="8"/>
  <c r="C5847" i="8"/>
  <c r="D5834" i="8"/>
  <c r="C5834" i="8"/>
  <c r="D5825" i="8"/>
  <c r="C5825" i="8"/>
  <c r="D5812" i="8"/>
  <c r="C5812" i="8"/>
  <c r="D5803" i="8"/>
  <c r="C5803" i="8"/>
  <c r="D5794" i="8"/>
  <c r="C5794" i="8"/>
  <c r="D5779" i="8"/>
  <c r="C5779" i="8"/>
  <c r="D5777" i="8"/>
  <c r="C5777" i="8"/>
  <c r="R862" i="11"/>
  <c r="D5770" i="8"/>
  <c r="C5770" i="8"/>
  <c r="D5768" i="8"/>
  <c r="C5768" i="8"/>
  <c r="D5761" i="8"/>
  <c r="C5761" i="8"/>
  <c r="D5759" i="8"/>
  <c r="C5759" i="8"/>
  <c r="D5748" i="8"/>
  <c r="C5748" i="8"/>
  <c r="D5746" i="8"/>
  <c r="C5746" i="8"/>
  <c r="D5739" i="8"/>
  <c r="C5739" i="8"/>
  <c r="D5737" i="8"/>
  <c r="C5737" i="8"/>
  <c r="D5726" i="8"/>
  <c r="C5726" i="8"/>
  <c r="D5724" i="8"/>
  <c r="C5724" i="8"/>
  <c r="D5717" i="8"/>
  <c r="C5717" i="8"/>
  <c r="D5715" i="8"/>
  <c r="C5715" i="8"/>
  <c r="R834" i="11"/>
  <c r="D5708" i="8"/>
  <c r="C5708" i="8"/>
  <c r="D5706" i="8"/>
  <c r="C5706" i="8"/>
  <c r="R819" i="11"/>
  <c r="R848" i="11"/>
  <c r="D5695" i="8"/>
  <c r="C5695" i="8"/>
  <c r="D5693" i="8"/>
  <c r="C5693" i="8"/>
  <c r="D5686" i="8"/>
  <c r="C5686" i="8"/>
  <c r="D5684" i="8"/>
  <c r="C5684" i="8"/>
  <c r="D5677" i="8"/>
  <c r="C5677" i="8"/>
  <c r="D5675" i="8"/>
  <c r="C5675" i="8"/>
  <c r="D5668" i="8"/>
  <c r="C5668" i="8"/>
  <c r="D5666" i="8"/>
  <c r="C5666" i="8"/>
  <c r="D5655" i="8"/>
  <c r="C5655" i="8"/>
  <c r="D5653" i="8"/>
  <c r="C5653" i="8"/>
  <c r="D5646" i="8"/>
  <c r="C5646" i="8"/>
  <c r="D5644" i="8"/>
  <c r="C5644" i="8"/>
  <c r="R759" i="11"/>
  <c r="Q754" i="11"/>
  <c r="D5637" i="8"/>
  <c r="C5637" i="8"/>
  <c r="D5635" i="8"/>
  <c r="C5635" i="8"/>
  <c r="D5628" i="8"/>
  <c r="C5628" i="8"/>
  <c r="D5626" i="8"/>
  <c r="C5626" i="8"/>
  <c r="D5619" i="8"/>
  <c r="C5619" i="8"/>
  <c r="D5617" i="8"/>
  <c r="C5617" i="8"/>
  <c r="R782" i="11"/>
  <c r="Q777" i="11"/>
  <c r="D5608" i="8"/>
  <c r="C5608" i="8"/>
  <c r="R794" i="11"/>
  <c r="Q788" i="11"/>
  <c r="R771" i="11"/>
  <c r="Q765" i="11"/>
  <c r="R748" i="11"/>
  <c r="Q742" i="11"/>
  <c r="D5610" i="8"/>
  <c r="C5610" i="8"/>
  <c r="R5602" i="8"/>
  <c r="D5601" i="8"/>
  <c r="C5601" i="8"/>
  <c r="R945" i="11"/>
  <c r="Q939" i="11"/>
  <c r="R935" i="11"/>
  <c r="R930" i="11"/>
  <c r="Q929" i="11"/>
  <c r="Q928" i="11"/>
  <c r="Q924" i="11"/>
  <c r="Q923" i="11"/>
  <c r="R922" i="11"/>
  <c r="R917" i="11"/>
  <c r="Q916" i="11"/>
  <c r="Q915" i="11"/>
  <c r="Q911" i="11"/>
  <c r="Q910" i="11"/>
  <c r="R909" i="11"/>
  <c r="D5599" i="8"/>
  <c r="C5599" i="8"/>
  <c r="R805" i="11"/>
  <c r="D5859" i="8"/>
  <c r="D5969" i="8"/>
  <c r="D5918" i="8"/>
  <c r="D5736" i="8"/>
  <c r="D5654" i="8"/>
  <c r="D5625" i="8"/>
  <c r="D5716" i="8"/>
  <c r="D5705" i="8"/>
  <c r="D5929" i="8"/>
  <c r="D5665" i="8"/>
  <c r="D5725" i="8"/>
  <c r="D5833" i="8"/>
  <c r="D5747" i="8"/>
  <c r="D5903" i="8"/>
  <c r="D5598" i="8"/>
  <c r="D5707" i="8"/>
  <c r="D5778" i="8"/>
  <c r="D5811" i="8"/>
  <c r="D5714" i="8"/>
  <c r="D5947" i="8"/>
  <c r="D5652" i="8"/>
  <c r="D5645" i="8"/>
  <c r="D5949" i="8"/>
  <c r="D5643" i="8"/>
  <c r="D5600" i="8"/>
  <c r="D5738" i="8"/>
  <c r="D5931" i="8"/>
  <c r="D5685" i="8"/>
  <c r="D5769" i="8"/>
  <c r="D5940" i="8"/>
  <c r="D5872" i="8"/>
  <c r="D5793" i="8"/>
  <c r="D5767" i="8"/>
  <c r="D5667" i="8"/>
  <c r="D5692" i="8"/>
  <c r="D5616" i="8"/>
  <c r="D5760" i="8"/>
  <c r="D5980" i="8"/>
  <c r="D5627" i="8"/>
  <c r="D5802" i="8"/>
  <c r="D5618" i="8"/>
  <c r="D5694" i="8"/>
  <c r="D5636" i="8"/>
  <c r="D5960" i="8"/>
  <c r="D5978" i="8"/>
  <c r="D5962" i="8"/>
  <c r="D5905" i="8"/>
  <c r="D5676" i="8"/>
  <c r="D5938" i="8"/>
  <c r="D5674" i="8"/>
  <c r="D5683" i="8"/>
  <c r="D5916" i="8"/>
  <c r="D5824" i="8"/>
  <c r="D5758" i="8"/>
  <c r="D5609" i="8"/>
  <c r="D5607" i="8"/>
  <c r="D5971" i="8"/>
  <c r="D5745" i="8"/>
  <c r="D5846" i="8"/>
  <c r="D5776" i="8"/>
  <c r="D5634" i="8"/>
  <c r="D5723" i="8"/>
  <c r="D5564" i="8" l="1"/>
  <c r="C5564" i="8"/>
  <c r="D5553" i="8"/>
  <c r="C5553" i="8"/>
  <c r="D5546" i="8"/>
  <c r="C5546" i="8"/>
  <c r="D5539" i="8"/>
  <c r="C5539" i="8"/>
  <c r="D5532" i="8"/>
  <c r="C5532" i="8"/>
  <c r="D5525" i="8"/>
  <c r="C5525" i="8"/>
  <c r="D5518" i="8"/>
  <c r="C5518" i="8"/>
  <c r="D5511" i="8"/>
  <c r="C5511" i="8"/>
  <c r="D5504" i="8"/>
  <c r="C5504" i="8"/>
  <c r="D5493" i="8"/>
  <c r="C5493" i="8"/>
  <c r="D5486" i="8"/>
  <c r="C5486" i="8"/>
  <c r="D5479" i="8"/>
  <c r="C5479" i="8"/>
  <c r="R619" i="11"/>
  <c r="D5472" i="8"/>
  <c r="C5472" i="8"/>
  <c r="D5465" i="8"/>
  <c r="C5465" i="8"/>
  <c r="D5458" i="8"/>
  <c r="C5458" i="8"/>
  <c r="D5451" i="8"/>
  <c r="C5451" i="8"/>
  <c r="D5444" i="8"/>
  <c r="C5444" i="8"/>
  <c r="D5437" i="8"/>
  <c r="C5437" i="8"/>
  <c r="D5430" i="8"/>
  <c r="C5430" i="8"/>
  <c r="D5419" i="8"/>
  <c r="C5419" i="8"/>
  <c r="D5412" i="8"/>
  <c r="C5412" i="8"/>
  <c r="D5405" i="8"/>
  <c r="C5405" i="8"/>
  <c r="D5398" i="8"/>
  <c r="C5398" i="8"/>
  <c r="D5391" i="8"/>
  <c r="C5391" i="8"/>
  <c r="D5384" i="8"/>
  <c r="C5384" i="8"/>
  <c r="D5377" i="8"/>
  <c r="C5377" i="8"/>
  <c r="D5366" i="8"/>
  <c r="C5366" i="8"/>
  <c r="D5359" i="8"/>
  <c r="C5359" i="8"/>
  <c r="R720" i="11"/>
  <c r="D5352" i="8"/>
  <c r="C5352" i="8"/>
  <c r="R685" i="11"/>
  <c r="D5345" i="8"/>
  <c r="C5345" i="8"/>
  <c r="R673" i="11"/>
  <c r="D5338" i="8"/>
  <c r="C5338" i="8"/>
  <c r="D5331" i="8"/>
  <c r="C5331" i="8"/>
  <c r="D5324" i="8"/>
  <c r="C5324" i="8"/>
  <c r="D5317" i="8"/>
  <c r="C5317" i="8"/>
  <c r="R610" i="11"/>
  <c r="D5310" i="8"/>
  <c r="C5310" i="8"/>
  <c r="D5303" i="8"/>
  <c r="C5303" i="8"/>
  <c r="R592" i="11"/>
  <c r="D5296" i="8"/>
  <c r="C5296" i="8"/>
  <c r="D5289" i="8"/>
  <c r="C5289" i="8"/>
  <c r="D5282" i="8"/>
  <c r="C5282" i="8"/>
  <c r="D5275" i="8"/>
  <c r="C5275" i="8"/>
  <c r="R556" i="11"/>
  <c r="D5268" i="8"/>
  <c r="C5268" i="8"/>
  <c r="R549" i="11"/>
  <c r="D5257" i="8"/>
  <c r="C5257" i="8"/>
  <c r="R712" i="11"/>
  <c r="D5250" i="8"/>
  <c r="C5250" i="8"/>
  <c r="R703" i="11"/>
  <c r="D5243" i="8"/>
  <c r="C5243" i="8"/>
  <c r="R694" i="11"/>
  <c r="D5236" i="8"/>
  <c r="C5236" i="8"/>
  <c r="R664" i="11"/>
  <c r="D5229" i="8"/>
  <c r="C5229" i="8"/>
  <c r="R655" i="11"/>
  <c r="D5222" i="8"/>
  <c r="C5222" i="8"/>
  <c r="D5215" i="8"/>
  <c r="C5215" i="8"/>
  <c r="R646" i="11"/>
  <c r="R637" i="11"/>
  <c r="D5208" i="8"/>
  <c r="C5208" i="8"/>
  <c r="R628" i="11"/>
  <c r="D5201" i="8"/>
  <c r="C5201" i="8"/>
  <c r="R601" i="11"/>
  <c r="D5194" i="8"/>
  <c r="C5194" i="8"/>
  <c r="R583" i="11"/>
  <c r="D5187" i="8"/>
  <c r="C5187" i="8"/>
  <c r="R574" i="11"/>
  <c r="D5180" i="8"/>
  <c r="C5180" i="8"/>
  <c r="R565" i="11"/>
  <c r="R5149" i="8"/>
  <c r="R5139" i="8"/>
  <c r="R5133" i="8"/>
  <c r="R5123" i="8"/>
  <c r="R5113" i="8"/>
  <c r="R5107" i="8"/>
  <c r="R5101" i="8"/>
  <c r="R5095" i="8"/>
  <c r="R5089" i="8"/>
  <c r="R5083" i="8"/>
  <c r="R5077" i="8"/>
  <c r="R5071" i="8"/>
  <c r="R5044" i="8"/>
  <c r="R5061" i="8"/>
  <c r="R5055" i="8"/>
  <c r="R5049" i="8"/>
  <c r="R5043" i="8"/>
  <c r="R5037" i="8"/>
  <c r="R5031" i="8"/>
  <c r="R5025" i="8"/>
  <c r="R5019" i="8"/>
  <c r="R5020" i="8"/>
  <c r="R4989" i="8"/>
  <c r="R4988" i="8"/>
  <c r="R4981" i="8"/>
  <c r="R4980" i="8"/>
  <c r="R4979" i="8"/>
  <c r="R4971" i="8"/>
  <c r="R4970" i="8"/>
  <c r="R4969" i="8"/>
  <c r="R4968" i="8"/>
  <c r="R4967" i="8"/>
  <c r="R4965" i="8"/>
  <c r="R4964" i="8"/>
  <c r="R4963" i="8"/>
  <c r="R4962" i="8"/>
  <c r="R4961" i="8"/>
  <c r="R4960" i="8"/>
  <c r="R4958" i="8"/>
  <c r="R4957" i="8"/>
  <c r="R4956" i="8"/>
  <c r="R4955" i="8"/>
  <c r="R4954" i="8"/>
  <c r="R4953" i="8"/>
  <c r="R4952" i="8"/>
  <c r="R4951" i="8"/>
  <c r="R4950" i="8"/>
  <c r="R4949" i="8"/>
  <c r="D5309" i="8"/>
  <c r="D5344" i="8"/>
  <c r="D5485" i="8"/>
  <c r="D5552" i="8"/>
  <c r="D5179" i="8"/>
  <c r="D5404" i="8"/>
  <c r="D5429" i="8"/>
  <c r="D5302" i="8"/>
  <c r="D5411" i="8"/>
  <c r="D5267" i="8"/>
  <c r="D5457" i="8"/>
  <c r="D5464" i="8"/>
  <c r="D5351" i="8"/>
  <c r="D5358" i="8"/>
  <c r="D5376" i="8"/>
  <c r="D5337" i="8"/>
  <c r="D5471" i="8"/>
  <c r="D5563" i="8"/>
  <c r="D5478" i="8"/>
  <c r="D5207" i="8"/>
  <c r="D5365" i="8"/>
  <c r="D5492" i="8"/>
  <c r="D5186" i="8"/>
  <c r="D5524" i="8"/>
  <c r="D5517" i="8"/>
  <c r="D5397" i="8"/>
  <c r="D5383" i="8"/>
  <c r="D5221" i="8"/>
  <c r="D5436" i="8"/>
  <c r="D5281" i="8"/>
  <c r="D5323" i="8"/>
  <c r="D5503" i="8"/>
  <c r="D5510" i="8"/>
  <c r="D5316" i="8"/>
  <c r="D5256" i="8"/>
  <c r="D5235" i="8"/>
  <c r="D5443" i="8"/>
  <c r="D5538" i="8"/>
  <c r="D5249" i="8"/>
  <c r="D5545" i="8"/>
  <c r="D5200" i="8"/>
  <c r="D5390" i="8"/>
  <c r="D5214" i="8"/>
  <c r="D5418" i="8"/>
  <c r="D5295" i="8"/>
  <c r="D5531" i="8"/>
  <c r="D5450" i="8"/>
  <c r="D5228" i="8"/>
  <c r="D5242" i="8"/>
  <c r="D5330" i="8"/>
  <c r="D5274" i="8"/>
  <c r="D5288" i="8"/>
  <c r="D5193" i="8"/>
  <c r="R5021" i="8" l="1"/>
  <c r="R4987" i="8"/>
  <c r="R4978" i="8"/>
  <c r="R4977" i="8"/>
  <c r="R4933" i="8"/>
  <c r="C4932" i="8"/>
  <c r="D4932" i="8"/>
  <c r="R4904" i="8"/>
  <c r="R4903" i="8"/>
  <c r="R4902" i="8"/>
  <c r="R4896" i="8"/>
  <c r="R4895" i="8"/>
  <c r="R4894" i="8"/>
  <c r="R4880" i="8"/>
  <c r="R4879" i="8"/>
  <c r="R4873" i="8"/>
  <c r="R4872" i="8"/>
  <c r="R4871" i="8"/>
  <c r="D4861" i="8"/>
  <c r="C4861" i="8"/>
  <c r="C4848" i="8"/>
  <c r="D4841" i="8"/>
  <c r="C4841" i="8"/>
  <c r="B4834" i="8"/>
  <c r="D4834" i="8"/>
  <c r="D4827" i="8"/>
  <c r="C4827" i="8"/>
  <c r="D4820" i="8"/>
  <c r="C4820" i="8"/>
  <c r="D4813" i="8"/>
  <c r="C4813" i="8"/>
  <c r="D4806" i="8"/>
  <c r="C4806" i="8"/>
  <c r="D4799" i="8"/>
  <c r="C4799" i="8"/>
  <c r="D4792" i="8"/>
  <c r="C4792" i="8"/>
  <c r="D4785" i="8"/>
  <c r="C4785" i="8"/>
  <c r="R4778" i="8"/>
  <c r="D4777" i="8"/>
  <c r="C4777" i="8"/>
  <c r="R4770" i="8"/>
  <c r="D4769" i="8"/>
  <c r="C4769" i="8"/>
  <c r="R4762" i="8"/>
  <c r="D4761" i="8"/>
  <c r="C4761" i="8"/>
  <c r="R4754" i="8"/>
  <c r="D4753" i="8"/>
  <c r="C4753" i="8"/>
  <c r="D4717" i="8"/>
  <c r="C4717" i="8"/>
  <c r="R4702" i="8"/>
  <c r="R4701" i="8"/>
  <c r="R4700" i="8"/>
  <c r="R4688" i="8"/>
  <c r="R4687" i="8"/>
  <c r="R4686" i="8"/>
  <c r="R4685" i="8"/>
  <c r="R4679" i="8"/>
  <c r="R4678" i="8"/>
  <c r="R4677" i="8"/>
  <c r="D4667" i="8"/>
  <c r="C4667" i="8"/>
  <c r="D4654" i="8"/>
  <c r="C4654" i="8"/>
  <c r="D4647" i="8"/>
  <c r="C4647" i="8"/>
  <c r="B4640" i="8"/>
  <c r="D4640" i="8"/>
  <c r="D4633" i="8"/>
  <c r="C4633" i="8"/>
  <c r="D4626" i="8"/>
  <c r="C4626" i="8"/>
  <c r="D4619" i="8"/>
  <c r="C4619" i="8"/>
  <c r="D4612" i="8"/>
  <c r="C4612" i="8"/>
  <c r="D4605" i="8"/>
  <c r="C4605" i="8"/>
  <c r="D4598" i="8"/>
  <c r="C4598" i="8"/>
  <c r="D4591" i="8"/>
  <c r="C4591" i="8"/>
  <c r="D4584" i="8"/>
  <c r="C4584" i="8"/>
  <c r="R4577" i="8"/>
  <c r="D4576" i="8"/>
  <c r="C4576" i="8"/>
  <c r="R4569" i="8"/>
  <c r="C4568" i="8"/>
  <c r="R4561" i="8"/>
  <c r="D4560" i="8"/>
  <c r="C4560" i="8"/>
  <c r="R4554" i="8"/>
  <c r="R4553" i="8"/>
  <c r="D4552" i="8"/>
  <c r="C4552" i="8"/>
  <c r="R4545" i="8"/>
  <c r="D4544" i="8"/>
  <c r="C4544" i="8"/>
  <c r="R4512" i="8"/>
  <c r="R4510" i="8"/>
  <c r="R4509" i="8"/>
  <c r="R4508" i="8"/>
  <c r="R4502" i="8"/>
  <c r="R4501" i="8"/>
  <c r="R4500" i="8"/>
  <c r="D4483" i="8"/>
  <c r="C4483" i="8"/>
  <c r="B4470" i="8"/>
  <c r="D4470" i="8"/>
  <c r="D4463" i="8"/>
  <c r="C4463" i="8"/>
  <c r="D4456" i="8"/>
  <c r="C4456" i="8"/>
  <c r="D4449" i="8"/>
  <c r="C4449" i="8"/>
  <c r="D4442" i="8"/>
  <c r="C4442" i="8"/>
  <c r="D4435" i="8"/>
  <c r="C4435" i="8"/>
  <c r="D4428" i="8"/>
  <c r="C4428" i="8"/>
  <c r="D4421" i="8"/>
  <c r="C4421" i="8"/>
  <c r="D4414" i="8"/>
  <c r="C4414" i="8"/>
  <c r="R4407" i="8"/>
  <c r="D4406" i="8"/>
  <c r="C4406" i="8"/>
  <c r="R4399" i="8"/>
  <c r="C4398" i="8"/>
  <c r="R4391" i="8"/>
  <c r="D4390" i="8"/>
  <c r="C4390" i="8"/>
  <c r="R4383" i="8"/>
  <c r="D4382" i="8"/>
  <c r="C4382" i="8"/>
  <c r="R4375" i="8"/>
  <c r="D4374" i="8"/>
  <c r="C4374" i="8"/>
  <c r="R4360" i="8"/>
  <c r="R4359" i="8"/>
  <c r="R4358" i="8"/>
  <c r="R4357" i="8"/>
  <c r="R4344" i="8"/>
  <c r="R4342" i="8"/>
  <c r="D4332" i="8"/>
  <c r="C4332" i="8"/>
  <c r="D4319" i="8"/>
  <c r="C4319" i="8"/>
  <c r="D4312" i="8"/>
  <c r="C4312" i="8"/>
  <c r="D4305" i="8"/>
  <c r="C4305" i="8"/>
  <c r="D4298" i="8"/>
  <c r="C4298" i="8"/>
  <c r="D4291" i="8"/>
  <c r="C4291" i="8"/>
  <c r="D4284" i="8"/>
  <c r="C4284" i="8"/>
  <c r="D4277" i="8"/>
  <c r="C4277" i="8"/>
  <c r="D4270" i="8"/>
  <c r="C4270" i="8"/>
  <c r="D4263" i="8"/>
  <c r="C4263" i="8"/>
  <c r="R4256" i="8"/>
  <c r="D4255" i="8"/>
  <c r="C4255" i="8"/>
  <c r="R4248" i="8"/>
  <c r="D4247" i="8"/>
  <c r="C4247" i="8"/>
  <c r="R4241" i="8"/>
  <c r="R4240" i="8"/>
  <c r="D4239" i="8"/>
  <c r="C4239" i="8"/>
  <c r="R4232" i="8"/>
  <c r="D4231" i="8"/>
  <c r="C4231" i="8"/>
  <c r="R4224" i="8"/>
  <c r="D4223" i="8"/>
  <c r="C4223" i="8"/>
  <c r="C4178" i="8"/>
  <c r="C4171" i="8"/>
  <c r="R4157" i="8"/>
  <c r="R4156" i="8"/>
  <c r="R4155" i="8"/>
  <c r="R4154" i="8"/>
  <c r="D4137" i="8"/>
  <c r="C4137" i="8"/>
  <c r="D4124" i="8"/>
  <c r="C4124" i="8"/>
  <c r="D4117" i="8"/>
  <c r="C4117" i="8"/>
  <c r="R4110" i="8"/>
  <c r="D4109" i="8"/>
  <c r="C4109" i="8"/>
  <c r="R4102" i="8"/>
  <c r="D4101" i="8"/>
  <c r="C4101" i="8"/>
  <c r="R4094" i="8"/>
  <c r="D4093" i="8"/>
  <c r="C4093" i="8"/>
  <c r="R4078" i="8"/>
  <c r="R4077" i="8"/>
  <c r="R4074" i="8"/>
  <c r="D4043" i="8"/>
  <c r="C4043" i="8"/>
  <c r="C4034" i="8"/>
  <c r="C4025" i="8"/>
  <c r="C4016" i="8"/>
  <c r="C4007" i="8"/>
  <c r="C3998" i="8"/>
  <c r="C3989" i="8"/>
  <c r="C3980" i="8"/>
  <c r="R3973" i="8"/>
  <c r="C3972" i="8"/>
  <c r="C3963" i="8"/>
  <c r="D3956" i="8"/>
  <c r="C3956" i="8"/>
  <c r="R3949" i="8"/>
  <c r="D3948" i="8"/>
  <c r="C3948" i="8"/>
  <c r="R3941" i="8"/>
  <c r="D3940" i="8"/>
  <c r="C3940" i="8"/>
  <c r="D3908" i="8"/>
  <c r="C3908" i="8"/>
  <c r="D3901" i="8"/>
  <c r="C3901" i="8"/>
  <c r="R3894" i="8"/>
  <c r="D3893" i="8"/>
  <c r="C3893" i="8"/>
  <c r="C3885" i="8"/>
  <c r="R3886" i="8"/>
  <c r="S360" i="8"/>
  <c r="D3878" i="8"/>
  <c r="C3878" i="8"/>
  <c r="R3862" i="8"/>
  <c r="R3861" i="8"/>
  <c r="R3855" i="8"/>
  <c r="R3854" i="8"/>
  <c r="R3853" i="8"/>
  <c r="R3852" i="8"/>
  <c r="R3851" i="8"/>
  <c r="R3849" i="8"/>
  <c r="R3848" i="8"/>
  <c r="R3846" i="8"/>
  <c r="R3845" i="8"/>
  <c r="R3844" i="8"/>
  <c r="R3843" i="8"/>
  <c r="R3842" i="8"/>
  <c r="R3841" i="8"/>
  <c r="R3840" i="8"/>
  <c r="R3839" i="8"/>
  <c r="Q3838" i="8"/>
  <c r="R3838" i="8" s="1"/>
  <c r="R3837" i="8"/>
  <c r="R3836" i="8"/>
  <c r="R3835" i="8"/>
  <c r="R3834" i="8"/>
  <c r="R3833" i="8"/>
  <c r="R3832" i="8"/>
  <c r="R3831" i="8"/>
  <c r="R3830" i="8"/>
  <c r="R3829" i="8"/>
  <c r="R3828" i="8"/>
  <c r="R3827" i="8"/>
  <c r="R3826" i="8"/>
  <c r="R3825" i="8"/>
  <c r="R3824" i="8"/>
  <c r="R3823" i="8"/>
  <c r="R3822" i="8"/>
  <c r="D3805" i="8"/>
  <c r="C3805" i="8"/>
  <c r="D3792" i="8"/>
  <c r="C3792" i="8"/>
  <c r="D3785" i="8"/>
  <c r="C3785" i="8"/>
  <c r="D3778" i="8"/>
  <c r="C3778" i="8"/>
  <c r="D3771" i="8"/>
  <c r="C3771" i="8"/>
  <c r="R3764" i="8"/>
  <c r="D3763" i="8"/>
  <c r="C3763" i="8"/>
  <c r="R3756" i="8"/>
  <c r="D3755" i="8"/>
  <c r="C3755" i="8"/>
  <c r="R3748" i="8"/>
  <c r="D3747" i="8"/>
  <c r="C3747" i="8"/>
  <c r="R3731" i="8"/>
  <c r="R3729" i="8"/>
  <c r="C3699" i="8"/>
  <c r="D3692" i="8"/>
  <c r="C3692" i="8"/>
  <c r="D3685" i="8"/>
  <c r="C3685" i="8"/>
  <c r="C3678" i="8"/>
  <c r="D3671" i="8"/>
  <c r="C3671" i="8"/>
  <c r="D3664" i="8"/>
  <c r="C3664" i="8"/>
  <c r="D3657" i="8"/>
  <c r="C3657" i="8"/>
  <c r="R3650" i="8"/>
  <c r="D3649" i="8"/>
  <c r="C3649" i="8"/>
  <c r="R3643" i="8"/>
  <c r="R3642" i="8"/>
  <c r="D3641" i="8"/>
  <c r="C3641" i="8"/>
  <c r="R3634" i="8"/>
  <c r="D3633" i="8"/>
  <c r="C3633" i="8"/>
  <c r="R3596" i="8"/>
  <c r="R3595" i="8"/>
  <c r="R3602" i="8"/>
  <c r="D3754" i="8"/>
  <c r="D4116" i="8"/>
  <c r="D4604" i="8"/>
  <c r="D4455" i="8"/>
  <c r="D4108" i="8"/>
  <c r="D4297" i="8"/>
  <c r="D4826" i="8"/>
  <c r="D4590" i="8"/>
  <c r="D4318" i="8"/>
  <c r="D4381" i="8"/>
  <c r="D4575" i="8"/>
  <c r="D4100" i="8"/>
  <c r="D3784" i="8"/>
  <c r="D4092" i="8"/>
  <c r="D4246" i="8"/>
  <c r="D4304" i="8"/>
  <c r="D4551" i="8"/>
  <c r="D4805" i="8"/>
  <c r="D4290" i="8"/>
  <c r="D4469" i="8"/>
  <c r="D4405" i="8"/>
  <c r="D4798" i="8"/>
  <c r="D4583" i="8"/>
  <c r="D4269" i="8"/>
  <c r="D3892" i="8"/>
  <c r="D4283" i="8"/>
  <c r="D4618" i="8"/>
  <c r="D3670" i="8"/>
  <c r="D4768" i="8"/>
  <c r="D4373" i="8"/>
  <c r="D4427" i="8"/>
  <c r="D4819" i="8"/>
  <c r="D4448" i="8"/>
  <c r="D4482" i="8"/>
  <c r="D3877" i="8"/>
  <c r="D4389" i="8"/>
  <c r="D3955" i="8"/>
  <c r="D4559" i="8"/>
  <c r="D4420" i="8"/>
  <c r="D4543" i="8"/>
  <c r="D3804" i="8"/>
  <c r="D4833" i="8"/>
  <c r="D3770" i="8"/>
  <c r="D4238" i="8"/>
  <c r="D3947" i="8"/>
  <c r="D4812" i="8"/>
  <c r="D3691" i="8"/>
  <c r="D4611" i="8"/>
  <c r="D3684" i="8"/>
  <c r="D4331" i="8"/>
  <c r="D4311" i="8"/>
  <c r="D4262" i="8"/>
  <c r="D4860" i="8"/>
  <c r="D3791" i="8"/>
  <c r="D4254" i="8"/>
  <c r="D4042" i="8"/>
  <c r="D4625" i="8"/>
  <c r="D4434" i="8"/>
  <c r="D3907" i="8"/>
  <c r="D4413" i="8"/>
  <c r="D3663" i="8"/>
  <c r="D4931" i="8"/>
  <c r="D4666" i="8"/>
  <c r="D3640" i="8"/>
  <c r="D4716" i="8"/>
  <c r="D4840" i="8"/>
  <c r="D4784" i="8"/>
  <c r="D4276" i="8"/>
  <c r="D3900" i="8"/>
  <c r="D4653" i="8"/>
  <c r="D4760" i="8"/>
  <c r="D4230" i="8"/>
  <c r="D4462" i="8"/>
  <c r="D4752" i="8"/>
  <c r="D4639" i="8"/>
  <c r="D4222" i="8"/>
  <c r="D4123" i="8"/>
  <c r="D3648" i="8"/>
  <c r="D4597" i="8"/>
  <c r="D4632" i="8"/>
  <c r="D3746" i="8"/>
  <c r="D4441" i="8"/>
  <c r="D3632" i="8"/>
  <c r="D4646" i="8"/>
  <c r="D3777" i="8"/>
  <c r="D3939" i="8"/>
  <c r="D4776" i="8"/>
  <c r="D4136" i="8"/>
  <c r="D4791" i="8"/>
  <c r="D3656" i="8"/>
  <c r="D3762" i="8"/>
  <c r="R4911" i="8" l="1"/>
  <c r="R4905" i="8"/>
  <c r="R4881" i="8"/>
  <c r="C4834" i="8"/>
  <c r="C4640" i="8"/>
  <c r="R4517" i="8"/>
  <c r="R4511" i="8"/>
  <c r="C4470" i="8"/>
  <c r="R4343" i="8"/>
  <c r="R4075" i="8"/>
  <c r="R4076" i="8"/>
  <c r="R3863" i="8"/>
  <c r="R3732" i="8"/>
  <c r="R3610" i="8"/>
  <c r="R3594" i="8"/>
  <c r="R3605" i="8"/>
  <c r="D3584" i="8"/>
  <c r="C3584" i="8"/>
  <c r="R36" i="11"/>
  <c r="B3567" i="8"/>
  <c r="D3567" i="8"/>
  <c r="D3560" i="8"/>
  <c r="C3560" i="8"/>
  <c r="D3553" i="8"/>
  <c r="C3553" i="8"/>
  <c r="D3546" i="8"/>
  <c r="C3546" i="8"/>
  <c r="D3539" i="8"/>
  <c r="C3539" i="8"/>
  <c r="D3532" i="8"/>
  <c r="C3532" i="8"/>
  <c r="D3525" i="8"/>
  <c r="C3525" i="8"/>
  <c r="D3518" i="8"/>
  <c r="C3518" i="8"/>
  <c r="D3511" i="8"/>
  <c r="C3511" i="8"/>
  <c r="D3504" i="8"/>
  <c r="C3504" i="8"/>
  <c r="R27" i="11"/>
  <c r="R3497" i="8"/>
  <c r="D3496" i="8"/>
  <c r="C3496" i="8"/>
  <c r="R3489" i="8"/>
  <c r="C3488" i="8"/>
  <c r="R3481" i="8"/>
  <c r="D3480" i="8"/>
  <c r="C3480" i="8"/>
  <c r="R3473" i="8"/>
  <c r="D3472" i="8"/>
  <c r="C3472" i="8"/>
  <c r="R3465" i="8"/>
  <c r="D3464" i="8"/>
  <c r="C3464" i="8"/>
  <c r="R43" i="11"/>
  <c r="R3444" i="8"/>
  <c r="R3443" i="8"/>
  <c r="D3419" i="8"/>
  <c r="C3419" i="8"/>
  <c r="B3402" i="8"/>
  <c r="D3402" i="8"/>
  <c r="B3395" i="8"/>
  <c r="C3395" i="8" s="1"/>
  <c r="D3395" i="8"/>
  <c r="B3388" i="8"/>
  <c r="D3388" i="8"/>
  <c r="B3381" i="8"/>
  <c r="D3381" i="8"/>
  <c r="B3374" i="8"/>
  <c r="D3374" i="8"/>
  <c r="D3367" i="8"/>
  <c r="C3367" i="8"/>
  <c r="D3360" i="8"/>
  <c r="C3360" i="8"/>
  <c r="D3353" i="8"/>
  <c r="C3353" i="8"/>
  <c r="D3346" i="8"/>
  <c r="C3346" i="8"/>
  <c r="D3339" i="8"/>
  <c r="C3339" i="8"/>
  <c r="D3332" i="8"/>
  <c r="C3332" i="8"/>
  <c r="D3325" i="8"/>
  <c r="C3325" i="8"/>
  <c r="D3318" i="8"/>
  <c r="C3318" i="8"/>
  <c r="D3311" i="8"/>
  <c r="C3311" i="8"/>
  <c r="R3290" i="8"/>
  <c r="D3289" i="8"/>
  <c r="C3289" i="8"/>
  <c r="R3268" i="8"/>
  <c r="D3267" i="8"/>
  <c r="C3267" i="8"/>
  <c r="D3241" i="8"/>
  <c r="C3241" i="8"/>
  <c r="D3304" i="8"/>
  <c r="C3304" i="8"/>
  <c r="D3297" i="8"/>
  <c r="C3297" i="8"/>
  <c r="R3225" i="8"/>
  <c r="R3224" i="8"/>
  <c r="R3226" i="8"/>
  <c r="R3202" i="8"/>
  <c r="R3201" i="8"/>
  <c r="R3200" i="8"/>
  <c r="R3191" i="8"/>
  <c r="R3190" i="8"/>
  <c r="R3199" i="8"/>
  <c r="R3198" i="8"/>
  <c r="R3196" i="8"/>
  <c r="R3195" i="8"/>
  <c r="R3210" i="8"/>
  <c r="R3209" i="8"/>
  <c r="R3208" i="8"/>
  <c r="R3189" i="8"/>
  <c r="R3188" i="8"/>
  <c r="R3187" i="8"/>
  <c r="R3186" i="8"/>
  <c r="R3185" i="8"/>
  <c r="R3184" i="8"/>
  <c r="R3183" i="8"/>
  <c r="R3182" i="8"/>
  <c r="R3181" i="8"/>
  <c r="R3180" i="8"/>
  <c r="R3179" i="8"/>
  <c r="R3178" i="8"/>
  <c r="R3177" i="8"/>
  <c r="R3176" i="8"/>
  <c r="R3175" i="8"/>
  <c r="R3174" i="8"/>
  <c r="R3173" i="8"/>
  <c r="R3172" i="8"/>
  <c r="R3171" i="8"/>
  <c r="R3170" i="8"/>
  <c r="D3138" i="8"/>
  <c r="C3138" i="8"/>
  <c r="R109" i="11"/>
  <c r="D3125" i="8"/>
  <c r="C3125" i="8"/>
  <c r="D3118" i="8"/>
  <c r="C3118" i="8"/>
  <c r="D3111" i="8"/>
  <c r="B3104" i="8"/>
  <c r="D3104" i="8"/>
  <c r="D3097" i="8"/>
  <c r="C3097" i="8"/>
  <c r="D3090" i="8"/>
  <c r="C3090" i="8"/>
  <c r="D3083" i="8"/>
  <c r="C3083" i="8"/>
  <c r="D3076" i="8"/>
  <c r="C3076" i="8"/>
  <c r="R3063" i="8"/>
  <c r="D3062" i="8"/>
  <c r="C3062" i="8"/>
  <c r="D3055" i="8"/>
  <c r="C3055" i="8"/>
  <c r="D3048" i="8"/>
  <c r="C3048" i="8"/>
  <c r="D3041" i="8"/>
  <c r="C3041" i="8"/>
  <c r="D3027" i="8"/>
  <c r="C3027" i="8"/>
  <c r="D3288" i="8"/>
  <c r="D3317" i="8"/>
  <c r="D3324" i="8"/>
  <c r="D3103" i="8"/>
  <c r="D3387" i="8"/>
  <c r="D3240" i="8"/>
  <c r="D3089" i="8"/>
  <c r="D3026" i="8"/>
  <c r="D3510" i="8"/>
  <c r="D3495" i="8"/>
  <c r="D3303" i="8"/>
  <c r="D3531" i="8"/>
  <c r="D3538" i="8"/>
  <c r="D3401" i="8"/>
  <c r="D3479" i="8"/>
  <c r="D3075" i="8"/>
  <c r="D3331" i="8"/>
  <c r="D3524" i="8"/>
  <c r="D3266" i="8"/>
  <c r="D3345" i="8"/>
  <c r="D3137" i="8"/>
  <c r="D3352" i="8"/>
  <c r="D3047" i="8"/>
  <c r="D3552" i="8"/>
  <c r="D3583" i="8"/>
  <c r="D3040" i="8"/>
  <c r="D3566" i="8"/>
  <c r="D3296" i="8"/>
  <c r="D3082" i="8"/>
  <c r="D3380" i="8"/>
  <c r="D3310" i="8"/>
  <c r="D3124" i="8"/>
  <c r="D3503" i="8"/>
  <c r="D3338" i="8"/>
  <c r="D3359" i="8"/>
  <c r="D3096" i="8"/>
  <c r="D3117" i="8"/>
  <c r="D3463" i="8"/>
  <c r="D3545" i="8"/>
  <c r="D3110" i="8"/>
  <c r="D3366" i="8"/>
  <c r="D3559" i="8"/>
  <c r="D3394" i="8"/>
  <c r="D3061" i="8"/>
  <c r="D3373" i="8"/>
  <c r="D3054" i="8"/>
  <c r="D3418" i="8"/>
  <c r="D3517" i="8"/>
  <c r="D3471" i="8"/>
  <c r="R3603" i="8" l="1"/>
  <c r="R3604" i="8"/>
  <c r="C3567" i="8"/>
  <c r="R3445" i="8"/>
  <c r="C3402" i="8"/>
  <c r="C3374" i="8"/>
  <c r="C3388" i="8"/>
  <c r="C3381" i="8"/>
  <c r="R3193" i="8"/>
  <c r="R3192" i="8"/>
  <c r="C3104" i="8"/>
  <c r="C3111" i="8"/>
  <c r="D3013" i="8" l="1"/>
  <c r="C3013" i="8"/>
  <c r="D3006" i="8"/>
  <c r="C3006" i="8"/>
  <c r="R2999" i="8"/>
  <c r="D2998" i="8"/>
  <c r="C2998" i="8"/>
  <c r="D2991" i="8"/>
  <c r="C2991" i="8"/>
  <c r="D2984" i="8"/>
  <c r="C2984" i="8"/>
  <c r="R53" i="11"/>
  <c r="D2977" i="8"/>
  <c r="C2977" i="8"/>
  <c r="D2970" i="8"/>
  <c r="C2970" i="8"/>
  <c r="R138" i="11"/>
  <c r="R2963" i="8"/>
  <c r="D2962" i="8"/>
  <c r="C2962" i="8"/>
  <c r="R124" i="11"/>
  <c r="R2955" i="8"/>
  <c r="D2954" i="8"/>
  <c r="C2954" i="8"/>
  <c r="R2947" i="8"/>
  <c r="D2946" i="8"/>
  <c r="C2946" i="8"/>
  <c r="R117" i="11"/>
  <c r="D1830" i="8"/>
  <c r="C1830" i="8"/>
  <c r="D901" i="8"/>
  <c r="C901" i="8"/>
  <c r="D618" i="8"/>
  <c r="C618" i="8"/>
  <c r="D4888" i="8"/>
  <c r="C4888" i="8"/>
  <c r="D4728" i="8"/>
  <c r="C4728" i="8"/>
  <c r="D4694" i="8"/>
  <c r="C4694" i="8"/>
  <c r="D4494" i="8"/>
  <c r="C4494" i="8"/>
  <c r="R4352" i="8"/>
  <c r="D4351" i="8"/>
  <c r="C4351" i="8"/>
  <c r="D4054" i="8"/>
  <c r="C4054" i="8"/>
  <c r="D3156" i="8"/>
  <c r="R162" i="11"/>
  <c r="D4148" i="8"/>
  <c r="C4148" i="8"/>
  <c r="D4061" i="8"/>
  <c r="C4061" i="8"/>
  <c r="D3919" i="8"/>
  <c r="C3919" i="8"/>
  <c r="D3723" i="8"/>
  <c r="C3723" i="8"/>
  <c r="D3437" i="8"/>
  <c r="C3437" i="8"/>
  <c r="D3163" i="8"/>
  <c r="C3163" i="8"/>
  <c r="C3156" i="8"/>
  <c r="D2283" i="8"/>
  <c r="C2283" i="8"/>
  <c r="D2276" i="8"/>
  <c r="C2276" i="8"/>
  <c r="D2104" i="8"/>
  <c r="C2104" i="8"/>
  <c r="D1815" i="8"/>
  <c r="C1815" i="8"/>
  <c r="D1366" i="8"/>
  <c r="C1366" i="8"/>
  <c r="D1987" i="8"/>
  <c r="R180" i="11"/>
  <c r="D1994" i="8"/>
  <c r="C1994" i="8"/>
  <c r="R189" i="11"/>
  <c r="C1987" i="8"/>
  <c r="R171" i="11"/>
  <c r="R2576" i="8"/>
  <c r="D2575" i="8"/>
  <c r="C2575" i="8"/>
  <c r="D2564" i="8"/>
  <c r="C2564" i="8"/>
  <c r="D2907" i="8"/>
  <c r="C2907" i="8"/>
  <c r="D2900" i="8"/>
  <c r="C2900" i="8"/>
  <c r="D1223" i="8"/>
  <c r="C1223" i="8"/>
  <c r="D2482" i="8"/>
  <c r="C2482" i="8"/>
  <c r="D1841" i="8"/>
  <c r="C1841" i="8"/>
  <c r="D1642" i="8"/>
  <c r="C1642" i="8"/>
  <c r="D1441" i="8"/>
  <c r="C1441" i="8"/>
  <c r="D1434" i="8"/>
  <c r="C1434" i="8"/>
  <c r="R216" i="11"/>
  <c r="D1359" i="8"/>
  <c r="C1359" i="8"/>
  <c r="R207" i="11"/>
  <c r="R1072" i="8"/>
  <c r="R1071" i="8"/>
  <c r="R1070" i="8"/>
  <c r="R1063" i="8"/>
  <c r="R1064" i="8"/>
  <c r="R1062" i="8"/>
  <c r="R511" i="8"/>
  <c r="R510" i="8"/>
  <c r="R501" i="8"/>
  <c r="R500" i="8"/>
  <c r="R490" i="8"/>
  <c r="R473" i="8"/>
  <c r="R486" i="8"/>
  <c r="R489" i="8"/>
  <c r="R472" i="8"/>
  <c r="R554" i="8"/>
  <c r="R555" i="8"/>
  <c r="R553" i="8"/>
  <c r="R547" i="8"/>
  <c r="R546" i="8"/>
  <c r="R545" i="8"/>
  <c r="R538" i="8"/>
  <c r="R539" i="8"/>
  <c r="R537" i="8"/>
  <c r="R531" i="8"/>
  <c r="R530" i="8"/>
  <c r="R529" i="8"/>
  <c r="R528" i="8"/>
  <c r="R512" i="8"/>
  <c r="R507" i="8"/>
  <c r="R491" i="8"/>
  <c r="R434" i="8"/>
  <c r="R433" i="8"/>
  <c r="Q432" i="8"/>
  <c r="R432" i="8" s="1"/>
  <c r="S431" i="8"/>
  <c r="R431" i="8"/>
  <c r="R430" i="8"/>
  <c r="R454" i="8"/>
  <c r="R453" i="8"/>
  <c r="Q452" i="8"/>
  <c r="R452" i="8" s="1"/>
  <c r="S451" i="8"/>
  <c r="R451" i="8"/>
  <c r="R450" i="8"/>
  <c r="R444" i="8"/>
  <c r="R443" i="8"/>
  <c r="Q442" i="8"/>
  <c r="R442" i="8" s="1"/>
  <c r="S441" i="8"/>
  <c r="R441" i="8"/>
  <c r="R440" i="8"/>
  <c r="R424" i="8"/>
  <c r="R423" i="8"/>
  <c r="Q422" i="8"/>
  <c r="R422" i="8" s="1"/>
  <c r="S421" i="8"/>
  <c r="R421" i="8"/>
  <c r="R420" i="8"/>
  <c r="R414" i="8"/>
  <c r="R413" i="8"/>
  <c r="Q412" i="8"/>
  <c r="R412" i="8" s="1"/>
  <c r="S411" i="8"/>
  <c r="R411" i="8"/>
  <c r="R410" i="8"/>
  <c r="R404" i="8"/>
  <c r="R403" i="8"/>
  <c r="Q402" i="8"/>
  <c r="R402" i="8" s="1"/>
  <c r="S401" i="8"/>
  <c r="R401" i="8"/>
  <c r="R400" i="8"/>
  <c r="R394" i="8"/>
  <c r="R393" i="8"/>
  <c r="Q392" i="8"/>
  <c r="R392" i="8" s="1"/>
  <c r="S391" i="8"/>
  <c r="R391" i="8"/>
  <c r="S390" i="8"/>
  <c r="R390" i="8"/>
  <c r="R384" i="8"/>
  <c r="R383" i="8"/>
  <c r="Q382" i="8"/>
  <c r="R382" i="8" s="1"/>
  <c r="S381" i="8"/>
  <c r="R381" i="8"/>
  <c r="R380" i="8"/>
  <c r="R374" i="8"/>
  <c r="R373" i="8"/>
  <c r="Q372" i="8"/>
  <c r="R372" i="8" s="1"/>
  <c r="S371" i="8"/>
  <c r="R371" i="8"/>
  <c r="R370" i="8"/>
  <c r="R364" i="8"/>
  <c r="R363" i="8"/>
  <c r="Q362" i="8"/>
  <c r="R362" i="8" s="1"/>
  <c r="S361" i="8"/>
  <c r="R361" i="8"/>
  <c r="R360" i="8"/>
  <c r="S350" i="8"/>
  <c r="R354" i="8"/>
  <c r="R353" i="8"/>
  <c r="Q352" i="8"/>
  <c r="R352" i="8" s="1"/>
  <c r="S351" i="8"/>
  <c r="R351" i="8"/>
  <c r="R350" i="8"/>
  <c r="S340" i="8"/>
  <c r="R344" i="8"/>
  <c r="R343" i="8"/>
  <c r="Q342" i="8"/>
  <c r="R342" i="8" s="1"/>
  <c r="S341" i="8"/>
  <c r="R341" i="8"/>
  <c r="R340" i="8"/>
  <c r="S330" i="8"/>
  <c r="R334" i="8"/>
  <c r="R333" i="8"/>
  <c r="Q332" i="8"/>
  <c r="R332" i="8" s="1"/>
  <c r="S331" i="8"/>
  <c r="R331" i="8"/>
  <c r="R330" i="8"/>
  <c r="S320" i="8"/>
  <c r="R324" i="8"/>
  <c r="R323" i="8"/>
  <c r="Q322" i="8"/>
  <c r="R322" i="8" s="1"/>
  <c r="S321" i="8"/>
  <c r="R321" i="8"/>
  <c r="R320" i="8"/>
  <c r="R314" i="8"/>
  <c r="R313" i="8"/>
  <c r="Q312" i="8"/>
  <c r="R312" i="8" s="1"/>
  <c r="S311" i="8"/>
  <c r="R311" i="8"/>
  <c r="R310" i="8"/>
  <c r="S300" i="8"/>
  <c r="R304" i="8"/>
  <c r="R303" i="8"/>
  <c r="Q302" i="8"/>
  <c r="R302" i="8" s="1"/>
  <c r="S301" i="8"/>
  <c r="R301" i="8"/>
  <c r="R300" i="8"/>
  <c r="S260" i="8"/>
  <c r="R294" i="8"/>
  <c r="R293" i="8"/>
  <c r="Q292" i="8"/>
  <c r="R292" i="8" s="1"/>
  <c r="S291" i="8"/>
  <c r="R291" i="8"/>
  <c r="R290" i="8"/>
  <c r="R284" i="8"/>
  <c r="R283" i="8"/>
  <c r="Q282" i="8"/>
  <c r="R282" i="8" s="1"/>
  <c r="S281" i="8"/>
  <c r="R281" i="8"/>
  <c r="R280" i="8"/>
  <c r="R274" i="8"/>
  <c r="R273" i="8"/>
  <c r="Q272" i="8"/>
  <c r="R272" i="8" s="1"/>
  <c r="S271" i="8"/>
  <c r="R271" i="8"/>
  <c r="R270" i="8"/>
  <c r="R264" i="8"/>
  <c r="R263" i="8"/>
  <c r="Q262" i="8"/>
  <c r="R262" i="8" s="1"/>
  <c r="S261" i="8"/>
  <c r="R261" i="8"/>
  <c r="R260" i="8"/>
  <c r="R254" i="8"/>
  <c r="R253" i="8"/>
  <c r="Q252" i="8"/>
  <c r="R252" i="8" s="1"/>
  <c r="S251" i="8"/>
  <c r="R251" i="8"/>
  <c r="R250" i="8"/>
  <c r="R238" i="8"/>
  <c r="R237" i="8"/>
  <c r="R235" i="8"/>
  <c r="R221" i="8"/>
  <c r="R220" i="8"/>
  <c r="R219" i="8"/>
  <c r="R205" i="8"/>
  <c r="R204" i="8"/>
  <c r="R203" i="8"/>
  <c r="D4350" i="8"/>
  <c r="D4887" i="8"/>
  <c r="D900" i="8"/>
  <c r="D2969" i="8"/>
  <c r="D1829" i="8"/>
  <c r="D3155" i="8"/>
  <c r="D1993" i="8"/>
  <c r="D2282" i="8"/>
  <c r="D1433" i="8"/>
  <c r="D2563" i="8"/>
  <c r="D4060" i="8"/>
  <c r="D3005" i="8"/>
  <c r="D4147" i="8"/>
  <c r="D2899" i="8"/>
  <c r="D4727" i="8"/>
  <c r="D2983" i="8"/>
  <c r="D4053" i="8"/>
  <c r="D1840" i="8"/>
  <c r="D4693" i="8"/>
  <c r="D1986" i="8"/>
  <c r="D3918" i="8"/>
  <c r="D1440" i="8"/>
  <c r="D2997" i="8"/>
  <c r="D1641" i="8"/>
  <c r="D1358" i="8"/>
  <c r="D2574" i="8"/>
  <c r="D2103" i="8"/>
  <c r="D2990" i="8"/>
  <c r="D1814" i="8"/>
  <c r="D2945" i="8"/>
  <c r="D2976" i="8"/>
  <c r="D3722" i="8"/>
  <c r="D1365" i="8"/>
  <c r="D2961" i="8"/>
  <c r="D4493" i="8"/>
  <c r="D3162" i="8"/>
  <c r="D2953" i="8"/>
  <c r="D3012" i="8"/>
  <c r="D2189" i="8"/>
  <c r="D2275" i="8"/>
  <c r="D1222" i="8"/>
  <c r="D2481" i="8"/>
  <c r="D617" i="8"/>
  <c r="D2906" i="8"/>
  <c r="D3436" i="8"/>
  <c r="R508" i="8" l="1"/>
  <c r="R513" i="8"/>
  <c r="R487" i="8"/>
  <c r="R492" i="8"/>
  <c r="R515" i="8" l="1"/>
  <c r="AM496" i="8" s="1"/>
  <c r="R494" i="8"/>
  <c r="AM468" i="8" s="1"/>
  <c r="R169" i="8" l="1"/>
  <c r="R148" i="8"/>
  <c r="R147" i="8"/>
  <c r="R146" i="8"/>
  <c r="R145" i="8"/>
  <c r="R142" i="8"/>
  <c r="C4068" i="8" l="1"/>
  <c r="D4068" i="8"/>
  <c r="C3816" i="8"/>
  <c r="D3816" i="8"/>
  <c r="C3716" i="8"/>
  <c r="D3716" i="8"/>
  <c r="C3430" i="8"/>
  <c r="D3430" i="8"/>
  <c r="C3252" i="8"/>
  <c r="D3252" i="8"/>
  <c r="C3149" i="8"/>
  <c r="D3149" i="8"/>
  <c r="C2921" i="8"/>
  <c r="D2921" i="8"/>
  <c r="C2832" i="8"/>
  <c r="D2832" i="8"/>
  <c r="C2725" i="8"/>
  <c r="D2725" i="8"/>
  <c r="C2673" i="8"/>
  <c r="D2673" i="8"/>
  <c r="C2626" i="8"/>
  <c r="D2626" i="8"/>
  <c r="C2586" i="8"/>
  <c r="D2586" i="8"/>
  <c r="C1898" i="8"/>
  <c r="D1898" i="8"/>
  <c r="C1448" i="8"/>
  <c r="D1448" i="8"/>
  <c r="C1118" i="8"/>
  <c r="D1118" i="8"/>
  <c r="R198" i="11"/>
  <c r="C1056" i="8"/>
  <c r="D1056" i="8"/>
  <c r="R234" i="11"/>
  <c r="C2914" i="8"/>
  <c r="D2914" i="8"/>
  <c r="C2633" i="8"/>
  <c r="D2633" i="8"/>
  <c r="C1305" i="8"/>
  <c r="D1305" i="8"/>
  <c r="C993" i="8"/>
  <c r="D993" i="8"/>
  <c r="R225" i="11"/>
  <c r="D1010" i="8"/>
  <c r="C1010" i="8"/>
  <c r="D938" i="8"/>
  <c r="C938" i="8"/>
  <c r="D731" i="8"/>
  <c r="C731" i="8"/>
  <c r="D707" i="8"/>
  <c r="C707" i="8"/>
  <c r="D705" i="8"/>
  <c r="C705" i="8"/>
  <c r="D703" i="8"/>
  <c r="C703" i="8"/>
  <c r="D666" i="8"/>
  <c r="C666" i="8"/>
  <c r="D664" i="8"/>
  <c r="C664" i="8"/>
  <c r="D653" i="8"/>
  <c r="C653" i="8"/>
  <c r="D651" i="8"/>
  <c r="C651" i="8"/>
  <c r="D631" i="8"/>
  <c r="D616" i="8"/>
  <c r="D614" i="8"/>
  <c r="R8001" i="8"/>
  <c r="F8001" i="8"/>
  <c r="D2585" i="8"/>
  <c r="D3715" i="8"/>
  <c r="D2672" i="8"/>
  <c r="D3148" i="8"/>
  <c r="D1117" i="8"/>
  <c r="D2724" i="8"/>
  <c r="D1304" i="8"/>
  <c r="D4067" i="8"/>
  <c r="D2920" i="8"/>
  <c r="D663" i="8"/>
  <c r="D937" i="8"/>
  <c r="D2625" i="8"/>
  <c r="D630" i="8"/>
  <c r="D1897" i="8"/>
  <c r="D615" i="8"/>
  <c r="D650" i="8"/>
  <c r="D2913" i="8"/>
  <c r="D652" i="8"/>
  <c r="D704" i="8"/>
  <c r="D992" i="8"/>
  <c r="D1055" i="8"/>
  <c r="D1009" i="8"/>
  <c r="D3251" i="8"/>
  <c r="D3815" i="8"/>
  <c r="D702" i="8"/>
  <c r="D1447" i="8"/>
  <c r="D3429" i="8"/>
  <c r="D613" i="8"/>
  <c r="D665" i="8"/>
  <c r="D2831" i="8"/>
  <c r="D730" i="8"/>
  <c r="D2632" i="8"/>
  <c r="D706" i="8"/>
  <c r="C631" i="8" l="1"/>
  <c r="C616" i="8"/>
  <c r="C614" i="8"/>
  <c r="T11471" i="8" l="1"/>
  <c r="T32" i="1" s="1"/>
  <c r="R11471" i="8"/>
  <c r="R32" i="1" s="1"/>
  <c r="F11471" i="8"/>
  <c r="F32" i="1" s="1"/>
  <c r="D2889" i="8" l="1"/>
  <c r="C2889" i="8"/>
  <c r="D2882" i="8"/>
  <c r="C2882" i="8"/>
  <c r="D2875" i="8"/>
  <c r="C2875" i="8"/>
  <c r="D2868" i="8"/>
  <c r="C2868" i="8"/>
  <c r="D2861" i="8"/>
  <c r="C2861" i="8"/>
  <c r="D2854" i="8"/>
  <c r="C2854" i="8"/>
  <c r="D2847" i="8"/>
  <c r="C2847" i="8"/>
  <c r="D2821" i="8"/>
  <c r="C2821" i="8"/>
  <c r="D2814" i="8"/>
  <c r="C2814" i="8"/>
  <c r="D2807" i="8"/>
  <c r="C2807" i="8"/>
  <c r="D2796" i="8"/>
  <c r="C2796" i="8"/>
  <c r="D2781" i="8"/>
  <c r="C2781" i="8"/>
  <c r="D2774" i="8"/>
  <c r="C2774" i="8"/>
  <c r="D2767" i="8"/>
  <c r="C2767" i="8"/>
  <c r="D2760" i="8"/>
  <c r="C2760" i="8"/>
  <c r="D2753" i="8"/>
  <c r="C2753" i="8"/>
  <c r="D2746" i="8"/>
  <c r="C2746" i="8"/>
  <c r="D2714" i="8"/>
  <c r="C2714" i="8"/>
  <c r="D2707" i="8"/>
  <c r="C2707" i="8"/>
  <c r="D2696" i="8"/>
  <c r="C2696" i="8"/>
  <c r="D2662" i="8"/>
  <c r="C2662" i="8"/>
  <c r="D2655" i="8"/>
  <c r="C2655" i="8"/>
  <c r="D2648" i="8"/>
  <c r="C2648" i="8"/>
  <c r="D2608" i="8"/>
  <c r="C2608" i="8"/>
  <c r="D2615" i="8"/>
  <c r="C2615" i="8"/>
  <c r="R455" i="11"/>
  <c r="D2549" i="8"/>
  <c r="C2549" i="8"/>
  <c r="D2542" i="8"/>
  <c r="C2542" i="8"/>
  <c r="D2535" i="8"/>
  <c r="C2535" i="8"/>
  <c r="D2524" i="8"/>
  <c r="C2524" i="8"/>
  <c r="D2517" i="8"/>
  <c r="C2517" i="8"/>
  <c r="D2510" i="8"/>
  <c r="C2510" i="8"/>
  <c r="D2503" i="8"/>
  <c r="C2503" i="8"/>
  <c r="R382" i="11"/>
  <c r="D2471" i="8"/>
  <c r="C2471" i="8"/>
  <c r="D2464" i="8"/>
  <c r="C2464" i="8"/>
  <c r="C2361" i="8"/>
  <c r="C2347" i="8"/>
  <c r="C2319" i="8"/>
  <c r="D2417" i="8"/>
  <c r="C2417" i="8"/>
  <c r="D2410" i="8"/>
  <c r="C2410" i="8"/>
  <c r="D2403" i="8"/>
  <c r="C2403" i="8"/>
  <c r="R414" i="11"/>
  <c r="C2396" i="8"/>
  <c r="C2389" i="8"/>
  <c r="C2382" i="8"/>
  <c r="C2375" i="8"/>
  <c r="C2368" i="8"/>
  <c r="C2354" i="8"/>
  <c r="C2340" i="8"/>
  <c r="C2333" i="8"/>
  <c r="C2326" i="8"/>
  <c r="D2312" i="8"/>
  <c r="C2312" i="8"/>
  <c r="D2305" i="8"/>
  <c r="C2305" i="8"/>
  <c r="D2298" i="8"/>
  <c r="C2298" i="8"/>
  <c r="R465" i="11"/>
  <c r="D2258" i="8"/>
  <c r="C2258" i="8"/>
  <c r="D2251" i="8"/>
  <c r="C2251" i="8"/>
  <c r="D2244" i="8"/>
  <c r="C2244" i="8"/>
  <c r="D2237" i="8"/>
  <c r="C2237" i="8"/>
  <c r="D2230" i="8"/>
  <c r="C2230" i="8"/>
  <c r="D2223" i="8"/>
  <c r="C2223" i="8"/>
  <c r="D2179" i="8"/>
  <c r="C2179" i="8"/>
  <c r="D2601" i="8"/>
  <c r="C2601" i="8"/>
  <c r="D2265" i="8"/>
  <c r="C2265" i="8"/>
  <c r="D2161" i="8"/>
  <c r="C2161" i="8"/>
  <c r="C2154" i="8"/>
  <c r="C2147" i="8"/>
  <c r="C2140" i="8"/>
  <c r="C2133" i="8"/>
  <c r="C2126" i="8"/>
  <c r="C2119" i="8"/>
  <c r="D2093" i="8"/>
  <c r="C2093" i="8"/>
  <c r="D2086" i="8"/>
  <c r="C2086" i="8"/>
  <c r="D2079" i="8"/>
  <c r="C2079" i="8"/>
  <c r="D2072" i="8"/>
  <c r="C2072" i="8"/>
  <c r="D2065" i="8"/>
  <c r="C2065" i="8"/>
  <c r="D2058" i="8"/>
  <c r="C2058" i="8"/>
  <c r="D2051" i="8"/>
  <c r="C2051" i="8"/>
  <c r="D2044" i="8"/>
  <c r="C2044" i="8"/>
  <c r="D2037" i="8"/>
  <c r="C2037" i="8"/>
  <c r="D2030" i="8"/>
  <c r="C2030" i="8"/>
  <c r="D2023" i="8"/>
  <c r="C2023" i="8"/>
  <c r="D2016" i="8"/>
  <c r="C2016" i="8"/>
  <c r="D2009" i="8"/>
  <c r="C2009" i="8"/>
  <c r="D1976" i="8"/>
  <c r="C1976" i="8"/>
  <c r="D1969" i="8"/>
  <c r="C1969" i="8"/>
  <c r="D1962" i="8"/>
  <c r="C1962" i="8"/>
  <c r="D1955" i="8"/>
  <c r="C1955" i="8"/>
  <c r="D1948" i="8"/>
  <c r="C1948" i="8"/>
  <c r="D1941" i="8"/>
  <c r="C1941" i="8"/>
  <c r="D1934" i="8"/>
  <c r="C1934" i="8"/>
  <c r="D1927" i="8"/>
  <c r="C1927" i="8"/>
  <c r="D1920" i="8"/>
  <c r="C1920" i="8"/>
  <c r="D1913" i="8"/>
  <c r="C1913" i="8"/>
  <c r="D1887" i="8"/>
  <c r="C1887" i="8"/>
  <c r="D1880" i="8"/>
  <c r="C1880" i="8"/>
  <c r="D1873" i="8"/>
  <c r="C1873" i="8"/>
  <c r="D1862" i="8"/>
  <c r="C1862" i="8"/>
  <c r="R434" i="11"/>
  <c r="D1804" i="8"/>
  <c r="C1804" i="8"/>
  <c r="D1797" i="8"/>
  <c r="C1797" i="8"/>
  <c r="D1790" i="8"/>
  <c r="C1790" i="8"/>
  <c r="D1783" i="8"/>
  <c r="C1783" i="8"/>
  <c r="D1776" i="8"/>
  <c r="C1776" i="8"/>
  <c r="D1769" i="8"/>
  <c r="C1769" i="8"/>
  <c r="D1762" i="8"/>
  <c r="C1762" i="8"/>
  <c r="D1755" i="8"/>
  <c r="C1755" i="8"/>
  <c r="D1748" i="8"/>
  <c r="C1748" i="8"/>
  <c r="D1741" i="8"/>
  <c r="C1741" i="8"/>
  <c r="D1734" i="8"/>
  <c r="C1734" i="8"/>
  <c r="D1727" i="8"/>
  <c r="C1727" i="8"/>
  <c r="D1720" i="8"/>
  <c r="C1720" i="8"/>
  <c r="D1713" i="8"/>
  <c r="C1713" i="8"/>
  <c r="D1706" i="8"/>
  <c r="C1706" i="8"/>
  <c r="D1699" i="8"/>
  <c r="C1699" i="8"/>
  <c r="D1692" i="8"/>
  <c r="C1692" i="8"/>
  <c r="D1685" i="8"/>
  <c r="C1685" i="8"/>
  <c r="D1678" i="8"/>
  <c r="C1678" i="8"/>
  <c r="D1671" i="8"/>
  <c r="C1671" i="8"/>
  <c r="D1664" i="8"/>
  <c r="C1664" i="8"/>
  <c r="D1657" i="8"/>
  <c r="C1657" i="8"/>
  <c r="D1631" i="8"/>
  <c r="C1631" i="8"/>
  <c r="D1624" i="8"/>
  <c r="C1624" i="8"/>
  <c r="D1617" i="8"/>
  <c r="C1617" i="8"/>
  <c r="D1606" i="8"/>
  <c r="C1606" i="8"/>
  <c r="D1599" i="8"/>
  <c r="C1599" i="8"/>
  <c r="D1532" i="8"/>
  <c r="C1532" i="8"/>
  <c r="D1525" i="8"/>
  <c r="C1525" i="8"/>
  <c r="D1518" i="8"/>
  <c r="C1518" i="8"/>
  <c r="D1511" i="8"/>
  <c r="C1511" i="8"/>
  <c r="D1504" i="8"/>
  <c r="C1504" i="8"/>
  <c r="D1497" i="8"/>
  <c r="C1497" i="8"/>
  <c r="D1490" i="8"/>
  <c r="C1490" i="8"/>
  <c r="D1483" i="8"/>
  <c r="C1483" i="8"/>
  <c r="D1476" i="8"/>
  <c r="C1476" i="8"/>
  <c r="D1469" i="8"/>
  <c r="C1469" i="8"/>
  <c r="D1423" i="8"/>
  <c r="C1423" i="8"/>
  <c r="D1416" i="8"/>
  <c r="C1416" i="8"/>
  <c r="D1409" i="8"/>
  <c r="C1409" i="8"/>
  <c r="D1395" i="8"/>
  <c r="C1395" i="8"/>
  <c r="D1388" i="8"/>
  <c r="C1388" i="8"/>
  <c r="R475" i="11"/>
  <c r="D1402" i="8"/>
  <c r="C1402" i="8"/>
  <c r="D1381" i="8"/>
  <c r="C1381" i="8"/>
  <c r="D1348" i="8"/>
  <c r="C1348" i="8"/>
  <c r="D1341" i="8"/>
  <c r="C1341" i="8"/>
  <c r="D1334" i="8"/>
  <c r="C1334" i="8"/>
  <c r="D1327" i="8"/>
  <c r="C1327" i="8"/>
  <c r="D1320" i="8"/>
  <c r="C1320" i="8"/>
  <c r="R517" i="11"/>
  <c r="D1294" i="8"/>
  <c r="C1294" i="8"/>
  <c r="D1287" i="8"/>
  <c r="C1287" i="8"/>
  <c r="D1280" i="8"/>
  <c r="C1280" i="8"/>
  <c r="D1273" i="8"/>
  <c r="C1273" i="8"/>
  <c r="D1266" i="8"/>
  <c r="C1266" i="8"/>
  <c r="D1259" i="8"/>
  <c r="C1259" i="8"/>
  <c r="D1252" i="8"/>
  <c r="C1252" i="8"/>
  <c r="D1245" i="8"/>
  <c r="C1245" i="8"/>
  <c r="D1238" i="8"/>
  <c r="C1238" i="8"/>
  <c r="R445" i="11"/>
  <c r="D1189" i="8"/>
  <c r="C1189" i="8"/>
  <c r="D1182" i="8"/>
  <c r="C1182" i="8"/>
  <c r="D1196" i="8"/>
  <c r="C1196" i="8"/>
  <c r="C1175" i="8"/>
  <c r="C1168" i="8"/>
  <c r="C1161" i="8"/>
  <c r="C1154" i="8"/>
  <c r="C1147" i="8"/>
  <c r="C1140" i="8"/>
  <c r="C1133" i="8"/>
  <c r="R495" i="11"/>
  <c r="D1107" i="8"/>
  <c r="C1107" i="8"/>
  <c r="D1100" i="8"/>
  <c r="C1100" i="8"/>
  <c r="D1093" i="8"/>
  <c r="C1093" i="8"/>
  <c r="R485" i="11"/>
  <c r="D1038" i="8"/>
  <c r="C1038" i="8"/>
  <c r="D1031" i="8"/>
  <c r="C1031" i="8"/>
  <c r="D1024" i="8"/>
  <c r="C1024" i="8"/>
  <c r="D1017" i="8"/>
  <c r="C1017" i="8"/>
  <c r="D1008" i="8"/>
  <c r="C1008" i="8"/>
  <c r="D982" i="8"/>
  <c r="C982" i="8"/>
  <c r="D968" i="8"/>
  <c r="C968" i="8"/>
  <c r="D961" i="8"/>
  <c r="C961" i="8"/>
  <c r="D954" i="8"/>
  <c r="C954" i="8"/>
  <c r="D936" i="8"/>
  <c r="C936" i="8"/>
  <c r="D929" i="8"/>
  <c r="C929" i="8"/>
  <c r="D922" i="8"/>
  <c r="C922" i="8"/>
  <c r="R424" i="11"/>
  <c r="D915" i="8"/>
  <c r="C915" i="8"/>
  <c r="D908" i="8"/>
  <c r="C908" i="8"/>
  <c r="D899" i="8"/>
  <c r="C899" i="8"/>
  <c r="R322" i="11"/>
  <c r="D892" i="8"/>
  <c r="C892" i="8"/>
  <c r="D885" i="8"/>
  <c r="C885" i="8"/>
  <c r="R402" i="11"/>
  <c r="D878" i="8"/>
  <c r="C878" i="8"/>
  <c r="D871" i="8"/>
  <c r="C871" i="8"/>
  <c r="D864" i="8"/>
  <c r="C864" i="8"/>
  <c r="D857" i="8"/>
  <c r="C857" i="8"/>
  <c r="D850" i="8"/>
  <c r="C850" i="8"/>
  <c r="D843" i="8"/>
  <c r="C843" i="8"/>
  <c r="D836" i="8"/>
  <c r="C836" i="8"/>
  <c r="D801" i="8"/>
  <c r="C801" i="8"/>
  <c r="D829" i="8"/>
  <c r="C829" i="8"/>
  <c r="R268" i="11"/>
  <c r="D822" i="8"/>
  <c r="C822" i="8"/>
  <c r="D815" i="8"/>
  <c r="C815" i="8"/>
  <c r="D808" i="8"/>
  <c r="C808" i="8"/>
  <c r="R278" i="11"/>
  <c r="D794" i="8"/>
  <c r="C794" i="8"/>
  <c r="R332" i="11"/>
  <c r="D787" i="8"/>
  <c r="C787" i="8"/>
  <c r="R362" i="11"/>
  <c r="D780" i="8"/>
  <c r="C780" i="8"/>
  <c r="R372" i="11"/>
  <c r="D773" i="8"/>
  <c r="C773" i="8"/>
  <c r="R300" i="11"/>
  <c r="D752" i="8"/>
  <c r="C752" i="8"/>
  <c r="R352" i="11"/>
  <c r="D729" i="8"/>
  <c r="C729" i="8"/>
  <c r="R290" i="11"/>
  <c r="D745" i="8"/>
  <c r="C745" i="8"/>
  <c r="R392" i="11"/>
  <c r="D738" i="8"/>
  <c r="C738" i="8"/>
  <c r="R312" i="11"/>
  <c r="R708" i="8"/>
  <c r="D701" i="8"/>
  <c r="C701" i="8"/>
  <c r="D680" i="8"/>
  <c r="C680" i="8"/>
  <c r="R342" i="11"/>
  <c r="D612" i="8"/>
  <c r="C612" i="8"/>
  <c r="D629" i="8"/>
  <c r="C629" i="8"/>
  <c r="R258" i="11"/>
  <c r="R11390" i="8"/>
  <c r="R11380" i="8"/>
  <c r="R11362" i="8"/>
  <c r="R11346" i="8"/>
  <c r="R11340" i="8"/>
  <c r="R11334" i="8"/>
  <c r="R11282" i="8"/>
  <c r="R11264" i="8"/>
  <c r="R11248" i="8"/>
  <c r="R11242" i="8"/>
  <c r="R11236" i="8"/>
  <c r="R11190" i="8"/>
  <c r="R11172" i="8"/>
  <c r="R11156" i="8"/>
  <c r="R11150" i="8"/>
  <c r="R11144" i="8"/>
  <c r="R11098" i="8"/>
  <c r="R11074" i="8"/>
  <c r="R11052" i="8"/>
  <c r="R10976" i="8"/>
  <c r="R10960" i="8"/>
  <c r="R10938" i="8"/>
  <c r="R10890" i="8"/>
  <c r="R10850" i="8"/>
  <c r="R10834" i="8"/>
  <c r="R10792" i="8"/>
  <c r="R10770" i="8"/>
  <c r="R10734" i="8"/>
  <c r="R10728" i="8"/>
  <c r="R10712" i="8"/>
  <c r="R10706" i="8"/>
  <c r="R10652" i="8"/>
  <c r="R10646" i="8"/>
  <c r="R10630" i="8"/>
  <c r="R10624" i="8"/>
  <c r="R10508" i="8"/>
  <c r="R10482" i="8"/>
  <c r="R10458" i="8"/>
  <c r="R10446" i="8"/>
  <c r="R10440" i="8"/>
  <c r="R10418" i="8"/>
  <c r="R10336" i="8"/>
  <c r="R10310" i="8"/>
  <c r="R10300" i="8"/>
  <c r="R10263" i="8"/>
  <c r="R10253" i="8"/>
  <c r="R10247" i="8"/>
  <c r="R10199" i="8"/>
  <c r="R10193" i="8"/>
  <c r="R10155" i="8"/>
  <c r="R10145" i="8"/>
  <c r="R10139" i="8"/>
  <c r="R10093" i="8"/>
  <c r="R10038" i="8"/>
  <c r="R10028" i="8"/>
  <c r="R10008" i="8"/>
  <c r="R9982" i="8"/>
  <c r="R9958" i="8"/>
  <c r="R9952" i="8"/>
  <c r="R9934" i="8"/>
  <c r="R9928" i="8"/>
  <c r="R9872" i="8"/>
  <c r="R9842" i="8"/>
  <c r="R9832" i="8"/>
  <c r="R9826" i="8"/>
  <c r="R9768" i="8"/>
  <c r="R9762" i="8"/>
  <c r="R9752" i="8"/>
  <c r="R9714" i="8"/>
  <c r="R9702" i="8"/>
  <c r="R9696" i="8"/>
  <c r="R9690" i="8"/>
  <c r="R9674" i="8"/>
  <c r="R9668" i="8"/>
  <c r="R9662" i="8"/>
  <c r="R9597" i="8"/>
  <c r="R9591" i="8"/>
  <c r="R9575" i="8"/>
  <c r="R9569" i="8"/>
  <c r="R9563" i="8"/>
  <c r="R9512" i="8"/>
  <c r="R9506" i="8"/>
  <c r="R9500" i="8"/>
  <c r="R9484" i="8"/>
  <c r="R9478" i="8"/>
  <c r="R9407" i="8"/>
  <c r="R9389" i="8"/>
  <c r="R9383" i="8"/>
  <c r="R9377" i="8"/>
  <c r="R9365" i="8"/>
  <c r="R9359" i="8"/>
  <c r="R9331" i="8"/>
  <c r="R9325" i="8"/>
  <c r="R9313" i="8"/>
  <c r="R9307" i="8"/>
  <c r="R9182" i="8"/>
  <c r="R9170" i="8"/>
  <c r="R9164" i="8"/>
  <c r="R9158" i="8"/>
  <c r="R9136" i="8"/>
  <c r="R9130" i="8"/>
  <c r="R9065" i="8"/>
  <c r="R9059" i="8"/>
  <c r="R9047" i="8"/>
  <c r="R9041" i="8"/>
  <c r="R9017" i="8"/>
  <c r="R9011" i="8"/>
  <c r="R8999" i="8"/>
  <c r="R8993" i="8"/>
  <c r="R8981" i="8"/>
  <c r="R8975" i="8"/>
  <c r="R8959" i="8"/>
  <c r="R8969" i="8"/>
  <c r="R8953" i="8"/>
  <c r="R8947" i="8"/>
  <c r="R8949" i="8" s="1"/>
  <c r="R8941" i="8"/>
  <c r="R8943" i="8" s="1"/>
  <c r="R8935" i="8"/>
  <c r="R8929" i="8"/>
  <c r="R8931" i="8" s="1"/>
  <c r="R8923" i="8"/>
  <c r="R8925" i="8" s="1"/>
  <c r="R8917" i="8"/>
  <c r="R8919" i="8" s="1"/>
  <c r="R8911" i="8"/>
  <c r="R8913" i="8" s="1"/>
  <c r="R8905" i="8"/>
  <c r="R8907" i="8" s="1"/>
  <c r="R8899" i="8"/>
  <c r="R8901" i="8" s="1"/>
  <c r="R8893" i="8"/>
  <c r="R8895" i="8" s="1"/>
  <c r="R8745" i="8"/>
  <c r="R8739" i="8"/>
  <c r="R8733" i="8"/>
  <c r="R8727" i="8"/>
  <c r="R8721" i="8"/>
  <c r="R8709" i="8"/>
  <c r="R8697" i="8"/>
  <c r="R8699" i="8" s="1"/>
  <c r="R8691" i="8"/>
  <c r="R8693" i="8" s="1"/>
  <c r="R8681" i="8"/>
  <c r="R8675" i="8"/>
  <c r="R8669" i="8"/>
  <c r="R8657" i="8"/>
  <c r="R8645" i="8"/>
  <c r="R8639" i="8"/>
  <c r="R8559" i="8"/>
  <c r="R8553" i="8"/>
  <c r="R8535" i="8"/>
  <c r="R8523" i="8"/>
  <c r="R8517" i="8"/>
  <c r="R8511" i="8"/>
  <c r="R8505" i="8"/>
  <c r="R8483" i="8"/>
  <c r="R8471" i="8"/>
  <c r="R8465" i="8"/>
  <c r="R8459" i="8"/>
  <c r="R8453" i="8"/>
  <c r="R8347" i="8"/>
  <c r="R8341" i="8"/>
  <c r="R8335" i="8"/>
  <c r="R8329" i="8"/>
  <c r="R8311" i="8"/>
  <c r="R8299" i="8"/>
  <c r="R8289" i="8"/>
  <c r="R8283" i="8"/>
  <c r="R8277" i="8"/>
  <c r="R8259" i="8"/>
  <c r="R8247" i="8"/>
  <c r="R8241" i="8"/>
  <c r="R11447" i="8"/>
  <c r="R11437" i="8"/>
  <c r="R11431" i="8"/>
  <c r="D2773" i="8"/>
  <c r="D1684" i="8"/>
  <c r="D1092" i="8"/>
  <c r="D1623" i="8"/>
  <c r="D2036" i="8"/>
  <c r="D751" i="8"/>
  <c r="D1340" i="8"/>
  <c r="D1789" i="8"/>
  <c r="D1265" i="8"/>
  <c r="D1975" i="8"/>
  <c r="D2064" i="8"/>
  <c r="D1007" i="8"/>
  <c r="D2813" i="8"/>
  <c r="D1740" i="8"/>
  <c r="D1496" i="8"/>
  <c r="D921" i="8"/>
  <c r="D2713" i="8"/>
  <c r="D1947" i="8"/>
  <c r="D2311" i="8"/>
  <c r="D870" i="8"/>
  <c r="D2780" i="8"/>
  <c r="D1733" i="8"/>
  <c r="D793" i="8"/>
  <c r="D2050" i="8"/>
  <c r="D2178" i="8"/>
  <c r="D1872" i="8"/>
  <c r="D935" i="8"/>
  <c r="D2654" i="8"/>
  <c r="D877" i="8"/>
  <c r="D1468" i="8"/>
  <c r="D2516" i="8"/>
  <c r="D914" i="8"/>
  <c r="D1510" i="8"/>
  <c r="D2463" i="8"/>
  <c r="D2092" i="8"/>
  <c r="D2745" i="8"/>
  <c r="D2078" i="8"/>
  <c r="D2029" i="8"/>
  <c r="D2820" i="8"/>
  <c r="D1754" i="8"/>
  <c r="D1677" i="8"/>
  <c r="D1188" i="8"/>
  <c r="D1489" i="8"/>
  <c r="D2766" i="8"/>
  <c r="D1023" i="8"/>
  <c r="D2409" i="8"/>
  <c r="D981" i="8"/>
  <c r="D1616" i="8"/>
  <c r="D1401" i="8"/>
  <c r="D807" i="8"/>
  <c r="D1886" i="8"/>
  <c r="D1712" i="8"/>
  <c r="D842" i="8"/>
  <c r="D953" i="8"/>
  <c r="D1761" i="8"/>
  <c r="D744" i="8"/>
  <c r="D1037" i="8"/>
  <c r="D2752" i="8"/>
  <c r="D1531" i="8"/>
  <c r="D1244" i="8"/>
  <c r="D2534" i="8"/>
  <c r="D2881" i="8"/>
  <c r="D863" i="8"/>
  <c r="D2257" i="8"/>
  <c r="D1954" i="8"/>
  <c r="D821" i="8"/>
  <c r="D1933" i="8"/>
  <c r="D1319" i="8"/>
  <c r="D1408" i="8"/>
  <c r="D898" i="8"/>
  <c r="D1387" i="8"/>
  <c r="D835" i="8"/>
  <c r="D2470" i="8"/>
  <c r="D2250" i="8"/>
  <c r="D1768" i="8"/>
  <c r="D2264" i="8"/>
  <c r="D1705" i="8"/>
  <c r="D800" i="8"/>
  <c r="D1030" i="8"/>
  <c r="D2607" i="8"/>
  <c r="D1691" i="8"/>
  <c r="D1726" i="8"/>
  <c r="D2759" i="8"/>
  <c r="D1656" i="8"/>
  <c r="D1803" i="8"/>
  <c r="D1630" i="8"/>
  <c r="D2600" i="8"/>
  <c r="D2236" i="8"/>
  <c r="D1961" i="8"/>
  <c r="D891" i="8"/>
  <c r="D2795" i="8"/>
  <c r="D2647" i="8"/>
  <c r="D2695" i="8"/>
  <c r="D1181" i="8"/>
  <c r="D907" i="8"/>
  <c r="D2706" i="8"/>
  <c r="D2008" i="8"/>
  <c r="D2243" i="8"/>
  <c r="D2057" i="8"/>
  <c r="D2416" i="8"/>
  <c r="D786" i="8"/>
  <c r="D2541" i="8"/>
  <c r="D2304" i="8"/>
  <c r="D2043" i="8"/>
  <c r="D1926" i="8"/>
  <c r="D884" i="8"/>
  <c r="D1258" i="8"/>
  <c r="D1782" i="8"/>
  <c r="D828" i="8"/>
  <c r="D1503" i="8"/>
  <c r="D2874" i="8"/>
  <c r="D1775" i="8"/>
  <c r="D928" i="8"/>
  <c r="D1719" i="8"/>
  <c r="D1347" i="8"/>
  <c r="D1293" i="8"/>
  <c r="D611" i="8"/>
  <c r="D2022" i="8"/>
  <c r="D1482" i="8"/>
  <c r="D967" i="8"/>
  <c r="D2888" i="8"/>
  <c r="D728" i="8"/>
  <c r="D1598" i="8"/>
  <c r="D814" i="8"/>
  <c r="D1394" i="8"/>
  <c r="D1099" i="8"/>
  <c r="D1380" i="8"/>
  <c r="D1195" i="8"/>
  <c r="D700" i="8"/>
  <c r="D2548" i="8"/>
  <c r="D1747" i="8"/>
  <c r="D2297" i="8"/>
  <c r="D2222" i="8"/>
  <c r="D2502" i="8"/>
  <c r="D1796" i="8"/>
  <c r="D1879" i="8"/>
  <c r="D2614" i="8"/>
  <c r="D2860" i="8"/>
  <c r="D1016" i="8"/>
  <c r="D2523" i="8"/>
  <c r="D1663" i="8"/>
  <c r="D1919" i="8"/>
  <c r="D1912" i="8"/>
  <c r="D679" i="8"/>
  <c r="D1251" i="8"/>
  <c r="D1698" i="8"/>
  <c r="D2853" i="8"/>
  <c r="D2806" i="8"/>
  <c r="D1968" i="8"/>
  <c r="D849" i="8"/>
  <c r="D772" i="8"/>
  <c r="D2071" i="8"/>
  <c r="D2661" i="8"/>
  <c r="D1237" i="8"/>
  <c r="D2085" i="8"/>
  <c r="D1475" i="8"/>
  <c r="D2846" i="8"/>
  <c r="D2229" i="8"/>
  <c r="D1605" i="8"/>
  <c r="D628" i="8"/>
  <c r="D856" i="8"/>
  <c r="D1524" i="8"/>
  <c r="D2509" i="8"/>
  <c r="D737" i="8"/>
  <c r="D1517" i="8"/>
  <c r="D1670" i="8"/>
  <c r="D1861" i="8"/>
  <c r="D2867" i="8"/>
  <c r="D1272" i="8"/>
  <c r="D1106" i="8"/>
  <c r="D960" i="8"/>
  <c r="D2160" i="8"/>
  <c r="D1415" i="8"/>
  <c r="D779" i="8"/>
  <c r="D1279" i="8"/>
  <c r="D2015" i="8"/>
  <c r="D1326" i="8"/>
  <c r="D1940" i="8"/>
  <c r="D1286" i="8"/>
  <c r="D2402" i="8"/>
  <c r="D1333" i="8"/>
  <c r="D1422" i="8"/>
  <c r="R11178" i="8" l="1"/>
  <c r="R11270" i="8"/>
  <c r="R11368" i="8"/>
  <c r="R11162" i="8"/>
  <c r="R11254" i="8"/>
  <c r="R11352" i="8"/>
  <c r="R11438" i="8"/>
  <c r="AM11434" i="8" s="1"/>
  <c r="R11092" i="8"/>
  <c r="R11184" i="8"/>
  <c r="R11276" i="8"/>
  <c r="R11374" i="8"/>
  <c r="R10161" i="8"/>
  <c r="R10269" i="8"/>
  <c r="R10430" i="8"/>
  <c r="R10618" i="8"/>
  <c r="R10700" i="8"/>
  <c r="R10776" i="8"/>
  <c r="R10926" i="8"/>
  <c r="R9854" i="8"/>
  <c r="R9898" i="8"/>
  <c r="R10103" i="8"/>
  <c r="R10209" i="8"/>
  <c r="R10324" i="8"/>
  <c r="R10452" i="8"/>
  <c r="R10636" i="8"/>
  <c r="R10722" i="8"/>
  <c r="R10828" i="8"/>
  <c r="R10948" i="8"/>
  <c r="R11058" i="8"/>
  <c r="R10492" i="8"/>
  <c r="R10514" i="8"/>
  <c r="R10566" i="8"/>
  <c r="R10658" i="8"/>
  <c r="R10740" i="8"/>
  <c r="R10880" i="8"/>
  <c r="R10966" i="8"/>
  <c r="R11080" i="8"/>
  <c r="R10786" i="8"/>
  <c r="R10932" i="8"/>
  <c r="R11046" i="8"/>
  <c r="R10014" i="8"/>
  <c r="R10215" i="8"/>
  <c r="R10330" i="8"/>
  <c r="R10354" i="8"/>
  <c r="R10954" i="8"/>
  <c r="R11064" i="8"/>
  <c r="R9878" i="8"/>
  <c r="R10424" i="8"/>
  <c r="R10576" i="8"/>
  <c r="R10664" i="8"/>
  <c r="R11086" i="8"/>
  <c r="R9904" i="8"/>
  <c r="R9988" i="8"/>
  <c r="R9892" i="8"/>
  <c r="R9976" i="8"/>
  <c r="R10044" i="8"/>
  <c r="R9922" i="8"/>
  <c r="R10002" i="8"/>
  <c r="R9848" i="8"/>
  <c r="R9029" i="8"/>
  <c r="R9148" i="8"/>
  <c r="R9343" i="8"/>
  <c r="R9395" i="8"/>
  <c r="R9466" i="8"/>
  <c r="R9518" i="8"/>
  <c r="R9585" i="8"/>
  <c r="R9656" i="8"/>
  <c r="R9708" i="8"/>
  <c r="R9778" i="8"/>
  <c r="R9035" i="8"/>
  <c r="R9301" i="8"/>
  <c r="R9349" i="8"/>
  <c r="R9784" i="8"/>
  <c r="R9401" i="8"/>
  <c r="R9472" i="8"/>
  <c r="R9524" i="8"/>
  <c r="R9005" i="8"/>
  <c r="R9053" i="8"/>
  <c r="R9124" i="8"/>
  <c r="R9176" i="8"/>
  <c r="R9319" i="8"/>
  <c r="R9371" i="8"/>
  <c r="R9490" i="8"/>
  <c r="R9680" i="8"/>
  <c r="R9746" i="8"/>
  <c r="R9023" i="8"/>
  <c r="R9142" i="8"/>
  <c r="R9337" i="8"/>
  <c r="R8265" i="8"/>
  <c r="R8317" i="8"/>
  <c r="R8441" i="8"/>
  <c r="R8489" i="8"/>
  <c r="R8541" i="8"/>
  <c r="R8663" i="8"/>
  <c r="R8715" i="8"/>
  <c r="R8253" i="8"/>
  <c r="R8305" i="8"/>
  <c r="R8477" i="8"/>
  <c r="R8529" i="8"/>
  <c r="R8651" i="8"/>
  <c r="R8703" i="8"/>
  <c r="R8987" i="8"/>
  <c r="R8271" i="8"/>
  <c r="R8323" i="8"/>
  <c r="R8447" i="8"/>
  <c r="R8495" i="8"/>
  <c r="R8547" i="8"/>
  <c r="R11432" i="8"/>
  <c r="R11448" i="8"/>
  <c r="AM11444" i="8" s="1"/>
  <c r="R11399" i="8"/>
  <c r="R11391" i="8"/>
  <c r="R11381" i="8"/>
  <c r="R11375" i="8"/>
  <c r="R11369" i="8"/>
  <c r="R11363" i="8"/>
  <c r="R11353" i="8"/>
  <c r="R11347" i="8"/>
  <c r="R11341" i="8"/>
  <c r="R11335" i="8"/>
  <c r="R11325" i="8"/>
  <c r="R11318" i="8"/>
  <c r="R11311" i="8"/>
  <c r="R11304" i="8"/>
  <c r="R11283" i="8"/>
  <c r="R11277" i="8"/>
  <c r="R11271" i="8"/>
  <c r="R11265" i="8"/>
  <c r="R11255" i="8"/>
  <c r="R11249" i="8"/>
  <c r="R11243" i="8"/>
  <c r="R11237" i="8"/>
  <c r="R11227" i="8"/>
  <c r="R11220" i="8"/>
  <c r="R11213" i="8"/>
  <c r="R11206" i="8"/>
  <c r="R11191" i="8"/>
  <c r="R11185" i="8"/>
  <c r="R11179" i="8"/>
  <c r="R11173" i="8"/>
  <c r="R11163" i="8"/>
  <c r="R11157" i="8"/>
  <c r="R11151" i="8"/>
  <c r="R11145" i="8"/>
  <c r="R11135" i="8"/>
  <c r="R11128" i="8"/>
  <c r="R11121" i="8"/>
  <c r="R11114" i="8"/>
  <c r="R11099" i="8"/>
  <c r="R11093" i="8"/>
  <c r="R11087" i="8"/>
  <c r="R11081" i="8"/>
  <c r="R11075" i="8"/>
  <c r="R11065" i="8"/>
  <c r="R11059" i="8"/>
  <c r="R11053" i="8"/>
  <c r="R11047" i="8"/>
  <c r="R11037" i="8"/>
  <c r="R11030" i="8"/>
  <c r="R11023" i="8"/>
  <c r="R11016" i="8"/>
  <c r="R10985" i="8"/>
  <c r="R10977" i="8"/>
  <c r="R10967" i="8"/>
  <c r="R10961" i="8"/>
  <c r="R10955" i="8"/>
  <c r="R10949" i="8"/>
  <c r="R10939" i="8"/>
  <c r="R10933" i="8"/>
  <c r="R10927" i="8"/>
  <c r="R10917" i="8"/>
  <c r="R10911" i="8"/>
  <c r="R10905" i="8"/>
  <c r="R10891" i="8"/>
  <c r="R10881" i="8"/>
  <c r="R10871" i="8"/>
  <c r="R10851" i="8"/>
  <c r="R10845" i="8"/>
  <c r="R10835" i="8"/>
  <c r="R10829" i="8"/>
  <c r="R10819" i="8"/>
  <c r="R10813" i="8"/>
  <c r="R10793" i="8"/>
  <c r="R10787" i="8"/>
  <c r="R10777" i="8"/>
  <c r="R10771" i="8"/>
  <c r="R10761" i="8"/>
  <c r="R10755" i="8"/>
  <c r="R10741" i="8"/>
  <c r="R10735" i="8"/>
  <c r="R10729" i="8"/>
  <c r="R10723" i="8"/>
  <c r="R10713" i="8"/>
  <c r="R10707" i="8"/>
  <c r="R10701" i="8"/>
  <c r="R10691" i="8"/>
  <c r="R10685" i="8"/>
  <c r="R10679" i="8"/>
  <c r="R10665" i="8"/>
  <c r="R10659" i="8"/>
  <c r="R10653" i="8"/>
  <c r="R10647" i="8"/>
  <c r="R10637" i="8"/>
  <c r="R10631" i="8"/>
  <c r="R10625" i="8"/>
  <c r="R10619" i="8"/>
  <c r="R10609" i="8"/>
  <c r="R10603" i="8"/>
  <c r="R10597" i="8"/>
  <c r="R10591" i="8"/>
  <c r="R10577" i="8"/>
  <c r="R10567" i="8"/>
  <c r="R10557" i="8"/>
  <c r="R10523" i="8"/>
  <c r="R10515" i="8"/>
  <c r="R10509" i="8"/>
  <c r="R10503" i="8"/>
  <c r="R10493" i="8"/>
  <c r="R10483" i="8"/>
  <c r="R10473" i="8"/>
  <c r="R10459" i="8"/>
  <c r="R10453" i="8"/>
  <c r="R10447" i="8"/>
  <c r="R10441" i="8"/>
  <c r="R10431" i="8"/>
  <c r="R10425" i="8"/>
  <c r="R10419" i="8"/>
  <c r="R10409" i="8"/>
  <c r="R10403" i="8"/>
  <c r="R10393" i="8"/>
  <c r="R10363" i="8"/>
  <c r="R10355" i="8"/>
  <c r="R10349" i="8"/>
  <c r="R10343" i="8"/>
  <c r="R10337" i="8"/>
  <c r="R10331" i="8"/>
  <c r="R10325" i="8"/>
  <c r="R10311" i="8"/>
  <c r="R10301" i="8"/>
  <c r="R10291" i="8"/>
  <c r="R10270" i="8"/>
  <c r="R10264" i="8"/>
  <c r="R10254" i="8"/>
  <c r="R10248" i="8"/>
  <c r="R10238" i="8"/>
  <c r="R10231" i="8"/>
  <c r="R10216" i="8"/>
  <c r="R10210" i="8"/>
  <c r="R10200" i="8"/>
  <c r="R10194" i="8"/>
  <c r="R10184" i="8"/>
  <c r="R10177" i="8"/>
  <c r="R10162" i="8"/>
  <c r="R10156" i="8"/>
  <c r="R10146" i="8"/>
  <c r="R10140" i="8"/>
  <c r="R10130" i="8"/>
  <c r="R10119" i="8"/>
  <c r="R10104" i="8"/>
  <c r="R10094" i="8"/>
  <c r="R10084" i="8"/>
  <c r="R10053" i="8"/>
  <c r="R10045" i="8"/>
  <c r="R10039" i="8"/>
  <c r="R10029" i="8"/>
  <c r="R10015" i="8"/>
  <c r="R10009" i="8"/>
  <c r="R10003" i="8"/>
  <c r="R9989" i="8"/>
  <c r="R9983" i="8"/>
  <c r="R9977" i="8"/>
  <c r="R9959" i="8"/>
  <c r="R9953" i="8"/>
  <c r="R9935" i="8"/>
  <c r="R9929" i="8"/>
  <c r="R9923" i="8"/>
  <c r="R9905" i="8"/>
  <c r="R9899" i="8"/>
  <c r="R9893" i="8"/>
  <c r="R9879" i="8"/>
  <c r="R9873" i="8"/>
  <c r="R9855" i="8"/>
  <c r="R9849" i="8"/>
  <c r="R9843" i="8"/>
  <c r="R9833" i="8"/>
  <c r="R9827" i="8"/>
  <c r="R9793" i="8"/>
  <c r="R9785" i="8"/>
  <c r="R9779" i="8"/>
  <c r="R9769" i="8"/>
  <c r="R9763" i="8"/>
  <c r="R9753" i="8"/>
  <c r="R9747" i="8"/>
  <c r="R9737" i="8"/>
  <c r="R9730" i="8"/>
  <c r="R9715" i="8"/>
  <c r="R9709" i="8"/>
  <c r="R9703" i="8"/>
  <c r="R9697" i="8"/>
  <c r="R9691" i="8"/>
  <c r="R9681" i="8"/>
  <c r="R9675" i="8"/>
  <c r="R9669" i="8"/>
  <c r="R9663" i="8"/>
  <c r="R9657" i="8"/>
  <c r="R9647" i="8"/>
  <c r="R9640" i="8"/>
  <c r="R9633" i="8"/>
  <c r="R9626" i="8"/>
  <c r="R9619" i="8"/>
  <c r="R9598" i="8"/>
  <c r="R9592" i="8"/>
  <c r="R9586" i="8"/>
  <c r="R9576" i="8"/>
  <c r="R9570" i="8"/>
  <c r="R9564" i="8"/>
  <c r="R9554" i="8"/>
  <c r="R9547" i="8"/>
  <c r="R9540" i="8"/>
  <c r="R9525" i="8"/>
  <c r="R9519" i="8"/>
  <c r="R9513" i="8"/>
  <c r="R9507" i="8"/>
  <c r="R9501" i="8"/>
  <c r="R9491" i="8"/>
  <c r="R9485" i="8"/>
  <c r="R9479" i="8"/>
  <c r="R9473" i="8"/>
  <c r="R9467" i="8"/>
  <c r="R9457" i="8"/>
  <c r="R9450" i="8"/>
  <c r="R9443" i="8"/>
  <c r="R9436" i="8"/>
  <c r="R9429" i="8"/>
  <c r="R9408" i="8"/>
  <c r="R9402" i="8"/>
  <c r="R9396" i="8"/>
  <c r="R9390" i="8"/>
  <c r="R9384" i="8"/>
  <c r="R9378" i="8"/>
  <c r="R9372" i="8"/>
  <c r="R9366" i="8"/>
  <c r="R9360" i="8"/>
  <c r="R9350" i="8"/>
  <c r="R9344" i="8"/>
  <c r="R9338" i="8"/>
  <c r="R9332" i="8"/>
  <c r="R9326" i="8"/>
  <c r="R9320" i="8"/>
  <c r="R9314" i="8"/>
  <c r="R9308" i="8"/>
  <c r="R9302" i="8"/>
  <c r="R9292" i="8"/>
  <c r="R9285" i="8"/>
  <c r="R9278" i="8"/>
  <c r="R9271" i="8"/>
  <c r="R9264" i="8"/>
  <c r="R9249" i="8"/>
  <c r="R9242" i="8"/>
  <c r="R9232" i="8"/>
  <c r="R9225" i="8"/>
  <c r="R9218" i="8"/>
  <c r="R9211" i="8"/>
  <c r="R9183" i="8"/>
  <c r="R9177" i="8"/>
  <c r="R9171" i="8"/>
  <c r="R9165" i="8"/>
  <c r="R9159" i="8"/>
  <c r="R9149" i="8"/>
  <c r="R9143" i="8"/>
  <c r="R9137" i="8"/>
  <c r="R9131" i="8"/>
  <c r="R9125" i="8"/>
  <c r="R9115" i="8"/>
  <c r="R9108" i="8"/>
  <c r="R9101" i="8"/>
  <c r="R9094" i="8"/>
  <c r="R9087" i="8"/>
  <c r="R9066" i="8"/>
  <c r="R9060" i="8"/>
  <c r="R9054" i="8"/>
  <c r="R9048" i="8"/>
  <c r="R9042" i="8"/>
  <c r="R9036" i="8"/>
  <c r="R9030" i="8"/>
  <c r="R9024" i="8"/>
  <c r="R9018" i="8"/>
  <c r="R9012" i="8"/>
  <c r="R9006" i="8"/>
  <c r="R9000" i="8"/>
  <c r="R8994" i="8"/>
  <c r="R8988" i="8"/>
  <c r="R8982" i="8"/>
  <c r="R8976" i="8"/>
  <c r="R8970" i="8"/>
  <c r="R8960" i="8"/>
  <c r="R8954" i="8"/>
  <c r="R8936" i="8"/>
  <c r="R8884" i="8"/>
  <c r="R8868" i="8"/>
  <c r="R8848" i="8"/>
  <c r="R8841" i="8"/>
  <c r="R8834" i="8"/>
  <c r="R8827" i="8"/>
  <c r="R8820" i="8"/>
  <c r="R8813" i="8"/>
  <c r="R8806" i="8"/>
  <c r="R8799" i="8"/>
  <c r="R8792" i="8"/>
  <c r="R8785" i="8"/>
  <c r="R8778" i="8"/>
  <c r="R8767" i="8"/>
  <c r="R8746" i="8"/>
  <c r="R8740" i="8"/>
  <c r="R8734" i="8"/>
  <c r="R8728" i="8"/>
  <c r="R8722" i="8"/>
  <c r="R8716" i="8"/>
  <c r="R8710" i="8"/>
  <c r="R8704" i="8"/>
  <c r="AM8695" i="8"/>
  <c r="R8682" i="8"/>
  <c r="R8676" i="8"/>
  <c r="R8670" i="8"/>
  <c r="R8664" i="8"/>
  <c r="R8658" i="8"/>
  <c r="R8652" i="8"/>
  <c r="R8646" i="8"/>
  <c r="R8640" i="8"/>
  <c r="R8630" i="8"/>
  <c r="R8623" i="8"/>
  <c r="R8616" i="8"/>
  <c r="R8609" i="8"/>
  <c r="R8602" i="8"/>
  <c r="R8595" i="8"/>
  <c r="R8588" i="8"/>
  <c r="R8581" i="8"/>
  <c r="R8560" i="8"/>
  <c r="R8554" i="8"/>
  <c r="R8548" i="8"/>
  <c r="R8542" i="8"/>
  <c r="R8536" i="8"/>
  <c r="R8530" i="8"/>
  <c r="R8524" i="8"/>
  <c r="R8518" i="8"/>
  <c r="R8512" i="8"/>
  <c r="R8506" i="8"/>
  <c r="R8496" i="8"/>
  <c r="R8490" i="8"/>
  <c r="R8484" i="8"/>
  <c r="R8478" i="8"/>
  <c r="R8472" i="8"/>
  <c r="R8466" i="8"/>
  <c r="R8460" i="8"/>
  <c r="R8454" i="8"/>
  <c r="R8448" i="8"/>
  <c r="R8442" i="8"/>
  <c r="R8432" i="8"/>
  <c r="R8425" i="8"/>
  <c r="R8418" i="8"/>
  <c r="R8411" i="8"/>
  <c r="R8404" i="8"/>
  <c r="R8397" i="8"/>
  <c r="R8390" i="8"/>
  <c r="R8383" i="8"/>
  <c r="R8376" i="8"/>
  <c r="R8369" i="8"/>
  <c r="R8348" i="8"/>
  <c r="R8342" i="8"/>
  <c r="R8336" i="8"/>
  <c r="R8330" i="8"/>
  <c r="R8324" i="8"/>
  <c r="R8318" i="8"/>
  <c r="R8312" i="8"/>
  <c r="R8306" i="8"/>
  <c r="R8300" i="8"/>
  <c r="R8290" i="8"/>
  <c r="R8284" i="8"/>
  <c r="R8278" i="8"/>
  <c r="R8272" i="8"/>
  <c r="R8266" i="8"/>
  <c r="R8260" i="8"/>
  <c r="R8254" i="8"/>
  <c r="R8248" i="8"/>
  <c r="R8242" i="8"/>
  <c r="R8232" i="8"/>
  <c r="R8225" i="8"/>
  <c r="R8218" i="8"/>
  <c r="R8211" i="8"/>
  <c r="R8204" i="8"/>
  <c r="R8197" i="8"/>
  <c r="R8190" i="8"/>
  <c r="R8183" i="8"/>
  <c r="R8176" i="8"/>
  <c r="R8141" i="8"/>
  <c r="R8140" i="8"/>
  <c r="R8139" i="8"/>
  <c r="R8138" i="8"/>
  <c r="R8137" i="8"/>
  <c r="R8136" i="8"/>
  <c r="R8131" i="8"/>
  <c r="R8130" i="8"/>
  <c r="R8129" i="8"/>
  <c r="R8128" i="8"/>
  <c r="R8127" i="8"/>
  <c r="R8126" i="8"/>
  <c r="R8121" i="8"/>
  <c r="R8120" i="8"/>
  <c r="R8119" i="8"/>
  <c r="R8118" i="8"/>
  <c r="R8117" i="8"/>
  <c r="R8116" i="8"/>
  <c r="R8111" i="8"/>
  <c r="R8110" i="8"/>
  <c r="R8109" i="8"/>
  <c r="R8108" i="8"/>
  <c r="R8107" i="8"/>
  <c r="R8106" i="8"/>
  <c r="R8101" i="8"/>
  <c r="R8100" i="8"/>
  <c r="R8099" i="8"/>
  <c r="R8098" i="8"/>
  <c r="R8097" i="8"/>
  <c r="R8096" i="8"/>
  <c r="R8091" i="8"/>
  <c r="R8090" i="8"/>
  <c r="R8089" i="8"/>
  <c r="R8088" i="8"/>
  <c r="R8087" i="8"/>
  <c r="R8086" i="8"/>
  <c r="R8081" i="8"/>
  <c r="R8080" i="8"/>
  <c r="R8079" i="8"/>
  <c r="R8078" i="8"/>
  <c r="R8077" i="8"/>
  <c r="R8076" i="8"/>
  <c r="R8071" i="8"/>
  <c r="R8070" i="8"/>
  <c r="R8069" i="8"/>
  <c r="R8068" i="8"/>
  <c r="R8067" i="8"/>
  <c r="R8066" i="8"/>
  <c r="R8061" i="8"/>
  <c r="R8060" i="8"/>
  <c r="R8059" i="8"/>
  <c r="R8058" i="8"/>
  <c r="R8057" i="8"/>
  <c r="R8056" i="8"/>
  <c r="R8051" i="8"/>
  <c r="R8050" i="8"/>
  <c r="R8049" i="8"/>
  <c r="R8048" i="8"/>
  <c r="R8047" i="8"/>
  <c r="R8046" i="8"/>
  <c r="R8041" i="8"/>
  <c r="R8040" i="8"/>
  <c r="R8039" i="8"/>
  <c r="R8038" i="8"/>
  <c r="R8037" i="8"/>
  <c r="R8036" i="8"/>
  <c r="R8031" i="8"/>
  <c r="R8030" i="8"/>
  <c r="R8029" i="8"/>
  <c r="R8028" i="8"/>
  <c r="R8027" i="8"/>
  <c r="R8026" i="8"/>
  <c r="R8021" i="8"/>
  <c r="R8020" i="8"/>
  <c r="R8019" i="8"/>
  <c r="R8018" i="8"/>
  <c r="R8017" i="8"/>
  <c r="R8016" i="8"/>
  <c r="AM11418" i="8" l="1"/>
  <c r="R11451" i="8"/>
  <c r="R11457" i="8" s="1"/>
  <c r="R11082" i="8"/>
  <c r="R11146" i="8"/>
  <c r="R9710" i="8"/>
  <c r="R10702" i="8"/>
  <c r="R10708" i="8"/>
  <c r="R10730" i="8"/>
  <c r="R10762" i="8"/>
  <c r="AM10758" i="8" s="1"/>
  <c r="R8711" i="8"/>
  <c r="R8971" i="8"/>
  <c r="R10686" i="8"/>
  <c r="AM10682" i="8" s="1"/>
  <c r="R10714" i="8"/>
  <c r="AM8939" i="8"/>
  <c r="AM8909" i="8"/>
  <c r="R8961" i="8"/>
  <c r="R8989" i="8"/>
  <c r="R10040" i="8"/>
  <c r="R10680" i="8"/>
  <c r="AM10676" i="8" s="1"/>
  <c r="R8525" i="8"/>
  <c r="R10794" i="8"/>
  <c r="R9345" i="8"/>
  <c r="R9373" i="8"/>
  <c r="R9397" i="8"/>
  <c r="R9468" i="8"/>
  <c r="R9492" i="8"/>
  <c r="R9520" i="8"/>
  <c r="R9716" i="8"/>
  <c r="R10568" i="8"/>
  <c r="R10692" i="8"/>
  <c r="AM10688" i="8" s="1"/>
  <c r="R9043" i="8"/>
  <c r="R9067" i="8"/>
  <c r="R9315" i="8"/>
  <c r="R8042" i="8"/>
  <c r="AM8034" i="8" s="1"/>
  <c r="R8082" i="8"/>
  <c r="AM8074" i="8" s="1"/>
  <c r="R8122" i="8"/>
  <c r="AM8114" i="8" s="1"/>
  <c r="R9013" i="8"/>
  <c r="R9327" i="8"/>
  <c r="R9587" i="8"/>
  <c r="R10626" i="8"/>
  <c r="R10660" i="8"/>
  <c r="R8723" i="8"/>
  <c r="R8747" i="8"/>
  <c r="R9698" i="8"/>
  <c r="R10558" i="8"/>
  <c r="R10638" i="8"/>
  <c r="R10724" i="8"/>
  <c r="R10756" i="8"/>
  <c r="AM10752" i="8" s="1"/>
  <c r="R10788" i="8"/>
  <c r="R10836" i="8"/>
  <c r="R10918" i="8"/>
  <c r="AM10914" i="8" s="1"/>
  <c r="R8461" i="8"/>
  <c r="R8519" i="8"/>
  <c r="R8869" i="8"/>
  <c r="AM8855" i="8" s="1"/>
  <c r="R9780" i="8"/>
  <c r="R9850" i="8"/>
  <c r="R9930" i="8"/>
  <c r="R10332" i="8"/>
  <c r="R10426" i="8"/>
  <c r="R10454" i="8"/>
  <c r="R10494" i="8"/>
  <c r="R10524" i="8"/>
  <c r="R10620" i="8"/>
  <c r="R8255" i="8"/>
  <c r="R8279" i="8"/>
  <c r="R8307" i="8"/>
  <c r="R8331" i="8"/>
  <c r="R8497" i="8"/>
  <c r="R8513" i="8"/>
  <c r="R8717" i="8"/>
  <c r="R9055" i="8"/>
  <c r="R10201" i="8"/>
  <c r="R10604" i="8"/>
  <c r="AM10600" i="8" s="1"/>
  <c r="R10632" i="8"/>
  <c r="R10742" i="8"/>
  <c r="R10778" i="8"/>
  <c r="R11342" i="8"/>
  <c r="R11354" i="8"/>
  <c r="AM8897" i="8"/>
  <c r="AM8921" i="8"/>
  <c r="AM8945" i="8"/>
  <c r="R9001" i="8"/>
  <c r="R9126" i="8"/>
  <c r="R9150" i="8"/>
  <c r="R9309" i="8"/>
  <c r="R9599" i="8"/>
  <c r="R8455" i="8"/>
  <c r="R9303" i="8"/>
  <c r="R9770" i="8"/>
  <c r="R9844" i="8"/>
  <c r="R10326" i="8"/>
  <c r="R10736" i="8"/>
  <c r="R10772" i="8"/>
  <c r="R8653" i="8"/>
  <c r="R8677" i="8"/>
  <c r="R9172" i="8"/>
  <c r="R9658" i="8"/>
  <c r="R9670" i="8"/>
  <c r="R10666" i="8"/>
  <c r="R10814" i="8"/>
  <c r="R10846" i="8"/>
  <c r="R10928" i="8"/>
  <c r="R10986" i="8"/>
  <c r="AM10980" i="8" s="1"/>
  <c r="R11152" i="8"/>
  <c r="R11186" i="8"/>
  <c r="R8467" i="8"/>
  <c r="R8735" i="8"/>
  <c r="R8977" i="8"/>
  <c r="R9031" i="8"/>
  <c r="R9682" i="8"/>
  <c r="R10610" i="8"/>
  <c r="AM10606" i="8" s="1"/>
  <c r="AM8891" i="8"/>
  <c r="AM8915" i="8"/>
  <c r="R8995" i="8"/>
  <c r="R9019" i="8"/>
  <c r="R9748" i="8"/>
  <c r="R8485" i="8"/>
  <c r="R8885" i="8"/>
  <c r="AM8871" i="8" s="1"/>
  <c r="R8937" i="8"/>
  <c r="R10598" i="8"/>
  <c r="AM10594" i="8" s="1"/>
  <c r="R10654" i="8"/>
  <c r="R8473" i="8"/>
  <c r="R8555" i="8"/>
  <c r="AM8903" i="8"/>
  <c r="AM8927" i="8"/>
  <c r="R8955" i="8"/>
  <c r="R9007" i="8"/>
  <c r="R9061" i="8"/>
  <c r="R8537" i="8"/>
  <c r="R8983" i="8"/>
  <c r="R9160" i="8"/>
  <c r="R9184" i="8"/>
  <c r="R10592" i="8"/>
  <c r="AM10588" i="8" s="1"/>
  <c r="R10648" i="8"/>
  <c r="R9676" i="8"/>
  <c r="R9894" i="8"/>
  <c r="R9978" i="8"/>
  <c r="R10010" i="8"/>
  <c r="R8507" i="8"/>
  <c r="R8549" i="8"/>
  <c r="R9049" i="8"/>
  <c r="R9339" i="8"/>
  <c r="R9367" i="8"/>
  <c r="R9391" i="8"/>
  <c r="R9664" i="8"/>
  <c r="R9880" i="8"/>
  <c r="R9960" i="8"/>
  <c r="R10016" i="8"/>
  <c r="R10271" i="8"/>
  <c r="R10882" i="8"/>
  <c r="R10950" i="8"/>
  <c r="R10978" i="8"/>
  <c r="R9037" i="8"/>
  <c r="R9333" i="8"/>
  <c r="R9361" i="8"/>
  <c r="R9385" i="8"/>
  <c r="R9409" i="8"/>
  <c r="R9764" i="8"/>
  <c r="R9794" i="8"/>
  <c r="R9834" i="8"/>
  <c r="R9874" i="8"/>
  <c r="R9954" i="8"/>
  <c r="R10344" i="8"/>
  <c r="AM10340" i="8" s="1"/>
  <c r="R10578" i="8"/>
  <c r="R10830" i="8"/>
  <c r="R10872" i="8"/>
  <c r="AM10866" i="8" s="1"/>
  <c r="R10940" i="8"/>
  <c r="R11192" i="8"/>
  <c r="R11400" i="8"/>
  <c r="R8072" i="8"/>
  <c r="AM8064" i="8" s="1"/>
  <c r="R8112" i="8"/>
  <c r="AM8104" i="8" s="1"/>
  <c r="R8249" i="8"/>
  <c r="R8349" i="8"/>
  <c r="R8671" i="8"/>
  <c r="R9144" i="8"/>
  <c r="R10054" i="8"/>
  <c r="R11164" i="8"/>
  <c r="R11244" i="8"/>
  <c r="R8449" i="8"/>
  <c r="R8142" i="8"/>
  <c r="AM8134" i="8" s="1"/>
  <c r="R8243" i="8"/>
  <c r="R8267" i="8"/>
  <c r="R8291" i="8"/>
  <c r="R8319" i="8"/>
  <c r="R8343" i="8"/>
  <c r="R8641" i="8"/>
  <c r="R8665" i="8"/>
  <c r="AM8689" i="8"/>
  <c r="R8741" i="8"/>
  <c r="R9138" i="8"/>
  <c r="R9178" i="8"/>
  <c r="R9480" i="8"/>
  <c r="R9508" i="8"/>
  <c r="R9571" i="8"/>
  <c r="R9704" i="8"/>
  <c r="R9906" i="8"/>
  <c r="R9990" i="8"/>
  <c r="R11066" i="8"/>
  <c r="R8032" i="8"/>
  <c r="AM8024" i="8" s="1"/>
  <c r="R8301" i="8"/>
  <c r="R8647" i="8"/>
  <c r="R8705" i="8"/>
  <c r="R9486" i="8"/>
  <c r="R10157" i="8"/>
  <c r="R8491" i="8"/>
  <c r="R8062" i="8"/>
  <c r="AM8054" i="8" s="1"/>
  <c r="R8102" i="8"/>
  <c r="AM8094" i="8" s="1"/>
  <c r="R8479" i="8"/>
  <c r="R8531" i="8"/>
  <c r="R8561" i="8"/>
  <c r="R9025" i="8"/>
  <c r="R9321" i="8"/>
  <c r="R9351" i="8"/>
  <c r="R9379" i="8"/>
  <c r="R9403" i="8"/>
  <c r="R9692" i="8"/>
  <c r="R10004" i="8"/>
  <c r="R11364" i="8"/>
  <c r="R11392" i="8"/>
  <c r="R8273" i="8"/>
  <c r="R8325" i="8"/>
  <c r="R9514" i="8"/>
  <c r="R9577" i="8"/>
  <c r="R10195" i="8"/>
  <c r="R8543" i="8"/>
  <c r="R8022" i="8"/>
  <c r="R8052" i="8"/>
  <c r="AM8044" i="8" s="1"/>
  <c r="R8092" i="8"/>
  <c r="AM8084" i="8" s="1"/>
  <c r="R8132" i="8"/>
  <c r="AM8124" i="8" s="1"/>
  <c r="R8261" i="8"/>
  <c r="R8285" i="8"/>
  <c r="R8313" i="8"/>
  <c r="R8337" i="8"/>
  <c r="R8443" i="8"/>
  <c r="R8659" i="8"/>
  <c r="R8683" i="8"/>
  <c r="R8729" i="8"/>
  <c r="R9132" i="8"/>
  <c r="R9166" i="8"/>
  <c r="R9474" i="8"/>
  <c r="R9502" i="8"/>
  <c r="R9526" i="8"/>
  <c r="R9565" i="8"/>
  <c r="R9593" i="8"/>
  <c r="R9754" i="8"/>
  <c r="R9786" i="8"/>
  <c r="R9828" i="8"/>
  <c r="R9856" i="8"/>
  <c r="R10095" i="8"/>
  <c r="R10141" i="8"/>
  <c r="R10211" i="8"/>
  <c r="R10338" i="8"/>
  <c r="R11060" i="8"/>
  <c r="R11180" i="8"/>
  <c r="R11284" i="8"/>
  <c r="R9924" i="8"/>
  <c r="R9900" i="8"/>
  <c r="R9984" i="8"/>
  <c r="R10046" i="8"/>
  <c r="R10105" i="8"/>
  <c r="R9936" i="8"/>
  <c r="R10030" i="8"/>
  <c r="R10255" i="8"/>
  <c r="R10265" i="8"/>
  <c r="R10302" i="8"/>
  <c r="R10312" i="8"/>
  <c r="R10364" i="8"/>
  <c r="R10404" i="8"/>
  <c r="R10410" i="8"/>
  <c r="R10217" i="8"/>
  <c r="R10249" i="8"/>
  <c r="R10350" i="8"/>
  <c r="R10356" i="8"/>
  <c r="R10394" i="8"/>
  <c r="R10147" i="8"/>
  <c r="R10163" i="8"/>
  <c r="R10448" i="8"/>
  <c r="R10484" i="8"/>
  <c r="R10516" i="8"/>
  <c r="R10432" i="8"/>
  <c r="R10460" i="8"/>
  <c r="R10504" i="8"/>
  <c r="R10420" i="8"/>
  <c r="R10442" i="8"/>
  <c r="R10474" i="8"/>
  <c r="R10510" i="8"/>
  <c r="R10820" i="8"/>
  <c r="R10906" i="8"/>
  <c r="R10962" i="8"/>
  <c r="R10912" i="8"/>
  <c r="R10968" i="8"/>
  <c r="R10852" i="8"/>
  <c r="R10892" i="8"/>
  <c r="R10934" i="8"/>
  <c r="R10956" i="8"/>
  <c r="R11076" i="8"/>
  <c r="R11094" i="8"/>
  <c r="R11158" i="8"/>
  <c r="R11174" i="8"/>
  <c r="R11048" i="8"/>
  <c r="R11054" i="8"/>
  <c r="R11088" i="8"/>
  <c r="R11100" i="8"/>
  <c r="R11238" i="8"/>
  <c r="R11266" i="8"/>
  <c r="R11250" i="8"/>
  <c r="R11272" i="8"/>
  <c r="R11256" i="8"/>
  <c r="R11278" i="8"/>
  <c r="R11376" i="8"/>
  <c r="R11382" i="8"/>
  <c r="R11336" i="8"/>
  <c r="R11348" i="8"/>
  <c r="R11370" i="8"/>
  <c r="R7997" i="8"/>
  <c r="R7996" i="8"/>
  <c r="R7995" i="8"/>
  <c r="R7994" i="8"/>
  <c r="R7992" i="8"/>
  <c r="R7987" i="8"/>
  <c r="R7986" i="8"/>
  <c r="R7985" i="8"/>
  <c r="R7984" i="8"/>
  <c r="R7982" i="8"/>
  <c r="R7977" i="8"/>
  <c r="R7976" i="8"/>
  <c r="R7975" i="8"/>
  <c r="R7974" i="8"/>
  <c r="R7972" i="8"/>
  <c r="R7967" i="8"/>
  <c r="R7966" i="8"/>
  <c r="R7965" i="8"/>
  <c r="R7964" i="8"/>
  <c r="R7962" i="8"/>
  <c r="R7957" i="8"/>
  <c r="R7956" i="8"/>
  <c r="R7955" i="8"/>
  <c r="R7954" i="8"/>
  <c r="R7952" i="8"/>
  <c r="R7943" i="8"/>
  <c r="R7942" i="8"/>
  <c r="R7941" i="8"/>
  <c r="R7940" i="8"/>
  <c r="R7938" i="8"/>
  <c r="R7933" i="8"/>
  <c r="R7932" i="8"/>
  <c r="R7931" i="8"/>
  <c r="R7930" i="8"/>
  <c r="R7928" i="8"/>
  <c r="R7923" i="8"/>
  <c r="R7922" i="8"/>
  <c r="R7921" i="8"/>
  <c r="R7920" i="8"/>
  <c r="R7918" i="8"/>
  <c r="R7913" i="8"/>
  <c r="R7912" i="8"/>
  <c r="R7911" i="8"/>
  <c r="R7910" i="8"/>
  <c r="R7908" i="8"/>
  <c r="R7903" i="8"/>
  <c r="R7902" i="8"/>
  <c r="R7901" i="8"/>
  <c r="R7900" i="8"/>
  <c r="AM11062" i="8" l="1"/>
  <c r="AM11388" i="8"/>
  <c r="AM11182" i="8"/>
  <c r="AM11188" i="8"/>
  <c r="AM11338" i="8"/>
  <c r="AM11360" i="8"/>
  <c r="AM11148" i="8"/>
  <c r="AM11142" i="8"/>
  <c r="AM11176" i="8"/>
  <c r="AM11240" i="8"/>
  <c r="AM11078" i="8"/>
  <c r="AM11056" i="8"/>
  <c r="AM11160" i="8"/>
  <c r="AM11350" i="8"/>
  <c r="AM10732" i="8"/>
  <c r="AM10704" i="8"/>
  <c r="AM10974" i="8"/>
  <c r="AM10650" i="8"/>
  <c r="AM10662" i="8"/>
  <c r="AM10698" i="8"/>
  <c r="AM10936" i="8"/>
  <c r="AM10564" i="8"/>
  <c r="AM10878" i="8"/>
  <c r="AM10946" i="8"/>
  <c r="AM10738" i="8"/>
  <c r="AM10710" i="8"/>
  <c r="AM10826" i="8"/>
  <c r="AM10644" i="8"/>
  <c r="AM10832" i="8"/>
  <c r="AM10784" i="8"/>
  <c r="AM10656" i="8"/>
  <c r="AM10924" i="8"/>
  <c r="AM10842" i="8"/>
  <c r="AM10720" i="8"/>
  <c r="AM10726" i="8"/>
  <c r="AM10774" i="8"/>
  <c r="AM10768" i="8"/>
  <c r="AM10634" i="8"/>
  <c r="AM10628" i="8"/>
  <c r="AM10622" i="8"/>
  <c r="AM10616" i="8"/>
  <c r="AM10574" i="8"/>
  <c r="AM10450" i="8"/>
  <c r="AM10490" i="8"/>
  <c r="AM10422" i="8"/>
  <c r="AM10137" i="8"/>
  <c r="AM10153" i="8"/>
  <c r="AM10091" i="8"/>
  <c r="AM10207" i="8"/>
  <c r="AM10322" i="8"/>
  <c r="AM10191" i="8"/>
  <c r="AM10328" i="8"/>
  <c r="AM10197" i="8"/>
  <c r="AM10334" i="8"/>
  <c r="R11467" i="8"/>
  <c r="R28" i="1" s="1"/>
  <c r="AM9870" i="8"/>
  <c r="AM9830" i="8"/>
  <c r="AM10006" i="8"/>
  <c r="AM9974" i="8"/>
  <c r="AM9986" i="8"/>
  <c r="AM9890" i="8"/>
  <c r="AM9840" i="8"/>
  <c r="AM9902" i="8"/>
  <c r="AM9852" i="8"/>
  <c r="AM10012" i="8"/>
  <c r="AM10036" i="8"/>
  <c r="AM9956" i="8"/>
  <c r="AM9846" i="8"/>
  <c r="AM10000" i="8"/>
  <c r="AM9926" i="8"/>
  <c r="AM10048" i="8"/>
  <c r="AM9950" i="8"/>
  <c r="AM9876" i="8"/>
  <c r="AM9782" i="8"/>
  <c r="AM9660" i="8"/>
  <c r="AM8991" i="8"/>
  <c r="AM9305" i="8"/>
  <c r="AM9323" i="8"/>
  <c r="AM9561" i="8"/>
  <c r="AM8655" i="8"/>
  <c r="AM9317" i="8"/>
  <c r="AM9134" i="8"/>
  <c r="AM8667" i="8"/>
  <c r="AM9387" i="8"/>
  <c r="AM8533" i="8"/>
  <c r="AM9146" i="8"/>
  <c r="AM8509" i="8"/>
  <c r="AM8515" i="8"/>
  <c r="AM9009" i="8"/>
  <c r="AM9341" i="8"/>
  <c r="AM9347" i="8"/>
  <c r="AM9140" i="8"/>
  <c r="AM8979" i="8"/>
  <c r="AM9522" i="8"/>
  <c r="AM8439" i="8"/>
  <c r="AM9021" i="8"/>
  <c r="AM8737" i="8"/>
  <c r="AM9363" i="8"/>
  <c r="AM9057" i="8"/>
  <c r="AM9666" i="8"/>
  <c r="AM9122" i="8"/>
  <c r="AM8493" i="8"/>
  <c r="AM8457" i="8"/>
  <c r="AM9694" i="8"/>
  <c r="AM9706" i="8"/>
  <c r="AM8469" i="8"/>
  <c r="AM9369" i="8"/>
  <c r="AM9498" i="8"/>
  <c r="AM8539" i="8"/>
  <c r="AM8557" i="8"/>
  <c r="AM9482" i="8"/>
  <c r="AM9760" i="8"/>
  <c r="AM9335" i="8"/>
  <c r="AM9672" i="8"/>
  <c r="AM9003" i="8"/>
  <c r="AM8933" i="8"/>
  <c r="AM9654" i="8"/>
  <c r="AM9766" i="8"/>
  <c r="AM8997" i="8"/>
  <c r="AM8743" i="8"/>
  <c r="AM9712" i="8"/>
  <c r="AM8521" i="8"/>
  <c r="AM9589" i="8"/>
  <c r="AM8713" i="8"/>
  <c r="AM9470" i="8"/>
  <c r="AM8527" i="8"/>
  <c r="AM8701" i="8"/>
  <c r="AM9700" i="8"/>
  <c r="AM8661" i="8"/>
  <c r="AM8445" i="8"/>
  <c r="AM9405" i="8"/>
  <c r="AM9045" i="8"/>
  <c r="AM8951" i="8"/>
  <c r="AM9678" i="8"/>
  <c r="AM9168" i="8"/>
  <c r="AM9299" i="8"/>
  <c r="AM8719" i="8"/>
  <c r="AM9516" i="8"/>
  <c r="AM8967" i="8"/>
  <c r="AM9174" i="8"/>
  <c r="AM9033" i="8"/>
  <c r="AM8463" i="8"/>
  <c r="AM9162" i="8"/>
  <c r="AM9688" i="8"/>
  <c r="AM8475" i="8"/>
  <c r="AM8643" i="8"/>
  <c r="AM9567" i="8"/>
  <c r="AM8637" i="8"/>
  <c r="AM9381" i="8"/>
  <c r="AM8545" i="8"/>
  <c r="AM8481" i="8"/>
  <c r="AM9027" i="8"/>
  <c r="AM8673" i="8"/>
  <c r="AM8451" i="8"/>
  <c r="AM9311" i="8"/>
  <c r="AM9488" i="8"/>
  <c r="AM8707" i="8"/>
  <c r="AM8679" i="8"/>
  <c r="AM8487" i="8"/>
  <c r="AM9573" i="8"/>
  <c r="AM9504" i="8"/>
  <c r="AM9357" i="8"/>
  <c r="AM8503" i="8"/>
  <c r="AM9744" i="8"/>
  <c r="AM8973" i="8"/>
  <c r="AM8649" i="8"/>
  <c r="AM9063" i="8"/>
  <c r="AM9464" i="8"/>
  <c r="AM8985" i="8"/>
  <c r="AM9128" i="8"/>
  <c r="AM9399" i="8"/>
  <c r="AM9750" i="8"/>
  <c r="AM8725" i="8"/>
  <c r="AM9510" i="8"/>
  <c r="AM9375" i="8"/>
  <c r="AM9476" i="8"/>
  <c r="AM9329" i="8"/>
  <c r="AM9156" i="8"/>
  <c r="AM8551" i="8"/>
  <c r="AM9015" i="8"/>
  <c r="AM8731" i="8"/>
  <c r="AM9595" i="8"/>
  <c r="AM9583" i="8"/>
  <c r="AM9039" i="8"/>
  <c r="AM9393" i="8"/>
  <c r="AM8957" i="8"/>
  <c r="AM9051" i="8"/>
  <c r="AM9776" i="8"/>
  <c r="AM8269" i="8"/>
  <c r="AM8333" i="8"/>
  <c r="AM8245" i="8"/>
  <c r="AM8327" i="8"/>
  <c r="AM8239" i="8"/>
  <c r="R11465" i="8"/>
  <c r="R26" i="1" s="1"/>
  <c r="AM8309" i="8"/>
  <c r="AM8303" i="8"/>
  <c r="AM8281" i="8"/>
  <c r="AM8275" i="8"/>
  <c r="AM8321" i="8"/>
  <c r="AM8287" i="8"/>
  <c r="AM8263" i="8"/>
  <c r="AM8257" i="8"/>
  <c r="AM8297" i="8"/>
  <c r="AM8339" i="8"/>
  <c r="AM8251" i="8"/>
  <c r="AM8315" i="8"/>
  <c r="R10527" i="8"/>
  <c r="R10533" i="8" s="1"/>
  <c r="AM10810" i="8"/>
  <c r="R10989" i="8"/>
  <c r="AM8014" i="8"/>
  <c r="R8145" i="8"/>
  <c r="R8151" i="8" s="1"/>
  <c r="AM9824" i="8"/>
  <c r="R10057" i="8"/>
  <c r="R10063" i="8" s="1"/>
  <c r="AM10554" i="8"/>
  <c r="R10797" i="8"/>
  <c r="AM11394" i="8"/>
  <c r="AM11280" i="8"/>
  <c r="AM10790" i="8"/>
  <c r="AM10518" i="8"/>
  <c r="AM9180" i="8"/>
  <c r="AM10267" i="8"/>
  <c r="AM8345" i="8"/>
  <c r="AM9788" i="8"/>
  <c r="AM11332" i="8"/>
  <c r="AM11268" i="8"/>
  <c r="AM10908" i="8"/>
  <c r="AM10428" i="8"/>
  <c r="AM10480" i="8"/>
  <c r="AM10159" i="8"/>
  <c r="AM10358" i="8"/>
  <c r="AM9932" i="8"/>
  <c r="AM11344" i="8"/>
  <c r="AM11274" i="8"/>
  <c r="AM11050" i="8"/>
  <c r="AM10930" i="8"/>
  <c r="AM10964" i="8"/>
  <c r="AM10416" i="8"/>
  <c r="AM10456" i="8"/>
  <c r="AM10512" i="8"/>
  <c r="AM10346" i="8"/>
  <c r="AM10213" i="8"/>
  <c r="AM10298" i="8"/>
  <c r="AM10042" i="8"/>
  <c r="AM9980" i="8"/>
  <c r="AM11262" i="8"/>
  <c r="AM11044" i="8"/>
  <c r="AM10958" i="8"/>
  <c r="AM10506" i="8"/>
  <c r="AM10406" i="8"/>
  <c r="AM9896" i="8"/>
  <c r="AM11366" i="8"/>
  <c r="AM11246" i="8"/>
  <c r="AM11234" i="8"/>
  <c r="AM11170" i="8"/>
  <c r="AM10952" i="8"/>
  <c r="AM10470" i="8"/>
  <c r="AM10444" i="8"/>
  <c r="AM10143" i="8"/>
  <c r="AM10352" i="8"/>
  <c r="AM10245" i="8"/>
  <c r="AM10308" i="8"/>
  <c r="AM11072" i="8"/>
  <c r="AM10888" i="8"/>
  <c r="AM10902" i="8"/>
  <c r="AM10816" i="8"/>
  <c r="AM10390" i="8"/>
  <c r="AM10261" i="8"/>
  <c r="AM9920" i="8"/>
  <c r="AM11378" i="8"/>
  <c r="AM11372" i="8"/>
  <c r="AM11252" i="8"/>
  <c r="AM11096" i="8"/>
  <c r="AM11084" i="8"/>
  <c r="AM11154" i="8"/>
  <c r="AM11090" i="8"/>
  <c r="AM10848" i="8"/>
  <c r="AM10438" i="8"/>
  <c r="AM10500" i="8"/>
  <c r="AM10400" i="8"/>
  <c r="AM10251" i="8"/>
  <c r="AM10026" i="8"/>
  <c r="AM10101" i="8"/>
  <c r="R7968" i="8"/>
  <c r="AM7960" i="8" s="1"/>
  <c r="R7988" i="8"/>
  <c r="AM7980" i="8" s="1"/>
  <c r="R7944" i="8"/>
  <c r="AM7936" i="8" s="1"/>
  <c r="R7958" i="8"/>
  <c r="AM7950" i="8" s="1"/>
  <c r="R7978" i="8"/>
  <c r="AM7970" i="8" s="1"/>
  <c r="R7998" i="8"/>
  <c r="AM7990" i="8" s="1"/>
  <c r="R7934" i="8"/>
  <c r="AM7926" i="8" s="1"/>
  <c r="R7924" i="8"/>
  <c r="AM7916" i="8" s="1"/>
  <c r="R7914" i="8"/>
  <c r="AM7906" i="8" s="1"/>
  <c r="R7904" i="8"/>
  <c r="AM7897" i="8" s="1"/>
  <c r="R175" i="8"/>
  <c r="R174" i="8"/>
  <c r="R173" i="8"/>
  <c r="R170" i="8"/>
  <c r="R160" i="8"/>
  <c r="R159" i="8"/>
  <c r="R158" i="8"/>
  <c r="R155" i="8"/>
  <c r="R7878" i="8"/>
  <c r="R7866" i="8"/>
  <c r="R7865" i="8"/>
  <c r="R7860" i="8"/>
  <c r="R7828" i="8"/>
  <c r="R7820" i="8"/>
  <c r="R7810" i="8"/>
  <c r="R7804" i="8"/>
  <c r="R7798" i="8"/>
  <c r="R7792" i="8"/>
  <c r="R7786" i="8"/>
  <c r="R7780" i="8"/>
  <c r="R7774" i="8"/>
  <c r="R7768" i="8"/>
  <c r="R7745" i="8"/>
  <c r="R7715" i="8"/>
  <c r="R7709" i="8"/>
  <c r="R7703" i="8"/>
  <c r="R7681" i="8"/>
  <c r="R7675" i="8"/>
  <c r="R7669" i="8"/>
  <c r="R7663" i="8"/>
  <c r="R7657" i="8"/>
  <c r="R7651" i="8"/>
  <c r="R7645" i="8"/>
  <c r="R7639" i="8"/>
  <c r="R7633" i="8"/>
  <c r="R7617" i="8"/>
  <c r="R7611" i="8"/>
  <c r="R7605" i="8"/>
  <c r="R7599" i="8"/>
  <c r="R7593" i="8"/>
  <c r="R7583" i="8"/>
  <c r="R7577" i="8"/>
  <c r="R7571" i="8"/>
  <c r="R7565" i="8"/>
  <c r="R7559" i="8"/>
  <c r="R7549" i="8"/>
  <c r="R7543" i="8"/>
  <c r="R7537" i="8"/>
  <c r="R7531" i="8"/>
  <c r="R7525" i="8"/>
  <c r="R7519" i="8"/>
  <c r="R7509" i="8"/>
  <c r="R7494" i="8"/>
  <c r="R7488" i="8"/>
  <c r="R7482" i="8"/>
  <c r="R7476" i="8"/>
  <c r="R7470" i="8"/>
  <c r="R7460" i="8"/>
  <c r="R7454" i="8"/>
  <c r="R7448" i="8"/>
  <c r="R7442" i="8"/>
  <c r="R7436" i="8"/>
  <c r="R7426" i="8"/>
  <c r="R7420" i="8"/>
  <c r="R7414" i="8"/>
  <c r="R7408" i="8"/>
  <c r="R7402" i="8"/>
  <c r="R7392" i="8"/>
  <c r="R7371" i="8"/>
  <c r="R7365" i="8"/>
  <c r="R7359" i="8"/>
  <c r="R7353" i="8"/>
  <c r="R7347" i="8"/>
  <c r="R7337" i="8"/>
  <c r="R7331" i="8"/>
  <c r="R7325" i="8"/>
  <c r="R7315" i="8"/>
  <c r="R7305" i="8"/>
  <c r="R7290" i="8"/>
  <c r="R7284" i="8"/>
  <c r="R7278" i="8"/>
  <c r="R7272" i="8"/>
  <c r="R7262" i="8"/>
  <c r="R7256" i="8"/>
  <c r="R7250" i="8"/>
  <c r="R7244" i="8"/>
  <c r="R7238" i="8"/>
  <c r="R7228" i="8"/>
  <c r="R7207" i="8"/>
  <c r="R7201" i="8"/>
  <c r="R7195" i="8"/>
  <c r="R7189" i="8"/>
  <c r="R7177" i="8"/>
  <c r="R7167" i="8"/>
  <c r="R7161" i="8"/>
  <c r="R7155" i="8"/>
  <c r="R7117" i="8"/>
  <c r="R7111" i="8"/>
  <c r="R7105" i="8"/>
  <c r="R7099" i="8"/>
  <c r="R7093" i="8"/>
  <c r="R7083" i="8"/>
  <c r="R7063" i="8"/>
  <c r="R7031" i="8"/>
  <c r="R7025" i="8"/>
  <c r="R7019" i="8"/>
  <c r="R7013" i="8"/>
  <c r="R7007" i="8"/>
  <c r="R6997" i="8"/>
  <c r="R6991" i="8"/>
  <c r="R6985" i="8"/>
  <c r="R6979" i="8"/>
  <c r="R6969" i="8"/>
  <c r="R6963" i="8"/>
  <c r="R6957" i="8"/>
  <c r="R6951" i="8"/>
  <c r="R6945" i="8"/>
  <c r="R6935" i="8"/>
  <c r="R6920" i="8"/>
  <c r="R6914" i="8"/>
  <c r="R6908" i="8"/>
  <c r="R6902" i="8"/>
  <c r="R6896" i="8"/>
  <c r="R6890" i="8"/>
  <c r="R6880" i="8"/>
  <c r="R6874" i="8"/>
  <c r="R6868" i="8"/>
  <c r="R6862" i="8"/>
  <c r="R6856" i="8"/>
  <c r="R6850" i="8"/>
  <c r="R6844" i="8"/>
  <c r="R6838" i="8"/>
  <c r="R6832" i="8"/>
  <c r="R6822" i="8"/>
  <c r="R6801" i="8"/>
  <c r="R6795" i="8"/>
  <c r="R6789" i="8"/>
  <c r="R6783" i="8"/>
  <c r="R6777" i="8"/>
  <c r="R6767" i="8"/>
  <c r="R6757" i="8"/>
  <c r="R6751" i="8"/>
  <c r="R6745" i="8"/>
  <c r="R6735" i="8"/>
  <c r="R6720" i="8"/>
  <c r="R6714" i="8"/>
  <c r="R6708" i="8"/>
  <c r="R6702" i="8"/>
  <c r="R6692" i="8"/>
  <c r="R6686" i="8"/>
  <c r="R6680" i="8"/>
  <c r="R6674" i="8"/>
  <c r="R6664" i="8"/>
  <c r="R6624" i="8"/>
  <c r="R6616" i="8"/>
  <c r="R6615" i="8"/>
  <c r="R6610" i="8"/>
  <c r="R6609" i="8"/>
  <c r="R6600" i="8"/>
  <c r="R6591" i="8"/>
  <c r="R6578" i="8"/>
  <c r="R6569" i="8"/>
  <c r="R6556" i="8"/>
  <c r="R6547" i="8"/>
  <c r="R6534" i="8"/>
  <c r="R6527" i="8"/>
  <c r="R6520" i="8"/>
  <c r="R6513" i="8"/>
  <c r="R6506" i="8"/>
  <c r="R6495" i="8"/>
  <c r="R6486" i="8"/>
  <c r="R6473" i="8"/>
  <c r="R6460" i="8"/>
  <c r="R6451" i="8"/>
  <c r="R6442" i="8"/>
  <c r="R6433" i="8"/>
  <c r="R6424" i="8"/>
  <c r="R6401" i="8"/>
  <c r="R6394" i="8"/>
  <c r="R6387" i="8"/>
  <c r="R6380" i="8"/>
  <c r="R6369" i="8"/>
  <c r="R6360" i="8"/>
  <c r="R6351" i="8"/>
  <c r="R6342" i="8"/>
  <c r="R6325" i="8"/>
  <c r="R6312" i="8"/>
  <c r="R6299" i="8"/>
  <c r="R6290" i="8"/>
  <c r="R6281" i="8"/>
  <c r="R6268" i="8"/>
  <c r="R6247" i="8"/>
  <c r="R6246" i="8"/>
  <c r="R6233" i="8"/>
  <c r="R6220" i="8"/>
  <c r="R6207" i="8"/>
  <c r="R6200" i="8"/>
  <c r="R6189" i="8"/>
  <c r="R6180" i="8"/>
  <c r="R6163" i="8"/>
  <c r="R6148" i="8"/>
  <c r="R6139" i="8"/>
  <c r="R6121" i="8"/>
  <c r="R6106" i="8"/>
  <c r="R6097" i="8"/>
  <c r="R6088" i="8"/>
  <c r="R6073" i="8"/>
  <c r="R6060" i="8"/>
  <c r="R6049" i="8"/>
  <c r="R6038" i="8"/>
  <c r="R6013" i="8"/>
  <c r="R6004" i="8"/>
  <c r="R5991" i="8"/>
  <c r="R5982" i="8"/>
  <c r="R5973" i="8"/>
  <c r="R5964" i="8"/>
  <c r="R5951" i="8"/>
  <c r="R5942" i="8"/>
  <c r="R5933" i="8"/>
  <c r="R5920" i="8"/>
  <c r="R5907" i="8"/>
  <c r="R5890" i="8"/>
  <c r="R5876" i="8"/>
  <c r="R5863" i="8"/>
  <c r="R5850" i="8"/>
  <c r="R5837" i="8"/>
  <c r="R5828" i="8"/>
  <c r="R5815" i="8"/>
  <c r="R5806" i="8"/>
  <c r="R5797" i="8"/>
  <c r="R5780" i="8"/>
  <c r="R5771" i="8"/>
  <c r="R5762" i="8"/>
  <c r="R5749" i="8"/>
  <c r="R5740" i="8"/>
  <c r="R5727" i="8"/>
  <c r="R5718" i="8"/>
  <c r="R5709" i="8"/>
  <c r="R5696" i="8"/>
  <c r="R5687" i="8"/>
  <c r="R5678" i="8"/>
  <c r="R5669" i="8"/>
  <c r="R5656" i="8"/>
  <c r="R5647" i="8"/>
  <c r="R5638" i="8"/>
  <c r="R5629" i="8"/>
  <c r="R5620" i="8"/>
  <c r="R5611" i="8"/>
  <c r="R5565" i="8"/>
  <c r="R5554" i="8"/>
  <c r="R5547" i="8"/>
  <c r="R5540" i="8"/>
  <c r="R5533" i="8"/>
  <c r="R5526" i="8"/>
  <c r="R5519" i="8"/>
  <c r="R5512" i="8"/>
  <c r="R5505" i="8"/>
  <c r="R5494" i="8"/>
  <c r="R5487" i="8"/>
  <c r="R5480" i="8"/>
  <c r="R5473" i="8"/>
  <c r="R5466" i="8"/>
  <c r="R5459" i="8"/>
  <c r="R5452" i="8"/>
  <c r="R5445" i="8"/>
  <c r="R5438" i="8"/>
  <c r="R5431" i="8"/>
  <c r="R5420" i="8"/>
  <c r="R5413" i="8"/>
  <c r="R5406" i="8"/>
  <c r="R5399" i="8"/>
  <c r="R5392" i="8"/>
  <c r="R5385" i="8"/>
  <c r="R5378" i="8"/>
  <c r="R5367" i="8"/>
  <c r="R5360" i="8"/>
  <c r="R5353" i="8"/>
  <c r="R5346" i="8"/>
  <c r="R5339" i="8"/>
  <c r="R5332" i="8"/>
  <c r="R5325" i="8"/>
  <c r="R5318" i="8"/>
  <c r="R5311" i="8"/>
  <c r="R5304" i="8"/>
  <c r="R5297" i="8"/>
  <c r="R5290" i="8"/>
  <c r="R5283" i="8"/>
  <c r="R5276" i="8"/>
  <c r="R5269" i="8"/>
  <c r="R5258" i="8"/>
  <c r="R5251" i="8"/>
  <c r="R5244" i="8"/>
  <c r="R5237" i="8"/>
  <c r="R5230" i="8"/>
  <c r="R5223" i="8"/>
  <c r="R5216" i="8"/>
  <c r="R5209" i="8"/>
  <c r="R5202" i="8"/>
  <c r="R5195" i="8"/>
  <c r="R5188" i="8"/>
  <c r="R5181" i="8"/>
  <c r="R5150" i="8"/>
  <c r="R5140" i="8"/>
  <c r="R5134" i="8"/>
  <c r="R5124" i="8"/>
  <c r="R5114" i="8"/>
  <c r="R5108" i="8"/>
  <c r="R5102" i="8"/>
  <c r="R5096" i="8"/>
  <c r="R5090" i="8"/>
  <c r="R5084" i="8"/>
  <c r="R5078" i="8"/>
  <c r="R5072" i="8"/>
  <c r="R5062" i="8"/>
  <c r="R5056" i="8"/>
  <c r="R5050" i="8"/>
  <c r="R5038" i="8"/>
  <c r="R5032" i="8"/>
  <c r="R5026" i="8"/>
  <c r="R4990" i="8"/>
  <c r="R4982" i="8"/>
  <c r="R4972" i="8"/>
  <c r="R4944" i="8"/>
  <c r="R4943" i="8"/>
  <c r="R4934" i="8"/>
  <c r="R4914" i="8"/>
  <c r="R4906" i="8"/>
  <c r="R4897" i="8"/>
  <c r="R4889" i="8"/>
  <c r="R4882" i="8"/>
  <c r="R4874" i="8"/>
  <c r="R4862" i="8"/>
  <c r="R4855" i="8"/>
  <c r="R4854" i="8"/>
  <c r="R4849" i="8"/>
  <c r="R4842" i="8"/>
  <c r="R4835" i="8"/>
  <c r="R4828" i="8"/>
  <c r="R4821" i="8"/>
  <c r="R4814" i="8"/>
  <c r="R4807" i="8"/>
  <c r="R4800" i="8"/>
  <c r="R4793" i="8"/>
  <c r="R4786" i="8"/>
  <c r="R4779" i="8"/>
  <c r="R4771" i="8"/>
  <c r="R4763" i="8"/>
  <c r="R4755" i="8"/>
  <c r="R4729" i="8"/>
  <c r="R4718" i="8"/>
  <c r="R4703" i="8"/>
  <c r="R4695" i="8"/>
  <c r="R4680" i="8"/>
  <c r="R4668" i="8"/>
  <c r="R4661" i="8"/>
  <c r="R4660" i="8"/>
  <c r="R4655" i="8"/>
  <c r="R4648" i="8"/>
  <c r="R4641" i="8"/>
  <c r="R4634" i="8"/>
  <c r="R4627" i="8"/>
  <c r="R4620" i="8"/>
  <c r="R4613" i="8"/>
  <c r="R4606" i="8"/>
  <c r="R4599" i="8"/>
  <c r="R4592" i="8"/>
  <c r="R4585" i="8"/>
  <c r="R4578" i="8"/>
  <c r="R4570" i="8"/>
  <c r="R4562" i="8"/>
  <c r="R4546" i="8"/>
  <c r="R4520" i="8"/>
  <c r="R4503" i="8"/>
  <c r="R4495" i="8"/>
  <c r="R4484" i="8"/>
  <c r="R4477" i="8"/>
  <c r="R4476" i="8"/>
  <c r="R4471" i="8"/>
  <c r="R4464" i="8"/>
  <c r="R4457" i="8"/>
  <c r="R4450" i="8"/>
  <c r="R4443" i="8"/>
  <c r="R4436" i="8"/>
  <c r="R4429" i="8"/>
  <c r="R4422" i="8"/>
  <c r="R4415" i="8"/>
  <c r="R4408" i="8"/>
  <c r="R4400" i="8"/>
  <c r="R4392" i="8"/>
  <c r="R4384" i="8"/>
  <c r="R4376" i="8"/>
  <c r="R4345" i="8"/>
  <c r="R4333" i="8"/>
  <c r="R4326" i="8"/>
  <c r="R4325" i="8"/>
  <c r="R4320" i="8"/>
  <c r="R4313" i="8"/>
  <c r="R4306" i="8"/>
  <c r="R4299" i="8"/>
  <c r="R4292" i="8"/>
  <c r="R4285" i="8"/>
  <c r="R4278" i="8"/>
  <c r="R4271" i="8"/>
  <c r="R4264" i="8"/>
  <c r="R4257" i="8"/>
  <c r="R4249" i="8"/>
  <c r="R4233" i="8"/>
  <c r="R4225" i="8"/>
  <c r="R4199" i="8"/>
  <c r="R4190" i="8"/>
  <c r="R4179" i="8"/>
  <c r="R4172" i="8"/>
  <c r="R4149" i="8"/>
  <c r="R4138" i="8"/>
  <c r="R4131" i="8"/>
  <c r="R4130" i="8"/>
  <c r="R4125" i="8"/>
  <c r="R4118" i="8"/>
  <c r="R4111" i="8"/>
  <c r="R4103" i="8"/>
  <c r="R4095" i="8"/>
  <c r="R4079" i="8"/>
  <c r="R4069" i="8"/>
  <c r="R4062" i="8"/>
  <c r="R4055" i="8"/>
  <c r="R4044" i="8"/>
  <c r="R4037" i="8"/>
  <c r="R4028" i="8"/>
  <c r="R4019" i="8"/>
  <c r="R4010" i="8"/>
  <c r="R4001" i="8"/>
  <c r="R3992" i="8"/>
  <c r="R3983" i="8"/>
  <c r="R3974" i="8"/>
  <c r="R3966" i="8"/>
  <c r="R3957" i="8"/>
  <c r="R3950" i="8"/>
  <c r="R3942" i="8"/>
  <c r="R3920" i="8"/>
  <c r="R3909" i="8"/>
  <c r="R3902" i="8"/>
  <c r="R3895" i="8"/>
  <c r="R3887" i="8"/>
  <c r="R3879" i="8"/>
  <c r="R3864" i="8"/>
  <c r="R3856" i="8"/>
  <c r="R3817" i="8"/>
  <c r="R3806" i="8"/>
  <c r="R3799" i="8"/>
  <c r="R3798" i="8"/>
  <c r="R3793" i="8"/>
  <c r="R3786" i="8"/>
  <c r="R3779" i="8"/>
  <c r="R3772" i="8"/>
  <c r="R3765" i="8"/>
  <c r="R3757" i="8"/>
  <c r="R3749" i="8"/>
  <c r="R3733" i="8"/>
  <c r="R3730" i="8"/>
  <c r="R3724" i="8"/>
  <c r="R3717" i="8"/>
  <c r="R3706" i="8"/>
  <c r="R3705" i="8"/>
  <c r="R3700" i="8"/>
  <c r="R3693" i="8"/>
  <c r="R3686" i="8"/>
  <c r="R3679" i="8"/>
  <c r="R3672" i="8"/>
  <c r="R3665" i="8"/>
  <c r="R3658" i="8"/>
  <c r="R3651" i="8"/>
  <c r="R3635" i="8"/>
  <c r="R3613" i="8"/>
  <c r="R3597" i="8"/>
  <c r="R3585" i="8"/>
  <c r="R3578" i="8"/>
  <c r="R3577" i="8"/>
  <c r="R3576" i="8"/>
  <c r="R3575" i="8"/>
  <c r="R3574" i="8"/>
  <c r="R3573" i="8"/>
  <c r="R3568" i="8"/>
  <c r="R3561" i="8"/>
  <c r="R3554" i="8"/>
  <c r="R3547" i="8"/>
  <c r="R3540" i="8"/>
  <c r="R3533" i="8"/>
  <c r="R3526" i="8"/>
  <c r="R3519" i="8"/>
  <c r="R3512" i="8"/>
  <c r="R3505" i="8"/>
  <c r="R3498" i="8"/>
  <c r="R3490" i="8"/>
  <c r="R3482" i="8"/>
  <c r="R3474" i="8"/>
  <c r="R3466" i="8"/>
  <c r="R3446" i="8"/>
  <c r="R3438" i="8"/>
  <c r="R3431" i="8"/>
  <c r="R3420" i="8"/>
  <c r="R3413" i="8"/>
  <c r="R3412" i="8"/>
  <c r="R3411" i="8"/>
  <c r="R3410" i="8"/>
  <c r="R3409" i="8"/>
  <c r="R3408" i="8"/>
  <c r="R3403" i="8"/>
  <c r="R3396" i="8"/>
  <c r="R3389" i="8"/>
  <c r="R3382" i="8"/>
  <c r="R3375" i="8"/>
  <c r="R3368" i="8"/>
  <c r="R3361" i="8"/>
  <c r="R3354" i="8"/>
  <c r="R3347" i="8"/>
  <c r="R3340" i="8"/>
  <c r="R3333" i="8"/>
  <c r="R3326" i="8"/>
  <c r="R3319" i="8"/>
  <c r="R3312" i="8"/>
  <c r="R3305" i="8"/>
  <c r="R3298" i="8"/>
  <c r="R3291" i="8"/>
  <c r="R3269" i="8"/>
  <c r="R3253" i="8"/>
  <c r="R3242" i="8"/>
  <c r="R3227" i="8"/>
  <c r="R3211" i="8"/>
  <c r="R3203" i="8"/>
  <c r="R3169" i="8"/>
  <c r="R3164" i="8"/>
  <c r="R3157" i="8"/>
  <c r="R3150" i="8"/>
  <c r="R3139" i="8"/>
  <c r="R3132" i="8"/>
  <c r="R3131" i="8"/>
  <c r="R3126" i="8"/>
  <c r="R3119" i="8"/>
  <c r="R3112" i="8"/>
  <c r="R3105" i="8"/>
  <c r="R3098" i="8"/>
  <c r="R3091" i="8"/>
  <c r="R3084" i="8"/>
  <c r="R3077" i="8"/>
  <c r="R3056" i="8"/>
  <c r="R3049" i="8"/>
  <c r="R3042" i="8"/>
  <c r="R3028" i="8"/>
  <c r="R3014" i="8"/>
  <c r="R3007" i="8"/>
  <c r="R3000" i="8"/>
  <c r="R2992" i="8"/>
  <c r="R2985" i="8"/>
  <c r="R2978" i="8"/>
  <c r="R2971" i="8"/>
  <c r="R2964" i="8"/>
  <c r="R2956" i="8"/>
  <c r="R2948" i="8"/>
  <c r="R2922" i="8"/>
  <c r="R2915" i="8"/>
  <c r="R2908" i="8"/>
  <c r="R2901" i="8"/>
  <c r="R2890" i="8"/>
  <c r="R2883" i="8"/>
  <c r="R2876" i="8"/>
  <c r="R2869" i="8"/>
  <c r="R2862" i="8"/>
  <c r="R2855" i="8"/>
  <c r="R2848" i="8"/>
  <c r="R2833" i="8"/>
  <c r="R2822" i="8"/>
  <c r="R2815" i="8"/>
  <c r="R2808" i="8"/>
  <c r="R2797" i="8"/>
  <c r="R2782" i="8"/>
  <c r="R2775" i="8"/>
  <c r="R2768" i="8"/>
  <c r="R2761" i="8"/>
  <c r="R2754" i="8"/>
  <c r="R2747" i="8"/>
  <c r="R2726" i="8"/>
  <c r="R2715" i="8"/>
  <c r="R2708" i="8"/>
  <c r="R2697" i="8"/>
  <c r="R2682" i="8"/>
  <c r="R2674" i="8"/>
  <c r="R2663" i="8"/>
  <c r="R2656" i="8"/>
  <c r="R2649" i="8"/>
  <c r="R2634" i="8"/>
  <c r="R2627" i="8"/>
  <c r="R2616" i="8"/>
  <c r="R2609" i="8"/>
  <c r="R2602" i="8"/>
  <c r="R2587" i="8"/>
  <c r="R2565" i="8"/>
  <c r="R2550" i="8"/>
  <c r="R2543" i="8"/>
  <c r="R2536" i="8"/>
  <c r="R2525" i="8"/>
  <c r="R2518" i="8"/>
  <c r="R2511" i="8"/>
  <c r="R2504" i="8"/>
  <c r="R2483" i="8"/>
  <c r="R2472" i="8"/>
  <c r="R2465" i="8"/>
  <c r="R2450" i="8"/>
  <c r="R2440" i="8"/>
  <c r="R2431" i="8"/>
  <c r="R2418" i="8"/>
  <c r="R2411" i="8"/>
  <c r="R2404" i="8"/>
  <c r="R2397" i="8"/>
  <c r="R2390" i="8"/>
  <c r="R2383" i="8"/>
  <c r="R2376" i="8"/>
  <c r="R2369" i="8"/>
  <c r="R2362" i="8"/>
  <c r="R2355" i="8"/>
  <c r="R2348" i="8"/>
  <c r="R2341" i="8"/>
  <c r="R2334" i="8"/>
  <c r="R2327" i="8"/>
  <c r="R2320" i="8"/>
  <c r="R2313" i="8"/>
  <c r="R2306" i="8"/>
  <c r="R2299" i="8"/>
  <c r="R2284" i="8"/>
  <c r="R2277" i="8"/>
  <c r="R2266" i="8"/>
  <c r="R2259" i="8"/>
  <c r="R2252" i="8"/>
  <c r="R2245" i="8"/>
  <c r="R2238" i="8"/>
  <c r="R2231" i="8"/>
  <c r="R2224" i="8"/>
  <c r="R2203" i="8"/>
  <c r="R2194" i="8"/>
  <c r="R2180" i="8"/>
  <c r="R2173" i="8"/>
  <c r="R2155" i="8"/>
  <c r="R2148" i="8"/>
  <c r="R2141" i="8"/>
  <c r="R2134" i="8"/>
  <c r="R2127" i="8"/>
  <c r="R2120" i="8"/>
  <c r="R2105" i="8"/>
  <c r="R2094" i="8"/>
  <c r="R2087" i="8"/>
  <c r="R2080" i="8"/>
  <c r="R2073" i="8"/>
  <c r="R2066" i="8"/>
  <c r="R2059" i="8"/>
  <c r="R2052" i="8"/>
  <c r="R2045" i="8"/>
  <c r="R2038" i="8"/>
  <c r="R2031" i="8"/>
  <c r="R2024" i="8"/>
  <c r="R2017" i="8"/>
  <c r="R2010" i="8"/>
  <c r="R1995" i="8"/>
  <c r="R1988" i="8"/>
  <c r="R1977" i="8"/>
  <c r="R1970" i="8"/>
  <c r="R1963" i="8"/>
  <c r="R1956" i="8"/>
  <c r="R1949" i="8"/>
  <c r="R1942" i="8"/>
  <c r="R1935" i="8"/>
  <c r="R1928" i="8"/>
  <c r="R1921" i="8"/>
  <c r="R1914" i="8"/>
  <c r="R1899" i="8"/>
  <c r="R1888" i="8"/>
  <c r="R1881" i="8"/>
  <c r="R1874" i="8"/>
  <c r="R1863" i="8"/>
  <c r="R1842" i="8"/>
  <c r="R1831" i="8"/>
  <c r="R1816" i="8"/>
  <c r="R1805" i="8"/>
  <c r="R1798" i="8"/>
  <c r="R1791" i="8"/>
  <c r="R1784" i="8"/>
  <c r="R1777" i="8"/>
  <c r="R1770" i="8"/>
  <c r="R1763" i="8"/>
  <c r="R1756" i="8"/>
  <c r="R1749" i="8"/>
  <c r="R1742" i="8"/>
  <c r="R1735" i="8"/>
  <c r="R1728" i="8"/>
  <c r="R1721" i="8"/>
  <c r="R1714" i="8"/>
  <c r="R1707" i="8"/>
  <c r="R1700" i="8"/>
  <c r="R1693" i="8"/>
  <c r="R1686" i="8"/>
  <c r="R1679" i="8"/>
  <c r="R1672" i="8"/>
  <c r="R1665" i="8"/>
  <c r="R1658" i="8"/>
  <c r="R1643" i="8"/>
  <c r="R1632" i="8"/>
  <c r="R1625" i="8"/>
  <c r="R1618" i="8"/>
  <c r="R1607" i="8"/>
  <c r="R1600" i="8"/>
  <c r="R1553" i="8"/>
  <c r="R1545" i="8"/>
  <c r="R1533" i="8"/>
  <c r="R1526" i="8"/>
  <c r="R1519" i="8"/>
  <c r="R1512" i="8"/>
  <c r="R1505" i="8"/>
  <c r="R1498" i="8"/>
  <c r="R1491" i="8"/>
  <c r="R1484" i="8"/>
  <c r="R1477" i="8"/>
  <c r="R1470" i="8"/>
  <c r="R1449" i="8"/>
  <c r="R1442" i="8"/>
  <c r="R1435" i="8"/>
  <c r="R1424" i="8"/>
  <c r="R1417" i="8"/>
  <c r="R1410" i="8"/>
  <c r="R1403" i="8"/>
  <c r="R1396" i="8"/>
  <c r="R1389" i="8"/>
  <c r="R1382" i="8"/>
  <c r="R1367" i="8"/>
  <c r="R1360" i="8"/>
  <c r="R1349" i="8"/>
  <c r="R1342" i="8"/>
  <c r="R1335" i="8"/>
  <c r="R1328" i="8"/>
  <c r="R1321" i="8"/>
  <c r="R1306" i="8"/>
  <c r="R1295" i="8"/>
  <c r="R1288" i="8"/>
  <c r="R1281" i="8"/>
  <c r="R1274" i="8"/>
  <c r="R1267" i="8"/>
  <c r="R1260" i="8"/>
  <c r="R1253" i="8"/>
  <c r="R1246" i="8"/>
  <c r="R1239" i="8"/>
  <c r="R1224" i="8"/>
  <c r="R1217" i="8"/>
  <c r="R1197" i="8"/>
  <c r="R1190" i="8"/>
  <c r="R1183" i="8"/>
  <c r="R1176" i="8"/>
  <c r="R1169" i="8"/>
  <c r="R1162" i="8"/>
  <c r="R1155" i="8"/>
  <c r="R1148" i="8"/>
  <c r="R1141" i="8"/>
  <c r="R1134" i="8"/>
  <c r="R1119" i="8"/>
  <c r="R1108" i="8"/>
  <c r="R1101" i="8"/>
  <c r="R1094" i="8"/>
  <c r="R1073" i="8"/>
  <c r="R1065" i="8"/>
  <c r="R1057" i="8"/>
  <c r="R1039" i="8"/>
  <c r="R1032" i="8"/>
  <c r="R1025" i="8"/>
  <c r="R1018" i="8"/>
  <c r="R1011" i="8"/>
  <c r="R994" i="8"/>
  <c r="R983" i="8"/>
  <c r="R969" i="8"/>
  <c r="R962" i="8"/>
  <c r="R955" i="8"/>
  <c r="R939" i="8"/>
  <c r="R930" i="8"/>
  <c r="R923" i="8"/>
  <c r="R916" i="8"/>
  <c r="R909" i="8"/>
  <c r="R902" i="8"/>
  <c r="R893" i="8"/>
  <c r="R886" i="8"/>
  <c r="R879" i="8"/>
  <c r="R872" i="8"/>
  <c r="R865" i="8"/>
  <c r="R858" i="8"/>
  <c r="R851" i="8"/>
  <c r="R844" i="8"/>
  <c r="R837" i="8"/>
  <c r="R830" i="8"/>
  <c r="R823" i="8"/>
  <c r="R816" i="8"/>
  <c r="R809" i="8"/>
  <c r="R802" i="8"/>
  <c r="R795" i="8"/>
  <c r="R788" i="8"/>
  <c r="R781" i="8"/>
  <c r="R774" i="8"/>
  <c r="R753" i="8"/>
  <c r="R746" i="8"/>
  <c r="R739" i="8"/>
  <c r="R732" i="8"/>
  <c r="R681" i="8"/>
  <c r="R667" i="8"/>
  <c r="R654" i="8"/>
  <c r="R632" i="8"/>
  <c r="R619" i="8"/>
  <c r="R556" i="8"/>
  <c r="R548" i="8"/>
  <c r="R540" i="8"/>
  <c r="R532" i="8"/>
  <c r="R455" i="8"/>
  <c r="R445" i="8"/>
  <c r="R435" i="8"/>
  <c r="R425" i="8"/>
  <c r="R415" i="8"/>
  <c r="R405" i="8"/>
  <c r="R395" i="8"/>
  <c r="R385" i="8"/>
  <c r="R375" i="8"/>
  <c r="R365" i="8"/>
  <c r="R355" i="8"/>
  <c r="R345" i="8"/>
  <c r="R335" i="8"/>
  <c r="R325" i="8"/>
  <c r="R315" i="8"/>
  <c r="R305" i="8"/>
  <c r="R295" i="8"/>
  <c r="R285" i="8"/>
  <c r="R275" i="8"/>
  <c r="R265" i="8"/>
  <c r="R255" i="8"/>
  <c r="R239" i="8"/>
  <c r="R222" i="8"/>
  <c r="R206" i="8"/>
  <c r="R198" i="8"/>
  <c r="R197" i="8"/>
  <c r="R115" i="8"/>
  <c r="R114" i="8"/>
  <c r="R109" i="8"/>
  <c r="R108" i="8"/>
  <c r="R103" i="8"/>
  <c r="R102" i="8"/>
  <c r="R97" i="8"/>
  <c r="R96" i="8"/>
  <c r="R91" i="8"/>
  <c r="R85" i="8"/>
  <c r="R84" i="8"/>
  <c r="R79" i="8"/>
  <c r="R78" i="8"/>
  <c r="R73" i="8"/>
  <c r="R72" i="8"/>
  <c r="R61" i="8"/>
  <c r="R60" i="8"/>
  <c r="R55" i="8"/>
  <c r="R46" i="8"/>
  <c r="R45" i="8"/>
  <c r="R44" i="8"/>
  <c r="R43" i="8"/>
  <c r="R42" i="8"/>
  <c r="R41" i="8"/>
  <c r="R36" i="8"/>
  <c r="R35" i="8"/>
  <c r="R34" i="8"/>
  <c r="R33" i="8"/>
  <c r="R32" i="8"/>
  <c r="R31" i="8"/>
  <c r="R26" i="8"/>
  <c r="R10995" i="8" l="1"/>
  <c r="R74" i="8"/>
  <c r="R3598" i="8"/>
  <c r="AM3592" i="8" s="1"/>
  <c r="R4875" i="8"/>
  <c r="AM4869" i="8" s="1"/>
  <c r="R7178" i="8"/>
  <c r="R7775" i="8"/>
  <c r="R7799" i="8"/>
  <c r="R176" i="8"/>
  <c r="R396" i="8"/>
  <c r="R557" i="8"/>
  <c r="R326" i="8"/>
  <c r="R4132" i="8"/>
  <c r="AM4128" i="8" s="1"/>
  <c r="R7421" i="8"/>
  <c r="R7449" i="8"/>
  <c r="R7594" i="8"/>
  <c r="R7618" i="8"/>
  <c r="R156" i="8"/>
  <c r="R266" i="8"/>
  <c r="R386" i="8"/>
  <c r="R6703" i="8"/>
  <c r="R6768" i="8"/>
  <c r="R161" i="8"/>
  <c r="R256" i="8"/>
  <c r="R5039" i="8"/>
  <c r="AM5035" i="8" s="1"/>
  <c r="R5063" i="8"/>
  <c r="AM5059" i="8" s="1"/>
  <c r="R5115" i="8"/>
  <c r="AM5111" i="8" s="1"/>
  <c r="R6395" i="8"/>
  <c r="AM6390" i="8" s="1"/>
  <c r="R7658" i="8"/>
  <c r="R47" i="8"/>
  <c r="AM39" i="8" s="1"/>
  <c r="R110" i="8"/>
  <c r="AM106" i="8" s="1"/>
  <c r="R199" i="8"/>
  <c r="AM195" i="8" s="1"/>
  <c r="R346" i="8"/>
  <c r="R3800" i="8"/>
  <c r="AM3796" i="8" s="1"/>
  <c r="R3865" i="8"/>
  <c r="AM3859" i="8" s="1"/>
  <c r="R6839" i="8"/>
  <c r="R6891" i="8"/>
  <c r="R6952" i="8"/>
  <c r="R6980" i="8"/>
  <c r="R7008" i="8"/>
  <c r="R7279" i="8"/>
  <c r="R7372" i="8"/>
  <c r="R296" i="8"/>
  <c r="R533" i="8"/>
  <c r="R549" i="8"/>
  <c r="R3133" i="8"/>
  <c r="AM3129" i="8" s="1"/>
  <c r="R4945" i="8"/>
  <c r="AM4941" i="8" s="1"/>
  <c r="R5033" i="8"/>
  <c r="AM5029" i="8" s="1"/>
  <c r="R5109" i="8"/>
  <c r="AM5105" i="8" s="1"/>
  <c r="R5141" i="8"/>
  <c r="AM5137" i="8" s="1"/>
  <c r="R6693" i="8"/>
  <c r="R6758" i="8"/>
  <c r="R6790" i="8"/>
  <c r="R7100" i="8"/>
  <c r="R7415" i="8"/>
  <c r="R7471" i="8"/>
  <c r="R7495" i="8"/>
  <c r="R7704" i="8"/>
  <c r="R7769" i="8"/>
  <c r="R7793" i="8"/>
  <c r="R104" i="8"/>
  <c r="AM100" i="8" s="1"/>
  <c r="R3447" i="8"/>
  <c r="AM3441" i="8" s="1"/>
  <c r="R4158" i="8"/>
  <c r="AM4152" i="8" s="1"/>
  <c r="R7026" i="8"/>
  <c r="R7338" i="8"/>
  <c r="R286" i="8"/>
  <c r="R416" i="8"/>
  <c r="R456" i="8"/>
  <c r="R3228" i="8"/>
  <c r="AM3222" i="8" s="1"/>
  <c r="R3579" i="8"/>
  <c r="AM3571" i="8" s="1"/>
  <c r="R3614" i="8"/>
  <c r="AM3608" i="8" s="1"/>
  <c r="R4681" i="8"/>
  <c r="AM4675" i="8" s="1"/>
  <c r="R4704" i="8"/>
  <c r="AM4698" i="8" s="1"/>
  <c r="R5027" i="8"/>
  <c r="R5079" i="8"/>
  <c r="AM5075" i="8" s="1"/>
  <c r="R6715" i="8"/>
  <c r="R6784" i="8"/>
  <c r="R7094" i="8"/>
  <c r="R7162" i="8"/>
  <c r="R7409" i="8"/>
  <c r="R7461" i="8"/>
  <c r="R7489" i="8"/>
  <c r="R7526" i="8"/>
  <c r="R7550" i="8"/>
  <c r="R7606" i="8"/>
  <c r="R7646" i="8"/>
  <c r="R7670" i="8"/>
  <c r="R7811" i="8"/>
  <c r="R336" i="8"/>
  <c r="R27" i="8"/>
  <c r="R62" i="8"/>
  <c r="R98" i="8"/>
  <c r="AM94" i="8" s="1"/>
  <c r="R6903" i="8"/>
  <c r="R6964" i="8"/>
  <c r="R6992" i="8"/>
  <c r="R7020" i="8"/>
  <c r="R7239" i="8"/>
  <c r="R7263" i="8"/>
  <c r="R7332" i="8"/>
  <c r="R7360" i="8"/>
  <c r="R240" i="8"/>
  <c r="AM233" i="8" s="1"/>
  <c r="R4346" i="8"/>
  <c r="AM4340" i="8" s="1"/>
  <c r="R6857" i="8"/>
  <c r="R7245" i="8"/>
  <c r="R276" i="8"/>
  <c r="R406" i="8"/>
  <c r="R446" i="8"/>
  <c r="R3606" i="8"/>
  <c r="AM3600" i="8" s="1"/>
  <c r="R4915" i="8"/>
  <c r="AM4909" i="8" s="1"/>
  <c r="R5073" i="8"/>
  <c r="AM5069" i="8" s="1"/>
  <c r="R6402" i="8"/>
  <c r="AM6397" i="8" s="1"/>
  <c r="R6709" i="8"/>
  <c r="R6778" i="8"/>
  <c r="R7156" i="8"/>
  <c r="R7190" i="8"/>
  <c r="R7403" i="8"/>
  <c r="R7455" i="8"/>
  <c r="R7483" i="8"/>
  <c r="R7640" i="8"/>
  <c r="R7746" i="8"/>
  <c r="R80" i="8"/>
  <c r="AM76" i="8" s="1"/>
  <c r="R6833" i="8"/>
  <c r="R6998" i="8"/>
  <c r="R7273" i="8"/>
  <c r="R56" i="8"/>
  <c r="AM49" i="8" s="1"/>
  <c r="R116" i="8"/>
  <c r="AM112" i="8" s="1"/>
  <c r="R207" i="8"/>
  <c r="AM201" i="8" s="1"/>
  <c r="R356" i="8"/>
  <c r="R4327" i="8"/>
  <c r="AM4323" i="8" s="1"/>
  <c r="R4361" i="8"/>
  <c r="AM4355" i="8" s="1"/>
  <c r="R4521" i="8"/>
  <c r="R6869" i="8"/>
  <c r="R6897" i="8"/>
  <c r="R6958" i="8"/>
  <c r="R7014" i="8"/>
  <c r="R7326" i="8"/>
  <c r="R37" i="8"/>
  <c r="AM29" i="8" s="1"/>
  <c r="R223" i="8"/>
  <c r="AM217" i="8" s="1"/>
  <c r="R306" i="8"/>
  <c r="R316" i="8"/>
  <c r="R366" i="8"/>
  <c r="R376" i="8"/>
  <c r="R426" i="8"/>
  <c r="R436" i="8"/>
  <c r="R541" i="8"/>
  <c r="R86" i="8"/>
  <c r="AM82" i="8" s="1"/>
  <c r="R1066" i="8"/>
  <c r="AM1060" i="8" s="1"/>
  <c r="R1074" i="8"/>
  <c r="R92" i="8"/>
  <c r="AM88" i="8" s="1"/>
  <c r="R5085" i="8"/>
  <c r="AM5081" i="8" s="1"/>
  <c r="R6796" i="8"/>
  <c r="R3857" i="8"/>
  <c r="AM3820" i="8" s="1"/>
  <c r="R4973" i="8"/>
  <c r="AM4947" i="8" s="1"/>
  <c r="R4983" i="8"/>
  <c r="R6875" i="8"/>
  <c r="R7676" i="8"/>
  <c r="R3204" i="8"/>
  <c r="AM3167" i="8" s="1"/>
  <c r="R4080" i="8"/>
  <c r="AM4072" i="8" s="1"/>
  <c r="R5097" i="8"/>
  <c r="AM5093" i="8" s="1"/>
  <c r="R7520" i="8"/>
  <c r="R4504" i="8"/>
  <c r="AM4498" i="8" s="1"/>
  <c r="R4689" i="8"/>
  <c r="AM4683" i="8" s="1"/>
  <c r="R4883" i="8"/>
  <c r="AM4877" i="8" s="1"/>
  <c r="R5051" i="8"/>
  <c r="AM5047" i="8" s="1"/>
  <c r="R5057" i="8"/>
  <c r="AM5053" i="8" s="1"/>
  <c r="R7560" i="8"/>
  <c r="R7572" i="8"/>
  <c r="R3414" i="8"/>
  <c r="AM3406" i="8" s="1"/>
  <c r="R3734" i="8"/>
  <c r="AM3727" i="8" s="1"/>
  <c r="R4662" i="8"/>
  <c r="AM4658" i="8" s="1"/>
  <c r="R5045" i="8"/>
  <c r="AM5041" i="8" s="1"/>
  <c r="R5125" i="8"/>
  <c r="AM5121" i="8" s="1"/>
  <c r="R5135" i="8"/>
  <c r="AM5131" i="8" s="1"/>
  <c r="R6909" i="8"/>
  <c r="R6946" i="8"/>
  <c r="R7032" i="8"/>
  <c r="R7168" i="8"/>
  <c r="R7879" i="8"/>
  <c r="R4898" i="8"/>
  <c r="AM4892" i="8" s="1"/>
  <c r="R5891" i="8"/>
  <c r="AM5883" i="8" s="1"/>
  <c r="R6721" i="8"/>
  <c r="R7196" i="8"/>
  <c r="R7202" i="8"/>
  <c r="R7208" i="8"/>
  <c r="R7316" i="8"/>
  <c r="R7566" i="8"/>
  <c r="R7787" i="8"/>
  <c r="R7805" i="8"/>
  <c r="R3212" i="8"/>
  <c r="AM3206" i="8" s="1"/>
  <c r="R4856" i="8"/>
  <c r="AM4852" i="8" s="1"/>
  <c r="R4907" i="8"/>
  <c r="AM4900" i="8" s="1"/>
  <c r="R5091" i="8"/>
  <c r="AM5087" i="8" s="1"/>
  <c r="R6611" i="8"/>
  <c r="AM6607" i="8" s="1"/>
  <c r="R6617" i="8"/>
  <c r="AM6613" i="8" s="1"/>
  <c r="R6625" i="8"/>
  <c r="R6752" i="8"/>
  <c r="R7354" i="8"/>
  <c r="R7600" i="8"/>
  <c r="R7612" i="8"/>
  <c r="R7821" i="8"/>
  <c r="R7829" i="8"/>
  <c r="R6921" i="8"/>
  <c r="R7251" i="8"/>
  <c r="R7257" i="8"/>
  <c r="R7532" i="8"/>
  <c r="R7538" i="8"/>
  <c r="R7544" i="8"/>
  <c r="R7861" i="8"/>
  <c r="R7867" i="8"/>
  <c r="AM7863" i="8" s="1"/>
  <c r="R4513" i="8"/>
  <c r="AM4506" i="8" s="1"/>
  <c r="R6845" i="8"/>
  <c r="R6970" i="8"/>
  <c r="R7285" i="8"/>
  <c r="R7366" i="8"/>
  <c r="R7427" i="8"/>
  <c r="R7443" i="8"/>
  <c r="R7578" i="8"/>
  <c r="R7584" i="8"/>
  <c r="R7634" i="8"/>
  <c r="R3707" i="8"/>
  <c r="AM3703" i="8" s="1"/>
  <c r="R4478" i="8"/>
  <c r="AM4474" i="8" s="1"/>
  <c r="R4991" i="8"/>
  <c r="R6381" i="8"/>
  <c r="AM6376" i="8" s="1"/>
  <c r="R6388" i="8"/>
  <c r="AM6383" i="8" s="1"/>
  <c r="R6681" i="8"/>
  <c r="R6687" i="8"/>
  <c r="R6746" i="8"/>
  <c r="R6802" i="8"/>
  <c r="R6915" i="8"/>
  <c r="R6986" i="8"/>
  <c r="R7106" i="8"/>
  <c r="R7118" i="8"/>
  <c r="R7781" i="8"/>
  <c r="R6675" i="8"/>
  <c r="R6881" i="8"/>
  <c r="R7477" i="8"/>
  <c r="R5103" i="8"/>
  <c r="AM5099" i="8" s="1"/>
  <c r="R5151" i="8"/>
  <c r="R6851" i="8"/>
  <c r="R7291" i="8"/>
  <c r="R7348" i="8"/>
  <c r="R7437" i="8"/>
  <c r="R7664" i="8"/>
  <c r="R7710" i="8"/>
  <c r="R7652" i="8"/>
  <c r="R7682" i="8"/>
  <c r="R7716" i="8"/>
  <c r="R171" i="8"/>
  <c r="R6863" i="8"/>
  <c r="R7112" i="8"/>
  <c r="AM535" i="8" l="1"/>
  <c r="AM268" i="8"/>
  <c r="AM328" i="8"/>
  <c r="AM338" i="8"/>
  <c r="AM428" i="8"/>
  <c r="AM348" i="8"/>
  <c r="AM248" i="8"/>
  <c r="R11469" i="8"/>
  <c r="R30" i="1" s="1"/>
  <c r="AM418" i="8"/>
  <c r="AM368" i="8"/>
  <c r="AM358" i="8"/>
  <c r="AM543" i="8"/>
  <c r="AM308" i="8"/>
  <c r="AM448" i="8"/>
  <c r="AM526" i="8"/>
  <c r="AM378" i="8"/>
  <c r="AM318" i="8"/>
  <c r="AM298" i="8"/>
  <c r="AM408" i="8"/>
  <c r="AM288" i="8"/>
  <c r="AM258" i="8"/>
  <c r="AM551" i="8"/>
  <c r="AM398" i="8"/>
  <c r="AM278" i="8"/>
  <c r="AM388" i="8"/>
  <c r="R11468" i="8"/>
  <c r="R29" i="1" s="1"/>
  <c r="AM4975" i="8"/>
  <c r="R11466" i="8"/>
  <c r="R27" i="1" s="1"/>
  <c r="AM7801" i="8"/>
  <c r="AM7789" i="8"/>
  <c r="AM7783" i="8"/>
  <c r="AM7765" i="8"/>
  <c r="AM7777" i="8"/>
  <c r="AM7795" i="8"/>
  <c r="AM7817" i="8"/>
  <c r="R11464" i="8"/>
  <c r="R25" i="1" s="1"/>
  <c r="AM7807" i="8"/>
  <c r="AM7771" i="8"/>
  <c r="R5154" i="8"/>
  <c r="R5160" i="8" s="1"/>
  <c r="AM438" i="8"/>
  <c r="AM7672" i="8"/>
  <c r="AM7712" i="8"/>
  <c r="AM7654" i="8"/>
  <c r="AM7642" i="8"/>
  <c r="AM7678" i="8"/>
  <c r="AM7700" i="8"/>
  <c r="AM7648" i="8"/>
  <c r="AM7636" i="8"/>
  <c r="AM7660" i="8"/>
  <c r="AM7706" i="8"/>
  <c r="AM7666" i="8"/>
  <c r="AM6859" i="8"/>
  <c r="AM6742" i="8"/>
  <c r="AM6841" i="8"/>
  <c r="AM7451" i="8"/>
  <c r="AM6960" i="8"/>
  <c r="AM7090" i="8"/>
  <c r="AM6976" i="8"/>
  <c r="AM7590" i="8"/>
  <c r="AM7350" i="8"/>
  <c r="AM7433" i="8"/>
  <c r="AM7247" i="8"/>
  <c r="AM7344" i="8"/>
  <c r="AM6683" i="8"/>
  <c r="AM7580" i="8"/>
  <c r="AM6871" i="8"/>
  <c r="AM6865" i="8"/>
  <c r="AM7269" i="8"/>
  <c r="AM7399" i="8"/>
  <c r="AM7602" i="8"/>
  <c r="AM6780" i="8"/>
  <c r="AM7096" i="8"/>
  <c r="AM6948" i="8"/>
  <c r="AM7445" i="8"/>
  <c r="AM6748" i="8"/>
  <c r="AM7287" i="8"/>
  <c r="AM6677" i="8"/>
  <c r="AM7574" i="8"/>
  <c r="AM7562" i="8"/>
  <c r="AM6994" i="8"/>
  <c r="AM7186" i="8"/>
  <c r="AM7356" i="8"/>
  <c r="AM7546" i="8"/>
  <c r="AM6711" i="8"/>
  <c r="AM6786" i="8"/>
  <c r="AM6887" i="8"/>
  <c r="AM6764" i="8"/>
  <c r="AM7417" i="8"/>
  <c r="AM7174" i="8"/>
  <c r="AM7192" i="8"/>
  <c r="AM6966" i="8"/>
  <c r="AM6717" i="8"/>
  <c r="AM6671" i="8"/>
  <c r="AM6847" i="8"/>
  <c r="AM7114" i="8"/>
  <c r="AM7439" i="8"/>
  <c r="AM7312" i="8"/>
  <c r="AM6829" i="8"/>
  <c r="AM7328" i="8"/>
  <c r="AM7522" i="8"/>
  <c r="AM6754" i="8"/>
  <c r="AM6835" i="8"/>
  <c r="AM6699" i="8"/>
  <c r="AM7102" i="8"/>
  <c r="AM7423" i="8"/>
  <c r="AM7540" i="8"/>
  <c r="AM7608" i="8"/>
  <c r="AM7516" i="8"/>
  <c r="AM7259" i="8"/>
  <c r="AM7485" i="8"/>
  <c r="AM6689" i="8"/>
  <c r="AM6982" i="8"/>
  <c r="AM7362" i="8"/>
  <c r="AM7534" i="8"/>
  <c r="AM7596" i="8"/>
  <c r="AM7198" i="8"/>
  <c r="AM6942" i="8"/>
  <c r="AM7568" i="8"/>
  <c r="AM7322" i="8"/>
  <c r="AM6774" i="8"/>
  <c r="AM7235" i="8"/>
  <c r="AM7457" i="8"/>
  <c r="AM7334" i="8"/>
  <c r="AM7491" i="8"/>
  <c r="AM7368" i="8"/>
  <c r="AM7108" i="8"/>
  <c r="AM7281" i="8"/>
  <c r="AM7556" i="8"/>
  <c r="AM6792" i="8"/>
  <c r="AM7010" i="8"/>
  <c r="AM6705" i="8"/>
  <c r="AM7241" i="8"/>
  <c r="AM7016" i="8"/>
  <c r="AM7405" i="8"/>
  <c r="AM7022" i="8"/>
  <c r="AM7467" i="8"/>
  <c r="AM7275" i="8"/>
  <c r="AM7473" i="8"/>
  <c r="AM7528" i="8"/>
  <c r="AM6877" i="8"/>
  <c r="AM7253" i="8"/>
  <c r="AM6954" i="8"/>
  <c r="AM7479" i="8"/>
  <c r="AM6853" i="8"/>
  <c r="AM6988" i="8"/>
  <c r="AM7411" i="8"/>
  <c r="AM7004" i="8"/>
  <c r="AM7614" i="8"/>
  <c r="AM7164" i="8"/>
  <c r="AM7158" i="8"/>
  <c r="AM7152" i="8"/>
  <c r="AM6917" i="8"/>
  <c r="AM6911" i="8"/>
  <c r="AM6905" i="8"/>
  <c r="AM6899" i="8"/>
  <c r="AM6893" i="8"/>
  <c r="AM5023" i="8"/>
  <c r="AM70" i="8"/>
  <c r="R119" i="8"/>
  <c r="R7882" i="8"/>
  <c r="R7888" i="8" s="1"/>
  <c r="R7727" i="8"/>
  <c r="AM23" i="8"/>
  <c r="R65" i="8"/>
  <c r="R178" i="8"/>
  <c r="AM165" i="8" s="1"/>
  <c r="R163" i="8"/>
  <c r="AM7742" i="8"/>
  <c r="R7832" i="8"/>
  <c r="R7838" i="8" s="1"/>
  <c r="AM7847" i="8"/>
  <c r="AM5017" i="8"/>
  <c r="AM7630" i="8"/>
  <c r="AM58" i="8"/>
  <c r="AM4515" i="8"/>
  <c r="AM1068" i="8"/>
  <c r="AM4985" i="8"/>
  <c r="AM7823" i="8"/>
  <c r="AM7873" i="8"/>
  <c r="AM7718" i="8"/>
  <c r="AM7204" i="8"/>
  <c r="AM6619" i="8"/>
  <c r="AM5147" i="8"/>
  <c r="AM6798" i="8"/>
  <c r="AM7028" i="8"/>
  <c r="R459" i="8" l="1"/>
  <c r="R125" i="8"/>
  <c r="AM138" i="8"/>
  <c r="K111" i="20" l="1"/>
  <c r="I111" i="20"/>
  <c r="K567" i="20" l="1"/>
  <c r="K510" i="20"/>
  <c r="K453" i="20"/>
  <c r="K396" i="20"/>
  <c r="K339" i="20"/>
  <c r="K282" i="20"/>
  <c r="K225" i="20"/>
  <c r="K168" i="20"/>
  <c r="K54" i="20"/>
  <c r="F22" i="18" l="1"/>
  <c r="D7" i="18" l="1"/>
  <c r="D8" i="18"/>
  <c r="D9" i="18"/>
  <c r="D10" i="18"/>
  <c r="D6" i="18"/>
  <c r="A1" i="18" l="1"/>
  <c r="I567" i="20"/>
  <c r="I510" i="20"/>
  <c r="I453" i="20"/>
  <c r="I396" i="20"/>
  <c r="I339" i="20"/>
  <c r="I282" i="20"/>
  <c r="I225" i="20"/>
  <c r="I168" i="20"/>
  <c r="I54" i="20"/>
  <c r="A2" i="18" l="1"/>
  <c r="D5" i="18" s="1"/>
  <c r="S5" i="18"/>
  <c r="T1" i="8" l="1"/>
  <c r="T188" i="8" s="1"/>
  <c r="T2" i="1"/>
  <c r="J23" i="1"/>
  <c r="H23" i="1"/>
  <c r="S2" i="8"/>
  <c r="S12" i="11"/>
  <c r="T12" i="11"/>
  <c r="F1" i="11"/>
  <c r="S12" i="8"/>
  <c r="T12" i="8"/>
  <c r="F1" i="8"/>
  <c r="O6" i="1"/>
  <c r="B18" i="1"/>
  <c r="Q1" i="1"/>
  <c r="C11" i="1"/>
  <c r="G32" i="1" s="1"/>
  <c r="S1" i="1"/>
  <c r="S1" i="26" s="1"/>
  <c r="C2" i="1"/>
  <c r="C2" i="26" s="1"/>
  <c r="T13" i="1"/>
  <c r="T1" i="11"/>
  <c r="R246" i="11"/>
  <c r="S2" i="11"/>
  <c r="F77" i="1"/>
  <c r="T1076" i="11"/>
  <c r="T11484" i="8" s="1"/>
  <c r="T110" i="1" s="1"/>
  <c r="T1078" i="11"/>
  <c r="T11486" i="8" s="1"/>
  <c r="T112" i="1" s="1"/>
  <c r="T1079" i="11"/>
  <c r="T11487" i="8" s="1"/>
  <c r="T113" i="1" s="1"/>
  <c r="T1080" i="11"/>
  <c r="T1081" i="11"/>
  <c r="T11489" i="8" s="1"/>
  <c r="T115" i="1" s="1"/>
  <c r="T1082" i="11"/>
  <c r="T11490" i="8" s="1"/>
  <c r="T116" i="1" s="1"/>
  <c r="T1083" i="11"/>
  <c r="T1086" i="11"/>
  <c r="T1089" i="11"/>
  <c r="T11497" i="8" s="1"/>
  <c r="T123" i="1" s="1"/>
  <c r="T1090" i="11"/>
  <c r="T11498" i="8" s="1"/>
  <c r="T124" i="1" s="1"/>
  <c r="T1091" i="11"/>
  <c r="T11499" i="8" s="1"/>
  <c r="T125" i="1" s="1"/>
  <c r="T1093" i="11"/>
  <c r="T11501" i="8" s="1"/>
  <c r="T127" i="1" s="1"/>
  <c r="T1094" i="11"/>
  <c r="T11502" i="8" s="1"/>
  <c r="T128" i="1" s="1"/>
  <c r="T1095" i="11"/>
  <c r="T11503" i="8" s="1"/>
  <c r="T129" i="1" s="1"/>
  <c r="T1099" i="11"/>
  <c r="T11507" i="8" s="1"/>
  <c r="T133" i="1" s="1"/>
  <c r="T1100" i="11"/>
  <c r="T11508" i="8" s="1"/>
  <c r="T134" i="1" s="1"/>
  <c r="T1101" i="11"/>
  <c r="T1102" i="11"/>
  <c r="T11510" i="8" s="1"/>
  <c r="T136" i="1" s="1"/>
  <c r="T1103" i="11"/>
  <c r="T11511" i="8" s="1"/>
  <c r="T137" i="1" s="1"/>
  <c r="T1104" i="11"/>
  <c r="T11512" i="8" s="1"/>
  <c r="T138" i="1" s="1"/>
  <c r="T1105" i="11"/>
  <c r="T11513" i="8" s="1"/>
  <c r="T139" i="1" s="1"/>
  <c r="T1106" i="11"/>
  <c r="T11514" i="8" s="1"/>
  <c r="T140" i="1" s="1"/>
  <c r="T1107" i="11"/>
  <c r="T11515" i="8" s="1"/>
  <c r="T141" i="1" s="1"/>
  <c r="T1108" i="11"/>
  <c r="T11516" i="8" s="1"/>
  <c r="T142" i="1" s="1"/>
  <c r="T1109" i="11"/>
  <c r="T1110" i="11"/>
  <c r="T11518" i="8" s="1"/>
  <c r="T144" i="1" s="1"/>
  <c r="T1111" i="11"/>
  <c r="T11519" i="8" s="1"/>
  <c r="T145" i="1" s="1"/>
  <c r="T1112" i="11"/>
  <c r="T1115" i="11"/>
  <c r="T11523" i="8" s="1"/>
  <c r="T149" i="1" s="1"/>
  <c r="T1116" i="11"/>
  <c r="T11524" i="8" s="1"/>
  <c r="T150" i="1" s="1"/>
  <c r="T1117" i="11"/>
  <c r="T1118" i="11"/>
  <c r="T11526" i="8" s="1"/>
  <c r="T152" i="1" s="1"/>
  <c r="T1119" i="11"/>
  <c r="T11527" i="8" s="1"/>
  <c r="T153" i="1" s="1"/>
  <c r="T1120" i="11"/>
  <c r="T11528" i="8" s="1"/>
  <c r="T154" i="1" s="1"/>
  <c r="T1122" i="11"/>
  <c r="T1123" i="11"/>
  <c r="T11531" i="8" s="1"/>
  <c r="T157" i="1" s="1"/>
  <c r="T1125" i="11"/>
  <c r="T11533" i="8" s="1"/>
  <c r="T159" i="1" s="1"/>
  <c r="T1126" i="11"/>
  <c r="T1127" i="11"/>
  <c r="T1128" i="11"/>
  <c r="T11536" i="8" s="1"/>
  <c r="T162" i="1" s="1"/>
  <c r="T1130" i="11"/>
  <c r="T11538" i="8" s="1"/>
  <c r="T164" i="1" s="1"/>
  <c r="S164" i="1" s="1"/>
  <c r="R1076" i="11"/>
  <c r="R11484" i="8" s="1"/>
  <c r="R110" i="1" s="1"/>
  <c r="AD110" i="1" s="1"/>
  <c r="R1078" i="11"/>
  <c r="R11486" i="8" s="1"/>
  <c r="R112" i="1" s="1"/>
  <c r="AD112" i="1" s="1"/>
  <c r="R1079" i="11"/>
  <c r="R11487" i="8" s="1"/>
  <c r="R113" i="1" s="1"/>
  <c r="AD113" i="1" s="1"/>
  <c r="R1080" i="11"/>
  <c r="R11488" i="8" s="1"/>
  <c r="R114" i="1" s="1"/>
  <c r="AD114" i="1" s="1"/>
  <c r="R1081" i="11"/>
  <c r="R11489" i="8" s="1"/>
  <c r="R115" i="1" s="1"/>
  <c r="AD115" i="1" s="1"/>
  <c r="R1082" i="11"/>
  <c r="R11490" i="8" s="1"/>
  <c r="R116" i="1" s="1"/>
  <c r="AD116" i="1" s="1"/>
  <c r="R1083" i="11"/>
  <c r="R11491" i="8" s="1"/>
  <c r="R117" i="1" s="1"/>
  <c r="AD117" i="1" s="1"/>
  <c r="R1086" i="11"/>
  <c r="R11494" i="8" s="1"/>
  <c r="R120" i="1" s="1"/>
  <c r="AD120" i="1" s="1"/>
  <c r="R1089" i="11"/>
  <c r="R11497" i="8" s="1"/>
  <c r="R123" i="1" s="1"/>
  <c r="AD123" i="1" s="1"/>
  <c r="R1090" i="11"/>
  <c r="R11498" i="8" s="1"/>
  <c r="R124" i="1" s="1"/>
  <c r="AD124" i="1" s="1"/>
  <c r="R1091" i="11"/>
  <c r="R11499" i="8" s="1"/>
  <c r="R125" i="1" s="1"/>
  <c r="AD125" i="1" s="1"/>
  <c r="R1093" i="11"/>
  <c r="R11501" i="8" s="1"/>
  <c r="R127" i="1" s="1"/>
  <c r="AD127" i="1" s="1"/>
  <c r="R1094" i="11"/>
  <c r="R11502" i="8" s="1"/>
  <c r="R128" i="1" s="1"/>
  <c r="AD128" i="1" s="1"/>
  <c r="R1095" i="11"/>
  <c r="R11503" i="8" s="1"/>
  <c r="R129" i="1" s="1"/>
  <c r="AD129" i="1" s="1"/>
  <c r="R1099" i="11"/>
  <c r="R11507" i="8" s="1"/>
  <c r="R133" i="1" s="1"/>
  <c r="AD133" i="1" s="1"/>
  <c r="R1100" i="11"/>
  <c r="R11508" i="8" s="1"/>
  <c r="R134" i="1" s="1"/>
  <c r="AD134" i="1" s="1"/>
  <c r="R1101" i="11"/>
  <c r="R11509" i="8" s="1"/>
  <c r="R135" i="1" s="1"/>
  <c r="AD135" i="1" s="1"/>
  <c r="R1102" i="11"/>
  <c r="R11510" i="8" s="1"/>
  <c r="R136" i="1" s="1"/>
  <c r="AD136" i="1" s="1"/>
  <c r="R1103" i="11"/>
  <c r="R11511" i="8" s="1"/>
  <c r="R137" i="1" s="1"/>
  <c r="AD137" i="1" s="1"/>
  <c r="R1104" i="11"/>
  <c r="R11512" i="8" s="1"/>
  <c r="R138" i="1" s="1"/>
  <c r="AD138" i="1" s="1"/>
  <c r="R1105" i="11"/>
  <c r="R11513" i="8" s="1"/>
  <c r="R139" i="1" s="1"/>
  <c r="AD139" i="1" s="1"/>
  <c r="R1106" i="11"/>
  <c r="R11514" i="8" s="1"/>
  <c r="R140" i="1" s="1"/>
  <c r="AD140" i="1" s="1"/>
  <c r="R1107" i="11"/>
  <c r="R11515" i="8" s="1"/>
  <c r="R141" i="1" s="1"/>
  <c r="AD141" i="1" s="1"/>
  <c r="R1108" i="11"/>
  <c r="R11516" i="8" s="1"/>
  <c r="R142" i="1" s="1"/>
  <c r="AD142" i="1" s="1"/>
  <c r="R1109" i="11"/>
  <c r="R11517" i="8" s="1"/>
  <c r="R143" i="1" s="1"/>
  <c r="AD143" i="1" s="1"/>
  <c r="R1110" i="11"/>
  <c r="R11518" i="8" s="1"/>
  <c r="R144" i="1" s="1"/>
  <c r="AD144" i="1" s="1"/>
  <c r="R1111" i="11"/>
  <c r="R11519" i="8" s="1"/>
  <c r="R145" i="1" s="1"/>
  <c r="AD145" i="1" s="1"/>
  <c r="R1112" i="11"/>
  <c r="R11520" i="8" s="1"/>
  <c r="R146" i="1" s="1"/>
  <c r="AD146" i="1" s="1"/>
  <c r="R1115" i="11"/>
  <c r="R11523" i="8" s="1"/>
  <c r="R149" i="1" s="1"/>
  <c r="AD149" i="1" s="1"/>
  <c r="R1116" i="11"/>
  <c r="R11524" i="8" s="1"/>
  <c r="R150" i="1" s="1"/>
  <c r="AD150" i="1" s="1"/>
  <c r="R1117" i="11"/>
  <c r="R11525" i="8" s="1"/>
  <c r="R151" i="1" s="1"/>
  <c r="AD151" i="1" s="1"/>
  <c r="R1118" i="11"/>
  <c r="R11526" i="8" s="1"/>
  <c r="R152" i="1" s="1"/>
  <c r="AD152" i="1" s="1"/>
  <c r="R1119" i="11"/>
  <c r="R11527" i="8" s="1"/>
  <c r="R153" i="1" s="1"/>
  <c r="AD153" i="1" s="1"/>
  <c r="R1120" i="11"/>
  <c r="R11528" i="8" s="1"/>
  <c r="R154" i="1" s="1"/>
  <c r="AD154" i="1" s="1"/>
  <c r="R1122" i="11"/>
  <c r="R11530" i="8" s="1"/>
  <c r="R156" i="1" s="1"/>
  <c r="AD156" i="1" s="1"/>
  <c r="R1123" i="11"/>
  <c r="R11531" i="8" s="1"/>
  <c r="R157" i="1" s="1"/>
  <c r="AD157" i="1" s="1"/>
  <c r="R1125" i="11"/>
  <c r="R11533" i="8" s="1"/>
  <c r="R159" i="1" s="1"/>
  <c r="AD159" i="1" s="1"/>
  <c r="R1126" i="11"/>
  <c r="R11534" i="8" s="1"/>
  <c r="R160" i="1" s="1"/>
  <c r="AD160" i="1" s="1"/>
  <c r="R1127" i="11"/>
  <c r="R11535" i="8" s="1"/>
  <c r="R161" i="1" s="1"/>
  <c r="AD161" i="1" s="1"/>
  <c r="R1128" i="11"/>
  <c r="R11536" i="8" s="1"/>
  <c r="R162" i="1" s="1"/>
  <c r="AD162" i="1" s="1"/>
  <c r="R1130" i="11"/>
  <c r="R11538" i="8" s="1"/>
  <c r="R164" i="1" s="1"/>
  <c r="AD164" i="1" s="1"/>
  <c r="C3" i="1"/>
  <c r="G24" i="1" s="1"/>
  <c r="C4" i="1"/>
  <c r="G25" i="1" s="1"/>
  <c r="C5" i="1"/>
  <c r="C6" i="1"/>
  <c r="G27" i="1" s="1"/>
  <c r="C7" i="1"/>
  <c r="G28" i="1" s="1"/>
  <c r="C8" i="1"/>
  <c r="G29" i="1" s="1"/>
  <c r="C9" i="1"/>
  <c r="C10" i="1"/>
  <c r="G31" i="1" s="1"/>
  <c r="C12" i="1"/>
  <c r="F22" i="1"/>
  <c r="Q12" i="11"/>
  <c r="F12" i="11"/>
  <c r="T11" i="11"/>
  <c r="S11" i="11"/>
  <c r="Q11" i="11"/>
  <c r="F11" i="11"/>
  <c r="C11" i="11"/>
  <c r="T10" i="11"/>
  <c r="S10" i="11"/>
  <c r="Q10" i="11"/>
  <c r="O10" i="1"/>
  <c r="N10" i="1"/>
  <c r="M10" i="1"/>
  <c r="L10" i="1"/>
  <c r="L10" i="8" s="1"/>
  <c r="K10" i="1"/>
  <c r="K10" i="8" s="1"/>
  <c r="J10" i="1"/>
  <c r="F10" i="11"/>
  <c r="T9" i="11"/>
  <c r="S9" i="11"/>
  <c r="Q9" i="11"/>
  <c r="O9" i="11"/>
  <c r="N9" i="1"/>
  <c r="M9" i="1"/>
  <c r="L9" i="1"/>
  <c r="K9" i="1"/>
  <c r="J9" i="1"/>
  <c r="F9" i="11"/>
  <c r="D9" i="11"/>
  <c r="T8" i="11"/>
  <c r="S8" i="11"/>
  <c r="Q8" i="11"/>
  <c r="O8" i="11"/>
  <c r="N8" i="1"/>
  <c r="N8" i="26" s="1"/>
  <c r="M8" i="1"/>
  <c r="L8" i="1"/>
  <c r="K8" i="1"/>
  <c r="J8" i="1"/>
  <c r="J8" i="26" s="1"/>
  <c r="F8" i="11"/>
  <c r="D8" i="11"/>
  <c r="T7" i="11"/>
  <c r="S7" i="11"/>
  <c r="Q7" i="11"/>
  <c r="O7" i="11"/>
  <c r="N7" i="1"/>
  <c r="M7" i="1"/>
  <c r="L7" i="1"/>
  <c r="K7" i="1"/>
  <c r="J7" i="1"/>
  <c r="F7" i="11"/>
  <c r="T6" i="11"/>
  <c r="S6" i="11"/>
  <c r="Q6" i="11"/>
  <c r="N6" i="1"/>
  <c r="M6" i="1"/>
  <c r="L6" i="1"/>
  <c r="K6" i="1"/>
  <c r="J6" i="1"/>
  <c r="F6" i="11"/>
  <c r="D6" i="11"/>
  <c r="T5" i="11"/>
  <c r="S5" i="11"/>
  <c r="Q5" i="11"/>
  <c r="O5" i="1"/>
  <c r="N5" i="1"/>
  <c r="M5" i="1"/>
  <c r="L5" i="1"/>
  <c r="K5" i="1"/>
  <c r="J5" i="1"/>
  <c r="F5" i="11"/>
  <c r="D5" i="11"/>
  <c r="T4" i="11"/>
  <c r="S4" i="11"/>
  <c r="Q4" i="11"/>
  <c r="O4" i="1"/>
  <c r="N4" i="1"/>
  <c r="M4" i="1"/>
  <c r="L4" i="1"/>
  <c r="K4" i="1"/>
  <c r="J4" i="1"/>
  <c r="F4" i="11"/>
  <c r="D4" i="11"/>
  <c r="T3" i="11"/>
  <c r="S3" i="11"/>
  <c r="Q3" i="11"/>
  <c r="O3" i="1"/>
  <c r="N3" i="1"/>
  <c r="M3" i="1"/>
  <c r="L3" i="1"/>
  <c r="K3" i="1"/>
  <c r="J3" i="1"/>
  <c r="F3" i="11"/>
  <c r="D3" i="11"/>
  <c r="Q2" i="11"/>
  <c r="O2" i="1"/>
  <c r="N2" i="1"/>
  <c r="M2" i="1"/>
  <c r="L2" i="1"/>
  <c r="K2" i="1"/>
  <c r="J2" i="1"/>
  <c r="F2" i="11"/>
  <c r="D2" i="11"/>
  <c r="U1" i="11"/>
  <c r="O1" i="1"/>
  <c r="N1" i="1"/>
  <c r="M1" i="1"/>
  <c r="L1" i="1"/>
  <c r="K1" i="1"/>
  <c r="J1" i="1"/>
  <c r="D1" i="11"/>
  <c r="C1" i="11"/>
  <c r="B16" i="1"/>
  <c r="S3" i="8"/>
  <c r="T3" i="8"/>
  <c r="B14" i="1"/>
  <c r="D95" i="1"/>
  <c r="D175" i="1" s="1"/>
  <c r="S11" i="8"/>
  <c r="AH11471" i="8" s="1"/>
  <c r="T11" i="8"/>
  <c r="AJ11471" i="8" s="1"/>
  <c r="S10" i="8"/>
  <c r="T10" i="8"/>
  <c r="S9" i="8"/>
  <c r="T9" i="8"/>
  <c r="S8" i="8"/>
  <c r="T8" i="8"/>
  <c r="S7" i="8"/>
  <c r="T7" i="8"/>
  <c r="S6" i="8"/>
  <c r="T6" i="8"/>
  <c r="S5" i="8"/>
  <c r="T5" i="8"/>
  <c r="S4" i="8"/>
  <c r="T4" i="8"/>
  <c r="F11" i="8"/>
  <c r="F10" i="8"/>
  <c r="F9" i="8"/>
  <c r="E11469" i="8" s="1"/>
  <c r="F8" i="8"/>
  <c r="F7" i="8"/>
  <c r="E11467" i="8" s="1"/>
  <c r="F6" i="8"/>
  <c r="E11466" i="8" s="1"/>
  <c r="F5" i="8"/>
  <c r="F4" i="8"/>
  <c r="E11464" i="8" s="1"/>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6" i="8"/>
  <c r="D4" i="8"/>
  <c r="D2" i="8"/>
  <c r="F12" i="8"/>
  <c r="C1" i="8"/>
  <c r="Q1" i="8"/>
  <c r="D1" i="8"/>
  <c r="O7" i="8"/>
  <c r="O8" i="8"/>
  <c r="O9" i="8"/>
  <c r="S107" i="1"/>
  <c r="D55" i="1"/>
  <c r="D5" i="8"/>
  <c r="V1" i="1" a="1"/>
  <c r="V1" i="1" s="1"/>
  <c r="E64" i="1"/>
  <c r="E103" i="1" s="1"/>
  <c r="D3" i="8"/>
  <c r="A36" i="1"/>
  <c r="E63" i="1"/>
  <c r="E61" i="1"/>
  <c r="E101" i="1" s="1"/>
  <c r="E62" i="1"/>
  <c r="E102" i="1" s="1"/>
  <c r="E60" i="1"/>
  <c r="D51" i="1"/>
  <c r="AH11469" i="8" l="1"/>
  <c r="T143" i="8"/>
  <c r="T236" i="8"/>
  <c r="T3070" i="8"/>
  <c r="B3071" i="8" s="1"/>
  <c r="T7183" i="8"/>
  <c r="B7184" i="8" s="1"/>
  <c r="T7182" i="8"/>
  <c r="T3021" i="8"/>
  <c r="B3022" i="8" s="1"/>
  <c r="T3035" i="8"/>
  <c r="B3036" i="8" s="1"/>
  <c r="T1586" i="8"/>
  <c r="B1587" i="8" s="1"/>
  <c r="T1568" i="8"/>
  <c r="B1569" i="8" s="1"/>
  <c r="T1575" i="8"/>
  <c r="B1576" i="8" s="1"/>
  <c r="T976" i="8"/>
  <c r="B977" i="8" s="1"/>
  <c r="T1046" i="8"/>
  <c r="B1047" i="8" s="1"/>
  <c r="T719" i="8"/>
  <c r="B720" i="8" s="1"/>
  <c r="T948" i="8"/>
  <c r="B949" i="8" s="1"/>
  <c r="T688" i="8"/>
  <c r="B689" i="8" s="1"/>
  <c r="T695" i="8"/>
  <c r="B696" i="8" s="1"/>
  <c r="T507" i="11"/>
  <c r="B508" i="11" s="1"/>
  <c r="T1066" i="11"/>
  <c r="B1067" i="11" s="1"/>
  <c r="T641" i="8"/>
  <c r="B642" i="8" s="1"/>
  <c r="T674" i="8"/>
  <c r="B675" i="8" s="1"/>
  <c r="T519" i="8"/>
  <c r="T520" i="8"/>
  <c r="T521" i="8"/>
  <c r="T523" i="8"/>
  <c r="B524" i="8" s="1"/>
  <c r="T522" i="8"/>
  <c r="T244" i="8"/>
  <c r="T245" i="8"/>
  <c r="B246" i="8" s="1"/>
  <c r="T227" i="8"/>
  <c r="T228" i="8"/>
  <c r="T230" i="8"/>
  <c r="B231" i="8" s="1"/>
  <c r="T229" i="8"/>
  <c r="T211" i="8"/>
  <c r="T213" i="8"/>
  <c r="T214" i="8"/>
  <c r="B215" i="8" s="1"/>
  <c r="T212" i="8"/>
  <c r="T184" i="8"/>
  <c r="AG186" i="8"/>
  <c r="D187" i="8"/>
  <c r="AG191" i="8"/>
  <c r="D7751" i="8"/>
  <c r="D183" i="8"/>
  <c r="T189" i="8"/>
  <c r="T185" i="8"/>
  <c r="B186" i="8" s="1"/>
  <c r="T190" i="8"/>
  <c r="B191" i="8" s="1"/>
  <c r="AG156" i="8"/>
  <c r="E11468" i="8"/>
  <c r="D141" i="8"/>
  <c r="T11430" i="8"/>
  <c r="T11422" i="8"/>
  <c r="T11427" i="8"/>
  <c r="T11424" i="8"/>
  <c r="T11426" i="8"/>
  <c r="T11429" i="8"/>
  <c r="T11421" i="8"/>
  <c r="T11423" i="8"/>
  <c r="T11428" i="8"/>
  <c r="T11420" i="8"/>
  <c r="T11425" i="8"/>
  <c r="S136" i="1"/>
  <c r="AE136" i="1" s="1"/>
  <c r="AF136" i="1"/>
  <c r="S153" i="1"/>
  <c r="AE153" i="1" s="1"/>
  <c r="AF153" i="1"/>
  <c r="S123" i="1"/>
  <c r="AE123" i="1" s="1"/>
  <c r="AF123" i="1"/>
  <c r="S110" i="1"/>
  <c r="AE110" i="1" s="1"/>
  <c r="AF110" i="1"/>
  <c r="S144" i="1"/>
  <c r="AE144" i="1" s="1"/>
  <c r="AF144" i="1"/>
  <c r="S112" i="1"/>
  <c r="AE112" i="1" s="1"/>
  <c r="AF112" i="1"/>
  <c r="S162" i="1"/>
  <c r="AE162" i="1" s="1"/>
  <c r="AF162" i="1"/>
  <c r="S152" i="1"/>
  <c r="AE152" i="1" s="1"/>
  <c r="AF152" i="1"/>
  <c r="S142" i="1"/>
  <c r="AE142" i="1" s="1"/>
  <c r="AF142" i="1"/>
  <c r="S134" i="1"/>
  <c r="AE134" i="1" s="1"/>
  <c r="AF134" i="1"/>
  <c r="S141" i="1"/>
  <c r="AE141" i="1" s="1"/>
  <c r="AF141" i="1"/>
  <c r="S133" i="1"/>
  <c r="AE133" i="1" s="1"/>
  <c r="AF133" i="1"/>
  <c r="S154" i="1"/>
  <c r="AE154" i="1" s="1"/>
  <c r="AF154" i="1"/>
  <c r="S124" i="1"/>
  <c r="AE124" i="1" s="1"/>
  <c r="AF124" i="1"/>
  <c r="S150" i="1"/>
  <c r="AE150" i="1" s="1"/>
  <c r="AF150" i="1"/>
  <c r="S140" i="1"/>
  <c r="AE140" i="1" s="1"/>
  <c r="AF140" i="1"/>
  <c r="S129" i="1"/>
  <c r="AE129" i="1" s="1"/>
  <c r="AF129" i="1"/>
  <c r="S116" i="1"/>
  <c r="AE116" i="1" s="1"/>
  <c r="AF116" i="1"/>
  <c r="S159" i="1"/>
  <c r="AE159" i="1" s="1"/>
  <c r="AF159" i="1"/>
  <c r="S149" i="1"/>
  <c r="AE149" i="1" s="1"/>
  <c r="AF149" i="1"/>
  <c r="S139" i="1"/>
  <c r="AE139" i="1" s="1"/>
  <c r="AF139" i="1"/>
  <c r="S128" i="1"/>
  <c r="AE128" i="1" s="1"/>
  <c r="AF128" i="1"/>
  <c r="S115" i="1"/>
  <c r="AE115" i="1" s="1"/>
  <c r="AF115" i="1"/>
  <c r="S157" i="1"/>
  <c r="AE157" i="1" s="1"/>
  <c r="AF157" i="1"/>
  <c r="S138" i="1"/>
  <c r="AE138" i="1" s="1"/>
  <c r="AF138" i="1"/>
  <c r="S127" i="1"/>
  <c r="AE127" i="1" s="1"/>
  <c r="AF127" i="1"/>
  <c r="S145" i="1"/>
  <c r="AE145" i="1" s="1"/>
  <c r="AF145" i="1"/>
  <c r="S137" i="1"/>
  <c r="AE137" i="1" s="1"/>
  <c r="AF137" i="1"/>
  <c r="S125" i="1"/>
  <c r="AE125" i="1" s="1"/>
  <c r="AF125" i="1"/>
  <c r="S113" i="1"/>
  <c r="AE113" i="1" s="1"/>
  <c r="AF113" i="1"/>
  <c r="C11" i="8"/>
  <c r="B11471" i="8" s="1"/>
  <c r="C9" i="26"/>
  <c r="B2319" i="26" s="1"/>
  <c r="G30" i="1"/>
  <c r="C5" i="26"/>
  <c r="B404" i="26" s="1"/>
  <c r="G26" i="1"/>
  <c r="T7858" i="8"/>
  <c r="T7859" i="8"/>
  <c r="T7755" i="8"/>
  <c r="T583" i="8"/>
  <c r="T7754" i="8"/>
  <c r="T7753" i="8"/>
  <c r="T7759" i="8"/>
  <c r="T7752" i="8"/>
  <c r="AG7757" i="8"/>
  <c r="T7756" i="8"/>
  <c r="B7757" i="8" s="1"/>
  <c r="T7760" i="8"/>
  <c r="B7761" i="8" s="1"/>
  <c r="T2439" i="8"/>
  <c r="T2438" i="8"/>
  <c r="T2447" i="8"/>
  <c r="T2446" i="8"/>
  <c r="T2445" i="8"/>
  <c r="T2437" i="8"/>
  <c r="T2436" i="8"/>
  <c r="T2428" i="8"/>
  <c r="T2427" i="8"/>
  <c r="T2429" i="8"/>
  <c r="T1552" i="8"/>
  <c r="T1551" i="8"/>
  <c r="T1550" i="8"/>
  <c r="T1544" i="8"/>
  <c r="T1543" i="8"/>
  <c r="T1542" i="8"/>
  <c r="T1207" i="8"/>
  <c r="T1215" i="8"/>
  <c r="T1209" i="8"/>
  <c r="B1210" i="8" s="1"/>
  <c r="T1214" i="8"/>
  <c r="T1216" i="8"/>
  <c r="T1206" i="8"/>
  <c r="T1208" i="8"/>
  <c r="T2430" i="8"/>
  <c r="T2449" i="8"/>
  <c r="T2448" i="8"/>
  <c r="T506" i="8"/>
  <c r="T504" i="8"/>
  <c r="T503" i="8"/>
  <c r="T505" i="8"/>
  <c r="T90" i="8"/>
  <c r="T483" i="8"/>
  <c r="T484" i="8"/>
  <c r="T485" i="8"/>
  <c r="T482" i="8"/>
  <c r="E11465" i="8"/>
  <c r="D509" i="8"/>
  <c r="D488" i="8"/>
  <c r="AG492" i="8"/>
  <c r="AG513" i="8"/>
  <c r="T25" i="8"/>
  <c r="T54" i="8"/>
  <c r="T52" i="8"/>
  <c r="T53" i="8"/>
  <c r="T51" i="8"/>
  <c r="T588" i="8"/>
  <c r="T587" i="8"/>
  <c r="T595" i="8"/>
  <c r="T577" i="8"/>
  <c r="T586" i="8"/>
  <c r="T585" i="8"/>
  <c r="T592" i="8"/>
  <c r="T594" i="8"/>
  <c r="T593" i="8"/>
  <c r="T581" i="8"/>
  <c r="T580" i="8"/>
  <c r="T579" i="8"/>
  <c r="T564" i="8"/>
  <c r="T572" i="8"/>
  <c r="T571" i="8"/>
  <c r="T573" i="8"/>
  <c r="T565" i="8"/>
  <c r="T566" i="8"/>
  <c r="T563" i="8"/>
  <c r="D7141" i="8"/>
  <c r="D562" i="8"/>
  <c r="AG597" i="8"/>
  <c r="D7145" i="8"/>
  <c r="D591" i="8"/>
  <c r="T589" i="8"/>
  <c r="B590" i="8" s="1"/>
  <c r="T596" i="8"/>
  <c r="B597" i="8" s="1"/>
  <c r="T1014" i="11"/>
  <c r="B1015" i="11" s="1"/>
  <c r="T480" i="8"/>
  <c r="T154" i="8"/>
  <c r="T150" i="8"/>
  <c r="T152" i="8"/>
  <c r="T153" i="8"/>
  <c r="T151" i="8"/>
  <c r="T477" i="8"/>
  <c r="T476" i="8"/>
  <c r="T479" i="8"/>
  <c r="T475" i="8"/>
  <c r="T478" i="8"/>
  <c r="T144" i="8"/>
  <c r="T7855" i="8"/>
  <c r="T7851" i="8"/>
  <c r="T7853" i="8"/>
  <c r="T7849" i="8"/>
  <c r="T7852" i="8"/>
  <c r="T7854" i="8"/>
  <c r="T7857" i="8"/>
  <c r="T7856" i="8"/>
  <c r="T7850" i="8"/>
  <c r="R169" i="1"/>
  <c r="R11543" i="8"/>
  <c r="S1" i="8"/>
  <c r="T10916" i="8"/>
  <c r="T10690" i="8"/>
  <c r="T10556" i="8"/>
  <c r="T10869" i="8"/>
  <c r="T10684" i="8"/>
  <c r="T10754" i="8"/>
  <c r="T10904" i="8"/>
  <c r="T10870" i="8"/>
  <c r="T10602" i="8"/>
  <c r="T10608" i="8"/>
  <c r="T10812" i="8"/>
  <c r="T10910" i="8"/>
  <c r="T10868" i="8"/>
  <c r="T10596" i="8"/>
  <c r="T10760" i="8"/>
  <c r="T10590" i="8"/>
  <c r="T10678" i="8"/>
  <c r="T10818" i="8"/>
  <c r="T9241" i="8"/>
  <c r="T9240" i="8"/>
  <c r="T9209" i="8"/>
  <c r="T9210" i="8"/>
  <c r="AG7148" i="8"/>
  <c r="AG7144" i="8"/>
  <c r="T7143" i="8"/>
  <c r="B7144" i="8" s="1"/>
  <c r="T7142" i="8"/>
  <c r="T7147" i="8"/>
  <c r="B7148" i="8" s="1"/>
  <c r="T7146" i="8"/>
  <c r="T7132" i="8"/>
  <c r="T7128" i="8"/>
  <c r="D499" i="8"/>
  <c r="D7127" i="8"/>
  <c r="D7131" i="8"/>
  <c r="AG7130" i="8"/>
  <c r="AG7134" i="8"/>
  <c r="T8881" i="8"/>
  <c r="T7129" i="8"/>
  <c r="B7130" i="8" s="1"/>
  <c r="T7133" i="8"/>
  <c r="B7134" i="8" s="1"/>
  <c r="T8864" i="8"/>
  <c r="T7062" i="8"/>
  <c r="T7061" i="8"/>
  <c r="T7079" i="8"/>
  <c r="T7052" i="8"/>
  <c r="T7053" i="8"/>
  <c r="T7082" i="8"/>
  <c r="T7080" i="8"/>
  <c r="T7078" i="8"/>
  <c r="T7076" i="8"/>
  <c r="T7074" i="8"/>
  <c r="T7075" i="8"/>
  <c r="T7073" i="8"/>
  <c r="T7081" i="8"/>
  <c r="T7077" i="8"/>
  <c r="T8867" i="8"/>
  <c r="T8858" i="8"/>
  <c r="T8860" i="8"/>
  <c r="T8866" i="8"/>
  <c r="T8862" i="8"/>
  <c r="T8865" i="8"/>
  <c r="T8863" i="8"/>
  <c r="T8861" i="8"/>
  <c r="T8859" i="8"/>
  <c r="T8880" i="8"/>
  <c r="T8877" i="8"/>
  <c r="T8875" i="8"/>
  <c r="T11446" i="8"/>
  <c r="T11436" i="8"/>
  <c r="T8879" i="8"/>
  <c r="T8878" i="8"/>
  <c r="T8882" i="8"/>
  <c r="T8874" i="8"/>
  <c r="T8876" i="8"/>
  <c r="T8883" i="8"/>
  <c r="T1050" i="11"/>
  <c r="B1051" i="11" s="1"/>
  <c r="T10502" i="8"/>
  <c r="T10348" i="8"/>
  <c r="T10472" i="8"/>
  <c r="T10342" i="8"/>
  <c r="T10402" i="8"/>
  <c r="T10408" i="8"/>
  <c r="T10392" i="8"/>
  <c r="T1044" i="11"/>
  <c r="B1045" i="11" s="1"/>
  <c r="T1038" i="11"/>
  <c r="B1039" i="11" s="1"/>
  <c r="T11398" i="8"/>
  <c r="T11397" i="8"/>
  <c r="T11396" i="8"/>
  <c r="T10984" i="8"/>
  <c r="T10982" i="8"/>
  <c r="T10983" i="8"/>
  <c r="T10844" i="8"/>
  <c r="AH11468" i="8"/>
  <c r="T10522" i="8"/>
  <c r="T10521" i="8"/>
  <c r="T10520" i="8"/>
  <c r="AH11467" i="8"/>
  <c r="T10362" i="8"/>
  <c r="T10360" i="8"/>
  <c r="T10361" i="8"/>
  <c r="AH11466" i="8"/>
  <c r="T10052" i="8"/>
  <c r="T10051" i="8"/>
  <c r="T10050" i="8"/>
  <c r="T9792" i="8"/>
  <c r="T9790" i="8"/>
  <c r="T9791" i="8"/>
  <c r="AH11465" i="8"/>
  <c r="T7877" i="8"/>
  <c r="T7876" i="8"/>
  <c r="T7875" i="8"/>
  <c r="T7827" i="8"/>
  <c r="T7826" i="8"/>
  <c r="T7825" i="8"/>
  <c r="T7722" i="8"/>
  <c r="T7721" i="8"/>
  <c r="T7720" i="8"/>
  <c r="T7723" i="8"/>
  <c r="B7724" i="8" s="1"/>
  <c r="AH11464" i="8"/>
  <c r="T7690" i="8"/>
  <c r="T7697" i="8"/>
  <c r="B7698" i="8" s="1"/>
  <c r="T7696" i="8"/>
  <c r="T7691" i="8"/>
  <c r="B7692" i="8" s="1"/>
  <c r="N1" i="11"/>
  <c r="N1" i="26"/>
  <c r="N5" i="11"/>
  <c r="N5" i="26"/>
  <c r="J10" i="11"/>
  <c r="J10" i="26"/>
  <c r="J1" i="11"/>
  <c r="J1" i="26"/>
  <c r="M4" i="11"/>
  <c r="M4" i="26"/>
  <c r="J5" i="11"/>
  <c r="J5" i="26"/>
  <c r="N7" i="11"/>
  <c r="N7" i="26"/>
  <c r="K8" i="11"/>
  <c r="K8" i="26"/>
  <c r="N10" i="11"/>
  <c r="N10" i="26"/>
  <c r="C8" i="26"/>
  <c r="K1" i="11"/>
  <c r="K1" i="26"/>
  <c r="J2" i="11"/>
  <c r="J2" i="26"/>
  <c r="N4" i="11"/>
  <c r="N4" i="26"/>
  <c r="K5" i="11"/>
  <c r="K5" i="26"/>
  <c r="L8" i="11"/>
  <c r="L8" i="26"/>
  <c r="O10" i="11"/>
  <c r="O10" i="26"/>
  <c r="C7" i="26"/>
  <c r="O3" i="11"/>
  <c r="O3" i="26"/>
  <c r="L4" i="11"/>
  <c r="L4" i="26"/>
  <c r="N6" i="11"/>
  <c r="N6" i="26"/>
  <c r="M7" i="8"/>
  <c r="M7" i="26"/>
  <c r="M10" i="11"/>
  <c r="M10" i="26"/>
  <c r="L1" i="11"/>
  <c r="L1" i="26"/>
  <c r="K2" i="11"/>
  <c r="K2" i="26"/>
  <c r="J3" i="11"/>
  <c r="J3" i="26"/>
  <c r="O4" i="11"/>
  <c r="O4" i="26"/>
  <c r="L5" i="8"/>
  <c r="L5" i="26"/>
  <c r="M8" i="11"/>
  <c r="M8" i="26"/>
  <c r="J9" i="11"/>
  <c r="J9" i="26"/>
  <c r="C6" i="26"/>
  <c r="J7" i="11"/>
  <c r="J7" i="26"/>
  <c r="C4" i="26"/>
  <c r="M1" i="11"/>
  <c r="M1" i="26"/>
  <c r="L2" i="11"/>
  <c r="L2" i="26"/>
  <c r="K3" i="11"/>
  <c r="K3" i="26"/>
  <c r="M5" i="11"/>
  <c r="M5" i="26"/>
  <c r="J6" i="11"/>
  <c r="J6" i="26"/>
  <c r="K9" i="11"/>
  <c r="K9" i="26"/>
  <c r="C11" i="26"/>
  <c r="T2" i="8"/>
  <c r="T2" i="26"/>
  <c r="M2" i="8"/>
  <c r="M2" i="26"/>
  <c r="K6" i="11"/>
  <c r="K6" i="26"/>
  <c r="L9" i="11"/>
  <c r="L9" i="26"/>
  <c r="S1" i="11"/>
  <c r="E36" i="1"/>
  <c r="Q1" i="26"/>
  <c r="L3" i="11"/>
  <c r="L3" i="26"/>
  <c r="O1" i="11"/>
  <c r="O1" i="26"/>
  <c r="N2" i="11"/>
  <c r="N2" i="26"/>
  <c r="M3" i="11"/>
  <c r="M3" i="26"/>
  <c r="J4" i="11"/>
  <c r="J4" i="26"/>
  <c r="O5" i="11"/>
  <c r="O5" i="26"/>
  <c r="L6" i="11"/>
  <c r="L6" i="26"/>
  <c r="K7" i="11"/>
  <c r="K7" i="26"/>
  <c r="M9" i="11"/>
  <c r="M9" i="26"/>
  <c r="K10" i="11"/>
  <c r="K10" i="26"/>
  <c r="C12" i="8"/>
  <c r="C12" i="26"/>
  <c r="C3" i="8"/>
  <c r="C3" i="26"/>
  <c r="O2" i="11"/>
  <c r="O2" i="26"/>
  <c r="N3" i="8"/>
  <c r="N3" i="26"/>
  <c r="K4" i="11"/>
  <c r="K4" i="26"/>
  <c r="M6" i="11"/>
  <c r="M6" i="26"/>
  <c r="L7" i="11"/>
  <c r="L7" i="26"/>
  <c r="N9" i="11"/>
  <c r="N9" i="26"/>
  <c r="L10" i="11"/>
  <c r="L10" i="26"/>
  <c r="C10" i="26"/>
  <c r="O6" i="11"/>
  <c r="O6" i="26"/>
  <c r="T3612" i="8"/>
  <c r="T4913" i="8"/>
  <c r="T3611" i="8"/>
  <c r="T4519" i="8"/>
  <c r="T4518" i="8"/>
  <c r="T4912" i="8"/>
  <c r="T6206" i="8"/>
  <c r="T6205" i="8"/>
  <c r="T6199" i="8"/>
  <c r="T6198" i="8"/>
  <c r="T6533" i="8"/>
  <c r="T6532" i="8"/>
  <c r="T6526" i="8"/>
  <c r="T6525" i="8"/>
  <c r="T6519" i="8"/>
  <c r="T6518" i="8"/>
  <c r="T6512" i="8"/>
  <c r="T6511" i="8"/>
  <c r="T6505" i="8"/>
  <c r="T6504" i="8"/>
  <c r="T2171" i="8"/>
  <c r="T2172" i="8"/>
  <c r="T76" i="11"/>
  <c r="B77" i="11" s="1"/>
  <c r="T998" i="11"/>
  <c r="B999" i="11" s="1"/>
  <c r="T100" i="11"/>
  <c r="B101" i="11" s="1"/>
  <c r="T131" i="11"/>
  <c r="B132" i="11" s="1"/>
  <c r="T2165" i="8"/>
  <c r="T2169" i="8"/>
  <c r="T732" i="11"/>
  <c r="B733" i="11" s="1"/>
  <c r="T5886" i="8"/>
  <c r="T2166" i="8"/>
  <c r="T5887" i="8"/>
  <c r="T5889" i="8"/>
  <c r="T538" i="11"/>
  <c r="B539" i="11" s="1"/>
  <c r="T2200" i="8"/>
  <c r="T2199" i="8"/>
  <c r="T2201" i="8"/>
  <c r="T2202" i="8"/>
  <c r="T2193" i="8"/>
  <c r="T2191" i="8"/>
  <c r="T2190" i="8"/>
  <c r="T2192" i="8"/>
  <c r="T2170" i="8"/>
  <c r="T2168" i="8"/>
  <c r="T2164" i="8"/>
  <c r="T2163" i="8"/>
  <c r="T2167" i="8"/>
  <c r="T4196" i="8"/>
  <c r="T4195" i="8"/>
  <c r="T4197" i="8"/>
  <c r="T4198" i="8"/>
  <c r="T153" i="11"/>
  <c r="B154" i="11" s="1"/>
  <c r="T7819" i="8"/>
  <c r="T7779" i="8"/>
  <c r="T7791" i="8"/>
  <c r="T7809" i="8"/>
  <c r="T7767" i="8"/>
  <c r="T7773" i="8"/>
  <c r="T7803" i="8"/>
  <c r="T7797" i="8"/>
  <c r="T7785" i="8"/>
  <c r="T7744" i="8"/>
  <c r="T7702" i="8"/>
  <c r="T7714" i="8"/>
  <c r="T7708" i="8"/>
  <c r="T7674" i="8"/>
  <c r="T7668" i="8"/>
  <c r="T7680" i="8"/>
  <c r="T7662" i="8"/>
  <c r="T7644" i="8"/>
  <c r="T7638" i="8"/>
  <c r="T7632" i="8"/>
  <c r="T7650" i="8"/>
  <c r="T7656" i="8"/>
  <c r="T7598" i="8"/>
  <c r="T7604" i="8"/>
  <c r="T7610" i="8"/>
  <c r="T7616" i="8"/>
  <c r="T7592" i="8"/>
  <c r="T7536" i="8"/>
  <c r="T7576" i="8"/>
  <c r="T7548" i="8"/>
  <c r="T7564" i="8"/>
  <c r="T7524" i="8"/>
  <c r="T7570" i="8"/>
  <c r="T7530" i="8"/>
  <c r="T7518" i="8"/>
  <c r="T7542" i="8"/>
  <c r="T7582" i="8"/>
  <c r="T7558" i="8"/>
  <c r="T7475" i="8"/>
  <c r="T7469" i="8"/>
  <c r="T7481" i="8"/>
  <c r="T7487" i="8"/>
  <c r="T7493" i="8"/>
  <c r="T7425" i="8"/>
  <c r="T7435" i="8"/>
  <c r="T7453" i="8"/>
  <c r="T7447" i="8"/>
  <c r="T7459" i="8"/>
  <c r="T7401" i="8"/>
  <c r="T7407" i="8"/>
  <c r="T7441" i="8"/>
  <c r="T7413" i="8"/>
  <c r="T7419" i="8"/>
  <c r="T7370" i="8"/>
  <c r="T7364" i="8"/>
  <c r="T7352" i="8"/>
  <c r="T7324" i="8"/>
  <c r="T7330" i="8"/>
  <c r="T7336" i="8"/>
  <c r="T7346" i="8"/>
  <c r="T7314" i="8"/>
  <c r="T7358" i="8"/>
  <c r="T7206" i="8"/>
  <c r="T7261" i="8"/>
  <c r="T7255" i="8"/>
  <c r="T7277" i="8"/>
  <c r="T7283" i="8"/>
  <c r="T7289" i="8"/>
  <c r="T7237" i="8"/>
  <c r="T7271" i="8"/>
  <c r="T7243" i="8"/>
  <c r="T7249" i="8"/>
  <c r="T7166" i="8"/>
  <c r="T7200" i="8"/>
  <c r="T7176" i="8"/>
  <c r="T7188" i="8"/>
  <c r="T7194" i="8"/>
  <c r="T7092" i="8"/>
  <c r="T7116" i="8"/>
  <c r="T7160" i="8"/>
  <c r="T7154" i="8"/>
  <c r="T7104" i="8"/>
  <c r="T7110" i="8"/>
  <c r="T7098" i="8"/>
  <c r="T7012" i="8"/>
  <c r="T7018" i="8"/>
  <c r="T7024" i="8"/>
  <c r="T7006" i="8"/>
  <c r="T7030" i="8"/>
  <c r="T6996" i="8"/>
  <c r="T6944" i="8"/>
  <c r="T6962" i="8"/>
  <c r="T6978" i="8"/>
  <c r="T6984" i="8"/>
  <c r="T6950" i="8"/>
  <c r="T6956" i="8"/>
  <c r="T6990" i="8"/>
  <c r="T6968" i="8"/>
  <c r="T6919" i="8"/>
  <c r="T6901" i="8"/>
  <c r="T6913" i="8"/>
  <c r="T6907" i="8"/>
  <c r="T6873" i="8"/>
  <c r="T6867" i="8"/>
  <c r="T6879" i="8"/>
  <c r="T6889" i="8"/>
  <c r="T6855" i="8"/>
  <c r="T6895" i="8"/>
  <c r="T6849" i="8"/>
  <c r="T6861" i="8"/>
  <c r="T6831" i="8"/>
  <c r="T6837" i="8"/>
  <c r="T6843" i="8"/>
  <c r="T1020" i="11"/>
  <c r="B1021" i="11" s="1"/>
  <c r="T6788" i="8"/>
  <c r="T6766" i="8"/>
  <c r="T6782" i="8"/>
  <c r="T6794" i="8"/>
  <c r="T6800" i="8"/>
  <c r="T6776" i="8"/>
  <c r="T6719" i="8"/>
  <c r="T6756" i="8"/>
  <c r="T6744" i="8"/>
  <c r="T6750" i="8"/>
  <c r="T6707" i="8"/>
  <c r="T6713" i="8"/>
  <c r="T6691" i="8"/>
  <c r="T6701" i="8"/>
  <c r="T6685" i="8"/>
  <c r="T6679" i="8"/>
  <c r="T2681" i="8"/>
  <c r="T6673" i="8"/>
  <c r="T991" i="11"/>
  <c r="B992" i="11" s="1"/>
  <c r="T88" i="11"/>
  <c r="B89" i="11" s="1"/>
  <c r="T1032" i="11"/>
  <c r="B1033" i="11" s="1"/>
  <c r="T1026" i="11"/>
  <c r="B1027" i="11" s="1"/>
  <c r="T1008" i="11"/>
  <c r="B1009" i="11" s="1"/>
  <c r="T6623" i="8"/>
  <c r="T6622" i="8"/>
  <c r="T6621" i="8"/>
  <c r="T6400" i="8"/>
  <c r="T6399" i="8"/>
  <c r="T6393" i="8"/>
  <c r="T6392" i="8"/>
  <c r="T6386" i="8"/>
  <c r="T6385" i="8"/>
  <c r="T6130" i="8"/>
  <c r="B6131" i="8" s="1"/>
  <c r="T6379" i="8"/>
  <c r="T6378" i="8"/>
  <c r="T904" i="11"/>
  <c r="B905" i="11" s="1"/>
  <c r="T876" i="11"/>
  <c r="B877" i="11" s="1"/>
  <c r="T890" i="11"/>
  <c r="B891" i="11" s="1"/>
  <c r="T5888" i="8"/>
  <c r="T5885" i="8"/>
  <c r="T862" i="11"/>
  <c r="B863" i="11" s="1"/>
  <c r="T834" i="11"/>
  <c r="B835" i="11" s="1"/>
  <c r="T819" i="11"/>
  <c r="B820" i="11" s="1"/>
  <c r="T848" i="11"/>
  <c r="B849" i="11" s="1"/>
  <c r="T759" i="11"/>
  <c r="T782" i="11"/>
  <c r="T748" i="11"/>
  <c r="T771" i="11"/>
  <c r="T794" i="11"/>
  <c r="T5149" i="8"/>
  <c r="T5602" i="8"/>
  <c r="B5603" i="8" s="1"/>
  <c r="T922" i="11"/>
  <c r="T930" i="11"/>
  <c r="B931" i="11" s="1"/>
  <c r="T909" i="11"/>
  <c r="T935" i="11"/>
  <c r="T917" i="11"/>
  <c r="B918" i="11" s="1"/>
  <c r="T945" i="11"/>
  <c r="B946" i="11" s="1"/>
  <c r="T805" i="11"/>
  <c r="B806" i="11" s="1"/>
  <c r="T619" i="11"/>
  <c r="B620" i="11" s="1"/>
  <c r="T720" i="11"/>
  <c r="B721" i="11" s="1"/>
  <c r="T685" i="11"/>
  <c r="B686" i="11" s="1"/>
  <c r="T673" i="11"/>
  <c r="B674" i="11" s="1"/>
  <c r="T610" i="11"/>
  <c r="B611" i="11" s="1"/>
  <c r="T592" i="11"/>
  <c r="B593" i="11" s="1"/>
  <c r="T556" i="11"/>
  <c r="B557" i="11" s="1"/>
  <c r="T549" i="11"/>
  <c r="B550" i="11" s="1"/>
  <c r="T712" i="11"/>
  <c r="B713" i="11" s="1"/>
  <c r="T703" i="11"/>
  <c r="B704" i="11" s="1"/>
  <c r="T694" i="11"/>
  <c r="B695" i="11" s="1"/>
  <c r="T664" i="11"/>
  <c r="B665" i="11" s="1"/>
  <c r="T655" i="11"/>
  <c r="B656" i="11" s="1"/>
  <c r="T646" i="11"/>
  <c r="B647" i="11" s="1"/>
  <c r="T637" i="11"/>
  <c r="B638" i="11" s="1"/>
  <c r="T628" i="11"/>
  <c r="B629" i="11" s="1"/>
  <c r="T601" i="11"/>
  <c r="B602" i="11" s="1"/>
  <c r="T583" i="11"/>
  <c r="B584" i="11" s="1"/>
  <c r="T574" i="11"/>
  <c r="B575" i="11" s="1"/>
  <c r="T565" i="11"/>
  <c r="B566" i="11" s="1"/>
  <c r="T5133" i="8"/>
  <c r="T5139" i="8"/>
  <c r="T5113" i="8"/>
  <c r="T5123" i="8"/>
  <c r="T5101" i="8"/>
  <c r="T5107" i="8"/>
  <c r="T5089" i="8"/>
  <c r="T5095" i="8"/>
  <c r="T5077" i="8"/>
  <c r="T5083" i="8"/>
  <c r="T5044" i="8"/>
  <c r="B5045" i="8" s="1"/>
  <c r="T5071" i="8"/>
  <c r="T5061" i="8"/>
  <c r="T5037" i="8"/>
  <c r="T5025" i="8"/>
  <c r="T5055" i="8"/>
  <c r="T5031" i="8"/>
  <c r="T5049" i="8"/>
  <c r="T5043" i="8"/>
  <c r="T5019" i="8"/>
  <c r="T5020" i="8"/>
  <c r="B5021" i="8" s="1"/>
  <c r="T4989" i="8"/>
  <c r="T4988" i="8"/>
  <c r="T4987" i="8"/>
  <c r="T4981" i="8"/>
  <c r="T4980" i="8"/>
  <c r="T4978" i="8"/>
  <c r="T4979" i="8"/>
  <c r="T4977" i="8"/>
  <c r="T4971" i="8"/>
  <c r="T4967" i="8"/>
  <c r="T4962" i="8"/>
  <c r="T4958" i="8"/>
  <c r="T4954" i="8"/>
  <c r="T4950" i="8"/>
  <c r="T4970" i="8"/>
  <c r="T4965" i="8"/>
  <c r="T4961" i="8"/>
  <c r="T4957" i="8"/>
  <c r="T4953" i="8"/>
  <c r="T4949" i="8"/>
  <c r="T4969" i="8"/>
  <c r="T4964" i="8"/>
  <c r="T4960" i="8"/>
  <c r="T4956" i="8"/>
  <c r="T4952" i="8"/>
  <c r="T4968" i="8"/>
  <c r="T4963" i="8"/>
  <c r="T4955" i="8"/>
  <c r="T4951" i="8"/>
  <c r="T4911" i="8"/>
  <c r="T4933" i="8"/>
  <c r="T4904" i="8"/>
  <c r="T4903" i="8"/>
  <c r="T4902" i="8"/>
  <c r="T4905" i="8"/>
  <c r="T4896" i="8"/>
  <c r="T4894" i="8"/>
  <c r="T4895" i="8"/>
  <c r="T4881" i="8"/>
  <c r="T4880" i="8"/>
  <c r="T4879" i="8"/>
  <c r="T4873" i="8"/>
  <c r="T4872" i="8"/>
  <c r="T4871" i="8"/>
  <c r="T4770" i="8"/>
  <c r="T4778" i="8"/>
  <c r="T4754" i="8"/>
  <c r="T4762" i="8"/>
  <c r="T4688" i="8"/>
  <c r="B4689" i="8" s="1"/>
  <c r="T4702" i="8"/>
  <c r="T4701" i="8"/>
  <c r="T4700" i="8"/>
  <c r="T4686" i="8"/>
  <c r="T4685" i="8"/>
  <c r="T4687" i="8"/>
  <c r="T4679" i="8"/>
  <c r="T4677" i="8"/>
  <c r="T4678" i="8"/>
  <c r="T4577" i="8"/>
  <c r="T4569" i="8"/>
  <c r="T4554" i="8"/>
  <c r="B4555" i="8" s="1"/>
  <c r="T4561" i="8"/>
  <c r="T4545" i="8"/>
  <c r="T4553" i="8"/>
  <c r="T4512" i="8"/>
  <c r="B4513" i="8" s="1"/>
  <c r="T4517" i="8"/>
  <c r="T4510" i="8"/>
  <c r="T4509" i="8"/>
  <c r="T4508" i="8"/>
  <c r="T4511" i="8"/>
  <c r="T4502" i="8"/>
  <c r="T4501" i="8"/>
  <c r="T4500" i="8"/>
  <c r="T4399" i="8"/>
  <c r="T4407" i="8"/>
  <c r="T4383" i="8"/>
  <c r="T4391" i="8"/>
  <c r="T4360" i="8"/>
  <c r="B4361" i="8" s="1"/>
  <c r="T4375" i="8"/>
  <c r="T4359" i="8"/>
  <c r="T4358" i="8"/>
  <c r="T4357" i="8"/>
  <c r="T4256" i="8"/>
  <c r="T4344" i="8"/>
  <c r="T4342" i="8"/>
  <c r="T4343" i="8"/>
  <c r="T4241" i="8"/>
  <c r="B4242" i="8" s="1"/>
  <c r="T4248" i="8"/>
  <c r="T4232" i="8"/>
  <c r="T4240" i="8"/>
  <c r="T4157" i="8"/>
  <c r="B4158" i="8" s="1"/>
  <c r="T4224" i="8"/>
  <c r="T4156" i="8"/>
  <c r="T4155" i="8"/>
  <c r="T4154" i="8"/>
  <c r="T4102" i="8"/>
  <c r="T4110" i="8"/>
  <c r="T4078" i="8"/>
  <c r="T4094" i="8"/>
  <c r="T3973" i="8"/>
  <c r="T4077" i="8"/>
  <c r="T4074" i="8"/>
  <c r="T4075" i="8"/>
  <c r="T4076" i="8"/>
  <c r="T3941" i="8"/>
  <c r="T3949" i="8"/>
  <c r="T3886" i="8"/>
  <c r="T3894" i="8"/>
  <c r="T3863" i="8"/>
  <c r="T3861" i="8"/>
  <c r="T3862" i="8"/>
  <c r="T3764" i="8"/>
  <c r="T3855" i="8"/>
  <c r="T3851" i="8"/>
  <c r="T3842" i="8"/>
  <c r="T3838" i="8"/>
  <c r="T3849" i="8"/>
  <c r="T3841" i="8"/>
  <c r="T3852" i="8"/>
  <c r="T3845" i="8"/>
  <c r="T3834" i="8"/>
  <c r="T3830" i="8"/>
  <c r="T3826" i="8"/>
  <c r="T3822" i="8"/>
  <c r="T3854" i="8"/>
  <c r="T3843" i="8"/>
  <c r="T3837" i="8"/>
  <c r="T3833" i="8"/>
  <c r="T3829" i="8"/>
  <c r="T3825" i="8"/>
  <c r="T3832" i="8"/>
  <c r="T3824" i="8"/>
  <c r="T3839" i="8"/>
  <c r="T3853" i="8"/>
  <c r="T3848" i="8"/>
  <c r="T3844" i="8"/>
  <c r="T3840" i="8"/>
  <c r="T3836" i="8"/>
  <c r="T3828" i="8"/>
  <c r="T3846" i="8"/>
  <c r="T3835" i="8"/>
  <c r="T3831" i="8"/>
  <c r="T3827" i="8"/>
  <c r="T3823" i="8"/>
  <c r="T3748" i="8"/>
  <c r="T3756" i="8"/>
  <c r="T3650" i="8"/>
  <c r="T3731" i="8"/>
  <c r="T3729" i="8"/>
  <c r="T3732" i="8"/>
  <c r="T3642" i="8"/>
  <c r="T3643" i="8"/>
  <c r="B3644" i="8" s="1"/>
  <c r="T3610" i="8"/>
  <c r="T3634" i="8"/>
  <c r="T3605" i="8"/>
  <c r="B3606" i="8" s="1"/>
  <c r="T3596" i="8"/>
  <c r="T3595" i="8"/>
  <c r="T3602" i="8"/>
  <c r="T3594" i="8"/>
  <c r="T3497" i="8"/>
  <c r="T3604" i="8"/>
  <c r="T3603" i="8"/>
  <c r="T36" i="11"/>
  <c r="B37" i="11" s="1"/>
  <c r="T27" i="11"/>
  <c r="B28" i="11" s="1"/>
  <c r="T3481" i="8"/>
  <c r="T3489" i="8"/>
  <c r="T3465" i="8"/>
  <c r="T3473" i="8"/>
  <c r="T43" i="11"/>
  <c r="B44" i="11" s="1"/>
  <c r="T3443" i="8"/>
  <c r="T3444" i="8"/>
  <c r="T3445" i="8"/>
  <c r="T3268" i="8"/>
  <c r="T3290" i="8"/>
  <c r="T3224" i="8"/>
  <c r="T3226" i="8"/>
  <c r="T3225" i="8"/>
  <c r="T3202" i="8"/>
  <c r="T3201" i="8"/>
  <c r="T3200" i="8"/>
  <c r="T3191" i="8"/>
  <c r="T3190" i="8"/>
  <c r="T3199" i="8"/>
  <c r="T3198" i="8"/>
  <c r="T3196" i="8"/>
  <c r="T3195" i="8"/>
  <c r="T3193" i="8"/>
  <c r="T3209" i="8"/>
  <c r="T3208" i="8"/>
  <c r="T3210" i="8"/>
  <c r="T3188" i="8"/>
  <c r="T3189" i="8"/>
  <c r="T3192" i="8"/>
  <c r="T3186" i="8"/>
  <c r="T3185" i="8"/>
  <c r="T3187" i="8"/>
  <c r="T3184" i="8"/>
  <c r="T3180" i="8"/>
  <c r="T3176" i="8"/>
  <c r="T3172" i="8"/>
  <c r="T3170" i="8"/>
  <c r="T3174" i="8"/>
  <c r="T3183" i="8"/>
  <c r="T3179" i="8"/>
  <c r="T3175" i="8"/>
  <c r="T3171" i="8"/>
  <c r="T3178" i="8"/>
  <c r="T3182" i="8"/>
  <c r="T3181" i="8"/>
  <c r="T3177" i="8"/>
  <c r="T3173" i="8"/>
  <c r="T109" i="11"/>
  <c r="B110" i="11" s="1"/>
  <c r="T2999" i="8"/>
  <c r="T3063" i="8"/>
  <c r="B3064" i="8" s="1"/>
  <c r="T53" i="11"/>
  <c r="B54" i="11" s="1"/>
  <c r="T2955" i="8"/>
  <c r="T2963" i="8"/>
  <c r="T138" i="11"/>
  <c r="B139" i="11" s="1"/>
  <c r="T124" i="11"/>
  <c r="B125" i="11" s="1"/>
  <c r="T4352" i="8"/>
  <c r="B4353" i="8" s="1"/>
  <c r="T2947" i="8"/>
  <c r="T117" i="11"/>
  <c r="B118" i="11" s="1"/>
  <c r="T162" i="11"/>
  <c r="B163" i="11" s="1"/>
  <c r="T2576" i="8"/>
  <c r="B2577" i="8" s="1"/>
  <c r="T180" i="11"/>
  <c r="B181" i="11" s="1"/>
  <c r="T189" i="11"/>
  <c r="B190" i="11" s="1"/>
  <c r="T171" i="11"/>
  <c r="B172" i="11" s="1"/>
  <c r="T216" i="11"/>
  <c r="B217" i="11" s="1"/>
  <c r="T207" i="11"/>
  <c r="B208" i="11" s="1"/>
  <c r="T1072" i="8"/>
  <c r="T1071" i="8"/>
  <c r="T1070" i="8"/>
  <c r="T1063" i="8"/>
  <c r="T1062" i="8"/>
  <c r="T1064" i="8"/>
  <c r="T500" i="8"/>
  <c r="T511" i="8"/>
  <c r="T510" i="8"/>
  <c r="T501" i="8"/>
  <c r="T490" i="8"/>
  <c r="T472" i="8"/>
  <c r="T489" i="8"/>
  <c r="T473" i="8"/>
  <c r="T486" i="8"/>
  <c r="B487" i="8" s="1"/>
  <c r="T554" i="8"/>
  <c r="T553" i="8"/>
  <c r="T555" i="8"/>
  <c r="T547" i="8"/>
  <c r="T546" i="8"/>
  <c r="T545" i="8"/>
  <c r="T538" i="8"/>
  <c r="T539" i="8"/>
  <c r="T537" i="8"/>
  <c r="T531" i="8"/>
  <c r="T530" i="8"/>
  <c r="T529" i="8"/>
  <c r="T528" i="8"/>
  <c r="AG508" i="8"/>
  <c r="T507" i="8"/>
  <c r="B508" i="8" s="1"/>
  <c r="T512" i="8"/>
  <c r="B513" i="8" s="1"/>
  <c r="AG487" i="8"/>
  <c r="T434" i="8"/>
  <c r="T452" i="8"/>
  <c r="T422" i="8"/>
  <c r="T433" i="8"/>
  <c r="T451" i="8"/>
  <c r="T421" i="8"/>
  <c r="T442" i="8"/>
  <c r="T443" i="8"/>
  <c r="T432" i="8"/>
  <c r="T454" i="8"/>
  <c r="T424" i="8"/>
  <c r="T444" i="8"/>
  <c r="T491" i="8"/>
  <c r="B492" i="8" s="1"/>
  <c r="T453" i="8"/>
  <c r="T423" i="8"/>
  <c r="T450" i="8"/>
  <c r="T420" i="8"/>
  <c r="T431" i="8"/>
  <c r="T430" i="8"/>
  <c r="T440" i="8"/>
  <c r="T441" i="8"/>
  <c r="E11462" i="8"/>
  <c r="D471" i="8"/>
  <c r="E11463" i="8"/>
  <c r="T414" i="8"/>
  <c r="T403" i="8"/>
  <c r="T394" i="8"/>
  <c r="T413" i="8"/>
  <c r="T402" i="8"/>
  <c r="T393" i="8"/>
  <c r="T411" i="8"/>
  <c r="T412" i="8"/>
  <c r="T392" i="8"/>
  <c r="T404" i="8"/>
  <c r="T410" i="8"/>
  <c r="T391" i="8"/>
  <c r="T390" i="8"/>
  <c r="T400" i="8"/>
  <c r="T401" i="8"/>
  <c r="T384" i="8"/>
  <c r="T383" i="8"/>
  <c r="T382" i="8"/>
  <c r="T380" i="8"/>
  <c r="T381" i="8"/>
  <c r="T374" i="8"/>
  <c r="T363" i="8"/>
  <c r="T373" i="8"/>
  <c r="T362" i="8"/>
  <c r="T372" i="8"/>
  <c r="T364" i="8"/>
  <c r="T371" i="8"/>
  <c r="T360" i="8"/>
  <c r="T370" i="8"/>
  <c r="T361" i="8"/>
  <c r="T354" i="8"/>
  <c r="T350" i="8"/>
  <c r="T351" i="8"/>
  <c r="T353" i="8"/>
  <c r="T352" i="8"/>
  <c r="T344" i="8"/>
  <c r="T343" i="8"/>
  <c r="T340" i="8"/>
  <c r="T342" i="8"/>
  <c r="T341" i="8"/>
  <c r="T334" i="8"/>
  <c r="T332" i="8"/>
  <c r="T333" i="8"/>
  <c r="T331" i="8"/>
  <c r="T330" i="8"/>
  <c r="T324" i="8"/>
  <c r="T313" i="8"/>
  <c r="T322" i="8"/>
  <c r="T312" i="8"/>
  <c r="T323" i="8"/>
  <c r="T314" i="8"/>
  <c r="T320" i="8"/>
  <c r="T321" i="8"/>
  <c r="T311" i="8"/>
  <c r="T310" i="8"/>
  <c r="T304" i="8"/>
  <c r="T303" i="8"/>
  <c r="T302" i="8"/>
  <c r="T301" i="8"/>
  <c r="T300" i="8"/>
  <c r="T294" i="8"/>
  <c r="T283" i="8"/>
  <c r="T293" i="8"/>
  <c r="T291" i="8"/>
  <c r="T282" i="8"/>
  <c r="T284" i="8"/>
  <c r="T292" i="8"/>
  <c r="T290" i="8"/>
  <c r="T281" i="8"/>
  <c r="T280" i="8"/>
  <c r="T274" i="8"/>
  <c r="T261" i="8"/>
  <c r="T264" i="8"/>
  <c r="T263" i="8"/>
  <c r="T273" i="8"/>
  <c r="T270" i="8"/>
  <c r="T262" i="8"/>
  <c r="T271" i="8"/>
  <c r="T272" i="8"/>
  <c r="T260" i="8"/>
  <c r="T254" i="8"/>
  <c r="T251" i="8"/>
  <c r="T253" i="8"/>
  <c r="T252" i="8"/>
  <c r="T250" i="8"/>
  <c r="T238" i="8"/>
  <c r="T237" i="8"/>
  <c r="T235" i="8"/>
  <c r="T221" i="8"/>
  <c r="T220" i="8"/>
  <c r="T219" i="8"/>
  <c r="T169" i="8"/>
  <c r="T205" i="8"/>
  <c r="T204" i="8"/>
  <c r="T203" i="8"/>
  <c r="T148" i="8"/>
  <c r="T146" i="8"/>
  <c r="T145" i="8"/>
  <c r="T147" i="8"/>
  <c r="T142" i="8"/>
  <c r="T198" i="11"/>
  <c r="B199" i="11" s="1"/>
  <c r="T234" i="11"/>
  <c r="B235" i="11" s="1"/>
  <c r="T225" i="11"/>
  <c r="B226" i="11" s="1"/>
  <c r="T708" i="8"/>
  <c r="B709" i="8" s="1"/>
  <c r="E11470" i="8"/>
  <c r="E11471" i="8"/>
  <c r="J3" i="8"/>
  <c r="C10" i="11"/>
  <c r="T455" i="11"/>
  <c r="B456" i="11" s="1"/>
  <c r="T382" i="11"/>
  <c r="B383" i="11" s="1"/>
  <c r="T414" i="11"/>
  <c r="B415" i="11" s="1"/>
  <c r="T465" i="11"/>
  <c r="B466" i="11" s="1"/>
  <c r="T434" i="11"/>
  <c r="B435" i="11" s="1"/>
  <c r="T475" i="11"/>
  <c r="B476" i="11" s="1"/>
  <c r="T517" i="11"/>
  <c r="B518" i="11" s="1"/>
  <c r="T445" i="11"/>
  <c r="B446" i="11" s="1"/>
  <c r="T485" i="11"/>
  <c r="B486" i="11" s="1"/>
  <c r="T495" i="11"/>
  <c r="B496" i="11" s="1"/>
  <c r="T424" i="11"/>
  <c r="B425" i="11" s="1"/>
  <c r="T322" i="11"/>
  <c r="B323" i="11" s="1"/>
  <c r="T268" i="11"/>
  <c r="B269" i="11" s="1"/>
  <c r="T278" i="11"/>
  <c r="B279" i="11" s="1"/>
  <c r="T362" i="11"/>
  <c r="B363" i="11" s="1"/>
  <c r="T402" i="11"/>
  <c r="B403" i="11" s="1"/>
  <c r="T332" i="11"/>
  <c r="B333" i="11" s="1"/>
  <c r="T372" i="11"/>
  <c r="B373" i="11" s="1"/>
  <c r="T352" i="11"/>
  <c r="B353" i="11" s="1"/>
  <c r="T300" i="11"/>
  <c r="B301" i="11" s="1"/>
  <c r="T290" i="11"/>
  <c r="B291" i="11" s="1"/>
  <c r="T392" i="11"/>
  <c r="B393" i="11" s="1"/>
  <c r="T312" i="11"/>
  <c r="B313" i="11" s="1"/>
  <c r="T342" i="11"/>
  <c r="B343" i="11" s="1"/>
  <c r="T1135" i="11"/>
  <c r="T258" i="11"/>
  <c r="B259" i="11" s="1"/>
  <c r="M7" i="11"/>
  <c r="T11362" i="8"/>
  <c r="T11340" i="8"/>
  <c r="T11242" i="8"/>
  <c r="T11150" i="8"/>
  <c r="T11390" i="8"/>
  <c r="T11334" i="8"/>
  <c r="T11380" i="8"/>
  <c r="T11282" i="8"/>
  <c r="T11190" i="8"/>
  <c r="T11098" i="8"/>
  <c r="T11144" i="8"/>
  <c r="T11352" i="8"/>
  <c r="T11368" i="8"/>
  <c r="T11178" i="8"/>
  <c r="T11276" i="8"/>
  <c r="T11254" i="8"/>
  <c r="T11156" i="8"/>
  <c r="T11346" i="8"/>
  <c r="T11184" i="8"/>
  <c r="T11162" i="8"/>
  <c r="T11374" i="8"/>
  <c r="T11264" i="8"/>
  <c r="T11236" i="8"/>
  <c r="T11092" i="8"/>
  <c r="T11270" i="8"/>
  <c r="T11172" i="8"/>
  <c r="T11248" i="8"/>
  <c r="T10976" i="8"/>
  <c r="T10890" i="8"/>
  <c r="T10770" i="8"/>
  <c r="T10263" i="8"/>
  <c r="T10155" i="8"/>
  <c r="T10028" i="8"/>
  <c r="T10834" i="8"/>
  <c r="T10728" i="8"/>
  <c r="T10646" i="8"/>
  <c r="T10458" i="8"/>
  <c r="T10706" i="8"/>
  <c r="T10624" i="8"/>
  <c r="T10440" i="8"/>
  <c r="T10300" i="8"/>
  <c r="T10193" i="8"/>
  <c r="T10418" i="8"/>
  <c r="T10253" i="8"/>
  <c r="T10145" i="8"/>
  <c r="T9872" i="8"/>
  <c r="T10446" i="8"/>
  <c r="T10093" i="8"/>
  <c r="T10199" i="8"/>
  <c r="T10310" i="8"/>
  <c r="T11074" i="8"/>
  <c r="T10960" i="8"/>
  <c r="T10850" i="8"/>
  <c r="T10734" i="8"/>
  <c r="T10652" i="8"/>
  <c r="T10508" i="8"/>
  <c r="T10482" i="8"/>
  <c r="T10336" i="8"/>
  <c r="T10247" i="8"/>
  <c r="T10139" i="8"/>
  <c r="T11052" i="8"/>
  <c r="T10938" i="8"/>
  <c r="T10792" i="8"/>
  <c r="T10712" i="8"/>
  <c r="T10630" i="8"/>
  <c r="T10209" i="8"/>
  <c r="T10514" i="8"/>
  <c r="T10636" i="8"/>
  <c r="T10103" i="8"/>
  <c r="T10618" i="8"/>
  <c r="T11086" i="8"/>
  <c r="T9952" i="8"/>
  <c r="T10014" i="8"/>
  <c r="T10966" i="8"/>
  <c r="T11046" i="8"/>
  <c r="T10215" i="8"/>
  <c r="T10954" i="8"/>
  <c r="T9878" i="8"/>
  <c r="T10430" i="8"/>
  <c r="T10658" i="8"/>
  <c r="T9988" i="8"/>
  <c r="T10044" i="8"/>
  <c r="T10664" i="8"/>
  <c r="T10700" i="8"/>
  <c r="T10161" i="8"/>
  <c r="T10330" i="8"/>
  <c r="T10492" i="8"/>
  <c r="T10828" i="8"/>
  <c r="T9854" i="8"/>
  <c r="T10269" i="8"/>
  <c r="T9922" i="8"/>
  <c r="T10324" i="8"/>
  <c r="T10424" i="8"/>
  <c r="T10576" i="8"/>
  <c r="T10932" i="8"/>
  <c r="T9898" i="8"/>
  <c r="T9892" i="8"/>
  <c r="T10880" i="8"/>
  <c r="T10722" i="8"/>
  <c r="T10566" i="8"/>
  <c r="T10926" i="8"/>
  <c r="T10002" i="8"/>
  <c r="T9904" i="8"/>
  <c r="T9976" i="8"/>
  <c r="T9934" i="8"/>
  <c r="T10452" i="8"/>
  <c r="T10740" i="8"/>
  <c r="T11058" i="8"/>
  <c r="T10776" i="8"/>
  <c r="T10786" i="8"/>
  <c r="T10948" i="8"/>
  <c r="T11080" i="8"/>
  <c r="T10038" i="8"/>
  <c r="T9958" i="8"/>
  <c r="T9928" i="8"/>
  <c r="T11064" i="8"/>
  <c r="T10008" i="8"/>
  <c r="T9982" i="8"/>
  <c r="T10354" i="8"/>
  <c r="T9832" i="8"/>
  <c r="T9842" i="8"/>
  <c r="T9848" i="8"/>
  <c r="T9826" i="8"/>
  <c r="T9478" i="8"/>
  <c r="T9407" i="8"/>
  <c r="T9359" i="8"/>
  <c r="T9307" i="8"/>
  <c r="T9164" i="8"/>
  <c r="T9041" i="8"/>
  <c r="T9331" i="8"/>
  <c r="T9170" i="8"/>
  <c r="T9768" i="8"/>
  <c r="T9702" i="8"/>
  <c r="T9575" i="8"/>
  <c r="T9512" i="8"/>
  <c r="T9389" i="8"/>
  <c r="T9674" i="8"/>
  <c r="T9365" i="8"/>
  <c r="T9696" i="8"/>
  <c r="T9506" i="8"/>
  <c r="T9383" i="8"/>
  <c r="T9136" i="8"/>
  <c r="T9017" i="8"/>
  <c r="T9047" i="8"/>
  <c r="T9762" i="8"/>
  <c r="T9065" i="8"/>
  <c r="T9484" i="8"/>
  <c r="T8999" i="8"/>
  <c r="T9569" i="8"/>
  <c r="T9313" i="8"/>
  <c r="T9182" i="8"/>
  <c r="T9325" i="8"/>
  <c r="T9524" i="8"/>
  <c r="T9597" i="8"/>
  <c r="T9011" i="8"/>
  <c r="T9518" i="8"/>
  <c r="T9690" i="8"/>
  <c r="T9591" i="8"/>
  <c r="T9176" i="8"/>
  <c r="T9395" i="8"/>
  <c r="T9023" i="8"/>
  <c r="T9784" i="8"/>
  <c r="T9656" i="8"/>
  <c r="T9668" i="8"/>
  <c r="T9142" i="8"/>
  <c r="T9778" i="8"/>
  <c r="T9680" i="8"/>
  <c r="T9130" i="8"/>
  <c r="T9371" i="8"/>
  <c r="T9035" i="8"/>
  <c r="T9708" i="8"/>
  <c r="T9500" i="8"/>
  <c r="T9752" i="8"/>
  <c r="T9662" i="8"/>
  <c r="T9053" i="8"/>
  <c r="T9124" i="8"/>
  <c r="T9490" i="8"/>
  <c r="T9337" i="8"/>
  <c r="T9349" i="8"/>
  <c r="T9746" i="8"/>
  <c r="T9377" i="8"/>
  <c r="T9029" i="8"/>
  <c r="T9005" i="8"/>
  <c r="T9301" i="8"/>
  <c r="T9563" i="8"/>
  <c r="T9714" i="8"/>
  <c r="T9059" i="8"/>
  <c r="T9472" i="8"/>
  <c r="T9148" i="8"/>
  <c r="T9585" i="8"/>
  <c r="T9466" i="8"/>
  <c r="T9343" i="8"/>
  <c r="T9319" i="8"/>
  <c r="T9158" i="8"/>
  <c r="T9401" i="8"/>
  <c r="T8993" i="8"/>
  <c r="T8941" i="8"/>
  <c r="T8893" i="8"/>
  <c r="T8709" i="8"/>
  <c r="T8657" i="8"/>
  <c r="T8535" i="8"/>
  <c r="T8483" i="8"/>
  <c r="T8311" i="8"/>
  <c r="T8259" i="8"/>
  <c r="T8691" i="8"/>
  <c r="T8639" i="8"/>
  <c r="T8465" i="8"/>
  <c r="T8721" i="8"/>
  <c r="T8669" i="8"/>
  <c r="T8923" i="8"/>
  <c r="T8739" i="8"/>
  <c r="T8517" i="8"/>
  <c r="T8289" i="8"/>
  <c r="T8917" i="8"/>
  <c r="T8733" i="8"/>
  <c r="T8681" i="8"/>
  <c r="T8511" i="8"/>
  <c r="T8746" i="8"/>
  <c r="B8747" i="8" s="1"/>
  <c r="T8975" i="8"/>
  <c r="T8341" i="8"/>
  <c r="T8241" i="8"/>
  <c r="T8305" i="8"/>
  <c r="T8441" i="8"/>
  <c r="T8529" i="8"/>
  <c r="T8703" i="8"/>
  <c r="T8547" i="8"/>
  <c r="T8477" i="8"/>
  <c r="T8541" i="8"/>
  <c r="T8651" i="8"/>
  <c r="T8697" i="8"/>
  <c r="T8663" i="8"/>
  <c r="T8969" i="8"/>
  <c r="T8299" i="8"/>
  <c r="T8675" i="8"/>
  <c r="T8645" i="8"/>
  <c r="T8715" i="8"/>
  <c r="T8929" i="8"/>
  <c r="T8505" i="8"/>
  <c r="T8329" i="8"/>
  <c r="T8447" i="8"/>
  <c r="T8745" i="8"/>
  <c r="T8899" i="8"/>
  <c r="T8247" i="8"/>
  <c r="T8905" i="8"/>
  <c r="T8253" i="8"/>
  <c r="T8947" i="8"/>
  <c r="T8953" i="8"/>
  <c r="T8277" i="8"/>
  <c r="T8453" i="8"/>
  <c r="T8471" i="8"/>
  <c r="T8935" i="8"/>
  <c r="T8283" i="8"/>
  <c r="T8981" i="8"/>
  <c r="T8323" i="8"/>
  <c r="T8987" i="8"/>
  <c r="T8553" i="8"/>
  <c r="T8959" i="8"/>
  <c r="T8347" i="8"/>
  <c r="T8335" i="8"/>
  <c r="T8523" i="8"/>
  <c r="T8459" i="8"/>
  <c r="T8495" i="8"/>
  <c r="T8727" i="8"/>
  <c r="T8911" i="8"/>
  <c r="T8271" i="8"/>
  <c r="T8265" i="8"/>
  <c r="T8559" i="8"/>
  <c r="T8489" i="8"/>
  <c r="T8317" i="8"/>
  <c r="K1" i="8"/>
  <c r="O6" i="8"/>
  <c r="T11447" i="8"/>
  <c r="B11448" i="8" s="1"/>
  <c r="T11437" i="8"/>
  <c r="B11438" i="8" s="1"/>
  <c r="T11431" i="8"/>
  <c r="B11432" i="8" s="1"/>
  <c r="J4" i="8"/>
  <c r="T11391" i="8"/>
  <c r="B11392" i="8" s="1"/>
  <c r="T11375" i="8"/>
  <c r="B11376" i="8" s="1"/>
  <c r="T11363" i="8"/>
  <c r="B11364" i="8" s="1"/>
  <c r="T11347" i="8"/>
  <c r="B11348" i="8" s="1"/>
  <c r="T11399" i="8"/>
  <c r="B11400" i="8" s="1"/>
  <c r="T11381" i="8"/>
  <c r="B11382" i="8" s="1"/>
  <c r="T11369" i="8"/>
  <c r="B11370" i="8" s="1"/>
  <c r="T11353" i="8"/>
  <c r="B11354" i="8" s="1"/>
  <c r="T11341" i="8"/>
  <c r="B11342" i="8" s="1"/>
  <c r="T11325" i="8"/>
  <c r="B11326" i="8" s="1"/>
  <c r="T11311" i="8"/>
  <c r="B11312" i="8" s="1"/>
  <c r="T11335" i="8"/>
  <c r="B11336" i="8" s="1"/>
  <c r="T11304" i="8"/>
  <c r="B11305" i="8" s="1"/>
  <c r="T11277" i="8"/>
  <c r="B11278" i="8" s="1"/>
  <c r="T11265" i="8"/>
  <c r="B11266" i="8" s="1"/>
  <c r="T11249" i="8"/>
  <c r="B11250" i="8" s="1"/>
  <c r="T11237" i="8"/>
  <c r="B11238" i="8" s="1"/>
  <c r="T11283" i="8"/>
  <c r="B11284" i="8" s="1"/>
  <c r="T11271" i="8"/>
  <c r="B11272" i="8" s="1"/>
  <c r="T11255" i="8"/>
  <c r="B11256" i="8" s="1"/>
  <c r="T11243" i="8"/>
  <c r="B11244" i="8" s="1"/>
  <c r="T11220" i="8"/>
  <c r="B11221" i="8" s="1"/>
  <c r="T11206" i="8"/>
  <c r="B11207" i="8" s="1"/>
  <c r="T11185" i="8"/>
  <c r="B11186" i="8" s="1"/>
  <c r="T11173" i="8"/>
  <c r="B11174" i="8" s="1"/>
  <c r="T11157" i="8"/>
  <c r="B11158" i="8" s="1"/>
  <c r="T11318" i="8"/>
  <c r="B11319" i="8" s="1"/>
  <c r="T11191" i="8"/>
  <c r="B11192" i="8" s="1"/>
  <c r="T11145" i="8"/>
  <c r="B11146" i="8" s="1"/>
  <c r="T11128" i="8"/>
  <c r="B11129" i="8" s="1"/>
  <c r="T11114" i="8"/>
  <c r="B11115" i="8" s="1"/>
  <c r="T11093" i="8"/>
  <c r="B11094" i="8" s="1"/>
  <c r="T11081" i="8"/>
  <c r="B11082" i="8" s="1"/>
  <c r="T11065" i="8"/>
  <c r="B11066" i="8" s="1"/>
  <c r="T11053" i="8"/>
  <c r="B11054" i="8" s="1"/>
  <c r="T11037" i="8"/>
  <c r="B11038" i="8" s="1"/>
  <c r="T11179" i="8"/>
  <c r="B11180" i="8" s="1"/>
  <c r="T11227" i="8"/>
  <c r="B11228" i="8" s="1"/>
  <c r="T11151" i="8"/>
  <c r="B11152" i="8" s="1"/>
  <c r="T11135" i="8"/>
  <c r="B11136" i="8" s="1"/>
  <c r="T11121" i="8"/>
  <c r="B11122" i="8" s="1"/>
  <c r="T11099" i="8"/>
  <c r="B11100" i="8" s="1"/>
  <c r="T11087" i="8"/>
  <c r="B11088" i="8" s="1"/>
  <c r="T11075" i="8"/>
  <c r="B11076" i="8" s="1"/>
  <c r="T11059" i="8"/>
  <c r="B11060" i="8" s="1"/>
  <c r="T11047" i="8"/>
  <c r="B11048" i="8" s="1"/>
  <c r="T11030" i="8"/>
  <c r="B11031" i="8" s="1"/>
  <c r="T11016" i="8"/>
  <c r="B11017" i="8" s="1"/>
  <c r="T11023" i="8"/>
  <c r="B11024" i="8" s="1"/>
  <c r="T10977" i="8"/>
  <c r="B10978" i="8" s="1"/>
  <c r="T10961" i="8"/>
  <c r="B10962" i="8" s="1"/>
  <c r="T10949" i="8"/>
  <c r="B10950" i="8" s="1"/>
  <c r="T10933" i="8"/>
  <c r="B10934" i="8" s="1"/>
  <c r="T10917" i="8"/>
  <c r="B10918" i="8" s="1"/>
  <c r="T10905" i="8"/>
  <c r="B10906" i="8" s="1"/>
  <c r="T10881" i="8"/>
  <c r="B10882" i="8" s="1"/>
  <c r="T10851" i="8"/>
  <c r="B10852" i="8" s="1"/>
  <c r="T10835" i="8"/>
  <c r="B10836" i="8" s="1"/>
  <c r="T10985" i="8"/>
  <c r="B10986" i="8" s="1"/>
  <c r="T10967" i="8"/>
  <c r="B10968" i="8" s="1"/>
  <c r="T10955" i="8"/>
  <c r="B10956" i="8" s="1"/>
  <c r="T10939" i="8"/>
  <c r="B10940" i="8" s="1"/>
  <c r="T10927" i="8"/>
  <c r="B10928" i="8" s="1"/>
  <c r="T10911" i="8"/>
  <c r="B10912" i="8" s="1"/>
  <c r="T10891" i="8"/>
  <c r="B10892" i="8" s="1"/>
  <c r="T10871" i="8"/>
  <c r="B10872" i="8" s="1"/>
  <c r="T10845" i="8"/>
  <c r="B10846" i="8" s="1"/>
  <c r="T10829" i="8"/>
  <c r="B10830" i="8" s="1"/>
  <c r="T10813" i="8"/>
  <c r="B10814" i="8" s="1"/>
  <c r="T10787" i="8"/>
  <c r="B10788" i="8" s="1"/>
  <c r="T10771" i="8"/>
  <c r="B10772" i="8" s="1"/>
  <c r="T10755" i="8"/>
  <c r="B10756" i="8" s="1"/>
  <c r="T10735" i="8"/>
  <c r="B10736" i="8" s="1"/>
  <c r="T10723" i="8"/>
  <c r="B10724" i="8" s="1"/>
  <c r="T10707" i="8"/>
  <c r="B10708" i="8" s="1"/>
  <c r="T10691" i="8"/>
  <c r="B10692" i="8" s="1"/>
  <c r="T10679" i="8"/>
  <c r="B10680" i="8" s="1"/>
  <c r="T10659" i="8"/>
  <c r="B10660" i="8" s="1"/>
  <c r="T10647" i="8"/>
  <c r="B10648" i="8" s="1"/>
  <c r="T10631" i="8"/>
  <c r="B10632" i="8" s="1"/>
  <c r="T10619" i="8"/>
  <c r="B10620" i="8" s="1"/>
  <c r="T11213" i="8"/>
  <c r="B11214" i="8" s="1"/>
  <c r="T11163" i="8"/>
  <c r="B11164" i="8" s="1"/>
  <c r="T10819" i="8"/>
  <c r="B10820" i="8" s="1"/>
  <c r="T10793" i="8"/>
  <c r="B10794" i="8" s="1"/>
  <c r="T10729" i="8"/>
  <c r="B10730" i="8" s="1"/>
  <c r="T10665" i="8"/>
  <c r="B10666" i="8" s="1"/>
  <c r="T10603" i="8"/>
  <c r="B10604" i="8" s="1"/>
  <c r="T10515" i="8"/>
  <c r="B10516" i="8" s="1"/>
  <c r="T10503" i="8"/>
  <c r="B10504" i="8" s="1"/>
  <c r="T10483" i="8"/>
  <c r="B10484" i="8" s="1"/>
  <c r="T10459" i="8"/>
  <c r="B10460" i="8" s="1"/>
  <c r="T10447" i="8"/>
  <c r="B10448" i="8" s="1"/>
  <c r="T10431" i="8"/>
  <c r="B10432" i="8" s="1"/>
  <c r="T10419" i="8"/>
  <c r="B10420" i="8" s="1"/>
  <c r="T10761" i="8"/>
  <c r="B10762" i="8" s="1"/>
  <c r="T10701" i="8"/>
  <c r="B10702" i="8" s="1"/>
  <c r="T10637" i="8"/>
  <c r="B10638" i="8" s="1"/>
  <c r="T10591" i="8"/>
  <c r="B10592" i="8" s="1"/>
  <c r="T10577" i="8"/>
  <c r="B10578" i="8" s="1"/>
  <c r="T10523" i="8"/>
  <c r="B10524" i="8" s="1"/>
  <c r="T10509" i="8"/>
  <c r="B10510" i="8" s="1"/>
  <c r="T10493" i="8"/>
  <c r="B10494" i="8" s="1"/>
  <c r="T10473" i="8"/>
  <c r="B10474" i="8" s="1"/>
  <c r="T10453" i="8"/>
  <c r="B10454" i="8" s="1"/>
  <c r="T10441" i="8"/>
  <c r="B10442" i="8" s="1"/>
  <c r="T10425" i="8"/>
  <c r="B10426" i="8" s="1"/>
  <c r="T10741" i="8"/>
  <c r="B10742" i="8" s="1"/>
  <c r="T10777" i="8"/>
  <c r="B10778" i="8" s="1"/>
  <c r="T10685" i="8"/>
  <c r="B10686" i="8" s="1"/>
  <c r="T10557" i="8"/>
  <c r="B10558" i="8" s="1"/>
  <c r="T10403" i="8"/>
  <c r="B10404" i="8" s="1"/>
  <c r="T10363" i="8"/>
  <c r="B10364" i="8" s="1"/>
  <c r="T10349" i="8"/>
  <c r="B10350" i="8" s="1"/>
  <c r="T10337" i="8"/>
  <c r="B10338" i="8" s="1"/>
  <c r="T10325" i="8"/>
  <c r="B10326" i="8" s="1"/>
  <c r="T10301" i="8"/>
  <c r="B10302" i="8" s="1"/>
  <c r="T10270" i="8"/>
  <c r="B10271" i="8" s="1"/>
  <c r="T10254" i="8"/>
  <c r="B10255" i="8" s="1"/>
  <c r="T10238" i="8"/>
  <c r="B10239" i="8" s="1"/>
  <c r="T10216" i="8"/>
  <c r="B10217" i="8" s="1"/>
  <c r="T10200" i="8"/>
  <c r="B10201" i="8" s="1"/>
  <c r="T10713" i="8"/>
  <c r="B10714" i="8" s="1"/>
  <c r="T10625" i="8"/>
  <c r="B10626" i="8" s="1"/>
  <c r="T10597" i="8"/>
  <c r="B10598" i="8" s="1"/>
  <c r="T10653" i="8"/>
  <c r="B10654" i="8" s="1"/>
  <c r="T10609" i="8"/>
  <c r="B10610" i="8" s="1"/>
  <c r="T10567" i="8"/>
  <c r="B10568" i="8" s="1"/>
  <c r="T10409" i="8"/>
  <c r="B10410" i="8" s="1"/>
  <c r="T10393" i="8"/>
  <c r="B10394" i="8" s="1"/>
  <c r="T10355" i="8"/>
  <c r="B10356" i="8" s="1"/>
  <c r="T10343" i="8"/>
  <c r="B10344" i="8" s="1"/>
  <c r="T10331" i="8"/>
  <c r="B10332" i="8" s="1"/>
  <c r="T10311" i="8"/>
  <c r="B10312" i="8" s="1"/>
  <c r="T10291" i="8"/>
  <c r="B10292" i="8" s="1"/>
  <c r="T10264" i="8"/>
  <c r="B10265" i="8" s="1"/>
  <c r="T10248" i="8"/>
  <c r="B10249" i="8" s="1"/>
  <c r="T10231" i="8"/>
  <c r="B10232" i="8" s="1"/>
  <c r="T10210" i="8"/>
  <c r="B10211" i="8" s="1"/>
  <c r="T10194" i="8"/>
  <c r="B10195" i="8" s="1"/>
  <c r="T10177" i="8"/>
  <c r="B10178" i="8" s="1"/>
  <c r="T10156" i="8"/>
  <c r="B10157" i="8" s="1"/>
  <c r="T10140" i="8"/>
  <c r="B10141" i="8" s="1"/>
  <c r="T10119" i="8"/>
  <c r="B10120" i="8" s="1"/>
  <c r="T10094" i="8"/>
  <c r="B10095" i="8" s="1"/>
  <c r="T10053" i="8"/>
  <c r="B10054" i="8" s="1"/>
  <c r="T10039" i="8"/>
  <c r="B10040" i="8" s="1"/>
  <c r="T10015" i="8"/>
  <c r="B10016" i="8" s="1"/>
  <c r="T10003" i="8"/>
  <c r="B10004" i="8" s="1"/>
  <c r="T10184" i="8"/>
  <c r="B10185" i="8" s="1"/>
  <c r="T10162" i="8"/>
  <c r="B10163" i="8" s="1"/>
  <c r="T10146" i="8"/>
  <c r="B10147" i="8" s="1"/>
  <c r="T10130" i="8"/>
  <c r="B10131" i="8" s="1"/>
  <c r="T9989" i="8"/>
  <c r="B9990" i="8" s="1"/>
  <c r="T9977" i="8"/>
  <c r="B9978" i="8" s="1"/>
  <c r="T9953" i="8"/>
  <c r="B9954" i="8" s="1"/>
  <c r="T9929" i="8"/>
  <c r="B9930" i="8" s="1"/>
  <c r="T9905" i="8"/>
  <c r="B9906" i="8" s="1"/>
  <c r="T9893" i="8"/>
  <c r="B9894" i="8" s="1"/>
  <c r="T9873" i="8"/>
  <c r="B9874" i="8" s="1"/>
  <c r="T10104" i="8"/>
  <c r="B10105" i="8" s="1"/>
  <c r="T9935" i="8"/>
  <c r="B9936" i="8" s="1"/>
  <c r="T9855" i="8"/>
  <c r="B9856" i="8" s="1"/>
  <c r="T9843" i="8"/>
  <c r="B9844" i="8" s="1"/>
  <c r="T9827" i="8"/>
  <c r="B9828" i="8" s="1"/>
  <c r="T9785" i="8"/>
  <c r="B9786" i="8" s="1"/>
  <c r="T9769" i="8"/>
  <c r="B9770" i="8" s="1"/>
  <c r="T9753" i="8"/>
  <c r="B9754" i="8" s="1"/>
  <c r="T9737" i="8"/>
  <c r="B9738" i="8" s="1"/>
  <c r="T9715" i="8"/>
  <c r="B9716" i="8" s="1"/>
  <c r="T9703" i="8"/>
  <c r="B9704" i="8" s="1"/>
  <c r="T9691" i="8"/>
  <c r="B9692" i="8" s="1"/>
  <c r="T9675" i="8"/>
  <c r="B9676" i="8" s="1"/>
  <c r="T9663" i="8"/>
  <c r="B9664" i="8" s="1"/>
  <c r="T9647" i="8"/>
  <c r="B9648" i="8" s="1"/>
  <c r="T9633" i="8"/>
  <c r="B9634" i="8" s="1"/>
  <c r="T9619" i="8"/>
  <c r="B9620" i="8" s="1"/>
  <c r="T9592" i="8"/>
  <c r="B9593" i="8" s="1"/>
  <c r="T9576" i="8"/>
  <c r="B9577" i="8" s="1"/>
  <c r="T9564" i="8"/>
  <c r="B9565" i="8" s="1"/>
  <c r="T9547" i="8"/>
  <c r="B9548" i="8" s="1"/>
  <c r="T9525" i="8"/>
  <c r="B9526" i="8" s="1"/>
  <c r="T9513" i="8"/>
  <c r="B9514" i="8" s="1"/>
  <c r="T10084" i="8"/>
  <c r="B10085" i="8" s="1"/>
  <c r="T10029" i="8"/>
  <c r="B10030" i="8" s="1"/>
  <c r="T9959" i="8"/>
  <c r="B9960" i="8" s="1"/>
  <c r="T9879" i="8"/>
  <c r="B9880" i="8" s="1"/>
  <c r="T9983" i="8"/>
  <c r="B9984" i="8" s="1"/>
  <c r="T9899" i="8"/>
  <c r="B9900" i="8" s="1"/>
  <c r="T9849" i="8"/>
  <c r="B9850" i="8" s="1"/>
  <c r="T9833" i="8"/>
  <c r="B9834" i="8" s="1"/>
  <c r="T9793" i="8"/>
  <c r="B9794" i="8" s="1"/>
  <c r="T9779" i="8"/>
  <c r="B9780" i="8" s="1"/>
  <c r="T9763" i="8"/>
  <c r="B9764" i="8" s="1"/>
  <c r="T9747" i="8"/>
  <c r="B9748" i="8" s="1"/>
  <c r="T9730" i="8"/>
  <c r="B9731" i="8" s="1"/>
  <c r="T9709" i="8"/>
  <c r="B9710" i="8" s="1"/>
  <c r="T9697" i="8"/>
  <c r="B9698" i="8" s="1"/>
  <c r="T9681" i="8"/>
  <c r="B9682" i="8" s="1"/>
  <c r="T9669" i="8"/>
  <c r="B9670" i="8" s="1"/>
  <c r="T9657" i="8"/>
  <c r="B9658" i="8" s="1"/>
  <c r="T9640" i="8"/>
  <c r="B9641" i="8" s="1"/>
  <c r="T9626" i="8"/>
  <c r="B9627" i="8" s="1"/>
  <c r="T9598" i="8"/>
  <c r="B9599" i="8" s="1"/>
  <c r="T9586" i="8"/>
  <c r="B9587" i="8" s="1"/>
  <c r="T9570" i="8"/>
  <c r="B9571" i="8" s="1"/>
  <c r="T9554" i="8"/>
  <c r="B9555" i="8" s="1"/>
  <c r="T9540" i="8"/>
  <c r="B9541" i="8" s="1"/>
  <c r="T9519" i="8"/>
  <c r="B9520" i="8" s="1"/>
  <c r="T10045" i="8"/>
  <c r="B10046" i="8" s="1"/>
  <c r="T10009" i="8"/>
  <c r="B10010" i="8" s="1"/>
  <c r="T9923" i="8"/>
  <c r="B9924" i="8" s="1"/>
  <c r="T9507" i="8"/>
  <c r="B9508" i="8" s="1"/>
  <c r="T9491" i="8"/>
  <c r="B9492" i="8" s="1"/>
  <c r="T9479" i="8"/>
  <c r="B9480" i="8" s="1"/>
  <c r="T9467" i="8"/>
  <c r="B9468" i="8" s="1"/>
  <c r="T9450" i="8"/>
  <c r="B9451" i="8" s="1"/>
  <c r="T9436" i="8"/>
  <c r="B9437" i="8" s="1"/>
  <c r="T9408" i="8"/>
  <c r="B9409" i="8" s="1"/>
  <c r="T9396" i="8"/>
  <c r="B9397" i="8" s="1"/>
  <c r="T9384" i="8"/>
  <c r="B9385" i="8" s="1"/>
  <c r="T9372" i="8"/>
  <c r="B9373" i="8" s="1"/>
  <c r="T9360" i="8"/>
  <c r="B9361" i="8" s="1"/>
  <c r="T9344" i="8"/>
  <c r="B9345" i="8" s="1"/>
  <c r="T9332" i="8"/>
  <c r="B9333" i="8" s="1"/>
  <c r="T9320" i="8"/>
  <c r="B9321" i="8" s="1"/>
  <c r="T9308" i="8"/>
  <c r="B9309" i="8" s="1"/>
  <c r="T9292" i="8"/>
  <c r="B9293" i="8" s="1"/>
  <c r="T9278" i="8"/>
  <c r="B9279" i="8" s="1"/>
  <c r="T9264" i="8"/>
  <c r="B9265" i="8" s="1"/>
  <c r="T9242" i="8"/>
  <c r="B9243" i="8" s="1"/>
  <c r="T9225" i="8"/>
  <c r="B9226" i="8" s="1"/>
  <c r="T9211" i="8"/>
  <c r="B9212" i="8" s="1"/>
  <c r="T9177" i="8"/>
  <c r="B9178" i="8" s="1"/>
  <c r="T9165" i="8"/>
  <c r="B9166" i="8" s="1"/>
  <c r="T9149" i="8"/>
  <c r="B9150" i="8" s="1"/>
  <c r="T9137" i="8"/>
  <c r="B9138" i="8" s="1"/>
  <c r="T9125" i="8"/>
  <c r="B9126" i="8" s="1"/>
  <c r="T9108" i="8"/>
  <c r="B9109" i="8" s="1"/>
  <c r="T9501" i="8"/>
  <c r="B9502" i="8" s="1"/>
  <c r="T9485" i="8"/>
  <c r="B9486" i="8" s="1"/>
  <c r="T9473" i="8"/>
  <c r="B9474" i="8" s="1"/>
  <c r="T9457" i="8"/>
  <c r="B9458" i="8" s="1"/>
  <c r="T9443" i="8"/>
  <c r="B9444" i="8" s="1"/>
  <c r="T9429" i="8"/>
  <c r="B9430" i="8" s="1"/>
  <c r="T9402" i="8"/>
  <c r="B9403" i="8" s="1"/>
  <c r="T9390" i="8"/>
  <c r="B9391" i="8" s="1"/>
  <c r="T9378" i="8"/>
  <c r="B9379" i="8" s="1"/>
  <c r="T9366" i="8"/>
  <c r="B9367" i="8" s="1"/>
  <c r="T9350" i="8"/>
  <c r="B9351" i="8" s="1"/>
  <c r="T9338" i="8"/>
  <c r="B9339" i="8" s="1"/>
  <c r="T9326" i="8"/>
  <c r="B9327" i="8" s="1"/>
  <c r="T9314" i="8"/>
  <c r="B9315" i="8" s="1"/>
  <c r="T9302" i="8"/>
  <c r="B9303" i="8" s="1"/>
  <c r="T9285" i="8"/>
  <c r="B9286" i="8" s="1"/>
  <c r="T9271" i="8"/>
  <c r="B9272" i="8" s="1"/>
  <c r="T9249" i="8"/>
  <c r="B9250" i="8" s="1"/>
  <c r="T9232" i="8"/>
  <c r="B9233" i="8" s="1"/>
  <c r="T9218" i="8"/>
  <c r="B9219" i="8" s="1"/>
  <c r="T9183" i="8"/>
  <c r="B9184" i="8" s="1"/>
  <c r="T9171" i="8"/>
  <c r="B9172" i="8" s="1"/>
  <c r="T9159" i="8"/>
  <c r="B9160" i="8" s="1"/>
  <c r="T9143" i="8"/>
  <c r="B9144" i="8" s="1"/>
  <c r="T9131" i="8"/>
  <c r="B9132" i="8" s="1"/>
  <c r="T9115" i="8"/>
  <c r="B9116" i="8" s="1"/>
  <c r="T9094" i="8"/>
  <c r="B9095" i="8" s="1"/>
  <c r="T9066" i="8"/>
  <c r="B9067" i="8" s="1"/>
  <c r="T9054" i="8"/>
  <c r="B9055" i="8" s="1"/>
  <c r="T9042" i="8"/>
  <c r="B9043" i="8" s="1"/>
  <c r="T9030" i="8"/>
  <c r="B9031" i="8" s="1"/>
  <c r="T9018" i="8"/>
  <c r="B9019" i="8" s="1"/>
  <c r="T9006" i="8"/>
  <c r="B9007" i="8" s="1"/>
  <c r="T8994" i="8"/>
  <c r="B8995" i="8" s="1"/>
  <c r="T8982" i="8"/>
  <c r="B8983" i="8" s="1"/>
  <c r="T8970" i="8"/>
  <c r="B8971" i="8" s="1"/>
  <c r="T8954" i="8"/>
  <c r="B8955" i="8" s="1"/>
  <c r="T8942" i="8"/>
  <c r="B8943" i="8" s="1"/>
  <c r="T8930" i="8"/>
  <c r="B8931" i="8" s="1"/>
  <c r="T8918" i="8"/>
  <c r="B8919" i="8" s="1"/>
  <c r="T8906" i="8"/>
  <c r="B8907" i="8" s="1"/>
  <c r="T8894" i="8"/>
  <c r="B8895" i="8" s="1"/>
  <c r="T8868" i="8"/>
  <c r="B8869" i="8" s="1"/>
  <c r="T8841" i="8"/>
  <c r="B8842" i="8" s="1"/>
  <c r="T8827" i="8"/>
  <c r="B8828" i="8" s="1"/>
  <c r="T8813" i="8"/>
  <c r="B8814" i="8" s="1"/>
  <c r="T8799" i="8"/>
  <c r="B8800" i="8" s="1"/>
  <c r="T8785" i="8"/>
  <c r="B8786" i="8" s="1"/>
  <c r="T8767" i="8"/>
  <c r="B8768" i="8" s="1"/>
  <c r="T8740" i="8"/>
  <c r="B8741" i="8" s="1"/>
  <c r="T8728" i="8"/>
  <c r="B8729" i="8" s="1"/>
  <c r="T8716" i="8"/>
  <c r="B8717" i="8" s="1"/>
  <c r="T9101" i="8"/>
  <c r="B9102" i="8" s="1"/>
  <c r="T9087" i="8"/>
  <c r="B9088" i="8" s="1"/>
  <c r="T9060" i="8"/>
  <c r="B9061" i="8" s="1"/>
  <c r="T9048" i="8"/>
  <c r="B9049" i="8" s="1"/>
  <c r="T9036" i="8"/>
  <c r="B9037" i="8" s="1"/>
  <c r="T9024" i="8"/>
  <c r="B9025" i="8" s="1"/>
  <c r="T9012" i="8"/>
  <c r="B9013" i="8" s="1"/>
  <c r="T9000" i="8"/>
  <c r="B9001" i="8" s="1"/>
  <c r="T8988" i="8"/>
  <c r="B8989" i="8" s="1"/>
  <c r="T8976" i="8"/>
  <c r="B8977" i="8" s="1"/>
  <c r="T8960" i="8"/>
  <c r="B8961" i="8" s="1"/>
  <c r="T8948" i="8"/>
  <c r="B8949" i="8" s="1"/>
  <c r="T8936" i="8"/>
  <c r="B8937" i="8" s="1"/>
  <c r="T8924" i="8"/>
  <c r="B8925" i="8" s="1"/>
  <c r="T8912" i="8"/>
  <c r="B8913" i="8" s="1"/>
  <c r="T8900" i="8"/>
  <c r="B8901" i="8" s="1"/>
  <c r="T8884" i="8"/>
  <c r="B8885" i="8" s="1"/>
  <c r="T8848" i="8"/>
  <c r="B8849" i="8" s="1"/>
  <c r="T8834" i="8"/>
  <c r="B8835" i="8" s="1"/>
  <c r="T8820" i="8"/>
  <c r="B8821" i="8" s="1"/>
  <c r="T8806" i="8"/>
  <c r="B8807" i="8" s="1"/>
  <c r="T8792" i="8"/>
  <c r="B8793" i="8" s="1"/>
  <c r="T8778" i="8"/>
  <c r="B8779" i="8" s="1"/>
  <c r="T8734" i="8"/>
  <c r="B8735" i="8" s="1"/>
  <c r="T8722" i="8"/>
  <c r="B8723" i="8" s="1"/>
  <c r="T8710" i="8"/>
  <c r="B8711" i="8" s="1"/>
  <c r="T8698" i="8"/>
  <c r="B8699" i="8" s="1"/>
  <c r="T8704" i="8"/>
  <c r="B8705" i="8" s="1"/>
  <c r="T8692" i="8"/>
  <c r="B8693" i="8" s="1"/>
  <c r="T8676" i="8"/>
  <c r="B8677" i="8" s="1"/>
  <c r="T8664" i="8"/>
  <c r="B8665" i="8" s="1"/>
  <c r="T8652" i="8"/>
  <c r="B8653" i="8" s="1"/>
  <c r="T8640" i="8"/>
  <c r="B8641" i="8" s="1"/>
  <c r="T8623" i="8"/>
  <c r="B8624" i="8" s="1"/>
  <c r="T8609" i="8"/>
  <c r="B8610" i="8" s="1"/>
  <c r="T8595" i="8"/>
  <c r="B8596" i="8" s="1"/>
  <c r="T8581" i="8"/>
  <c r="B8582" i="8" s="1"/>
  <c r="T8554" i="8"/>
  <c r="B8555" i="8" s="1"/>
  <c r="T8542" i="8"/>
  <c r="B8543" i="8" s="1"/>
  <c r="T8530" i="8"/>
  <c r="B8531" i="8" s="1"/>
  <c r="T8518" i="8"/>
  <c r="B8519" i="8" s="1"/>
  <c r="T8506" i="8"/>
  <c r="B8507" i="8" s="1"/>
  <c r="T8490" i="8"/>
  <c r="B8491" i="8" s="1"/>
  <c r="T8478" i="8"/>
  <c r="B8479" i="8" s="1"/>
  <c r="T8466" i="8"/>
  <c r="B8467" i="8" s="1"/>
  <c r="T8454" i="8"/>
  <c r="B8455" i="8" s="1"/>
  <c r="T8442" i="8"/>
  <c r="B8443" i="8" s="1"/>
  <c r="T8425" i="8"/>
  <c r="B8426" i="8" s="1"/>
  <c r="T8411" i="8"/>
  <c r="B8412" i="8" s="1"/>
  <c r="T8397" i="8"/>
  <c r="B8398" i="8" s="1"/>
  <c r="T8383" i="8"/>
  <c r="B8384" i="8" s="1"/>
  <c r="T8369" i="8"/>
  <c r="B8370" i="8" s="1"/>
  <c r="T8342" i="8"/>
  <c r="B8343" i="8" s="1"/>
  <c r="T8330" i="8"/>
  <c r="B8331" i="8" s="1"/>
  <c r="T8318" i="8"/>
  <c r="B8319" i="8" s="1"/>
  <c r="T8306" i="8"/>
  <c r="B8307" i="8" s="1"/>
  <c r="T8290" i="8"/>
  <c r="B8291" i="8" s="1"/>
  <c r="T8278" i="8"/>
  <c r="B8279" i="8" s="1"/>
  <c r="T8266" i="8"/>
  <c r="B8267" i="8" s="1"/>
  <c r="T8254" i="8"/>
  <c r="B8255" i="8" s="1"/>
  <c r="T8242" i="8"/>
  <c r="B8243" i="8" s="1"/>
  <c r="T8225" i="8"/>
  <c r="B8226" i="8" s="1"/>
  <c r="T8211" i="8"/>
  <c r="B8212" i="8" s="1"/>
  <c r="T8197" i="8"/>
  <c r="B8198" i="8" s="1"/>
  <c r="T8183" i="8"/>
  <c r="B8184" i="8" s="1"/>
  <c r="T8141" i="8"/>
  <c r="B8142" i="8" s="1"/>
  <c r="T8139" i="8"/>
  <c r="T8137" i="8"/>
  <c r="T8130" i="8"/>
  <c r="T8128" i="8"/>
  <c r="T8126" i="8"/>
  <c r="T8121" i="8"/>
  <c r="B8122" i="8" s="1"/>
  <c r="T8119" i="8"/>
  <c r="T8117" i="8"/>
  <c r="T8110" i="8"/>
  <c r="T8108" i="8"/>
  <c r="T8106" i="8"/>
  <c r="T8101" i="8"/>
  <c r="B8102" i="8" s="1"/>
  <c r="T8099" i="8"/>
  <c r="T8097" i="8"/>
  <c r="T8090" i="8"/>
  <c r="T8088" i="8"/>
  <c r="T8086" i="8"/>
  <c r="T8081" i="8"/>
  <c r="B8082" i="8" s="1"/>
  <c r="T8079" i="8"/>
  <c r="T8077" i="8"/>
  <c r="T8070" i="8"/>
  <c r="T8068" i="8"/>
  <c r="T8066" i="8"/>
  <c r="T8061" i="8"/>
  <c r="B8062" i="8" s="1"/>
  <c r="T8059" i="8"/>
  <c r="T8057" i="8"/>
  <c r="T8050" i="8"/>
  <c r="T8048" i="8"/>
  <c r="T8046" i="8"/>
  <c r="T8041" i="8"/>
  <c r="B8042" i="8" s="1"/>
  <c r="T8039" i="8"/>
  <c r="T8037" i="8"/>
  <c r="T8030" i="8"/>
  <c r="T8028" i="8"/>
  <c r="T8026" i="8"/>
  <c r="T8021" i="8"/>
  <c r="B8022" i="8" s="1"/>
  <c r="T8019" i="8"/>
  <c r="T8017" i="8"/>
  <c r="T8682" i="8"/>
  <c r="B8683" i="8" s="1"/>
  <c r="T8670" i="8"/>
  <c r="B8671" i="8" s="1"/>
  <c r="T8658" i="8"/>
  <c r="B8659" i="8" s="1"/>
  <c r="T8646" i="8"/>
  <c r="B8647" i="8" s="1"/>
  <c r="T8630" i="8"/>
  <c r="B8631" i="8" s="1"/>
  <c r="T8616" i="8"/>
  <c r="B8617" i="8" s="1"/>
  <c r="T8602" i="8"/>
  <c r="B8603" i="8" s="1"/>
  <c r="T8588" i="8"/>
  <c r="B8589" i="8" s="1"/>
  <c r="T8560" i="8"/>
  <c r="B8561" i="8" s="1"/>
  <c r="T8548" i="8"/>
  <c r="B8549" i="8" s="1"/>
  <c r="T8536" i="8"/>
  <c r="B8537" i="8" s="1"/>
  <c r="T8524" i="8"/>
  <c r="B8525" i="8" s="1"/>
  <c r="T8512" i="8"/>
  <c r="B8513" i="8" s="1"/>
  <c r="T8496" i="8"/>
  <c r="B8497" i="8" s="1"/>
  <c r="T8484" i="8"/>
  <c r="B8485" i="8" s="1"/>
  <c r="T8472" i="8"/>
  <c r="B8473" i="8" s="1"/>
  <c r="T8460" i="8"/>
  <c r="B8461" i="8" s="1"/>
  <c r="T8448" i="8"/>
  <c r="B8449" i="8" s="1"/>
  <c r="T8432" i="8"/>
  <c r="B8433" i="8" s="1"/>
  <c r="T8418" i="8"/>
  <c r="B8419" i="8" s="1"/>
  <c r="T8404" i="8"/>
  <c r="B8405" i="8" s="1"/>
  <c r="T8390" i="8"/>
  <c r="B8391" i="8" s="1"/>
  <c r="T8376" i="8"/>
  <c r="B8377" i="8" s="1"/>
  <c r="T8348" i="8"/>
  <c r="B8349" i="8" s="1"/>
  <c r="T8336" i="8"/>
  <c r="B8337" i="8" s="1"/>
  <c r="T8324" i="8"/>
  <c r="B8325" i="8" s="1"/>
  <c r="T8312" i="8"/>
  <c r="B8313" i="8" s="1"/>
  <c r="T8300" i="8"/>
  <c r="B8301" i="8" s="1"/>
  <c r="T8284" i="8"/>
  <c r="B8285" i="8" s="1"/>
  <c r="T8272" i="8"/>
  <c r="B8273" i="8" s="1"/>
  <c r="T8260" i="8"/>
  <c r="B8261" i="8" s="1"/>
  <c r="T8248" i="8"/>
  <c r="B8249" i="8" s="1"/>
  <c r="T8232" i="8"/>
  <c r="B8233" i="8" s="1"/>
  <c r="T8218" i="8"/>
  <c r="B8219" i="8" s="1"/>
  <c r="T8204" i="8"/>
  <c r="B8205" i="8" s="1"/>
  <c r="T8190" i="8"/>
  <c r="B8191" i="8" s="1"/>
  <c r="T8176" i="8"/>
  <c r="B8177" i="8" s="1"/>
  <c r="T8140" i="8"/>
  <c r="T8138" i="8"/>
  <c r="T8136" i="8"/>
  <c r="T8131" i="8"/>
  <c r="B8132" i="8" s="1"/>
  <c r="T8129" i="8"/>
  <c r="T8127" i="8"/>
  <c r="T8120" i="8"/>
  <c r="T8118" i="8"/>
  <c r="T8116" i="8"/>
  <c r="T8111" i="8"/>
  <c r="B8112" i="8" s="1"/>
  <c r="T8109" i="8"/>
  <c r="T8107" i="8"/>
  <c r="T8100" i="8"/>
  <c r="T8098" i="8"/>
  <c r="T8096" i="8"/>
  <c r="T8091" i="8"/>
  <c r="B8092" i="8" s="1"/>
  <c r="T8089" i="8"/>
  <c r="T8087" i="8"/>
  <c r="T8080" i="8"/>
  <c r="T8078" i="8"/>
  <c r="T8076" i="8"/>
  <c r="T8071" i="8"/>
  <c r="B8072" i="8" s="1"/>
  <c r="T8069" i="8"/>
  <c r="T8067" i="8"/>
  <c r="T8060" i="8"/>
  <c r="T8058" i="8"/>
  <c r="T8056" i="8"/>
  <c r="T8051" i="8"/>
  <c r="B8052" i="8" s="1"/>
  <c r="T8049" i="8"/>
  <c r="T8047" i="8"/>
  <c r="T8040" i="8"/>
  <c r="T8038" i="8"/>
  <c r="T8036" i="8"/>
  <c r="T8031" i="8"/>
  <c r="B8032" i="8" s="1"/>
  <c r="T8029" i="8"/>
  <c r="T8027" i="8"/>
  <c r="T8020" i="8"/>
  <c r="T8018" i="8"/>
  <c r="T8016" i="8"/>
  <c r="O2" i="8"/>
  <c r="C6" i="11"/>
  <c r="N1" i="8"/>
  <c r="C6" i="8"/>
  <c r="C12" i="11"/>
  <c r="O5" i="8"/>
  <c r="K6" i="8"/>
  <c r="N5" i="8"/>
  <c r="M5" i="8"/>
  <c r="J1" i="8"/>
  <c r="M3" i="8"/>
  <c r="M1" i="8"/>
  <c r="T7996" i="8"/>
  <c r="T7992" i="8"/>
  <c r="T7987" i="8"/>
  <c r="B7988" i="8" s="1"/>
  <c r="T7984" i="8"/>
  <c r="T7985" i="8"/>
  <c r="T7995" i="8"/>
  <c r="T7986" i="8"/>
  <c r="T7982" i="8"/>
  <c r="T7997" i="8"/>
  <c r="B7998" i="8" s="1"/>
  <c r="T7994" i="8"/>
  <c r="T7975" i="8"/>
  <c r="T7966" i="8"/>
  <c r="T7962" i="8"/>
  <c r="T7957" i="8"/>
  <c r="B7958" i="8" s="1"/>
  <c r="T7954" i="8"/>
  <c r="T7941" i="8"/>
  <c r="T7976" i="8"/>
  <c r="T7967" i="8"/>
  <c r="B7968" i="8" s="1"/>
  <c r="T7955" i="8"/>
  <c r="T7942" i="8"/>
  <c r="T7938" i="8"/>
  <c r="T7977" i="8"/>
  <c r="B7978" i="8" s="1"/>
  <c r="T7974" i="8"/>
  <c r="T7965" i="8"/>
  <c r="T7956" i="8"/>
  <c r="T7952" i="8"/>
  <c r="T7943" i="8"/>
  <c r="B7944" i="8" s="1"/>
  <c r="T7940" i="8"/>
  <c r="T7972" i="8"/>
  <c r="T7964" i="8"/>
  <c r="T7931" i="8"/>
  <c r="T7922" i="8"/>
  <c r="T7918" i="8"/>
  <c r="T7932" i="8"/>
  <c r="T7923" i="8"/>
  <c r="B7924" i="8" s="1"/>
  <c r="T7920" i="8"/>
  <c r="T7933" i="8"/>
  <c r="B7934" i="8" s="1"/>
  <c r="T7930" i="8"/>
  <c r="T7921" i="8"/>
  <c r="T7928" i="8"/>
  <c r="T7911" i="8"/>
  <c r="T7913" i="8"/>
  <c r="B7914" i="8" s="1"/>
  <c r="T7910" i="8"/>
  <c r="T7912" i="8"/>
  <c r="T7908" i="8"/>
  <c r="T7901" i="8"/>
  <c r="T7903" i="8"/>
  <c r="B7904" i="8" s="1"/>
  <c r="T7900" i="8"/>
  <c r="T7902" i="8"/>
  <c r="J10" i="8"/>
  <c r="J2" i="8"/>
  <c r="M9" i="8"/>
  <c r="L4" i="8"/>
  <c r="D168" i="8"/>
  <c r="AG171" i="8"/>
  <c r="D157" i="8"/>
  <c r="D172" i="8"/>
  <c r="T160" i="8"/>
  <c r="B161" i="8" s="1"/>
  <c r="T170" i="8"/>
  <c r="B171" i="8" s="1"/>
  <c r="T159" i="8"/>
  <c r="T158" i="8"/>
  <c r="T175" i="8"/>
  <c r="B176" i="8" s="1"/>
  <c r="T155" i="8"/>
  <c r="B156" i="8" s="1"/>
  <c r="T174" i="8"/>
  <c r="T173" i="8"/>
  <c r="AG176" i="8"/>
  <c r="AG161" i="8"/>
  <c r="T7865" i="8"/>
  <c r="T7866" i="8"/>
  <c r="B7867" i="8" s="1"/>
  <c r="T7860" i="8"/>
  <c r="B7861" i="8" s="1"/>
  <c r="T7810" i="8"/>
  <c r="B7811" i="8" s="1"/>
  <c r="T7792" i="8"/>
  <c r="B7793" i="8" s="1"/>
  <c r="T7878" i="8"/>
  <c r="B7879" i="8" s="1"/>
  <c r="T7774" i="8"/>
  <c r="B7775" i="8" s="1"/>
  <c r="T7715" i="8"/>
  <c r="B7716" i="8" s="1"/>
  <c r="T7780" i="8"/>
  <c r="B7781" i="8" s="1"/>
  <c r="T7828" i="8"/>
  <c r="B7829" i="8" s="1"/>
  <c r="T7768" i="8"/>
  <c r="B7769" i="8" s="1"/>
  <c r="T7681" i="8"/>
  <c r="B7682" i="8" s="1"/>
  <c r="T7645" i="8"/>
  <c r="B7646" i="8" s="1"/>
  <c r="T7593" i="8"/>
  <c r="B7594" i="8" s="1"/>
  <c r="T7571" i="8"/>
  <c r="B7572" i="8" s="1"/>
  <c r="T7549" i="8"/>
  <c r="B7550" i="8" s="1"/>
  <c r="T7531" i="8"/>
  <c r="B7532" i="8" s="1"/>
  <c r="T7494" i="8"/>
  <c r="B7495" i="8" s="1"/>
  <c r="T7476" i="8"/>
  <c r="B7477" i="8" s="1"/>
  <c r="T7448" i="8"/>
  <c r="B7449" i="8" s="1"/>
  <c r="T7426" i="8"/>
  <c r="B7427" i="8" s="1"/>
  <c r="T7408" i="8"/>
  <c r="B7409" i="8" s="1"/>
  <c r="T7402" i="8"/>
  <c r="B7403" i="8" s="1"/>
  <c r="T7353" i="8"/>
  <c r="B7354" i="8" s="1"/>
  <c r="T7798" i="8"/>
  <c r="B7799" i="8" s="1"/>
  <c r="T7663" i="8"/>
  <c r="B7664" i="8" s="1"/>
  <c r="T7605" i="8"/>
  <c r="B7606" i="8" s="1"/>
  <c r="T7290" i="8"/>
  <c r="B7291" i="8" s="1"/>
  <c r="T7272" i="8"/>
  <c r="B7273" i="8" s="1"/>
  <c r="T7250" i="8"/>
  <c r="B7251" i="8" s="1"/>
  <c r="T7675" i="8"/>
  <c r="B7676" i="8" s="1"/>
  <c r="T7657" i="8"/>
  <c r="B7658" i="8" s="1"/>
  <c r="T7633" i="8"/>
  <c r="B7634" i="8" s="1"/>
  <c r="T7617" i="8"/>
  <c r="B7618" i="8" s="1"/>
  <c r="T7599" i="8"/>
  <c r="B7600" i="8" s="1"/>
  <c r="T7577" i="8"/>
  <c r="B7578" i="8" s="1"/>
  <c r="T7559" i="8"/>
  <c r="B7560" i="8" s="1"/>
  <c r="T7537" i="8"/>
  <c r="B7538" i="8" s="1"/>
  <c r="T7519" i="8"/>
  <c r="B7520" i="8" s="1"/>
  <c r="T7442" i="8"/>
  <c r="B7443" i="8" s="1"/>
  <c r="T7420" i="8"/>
  <c r="B7421" i="8" s="1"/>
  <c r="T7820" i="8"/>
  <c r="B7821" i="8" s="1"/>
  <c r="T7804" i="8"/>
  <c r="B7805" i="8" s="1"/>
  <c r="T7745" i="8"/>
  <c r="B7746" i="8" s="1"/>
  <c r="T7365" i="8"/>
  <c r="B7366" i="8" s="1"/>
  <c r="T7262" i="8"/>
  <c r="B7263" i="8" s="1"/>
  <c r="T7111" i="8"/>
  <c r="B7112" i="8" s="1"/>
  <c r="T7709" i="8"/>
  <c r="B7710" i="8" s="1"/>
  <c r="T7639" i="8"/>
  <c r="B7640" i="8" s="1"/>
  <c r="T7583" i="8"/>
  <c r="B7584" i="8" s="1"/>
  <c r="T7565" i="8"/>
  <c r="B7566" i="8" s="1"/>
  <c r="T7543" i="8"/>
  <c r="B7544" i="8" s="1"/>
  <c r="T7525" i="8"/>
  <c r="B7526" i="8" s="1"/>
  <c r="T7509" i="8"/>
  <c r="B7510" i="8" s="1"/>
  <c r="T7482" i="8"/>
  <c r="B7483" i="8" s="1"/>
  <c r="T7460" i="8"/>
  <c r="B7461" i="8" s="1"/>
  <c r="T7347" i="8"/>
  <c r="B7348" i="8" s="1"/>
  <c r="T7201" i="8"/>
  <c r="B7202" i="8" s="1"/>
  <c r="T7177" i="8"/>
  <c r="B7178" i="8" s="1"/>
  <c r="T7155" i="8"/>
  <c r="B7156" i="8" s="1"/>
  <c r="T7117" i="8"/>
  <c r="B7118" i="8" s="1"/>
  <c r="T7093" i="8"/>
  <c r="B7094" i="8" s="1"/>
  <c r="T7470" i="8"/>
  <c r="B7471" i="8" s="1"/>
  <c r="T7454" i="8"/>
  <c r="B7455" i="8" s="1"/>
  <c r="T7436" i="8"/>
  <c r="B7437" i="8" s="1"/>
  <c r="T7414" i="8"/>
  <c r="B7415" i="8" s="1"/>
  <c r="T7278" i="8"/>
  <c r="B7279" i="8" s="1"/>
  <c r="T7083" i="8"/>
  <c r="B7084" i="8" s="1"/>
  <c r="T7019" i="8"/>
  <c r="B7020" i="8" s="1"/>
  <c r="T6997" i="8"/>
  <c r="B6998" i="8" s="1"/>
  <c r="T6979" i="8"/>
  <c r="B6980" i="8" s="1"/>
  <c r="T6957" i="8"/>
  <c r="B6958" i="8" s="1"/>
  <c r="T6951" i="8"/>
  <c r="B6952" i="8" s="1"/>
  <c r="T6920" i="8"/>
  <c r="B6921" i="8" s="1"/>
  <c r="T6902" i="8"/>
  <c r="B6903" i="8" s="1"/>
  <c r="T6880" i="8"/>
  <c r="B6881" i="8" s="1"/>
  <c r="T6856" i="8"/>
  <c r="B6857" i="8" s="1"/>
  <c r="T6838" i="8"/>
  <c r="B6839" i="8" s="1"/>
  <c r="T7786" i="8"/>
  <c r="B7787" i="8" s="1"/>
  <c r="T7371" i="8"/>
  <c r="B7372" i="8" s="1"/>
  <c r="T7359" i="8"/>
  <c r="B7360" i="8" s="1"/>
  <c r="T7331" i="8"/>
  <c r="B7332" i="8" s="1"/>
  <c r="T7315" i="8"/>
  <c r="B7316" i="8" s="1"/>
  <c r="T7099" i="8"/>
  <c r="B7100" i="8" s="1"/>
  <c r="T7031" i="8"/>
  <c r="B7032" i="8" s="1"/>
  <c r="T7013" i="8"/>
  <c r="B7014" i="8" s="1"/>
  <c r="T6991" i="8"/>
  <c r="B6992" i="8" s="1"/>
  <c r="T6969" i="8"/>
  <c r="B6970" i="8" s="1"/>
  <c r="T6945" i="8"/>
  <c r="B6946" i="8" s="1"/>
  <c r="T6914" i="8"/>
  <c r="B6915" i="8" s="1"/>
  <c r="T6896" i="8"/>
  <c r="B6897" i="8" s="1"/>
  <c r="T6874" i="8"/>
  <c r="B6875" i="8" s="1"/>
  <c r="T6850" i="8"/>
  <c r="B6851" i="8" s="1"/>
  <c r="T6832" i="8"/>
  <c r="B6833" i="8" s="1"/>
  <c r="T7611" i="8"/>
  <c r="B7612" i="8" s="1"/>
  <c r="T7325" i="8"/>
  <c r="B7326" i="8" s="1"/>
  <c r="T7025" i="8"/>
  <c r="B7026" i="8" s="1"/>
  <c r="T7007" i="8"/>
  <c r="B7008" i="8" s="1"/>
  <c r="T6985" i="8"/>
  <c r="B6986" i="8" s="1"/>
  <c r="T6963" i="8"/>
  <c r="B6964" i="8" s="1"/>
  <c r="T6801" i="8"/>
  <c r="B6802" i="8" s="1"/>
  <c r="T6783" i="8"/>
  <c r="B6784" i="8" s="1"/>
  <c r="T6757" i="8"/>
  <c r="B6758" i="8" s="1"/>
  <c r="T6735" i="8"/>
  <c r="B6736" i="8" s="1"/>
  <c r="T6708" i="8"/>
  <c r="B6709" i="8" s="1"/>
  <c r="T6674" i="8"/>
  <c r="B6675" i="8" s="1"/>
  <c r="T5907" i="8"/>
  <c r="B5908" i="8" s="1"/>
  <c r="T5863" i="8"/>
  <c r="B5864" i="8" s="1"/>
  <c r="T5850" i="8"/>
  <c r="B5851" i="8" s="1"/>
  <c r="T5815" i="8"/>
  <c r="B5816" i="8" s="1"/>
  <c r="T5780" i="8"/>
  <c r="B5781" i="8" s="1"/>
  <c r="T7651" i="8"/>
  <c r="B7652" i="8" s="1"/>
  <c r="T7189" i="8"/>
  <c r="B7190" i="8" s="1"/>
  <c r="T7105" i="8"/>
  <c r="B7106" i="8" s="1"/>
  <c r="T6935" i="8"/>
  <c r="B6936" i="8" s="1"/>
  <c r="T6908" i="8"/>
  <c r="B6909" i="8" s="1"/>
  <c r="T6862" i="8"/>
  <c r="B6863" i="8" s="1"/>
  <c r="T6600" i="8"/>
  <c r="B6601" i="8" s="1"/>
  <c r="T6569" i="8"/>
  <c r="B6570" i="8" s="1"/>
  <c r="T6534" i="8"/>
  <c r="B6535" i="8" s="1"/>
  <c r="T6506" i="8"/>
  <c r="B6507" i="8" s="1"/>
  <c r="T6473" i="8"/>
  <c r="B6474" i="8" s="1"/>
  <c r="T6442" i="8"/>
  <c r="B6443" i="8" s="1"/>
  <c r="T6394" i="8"/>
  <c r="B6395" i="8" s="1"/>
  <c r="T6369" i="8"/>
  <c r="B6370" i="8" s="1"/>
  <c r="T6360" i="8"/>
  <c r="B6361" i="8" s="1"/>
  <c r="T6325" i="8"/>
  <c r="B6326" i="8" s="1"/>
  <c r="T6290" i="8"/>
  <c r="B6291" i="8" s="1"/>
  <c r="T6247" i="8"/>
  <c r="B6248" i="8" s="1"/>
  <c r="T6207" i="8"/>
  <c r="B6208" i="8" s="1"/>
  <c r="T6180" i="8"/>
  <c r="B6181" i="8" s="1"/>
  <c r="T6139" i="8"/>
  <c r="B6140" i="8" s="1"/>
  <c r="T6106" i="8"/>
  <c r="B6107" i="8" s="1"/>
  <c r="T6060" i="8"/>
  <c r="B6061" i="8" s="1"/>
  <c r="T6004" i="8"/>
  <c r="B6005" i="8" s="1"/>
  <c r="T5973" i="8"/>
  <c r="B5974" i="8" s="1"/>
  <c r="T5933" i="8"/>
  <c r="B5934" i="8" s="1"/>
  <c r="T7669" i="8"/>
  <c r="B7670" i="8" s="1"/>
  <c r="T7488" i="8"/>
  <c r="B7489" i="8" s="1"/>
  <c r="T7305" i="8"/>
  <c r="B7306" i="8" s="1"/>
  <c r="T7244" i="8"/>
  <c r="B7245" i="8" s="1"/>
  <c r="T6890" i="8"/>
  <c r="B6891" i="8" s="1"/>
  <c r="T6868" i="8"/>
  <c r="B6869" i="8" s="1"/>
  <c r="T6844" i="8"/>
  <c r="B6845" i="8" s="1"/>
  <c r="T6822" i="8"/>
  <c r="B6823" i="8" s="1"/>
  <c r="T6795" i="8"/>
  <c r="B6796" i="8" s="1"/>
  <c r="T6777" i="8"/>
  <c r="B6778" i="8" s="1"/>
  <c r="T6751" i="8"/>
  <c r="B6752" i="8" s="1"/>
  <c r="T6720" i="8"/>
  <c r="B6721" i="8" s="1"/>
  <c r="T6686" i="8"/>
  <c r="B6687" i="8" s="1"/>
  <c r="T6664" i="8"/>
  <c r="B6665" i="8" s="1"/>
  <c r="T6624" i="8"/>
  <c r="B6625" i="8" s="1"/>
  <c r="T6615" i="8"/>
  <c r="T5890" i="8"/>
  <c r="B5891" i="8" s="1"/>
  <c r="T5837" i="8"/>
  <c r="B5838" i="8" s="1"/>
  <c r="T5806" i="8"/>
  <c r="B5807" i="8" s="1"/>
  <c r="T5771" i="8"/>
  <c r="B5772" i="8" s="1"/>
  <c r="T5740" i="8"/>
  <c r="B5741" i="8" s="1"/>
  <c r="T5709" i="8"/>
  <c r="B5710" i="8" s="1"/>
  <c r="T5620" i="8"/>
  <c r="B5621" i="8" s="1"/>
  <c r="T5554" i="8"/>
  <c r="B5555" i="8" s="1"/>
  <c r="T6789" i="8"/>
  <c r="B6790" i="8" s="1"/>
  <c r="T6745" i="8"/>
  <c r="B6746" i="8" s="1"/>
  <c r="T6495" i="8"/>
  <c r="B6496" i="8" s="1"/>
  <c r="T6038" i="8"/>
  <c r="B6039" i="8" s="1"/>
  <c r="T6013" i="8"/>
  <c r="B6014" i="8" s="1"/>
  <c r="T5991" i="8"/>
  <c r="B5992" i="8" s="1"/>
  <c r="T5951" i="8"/>
  <c r="B5952" i="8" s="1"/>
  <c r="T5749" i="8"/>
  <c r="B5750" i="8" s="1"/>
  <c r="T5565" i="8"/>
  <c r="B5566" i="8" s="1"/>
  <c r="T5512" i="8"/>
  <c r="B5513" i="8" s="1"/>
  <c r="T7238" i="8"/>
  <c r="B7239" i="8" s="1"/>
  <c r="T7228" i="8"/>
  <c r="B7229" i="8" s="1"/>
  <c r="T7195" i="8"/>
  <c r="B7196" i="8" s="1"/>
  <c r="T6680" i="8"/>
  <c r="B6681" i="8" s="1"/>
  <c r="T6513" i="8"/>
  <c r="B6514" i="8" s="1"/>
  <c r="T6351" i="8"/>
  <c r="B6352" i="8" s="1"/>
  <c r="T6299" i="8"/>
  <c r="B6300" i="8" s="1"/>
  <c r="T6281" i="8"/>
  <c r="B6282" i="8" s="1"/>
  <c r="T6220" i="8"/>
  <c r="B6221" i="8" s="1"/>
  <c r="T6200" i="8"/>
  <c r="B6201" i="8" s="1"/>
  <c r="T6148" i="8"/>
  <c r="B6149" i="8" s="1"/>
  <c r="T6088" i="8"/>
  <c r="B6089" i="8" s="1"/>
  <c r="T5942" i="8"/>
  <c r="B5943" i="8" s="1"/>
  <c r="T5696" i="8"/>
  <c r="B5697" i="8" s="1"/>
  <c r="T5629" i="8"/>
  <c r="B5630" i="8" s="1"/>
  <c r="T5505" i="8"/>
  <c r="B5506" i="8" s="1"/>
  <c r="T5431" i="8"/>
  <c r="B5432" i="8" s="1"/>
  <c r="T5420" i="8"/>
  <c r="B5421" i="8" s="1"/>
  <c r="T5399" i="8"/>
  <c r="B5400" i="8" s="1"/>
  <c r="T5346" i="8"/>
  <c r="B5347" i="8" s="1"/>
  <c r="T5325" i="8"/>
  <c r="B5326" i="8" s="1"/>
  <c r="T5311" i="8"/>
  <c r="B5312" i="8" s="1"/>
  <c r="T5290" i="8"/>
  <c r="B5291" i="8" s="1"/>
  <c r="T5269" i="8"/>
  <c r="B5270" i="8" s="1"/>
  <c r="T5244" i="8"/>
  <c r="B5245" i="8" s="1"/>
  <c r="T5195" i="8"/>
  <c r="B5196" i="8" s="1"/>
  <c r="T5114" i="8"/>
  <c r="B5115" i="8" s="1"/>
  <c r="T5078" i="8"/>
  <c r="B5079" i="8" s="1"/>
  <c r="T7392" i="8"/>
  <c r="B7393" i="8" s="1"/>
  <c r="T7167" i="8"/>
  <c r="B7168" i="8" s="1"/>
  <c r="T7161" i="8"/>
  <c r="B7162" i="8" s="1"/>
  <c r="T6692" i="8"/>
  <c r="B6693" i="8" s="1"/>
  <c r="T6616" i="8"/>
  <c r="B6617" i="8" s="1"/>
  <c r="T6610" i="8"/>
  <c r="B6611" i="8" s="1"/>
  <c r="T6591" i="8"/>
  <c r="B6592" i="8" s="1"/>
  <c r="T6547" i="8"/>
  <c r="B6548" i="8" s="1"/>
  <c r="T6527" i="8"/>
  <c r="B6528" i="8" s="1"/>
  <c r="T6460" i="8"/>
  <c r="B6461" i="8" s="1"/>
  <c r="T6424" i="8"/>
  <c r="B6425" i="8" s="1"/>
  <c r="T6401" i="8"/>
  <c r="B6402" i="8" s="1"/>
  <c r="T6387" i="8"/>
  <c r="B6388" i="8" s="1"/>
  <c r="T6246" i="8"/>
  <c r="T5920" i="8"/>
  <c r="B5921" i="8" s="1"/>
  <c r="T5687" i="8"/>
  <c r="B5688" i="8" s="1"/>
  <c r="T5638" i="8"/>
  <c r="B5639" i="8" s="1"/>
  <c r="T5540" i="8"/>
  <c r="B5541" i="8" s="1"/>
  <c r="T5494" i="8"/>
  <c r="B5495" i="8" s="1"/>
  <c r="T5459" i="8"/>
  <c r="B5460" i="8" s="1"/>
  <c r="T5378" i="8"/>
  <c r="B5379" i="8" s="1"/>
  <c r="T5102" i="8"/>
  <c r="B5103" i="8" s="1"/>
  <c r="T5096" i="8"/>
  <c r="B5097" i="8" s="1"/>
  <c r="T4982" i="8"/>
  <c r="B4983" i="8" s="1"/>
  <c r="T4934" i="8"/>
  <c r="B4935" i="8" s="1"/>
  <c r="T4889" i="8"/>
  <c r="B4890" i="8" s="1"/>
  <c r="T4855" i="8"/>
  <c r="B4856" i="8" s="1"/>
  <c r="T4849" i="8"/>
  <c r="B4850" i="8" s="1"/>
  <c r="T4680" i="8"/>
  <c r="B4681" i="8" s="1"/>
  <c r="T6609" i="8"/>
  <c r="T6520" i="8"/>
  <c r="B6521" i="8" s="1"/>
  <c r="T6312" i="8"/>
  <c r="B6313" i="8" s="1"/>
  <c r="T6163" i="8"/>
  <c r="B6164" i="8" s="1"/>
  <c r="T6049" i="8"/>
  <c r="B6050" i="8" s="1"/>
  <c r="T5828" i="8"/>
  <c r="B5829" i="8" s="1"/>
  <c r="T5762" i="8"/>
  <c r="B5763" i="8" s="1"/>
  <c r="T5718" i="8"/>
  <c r="B5719" i="8" s="1"/>
  <c r="T5526" i="8"/>
  <c r="B5527" i="8" s="1"/>
  <c r="T5519" i="8"/>
  <c r="B5520" i="8" s="1"/>
  <c r="T5466" i="8"/>
  <c r="B5467" i="8" s="1"/>
  <c r="T5445" i="8"/>
  <c r="B5446" i="8" s="1"/>
  <c r="T5413" i="8"/>
  <c r="B5414" i="8" s="1"/>
  <c r="T5392" i="8"/>
  <c r="B5393" i="8" s="1"/>
  <c r="T5367" i="8"/>
  <c r="B5368" i="8" s="1"/>
  <c r="T5353" i="8"/>
  <c r="B5354" i="8" s="1"/>
  <c r="T5332" i="8"/>
  <c r="B5333" i="8" s="1"/>
  <c r="T5134" i="8"/>
  <c r="B5135" i="8" s="1"/>
  <c r="T5108" i="8"/>
  <c r="B5109" i="8" s="1"/>
  <c r="T5090" i="8"/>
  <c r="B5091" i="8" s="1"/>
  <c r="T7284" i="8"/>
  <c r="B7285" i="8" s="1"/>
  <c r="T7703" i="8"/>
  <c r="B7704" i="8" s="1"/>
  <c r="T7063" i="8"/>
  <c r="B7064" i="8" s="1"/>
  <c r="T6578" i="8"/>
  <c r="B6579" i="8" s="1"/>
  <c r="T6556" i="8"/>
  <c r="B6557" i="8" s="1"/>
  <c r="T6380" i="8"/>
  <c r="B6381" i="8" s="1"/>
  <c r="T6233" i="8"/>
  <c r="B6234" i="8" s="1"/>
  <c r="T6097" i="8"/>
  <c r="B6098" i="8" s="1"/>
  <c r="T7256" i="8"/>
  <c r="B7257" i="8" s="1"/>
  <c r="T6342" i="8"/>
  <c r="B6343" i="8" s="1"/>
  <c r="T6121" i="8"/>
  <c r="B6122" i="8" s="1"/>
  <c r="T5611" i="8"/>
  <c r="B5612" i="8" s="1"/>
  <c r="T5480" i="8"/>
  <c r="B5481" i="8" s="1"/>
  <c r="T5473" i="8"/>
  <c r="B5474" i="8" s="1"/>
  <c r="T5385" i="8"/>
  <c r="B5386" i="8" s="1"/>
  <c r="T5339" i="8"/>
  <c r="B5340" i="8" s="1"/>
  <c r="T5223" i="8"/>
  <c r="B5224" i="8" s="1"/>
  <c r="T5216" i="8"/>
  <c r="B5217" i="8" s="1"/>
  <c r="T5181" i="8"/>
  <c r="B5182" i="8" s="1"/>
  <c r="T5150" i="8"/>
  <c r="B5151" i="8" s="1"/>
  <c r="T5050" i="8"/>
  <c r="B5051" i="8" s="1"/>
  <c r="T5038" i="8"/>
  <c r="B5039" i="8" s="1"/>
  <c r="T4944" i="8"/>
  <c r="B4945" i="8" s="1"/>
  <c r="T4814" i="8"/>
  <c r="B4815" i="8" s="1"/>
  <c r="T4763" i="8"/>
  <c r="B4764" i="8" s="1"/>
  <c r="T4655" i="8"/>
  <c r="B4656" i="8" s="1"/>
  <c r="T4613" i="8"/>
  <c r="B4614" i="8" s="1"/>
  <c r="T4476" i="8"/>
  <c r="T4306" i="8"/>
  <c r="B4307" i="8" s="1"/>
  <c r="T4118" i="8"/>
  <c r="B4119" i="8" s="1"/>
  <c r="T5964" i="8"/>
  <c r="B5965" i="8" s="1"/>
  <c r="T5678" i="8"/>
  <c r="B5679" i="8" s="1"/>
  <c r="T5452" i="8"/>
  <c r="B5453" i="8" s="1"/>
  <c r="T5360" i="8"/>
  <c r="B5361" i="8" s="1"/>
  <c r="T5202" i="8"/>
  <c r="B5203" i="8" s="1"/>
  <c r="T5062" i="8"/>
  <c r="B5063" i="8" s="1"/>
  <c r="T5032" i="8"/>
  <c r="B5033" i="8" s="1"/>
  <c r="T4990" i="8"/>
  <c r="B4991" i="8" s="1"/>
  <c r="T4972" i="8"/>
  <c r="B4973" i="8" s="1"/>
  <c r="T4897" i="8"/>
  <c r="B4898" i="8" s="1"/>
  <c r="T4862" i="8"/>
  <c r="B4863" i="8" s="1"/>
  <c r="T4755" i="8"/>
  <c r="B4756" i="8" s="1"/>
  <c r="T4729" i="8"/>
  <c r="B4730" i="8" s="1"/>
  <c r="T4648" i="8"/>
  <c r="B4649" i="8" s="1"/>
  <c r="T4606" i="8"/>
  <c r="B4607" i="8" s="1"/>
  <c r="T4585" i="8"/>
  <c r="B4586" i="8" s="1"/>
  <c r="T6486" i="8"/>
  <c r="B6487" i="8" s="1"/>
  <c r="T6268" i="8"/>
  <c r="B6269" i="8" s="1"/>
  <c r="T5876" i="8"/>
  <c r="B5877" i="8" s="1"/>
  <c r="T5656" i="8"/>
  <c r="B5657" i="8" s="1"/>
  <c r="T5547" i="8"/>
  <c r="B5548" i="8" s="1"/>
  <c r="T5406" i="8"/>
  <c r="B5407" i="8" s="1"/>
  <c r="T5297" i="8"/>
  <c r="B5298" i="8" s="1"/>
  <c r="T5283" i="8"/>
  <c r="B5284" i="8" s="1"/>
  <c r="T5251" i="8"/>
  <c r="B5252" i="8" s="1"/>
  <c r="T5237" i="8"/>
  <c r="B5238" i="8" s="1"/>
  <c r="T5026" i="8"/>
  <c r="B5027" i="8" s="1"/>
  <c r="T4943" i="8"/>
  <c r="T4906" i="8"/>
  <c r="B4907" i="8" s="1"/>
  <c r="T4854" i="8"/>
  <c r="T4835" i="8"/>
  <c r="B4836" i="8" s="1"/>
  <c r="T4821" i="8"/>
  <c r="B4822" i="8" s="1"/>
  <c r="T4800" i="8"/>
  <c r="B4801" i="8" s="1"/>
  <c r="T4793" i="8"/>
  <c r="B4794" i="8" s="1"/>
  <c r="T4718" i="8"/>
  <c r="B4719" i="8" s="1"/>
  <c r="T4641" i="8"/>
  <c r="B4642" i="8" s="1"/>
  <c r="T4562" i="8"/>
  <c r="B4563" i="8" s="1"/>
  <c r="T4477" i="8"/>
  <c r="B4478" i="8" s="1"/>
  <c r="T4264" i="8"/>
  <c r="B4265" i="8" s="1"/>
  <c r="T5304" i="8"/>
  <c r="B5305" i="8" s="1"/>
  <c r="T5072" i="8"/>
  <c r="B5073" i="8" s="1"/>
  <c r="T4503" i="8"/>
  <c r="B4504" i="8" s="1"/>
  <c r="T4495" i="8"/>
  <c r="B4496" i="8" s="1"/>
  <c r="T4484" i="8"/>
  <c r="B4485" i="8" s="1"/>
  <c r="T4325" i="8"/>
  <c r="T4199" i="8"/>
  <c r="B4200" i="8" s="1"/>
  <c r="T4190" i="8"/>
  <c r="B4191" i="8" s="1"/>
  <c r="T4179" i="8"/>
  <c r="B4180" i="8" s="1"/>
  <c r="T4172" i="8"/>
  <c r="B4173" i="8" s="1"/>
  <c r="T4111" i="8"/>
  <c r="B4112" i="8" s="1"/>
  <c r="T4103" i="8"/>
  <c r="B4104" i="8" s="1"/>
  <c r="T4095" i="8"/>
  <c r="B4096" i="8" s="1"/>
  <c r="T4079" i="8"/>
  <c r="B4080" i="8" s="1"/>
  <c r="T4069" i="8"/>
  <c r="B4070" i="8" s="1"/>
  <c r="T4062" i="8"/>
  <c r="B4063" i="8" s="1"/>
  <c r="T4055" i="8"/>
  <c r="B4056" i="8" s="1"/>
  <c r="T3920" i="8"/>
  <c r="B3921" i="8" s="1"/>
  <c r="T3864" i="8"/>
  <c r="B3865" i="8" s="1"/>
  <c r="T3786" i="8"/>
  <c r="B3787" i="8" s="1"/>
  <c r="T3749" i="8"/>
  <c r="B3750" i="8" s="1"/>
  <c r="T3679" i="8"/>
  <c r="B3680" i="8" s="1"/>
  <c r="T7207" i="8"/>
  <c r="B7208" i="8" s="1"/>
  <c r="T6702" i="8"/>
  <c r="B6703" i="8" s="1"/>
  <c r="T6433" i="8"/>
  <c r="B6434" i="8" s="1"/>
  <c r="T5533" i="8"/>
  <c r="B5534" i="8" s="1"/>
  <c r="T5487" i="8"/>
  <c r="B5488" i="8" s="1"/>
  <c r="T5318" i="8"/>
  <c r="B5319" i="8" s="1"/>
  <c r="T5188" i="8"/>
  <c r="B5189" i="8" s="1"/>
  <c r="T5124" i="8"/>
  <c r="B5125" i="8" s="1"/>
  <c r="T5084" i="8"/>
  <c r="B5085" i="8" s="1"/>
  <c r="T4914" i="8"/>
  <c r="B4915" i="8" s="1"/>
  <c r="T4786" i="8"/>
  <c r="B4787" i="8" s="1"/>
  <c r="T4668" i="8"/>
  <c r="B4669" i="8" s="1"/>
  <c r="T4661" i="8"/>
  <c r="B4662" i="8" s="1"/>
  <c r="T4634" i="8"/>
  <c r="B4635" i="8" s="1"/>
  <c r="T4592" i="8"/>
  <c r="B4593" i="8" s="1"/>
  <c r="T4578" i="8"/>
  <c r="B4579" i="8" s="1"/>
  <c r="T4028" i="8"/>
  <c r="B4029" i="8" s="1"/>
  <c r="T4019" i="8"/>
  <c r="B4020" i="8" s="1"/>
  <c r="T4010" i="8"/>
  <c r="B4011" i="8" s="1"/>
  <c r="T4001" i="8"/>
  <c r="B4002" i="8" s="1"/>
  <c r="T3992" i="8"/>
  <c r="B3993" i="8" s="1"/>
  <c r="T3983" i="8"/>
  <c r="B3984" i="8" s="1"/>
  <c r="T3974" i="8"/>
  <c r="B3975" i="8" s="1"/>
  <c r="T3966" i="8"/>
  <c r="B3967" i="8" s="1"/>
  <c r="T3957" i="8"/>
  <c r="B3958" i="8" s="1"/>
  <c r="T3950" i="8"/>
  <c r="B3951" i="8" s="1"/>
  <c r="T3942" i="8"/>
  <c r="B3943" i="8" s="1"/>
  <c r="T3909" i="8"/>
  <c r="B3910" i="8" s="1"/>
  <c r="T3856" i="8"/>
  <c r="B3857" i="8" s="1"/>
  <c r="T3686" i="8"/>
  <c r="B3687" i="8" s="1"/>
  <c r="T3498" i="8"/>
  <c r="B3499" i="8" s="1"/>
  <c r="T3474" i="8"/>
  <c r="B3475" i="8" s="1"/>
  <c r="T3438" i="8"/>
  <c r="B3439" i="8" s="1"/>
  <c r="T3413" i="8"/>
  <c r="B3414" i="8" s="1"/>
  <c r="T3410" i="8"/>
  <c r="T3389" i="8"/>
  <c r="B3390" i="8" s="1"/>
  <c r="T3361" i="8"/>
  <c r="B3362" i="8" s="1"/>
  <c r="T3340" i="8"/>
  <c r="B3341" i="8" s="1"/>
  <c r="T3305" i="8"/>
  <c r="B3306" i="8" s="1"/>
  <c r="T3242" i="8"/>
  <c r="B3243" i="8" s="1"/>
  <c r="T3203" i="8"/>
  <c r="B3204" i="8" s="1"/>
  <c r="T3157" i="8"/>
  <c r="B3158" i="8" s="1"/>
  <c r="T3126" i="8"/>
  <c r="B3127" i="8" s="1"/>
  <c r="T3105" i="8"/>
  <c r="B3106" i="8" s="1"/>
  <c r="T3084" i="8"/>
  <c r="B3085" i="8" s="1"/>
  <c r="T3049" i="8"/>
  <c r="B3050" i="8" s="1"/>
  <c r="T2775" i="8"/>
  <c r="B2776" i="8" s="1"/>
  <c r="T2663" i="8"/>
  <c r="B2664" i="8" s="1"/>
  <c r="T2634" i="8"/>
  <c r="B2635" i="8" s="1"/>
  <c r="T2483" i="8"/>
  <c r="B2484" i="8" s="1"/>
  <c r="T2450" i="8"/>
  <c r="B2451" i="8" s="1"/>
  <c r="T2418" i="8"/>
  <c r="B2419" i="8" s="1"/>
  <c r="T2383" i="8"/>
  <c r="B2384" i="8" s="1"/>
  <c r="T2355" i="8"/>
  <c r="B2356" i="8" s="1"/>
  <c r="T7337" i="8"/>
  <c r="B7338" i="8" s="1"/>
  <c r="T6714" i="8"/>
  <c r="B6715" i="8" s="1"/>
  <c r="T6451" i="8"/>
  <c r="B6452" i="8" s="1"/>
  <c r="T5982" i="8"/>
  <c r="B5983" i="8" s="1"/>
  <c r="T5727" i="8"/>
  <c r="B5728" i="8" s="1"/>
  <c r="T5438" i="8"/>
  <c r="B5439" i="8" s="1"/>
  <c r="T5140" i="8"/>
  <c r="B5141" i="8" s="1"/>
  <c r="T5056" i="8"/>
  <c r="B5057" i="8" s="1"/>
  <c r="T4807" i="8"/>
  <c r="B4808" i="8" s="1"/>
  <c r="T4695" i="8"/>
  <c r="B4696" i="8" s="1"/>
  <c r="T4471" i="8"/>
  <c r="B4472" i="8" s="1"/>
  <c r="T4464" i="8"/>
  <c r="B4465" i="8" s="1"/>
  <c r="T4450" i="8"/>
  <c r="B4451" i="8" s="1"/>
  <c r="T4436" i="8"/>
  <c r="B4437" i="8" s="1"/>
  <c r="T4429" i="8"/>
  <c r="B4430" i="8" s="1"/>
  <c r="T4422" i="8"/>
  <c r="B4423" i="8" s="1"/>
  <c r="T4415" i="8"/>
  <c r="B4416" i="8" s="1"/>
  <c r="T4408" i="8"/>
  <c r="B4409" i="8" s="1"/>
  <c r="T4400" i="8"/>
  <c r="B4401" i="8" s="1"/>
  <c r="T4392" i="8"/>
  <c r="B4393" i="8" s="1"/>
  <c r="T4384" i="8"/>
  <c r="B4385" i="8" s="1"/>
  <c r="T4376" i="8"/>
  <c r="B4377" i="8" s="1"/>
  <c r="T4345" i="8"/>
  <c r="B4346" i="8" s="1"/>
  <c r="T4333" i="8"/>
  <c r="B4334" i="8" s="1"/>
  <c r="T4326" i="8"/>
  <c r="B4327" i="8" s="1"/>
  <c r="T4320" i="8"/>
  <c r="B4321" i="8" s="1"/>
  <c r="T4313" i="8"/>
  <c r="B4314" i="8" s="1"/>
  <c r="T4233" i="8"/>
  <c r="B4234" i="8" s="1"/>
  <c r="T4225" i="8"/>
  <c r="B4226" i="8" s="1"/>
  <c r="T4130" i="8"/>
  <c r="T3902" i="8"/>
  <c r="B3903" i="8" s="1"/>
  <c r="T3817" i="8"/>
  <c r="B3818" i="8" s="1"/>
  <c r="T3798" i="8"/>
  <c r="T3779" i="8"/>
  <c r="B3780" i="8" s="1"/>
  <c r="T3765" i="8"/>
  <c r="B3766" i="8" s="1"/>
  <c r="T3700" i="8"/>
  <c r="B3701" i="8" s="1"/>
  <c r="T3672" i="8"/>
  <c r="B3673" i="8" s="1"/>
  <c r="T3658" i="8"/>
  <c r="B3659" i="8" s="1"/>
  <c r="T3635" i="8"/>
  <c r="B3636" i="8" s="1"/>
  <c r="T3613" i="8"/>
  <c r="B3614" i="8" s="1"/>
  <c r="T3577" i="8"/>
  <c r="T3574" i="8"/>
  <c r="T3568" i="8"/>
  <c r="B3569" i="8" s="1"/>
  <c r="T3547" i="8"/>
  <c r="B3548" i="8" s="1"/>
  <c r="T3526" i="8"/>
  <c r="B3527" i="8" s="1"/>
  <c r="T3505" i="8"/>
  <c r="B3506" i="8" s="1"/>
  <c r="T3164" i="8"/>
  <c r="B3165" i="8" s="1"/>
  <c r="T3007" i="8"/>
  <c r="B3008" i="8" s="1"/>
  <c r="T2985" i="8"/>
  <c r="B2986" i="8" s="1"/>
  <c r="T2964" i="8"/>
  <c r="B2965" i="8" s="1"/>
  <c r="T2915" i="8"/>
  <c r="B2916" i="8" s="1"/>
  <c r="T2890" i="8"/>
  <c r="B2891" i="8" s="1"/>
  <c r="T2869" i="8"/>
  <c r="B2870" i="8" s="1"/>
  <c r="T2848" i="8"/>
  <c r="B2849" i="8" s="1"/>
  <c r="T2815" i="8"/>
  <c r="B2816" i="8" s="1"/>
  <c r="T2782" i="8"/>
  <c r="B2783" i="8" s="1"/>
  <c r="T2754" i="8"/>
  <c r="B2755" i="8" s="1"/>
  <c r="T2708" i="8"/>
  <c r="B2709" i="8" s="1"/>
  <c r="T2682" i="8"/>
  <c r="B2683" i="8" s="1"/>
  <c r="T2627" i="8"/>
  <c r="B2628" i="8" s="1"/>
  <c r="T2602" i="8"/>
  <c r="B2603" i="8" s="1"/>
  <c r="T2565" i="8"/>
  <c r="B2566" i="8" s="1"/>
  <c r="T2536" i="8"/>
  <c r="B2537" i="8" s="1"/>
  <c r="T2504" i="8"/>
  <c r="B2505" i="8" s="1"/>
  <c r="T2397" i="8"/>
  <c r="B2398" i="8" s="1"/>
  <c r="T2341" i="8"/>
  <c r="B2342" i="8" s="1"/>
  <c r="T2320" i="8"/>
  <c r="B2321" i="8" s="1"/>
  <c r="T2299" i="8"/>
  <c r="B2300" i="8" s="1"/>
  <c r="T2266" i="8"/>
  <c r="B2267" i="8" s="1"/>
  <c r="T2259" i="8"/>
  <c r="B2260" i="8" s="1"/>
  <c r="T2238" i="8"/>
  <c r="B2239" i="8" s="1"/>
  <c r="T2224" i="8"/>
  <c r="B2225" i="8" s="1"/>
  <c r="T2203" i="8"/>
  <c r="B2204" i="8" s="1"/>
  <c r="T6189" i="8"/>
  <c r="B6190" i="8" s="1"/>
  <c r="T5209" i="8"/>
  <c r="B5210" i="8" s="1"/>
  <c r="T3887" i="8"/>
  <c r="B3888" i="8" s="1"/>
  <c r="T3879" i="8"/>
  <c r="B3880" i="8" s="1"/>
  <c r="T3705" i="8"/>
  <c r="T3585" i="8"/>
  <c r="B3586" i="8" s="1"/>
  <c r="T3575" i="8"/>
  <c r="T3403" i="8"/>
  <c r="B3404" i="8" s="1"/>
  <c r="T3253" i="8"/>
  <c r="B3254" i="8" s="1"/>
  <c r="T3211" i="8"/>
  <c r="B3212" i="8" s="1"/>
  <c r="T3169" i="8"/>
  <c r="T3028" i="8"/>
  <c r="B3029" i="8" s="1"/>
  <c r="T2726" i="8"/>
  <c r="B2727" i="8" s="1"/>
  <c r="T2697" i="8"/>
  <c r="B2698" i="8" s="1"/>
  <c r="T2472" i="8"/>
  <c r="B2473" i="8" s="1"/>
  <c r="T2440" i="8"/>
  <c r="B2441" i="8" s="1"/>
  <c r="T2334" i="8"/>
  <c r="B2335" i="8" s="1"/>
  <c r="T2313" i="8"/>
  <c r="B2314" i="8" s="1"/>
  <c r="T2284" i="8"/>
  <c r="B2285" i="8" s="1"/>
  <c r="T2245" i="8"/>
  <c r="B2246" i="8" s="1"/>
  <c r="T2180" i="8"/>
  <c r="B2181" i="8" s="1"/>
  <c r="T2148" i="8"/>
  <c r="B2149" i="8" s="1"/>
  <c r="T2094" i="8"/>
  <c r="B2095" i="8" s="1"/>
  <c r="T2052" i="8"/>
  <c r="B2053" i="8" s="1"/>
  <c r="T1988" i="8"/>
  <c r="B1989" i="8" s="1"/>
  <c r="T1970" i="8"/>
  <c r="B1971" i="8" s="1"/>
  <c r="T1956" i="8"/>
  <c r="B1957" i="8" s="1"/>
  <c r="T1899" i="8"/>
  <c r="B1900" i="8" s="1"/>
  <c r="T1863" i="8"/>
  <c r="B1864" i="8" s="1"/>
  <c r="T1842" i="8"/>
  <c r="B1843" i="8" s="1"/>
  <c r="T1805" i="8"/>
  <c r="B1806" i="8" s="1"/>
  <c r="T1665" i="8"/>
  <c r="B1666" i="8" s="1"/>
  <c r="T1632" i="8"/>
  <c r="B1633" i="8" s="1"/>
  <c r="T1545" i="8"/>
  <c r="B1546" i="8" s="1"/>
  <c r="T1512" i="8"/>
  <c r="B1513" i="8" s="1"/>
  <c r="T1491" i="8"/>
  <c r="B1492" i="8" s="1"/>
  <c r="T1442" i="8"/>
  <c r="B1443" i="8" s="1"/>
  <c r="T1424" i="8"/>
  <c r="B1425" i="8" s="1"/>
  <c r="T1389" i="8"/>
  <c r="B1390" i="8" s="1"/>
  <c r="T1162" i="8"/>
  <c r="B1163" i="8" s="1"/>
  <c r="T983" i="8"/>
  <c r="B984" i="8" s="1"/>
  <c r="T969" i="8"/>
  <c r="B970" i="8" s="1"/>
  <c r="T916" i="8"/>
  <c r="B917" i="8" s="1"/>
  <c r="T893" i="8"/>
  <c r="B894" i="8" s="1"/>
  <c r="T851" i="8"/>
  <c r="B852" i="8" s="1"/>
  <c r="T816" i="8"/>
  <c r="B817" i="8" s="1"/>
  <c r="T753" i="8"/>
  <c r="B754" i="8" s="1"/>
  <c r="T732" i="8"/>
  <c r="B733" i="8" s="1"/>
  <c r="T5797" i="8"/>
  <c r="B5798" i="8" s="1"/>
  <c r="T4779" i="8"/>
  <c r="B4780" i="8" s="1"/>
  <c r="T4703" i="8"/>
  <c r="B4704" i="8" s="1"/>
  <c r="T4660" i="8"/>
  <c r="T4627" i="8"/>
  <c r="T4570" i="8"/>
  <c r="B4571" i="8" s="1"/>
  <c r="T4125" i="8"/>
  <c r="B4126" i="8" s="1"/>
  <c r="T4037" i="8"/>
  <c r="B4038" i="8" s="1"/>
  <c r="T3806" i="8"/>
  <c r="B3807" i="8" s="1"/>
  <c r="T3757" i="8"/>
  <c r="B3758" i="8" s="1"/>
  <c r="T3651" i="8"/>
  <c r="B3652" i="8" s="1"/>
  <c r="T3578" i="8"/>
  <c r="B3579" i="8" s="1"/>
  <c r="T3554" i="8"/>
  <c r="B3555" i="8" s="1"/>
  <c r="T3533" i="8"/>
  <c r="B3534" i="8" s="1"/>
  <c r="T3512" i="8"/>
  <c r="B3513" i="8" s="1"/>
  <c r="T3312" i="8"/>
  <c r="B3313" i="8" s="1"/>
  <c r="T3298" i="8"/>
  <c r="B3299" i="8" s="1"/>
  <c r="T3291" i="8"/>
  <c r="B3292" i="8" s="1"/>
  <c r="T3150" i="8"/>
  <c r="B3151" i="8" s="1"/>
  <c r="T3132" i="8"/>
  <c r="B3133" i="8" s="1"/>
  <c r="T3112" i="8"/>
  <c r="B3113" i="8" s="1"/>
  <c r="T3091" i="8"/>
  <c r="B3092" i="8" s="1"/>
  <c r="T3042" i="8"/>
  <c r="B3043" i="8" s="1"/>
  <c r="T2908" i="8"/>
  <c r="B2909" i="8" s="1"/>
  <c r="T2883" i="8"/>
  <c r="B2884" i="8" s="1"/>
  <c r="T2862" i="8"/>
  <c r="B2863" i="8" s="1"/>
  <c r="T2833" i="8"/>
  <c r="B2834" i="8" s="1"/>
  <c r="T2808" i="8"/>
  <c r="B2809" i="8" s="1"/>
  <c r="T2616" i="8"/>
  <c r="B2617" i="8" s="1"/>
  <c r="T2587" i="8"/>
  <c r="B2588" i="8" s="1"/>
  <c r="T2550" i="8"/>
  <c r="B2551" i="8" s="1"/>
  <c r="T2525" i="8"/>
  <c r="B2526" i="8" s="1"/>
  <c r="T2511" i="8"/>
  <c r="B2512" i="8" s="1"/>
  <c r="T2390" i="8"/>
  <c r="B2391" i="8" s="1"/>
  <c r="T2369" i="8"/>
  <c r="B2370" i="8" s="1"/>
  <c r="T2141" i="8"/>
  <c r="B2142" i="8" s="1"/>
  <c r="T2087" i="8"/>
  <c r="B2088" i="8" s="1"/>
  <c r="T2045" i="8"/>
  <c r="B2046" i="8" s="1"/>
  <c r="T1977" i="8"/>
  <c r="B1978" i="8" s="1"/>
  <c r="T1949" i="8"/>
  <c r="B1950" i="8" s="1"/>
  <c r="T1770" i="8"/>
  <c r="B1771" i="8" s="1"/>
  <c r="T1763" i="8"/>
  <c r="B1764" i="8" s="1"/>
  <c r="T1749" i="8"/>
  <c r="B1750" i="8" s="1"/>
  <c r="T1728" i="8"/>
  <c r="B1729" i="8" s="1"/>
  <c r="T1700" i="8"/>
  <c r="B1701" i="8" s="1"/>
  <c r="T1672" i="8"/>
  <c r="B1673" i="8" s="1"/>
  <c r="T1410" i="8"/>
  <c r="B1411" i="8" s="1"/>
  <c r="T1403" i="8"/>
  <c r="B1404" i="8" s="1"/>
  <c r="T1349" i="8"/>
  <c r="B1350" i="8" s="1"/>
  <c r="T1335" i="8"/>
  <c r="B1336" i="8" s="1"/>
  <c r="T1321" i="8"/>
  <c r="B1322" i="8" s="1"/>
  <c r="T1288" i="8"/>
  <c r="B1289" i="8" s="1"/>
  <c r="T1274" i="8"/>
  <c r="B1275" i="8" s="1"/>
  <c r="T1253" i="8"/>
  <c r="B1254" i="8" s="1"/>
  <c r="T1246" i="8"/>
  <c r="B1247" i="8" s="1"/>
  <c r="T1217" i="8"/>
  <c r="B1218" i="8" s="1"/>
  <c r="T1190" i="8"/>
  <c r="B1191" i="8" s="1"/>
  <c r="T1169" i="8"/>
  <c r="B1170" i="8" s="1"/>
  <c r="T1141" i="8"/>
  <c r="B1142" i="8" s="1"/>
  <c r="T1119" i="8"/>
  <c r="B1120" i="8" s="1"/>
  <c r="T1101" i="8"/>
  <c r="B1102" i="8" s="1"/>
  <c r="T1073" i="8"/>
  <c r="B1074" i="8" s="1"/>
  <c r="T1039" i="8"/>
  <c r="B1040" i="8" s="1"/>
  <c r="T1025" i="8"/>
  <c r="B1026" i="8" s="1"/>
  <c r="T6073" i="8"/>
  <c r="B6074" i="8" s="1"/>
  <c r="T5276" i="8"/>
  <c r="B5277" i="8" s="1"/>
  <c r="T4828" i="8"/>
  <c r="B4829" i="8" s="1"/>
  <c r="T4599" i="8"/>
  <c r="B4600" i="8" s="1"/>
  <c r="T4457" i="8"/>
  <c r="B4458" i="8" s="1"/>
  <c r="T4443" i="8"/>
  <c r="B4444" i="8" s="1"/>
  <c r="T4138" i="8"/>
  <c r="B4139" i="8" s="1"/>
  <c r="T4131" i="8"/>
  <c r="B4132" i="8" s="1"/>
  <c r="T3772" i="8"/>
  <c r="B3773" i="8" s="1"/>
  <c r="T3717" i="8"/>
  <c r="B3718" i="8" s="1"/>
  <c r="T3409" i="8"/>
  <c r="T3368" i="8"/>
  <c r="B3369" i="8" s="1"/>
  <c r="T3347" i="8"/>
  <c r="B3348" i="8" s="1"/>
  <c r="T3326" i="8"/>
  <c r="B3327" i="8" s="1"/>
  <c r="T3269" i="8"/>
  <c r="B3270" i="8" s="1"/>
  <c r="T3227" i="8"/>
  <c r="B3228" i="8" s="1"/>
  <c r="T2674" i="8"/>
  <c r="B2675" i="8" s="1"/>
  <c r="T2649" i="8"/>
  <c r="B2650" i="8" s="1"/>
  <c r="T2362" i="8"/>
  <c r="B2363" i="8" s="1"/>
  <c r="T2252" i="8"/>
  <c r="B2253" i="8" s="1"/>
  <c r="T2231" i="8"/>
  <c r="B2232" i="8" s="1"/>
  <c r="T2194" i="8"/>
  <c r="B2195" i="8" s="1"/>
  <c r="T2134" i="8"/>
  <c r="B2135" i="8" s="1"/>
  <c r="T2080" i="8"/>
  <c r="B2081" i="8" s="1"/>
  <c r="T2038" i="8"/>
  <c r="B2039" i="8" s="1"/>
  <c r="T1942" i="8"/>
  <c r="B1943" i="8" s="1"/>
  <c r="T1921" i="8"/>
  <c r="B1922" i="8" s="1"/>
  <c r="T1888" i="8"/>
  <c r="B1889" i="8" s="1"/>
  <c r="T1831" i="8"/>
  <c r="B1832" i="8" s="1"/>
  <c r="T1798" i="8"/>
  <c r="B1799" i="8" s="1"/>
  <c r="T1714" i="8"/>
  <c r="B1715" i="8" s="1"/>
  <c r="T1658" i="8"/>
  <c r="B1659" i="8" s="1"/>
  <c r="T1625" i="8"/>
  <c r="B1626" i="8" s="1"/>
  <c r="T1618" i="8"/>
  <c r="B1619" i="8" s="1"/>
  <c r="T1600" i="8"/>
  <c r="B1601" i="8" s="1"/>
  <c r="T1533" i="8"/>
  <c r="B1534" i="8" s="1"/>
  <c r="T1505" i="8"/>
  <c r="B1506" i="8" s="1"/>
  <c r="T1484" i="8"/>
  <c r="B1485" i="8" s="1"/>
  <c r="T1477" i="8"/>
  <c r="B1478" i="8" s="1"/>
  <c r="T1435" i="8"/>
  <c r="B1436" i="8" s="1"/>
  <c r="T1417" i="8"/>
  <c r="B1418" i="8" s="1"/>
  <c r="T1382" i="8"/>
  <c r="B1383" i="8" s="1"/>
  <c r="T1032" i="8"/>
  <c r="B1033" i="8" s="1"/>
  <c r="T1018" i="8"/>
  <c r="B1019" i="8" s="1"/>
  <c r="T955" i="8"/>
  <c r="B956" i="8" s="1"/>
  <c r="T909" i="8"/>
  <c r="B910" i="8" s="1"/>
  <c r="T879" i="8"/>
  <c r="B880" i="8" s="1"/>
  <c r="T844" i="8"/>
  <c r="B845" i="8" s="1"/>
  <c r="T6767" i="8"/>
  <c r="B6768" i="8" s="1"/>
  <c r="T4882" i="8"/>
  <c r="B4883" i="8" s="1"/>
  <c r="T4771" i="8"/>
  <c r="B4772" i="8" s="1"/>
  <c r="T3733" i="8"/>
  <c r="B3734" i="8" s="1"/>
  <c r="T3730" i="8"/>
  <c r="T3724" i="8"/>
  <c r="B3725" i="8" s="1"/>
  <c r="T3693" i="8"/>
  <c r="B3694" i="8" s="1"/>
  <c r="T3665" i="8"/>
  <c r="B3666" i="8" s="1"/>
  <c r="T3561" i="8"/>
  <c r="B3562" i="8" s="1"/>
  <c r="T3540" i="8"/>
  <c r="B3541" i="8" s="1"/>
  <c r="T3519" i="8"/>
  <c r="B3520" i="8" s="1"/>
  <c r="T3319" i="8"/>
  <c r="B3320" i="8" s="1"/>
  <c r="T3056" i="8"/>
  <c r="B3057" i="8" s="1"/>
  <c r="T2656" i="8"/>
  <c r="B2657" i="8" s="1"/>
  <c r="T2120" i="8"/>
  <c r="B2121" i="8" s="1"/>
  <c r="T2105" i="8"/>
  <c r="B2106" i="8" s="1"/>
  <c r="T2024" i="8"/>
  <c r="B2025" i="8" s="1"/>
  <c r="T2017" i="8"/>
  <c r="B2018" i="8" s="1"/>
  <c r="T1784" i="8"/>
  <c r="B1785" i="8" s="1"/>
  <c r="T1686" i="8"/>
  <c r="B1687" i="8" s="1"/>
  <c r="T1607" i="8"/>
  <c r="B1608" i="8" s="1"/>
  <c r="T1553" i="8"/>
  <c r="B1554" i="8" s="1"/>
  <c r="T1449" i="8"/>
  <c r="B1450" i="8" s="1"/>
  <c r="T1328" i="8"/>
  <c r="B1329" i="8" s="1"/>
  <c r="T1148" i="8"/>
  <c r="B1149" i="8" s="1"/>
  <c r="T1134" i="8"/>
  <c r="B1135" i="8" s="1"/>
  <c r="T858" i="8"/>
  <c r="B859" i="8" s="1"/>
  <c r="T830" i="8"/>
  <c r="B831" i="8" s="1"/>
  <c r="T809" i="8"/>
  <c r="B810" i="8" s="1"/>
  <c r="T746" i="8"/>
  <c r="B747" i="8" s="1"/>
  <c r="T681" i="8"/>
  <c r="B682" i="8" s="1"/>
  <c r="T540" i="8"/>
  <c r="B541" i="8" s="1"/>
  <c r="T435" i="8"/>
  <c r="B436" i="8" s="1"/>
  <c r="T197" i="8"/>
  <c r="T96" i="8"/>
  <c r="T78" i="8"/>
  <c r="T46" i="8"/>
  <c r="B47" i="8" s="1"/>
  <c r="T43" i="8"/>
  <c r="T36" i="8"/>
  <c r="B37" i="8" s="1"/>
  <c r="T33" i="8"/>
  <c r="T26" i="8"/>
  <c r="B27" i="8" s="1"/>
  <c r="T2411" i="8"/>
  <c r="B2412" i="8" s="1"/>
  <c r="T2348" i="8"/>
  <c r="B2349" i="8" s="1"/>
  <c r="T2327" i="8"/>
  <c r="B2328" i="8" s="1"/>
  <c r="T2306" i="8"/>
  <c r="B2307" i="8" s="1"/>
  <c r="T2059" i="8"/>
  <c r="B2060" i="8" s="1"/>
  <c r="T1470" i="8"/>
  <c r="B1471" i="8" s="1"/>
  <c r="T939" i="8"/>
  <c r="B940" i="8" s="1"/>
  <c r="T930" i="8"/>
  <c r="B931" i="8" s="1"/>
  <c r="T886" i="8"/>
  <c r="B887" i="8" s="1"/>
  <c r="T865" i="8"/>
  <c r="B866" i="8" s="1"/>
  <c r="T619" i="8"/>
  <c r="B620" i="8" s="1"/>
  <c r="T385" i="8"/>
  <c r="B386" i="8" s="1"/>
  <c r="T375" i="8"/>
  <c r="B376" i="8" s="1"/>
  <c r="T4299" i="8"/>
  <c r="B4300" i="8" s="1"/>
  <c r="T3482" i="8"/>
  <c r="B3483" i="8" s="1"/>
  <c r="T1928" i="8"/>
  <c r="B1929" i="8" s="1"/>
  <c r="T1816" i="8"/>
  <c r="B1817" i="8" s="1"/>
  <c r="T1197" i="8"/>
  <c r="B1198" i="8" s="1"/>
  <c r="T1183" i="8"/>
  <c r="B1184" i="8" s="1"/>
  <c r="T4285" i="8"/>
  <c r="B4286" i="8" s="1"/>
  <c r="T4257" i="8"/>
  <c r="B4258" i="8" s="1"/>
  <c r="T3793" i="8"/>
  <c r="B3794" i="8" s="1"/>
  <c r="T3573" i="8"/>
  <c r="T3382" i="8"/>
  <c r="B3383" i="8" s="1"/>
  <c r="T3014" i="8"/>
  <c r="B3015" i="8" s="1"/>
  <c r="T3000" i="8"/>
  <c r="B3001" i="8" s="1"/>
  <c r="T2992" i="8"/>
  <c r="B2993" i="8" s="1"/>
  <c r="T2978" i="8"/>
  <c r="B2979" i="8" s="1"/>
  <c r="T2971" i="8"/>
  <c r="B2972" i="8" s="1"/>
  <c r="T2956" i="8"/>
  <c r="B2957" i="8" s="1"/>
  <c r="T2948" i="8"/>
  <c r="B2949" i="8" s="1"/>
  <c r="T2404" i="8"/>
  <c r="B2405" i="8" s="1"/>
  <c r="T2073" i="8"/>
  <c r="B2074" i="8" s="1"/>
  <c r="T2010" i="8"/>
  <c r="B2011" i="8" s="1"/>
  <c r="T1995" i="8"/>
  <c r="B1996" i="8" s="1"/>
  <c r="T1791" i="8"/>
  <c r="B1792" i="8" s="1"/>
  <c r="T1756" i="8"/>
  <c r="B1757" i="8" s="1"/>
  <c r="T1742" i="8"/>
  <c r="B1743" i="8" s="1"/>
  <c r="T1679" i="8"/>
  <c r="B1680" i="8" s="1"/>
  <c r="T1519" i="8"/>
  <c r="B1520" i="8" s="1"/>
  <c r="T1295" i="8"/>
  <c r="B1296" i="8" s="1"/>
  <c r="T1281" i="8"/>
  <c r="B1282" i="8" s="1"/>
  <c r="T1224" i="8"/>
  <c r="B1225" i="8" s="1"/>
  <c r="T1176" i="8"/>
  <c r="B1177" i="8" s="1"/>
  <c r="T994" i="8"/>
  <c r="B995" i="8" s="1"/>
  <c r="T923" i="8"/>
  <c r="B924" i="8" s="1"/>
  <c r="T902" i="8"/>
  <c r="B903" i="8" s="1"/>
  <c r="T425" i="8"/>
  <c r="B426" i="8" s="1"/>
  <c r="T415" i="8"/>
  <c r="B416" i="8" s="1"/>
  <c r="T345" i="8"/>
  <c r="B346" i="8" s="1"/>
  <c r="T115" i="8"/>
  <c r="B116" i="8" s="1"/>
  <c r="T108" i="8"/>
  <c r="T102" i="8"/>
  <c r="T61" i="8"/>
  <c r="B62" i="8" s="1"/>
  <c r="T55" i="8"/>
  <c r="B56" i="8" s="1"/>
  <c r="T3466" i="8"/>
  <c r="B3467" i="8" s="1"/>
  <c r="T3446" i="8"/>
  <c r="B3447" i="8" s="1"/>
  <c r="T3412" i="8"/>
  <c r="T2465" i="8"/>
  <c r="B2466" i="8" s="1"/>
  <c r="T2431" i="8"/>
  <c r="B2432" i="8" s="1"/>
  <c r="T2173" i="8"/>
  <c r="B2174" i="8" s="1"/>
  <c r="T1155" i="8"/>
  <c r="B1156" i="8" s="1"/>
  <c r="T837" i="8"/>
  <c r="B838" i="8" s="1"/>
  <c r="T114" i="8"/>
  <c r="T60" i="8"/>
  <c r="T4620" i="8"/>
  <c r="B4621" i="8" s="1"/>
  <c r="T4278" i="8"/>
  <c r="B4279" i="8" s="1"/>
  <c r="T4249" i="8"/>
  <c r="B4250" i="8" s="1"/>
  <c r="T4044" i="8"/>
  <c r="B4045" i="8" s="1"/>
  <c r="T3375" i="8"/>
  <c r="B3376" i="8" s="1"/>
  <c r="T2031" i="8"/>
  <c r="B2032" i="8" s="1"/>
  <c r="T1935" i="8"/>
  <c r="B1936" i="8" s="1"/>
  <c r="T1498" i="8"/>
  <c r="B1499" i="8" s="1"/>
  <c r="T1306" i="8"/>
  <c r="B1307" i="8" s="1"/>
  <c r="T1239" i="8"/>
  <c r="B1240" i="8" s="1"/>
  <c r="T1011" i="8"/>
  <c r="B1012" i="8" s="1"/>
  <c r="T5230" i="8"/>
  <c r="B5231" i="8" s="1"/>
  <c r="T4546" i="8"/>
  <c r="B4547" i="8" s="1"/>
  <c r="T4520" i="8"/>
  <c r="B4521" i="8" s="1"/>
  <c r="T4271" i="8"/>
  <c r="B4272" i="8" s="1"/>
  <c r="T3431" i="8"/>
  <c r="B3432" i="8" s="1"/>
  <c r="T3420" i="8"/>
  <c r="B3421" i="8" s="1"/>
  <c r="T3396" i="8"/>
  <c r="B3397" i="8" s="1"/>
  <c r="T3333" i="8"/>
  <c r="B3334" i="8" s="1"/>
  <c r="T2768" i="8"/>
  <c r="B2769" i="8" s="1"/>
  <c r="T2761" i="8"/>
  <c r="B2762" i="8" s="1"/>
  <c r="T2747" i="8"/>
  <c r="B2748" i="8" s="1"/>
  <c r="T2376" i="8"/>
  <c r="B2377" i="8" s="1"/>
  <c r="T1881" i="8"/>
  <c r="B1882" i="8" s="1"/>
  <c r="T1874" i="8"/>
  <c r="B1875" i="8" s="1"/>
  <c r="T1643" i="8"/>
  <c r="B1644" i="8" s="1"/>
  <c r="T1367" i="8"/>
  <c r="B1368" i="8" s="1"/>
  <c r="T1360" i="8"/>
  <c r="B1361" i="8" s="1"/>
  <c r="T1342" i="8"/>
  <c r="B1343" i="8" s="1"/>
  <c r="T1260" i="8"/>
  <c r="B1261" i="8" s="1"/>
  <c r="T1108" i="8"/>
  <c r="B1109" i="8" s="1"/>
  <c r="T1094" i="8"/>
  <c r="B1095" i="8" s="1"/>
  <c r="T1057" i="8"/>
  <c r="B1058" i="8" s="1"/>
  <c r="T962" i="8"/>
  <c r="B963" i="8" s="1"/>
  <c r="T632" i="8"/>
  <c r="B633" i="8" s="1"/>
  <c r="T556" i="8"/>
  <c r="B557" i="8" s="1"/>
  <c r="T532" i="8"/>
  <c r="B533" i="8" s="1"/>
  <c r="T405" i="8"/>
  <c r="B406" i="8" s="1"/>
  <c r="T395" i="8"/>
  <c r="B396" i="8" s="1"/>
  <c r="T335" i="8"/>
  <c r="B336" i="8" s="1"/>
  <c r="T325" i="8"/>
  <c r="B326" i="8" s="1"/>
  <c r="T315" i="8"/>
  <c r="B316" i="8" s="1"/>
  <c r="T239" i="8"/>
  <c r="B240" i="8" s="1"/>
  <c r="T222" i="8"/>
  <c r="B223" i="8" s="1"/>
  <c r="T206" i="8"/>
  <c r="B207" i="8" s="1"/>
  <c r="T198" i="8"/>
  <c r="B199" i="8" s="1"/>
  <c r="T84" i="8"/>
  <c r="T72" i="8"/>
  <c r="T45" i="8"/>
  <c r="T42" i="8"/>
  <c r="T35" i="8"/>
  <c r="T32" i="8"/>
  <c r="T5258" i="8"/>
  <c r="B5259" i="8" s="1"/>
  <c r="T4842" i="8"/>
  <c r="B4843" i="8" s="1"/>
  <c r="T4292" i="8"/>
  <c r="B4293" i="8" s="1"/>
  <c r="T3799" i="8"/>
  <c r="B3800" i="8" s="1"/>
  <c r="T3576" i="8"/>
  <c r="T3408" i="8"/>
  <c r="T3354" i="8"/>
  <c r="B3355" i="8" s="1"/>
  <c r="T3119" i="8"/>
  <c r="B3120" i="8" s="1"/>
  <c r="T3098" i="8"/>
  <c r="B3099" i="8" s="1"/>
  <c r="T3077" i="8"/>
  <c r="B3078" i="8" s="1"/>
  <c r="T2277" i="8"/>
  <c r="B2278" i="8" s="1"/>
  <c r="T2155" i="8"/>
  <c r="B2156" i="8" s="1"/>
  <c r="T2066" i="8"/>
  <c r="B2067" i="8" s="1"/>
  <c r="T1777" i="8"/>
  <c r="B1778" i="8" s="1"/>
  <c r="T1707" i="8"/>
  <c r="B1708" i="8" s="1"/>
  <c r="T1693" i="8"/>
  <c r="B1694" i="8" s="1"/>
  <c r="T1526" i="8"/>
  <c r="B1527" i="8" s="1"/>
  <c r="T872" i="8"/>
  <c r="B873" i="8" s="1"/>
  <c r="T305" i="8"/>
  <c r="B306" i="8" s="1"/>
  <c r="T4874" i="8"/>
  <c r="B4875" i="8" s="1"/>
  <c r="T3706" i="8"/>
  <c r="B3707" i="8" s="1"/>
  <c r="T3490" i="8"/>
  <c r="B3491" i="8" s="1"/>
  <c r="T3131" i="8"/>
  <c r="T2127" i="8"/>
  <c r="B2128" i="8" s="1"/>
  <c r="T1735" i="8"/>
  <c r="B1736" i="8" s="1"/>
  <c r="T1721" i="8"/>
  <c r="B1722" i="8" s="1"/>
  <c r="T4149" i="8"/>
  <c r="B4150" i="8" s="1"/>
  <c r="T2797" i="8"/>
  <c r="B2798" i="8" s="1"/>
  <c r="T2543" i="8"/>
  <c r="B2544" i="8" s="1"/>
  <c r="T1914" i="8"/>
  <c r="B1915" i="8" s="1"/>
  <c r="T1065" i="8"/>
  <c r="B1066" i="8" s="1"/>
  <c r="T823" i="8"/>
  <c r="B824" i="8" s="1"/>
  <c r="T781" i="8"/>
  <c r="B782" i="8" s="1"/>
  <c r="T739" i="8"/>
  <c r="B740" i="8" s="1"/>
  <c r="T295" i="8"/>
  <c r="B296" i="8" s="1"/>
  <c r="T285" i="8"/>
  <c r="B286" i="8" s="1"/>
  <c r="T109" i="8"/>
  <c r="B110" i="8" s="1"/>
  <c r="T103" i="8"/>
  <c r="B104" i="8" s="1"/>
  <c r="T73" i="8"/>
  <c r="B74" i="8" s="1"/>
  <c r="T34" i="8"/>
  <c r="T788" i="8"/>
  <c r="B789" i="8" s="1"/>
  <c r="T654" i="8"/>
  <c r="B655" i="8" s="1"/>
  <c r="T548" i="8"/>
  <c r="B549" i="8" s="1"/>
  <c r="T355" i="8"/>
  <c r="B356" i="8" s="1"/>
  <c r="T79" i="8"/>
  <c r="B80" i="8" s="1"/>
  <c r="T44" i="8"/>
  <c r="T2901" i="8"/>
  <c r="B2902" i="8" s="1"/>
  <c r="T1267" i="8"/>
  <c r="B1268" i="8" s="1"/>
  <c r="T667" i="8"/>
  <c r="B668" i="8" s="1"/>
  <c r="T255" i="8"/>
  <c r="B256" i="8" s="1"/>
  <c r="T85" i="8"/>
  <c r="B86" i="8" s="1"/>
  <c r="T275" i="8"/>
  <c r="B276" i="8" s="1"/>
  <c r="T3139" i="8"/>
  <c r="B3140" i="8" s="1"/>
  <c r="T3895" i="8"/>
  <c r="B3896" i="8" s="1"/>
  <c r="T2922" i="8"/>
  <c r="B2923" i="8" s="1"/>
  <c r="T2518" i="8"/>
  <c r="B2519" i="8" s="1"/>
  <c r="T365" i="8"/>
  <c r="B366" i="8" s="1"/>
  <c r="T2715" i="8"/>
  <c r="B2716" i="8" s="1"/>
  <c r="T795" i="8"/>
  <c r="B796" i="8" s="1"/>
  <c r="T97" i="8"/>
  <c r="B98" i="8" s="1"/>
  <c r="T31" i="8"/>
  <c r="T1396" i="8"/>
  <c r="B1397" i="8" s="1"/>
  <c r="T5647" i="8"/>
  <c r="B5648" i="8" s="1"/>
  <c r="T2876" i="8"/>
  <c r="B2877" i="8" s="1"/>
  <c r="T802" i="8"/>
  <c r="B803" i="8" s="1"/>
  <c r="T265" i="8"/>
  <c r="B266" i="8" s="1"/>
  <c r="T5669" i="8"/>
  <c r="B5670" i="8" s="1"/>
  <c r="T3597" i="8"/>
  <c r="B3598" i="8" s="1"/>
  <c r="T3411" i="8"/>
  <c r="T2855" i="8"/>
  <c r="B2856" i="8" s="1"/>
  <c r="T2609" i="8"/>
  <c r="B2610" i="8" s="1"/>
  <c r="T1963" i="8"/>
  <c r="B1964" i="8" s="1"/>
  <c r="T91" i="8"/>
  <c r="B92" i="8" s="1"/>
  <c r="T2822" i="8"/>
  <c r="B2823" i="8" s="1"/>
  <c r="T455" i="8"/>
  <c r="B456" i="8" s="1"/>
  <c r="T445" i="8"/>
  <c r="B446" i="8" s="1"/>
  <c r="T41" i="8"/>
  <c r="T774" i="8"/>
  <c r="B775" i="8" s="1"/>
  <c r="K7" i="8"/>
  <c r="J5" i="8"/>
  <c r="O1" i="8"/>
  <c r="J7" i="8"/>
  <c r="N4" i="8"/>
  <c r="C10" i="8"/>
  <c r="L9" i="8"/>
  <c r="M6" i="8"/>
  <c r="O10" i="8"/>
  <c r="J9" i="8"/>
  <c r="N10" i="8"/>
  <c r="K3" i="8"/>
  <c r="R1135" i="11"/>
  <c r="K9" i="8"/>
  <c r="O4" i="8"/>
  <c r="O3" i="8"/>
  <c r="C8" i="8"/>
  <c r="N9" i="8"/>
  <c r="L7" i="8"/>
  <c r="N2" i="8"/>
  <c r="L6" i="8"/>
  <c r="K2" i="8"/>
  <c r="M10" i="8"/>
  <c r="J6" i="8"/>
  <c r="L3" i="8"/>
  <c r="M2" i="11"/>
  <c r="C4" i="11"/>
  <c r="L5" i="11"/>
  <c r="M4" i="8"/>
  <c r="N3" i="11"/>
  <c r="E22" i="1"/>
  <c r="M8" i="8"/>
  <c r="K4" i="8"/>
  <c r="L8" i="8"/>
  <c r="N6" i="8"/>
  <c r="C7" i="11"/>
  <c r="C8" i="11"/>
  <c r="K5" i="8"/>
  <c r="C4" i="8"/>
  <c r="N7" i="8"/>
  <c r="L2" i="8"/>
  <c r="L1" i="8"/>
  <c r="Q1" i="11"/>
  <c r="I23" i="1"/>
  <c r="T2" i="11"/>
  <c r="J8" i="11"/>
  <c r="J8" i="8"/>
  <c r="N8" i="11"/>
  <c r="N8" i="8"/>
  <c r="C9" i="8"/>
  <c r="C9" i="11"/>
  <c r="C5" i="8"/>
  <c r="C5" i="11"/>
  <c r="K8" i="8"/>
  <c r="C3" i="11"/>
  <c r="T246" i="11"/>
  <c r="C7" i="8"/>
  <c r="G23" i="1"/>
  <c r="C2" i="8"/>
  <c r="C2" i="11"/>
  <c r="B11645" i="8" l="1"/>
  <c r="B1057" i="11" s="1"/>
  <c r="Q1057" i="11" s="1"/>
  <c r="T7184" i="8"/>
  <c r="E7180" i="8" s="1"/>
  <c r="E1423" i="28" s="1"/>
  <c r="F1423" i="28" s="1"/>
  <c r="T11525" i="8"/>
  <c r="T151" i="1" s="1"/>
  <c r="S151" i="1" s="1"/>
  <c r="AE151" i="1" s="1"/>
  <c r="T524" i="8"/>
  <c r="T246" i="8"/>
  <c r="T231" i="8"/>
  <c r="AN225" i="8" s="1"/>
  <c r="AO225" i="8" s="1"/>
  <c r="T215" i="8"/>
  <c r="T186" i="8"/>
  <c r="T191" i="8"/>
  <c r="E187" i="8" s="1"/>
  <c r="AG180" i="8"/>
  <c r="B408" i="26"/>
  <c r="B2315" i="26"/>
  <c r="E131" i="26"/>
  <c r="E125" i="26"/>
  <c r="E245" i="26"/>
  <c r="E215" i="26"/>
  <c r="E197" i="26"/>
  <c r="E47" i="26"/>
  <c r="E155" i="26"/>
  <c r="E233" i="26"/>
  <c r="E341" i="26"/>
  <c r="E23" i="26"/>
  <c r="E179" i="26"/>
  <c r="E107" i="26"/>
  <c r="E119" i="26"/>
  <c r="E53" i="26"/>
  <c r="E143" i="26"/>
  <c r="E209" i="26"/>
  <c r="E371" i="26"/>
  <c r="E257" i="26"/>
  <c r="E161" i="26"/>
  <c r="E95" i="26"/>
  <c r="E353" i="26"/>
  <c r="E77" i="26"/>
  <c r="E185" i="26"/>
  <c r="E335" i="26"/>
  <c r="E323" i="26"/>
  <c r="E329" i="26"/>
  <c r="E65" i="26"/>
  <c r="E347" i="26"/>
  <c r="E29" i="26"/>
  <c r="E71" i="26"/>
  <c r="E287" i="26"/>
  <c r="E35" i="26"/>
  <c r="E41" i="26"/>
  <c r="E191" i="26"/>
  <c r="E149" i="26"/>
  <c r="E89" i="26"/>
  <c r="E203" i="26"/>
  <c r="E305" i="26"/>
  <c r="E281" i="26"/>
  <c r="E317" i="26"/>
  <c r="E377" i="26"/>
  <c r="AG377" i="26" s="1"/>
  <c r="E251" i="26"/>
  <c r="E275" i="26"/>
  <c r="E113" i="26"/>
  <c r="E299" i="26"/>
  <c r="E383" i="26"/>
  <c r="AG383" i="26" s="1"/>
  <c r="E59" i="26"/>
  <c r="E221" i="26"/>
  <c r="E263" i="26"/>
  <c r="E293" i="26"/>
  <c r="E227" i="26"/>
  <c r="E359" i="26"/>
  <c r="E137" i="26"/>
  <c r="E269" i="26"/>
  <c r="E365" i="26"/>
  <c r="E167" i="26"/>
  <c r="E101" i="26"/>
  <c r="E239" i="26"/>
  <c r="E83" i="26"/>
  <c r="E311" i="26"/>
  <c r="E173" i="26"/>
  <c r="B2316" i="26"/>
  <c r="B405" i="26"/>
  <c r="B2318" i="26"/>
  <c r="B407" i="26"/>
  <c r="B2320" i="26"/>
  <c r="B409" i="26"/>
  <c r="B2313" i="26"/>
  <c r="B402" i="26"/>
  <c r="B2314" i="26"/>
  <c r="B403" i="26"/>
  <c r="B2321" i="26"/>
  <c r="B410" i="26"/>
  <c r="AG7748" i="8"/>
  <c r="AH7748" i="8" s="1"/>
  <c r="T7757" i="8"/>
  <c r="E7751" i="8" s="1"/>
  <c r="T7761" i="8"/>
  <c r="E7758" i="8" s="1"/>
  <c r="B11594" i="8"/>
  <c r="B498" i="11" s="1"/>
  <c r="B11595" i="8"/>
  <c r="B510" i="11" s="1"/>
  <c r="T11520" i="8"/>
  <c r="T146" i="1" s="1"/>
  <c r="T597" i="8"/>
  <c r="E591" i="8" s="1"/>
  <c r="T11517" i="8"/>
  <c r="T143" i="1" s="1"/>
  <c r="T11494" i="8"/>
  <c r="T120" i="1" s="1"/>
  <c r="T11488" i="8"/>
  <c r="T114" i="1" s="1"/>
  <c r="T11534" i="8"/>
  <c r="T160" i="1" s="1"/>
  <c r="T11535" i="8"/>
  <c r="T161" i="1" s="1"/>
  <c r="T11509" i="8"/>
  <c r="T135" i="1" s="1"/>
  <c r="T11491" i="8"/>
  <c r="T117" i="1" s="1"/>
  <c r="T11530" i="8"/>
  <c r="T156" i="1" s="1"/>
  <c r="AG7138" i="8"/>
  <c r="AH7138" i="8" s="1"/>
  <c r="T7148" i="8"/>
  <c r="E7145" i="8" s="1"/>
  <c r="T7144" i="8"/>
  <c r="AG7124" i="8"/>
  <c r="AH7124" i="8" s="1"/>
  <c r="T7130" i="8"/>
  <c r="E7127" i="8" s="1"/>
  <c r="F7127" i="8" s="1"/>
  <c r="T7134" i="8"/>
  <c r="E7131" i="8" s="1"/>
  <c r="B11637" i="8"/>
  <c r="B1011" i="11" s="1"/>
  <c r="Q1011" i="11" s="1"/>
  <c r="A1013" i="11" s="1"/>
  <c r="B11643" i="8"/>
  <c r="B1047" i="11" s="1"/>
  <c r="B11641" i="8"/>
  <c r="B1035" i="11" s="1"/>
  <c r="Q1035" i="11" s="1"/>
  <c r="B11642" i="8"/>
  <c r="B1041" i="11" s="1"/>
  <c r="Q1041" i="11" s="1"/>
  <c r="A1043" i="11" s="1"/>
  <c r="T7724" i="8"/>
  <c r="T7698" i="8"/>
  <c r="AN7694" i="8" s="1"/>
  <c r="T7692" i="8"/>
  <c r="B11635" i="8"/>
  <c r="B994" i="11" s="1"/>
  <c r="Q994" i="11" s="1"/>
  <c r="B11551" i="8"/>
  <c r="B56" i="11" s="1"/>
  <c r="B11552" i="8"/>
  <c r="B79" i="11" s="1"/>
  <c r="B11557" i="8"/>
  <c r="B127" i="11" s="1"/>
  <c r="B11553" i="8"/>
  <c r="B91" i="11" s="1"/>
  <c r="B11596" i="8"/>
  <c r="B520" i="11" s="1"/>
  <c r="Q520" i="11" s="1"/>
  <c r="B11559" i="8"/>
  <c r="B141" i="11" s="1"/>
  <c r="B11639" i="8"/>
  <c r="B1023" i="11" s="1"/>
  <c r="B11638" i="8"/>
  <c r="B1017" i="11" s="1"/>
  <c r="Q1017" i="11" s="1"/>
  <c r="A1019" i="11" s="1"/>
  <c r="B11548" i="8"/>
  <c r="B11617" i="8"/>
  <c r="B723" i="11" s="1"/>
  <c r="B11585" i="8"/>
  <c r="B405" i="11" s="1"/>
  <c r="B11550" i="8"/>
  <c r="B46" i="11" s="1"/>
  <c r="B11619" i="8"/>
  <c r="B751" i="11" s="1"/>
  <c r="B11571" i="8"/>
  <c r="B261" i="11" s="1"/>
  <c r="B11605" i="8"/>
  <c r="B613" i="11" s="1"/>
  <c r="B11555" i="8"/>
  <c r="B112" i="11" s="1"/>
  <c r="B11622" i="8"/>
  <c r="B785" i="11" s="1"/>
  <c r="B11600" i="8"/>
  <c r="B568" i="11" s="1"/>
  <c r="B11581" i="8"/>
  <c r="B365" i="11" s="1"/>
  <c r="B11614" i="8"/>
  <c r="B697" i="11" s="1"/>
  <c r="B11560" i="8"/>
  <c r="B156" i="11" s="1"/>
  <c r="B11625" i="8"/>
  <c r="B822" i="11" s="1"/>
  <c r="B11562" i="8"/>
  <c r="B174" i="11" s="1"/>
  <c r="B11627" i="8"/>
  <c r="B851" i="11" s="1"/>
  <c r="B11579" i="8"/>
  <c r="B345" i="11" s="1"/>
  <c r="B11574" i="8"/>
  <c r="B293" i="11" s="1"/>
  <c r="B11613" i="8"/>
  <c r="B688" i="11" s="1"/>
  <c r="B11565" i="8"/>
  <c r="B201" i="11" s="1"/>
  <c r="B11630" i="8"/>
  <c r="B893" i="11" s="1"/>
  <c r="B11608" i="8"/>
  <c r="B640" i="11" s="1"/>
  <c r="B11564" i="8"/>
  <c r="B11629" i="8"/>
  <c r="B879" i="11" s="1"/>
  <c r="B11624" i="8"/>
  <c r="B808" i="11" s="1"/>
  <c r="B11568" i="8"/>
  <c r="B228" i="11" s="1"/>
  <c r="B11633" i="8"/>
  <c r="B933" i="11" s="1"/>
  <c r="B11602" i="8"/>
  <c r="B586" i="11" s="1"/>
  <c r="B11570" i="8"/>
  <c r="B249" i="11" s="1"/>
  <c r="B11636" i="8"/>
  <c r="B1005" i="11" s="1"/>
  <c r="B11587" i="8"/>
  <c r="B427" i="11" s="1"/>
  <c r="B11554" i="8"/>
  <c r="B103" i="11" s="1"/>
  <c r="B11621" i="8"/>
  <c r="B774" i="11" s="1"/>
  <c r="B11573" i="8"/>
  <c r="B281" i="11" s="1"/>
  <c r="B11607" i="8"/>
  <c r="B631" i="11" s="1"/>
  <c r="B11616" i="8"/>
  <c r="B715" i="11" s="1"/>
  <c r="B11566" i="8"/>
  <c r="B210" i="11" s="1"/>
  <c r="B11558" i="8"/>
  <c r="B134" i="11" s="1"/>
  <c r="B11591" i="8"/>
  <c r="B468" i="11" s="1"/>
  <c r="B11576" i="8"/>
  <c r="B315" i="11" s="1"/>
  <c r="B11615" i="8"/>
  <c r="B706" i="11" s="1"/>
  <c r="B11610" i="8"/>
  <c r="B658" i="11" s="1"/>
  <c r="B11578" i="8"/>
  <c r="B335" i="11" s="1"/>
  <c r="B11584" i="8"/>
  <c r="B395" i="11" s="1"/>
  <c r="B11549" i="8"/>
  <c r="B39" i="11" s="1"/>
  <c r="B11618" i="8"/>
  <c r="B739" i="11" s="1"/>
  <c r="B11586" i="8"/>
  <c r="B417" i="11" s="1"/>
  <c r="B11582" i="8"/>
  <c r="B375" i="11" s="1"/>
  <c r="B11604" i="8"/>
  <c r="B11572" i="8"/>
  <c r="B271" i="11" s="1"/>
  <c r="B11640" i="8"/>
  <c r="B1029" i="11" s="1"/>
  <c r="B11589" i="8"/>
  <c r="B448" i="11" s="1"/>
  <c r="B11567" i="8"/>
  <c r="B219" i="11" s="1"/>
  <c r="B11632" i="8"/>
  <c r="B920" i="11" s="1"/>
  <c r="B11599" i="8"/>
  <c r="B559" i="11" s="1"/>
  <c r="B11628" i="8"/>
  <c r="B865" i="11" s="1"/>
  <c r="B11592" i="8"/>
  <c r="B478" i="11" s="1"/>
  <c r="B11561" i="8"/>
  <c r="B11626" i="8"/>
  <c r="B837" i="11" s="1"/>
  <c r="B11593" i="8"/>
  <c r="B488" i="11" s="1"/>
  <c r="B11623" i="8"/>
  <c r="B797" i="11" s="1"/>
  <c r="B11612" i="8"/>
  <c r="B676" i="11" s="1"/>
  <c r="B11580" i="8"/>
  <c r="B355" i="11" s="1"/>
  <c r="B11556" i="8"/>
  <c r="B120" i="11" s="1"/>
  <c r="B11598" i="8"/>
  <c r="B552" i="11" s="1"/>
  <c r="B11575" i="8"/>
  <c r="B11609" i="8"/>
  <c r="B649" i="11" s="1"/>
  <c r="B11563" i="8"/>
  <c r="B11631" i="8"/>
  <c r="B907" i="11" s="1"/>
  <c r="B11601" i="8"/>
  <c r="B577" i="11" s="1"/>
  <c r="B11569" i="8"/>
  <c r="B11634" i="8"/>
  <c r="B948" i="11" s="1"/>
  <c r="B11603" i="8"/>
  <c r="B595" i="11" s="1"/>
  <c r="B11620" i="8"/>
  <c r="B762" i="11" s="1"/>
  <c r="B11588" i="8"/>
  <c r="B437" i="11" s="1"/>
  <c r="B11590" i="8"/>
  <c r="B458" i="11" s="1"/>
  <c r="B11606" i="8"/>
  <c r="B622" i="11" s="1"/>
  <c r="B11583" i="8"/>
  <c r="B385" i="11" s="1"/>
  <c r="B11577" i="8"/>
  <c r="B325" i="11" s="1"/>
  <c r="B11611" i="8"/>
  <c r="B667" i="11" s="1"/>
  <c r="B11597" i="8"/>
  <c r="B545" i="11" s="1"/>
  <c r="T5021" i="8"/>
  <c r="T513" i="8"/>
  <c r="E509" i="8" s="1"/>
  <c r="AG496" i="8"/>
  <c r="AH496" i="8" s="1"/>
  <c r="AG468" i="8"/>
  <c r="AH468" i="8" s="1"/>
  <c r="T508" i="8"/>
  <c r="T492" i="8"/>
  <c r="E488" i="8" s="1"/>
  <c r="T487" i="8"/>
  <c r="B11547" i="8"/>
  <c r="B19" i="11" s="1"/>
  <c r="T9930" i="8"/>
  <c r="E9926" i="8" s="1"/>
  <c r="E550" i="32" s="1"/>
  <c r="F550" i="32" s="1"/>
  <c r="T9526" i="8"/>
  <c r="E9522" i="8" s="1"/>
  <c r="E273" i="32" s="1"/>
  <c r="F273" i="32" s="1"/>
  <c r="T9126" i="8"/>
  <c r="E9122" i="8" s="1"/>
  <c r="E200" i="32" s="1"/>
  <c r="F200" i="32" s="1"/>
  <c r="T9178" i="8"/>
  <c r="E9174" i="8" s="1"/>
  <c r="E209" i="32" s="1"/>
  <c r="F209" i="32" s="1"/>
  <c r="T9321" i="8"/>
  <c r="E9317" i="8" s="1"/>
  <c r="E235" i="32" s="1"/>
  <c r="F235" i="32" s="1"/>
  <c r="T9373" i="8"/>
  <c r="E9369" i="8" s="1"/>
  <c r="E244" i="32" s="1"/>
  <c r="F244" i="32" s="1"/>
  <c r="T9492" i="8"/>
  <c r="E9488" i="8" s="1"/>
  <c r="E267" i="32" s="1"/>
  <c r="F267" i="32" s="1"/>
  <c r="T9150" i="8"/>
  <c r="E9146" i="8" s="1"/>
  <c r="E204" i="32" s="1"/>
  <c r="F204" i="32" s="1"/>
  <c r="T9345" i="8"/>
  <c r="E9341" i="8" s="1"/>
  <c r="E239" i="32" s="1"/>
  <c r="F239" i="32" s="1"/>
  <c r="T9397" i="8"/>
  <c r="E9393" i="8" s="1"/>
  <c r="E248" i="32" s="1"/>
  <c r="F248" i="32" s="1"/>
  <c r="T9468" i="8"/>
  <c r="E9464" i="8" s="1"/>
  <c r="E263" i="32" s="1"/>
  <c r="F263" i="32" s="1"/>
  <c r="T8267" i="8"/>
  <c r="E8263" i="8" s="1"/>
  <c r="E48" i="32" s="1"/>
  <c r="F48" i="32" s="1"/>
  <c r="T8491" i="8"/>
  <c r="E8487" i="8" s="1"/>
  <c r="E88" i="32" s="1"/>
  <c r="F88" i="32" s="1"/>
  <c r="T8543" i="8"/>
  <c r="E8539" i="8" s="1"/>
  <c r="E97" i="32" s="1"/>
  <c r="F97" i="32" s="1"/>
  <c r="T8665" i="8"/>
  <c r="E8661" i="8" s="1"/>
  <c r="E120" i="32" s="1"/>
  <c r="F120" i="32" s="1"/>
  <c r="T8717" i="8"/>
  <c r="E8713" i="8" s="1"/>
  <c r="E129" i="32" s="1"/>
  <c r="F129" i="32" s="1"/>
  <c r="T8919" i="8"/>
  <c r="E8915" i="8" s="1"/>
  <c r="E162" i="32" s="1"/>
  <c r="F162" i="32" s="1"/>
  <c r="T8971" i="8"/>
  <c r="E8967" i="8" s="1"/>
  <c r="E171" i="32" s="1"/>
  <c r="F171" i="32" s="1"/>
  <c r="T9019" i="8"/>
  <c r="E9015" i="8" s="1"/>
  <c r="E179" i="32" s="1"/>
  <c r="F179" i="32" s="1"/>
  <c r="T9067" i="8"/>
  <c r="E9063" i="8" s="1"/>
  <c r="E187" i="32" s="1"/>
  <c r="F187" i="32" s="1"/>
  <c r="T9593" i="8"/>
  <c r="E9589" i="8" s="1"/>
  <c r="E285" i="32" s="1"/>
  <c r="F285" i="32" s="1"/>
  <c r="T9664" i="8"/>
  <c r="E9660" i="8" s="1"/>
  <c r="E300" i="32" s="1"/>
  <c r="F300" i="32" s="1"/>
  <c r="T9716" i="8"/>
  <c r="E9712" i="8" s="1"/>
  <c r="E309" i="32" s="1"/>
  <c r="F309" i="32" s="1"/>
  <c r="T9786" i="8"/>
  <c r="E9782" i="8" s="1"/>
  <c r="E322" i="32" s="1"/>
  <c r="F322" i="32" s="1"/>
  <c r="T10016" i="8"/>
  <c r="E10012" i="8" s="1"/>
  <c r="E567" i="32" s="1"/>
  <c r="F567" i="32" s="1"/>
  <c r="T10040" i="8"/>
  <c r="E10036" i="8" s="1"/>
  <c r="E572" i="32" s="1"/>
  <c r="F572" i="32" s="1"/>
  <c r="T10558" i="8"/>
  <c r="E10554" i="8" s="1"/>
  <c r="E684" i="32" s="1"/>
  <c r="F684" i="32" s="1"/>
  <c r="T11238" i="8"/>
  <c r="E11234" i="8" s="1"/>
  <c r="E815" i="32" s="1"/>
  <c r="F815" i="32" s="1"/>
  <c r="T11348" i="8"/>
  <c r="E11344" i="8" s="1"/>
  <c r="E837" i="32" s="1"/>
  <c r="F837" i="32" s="1"/>
  <c r="T10404" i="8"/>
  <c r="AN10400" i="8" s="1"/>
  <c r="AO10400" i="8" s="1"/>
  <c r="T10882" i="8"/>
  <c r="E10878" i="8" s="1"/>
  <c r="E748" i="32" s="1"/>
  <c r="F748" i="32" s="1"/>
  <c r="T11438" i="8"/>
  <c r="AN11434" i="8" s="1"/>
  <c r="AO11434" i="8" s="1"/>
  <c r="T8243" i="8"/>
  <c r="E8239" i="8" s="1"/>
  <c r="E44" i="32" s="1"/>
  <c r="F44" i="32" s="1"/>
  <c r="T8291" i="8"/>
  <c r="E8287" i="8" s="1"/>
  <c r="E52" i="32" s="1"/>
  <c r="F52" i="32" s="1"/>
  <c r="T8467" i="8"/>
  <c r="E8463" i="8" s="1"/>
  <c r="E84" i="32" s="1"/>
  <c r="F84" i="32" s="1"/>
  <c r="T8519" i="8"/>
  <c r="E8515" i="8" s="1"/>
  <c r="E93" i="32" s="1"/>
  <c r="F93" i="32" s="1"/>
  <c r="T8641" i="8"/>
  <c r="E8637" i="8" s="1"/>
  <c r="E116" i="32" s="1"/>
  <c r="F116" i="32" s="1"/>
  <c r="T8693" i="8"/>
  <c r="E8689" i="8" s="1"/>
  <c r="E125" i="32" s="1"/>
  <c r="F125" i="32" s="1"/>
  <c r="T10852" i="8"/>
  <c r="E10848" i="8" s="1"/>
  <c r="E742" i="32" s="1"/>
  <c r="F742" i="32" s="1"/>
  <c r="T11054" i="8"/>
  <c r="E11050" i="8" s="1"/>
  <c r="E783" i="32" s="1"/>
  <c r="F783" i="32" s="1"/>
  <c r="T11432" i="8"/>
  <c r="T8062" i="8"/>
  <c r="E8054" i="8" s="1"/>
  <c r="T8142" i="8"/>
  <c r="E8134" i="8" s="1"/>
  <c r="T8279" i="8"/>
  <c r="E8275" i="8" s="1"/>
  <c r="E50" i="32" s="1"/>
  <c r="F50" i="32" s="1"/>
  <c r="T8331" i="8"/>
  <c r="E8327" i="8" s="1"/>
  <c r="E59" i="32" s="1"/>
  <c r="F59" i="32" s="1"/>
  <c r="T8455" i="8"/>
  <c r="E8451" i="8" s="1"/>
  <c r="E82" i="32" s="1"/>
  <c r="F82" i="32" s="1"/>
  <c r="T8507" i="8"/>
  <c r="E8503" i="8" s="1"/>
  <c r="E91" i="32" s="1"/>
  <c r="F91" i="32" s="1"/>
  <c r="T8555" i="8"/>
  <c r="E8551" i="8" s="1"/>
  <c r="E99" i="32" s="1"/>
  <c r="F99" i="32" s="1"/>
  <c r="T8677" i="8"/>
  <c r="E8673" i="8" s="1"/>
  <c r="E122" i="32" s="1"/>
  <c r="F122" i="32" s="1"/>
  <c r="T10054" i="8"/>
  <c r="T10632" i="8"/>
  <c r="E10628" i="8" s="1"/>
  <c r="E698" i="32" s="1"/>
  <c r="F698" i="32" s="1"/>
  <c r="T10448" i="8"/>
  <c r="E10444" i="8" s="1"/>
  <c r="E659" i="32" s="1"/>
  <c r="F659" i="32" s="1"/>
  <c r="T10516" i="8"/>
  <c r="E10512" i="8" s="1"/>
  <c r="E672" i="32" s="1"/>
  <c r="F672" i="32" s="1"/>
  <c r="T8741" i="8"/>
  <c r="E8737" i="8" s="1"/>
  <c r="E133" i="32" s="1"/>
  <c r="F133" i="32" s="1"/>
  <c r="T8895" i="8"/>
  <c r="E8891" i="8" s="1"/>
  <c r="E158" i="32" s="1"/>
  <c r="F158" i="32" s="1"/>
  <c r="T8943" i="8"/>
  <c r="E8939" i="8" s="1"/>
  <c r="E166" i="32" s="1"/>
  <c r="F166" i="32" s="1"/>
  <c r="T8995" i="8"/>
  <c r="E8991" i="8" s="1"/>
  <c r="E175" i="32" s="1"/>
  <c r="F175" i="32" s="1"/>
  <c r="T9043" i="8"/>
  <c r="E9039" i="8" s="1"/>
  <c r="E183" i="32" s="1"/>
  <c r="F183" i="32" s="1"/>
  <c r="T9565" i="8"/>
  <c r="E9561" i="8" s="1"/>
  <c r="E280" i="32" s="1"/>
  <c r="F280" i="32" s="1"/>
  <c r="T9692" i="8"/>
  <c r="E9688" i="8" s="1"/>
  <c r="E305" i="32" s="1"/>
  <c r="F305" i="32" s="1"/>
  <c r="T9754" i="8"/>
  <c r="E9750" i="8" s="1"/>
  <c r="E316" i="32" s="1"/>
  <c r="F316" i="32" s="1"/>
  <c r="T9844" i="8"/>
  <c r="E9840" i="8" s="1"/>
  <c r="E533" i="32" s="1"/>
  <c r="F533" i="32" s="1"/>
  <c r="T11266" i="8"/>
  <c r="E11262" i="8" s="1"/>
  <c r="E820" i="32" s="1"/>
  <c r="F820" i="32" s="1"/>
  <c r="T11376" i="8"/>
  <c r="E11372" i="8" s="1"/>
  <c r="E842" i="32" s="1"/>
  <c r="F842" i="32" s="1"/>
  <c r="T10201" i="8"/>
  <c r="E10197" i="8" s="1"/>
  <c r="E606" i="32" s="1"/>
  <c r="F606" i="32" s="1"/>
  <c r="T10271" i="8"/>
  <c r="E10267" i="8" s="1"/>
  <c r="E619" i="32" s="1"/>
  <c r="F619" i="32" s="1"/>
  <c r="T10918" i="8"/>
  <c r="AN10914" i="8" s="1"/>
  <c r="AO10914" i="8" s="1"/>
  <c r="T10978" i="8"/>
  <c r="E10974" i="8" s="1"/>
  <c r="E766" i="32" s="1"/>
  <c r="F766" i="32" s="1"/>
  <c r="T8022" i="8"/>
  <c r="E8014" i="8" s="1"/>
  <c r="T8102" i="8"/>
  <c r="E8094" i="8" s="1"/>
  <c r="T8255" i="8"/>
  <c r="E8251" i="8" s="1"/>
  <c r="E46" i="32" s="1"/>
  <c r="F46" i="32" s="1"/>
  <c r="T8307" i="8"/>
  <c r="E8303" i="8" s="1"/>
  <c r="E55" i="32" s="1"/>
  <c r="F55" i="32" s="1"/>
  <c r="T8479" i="8"/>
  <c r="E8475" i="8" s="1"/>
  <c r="E86" i="32" s="1"/>
  <c r="F86" i="32" s="1"/>
  <c r="T8653" i="8"/>
  <c r="E8649" i="8" s="1"/>
  <c r="E118" i="32" s="1"/>
  <c r="F118" i="32" s="1"/>
  <c r="T10484" i="8"/>
  <c r="E10480" i="8" s="1"/>
  <c r="E666" i="32" s="1"/>
  <c r="F666" i="32" s="1"/>
  <c r="T10604" i="8"/>
  <c r="E10600" i="8" s="1"/>
  <c r="E693" i="32" s="1"/>
  <c r="F693" i="32" s="1"/>
  <c r="T11250" i="8"/>
  <c r="E11246" i="8" s="1"/>
  <c r="E817" i="32" s="1"/>
  <c r="F817" i="32" s="1"/>
  <c r="T11448" i="8"/>
  <c r="T10338" i="8"/>
  <c r="E10334" i="8" s="1"/>
  <c r="E635" i="32" s="1"/>
  <c r="F635" i="32" s="1"/>
  <c r="T10420" i="8"/>
  <c r="E10416" i="8" s="1"/>
  <c r="E654" i="32" s="1"/>
  <c r="F654" i="32" s="1"/>
  <c r="T10756" i="8"/>
  <c r="AN10752" i="8" s="1"/>
  <c r="AO10752" i="8" s="1"/>
  <c r="T10660" i="8"/>
  <c r="E10656" i="8" s="1"/>
  <c r="E703" i="32" s="1"/>
  <c r="F703" i="32" s="1"/>
  <c r="T10724" i="8"/>
  <c r="E10720" i="8" s="1"/>
  <c r="E715" i="32" s="1"/>
  <c r="F715" i="32" s="1"/>
  <c r="T10906" i="8"/>
  <c r="AN10902" i="8" s="1"/>
  <c r="AO10902" i="8" s="1"/>
  <c r="T10962" i="8"/>
  <c r="E10958" i="8" s="1"/>
  <c r="E763" i="32" s="1"/>
  <c r="F763" i="32" s="1"/>
  <c r="T11082" i="8"/>
  <c r="E11078" i="8" s="1"/>
  <c r="E788" i="32" s="1"/>
  <c r="F788" i="32" s="1"/>
  <c r="T11146" i="8"/>
  <c r="E11142" i="8" s="1"/>
  <c r="E799" i="32" s="1"/>
  <c r="F799" i="32" s="1"/>
  <c r="T9138" i="8"/>
  <c r="E9134" i="8" s="1"/>
  <c r="E202" i="32" s="1"/>
  <c r="F202" i="32" s="1"/>
  <c r="T9166" i="8"/>
  <c r="E9162" i="8" s="1"/>
  <c r="E207" i="32" s="1"/>
  <c r="F207" i="32" s="1"/>
  <c r="T9309" i="8"/>
  <c r="E9305" i="8" s="1"/>
  <c r="E233" i="32" s="1"/>
  <c r="F233" i="32" s="1"/>
  <c r="T9333" i="8"/>
  <c r="E9329" i="8" s="1"/>
  <c r="E237" i="32" s="1"/>
  <c r="F237" i="32" s="1"/>
  <c r="T9361" i="8"/>
  <c r="E9357" i="8" s="1"/>
  <c r="E242" i="32" s="1"/>
  <c r="F242" i="32" s="1"/>
  <c r="T9385" i="8"/>
  <c r="E9381" i="8" s="1"/>
  <c r="E246" i="32" s="1"/>
  <c r="F246" i="32" s="1"/>
  <c r="T9409" i="8"/>
  <c r="E9405" i="8" s="1"/>
  <c r="E250" i="32" s="1"/>
  <c r="F250" i="32" s="1"/>
  <c r="T9480" i="8"/>
  <c r="E9476" i="8" s="1"/>
  <c r="E265" i="32" s="1"/>
  <c r="F265" i="32" s="1"/>
  <c r="T9508" i="8"/>
  <c r="E9504" i="8" s="1"/>
  <c r="E270" i="32" s="1"/>
  <c r="F270" i="32" s="1"/>
  <c r="T9900" i="8"/>
  <c r="E9896" i="8" s="1"/>
  <c r="E544" i="32" s="1"/>
  <c r="F544" i="32" s="1"/>
  <c r="T9936" i="8"/>
  <c r="E9932" i="8" s="1"/>
  <c r="E551" i="32" s="1"/>
  <c r="F551" i="32" s="1"/>
  <c r="T9984" i="8"/>
  <c r="E9980" i="8" s="1"/>
  <c r="E561" i="32" s="1"/>
  <c r="F561" i="32" s="1"/>
  <c r="T10157" i="8"/>
  <c r="E10153" i="8" s="1"/>
  <c r="E598" i="32" s="1"/>
  <c r="F598" i="32" s="1"/>
  <c r="T10195" i="8"/>
  <c r="E10191" i="8" s="1"/>
  <c r="E605" i="32" s="1"/>
  <c r="F605" i="32" s="1"/>
  <c r="T10010" i="8"/>
  <c r="E10006" i="8" s="1"/>
  <c r="E566" i="32" s="1"/>
  <c r="F566" i="32" s="1"/>
  <c r="T10046" i="8"/>
  <c r="E10042" i="8" s="1"/>
  <c r="E573" i="32" s="1"/>
  <c r="F573" i="32" s="1"/>
  <c r="T10105" i="8"/>
  <c r="E10101" i="8" s="1"/>
  <c r="E588" i="32" s="1"/>
  <c r="F588" i="32" s="1"/>
  <c r="T10147" i="8"/>
  <c r="E10143" i="8" s="1"/>
  <c r="E596" i="32" s="1"/>
  <c r="F596" i="32" s="1"/>
  <c r="T10217" i="8"/>
  <c r="E10213" i="8" s="1"/>
  <c r="E609" i="32" s="1"/>
  <c r="F609" i="32" s="1"/>
  <c r="T10255" i="8"/>
  <c r="E10251" i="8" s="1"/>
  <c r="E616" i="32" s="1"/>
  <c r="F616" i="32" s="1"/>
  <c r="T10302" i="8"/>
  <c r="E10298" i="8" s="1"/>
  <c r="E628" i="32" s="1"/>
  <c r="F628" i="32" s="1"/>
  <c r="T10364" i="8"/>
  <c r="T10610" i="8"/>
  <c r="T10598" i="8"/>
  <c r="T10680" i="8"/>
  <c r="T10626" i="8"/>
  <c r="E10622" i="8" s="1"/>
  <c r="E697" i="32" s="1"/>
  <c r="F697" i="32" s="1"/>
  <c r="T10654" i="8"/>
  <c r="E10650" i="8" s="1"/>
  <c r="E702" i="32" s="1"/>
  <c r="F702" i="32" s="1"/>
  <c r="T10686" i="8"/>
  <c r="T10714" i="8"/>
  <c r="E10710" i="8" s="1"/>
  <c r="E713" i="32" s="1"/>
  <c r="F713" i="32" s="1"/>
  <c r="T10742" i="8"/>
  <c r="E10738" i="8" s="1"/>
  <c r="E718" i="32" s="1"/>
  <c r="F718" i="32" s="1"/>
  <c r="T10778" i="8"/>
  <c r="E10774" i="8" s="1"/>
  <c r="E725" i="32" s="1"/>
  <c r="F725" i="32" s="1"/>
  <c r="T10820" i="8"/>
  <c r="T10934" i="8"/>
  <c r="E10930" i="8" s="1"/>
  <c r="E758" i="32" s="1"/>
  <c r="F758" i="32" s="1"/>
  <c r="T11174" i="8"/>
  <c r="E11170" i="8" s="1"/>
  <c r="E804" i="32" s="1"/>
  <c r="F804" i="32" s="1"/>
  <c r="T11060" i="8"/>
  <c r="E11056" i="8" s="1"/>
  <c r="E784" i="32" s="1"/>
  <c r="F784" i="32" s="1"/>
  <c r="T11088" i="8"/>
  <c r="E11084" i="8" s="1"/>
  <c r="E789" i="32" s="1"/>
  <c r="F789" i="32" s="1"/>
  <c r="T11152" i="8"/>
  <c r="E11148" i="8" s="1"/>
  <c r="E800" i="32" s="1"/>
  <c r="F800" i="32" s="1"/>
  <c r="T11180" i="8"/>
  <c r="E11176" i="8" s="1"/>
  <c r="E805" i="32" s="1"/>
  <c r="F805" i="32" s="1"/>
  <c r="T11256" i="8"/>
  <c r="E11252" i="8" s="1"/>
  <c r="E818" i="32" s="1"/>
  <c r="F818" i="32" s="1"/>
  <c r="T11284" i="8"/>
  <c r="T11354" i="8"/>
  <c r="E11350" i="8" s="1"/>
  <c r="E838" i="32" s="1"/>
  <c r="F838" i="32" s="1"/>
  <c r="T11382" i="8"/>
  <c r="T8042" i="8"/>
  <c r="T8082" i="8"/>
  <c r="T8122" i="8"/>
  <c r="T8319" i="8"/>
  <c r="E8315" i="8" s="1"/>
  <c r="E57" i="32" s="1"/>
  <c r="F57" i="32" s="1"/>
  <c r="T8343" i="8"/>
  <c r="E8339" i="8" s="1"/>
  <c r="E61" i="32" s="1"/>
  <c r="F61" i="32" s="1"/>
  <c r="T8443" i="8"/>
  <c r="E8439" i="8" s="1"/>
  <c r="E80" i="32" s="1"/>
  <c r="F80" i="32" s="1"/>
  <c r="T8052" i="8"/>
  <c r="T8092" i="8"/>
  <c r="T8132" i="8"/>
  <c r="T8249" i="8"/>
  <c r="E8245" i="8" s="1"/>
  <c r="E45" i="32" s="1"/>
  <c r="F45" i="32" s="1"/>
  <c r="T8273" i="8"/>
  <c r="E8269" i="8" s="1"/>
  <c r="E49" i="32" s="1"/>
  <c r="F49" i="32" s="1"/>
  <c r="T8301" i="8"/>
  <c r="E8297" i="8" s="1"/>
  <c r="E54" i="32" s="1"/>
  <c r="F54" i="32" s="1"/>
  <c r="T8325" i="8"/>
  <c r="E8321" i="8" s="1"/>
  <c r="E58" i="32" s="1"/>
  <c r="F58" i="32" s="1"/>
  <c r="T8349" i="8"/>
  <c r="E8345" i="8" s="1"/>
  <c r="E62" i="32" s="1"/>
  <c r="F62" i="32" s="1"/>
  <c r="T8449" i="8"/>
  <c r="E8445" i="8" s="1"/>
  <c r="E81" i="32" s="1"/>
  <c r="F81" i="32" s="1"/>
  <c r="T8473" i="8"/>
  <c r="E8469" i="8" s="1"/>
  <c r="E85" i="32" s="1"/>
  <c r="F85" i="32" s="1"/>
  <c r="T8497" i="8"/>
  <c r="E8493" i="8" s="1"/>
  <c r="E89" i="32" s="1"/>
  <c r="F89" i="32" s="1"/>
  <c r="T8525" i="8"/>
  <c r="E8521" i="8" s="1"/>
  <c r="E94" i="32" s="1"/>
  <c r="F94" i="32" s="1"/>
  <c r="T8549" i="8"/>
  <c r="E8545" i="8" s="1"/>
  <c r="E98" i="32" s="1"/>
  <c r="F98" i="32" s="1"/>
  <c r="T8647" i="8"/>
  <c r="E8643" i="8" s="1"/>
  <c r="E117" i="32" s="1"/>
  <c r="F117" i="32" s="1"/>
  <c r="T8671" i="8"/>
  <c r="E8667" i="8" s="1"/>
  <c r="E121" i="32" s="1"/>
  <c r="F121" i="32" s="1"/>
  <c r="T8711" i="8"/>
  <c r="E8707" i="8" s="1"/>
  <c r="E128" i="32" s="1"/>
  <c r="F128" i="32" s="1"/>
  <c r="T8735" i="8"/>
  <c r="E8731" i="8" s="1"/>
  <c r="E132" i="32" s="1"/>
  <c r="F132" i="32" s="1"/>
  <c r="T8885" i="8"/>
  <c r="T8913" i="8"/>
  <c r="E8909" i="8" s="1"/>
  <c r="E161" i="32" s="1"/>
  <c r="F161" i="32" s="1"/>
  <c r="T8937" i="8"/>
  <c r="E8933" i="8" s="1"/>
  <c r="E165" i="32" s="1"/>
  <c r="F165" i="32" s="1"/>
  <c r="T8961" i="8"/>
  <c r="E8957" i="8" s="1"/>
  <c r="E169" i="32" s="1"/>
  <c r="F169" i="32" s="1"/>
  <c r="T8989" i="8"/>
  <c r="E8985" i="8" s="1"/>
  <c r="E174" i="32" s="1"/>
  <c r="F174" i="32" s="1"/>
  <c r="T9013" i="8"/>
  <c r="E9009" i="8" s="1"/>
  <c r="E178" i="32" s="1"/>
  <c r="F178" i="32" s="1"/>
  <c r="T9037" i="8"/>
  <c r="E9033" i="8" s="1"/>
  <c r="E182" i="32" s="1"/>
  <c r="F182" i="32" s="1"/>
  <c r="T9061" i="8"/>
  <c r="E9057" i="8" s="1"/>
  <c r="E186" i="32" s="1"/>
  <c r="F186" i="32" s="1"/>
  <c r="T9132" i="8"/>
  <c r="E9128" i="8" s="1"/>
  <c r="E201" i="32" s="1"/>
  <c r="F201" i="32" s="1"/>
  <c r="T9160" i="8"/>
  <c r="E9156" i="8" s="1"/>
  <c r="E206" i="32" s="1"/>
  <c r="F206" i="32" s="1"/>
  <c r="T9184" i="8"/>
  <c r="E9180" i="8" s="1"/>
  <c r="E210" i="32" s="1"/>
  <c r="F210" i="32" s="1"/>
  <c r="T9303" i="8"/>
  <c r="E9299" i="8" s="1"/>
  <c r="E232" i="32" s="1"/>
  <c r="F232" i="32" s="1"/>
  <c r="T9327" i="8"/>
  <c r="E9323" i="8" s="1"/>
  <c r="E236" i="32" s="1"/>
  <c r="F236" i="32" s="1"/>
  <c r="T9351" i="8"/>
  <c r="E9347" i="8" s="1"/>
  <c r="E240" i="32" s="1"/>
  <c r="F240" i="32" s="1"/>
  <c r="T9379" i="8"/>
  <c r="E9375" i="8" s="1"/>
  <c r="E245" i="32" s="1"/>
  <c r="F245" i="32" s="1"/>
  <c r="T9403" i="8"/>
  <c r="E9399" i="8" s="1"/>
  <c r="E249" i="32" s="1"/>
  <c r="F249" i="32" s="1"/>
  <c r="T9474" i="8"/>
  <c r="E9470" i="8" s="1"/>
  <c r="E264" i="32" s="1"/>
  <c r="F264" i="32" s="1"/>
  <c r="T9502" i="8"/>
  <c r="E9498" i="8" s="1"/>
  <c r="E269" i="32" s="1"/>
  <c r="F269" i="32" s="1"/>
  <c r="T9906" i="8"/>
  <c r="E9902" i="8" s="1"/>
  <c r="E545" i="32" s="1"/>
  <c r="F545" i="32" s="1"/>
  <c r="T9978" i="8"/>
  <c r="E9974" i="8" s="1"/>
  <c r="E560" i="32" s="1"/>
  <c r="F560" i="32" s="1"/>
  <c r="T9520" i="8"/>
  <c r="E9516" i="8" s="1"/>
  <c r="E272" i="32" s="1"/>
  <c r="F272" i="32" s="1"/>
  <c r="T9587" i="8"/>
  <c r="E9583" i="8" s="1"/>
  <c r="E284" i="32" s="1"/>
  <c r="F284" i="32" s="1"/>
  <c r="T9658" i="8"/>
  <c r="E9654" i="8" s="1"/>
  <c r="E299" i="32" s="1"/>
  <c r="F299" i="32" s="1"/>
  <c r="T9682" i="8"/>
  <c r="E9678" i="8" s="1"/>
  <c r="E303" i="32" s="1"/>
  <c r="F303" i="32" s="1"/>
  <c r="T9710" i="8"/>
  <c r="E9706" i="8" s="1"/>
  <c r="E308" i="32" s="1"/>
  <c r="F308" i="32" s="1"/>
  <c r="T9748" i="8"/>
  <c r="E9744" i="8" s="1"/>
  <c r="E315" i="32" s="1"/>
  <c r="F315" i="32" s="1"/>
  <c r="T9780" i="8"/>
  <c r="E9776" i="8" s="1"/>
  <c r="E321" i="32" s="1"/>
  <c r="F321" i="32" s="1"/>
  <c r="T9834" i="8"/>
  <c r="E9830" i="8" s="1"/>
  <c r="E531" i="32" s="1"/>
  <c r="F531" i="32" s="1"/>
  <c r="T9874" i="8"/>
  <c r="E9870" i="8" s="1"/>
  <c r="E539" i="32" s="1"/>
  <c r="F539" i="32" s="1"/>
  <c r="T10265" i="8"/>
  <c r="E10261" i="8" s="1"/>
  <c r="E618" i="32" s="1"/>
  <c r="F618" i="32" s="1"/>
  <c r="T10312" i="8"/>
  <c r="E10308" i="8" s="1"/>
  <c r="E630" i="32" s="1"/>
  <c r="F630" i="32" s="1"/>
  <c r="T10344" i="8"/>
  <c r="T10394" i="8"/>
  <c r="T10568" i="8"/>
  <c r="E10564" i="8" s="1"/>
  <c r="E686" i="32" s="1"/>
  <c r="F686" i="32" s="1"/>
  <c r="T10432" i="8"/>
  <c r="E10428" i="8" s="1"/>
  <c r="E656" i="32" s="1"/>
  <c r="F656" i="32" s="1"/>
  <c r="T10460" i="8"/>
  <c r="E10456" i="8" s="1"/>
  <c r="E661" i="32" s="1"/>
  <c r="F661" i="32" s="1"/>
  <c r="T10504" i="8"/>
  <c r="T10442" i="8"/>
  <c r="E10438" i="8" s="1"/>
  <c r="E658" i="32" s="1"/>
  <c r="F658" i="32" s="1"/>
  <c r="T10474" i="8"/>
  <c r="T10510" i="8"/>
  <c r="E10506" i="8" s="1"/>
  <c r="E671" i="32" s="1"/>
  <c r="F671" i="32" s="1"/>
  <c r="T10592" i="8"/>
  <c r="T10708" i="8"/>
  <c r="E10704" i="8" s="1"/>
  <c r="E712" i="32" s="1"/>
  <c r="F712" i="32" s="1"/>
  <c r="T10830" i="8"/>
  <c r="E10826" i="8" s="1"/>
  <c r="E738" i="32" s="1"/>
  <c r="F738" i="32" s="1"/>
  <c r="T10872" i="8"/>
  <c r="T10912" i="8"/>
  <c r="T10940" i="8"/>
  <c r="E10936" i="8" s="1"/>
  <c r="E759" i="32" s="1"/>
  <c r="F759" i="32" s="1"/>
  <c r="T10968" i="8"/>
  <c r="E10964" i="8" s="1"/>
  <c r="E764" i="32" s="1"/>
  <c r="F764" i="32" s="1"/>
  <c r="T11342" i="8"/>
  <c r="E11338" i="8" s="1"/>
  <c r="E836" i="32" s="1"/>
  <c r="F836" i="32" s="1"/>
  <c r="T8699" i="8"/>
  <c r="E8695" i="8" s="1"/>
  <c r="E126" i="32" s="1"/>
  <c r="F126" i="32" s="1"/>
  <c r="T10095" i="8"/>
  <c r="E10091" i="8" s="1"/>
  <c r="E586" i="32" s="1"/>
  <c r="F586" i="32" s="1"/>
  <c r="T9880" i="8"/>
  <c r="E9876" i="8" s="1"/>
  <c r="E540" i="32" s="1"/>
  <c r="F540" i="32" s="1"/>
  <c r="T9924" i="8"/>
  <c r="E9920" i="8" s="1"/>
  <c r="E549" i="32" s="1"/>
  <c r="F549" i="32" s="1"/>
  <c r="T9960" i="8"/>
  <c r="E9956" i="8" s="1"/>
  <c r="E556" i="32" s="1"/>
  <c r="F556" i="32" s="1"/>
  <c r="T10141" i="8"/>
  <c r="E10137" i="8" s="1"/>
  <c r="E595" i="32" s="1"/>
  <c r="F595" i="32" s="1"/>
  <c r="T10030" i="8"/>
  <c r="E10026" i="8" s="1"/>
  <c r="E570" i="32" s="1"/>
  <c r="F570" i="32" s="1"/>
  <c r="T10163" i="8"/>
  <c r="E10159" i="8" s="1"/>
  <c r="E599" i="32" s="1"/>
  <c r="F599" i="32" s="1"/>
  <c r="T10326" i="8"/>
  <c r="E10322" i="8" s="1"/>
  <c r="E633" i="32" s="1"/>
  <c r="F633" i="32" s="1"/>
  <c r="T10350" i="8"/>
  <c r="T10692" i="8"/>
  <c r="T10620" i="8"/>
  <c r="E10616" i="8" s="1"/>
  <c r="E696" i="32" s="1"/>
  <c r="F696" i="32" s="1"/>
  <c r="T10736" i="8"/>
  <c r="E10732" i="8" s="1"/>
  <c r="E717" i="32" s="1"/>
  <c r="F717" i="32" s="1"/>
  <c r="T10578" i="8"/>
  <c r="E10574" i="8" s="1"/>
  <c r="E688" i="32" s="1"/>
  <c r="F688" i="32" s="1"/>
  <c r="T10638" i="8"/>
  <c r="E10634" i="8" s="1"/>
  <c r="E699" i="32" s="1"/>
  <c r="F699" i="32" s="1"/>
  <c r="T10666" i="8"/>
  <c r="E10662" i="8" s="1"/>
  <c r="E704" i="32" s="1"/>
  <c r="F704" i="32" s="1"/>
  <c r="T10702" i="8"/>
  <c r="E10698" i="8" s="1"/>
  <c r="E711" i="32" s="1"/>
  <c r="F711" i="32" s="1"/>
  <c r="T10730" i="8"/>
  <c r="E10726" i="8" s="1"/>
  <c r="E716" i="32" s="1"/>
  <c r="F716" i="32" s="1"/>
  <c r="T10762" i="8"/>
  <c r="T10794" i="8"/>
  <c r="E10790" i="8" s="1"/>
  <c r="E728" i="32" s="1"/>
  <c r="F728" i="32" s="1"/>
  <c r="T10836" i="8"/>
  <c r="E10832" i="8" s="1"/>
  <c r="E739" i="32" s="1"/>
  <c r="F739" i="32" s="1"/>
  <c r="T10950" i="8"/>
  <c r="E10946" i="8" s="1"/>
  <c r="E761" i="32" s="1"/>
  <c r="F761" i="32" s="1"/>
  <c r="T11066" i="8"/>
  <c r="E11062" i="8" s="1"/>
  <c r="E785" i="32" s="1"/>
  <c r="F785" i="32" s="1"/>
  <c r="T11094" i="8"/>
  <c r="T11158" i="8"/>
  <c r="E11154" i="8" s="1"/>
  <c r="E801" i="32" s="1"/>
  <c r="F801" i="32" s="1"/>
  <c r="T11048" i="8"/>
  <c r="E11044" i="8" s="1"/>
  <c r="E782" i="32" s="1"/>
  <c r="F782" i="32" s="1"/>
  <c r="T11076" i="8"/>
  <c r="E11072" i="8" s="1"/>
  <c r="E787" i="32" s="1"/>
  <c r="F787" i="32" s="1"/>
  <c r="T11100" i="8"/>
  <c r="E11096" i="8" s="1"/>
  <c r="E791" i="32" s="1"/>
  <c r="F791" i="32" s="1"/>
  <c r="T11186" i="8"/>
  <c r="E11182" i="8" s="1"/>
  <c r="E806" i="32" s="1"/>
  <c r="F806" i="32" s="1"/>
  <c r="T11164" i="8"/>
  <c r="E11160" i="8" s="1"/>
  <c r="E802" i="32" s="1"/>
  <c r="F802" i="32" s="1"/>
  <c r="T11192" i="8"/>
  <c r="T11244" i="8"/>
  <c r="E11240" i="8" s="1"/>
  <c r="E816" i="32" s="1"/>
  <c r="F816" i="32" s="1"/>
  <c r="T11272" i="8"/>
  <c r="E11268" i="8" s="1"/>
  <c r="E821" i="32" s="1"/>
  <c r="F821" i="32" s="1"/>
  <c r="T11370" i="8"/>
  <c r="E11366" i="8" s="1"/>
  <c r="E841" i="32" s="1"/>
  <c r="F841" i="32" s="1"/>
  <c r="T11400" i="8"/>
  <c r="T8531" i="8"/>
  <c r="E8527" i="8" s="1"/>
  <c r="E95" i="32" s="1"/>
  <c r="F95" i="32" s="1"/>
  <c r="T8032" i="8"/>
  <c r="T8072" i="8"/>
  <c r="T8112" i="8"/>
  <c r="T8261" i="8"/>
  <c r="E8257" i="8" s="1"/>
  <c r="E47" i="32" s="1"/>
  <c r="F47" i="32" s="1"/>
  <c r="T8285" i="8"/>
  <c r="E8281" i="8" s="1"/>
  <c r="E51" i="32" s="1"/>
  <c r="F51" i="32" s="1"/>
  <c r="T8313" i="8"/>
  <c r="E8309" i="8" s="1"/>
  <c r="E56" i="32" s="1"/>
  <c r="F56" i="32" s="1"/>
  <c r="T8337" i="8"/>
  <c r="E8333" i="8" s="1"/>
  <c r="E60" i="32" s="1"/>
  <c r="F60" i="32" s="1"/>
  <c r="T8461" i="8"/>
  <c r="E8457" i="8" s="1"/>
  <c r="E83" i="32" s="1"/>
  <c r="F83" i="32" s="1"/>
  <c r="T8485" i="8"/>
  <c r="E8481" i="8" s="1"/>
  <c r="E87" i="32" s="1"/>
  <c r="F87" i="32" s="1"/>
  <c r="T8513" i="8"/>
  <c r="E8509" i="8" s="1"/>
  <c r="E92" i="32" s="1"/>
  <c r="F92" i="32" s="1"/>
  <c r="T8537" i="8"/>
  <c r="E8533" i="8" s="1"/>
  <c r="E96" i="32" s="1"/>
  <c r="F96" i="32" s="1"/>
  <c r="T8561" i="8"/>
  <c r="E8557" i="8" s="1"/>
  <c r="E100" i="32" s="1"/>
  <c r="F100" i="32" s="1"/>
  <c r="T8659" i="8"/>
  <c r="E8655" i="8" s="1"/>
  <c r="E119" i="32" s="1"/>
  <c r="F119" i="32" s="1"/>
  <c r="T8683" i="8"/>
  <c r="E8679" i="8" s="1"/>
  <c r="E123" i="32" s="1"/>
  <c r="F123" i="32" s="1"/>
  <c r="T8705" i="8"/>
  <c r="E8701" i="8" s="1"/>
  <c r="E127" i="32" s="1"/>
  <c r="F127" i="32" s="1"/>
  <c r="T8729" i="8"/>
  <c r="E8725" i="8" s="1"/>
  <c r="E131" i="32" s="1"/>
  <c r="F131" i="32" s="1"/>
  <c r="T8869" i="8"/>
  <c r="T8907" i="8"/>
  <c r="E8903" i="8" s="1"/>
  <c r="E160" i="32" s="1"/>
  <c r="F160" i="32" s="1"/>
  <c r="T8931" i="8"/>
  <c r="E8927" i="8" s="1"/>
  <c r="E164" i="32" s="1"/>
  <c r="F164" i="32" s="1"/>
  <c r="T8955" i="8"/>
  <c r="E8951" i="8" s="1"/>
  <c r="E168" i="32" s="1"/>
  <c r="F168" i="32" s="1"/>
  <c r="T8983" i="8"/>
  <c r="E8979" i="8" s="1"/>
  <c r="E173" i="32" s="1"/>
  <c r="F173" i="32" s="1"/>
  <c r="T9007" i="8"/>
  <c r="E9003" i="8" s="1"/>
  <c r="E177" i="32" s="1"/>
  <c r="F177" i="32" s="1"/>
  <c r="T9031" i="8"/>
  <c r="E9027" i="8" s="1"/>
  <c r="E181" i="32" s="1"/>
  <c r="F181" i="32" s="1"/>
  <c r="T9055" i="8"/>
  <c r="E9051" i="8" s="1"/>
  <c r="E185" i="32" s="1"/>
  <c r="F185" i="32" s="1"/>
  <c r="T8723" i="8"/>
  <c r="E8719" i="8" s="1"/>
  <c r="E130" i="32" s="1"/>
  <c r="F130" i="32" s="1"/>
  <c r="T8747" i="8"/>
  <c r="E8743" i="8" s="1"/>
  <c r="E134" i="32" s="1"/>
  <c r="F134" i="32" s="1"/>
  <c r="T8901" i="8"/>
  <c r="E8897" i="8" s="1"/>
  <c r="E159" i="32" s="1"/>
  <c r="F159" i="32" s="1"/>
  <c r="T8925" i="8"/>
  <c r="E8921" i="8" s="1"/>
  <c r="E163" i="32" s="1"/>
  <c r="F163" i="32" s="1"/>
  <c r="T8949" i="8"/>
  <c r="E8945" i="8" s="1"/>
  <c r="E167" i="32" s="1"/>
  <c r="F167" i="32" s="1"/>
  <c r="T8977" i="8"/>
  <c r="E8973" i="8" s="1"/>
  <c r="E172" i="32" s="1"/>
  <c r="F172" i="32" s="1"/>
  <c r="T9001" i="8"/>
  <c r="E8997" i="8" s="1"/>
  <c r="E176" i="32" s="1"/>
  <c r="F176" i="32" s="1"/>
  <c r="T9025" i="8"/>
  <c r="E9021" i="8" s="1"/>
  <c r="E180" i="32" s="1"/>
  <c r="F180" i="32" s="1"/>
  <c r="T9049" i="8"/>
  <c r="E9045" i="8" s="1"/>
  <c r="E184" i="32" s="1"/>
  <c r="F184" i="32" s="1"/>
  <c r="T9144" i="8"/>
  <c r="E9140" i="8" s="1"/>
  <c r="E203" i="32" s="1"/>
  <c r="F203" i="32" s="1"/>
  <c r="T9172" i="8"/>
  <c r="E9168" i="8" s="1"/>
  <c r="E208" i="32" s="1"/>
  <c r="F208" i="32" s="1"/>
  <c r="T9315" i="8"/>
  <c r="E9311" i="8" s="1"/>
  <c r="E234" i="32" s="1"/>
  <c r="F234" i="32" s="1"/>
  <c r="T9339" i="8"/>
  <c r="E9335" i="8" s="1"/>
  <c r="E238" i="32" s="1"/>
  <c r="F238" i="32" s="1"/>
  <c r="T9367" i="8"/>
  <c r="E9363" i="8" s="1"/>
  <c r="E243" i="32" s="1"/>
  <c r="F243" i="32" s="1"/>
  <c r="T9391" i="8"/>
  <c r="E9387" i="8" s="1"/>
  <c r="E247" i="32" s="1"/>
  <c r="F247" i="32" s="1"/>
  <c r="T9486" i="8"/>
  <c r="E9482" i="8" s="1"/>
  <c r="E266" i="32" s="1"/>
  <c r="F266" i="32" s="1"/>
  <c r="T9514" i="8"/>
  <c r="E9510" i="8" s="1"/>
  <c r="E271" i="32" s="1"/>
  <c r="F271" i="32" s="1"/>
  <c r="T9577" i="8"/>
  <c r="E9573" i="8" s="1"/>
  <c r="E282" i="32" s="1"/>
  <c r="F282" i="32" s="1"/>
  <c r="T9676" i="8"/>
  <c r="E9672" i="8" s="1"/>
  <c r="E302" i="32" s="1"/>
  <c r="F302" i="32" s="1"/>
  <c r="T9704" i="8"/>
  <c r="E9700" i="8" s="1"/>
  <c r="E307" i="32" s="1"/>
  <c r="F307" i="32" s="1"/>
  <c r="T9770" i="8"/>
  <c r="E9766" i="8" s="1"/>
  <c r="E319" i="32" s="1"/>
  <c r="F319" i="32" s="1"/>
  <c r="T9828" i="8"/>
  <c r="E9824" i="8" s="1"/>
  <c r="E530" i="32" s="1"/>
  <c r="F530" i="32" s="1"/>
  <c r="T9856" i="8"/>
  <c r="E9852" i="8" s="1"/>
  <c r="E535" i="32" s="1"/>
  <c r="F535" i="32" s="1"/>
  <c r="T9990" i="8"/>
  <c r="E9986" i="8" s="1"/>
  <c r="E562" i="32" s="1"/>
  <c r="F562" i="32" s="1"/>
  <c r="T9894" i="8"/>
  <c r="E9890" i="8" s="1"/>
  <c r="E543" i="32" s="1"/>
  <c r="F543" i="32" s="1"/>
  <c r="T9571" i="8"/>
  <c r="E9567" i="8" s="1"/>
  <c r="E281" i="32" s="1"/>
  <c r="F281" i="32" s="1"/>
  <c r="T9599" i="8"/>
  <c r="E9595" i="8" s="1"/>
  <c r="E286" i="32" s="1"/>
  <c r="F286" i="32" s="1"/>
  <c r="T9670" i="8"/>
  <c r="E9666" i="8" s="1"/>
  <c r="E301" i="32" s="1"/>
  <c r="F301" i="32" s="1"/>
  <c r="T9698" i="8"/>
  <c r="E9694" i="8" s="1"/>
  <c r="E306" i="32" s="1"/>
  <c r="F306" i="32" s="1"/>
  <c r="T9764" i="8"/>
  <c r="E9760" i="8" s="1"/>
  <c r="E318" i="32" s="1"/>
  <c r="F318" i="32" s="1"/>
  <c r="T9794" i="8"/>
  <c r="T9850" i="8"/>
  <c r="E9846" i="8" s="1"/>
  <c r="E534" i="32" s="1"/>
  <c r="F534" i="32" s="1"/>
  <c r="T9954" i="8"/>
  <c r="E9950" i="8" s="1"/>
  <c r="E555" i="32" s="1"/>
  <c r="F555" i="32" s="1"/>
  <c r="T10004" i="8"/>
  <c r="E10000" i="8" s="1"/>
  <c r="E565" i="32" s="1"/>
  <c r="F565" i="32" s="1"/>
  <c r="T10211" i="8"/>
  <c r="E10207" i="8" s="1"/>
  <c r="E608" i="32" s="1"/>
  <c r="F608" i="32" s="1"/>
  <c r="T10249" i="8"/>
  <c r="E10245" i="8" s="1"/>
  <c r="E615" i="32" s="1"/>
  <c r="F615" i="32" s="1"/>
  <c r="T10332" i="8"/>
  <c r="E10328" i="8" s="1"/>
  <c r="E634" i="32" s="1"/>
  <c r="F634" i="32" s="1"/>
  <c r="T10356" i="8"/>
  <c r="E10352" i="8" s="1"/>
  <c r="E638" i="32" s="1"/>
  <c r="F638" i="32" s="1"/>
  <c r="T10410" i="8"/>
  <c r="T10788" i="8"/>
  <c r="E10784" i="8" s="1"/>
  <c r="E727" i="32" s="1"/>
  <c r="F727" i="32" s="1"/>
  <c r="T10426" i="8"/>
  <c r="E10422" i="8" s="1"/>
  <c r="E655" i="32" s="1"/>
  <c r="F655" i="32" s="1"/>
  <c r="T10454" i="8"/>
  <c r="E10450" i="8" s="1"/>
  <c r="E660" i="32" s="1"/>
  <c r="F660" i="32" s="1"/>
  <c r="T10494" i="8"/>
  <c r="E10490" i="8" s="1"/>
  <c r="E668" i="32" s="1"/>
  <c r="F668" i="32" s="1"/>
  <c r="T10524" i="8"/>
  <c r="T10648" i="8"/>
  <c r="E10644" i="8" s="1"/>
  <c r="E701" i="32" s="1"/>
  <c r="F701" i="32" s="1"/>
  <c r="T10772" i="8"/>
  <c r="E10768" i="8" s="1"/>
  <c r="E724" i="32" s="1"/>
  <c r="F724" i="32" s="1"/>
  <c r="T10814" i="8"/>
  <c r="T10846" i="8"/>
  <c r="E10842" i="8" s="1"/>
  <c r="E741" i="32" s="1"/>
  <c r="F741" i="32" s="1"/>
  <c r="T10892" i="8"/>
  <c r="E10888" i="8" s="1"/>
  <c r="E750" i="32" s="1"/>
  <c r="F750" i="32" s="1"/>
  <c r="T10928" i="8"/>
  <c r="E10924" i="8" s="1"/>
  <c r="E757" i="32" s="1"/>
  <c r="F757" i="32" s="1"/>
  <c r="T10956" i="8"/>
  <c r="E10952" i="8" s="1"/>
  <c r="E762" i="32" s="1"/>
  <c r="F762" i="32" s="1"/>
  <c r="T10986" i="8"/>
  <c r="T11278" i="8"/>
  <c r="E11274" i="8" s="1"/>
  <c r="E822" i="32" s="1"/>
  <c r="F822" i="32" s="1"/>
  <c r="T11336" i="8"/>
  <c r="E11332" i="8" s="1"/>
  <c r="E835" i="32" s="1"/>
  <c r="F835" i="32" s="1"/>
  <c r="T11364" i="8"/>
  <c r="E11360" i="8" s="1"/>
  <c r="E840" i="32" s="1"/>
  <c r="F840" i="32" s="1"/>
  <c r="T11392" i="8"/>
  <c r="E11388" i="8" s="1"/>
  <c r="E845" i="32" s="1"/>
  <c r="F845" i="32" s="1"/>
  <c r="T7988" i="8"/>
  <c r="T7998" i="8"/>
  <c r="T7958" i="8"/>
  <c r="E7950" i="8" s="1"/>
  <c r="T7944" i="8"/>
  <c r="T7978" i="8"/>
  <c r="T7968" i="8"/>
  <c r="T7934" i="8"/>
  <c r="AN7926" i="8" s="1"/>
  <c r="T7914" i="8"/>
  <c r="E7906" i="8" s="1"/>
  <c r="E1569" i="28" s="1"/>
  <c r="AG165" i="8"/>
  <c r="AH165" i="8" s="1"/>
  <c r="T7924" i="8"/>
  <c r="T7904" i="8"/>
  <c r="T6891" i="8"/>
  <c r="T6715" i="8"/>
  <c r="T7239" i="8"/>
  <c r="T6851" i="8"/>
  <c r="T7829" i="8"/>
  <c r="T7208" i="8"/>
  <c r="T7483" i="8"/>
  <c r="T7449" i="8"/>
  <c r="T7020" i="8"/>
  <c r="E7016" i="8" s="1"/>
  <c r="T6909" i="8"/>
  <c r="T7606" i="8"/>
  <c r="T6721" i="8"/>
  <c r="T7799" i="8"/>
  <c r="T7867" i="8"/>
  <c r="E7863" i="8" s="1"/>
  <c r="T4504" i="8"/>
  <c r="E4498" i="8" s="1"/>
  <c r="E985" i="28" s="1"/>
  <c r="F985" i="28" s="1"/>
  <c r="T5057" i="8"/>
  <c r="E5053" i="8" s="1"/>
  <c r="E1077" i="28" s="1"/>
  <c r="F1077" i="28" s="1"/>
  <c r="T5039" i="8"/>
  <c r="T7112" i="8"/>
  <c r="T6681" i="8"/>
  <c r="T6790" i="8"/>
  <c r="T7273" i="8"/>
  <c r="T6796" i="8"/>
  <c r="T6833" i="8"/>
  <c r="T6915" i="8"/>
  <c r="E6911" i="8" s="1"/>
  <c r="T7415" i="8"/>
  <c r="T7366" i="8"/>
  <c r="T6946" i="8"/>
  <c r="T396" i="8"/>
  <c r="T6388" i="8"/>
  <c r="T4983" i="8"/>
  <c r="E4975" i="8" s="1"/>
  <c r="T4856" i="8"/>
  <c r="E4852" i="8" s="1"/>
  <c r="T4704" i="8"/>
  <c r="E4698" i="8" s="1"/>
  <c r="E1017" i="28" s="1"/>
  <c r="F1017" i="28" s="1"/>
  <c r="T4681" i="8"/>
  <c r="E4675" i="8" s="1"/>
  <c r="E1014" i="28" s="1"/>
  <c r="F1014" i="28" s="1"/>
  <c r="T6778" i="8"/>
  <c r="T7612" i="8"/>
  <c r="T7354" i="8"/>
  <c r="T7572" i="8"/>
  <c r="E7568" i="8" s="1"/>
  <c r="T7162" i="8"/>
  <c r="T7263" i="8"/>
  <c r="T5051" i="8"/>
  <c r="AN5047" i="8" s="1"/>
  <c r="T6402" i="8"/>
  <c r="E6397" i="8" s="1"/>
  <c r="E1285" i="28" s="1"/>
  <c r="F1285" i="28" s="1"/>
  <c r="T6998" i="8"/>
  <c r="T6752" i="8"/>
  <c r="T6875" i="8"/>
  <c r="T7550" i="8"/>
  <c r="T7787" i="8"/>
  <c r="T5033" i="8"/>
  <c r="AN5029" i="8" s="1"/>
  <c r="T446" i="8"/>
  <c r="T171" i="8"/>
  <c r="AG138" i="8"/>
  <c r="T3707" i="8"/>
  <c r="AN3703" i="8" s="1"/>
  <c r="T199" i="8"/>
  <c r="E195" i="8" s="1"/>
  <c r="E320" i="28" s="1"/>
  <c r="T156" i="8"/>
  <c r="E141" i="8" s="1"/>
  <c r="T62" i="8"/>
  <c r="AN58" i="8" s="1"/>
  <c r="T176" i="8"/>
  <c r="E172" i="8" s="1"/>
  <c r="T161" i="8"/>
  <c r="T541" i="8"/>
  <c r="T256" i="8"/>
  <c r="T296" i="8"/>
  <c r="T549" i="8"/>
  <c r="T3865" i="8"/>
  <c r="T286" i="8"/>
  <c r="T4689" i="8"/>
  <c r="AN4683" i="8" s="1"/>
  <c r="T80" i="8"/>
  <c r="T4513" i="8"/>
  <c r="T7409" i="8"/>
  <c r="T7403" i="8"/>
  <c r="T7544" i="8"/>
  <c r="T326" i="8"/>
  <c r="T3614" i="8"/>
  <c r="T4132" i="8"/>
  <c r="T4327" i="8"/>
  <c r="T6611" i="8"/>
  <c r="T6845" i="8"/>
  <c r="T7477" i="8"/>
  <c r="T7600" i="8"/>
  <c r="E7596" i="8" s="1"/>
  <c r="T7285" i="8"/>
  <c r="T7652" i="8"/>
  <c r="T7775" i="8"/>
  <c r="T416" i="8"/>
  <c r="T356" i="8"/>
  <c r="T86" i="8"/>
  <c r="T266" i="8"/>
  <c r="T92" i="8"/>
  <c r="T5151" i="8"/>
  <c r="T6381" i="8"/>
  <c r="T7461" i="8"/>
  <c r="T426" i="8"/>
  <c r="T116" i="8"/>
  <c r="T3447" i="8"/>
  <c r="T1074" i="8"/>
  <c r="T306" i="8"/>
  <c r="T376" i="8"/>
  <c r="T3579" i="8"/>
  <c r="T4158" i="8"/>
  <c r="T207" i="8"/>
  <c r="E201" i="8" s="1"/>
  <c r="T336" i="8"/>
  <c r="T406" i="8"/>
  <c r="T3606" i="8"/>
  <c r="T4080" i="8"/>
  <c r="T4662" i="8"/>
  <c r="T4991" i="8"/>
  <c r="T3800" i="8"/>
  <c r="T5045" i="8"/>
  <c r="T3734" i="8"/>
  <c r="T5115" i="8"/>
  <c r="T4361" i="8"/>
  <c r="T6839" i="8"/>
  <c r="E6835" i="8" s="1"/>
  <c r="T6693" i="8"/>
  <c r="E6689" i="8" s="1"/>
  <c r="T6709" i="8"/>
  <c r="T6903" i="8"/>
  <c r="E6899" i="8" s="1"/>
  <c r="T5125" i="8"/>
  <c r="T7118" i="8"/>
  <c r="T4883" i="8"/>
  <c r="T4907" i="8"/>
  <c r="T6675" i="8"/>
  <c r="T5109" i="8"/>
  <c r="T5135" i="8"/>
  <c r="T6881" i="8"/>
  <c r="T7316" i="8"/>
  <c r="T7326" i="8"/>
  <c r="T7279" i="8"/>
  <c r="T6964" i="8"/>
  <c r="T6986" i="8"/>
  <c r="E6982" i="8" s="1"/>
  <c r="T7008" i="8"/>
  <c r="T7026" i="8"/>
  <c r="T7257" i="8"/>
  <c r="T7495" i="8"/>
  <c r="T7560" i="8"/>
  <c r="T7251" i="8"/>
  <c r="T7646" i="8"/>
  <c r="E7642" i="8" s="1"/>
  <c r="T7658" i="8"/>
  <c r="E7654" i="8" s="1"/>
  <c r="T7676" i="8"/>
  <c r="E7672" i="8" s="1"/>
  <c r="T7704" i="8"/>
  <c r="T7710" i="8"/>
  <c r="T7746" i="8"/>
  <c r="T7879" i="8"/>
  <c r="T4875" i="8"/>
  <c r="T6768" i="8"/>
  <c r="T7526" i="8"/>
  <c r="E7522" i="8" s="1"/>
  <c r="T7584" i="8"/>
  <c r="T240" i="8"/>
  <c r="E233" i="8" s="1"/>
  <c r="E325" i="28" s="1"/>
  <c r="T3857" i="8"/>
  <c r="T3228" i="8"/>
  <c r="T5085" i="8"/>
  <c r="T6703" i="8"/>
  <c r="T7538" i="8"/>
  <c r="T7716" i="8"/>
  <c r="T366" i="8"/>
  <c r="T5097" i="8"/>
  <c r="B4628" i="8"/>
  <c r="T4521" i="8"/>
  <c r="T5079" i="8"/>
  <c r="T5027" i="8"/>
  <c r="T6784" i="8"/>
  <c r="T7156" i="8"/>
  <c r="E7152" i="8" s="1"/>
  <c r="T6970" i="8"/>
  <c r="T7014" i="8"/>
  <c r="E7010" i="8" s="1"/>
  <c r="T7032" i="8"/>
  <c r="E7028" i="8" s="1"/>
  <c r="T7338" i="8"/>
  <c r="E7334" i="8" s="1"/>
  <c r="T7437" i="8"/>
  <c r="T7793" i="8"/>
  <c r="T7421" i="8"/>
  <c r="E7417" i="8" s="1"/>
  <c r="T7443" i="8"/>
  <c r="T7640" i="8"/>
  <c r="E7636" i="8" s="1"/>
  <c r="T7861" i="8"/>
  <c r="T74" i="8"/>
  <c r="T98" i="8"/>
  <c r="T276" i="8"/>
  <c r="T456" i="8"/>
  <c r="T3212" i="8"/>
  <c r="T4898" i="8"/>
  <c r="T6952" i="8"/>
  <c r="T4945" i="8"/>
  <c r="T5103" i="8"/>
  <c r="T4478" i="8"/>
  <c r="T7178" i="8"/>
  <c r="T6758" i="8"/>
  <c r="E6754" i="8" s="1"/>
  <c r="T6395" i="8"/>
  <c r="T6921" i="8"/>
  <c r="E6917" i="8" s="1"/>
  <c r="T6617" i="8"/>
  <c r="T6958" i="8"/>
  <c r="T7190" i="8"/>
  <c r="T6625" i="8"/>
  <c r="T7100" i="8"/>
  <c r="T7427" i="8"/>
  <c r="E7423" i="8" s="1"/>
  <c r="T7664" i="8"/>
  <c r="E7660" i="8" s="1"/>
  <c r="T7106" i="8"/>
  <c r="T7168" i="8"/>
  <c r="E7164" i="8" s="1"/>
  <c r="T7196" i="8"/>
  <c r="E7192" i="8" s="1"/>
  <c r="E1425" i="28" s="1"/>
  <c r="F1425" i="28" s="1"/>
  <c r="T7634" i="8"/>
  <c r="T7682" i="8"/>
  <c r="E7678" i="8" s="1"/>
  <c r="T7360" i="8"/>
  <c r="E7356" i="8" s="1"/>
  <c r="T7455" i="8"/>
  <c r="E7451" i="8" s="1"/>
  <c r="T7532" i="8"/>
  <c r="T7594" i="8"/>
  <c r="T7372" i="8"/>
  <c r="E7368" i="8" s="1"/>
  <c r="T7471" i="8"/>
  <c r="T7489" i="8"/>
  <c r="T7805" i="8"/>
  <c r="T5073" i="8"/>
  <c r="T6746" i="8"/>
  <c r="T6687" i="8"/>
  <c r="E6683" i="8" s="1"/>
  <c r="T6897" i="8"/>
  <c r="E6893" i="8" s="1"/>
  <c r="T7769" i="8"/>
  <c r="T7566" i="8"/>
  <c r="E7562" i="8" s="1"/>
  <c r="T5091" i="8"/>
  <c r="T6869" i="8"/>
  <c r="T7245" i="8"/>
  <c r="T27" i="8"/>
  <c r="T346" i="8"/>
  <c r="T3414" i="8"/>
  <c r="T1066" i="8"/>
  <c r="T7094" i="8"/>
  <c r="T5891" i="8"/>
  <c r="T6992" i="8"/>
  <c r="E6988" i="8" s="1"/>
  <c r="T37" i="8"/>
  <c r="T47" i="8"/>
  <c r="T436" i="8"/>
  <c r="T56" i="8"/>
  <c r="T3133" i="8"/>
  <c r="T104" i="8"/>
  <c r="T386" i="8"/>
  <c r="T110" i="8"/>
  <c r="T223" i="8"/>
  <c r="E217" i="8" s="1"/>
  <c r="T316" i="8"/>
  <c r="T533" i="8"/>
  <c r="T557" i="8"/>
  <c r="T3204" i="8"/>
  <c r="T3598" i="8"/>
  <c r="T5063" i="8"/>
  <c r="T6863" i="8"/>
  <c r="T4346" i="8"/>
  <c r="T7348" i="8"/>
  <c r="T6802" i="8"/>
  <c r="E6798" i="8" s="1"/>
  <c r="T4915" i="8"/>
  <c r="T4973" i="8"/>
  <c r="T6857" i="8"/>
  <c r="T7202" i="8"/>
  <c r="T5141" i="8"/>
  <c r="T6980" i="8"/>
  <c r="T7332" i="8"/>
  <c r="T7520" i="8"/>
  <c r="T7578" i="8"/>
  <c r="E7574" i="8" s="1"/>
  <c r="T7811" i="8"/>
  <c r="T7291" i="8"/>
  <c r="E7287" i="8" s="1"/>
  <c r="T7670" i="8"/>
  <c r="E7666" i="8" s="1"/>
  <c r="T7618" i="8"/>
  <c r="T7781" i="8"/>
  <c r="T7821" i="8"/>
  <c r="A32" i="1"/>
  <c r="B32" i="1"/>
  <c r="E32" i="1"/>
  <c r="T29" i="8" l="1"/>
  <c r="E29" i="8"/>
  <c r="AG29" i="8" s="1"/>
  <c r="AN278" i="8"/>
  <c r="E278" i="8"/>
  <c r="AG278" i="8" s="1"/>
  <c r="T551" i="8"/>
  <c r="E551" i="8"/>
  <c r="AG551" i="8" s="1"/>
  <c r="E298" i="8"/>
  <c r="AG298" i="8" s="1"/>
  <c r="E543" i="8"/>
  <c r="AG543" i="8" s="1"/>
  <c r="E388" i="8"/>
  <c r="AG388" i="8" s="1"/>
  <c r="E358" i="8"/>
  <c r="AG358" i="8" s="1"/>
  <c r="E318" i="8"/>
  <c r="AG318" i="8" s="1"/>
  <c r="E526" i="8"/>
  <c r="AG526" i="8" s="1"/>
  <c r="E428" i="8"/>
  <c r="AG428" i="8" s="1"/>
  <c r="E338" i="8"/>
  <c r="AG338" i="8" s="1"/>
  <c r="E258" i="8"/>
  <c r="AG258" i="8" s="1"/>
  <c r="E288" i="8"/>
  <c r="AG288" i="8" s="1"/>
  <c r="AH288" i="8" s="1"/>
  <c r="E368" i="8"/>
  <c r="AG368" i="8" s="1"/>
  <c r="E308" i="8"/>
  <c r="AG308" i="8" s="1"/>
  <c r="E448" i="8"/>
  <c r="AG448" i="8" s="1"/>
  <c r="E398" i="8"/>
  <c r="AG398" i="8" s="1"/>
  <c r="E248" i="8"/>
  <c r="AG248" i="8" s="1"/>
  <c r="AN517" i="8"/>
  <c r="AO517" i="8" s="1"/>
  <c r="E517" i="8"/>
  <c r="AG517" i="8" s="1"/>
  <c r="E378" i="8"/>
  <c r="AG378" i="8" s="1"/>
  <c r="E268" i="8"/>
  <c r="AG268" i="8" s="1"/>
  <c r="E328" i="8"/>
  <c r="AG328" i="8" s="1"/>
  <c r="E348" i="8"/>
  <c r="AG348" i="8" s="1"/>
  <c r="E535" i="8"/>
  <c r="AG535" i="8" s="1"/>
  <c r="E418" i="8"/>
  <c r="AG418" i="8" s="1"/>
  <c r="E408" i="8"/>
  <c r="AG408" i="8" s="1"/>
  <c r="E438" i="8"/>
  <c r="AG438" i="8" s="1"/>
  <c r="AN7180" i="8"/>
  <c r="AO7180" i="8" s="1"/>
  <c r="A1065" i="11"/>
  <c r="A1063" i="11"/>
  <c r="A1064" i="11"/>
  <c r="A1061" i="11"/>
  <c r="A1062" i="11"/>
  <c r="A1059" i="11"/>
  <c r="A1060" i="11"/>
  <c r="AG217" i="8"/>
  <c r="E323" i="28"/>
  <c r="AG201" i="8"/>
  <c r="E321" i="28"/>
  <c r="AG101" i="26"/>
  <c r="E45" i="30"/>
  <c r="F45" i="30" s="1"/>
  <c r="AG263" i="26"/>
  <c r="AI263" i="26" s="1"/>
  <c r="AJ263" i="26" s="1"/>
  <c r="E72" i="30"/>
  <c r="F72" i="30" s="1"/>
  <c r="AG41" i="26"/>
  <c r="AI41" i="26" s="1"/>
  <c r="AJ41" i="26" s="1"/>
  <c r="E35" i="30"/>
  <c r="F35" i="30" s="1"/>
  <c r="AG323" i="26"/>
  <c r="E82" i="30"/>
  <c r="F82" i="30" s="1"/>
  <c r="AG371" i="26"/>
  <c r="E90" i="30"/>
  <c r="F90" i="30" s="1"/>
  <c r="AG341" i="26"/>
  <c r="AI341" i="26" s="1"/>
  <c r="AJ341" i="26" s="1"/>
  <c r="E85" i="30"/>
  <c r="F85" i="30" s="1"/>
  <c r="AG131" i="26"/>
  <c r="E50" i="30"/>
  <c r="F50" i="30" s="1"/>
  <c r="AG167" i="26"/>
  <c r="E56" i="30"/>
  <c r="F56" i="30" s="1"/>
  <c r="AG221" i="26"/>
  <c r="E65" i="30"/>
  <c r="F65" i="30" s="1"/>
  <c r="AG317" i="26"/>
  <c r="AI317" i="26" s="1"/>
  <c r="AJ317" i="26" s="1"/>
  <c r="E81" i="30"/>
  <c r="F81" i="30" s="1"/>
  <c r="AG35" i="26"/>
  <c r="AI35" i="26" s="1"/>
  <c r="AJ35" i="26" s="1"/>
  <c r="E34" i="30"/>
  <c r="F34" i="30" s="1"/>
  <c r="AG335" i="26"/>
  <c r="E84" i="30"/>
  <c r="F84" i="30" s="1"/>
  <c r="AG209" i="26"/>
  <c r="E63" i="30"/>
  <c r="F63" i="30" s="1"/>
  <c r="AG233" i="26"/>
  <c r="AI233" i="26" s="1"/>
  <c r="AJ233" i="26" s="1"/>
  <c r="E67" i="30"/>
  <c r="F67" i="30" s="1"/>
  <c r="AG365" i="26"/>
  <c r="AI365" i="26" s="1"/>
  <c r="AJ365" i="26" s="1"/>
  <c r="E89" i="30"/>
  <c r="F89" i="30" s="1"/>
  <c r="AG59" i="26"/>
  <c r="E38" i="30"/>
  <c r="F38" i="30" s="1"/>
  <c r="AG281" i="26"/>
  <c r="E75" i="30"/>
  <c r="F75" i="30" s="1"/>
  <c r="AG287" i="26"/>
  <c r="AI287" i="26" s="1"/>
  <c r="AJ287" i="26" s="1"/>
  <c r="E76" i="30"/>
  <c r="F76" i="30" s="1"/>
  <c r="AG185" i="26"/>
  <c r="E59" i="30"/>
  <c r="F59" i="30" s="1"/>
  <c r="AG143" i="26"/>
  <c r="E52" i="30"/>
  <c r="F52" i="30" s="1"/>
  <c r="AG155" i="26"/>
  <c r="E54" i="30"/>
  <c r="F54" i="30" s="1"/>
  <c r="AG269" i="26"/>
  <c r="E73" i="30"/>
  <c r="F73" i="30" s="1"/>
  <c r="AG305" i="26"/>
  <c r="AI305" i="26" s="1"/>
  <c r="AJ305" i="26" s="1"/>
  <c r="E79" i="30"/>
  <c r="F79" i="30" s="1"/>
  <c r="AG71" i="26"/>
  <c r="E40" i="30"/>
  <c r="F40" i="30" s="1"/>
  <c r="AG77" i="26"/>
  <c r="E41" i="30"/>
  <c r="F41" i="30" s="1"/>
  <c r="AG53" i="26"/>
  <c r="AI53" i="26" s="1"/>
  <c r="AJ53" i="26" s="1"/>
  <c r="E37" i="30"/>
  <c r="F37" i="30" s="1"/>
  <c r="AG47" i="26"/>
  <c r="AI47" i="26" s="1"/>
  <c r="AJ47" i="26" s="1"/>
  <c r="E36" i="30"/>
  <c r="F36" i="30" s="1"/>
  <c r="AG8557" i="8"/>
  <c r="AG173" i="26"/>
  <c r="E57" i="30"/>
  <c r="F57" i="30" s="1"/>
  <c r="AG137" i="26"/>
  <c r="AI137" i="26" s="1"/>
  <c r="AJ137" i="26" s="1"/>
  <c r="E51" i="30"/>
  <c r="F51" i="30" s="1"/>
  <c r="AG299" i="26"/>
  <c r="E78" i="30"/>
  <c r="F78" i="30" s="1"/>
  <c r="AG203" i="26"/>
  <c r="E62" i="30"/>
  <c r="F62" i="30" s="1"/>
  <c r="AG29" i="26"/>
  <c r="E33" i="30"/>
  <c r="F33" i="30" s="1"/>
  <c r="AG353" i="26"/>
  <c r="E87" i="30"/>
  <c r="F87" i="30" s="1"/>
  <c r="AG119" i="26"/>
  <c r="AI119" i="26" s="1"/>
  <c r="AJ119" i="26" s="1"/>
  <c r="E48" i="30"/>
  <c r="F48" i="30" s="1"/>
  <c r="AG197" i="26"/>
  <c r="E61" i="30"/>
  <c r="F61" i="30" s="1"/>
  <c r="AG311" i="26"/>
  <c r="E80" i="30"/>
  <c r="F80" i="30" s="1"/>
  <c r="AG359" i="26"/>
  <c r="E88" i="30"/>
  <c r="F88" i="30" s="1"/>
  <c r="AG113" i="26"/>
  <c r="AI113" i="26" s="1"/>
  <c r="AJ113" i="26" s="1"/>
  <c r="E47" i="30"/>
  <c r="F47" i="30" s="1"/>
  <c r="AG89" i="26"/>
  <c r="E43" i="30"/>
  <c r="F43" i="30" s="1"/>
  <c r="AG347" i="26"/>
  <c r="E86" i="30"/>
  <c r="F86" i="30" s="1"/>
  <c r="AG95" i="26"/>
  <c r="AI95" i="26" s="1"/>
  <c r="AJ95" i="26" s="1"/>
  <c r="E44" i="30"/>
  <c r="F44" i="30" s="1"/>
  <c r="AG107" i="26"/>
  <c r="E46" i="30"/>
  <c r="F46" i="30" s="1"/>
  <c r="AG215" i="26"/>
  <c r="E64" i="30"/>
  <c r="F64" i="30" s="1"/>
  <c r="AG83" i="26"/>
  <c r="E42" i="30"/>
  <c r="F42" i="30" s="1"/>
  <c r="AG227" i="26"/>
  <c r="E66" i="30"/>
  <c r="F66" i="30" s="1"/>
  <c r="AG275" i="26"/>
  <c r="E74" i="30"/>
  <c r="F74" i="30" s="1"/>
  <c r="AG149" i="26"/>
  <c r="E53" i="30"/>
  <c r="F53" i="30" s="1"/>
  <c r="AG65" i="26"/>
  <c r="E39" i="30"/>
  <c r="F39" i="30" s="1"/>
  <c r="AG161" i="26"/>
  <c r="E55" i="30"/>
  <c r="F55" i="30" s="1"/>
  <c r="AG179" i="26"/>
  <c r="E58" i="30"/>
  <c r="F58" i="30" s="1"/>
  <c r="AG245" i="26"/>
  <c r="E69" i="30"/>
  <c r="F69" i="30" s="1"/>
  <c r="AG239" i="26"/>
  <c r="E68" i="30"/>
  <c r="F68" i="30" s="1"/>
  <c r="AG293" i="26"/>
  <c r="E77" i="30"/>
  <c r="F77" i="30" s="1"/>
  <c r="AG251" i="26"/>
  <c r="AI251" i="26" s="1"/>
  <c r="AJ251" i="26" s="1"/>
  <c r="E70" i="30"/>
  <c r="F70" i="30" s="1"/>
  <c r="AG191" i="26"/>
  <c r="E60" i="30"/>
  <c r="F60" i="30" s="1"/>
  <c r="AG329" i="26"/>
  <c r="E83" i="30"/>
  <c r="F83" i="30" s="1"/>
  <c r="AG257" i="26"/>
  <c r="AI257" i="26" s="1"/>
  <c r="AJ257" i="26" s="1"/>
  <c r="E71" i="30"/>
  <c r="F71" i="30" s="1"/>
  <c r="AG23" i="26"/>
  <c r="E32" i="30"/>
  <c r="F32" i="30" s="1"/>
  <c r="AG125" i="26"/>
  <c r="E49" i="30"/>
  <c r="F49" i="30" s="1"/>
  <c r="AG11274" i="8"/>
  <c r="AG9694" i="8"/>
  <c r="AG8945" i="8"/>
  <c r="AG8281" i="8"/>
  <c r="AG10322" i="8"/>
  <c r="AG9706" i="8"/>
  <c r="AG8469" i="8"/>
  <c r="AG10143" i="8"/>
  <c r="AG9162" i="8"/>
  <c r="AG10197" i="8"/>
  <c r="AG8673" i="8"/>
  <c r="AG8915" i="8"/>
  <c r="AG9926" i="8"/>
  <c r="AG7287" i="8"/>
  <c r="E1445" i="28"/>
  <c r="F1445" i="28" s="1"/>
  <c r="AG10888" i="8"/>
  <c r="AG10422" i="8"/>
  <c r="AG9890" i="8"/>
  <c r="AG9045" i="8"/>
  <c r="AG8481" i="8"/>
  <c r="AG11182" i="8"/>
  <c r="AG9956" i="8"/>
  <c r="AG9870" i="8"/>
  <c r="AG9323" i="8"/>
  <c r="AG8643" i="8"/>
  <c r="AG8315" i="8"/>
  <c r="AG10738" i="8"/>
  <c r="AG9381" i="8"/>
  <c r="AG11246" i="8"/>
  <c r="AG9750" i="8"/>
  <c r="AG8327" i="8"/>
  <c r="AG8487" i="8"/>
  <c r="AI8487" i="8" s="1"/>
  <c r="AJ8487" i="8" s="1"/>
  <c r="AG7451" i="8"/>
  <c r="E1478" i="28"/>
  <c r="F1478" i="28" s="1"/>
  <c r="AG10644" i="8"/>
  <c r="AG9766" i="8"/>
  <c r="AG8979" i="8"/>
  <c r="AG11268" i="8"/>
  <c r="AG8695" i="8"/>
  <c r="AG9128" i="8"/>
  <c r="AG10622" i="8"/>
  <c r="AG8239" i="8"/>
  <c r="AG7562" i="8"/>
  <c r="E1498" i="28"/>
  <c r="F1498" i="28" s="1"/>
  <c r="AG9950" i="8"/>
  <c r="AG9510" i="8"/>
  <c r="AG8719" i="8"/>
  <c r="AG10832" i="8"/>
  <c r="AG10732" i="8"/>
  <c r="AG9516" i="8"/>
  <c r="AG8985" i="8"/>
  <c r="AG8297" i="8"/>
  <c r="AG11176" i="8"/>
  <c r="AG10191" i="8"/>
  <c r="AG10958" i="8"/>
  <c r="AG10512" i="8"/>
  <c r="AG8637" i="8"/>
  <c r="AG11344" i="8"/>
  <c r="AG9589" i="8"/>
  <c r="AG9317" i="8"/>
  <c r="AG7574" i="8"/>
  <c r="E1500" i="28"/>
  <c r="F1500" i="28" s="1"/>
  <c r="AG7522" i="8"/>
  <c r="E1491" i="28"/>
  <c r="F1491" i="28" s="1"/>
  <c r="AG7654" i="8"/>
  <c r="E1517" i="28"/>
  <c r="F1517" i="28" s="1"/>
  <c r="AG7596" i="8"/>
  <c r="E1504" i="28"/>
  <c r="F1504" i="28" s="1"/>
  <c r="AG11360" i="8"/>
  <c r="AG9852" i="8"/>
  <c r="AG9387" i="8"/>
  <c r="AG8997" i="8"/>
  <c r="AG9027" i="8"/>
  <c r="AG8701" i="8"/>
  <c r="AG8333" i="8"/>
  <c r="AG11072" i="8"/>
  <c r="AG9876" i="8"/>
  <c r="AG10826" i="8"/>
  <c r="AG10428" i="8"/>
  <c r="AG9776" i="8"/>
  <c r="AG9902" i="8"/>
  <c r="AG9180" i="8"/>
  <c r="AG8933" i="8"/>
  <c r="AG8521" i="8"/>
  <c r="AG8245" i="8"/>
  <c r="AG11084" i="8"/>
  <c r="AG10251" i="8"/>
  <c r="AG9329" i="8"/>
  <c r="AG10720" i="8"/>
  <c r="AG10480" i="8"/>
  <c r="AG9561" i="8"/>
  <c r="AG10628" i="8"/>
  <c r="AG8463" i="8"/>
  <c r="AG9015" i="8"/>
  <c r="AG9464" i="8"/>
  <c r="AG9122" i="8"/>
  <c r="AG7660" i="8"/>
  <c r="E1518" i="28"/>
  <c r="F1518" i="28" s="1"/>
  <c r="AG7417" i="8"/>
  <c r="E1472" i="28"/>
  <c r="F1472" i="28" s="1"/>
  <c r="AG7642" i="8"/>
  <c r="E1515" i="28"/>
  <c r="F1515" i="28" s="1"/>
  <c r="AG11332" i="8"/>
  <c r="AG10768" i="8"/>
  <c r="AG10352" i="8"/>
  <c r="AG9760" i="8"/>
  <c r="AG9824" i="8"/>
  <c r="AG9363" i="8"/>
  <c r="AG8973" i="8"/>
  <c r="AG9003" i="8"/>
  <c r="AG8679" i="8"/>
  <c r="AG8309" i="8"/>
  <c r="AG11366" i="8"/>
  <c r="AG11044" i="8"/>
  <c r="AG10726" i="8"/>
  <c r="AG10091" i="8"/>
  <c r="AG10704" i="8"/>
  <c r="AG10564" i="8"/>
  <c r="AG9744" i="8"/>
  <c r="AG9498" i="8"/>
  <c r="AG9156" i="8"/>
  <c r="AG8909" i="8"/>
  <c r="AG8493" i="8"/>
  <c r="AG11056" i="8"/>
  <c r="AG10650" i="8"/>
  <c r="AG10213" i="8"/>
  <c r="AG9932" i="8"/>
  <c r="AG9305" i="8"/>
  <c r="AG10656" i="8"/>
  <c r="AG8649" i="8"/>
  <c r="AG10267" i="8"/>
  <c r="AG9039" i="8"/>
  <c r="AI9039" i="8" s="1"/>
  <c r="AJ9039" i="8" s="1"/>
  <c r="AG8287" i="8"/>
  <c r="AI8287" i="8" s="1"/>
  <c r="AJ8287" i="8" s="1"/>
  <c r="AG10036" i="8"/>
  <c r="AG8967" i="8"/>
  <c r="AG9393" i="8"/>
  <c r="AG9522" i="8"/>
  <c r="AG7423" i="8"/>
  <c r="E1473" i="28"/>
  <c r="F1473" i="28" s="1"/>
  <c r="AG10328" i="8"/>
  <c r="AG9335" i="8"/>
  <c r="AG8655" i="8"/>
  <c r="AG11154" i="8"/>
  <c r="AG10698" i="8"/>
  <c r="AG9470" i="8"/>
  <c r="AG11170" i="8"/>
  <c r="AG9896" i="8"/>
  <c r="AG8475" i="8"/>
  <c r="AI8475" i="8" s="1"/>
  <c r="AJ8475" i="8" s="1"/>
  <c r="AG8991" i="8"/>
  <c r="AG10012" i="8"/>
  <c r="AG9341" i="8"/>
  <c r="AG7678" i="8"/>
  <c r="E1521" i="28"/>
  <c r="F1521" i="28" s="1"/>
  <c r="AG7334" i="8"/>
  <c r="E1454" i="28"/>
  <c r="F1454" i="28" s="1"/>
  <c r="AG10952" i="8"/>
  <c r="AG10490" i="8"/>
  <c r="AG10207" i="8"/>
  <c r="AG9595" i="8"/>
  <c r="AG9672" i="8"/>
  <c r="AG9168" i="8"/>
  <c r="AG8897" i="8"/>
  <c r="AG8927" i="8"/>
  <c r="AG8533" i="8"/>
  <c r="AG11062" i="8"/>
  <c r="AG10634" i="8"/>
  <c r="AG10026" i="8"/>
  <c r="AG10964" i="8"/>
  <c r="AG10308" i="8"/>
  <c r="AG9654" i="8"/>
  <c r="AG9375" i="8"/>
  <c r="AG9033" i="8"/>
  <c r="AG8707" i="8"/>
  <c r="AG8345" i="8"/>
  <c r="AG10042" i="8"/>
  <c r="AG9476" i="8"/>
  <c r="AG11142" i="8"/>
  <c r="AG10334" i="8"/>
  <c r="AG8251" i="8"/>
  <c r="AG11262" i="8"/>
  <c r="AG8891" i="8"/>
  <c r="AG10848" i="8"/>
  <c r="AG10878" i="8"/>
  <c r="AG9712" i="8"/>
  <c r="AG8661" i="8"/>
  <c r="AG9488" i="8"/>
  <c r="AG7666" i="8"/>
  <c r="E1519" i="28"/>
  <c r="F1519" i="28" s="1"/>
  <c r="AG10924" i="8"/>
  <c r="AG10450" i="8"/>
  <c r="AG10000" i="8"/>
  <c r="AG9567" i="8"/>
  <c r="AG9573" i="8"/>
  <c r="AG9140" i="8"/>
  <c r="AG8743" i="8"/>
  <c r="AG8903" i="8"/>
  <c r="AG11160" i="8"/>
  <c r="AG10946" i="8"/>
  <c r="AG10574" i="8"/>
  <c r="AG10137" i="8"/>
  <c r="AG10936" i="8"/>
  <c r="AG10438" i="8"/>
  <c r="AG10261" i="8"/>
  <c r="AG9583" i="8"/>
  <c r="AG9347" i="8"/>
  <c r="AG9009" i="8"/>
  <c r="AG8667" i="8"/>
  <c r="AG8321" i="8"/>
  <c r="AG8339" i="8"/>
  <c r="AG11252" i="8"/>
  <c r="AG10774" i="8"/>
  <c r="AG10006" i="8"/>
  <c r="AG9405" i="8"/>
  <c r="AG11078" i="8"/>
  <c r="AG9840" i="8"/>
  <c r="AG8737" i="8"/>
  <c r="AG8451" i="8"/>
  <c r="AG8689" i="8"/>
  <c r="AG9660" i="8"/>
  <c r="AI9660" i="8" s="1"/>
  <c r="AJ9660" i="8" s="1"/>
  <c r="AG8539" i="8"/>
  <c r="AG9369" i="8"/>
  <c r="AG7356" i="8"/>
  <c r="E1458" i="28"/>
  <c r="F1458" i="28" s="1"/>
  <c r="AG10245" i="8"/>
  <c r="AG9666" i="8"/>
  <c r="AG9700" i="8"/>
  <c r="AG9311" i="8"/>
  <c r="AG8921" i="8"/>
  <c r="AG8951" i="8"/>
  <c r="AG8257" i="8"/>
  <c r="AG11240" i="8"/>
  <c r="AG10662" i="8"/>
  <c r="AG10159" i="8"/>
  <c r="AG11338" i="8"/>
  <c r="AG10506" i="8"/>
  <c r="AG9678" i="8"/>
  <c r="AG9399" i="8"/>
  <c r="AG9057" i="8"/>
  <c r="AG8731" i="8"/>
  <c r="AG11350" i="8"/>
  <c r="AG10930" i="8"/>
  <c r="AG10101" i="8"/>
  <c r="AG9504" i="8"/>
  <c r="AG9134" i="8"/>
  <c r="AG10416" i="8"/>
  <c r="AG8303" i="8"/>
  <c r="AG11372" i="8"/>
  <c r="AG8939" i="8"/>
  <c r="AG8551" i="8"/>
  <c r="AH8551" i="8" s="1"/>
  <c r="AG11050" i="8"/>
  <c r="AG9782" i="8"/>
  <c r="AG8713" i="8"/>
  <c r="AI8713" i="8" s="1"/>
  <c r="AJ8713" i="8" s="1"/>
  <c r="AG9146" i="8"/>
  <c r="AG7368" i="8"/>
  <c r="E1460" i="28"/>
  <c r="F1460" i="28" s="1"/>
  <c r="AG7636" i="8"/>
  <c r="E1514" i="28"/>
  <c r="F1514" i="28" s="1"/>
  <c r="AG7672" i="8"/>
  <c r="E1520" i="28"/>
  <c r="F1520" i="28" s="1"/>
  <c r="AG7568" i="8"/>
  <c r="AI7568" i="8" s="1"/>
  <c r="AJ7568" i="8" s="1"/>
  <c r="E1499" i="28"/>
  <c r="F1499" i="28" s="1"/>
  <c r="AG11388" i="8"/>
  <c r="AG10842" i="8"/>
  <c r="AG10784" i="8"/>
  <c r="AG9986" i="8"/>
  <c r="AG9482" i="8"/>
  <c r="AG9021" i="8"/>
  <c r="AG9051" i="8"/>
  <c r="AG8725" i="8"/>
  <c r="AG8457" i="8"/>
  <c r="AG8527" i="8"/>
  <c r="AG11096" i="8"/>
  <c r="AG10790" i="8"/>
  <c r="AG10616" i="8"/>
  <c r="AG9920" i="8"/>
  <c r="AG10456" i="8"/>
  <c r="AG9830" i="8"/>
  <c r="AG9974" i="8"/>
  <c r="AG9299" i="8"/>
  <c r="AG8957" i="8"/>
  <c r="AG8545" i="8"/>
  <c r="AG8269" i="8"/>
  <c r="AG11148" i="8"/>
  <c r="AG10710" i="8"/>
  <c r="AG10298" i="8"/>
  <c r="AG10153" i="8"/>
  <c r="AG9357" i="8"/>
  <c r="AG10974" i="8"/>
  <c r="AG9688" i="8"/>
  <c r="AH9688" i="8" s="1"/>
  <c r="AG10444" i="8"/>
  <c r="AG8275" i="8"/>
  <c r="AG8515" i="8"/>
  <c r="AI8515" i="8" s="1"/>
  <c r="AJ8515" i="8" s="1"/>
  <c r="AG11234" i="8"/>
  <c r="AG9063" i="8"/>
  <c r="AG8263" i="8"/>
  <c r="AH8263" i="8" s="1"/>
  <c r="AG9174" i="8"/>
  <c r="AI9174" i="8" s="1"/>
  <c r="AJ9174" i="8" s="1"/>
  <c r="AG9980" i="8"/>
  <c r="AG9846" i="8"/>
  <c r="AG8509" i="8"/>
  <c r="AG8503" i="8"/>
  <c r="AG8445" i="8"/>
  <c r="AG8439" i="8"/>
  <c r="E1574" i="28"/>
  <c r="AG6899" i="8"/>
  <c r="E1376" i="28"/>
  <c r="F1376" i="28" s="1"/>
  <c r="AG7192" i="8"/>
  <c r="AG7028" i="8"/>
  <c r="E1399" i="28"/>
  <c r="F1399" i="28" s="1"/>
  <c r="AG4975" i="8"/>
  <c r="AI4975" i="8" s="1"/>
  <c r="AJ4975" i="8" s="1"/>
  <c r="E1060" i="28"/>
  <c r="F1060" i="28" s="1"/>
  <c r="AG6893" i="8"/>
  <c r="E1375" i="28"/>
  <c r="F1375" i="28" s="1"/>
  <c r="AG6917" i="8"/>
  <c r="E1379" i="28"/>
  <c r="F1379" i="28" s="1"/>
  <c r="AG7152" i="8"/>
  <c r="E1418" i="28"/>
  <c r="F1418" i="28" s="1"/>
  <c r="AG6982" i="8"/>
  <c r="E1391" i="28"/>
  <c r="F1391" i="28" s="1"/>
  <c r="AG6835" i="8"/>
  <c r="E1365" i="28"/>
  <c r="F1365" i="28" s="1"/>
  <c r="AG6798" i="8"/>
  <c r="E1355" i="28"/>
  <c r="F1355" i="28" s="1"/>
  <c r="AG6683" i="8"/>
  <c r="E1334" i="28"/>
  <c r="F1334" i="28" s="1"/>
  <c r="AG7010" i="8"/>
  <c r="E1396" i="28"/>
  <c r="F1396" i="28" s="1"/>
  <c r="AG6689" i="8"/>
  <c r="E1335" i="28"/>
  <c r="F1335" i="28" s="1"/>
  <c r="AG6754" i="8"/>
  <c r="E1347" i="28"/>
  <c r="F1347" i="28" s="1"/>
  <c r="AG7180" i="8"/>
  <c r="AI7180" i="8" s="1"/>
  <c r="AJ7180" i="8" s="1"/>
  <c r="F7180" i="8"/>
  <c r="T7180" i="8" s="1"/>
  <c r="AG7016" i="8"/>
  <c r="AI7016" i="8" s="1"/>
  <c r="AJ7016" i="8" s="1"/>
  <c r="E1397" i="28"/>
  <c r="F1397" i="28" s="1"/>
  <c r="AG6988" i="8"/>
  <c r="E1392" i="28"/>
  <c r="F1392" i="28" s="1"/>
  <c r="AG6911" i="8"/>
  <c r="AI6911" i="8" s="1"/>
  <c r="AJ6911" i="8" s="1"/>
  <c r="E1378" i="28"/>
  <c r="F1378" i="28" s="1"/>
  <c r="AG7164" i="8"/>
  <c r="E1420" i="28"/>
  <c r="F1420" i="28" s="1"/>
  <c r="AF151" i="1"/>
  <c r="E225" i="8"/>
  <c r="E324" i="28" s="1"/>
  <c r="F324" i="28" s="1"/>
  <c r="AG233" i="8"/>
  <c r="F325" i="28"/>
  <c r="AN242" i="8"/>
  <c r="AO242" i="8" s="1"/>
  <c r="E242" i="8"/>
  <c r="E326" i="28" s="1"/>
  <c r="F326" i="28" s="1"/>
  <c r="AN209" i="8"/>
  <c r="AO209" i="8" s="1"/>
  <c r="E209" i="8"/>
  <c r="E322" i="28" s="1"/>
  <c r="F322" i="28" s="1"/>
  <c r="F141" i="8"/>
  <c r="AH180" i="8"/>
  <c r="T193" i="8"/>
  <c r="E183" i="8"/>
  <c r="S161" i="1"/>
  <c r="AE161" i="1" s="1"/>
  <c r="AF161" i="1"/>
  <c r="S160" i="1"/>
  <c r="AE160" i="1" s="1"/>
  <c r="AF160" i="1"/>
  <c r="S114" i="1"/>
  <c r="AE114" i="1" s="1"/>
  <c r="AF114" i="1"/>
  <c r="S120" i="1"/>
  <c r="AE120" i="1" s="1"/>
  <c r="AF120" i="1"/>
  <c r="S143" i="1"/>
  <c r="AE143" i="1" s="1"/>
  <c r="AF143" i="1"/>
  <c r="S156" i="1"/>
  <c r="AE156" i="1" s="1"/>
  <c r="AF156" i="1"/>
  <c r="S117" i="1"/>
  <c r="AE117" i="1" s="1"/>
  <c r="AF117" i="1"/>
  <c r="S146" i="1"/>
  <c r="AE146" i="1" s="1"/>
  <c r="AF146" i="1"/>
  <c r="S135" i="1"/>
  <c r="AE135" i="1" s="1"/>
  <c r="AF135" i="1"/>
  <c r="C537" i="11"/>
  <c r="C529" i="11"/>
  <c r="C536" i="11"/>
  <c r="C528" i="11"/>
  <c r="C535" i="11"/>
  <c r="C534" i="11"/>
  <c r="C533" i="11"/>
  <c r="C530" i="11"/>
  <c r="C532" i="11"/>
  <c r="C531" i="11"/>
  <c r="AO5047" i="8"/>
  <c r="AO4683" i="8"/>
  <c r="AO5029" i="8"/>
  <c r="AO7926" i="8"/>
  <c r="AO278" i="8"/>
  <c r="AO58" i="8"/>
  <c r="AO3703" i="8"/>
  <c r="AO7694" i="8"/>
  <c r="B30" i="11"/>
  <c r="Q30" i="11" s="1"/>
  <c r="A33" i="11" s="1"/>
  <c r="T7763" i="8"/>
  <c r="AN7748" i="8" s="1"/>
  <c r="E7748" i="8"/>
  <c r="E1537" i="28" s="1"/>
  <c r="F1537" i="28" s="1"/>
  <c r="F7751" i="8"/>
  <c r="B604" i="11"/>
  <c r="Q604" i="11" s="1"/>
  <c r="B183" i="11"/>
  <c r="Q183" i="11" s="1"/>
  <c r="E7771" i="8"/>
  <c r="E7807" i="8"/>
  <c r="E7765" i="8"/>
  <c r="E7783" i="8"/>
  <c r="E7795" i="8"/>
  <c r="E7817" i="8"/>
  <c r="E7789" i="8"/>
  <c r="E7777" i="8"/>
  <c r="E7801" i="8"/>
  <c r="E7742" i="8"/>
  <c r="T11378" i="8"/>
  <c r="E11378" i="8"/>
  <c r="AG11378" i="8" s="1"/>
  <c r="T11090" i="8"/>
  <c r="E11090" i="8"/>
  <c r="AG11090" i="8" s="1"/>
  <c r="T11188" i="8"/>
  <c r="E11188" i="8"/>
  <c r="AG11188" i="8" s="1"/>
  <c r="T11280" i="8"/>
  <c r="E11280" i="8"/>
  <c r="AG11280" i="8" s="1"/>
  <c r="AG8054" i="8"/>
  <c r="AH8054" i="8" s="1"/>
  <c r="F8014" i="8"/>
  <c r="AG10600" i="8"/>
  <c r="AI10600" i="8" s="1"/>
  <c r="AJ10600" i="8" s="1"/>
  <c r="AG8134" i="8"/>
  <c r="AI8134" i="8" s="1"/>
  <c r="AJ8134" i="8" s="1"/>
  <c r="AG10554" i="8"/>
  <c r="AI10554" i="8" s="1"/>
  <c r="AJ10554" i="8" s="1"/>
  <c r="AG8094" i="8"/>
  <c r="AI8094" i="8" s="1"/>
  <c r="AJ8094" i="8" s="1"/>
  <c r="A1037" i="11"/>
  <c r="T7136" i="8"/>
  <c r="AN7124" i="8" s="1"/>
  <c r="T7150" i="8"/>
  <c r="E7141" i="8"/>
  <c r="E7124" i="8"/>
  <c r="E1416" i="28" s="1"/>
  <c r="F1416" i="28" s="1"/>
  <c r="Q1047" i="11"/>
  <c r="AN11078" i="8"/>
  <c r="AO11078" i="8" s="1"/>
  <c r="AN11262" i="8"/>
  <c r="AO11262" i="8" s="1"/>
  <c r="AN11142" i="8"/>
  <c r="AO11142" i="8" s="1"/>
  <c r="AN11372" i="8"/>
  <c r="AO11372" i="8" s="1"/>
  <c r="E10518" i="8"/>
  <c r="E673" i="32" s="1"/>
  <c r="F673" i="32" s="1"/>
  <c r="AN10416" i="8"/>
  <c r="AO10416" i="8" s="1"/>
  <c r="AN10334" i="8"/>
  <c r="AO10334" i="8" s="1"/>
  <c r="AN10036" i="8"/>
  <c r="AO10036" i="8" s="1"/>
  <c r="AN9840" i="8"/>
  <c r="AO9840" i="8" s="1"/>
  <c r="AN9926" i="8"/>
  <c r="AO9926" i="8" s="1"/>
  <c r="E10048" i="8"/>
  <c r="E574" i="32" s="1"/>
  <c r="F574" i="32" s="1"/>
  <c r="F575" i="32" s="1"/>
  <c r="AN9782" i="8"/>
  <c r="AO9782" i="8" s="1"/>
  <c r="AN9589" i="8"/>
  <c r="AO9589" i="8" s="1"/>
  <c r="AN9317" i="8"/>
  <c r="AO9317" i="8" s="1"/>
  <c r="AN8891" i="8"/>
  <c r="AO8891" i="8" s="1"/>
  <c r="AN9063" i="8"/>
  <c r="AO9063" i="8" s="1"/>
  <c r="AN9015" i="8"/>
  <c r="AO9015" i="8" s="1"/>
  <c r="AN8915" i="8"/>
  <c r="AO8915" i="8" s="1"/>
  <c r="AN8689" i="8"/>
  <c r="AO8689" i="8" s="1"/>
  <c r="AN9712" i="8"/>
  <c r="AO9712" i="8" s="1"/>
  <c r="AN8661" i="8"/>
  <c r="AO8661" i="8" s="1"/>
  <c r="AN9488" i="8"/>
  <c r="AO9488" i="8" s="1"/>
  <c r="AN9341" i="8"/>
  <c r="AO9341" i="8" s="1"/>
  <c r="AN8539" i="8"/>
  <c r="AO8539" i="8" s="1"/>
  <c r="AN9369" i="8"/>
  <c r="AO9369" i="8" s="1"/>
  <c r="E7823" i="8"/>
  <c r="AN8239" i="8"/>
  <c r="AO8239" i="8" s="1"/>
  <c r="E7718" i="8"/>
  <c r="E7706" i="8"/>
  <c r="AG7706" i="8" s="1"/>
  <c r="T7706" i="8"/>
  <c r="T7700" i="8"/>
  <c r="E7700" i="8"/>
  <c r="AG7700" i="8" s="1"/>
  <c r="E7648" i="8"/>
  <c r="E7688" i="8"/>
  <c r="E1523" i="28" s="1"/>
  <c r="E7630" i="8"/>
  <c r="E7712" i="8"/>
  <c r="E7694" i="8"/>
  <c r="E1524" i="28" s="1"/>
  <c r="E6780" i="8"/>
  <c r="E7534" i="8"/>
  <c r="E6764" i="8"/>
  <c r="E7546" i="8"/>
  <c r="E6853" i="8"/>
  <c r="E7241" i="8"/>
  <c r="E6742" i="8"/>
  <c r="E7590" i="8"/>
  <c r="E6954" i="8"/>
  <c r="E6699" i="8"/>
  <c r="E6960" i="8"/>
  <c r="E7473" i="8"/>
  <c r="E7399" i="8"/>
  <c r="E6871" i="8"/>
  <c r="E7350" i="8"/>
  <c r="AN6786" i="8"/>
  <c r="E6786" i="8"/>
  <c r="E6717" i="8"/>
  <c r="E6847" i="8"/>
  <c r="E6865" i="8"/>
  <c r="E7528" i="8"/>
  <c r="E7102" i="8"/>
  <c r="E6948" i="8"/>
  <c r="E7433" i="8"/>
  <c r="E7247" i="8"/>
  <c r="E7275" i="8"/>
  <c r="E6841" i="8"/>
  <c r="E7405" i="8"/>
  <c r="E6748" i="8"/>
  <c r="T7608" i="8"/>
  <c r="E7608" i="8"/>
  <c r="AG7608" i="8" s="1"/>
  <c r="AN6942" i="8"/>
  <c r="E6942" i="8"/>
  <c r="AN6677" i="8"/>
  <c r="E6677" i="8"/>
  <c r="E7602" i="8"/>
  <c r="E7235" i="8"/>
  <c r="E7090" i="8"/>
  <c r="E7556" i="8"/>
  <c r="E7322" i="8"/>
  <c r="E7114" i="8"/>
  <c r="E6994" i="8"/>
  <c r="AN6774" i="8"/>
  <c r="E6774" i="8"/>
  <c r="AN7362" i="8"/>
  <c r="E7362" i="8"/>
  <c r="E7108" i="8"/>
  <c r="E6905" i="8"/>
  <c r="E6711" i="8"/>
  <c r="E7516" i="8"/>
  <c r="E7491" i="8"/>
  <c r="E7312" i="8"/>
  <c r="AN7411" i="8"/>
  <c r="E7411" i="8"/>
  <c r="AN6887" i="8"/>
  <c r="E6887" i="8"/>
  <c r="E7328" i="8"/>
  <c r="E7344" i="8"/>
  <c r="E7253" i="8"/>
  <c r="E6877" i="8"/>
  <c r="E7457" i="8"/>
  <c r="E7445" i="8"/>
  <c r="E6859" i="8"/>
  <c r="E7467" i="8"/>
  <c r="E7004" i="8"/>
  <c r="E7281" i="8"/>
  <c r="AN7158" i="8"/>
  <c r="E7158" i="8"/>
  <c r="T6792" i="8"/>
  <c r="E6792" i="8"/>
  <c r="AG6792" i="8" s="1"/>
  <c r="E7204" i="8"/>
  <c r="E1427" i="28" s="1"/>
  <c r="F1427" i="28" s="1"/>
  <c r="E7614" i="8"/>
  <c r="E6976" i="8"/>
  <c r="E7485" i="8"/>
  <c r="E7096" i="8"/>
  <c r="E7174" i="8"/>
  <c r="E7439" i="8"/>
  <c r="E6966" i="8"/>
  <c r="E7580" i="8"/>
  <c r="E7022" i="8"/>
  <c r="E6705" i="8"/>
  <c r="E7259" i="8"/>
  <c r="AN6829" i="8"/>
  <c r="E6829" i="8"/>
  <c r="AN7479" i="8"/>
  <c r="E7479" i="8"/>
  <c r="T7198" i="8"/>
  <c r="E7198" i="8"/>
  <c r="AG7198" i="8" s="1"/>
  <c r="E7186" i="8"/>
  <c r="E1424" i="28" s="1"/>
  <c r="F1424" i="28" s="1"/>
  <c r="E6671" i="8"/>
  <c r="E7540" i="8"/>
  <c r="AN7269" i="8"/>
  <c r="E7269" i="8"/>
  <c r="AN7688" i="8"/>
  <c r="F263" i="26"/>
  <c r="T263" i="26" s="1"/>
  <c r="F239" i="26"/>
  <c r="T239" i="26" s="1"/>
  <c r="F155" i="26"/>
  <c r="T155" i="26" s="1"/>
  <c r="F293" i="26"/>
  <c r="T293" i="26" s="1"/>
  <c r="AI293" i="26"/>
  <c r="AJ293" i="26" s="1"/>
  <c r="AI281" i="26"/>
  <c r="AJ281" i="26" s="1"/>
  <c r="F281" i="26"/>
  <c r="T281" i="26" s="1"/>
  <c r="F113" i="26"/>
  <c r="T113" i="26" s="1"/>
  <c r="F317" i="26"/>
  <c r="T317" i="26" s="1"/>
  <c r="F335" i="26"/>
  <c r="T335" i="26" s="1"/>
  <c r="AI335" i="26"/>
  <c r="AJ335" i="26" s="1"/>
  <c r="F191" i="26"/>
  <c r="T191" i="26" s="1"/>
  <c r="F275" i="26"/>
  <c r="T275" i="26" s="1"/>
  <c r="F59" i="26"/>
  <c r="T59" i="26" s="1"/>
  <c r="AI59" i="26"/>
  <c r="AJ59" i="26" s="1"/>
  <c r="F371" i="26"/>
  <c r="AI371" i="26"/>
  <c r="AJ371" i="26" s="1"/>
  <c r="F311" i="26"/>
  <c r="T311" i="26" s="1"/>
  <c r="F353" i="26"/>
  <c r="AI77" i="26"/>
  <c r="AJ77" i="26" s="1"/>
  <c r="F77" i="26"/>
  <c r="T77" i="26" s="1"/>
  <c r="F83" i="26"/>
  <c r="T83" i="26" s="1"/>
  <c r="F227" i="26"/>
  <c r="T227" i="26" s="1"/>
  <c r="F299" i="26"/>
  <c r="T299" i="26" s="1"/>
  <c r="F269" i="26"/>
  <c r="T269" i="26" s="1"/>
  <c r="AI197" i="26"/>
  <c r="AJ197" i="26" s="1"/>
  <c r="F197" i="26"/>
  <c r="T197" i="26" s="1"/>
  <c r="F35" i="26"/>
  <c r="T35" i="26" s="1"/>
  <c r="F359" i="26"/>
  <c r="AI203" i="26"/>
  <c r="AJ203" i="26" s="1"/>
  <c r="F203" i="26"/>
  <c r="T203" i="26" s="1"/>
  <c r="F101" i="26"/>
  <c r="T101" i="26" s="1"/>
  <c r="F119" i="26"/>
  <c r="T119" i="26" s="1"/>
  <c r="F209" i="26"/>
  <c r="T209" i="26" s="1"/>
  <c r="F131" i="26"/>
  <c r="T131" i="26" s="1"/>
  <c r="F221" i="26"/>
  <c r="T221" i="26" s="1"/>
  <c r="AI221" i="26"/>
  <c r="AJ221" i="26" s="1"/>
  <c r="F305" i="26"/>
  <c r="T305" i="26" s="1"/>
  <c r="F125" i="26"/>
  <c r="T125" i="26" s="1"/>
  <c r="AI125" i="26"/>
  <c r="AJ125" i="26" s="1"/>
  <c r="F185" i="26"/>
  <c r="T185" i="26" s="1"/>
  <c r="AI185" i="26"/>
  <c r="AJ185" i="26" s="1"/>
  <c r="F89" i="26"/>
  <c r="T89" i="26" s="1"/>
  <c r="AI89" i="26"/>
  <c r="AJ89" i="26" s="1"/>
  <c r="F377" i="26"/>
  <c r="F95" i="26"/>
  <c r="T95" i="26" s="1"/>
  <c r="F65" i="26"/>
  <c r="T65" i="26" s="1"/>
  <c r="AI65" i="26"/>
  <c r="AJ65" i="26" s="1"/>
  <c r="F251" i="26"/>
  <c r="T251" i="26" s="1"/>
  <c r="F365" i="26"/>
  <c r="F287" i="26"/>
  <c r="T287" i="26" s="1"/>
  <c r="F323" i="26"/>
  <c r="T323" i="26" s="1"/>
  <c r="AI323" i="26"/>
  <c r="AJ323" i="26" s="1"/>
  <c r="F137" i="26"/>
  <c r="T137" i="26" s="1"/>
  <c r="F47" i="26"/>
  <c r="T47" i="26" s="1"/>
  <c r="AI29" i="26"/>
  <c r="AJ29" i="26" s="1"/>
  <c r="F29" i="26"/>
  <c r="T29" i="26" s="1"/>
  <c r="F161" i="26"/>
  <c r="T161" i="26" s="1"/>
  <c r="AI143" i="26"/>
  <c r="AJ143" i="26" s="1"/>
  <c r="F143" i="26"/>
  <c r="T143" i="26" s="1"/>
  <c r="F347" i="26"/>
  <c r="AI347" i="26"/>
  <c r="AJ347" i="26" s="1"/>
  <c r="F233" i="26"/>
  <c r="T233" i="26" s="1"/>
  <c r="AI215" i="26"/>
  <c r="AJ215" i="26" s="1"/>
  <c r="F215" i="26"/>
  <c r="T215" i="26" s="1"/>
  <c r="F41" i="26"/>
  <c r="T41" i="26" s="1"/>
  <c r="AI167" i="26"/>
  <c r="AJ167" i="26" s="1"/>
  <c r="F167" i="26"/>
  <c r="T167" i="26" s="1"/>
  <c r="F179" i="26"/>
  <c r="T179" i="26" s="1"/>
  <c r="F383" i="26"/>
  <c r="AI383" i="26"/>
  <c r="AJ383" i="26" s="1"/>
  <c r="F107" i="26"/>
  <c r="T107" i="26" s="1"/>
  <c r="F257" i="26"/>
  <c r="T257" i="26" s="1"/>
  <c r="F23" i="26"/>
  <c r="AI149" i="26"/>
  <c r="AJ149" i="26" s="1"/>
  <c r="F149" i="26"/>
  <c r="T149" i="26" s="1"/>
  <c r="F341" i="26"/>
  <c r="T341" i="26" s="1"/>
  <c r="AI245" i="26"/>
  <c r="AJ245" i="26" s="1"/>
  <c r="F245" i="26"/>
  <c r="T245" i="26" s="1"/>
  <c r="F173" i="26"/>
  <c r="T173" i="26" s="1"/>
  <c r="F53" i="26"/>
  <c r="T53" i="26" s="1"/>
  <c r="F329" i="26"/>
  <c r="T329" i="26" s="1"/>
  <c r="AI329" i="26"/>
  <c r="AJ329" i="26" s="1"/>
  <c r="F71" i="26"/>
  <c r="T71" i="26" s="1"/>
  <c r="A997" i="11"/>
  <c r="T997" i="11" s="1"/>
  <c r="A996" i="11"/>
  <c r="B165" i="11"/>
  <c r="Q165" i="11" s="1"/>
  <c r="B192" i="11"/>
  <c r="Q192" i="11" s="1"/>
  <c r="B303" i="11"/>
  <c r="Q303" i="11" s="1"/>
  <c r="T530" i="11"/>
  <c r="A526" i="11"/>
  <c r="A523" i="11"/>
  <c r="A524" i="11"/>
  <c r="A522" i="11"/>
  <c r="A525" i="11"/>
  <c r="B237" i="11"/>
  <c r="Q237" i="11" s="1"/>
  <c r="Q920" i="11"/>
  <c r="Q622" i="11"/>
  <c r="Q577" i="11"/>
  <c r="Q676" i="11"/>
  <c r="A684" i="11" s="1"/>
  <c r="R684" i="11" s="1"/>
  <c r="Q739" i="11"/>
  <c r="Q134" i="11"/>
  <c r="Q1005" i="11"/>
  <c r="A1007" i="11" s="1"/>
  <c r="Q640" i="11"/>
  <c r="Q545" i="11"/>
  <c r="Q79" i="11"/>
  <c r="Q667" i="11"/>
  <c r="Q325" i="11"/>
  <c r="Q948" i="11"/>
  <c r="Q120" i="11"/>
  <c r="A122" i="11" s="1"/>
  <c r="Q385" i="11"/>
  <c r="Q112" i="11"/>
  <c r="Q458" i="11"/>
  <c r="Q907" i="11"/>
  <c r="Q797" i="11"/>
  <c r="Q219" i="11"/>
  <c r="Q39" i="11"/>
  <c r="Q210" i="11"/>
  <c r="Q249" i="11"/>
  <c r="Q893" i="11"/>
  <c r="Q822" i="11"/>
  <c r="Q613" i="11"/>
  <c r="Q437" i="11"/>
  <c r="Q488" i="11"/>
  <c r="A494" i="11" s="1"/>
  <c r="Q448" i="11"/>
  <c r="Q395" i="11"/>
  <c r="Q715" i="11"/>
  <c r="Q586" i="11"/>
  <c r="Q201" i="11"/>
  <c r="Q156" i="11"/>
  <c r="Q1023" i="11"/>
  <c r="A1025" i="11" s="1"/>
  <c r="Q762" i="11"/>
  <c r="Q649" i="11"/>
  <c r="Q837" i="11"/>
  <c r="A840" i="11" s="1"/>
  <c r="Q1029" i="11"/>
  <c r="Q335" i="11"/>
  <c r="Q631" i="11"/>
  <c r="Q933" i="11"/>
  <c r="Q688" i="11"/>
  <c r="Q697" i="11"/>
  <c r="Q261" i="11"/>
  <c r="Q271" i="11"/>
  <c r="Q658" i="11"/>
  <c r="Q281" i="11"/>
  <c r="A287" i="11" s="1"/>
  <c r="Q228" i="11"/>
  <c r="Q293" i="11"/>
  <c r="Q365" i="11"/>
  <c r="Q751" i="11"/>
  <c r="Q595" i="11"/>
  <c r="Q552" i="11"/>
  <c r="Q478" i="11"/>
  <c r="Q706" i="11"/>
  <c r="Q774" i="11"/>
  <c r="Q808" i="11"/>
  <c r="A811" i="11" s="1"/>
  <c r="Q345" i="11"/>
  <c r="Q510" i="11"/>
  <c r="A516" i="11" s="1"/>
  <c r="Q46" i="11"/>
  <c r="Q865" i="11"/>
  <c r="A875" i="11" s="1"/>
  <c r="Q375" i="11"/>
  <c r="Q315" i="11"/>
  <c r="Q103" i="11"/>
  <c r="A106" i="11" s="1"/>
  <c r="Q879" i="11"/>
  <c r="Q851" i="11"/>
  <c r="Q568" i="11"/>
  <c r="Q405" i="11"/>
  <c r="Q355" i="11"/>
  <c r="Q559" i="11"/>
  <c r="Q417" i="11"/>
  <c r="Q468" i="11"/>
  <c r="Q427" i="11"/>
  <c r="Q174" i="11"/>
  <c r="Q785" i="11"/>
  <c r="A793" i="11" s="1"/>
  <c r="Q723" i="11"/>
  <c r="Q19" i="11"/>
  <c r="A21" i="11" s="1"/>
  <c r="AN5023" i="8"/>
  <c r="E5023" i="8"/>
  <c r="T515" i="8"/>
  <c r="E499" i="8"/>
  <c r="T494" i="8"/>
  <c r="E471" i="8"/>
  <c r="AN9522" i="8"/>
  <c r="AO9522" i="8" s="1"/>
  <c r="T11543" i="8"/>
  <c r="F6397" i="8"/>
  <c r="T6397" i="8" s="1"/>
  <c r="F535" i="8"/>
  <c r="T535" i="8" s="1"/>
  <c r="F4852" i="8"/>
  <c r="AG7863" i="8"/>
  <c r="AI7863" i="8" s="1"/>
  <c r="AJ7863" i="8" s="1"/>
  <c r="F7568" i="8"/>
  <c r="T7568" i="8" s="1"/>
  <c r="F6911" i="8"/>
  <c r="T6911" i="8" s="1"/>
  <c r="F4675" i="8"/>
  <c r="T4675" i="8" s="1"/>
  <c r="F5053" i="8"/>
  <c r="T5053" i="8" s="1"/>
  <c r="F7016" i="8"/>
  <c r="T7016" i="8" s="1"/>
  <c r="F248" i="8"/>
  <c r="T248" i="8" s="1"/>
  <c r="F4698" i="8"/>
  <c r="T4698" i="8" s="1"/>
  <c r="AG4498" i="8"/>
  <c r="AI4498" i="8" s="1"/>
  <c r="AJ4498" i="8" s="1"/>
  <c r="E157" i="8"/>
  <c r="E138" i="8" s="1"/>
  <c r="E317" i="28" s="1"/>
  <c r="F317" i="28" s="1"/>
  <c r="AN9122" i="8"/>
  <c r="AO9122" i="8" s="1"/>
  <c r="F9522" i="8"/>
  <c r="T9522" i="8" s="1"/>
  <c r="AN11234" i="8"/>
  <c r="AO11234" i="8" s="1"/>
  <c r="AG8014" i="8"/>
  <c r="AI8014" i="8" s="1"/>
  <c r="AJ8014" i="8" s="1"/>
  <c r="AN8451" i="8"/>
  <c r="AO8451" i="8" s="1"/>
  <c r="AN9174" i="8"/>
  <c r="AO9174" i="8" s="1"/>
  <c r="AN11344" i="8"/>
  <c r="AO11344" i="8" s="1"/>
  <c r="AN8475" i="8"/>
  <c r="AO8475" i="8" s="1"/>
  <c r="AN8649" i="8"/>
  <c r="AO8649" i="8" s="1"/>
  <c r="E10752" i="8"/>
  <c r="E721" i="32" s="1"/>
  <c r="F721" i="32" s="1"/>
  <c r="T8014" i="8"/>
  <c r="AN8014" i="8"/>
  <c r="AO8014" i="8" s="1"/>
  <c r="AN10554" i="8"/>
  <c r="AO10554" i="8" s="1"/>
  <c r="F8737" i="8"/>
  <c r="T8737" i="8" s="1"/>
  <c r="AN8737" i="8"/>
  <c r="AO8737" i="8" s="1"/>
  <c r="T8054" i="8"/>
  <c r="E10400" i="8"/>
  <c r="E651" i="32" s="1"/>
  <c r="F651" i="32" s="1"/>
  <c r="AN9464" i="8"/>
  <c r="AO9464" i="8" s="1"/>
  <c r="AN9688" i="8"/>
  <c r="AO9688" i="8" s="1"/>
  <c r="F9688" i="8"/>
  <c r="T9688" i="8" s="1"/>
  <c r="F8054" i="8"/>
  <c r="AN10720" i="8"/>
  <c r="AO10720" i="8" s="1"/>
  <c r="AN10512" i="8"/>
  <c r="AO10512" i="8" s="1"/>
  <c r="AN8713" i="8"/>
  <c r="AO8713" i="8" s="1"/>
  <c r="AN8637" i="8"/>
  <c r="AO8637" i="8" s="1"/>
  <c r="AN10480" i="8"/>
  <c r="AO10480" i="8" s="1"/>
  <c r="T8134" i="8"/>
  <c r="AN9660" i="8"/>
  <c r="AO9660" i="8" s="1"/>
  <c r="AN8134" i="8"/>
  <c r="AO8134" i="8" s="1"/>
  <c r="AN10012" i="8"/>
  <c r="AO10012" i="8" s="1"/>
  <c r="F9561" i="8"/>
  <c r="T9561" i="8" s="1"/>
  <c r="AN9561" i="8"/>
  <c r="AO9561" i="8" s="1"/>
  <c r="AN10600" i="8"/>
  <c r="AO10600" i="8" s="1"/>
  <c r="AN9146" i="8"/>
  <c r="AO9146" i="8" s="1"/>
  <c r="AN10197" i="8"/>
  <c r="AO10197" i="8" s="1"/>
  <c r="AN9393" i="8"/>
  <c r="AO9393" i="8" s="1"/>
  <c r="AN8503" i="8"/>
  <c r="AO8503" i="8" s="1"/>
  <c r="F8475" i="8"/>
  <c r="T8475" i="8" s="1"/>
  <c r="AN8991" i="8"/>
  <c r="AO8991" i="8" s="1"/>
  <c r="AN8515" i="8"/>
  <c r="AO8515" i="8" s="1"/>
  <c r="AN10848" i="8"/>
  <c r="AO10848" i="8" s="1"/>
  <c r="AN10974" i="8"/>
  <c r="AO10974" i="8" s="1"/>
  <c r="F8991" i="8"/>
  <c r="T8991" i="8" s="1"/>
  <c r="AN11050" i="8"/>
  <c r="AO11050" i="8" s="1"/>
  <c r="F10554" i="8"/>
  <c r="T10554" i="8" s="1"/>
  <c r="E10902" i="8"/>
  <c r="E753" i="32" s="1"/>
  <c r="F753" i="32" s="1"/>
  <c r="AN10878" i="8"/>
  <c r="AO10878" i="8" s="1"/>
  <c r="AN10267" i="8"/>
  <c r="AO10267" i="8" s="1"/>
  <c r="AN8303" i="8"/>
  <c r="AO8303" i="8" s="1"/>
  <c r="AN8673" i="8"/>
  <c r="AO8673" i="8" s="1"/>
  <c r="E10914" i="8"/>
  <c r="E755" i="32" s="1"/>
  <c r="F755" i="32" s="1"/>
  <c r="F10958" i="8"/>
  <c r="T10958" i="8" s="1"/>
  <c r="AN11246" i="8"/>
  <c r="AO11246" i="8" s="1"/>
  <c r="AN10958" i="8"/>
  <c r="AO10958" i="8" s="1"/>
  <c r="E11434" i="8"/>
  <c r="AG11434" i="8" s="1"/>
  <c r="AI11434" i="8" s="1"/>
  <c r="AJ11434" i="8" s="1"/>
  <c r="T11434" i="8"/>
  <c r="AN8287" i="8"/>
  <c r="AO8287" i="8" s="1"/>
  <c r="F8134" i="8"/>
  <c r="AN9750" i="8"/>
  <c r="AO9750" i="8" s="1"/>
  <c r="F9174" i="8"/>
  <c r="T9174" i="8" s="1"/>
  <c r="AN10656" i="8"/>
  <c r="AO10656" i="8" s="1"/>
  <c r="AN8487" i="8"/>
  <c r="AO8487" i="8" s="1"/>
  <c r="AN8967" i="8"/>
  <c r="AO8967" i="8" s="1"/>
  <c r="AN10444" i="8"/>
  <c r="AO10444" i="8" s="1"/>
  <c r="AN9039" i="8"/>
  <c r="AO9039" i="8" s="1"/>
  <c r="AN8263" i="8"/>
  <c r="AO8263" i="8" s="1"/>
  <c r="AN10628" i="8"/>
  <c r="AO10628" i="8" s="1"/>
  <c r="AN8251" i="8"/>
  <c r="AO8251" i="8" s="1"/>
  <c r="AN8939" i="8"/>
  <c r="AO8939" i="8" s="1"/>
  <c r="F10600" i="8"/>
  <c r="T10600" i="8" s="1"/>
  <c r="AN8327" i="8"/>
  <c r="AO8327" i="8" s="1"/>
  <c r="AN8463" i="8"/>
  <c r="AO8463" i="8" s="1"/>
  <c r="AN8551" i="8"/>
  <c r="AO8551" i="8" s="1"/>
  <c r="AN8054" i="8"/>
  <c r="AO8054" i="8" s="1"/>
  <c r="F8094" i="8"/>
  <c r="AN10048" i="8"/>
  <c r="AO10048" i="8" s="1"/>
  <c r="AN8275" i="8"/>
  <c r="AO8275" i="8" s="1"/>
  <c r="AN11444" i="8"/>
  <c r="AO11444" i="8" s="1"/>
  <c r="T11444" i="8"/>
  <c r="E11444" i="8"/>
  <c r="F8551" i="8"/>
  <c r="T8551" i="8" s="1"/>
  <c r="T8094" i="8"/>
  <c r="AN11418" i="8"/>
  <c r="AO11418" i="8" s="1"/>
  <c r="E11418" i="8"/>
  <c r="E1018" i="32" s="1"/>
  <c r="F1018" i="32" s="1"/>
  <c r="F1022" i="32" s="1"/>
  <c r="AN8094" i="8"/>
  <c r="AO8094" i="8" s="1"/>
  <c r="AN8979" i="8"/>
  <c r="AO8979" i="8" s="1"/>
  <c r="AN8855" i="8"/>
  <c r="AO8855" i="8" s="1"/>
  <c r="E8855" i="8"/>
  <c r="E155" i="32" s="1"/>
  <c r="F155" i="32" s="1"/>
  <c r="AN8725" i="8"/>
  <c r="AO8725" i="8" s="1"/>
  <c r="AN8509" i="8"/>
  <c r="AO8509" i="8" s="1"/>
  <c r="AN8281" i="8"/>
  <c r="AO8281" i="8" s="1"/>
  <c r="F8287" i="8"/>
  <c r="T8287" i="8" s="1"/>
  <c r="AN11366" i="8"/>
  <c r="AO11366" i="8" s="1"/>
  <c r="AN11188" i="8"/>
  <c r="AO11188" i="8" s="1"/>
  <c r="AN11182" i="8"/>
  <c r="AO11182" i="8" s="1"/>
  <c r="AN11044" i="8"/>
  <c r="AO11044" i="8" s="1"/>
  <c r="AN11062" i="8"/>
  <c r="AO11062" i="8" s="1"/>
  <c r="AN10790" i="8"/>
  <c r="AO10790" i="8" s="1"/>
  <c r="AN10662" i="8"/>
  <c r="AO10662" i="8" s="1"/>
  <c r="AN10616" i="8"/>
  <c r="AO10616" i="8" s="1"/>
  <c r="AN10346" i="8"/>
  <c r="AO10346" i="8" s="1"/>
  <c r="E10346" i="8"/>
  <c r="E637" i="32" s="1"/>
  <c r="F637" i="32" s="1"/>
  <c r="AN10026" i="8"/>
  <c r="AO10026" i="8" s="1"/>
  <c r="AN9920" i="8"/>
  <c r="AO9920" i="8" s="1"/>
  <c r="AN10908" i="8"/>
  <c r="AO10908" i="8" s="1"/>
  <c r="E10908" i="8"/>
  <c r="E754" i="32" s="1"/>
  <c r="F754" i="32" s="1"/>
  <c r="AN10588" i="8"/>
  <c r="AO10588" i="8" s="1"/>
  <c r="E10588" i="8"/>
  <c r="E691" i="32" s="1"/>
  <c r="F691" i="32" s="1"/>
  <c r="AN10500" i="8"/>
  <c r="AO10500" i="8" s="1"/>
  <c r="E10500" i="8"/>
  <c r="E670" i="32" s="1"/>
  <c r="F670" i="32" s="1"/>
  <c r="AN10390" i="8"/>
  <c r="AO10390" i="8" s="1"/>
  <c r="E10390" i="8"/>
  <c r="E649" i="32" s="1"/>
  <c r="F649" i="32" s="1"/>
  <c r="AN9744" i="8"/>
  <c r="AO9744" i="8" s="1"/>
  <c r="AN9974" i="8"/>
  <c r="AO9974" i="8" s="1"/>
  <c r="AN9323" i="8"/>
  <c r="AO9323" i="8" s="1"/>
  <c r="AN9180" i="8"/>
  <c r="AO9180" i="8" s="1"/>
  <c r="AN9057" i="8"/>
  <c r="AO9057" i="8" s="1"/>
  <c r="AN8957" i="8"/>
  <c r="AO8957" i="8" s="1"/>
  <c r="AN8707" i="8"/>
  <c r="AO8707" i="8" s="1"/>
  <c r="AN8667" i="8"/>
  <c r="AO8667" i="8" s="1"/>
  <c r="AN8545" i="8"/>
  <c r="AO8545" i="8" s="1"/>
  <c r="AN8445" i="8"/>
  <c r="AO8445" i="8" s="1"/>
  <c r="AN8321" i="8"/>
  <c r="AO8321" i="8" s="1"/>
  <c r="AN8044" i="8"/>
  <c r="AO8044" i="8" s="1"/>
  <c r="T8044" i="8"/>
  <c r="E8044" i="8"/>
  <c r="AN8114" i="8"/>
  <c r="AO8114" i="8" s="1"/>
  <c r="T8114" i="8"/>
  <c r="E8114" i="8"/>
  <c r="AN11280" i="8"/>
  <c r="AO11280" i="8" s="1"/>
  <c r="AN11176" i="8"/>
  <c r="AO11176" i="8" s="1"/>
  <c r="AN11056" i="8"/>
  <c r="AO11056" i="8" s="1"/>
  <c r="AN10738" i="8"/>
  <c r="AO10738" i="8" s="1"/>
  <c r="AN10622" i="8"/>
  <c r="AO10622" i="8" s="1"/>
  <c r="AN10358" i="8"/>
  <c r="AO10358" i="8" s="1"/>
  <c r="E10358" i="8"/>
  <c r="E639" i="32" s="1"/>
  <c r="F639" i="32" s="1"/>
  <c r="AN10251" i="8"/>
  <c r="AO10251" i="8" s="1"/>
  <c r="AN10101" i="8"/>
  <c r="AO10101" i="8" s="1"/>
  <c r="AN10153" i="8"/>
  <c r="AO10153" i="8" s="1"/>
  <c r="AN9504" i="8"/>
  <c r="AO9504" i="8" s="1"/>
  <c r="AN9381" i="8"/>
  <c r="AO9381" i="8" s="1"/>
  <c r="AN9134" i="8"/>
  <c r="AO9134" i="8" s="1"/>
  <c r="AN11274" i="8"/>
  <c r="AO11274" i="8" s="1"/>
  <c r="AN10952" i="8"/>
  <c r="AO10952" i="8" s="1"/>
  <c r="AN10810" i="8"/>
  <c r="AO10810" i="8" s="1"/>
  <c r="E10810" i="8"/>
  <c r="E735" i="32" s="1"/>
  <c r="F735" i="32" s="1"/>
  <c r="AN10490" i="8"/>
  <c r="AO10490" i="8" s="1"/>
  <c r="AN10328" i="8"/>
  <c r="AO10328" i="8" s="1"/>
  <c r="AN9788" i="8"/>
  <c r="AO9788" i="8" s="1"/>
  <c r="E9788" i="8"/>
  <c r="E323" i="32" s="1"/>
  <c r="F323" i="32" s="1"/>
  <c r="AN9666" i="8"/>
  <c r="AO9666" i="8" s="1"/>
  <c r="AN9766" i="8"/>
  <c r="AO9766" i="8" s="1"/>
  <c r="AN9672" i="8"/>
  <c r="AO9672" i="8" s="1"/>
  <c r="AN9311" i="8"/>
  <c r="AO9311" i="8" s="1"/>
  <c r="AN9168" i="8"/>
  <c r="AO9168" i="8" s="1"/>
  <c r="AN9045" i="8"/>
  <c r="AO9045" i="8" s="1"/>
  <c r="AN8945" i="8"/>
  <c r="AO8945" i="8" s="1"/>
  <c r="F8945" i="8"/>
  <c r="T8945" i="8" s="1"/>
  <c r="AN11388" i="8"/>
  <c r="AO11388" i="8" s="1"/>
  <c r="AN10924" i="8"/>
  <c r="AO10924" i="8" s="1"/>
  <c r="AN10768" i="8"/>
  <c r="AO10768" i="8" s="1"/>
  <c r="AN10450" i="8"/>
  <c r="AO10450" i="8" s="1"/>
  <c r="AN10000" i="8"/>
  <c r="AO10000" i="8" s="1"/>
  <c r="AN9760" i="8"/>
  <c r="AO9760" i="8" s="1"/>
  <c r="AN9890" i="8"/>
  <c r="AO9890" i="8" s="1"/>
  <c r="AN9986" i="8"/>
  <c r="AO9986" i="8" s="1"/>
  <c r="AN9510" i="8"/>
  <c r="AO9510" i="8" s="1"/>
  <c r="AN9387" i="8"/>
  <c r="AO9387" i="8" s="1"/>
  <c r="AN9140" i="8"/>
  <c r="AO9140" i="8" s="1"/>
  <c r="AN9021" i="8"/>
  <c r="AO9021" i="8" s="1"/>
  <c r="AN8921" i="8"/>
  <c r="AO8921" i="8" s="1"/>
  <c r="F8921" i="8"/>
  <c r="T8921" i="8" s="1"/>
  <c r="AN9051" i="8"/>
  <c r="AO9051" i="8" s="1"/>
  <c r="AN8951" i="8"/>
  <c r="AO8951" i="8" s="1"/>
  <c r="F8951" i="8"/>
  <c r="T8951" i="8" s="1"/>
  <c r="AN8701" i="8"/>
  <c r="AO8701" i="8" s="1"/>
  <c r="AN8481" i="8"/>
  <c r="AO8481" i="8" s="1"/>
  <c r="AN8257" i="8"/>
  <c r="AO8257" i="8" s="1"/>
  <c r="AN8104" i="8"/>
  <c r="AO8104" i="8" s="1"/>
  <c r="T8104" i="8"/>
  <c r="E8104" i="8"/>
  <c r="AN8527" i="8"/>
  <c r="AO8527" i="8" s="1"/>
  <c r="AN11268" i="8"/>
  <c r="AO11268" i="8" s="1"/>
  <c r="AN11160" i="8"/>
  <c r="AO11160" i="8" s="1"/>
  <c r="AN11154" i="8"/>
  <c r="AO11154" i="8" s="1"/>
  <c r="AN10758" i="8"/>
  <c r="AO10758" i="8" s="1"/>
  <c r="E10758" i="8"/>
  <c r="E722" i="32" s="1"/>
  <c r="F722" i="32" s="1"/>
  <c r="AN10634" i="8"/>
  <c r="AO10634" i="8" s="1"/>
  <c r="AN10688" i="8"/>
  <c r="AO10688" i="8" s="1"/>
  <c r="E10688" i="8"/>
  <c r="E709" i="32" s="1"/>
  <c r="F709" i="32" s="1"/>
  <c r="AN10322" i="8"/>
  <c r="AO10322" i="8" s="1"/>
  <c r="AN10159" i="8"/>
  <c r="AO10159" i="8" s="1"/>
  <c r="AN9876" i="8"/>
  <c r="AO9876" i="8" s="1"/>
  <c r="AN8695" i="8"/>
  <c r="AO8695" i="8" s="1"/>
  <c r="F8695" i="8"/>
  <c r="T8695" i="8" s="1"/>
  <c r="AN10866" i="8"/>
  <c r="AO10866" i="8" s="1"/>
  <c r="E10866" i="8"/>
  <c r="E746" i="32" s="1"/>
  <c r="F746" i="32" s="1"/>
  <c r="AN10506" i="8"/>
  <c r="AO10506" i="8" s="1"/>
  <c r="AN10456" i="8"/>
  <c r="AO10456" i="8" s="1"/>
  <c r="AN10340" i="8"/>
  <c r="AO10340" i="8" s="1"/>
  <c r="E10340" i="8"/>
  <c r="E636" i="32" s="1"/>
  <c r="F636" i="32" s="1"/>
  <c r="AN9870" i="8"/>
  <c r="AO9870" i="8" s="1"/>
  <c r="AN9706" i="8"/>
  <c r="AO9706" i="8" s="1"/>
  <c r="AN9583" i="8"/>
  <c r="AO9583" i="8" s="1"/>
  <c r="AN9399" i="8"/>
  <c r="AO9399" i="8" s="1"/>
  <c r="AN9299" i="8"/>
  <c r="AO9299" i="8" s="1"/>
  <c r="AN9156" i="8"/>
  <c r="AO9156" i="8" s="1"/>
  <c r="AN9033" i="8"/>
  <c r="AO9033" i="8" s="1"/>
  <c r="AN8933" i="8"/>
  <c r="AO8933" i="8" s="1"/>
  <c r="AN8643" i="8"/>
  <c r="AO8643" i="8" s="1"/>
  <c r="AN8521" i="8"/>
  <c r="AO8521" i="8" s="1"/>
  <c r="AN8297" i="8"/>
  <c r="AO8297" i="8" s="1"/>
  <c r="AN8074" i="8"/>
  <c r="AO8074" i="8" s="1"/>
  <c r="T8074" i="8"/>
  <c r="E8074" i="8"/>
  <c r="AN11252" i="8"/>
  <c r="AO11252" i="8" s="1"/>
  <c r="AN11148" i="8"/>
  <c r="AO11148" i="8" s="1"/>
  <c r="AN10930" i="8"/>
  <c r="AO10930" i="8" s="1"/>
  <c r="AN10710" i="8"/>
  <c r="AO10710" i="8" s="1"/>
  <c r="AN10676" i="8"/>
  <c r="AO10676" i="8" s="1"/>
  <c r="E10676" i="8"/>
  <c r="E707" i="32" s="1"/>
  <c r="F707" i="32" s="1"/>
  <c r="AN10606" i="8"/>
  <c r="AO10606" i="8" s="1"/>
  <c r="E10606" i="8"/>
  <c r="E694" i="32" s="1"/>
  <c r="F694" i="32" s="1"/>
  <c r="AN10213" i="8"/>
  <c r="AO10213" i="8" s="1"/>
  <c r="AN10042" i="8"/>
  <c r="AO10042" i="8" s="1"/>
  <c r="AN9980" i="8"/>
  <c r="AO9980" i="8" s="1"/>
  <c r="AN9476" i="8"/>
  <c r="AO9476" i="8" s="1"/>
  <c r="AN9357" i="8"/>
  <c r="AO9357" i="8" s="1"/>
  <c r="F8487" i="8"/>
  <c r="T8487" i="8" s="1"/>
  <c r="F8713" i="8"/>
  <c r="T8713" i="8" s="1"/>
  <c r="AN11360" i="8"/>
  <c r="AO11360" i="8" s="1"/>
  <c r="AN10888" i="8"/>
  <c r="AO10888" i="8" s="1"/>
  <c r="AN10644" i="8"/>
  <c r="AO10644" i="8" s="1"/>
  <c r="AN10422" i="8"/>
  <c r="AO10422" i="8" s="1"/>
  <c r="AN10406" i="8"/>
  <c r="AO10406" i="8" s="1"/>
  <c r="E10406" i="8"/>
  <c r="E652" i="32" s="1"/>
  <c r="F652" i="32" s="1"/>
  <c r="AN10245" i="8"/>
  <c r="AO10245" i="8" s="1"/>
  <c r="AN9950" i="8"/>
  <c r="AO9950" i="8" s="1"/>
  <c r="AN9595" i="8"/>
  <c r="AO9595" i="8" s="1"/>
  <c r="AN9852" i="8"/>
  <c r="AO9852" i="8" s="1"/>
  <c r="AN9482" i="8"/>
  <c r="AO9482" i="8" s="1"/>
  <c r="AN9363" i="8"/>
  <c r="AO9363" i="8" s="1"/>
  <c r="AN8997" i="8"/>
  <c r="AO8997" i="8" s="1"/>
  <c r="AN8897" i="8"/>
  <c r="AO8897" i="8" s="1"/>
  <c r="F8897" i="8"/>
  <c r="T8897" i="8" s="1"/>
  <c r="AN8743" i="8"/>
  <c r="AO8743" i="8" s="1"/>
  <c r="AN9027" i="8"/>
  <c r="AO9027" i="8" s="1"/>
  <c r="AN8927" i="8"/>
  <c r="AO8927" i="8" s="1"/>
  <c r="F8927" i="8"/>
  <c r="T8927" i="8" s="1"/>
  <c r="AN8679" i="8"/>
  <c r="AO8679" i="8" s="1"/>
  <c r="AN8557" i="8"/>
  <c r="AO8557" i="8" s="1"/>
  <c r="AN8457" i="8"/>
  <c r="AO8457" i="8" s="1"/>
  <c r="AN8333" i="8"/>
  <c r="AO8333" i="8" s="1"/>
  <c r="AN8064" i="8"/>
  <c r="AO8064" i="8" s="1"/>
  <c r="T8064" i="8"/>
  <c r="E8064" i="8"/>
  <c r="F9660" i="8"/>
  <c r="T9660" i="8" s="1"/>
  <c r="AN11240" i="8"/>
  <c r="AO11240" i="8" s="1"/>
  <c r="AN11096" i="8"/>
  <c r="AO11096" i="8" s="1"/>
  <c r="AN10946" i="8"/>
  <c r="AO10946" i="8" s="1"/>
  <c r="AN10726" i="8"/>
  <c r="AO10726" i="8" s="1"/>
  <c r="AN10574" i="8"/>
  <c r="AO10574" i="8" s="1"/>
  <c r="AN10137" i="8"/>
  <c r="AO10137" i="8" s="1"/>
  <c r="AN10091" i="8"/>
  <c r="AO10091" i="8" s="1"/>
  <c r="F9039" i="8"/>
  <c r="T9039" i="8" s="1"/>
  <c r="AN10964" i="8"/>
  <c r="AO10964" i="8" s="1"/>
  <c r="AN10826" i="8"/>
  <c r="AO10826" i="8" s="1"/>
  <c r="AN10470" i="8"/>
  <c r="AO10470" i="8" s="1"/>
  <c r="E10470" i="8"/>
  <c r="E664" i="32" s="1"/>
  <c r="F664" i="32" s="1"/>
  <c r="AN10428" i="8"/>
  <c r="AO10428" i="8" s="1"/>
  <c r="AN10308" i="8"/>
  <c r="AO10308" i="8" s="1"/>
  <c r="AN9830" i="8"/>
  <c r="AO9830" i="8" s="1"/>
  <c r="AN9678" i="8"/>
  <c r="AO9678" i="8" s="1"/>
  <c r="AN9498" i="8"/>
  <c r="AO9498" i="8" s="1"/>
  <c r="AN9375" i="8"/>
  <c r="AO9375" i="8" s="1"/>
  <c r="AN9128" i="8"/>
  <c r="AO9128" i="8" s="1"/>
  <c r="AN9009" i="8"/>
  <c r="AO9009" i="8" s="1"/>
  <c r="AN8909" i="8"/>
  <c r="AO8909" i="8" s="1"/>
  <c r="F8909" i="8"/>
  <c r="T8909" i="8" s="1"/>
  <c r="AN8493" i="8"/>
  <c r="AO8493" i="8" s="1"/>
  <c r="AN8269" i="8"/>
  <c r="AO8269" i="8" s="1"/>
  <c r="AN8124" i="8"/>
  <c r="AO8124" i="8" s="1"/>
  <c r="T8124" i="8"/>
  <c r="E8124" i="8"/>
  <c r="AN8339" i="8"/>
  <c r="AO8339" i="8" s="1"/>
  <c r="AN8034" i="8"/>
  <c r="AO8034" i="8" s="1"/>
  <c r="T8034" i="8"/>
  <c r="E8034" i="8"/>
  <c r="AN11378" i="8"/>
  <c r="AO11378" i="8" s="1"/>
  <c r="AN10816" i="8"/>
  <c r="AO10816" i="8" s="1"/>
  <c r="E10816" i="8"/>
  <c r="E736" i="32" s="1"/>
  <c r="F736" i="32" s="1"/>
  <c r="AN10682" i="8"/>
  <c r="AO10682" i="8" s="1"/>
  <c r="E10682" i="8"/>
  <c r="E708" i="32" s="1"/>
  <c r="F708" i="32" s="1"/>
  <c r="AN10594" i="8"/>
  <c r="AO10594" i="8" s="1"/>
  <c r="E10594" i="8"/>
  <c r="E692" i="32" s="1"/>
  <c r="F692" i="32" s="1"/>
  <c r="AN10006" i="8"/>
  <c r="AO10006" i="8" s="1"/>
  <c r="AN9932" i="8"/>
  <c r="AO9932" i="8" s="1"/>
  <c r="AN9329" i="8"/>
  <c r="AO9329" i="8" s="1"/>
  <c r="AN7950" i="8"/>
  <c r="F11050" i="8"/>
  <c r="T11050" i="8" s="1"/>
  <c r="AN11332" i="8"/>
  <c r="AO11332" i="8" s="1"/>
  <c r="AN10980" i="8"/>
  <c r="AO10980" i="8" s="1"/>
  <c r="E10980" i="8"/>
  <c r="E767" i="32" s="1"/>
  <c r="F767" i="32" s="1"/>
  <c r="AN10842" i="8"/>
  <c r="AO10842" i="8" s="1"/>
  <c r="AN10518" i="8"/>
  <c r="AO10518" i="8" s="1"/>
  <c r="AN10784" i="8"/>
  <c r="AO10784" i="8" s="1"/>
  <c r="AN10352" i="8"/>
  <c r="AO10352" i="8" s="1"/>
  <c r="AN10207" i="8"/>
  <c r="AO10207" i="8" s="1"/>
  <c r="AN9846" i="8"/>
  <c r="AO9846" i="8" s="1"/>
  <c r="AN9694" i="8"/>
  <c r="AO9694" i="8" s="1"/>
  <c r="AN9567" i="8"/>
  <c r="AO9567" i="8" s="1"/>
  <c r="AN9824" i="8"/>
  <c r="AO9824" i="8" s="1"/>
  <c r="AN9700" i="8"/>
  <c r="AO9700" i="8" s="1"/>
  <c r="AN9573" i="8"/>
  <c r="AO9573" i="8" s="1"/>
  <c r="AN9335" i="8"/>
  <c r="AO9335" i="8" s="1"/>
  <c r="AN8973" i="8"/>
  <c r="AO8973" i="8" s="1"/>
  <c r="AN8719" i="8"/>
  <c r="AO8719" i="8" s="1"/>
  <c r="AN9003" i="8"/>
  <c r="AO9003" i="8" s="1"/>
  <c r="AN8903" i="8"/>
  <c r="AO8903" i="8" s="1"/>
  <c r="F8903" i="8"/>
  <c r="T8903" i="8" s="1"/>
  <c r="AN8655" i="8"/>
  <c r="AO8655" i="8" s="1"/>
  <c r="AN8533" i="8"/>
  <c r="AO8533" i="8" s="1"/>
  <c r="AN8309" i="8"/>
  <c r="AO8309" i="8" s="1"/>
  <c r="AN8024" i="8"/>
  <c r="AO8024" i="8" s="1"/>
  <c r="T8024" i="8"/>
  <c r="E8024" i="8"/>
  <c r="AN11394" i="8"/>
  <c r="AO11394" i="8" s="1"/>
  <c r="E11394" i="8"/>
  <c r="E846" i="32" s="1"/>
  <c r="F846" i="32" s="1"/>
  <c r="AN11072" i="8"/>
  <c r="AO11072" i="8" s="1"/>
  <c r="AN11090" i="8"/>
  <c r="AO11090" i="8" s="1"/>
  <c r="AN10832" i="8"/>
  <c r="AO10832" i="8" s="1"/>
  <c r="AN10698" i="8"/>
  <c r="AO10698" i="8" s="1"/>
  <c r="AN10732" i="8"/>
  <c r="AO10732" i="8" s="1"/>
  <c r="AN9956" i="8"/>
  <c r="AO9956" i="8" s="1"/>
  <c r="AN11338" i="8"/>
  <c r="AO11338" i="8" s="1"/>
  <c r="AN10936" i="8"/>
  <c r="AO10936" i="8" s="1"/>
  <c r="AN10704" i="8"/>
  <c r="AO10704" i="8" s="1"/>
  <c r="AN10438" i="8"/>
  <c r="AO10438" i="8" s="1"/>
  <c r="AN10564" i="8"/>
  <c r="AO10564" i="8" s="1"/>
  <c r="AN10261" i="8"/>
  <c r="AO10261" i="8" s="1"/>
  <c r="AN9776" i="8"/>
  <c r="AO9776" i="8" s="1"/>
  <c r="AN9654" i="8"/>
  <c r="AO9654" i="8" s="1"/>
  <c r="AN9516" i="8"/>
  <c r="AO9516" i="8" s="1"/>
  <c r="AN9902" i="8"/>
  <c r="AO9902" i="8" s="1"/>
  <c r="AN9470" i="8"/>
  <c r="AO9470" i="8" s="1"/>
  <c r="AN9347" i="8"/>
  <c r="AO9347" i="8" s="1"/>
  <c r="AN8985" i="8"/>
  <c r="AO8985" i="8" s="1"/>
  <c r="AN8871" i="8"/>
  <c r="AO8871" i="8" s="1"/>
  <c r="E8871" i="8"/>
  <c r="E156" i="32" s="1"/>
  <c r="F156" i="32" s="1"/>
  <c r="AN8731" i="8"/>
  <c r="AO8731" i="8" s="1"/>
  <c r="AN8469" i="8"/>
  <c r="AO8469" i="8" s="1"/>
  <c r="AN8345" i="8"/>
  <c r="AO8345" i="8" s="1"/>
  <c r="AN8245" i="8"/>
  <c r="AO8245" i="8" s="1"/>
  <c r="AN8084" i="8"/>
  <c r="AO8084" i="8" s="1"/>
  <c r="T8084" i="8"/>
  <c r="E8084" i="8"/>
  <c r="AN8439" i="8"/>
  <c r="AO8439" i="8" s="1"/>
  <c r="AN8315" i="8"/>
  <c r="AO8315" i="8" s="1"/>
  <c r="AN11350" i="8"/>
  <c r="AO11350" i="8" s="1"/>
  <c r="AN11084" i="8"/>
  <c r="AO11084" i="8" s="1"/>
  <c r="AN11170" i="8"/>
  <c r="AO11170" i="8" s="1"/>
  <c r="AN10774" i="8"/>
  <c r="AO10774" i="8" s="1"/>
  <c r="AN10650" i="8"/>
  <c r="AO10650" i="8" s="1"/>
  <c r="AN10298" i="8"/>
  <c r="AO10298" i="8" s="1"/>
  <c r="AN10143" i="8"/>
  <c r="AO10143" i="8" s="1"/>
  <c r="AN10191" i="8"/>
  <c r="AO10191" i="8" s="1"/>
  <c r="AN9896" i="8"/>
  <c r="AO9896" i="8" s="1"/>
  <c r="AN9405" i="8"/>
  <c r="AO9405" i="8" s="1"/>
  <c r="AN9305" i="8"/>
  <c r="AO9305" i="8" s="1"/>
  <c r="AN9162" i="8"/>
  <c r="AO9162" i="8" s="1"/>
  <c r="AG7906" i="8"/>
  <c r="AI7906" i="8" s="1"/>
  <c r="E7926" i="8"/>
  <c r="AN7990" i="8"/>
  <c r="E7990" i="8"/>
  <c r="E1578" i="28" s="1"/>
  <c r="AN7783" i="8"/>
  <c r="AN7980" i="8"/>
  <c r="E7980" i="8"/>
  <c r="E1577" i="28" s="1"/>
  <c r="AN7960" i="8"/>
  <c r="E7960" i="8"/>
  <c r="AN7970" i="8"/>
  <c r="E7970" i="8"/>
  <c r="AG7950" i="8"/>
  <c r="AI7950" i="8" s="1"/>
  <c r="T7950" i="8"/>
  <c r="AN7906" i="8"/>
  <c r="AN7936" i="8"/>
  <c r="E7936" i="8"/>
  <c r="E1572" i="28" s="1"/>
  <c r="T7906" i="8"/>
  <c r="AN6994" i="8"/>
  <c r="T3703" i="8"/>
  <c r="AN7235" i="8"/>
  <c r="AN7916" i="8"/>
  <c r="E7916" i="8"/>
  <c r="E6383" i="8"/>
  <c r="E1283" i="28" s="1"/>
  <c r="F1283" i="28" s="1"/>
  <c r="AG5053" i="8"/>
  <c r="AI5053" i="8" s="1"/>
  <c r="AJ5053" i="8" s="1"/>
  <c r="AN195" i="8"/>
  <c r="AN5053" i="8"/>
  <c r="AN7568" i="8"/>
  <c r="AN6383" i="8"/>
  <c r="AN7204" i="8"/>
  <c r="AG4698" i="8"/>
  <c r="AI4698" i="8" s="1"/>
  <c r="AJ4698" i="8" s="1"/>
  <c r="T195" i="8"/>
  <c r="AN6717" i="8"/>
  <c r="AN4675" i="8"/>
  <c r="E5035" i="8"/>
  <c r="E1074" i="28" s="1"/>
  <c r="F1074" i="28" s="1"/>
  <c r="AN543" i="8"/>
  <c r="AN7795" i="8"/>
  <c r="E3703" i="8"/>
  <c r="AN6711" i="8"/>
  <c r="E5029" i="8"/>
  <c r="E1073" i="28" s="1"/>
  <c r="F1073" i="28" s="1"/>
  <c r="AN4698" i="8"/>
  <c r="AN7863" i="8"/>
  <c r="AN6748" i="8"/>
  <c r="AN5035" i="8"/>
  <c r="AN7897" i="8"/>
  <c r="E7897" i="8"/>
  <c r="E1568" i="28" s="1"/>
  <c r="F7863" i="8"/>
  <c r="T7863" i="8" s="1"/>
  <c r="E3859" i="8"/>
  <c r="E885" i="28" s="1"/>
  <c r="F885" i="28" s="1"/>
  <c r="AN6911" i="8"/>
  <c r="E58" i="8"/>
  <c r="AN6847" i="8"/>
  <c r="AN7016" i="8"/>
  <c r="AN4975" i="8"/>
  <c r="AN7608" i="8"/>
  <c r="AN7823" i="8"/>
  <c r="AN3859" i="8"/>
  <c r="F4975" i="8"/>
  <c r="T4975" i="8" s="1"/>
  <c r="AN438" i="8"/>
  <c r="AG4675" i="8"/>
  <c r="AI4675" i="8" s="1"/>
  <c r="AJ4675" i="8" s="1"/>
  <c r="T58" i="8"/>
  <c r="AN7350" i="8"/>
  <c r="AN6905" i="8"/>
  <c r="E5047" i="8"/>
  <c r="E1076" i="28" s="1"/>
  <c r="F1076" i="28" s="1"/>
  <c r="AN388" i="8"/>
  <c r="AI535" i="8"/>
  <c r="AJ535" i="8" s="1"/>
  <c r="AG4852" i="8"/>
  <c r="AI4852" i="8" s="1"/>
  <c r="AJ4852" i="8" s="1"/>
  <c r="AN4852" i="8"/>
  <c r="AN7445" i="8"/>
  <c r="F4498" i="8"/>
  <c r="T4498" i="8" s="1"/>
  <c r="AN6792" i="8"/>
  <c r="AN7546" i="8"/>
  <c r="AN288" i="8"/>
  <c r="AN7108" i="8"/>
  <c r="AN6397" i="8"/>
  <c r="AN7259" i="8"/>
  <c r="AN6871" i="8"/>
  <c r="AG6397" i="8"/>
  <c r="AI6397" i="8" s="1"/>
  <c r="AJ6397" i="8" s="1"/>
  <c r="AN248" i="8"/>
  <c r="T4852" i="8"/>
  <c r="E330" i="28"/>
  <c r="F330" i="28" s="1"/>
  <c r="AN4498" i="8"/>
  <c r="AN7602" i="8"/>
  <c r="T163" i="8"/>
  <c r="AH138" i="8"/>
  <c r="AN535" i="8"/>
  <c r="T178" i="8"/>
  <c r="E168" i="8"/>
  <c r="E4683" i="8"/>
  <c r="E1015" i="28" s="1"/>
  <c r="F1015" i="28" s="1"/>
  <c r="AN7328" i="8"/>
  <c r="AN4909" i="8"/>
  <c r="E4909" i="8"/>
  <c r="AN4340" i="8"/>
  <c r="E4340" i="8"/>
  <c r="AN551" i="8"/>
  <c r="AN7562" i="8"/>
  <c r="AN5069" i="8"/>
  <c r="E5069" i="8"/>
  <c r="AN7096" i="8"/>
  <c r="AN6390" i="8"/>
  <c r="E6390" i="8"/>
  <c r="T4941" i="8"/>
  <c r="AN4941" i="8"/>
  <c r="E4941" i="8"/>
  <c r="AN7439" i="8"/>
  <c r="AN358" i="8"/>
  <c r="AN7022" i="8"/>
  <c r="AN5131" i="8"/>
  <c r="E5131" i="8"/>
  <c r="AN368" i="8"/>
  <c r="AN7771" i="8"/>
  <c r="T4128" i="8"/>
  <c r="AN4128" i="8"/>
  <c r="E4128" i="8"/>
  <c r="AN6976" i="8"/>
  <c r="AN7765" i="8"/>
  <c r="AN7417" i="8"/>
  <c r="AN7534" i="8"/>
  <c r="AN7004" i="8"/>
  <c r="AN3600" i="8"/>
  <c r="E3600" i="8"/>
  <c r="AN298" i="8"/>
  <c r="AN3441" i="8"/>
  <c r="E3441" i="8"/>
  <c r="AN7457" i="8"/>
  <c r="AN7648" i="8"/>
  <c r="AN7399" i="8"/>
  <c r="T76" i="8"/>
  <c r="AN76" i="8"/>
  <c r="E76" i="8"/>
  <c r="AN7817" i="8"/>
  <c r="AN6859" i="8"/>
  <c r="AN308" i="8"/>
  <c r="E5087" i="8"/>
  <c r="AN5087" i="8"/>
  <c r="AN7485" i="8"/>
  <c r="AN7102" i="8"/>
  <c r="AN6948" i="8"/>
  <c r="AN268" i="8"/>
  <c r="AN5093" i="8"/>
  <c r="E5093" i="8"/>
  <c r="AN3820" i="8"/>
  <c r="E3820" i="8"/>
  <c r="AN6764" i="8"/>
  <c r="AN7706" i="8"/>
  <c r="AN6835" i="8"/>
  <c r="T3796" i="8"/>
  <c r="AN3796" i="8"/>
  <c r="E3796" i="8"/>
  <c r="AN7281" i="8"/>
  <c r="AN318" i="8"/>
  <c r="AN217" i="8"/>
  <c r="AN29" i="8"/>
  <c r="AN338" i="8"/>
  <c r="AN7467" i="8"/>
  <c r="AN7678" i="8"/>
  <c r="AN6954" i="8"/>
  <c r="AN7174" i="8"/>
  <c r="AN4892" i="8"/>
  <c r="E4892" i="8"/>
  <c r="AN94" i="8"/>
  <c r="T94" i="8"/>
  <c r="E94" i="8"/>
  <c r="AN7718" i="8"/>
  <c r="AN6780" i="8"/>
  <c r="AN5075" i="8"/>
  <c r="E5075" i="8"/>
  <c r="AN6699" i="8"/>
  <c r="AN233" i="8"/>
  <c r="AN7580" i="8"/>
  <c r="AN7556" i="8"/>
  <c r="AN6960" i="8"/>
  <c r="AN5121" i="8"/>
  <c r="E5121" i="8"/>
  <c r="AN5111" i="8"/>
  <c r="E5111" i="8"/>
  <c r="T4658" i="8"/>
  <c r="AN4658" i="8"/>
  <c r="E4658" i="8"/>
  <c r="AN398" i="8"/>
  <c r="AN6376" i="8"/>
  <c r="E6376" i="8"/>
  <c r="AN5147" i="8"/>
  <c r="E5147" i="8"/>
  <c r="AN7596" i="8"/>
  <c r="AN4506" i="8"/>
  <c r="E4506" i="8"/>
  <c r="AN6853" i="8"/>
  <c r="T3129" i="8"/>
  <c r="AN3129" i="8"/>
  <c r="E3129" i="8"/>
  <c r="AN428" i="8"/>
  <c r="AN6865" i="8"/>
  <c r="AN6893" i="8"/>
  <c r="AN7164" i="8"/>
  <c r="AN6966" i="8"/>
  <c r="AN7114" i="8"/>
  <c r="AN3608" i="8"/>
  <c r="E3608" i="8"/>
  <c r="AN39" i="8"/>
  <c r="T39" i="8"/>
  <c r="E39" i="8"/>
  <c r="AN7451" i="8"/>
  <c r="AN4474" i="8"/>
  <c r="T4474" i="8"/>
  <c r="E4474" i="8"/>
  <c r="AN7742" i="8"/>
  <c r="AN5105" i="8"/>
  <c r="E5105" i="8"/>
  <c r="AN7807" i="8"/>
  <c r="AN49" i="8"/>
  <c r="E49" i="8"/>
  <c r="AN3406" i="8"/>
  <c r="T3406" i="8"/>
  <c r="E3406" i="8"/>
  <c r="AN6982" i="8"/>
  <c r="AN4985" i="8"/>
  <c r="E4985" i="8"/>
  <c r="AN348" i="8"/>
  <c r="AN7574" i="8"/>
  <c r="AN7241" i="8"/>
  <c r="AN6742" i="8"/>
  <c r="AN7368" i="8"/>
  <c r="AN7630" i="8"/>
  <c r="AN7660" i="8"/>
  <c r="AN6613" i="8"/>
  <c r="T6613" i="8"/>
  <c r="E6613" i="8"/>
  <c r="AN5099" i="8"/>
  <c r="E5099" i="8"/>
  <c r="AN70" i="8"/>
  <c r="T70" i="8"/>
  <c r="E70" i="8"/>
  <c r="AN7847" i="8"/>
  <c r="E7847" i="8"/>
  <c r="E1556" i="28" s="1"/>
  <c r="F1556" i="28" s="1"/>
  <c r="AN7789" i="8"/>
  <c r="AN7028" i="8"/>
  <c r="AN3222" i="8"/>
  <c r="E3222" i="8"/>
  <c r="AN7522" i="8"/>
  <c r="E7873" i="8"/>
  <c r="E1559" i="28" s="1"/>
  <c r="F1559" i="28" s="1"/>
  <c r="AN7873" i="8"/>
  <c r="AN7700" i="8"/>
  <c r="AN7491" i="8"/>
  <c r="AN7275" i="8"/>
  <c r="AN7312" i="8"/>
  <c r="AN4900" i="8"/>
  <c r="E4900" i="8"/>
  <c r="AN6899" i="8"/>
  <c r="AN5017" i="8"/>
  <c r="E5017" i="8"/>
  <c r="AN4072" i="8"/>
  <c r="E4072" i="8"/>
  <c r="AN328" i="8"/>
  <c r="AN4152" i="8"/>
  <c r="E4152" i="8"/>
  <c r="AN88" i="8"/>
  <c r="E88" i="8"/>
  <c r="AG195" i="8"/>
  <c r="AI195" i="8" s="1"/>
  <c r="AJ195" i="8" s="1"/>
  <c r="AN7473" i="8"/>
  <c r="AN6841" i="8"/>
  <c r="T6607" i="8"/>
  <c r="AN6607" i="8"/>
  <c r="E6607" i="8"/>
  <c r="AN7405" i="8"/>
  <c r="AN7666" i="8"/>
  <c r="AN7090" i="8"/>
  <c r="AN7528" i="8"/>
  <c r="AN6917" i="8"/>
  <c r="AN7334" i="8"/>
  <c r="AN7712" i="8"/>
  <c r="AN7654" i="8"/>
  <c r="AN6877" i="8"/>
  <c r="AN1068" i="8"/>
  <c r="E1068" i="8"/>
  <c r="AN418" i="8"/>
  <c r="T82" i="8"/>
  <c r="AN82" i="8"/>
  <c r="E82" i="8"/>
  <c r="AN7287" i="8"/>
  <c r="AN526" i="8"/>
  <c r="AN6619" i="8"/>
  <c r="E6619" i="8"/>
  <c r="AN6754" i="8"/>
  <c r="AN448" i="8"/>
  <c r="AN7152" i="8"/>
  <c r="AN7642" i="8"/>
  <c r="E3727" i="8"/>
  <c r="AN3727" i="8"/>
  <c r="AN3167" i="8"/>
  <c r="E3167" i="8"/>
  <c r="AN7356" i="8"/>
  <c r="AN7186" i="8"/>
  <c r="AN7433" i="8"/>
  <c r="AN7247" i="8"/>
  <c r="AN6671" i="8"/>
  <c r="AN6689" i="8"/>
  <c r="E5041" i="8"/>
  <c r="AN5041" i="8"/>
  <c r="AN7344" i="8"/>
  <c r="AN7777" i="8"/>
  <c r="AN5137" i="8"/>
  <c r="E5137" i="8"/>
  <c r="AN6798" i="8"/>
  <c r="AN378" i="8"/>
  <c r="AN6988" i="8"/>
  <c r="AN1060" i="8"/>
  <c r="E1060" i="8"/>
  <c r="AN7614" i="8"/>
  <c r="AN7516" i="8"/>
  <c r="AN7198" i="8"/>
  <c r="AN4947" i="8"/>
  <c r="E4947" i="8"/>
  <c r="AN5059" i="8"/>
  <c r="E5059" i="8"/>
  <c r="AN3592" i="8"/>
  <c r="E3592" i="8"/>
  <c r="T106" i="8"/>
  <c r="AN106" i="8"/>
  <c r="E106" i="8"/>
  <c r="T100" i="8"/>
  <c r="AN100" i="8"/>
  <c r="E100" i="8"/>
  <c r="AN5883" i="8"/>
  <c r="E5883" i="8"/>
  <c r="AN23" i="8"/>
  <c r="E23" i="8"/>
  <c r="AN6683" i="8"/>
  <c r="AN7801" i="8"/>
  <c r="AN7590" i="8"/>
  <c r="AN7192" i="8"/>
  <c r="AN7423" i="8"/>
  <c r="AN3206" i="8"/>
  <c r="E3206" i="8"/>
  <c r="AN7636" i="8"/>
  <c r="AN7010" i="8"/>
  <c r="AN4515" i="8"/>
  <c r="E4515" i="8"/>
  <c r="AN5081" i="8"/>
  <c r="E5081" i="8"/>
  <c r="AN4869" i="8"/>
  <c r="E4869" i="8"/>
  <c r="AN7672" i="8"/>
  <c r="AN7253" i="8"/>
  <c r="AN7322" i="8"/>
  <c r="AN4877" i="8"/>
  <c r="E4877" i="8"/>
  <c r="AN6705" i="8"/>
  <c r="AN4355" i="8"/>
  <c r="E4355" i="8"/>
  <c r="AN201" i="8"/>
  <c r="T3571" i="8"/>
  <c r="AN3571" i="8"/>
  <c r="E3571" i="8"/>
  <c r="AN112" i="8"/>
  <c r="T112" i="8"/>
  <c r="E112" i="8"/>
  <c r="AN258" i="8"/>
  <c r="AN408" i="8"/>
  <c r="T4323" i="8"/>
  <c r="AN4323" i="8"/>
  <c r="E4323" i="8"/>
  <c r="AN7540" i="8"/>
  <c r="F729" i="32" l="1"/>
  <c r="E1100" i="32" s="1"/>
  <c r="E1093" i="32"/>
  <c r="F577" i="32"/>
  <c r="F1024" i="32"/>
  <c r="E1110" i="32"/>
  <c r="F768" i="32"/>
  <c r="F674" i="32"/>
  <c r="AI248" i="8"/>
  <c r="AJ248" i="8" s="1"/>
  <c r="E359" i="28"/>
  <c r="AI543" i="8"/>
  <c r="AJ543" i="8" s="1"/>
  <c r="E327" i="28"/>
  <c r="F327" i="28" s="1"/>
  <c r="F288" i="8"/>
  <c r="T288" i="8" s="1"/>
  <c r="F543" i="8"/>
  <c r="T543" i="8" s="1"/>
  <c r="E358" i="28"/>
  <c r="F358" i="28" s="1"/>
  <c r="AI388" i="8"/>
  <c r="AJ388" i="8" s="1"/>
  <c r="E355" i="28"/>
  <c r="F355" i="28" s="1"/>
  <c r="F388" i="8"/>
  <c r="T388" i="8" s="1"/>
  <c r="E357" i="28"/>
  <c r="F357" i="28" s="1"/>
  <c r="E341" i="28"/>
  <c r="F341" i="28" s="1"/>
  <c r="E331" i="28"/>
  <c r="F331" i="28" s="1"/>
  <c r="R1060" i="11"/>
  <c r="T1060" i="11"/>
  <c r="R1059" i="11"/>
  <c r="T1059" i="11"/>
  <c r="R1062" i="11"/>
  <c r="T1062" i="11"/>
  <c r="R1063" i="11"/>
  <c r="T1063" i="11"/>
  <c r="R1065" i="11"/>
  <c r="T1065" i="11"/>
  <c r="A82" i="11"/>
  <c r="A52" i="11"/>
  <c r="R1064" i="11"/>
  <c r="T1064" i="11"/>
  <c r="A309" i="11"/>
  <c r="T309" i="11" s="1"/>
  <c r="F93" i="30"/>
  <c r="AG7312" i="8"/>
  <c r="AI7312" i="8" s="1"/>
  <c r="AJ7312" i="8" s="1"/>
  <c r="E1450" i="28"/>
  <c r="F1450" i="28" s="1"/>
  <c r="AG7602" i="8"/>
  <c r="AH7602" i="8" s="1"/>
  <c r="E1505" i="28"/>
  <c r="F1505" i="28" s="1"/>
  <c r="AG7405" i="8"/>
  <c r="AI7405" i="8" s="1"/>
  <c r="AJ7405" i="8" s="1"/>
  <c r="E1470" i="28"/>
  <c r="F1470" i="28" s="1"/>
  <c r="AG7473" i="8"/>
  <c r="AI7473" i="8" s="1"/>
  <c r="AJ7473" i="8" s="1"/>
  <c r="E1482" i="28"/>
  <c r="F1482" i="28" s="1"/>
  <c r="AG7546" i="8"/>
  <c r="AH7546" i="8" s="1"/>
  <c r="E1495" i="28"/>
  <c r="F1495" i="28" s="1"/>
  <c r="AG7648" i="8"/>
  <c r="E1516" i="28"/>
  <c r="F1516" i="28" s="1"/>
  <c r="AG7742" i="8"/>
  <c r="AI7742" i="8" s="1"/>
  <c r="AJ7742" i="8" s="1"/>
  <c r="E1536" i="28"/>
  <c r="F1536" i="28" s="1"/>
  <c r="AG7807" i="8"/>
  <c r="AI7807" i="8" s="1"/>
  <c r="AJ7807" i="8" s="1"/>
  <c r="E1545" i="28"/>
  <c r="F1545" i="28" s="1"/>
  <c r="AG7540" i="8"/>
  <c r="E1494" i="28"/>
  <c r="F1494" i="28" s="1"/>
  <c r="AG7253" i="8"/>
  <c r="AI7253" i="8" s="1"/>
  <c r="AJ7253" i="8" s="1"/>
  <c r="E1439" i="28"/>
  <c r="F1439" i="28" s="1"/>
  <c r="AG7491" i="8"/>
  <c r="AI7491" i="8" s="1"/>
  <c r="AJ7491" i="8" s="1"/>
  <c r="E1485" i="28"/>
  <c r="F1485" i="28" s="1"/>
  <c r="AG7801" i="8"/>
  <c r="E1544" i="28"/>
  <c r="F1544" i="28" s="1"/>
  <c r="AG7771" i="8"/>
  <c r="E1539" i="28"/>
  <c r="F1539" i="28" s="1"/>
  <c r="AG7259" i="8"/>
  <c r="AI7259" i="8" s="1"/>
  <c r="AJ7259" i="8" s="1"/>
  <c r="E1440" i="28"/>
  <c r="F1440" i="28" s="1"/>
  <c r="AG7485" i="8"/>
  <c r="E1484" i="28"/>
  <c r="F1484" i="28" s="1"/>
  <c r="AG7281" i="8"/>
  <c r="AI7281" i="8" s="1"/>
  <c r="AJ7281" i="8" s="1"/>
  <c r="E1444" i="28"/>
  <c r="F1444" i="28" s="1"/>
  <c r="AG7344" i="8"/>
  <c r="AI7344" i="8" s="1"/>
  <c r="AJ7344" i="8" s="1"/>
  <c r="E1456" i="28"/>
  <c r="F1456" i="28" s="1"/>
  <c r="AG7516" i="8"/>
  <c r="E1490" i="28"/>
  <c r="F1490" i="28" s="1"/>
  <c r="AG7275" i="8"/>
  <c r="AI7275" i="8" s="1"/>
  <c r="AJ7275" i="8" s="1"/>
  <c r="E1443" i="28"/>
  <c r="F1443" i="28" s="1"/>
  <c r="AG7534" i="8"/>
  <c r="AI7534" i="8" s="1"/>
  <c r="AJ7534" i="8" s="1"/>
  <c r="E1493" i="28"/>
  <c r="F1493" i="28" s="1"/>
  <c r="AG7777" i="8"/>
  <c r="E1540" i="28"/>
  <c r="F1540" i="28" s="1"/>
  <c r="AG7328" i="8"/>
  <c r="AI7328" i="8" s="1"/>
  <c r="AJ7328" i="8" s="1"/>
  <c r="E1453" i="28"/>
  <c r="F1453" i="28" s="1"/>
  <c r="AG7247" i="8"/>
  <c r="AI7247" i="8" s="1"/>
  <c r="AJ7247" i="8" s="1"/>
  <c r="E1438" i="28"/>
  <c r="F1438" i="28" s="1"/>
  <c r="AG7789" i="8"/>
  <c r="AI7789" i="8" s="1"/>
  <c r="AJ7789" i="8" s="1"/>
  <c r="E1542" i="28"/>
  <c r="F1542" i="28" s="1"/>
  <c r="AG7614" i="8"/>
  <c r="AI7614" i="8" s="1"/>
  <c r="AJ7614" i="8" s="1"/>
  <c r="E1507" i="28"/>
  <c r="F1507" i="28" s="1"/>
  <c r="AG7467" i="8"/>
  <c r="AI7467" i="8" s="1"/>
  <c r="AJ7467" i="8" s="1"/>
  <c r="E1481" i="28"/>
  <c r="F1481" i="28" s="1"/>
  <c r="AG7322" i="8"/>
  <c r="AI7322" i="8" s="1"/>
  <c r="AJ7322" i="8" s="1"/>
  <c r="E1452" i="28"/>
  <c r="F1452" i="28" s="1"/>
  <c r="AG7433" i="8"/>
  <c r="AI7433" i="8" s="1"/>
  <c r="AJ7433" i="8" s="1"/>
  <c r="E1475" i="28"/>
  <c r="F1475" i="28" s="1"/>
  <c r="AG7590" i="8"/>
  <c r="AI7590" i="8" s="1"/>
  <c r="AJ7590" i="8" s="1"/>
  <c r="E1503" i="28"/>
  <c r="F1503" i="28" s="1"/>
  <c r="AG7817" i="8"/>
  <c r="AI7817" i="8" s="1"/>
  <c r="AJ7817" i="8" s="1"/>
  <c r="E1547" i="28"/>
  <c r="F1547" i="28" s="1"/>
  <c r="AG7580" i="8"/>
  <c r="AI7580" i="8" s="1"/>
  <c r="AJ7580" i="8" s="1"/>
  <c r="E1501" i="28"/>
  <c r="F1501" i="28" s="1"/>
  <c r="AG7556" i="8"/>
  <c r="AI7556" i="8" s="1"/>
  <c r="AJ7556" i="8" s="1"/>
  <c r="E1497" i="28"/>
  <c r="F1497" i="28" s="1"/>
  <c r="AG7350" i="8"/>
  <c r="AI7350" i="8" s="1"/>
  <c r="AJ7350" i="8" s="1"/>
  <c r="E1457" i="28"/>
  <c r="F1457" i="28" s="1"/>
  <c r="AG7712" i="8"/>
  <c r="AI7712" i="8" s="1"/>
  <c r="AJ7712" i="8" s="1"/>
  <c r="E1527" i="28"/>
  <c r="F1527" i="28" s="1"/>
  <c r="AG7718" i="8"/>
  <c r="AI7718" i="8" s="1"/>
  <c r="AJ7718" i="8" s="1"/>
  <c r="E1528" i="28"/>
  <c r="F1528" i="28" s="1"/>
  <c r="AG7795" i="8"/>
  <c r="AI7795" i="8" s="1"/>
  <c r="AJ7795" i="8" s="1"/>
  <c r="E1543" i="28"/>
  <c r="F1543" i="28" s="1"/>
  <c r="AG7479" i="8"/>
  <c r="AI7479" i="8" s="1"/>
  <c r="AJ7479" i="8" s="1"/>
  <c r="E1483" i="28"/>
  <c r="F1483" i="28" s="1"/>
  <c r="AG7445" i="8"/>
  <c r="AI7445" i="8" s="1"/>
  <c r="E1477" i="28"/>
  <c r="F1477" i="28" s="1"/>
  <c r="AG7411" i="8"/>
  <c r="AI7411" i="8" s="1"/>
  <c r="AJ7411" i="8" s="1"/>
  <c r="E1471" i="28"/>
  <c r="F1471" i="28" s="1"/>
  <c r="AG7362" i="8"/>
  <c r="AI7362" i="8" s="1"/>
  <c r="AJ7362" i="8" s="1"/>
  <c r="E1459" i="28"/>
  <c r="F1459" i="28" s="1"/>
  <c r="AG7241" i="8"/>
  <c r="AI7241" i="8" s="1"/>
  <c r="AJ7241" i="8" s="1"/>
  <c r="E1437" i="28"/>
  <c r="F1437" i="28" s="1"/>
  <c r="AG7630" i="8"/>
  <c r="E1513" i="28"/>
  <c r="F1513" i="28" s="1"/>
  <c r="AG7783" i="8"/>
  <c r="AI7783" i="8" s="1"/>
  <c r="AJ7783" i="8" s="1"/>
  <c r="E1541" i="28"/>
  <c r="F1541" i="28" s="1"/>
  <c r="F1560" i="28"/>
  <c r="AG7269" i="8"/>
  <c r="AI7269" i="8" s="1"/>
  <c r="AJ7269" i="8" s="1"/>
  <c r="E1442" i="28"/>
  <c r="F1442" i="28" s="1"/>
  <c r="AG7439" i="8"/>
  <c r="AI7439" i="8" s="1"/>
  <c r="AJ7439" i="8" s="1"/>
  <c r="E1476" i="28"/>
  <c r="F1476" i="28" s="1"/>
  <c r="AG7457" i="8"/>
  <c r="AI7457" i="8" s="1"/>
  <c r="AJ7457" i="8" s="1"/>
  <c r="E1479" i="28"/>
  <c r="F1479" i="28" s="1"/>
  <c r="AG7235" i="8"/>
  <c r="AH7235" i="8" s="1"/>
  <c r="E1436" i="28"/>
  <c r="F1436" i="28" s="1"/>
  <c r="AG7528" i="8"/>
  <c r="AI7528" i="8" s="1"/>
  <c r="AJ7528" i="8" s="1"/>
  <c r="E1492" i="28"/>
  <c r="F1492" i="28" s="1"/>
  <c r="AG7399" i="8"/>
  <c r="AI7399" i="8" s="1"/>
  <c r="AJ7399" i="8" s="1"/>
  <c r="E1469" i="28"/>
  <c r="F1469" i="28" s="1"/>
  <c r="AG7823" i="8"/>
  <c r="AI7823" i="8" s="1"/>
  <c r="AJ7823" i="8" s="1"/>
  <c r="E1548" i="28"/>
  <c r="F1548" i="28" s="1"/>
  <c r="AG7765" i="8"/>
  <c r="AI7765" i="8" s="1"/>
  <c r="AJ7765" i="8" s="1"/>
  <c r="E1538" i="28"/>
  <c r="F1538" i="28" s="1"/>
  <c r="E1576" i="28"/>
  <c r="E1575" i="28"/>
  <c r="T7926" i="8"/>
  <c r="E1571" i="28"/>
  <c r="E1570" i="28"/>
  <c r="E1092" i="28"/>
  <c r="F1092" i="28" s="1"/>
  <c r="E918" i="28"/>
  <c r="F918" i="28" s="1"/>
  <c r="AG6905" i="8"/>
  <c r="AH6905" i="8" s="1"/>
  <c r="E1377" i="28"/>
  <c r="F1377" i="28" s="1"/>
  <c r="E1047" i="28"/>
  <c r="F1047" i="28" s="1"/>
  <c r="E870" i="28"/>
  <c r="F870" i="28" s="1"/>
  <c r="E825" i="28"/>
  <c r="F825" i="28" s="1"/>
  <c r="E1058" i="28"/>
  <c r="F1058" i="28" s="1"/>
  <c r="AG7204" i="8"/>
  <c r="AI7204" i="8" s="1"/>
  <c r="AJ7204" i="8" s="1"/>
  <c r="AG6859" i="8"/>
  <c r="E1369" i="28"/>
  <c r="F1369" i="28" s="1"/>
  <c r="AG7108" i="8"/>
  <c r="AI7108" i="8" s="1"/>
  <c r="AJ7108" i="8" s="1"/>
  <c r="E1413" i="28"/>
  <c r="F1413" i="28" s="1"/>
  <c r="AG6948" i="8"/>
  <c r="E1385" i="28"/>
  <c r="F1385" i="28" s="1"/>
  <c r="AG6742" i="8"/>
  <c r="AI6742" i="8" s="1"/>
  <c r="AJ6742" i="8" s="1"/>
  <c r="E1345" i="28"/>
  <c r="F1345" i="28" s="1"/>
  <c r="E1320" i="28"/>
  <c r="F1320" i="28" s="1"/>
  <c r="E1071" i="28"/>
  <c r="F1071" i="28" s="1"/>
  <c r="E1085" i="28"/>
  <c r="F1085" i="28" s="1"/>
  <c r="E1061" i="28"/>
  <c r="F1061" i="28" s="1"/>
  <c r="E1094" i="28"/>
  <c r="F1094" i="28" s="1"/>
  <c r="AG6966" i="8"/>
  <c r="AI6966" i="8" s="1"/>
  <c r="AJ6966" i="8" s="1"/>
  <c r="E1388" i="28"/>
  <c r="F1388" i="28" s="1"/>
  <c r="AG7102" i="8"/>
  <c r="AI7102" i="8" s="1"/>
  <c r="AJ7102" i="8" s="1"/>
  <c r="E1412" i="28"/>
  <c r="F1412" i="28" s="1"/>
  <c r="AG6871" i="8"/>
  <c r="AI6871" i="8" s="1"/>
  <c r="AJ6871" i="8" s="1"/>
  <c r="E1371" i="28"/>
  <c r="F1371" i="28" s="1"/>
  <c r="E964" i="28"/>
  <c r="F964" i="28" s="1"/>
  <c r="E1048" i="28"/>
  <c r="F1048" i="28" s="1"/>
  <c r="E1082" i="28"/>
  <c r="F1082" i="28" s="1"/>
  <c r="E785" i="28"/>
  <c r="F785" i="28" s="1"/>
  <c r="E1059" i="28"/>
  <c r="F1059" i="28" s="1"/>
  <c r="E1087" i="28"/>
  <c r="F1087" i="28" s="1"/>
  <c r="E1091" i="28"/>
  <c r="F1091" i="28" s="1"/>
  <c r="AG6748" i="8"/>
  <c r="AH6748" i="8" s="1"/>
  <c r="E1346" i="28"/>
  <c r="F1346" i="28" s="1"/>
  <c r="AG6853" i="8"/>
  <c r="E1368" i="28"/>
  <c r="F1368" i="28" s="1"/>
  <c r="AH7180" i="8"/>
  <c r="AK7180" i="8"/>
  <c r="AG7022" i="8"/>
  <c r="AI7022" i="8" s="1"/>
  <c r="AJ7022" i="8" s="1"/>
  <c r="E1398" i="28"/>
  <c r="F1398" i="28" s="1"/>
  <c r="E930" i="28"/>
  <c r="F930" i="28" s="1"/>
  <c r="E1086" i="28"/>
  <c r="F1086" i="28" s="1"/>
  <c r="E1282" i="28"/>
  <c r="F1282" i="28" s="1"/>
  <c r="E1050" i="28"/>
  <c r="F1050" i="28" s="1"/>
  <c r="E884" i="28"/>
  <c r="F884" i="28" s="1"/>
  <c r="E1284" i="28"/>
  <c r="F1284" i="28" s="1"/>
  <c r="AG6829" i="8"/>
  <c r="AI6829" i="8" s="1"/>
  <c r="AJ6829" i="8" s="1"/>
  <c r="E1364" i="28"/>
  <c r="F1364" i="28" s="1"/>
  <c r="AG6877" i="8"/>
  <c r="AI6877" i="8" s="1"/>
  <c r="AJ6877" i="8" s="1"/>
  <c r="E1372" i="28"/>
  <c r="F1372" i="28" s="1"/>
  <c r="AG6774" i="8"/>
  <c r="AI6774" i="8" s="1"/>
  <c r="AJ6774" i="8" s="1"/>
  <c r="E1351" i="28"/>
  <c r="F1351" i="28" s="1"/>
  <c r="AG6865" i="8"/>
  <c r="E1370" i="28"/>
  <c r="F1370" i="28" s="1"/>
  <c r="E987" i="28"/>
  <c r="F987" i="28" s="1"/>
  <c r="E1089" i="28"/>
  <c r="F1089" i="28" s="1"/>
  <c r="E1081" i="28"/>
  <c r="F1081" i="28" s="1"/>
  <c r="E848" i="28"/>
  <c r="F848" i="28" s="1"/>
  <c r="E962" i="28"/>
  <c r="F962" i="28" s="1"/>
  <c r="AG7096" i="8"/>
  <c r="AI7096" i="8" s="1"/>
  <c r="AJ7096" i="8" s="1"/>
  <c r="E1411" i="28"/>
  <c r="F1411" i="28" s="1"/>
  <c r="AG6677" i="8"/>
  <c r="AI6677" i="8" s="1"/>
  <c r="AJ6677" i="8" s="1"/>
  <c r="E1333" i="28"/>
  <c r="F1333" i="28" s="1"/>
  <c r="AG6841" i="8"/>
  <c r="AI6841" i="8" s="1"/>
  <c r="AJ6841" i="8" s="1"/>
  <c r="E1366" i="28"/>
  <c r="F1366" i="28" s="1"/>
  <c r="AG6847" i="8"/>
  <c r="AI6847" i="8" s="1"/>
  <c r="AJ6847" i="8" s="1"/>
  <c r="E1367" i="28"/>
  <c r="F1367" i="28" s="1"/>
  <c r="AG6960" i="8"/>
  <c r="E1387" i="28"/>
  <c r="F1387" i="28" s="1"/>
  <c r="AG6764" i="8"/>
  <c r="AI6764" i="8" s="1"/>
  <c r="AJ6764" i="8" s="1"/>
  <c r="E1349" i="28"/>
  <c r="F1349" i="28" s="1"/>
  <c r="E788" i="28"/>
  <c r="F788" i="28" s="1"/>
  <c r="AG6887" i="8"/>
  <c r="AI6887" i="8" s="1"/>
  <c r="AJ6887" i="8" s="1"/>
  <c r="E1374" i="28"/>
  <c r="F1374" i="28" s="1"/>
  <c r="E784" i="28"/>
  <c r="F784" i="28" s="1"/>
  <c r="E1051" i="28"/>
  <c r="F1051" i="28" s="1"/>
  <c r="E986" i="28"/>
  <c r="F986" i="28" s="1"/>
  <c r="E1084" i="28"/>
  <c r="F1084" i="28" s="1"/>
  <c r="E1083" i="28"/>
  <c r="F1083" i="28" s="1"/>
  <c r="AG6994" i="8"/>
  <c r="AI6994" i="8" s="1"/>
  <c r="AJ6994" i="8" s="1"/>
  <c r="E1393" i="28"/>
  <c r="F1393" i="28" s="1"/>
  <c r="E1210" i="28"/>
  <c r="F1210" i="28" s="1"/>
  <c r="E847" i="28"/>
  <c r="F847" i="28" s="1"/>
  <c r="E849" i="28"/>
  <c r="F849" i="28" s="1"/>
  <c r="E1080" i="28"/>
  <c r="F1080" i="28" s="1"/>
  <c r="E1052" i="28"/>
  <c r="F1052" i="28" s="1"/>
  <c r="AG6705" i="8"/>
  <c r="AI6705" i="8" s="1"/>
  <c r="AJ6705" i="8" s="1"/>
  <c r="E1338" i="28"/>
  <c r="F1338" i="28" s="1"/>
  <c r="AG6976" i="8"/>
  <c r="AI6976" i="8" s="1"/>
  <c r="AJ6976" i="8" s="1"/>
  <c r="E1390" i="28"/>
  <c r="F1390" i="28" s="1"/>
  <c r="AG7004" i="8"/>
  <c r="AI7004" i="8" s="1"/>
  <c r="AJ7004" i="8" s="1"/>
  <c r="E1395" i="28"/>
  <c r="F1395" i="28" s="1"/>
  <c r="AG7114" i="8"/>
  <c r="E1414" i="28"/>
  <c r="F1414" i="28" s="1"/>
  <c r="AG6942" i="8"/>
  <c r="AI6942" i="8" s="1"/>
  <c r="AJ6942" i="8" s="1"/>
  <c r="E1384" i="28"/>
  <c r="F1384" i="28" s="1"/>
  <c r="AG6786" i="8"/>
  <c r="AI6786" i="8" s="1"/>
  <c r="AJ6786" i="8" s="1"/>
  <c r="E1353" i="28"/>
  <c r="F1353" i="28" s="1"/>
  <c r="AG6954" i="8"/>
  <c r="AI6954" i="8" s="1"/>
  <c r="AJ6954" i="8" s="1"/>
  <c r="E1386" i="28"/>
  <c r="F1386" i="28" s="1"/>
  <c r="AG7186" i="8"/>
  <c r="AI7186" i="8" s="1"/>
  <c r="AJ7186" i="8" s="1"/>
  <c r="AG7174" i="8"/>
  <c r="AI7174" i="8" s="1"/>
  <c r="AJ7174" i="8" s="1"/>
  <c r="E1422" i="28"/>
  <c r="AG7158" i="8"/>
  <c r="AI7158" i="8" s="1"/>
  <c r="AJ7158" i="8" s="1"/>
  <c r="E1419" i="28"/>
  <c r="F1419" i="28" s="1"/>
  <c r="AG7090" i="8"/>
  <c r="AI7090" i="8" s="1"/>
  <c r="AJ7090" i="8" s="1"/>
  <c r="E1410" i="28"/>
  <c r="F1410" i="28" s="1"/>
  <c r="AG6780" i="8"/>
  <c r="AI6780" i="8" s="1"/>
  <c r="AJ6780" i="8" s="1"/>
  <c r="E1352" i="28"/>
  <c r="F1352" i="28" s="1"/>
  <c r="AG6717" i="8"/>
  <c r="AI6717" i="8" s="1"/>
  <c r="AJ6717" i="8" s="1"/>
  <c r="E1340" i="28"/>
  <c r="F1340" i="28" s="1"/>
  <c r="AG6711" i="8"/>
  <c r="AH6711" i="8" s="1"/>
  <c r="E1339" i="28"/>
  <c r="F1339" i="28" s="1"/>
  <c r="AG6699" i="8"/>
  <c r="AI6699" i="8" s="1"/>
  <c r="AJ6699" i="8" s="1"/>
  <c r="E1337" i="28"/>
  <c r="F1337" i="28" s="1"/>
  <c r="AG6671" i="8"/>
  <c r="AI6671" i="8" s="1"/>
  <c r="AJ6671" i="8" s="1"/>
  <c r="E1332" i="28"/>
  <c r="F1332" i="28" s="1"/>
  <c r="E1078" i="28"/>
  <c r="F1078" i="28" s="1"/>
  <c r="E1075" i="28"/>
  <c r="F1075" i="28" s="1"/>
  <c r="E1072" i="28"/>
  <c r="F1072" i="28" s="1"/>
  <c r="F225" i="8"/>
  <c r="T225" i="8" s="1"/>
  <c r="E431" i="28"/>
  <c r="F431" i="28" s="1"/>
  <c r="E430" i="28"/>
  <c r="F430" i="28" s="1"/>
  <c r="AG225" i="8"/>
  <c r="AI225" i="8" s="1"/>
  <c r="AJ225" i="8" s="1"/>
  <c r="AI517" i="8"/>
  <c r="AJ517" i="8" s="1"/>
  <c r="F517" i="8"/>
  <c r="T517" i="8" s="1"/>
  <c r="E344" i="28"/>
  <c r="F344" i="28" s="1"/>
  <c r="E336" i="28"/>
  <c r="F336" i="28" s="1"/>
  <c r="E332" i="28"/>
  <c r="F332" i="28" s="1"/>
  <c r="E343" i="28"/>
  <c r="F343" i="28" s="1"/>
  <c r="E340" i="28"/>
  <c r="F340" i="28" s="1"/>
  <c r="E356" i="28"/>
  <c r="F356" i="28" s="1"/>
  <c r="E342" i="28"/>
  <c r="F342" i="28" s="1"/>
  <c r="E338" i="28"/>
  <c r="F338" i="28" s="1"/>
  <c r="E328" i="28"/>
  <c r="F328" i="28" s="1"/>
  <c r="E347" i="28"/>
  <c r="F347" i="28" s="1"/>
  <c r="E335" i="28"/>
  <c r="F335" i="28" s="1"/>
  <c r="E333" i="28"/>
  <c r="F333" i="28" s="1"/>
  <c r="E337" i="28"/>
  <c r="F337" i="28" s="1"/>
  <c r="E345" i="28"/>
  <c r="F345" i="28" s="1"/>
  <c r="E329" i="28"/>
  <c r="F329" i="28" s="1"/>
  <c r="E346" i="28"/>
  <c r="F346" i="28" s="1"/>
  <c r="E339" i="28"/>
  <c r="F339" i="28" s="1"/>
  <c r="E334" i="28"/>
  <c r="F334" i="28" s="1"/>
  <c r="AG242" i="8"/>
  <c r="F242" i="8"/>
  <c r="T242" i="8" s="1"/>
  <c r="AG209" i="8"/>
  <c r="AI209" i="8" s="1"/>
  <c r="AJ209" i="8" s="1"/>
  <c r="F209" i="8"/>
  <c r="T209" i="8" s="1"/>
  <c r="E19" i="28"/>
  <c r="F19" i="28" s="1"/>
  <c r="F24" i="28" s="1"/>
  <c r="E180" i="8"/>
  <c r="E319" i="28" s="1"/>
  <c r="F319" i="28" s="1"/>
  <c r="F183" i="8"/>
  <c r="E7" i="28"/>
  <c r="F7" i="28" s="1"/>
  <c r="AN180" i="8"/>
  <c r="AO180" i="8" s="1"/>
  <c r="E10" i="28"/>
  <c r="F10" i="28" s="1"/>
  <c r="A136" i="11"/>
  <c r="A135" i="11" s="1"/>
  <c r="A137" i="11"/>
  <c r="T137" i="11" s="1"/>
  <c r="A1049" i="11"/>
  <c r="E1049" i="11" s="1"/>
  <c r="A49" i="11"/>
  <c r="A51" i="11"/>
  <c r="A48" i="11"/>
  <c r="A47" i="11" s="1"/>
  <c r="A41" i="11"/>
  <c r="A42" i="11"/>
  <c r="A23" i="11"/>
  <c r="A22" i="11"/>
  <c r="A24" i="11"/>
  <c r="A254" i="11"/>
  <c r="A255" i="11"/>
  <c r="T255" i="11" s="1"/>
  <c r="A257" i="11"/>
  <c r="A256" i="11"/>
  <c r="A114" i="11"/>
  <c r="A116" i="11"/>
  <c r="A990" i="11"/>
  <c r="T990" i="11" s="1"/>
  <c r="A951" i="11"/>
  <c r="A952" i="11"/>
  <c r="A953" i="11"/>
  <c r="A954" i="11"/>
  <c r="A955" i="11"/>
  <c r="T955" i="11" s="1"/>
  <c r="A941" i="11"/>
  <c r="A940" i="11"/>
  <c r="A939" i="11"/>
  <c r="A937" i="11"/>
  <c r="R937" i="11" s="1"/>
  <c r="A938" i="11"/>
  <c r="R938" i="11" s="1"/>
  <c r="A944" i="11"/>
  <c r="A936" i="11"/>
  <c r="A943" i="11"/>
  <c r="A942" i="11"/>
  <c r="A927" i="11"/>
  <c r="A926" i="11"/>
  <c r="A923" i="11"/>
  <c r="A925" i="11"/>
  <c r="A924" i="11"/>
  <c r="A929" i="11"/>
  <c r="A928" i="11"/>
  <c r="A916" i="11"/>
  <c r="A915" i="11"/>
  <c r="A914" i="11"/>
  <c r="A913" i="11"/>
  <c r="A912" i="11"/>
  <c r="A911" i="11"/>
  <c r="A910" i="11"/>
  <c r="F406" i="26"/>
  <c r="F2317" i="26"/>
  <c r="T23" i="26"/>
  <c r="T390" i="26" s="1"/>
  <c r="AO3441" i="8"/>
  <c r="AO6988" i="8"/>
  <c r="AO7344" i="8"/>
  <c r="AO7186" i="8"/>
  <c r="AO7642" i="8"/>
  <c r="AO6619" i="8"/>
  <c r="AO7405" i="8"/>
  <c r="AO88" i="8"/>
  <c r="AO5017" i="8"/>
  <c r="AO7700" i="8"/>
  <c r="AO7028" i="8"/>
  <c r="AO5099" i="8"/>
  <c r="AO4985" i="8"/>
  <c r="AO7807" i="8"/>
  <c r="AO7451" i="8"/>
  <c r="AO3129" i="8"/>
  <c r="AO5147" i="8"/>
  <c r="AO233" i="8"/>
  <c r="AO94" i="8"/>
  <c r="AO318" i="8"/>
  <c r="AO6764" i="8"/>
  <c r="AO7102" i="8"/>
  <c r="AO7765" i="8"/>
  <c r="AO7108" i="8"/>
  <c r="AO438" i="8"/>
  <c r="AO7016" i="8"/>
  <c r="AO7897" i="8"/>
  <c r="AO7795" i="8"/>
  <c r="AO7906" i="8"/>
  <c r="AO7980" i="8"/>
  <c r="AO7479" i="8"/>
  <c r="AO7411" i="8"/>
  <c r="AO7362" i="8"/>
  <c r="AO7706" i="8"/>
  <c r="AO4941" i="8"/>
  <c r="AO6397" i="8"/>
  <c r="AO3571" i="8"/>
  <c r="AO4877" i="8"/>
  <c r="AO5081" i="8"/>
  <c r="AO3206" i="8"/>
  <c r="AO6683" i="8"/>
  <c r="AO4947" i="8"/>
  <c r="AO5041" i="8"/>
  <c r="AO418" i="8"/>
  <c r="AO7334" i="8"/>
  <c r="AO7873" i="8"/>
  <c r="AO7789" i="8"/>
  <c r="AO6742" i="8"/>
  <c r="AO7164" i="8"/>
  <c r="AO5111" i="8"/>
  <c r="AO6699" i="8"/>
  <c r="AO338" i="8"/>
  <c r="AO7281" i="8"/>
  <c r="AO7485" i="8"/>
  <c r="AO76" i="8"/>
  <c r="AO298" i="8"/>
  <c r="AO6976" i="8"/>
  <c r="AO5131" i="8"/>
  <c r="AO551" i="8"/>
  <c r="AO288" i="8"/>
  <c r="AO6847" i="8"/>
  <c r="AO5035" i="8"/>
  <c r="AO543" i="8"/>
  <c r="AO7204" i="8"/>
  <c r="AO7916" i="8"/>
  <c r="AO7783" i="8"/>
  <c r="AO5023" i="8"/>
  <c r="AO7269" i="8"/>
  <c r="AO112" i="8"/>
  <c r="AO7368" i="8"/>
  <c r="AO49" i="8"/>
  <c r="AO4975" i="8"/>
  <c r="AO7688" i="8"/>
  <c r="AO408" i="8"/>
  <c r="AO7322" i="8"/>
  <c r="AO106" i="8"/>
  <c r="AO7198" i="8"/>
  <c r="AO378" i="8"/>
  <c r="AO7356" i="8"/>
  <c r="AO7152" i="8"/>
  <c r="AO526" i="8"/>
  <c r="AO6607" i="8"/>
  <c r="AO4152" i="8"/>
  <c r="AO6899" i="8"/>
  <c r="AO7241" i="8"/>
  <c r="AO6982" i="8"/>
  <c r="AO5105" i="8"/>
  <c r="AO6853" i="8"/>
  <c r="AO6376" i="8"/>
  <c r="AO4892" i="8"/>
  <c r="AO3820" i="8"/>
  <c r="AO5087" i="8"/>
  <c r="AO7022" i="8"/>
  <c r="AO6390" i="8"/>
  <c r="AO535" i="8"/>
  <c r="AO7546" i="8"/>
  <c r="AO388" i="8"/>
  <c r="AO6748" i="8"/>
  <c r="AO6383" i="8"/>
  <c r="AO7235" i="8"/>
  <c r="AO6829" i="8"/>
  <c r="AO7158" i="8"/>
  <c r="AO6774" i="8"/>
  <c r="AO7636" i="8"/>
  <c r="AO7666" i="8"/>
  <c r="AO6966" i="8"/>
  <c r="AO6948" i="8"/>
  <c r="AO7936" i="8"/>
  <c r="AO23" i="8"/>
  <c r="AO1068" i="8"/>
  <c r="AO7847" i="8"/>
  <c r="AO7742" i="8"/>
  <c r="AO39" i="8"/>
  <c r="AO6893" i="8"/>
  <c r="AO5121" i="8"/>
  <c r="AO5075" i="8"/>
  <c r="AO7174" i="8"/>
  <c r="AO3796" i="8"/>
  <c r="AO7399" i="8"/>
  <c r="AO3600" i="8"/>
  <c r="AO4128" i="8"/>
  <c r="AO7096" i="8"/>
  <c r="AO4340" i="8"/>
  <c r="AO248" i="8"/>
  <c r="AO6792" i="8"/>
  <c r="AO3859" i="8"/>
  <c r="AO6911" i="8"/>
  <c r="AO7863" i="8"/>
  <c r="AO7568" i="8"/>
  <c r="AO7990" i="8"/>
  <c r="AO6677" i="8"/>
  <c r="AO4323" i="8"/>
  <c r="AO4869" i="8"/>
  <c r="AO7801" i="8"/>
  <c r="AO5059" i="8"/>
  <c r="AO7777" i="8"/>
  <c r="AO7433" i="8"/>
  <c r="AO7712" i="8"/>
  <c r="AO7467" i="8"/>
  <c r="AO7817" i="8"/>
  <c r="AO7562" i="8"/>
  <c r="AO4515" i="8"/>
  <c r="AO7516" i="8"/>
  <c r="AO6917" i="8"/>
  <c r="AO6613" i="8"/>
  <c r="AO258" i="8"/>
  <c r="AO201" i="8"/>
  <c r="AO7614" i="8"/>
  <c r="AO6798" i="8"/>
  <c r="AO6689" i="8"/>
  <c r="AO3167" i="8"/>
  <c r="AO448" i="8"/>
  <c r="AO7287" i="8"/>
  <c r="AO6877" i="8"/>
  <c r="AO7528" i="8"/>
  <c r="AO6841" i="8"/>
  <c r="AO328" i="8"/>
  <c r="AO4900" i="8"/>
  <c r="AO7522" i="8"/>
  <c r="AO7574" i="8"/>
  <c r="AO6865" i="8"/>
  <c r="AO4506" i="8"/>
  <c r="AO398" i="8"/>
  <c r="AO6960" i="8"/>
  <c r="AO6780" i="8"/>
  <c r="AO6954" i="8"/>
  <c r="AO29" i="8"/>
  <c r="AO5093" i="8"/>
  <c r="AO7648" i="8"/>
  <c r="AO7004" i="8"/>
  <c r="AO358" i="8"/>
  <c r="AO6905" i="8"/>
  <c r="AO7823" i="8"/>
  <c r="AO4698" i="8"/>
  <c r="AO5053" i="8"/>
  <c r="AO6994" i="8"/>
  <c r="AO7970" i="8"/>
  <c r="AO100" i="8"/>
  <c r="AO368" i="8"/>
  <c r="AO4498" i="8"/>
  <c r="AO7253" i="8"/>
  <c r="AO7423" i="8"/>
  <c r="AO7540" i="8"/>
  <c r="AO7192" i="8"/>
  <c r="AO6671" i="8"/>
  <c r="AO3727" i="8"/>
  <c r="AO7090" i="8"/>
  <c r="AO7473" i="8"/>
  <c r="AO7312" i="8"/>
  <c r="AO7660" i="8"/>
  <c r="AO3406" i="8"/>
  <c r="AO3608" i="8"/>
  <c r="AO7556" i="8"/>
  <c r="AO7718" i="8"/>
  <c r="AO308" i="8"/>
  <c r="AO7457" i="8"/>
  <c r="AO7534" i="8"/>
  <c r="AO7771" i="8"/>
  <c r="AO7439" i="8"/>
  <c r="AO5069" i="8"/>
  <c r="AO4909" i="8"/>
  <c r="AO6871" i="8"/>
  <c r="AO7445" i="8"/>
  <c r="AO7350" i="8"/>
  <c r="AO4675" i="8"/>
  <c r="AO195" i="8"/>
  <c r="AO6942" i="8"/>
  <c r="AO6786" i="8"/>
  <c r="AO7748" i="8"/>
  <c r="AO6705" i="8"/>
  <c r="AO7491" i="8"/>
  <c r="AO7417" i="8"/>
  <c r="AO7672" i="8"/>
  <c r="AO7010" i="8"/>
  <c r="AO5883" i="8"/>
  <c r="AO3592" i="8"/>
  <c r="AO4355" i="8"/>
  <c r="AO7590" i="8"/>
  <c r="AO1060" i="8"/>
  <c r="AO5137" i="8"/>
  <c r="AO7247" i="8"/>
  <c r="AO6754" i="8"/>
  <c r="AO82" i="8"/>
  <c r="AO7654" i="8"/>
  <c r="AO4072" i="8"/>
  <c r="AO7275" i="8"/>
  <c r="AO3222" i="8"/>
  <c r="AO70" i="8"/>
  <c r="AO7630" i="8"/>
  <c r="AO348" i="8"/>
  <c r="AO4474" i="8"/>
  <c r="AO7114" i="8"/>
  <c r="AO428" i="8"/>
  <c r="AO7596" i="8"/>
  <c r="AO4658" i="8"/>
  <c r="AO7580" i="8"/>
  <c r="AO7678" i="8"/>
  <c r="AO217" i="8"/>
  <c r="AO6835" i="8"/>
  <c r="AO268" i="8"/>
  <c r="AO6859" i="8"/>
  <c r="AO7328" i="8"/>
  <c r="AO7602" i="8"/>
  <c r="AO7259" i="8"/>
  <c r="AO4852" i="8"/>
  <c r="AO7608" i="8"/>
  <c r="AO6711" i="8"/>
  <c r="AO6717" i="8"/>
  <c r="AO7960" i="8"/>
  <c r="AO7950" i="8"/>
  <c r="AO6887" i="8"/>
  <c r="AO7124" i="8"/>
  <c r="AG7688" i="8"/>
  <c r="AI7688" i="8" s="1"/>
  <c r="T7694" i="8"/>
  <c r="A115" i="11"/>
  <c r="AI7748" i="8"/>
  <c r="F7748" i="8"/>
  <c r="T7748" i="8" s="1"/>
  <c r="F415" i="26"/>
  <c r="F401" i="26"/>
  <c r="A412" i="11"/>
  <c r="T412" i="11" s="1"/>
  <c r="A413" i="11"/>
  <c r="R413" i="11" s="1"/>
  <c r="A492" i="11"/>
  <c r="A493" i="11"/>
  <c r="A490" i="11"/>
  <c r="A491" i="11"/>
  <c r="Q498" i="11"/>
  <c r="F7783" i="8"/>
  <c r="T7783" i="8" s="1"/>
  <c r="F7795" i="8"/>
  <c r="T7795" i="8" s="1"/>
  <c r="F438" i="8"/>
  <c r="T438" i="8" s="1"/>
  <c r="AI438" i="8"/>
  <c r="AJ438" i="8" s="1"/>
  <c r="AK10600" i="8"/>
  <c r="R287" i="11"/>
  <c r="T287" i="11"/>
  <c r="A240" i="11"/>
  <c r="T240" i="11" s="1"/>
  <c r="A243" i="11"/>
  <c r="AI8054" i="8"/>
  <c r="AJ8054" i="8" s="1"/>
  <c r="AH10600" i="8"/>
  <c r="F390" i="26"/>
  <c r="F417" i="26" s="1"/>
  <c r="AI7124" i="8"/>
  <c r="AJ7124" i="8" s="1"/>
  <c r="AK10554" i="8"/>
  <c r="AH8094" i="8"/>
  <c r="AH10554" i="8"/>
  <c r="AK8094" i="8"/>
  <c r="AH8475" i="8"/>
  <c r="AI9688" i="8"/>
  <c r="AJ9688" i="8" s="1"/>
  <c r="AI8551" i="8"/>
  <c r="AJ8551" i="8" s="1"/>
  <c r="AH8939" i="8"/>
  <c r="AI10416" i="8"/>
  <c r="AJ10416" i="8" s="1"/>
  <c r="AK8134" i="8"/>
  <c r="AI8269" i="8"/>
  <c r="AJ8269" i="8" s="1"/>
  <c r="AI8245" i="8"/>
  <c r="AJ8245" i="8" s="1"/>
  <c r="AI9750" i="8"/>
  <c r="AJ9750" i="8" s="1"/>
  <c r="AH9015" i="8"/>
  <c r="AH8673" i="8"/>
  <c r="AI9920" i="8"/>
  <c r="AJ9920" i="8" s="1"/>
  <c r="AI9876" i="8"/>
  <c r="AJ9876" i="8" s="1"/>
  <c r="AI10213" i="8"/>
  <c r="AJ10213" i="8" s="1"/>
  <c r="AH10197" i="8"/>
  <c r="AI10137" i="8"/>
  <c r="AJ10137" i="8" s="1"/>
  <c r="AI10490" i="8"/>
  <c r="AJ10490" i="8" s="1"/>
  <c r="AH10656" i="8"/>
  <c r="AI10720" i="8"/>
  <c r="AJ10720" i="8" s="1"/>
  <c r="AI10784" i="8"/>
  <c r="AJ10784" i="8" s="1"/>
  <c r="AI11378" i="8"/>
  <c r="AJ11378" i="8" s="1"/>
  <c r="AI11072" i="8"/>
  <c r="AJ11072" i="8" s="1"/>
  <c r="AI11160" i="8"/>
  <c r="AJ11160" i="8" s="1"/>
  <c r="AI11078" i="8"/>
  <c r="AJ11078" i="8" s="1"/>
  <c r="AI9712" i="8"/>
  <c r="AJ9712" i="8" s="1"/>
  <c r="AH10012" i="8"/>
  <c r="AI10456" i="8"/>
  <c r="AJ10456" i="8" s="1"/>
  <c r="AI11268" i="8"/>
  <c r="AJ11268" i="8" s="1"/>
  <c r="AI8315" i="8"/>
  <c r="AJ8315" i="8" s="1"/>
  <c r="AI9700" i="8"/>
  <c r="AJ9700" i="8" s="1"/>
  <c r="AI8933" i="8"/>
  <c r="AJ8933" i="8" s="1"/>
  <c r="AI8457" i="8"/>
  <c r="AJ8457" i="8" s="1"/>
  <c r="AH8503" i="8"/>
  <c r="AI9375" i="8"/>
  <c r="AJ9375" i="8" s="1"/>
  <c r="AI8445" i="8"/>
  <c r="AJ8445" i="8" s="1"/>
  <c r="AI9974" i="8"/>
  <c r="AJ9974" i="8" s="1"/>
  <c r="AI9846" i="8"/>
  <c r="AJ9846" i="8" s="1"/>
  <c r="AI10006" i="8"/>
  <c r="AJ10006" i="8" s="1"/>
  <c r="AI10328" i="8"/>
  <c r="AJ10328" i="8" s="1"/>
  <c r="AI10191" i="8"/>
  <c r="AJ10191" i="8" s="1"/>
  <c r="AI10704" i="8"/>
  <c r="AJ10704" i="8" s="1"/>
  <c r="AI10644" i="8"/>
  <c r="AJ10644" i="8" s="1"/>
  <c r="AI10964" i="8"/>
  <c r="AJ10964" i="8" s="1"/>
  <c r="AI11338" i="8"/>
  <c r="AJ11338" i="8" s="1"/>
  <c r="AI11372" i="8"/>
  <c r="AJ11372" i="8" s="1"/>
  <c r="AI11056" i="8"/>
  <c r="AJ11056" i="8" s="1"/>
  <c r="AH8649" i="8"/>
  <c r="AI10564" i="8"/>
  <c r="AJ10564" i="8" s="1"/>
  <c r="AI8297" i="8"/>
  <c r="AJ8297" i="8" s="1"/>
  <c r="AH8303" i="8"/>
  <c r="AI9341" i="8"/>
  <c r="AJ9341" i="8" s="1"/>
  <c r="AH8637" i="8"/>
  <c r="AI9003" i="8"/>
  <c r="AJ9003" i="8" s="1"/>
  <c r="AI8915" i="8"/>
  <c r="AJ8915" i="8" s="1"/>
  <c r="AI8667" i="8"/>
  <c r="AJ8667" i="8" s="1"/>
  <c r="AI9317" i="8"/>
  <c r="AJ9317" i="8" s="1"/>
  <c r="AI9782" i="8"/>
  <c r="AJ9782" i="8" s="1"/>
  <c r="AI9830" i="8"/>
  <c r="AJ9830" i="8" s="1"/>
  <c r="AI10042" i="8"/>
  <c r="AJ10042" i="8" s="1"/>
  <c r="AI9956" i="8"/>
  <c r="AJ9956" i="8" s="1"/>
  <c r="AI10506" i="8"/>
  <c r="AJ10506" i="8" s="1"/>
  <c r="AH10480" i="8"/>
  <c r="AI10946" i="8"/>
  <c r="AJ10946" i="8" s="1"/>
  <c r="AI10710" i="8"/>
  <c r="AJ10710" i="8" s="1"/>
  <c r="AI11044" i="8"/>
  <c r="AJ11044" i="8" s="1"/>
  <c r="AI11360" i="8"/>
  <c r="AJ11360" i="8" s="1"/>
  <c r="F10902" i="8"/>
  <c r="T10902" i="8" s="1"/>
  <c r="AH8251" i="8"/>
  <c r="AI10101" i="8"/>
  <c r="AJ10101" i="8" s="1"/>
  <c r="AG10914" i="8"/>
  <c r="AI10914" i="8" s="1"/>
  <c r="AJ10914" i="8" s="1"/>
  <c r="AI8239" i="8"/>
  <c r="AJ8239" i="8" s="1"/>
  <c r="AI8281" i="8"/>
  <c r="AJ8281" i="8" s="1"/>
  <c r="AI9156" i="8"/>
  <c r="AJ9156" i="8" s="1"/>
  <c r="AI9363" i="8"/>
  <c r="AJ9363" i="8" s="1"/>
  <c r="AI9009" i="8"/>
  <c r="AJ9009" i="8" s="1"/>
  <c r="AI9896" i="8"/>
  <c r="AJ9896" i="8" s="1"/>
  <c r="AI9890" i="8"/>
  <c r="AJ9890" i="8" s="1"/>
  <c r="AI10000" i="8"/>
  <c r="AJ10000" i="8" s="1"/>
  <c r="AI10159" i="8"/>
  <c r="AJ10159" i="8" s="1"/>
  <c r="AI10207" i="8"/>
  <c r="AJ10207" i="8" s="1"/>
  <c r="AI10450" i="8"/>
  <c r="AJ10450" i="8" s="1"/>
  <c r="AI10428" i="8"/>
  <c r="AJ10428" i="8" s="1"/>
  <c r="AH10628" i="8"/>
  <c r="AI10878" i="8"/>
  <c r="AJ10878" i="8" s="1"/>
  <c r="AI11142" i="8"/>
  <c r="AJ11142" i="8" s="1"/>
  <c r="AI11062" i="8"/>
  <c r="AJ11062" i="8" s="1"/>
  <c r="AI9986" i="8"/>
  <c r="AJ9986" i="8" s="1"/>
  <c r="AG10752" i="8"/>
  <c r="AI10752" i="8" s="1"/>
  <c r="AJ10752" i="8" s="1"/>
  <c r="AI9369" i="8"/>
  <c r="AJ9369" i="8" s="1"/>
  <c r="AI9488" i="8"/>
  <c r="AJ9488" i="8" s="1"/>
  <c r="AI9744" i="8"/>
  <c r="AJ9744" i="8" s="1"/>
  <c r="AH9393" i="8"/>
  <c r="AI9299" i="8"/>
  <c r="AJ9299" i="8" s="1"/>
  <c r="AI9063" i="8"/>
  <c r="AJ9063" i="8" s="1"/>
  <c r="AI9589" i="8"/>
  <c r="AJ9589" i="8" s="1"/>
  <c r="AG10048" i="8"/>
  <c r="AH10048" i="8" s="1"/>
  <c r="AI10026" i="8"/>
  <c r="AJ10026" i="8" s="1"/>
  <c r="AH10036" i="8"/>
  <c r="AH10267" i="8"/>
  <c r="AI10153" i="8"/>
  <c r="AJ10153" i="8" s="1"/>
  <c r="AI10334" i="8"/>
  <c r="AJ10334" i="8" s="1"/>
  <c r="AH10444" i="8"/>
  <c r="AI10438" i="8"/>
  <c r="AJ10438" i="8" s="1"/>
  <c r="AI10832" i="8"/>
  <c r="AJ10832" i="8" s="1"/>
  <c r="AI10738" i="8"/>
  <c r="AJ10738" i="8" s="1"/>
  <c r="AI10848" i="8"/>
  <c r="AJ10848" i="8" s="1"/>
  <c r="AI11170" i="8"/>
  <c r="AJ11170" i="8" s="1"/>
  <c r="AI11234" i="8"/>
  <c r="AJ11234" i="8" s="1"/>
  <c r="AG10400" i="8"/>
  <c r="AI10400" i="8" s="1"/>
  <c r="AJ10400" i="8" s="1"/>
  <c r="AH9146" i="8"/>
  <c r="AI8967" i="8"/>
  <c r="AJ8967" i="8" s="1"/>
  <c r="AI9122" i="8"/>
  <c r="AJ9122" i="8" s="1"/>
  <c r="AI9824" i="8"/>
  <c r="AJ9824" i="8" s="1"/>
  <c r="AI9840" i="8"/>
  <c r="AJ9840" i="8" s="1"/>
  <c r="AI10143" i="8"/>
  <c r="AJ10143" i="8" s="1"/>
  <c r="AI10352" i="8"/>
  <c r="AJ10352" i="8" s="1"/>
  <c r="AG10518" i="8"/>
  <c r="AI10518" i="8" s="1"/>
  <c r="AJ10518" i="8" s="1"/>
  <c r="AI10790" i="8"/>
  <c r="AJ10790" i="8" s="1"/>
  <c r="AI10662" i="8"/>
  <c r="AJ10662" i="8" s="1"/>
  <c r="AI10936" i="8"/>
  <c r="AJ10936" i="8" s="1"/>
  <c r="AI10650" i="8"/>
  <c r="AJ10650" i="8" s="1"/>
  <c r="AI11332" i="8"/>
  <c r="AJ11332" i="8" s="1"/>
  <c r="AI11262" i="8"/>
  <c r="AJ11262" i="8" s="1"/>
  <c r="AI8333" i="8"/>
  <c r="AJ8333" i="8" s="1"/>
  <c r="AH8134" i="8"/>
  <c r="AH8327" i="8"/>
  <c r="AH8275" i="8"/>
  <c r="AH8539" i="8"/>
  <c r="AI8661" i="8"/>
  <c r="AJ8661" i="8" s="1"/>
  <c r="AI8689" i="8"/>
  <c r="AJ8689" i="8" s="1"/>
  <c r="AI8451" i="8"/>
  <c r="AJ8451" i="8" s="1"/>
  <c r="AI9464" i="8"/>
  <c r="AJ9464" i="8" s="1"/>
  <c r="AI8891" i="8"/>
  <c r="AH8463" i="8"/>
  <c r="AH9926" i="8"/>
  <c r="AI9870" i="8"/>
  <c r="AJ9870" i="8" s="1"/>
  <c r="AI10245" i="8"/>
  <c r="AJ10245" i="8" s="1"/>
  <c r="AI10261" i="8"/>
  <c r="AJ10261" i="8" s="1"/>
  <c r="AI10308" i="8"/>
  <c r="AJ10308" i="8" s="1"/>
  <c r="AI10422" i="8"/>
  <c r="AJ10422" i="8" s="1"/>
  <c r="AI10924" i="8"/>
  <c r="AJ10924" i="8" s="1"/>
  <c r="AI10726" i="8"/>
  <c r="AJ10726" i="8" s="1"/>
  <c r="AH11344" i="8"/>
  <c r="AH11246" i="8"/>
  <c r="AI11388" i="8"/>
  <c r="AJ11388" i="8" s="1"/>
  <c r="R1043" i="11"/>
  <c r="R1045" i="11" s="1"/>
  <c r="T1043" i="11"/>
  <c r="T1045" i="11" s="1"/>
  <c r="T1041" i="11" s="1"/>
  <c r="S10237" i="8" s="1"/>
  <c r="T10237" i="8" s="1"/>
  <c r="T10239" i="8" s="1"/>
  <c r="E7138" i="8"/>
  <c r="F7141" i="8"/>
  <c r="AN7138" i="8"/>
  <c r="F7124" i="8"/>
  <c r="T7124" i="8" s="1"/>
  <c r="R793" i="11"/>
  <c r="R1007" i="11"/>
  <c r="T1025" i="11"/>
  <c r="T1027" i="11" s="1"/>
  <c r="T1023" i="11" s="1"/>
  <c r="S8217" i="8" s="1"/>
  <c r="T8217" i="8" s="1"/>
  <c r="T8219" i="8" s="1"/>
  <c r="AN8214" i="8" s="1"/>
  <c r="A1031" i="11"/>
  <c r="R1031" i="11" s="1"/>
  <c r="R1033" i="11" s="1"/>
  <c r="A32" i="11"/>
  <c r="F8661" i="8"/>
  <c r="T8661" i="8" s="1"/>
  <c r="F10878" i="8"/>
  <c r="T10878" i="8" s="1"/>
  <c r="F11262" i="8"/>
  <c r="T11262" i="8" s="1"/>
  <c r="F11078" i="8"/>
  <c r="T11078" i="8" s="1"/>
  <c r="F11372" i="8"/>
  <c r="T11372" i="8" s="1"/>
  <c r="F11344" i="8"/>
  <c r="T11344" i="8" s="1"/>
  <c r="F10974" i="8"/>
  <c r="T10974" i="8" s="1"/>
  <c r="F11234" i="8"/>
  <c r="T11234" i="8" s="1"/>
  <c r="F11142" i="8"/>
  <c r="T11142" i="8" s="1"/>
  <c r="F11246" i="8"/>
  <c r="T11246" i="8" s="1"/>
  <c r="F9782" i="8"/>
  <c r="T9782" i="8" s="1"/>
  <c r="F10628" i="8"/>
  <c r="T10628" i="8" s="1"/>
  <c r="F8939" i="8"/>
  <c r="T8939" i="8" s="1"/>
  <c r="F10416" i="8"/>
  <c r="T10416" i="8" s="1"/>
  <c r="F8967" i="8"/>
  <c r="T8967" i="8" s="1"/>
  <c r="F8251" i="8"/>
  <c r="T8251" i="8" s="1"/>
  <c r="F10512" i="8"/>
  <c r="T10512" i="8" s="1"/>
  <c r="F10480" i="8"/>
  <c r="T10480" i="8" s="1"/>
  <c r="F10197" i="8"/>
  <c r="T10197" i="8" s="1"/>
  <c r="F10444" i="8"/>
  <c r="T10444" i="8" s="1"/>
  <c r="F10334" i="8"/>
  <c r="T10334" i="8" s="1"/>
  <c r="F8915" i="8"/>
  <c r="T8915" i="8" s="1"/>
  <c r="F8239" i="8"/>
  <c r="T8239" i="8" s="1"/>
  <c r="F8933" i="8"/>
  <c r="T8933" i="8" s="1"/>
  <c r="F8503" i="8"/>
  <c r="T8503" i="8" s="1"/>
  <c r="F9712" i="8"/>
  <c r="T9712" i="8" s="1"/>
  <c r="F10036" i="8"/>
  <c r="T10036" i="8" s="1"/>
  <c r="F9146" i="8"/>
  <c r="T9146" i="8" s="1"/>
  <c r="F9393" i="8"/>
  <c r="T9393" i="8" s="1"/>
  <c r="F10012" i="8"/>
  <c r="T10012" i="8" s="1"/>
  <c r="F8451" i="8"/>
  <c r="T8451" i="8" s="1"/>
  <c r="F8463" i="8"/>
  <c r="T8463" i="8" s="1"/>
  <c r="F9464" i="8"/>
  <c r="T9464" i="8" s="1"/>
  <c r="F9341" i="8"/>
  <c r="T9341" i="8" s="1"/>
  <c r="F6994" i="8"/>
  <c r="T6994" i="8" s="1"/>
  <c r="F8303" i="8"/>
  <c r="T8303" i="8" s="1"/>
  <c r="F9063" i="8"/>
  <c r="T9063" i="8" s="1"/>
  <c r="F8637" i="8"/>
  <c r="T8637" i="8" s="1"/>
  <c r="F9122" i="8"/>
  <c r="T9122" i="8" s="1"/>
  <c r="F9589" i="8"/>
  <c r="T9589" i="8" s="1"/>
  <c r="F8327" i="8"/>
  <c r="T8327" i="8" s="1"/>
  <c r="F8673" i="8"/>
  <c r="T8673" i="8" s="1"/>
  <c r="F9750" i="8"/>
  <c r="T9750" i="8" s="1"/>
  <c r="F8649" i="8"/>
  <c r="T8649" i="8" s="1"/>
  <c r="F8275" i="8"/>
  <c r="T8275" i="8" s="1"/>
  <c r="F8689" i="8"/>
  <c r="T8689" i="8" s="1"/>
  <c r="F6871" i="8"/>
  <c r="T6871" i="8" s="1"/>
  <c r="F7602" i="8"/>
  <c r="T7602" i="8" s="1"/>
  <c r="F6717" i="8"/>
  <c r="T6717" i="8" s="1"/>
  <c r="F7235" i="8"/>
  <c r="T7235" i="8" s="1"/>
  <c r="F7546" i="8"/>
  <c r="T7546" i="8" s="1"/>
  <c r="AI7235" i="8"/>
  <c r="AJ7235" i="8" s="1"/>
  <c r="F6847" i="8"/>
  <c r="T6847" i="8" s="1"/>
  <c r="F6905" i="8"/>
  <c r="T6905" i="8" s="1"/>
  <c r="AG7694" i="8"/>
  <c r="AI7694" i="8" s="1"/>
  <c r="T7688" i="8"/>
  <c r="F6711" i="8"/>
  <c r="T6711" i="8" s="1"/>
  <c r="F6748" i="8"/>
  <c r="T6748" i="8" s="1"/>
  <c r="F7350" i="8"/>
  <c r="T7350" i="8" s="1"/>
  <c r="AI353" i="26"/>
  <c r="AJ353" i="26" s="1"/>
  <c r="AH353" i="26"/>
  <c r="AH341" i="26"/>
  <c r="AK341" i="26"/>
  <c r="AH41" i="26"/>
  <c r="AK41" i="26"/>
  <c r="AH209" i="26"/>
  <c r="AI269" i="26"/>
  <c r="AJ269" i="26" s="1"/>
  <c r="AH269" i="26"/>
  <c r="AH311" i="26"/>
  <c r="AH335" i="26"/>
  <c r="AK335" i="26"/>
  <c r="AH155" i="26"/>
  <c r="AI71" i="26"/>
  <c r="AJ71" i="26" s="1"/>
  <c r="AH71" i="26"/>
  <c r="AH329" i="26"/>
  <c r="AK329" i="26"/>
  <c r="AH179" i="26"/>
  <c r="AH347" i="26"/>
  <c r="AK347" i="26"/>
  <c r="AH365" i="26"/>
  <c r="AK365" i="26"/>
  <c r="AK305" i="26"/>
  <c r="AH305" i="26"/>
  <c r="AH35" i="26"/>
  <c r="AK35" i="26"/>
  <c r="AH83" i="26"/>
  <c r="AH275" i="26"/>
  <c r="AH239" i="26"/>
  <c r="AH173" i="26"/>
  <c r="AH23" i="26"/>
  <c r="AH101" i="26"/>
  <c r="AK257" i="26"/>
  <c r="AH257" i="26"/>
  <c r="AI179" i="26"/>
  <c r="AJ179" i="26" s="1"/>
  <c r="AH29" i="26"/>
  <c r="AK29" i="26"/>
  <c r="AH323" i="26"/>
  <c r="AK323" i="26"/>
  <c r="AK95" i="26"/>
  <c r="AH95" i="26"/>
  <c r="AH185" i="26"/>
  <c r="AK185" i="26"/>
  <c r="AI209" i="26"/>
  <c r="AJ209" i="26" s="1"/>
  <c r="AH299" i="26"/>
  <c r="AI83" i="26"/>
  <c r="AJ83" i="26" s="1"/>
  <c r="AI311" i="26"/>
  <c r="AJ311" i="26" s="1"/>
  <c r="AI275" i="26"/>
  <c r="AJ275" i="26" s="1"/>
  <c r="AK281" i="26"/>
  <c r="AH281" i="26"/>
  <c r="AI239" i="26"/>
  <c r="AJ239" i="26" s="1"/>
  <c r="AH131" i="26"/>
  <c r="AH227" i="26"/>
  <c r="AH377" i="26"/>
  <c r="AH221" i="26"/>
  <c r="AK221" i="26"/>
  <c r="AH203" i="26"/>
  <c r="AK203" i="26"/>
  <c r="AK53" i="26"/>
  <c r="AH53" i="26"/>
  <c r="AH149" i="26"/>
  <c r="AK149" i="26"/>
  <c r="AH107" i="26"/>
  <c r="AH215" i="26"/>
  <c r="AK215" i="26"/>
  <c r="AH251" i="26"/>
  <c r="AK251" i="26"/>
  <c r="AI377" i="26"/>
  <c r="AJ377" i="26" s="1"/>
  <c r="AH359" i="26"/>
  <c r="AH197" i="26"/>
  <c r="AK197" i="26"/>
  <c r="AI299" i="26"/>
  <c r="AJ299" i="26" s="1"/>
  <c r="AK371" i="26"/>
  <c r="AH371" i="26"/>
  <c r="AH191" i="26"/>
  <c r="AK317" i="26"/>
  <c r="AH317" i="26"/>
  <c r="AH293" i="26"/>
  <c r="AK293" i="26"/>
  <c r="AI23" i="26"/>
  <c r="AJ23" i="26" s="1"/>
  <c r="AI107" i="26"/>
  <c r="AJ107" i="26" s="1"/>
  <c r="AH233" i="26"/>
  <c r="AK233" i="26"/>
  <c r="AH143" i="26"/>
  <c r="AK143" i="26"/>
  <c r="AH47" i="26"/>
  <c r="AK47" i="26"/>
  <c r="AH287" i="26"/>
  <c r="AK287" i="26"/>
  <c r="AH65" i="26"/>
  <c r="AK65" i="26"/>
  <c r="AH125" i="26"/>
  <c r="AK125" i="26"/>
  <c r="AI131" i="26"/>
  <c r="AJ131" i="26" s="1"/>
  <c r="AH119" i="26"/>
  <c r="AK119" i="26"/>
  <c r="AH77" i="26"/>
  <c r="AK77" i="26"/>
  <c r="AH113" i="26"/>
  <c r="AK113" i="26"/>
  <c r="AH263" i="26"/>
  <c r="AK263" i="26"/>
  <c r="AI173" i="26"/>
  <c r="AJ173" i="26" s="1"/>
  <c r="AH245" i="26"/>
  <c r="AK245" i="26"/>
  <c r="AH383" i="26"/>
  <c r="AK383" i="26"/>
  <c r="AH167" i="26"/>
  <c r="AK167" i="26"/>
  <c r="AI161" i="26"/>
  <c r="AJ161" i="26" s="1"/>
  <c r="AH161" i="26"/>
  <c r="AH137" i="26"/>
  <c r="AK137" i="26"/>
  <c r="AH89" i="26"/>
  <c r="AK89" i="26"/>
  <c r="AI101" i="26"/>
  <c r="AJ101" i="26" s="1"/>
  <c r="AI359" i="26"/>
  <c r="AJ359" i="26" s="1"/>
  <c r="AI227" i="26"/>
  <c r="AJ227" i="26" s="1"/>
  <c r="AK59" i="26"/>
  <c r="AH59" i="26"/>
  <c r="AI191" i="26"/>
  <c r="AJ191" i="26" s="1"/>
  <c r="AI155" i="26"/>
  <c r="AJ155" i="26" s="1"/>
  <c r="R997" i="11"/>
  <c r="T996" i="11"/>
  <c r="T999" i="11" s="1"/>
  <c r="T994" i="11" s="1"/>
  <c r="R996" i="11"/>
  <c r="A747" i="11"/>
  <c r="A730" i="11"/>
  <c r="A731" i="11"/>
  <c r="T684" i="11"/>
  <c r="A683" i="11"/>
  <c r="T537" i="11"/>
  <c r="R537" i="11"/>
  <c r="A85" i="11"/>
  <c r="A86" i="11"/>
  <c r="A50" i="11"/>
  <c r="Q56" i="11"/>
  <c r="Q127" i="11"/>
  <c r="A123" i="11"/>
  <c r="R123" i="11" s="1"/>
  <c r="T122" i="11"/>
  <c r="A83" i="11"/>
  <c r="A84" i="11"/>
  <c r="A25" i="11"/>
  <c r="A26" i="11"/>
  <c r="Q91" i="11"/>
  <c r="A99" i="11" s="1"/>
  <c r="T99" i="11" s="1"/>
  <c r="A728" i="11"/>
  <c r="A726" i="11"/>
  <c r="A727" i="11"/>
  <c r="A729" i="11"/>
  <c r="A682" i="11"/>
  <c r="R682" i="11" s="1"/>
  <c r="A679" i="11"/>
  <c r="A681" i="11"/>
  <c r="R681" i="11" s="1"/>
  <c r="A769" i="11"/>
  <c r="A770" i="11"/>
  <c r="A767" i="11"/>
  <c r="A768" i="11"/>
  <c r="A765" i="11"/>
  <c r="A766" i="11"/>
  <c r="A764" i="11"/>
  <c r="A746" i="11"/>
  <c r="A744" i="11"/>
  <c r="A745" i="11"/>
  <c r="A742" i="11"/>
  <c r="A743" i="11"/>
  <c r="A741" i="11"/>
  <c r="A791" i="11"/>
  <c r="A792" i="11"/>
  <c r="A789" i="11"/>
  <c r="A790" i="11"/>
  <c r="A787" i="11"/>
  <c r="A788" i="11"/>
  <c r="A833" i="11"/>
  <c r="A825" i="11"/>
  <c r="A973" i="11"/>
  <c r="A976" i="11"/>
  <c r="A977" i="11"/>
  <c r="A974" i="11"/>
  <c r="A975" i="11"/>
  <c r="A972" i="11"/>
  <c r="A966" i="11"/>
  <c r="A959" i="11"/>
  <c r="A965" i="11"/>
  <c r="A967" i="11"/>
  <c r="A968" i="11"/>
  <c r="A970" i="11"/>
  <c r="A969" i="11"/>
  <c r="A961" i="11"/>
  <c r="A962" i="11"/>
  <c r="A989" i="11"/>
  <c r="A981" i="11"/>
  <c r="A988" i="11"/>
  <c r="A980" i="11"/>
  <c r="A987" i="11"/>
  <c r="A979" i="11"/>
  <c r="A986" i="11"/>
  <c r="A985" i="11"/>
  <c r="A960" i="11"/>
  <c r="A956" i="11"/>
  <c r="A984" i="11"/>
  <c r="A963" i="11"/>
  <c r="A983" i="11"/>
  <c r="A958" i="11"/>
  <c r="A982" i="11"/>
  <c r="T536" i="11"/>
  <c r="R536" i="11"/>
  <c r="T534" i="11"/>
  <c r="R534" i="11"/>
  <c r="T533" i="11"/>
  <c r="R533" i="11"/>
  <c r="A81" i="11"/>
  <c r="A80" i="11" s="1"/>
  <c r="A107" i="11"/>
  <c r="A108" i="11"/>
  <c r="A105" i="11"/>
  <c r="A34" i="11"/>
  <c r="A35" i="11"/>
  <c r="A881" i="11"/>
  <c r="A889" i="11"/>
  <c r="A888" i="11"/>
  <c r="A887" i="11"/>
  <c r="A886" i="11"/>
  <c r="A873" i="11"/>
  <c r="A874" i="11"/>
  <c r="A867" i="11"/>
  <c r="A872" i="11"/>
  <c r="A753" i="11"/>
  <c r="A757" i="11"/>
  <c r="A756" i="11"/>
  <c r="A754" i="11"/>
  <c r="A755" i="11"/>
  <c r="A758" i="11"/>
  <c r="A854" i="11"/>
  <c r="A902" i="11"/>
  <c r="A901" i="11"/>
  <c r="A898" i="11"/>
  <c r="A897" i="11"/>
  <c r="A896" i="11"/>
  <c r="A899" i="11"/>
  <c r="A885" i="11"/>
  <c r="A884" i="11"/>
  <c r="A883" i="11"/>
  <c r="A882" i="11"/>
  <c r="A903" i="11"/>
  <c r="A895" i="11"/>
  <c r="A900" i="11"/>
  <c r="A871" i="11"/>
  <c r="A870" i="11"/>
  <c r="A869" i="11"/>
  <c r="A868" i="11"/>
  <c r="A855" i="11"/>
  <c r="A857" i="11"/>
  <c r="A856" i="11"/>
  <c r="A860" i="11"/>
  <c r="A859" i="11"/>
  <c r="A853" i="11"/>
  <c r="A858" i="11"/>
  <c r="A861" i="11"/>
  <c r="A842" i="11"/>
  <c r="A843" i="11"/>
  <c r="A841" i="11"/>
  <c r="A847" i="11"/>
  <c r="A845" i="11"/>
  <c r="A846" i="11"/>
  <c r="A839" i="11"/>
  <c r="A844" i="11"/>
  <c r="A827" i="11"/>
  <c r="A828" i="11"/>
  <c r="A826" i="11"/>
  <c r="A831" i="11"/>
  <c r="A832" i="11"/>
  <c r="A829" i="11"/>
  <c r="A830" i="11"/>
  <c r="A824" i="11"/>
  <c r="A813" i="11"/>
  <c r="A814" i="11"/>
  <c r="A812" i="11"/>
  <c r="A818" i="11"/>
  <c r="A816" i="11"/>
  <c r="A817" i="11"/>
  <c r="A810" i="11"/>
  <c r="A815" i="11"/>
  <c r="R530" i="11"/>
  <c r="R528" i="11"/>
  <c r="T528" i="11"/>
  <c r="T531" i="11"/>
  <c r="R531" i="11"/>
  <c r="R535" i="11"/>
  <c r="T535" i="11"/>
  <c r="R532" i="11"/>
  <c r="T532" i="11"/>
  <c r="R529" i="11"/>
  <c r="T529" i="11"/>
  <c r="A802" i="11"/>
  <c r="A801" i="11"/>
  <c r="A800" i="11"/>
  <c r="A799" i="11"/>
  <c r="R799" i="11" s="1"/>
  <c r="A804" i="11"/>
  <c r="A803" i="11"/>
  <c r="A514" i="11"/>
  <c r="A515" i="11"/>
  <c r="A512" i="11"/>
  <c r="A513" i="11"/>
  <c r="A239" i="11"/>
  <c r="T239" i="11" s="1"/>
  <c r="A244" i="11"/>
  <c r="R244" i="11" s="1"/>
  <c r="A241" i="11"/>
  <c r="R241" i="11" s="1"/>
  <c r="A242" i="11"/>
  <c r="R242" i="11" s="1"/>
  <c r="A245" i="11"/>
  <c r="R245" i="11" s="1"/>
  <c r="Q141" i="11"/>
  <c r="A194" i="11"/>
  <c r="A197" i="11"/>
  <c r="A196" i="11"/>
  <c r="A195" i="11"/>
  <c r="A561" i="11"/>
  <c r="A562" i="11"/>
  <c r="A564" i="11"/>
  <c r="A563" i="11"/>
  <c r="A484" i="11"/>
  <c r="A481" i="11"/>
  <c r="A480" i="11"/>
  <c r="A483" i="11"/>
  <c r="A482" i="11"/>
  <c r="A371" i="11"/>
  <c r="A370" i="11"/>
  <c r="A369" i="11"/>
  <c r="A367" i="11"/>
  <c r="A368" i="11"/>
  <c r="A662" i="11"/>
  <c r="A663" i="11"/>
  <c r="A660" i="11"/>
  <c r="A661" i="11"/>
  <c r="A266" i="11"/>
  <c r="A265" i="11"/>
  <c r="A264" i="11"/>
  <c r="A263" i="11"/>
  <c r="A267" i="11"/>
  <c r="A633" i="11"/>
  <c r="A634" i="11"/>
  <c r="A636" i="11"/>
  <c r="A635" i="11"/>
  <c r="A651" i="11"/>
  <c r="A652" i="11"/>
  <c r="A654" i="11"/>
  <c r="A653" i="11"/>
  <c r="A206" i="11"/>
  <c r="A205" i="11"/>
  <c r="A204" i="11"/>
  <c r="A203" i="11"/>
  <c r="A450" i="11"/>
  <c r="A454" i="11"/>
  <c r="A453" i="11"/>
  <c r="A452" i="11"/>
  <c r="A451" i="11"/>
  <c r="A615" i="11"/>
  <c r="A616" i="11"/>
  <c r="A617" i="11"/>
  <c r="A618" i="11"/>
  <c r="A213" i="11"/>
  <c r="A212" i="11"/>
  <c r="A215" i="11"/>
  <c r="A214" i="11"/>
  <c r="A330" i="11"/>
  <c r="A329" i="11"/>
  <c r="A328" i="11"/>
  <c r="A327" i="11"/>
  <c r="A331" i="11"/>
  <c r="A644" i="11"/>
  <c r="A645" i="11"/>
  <c r="A642" i="11"/>
  <c r="A643" i="11"/>
  <c r="A680" i="11"/>
  <c r="A678" i="11"/>
  <c r="A725" i="11"/>
  <c r="A433" i="11"/>
  <c r="A432" i="11"/>
  <c r="A429" i="11"/>
  <c r="A431" i="11"/>
  <c r="A430" i="11"/>
  <c r="A357" i="11"/>
  <c r="A361" i="11"/>
  <c r="A360" i="11"/>
  <c r="A359" i="11"/>
  <c r="A358" i="11"/>
  <c r="A408" i="11"/>
  <c r="A410" i="11"/>
  <c r="A407" i="11"/>
  <c r="A409" i="11"/>
  <c r="A411" i="11"/>
  <c r="A781" i="11"/>
  <c r="A779" i="11"/>
  <c r="A780" i="11"/>
  <c r="A777" i="11"/>
  <c r="A778" i="11"/>
  <c r="A776" i="11"/>
  <c r="A554" i="11"/>
  <c r="A555" i="11"/>
  <c r="A297" i="11"/>
  <c r="A298" i="11"/>
  <c r="A295" i="11"/>
  <c r="A296" i="11"/>
  <c r="A299" i="11"/>
  <c r="A274" i="11"/>
  <c r="A273" i="11"/>
  <c r="A277" i="11"/>
  <c r="A276" i="11"/>
  <c r="A275" i="11"/>
  <c r="A701" i="11"/>
  <c r="A702" i="11"/>
  <c r="A699" i="11"/>
  <c r="A700" i="11"/>
  <c r="A340" i="11"/>
  <c r="A341" i="11"/>
  <c r="A338" i="11"/>
  <c r="A339" i="11"/>
  <c r="A337" i="11"/>
  <c r="A590" i="11"/>
  <c r="A591" i="11"/>
  <c r="A588" i="11"/>
  <c r="A589" i="11"/>
  <c r="A461" i="11"/>
  <c r="A460" i="11"/>
  <c r="A463" i="11"/>
  <c r="A464" i="11"/>
  <c r="A462" i="11"/>
  <c r="A390" i="11"/>
  <c r="A387" i="11"/>
  <c r="A389" i="11"/>
  <c r="A388" i="11"/>
  <c r="A391" i="11"/>
  <c r="A669" i="11"/>
  <c r="A670" i="11"/>
  <c r="A672" i="11"/>
  <c r="A671" i="11"/>
  <c r="A579" i="11"/>
  <c r="A580" i="11"/>
  <c r="A581" i="11"/>
  <c r="A582" i="11"/>
  <c r="A470" i="11"/>
  <c r="A474" i="11"/>
  <c r="A473" i="11"/>
  <c r="A472" i="11"/>
  <c r="A471" i="11"/>
  <c r="A572" i="11"/>
  <c r="A573" i="11"/>
  <c r="A570" i="11"/>
  <c r="A571" i="11"/>
  <c r="A320" i="11"/>
  <c r="A319" i="11"/>
  <c r="A318" i="11"/>
  <c r="A321" i="11"/>
  <c r="A317" i="11"/>
  <c r="A708" i="11"/>
  <c r="A709" i="11"/>
  <c r="A710" i="11"/>
  <c r="A711" i="11"/>
  <c r="A597" i="11"/>
  <c r="A598" i="11"/>
  <c r="A600" i="11"/>
  <c r="A599" i="11"/>
  <c r="A231" i="11"/>
  <c r="A230" i="11"/>
  <c r="A232" i="11"/>
  <c r="A233" i="11"/>
  <c r="A170" i="11"/>
  <c r="A169" i="11"/>
  <c r="A167" i="11"/>
  <c r="A168" i="11"/>
  <c r="A690" i="11"/>
  <c r="A691" i="11"/>
  <c r="A693" i="11"/>
  <c r="A692" i="11"/>
  <c r="A719" i="11"/>
  <c r="A717" i="11"/>
  <c r="A718" i="11"/>
  <c r="A188" i="11"/>
  <c r="A185" i="11"/>
  <c r="A186" i="11"/>
  <c r="A187" i="11"/>
  <c r="A224" i="11"/>
  <c r="A221" i="11"/>
  <c r="A223" i="11"/>
  <c r="A222" i="11"/>
  <c r="A626" i="11"/>
  <c r="A627" i="11"/>
  <c r="A624" i="11"/>
  <c r="A625" i="11"/>
  <c r="A176" i="11"/>
  <c r="A179" i="11"/>
  <c r="A178" i="11"/>
  <c r="A177" i="11"/>
  <c r="A420" i="11"/>
  <c r="A423" i="11"/>
  <c r="A422" i="11"/>
  <c r="A421" i="11"/>
  <c r="A419" i="11"/>
  <c r="A379" i="11"/>
  <c r="A378" i="11"/>
  <c r="A377" i="11"/>
  <c r="A380" i="11"/>
  <c r="A381" i="11"/>
  <c r="A351" i="11"/>
  <c r="A348" i="11"/>
  <c r="A347" i="11"/>
  <c r="A349" i="11"/>
  <c r="A350" i="11"/>
  <c r="A608" i="11"/>
  <c r="A609" i="11"/>
  <c r="A606" i="11"/>
  <c r="A607" i="11"/>
  <c r="A285" i="11"/>
  <c r="A289" i="11"/>
  <c r="A288" i="11"/>
  <c r="A284" i="11"/>
  <c r="A286" i="11"/>
  <c r="A283" i="11"/>
  <c r="A310" i="11"/>
  <c r="A308" i="11"/>
  <c r="A306" i="11"/>
  <c r="A307" i="11"/>
  <c r="A305" i="11"/>
  <c r="A311" i="11"/>
  <c r="A161" i="11"/>
  <c r="A158" i="11"/>
  <c r="A160" i="11"/>
  <c r="A159" i="11"/>
  <c r="A397" i="11"/>
  <c r="A400" i="11"/>
  <c r="A398" i="11"/>
  <c r="A401" i="11"/>
  <c r="A399" i="11"/>
  <c r="A440" i="11"/>
  <c r="A439" i="11"/>
  <c r="A443" i="11"/>
  <c r="A442" i="11"/>
  <c r="A441" i="11"/>
  <c r="A252" i="11"/>
  <c r="A251" i="11"/>
  <c r="A253" i="11"/>
  <c r="A547" i="11"/>
  <c r="A548" i="11"/>
  <c r="F5023" i="8"/>
  <c r="T5023" i="8" s="1"/>
  <c r="AG5023" i="8"/>
  <c r="AI5023" i="8" s="1"/>
  <c r="AJ5023" i="8" s="1"/>
  <c r="F499" i="8"/>
  <c r="E496" i="8"/>
  <c r="AN496" i="8"/>
  <c r="F471" i="8"/>
  <c r="E468" i="8"/>
  <c r="AN468" i="8"/>
  <c r="AH4975" i="8"/>
  <c r="AH7863" i="8"/>
  <c r="AK7863" i="8"/>
  <c r="AK4975" i="8"/>
  <c r="F9317" i="8"/>
  <c r="T9317" i="8" s="1"/>
  <c r="F8539" i="8"/>
  <c r="T8539" i="8" s="1"/>
  <c r="AK4498" i="8"/>
  <c r="AH4498" i="8"/>
  <c r="AH388" i="8"/>
  <c r="F9015" i="8"/>
  <c r="T9015" i="8" s="1"/>
  <c r="T8145" i="8"/>
  <c r="AI288" i="8"/>
  <c r="AJ288" i="8" s="1"/>
  <c r="F6792" i="8"/>
  <c r="F6887" i="8"/>
  <c r="T6887" i="8" s="1"/>
  <c r="F7269" i="8"/>
  <c r="T7269" i="8" s="1"/>
  <c r="F7362" i="8"/>
  <c r="T7362" i="8" s="1"/>
  <c r="F6677" i="8"/>
  <c r="T6677" i="8" s="1"/>
  <c r="F278" i="8"/>
  <c r="T278" i="8" s="1"/>
  <c r="F58" i="8"/>
  <c r="F7204" i="8"/>
  <c r="T7204" i="8" s="1"/>
  <c r="F7608" i="8"/>
  <c r="F6383" i="8"/>
  <c r="T6383" i="8" s="1"/>
  <c r="AG3703" i="8"/>
  <c r="AI3703" i="8" s="1"/>
  <c r="AJ3703" i="8" s="1"/>
  <c r="F6942" i="8"/>
  <c r="T6942" i="8" s="1"/>
  <c r="AG4683" i="8"/>
  <c r="AI4683" i="8" s="1"/>
  <c r="AJ4683" i="8" s="1"/>
  <c r="F7445" i="8"/>
  <c r="T7445" i="8" s="1"/>
  <c r="F5035" i="8"/>
  <c r="T5035" i="8" s="1"/>
  <c r="AG5047" i="8"/>
  <c r="AI5047" i="8" s="1"/>
  <c r="AJ5047" i="8" s="1"/>
  <c r="F3859" i="8"/>
  <c r="T3859" i="8" s="1"/>
  <c r="F5029" i="8"/>
  <c r="T5029" i="8" s="1"/>
  <c r="F9926" i="8"/>
  <c r="T9926" i="8" s="1"/>
  <c r="AH9522" i="8"/>
  <c r="F10752" i="8"/>
  <c r="T10752" i="8" s="1"/>
  <c r="AH8014" i="8"/>
  <c r="AK8014" i="8"/>
  <c r="F10720" i="8"/>
  <c r="T10720" i="8" s="1"/>
  <c r="F10400" i="8"/>
  <c r="T10400" i="8" s="1"/>
  <c r="AI8991" i="8"/>
  <c r="AJ8991" i="8" s="1"/>
  <c r="F6786" i="8"/>
  <c r="T6786" i="8" s="1"/>
  <c r="AI8737" i="8"/>
  <c r="AJ8737" i="8" s="1"/>
  <c r="F9488" i="8"/>
  <c r="T9488" i="8" s="1"/>
  <c r="AI10958" i="8"/>
  <c r="AJ10958" i="8" s="1"/>
  <c r="AG10902" i="8"/>
  <c r="AH10902" i="8" s="1"/>
  <c r="AH9174" i="8"/>
  <c r="AK9174" i="8"/>
  <c r="F9369" i="8"/>
  <c r="T9369" i="8" s="1"/>
  <c r="AH5053" i="8"/>
  <c r="F10656" i="8"/>
  <c r="T10656" i="8" s="1"/>
  <c r="AI9561" i="8"/>
  <c r="AJ9561" i="8" s="1"/>
  <c r="F10848" i="8"/>
  <c r="T10848" i="8" s="1"/>
  <c r="F11434" i="8"/>
  <c r="F10267" i="8"/>
  <c r="T10267" i="8" s="1"/>
  <c r="F10914" i="8"/>
  <c r="T10914" i="8" s="1"/>
  <c r="F10048" i="8"/>
  <c r="T10048" i="8" s="1"/>
  <c r="F8515" i="8"/>
  <c r="T8515" i="8" s="1"/>
  <c r="F9840" i="8"/>
  <c r="T9840" i="8" s="1"/>
  <c r="F8891" i="8"/>
  <c r="T8891" i="8" s="1"/>
  <c r="F8263" i="8"/>
  <c r="T8263" i="8" s="1"/>
  <c r="AI8263" i="8"/>
  <c r="AJ8263" i="8" s="1"/>
  <c r="AG11444" i="8"/>
  <c r="AI11444" i="8" s="1"/>
  <c r="AJ11444" i="8" s="1"/>
  <c r="F11444" i="8"/>
  <c r="AK8475" i="8"/>
  <c r="AH11434" i="8"/>
  <c r="AK11434" i="8"/>
  <c r="AG11418" i="8"/>
  <c r="AI11418" i="8" s="1"/>
  <c r="AJ11418" i="8" s="1"/>
  <c r="F11418" i="8"/>
  <c r="T11418" i="8" s="1"/>
  <c r="T11451" i="8" s="1"/>
  <c r="T11457" i="8" s="1"/>
  <c r="AI9405" i="8"/>
  <c r="AJ9405" i="8" s="1"/>
  <c r="F9405" i="8"/>
  <c r="T9405" i="8" s="1"/>
  <c r="F9896" i="8"/>
  <c r="T9896" i="8" s="1"/>
  <c r="F10650" i="8"/>
  <c r="T10650" i="8" s="1"/>
  <c r="F8315" i="8"/>
  <c r="T8315" i="8" s="1"/>
  <c r="F8345" i="8"/>
  <c r="T8345" i="8" s="1"/>
  <c r="AI8345" i="8"/>
  <c r="AJ8345" i="8" s="1"/>
  <c r="F8469" i="8"/>
  <c r="T8469" i="8" s="1"/>
  <c r="AI8469" i="8"/>
  <c r="AJ8469" i="8" s="1"/>
  <c r="AI8985" i="8"/>
  <c r="AJ8985" i="8" s="1"/>
  <c r="F8985" i="8"/>
  <c r="T8985" i="8" s="1"/>
  <c r="F9470" i="8"/>
  <c r="T9470" i="8" s="1"/>
  <c r="F9776" i="8"/>
  <c r="T9776" i="8" s="1"/>
  <c r="F10704" i="8"/>
  <c r="T10704" i="8" s="1"/>
  <c r="F11090" i="8"/>
  <c r="F8655" i="8"/>
  <c r="T8655" i="8" s="1"/>
  <c r="AI8655" i="8"/>
  <c r="AJ8655" i="8" s="1"/>
  <c r="AI8719" i="8"/>
  <c r="AJ8719" i="8" s="1"/>
  <c r="F8719" i="8"/>
  <c r="T8719" i="8" s="1"/>
  <c r="F9700" i="8"/>
  <c r="T9700" i="8" s="1"/>
  <c r="F9846" i="8"/>
  <c r="T9846" i="8" s="1"/>
  <c r="F10518" i="8"/>
  <c r="T10518" i="8" s="1"/>
  <c r="F10842" i="8"/>
  <c r="T10842" i="8" s="1"/>
  <c r="F10594" i="8"/>
  <c r="T10594" i="8" s="1"/>
  <c r="AG10594" i="8"/>
  <c r="AI10594" i="8" s="1"/>
  <c r="AJ10594" i="8" s="1"/>
  <c r="F9375" i="8"/>
  <c r="T9375" i="8" s="1"/>
  <c r="F9830" i="8"/>
  <c r="T9830" i="8" s="1"/>
  <c r="F10826" i="8"/>
  <c r="T10826" i="8" s="1"/>
  <c r="F10137" i="8"/>
  <c r="T10137" i="8" s="1"/>
  <c r="F10946" i="8"/>
  <c r="T10946" i="8" s="1"/>
  <c r="F8457" i="8"/>
  <c r="T8457" i="8" s="1"/>
  <c r="F9027" i="8"/>
  <c r="T9027" i="8" s="1"/>
  <c r="AI9027" i="8"/>
  <c r="AJ9027" i="8" s="1"/>
  <c r="F9852" i="8"/>
  <c r="T9852" i="8" s="1"/>
  <c r="AI9852" i="8"/>
  <c r="AJ9852" i="8" s="1"/>
  <c r="F10406" i="8"/>
  <c r="T10406" i="8" s="1"/>
  <c r="AG10406" i="8"/>
  <c r="AI10406" i="8" s="1"/>
  <c r="AJ10406" i="8" s="1"/>
  <c r="F11360" i="8"/>
  <c r="T11360" i="8" s="1"/>
  <c r="AI9980" i="8"/>
  <c r="AJ9980" i="8" s="1"/>
  <c r="F9980" i="8"/>
  <c r="T9980" i="8" s="1"/>
  <c r="AG10676" i="8"/>
  <c r="F10676" i="8"/>
  <c r="T10676" i="8" s="1"/>
  <c r="F11148" i="8"/>
  <c r="T11148" i="8" s="1"/>
  <c r="F8521" i="8"/>
  <c r="T8521" i="8" s="1"/>
  <c r="AI8521" i="8"/>
  <c r="AJ8521" i="8" s="1"/>
  <c r="AI9033" i="8"/>
  <c r="AJ9033" i="8" s="1"/>
  <c r="F9033" i="8"/>
  <c r="T9033" i="8" s="1"/>
  <c r="AI9583" i="8"/>
  <c r="AJ9583" i="8" s="1"/>
  <c r="F9583" i="8"/>
  <c r="T9583" i="8" s="1"/>
  <c r="F10456" i="8"/>
  <c r="T10456" i="8" s="1"/>
  <c r="F9876" i="8"/>
  <c r="T9876" i="8" s="1"/>
  <c r="AG10688" i="8"/>
  <c r="F10688" i="8"/>
  <c r="T10688" i="8" s="1"/>
  <c r="F11154" i="8"/>
  <c r="T11154" i="8" s="1"/>
  <c r="F8527" i="8"/>
  <c r="T8527" i="8" s="1"/>
  <c r="F8481" i="8"/>
  <c r="T8481" i="8" s="1"/>
  <c r="AI8481" i="8"/>
  <c r="AJ8481" i="8" s="1"/>
  <c r="AI8951" i="8"/>
  <c r="AJ8951" i="8" s="1"/>
  <c r="AI9021" i="8"/>
  <c r="AJ9021" i="8" s="1"/>
  <c r="F9021" i="8"/>
  <c r="T9021" i="8" s="1"/>
  <c r="F9510" i="8"/>
  <c r="T9510" i="8" s="1"/>
  <c r="AI9510" i="8"/>
  <c r="AJ9510" i="8" s="1"/>
  <c r="F10450" i="8"/>
  <c r="T10450" i="8" s="1"/>
  <c r="AI8945" i="8"/>
  <c r="AJ8945" i="8" s="1"/>
  <c r="F10490" i="8"/>
  <c r="T10490" i="8" s="1"/>
  <c r="AI9381" i="8"/>
  <c r="AJ9381" i="8" s="1"/>
  <c r="F9381" i="8"/>
  <c r="T9381" i="8" s="1"/>
  <c r="F10251" i="8"/>
  <c r="T10251" i="8" s="1"/>
  <c r="F11056" i="8"/>
  <c r="T11056" i="8" s="1"/>
  <c r="F8445" i="8"/>
  <c r="T8445" i="8" s="1"/>
  <c r="F10908" i="8"/>
  <c r="T10908" i="8" s="1"/>
  <c r="AG10908" i="8"/>
  <c r="AI10908" i="8" s="1"/>
  <c r="AJ10908" i="8" s="1"/>
  <c r="AI10616" i="8"/>
  <c r="AJ10616" i="8" s="1"/>
  <c r="F10616" i="8"/>
  <c r="T10616" i="8" s="1"/>
  <c r="F11182" i="8"/>
  <c r="T11182" i="8" s="1"/>
  <c r="F8281" i="8"/>
  <c r="T8281" i="8" s="1"/>
  <c r="F8725" i="8"/>
  <c r="T8725" i="8" s="1"/>
  <c r="F9305" i="8"/>
  <c r="T9305" i="8" s="1"/>
  <c r="AI10298" i="8"/>
  <c r="AJ10298" i="8" s="1"/>
  <c r="F10298" i="8"/>
  <c r="T10298" i="8" s="1"/>
  <c r="AI11084" i="8"/>
  <c r="AJ11084" i="8" s="1"/>
  <c r="F11084" i="8"/>
  <c r="T11084" i="8" s="1"/>
  <c r="F8245" i="8"/>
  <c r="T8245" i="8" s="1"/>
  <c r="AG8871" i="8"/>
  <c r="AI8871" i="8" s="1"/>
  <c r="AJ8871" i="8" s="1"/>
  <c r="F8871" i="8"/>
  <c r="T8871" i="8" s="1"/>
  <c r="F9347" i="8"/>
  <c r="T9347" i="8" s="1"/>
  <c r="AI9347" i="8"/>
  <c r="AJ9347" i="8" s="1"/>
  <c r="AI9654" i="8"/>
  <c r="AJ9654" i="8" s="1"/>
  <c r="F9654" i="8"/>
  <c r="T9654" i="8" s="1"/>
  <c r="F10438" i="8"/>
  <c r="T10438" i="8" s="1"/>
  <c r="F9956" i="8"/>
  <c r="T9956" i="8" s="1"/>
  <c r="F10832" i="8"/>
  <c r="T10832" i="8" s="1"/>
  <c r="F11394" i="8"/>
  <c r="T11394" i="8" s="1"/>
  <c r="AG11394" i="8"/>
  <c r="F8533" i="8"/>
  <c r="T8533" i="8" s="1"/>
  <c r="AI8533" i="8"/>
  <c r="AJ8533" i="8" s="1"/>
  <c r="F9003" i="8"/>
  <c r="T9003" i="8" s="1"/>
  <c r="F9573" i="8"/>
  <c r="T9573" i="8" s="1"/>
  <c r="F9694" i="8"/>
  <c r="T9694" i="8" s="1"/>
  <c r="F10784" i="8"/>
  <c r="T10784" i="8" s="1"/>
  <c r="AH11050" i="8"/>
  <c r="AI9329" i="8"/>
  <c r="AJ9329" i="8" s="1"/>
  <c r="F9329" i="8"/>
  <c r="T9329" i="8" s="1"/>
  <c r="AG8034" i="8"/>
  <c r="F8034" i="8"/>
  <c r="F8269" i="8"/>
  <c r="T8269" i="8" s="1"/>
  <c r="AI9678" i="8"/>
  <c r="AJ9678" i="8" s="1"/>
  <c r="F9678" i="8"/>
  <c r="T9678" i="8" s="1"/>
  <c r="AG10470" i="8"/>
  <c r="AI10470" i="8" s="1"/>
  <c r="AJ10470" i="8" s="1"/>
  <c r="F10470" i="8"/>
  <c r="T10470" i="8" s="1"/>
  <c r="F10091" i="8"/>
  <c r="T10091" i="8" s="1"/>
  <c r="F10726" i="8"/>
  <c r="T10726" i="8" s="1"/>
  <c r="F11240" i="8"/>
  <c r="T11240" i="8" s="1"/>
  <c r="AI11240" i="8"/>
  <c r="AJ11240" i="8" s="1"/>
  <c r="F8333" i="8"/>
  <c r="T8333" i="8" s="1"/>
  <c r="F10245" i="8"/>
  <c r="T10245" i="8" s="1"/>
  <c r="F10888" i="8"/>
  <c r="T10888" i="8" s="1"/>
  <c r="AK8487" i="8"/>
  <c r="AH8487" i="8"/>
  <c r="AI9476" i="8"/>
  <c r="AJ9476" i="8" s="1"/>
  <c r="F9476" i="8"/>
  <c r="T9476" i="8" s="1"/>
  <c r="F10606" i="8"/>
  <c r="T10606" i="8" s="1"/>
  <c r="AG10606" i="8"/>
  <c r="AG8074" i="8"/>
  <c r="AI8074" i="8" s="1"/>
  <c r="AJ8074" i="8" s="1"/>
  <c r="F8074" i="8"/>
  <c r="F9399" i="8"/>
  <c r="T9399" i="8" s="1"/>
  <c r="AI9399" i="8"/>
  <c r="AJ9399" i="8" s="1"/>
  <c r="F10340" i="8"/>
  <c r="T10340" i="8" s="1"/>
  <c r="AG10340" i="8"/>
  <c r="AI10340" i="8" s="1"/>
  <c r="AJ10340" i="8" s="1"/>
  <c r="AI8695" i="8"/>
  <c r="AJ8695" i="8" s="1"/>
  <c r="F10322" i="8"/>
  <c r="T10322" i="8" s="1"/>
  <c r="F11268" i="8"/>
  <c r="T11268" i="8" s="1"/>
  <c r="AI8921" i="8"/>
  <c r="AJ8921" i="8" s="1"/>
  <c r="F9387" i="8"/>
  <c r="T9387" i="8" s="1"/>
  <c r="F9890" i="8"/>
  <c r="T9890" i="8" s="1"/>
  <c r="F11388" i="8"/>
  <c r="T11388" i="8" s="1"/>
  <c r="F9311" i="8"/>
  <c r="T9311" i="8" s="1"/>
  <c r="AI9311" i="8"/>
  <c r="AJ9311" i="8" s="1"/>
  <c r="F9766" i="8"/>
  <c r="T9766" i="8" s="1"/>
  <c r="AI9766" i="8"/>
  <c r="AJ9766" i="8" s="1"/>
  <c r="F10328" i="8"/>
  <c r="T10328" i="8" s="1"/>
  <c r="F11274" i="8"/>
  <c r="T11274" i="8" s="1"/>
  <c r="F10101" i="8"/>
  <c r="T10101" i="8" s="1"/>
  <c r="AG8114" i="8"/>
  <c r="F8114" i="8"/>
  <c r="F8321" i="8"/>
  <c r="T8321" i="8" s="1"/>
  <c r="AI8321" i="8"/>
  <c r="AJ8321" i="8" s="1"/>
  <c r="AI8707" i="8"/>
  <c r="AJ8707" i="8" s="1"/>
  <c r="F8707" i="8"/>
  <c r="T8707" i="8" s="1"/>
  <c r="F9180" i="8"/>
  <c r="T9180" i="8" s="1"/>
  <c r="F9323" i="8"/>
  <c r="T9323" i="8" s="1"/>
  <c r="AI9323" i="8"/>
  <c r="AJ9323" i="8" s="1"/>
  <c r="F9744" i="8"/>
  <c r="T9744" i="8" s="1"/>
  <c r="AG10588" i="8"/>
  <c r="AI10588" i="8" s="1"/>
  <c r="AJ10588" i="8" s="1"/>
  <c r="F10588" i="8"/>
  <c r="T10588" i="8" s="1"/>
  <c r="AG10346" i="8"/>
  <c r="AI10346" i="8" s="1"/>
  <c r="AJ10346" i="8" s="1"/>
  <c r="F10346" i="8"/>
  <c r="T10346" i="8" s="1"/>
  <c r="F11044" i="8"/>
  <c r="T11044" i="8" s="1"/>
  <c r="F9162" i="8"/>
  <c r="T9162" i="8" s="1"/>
  <c r="F10143" i="8"/>
  <c r="T10143" i="8" s="1"/>
  <c r="F11170" i="8"/>
  <c r="T11170" i="8" s="1"/>
  <c r="F8084" i="8"/>
  <c r="AG8084" i="8"/>
  <c r="AI8084" i="8" s="1"/>
  <c r="AJ8084" i="8" s="1"/>
  <c r="AI8731" i="8"/>
  <c r="AJ8731" i="8" s="1"/>
  <c r="F8731" i="8"/>
  <c r="T8731" i="8" s="1"/>
  <c r="F9516" i="8"/>
  <c r="T9516" i="8" s="1"/>
  <c r="F10564" i="8"/>
  <c r="T10564" i="8" s="1"/>
  <c r="F11338" i="8"/>
  <c r="T11338" i="8" s="1"/>
  <c r="F10698" i="8"/>
  <c r="T10698" i="8" s="1"/>
  <c r="AI8903" i="8"/>
  <c r="AJ8903" i="8" s="1"/>
  <c r="AI8973" i="8"/>
  <c r="AJ8973" i="8" s="1"/>
  <c r="F8973" i="8"/>
  <c r="T8973" i="8" s="1"/>
  <c r="AI9567" i="8"/>
  <c r="AJ9567" i="8" s="1"/>
  <c r="F9567" i="8"/>
  <c r="T9567" i="8" s="1"/>
  <c r="F10352" i="8"/>
  <c r="T10352" i="8" s="1"/>
  <c r="F10006" i="8"/>
  <c r="T10006" i="8" s="1"/>
  <c r="AG10816" i="8"/>
  <c r="AI10816" i="8" s="1"/>
  <c r="AJ10816" i="8" s="1"/>
  <c r="F10816" i="8"/>
  <c r="T10816" i="8" s="1"/>
  <c r="F11378" i="8"/>
  <c r="F8124" i="8"/>
  <c r="AG8124" i="8"/>
  <c r="AI8124" i="8" s="1"/>
  <c r="AJ8124" i="8" s="1"/>
  <c r="F9128" i="8"/>
  <c r="T9128" i="8" s="1"/>
  <c r="AI9128" i="8"/>
  <c r="AJ9128" i="8" s="1"/>
  <c r="F10428" i="8"/>
  <c r="T10428" i="8" s="1"/>
  <c r="AH9039" i="8"/>
  <c r="AK9039" i="8"/>
  <c r="AI10574" i="8"/>
  <c r="AJ10574" i="8" s="1"/>
  <c r="F10574" i="8"/>
  <c r="T10574" i="8" s="1"/>
  <c r="AI11096" i="8"/>
  <c r="AJ11096" i="8" s="1"/>
  <c r="F11096" i="8"/>
  <c r="T11096" i="8" s="1"/>
  <c r="F8997" i="8"/>
  <c r="T8997" i="8" s="1"/>
  <c r="F9482" i="8"/>
  <c r="T9482" i="8" s="1"/>
  <c r="AI9482" i="8"/>
  <c r="AJ9482" i="8" s="1"/>
  <c r="F9950" i="8"/>
  <c r="T9950" i="8" s="1"/>
  <c r="F10644" i="8"/>
  <c r="T10644" i="8" s="1"/>
  <c r="AH8713" i="8"/>
  <c r="AK8713" i="8"/>
  <c r="AI9357" i="8"/>
  <c r="AJ9357" i="8" s="1"/>
  <c r="F9357" i="8"/>
  <c r="T9357" i="8" s="1"/>
  <c r="F10213" i="8"/>
  <c r="T10213" i="8" s="1"/>
  <c r="AI10930" i="8"/>
  <c r="AJ10930" i="8" s="1"/>
  <c r="F10930" i="8"/>
  <c r="T10930" i="8" s="1"/>
  <c r="F8297" i="8"/>
  <c r="T8297" i="8" s="1"/>
  <c r="F9299" i="8"/>
  <c r="T9299" i="8" s="1"/>
  <c r="F9870" i="8"/>
  <c r="T9870" i="8" s="1"/>
  <c r="F10866" i="8"/>
  <c r="T10866" i="8" s="1"/>
  <c r="AG10866" i="8"/>
  <c r="AI10866" i="8" s="1"/>
  <c r="AJ10866" i="8" s="1"/>
  <c r="F10159" i="8"/>
  <c r="T10159" i="8" s="1"/>
  <c r="F10758" i="8"/>
  <c r="T10758" i="8" s="1"/>
  <c r="AG10758" i="8"/>
  <c r="F11160" i="8"/>
  <c r="T11160" i="8" s="1"/>
  <c r="F8257" i="8"/>
  <c r="T8257" i="8" s="1"/>
  <c r="F8701" i="8"/>
  <c r="T8701" i="8" s="1"/>
  <c r="AI8701" i="8"/>
  <c r="AJ8701" i="8" s="1"/>
  <c r="F9986" i="8"/>
  <c r="T9986" i="8" s="1"/>
  <c r="F10000" i="8"/>
  <c r="T10000" i="8" s="1"/>
  <c r="F10924" i="8"/>
  <c r="T10924" i="8" s="1"/>
  <c r="F9168" i="8"/>
  <c r="T9168" i="8" s="1"/>
  <c r="AI9168" i="8"/>
  <c r="AJ9168" i="8" s="1"/>
  <c r="F9672" i="8"/>
  <c r="T9672" i="8" s="1"/>
  <c r="AI9672" i="8"/>
  <c r="AJ9672" i="8" s="1"/>
  <c r="AG9788" i="8"/>
  <c r="AI9788" i="8" s="1"/>
  <c r="AJ9788" i="8" s="1"/>
  <c r="F9788" i="8"/>
  <c r="T9788" i="8" s="1"/>
  <c r="F10952" i="8"/>
  <c r="T10952" i="8" s="1"/>
  <c r="AI10952" i="8"/>
  <c r="AJ10952" i="8" s="1"/>
  <c r="F9134" i="8"/>
  <c r="T9134" i="8" s="1"/>
  <c r="F10153" i="8"/>
  <c r="T10153" i="8" s="1"/>
  <c r="F10738" i="8"/>
  <c r="T10738" i="8" s="1"/>
  <c r="AI11280" i="8"/>
  <c r="AJ11280" i="8" s="1"/>
  <c r="F11280" i="8"/>
  <c r="F8667" i="8"/>
  <c r="T8667" i="8" s="1"/>
  <c r="AI9057" i="8"/>
  <c r="AJ9057" i="8" s="1"/>
  <c r="F9057" i="8"/>
  <c r="T9057" i="8" s="1"/>
  <c r="AG10500" i="8"/>
  <c r="AI10500" i="8" s="1"/>
  <c r="AJ10500" i="8" s="1"/>
  <c r="F10500" i="8"/>
  <c r="T10500" i="8" s="1"/>
  <c r="AI8939" i="8"/>
  <c r="AJ8939" i="8" s="1"/>
  <c r="F10026" i="8"/>
  <c r="T10026" i="8" s="1"/>
  <c r="F10790" i="8"/>
  <c r="T10790" i="8" s="1"/>
  <c r="F11062" i="8"/>
  <c r="T11062" i="8" s="1"/>
  <c r="F11366" i="8"/>
  <c r="T11366" i="8" s="1"/>
  <c r="AK8287" i="8"/>
  <c r="AH8287" i="8"/>
  <c r="F8509" i="8"/>
  <c r="T8509" i="8" s="1"/>
  <c r="AI8509" i="8"/>
  <c r="AJ8509" i="8" s="1"/>
  <c r="F8979" i="8"/>
  <c r="T8979" i="8" s="1"/>
  <c r="F8024" i="8"/>
  <c r="AG8024" i="8"/>
  <c r="AI8024" i="8" s="1"/>
  <c r="AJ8024" i="8" s="1"/>
  <c r="F10191" i="8"/>
  <c r="T10191" i="8" s="1"/>
  <c r="F10774" i="8"/>
  <c r="T10774" i="8" s="1"/>
  <c r="AI10774" i="8"/>
  <c r="AJ10774" i="8" s="1"/>
  <c r="F11350" i="8"/>
  <c r="T11350" i="8" s="1"/>
  <c r="F8439" i="8"/>
  <c r="T8439" i="8" s="1"/>
  <c r="AI9902" i="8"/>
  <c r="AJ9902" i="8" s="1"/>
  <c r="F9902" i="8"/>
  <c r="T9902" i="8" s="1"/>
  <c r="F10261" i="8"/>
  <c r="T10261" i="8" s="1"/>
  <c r="F10936" i="8"/>
  <c r="T10936" i="8" s="1"/>
  <c r="AK8515" i="8"/>
  <c r="AH8515" i="8"/>
  <c r="AI10732" i="8"/>
  <c r="AJ10732" i="8" s="1"/>
  <c r="F10732" i="8"/>
  <c r="T10732" i="8" s="1"/>
  <c r="F11072" i="8"/>
  <c r="T11072" i="8" s="1"/>
  <c r="F8309" i="8"/>
  <c r="T8309" i="8" s="1"/>
  <c r="AI8309" i="8"/>
  <c r="AJ8309" i="8" s="1"/>
  <c r="F9335" i="8"/>
  <c r="T9335" i="8" s="1"/>
  <c r="F9824" i="8"/>
  <c r="T9824" i="8" s="1"/>
  <c r="F10207" i="8"/>
  <c r="T10207" i="8" s="1"/>
  <c r="F10980" i="8"/>
  <c r="T10980" i="8" s="1"/>
  <c r="AG10980" i="8"/>
  <c r="AI10980" i="8" s="1"/>
  <c r="AJ10980" i="8" s="1"/>
  <c r="F11332" i="8"/>
  <c r="T11332" i="8" s="1"/>
  <c r="AI11050" i="8"/>
  <c r="AJ11050" i="8" s="1"/>
  <c r="F9932" i="8"/>
  <c r="T9932" i="8" s="1"/>
  <c r="AI9932" i="8"/>
  <c r="AJ9932" i="8" s="1"/>
  <c r="F10682" i="8"/>
  <c r="T10682" i="8" s="1"/>
  <c r="AG10682" i="8"/>
  <c r="AI10682" i="8" s="1"/>
  <c r="AJ10682" i="8" s="1"/>
  <c r="F8339" i="8"/>
  <c r="T8339" i="8" s="1"/>
  <c r="F8493" i="8"/>
  <c r="T8493" i="8" s="1"/>
  <c r="AI8493" i="8"/>
  <c r="AJ8493" i="8" s="1"/>
  <c r="F9009" i="8"/>
  <c r="T9009" i="8" s="1"/>
  <c r="F9498" i="8"/>
  <c r="T9498" i="8" s="1"/>
  <c r="F10308" i="8"/>
  <c r="T10308" i="8" s="1"/>
  <c r="F10964" i="8"/>
  <c r="T10964" i="8" s="1"/>
  <c r="AH9660" i="8"/>
  <c r="AK9660" i="8"/>
  <c r="F8064" i="8"/>
  <c r="AG8064" i="8"/>
  <c r="AI8064" i="8" s="1"/>
  <c r="AJ8064" i="8" s="1"/>
  <c r="F8557" i="8"/>
  <c r="T8557" i="8" s="1"/>
  <c r="AI8557" i="8"/>
  <c r="AJ8557" i="8" s="1"/>
  <c r="F8679" i="8"/>
  <c r="T8679" i="8" s="1"/>
  <c r="F8743" i="8"/>
  <c r="T8743" i="8" s="1"/>
  <c r="AI8897" i="8"/>
  <c r="AJ8897" i="8" s="1"/>
  <c r="F9363" i="8"/>
  <c r="T9363" i="8" s="1"/>
  <c r="AI9595" i="8"/>
  <c r="AJ9595" i="8" s="1"/>
  <c r="F9595" i="8"/>
  <c r="T9595" i="8" s="1"/>
  <c r="F10422" i="8"/>
  <c r="T10422" i="8" s="1"/>
  <c r="F10042" i="8"/>
  <c r="T10042" i="8" s="1"/>
  <c r="F10710" i="8"/>
  <c r="T10710" i="8" s="1"/>
  <c r="AI11252" i="8"/>
  <c r="AJ11252" i="8" s="1"/>
  <c r="F11252" i="8"/>
  <c r="T11252" i="8" s="1"/>
  <c r="F8643" i="8"/>
  <c r="T8643" i="8" s="1"/>
  <c r="F9156" i="8"/>
  <c r="T9156" i="8" s="1"/>
  <c r="AI9706" i="8"/>
  <c r="AJ9706" i="8" s="1"/>
  <c r="F9706" i="8"/>
  <c r="T9706" i="8" s="1"/>
  <c r="F10506" i="8"/>
  <c r="T10506" i="8" s="1"/>
  <c r="F10634" i="8"/>
  <c r="T10634" i="8" s="1"/>
  <c r="AI10634" i="8"/>
  <c r="AJ10634" i="8" s="1"/>
  <c r="F8104" i="8"/>
  <c r="AG8104" i="8"/>
  <c r="AI8104" i="8" s="1"/>
  <c r="AJ8104" i="8" s="1"/>
  <c r="F9051" i="8"/>
  <c r="T9051" i="8" s="1"/>
  <c r="F9140" i="8"/>
  <c r="T9140" i="8" s="1"/>
  <c r="AI9140" i="8"/>
  <c r="AJ9140" i="8" s="1"/>
  <c r="AI9760" i="8"/>
  <c r="AJ9760" i="8" s="1"/>
  <c r="F9760" i="8"/>
  <c r="T9760" i="8" s="1"/>
  <c r="AI10768" i="8"/>
  <c r="AJ10768" i="8" s="1"/>
  <c r="F10768" i="8"/>
  <c r="T10768" i="8" s="1"/>
  <c r="AI9045" i="8"/>
  <c r="AJ9045" i="8" s="1"/>
  <c r="F9045" i="8"/>
  <c r="T9045" i="8" s="1"/>
  <c r="AI9666" i="8"/>
  <c r="AJ9666" i="8" s="1"/>
  <c r="F9666" i="8"/>
  <c r="T9666" i="8" s="1"/>
  <c r="F10810" i="8"/>
  <c r="T10810" i="8" s="1"/>
  <c r="AG10810" i="8"/>
  <c r="AI10810" i="8" s="1"/>
  <c r="AJ10810" i="8" s="1"/>
  <c r="F9504" i="8"/>
  <c r="T9504" i="8" s="1"/>
  <c r="AG10358" i="8"/>
  <c r="AI10358" i="8" s="1"/>
  <c r="AJ10358" i="8" s="1"/>
  <c r="F10358" i="8"/>
  <c r="T10358" i="8" s="1"/>
  <c r="F10622" i="8"/>
  <c r="T10622" i="8" s="1"/>
  <c r="AI10622" i="8"/>
  <c r="AJ10622" i="8" s="1"/>
  <c r="AI11176" i="8"/>
  <c r="AJ11176" i="8" s="1"/>
  <c r="F11176" i="8"/>
  <c r="T11176" i="8" s="1"/>
  <c r="F8044" i="8"/>
  <c r="AG8044" i="8"/>
  <c r="F8545" i="8"/>
  <c r="T8545" i="8" s="1"/>
  <c r="AI8545" i="8"/>
  <c r="AJ8545" i="8" s="1"/>
  <c r="AI8957" i="8"/>
  <c r="AJ8957" i="8" s="1"/>
  <c r="F8957" i="8"/>
  <c r="T8957" i="8" s="1"/>
  <c r="F9974" i="8"/>
  <c r="T9974" i="8" s="1"/>
  <c r="F10390" i="8"/>
  <c r="T10390" i="8" s="1"/>
  <c r="AG10390" i="8"/>
  <c r="F9920" i="8"/>
  <c r="T9920" i="8" s="1"/>
  <c r="F10662" i="8"/>
  <c r="T10662" i="8" s="1"/>
  <c r="AI11188" i="8"/>
  <c r="AJ11188" i="8" s="1"/>
  <c r="F11188" i="8"/>
  <c r="F8855" i="8"/>
  <c r="T8855" i="8" s="1"/>
  <c r="AG8855" i="8"/>
  <c r="AI8855" i="8" s="1"/>
  <c r="AJ8855" i="8" s="1"/>
  <c r="T7990" i="8"/>
  <c r="T7980" i="8"/>
  <c r="T7936" i="8"/>
  <c r="AG7926" i="8"/>
  <c r="AI7926" i="8" s="1"/>
  <c r="AK5053" i="8"/>
  <c r="AG7990" i="8"/>
  <c r="AI7990" i="8" s="1"/>
  <c r="AG7980" i="8"/>
  <c r="AI7980" i="8" s="1"/>
  <c r="AG7960" i="8"/>
  <c r="AI7960" i="8" s="1"/>
  <c r="AG7970" i="8"/>
  <c r="AI7970" i="8" s="1"/>
  <c r="T7960" i="8"/>
  <c r="AG7936" i="8"/>
  <c r="AI7936" i="8" s="1"/>
  <c r="T7970" i="8"/>
  <c r="AG5035" i="8"/>
  <c r="AI5035" i="8" s="1"/>
  <c r="AJ5035" i="8" s="1"/>
  <c r="AG58" i="8"/>
  <c r="AI58" i="8" s="1"/>
  <c r="AJ58" i="8" s="1"/>
  <c r="AH6911" i="8"/>
  <c r="F7479" i="8"/>
  <c r="T7479" i="8" s="1"/>
  <c r="AG6383" i="8"/>
  <c r="AI6383" i="8" s="1"/>
  <c r="AJ6383" i="8" s="1"/>
  <c r="AG7916" i="8"/>
  <c r="AI7916" i="8" s="1"/>
  <c r="AG5029" i="8"/>
  <c r="AI5029" i="8" s="1"/>
  <c r="AJ5029" i="8" s="1"/>
  <c r="T7916" i="8"/>
  <c r="AK248" i="8"/>
  <c r="AK4698" i="8"/>
  <c r="F7158" i="8"/>
  <c r="T7158" i="8" s="1"/>
  <c r="AH4698" i="8"/>
  <c r="F5047" i="8"/>
  <c r="T5047" i="8" s="1"/>
  <c r="AH4852" i="8"/>
  <c r="AK6911" i="8"/>
  <c r="AI7608" i="8"/>
  <c r="AJ7608" i="8" s="1"/>
  <c r="F7411" i="8"/>
  <c r="T7411" i="8" s="1"/>
  <c r="AH7568" i="8"/>
  <c r="AI278" i="8"/>
  <c r="AJ278" i="8" s="1"/>
  <c r="F6774" i="8"/>
  <c r="T6774" i="8" s="1"/>
  <c r="AH248" i="8"/>
  <c r="AH543" i="8"/>
  <c r="AK7568" i="8"/>
  <c r="AK543" i="8"/>
  <c r="F3703" i="8"/>
  <c r="AG7897" i="8"/>
  <c r="AI7897" i="8" s="1"/>
  <c r="T7897" i="8"/>
  <c r="AG3859" i="8"/>
  <c r="AI3859" i="8" s="1"/>
  <c r="AJ3859" i="8" s="1"/>
  <c r="AH4675" i="8"/>
  <c r="AK6397" i="8"/>
  <c r="AH6397" i="8"/>
  <c r="T169" i="1"/>
  <c r="F6829" i="8"/>
  <c r="T6829" i="8" s="1"/>
  <c r="F4683" i="8"/>
  <c r="T4683" i="8" s="1"/>
  <c r="F7108" i="8"/>
  <c r="T7108" i="8" s="1"/>
  <c r="AK7016" i="8"/>
  <c r="F7823" i="8"/>
  <c r="T7823" i="8" s="1"/>
  <c r="F7259" i="8"/>
  <c r="T7259" i="8" s="1"/>
  <c r="AH7016" i="8"/>
  <c r="AK4852" i="8"/>
  <c r="AH535" i="8"/>
  <c r="AK4675" i="8"/>
  <c r="AK535" i="8"/>
  <c r="AH6792" i="8"/>
  <c r="E165" i="8"/>
  <c r="E318" i="28" s="1"/>
  <c r="F168" i="8"/>
  <c r="AN138" i="8"/>
  <c r="AN165" i="8"/>
  <c r="F201" i="8"/>
  <c r="T201" i="8" s="1"/>
  <c r="AI201" i="8"/>
  <c r="AJ201" i="8" s="1"/>
  <c r="F4355" i="8"/>
  <c r="T4355" i="8" s="1"/>
  <c r="AG4355" i="8"/>
  <c r="AI4355" i="8" s="1"/>
  <c r="AJ4355" i="8" s="1"/>
  <c r="F4515" i="8"/>
  <c r="T4515" i="8" s="1"/>
  <c r="AG4515" i="8"/>
  <c r="F7423" i="8"/>
  <c r="T7423" i="8" s="1"/>
  <c r="AI7423" i="8"/>
  <c r="AJ7423" i="8" s="1"/>
  <c r="F7344" i="8"/>
  <c r="T7344" i="8" s="1"/>
  <c r="F7247" i="8"/>
  <c r="T7247" i="8" s="1"/>
  <c r="F7807" i="8"/>
  <c r="T7807" i="8" s="1"/>
  <c r="F6893" i="8"/>
  <c r="T6893" i="8" s="1"/>
  <c r="AI6893" i="8"/>
  <c r="AJ6893" i="8" s="1"/>
  <c r="F7712" i="8"/>
  <c r="T7712" i="8" s="1"/>
  <c r="F6917" i="8"/>
  <c r="T6917" i="8" s="1"/>
  <c r="AI6917" i="8"/>
  <c r="AJ6917" i="8" s="1"/>
  <c r="F6841" i="8"/>
  <c r="T6841" i="8" s="1"/>
  <c r="F6899" i="8"/>
  <c r="T6899" i="8" s="1"/>
  <c r="AI6899" i="8"/>
  <c r="AJ6899" i="8" s="1"/>
  <c r="F7312" i="8"/>
  <c r="T7312" i="8" s="1"/>
  <c r="F7491" i="8"/>
  <c r="T7491" i="8" s="1"/>
  <c r="F7028" i="8"/>
  <c r="T7028" i="8" s="1"/>
  <c r="AI7028" i="8"/>
  <c r="AJ7028" i="8" s="1"/>
  <c r="F428" i="8"/>
  <c r="T428" i="8" s="1"/>
  <c r="AG4506" i="8"/>
  <c r="AI4506" i="8" s="1"/>
  <c r="AJ4506" i="8" s="1"/>
  <c r="F4506" i="8"/>
  <c r="T4506" i="8" s="1"/>
  <c r="F7580" i="8"/>
  <c r="T7580" i="8" s="1"/>
  <c r="F233" i="8"/>
  <c r="T233" i="8" s="1"/>
  <c r="F6699" i="8"/>
  <c r="T6699" i="8" s="1"/>
  <c r="F5075" i="8"/>
  <c r="T5075" i="8" s="1"/>
  <c r="AG5075" i="8"/>
  <c r="AI5075" i="8" s="1"/>
  <c r="AJ5075" i="8" s="1"/>
  <c r="F7718" i="8"/>
  <c r="T7718" i="8" s="1"/>
  <c r="F338" i="8"/>
  <c r="T338" i="8" s="1"/>
  <c r="F318" i="8"/>
  <c r="T318" i="8" s="1"/>
  <c r="AI318" i="8"/>
  <c r="AJ318" i="8" s="1"/>
  <c r="F7281" i="8"/>
  <c r="T7281" i="8" s="1"/>
  <c r="F3796" i="8"/>
  <c r="AG3796" i="8"/>
  <c r="AI3796" i="8" s="1"/>
  <c r="AJ3796" i="8" s="1"/>
  <c r="F6835" i="8"/>
  <c r="T6835" i="8" s="1"/>
  <c r="AI6835" i="8"/>
  <c r="AJ6835" i="8" s="1"/>
  <c r="F6764" i="8"/>
  <c r="T6764" i="8" s="1"/>
  <c r="AG5093" i="8"/>
  <c r="F5093" i="8"/>
  <c r="T5093" i="8" s="1"/>
  <c r="F308" i="8"/>
  <c r="T308" i="8" s="1"/>
  <c r="F6859" i="8"/>
  <c r="T6859" i="8" s="1"/>
  <c r="F7439" i="8"/>
  <c r="T7439" i="8" s="1"/>
  <c r="F4941" i="8"/>
  <c r="AG4941" i="8"/>
  <c r="AI4941" i="8" s="1"/>
  <c r="AJ4941" i="8" s="1"/>
  <c r="F7096" i="8"/>
  <c r="T7096" i="8" s="1"/>
  <c r="F5069" i="8"/>
  <c r="T5069" i="8" s="1"/>
  <c r="AG5069" i="8"/>
  <c r="AI5069" i="8" s="1"/>
  <c r="AJ5069" i="8" s="1"/>
  <c r="F7562" i="8"/>
  <c r="T7562" i="8" s="1"/>
  <c r="AI7562" i="8"/>
  <c r="AJ7562" i="8" s="1"/>
  <c r="F4323" i="8"/>
  <c r="AG4323" i="8"/>
  <c r="AI4323" i="8" s="1"/>
  <c r="AJ4323" i="8" s="1"/>
  <c r="F408" i="8"/>
  <c r="T408" i="8" s="1"/>
  <c r="AI408" i="8"/>
  <c r="AJ408" i="8" s="1"/>
  <c r="F5137" i="8"/>
  <c r="T5137" i="8" s="1"/>
  <c r="AG5137" i="8"/>
  <c r="AI5137" i="8" s="1"/>
  <c r="AJ5137" i="8" s="1"/>
  <c r="AG5041" i="8"/>
  <c r="AI5041" i="8" s="1"/>
  <c r="AJ5041" i="8" s="1"/>
  <c r="F5041" i="8"/>
  <c r="T5041" i="8" s="1"/>
  <c r="F3167" i="8"/>
  <c r="T3167" i="8" s="1"/>
  <c r="AG3167" i="8"/>
  <c r="AI3167" i="8" s="1"/>
  <c r="AJ3167" i="8" s="1"/>
  <c r="F7642" i="8"/>
  <c r="T7642" i="8" s="1"/>
  <c r="AI7642" i="8"/>
  <c r="AJ7642" i="8" s="1"/>
  <c r="F7152" i="8"/>
  <c r="T7152" i="8" s="1"/>
  <c r="AI7152" i="8"/>
  <c r="AJ7152" i="8" s="1"/>
  <c r="F6754" i="8"/>
  <c r="T6754" i="8" s="1"/>
  <c r="AI6754" i="8"/>
  <c r="AJ6754" i="8" s="1"/>
  <c r="F7287" i="8"/>
  <c r="T7287" i="8" s="1"/>
  <c r="AI7287" i="8"/>
  <c r="AJ7287" i="8" s="1"/>
  <c r="F1068" i="8"/>
  <c r="T1068" i="8" s="1"/>
  <c r="AG1068" i="8"/>
  <c r="AI1068" i="8" s="1"/>
  <c r="AJ1068" i="8" s="1"/>
  <c r="AH195" i="8"/>
  <c r="AK195" i="8"/>
  <c r="F7522" i="8"/>
  <c r="T7522" i="8" s="1"/>
  <c r="AI7522" i="8"/>
  <c r="AJ7522" i="8" s="1"/>
  <c r="F7847" i="8"/>
  <c r="T7847" i="8" s="1"/>
  <c r="AG7847" i="8"/>
  <c r="F5099" i="8"/>
  <c r="T5099" i="8" s="1"/>
  <c r="AG5099" i="8"/>
  <c r="F7660" i="8"/>
  <c r="T7660" i="8" s="1"/>
  <c r="AI7660" i="8"/>
  <c r="AJ7660" i="8" s="1"/>
  <c r="F39" i="8"/>
  <c r="AG39" i="8"/>
  <c r="AI39" i="8" s="1"/>
  <c r="AJ39" i="8" s="1"/>
  <c r="F5111" i="8"/>
  <c r="T5111" i="8" s="1"/>
  <c r="AG5111" i="8"/>
  <c r="F5121" i="8"/>
  <c r="T5121" i="8" s="1"/>
  <c r="AG5121" i="8"/>
  <c r="F7556" i="8"/>
  <c r="T7556" i="8" s="1"/>
  <c r="F94" i="8"/>
  <c r="AG94" i="8"/>
  <c r="AI94" i="8" s="1"/>
  <c r="AJ94" i="8" s="1"/>
  <c r="F4892" i="8"/>
  <c r="T4892" i="8" s="1"/>
  <c r="AG4892" i="8"/>
  <c r="AI4892" i="8" s="1"/>
  <c r="AJ4892" i="8" s="1"/>
  <c r="F7174" i="8"/>
  <c r="T7174" i="8" s="1"/>
  <c r="F6954" i="8"/>
  <c r="T6954" i="8" s="1"/>
  <c r="F7678" i="8"/>
  <c r="T7678" i="8" s="1"/>
  <c r="F6948" i="8"/>
  <c r="T6948" i="8" s="1"/>
  <c r="F7102" i="8"/>
  <c r="T7102" i="8" s="1"/>
  <c r="F7399" i="8"/>
  <c r="T7399" i="8" s="1"/>
  <c r="F7457" i="8"/>
  <c r="T7457" i="8" s="1"/>
  <c r="F298" i="8"/>
  <c r="T298" i="8" s="1"/>
  <c r="AI298" i="8"/>
  <c r="AJ298" i="8" s="1"/>
  <c r="F7534" i="8"/>
  <c r="T7534" i="8" s="1"/>
  <c r="F7765" i="8"/>
  <c r="T7765" i="8" s="1"/>
  <c r="F6976" i="8"/>
  <c r="T6976" i="8" s="1"/>
  <c r="F5131" i="8"/>
  <c r="T5131" i="8" s="1"/>
  <c r="AG5131" i="8"/>
  <c r="AI5131" i="8" s="1"/>
  <c r="AJ5131" i="8" s="1"/>
  <c r="F4909" i="8"/>
  <c r="T4909" i="8" s="1"/>
  <c r="AG4909" i="8"/>
  <c r="AI4909" i="8" s="1"/>
  <c r="AJ4909" i="8" s="1"/>
  <c r="F7328" i="8"/>
  <c r="T7328" i="8" s="1"/>
  <c r="F4877" i="8"/>
  <c r="T4877" i="8" s="1"/>
  <c r="AG4877" i="8"/>
  <c r="AI4877" i="8" s="1"/>
  <c r="AJ4877" i="8" s="1"/>
  <c r="F7672" i="8"/>
  <c r="T7672" i="8" s="1"/>
  <c r="AI7672" i="8"/>
  <c r="AJ7672" i="8" s="1"/>
  <c r="F5081" i="8"/>
  <c r="T5081" i="8" s="1"/>
  <c r="AG5081" i="8"/>
  <c r="AI5081" i="8" s="1"/>
  <c r="AJ5081" i="8" s="1"/>
  <c r="F7590" i="8"/>
  <c r="T7590" i="8" s="1"/>
  <c r="F6877" i="8"/>
  <c r="T6877" i="8" s="1"/>
  <c r="F348" i="8"/>
  <c r="T348" i="8" s="1"/>
  <c r="AI348" i="8"/>
  <c r="AJ348" i="8" s="1"/>
  <c r="F3406" i="8"/>
  <c r="AG3406" i="8"/>
  <c r="AI3406" i="8" s="1"/>
  <c r="AJ3406" i="8" s="1"/>
  <c r="F49" i="8"/>
  <c r="T49" i="8" s="1"/>
  <c r="AG49" i="8"/>
  <c r="F5105" i="8"/>
  <c r="T5105" i="8" s="1"/>
  <c r="AG5105" i="8"/>
  <c r="F7164" i="8"/>
  <c r="T7164" i="8" s="1"/>
  <c r="AI7164" i="8"/>
  <c r="AJ7164" i="8" s="1"/>
  <c r="F5147" i="8"/>
  <c r="T5147" i="8" s="1"/>
  <c r="AG5147" i="8"/>
  <c r="F7636" i="8"/>
  <c r="T7636" i="8" s="1"/>
  <c r="F378" i="8"/>
  <c r="T378" i="8" s="1"/>
  <c r="AI378" i="8"/>
  <c r="AJ378" i="8" s="1"/>
  <c r="F7186" i="8"/>
  <c r="T7186" i="8" s="1"/>
  <c r="F7666" i="8"/>
  <c r="T7666" i="8" s="1"/>
  <c r="AI7666" i="8"/>
  <c r="AJ7666" i="8" s="1"/>
  <c r="F7405" i="8"/>
  <c r="T7405" i="8" s="1"/>
  <c r="F88" i="8"/>
  <c r="T88" i="8" s="1"/>
  <c r="T119" i="8" s="1"/>
  <c r="AG88" i="8"/>
  <c r="AI88" i="8" s="1"/>
  <c r="AJ88" i="8" s="1"/>
  <c r="F3222" i="8"/>
  <c r="T3222" i="8" s="1"/>
  <c r="AG3222" i="8"/>
  <c r="AI3222" i="8" s="1"/>
  <c r="AJ3222" i="8" s="1"/>
  <c r="F3206" i="8"/>
  <c r="T3206" i="8" s="1"/>
  <c r="AG3206" i="8"/>
  <c r="F7192" i="8"/>
  <c r="T7192" i="8" s="1"/>
  <c r="F5883" i="8"/>
  <c r="T5883" i="8" s="1"/>
  <c r="AG5883" i="8"/>
  <c r="F106" i="8"/>
  <c r="AG106" i="8"/>
  <c r="AI106" i="8" s="1"/>
  <c r="AJ106" i="8" s="1"/>
  <c r="F7198" i="8"/>
  <c r="AI7198" i="8"/>
  <c r="AJ7198" i="8" s="1"/>
  <c r="F6742" i="8"/>
  <c r="T6742" i="8" s="1"/>
  <c r="F4985" i="8"/>
  <c r="T4985" i="8" s="1"/>
  <c r="AG4985" i="8"/>
  <c r="AI4985" i="8" s="1"/>
  <c r="AJ4985" i="8" s="1"/>
  <c r="F7596" i="8"/>
  <c r="T7596" i="8" s="1"/>
  <c r="AI7596" i="8"/>
  <c r="AJ7596" i="8" s="1"/>
  <c r="AG5087" i="8"/>
  <c r="AI5087" i="8" s="1"/>
  <c r="AJ5087" i="8" s="1"/>
  <c r="F5087" i="8"/>
  <c r="T5087" i="8" s="1"/>
  <c r="F6988" i="8"/>
  <c r="T6988" i="8" s="1"/>
  <c r="AI6988" i="8"/>
  <c r="AJ6988" i="8" s="1"/>
  <c r="F6798" i="8"/>
  <c r="T6798" i="8" s="1"/>
  <c r="AI6798" i="8"/>
  <c r="AJ6798" i="8" s="1"/>
  <c r="F7433" i="8"/>
  <c r="T7433" i="8" s="1"/>
  <c r="F7356" i="8"/>
  <c r="T7356" i="8" s="1"/>
  <c r="AI7356" i="8"/>
  <c r="AJ7356" i="8" s="1"/>
  <c r="F7334" i="8"/>
  <c r="T7334" i="8" s="1"/>
  <c r="AI7334" i="8"/>
  <c r="AJ7334" i="8" s="1"/>
  <c r="F7528" i="8"/>
  <c r="T7528" i="8" s="1"/>
  <c r="F7090" i="8"/>
  <c r="T7090" i="8" s="1"/>
  <c r="F6607" i="8"/>
  <c r="AG6607" i="8"/>
  <c r="AI6607" i="8" s="1"/>
  <c r="AJ6607" i="8" s="1"/>
  <c r="F7473" i="8"/>
  <c r="T7473" i="8" s="1"/>
  <c r="F328" i="8"/>
  <c r="T328" i="8" s="1"/>
  <c r="AI328" i="8"/>
  <c r="AJ328" i="8" s="1"/>
  <c r="F5017" i="8"/>
  <c r="AG5017" i="8"/>
  <c r="AI5017" i="8" s="1"/>
  <c r="AJ5017" i="8" s="1"/>
  <c r="F4900" i="8"/>
  <c r="T4900" i="8" s="1"/>
  <c r="AG4900" i="8"/>
  <c r="AI4900" i="8" s="1"/>
  <c r="AJ4900" i="8" s="1"/>
  <c r="F7275" i="8"/>
  <c r="T7275" i="8" s="1"/>
  <c r="F7700" i="8"/>
  <c r="AI7700" i="8"/>
  <c r="AJ7700" i="8" s="1"/>
  <c r="F7873" i="8"/>
  <c r="T7873" i="8" s="1"/>
  <c r="AG7873" i="8"/>
  <c r="F6982" i="8"/>
  <c r="T6982" i="8" s="1"/>
  <c r="AI6982" i="8"/>
  <c r="AJ6982" i="8" s="1"/>
  <c r="F7114" i="8"/>
  <c r="T7114" i="8" s="1"/>
  <c r="F3129" i="8"/>
  <c r="AG3129" i="8"/>
  <c r="AI3129" i="8" s="1"/>
  <c r="AJ3129" i="8" s="1"/>
  <c r="F6853" i="8"/>
  <c r="T6853" i="8" s="1"/>
  <c r="F6376" i="8"/>
  <c r="T6376" i="8" s="1"/>
  <c r="AG6376" i="8"/>
  <c r="AI6376" i="8" s="1"/>
  <c r="AJ6376" i="8" s="1"/>
  <c r="F398" i="8"/>
  <c r="T398" i="8" s="1"/>
  <c r="AI398" i="8"/>
  <c r="AJ398" i="8" s="1"/>
  <c r="F6780" i="8"/>
  <c r="T6780" i="8" s="1"/>
  <c r="F7706" i="8"/>
  <c r="AI7706" i="8"/>
  <c r="AJ7706" i="8" s="1"/>
  <c r="F3820" i="8"/>
  <c r="T3820" i="8" s="1"/>
  <c r="AG3820" i="8"/>
  <c r="AI3820" i="8" s="1"/>
  <c r="AJ3820" i="8" s="1"/>
  <c r="F268" i="8"/>
  <c r="T268" i="8" s="1"/>
  <c r="AI268" i="8"/>
  <c r="AJ268" i="8" s="1"/>
  <c r="F7817" i="8"/>
  <c r="T7817" i="8" s="1"/>
  <c r="F7648" i="8"/>
  <c r="T7648" i="8" s="1"/>
  <c r="F358" i="8"/>
  <c r="T358" i="8" s="1"/>
  <c r="AI358" i="8"/>
  <c r="AJ358" i="8" s="1"/>
  <c r="F6390" i="8"/>
  <c r="T6390" i="8" s="1"/>
  <c r="AG6390" i="8"/>
  <c r="AI6390" i="8" s="1"/>
  <c r="AJ6390" i="8" s="1"/>
  <c r="F7322" i="8"/>
  <c r="T7322" i="8" s="1"/>
  <c r="F4869" i="8"/>
  <c r="T4869" i="8" s="1"/>
  <c r="AG4869" i="8"/>
  <c r="AI4869" i="8" s="1"/>
  <c r="AJ4869" i="8" s="1"/>
  <c r="F6683" i="8"/>
  <c r="T6683" i="8" s="1"/>
  <c r="AI6683" i="8"/>
  <c r="AJ6683" i="8" s="1"/>
  <c r="F3592" i="8"/>
  <c r="T3592" i="8" s="1"/>
  <c r="AG3592" i="8"/>
  <c r="AI3592" i="8" s="1"/>
  <c r="AJ3592" i="8" s="1"/>
  <c r="F4947" i="8"/>
  <c r="T4947" i="8" s="1"/>
  <c r="AG4947" i="8"/>
  <c r="AI4947" i="8" s="1"/>
  <c r="AJ4947" i="8" s="1"/>
  <c r="F7516" i="8"/>
  <c r="T7516" i="8" s="1"/>
  <c r="F6689" i="8"/>
  <c r="T6689" i="8" s="1"/>
  <c r="AI6689" i="8"/>
  <c r="AJ6689" i="8" s="1"/>
  <c r="F7451" i="8"/>
  <c r="T7451" i="8" s="1"/>
  <c r="AI7451" i="8"/>
  <c r="AJ7451" i="8" s="1"/>
  <c r="F6966" i="8"/>
  <c r="T6966" i="8" s="1"/>
  <c r="F217" i="8"/>
  <c r="T217" i="8" s="1"/>
  <c r="AI217" i="8"/>
  <c r="AJ217" i="8" s="1"/>
  <c r="F7010" i="8"/>
  <c r="T7010" i="8" s="1"/>
  <c r="AI7010" i="8"/>
  <c r="AJ7010" i="8" s="1"/>
  <c r="F1060" i="8"/>
  <c r="T1060" i="8" s="1"/>
  <c r="AG1060" i="8"/>
  <c r="AI1060" i="8" s="1"/>
  <c r="AJ1060" i="8" s="1"/>
  <c r="F3727" i="8"/>
  <c r="T3727" i="8" s="1"/>
  <c r="AG3727" i="8"/>
  <c r="AI3727" i="8" s="1"/>
  <c r="AJ3727" i="8" s="1"/>
  <c r="F526" i="8"/>
  <c r="T526" i="8" s="1"/>
  <c r="AI526" i="8"/>
  <c r="AJ526" i="8" s="1"/>
  <c r="F4152" i="8"/>
  <c r="T4152" i="8" s="1"/>
  <c r="AG4152" i="8"/>
  <c r="AI4152" i="8" s="1"/>
  <c r="AJ4152" i="8" s="1"/>
  <c r="F4072" i="8"/>
  <c r="T4072" i="8" s="1"/>
  <c r="AG4072" i="8"/>
  <c r="AI4072" i="8" s="1"/>
  <c r="AJ4072" i="8" s="1"/>
  <c r="F3571" i="8"/>
  <c r="AG3571" i="8"/>
  <c r="AI3571" i="8" s="1"/>
  <c r="AJ3571" i="8" s="1"/>
  <c r="F6705" i="8"/>
  <c r="T6705" i="8" s="1"/>
  <c r="F7253" i="8"/>
  <c r="T7253" i="8" s="1"/>
  <c r="F7801" i="8"/>
  <c r="T7801" i="8" s="1"/>
  <c r="AI7801" i="8"/>
  <c r="AJ7801" i="8" s="1"/>
  <c r="F23" i="8"/>
  <c r="T23" i="8" s="1"/>
  <c r="AG23" i="8"/>
  <c r="F100" i="8"/>
  <c r="AG100" i="8"/>
  <c r="F5059" i="8"/>
  <c r="T5059" i="8" s="1"/>
  <c r="AG5059" i="8"/>
  <c r="AI5059" i="8" s="1"/>
  <c r="AJ5059" i="8" s="1"/>
  <c r="F7614" i="8"/>
  <c r="T7614" i="8" s="1"/>
  <c r="F6671" i="8"/>
  <c r="T6671" i="8" s="1"/>
  <c r="F7654" i="8"/>
  <c r="T7654" i="8" s="1"/>
  <c r="AI7654" i="8"/>
  <c r="AJ7654" i="8" s="1"/>
  <c r="F7742" i="8"/>
  <c r="T7742" i="8" s="1"/>
  <c r="AG4474" i="8"/>
  <c r="F4474" i="8"/>
  <c r="F6865" i="8"/>
  <c r="T6865" i="8" s="1"/>
  <c r="AI6865" i="8"/>
  <c r="AJ6865" i="8" s="1"/>
  <c r="F29" i="8"/>
  <c r="F7540" i="8"/>
  <c r="T7540" i="8" s="1"/>
  <c r="F258" i="8"/>
  <c r="T258" i="8" s="1"/>
  <c r="AI258" i="8"/>
  <c r="AJ258" i="8" s="1"/>
  <c r="AG112" i="8"/>
  <c r="F112" i="8"/>
  <c r="F7777" i="8"/>
  <c r="T7777" i="8" s="1"/>
  <c r="F448" i="8"/>
  <c r="T448" i="8" s="1"/>
  <c r="AI448" i="8"/>
  <c r="AJ448" i="8" s="1"/>
  <c r="F6619" i="8"/>
  <c r="T6619" i="8" s="1"/>
  <c r="AG6619" i="8"/>
  <c r="AI6619" i="8" s="1"/>
  <c r="AJ6619" i="8" s="1"/>
  <c r="F82" i="8"/>
  <c r="AG82" i="8"/>
  <c r="AI82" i="8" s="1"/>
  <c r="AJ82" i="8" s="1"/>
  <c r="F418" i="8"/>
  <c r="T418" i="8" s="1"/>
  <c r="F7789" i="8"/>
  <c r="T7789" i="8" s="1"/>
  <c r="F70" i="8"/>
  <c r="AG70" i="8"/>
  <c r="F6613" i="8"/>
  <c r="AG6613" i="8"/>
  <c r="AI6613" i="8" s="1"/>
  <c r="AJ6613" i="8" s="1"/>
  <c r="F7630" i="8"/>
  <c r="T7630" i="8" s="1"/>
  <c r="AI7368" i="8"/>
  <c r="AJ7368" i="8" s="1"/>
  <c r="F7368" i="8"/>
  <c r="T7368" i="8" s="1"/>
  <c r="F7241" i="8"/>
  <c r="T7241" i="8" s="1"/>
  <c r="F7574" i="8"/>
  <c r="T7574" i="8" s="1"/>
  <c r="AI7574" i="8"/>
  <c r="AJ7574" i="8" s="1"/>
  <c r="F3608" i="8"/>
  <c r="T3608" i="8" s="1"/>
  <c r="AG3608" i="8"/>
  <c r="AI3608" i="8" s="1"/>
  <c r="AJ3608" i="8" s="1"/>
  <c r="F4658" i="8"/>
  <c r="AG4658" i="8"/>
  <c r="AI4658" i="8" s="1"/>
  <c r="AJ4658" i="8" s="1"/>
  <c r="F6960" i="8"/>
  <c r="T6960" i="8" s="1"/>
  <c r="F7467" i="8"/>
  <c r="T7467" i="8" s="1"/>
  <c r="F7485" i="8"/>
  <c r="T7485" i="8" s="1"/>
  <c r="F76" i="8"/>
  <c r="AG76" i="8"/>
  <c r="AI76" i="8" s="1"/>
  <c r="AJ76" i="8" s="1"/>
  <c r="F3441" i="8"/>
  <c r="T3441" i="8" s="1"/>
  <c r="AG3441" i="8"/>
  <c r="AI3441" i="8" s="1"/>
  <c r="AJ3441" i="8" s="1"/>
  <c r="F3600" i="8"/>
  <c r="T3600" i="8" s="1"/>
  <c r="AG3600" i="8"/>
  <c r="AI3600" i="8" s="1"/>
  <c r="AJ3600" i="8" s="1"/>
  <c r="F7004" i="8"/>
  <c r="T7004" i="8" s="1"/>
  <c r="F7417" i="8"/>
  <c r="T7417" i="8" s="1"/>
  <c r="AI7417" i="8"/>
  <c r="AJ7417" i="8" s="1"/>
  <c r="F4128" i="8"/>
  <c r="AG4128" i="8"/>
  <c r="AI4128" i="8" s="1"/>
  <c r="AJ4128" i="8" s="1"/>
  <c r="F7771" i="8"/>
  <c r="T7771" i="8" s="1"/>
  <c r="F368" i="8"/>
  <c r="T368" i="8" s="1"/>
  <c r="AI368" i="8"/>
  <c r="AJ368" i="8" s="1"/>
  <c r="F7022" i="8"/>
  <c r="T7022" i="8" s="1"/>
  <c r="F551" i="8"/>
  <c r="AI551" i="8"/>
  <c r="AJ551" i="8" s="1"/>
  <c r="F4340" i="8"/>
  <c r="T4340" i="8" s="1"/>
  <c r="AG4340" i="8"/>
  <c r="AI4340" i="8" s="1"/>
  <c r="AJ4340" i="8" s="1"/>
  <c r="AI7602" i="8" l="1"/>
  <c r="AJ7602" i="8" s="1"/>
  <c r="E1098" i="32"/>
  <c r="F676" i="32"/>
  <c r="E1101" i="32"/>
  <c r="F770" i="32"/>
  <c r="F1111" i="32"/>
  <c r="D39" i="31" s="1"/>
  <c r="F39" i="31" s="1"/>
  <c r="F1094" i="32"/>
  <c r="D33" i="31" s="1"/>
  <c r="F33" i="31" s="1"/>
  <c r="AI7546" i="8"/>
  <c r="AJ7546" i="8" s="1"/>
  <c r="AH7783" i="8"/>
  <c r="AH6717" i="8"/>
  <c r="AK388" i="8"/>
  <c r="AI6905" i="8"/>
  <c r="AJ6905" i="8" s="1"/>
  <c r="AH7350" i="8"/>
  <c r="A113" i="11"/>
  <c r="R309" i="11"/>
  <c r="A65" i="11"/>
  <c r="AH7795" i="8"/>
  <c r="T1061" i="11"/>
  <c r="T1067" i="11" s="1"/>
  <c r="R1061" i="11"/>
  <c r="R1067" i="11" s="1"/>
  <c r="R1057" i="11" s="1"/>
  <c r="Q673" i="8" s="1"/>
  <c r="R673" i="8" s="1"/>
  <c r="E147" i="30"/>
  <c r="F148" i="30" s="1"/>
  <c r="F152" i="30" s="1"/>
  <c r="F95" i="30"/>
  <c r="D45" i="31" s="1"/>
  <c r="AI6711" i="8"/>
  <c r="AJ6711" i="8" s="1"/>
  <c r="AI6748" i="8"/>
  <c r="AJ6748" i="8" s="1"/>
  <c r="F1529" i="28"/>
  <c r="E1652" i="28" s="1"/>
  <c r="AH6847" i="8"/>
  <c r="AH6871" i="8"/>
  <c r="F1095" i="28"/>
  <c r="F1097" i="28" s="1"/>
  <c r="AH6994" i="8"/>
  <c r="F1549" i="28"/>
  <c r="E1656" i="28"/>
  <c r="F1657" i="28" s="1"/>
  <c r="D16" i="31" s="1"/>
  <c r="F16" i="31" s="1"/>
  <c r="F1562" i="28"/>
  <c r="E1417" i="28"/>
  <c r="F1417" i="28" s="1"/>
  <c r="AH225" i="8"/>
  <c r="AH517" i="8"/>
  <c r="F348" i="28"/>
  <c r="E1622" i="28" s="1"/>
  <c r="E353" i="28"/>
  <c r="F353" i="28" s="1"/>
  <c r="E354" i="28"/>
  <c r="F354" i="28" s="1"/>
  <c r="AK517" i="8"/>
  <c r="AH242" i="8"/>
  <c r="AI242" i="8"/>
  <c r="AJ242" i="8" s="1"/>
  <c r="AK225" i="8"/>
  <c r="AH209" i="8"/>
  <c r="AK209" i="8"/>
  <c r="F12" i="28"/>
  <c r="E1611" i="28" s="1"/>
  <c r="AI180" i="8"/>
  <c r="F180" i="8"/>
  <c r="E1612" i="28"/>
  <c r="A151" i="11"/>
  <c r="A152" i="11"/>
  <c r="R152" i="11" s="1"/>
  <c r="A150" i="11"/>
  <c r="T150" i="11" s="1"/>
  <c r="A148" i="11"/>
  <c r="A149" i="11"/>
  <c r="R149" i="11" s="1"/>
  <c r="A147" i="11"/>
  <c r="T147" i="11" s="1"/>
  <c r="A145" i="11"/>
  <c r="A146" i="11"/>
  <c r="T146" i="11" s="1"/>
  <c r="A143" i="11"/>
  <c r="R143" i="11" s="1"/>
  <c r="A144" i="11"/>
  <c r="AF152" i="11"/>
  <c r="AF144" i="11"/>
  <c r="AF151" i="11"/>
  <c r="AF143" i="11"/>
  <c r="AF150" i="11"/>
  <c r="AF149" i="11"/>
  <c r="AF148" i="11"/>
  <c r="AF147" i="11"/>
  <c r="AF146" i="11"/>
  <c r="AF145" i="11"/>
  <c r="T1049" i="11"/>
  <c r="T1051" i="11" s="1"/>
  <c r="T1047" i="11" s="1"/>
  <c r="S11219" i="8" s="1"/>
  <c r="T11219" i="8" s="1"/>
  <c r="T11221" i="8" s="1"/>
  <c r="AN11216" i="8" s="1"/>
  <c r="R1049" i="11"/>
  <c r="R1051" i="11" s="1"/>
  <c r="A129" i="11"/>
  <c r="T129" i="11" s="1"/>
  <c r="A130" i="11"/>
  <c r="R130" i="11" s="1"/>
  <c r="R255" i="11"/>
  <c r="A63" i="11"/>
  <c r="A67" i="11"/>
  <c r="A69" i="11"/>
  <c r="A66" i="11"/>
  <c r="A68" i="11"/>
  <c r="A61" i="11"/>
  <c r="A62" i="11"/>
  <c r="A59" i="11"/>
  <c r="A60" i="11"/>
  <c r="A72" i="11"/>
  <c r="T72" i="11" s="1"/>
  <c r="T938" i="11"/>
  <c r="R990" i="11"/>
  <c r="T406" i="26"/>
  <c r="AJ406" i="26" s="1"/>
  <c r="T2317" i="26"/>
  <c r="AJ2317" i="26" s="1"/>
  <c r="AO165" i="8"/>
  <c r="AO468" i="8"/>
  <c r="AO138" i="8"/>
  <c r="AO496" i="8"/>
  <c r="AO7138" i="8"/>
  <c r="AK438" i="8"/>
  <c r="AH438" i="8"/>
  <c r="AH400" i="26"/>
  <c r="AH412" i="26" s="1"/>
  <c r="AJ400" i="26"/>
  <c r="F7758" i="8"/>
  <c r="F11464" i="8" s="1"/>
  <c r="F25" i="1" s="1"/>
  <c r="E7750" i="8"/>
  <c r="AK7748" i="8"/>
  <c r="AJ7748" i="8"/>
  <c r="AK7795" i="8"/>
  <c r="T413" i="11"/>
  <c r="T396" i="26"/>
  <c r="T419" i="26" s="1"/>
  <c r="T417" i="26"/>
  <c r="B417" i="26" s="1"/>
  <c r="T401" i="26"/>
  <c r="B401" i="26" s="1"/>
  <c r="T415" i="26"/>
  <c r="B415" i="26" s="1"/>
  <c r="F411" i="26"/>
  <c r="R412" i="11"/>
  <c r="A505" i="11"/>
  <c r="A506" i="11"/>
  <c r="A504" i="11"/>
  <c r="R504" i="11" s="1"/>
  <c r="A502" i="11"/>
  <c r="R502" i="11" s="1"/>
  <c r="A503" i="11"/>
  <c r="T503" i="11" s="1"/>
  <c r="A500" i="11"/>
  <c r="T500" i="11" s="1"/>
  <c r="A501" i="11"/>
  <c r="T501" i="11" s="1"/>
  <c r="AK7783" i="8"/>
  <c r="T65" i="8"/>
  <c r="T125" i="8" s="1"/>
  <c r="AK8054" i="8"/>
  <c r="R240" i="11"/>
  <c r="R243" i="11"/>
  <c r="T243" i="11"/>
  <c r="T943" i="11"/>
  <c r="R943" i="11"/>
  <c r="T944" i="11"/>
  <c r="R944" i="11"/>
  <c r="T942" i="11"/>
  <c r="R942" i="11"/>
  <c r="R941" i="11"/>
  <c r="T941" i="11"/>
  <c r="AK7124" i="8"/>
  <c r="F396" i="26"/>
  <c r="B390" i="26"/>
  <c r="T7882" i="8"/>
  <c r="T7888" i="8" s="1"/>
  <c r="T5017" i="8"/>
  <c r="T5154" i="8" s="1"/>
  <c r="T5160" i="8" s="1"/>
  <c r="F5154" i="8"/>
  <c r="F5160" i="8" s="1"/>
  <c r="AH8967" i="8"/>
  <c r="AK9688" i="8"/>
  <c r="AH8451" i="8"/>
  <c r="AK8551" i="8"/>
  <c r="AK10400" i="8"/>
  <c r="AI8275" i="8"/>
  <c r="AJ8275" i="8" s="1"/>
  <c r="AH9488" i="8"/>
  <c r="AK10914" i="8"/>
  <c r="AH10914" i="8"/>
  <c r="AH10400" i="8"/>
  <c r="AH9122" i="8"/>
  <c r="AI8673" i="8"/>
  <c r="AJ8673" i="8" s="1"/>
  <c r="AI10197" i="8"/>
  <c r="AK10197" i="8" s="1"/>
  <c r="AI11344" i="8"/>
  <c r="AJ11344" i="8" s="1"/>
  <c r="AI8539" i="8"/>
  <c r="AJ8539" i="8" s="1"/>
  <c r="AH10720" i="8"/>
  <c r="AH9464" i="8"/>
  <c r="AH10848" i="8"/>
  <c r="AI10444" i="8"/>
  <c r="AJ10444" i="8" s="1"/>
  <c r="AI8649" i="8"/>
  <c r="AJ8649" i="8" s="1"/>
  <c r="AI10267" i="8"/>
  <c r="AJ10267" i="8" s="1"/>
  <c r="AI8303" i="8"/>
  <c r="AJ8303" i="8" s="1"/>
  <c r="AI10628" i="8"/>
  <c r="AK10628" i="8" s="1"/>
  <c r="AI9926" i="8"/>
  <c r="AJ9926" i="8" s="1"/>
  <c r="AI11246" i="8"/>
  <c r="AJ11246" i="8" s="1"/>
  <c r="AI8463" i="8"/>
  <c r="AJ8463" i="8" s="1"/>
  <c r="AI10974" i="8"/>
  <c r="AJ10974" i="8" s="1"/>
  <c r="AH10974" i="8"/>
  <c r="AI8327" i="8"/>
  <c r="AJ8327" i="8" s="1"/>
  <c r="AH10752" i="8"/>
  <c r="AK10752" i="8"/>
  <c r="AI10048" i="8"/>
  <c r="AJ10048" i="8" s="1"/>
  <c r="AI9393" i="8"/>
  <c r="AJ9393" i="8" s="1"/>
  <c r="AI9015" i="8"/>
  <c r="AJ9015" i="8" s="1"/>
  <c r="AI8637" i="8"/>
  <c r="AJ8637" i="8" s="1"/>
  <c r="AI10656" i="8"/>
  <c r="AJ10656" i="8" s="1"/>
  <c r="AI10480" i="8"/>
  <c r="AJ10480" i="8" s="1"/>
  <c r="AH10878" i="8"/>
  <c r="AH9369" i="8"/>
  <c r="AI10012" i="8"/>
  <c r="AJ10012" i="8" s="1"/>
  <c r="AH9317" i="8"/>
  <c r="AH9750" i="8"/>
  <c r="AH10512" i="8"/>
  <c r="AI8251" i="8"/>
  <c r="AJ8251" i="8" s="1"/>
  <c r="AI10512" i="8"/>
  <c r="AJ10512" i="8" s="1"/>
  <c r="AI9146" i="8"/>
  <c r="AJ9146" i="8" s="1"/>
  <c r="AI8503" i="8"/>
  <c r="AJ8503" i="8" s="1"/>
  <c r="AH9840" i="8"/>
  <c r="S10230" i="8"/>
  <c r="T10230" i="8" s="1"/>
  <c r="T10232" i="8" s="1"/>
  <c r="AN10227" i="8" s="1"/>
  <c r="S10176" i="8"/>
  <c r="T10176" i="8" s="1"/>
  <c r="T10178" i="8" s="1"/>
  <c r="AN10173" i="8" s="1"/>
  <c r="S10290" i="8"/>
  <c r="T10290" i="8" s="1"/>
  <c r="T10292" i="8" s="1"/>
  <c r="AN10287" i="8" s="1"/>
  <c r="S10129" i="8"/>
  <c r="T10129" i="8" s="1"/>
  <c r="T10131" i="8" s="1"/>
  <c r="AN10126" i="8" s="1"/>
  <c r="S10183" i="8"/>
  <c r="T10183" i="8" s="1"/>
  <c r="T10185" i="8" s="1"/>
  <c r="AN10180" i="8" s="1"/>
  <c r="E1045" i="11"/>
  <c r="F1045" i="11" s="1"/>
  <c r="R1041" i="11"/>
  <c r="F7138" i="8"/>
  <c r="AI7138" i="8"/>
  <c r="E7126" i="8"/>
  <c r="F7131" i="8"/>
  <c r="S7058" i="8"/>
  <c r="T7058" i="8" s="1"/>
  <c r="R1013" i="11"/>
  <c r="T1013" i="11"/>
  <c r="T793" i="11"/>
  <c r="R1025" i="11"/>
  <c r="R1027" i="11" s="1"/>
  <c r="E1027" i="11" s="1"/>
  <c r="F1027" i="11" s="1"/>
  <c r="R1037" i="11"/>
  <c r="R1039" i="11" s="1"/>
  <c r="T1037" i="11"/>
  <c r="T1039" i="11" s="1"/>
  <c r="T1035" i="11" s="1"/>
  <c r="T1031" i="11"/>
  <c r="T1033" i="11" s="1"/>
  <c r="T1029" i="11" s="1"/>
  <c r="S9435" i="8" s="1"/>
  <c r="T9435" i="8" s="1"/>
  <c r="T9437" i="8" s="1"/>
  <c r="AN9432" i="8" s="1"/>
  <c r="AK9317" i="8"/>
  <c r="S8231" i="8"/>
  <c r="T8231" i="8" s="1"/>
  <c r="T8233" i="8" s="1"/>
  <c r="AN8228" i="8" s="1"/>
  <c r="S8833" i="8"/>
  <c r="T8833" i="8" s="1"/>
  <c r="T8835" i="8" s="1"/>
  <c r="AN8830" i="8" s="1"/>
  <c r="S8826" i="8"/>
  <c r="T8826" i="8" s="1"/>
  <c r="T8828" i="8" s="1"/>
  <c r="AN8823" i="8" s="1"/>
  <c r="S8368" i="8"/>
  <c r="T8368" i="8" s="1"/>
  <c r="T8370" i="8" s="1"/>
  <c r="AN8365" i="8" s="1"/>
  <c r="AK10848" i="8"/>
  <c r="S8396" i="8"/>
  <c r="T8396" i="8" s="1"/>
  <c r="T8398" i="8" s="1"/>
  <c r="AN8393" i="8" s="1"/>
  <c r="S8417" i="8"/>
  <c r="T8417" i="8" s="1"/>
  <c r="T8419" i="8" s="1"/>
  <c r="AN8414" i="8" s="1"/>
  <c r="S8847" i="8"/>
  <c r="T8847" i="8" s="1"/>
  <c r="T8849" i="8" s="1"/>
  <c r="AN8844" i="8" s="1"/>
  <c r="S8410" i="8"/>
  <c r="T8410" i="8" s="1"/>
  <c r="T8412" i="8" s="1"/>
  <c r="AN8407" i="8" s="1"/>
  <c r="S9231" i="8"/>
  <c r="T9231" i="8" s="1"/>
  <c r="T9233" i="8" s="1"/>
  <c r="AN9228" i="8" s="1"/>
  <c r="S8777" i="8"/>
  <c r="T8777" i="8" s="1"/>
  <c r="T8779" i="8" s="1"/>
  <c r="AN8774" i="8" s="1"/>
  <c r="S8840" i="8"/>
  <c r="T8840" i="8" s="1"/>
  <c r="T8842" i="8" s="1"/>
  <c r="AN8837" i="8" s="1"/>
  <c r="S8791" i="8"/>
  <c r="T8791" i="8" s="1"/>
  <c r="T8793" i="8" s="1"/>
  <c r="AN8788" i="8" s="1"/>
  <c r="S9238" i="8"/>
  <c r="T9238" i="8" s="1"/>
  <c r="T9243" i="8" s="1"/>
  <c r="AN9235" i="8" s="1"/>
  <c r="S8424" i="8"/>
  <c r="T8424" i="8" s="1"/>
  <c r="T8426" i="8" s="1"/>
  <c r="AN8421" i="8" s="1"/>
  <c r="S9248" i="8"/>
  <c r="T9248" i="8" s="1"/>
  <c r="T9250" i="8" s="1"/>
  <c r="AN9245" i="8" s="1"/>
  <c r="S8382" i="8"/>
  <c r="T8382" i="8" s="1"/>
  <c r="T8384" i="8" s="1"/>
  <c r="AN8379" i="8" s="1"/>
  <c r="S9217" i="8"/>
  <c r="T9217" i="8" s="1"/>
  <c r="T9219" i="8" s="1"/>
  <c r="AN9214" i="8" s="1"/>
  <c r="S8403" i="8"/>
  <c r="T8403" i="8" s="1"/>
  <c r="T8405" i="8" s="1"/>
  <c r="AN8400" i="8" s="1"/>
  <c r="S8175" i="8"/>
  <c r="T8175" i="8" s="1"/>
  <c r="T8177" i="8" s="1"/>
  <c r="AN8172" i="8" s="1"/>
  <c r="S8784" i="8"/>
  <c r="T8784" i="8" s="1"/>
  <c r="T8786" i="8" s="1"/>
  <c r="AN8781" i="8" s="1"/>
  <c r="S8389" i="8"/>
  <c r="T8389" i="8" s="1"/>
  <c r="T8391" i="8" s="1"/>
  <c r="AN8386" i="8" s="1"/>
  <c r="S9224" i="8"/>
  <c r="T9224" i="8" s="1"/>
  <c r="T9226" i="8" s="1"/>
  <c r="AN9221" i="8" s="1"/>
  <c r="S8182" i="8"/>
  <c r="T8182" i="8" s="1"/>
  <c r="T8184" i="8" s="1"/>
  <c r="AN8179" i="8" s="1"/>
  <c r="S8819" i="8"/>
  <c r="T8819" i="8" s="1"/>
  <c r="T8821" i="8" s="1"/>
  <c r="AN8816" i="8" s="1"/>
  <c r="S8189" i="8"/>
  <c r="T8189" i="8" s="1"/>
  <c r="T8191" i="8" s="1"/>
  <c r="AN8186" i="8" s="1"/>
  <c r="S8798" i="8"/>
  <c r="T8798" i="8" s="1"/>
  <c r="T8800" i="8" s="1"/>
  <c r="AN8795" i="8" s="1"/>
  <c r="S8805" i="8"/>
  <c r="T8805" i="8" s="1"/>
  <c r="T8807" i="8" s="1"/>
  <c r="AN8802" i="8" s="1"/>
  <c r="S8196" i="8"/>
  <c r="T8196" i="8" s="1"/>
  <c r="T8198" i="8" s="1"/>
  <c r="AN8193" i="8" s="1"/>
  <c r="S8431" i="8"/>
  <c r="T8431" i="8" s="1"/>
  <c r="T8433" i="8" s="1"/>
  <c r="AN8428" i="8" s="1"/>
  <c r="S9207" i="8"/>
  <c r="T9207" i="8" s="1"/>
  <c r="T9212" i="8" s="1"/>
  <c r="AN9204" i="8" s="1"/>
  <c r="S8224" i="8"/>
  <c r="T8224" i="8" s="1"/>
  <c r="T8226" i="8" s="1"/>
  <c r="AN8221" i="8" s="1"/>
  <c r="S8812" i="8"/>
  <c r="T8812" i="8" s="1"/>
  <c r="T8814" i="8" s="1"/>
  <c r="AN8809" i="8" s="1"/>
  <c r="S8375" i="8"/>
  <c r="T8375" i="8" s="1"/>
  <c r="T8377" i="8" s="1"/>
  <c r="AN8372" i="8" s="1"/>
  <c r="AK10720" i="8"/>
  <c r="S8210" i="8"/>
  <c r="T8210" i="8" s="1"/>
  <c r="T8212" i="8" s="1"/>
  <c r="AN8207" i="8" s="1"/>
  <c r="S8203" i="8"/>
  <c r="T8203" i="8" s="1"/>
  <c r="T8205" i="8" s="1"/>
  <c r="AN8200" i="8" s="1"/>
  <c r="R1029" i="11"/>
  <c r="AN10234" i="8"/>
  <c r="AK9840" i="8"/>
  <c r="T11469" i="8"/>
  <c r="T30" i="1" s="1"/>
  <c r="F11469" i="8"/>
  <c r="F30" i="1" s="1"/>
  <c r="AK6994" i="8"/>
  <c r="T10989" i="8"/>
  <c r="T10797" i="8"/>
  <c r="AK8967" i="8"/>
  <c r="T11468" i="8"/>
  <c r="T29" i="1" s="1"/>
  <c r="F11468" i="8"/>
  <c r="F29" i="1" s="1"/>
  <c r="T10527" i="8"/>
  <c r="T10533" i="8" s="1"/>
  <c r="AK9750" i="8"/>
  <c r="F11467" i="8"/>
  <c r="F28" i="1" s="1"/>
  <c r="AK8451" i="8"/>
  <c r="AK6847" i="8"/>
  <c r="AK9122" i="8"/>
  <c r="AK9464" i="8"/>
  <c r="T11466" i="8"/>
  <c r="T27" i="1" s="1"/>
  <c r="F11466" i="8"/>
  <c r="F27" i="1" s="1"/>
  <c r="T10057" i="8"/>
  <c r="T10063" i="8" s="1"/>
  <c r="AK8689" i="8"/>
  <c r="AH8689" i="8"/>
  <c r="T11465" i="8"/>
  <c r="T26" i="1" s="1"/>
  <c r="AK6717" i="8"/>
  <c r="AK7235" i="8"/>
  <c r="AK7350" i="8"/>
  <c r="T11464" i="8"/>
  <c r="T25" i="1" s="1"/>
  <c r="T7832" i="8"/>
  <c r="T7838" i="8" s="1"/>
  <c r="T7727" i="8"/>
  <c r="AK269" i="26"/>
  <c r="AK353" i="26"/>
  <c r="AK209" i="26"/>
  <c r="AK161" i="26"/>
  <c r="AK71" i="26"/>
  <c r="AK239" i="26"/>
  <c r="AK179" i="26"/>
  <c r="AK311" i="26"/>
  <c r="AK101" i="26"/>
  <c r="AK275" i="26"/>
  <c r="AK227" i="26"/>
  <c r="AK299" i="26"/>
  <c r="AK23" i="26"/>
  <c r="AK83" i="26"/>
  <c r="AK107" i="26"/>
  <c r="AK131" i="26"/>
  <c r="AK155" i="26"/>
  <c r="AK191" i="26"/>
  <c r="AK359" i="26"/>
  <c r="AK377" i="26"/>
  <c r="AK173" i="26"/>
  <c r="R999" i="11"/>
  <c r="R994" i="11" s="1"/>
  <c r="S6120" i="8"/>
  <c r="T6120" i="8" s="1"/>
  <c r="S6162" i="8"/>
  <c r="T6162" i="8" s="1"/>
  <c r="S6059" i="8"/>
  <c r="T6059" i="8" s="1"/>
  <c r="S6087" i="8"/>
  <c r="T6087" i="8" s="1"/>
  <c r="S6037" i="8"/>
  <c r="T6037" i="8" s="1"/>
  <c r="S6048" i="8"/>
  <c r="T6048" i="8" s="1"/>
  <c r="T731" i="11"/>
  <c r="R731" i="11"/>
  <c r="R99" i="11"/>
  <c r="T86" i="11"/>
  <c r="R86" i="11"/>
  <c r="T85" i="11"/>
  <c r="R85" i="11"/>
  <c r="A75" i="11"/>
  <c r="R75" i="11" s="1"/>
  <c r="A74" i="11"/>
  <c r="T74" i="11" s="1"/>
  <c r="A73" i="11"/>
  <c r="R73" i="11" s="1"/>
  <c r="A71" i="11"/>
  <c r="A57" i="11" s="1"/>
  <c r="R122" i="11"/>
  <c r="A95" i="11"/>
  <c r="T95" i="11" s="1"/>
  <c r="A96" i="11"/>
  <c r="R96" i="11" s="1"/>
  <c r="A94" i="11"/>
  <c r="R94" i="11" s="1"/>
  <c r="A97" i="11"/>
  <c r="T97" i="11" s="1"/>
  <c r="A98" i="11"/>
  <c r="T98" i="11" s="1"/>
  <c r="T682" i="11"/>
  <c r="T726" i="11"/>
  <c r="R726" i="11"/>
  <c r="T729" i="11"/>
  <c r="R729" i="11"/>
  <c r="T730" i="11"/>
  <c r="R730" i="11"/>
  <c r="T727" i="11"/>
  <c r="R727" i="11"/>
  <c r="R728" i="11"/>
  <c r="T728" i="11"/>
  <c r="T681" i="11"/>
  <c r="T672" i="11"/>
  <c r="R672" i="11"/>
  <c r="R671" i="11"/>
  <c r="T671" i="11"/>
  <c r="R770" i="11"/>
  <c r="T770" i="11"/>
  <c r="T747" i="11"/>
  <c r="R747" i="11"/>
  <c r="T833" i="11"/>
  <c r="R833" i="11"/>
  <c r="R976" i="11"/>
  <c r="T976" i="11"/>
  <c r="T974" i="11"/>
  <c r="R974" i="11"/>
  <c r="T977" i="11"/>
  <c r="R977" i="11"/>
  <c r="T973" i="11"/>
  <c r="R973" i="11"/>
  <c r="R975" i="11"/>
  <c r="T975" i="11"/>
  <c r="T972" i="11"/>
  <c r="R972" i="11"/>
  <c r="T969" i="11"/>
  <c r="R969" i="11"/>
  <c r="T970" i="11"/>
  <c r="R970" i="11"/>
  <c r="R968" i="11"/>
  <c r="T968" i="11"/>
  <c r="T966" i="11"/>
  <c r="R966" i="11"/>
  <c r="T967" i="11"/>
  <c r="R967" i="11"/>
  <c r="T965" i="11"/>
  <c r="R965" i="11"/>
  <c r="T961" i="11"/>
  <c r="R961" i="11"/>
  <c r="T962" i="11"/>
  <c r="R962" i="11"/>
  <c r="R955" i="11"/>
  <c r="R954" i="11"/>
  <c r="T954" i="11"/>
  <c r="T987" i="11"/>
  <c r="R987" i="11"/>
  <c r="T985" i="11"/>
  <c r="R985" i="11"/>
  <c r="T980" i="11"/>
  <c r="R980" i="11"/>
  <c r="T988" i="11"/>
  <c r="R988" i="11"/>
  <c r="T982" i="11"/>
  <c r="R982" i="11"/>
  <c r="T981" i="11"/>
  <c r="R981" i="11"/>
  <c r="R983" i="11"/>
  <c r="T983" i="11"/>
  <c r="T984" i="11"/>
  <c r="R984" i="11"/>
  <c r="T986" i="11"/>
  <c r="R986" i="11"/>
  <c r="R979" i="11"/>
  <c r="T979" i="11"/>
  <c r="T959" i="11"/>
  <c r="R959" i="11"/>
  <c r="T963" i="11"/>
  <c r="R963" i="11"/>
  <c r="T960" i="11"/>
  <c r="R960" i="11"/>
  <c r="T958" i="11"/>
  <c r="R958" i="11"/>
  <c r="T956" i="11"/>
  <c r="R956" i="11"/>
  <c r="T953" i="11"/>
  <c r="R953" i="11"/>
  <c r="T951" i="11"/>
  <c r="R951" i="11"/>
  <c r="T989" i="11"/>
  <c r="R989" i="11"/>
  <c r="T952" i="11"/>
  <c r="R952" i="11"/>
  <c r="T683" i="11"/>
  <c r="R683" i="11"/>
  <c r="T123" i="11"/>
  <c r="R137" i="11"/>
  <c r="T26" i="11"/>
  <c r="R26" i="11"/>
  <c r="T25" i="11"/>
  <c r="R25" i="11"/>
  <c r="T799" i="11"/>
  <c r="T800" i="11"/>
  <c r="R800" i="11"/>
  <c r="T803" i="11"/>
  <c r="R803" i="11"/>
  <c r="T801" i="11"/>
  <c r="R801" i="11"/>
  <c r="T804" i="11"/>
  <c r="R804" i="11"/>
  <c r="R802" i="11"/>
  <c r="T802" i="11"/>
  <c r="R136" i="11"/>
  <c r="T136" i="11"/>
  <c r="T139" i="11" s="1"/>
  <c r="R239" i="11"/>
  <c r="T523" i="11"/>
  <c r="R523" i="11"/>
  <c r="T526" i="11"/>
  <c r="R526" i="11"/>
  <c r="R522" i="11"/>
  <c r="T522" i="11"/>
  <c r="R525" i="11"/>
  <c r="T525" i="11"/>
  <c r="R524" i="11"/>
  <c r="T524" i="11"/>
  <c r="T244" i="11"/>
  <c r="T242" i="11"/>
  <c r="T1007" i="11"/>
  <c r="T241" i="11"/>
  <c r="T245" i="11"/>
  <c r="R1019" i="11"/>
  <c r="R1021" i="11" s="1"/>
  <c r="T1019" i="11"/>
  <c r="T1021" i="11" s="1"/>
  <c r="T1017" i="11" s="1"/>
  <c r="R927" i="11"/>
  <c r="T927" i="11"/>
  <c r="R753" i="11"/>
  <c r="T753" i="11"/>
  <c r="R754" i="11"/>
  <c r="T754" i="11"/>
  <c r="R256" i="11"/>
  <c r="T256" i="11"/>
  <c r="R439" i="11"/>
  <c r="T439" i="11"/>
  <c r="R160" i="11"/>
  <c r="T160" i="11"/>
  <c r="R842" i="11"/>
  <c r="T842" i="11"/>
  <c r="R283" i="11"/>
  <c r="T283" i="11"/>
  <c r="R609" i="11"/>
  <c r="T609" i="11"/>
  <c r="R380" i="11"/>
  <c r="T380" i="11"/>
  <c r="R888" i="11"/>
  <c r="T888" i="11"/>
  <c r="R869" i="11"/>
  <c r="T869" i="11"/>
  <c r="R884" i="11"/>
  <c r="T884" i="11"/>
  <c r="R874" i="11"/>
  <c r="T874" i="11"/>
  <c r="R178" i="11"/>
  <c r="T178" i="11"/>
  <c r="R624" i="11"/>
  <c r="T624" i="11"/>
  <c r="R81" i="11"/>
  <c r="T81" i="11"/>
  <c r="R34" i="11"/>
  <c r="T34" i="11"/>
  <c r="R186" i="11"/>
  <c r="T186" i="11"/>
  <c r="R691" i="11"/>
  <c r="T691" i="11"/>
  <c r="R230" i="11"/>
  <c r="T230" i="11"/>
  <c r="R709" i="11"/>
  <c r="T709" i="11"/>
  <c r="R321" i="11"/>
  <c r="T321" i="11"/>
  <c r="R787" i="11"/>
  <c r="T787" i="11"/>
  <c r="R581" i="11"/>
  <c r="T581" i="11"/>
  <c r="R388" i="11"/>
  <c r="T388" i="11"/>
  <c r="R461" i="11"/>
  <c r="T461" i="11"/>
  <c r="R832" i="11"/>
  <c r="T832" i="11"/>
  <c r="R494" i="11"/>
  <c r="T494" i="11"/>
  <c r="R341" i="11"/>
  <c r="T341" i="11"/>
  <c r="R277" i="11"/>
  <c r="T277" i="11"/>
  <c r="R555" i="11"/>
  <c r="T555" i="11"/>
  <c r="R781" i="11"/>
  <c r="T781" i="11"/>
  <c r="R108" i="11"/>
  <c r="T108" i="11"/>
  <c r="R358" i="11"/>
  <c r="T358" i="11"/>
  <c r="R432" i="11"/>
  <c r="T432" i="11"/>
  <c r="R328" i="11"/>
  <c r="T328" i="11"/>
  <c r="R915" i="11"/>
  <c r="T915" i="11"/>
  <c r="R215" i="11"/>
  <c r="T215" i="11"/>
  <c r="R452" i="11"/>
  <c r="T452" i="11"/>
  <c r="R653" i="11"/>
  <c r="T653" i="11"/>
  <c r="R267" i="11"/>
  <c r="T267" i="11"/>
  <c r="R662" i="11"/>
  <c r="T662" i="11"/>
  <c r="R480" i="11"/>
  <c r="T480" i="11"/>
  <c r="R813" i="11"/>
  <c r="T813" i="11"/>
  <c r="R562" i="11"/>
  <c r="T562" i="11"/>
  <c r="R925" i="11"/>
  <c r="T925" i="11"/>
  <c r="R742" i="11"/>
  <c r="T742" i="11"/>
  <c r="R254" i="11"/>
  <c r="T254" i="11"/>
  <c r="R440" i="11"/>
  <c r="T440" i="11"/>
  <c r="R158" i="11"/>
  <c r="T158" i="11"/>
  <c r="R845" i="11"/>
  <c r="T845" i="11"/>
  <c r="R286" i="11"/>
  <c r="T286" i="11"/>
  <c r="R608" i="11"/>
  <c r="T608" i="11"/>
  <c r="R377" i="11"/>
  <c r="T377" i="11"/>
  <c r="R887" i="11"/>
  <c r="T887" i="11"/>
  <c r="R870" i="11"/>
  <c r="T870" i="11"/>
  <c r="R860" i="11"/>
  <c r="T860" i="11"/>
  <c r="R897" i="11"/>
  <c r="T897" i="11"/>
  <c r="R179" i="11"/>
  <c r="T179" i="11"/>
  <c r="R627" i="11"/>
  <c r="T627" i="11"/>
  <c r="R35" i="11"/>
  <c r="T35" i="11"/>
  <c r="R185" i="11"/>
  <c r="T185" i="11"/>
  <c r="R690" i="11"/>
  <c r="T690" i="11"/>
  <c r="R231" i="11"/>
  <c r="T231" i="11"/>
  <c r="R708" i="11"/>
  <c r="T708" i="11"/>
  <c r="R318" i="11"/>
  <c r="T318" i="11"/>
  <c r="R789" i="11"/>
  <c r="T789" i="11"/>
  <c r="R580" i="11"/>
  <c r="T580" i="11"/>
  <c r="R389" i="11"/>
  <c r="T389" i="11"/>
  <c r="R41" i="11"/>
  <c r="T41" i="11"/>
  <c r="R830" i="11"/>
  <c r="T830" i="11"/>
  <c r="R490" i="11"/>
  <c r="T490" i="11"/>
  <c r="R769" i="11"/>
  <c r="T769" i="11"/>
  <c r="R340" i="11"/>
  <c r="T340" i="11"/>
  <c r="R273" i="11"/>
  <c r="T273" i="11"/>
  <c r="R554" i="11"/>
  <c r="T554" i="11"/>
  <c r="R49" i="11"/>
  <c r="T49" i="11"/>
  <c r="R105" i="11"/>
  <c r="T105" i="11"/>
  <c r="R359" i="11"/>
  <c r="T359" i="11"/>
  <c r="R433" i="11"/>
  <c r="T433" i="11"/>
  <c r="R680" i="11"/>
  <c r="T680" i="11"/>
  <c r="R329" i="11"/>
  <c r="T329" i="11"/>
  <c r="R913" i="11"/>
  <c r="T913" i="11"/>
  <c r="R212" i="11"/>
  <c r="T212" i="11"/>
  <c r="R453" i="11"/>
  <c r="T453" i="11"/>
  <c r="R654" i="11"/>
  <c r="T654" i="11"/>
  <c r="R263" i="11"/>
  <c r="T263" i="11"/>
  <c r="R368" i="11"/>
  <c r="T368" i="11"/>
  <c r="R481" i="11"/>
  <c r="T481" i="11"/>
  <c r="R810" i="11"/>
  <c r="T810" i="11"/>
  <c r="R561" i="11"/>
  <c r="T561" i="11"/>
  <c r="R928" i="11"/>
  <c r="T928" i="11"/>
  <c r="R744" i="11"/>
  <c r="T744" i="11"/>
  <c r="R548" i="11"/>
  <c r="T548" i="11"/>
  <c r="R253" i="11"/>
  <c r="T253" i="11"/>
  <c r="R399" i="11"/>
  <c r="T399" i="11"/>
  <c r="R161" i="11"/>
  <c r="T161" i="11"/>
  <c r="R840" i="11"/>
  <c r="T840" i="11"/>
  <c r="R311" i="11"/>
  <c r="T311" i="11"/>
  <c r="R284" i="11"/>
  <c r="T284" i="11"/>
  <c r="R350" i="11"/>
  <c r="T350" i="11"/>
  <c r="R378" i="11"/>
  <c r="T378" i="11"/>
  <c r="R899" i="11"/>
  <c r="T899" i="11"/>
  <c r="R859" i="11"/>
  <c r="T859" i="11"/>
  <c r="R900" i="11"/>
  <c r="T900" i="11"/>
  <c r="R898" i="11"/>
  <c r="T898" i="11"/>
  <c r="R419" i="11"/>
  <c r="T419" i="11"/>
  <c r="R176" i="11"/>
  <c r="T176" i="11"/>
  <c r="R626" i="11"/>
  <c r="T626" i="11"/>
  <c r="R84" i="11"/>
  <c r="T84" i="11"/>
  <c r="R32" i="11"/>
  <c r="T32" i="11"/>
  <c r="R188" i="11"/>
  <c r="T188" i="11"/>
  <c r="R168" i="11"/>
  <c r="T168" i="11"/>
  <c r="R599" i="11"/>
  <c r="T599" i="11"/>
  <c r="R515" i="11"/>
  <c r="T515" i="11"/>
  <c r="R319" i="11"/>
  <c r="T319" i="11"/>
  <c r="R471" i="11"/>
  <c r="T471" i="11"/>
  <c r="R579" i="11"/>
  <c r="T579" i="11"/>
  <c r="R387" i="11"/>
  <c r="T387" i="11"/>
  <c r="R824" i="11"/>
  <c r="T824" i="11"/>
  <c r="R589" i="11"/>
  <c r="T589" i="11"/>
  <c r="R768" i="11"/>
  <c r="T768" i="11"/>
  <c r="R700" i="11"/>
  <c r="T700" i="11"/>
  <c r="R274" i="11"/>
  <c r="T274" i="11"/>
  <c r="R776" i="11"/>
  <c r="T776" i="11"/>
  <c r="R48" i="11"/>
  <c r="T48" i="11"/>
  <c r="R360" i="11"/>
  <c r="T360" i="11"/>
  <c r="R643" i="11"/>
  <c r="T643" i="11"/>
  <c r="R330" i="11"/>
  <c r="T330" i="11"/>
  <c r="R911" i="11"/>
  <c r="T911" i="11"/>
  <c r="R213" i="11"/>
  <c r="T213" i="11"/>
  <c r="R454" i="11"/>
  <c r="T454" i="11"/>
  <c r="R652" i="11"/>
  <c r="T652" i="11"/>
  <c r="R264" i="11"/>
  <c r="T264" i="11"/>
  <c r="R367" i="11"/>
  <c r="T367" i="11"/>
  <c r="R484" i="11"/>
  <c r="T484" i="11"/>
  <c r="R816" i="11"/>
  <c r="T816" i="11"/>
  <c r="R195" i="11"/>
  <c r="T195" i="11"/>
  <c r="R924" i="11"/>
  <c r="T924" i="11"/>
  <c r="R741" i="11"/>
  <c r="T741" i="11"/>
  <c r="R547" i="11"/>
  <c r="T547" i="11"/>
  <c r="R251" i="11"/>
  <c r="T251" i="11"/>
  <c r="R401" i="11"/>
  <c r="T401" i="11"/>
  <c r="R841" i="11"/>
  <c r="T841" i="11"/>
  <c r="R846" i="11"/>
  <c r="T846" i="11"/>
  <c r="R305" i="11"/>
  <c r="T305" i="11"/>
  <c r="R288" i="11"/>
  <c r="T288" i="11"/>
  <c r="R349" i="11"/>
  <c r="T349" i="11"/>
  <c r="R379" i="11"/>
  <c r="T379" i="11"/>
  <c r="R856" i="11"/>
  <c r="T856" i="11"/>
  <c r="R867" i="11"/>
  <c r="T867" i="11"/>
  <c r="R882" i="11"/>
  <c r="T882" i="11"/>
  <c r="R858" i="11"/>
  <c r="T858" i="11"/>
  <c r="R421" i="11"/>
  <c r="T421" i="11"/>
  <c r="R222" i="11"/>
  <c r="T222" i="11"/>
  <c r="R718" i="11"/>
  <c r="T718" i="11"/>
  <c r="R167" i="11"/>
  <c r="T167" i="11"/>
  <c r="R600" i="11"/>
  <c r="T600" i="11"/>
  <c r="R512" i="11"/>
  <c r="T512" i="11"/>
  <c r="R320" i="11"/>
  <c r="T320" i="11"/>
  <c r="R472" i="11"/>
  <c r="T472" i="11"/>
  <c r="R790" i="11"/>
  <c r="T790" i="11"/>
  <c r="R390" i="11"/>
  <c r="T390" i="11"/>
  <c r="R42" i="11"/>
  <c r="T42" i="11"/>
  <c r="R831" i="11"/>
  <c r="T831" i="11"/>
  <c r="R588" i="11"/>
  <c r="T588" i="11"/>
  <c r="R765" i="11"/>
  <c r="T765" i="11"/>
  <c r="R699" i="11"/>
  <c r="T699" i="11"/>
  <c r="R299" i="11"/>
  <c r="T299" i="11"/>
  <c r="R50" i="11"/>
  <c r="T50" i="11"/>
  <c r="R411" i="11"/>
  <c r="T411" i="11"/>
  <c r="R361" i="11"/>
  <c r="T361" i="11"/>
  <c r="R725" i="11"/>
  <c r="T725" i="11"/>
  <c r="R642" i="11"/>
  <c r="T642" i="11"/>
  <c r="R912" i="11"/>
  <c r="T912" i="11"/>
  <c r="R618" i="11"/>
  <c r="T618" i="11"/>
  <c r="R450" i="11"/>
  <c r="T450" i="11"/>
  <c r="R651" i="11"/>
  <c r="T651" i="11"/>
  <c r="R265" i="11"/>
  <c r="T265" i="11"/>
  <c r="R369" i="11"/>
  <c r="T369" i="11"/>
  <c r="R811" i="11"/>
  <c r="T811" i="11"/>
  <c r="R817" i="11"/>
  <c r="T817" i="11"/>
  <c r="R196" i="11"/>
  <c r="T196" i="11"/>
  <c r="R743" i="11"/>
  <c r="T743" i="11"/>
  <c r="R758" i="11"/>
  <c r="T758" i="11"/>
  <c r="R114" i="11"/>
  <c r="T114" i="11"/>
  <c r="R252" i="11"/>
  <c r="T252" i="11"/>
  <c r="R398" i="11"/>
  <c r="T398" i="11"/>
  <c r="R844" i="11"/>
  <c r="T844" i="11"/>
  <c r="R936" i="11"/>
  <c r="T936" i="11"/>
  <c r="R940" i="11"/>
  <c r="T940" i="11"/>
  <c r="R307" i="11"/>
  <c r="T307" i="11"/>
  <c r="R289" i="11"/>
  <c r="T289" i="11"/>
  <c r="R347" i="11"/>
  <c r="T347" i="11"/>
  <c r="R855" i="11"/>
  <c r="T855" i="11"/>
  <c r="R885" i="11"/>
  <c r="T885" i="11"/>
  <c r="R871" i="11"/>
  <c r="T871" i="11"/>
  <c r="R872" i="11"/>
  <c r="T872" i="11"/>
  <c r="R902" i="11"/>
  <c r="T902" i="11"/>
  <c r="R422" i="11"/>
  <c r="T422" i="11"/>
  <c r="R83" i="11"/>
  <c r="T83" i="11"/>
  <c r="R223" i="11"/>
  <c r="T223" i="11"/>
  <c r="R717" i="11"/>
  <c r="T717" i="11"/>
  <c r="R169" i="11"/>
  <c r="T169" i="11"/>
  <c r="R598" i="11"/>
  <c r="T598" i="11"/>
  <c r="R513" i="11"/>
  <c r="T513" i="11"/>
  <c r="R571" i="11"/>
  <c r="T571" i="11"/>
  <c r="R473" i="11"/>
  <c r="T473" i="11"/>
  <c r="R792" i="11"/>
  <c r="T792" i="11"/>
  <c r="R462" i="11"/>
  <c r="T462" i="11"/>
  <c r="R829" i="11"/>
  <c r="T829" i="11"/>
  <c r="R828" i="11"/>
  <c r="T828" i="11"/>
  <c r="R591" i="11"/>
  <c r="T591" i="11"/>
  <c r="R766" i="11"/>
  <c r="T766" i="11"/>
  <c r="R702" i="11"/>
  <c r="T702" i="11"/>
  <c r="R296" i="11"/>
  <c r="T296" i="11"/>
  <c r="R778" i="11"/>
  <c r="T778" i="11"/>
  <c r="R52" i="11"/>
  <c r="T52" i="11"/>
  <c r="R409" i="11"/>
  <c r="T409" i="11"/>
  <c r="R357" i="11"/>
  <c r="T357" i="11"/>
  <c r="R645" i="11"/>
  <c r="T645" i="11"/>
  <c r="R914" i="11"/>
  <c r="T914" i="11"/>
  <c r="R617" i="11"/>
  <c r="T617" i="11"/>
  <c r="R203" i="11"/>
  <c r="T203" i="11"/>
  <c r="R635" i="11"/>
  <c r="T635" i="11"/>
  <c r="R266" i="11"/>
  <c r="T266" i="11"/>
  <c r="R370" i="11"/>
  <c r="T370" i="11"/>
  <c r="R812" i="11"/>
  <c r="T812" i="11"/>
  <c r="R197" i="11"/>
  <c r="T197" i="11"/>
  <c r="R923" i="11"/>
  <c r="T923" i="11"/>
  <c r="R757" i="11"/>
  <c r="T757" i="11"/>
  <c r="R746" i="11"/>
  <c r="T746" i="11"/>
  <c r="R115" i="11"/>
  <c r="T115" i="11"/>
  <c r="R441" i="11"/>
  <c r="T441" i="11"/>
  <c r="R400" i="11"/>
  <c r="T400" i="11"/>
  <c r="R843" i="11"/>
  <c r="T843" i="11"/>
  <c r="R306" i="11"/>
  <c r="T306" i="11"/>
  <c r="R285" i="11"/>
  <c r="T285" i="11"/>
  <c r="R348" i="11"/>
  <c r="T348" i="11"/>
  <c r="R854" i="11"/>
  <c r="T854" i="11"/>
  <c r="R903" i="11"/>
  <c r="T903" i="11"/>
  <c r="R857" i="11"/>
  <c r="T857" i="11"/>
  <c r="R889" i="11"/>
  <c r="T889" i="11"/>
  <c r="R896" i="11"/>
  <c r="T896" i="11"/>
  <c r="R423" i="11"/>
  <c r="T423" i="11"/>
  <c r="R221" i="11"/>
  <c r="T221" i="11"/>
  <c r="R719" i="11"/>
  <c r="T719" i="11"/>
  <c r="R170" i="11"/>
  <c r="T170" i="11"/>
  <c r="R597" i="11"/>
  <c r="T597" i="11"/>
  <c r="R516" i="11"/>
  <c r="T516" i="11"/>
  <c r="R570" i="11"/>
  <c r="T570" i="11"/>
  <c r="R474" i="11"/>
  <c r="T474" i="11"/>
  <c r="R791" i="11"/>
  <c r="T791" i="11"/>
  <c r="R670" i="11"/>
  <c r="T670" i="11"/>
  <c r="R464" i="11"/>
  <c r="T464" i="11"/>
  <c r="R827" i="11"/>
  <c r="T827" i="11"/>
  <c r="R492" i="11"/>
  <c r="T492" i="11"/>
  <c r="R590" i="11"/>
  <c r="T590" i="11"/>
  <c r="R337" i="11"/>
  <c r="T337" i="11"/>
  <c r="R701" i="11"/>
  <c r="T701" i="11"/>
  <c r="R295" i="11"/>
  <c r="T295" i="11"/>
  <c r="R777" i="11"/>
  <c r="T777" i="11"/>
  <c r="R51" i="11"/>
  <c r="T51" i="11"/>
  <c r="R407" i="11"/>
  <c r="T407" i="11"/>
  <c r="R430" i="11"/>
  <c r="T430" i="11"/>
  <c r="R644" i="11"/>
  <c r="T644" i="11"/>
  <c r="R910" i="11"/>
  <c r="T910" i="11"/>
  <c r="R616" i="11"/>
  <c r="T616" i="11"/>
  <c r="R204" i="11"/>
  <c r="T204" i="11"/>
  <c r="R636" i="11"/>
  <c r="T636" i="11"/>
  <c r="R661" i="11"/>
  <c r="T661" i="11"/>
  <c r="R371" i="11"/>
  <c r="T371" i="11"/>
  <c r="R815" i="11"/>
  <c r="T815" i="11"/>
  <c r="R194" i="11"/>
  <c r="T194" i="11"/>
  <c r="R926" i="11"/>
  <c r="T926" i="11"/>
  <c r="R755" i="11"/>
  <c r="T755" i="11"/>
  <c r="R745" i="11"/>
  <c r="T745" i="11"/>
  <c r="R116" i="11"/>
  <c r="T116" i="11"/>
  <c r="R442" i="11"/>
  <c r="T442" i="11"/>
  <c r="R397" i="11"/>
  <c r="T397" i="11"/>
  <c r="R847" i="11"/>
  <c r="T847" i="11"/>
  <c r="R939" i="11"/>
  <c r="T939" i="11"/>
  <c r="R308" i="11"/>
  <c r="T308" i="11"/>
  <c r="R607" i="11"/>
  <c r="T607" i="11"/>
  <c r="R351" i="11"/>
  <c r="T351" i="11"/>
  <c r="R875" i="11"/>
  <c r="T875" i="11"/>
  <c r="R886" i="11"/>
  <c r="T886" i="11"/>
  <c r="R895" i="11"/>
  <c r="T895" i="11"/>
  <c r="R881" i="11"/>
  <c r="T881" i="11"/>
  <c r="R901" i="11"/>
  <c r="T901" i="11"/>
  <c r="R420" i="11"/>
  <c r="T420" i="11"/>
  <c r="R224" i="11"/>
  <c r="T224" i="11"/>
  <c r="R692" i="11"/>
  <c r="T692" i="11"/>
  <c r="R233" i="11"/>
  <c r="T233" i="11"/>
  <c r="R711" i="11"/>
  <c r="T711" i="11"/>
  <c r="R514" i="11"/>
  <c r="T514" i="11"/>
  <c r="R573" i="11"/>
  <c r="T573" i="11"/>
  <c r="R470" i="11"/>
  <c r="T470" i="11"/>
  <c r="R669" i="11"/>
  <c r="T669" i="11"/>
  <c r="R463" i="11"/>
  <c r="T463" i="11"/>
  <c r="R826" i="11"/>
  <c r="T826" i="11"/>
  <c r="R493" i="11"/>
  <c r="T493" i="11"/>
  <c r="R767" i="11"/>
  <c r="T767" i="11"/>
  <c r="R339" i="11"/>
  <c r="T339" i="11"/>
  <c r="R275" i="11"/>
  <c r="T275" i="11"/>
  <c r="R298" i="11"/>
  <c r="T298" i="11"/>
  <c r="R780" i="11"/>
  <c r="T780" i="11"/>
  <c r="R107" i="11"/>
  <c r="T107" i="11"/>
  <c r="R410" i="11"/>
  <c r="T410" i="11"/>
  <c r="R431" i="11"/>
  <c r="T431" i="11"/>
  <c r="R679" i="11"/>
  <c r="T679" i="11"/>
  <c r="R331" i="11"/>
  <c r="T331" i="11"/>
  <c r="R916" i="11"/>
  <c r="T916" i="11"/>
  <c r="R615" i="11"/>
  <c r="T615" i="11"/>
  <c r="R205" i="11"/>
  <c r="T205" i="11"/>
  <c r="R634" i="11"/>
  <c r="T634" i="11"/>
  <c r="R660" i="11"/>
  <c r="T660" i="11"/>
  <c r="R482" i="11"/>
  <c r="T482" i="11"/>
  <c r="R814" i="11"/>
  <c r="T814" i="11"/>
  <c r="R563" i="11"/>
  <c r="T563" i="11"/>
  <c r="R929" i="11"/>
  <c r="T929" i="11"/>
  <c r="R756" i="11"/>
  <c r="T756" i="11"/>
  <c r="R257" i="11"/>
  <c r="T257" i="11"/>
  <c r="R443" i="11"/>
  <c r="T443" i="11"/>
  <c r="R159" i="11"/>
  <c r="T159" i="11"/>
  <c r="R839" i="11"/>
  <c r="T839" i="11"/>
  <c r="T937" i="11"/>
  <c r="R310" i="11"/>
  <c r="T310" i="11"/>
  <c r="R606" i="11"/>
  <c r="T606" i="11"/>
  <c r="R381" i="11"/>
  <c r="T381" i="11"/>
  <c r="R861" i="11"/>
  <c r="T861" i="11"/>
  <c r="R853" i="11"/>
  <c r="T853" i="11"/>
  <c r="R883" i="11"/>
  <c r="T883" i="11"/>
  <c r="R868" i="11"/>
  <c r="T868" i="11"/>
  <c r="R873" i="11"/>
  <c r="T873" i="11"/>
  <c r="R177" i="11"/>
  <c r="T177" i="11"/>
  <c r="R625" i="11"/>
  <c r="T625" i="11"/>
  <c r="R82" i="11"/>
  <c r="T82" i="11"/>
  <c r="R33" i="11"/>
  <c r="T33" i="11"/>
  <c r="R187" i="11"/>
  <c r="T187" i="11"/>
  <c r="R693" i="11"/>
  <c r="T693" i="11"/>
  <c r="R232" i="11"/>
  <c r="T232" i="11"/>
  <c r="R710" i="11"/>
  <c r="T710" i="11"/>
  <c r="R317" i="11"/>
  <c r="T317" i="11"/>
  <c r="R572" i="11"/>
  <c r="T572" i="11"/>
  <c r="R788" i="11"/>
  <c r="T788" i="11"/>
  <c r="R582" i="11"/>
  <c r="T582" i="11"/>
  <c r="R391" i="11"/>
  <c r="T391" i="11"/>
  <c r="R460" i="11"/>
  <c r="T460" i="11"/>
  <c r="R825" i="11"/>
  <c r="T825" i="11"/>
  <c r="R491" i="11"/>
  <c r="T491" i="11"/>
  <c r="R764" i="11"/>
  <c r="T764" i="11"/>
  <c r="R338" i="11"/>
  <c r="T338" i="11"/>
  <c r="R276" i="11"/>
  <c r="T276" i="11"/>
  <c r="R297" i="11"/>
  <c r="T297" i="11"/>
  <c r="R779" i="11"/>
  <c r="T779" i="11"/>
  <c r="R106" i="11"/>
  <c r="T106" i="11"/>
  <c r="R408" i="11"/>
  <c r="T408" i="11"/>
  <c r="R429" i="11"/>
  <c r="T429" i="11"/>
  <c r="R678" i="11"/>
  <c r="T678" i="11"/>
  <c r="R327" i="11"/>
  <c r="T327" i="11"/>
  <c r="R214" i="11"/>
  <c r="T214" i="11"/>
  <c r="R451" i="11"/>
  <c r="T451" i="11"/>
  <c r="R206" i="11"/>
  <c r="T206" i="11"/>
  <c r="R633" i="11"/>
  <c r="T633" i="11"/>
  <c r="R663" i="11"/>
  <c r="T663" i="11"/>
  <c r="R483" i="11"/>
  <c r="T483" i="11"/>
  <c r="R818" i="11"/>
  <c r="T818" i="11"/>
  <c r="R564" i="11"/>
  <c r="T564" i="11"/>
  <c r="T21" i="11"/>
  <c r="R21" i="11"/>
  <c r="R24" i="11"/>
  <c r="T24" i="11"/>
  <c r="R23" i="11"/>
  <c r="T23" i="11"/>
  <c r="R22" i="11"/>
  <c r="T22" i="11"/>
  <c r="AH5023" i="8"/>
  <c r="AK5023" i="8"/>
  <c r="AK6829" i="8"/>
  <c r="AI496" i="8"/>
  <c r="F496" i="8"/>
  <c r="T496" i="8" s="1"/>
  <c r="AI468" i="8"/>
  <c r="F468" i="8"/>
  <c r="T468" i="8" s="1"/>
  <c r="AH9341" i="8"/>
  <c r="AK9341" i="8"/>
  <c r="AH7823" i="8"/>
  <c r="AH7479" i="8"/>
  <c r="AH10416" i="8"/>
  <c r="AK10416" i="8"/>
  <c r="AK7411" i="8"/>
  <c r="AH7411" i="8"/>
  <c r="AK8239" i="8"/>
  <c r="AH8239" i="8"/>
  <c r="AK288" i="8"/>
  <c r="AH7259" i="8"/>
  <c r="AH6774" i="8"/>
  <c r="AK6774" i="8"/>
  <c r="AH7108" i="8"/>
  <c r="AK11234" i="8"/>
  <c r="AH4683" i="8"/>
  <c r="AH11234" i="8"/>
  <c r="AH10334" i="8"/>
  <c r="AH3703" i="8"/>
  <c r="AK7479" i="8"/>
  <c r="AH6829" i="8"/>
  <c r="AH5047" i="8"/>
  <c r="AK7158" i="8"/>
  <c r="AH7158" i="8"/>
  <c r="F65" i="8"/>
  <c r="F11451" i="8"/>
  <c r="G1110" i="32" s="1"/>
  <c r="AK5047" i="8"/>
  <c r="F10797" i="8"/>
  <c r="G1100" i="32" s="1"/>
  <c r="F8145" i="8"/>
  <c r="T8001" i="8"/>
  <c r="F119" i="8"/>
  <c r="B119" i="8" s="1"/>
  <c r="F10057" i="8"/>
  <c r="G1093" i="32" s="1"/>
  <c r="F10989" i="8"/>
  <c r="F7882" i="8"/>
  <c r="F7888" i="8" s="1"/>
  <c r="F10527" i="8"/>
  <c r="F7727" i="8"/>
  <c r="AK4683" i="8"/>
  <c r="AK6786" i="8"/>
  <c r="AH6786" i="8"/>
  <c r="AH8661" i="8"/>
  <c r="AH11262" i="8"/>
  <c r="AI9522" i="8"/>
  <c r="AJ9522" i="8" s="1"/>
  <c r="AH9589" i="8"/>
  <c r="AK9589" i="8"/>
  <c r="AK9712" i="8"/>
  <c r="AI10036" i="8"/>
  <c r="AJ10036" i="8" s="1"/>
  <c r="AH9712" i="8"/>
  <c r="AK9561" i="8"/>
  <c r="AH9561" i="8"/>
  <c r="AK8661" i="8"/>
  <c r="AH8737" i="8"/>
  <c r="AK9782" i="8"/>
  <c r="AK7546" i="8"/>
  <c r="AH9063" i="8"/>
  <c r="AK11078" i="8"/>
  <c r="AH11078" i="8"/>
  <c r="AK9063" i="8"/>
  <c r="AH9782" i="8"/>
  <c r="AK11372" i="8"/>
  <c r="AK8915" i="8"/>
  <c r="AH8915" i="8"/>
  <c r="AH11372" i="8"/>
  <c r="AK8991" i="8"/>
  <c r="AK8737" i="8"/>
  <c r="AH8991" i="8"/>
  <c r="AI10902" i="8"/>
  <c r="AJ10902" i="8" s="1"/>
  <c r="AH10958" i="8"/>
  <c r="AK10958" i="8"/>
  <c r="AH8891" i="8"/>
  <c r="AK11142" i="8"/>
  <c r="AJ8891" i="8"/>
  <c r="AK8891" i="8"/>
  <c r="AK8263" i="8"/>
  <c r="AH11142" i="8"/>
  <c r="AK10334" i="8"/>
  <c r="AK9488" i="8"/>
  <c r="AH11444" i="8"/>
  <c r="AK11444" i="8"/>
  <c r="AK6887" i="8"/>
  <c r="AH6887" i="8"/>
  <c r="AH11418" i="8"/>
  <c r="AK11418" i="8"/>
  <c r="AH10622" i="8"/>
  <c r="AK10622" i="8"/>
  <c r="AH9504" i="8"/>
  <c r="AK10810" i="8"/>
  <c r="AH10810" i="8"/>
  <c r="AK10042" i="8"/>
  <c r="AH10042" i="8"/>
  <c r="AH9363" i="8"/>
  <c r="AK9363" i="8"/>
  <c r="AH8743" i="8"/>
  <c r="AH8557" i="8"/>
  <c r="AK8557" i="8"/>
  <c r="AH8339" i="8"/>
  <c r="AH10682" i="8"/>
  <c r="AK10682" i="8"/>
  <c r="AH10980" i="8"/>
  <c r="AK10980" i="8"/>
  <c r="AH8439" i="8"/>
  <c r="AH10774" i="8"/>
  <c r="AK10774" i="8"/>
  <c r="AH8509" i="8"/>
  <c r="AK8509" i="8"/>
  <c r="AH11062" i="8"/>
  <c r="AK11062" i="8"/>
  <c r="AK10026" i="8"/>
  <c r="AH10026" i="8"/>
  <c r="AH10738" i="8"/>
  <c r="AK10738" i="8"/>
  <c r="AH9134" i="8"/>
  <c r="AH9299" i="8"/>
  <c r="AK9299" i="8"/>
  <c r="AH9950" i="8"/>
  <c r="AH8997" i="8"/>
  <c r="AK8124" i="8"/>
  <c r="AH8124" i="8"/>
  <c r="AK10816" i="8"/>
  <c r="AH10816" i="8"/>
  <c r="AH10352" i="8"/>
  <c r="AK10352" i="8"/>
  <c r="AH8903" i="8"/>
  <c r="AK8903" i="8"/>
  <c r="AH11338" i="8"/>
  <c r="AK11338" i="8"/>
  <c r="AH9516" i="8"/>
  <c r="AH9162" i="8"/>
  <c r="AH8114" i="8"/>
  <c r="AH10328" i="8"/>
  <c r="AK10328" i="8"/>
  <c r="AK9890" i="8"/>
  <c r="AH9890" i="8"/>
  <c r="AH10245" i="8"/>
  <c r="AK10245" i="8"/>
  <c r="AH8333" i="8"/>
  <c r="AK8333" i="8"/>
  <c r="AH8269" i="8"/>
  <c r="AK8269" i="8"/>
  <c r="AH9694" i="8"/>
  <c r="AH10438" i="8"/>
  <c r="AK10438" i="8"/>
  <c r="AH9347" i="8"/>
  <c r="AK9347" i="8"/>
  <c r="AH9305" i="8"/>
  <c r="AH8281" i="8"/>
  <c r="AK8281" i="8"/>
  <c r="AK9369" i="8"/>
  <c r="AH10251" i="8"/>
  <c r="AK11262" i="8"/>
  <c r="AH10450" i="8"/>
  <c r="AK10450" i="8"/>
  <c r="AH8951" i="8"/>
  <c r="AK8951" i="8"/>
  <c r="AH8527" i="8"/>
  <c r="AH10688" i="8"/>
  <c r="AH10676" i="8"/>
  <c r="AH9027" i="8"/>
  <c r="AK9027" i="8"/>
  <c r="AH10137" i="8"/>
  <c r="AK10137" i="8"/>
  <c r="AH8909" i="8"/>
  <c r="AH10518" i="8"/>
  <c r="AK10518" i="8"/>
  <c r="AH9776" i="8"/>
  <c r="AH9896" i="8"/>
  <c r="AK9896" i="8"/>
  <c r="AH10390" i="8"/>
  <c r="AH8957" i="8"/>
  <c r="AK8957" i="8"/>
  <c r="AH8044" i="8"/>
  <c r="AK10358" i="8"/>
  <c r="AH10358" i="8"/>
  <c r="AH9666" i="8"/>
  <c r="AK9666" i="8"/>
  <c r="AH9051" i="8"/>
  <c r="AH9706" i="8"/>
  <c r="AK9706" i="8"/>
  <c r="AH8643" i="8"/>
  <c r="AH8897" i="8"/>
  <c r="AK8897" i="8"/>
  <c r="AH8679" i="8"/>
  <c r="AH9498" i="8"/>
  <c r="AH11332" i="8"/>
  <c r="AK11332" i="8"/>
  <c r="AH9335" i="8"/>
  <c r="AH11350" i="8"/>
  <c r="AH8979" i="8"/>
  <c r="AH11366" i="8"/>
  <c r="AH8257" i="8"/>
  <c r="AH10758" i="8"/>
  <c r="AK9357" i="8"/>
  <c r="AH9357" i="8"/>
  <c r="AI9950" i="8"/>
  <c r="AJ9950" i="8" s="1"/>
  <c r="AH10428" i="8"/>
  <c r="AK10428" i="8"/>
  <c r="AH9567" i="8"/>
  <c r="AK9567" i="8"/>
  <c r="AH10698" i="8"/>
  <c r="AK10143" i="8"/>
  <c r="AH10143" i="8"/>
  <c r="AK10346" i="8"/>
  <c r="AH10346" i="8"/>
  <c r="AH9744" i="8"/>
  <c r="AK9744" i="8"/>
  <c r="AH9180" i="8"/>
  <c r="AH11274" i="8"/>
  <c r="AH9387" i="8"/>
  <c r="AH10322" i="8"/>
  <c r="AK8074" i="8"/>
  <c r="AH8074" i="8"/>
  <c r="AH10606" i="8"/>
  <c r="AH10888" i="8"/>
  <c r="AH8927" i="8"/>
  <c r="AH10091" i="8"/>
  <c r="AH9678" i="8"/>
  <c r="AK9678" i="8"/>
  <c r="AH8034" i="8"/>
  <c r="AK11050" i="8"/>
  <c r="AK10784" i="8"/>
  <c r="AH10784" i="8"/>
  <c r="AH9573" i="8"/>
  <c r="AH11394" i="8"/>
  <c r="AH8871" i="8"/>
  <c r="AK8871" i="8"/>
  <c r="AK10298" i="8"/>
  <c r="AH10298" i="8"/>
  <c r="AH8725" i="8"/>
  <c r="AH11182" i="8"/>
  <c r="AH11056" i="8"/>
  <c r="AK11056" i="8"/>
  <c r="AH8945" i="8"/>
  <c r="AK8945" i="8"/>
  <c r="AH11154" i="8"/>
  <c r="AH9876" i="8"/>
  <c r="AK9876" i="8"/>
  <c r="AH11148" i="8"/>
  <c r="AH10826" i="8"/>
  <c r="AH10842" i="8"/>
  <c r="AH9846" i="8"/>
  <c r="AK9846" i="8"/>
  <c r="AH11090" i="8"/>
  <c r="AK10704" i="8"/>
  <c r="AH10704" i="8"/>
  <c r="AH9470" i="8"/>
  <c r="AH8855" i="8"/>
  <c r="AK8855" i="8"/>
  <c r="AH11188" i="8"/>
  <c r="AK11188" i="8"/>
  <c r="AK9974" i="8"/>
  <c r="AH9974" i="8"/>
  <c r="AH8545" i="8"/>
  <c r="AK8545" i="8"/>
  <c r="AH9760" i="8"/>
  <c r="AK9760" i="8"/>
  <c r="AH9140" i="8"/>
  <c r="AK9140" i="8"/>
  <c r="AH10506" i="8"/>
  <c r="AK10506" i="8"/>
  <c r="AH9156" i="8"/>
  <c r="AK9156" i="8"/>
  <c r="AH11252" i="8"/>
  <c r="AK11252" i="8"/>
  <c r="AH10308" i="8"/>
  <c r="AK10308" i="8"/>
  <c r="AH9009" i="8"/>
  <c r="AK9009" i="8"/>
  <c r="AH9824" i="8"/>
  <c r="AK9824" i="8"/>
  <c r="AH8309" i="8"/>
  <c r="AK8309" i="8"/>
  <c r="AK10732" i="8"/>
  <c r="AH10732" i="8"/>
  <c r="AH10261" i="8"/>
  <c r="AK10261" i="8"/>
  <c r="AH8024" i="8"/>
  <c r="AK8024" i="8"/>
  <c r="AH9057" i="8"/>
  <c r="AK9057" i="8"/>
  <c r="AH10952" i="8"/>
  <c r="AK10952" i="8"/>
  <c r="AH9788" i="8"/>
  <c r="AK9788" i="8"/>
  <c r="AH9168" i="8"/>
  <c r="AK9168" i="8"/>
  <c r="AH8701" i="8"/>
  <c r="AK8701" i="8"/>
  <c r="AH11160" i="8"/>
  <c r="AK11160" i="8"/>
  <c r="AK10159" i="8"/>
  <c r="AH10159" i="8"/>
  <c r="AH10866" i="8"/>
  <c r="AK10866" i="8"/>
  <c r="AH8297" i="8"/>
  <c r="AK8297" i="8"/>
  <c r="AK10213" i="8"/>
  <c r="AH10213" i="8"/>
  <c r="AK10574" i="8"/>
  <c r="AH10574" i="8"/>
  <c r="AH9128" i="8"/>
  <c r="AK9128" i="8"/>
  <c r="AH8731" i="8"/>
  <c r="AK8731" i="8"/>
  <c r="AK11170" i="8"/>
  <c r="AH11170" i="8"/>
  <c r="AH11044" i="8"/>
  <c r="AK11044" i="8"/>
  <c r="AK10588" i="8"/>
  <c r="AH10588" i="8"/>
  <c r="AH9323" i="8"/>
  <c r="AK9323" i="8"/>
  <c r="AH8707" i="8"/>
  <c r="AK8707" i="8"/>
  <c r="AK10101" i="8"/>
  <c r="AH10101" i="8"/>
  <c r="AH9311" i="8"/>
  <c r="AK9311" i="8"/>
  <c r="AK11388" i="8"/>
  <c r="AH11388" i="8"/>
  <c r="AH8921" i="8"/>
  <c r="AK8921" i="8"/>
  <c r="AK8695" i="8"/>
  <c r="AH8695" i="8"/>
  <c r="AH9399" i="8"/>
  <c r="AK9399" i="8"/>
  <c r="AK9476" i="8"/>
  <c r="AH9476" i="8"/>
  <c r="AH10726" i="8"/>
  <c r="AK10726" i="8"/>
  <c r="AH10470" i="8"/>
  <c r="AK10470" i="8"/>
  <c r="AK9329" i="8"/>
  <c r="AH9329" i="8"/>
  <c r="AH8533" i="8"/>
  <c r="AK8533" i="8"/>
  <c r="AK10832" i="8"/>
  <c r="AH10832" i="8"/>
  <c r="AK8245" i="8"/>
  <c r="AH8245" i="8"/>
  <c r="AH11084" i="8"/>
  <c r="AK11084" i="8"/>
  <c r="AK10616" i="8"/>
  <c r="AH10616" i="8"/>
  <c r="AH10490" i="8"/>
  <c r="AK10490" i="8"/>
  <c r="AH9510" i="8"/>
  <c r="AK9510" i="8"/>
  <c r="AH9033" i="8"/>
  <c r="AK9033" i="8"/>
  <c r="AK11360" i="8"/>
  <c r="AH11360" i="8"/>
  <c r="AH9852" i="8"/>
  <c r="AK9852" i="8"/>
  <c r="AH9830" i="8"/>
  <c r="AK9830" i="8"/>
  <c r="AK10594" i="8"/>
  <c r="AH10594" i="8"/>
  <c r="AH9700" i="8"/>
  <c r="AK9700" i="8"/>
  <c r="AH8719" i="8"/>
  <c r="AK8719" i="8"/>
  <c r="AH8985" i="8"/>
  <c r="AK8985" i="8"/>
  <c r="AH8345" i="8"/>
  <c r="AK8345" i="8"/>
  <c r="AH10662" i="8"/>
  <c r="AK10662" i="8"/>
  <c r="AH9920" i="8"/>
  <c r="AK9920" i="8"/>
  <c r="AI10390" i="8"/>
  <c r="AJ10390" i="8" s="1"/>
  <c r="AI8044" i="8"/>
  <c r="AJ8044" i="8" s="1"/>
  <c r="AH11176" i="8"/>
  <c r="AK11176" i="8"/>
  <c r="AI9504" i="8"/>
  <c r="AJ9504" i="8" s="1"/>
  <c r="AH9045" i="8"/>
  <c r="AK9045" i="8"/>
  <c r="AK10768" i="8"/>
  <c r="AH10768" i="8"/>
  <c r="AI9051" i="8"/>
  <c r="AJ9051" i="8" s="1"/>
  <c r="AH8104" i="8"/>
  <c r="AK8104" i="8"/>
  <c r="AH10634" i="8"/>
  <c r="AK10634" i="8"/>
  <c r="AI8643" i="8"/>
  <c r="AJ8643" i="8" s="1"/>
  <c r="AH10710" i="8"/>
  <c r="AK10710" i="8"/>
  <c r="AH10422" i="8"/>
  <c r="AK10422" i="8"/>
  <c r="AH9595" i="8"/>
  <c r="AK9595" i="8"/>
  <c r="AI8743" i="8"/>
  <c r="AJ8743" i="8" s="1"/>
  <c r="AI8679" i="8"/>
  <c r="AJ8679" i="8" s="1"/>
  <c r="AK8064" i="8"/>
  <c r="AH8064" i="8"/>
  <c r="AH10964" i="8"/>
  <c r="AK10964" i="8"/>
  <c r="AI9498" i="8"/>
  <c r="AJ9498" i="8" s="1"/>
  <c r="AH8493" i="8"/>
  <c r="AK8493" i="8"/>
  <c r="AI8339" i="8"/>
  <c r="AJ8339" i="8" s="1"/>
  <c r="AH9932" i="8"/>
  <c r="AK9932" i="8"/>
  <c r="AH10207" i="8"/>
  <c r="AK10207" i="8"/>
  <c r="AI9335" i="8"/>
  <c r="AJ9335" i="8" s="1"/>
  <c r="AH11072" i="8"/>
  <c r="AK11072" i="8"/>
  <c r="AH10936" i="8"/>
  <c r="AK10936" i="8"/>
  <c r="AH9902" i="8"/>
  <c r="AK9902" i="8"/>
  <c r="AI8439" i="8"/>
  <c r="AJ8439" i="8" s="1"/>
  <c r="AI11350" i="8"/>
  <c r="AJ11350" i="8" s="1"/>
  <c r="AH10191" i="8"/>
  <c r="AK10191" i="8"/>
  <c r="AI8979" i="8"/>
  <c r="AJ8979" i="8" s="1"/>
  <c r="AI11366" i="8"/>
  <c r="AJ11366" i="8" s="1"/>
  <c r="AH10790" i="8"/>
  <c r="AK10790" i="8"/>
  <c r="AH10500" i="8"/>
  <c r="AK10500" i="8"/>
  <c r="AH8667" i="8"/>
  <c r="AK8667" i="8"/>
  <c r="AH11280" i="8"/>
  <c r="AK11280" i="8"/>
  <c r="AH10153" i="8"/>
  <c r="AK10153" i="8"/>
  <c r="AI9134" i="8"/>
  <c r="AJ9134" i="8" s="1"/>
  <c r="AH9672" i="8"/>
  <c r="AK9672" i="8"/>
  <c r="AH10924" i="8"/>
  <c r="AK10924" i="8"/>
  <c r="AH10000" i="8"/>
  <c r="AK10000" i="8"/>
  <c r="AH9986" i="8"/>
  <c r="AK9986" i="8"/>
  <c r="AI8257" i="8"/>
  <c r="AJ8257" i="8" s="1"/>
  <c r="AI10758" i="8"/>
  <c r="AJ10758" i="8" s="1"/>
  <c r="AH9870" i="8"/>
  <c r="AK9870" i="8"/>
  <c r="AK10930" i="8"/>
  <c r="AH10930" i="8"/>
  <c r="AK10644" i="8"/>
  <c r="AH10644" i="8"/>
  <c r="AH9482" i="8"/>
  <c r="AK9482" i="8"/>
  <c r="AI8997" i="8"/>
  <c r="AJ8997" i="8" s="1"/>
  <c r="AH11096" i="8"/>
  <c r="AK11096" i="8"/>
  <c r="AH11378" i="8"/>
  <c r="AK11378" i="8"/>
  <c r="AK10006" i="8"/>
  <c r="AH10006" i="8"/>
  <c r="AH8973" i="8"/>
  <c r="AK8973" i="8"/>
  <c r="AI10698" i="8"/>
  <c r="AJ10698" i="8" s="1"/>
  <c r="AK10564" i="8"/>
  <c r="AH10564" i="8"/>
  <c r="AI9516" i="8"/>
  <c r="AJ9516" i="8" s="1"/>
  <c r="AH8084" i="8"/>
  <c r="AK8084" i="8"/>
  <c r="AI9162" i="8"/>
  <c r="AJ9162" i="8" s="1"/>
  <c r="AK10878" i="8"/>
  <c r="AI9180" i="8"/>
  <c r="AJ9180" i="8" s="1"/>
  <c r="AH8321" i="8"/>
  <c r="AK8321" i="8"/>
  <c r="AI8114" i="8"/>
  <c r="AJ8114" i="8" s="1"/>
  <c r="AI11274" i="8"/>
  <c r="AJ11274" i="8" s="1"/>
  <c r="AH9766" i="8"/>
  <c r="AK9766" i="8"/>
  <c r="AI9387" i="8"/>
  <c r="AJ9387" i="8" s="1"/>
  <c r="AH11268" i="8"/>
  <c r="AK11268" i="8"/>
  <c r="AI10322" i="8"/>
  <c r="AJ10322" i="8" s="1"/>
  <c r="AH10340" i="8"/>
  <c r="AK10340" i="8"/>
  <c r="AH8933" i="8"/>
  <c r="AK8933" i="8"/>
  <c r="AI10606" i="8"/>
  <c r="AJ10606" i="8" s="1"/>
  <c r="AI10888" i="8"/>
  <c r="AJ10888" i="8" s="1"/>
  <c r="AI8927" i="8"/>
  <c r="AJ8927" i="8" s="1"/>
  <c r="AH11240" i="8"/>
  <c r="AK11240" i="8"/>
  <c r="AI10091" i="8"/>
  <c r="AJ10091" i="8" s="1"/>
  <c r="AI8034" i="8"/>
  <c r="AJ8034" i="8" s="1"/>
  <c r="AI9694" i="8"/>
  <c r="AJ9694" i="8" s="1"/>
  <c r="AI9573" i="8"/>
  <c r="AJ9573" i="8" s="1"/>
  <c r="AH9003" i="8"/>
  <c r="AK9003" i="8"/>
  <c r="AI11394" i="8"/>
  <c r="AJ11394" i="8" s="1"/>
  <c r="AH9956" i="8"/>
  <c r="AK9956" i="8"/>
  <c r="AH9654" i="8"/>
  <c r="AK9654" i="8"/>
  <c r="AI9305" i="8"/>
  <c r="AJ9305" i="8" s="1"/>
  <c r="AI8725" i="8"/>
  <c r="AJ8725" i="8" s="1"/>
  <c r="AI11182" i="8"/>
  <c r="AJ11182" i="8" s="1"/>
  <c r="AK8939" i="8"/>
  <c r="AH10908" i="8"/>
  <c r="AK10908" i="8"/>
  <c r="AH8445" i="8"/>
  <c r="AK8445" i="8"/>
  <c r="AI10251" i="8"/>
  <c r="AJ10251" i="8" s="1"/>
  <c r="AK9381" i="8"/>
  <c r="AH9381" i="8"/>
  <c r="AH9021" i="8"/>
  <c r="AK9021" i="8"/>
  <c r="AH8481" i="8"/>
  <c r="AK8481" i="8"/>
  <c r="AI8527" i="8"/>
  <c r="AJ8527" i="8" s="1"/>
  <c r="AI11154" i="8"/>
  <c r="AJ11154" i="8" s="1"/>
  <c r="AI10688" i="8"/>
  <c r="AJ10688" i="8" s="1"/>
  <c r="AH10456" i="8"/>
  <c r="AK10456" i="8"/>
  <c r="AH9583" i="8"/>
  <c r="AK9583" i="8"/>
  <c r="AH8521" i="8"/>
  <c r="AK8521" i="8"/>
  <c r="AI11148" i="8"/>
  <c r="AJ11148" i="8" s="1"/>
  <c r="AI10676" i="8"/>
  <c r="AJ10676" i="8" s="1"/>
  <c r="AH9980" i="8"/>
  <c r="AK9980" i="8"/>
  <c r="AH10406" i="8"/>
  <c r="AK10406" i="8"/>
  <c r="AH8457" i="8"/>
  <c r="AK8457" i="8"/>
  <c r="AK10946" i="8"/>
  <c r="AH10946" i="8"/>
  <c r="AI10826" i="8"/>
  <c r="AJ10826" i="8" s="1"/>
  <c r="AH9375" i="8"/>
  <c r="AK9375" i="8"/>
  <c r="AI8909" i="8"/>
  <c r="AJ8909" i="8" s="1"/>
  <c r="AI10842" i="8"/>
  <c r="AJ10842" i="8" s="1"/>
  <c r="AH8655" i="8"/>
  <c r="AK8655" i="8"/>
  <c r="AI11090" i="8"/>
  <c r="AJ11090" i="8" s="1"/>
  <c r="AI9776" i="8"/>
  <c r="AJ9776" i="8" s="1"/>
  <c r="AI9470" i="8"/>
  <c r="AJ9470" i="8" s="1"/>
  <c r="AH8469" i="8"/>
  <c r="AK8469" i="8"/>
  <c r="AK8315" i="8"/>
  <c r="AH8315" i="8"/>
  <c r="AH10650" i="8"/>
  <c r="AK10650" i="8"/>
  <c r="AK9405" i="8"/>
  <c r="AH9405" i="8"/>
  <c r="AK7204" i="8"/>
  <c r="AH7608" i="8"/>
  <c r="AH7204" i="8"/>
  <c r="AH5035" i="8"/>
  <c r="AK5029" i="8"/>
  <c r="AK58" i="8"/>
  <c r="AH6677" i="8"/>
  <c r="AK5035" i="8"/>
  <c r="AH58" i="8"/>
  <c r="AH6383" i="8"/>
  <c r="AK6677" i="8"/>
  <c r="AH7362" i="8"/>
  <c r="AH5029" i="8"/>
  <c r="AH278" i="8"/>
  <c r="AK7269" i="8"/>
  <c r="AH7269" i="8"/>
  <c r="AK6942" i="8"/>
  <c r="AH7445" i="8"/>
  <c r="AH6942" i="8"/>
  <c r="AK7602" i="8"/>
  <c r="AK7259" i="8"/>
  <c r="AH3859" i="8"/>
  <c r="AK7362" i="8"/>
  <c r="AK7608" i="8"/>
  <c r="AK3859" i="8"/>
  <c r="AJ7445" i="8"/>
  <c r="AK7445" i="8"/>
  <c r="F7832" i="8"/>
  <c r="F7838" i="8" s="1"/>
  <c r="AI6792" i="8"/>
  <c r="AJ6792" i="8" s="1"/>
  <c r="AK3703" i="8"/>
  <c r="F138" i="8"/>
  <c r="AI138" i="8"/>
  <c r="F165" i="8"/>
  <c r="AI165" i="8"/>
  <c r="AH7485" i="8"/>
  <c r="AH418" i="8"/>
  <c r="AH6853" i="8"/>
  <c r="AH7114" i="8"/>
  <c r="AH3206" i="8"/>
  <c r="AH7636" i="8"/>
  <c r="AH5111" i="8"/>
  <c r="AH7847" i="8"/>
  <c r="AI6859" i="8"/>
  <c r="AJ6859" i="8" s="1"/>
  <c r="AH6859" i="8"/>
  <c r="AH428" i="8"/>
  <c r="AH7022" i="8"/>
  <c r="AK7022" i="8"/>
  <c r="AH368" i="8"/>
  <c r="AK368" i="8"/>
  <c r="AH7742" i="8"/>
  <c r="AK7742" i="8"/>
  <c r="AH7322" i="8"/>
  <c r="AK7322" i="8"/>
  <c r="AI5147" i="8"/>
  <c r="AJ5147" i="8" s="1"/>
  <c r="AH5147" i="8"/>
  <c r="AK4877" i="8"/>
  <c r="AH4877" i="8"/>
  <c r="AH6954" i="8"/>
  <c r="AK6954" i="8"/>
  <c r="AH4941" i="8"/>
  <c r="AK4941" i="8"/>
  <c r="AK6899" i="8"/>
  <c r="AH6899" i="8"/>
  <c r="AH6893" i="8"/>
  <c r="AK6893" i="8"/>
  <c r="AK7807" i="8"/>
  <c r="AH7807" i="8"/>
  <c r="AI7648" i="8"/>
  <c r="AJ7648" i="8" s="1"/>
  <c r="AH7648" i="8"/>
  <c r="AH7700" i="8"/>
  <c r="AK7700" i="8"/>
  <c r="AH7433" i="8"/>
  <c r="AK7433" i="8"/>
  <c r="AI49" i="8"/>
  <c r="AJ49" i="8" s="1"/>
  <c r="AH49" i="8"/>
  <c r="AH7328" i="8"/>
  <c r="AK7328" i="8"/>
  <c r="AH6976" i="8"/>
  <c r="AK6976" i="8"/>
  <c r="AH7765" i="8"/>
  <c r="AK7765" i="8"/>
  <c r="AH7534" i="8"/>
  <c r="AK7534" i="8"/>
  <c r="AH298" i="8"/>
  <c r="AK298" i="8"/>
  <c r="AH5099" i="8"/>
  <c r="AH7287" i="8"/>
  <c r="AK7287" i="8"/>
  <c r="AH5041" i="8"/>
  <c r="AK5041" i="8"/>
  <c r="AH3796" i="8"/>
  <c r="AK3796" i="8"/>
  <c r="AK318" i="8"/>
  <c r="AH318" i="8"/>
  <c r="AH4128" i="8"/>
  <c r="AK4128" i="8"/>
  <c r="AH3608" i="8"/>
  <c r="AK3608" i="8"/>
  <c r="AH7241" i="8"/>
  <c r="AK7241" i="8"/>
  <c r="AH6613" i="8"/>
  <c r="AK6613" i="8"/>
  <c r="AH7789" i="8"/>
  <c r="AK7789" i="8"/>
  <c r="AH82" i="8"/>
  <c r="AK82" i="8"/>
  <c r="AK7010" i="8"/>
  <c r="AH7010" i="8"/>
  <c r="AH7516" i="8"/>
  <c r="AK4869" i="8"/>
  <c r="AH4869" i="8"/>
  <c r="AH398" i="8"/>
  <c r="AK398" i="8"/>
  <c r="AH6376" i="8"/>
  <c r="AK6376" i="8"/>
  <c r="AH3129" i="8"/>
  <c r="AK3129" i="8"/>
  <c r="AH6982" i="8"/>
  <c r="AK6982" i="8"/>
  <c r="AH7090" i="8"/>
  <c r="AK7090" i="8"/>
  <c r="AH7198" i="8"/>
  <c r="AK7198" i="8"/>
  <c r="AK106" i="8"/>
  <c r="AH106" i="8"/>
  <c r="AH7102" i="8"/>
  <c r="AK7102" i="8"/>
  <c r="AH7556" i="8"/>
  <c r="AK7556" i="8"/>
  <c r="AK39" i="8"/>
  <c r="AH39" i="8"/>
  <c r="AH7660" i="8"/>
  <c r="AK7660" i="8"/>
  <c r="AI5099" i="8"/>
  <c r="AJ5099" i="8" s="1"/>
  <c r="AH7522" i="8"/>
  <c r="AK7522" i="8"/>
  <c r="AI5093" i="8"/>
  <c r="AJ5093" i="8" s="1"/>
  <c r="AH5093" i="8"/>
  <c r="AH7718" i="8"/>
  <c r="AK7718" i="8"/>
  <c r="AH5075" i="8"/>
  <c r="AK5075" i="8"/>
  <c r="AH6699" i="8"/>
  <c r="AK6699" i="8"/>
  <c r="AK6905" i="8"/>
  <c r="AK7247" i="8"/>
  <c r="AH7247" i="8"/>
  <c r="AH7344" i="8"/>
  <c r="AK7344" i="8"/>
  <c r="AH7423" i="8"/>
  <c r="AK7423" i="8"/>
  <c r="AH4355" i="8"/>
  <c r="AK4355" i="8"/>
  <c r="AH201" i="8"/>
  <c r="AK201" i="8"/>
  <c r="AH7630" i="8"/>
  <c r="AH7777" i="8"/>
  <c r="AH112" i="8"/>
  <c r="AK6689" i="8"/>
  <c r="AH6689" i="8"/>
  <c r="AH5105" i="8"/>
  <c r="AH6948" i="8"/>
  <c r="AH5121" i="8"/>
  <c r="AH4515" i="8"/>
  <c r="AI7771" i="8"/>
  <c r="AJ7771" i="8" s="1"/>
  <c r="AH7771" i="8"/>
  <c r="AH6619" i="8"/>
  <c r="AK6619" i="8"/>
  <c r="AH3571" i="8"/>
  <c r="AK3571" i="8"/>
  <c r="AH526" i="8"/>
  <c r="AK526" i="8"/>
  <c r="AH7334" i="8"/>
  <c r="AK7334" i="8"/>
  <c r="AK378" i="8"/>
  <c r="AH378" i="8"/>
  <c r="AH7164" i="8"/>
  <c r="AK7164" i="8"/>
  <c r="AH7590" i="8"/>
  <c r="AK7590" i="8"/>
  <c r="AH7152" i="8"/>
  <c r="AK7152" i="8"/>
  <c r="AH3167" i="8"/>
  <c r="AK3167" i="8"/>
  <c r="AH5069" i="8"/>
  <c r="AK5069" i="8"/>
  <c r="AH7491" i="8"/>
  <c r="AK7491" i="8"/>
  <c r="AK6871" i="8"/>
  <c r="AH4340" i="8"/>
  <c r="AK4340" i="8"/>
  <c r="AH7417" i="8"/>
  <c r="AK7417" i="8"/>
  <c r="AH3441" i="8"/>
  <c r="AK3441" i="8"/>
  <c r="AH7574" i="8"/>
  <c r="AK7574" i="8"/>
  <c r="AH358" i="8"/>
  <c r="AK358" i="8"/>
  <c r="AK268" i="8"/>
  <c r="AH268" i="8"/>
  <c r="AH5017" i="8"/>
  <c r="AK5017" i="8"/>
  <c r="AH7666" i="8"/>
  <c r="AK7666" i="8"/>
  <c r="AH5131" i="8"/>
  <c r="AK5131" i="8"/>
  <c r="AH7399" i="8"/>
  <c r="AK7399" i="8"/>
  <c r="AH1068" i="8"/>
  <c r="AK1068" i="8"/>
  <c r="AI112" i="8"/>
  <c r="AJ112" i="8" s="1"/>
  <c r="AH6865" i="8"/>
  <c r="AK6865" i="8"/>
  <c r="AH100" i="8"/>
  <c r="AH7801" i="8"/>
  <c r="AK7801" i="8"/>
  <c r="AH7253" i="8"/>
  <c r="AK7253" i="8"/>
  <c r="AH6705" i="8"/>
  <c r="AK6705" i="8"/>
  <c r="AH4072" i="8"/>
  <c r="AK4072" i="8"/>
  <c r="AH3592" i="8"/>
  <c r="AK3592" i="8"/>
  <c r="AK6683" i="8"/>
  <c r="AH6683" i="8"/>
  <c r="AH6780" i="8"/>
  <c r="AK6780" i="8"/>
  <c r="AH7873" i="8"/>
  <c r="AK7823" i="8"/>
  <c r="AK5087" i="8"/>
  <c r="AH5087" i="8"/>
  <c r="AH4985" i="8"/>
  <c r="AK4985" i="8"/>
  <c r="AH6742" i="8"/>
  <c r="AK6742" i="8"/>
  <c r="AH7186" i="8"/>
  <c r="AK7186" i="8"/>
  <c r="AK6383" i="8"/>
  <c r="AH5081" i="8"/>
  <c r="AK5081" i="8"/>
  <c r="AH7672" i="8"/>
  <c r="AK7672" i="8"/>
  <c r="AI7678" i="8"/>
  <c r="AJ7678" i="8" s="1"/>
  <c r="AH7678" i="8"/>
  <c r="AH7174" i="8"/>
  <c r="AK7174" i="8"/>
  <c r="AK4892" i="8"/>
  <c r="AH4892" i="8"/>
  <c r="AH7642" i="8"/>
  <c r="AK7642" i="8"/>
  <c r="AH7562" i="8"/>
  <c r="AK7562" i="8"/>
  <c r="AH7096" i="8"/>
  <c r="AK7096" i="8"/>
  <c r="AK7312" i="8"/>
  <c r="AH7312" i="8"/>
  <c r="AH6841" i="8"/>
  <c r="AK6841" i="8"/>
  <c r="AH7712" i="8"/>
  <c r="AK7712" i="8"/>
  <c r="AH6960" i="8"/>
  <c r="AH7540" i="8"/>
  <c r="AH5883" i="8"/>
  <c r="AH7192" i="8"/>
  <c r="AH308" i="8"/>
  <c r="AH338" i="8"/>
  <c r="AH448" i="8"/>
  <c r="AK448" i="8"/>
  <c r="AK4152" i="8"/>
  <c r="AH4152" i="8"/>
  <c r="AH3727" i="8"/>
  <c r="AK3727" i="8"/>
  <c r="AH4947" i="8"/>
  <c r="AK4947" i="8"/>
  <c r="AH94" i="8"/>
  <c r="AK94" i="8"/>
  <c r="AH6754" i="8"/>
  <c r="AK6754" i="8"/>
  <c r="AH7439" i="8"/>
  <c r="AK7439" i="8"/>
  <c r="AH6917" i="8"/>
  <c r="AK6917" i="8"/>
  <c r="AH551" i="8"/>
  <c r="AK551" i="8"/>
  <c r="AH7004" i="8"/>
  <c r="AK7004" i="8"/>
  <c r="AH7614" i="8"/>
  <c r="AK7614" i="8"/>
  <c r="AH1060" i="8"/>
  <c r="AK1060" i="8"/>
  <c r="AH6607" i="8"/>
  <c r="AK6607" i="8"/>
  <c r="AH4658" i="8"/>
  <c r="AK4658" i="8"/>
  <c r="AK7368" i="8"/>
  <c r="AH7368" i="8"/>
  <c r="AI70" i="8"/>
  <c r="AJ70" i="8" s="1"/>
  <c r="AH70" i="8"/>
  <c r="AI23" i="8"/>
  <c r="AJ23" i="8" s="1"/>
  <c r="AH23" i="8"/>
  <c r="AH3600" i="8"/>
  <c r="AK3600" i="8"/>
  <c r="AK76" i="8"/>
  <c r="AH76" i="8"/>
  <c r="AI7485" i="8"/>
  <c r="AJ7485" i="8" s="1"/>
  <c r="AH7467" i="8"/>
  <c r="AK7467" i="8"/>
  <c r="AI6960" i="8"/>
  <c r="AJ6960" i="8" s="1"/>
  <c r="AI7630" i="8"/>
  <c r="AJ7630" i="8" s="1"/>
  <c r="AI418" i="8"/>
  <c r="AJ418" i="8" s="1"/>
  <c r="AI7777" i="8"/>
  <c r="AJ7777" i="8" s="1"/>
  <c r="AK258" i="8"/>
  <c r="AH258" i="8"/>
  <c r="AI7540" i="8"/>
  <c r="AJ7540" i="8" s="1"/>
  <c r="AI29" i="8"/>
  <c r="AJ29" i="8" s="1"/>
  <c r="AH29" i="8"/>
  <c r="AI4474" i="8"/>
  <c r="AJ4474" i="8" s="1"/>
  <c r="AH4474" i="8"/>
  <c r="AH7654" i="8"/>
  <c r="AK7654" i="8"/>
  <c r="AH6671" i="8"/>
  <c r="AK6671" i="8"/>
  <c r="AH5059" i="8"/>
  <c r="AK5059" i="8"/>
  <c r="AI100" i="8"/>
  <c r="AJ100" i="8" s="1"/>
  <c r="AH217" i="8"/>
  <c r="AK217" i="8"/>
  <c r="AH6966" i="8"/>
  <c r="AK6966" i="8"/>
  <c r="AH7451" i="8"/>
  <c r="AK7451" i="8"/>
  <c r="AI7516" i="8"/>
  <c r="AJ7516" i="8" s="1"/>
  <c r="AH6390" i="8"/>
  <c r="AK6390" i="8"/>
  <c r="AH7817" i="8"/>
  <c r="AK7817" i="8"/>
  <c r="AH3820" i="8"/>
  <c r="AK3820" i="8"/>
  <c r="AH7706" i="8"/>
  <c r="AK7706" i="8"/>
  <c r="AI6853" i="8"/>
  <c r="AJ6853" i="8" s="1"/>
  <c r="AI7114" i="8"/>
  <c r="AJ7114" i="8" s="1"/>
  <c r="AI7873" i="8"/>
  <c r="AJ7873" i="8" s="1"/>
  <c r="AH7275" i="8"/>
  <c r="AK7275" i="8"/>
  <c r="AH4900" i="8"/>
  <c r="AK4900" i="8"/>
  <c r="AK328" i="8"/>
  <c r="AH328" i="8"/>
  <c r="AK7473" i="8"/>
  <c r="AH7473" i="8"/>
  <c r="AH7528" i="8"/>
  <c r="AK7528" i="8"/>
  <c r="AH7356" i="8"/>
  <c r="AK7356" i="8"/>
  <c r="AH6798" i="8"/>
  <c r="AK6798" i="8"/>
  <c r="AH6988" i="8"/>
  <c r="AK6988" i="8"/>
  <c r="AH7596" i="8"/>
  <c r="AK7596" i="8"/>
  <c r="AK7108" i="8"/>
  <c r="AI5883" i="8"/>
  <c r="AJ5883" i="8" s="1"/>
  <c r="AI7192" i="8"/>
  <c r="AJ7192" i="8" s="1"/>
  <c r="AI3206" i="8"/>
  <c r="AJ3206" i="8" s="1"/>
  <c r="AH3222" i="8"/>
  <c r="AK3222" i="8"/>
  <c r="AH88" i="8"/>
  <c r="AK88" i="8"/>
  <c r="AH7405" i="8"/>
  <c r="AK7405" i="8"/>
  <c r="AI7636" i="8"/>
  <c r="AJ7636" i="8" s="1"/>
  <c r="AI5105" i="8"/>
  <c r="AJ5105" i="8" s="1"/>
  <c r="AH3406" i="8"/>
  <c r="AK3406" i="8"/>
  <c r="AH348" i="8"/>
  <c r="AK348" i="8"/>
  <c r="AH6877" i="8"/>
  <c r="AK6877" i="8"/>
  <c r="AH4909" i="8"/>
  <c r="AK4909" i="8"/>
  <c r="AH7457" i="8"/>
  <c r="AK7457" i="8"/>
  <c r="AI6948" i="8"/>
  <c r="AJ6948" i="8" s="1"/>
  <c r="AI5121" i="8"/>
  <c r="AJ5121" i="8" s="1"/>
  <c r="AI5111" i="8"/>
  <c r="AJ5111" i="8" s="1"/>
  <c r="AI7847" i="8"/>
  <c r="AJ7847" i="8" s="1"/>
  <c r="AK5137" i="8"/>
  <c r="AH5137" i="8"/>
  <c r="AH408" i="8"/>
  <c r="AK408" i="8"/>
  <c r="AH4323" i="8"/>
  <c r="AK4323" i="8"/>
  <c r="AI308" i="8"/>
  <c r="AJ308" i="8" s="1"/>
  <c r="AH6764" i="8"/>
  <c r="AK6764" i="8"/>
  <c r="AH6835" i="8"/>
  <c r="AK6835" i="8"/>
  <c r="AH7281" i="8"/>
  <c r="AK7281" i="8"/>
  <c r="AI338" i="8"/>
  <c r="AJ338" i="8" s="1"/>
  <c r="AI233" i="8"/>
  <c r="AJ233" i="8" s="1"/>
  <c r="AH233" i="8"/>
  <c r="AH7580" i="8"/>
  <c r="AK7580" i="8"/>
  <c r="AK4506" i="8"/>
  <c r="AH4506" i="8"/>
  <c r="AI428" i="8"/>
  <c r="AJ428" i="8" s="1"/>
  <c r="AH7028" i="8"/>
  <c r="AK7028" i="8"/>
  <c r="AK278" i="8"/>
  <c r="AI4515" i="8"/>
  <c r="AJ4515" i="8" s="1"/>
  <c r="G1101" i="32" l="1"/>
  <c r="F1102" i="32"/>
  <c r="D36" i="31" s="1"/>
  <c r="F36" i="31" s="1"/>
  <c r="G1098" i="32"/>
  <c r="F1099" i="32"/>
  <c r="D35" i="31" s="1"/>
  <c r="AK6711" i="8"/>
  <c r="AK6748" i="8"/>
  <c r="E47" i="31"/>
  <c r="F45" i="31"/>
  <c r="F47" i="31" s="1"/>
  <c r="E1067" i="11"/>
  <c r="F1067" i="11" s="1"/>
  <c r="T1057" i="11"/>
  <c r="S673" i="8" s="1"/>
  <c r="T673" i="8" s="1"/>
  <c r="F35" i="31"/>
  <c r="G1657" i="28"/>
  <c r="G1652" i="28"/>
  <c r="E1639" i="28"/>
  <c r="F1640" i="28" s="1"/>
  <c r="F1551" i="28"/>
  <c r="E1654" i="28"/>
  <c r="F1655" i="28" s="1"/>
  <c r="AK242" i="8"/>
  <c r="F26" i="28"/>
  <c r="F1613" i="28"/>
  <c r="D7" i="31" s="1"/>
  <c r="F7" i="31" s="1"/>
  <c r="F187" i="8"/>
  <c r="E182" i="8"/>
  <c r="T180" i="8"/>
  <c r="AJ180" i="8"/>
  <c r="AK180" i="8"/>
  <c r="S11015" i="8"/>
  <c r="T11015" i="8" s="1"/>
  <c r="T11017" i="8" s="1"/>
  <c r="AN11012" i="8" s="1"/>
  <c r="S11120" i="8"/>
  <c r="T11120" i="8" s="1"/>
  <c r="T11122" i="8" s="1"/>
  <c r="AN11117" i="8" s="1"/>
  <c r="S11029" i="8"/>
  <c r="T11029" i="8" s="1"/>
  <c r="T11031" i="8" s="1"/>
  <c r="AN11026" i="8" s="1"/>
  <c r="S11113" i="8"/>
  <c r="T11113" i="8" s="1"/>
  <c r="T11115" i="8" s="1"/>
  <c r="AN11110" i="8" s="1"/>
  <c r="S11212" i="8"/>
  <c r="T11212" i="8" s="1"/>
  <c r="T11214" i="8" s="1"/>
  <c r="AN11209" i="8" s="1"/>
  <c r="S11317" i="8"/>
  <c r="T11317" i="8" s="1"/>
  <c r="T11319" i="8" s="1"/>
  <c r="AN11314" i="8" s="1"/>
  <c r="S11205" i="8"/>
  <c r="T11205" i="8" s="1"/>
  <c r="T11207" i="8" s="1"/>
  <c r="AN11202" i="8" s="1"/>
  <c r="S11022" i="8"/>
  <c r="T11022" i="8" s="1"/>
  <c r="T11024" i="8" s="1"/>
  <c r="AN11019" i="8" s="1"/>
  <c r="S11134" i="8"/>
  <c r="T11134" i="8" s="1"/>
  <c r="T11136" i="8" s="1"/>
  <c r="AN11131" i="8" s="1"/>
  <c r="E1051" i="11"/>
  <c r="F1051" i="11" s="1"/>
  <c r="S11036" i="8"/>
  <c r="T11036" i="8" s="1"/>
  <c r="T11038" i="8" s="1"/>
  <c r="AN11033" i="8" s="1"/>
  <c r="S11303" i="8"/>
  <c r="T11303" i="8" s="1"/>
  <c r="T11305" i="8" s="1"/>
  <c r="AN11300" i="8" s="1"/>
  <c r="S11226" i="8"/>
  <c r="T11226" i="8" s="1"/>
  <c r="T11228" i="8" s="1"/>
  <c r="AN11223" i="8" s="1"/>
  <c r="R1047" i="11"/>
  <c r="Q11310" i="8" s="1"/>
  <c r="R11310" i="8" s="1"/>
  <c r="R11312" i="8" s="1"/>
  <c r="S11310" i="8"/>
  <c r="T11310" i="8" s="1"/>
  <c r="T11312" i="8" s="1"/>
  <c r="AN11307" i="8" s="1"/>
  <c r="S11127" i="8"/>
  <c r="T11127" i="8" s="1"/>
  <c r="T11129" i="8" s="1"/>
  <c r="AN11124" i="8" s="1"/>
  <c r="S11324" i="8"/>
  <c r="T11324" i="8" s="1"/>
  <c r="T11326" i="8" s="1"/>
  <c r="AN11321" i="8" s="1"/>
  <c r="T65" i="11"/>
  <c r="R65" i="11"/>
  <c r="T68" i="11"/>
  <c r="R68" i="11"/>
  <c r="T66" i="11"/>
  <c r="R66" i="11"/>
  <c r="T69" i="11"/>
  <c r="R69" i="11"/>
  <c r="R67" i="11"/>
  <c r="T67" i="11"/>
  <c r="T59" i="11"/>
  <c r="R59" i="11"/>
  <c r="T63" i="11"/>
  <c r="R63" i="11"/>
  <c r="T61" i="11"/>
  <c r="R61" i="11"/>
  <c r="T62" i="11"/>
  <c r="R62" i="11"/>
  <c r="T60" i="11"/>
  <c r="R60" i="11"/>
  <c r="R71" i="11"/>
  <c r="B406" i="26"/>
  <c r="B2317" i="26"/>
  <c r="AK400" i="26"/>
  <c r="T411" i="26"/>
  <c r="AJ401" i="26"/>
  <c r="AJ411" i="26" s="1"/>
  <c r="B396" i="26"/>
  <c r="F419" i="26"/>
  <c r="B419" i="26" s="1"/>
  <c r="T502" i="11"/>
  <c r="T506" i="11"/>
  <c r="T1114" i="11" s="1"/>
  <c r="T11522" i="8" s="1"/>
  <c r="T148" i="1" s="1"/>
  <c r="R506" i="11"/>
  <c r="R1114" i="11" s="1"/>
  <c r="R505" i="11"/>
  <c r="T505" i="11"/>
  <c r="T1129" i="11" s="1"/>
  <c r="T11537" i="8" s="1"/>
  <c r="T163" i="1" s="1"/>
  <c r="R500" i="11"/>
  <c r="R501" i="11"/>
  <c r="R1121" i="11" s="1"/>
  <c r="T504" i="11"/>
  <c r="R503" i="11"/>
  <c r="R1087" i="11" s="1"/>
  <c r="R11495" i="8" s="1"/>
  <c r="R121" i="1" s="1"/>
  <c r="AD121" i="1" s="1"/>
  <c r="R247" i="11"/>
  <c r="R237" i="11" s="1"/>
  <c r="AK8303" i="8"/>
  <c r="AK9146" i="8"/>
  <c r="AK8275" i="8"/>
  <c r="AK10480" i="8"/>
  <c r="AJ10197" i="8"/>
  <c r="F459" i="8"/>
  <c r="G1622" i="28" s="1"/>
  <c r="T165" i="8"/>
  <c r="T138" i="8"/>
  <c r="AK10267" i="8"/>
  <c r="AK8327" i="8"/>
  <c r="AK8539" i="8"/>
  <c r="AJ10628" i="8"/>
  <c r="AK8463" i="8"/>
  <c r="AK10444" i="8"/>
  <c r="AK8673" i="8"/>
  <c r="AK9393" i="8"/>
  <c r="AK9015" i="8"/>
  <c r="AK11344" i="8"/>
  <c r="AK9926" i="8"/>
  <c r="AK8649" i="8"/>
  <c r="AK11246" i="8"/>
  <c r="AK8503" i="8"/>
  <c r="AK10048" i="8"/>
  <c r="AK10974" i="8"/>
  <c r="AK8637" i="8"/>
  <c r="AK10656" i="8"/>
  <c r="AK10012" i="8"/>
  <c r="AK8251" i="8"/>
  <c r="AK10512" i="8"/>
  <c r="Q10176" i="8"/>
  <c r="R10176" i="8" s="1"/>
  <c r="R10178" i="8" s="1"/>
  <c r="Q10230" i="8"/>
  <c r="R10230" i="8" s="1"/>
  <c r="R10232" i="8" s="1"/>
  <c r="Q10290" i="8"/>
  <c r="R10290" i="8" s="1"/>
  <c r="R10292" i="8" s="1"/>
  <c r="Q10183" i="8"/>
  <c r="R10183" i="8" s="1"/>
  <c r="R10185" i="8" s="1"/>
  <c r="Q10237" i="8"/>
  <c r="R10237" i="8" s="1"/>
  <c r="R10239" i="8" s="1"/>
  <c r="Q10129" i="8"/>
  <c r="R10129" i="8" s="1"/>
  <c r="R10131" i="8" s="1"/>
  <c r="AJ7138" i="8"/>
  <c r="AK7138" i="8"/>
  <c r="F7145" i="8"/>
  <c r="E7140" i="8"/>
  <c r="T7138" i="8"/>
  <c r="Q7058" i="8"/>
  <c r="R7058" i="8" s="1"/>
  <c r="R1015" i="11"/>
  <c r="T1015" i="11"/>
  <c r="T1011" i="11" s="1"/>
  <c r="S6658" i="8" s="1"/>
  <c r="T6658" i="8" s="1"/>
  <c r="R1009" i="11"/>
  <c r="R1005" i="11" s="1"/>
  <c r="Q576" i="8" s="1"/>
  <c r="R576" i="8" s="1"/>
  <c r="T1009" i="11"/>
  <c r="T1005" i="11" s="1"/>
  <c r="S576" i="8" s="1"/>
  <c r="T576" i="8" s="1"/>
  <c r="R1023" i="11"/>
  <c r="Q8217" i="8" s="1"/>
  <c r="R8217" i="8" s="1"/>
  <c r="R8219" i="8" s="1"/>
  <c r="S9442" i="8"/>
  <c r="T9442" i="8" s="1"/>
  <c r="T9444" i="8" s="1"/>
  <c r="AN9439" i="8" s="1"/>
  <c r="S8622" i="8"/>
  <c r="T8622" i="8" s="1"/>
  <c r="T8624" i="8" s="1"/>
  <c r="AN8619" i="8" s="1"/>
  <c r="S9618" i="8"/>
  <c r="T9618" i="8" s="1"/>
  <c r="T9620" i="8" s="1"/>
  <c r="AN9615" i="8" s="1"/>
  <c r="S8629" i="8"/>
  <c r="T8629" i="8" s="1"/>
  <c r="T8631" i="8" s="1"/>
  <c r="AN8626" i="8" s="1"/>
  <c r="S10083" i="8"/>
  <c r="T10083" i="8" s="1"/>
  <c r="T10085" i="8" s="1"/>
  <c r="AN10080" i="8" s="1"/>
  <c r="S10118" i="8"/>
  <c r="T10118" i="8" s="1"/>
  <c r="T10120" i="8" s="1"/>
  <c r="AN10115" i="8" s="1"/>
  <c r="R1035" i="11"/>
  <c r="E1039" i="11"/>
  <c r="F1039" i="11" s="1"/>
  <c r="S9270" i="8"/>
  <c r="T9270" i="8" s="1"/>
  <c r="T9272" i="8" s="1"/>
  <c r="AN9267" i="8" s="1"/>
  <c r="S9086" i="8"/>
  <c r="T9086" i="8" s="1"/>
  <c r="T9088" i="8" s="1"/>
  <c r="AN9083" i="8" s="1"/>
  <c r="S9553" i="8"/>
  <c r="T9553" i="8" s="1"/>
  <c r="T9555" i="8" s="1"/>
  <c r="AN9550" i="8" s="1"/>
  <c r="S9263" i="8"/>
  <c r="T9263" i="8" s="1"/>
  <c r="T9265" i="8" s="1"/>
  <c r="AN9260" i="8" s="1"/>
  <c r="S8601" i="8"/>
  <c r="T8601" i="8" s="1"/>
  <c r="T8603" i="8" s="1"/>
  <c r="AN8598" i="8" s="1"/>
  <c r="S9114" i="8"/>
  <c r="T9114" i="8" s="1"/>
  <c r="T9116" i="8" s="1"/>
  <c r="AN9111" i="8" s="1"/>
  <c r="S9277" i="8"/>
  <c r="T9277" i="8" s="1"/>
  <c r="T9279" i="8" s="1"/>
  <c r="AN9274" i="8" s="1"/>
  <c r="S8766" i="8"/>
  <c r="T8766" i="8" s="1"/>
  <c r="T8768" i="8" s="1"/>
  <c r="AN8763" i="8" s="1"/>
  <c r="S9736" i="8"/>
  <c r="T9736" i="8" s="1"/>
  <c r="T9738" i="8" s="1"/>
  <c r="AN9733" i="8" s="1"/>
  <c r="S9284" i="8"/>
  <c r="T9284" i="8" s="1"/>
  <c r="T9286" i="8" s="1"/>
  <c r="AN9281" i="8" s="1"/>
  <c r="S9625" i="8"/>
  <c r="T9625" i="8" s="1"/>
  <c r="T9627" i="8" s="1"/>
  <c r="AN9622" i="8" s="1"/>
  <c r="S9456" i="8"/>
  <c r="T9456" i="8" s="1"/>
  <c r="T9458" i="8" s="1"/>
  <c r="AN9453" i="8" s="1"/>
  <c r="S8580" i="8"/>
  <c r="T8580" i="8" s="1"/>
  <c r="T8582" i="8" s="1"/>
  <c r="AN8577" i="8" s="1"/>
  <c r="S9646" i="8"/>
  <c r="T9646" i="8" s="1"/>
  <c r="T9648" i="8" s="1"/>
  <c r="AN9643" i="8" s="1"/>
  <c r="S9632" i="8"/>
  <c r="T9632" i="8" s="1"/>
  <c r="T9634" i="8" s="1"/>
  <c r="AN9629" i="8" s="1"/>
  <c r="S9100" i="8"/>
  <c r="T9100" i="8" s="1"/>
  <c r="T9102" i="8" s="1"/>
  <c r="AN9097" i="8" s="1"/>
  <c r="S8615" i="8"/>
  <c r="T8615" i="8" s="1"/>
  <c r="T8617" i="8" s="1"/>
  <c r="AN8612" i="8" s="1"/>
  <c r="S9107" i="8"/>
  <c r="T9107" i="8" s="1"/>
  <c r="T9109" i="8" s="1"/>
  <c r="AN9104" i="8" s="1"/>
  <c r="S9428" i="8"/>
  <c r="T9428" i="8" s="1"/>
  <c r="T9430" i="8" s="1"/>
  <c r="AN9425" i="8" s="1"/>
  <c r="S9291" i="8"/>
  <c r="T9291" i="8" s="1"/>
  <c r="T9293" i="8" s="1"/>
  <c r="AN9288" i="8" s="1"/>
  <c r="S8594" i="8"/>
  <c r="T8594" i="8" s="1"/>
  <c r="T8596" i="8" s="1"/>
  <c r="AN8591" i="8" s="1"/>
  <c r="S9539" i="8"/>
  <c r="T9539" i="8" s="1"/>
  <c r="T9541" i="8" s="1"/>
  <c r="AN9536" i="8" s="1"/>
  <c r="S8587" i="8"/>
  <c r="T8587" i="8" s="1"/>
  <c r="T8589" i="8" s="1"/>
  <c r="AN8584" i="8" s="1"/>
  <c r="S9546" i="8"/>
  <c r="T9546" i="8" s="1"/>
  <c r="T9548" i="8" s="1"/>
  <c r="AN9543" i="8" s="1"/>
  <c r="S8608" i="8"/>
  <c r="T8608" i="8" s="1"/>
  <c r="T8610" i="8" s="1"/>
  <c r="AN8605" i="8" s="1"/>
  <c r="E1033" i="11"/>
  <c r="F1033" i="11" s="1"/>
  <c r="S9093" i="8"/>
  <c r="T9093" i="8" s="1"/>
  <c r="T9095" i="8" s="1"/>
  <c r="AN9090" i="8" s="1"/>
  <c r="S9729" i="8"/>
  <c r="T9729" i="8" s="1"/>
  <c r="T9731" i="8" s="1"/>
  <c r="AN9726" i="8" s="1"/>
  <c r="S9449" i="8"/>
  <c r="T9449" i="8" s="1"/>
  <c r="T9451" i="8" s="1"/>
  <c r="AN9446" i="8" s="1"/>
  <c r="S9639" i="8"/>
  <c r="T9639" i="8" s="1"/>
  <c r="T9641" i="8" s="1"/>
  <c r="AN9636" i="8" s="1"/>
  <c r="T10995" i="8"/>
  <c r="Q9277" i="8"/>
  <c r="R9277" i="8" s="1"/>
  <c r="R9279" i="8" s="1"/>
  <c r="Q8580" i="8"/>
  <c r="R8580" i="8" s="1"/>
  <c r="R8582" i="8" s="1"/>
  <c r="Q9553" i="8"/>
  <c r="R9553" i="8" s="1"/>
  <c r="R9555" i="8" s="1"/>
  <c r="Q9618" i="8"/>
  <c r="R9618" i="8" s="1"/>
  <c r="R9620" i="8" s="1"/>
  <c r="Q9263" i="8"/>
  <c r="R9263" i="8" s="1"/>
  <c r="R9265" i="8" s="1"/>
  <c r="Q8629" i="8"/>
  <c r="R8629" i="8" s="1"/>
  <c r="R8631" i="8" s="1"/>
  <c r="Q9646" i="8"/>
  <c r="R9646" i="8" s="1"/>
  <c r="R9648" i="8" s="1"/>
  <c r="Q9546" i="8"/>
  <c r="R9546" i="8" s="1"/>
  <c r="R9548" i="8" s="1"/>
  <c r="Q9428" i="8"/>
  <c r="R9428" i="8" s="1"/>
  <c r="R9430" i="8" s="1"/>
  <c r="Q9456" i="8"/>
  <c r="R9456" i="8" s="1"/>
  <c r="R9458" i="8" s="1"/>
  <c r="Q8766" i="8"/>
  <c r="R8766" i="8" s="1"/>
  <c r="R8768" i="8" s="1"/>
  <c r="Q9100" i="8"/>
  <c r="R9100" i="8" s="1"/>
  <c r="R9102" i="8" s="1"/>
  <c r="Q8594" i="8"/>
  <c r="R8594" i="8" s="1"/>
  <c r="R8596" i="8" s="1"/>
  <c r="Q8615" i="8"/>
  <c r="R8615" i="8" s="1"/>
  <c r="R8617" i="8" s="1"/>
  <c r="Q9539" i="8"/>
  <c r="R9539" i="8" s="1"/>
  <c r="R9541" i="8" s="1"/>
  <c r="Q9086" i="8"/>
  <c r="R9086" i="8" s="1"/>
  <c r="R9088" i="8" s="1"/>
  <c r="Q9291" i="8"/>
  <c r="R9291" i="8" s="1"/>
  <c r="R9293" i="8" s="1"/>
  <c r="Q9729" i="8"/>
  <c r="R9729" i="8" s="1"/>
  <c r="R9731" i="8" s="1"/>
  <c r="Q9270" i="8"/>
  <c r="R9270" i="8" s="1"/>
  <c r="R9272" i="8" s="1"/>
  <c r="Q9632" i="8"/>
  <c r="R9632" i="8" s="1"/>
  <c r="R9634" i="8" s="1"/>
  <c r="Q9449" i="8"/>
  <c r="R9449" i="8" s="1"/>
  <c r="R9451" i="8" s="1"/>
  <c r="Q9435" i="8"/>
  <c r="R9435" i="8" s="1"/>
  <c r="R9437" i="8" s="1"/>
  <c r="Q9107" i="8"/>
  <c r="R9107" i="8" s="1"/>
  <c r="R9109" i="8" s="1"/>
  <c r="Q9639" i="8"/>
  <c r="R9639" i="8" s="1"/>
  <c r="R9641" i="8" s="1"/>
  <c r="Q8622" i="8"/>
  <c r="R8622" i="8" s="1"/>
  <c r="R8624" i="8" s="1"/>
  <c r="Q9625" i="8"/>
  <c r="R9625" i="8" s="1"/>
  <c r="R9627" i="8" s="1"/>
  <c r="Q9442" i="8"/>
  <c r="R9442" i="8" s="1"/>
  <c r="R9444" i="8" s="1"/>
  <c r="Q9736" i="8"/>
  <c r="R9736" i="8" s="1"/>
  <c r="R9738" i="8" s="1"/>
  <c r="Q8601" i="8"/>
  <c r="R8601" i="8" s="1"/>
  <c r="R8603" i="8" s="1"/>
  <c r="Q9093" i="8"/>
  <c r="R9093" i="8" s="1"/>
  <c r="R9095" i="8" s="1"/>
  <c r="Q8608" i="8"/>
  <c r="R8608" i="8" s="1"/>
  <c r="R8610" i="8" s="1"/>
  <c r="Q9284" i="8"/>
  <c r="R9284" i="8" s="1"/>
  <c r="R9286" i="8" s="1"/>
  <c r="Q9114" i="8"/>
  <c r="R9114" i="8" s="1"/>
  <c r="R9116" i="8" s="1"/>
  <c r="Q8587" i="8"/>
  <c r="R8587" i="8" s="1"/>
  <c r="R8589" i="8" s="1"/>
  <c r="B10989" i="8"/>
  <c r="B11469" i="8"/>
  <c r="AJ11469" i="8"/>
  <c r="B7727" i="8"/>
  <c r="B11468" i="8"/>
  <c r="AJ11468" i="8"/>
  <c r="T11467" i="8"/>
  <c r="B11466" i="8"/>
  <c r="AJ11466" i="8"/>
  <c r="AJ11465" i="8"/>
  <c r="B11464" i="8"/>
  <c r="AJ11464" i="8"/>
  <c r="S7508" i="8"/>
  <c r="T7508" i="8" s="1"/>
  <c r="T7510" i="8" s="1"/>
  <c r="AN7505" i="8" s="1"/>
  <c r="E999" i="11"/>
  <c r="F999" i="11" s="1"/>
  <c r="Q6120" i="8"/>
  <c r="R6120" i="8" s="1"/>
  <c r="Q6162" i="8"/>
  <c r="R6162" i="8" s="1"/>
  <c r="Q6059" i="8"/>
  <c r="R6059" i="8" s="1"/>
  <c r="Q6087" i="8"/>
  <c r="R6087" i="8" s="1"/>
  <c r="Q6037" i="8"/>
  <c r="R6037" i="8" s="1"/>
  <c r="Q6048" i="8"/>
  <c r="R6048" i="8" s="1"/>
  <c r="T75" i="11"/>
  <c r="T73" i="11"/>
  <c r="T71" i="11"/>
  <c r="R74" i="11"/>
  <c r="R72" i="11"/>
  <c r="T130" i="11"/>
  <c r="T132" i="11" s="1"/>
  <c r="T127" i="11" s="1"/>
  <c r="R129" i="11"/>
  <c r="R132" i="11" s="1"/>
  <c r="R150" i="11"/>
  <c r="T94" i="11"/>
  <c r="R98" i="11"/>
  <c r="R95" i="11"/>
  <c r="T96" i="11"/>
  <c r="R97" i="11"/>
  <c r="R1124" i="11" s="1"/>
  <c r="R11532" i="8" s="1"/>
  <c r="R158" i="1" s="1"/>
  <c r="AD158" i="1" s="1"/>
  <c r="R147" i="11"/>
  <c r="T145" i="11"/>
  <c r="R145" i="11"/>
  <c r="T152" i="11"/>
  <c r="T806" i="11"/>
  <c r="T797" i="11" s="1"/>
  <c r="R806" i="11"/>
  <c r="T149" i="11"/>
  <c r="R146" i="11"/>
  <c r="R139" i="11"/>
  <c r="R134" i="11" s="1"/>
  <c r="R151" i="11"/>
  <c r="T151" i="11"/>
  <c r="R148" i="11"/>
  <c r="T148" i="11"/>
  <c r="T143" i="11"/>
  <c r="R144" i="11"/>
  <c r="T144" i="11"/>
  <c r="T134" i="11"/>
  <c r="T539" i="11"/>
  <c r="R539" i="11"/>
  <c r="R520" i="11" s="1"/>
  <c r="R125" i="11"/>
  <c r="R120" i="11" s="1"/>
  <c r="T125" i="11"/>
  <c r="T120" i="11" s="1"/>
  <c r="T247" i="11"/>
  <c r="S7304" i="8"/>
  <c r="T7304" i="8" s="1"/>
  <c r="T7306" i="8" s="1"/>
  <c r="AN7301" i="8" s="1"/>
  <c r="S7391" i="8"/>
  <c r="T7391" i="8" s="1"/>
  <c r="T7393" i="8" s="1"/>
  <c r="AN7388" i="8" s="1"/>
  <c r="S6821" i="8"/>
  <c r="T6821" i="8" s="1"/>
  <c r="T6823" i="8" s="1"/>
  <c r="AN6818" i="8" s="1"/>
  <c r="S7227" i="8"/>
  <c r="T7227" i="8" s="1"/>
  <c r="T7229" i="8" s="1"/>
  <c r="S6934" i="8"/>
  <c r="T6934" i="8" s="1"/>
  <c r="T6936" i="8" s="1"/>
  <c r="R1017" i="11"/>
  <c r="E1021" i="11"/>
  <c r="F1021" i="11" s="1"/>
  <c r="AE1021" i="11" s="1"/>
  <c r="R638" i="11"/>
  <c r="R631" i="11" s="1"/>
  <c r="T557" i="11"/>
  <c r="T552" i="11" s="1"/>
  <c r="T333" i="11"/>
  <c r="T325" i="11" s="1"/>
  <c r="T466" i="11"/>
  <c r="T458" i="11" s="1"/>
  <c r="T611" i="11"/>
  <c r="T604" i="11" s="1"/>
  <c r="T656" i="11"/>
  <c r="T649" i="11" s="1"/>
  <c r="R611" i="11"/>
  <c r="R604" i="11" s="1"/>
  <c r="T363" i="11"/>
  <c r="T355" i="11" s="1"/>
  <c r="T849" i="11"/>
  <c r="T837" i="11" s="1"/>
  <c r="T435" i="11"/>
  <c r="T427" i="11" s="1"/>
  <c r="R403" i="11"/>
  <c r="R395" i="11" s="1"/>
  <c r="T931" i="11"/>
  <c r="T920" i="11" s="1"/>
  <c r="R363" i="11"/>
  <c r="R355" i="11" s="1"/>
  <c r="R557" i="11"/>
  <c r="R333" i="11"/>
  <c r="R325" i="11" s="1"/>
  <c r="R466" i="11"/>
  <c r="R849" i="11"/>
  <c r="R837" i="11" s="1"/>
  <c r="R602" i="11"/>
  <c r="R595" i="11" s="1"/>
  <c r="R656" i="11"/>
  <c r="R649" i="11" s="1"/>
  <c r="R686" i="11"/>
  <c r="R772" i="11"/>
  <c r="R323" i="11"/>
  <c r="R315" i="11" s="1"/>
  <c r="R435" i="11"/>
  <c r="R427" i="11" s="1"/>
  <c r="T891" i="11"/>
  <c r="T879" i="11" s="1"/>
  <c r="T415" i="11"/>
  <c r="T405" i="11" s="1"/>
  <c r="R226" i="11"/>
  <c r="R219" i="11" s="1"/>
  <c r="T476" i="11"/>
  <c r="T468" i="11" s="1"/>
  <c r="T686" i="11"/>
  <c r="T676" i="11" s="1"/>
  <c r="T772" i="11"/>
  <c r="T762" i="11" s="1"/>
  <c r="T323" i="11"/>
  <c r="T315" i="11" s="1"/>
  <c r="T620" i="11"/>
  <c r="T613" i="11" s="1"/>
  <c r="T674" i="11"/>
  <c r="T667" i="11" s="1"/>
  <c r="R476" i="11"/>
  <c r="R468" i="11" s="1"/>
  <c r="R620" i="11"/>
  <c r="R613" i="11" s="1"/>
  <c r="R674" i="11"/>
  <c r="R667" i="11" s="1"/>
  <c r="T403" i="11"/>
  <c r="T395" i="11" s="1"/>
  <c r="T1077" i="11"/>
  <c r="T11485" i="8" s="1"/>
  <c r="T111" i="1" s="1"/>
  <c r="T199" i="11"/>
  <c r="T192" i="11" s="1"/>
  <c r="S4189" i="8" s="1"/>
  <c r="T4189" i="8" s="1"/>
  <c r="T1121" i="11"/>
  <c r="T11529" i="8" s="1"/>
  <c r="T155" i="1" s="1"/>
  <c r="R891" i="11"/>
  <c r="R199" i="11"/>
  <c r="R1077" i="11"/>
  <c r="R11485" i="8" s="1"/>
  <c r="R111" i="1" s="1"/>
  <c r="AD111" i="1" s="1"/>
  <c r="R415" i="11"/>
  <c r="T602" i="11"/>
  <c r="T595" i="11" s="1"/>
  <c r="R931" i="11"/>
  <c r="T313" i="11"/>
  <c r="T303" i="11" s="1"/>
  <c r="T373" i="11"/>
  <c r="T365" i="11" s="1"/>
  <c r="T783" i="11"/>
  <c r="T774" i="11" s="1"/>
  <c r="T584" i="11"/>
  <c r="T577" i="11" s="1"/>
  <c r="T37" i="11"/>
  <c r="T30" i="11" s="1"/>
  <c r="T425" i="11"/>
  <c r="T417" i="11" s="1"/>
  <c r="T217" i="11"/>
  <c r="T210" i="11" s="1"/>
  <c r="S1585" i="8" s="1"/>
  <c r="T1585" i="8" s="1"/>
  <c r="T1587" i="8" s="1"/>
  <c r="T496" i="11"/>
  <c r="T488" i="11" s="1"/>
  <c r="S1133" i="8" s="1"/>
  <c r="R713" i="11"/>
  <c r="R383" i="11"/>
  <c r="T863" i="11"/>
  <c r="T851" i="11" s="1"/>
  <c r="T905" i="11"/>
  <c r="T893" i="11" s="1"/>
  <c r="T343" i="11"/>
  <c r="T335" i="11" s="1"/>
  <c r="T353" i="11"/>
  <c r="T345" i="11" s="1"/>
  <c r="T946" i="11"/>
  <c r="T933" i="11" s="1"/>
  <c r="T118" i="11"/>
  <c r="T112" i="11" s="1"/>
  <c r="T704" i="11"/>
  <c r="T697" i="11" s="1"/>
  <c r="T518" i="11"/>
  <c r="T510" i="11" s="1"/>
  <c r="R313" i="11"/>
  <c r="R373" i="11"/>
  <c r="R783" i="11"/>
  <c r="R584" i="11"/>
  <c r="R37" i="11"/>
  <c r="R425" i="11"/>
  <c r="R217" i="11"/>
  <c r="R496" i="11"/>
  <c r="R863" i="11"/>
  <c r="R905" i="11"/>
  <c r="R343" i="11"/>
  <c r="R353" i="11"/>
  <c r="R946" i="11"/>
  <c r="R118" i="11"/>
  <c r="R704" i="11"/>
  <c r="R518" i="11"/>
  <c r="T259" i="11"/>
  <c r="T249" i="11" s="1"/>
  <c r="T835" i="11"/>
  <c r="T822" i="11" s="1"/>
  <c r="T992" i="11"/>
  <c r="T948" i="11" s="1"/>
  <c r="S7060" i="8" s="1"/>
  <c r="T566" i="11"/>
  <c r="T559" i="11" s="1"/>
  <c r="T269" i="11"/>
  <c r="T261" i="11" s="1"/>
  <c r="T279" i="11"/>
  <c r="T271" i="11" s="1"/>
  <c r="T235" i="11"/>
  <c r="T665" i="11"/>
  <c r="T658" i="11" s="1"/>
  <c r="T208" i="11"/>
  <c r="T201" i="11" s="1"/>
  <c r="T456" i="11"/>
  <c r="T448" i="11" s="1"/>
  <c r="T647" i="11"/>
  <c r="T640" i="11" s="1"/>
  <c r="T89" i="11"/>
  <c r="T79" i="11" s="1"/>
  <c r="R259" i="11"/>
  <c r="R835" i="11"/>
  <c r="R992" i="11"/>
  <c r="R566" i="11"/>
  <c r="R269" i="11"/>
  <c r="R279" i="11"/>
  <c r="T695" i="11"/>
  <c r="T688" i="11" s="1"/>
  <c r="T163" i="11"/>
  <c r="T156" i="11" s="1"/>
  <c r="T486" i="11"/>
  <c r="T478" i="11" s="1"/>
  <c r="T795" i="11"/>
  <c r="T785" i="11" s="1"/>
  <c r="R235" i="11"/>
  <c r="R228" i="11" s="1"/>
  <c r="R665" i="11"/>
  <c r="T575" i="11"/>
  <c r="T568" i="11" s="1"/>
  <c r="R208" i="11"/>
  <c r="R456" i="11"/>
  <c r="R647" i="11"/>
  <c r="R89" i="11"/>
  <c r="T550" i="11"/>
  <c r="T545" i="11" s="1"/>
  <c r="T1113" i="11"/>
  <c r="T11521" i="8" s="1"/>
  <c r="T147" i="1" s="1"/>
  <c r="T1092" i="11"/>
  <c r="T11500" i="8" s="1"/>
  <c r="T126" i="1" s="1"/>
  <c r="T820" i="11"/>
  <c r="T808" i="11" s="1"/>
  <c r="T110" i="11"/>
  <c r="T103" i="11" s="1"/>
  <c r="T44" i="11"/>
  <c r="T39" i="11" s="1"/>
  <c r="R695" i="11"/>
  <c r="R163" i="11"/>
  <c r="R486" i="11"/>
  <c r="R795" i="11"/>
  <c r="T629" i="11"/>
  <c r="T291" i="11"/>
  <c r="T281" i="11" s="1"/>
  <c r="T760" i="11"/>
  <c r="T751" i="11" s="1"/>
  <c r="T638" i="11"/>
  <c r="T631" i="11" s="1"/>
  <c r="T918" i="11"/>
  <c r="T907" i="11" s="1"/>
  <c r="T301" i="11"/>
  <c r="T293" i="11" s="1"/>
  <c r="R575" i="11"/>
  <c r="T721" i="11"/>
  <c r="T733" i="11"/>
  <c r="T723" i="11" s="1"/>
  <c r="T593" i="11"/>
  <c r="T586" i="11" s="1"/>
  <c r="T172" i="11"/>
  <c r="T165" i="11" s="1"/>
  <c r="R550" i="11"/>
  <c r="R1113" i="11"/>
  <c r="R820" i="11"/>
  <c r="R1092" i="11"/>
  <c r="R110" i="11"/>
  <c r="R44" i="11"/>
  <c r="T190" i="11"/>
  <c r="T183" i="11" s="1"/>
  <c r="R629" i="11"/>
  <c r="R622" i="11" s="1"/>
  <c r="R291" i="11"/>
  <c r="R760" i="11"/>
  <c r="R918" i="11"/>
  <c r="R301" i="11"/>
  <c r="T226" i="11"/>
  <c r="T219" i="11" s="1"/>
  <c r="R721" i="11"/>
  <c r="R715" i="11" s="1"/>
  <c r="R733" i="11"/>
  <c r="R593" i="11"/>
  <c r="R172" i="11"/>
  <c r="T877" i="11"/>
  <c r="T865" i="11" s="1"/>
  <c r="T749" i="11"/>
  <c r="T739" i="11" s="1"/>
  <c r="T1088" i="11"/>
  <c r="T11496" i="8" s="1"/>
  <c r="T122" i="1" s="1"/>
  <c r="T54" i="11"/>
  <c r="T46" i="11" s="1"/>
  <c r="S3069" i="8" s="1"/>
  <c r="T3069" i="8" s="1"/>
  <c r="T3071" i="8" s="1"/>
  <c r="AN3066" i="8" s="1"/>
  <c r="T393" i="11"/>
  <c r="T385" i="11" s="1"/>
  <c r="S1045" i="8" s="1"/>
  <c r="T1045" i="8" s="1"/>
  <c r="T181" i="11"/>
  <c r="T174" i="11" s="1"/>
  <c r="R190" i="11"/>
  <c r="T446" i="11"/>
  <c r="T437" i="11" s="1"/>
  <c r="T1124" i="11"/>
  <c r="T11532" i="8" s="1"/>
  <c r="T158" i="1" s="1"/>
  <c r="R877" i="11"/>
  <c r="R749" i="11"/>
  <c r="R1088" i="11"/>
  <c r="R54" i="11"/>
  <c r="R393" i="11"/>
  <c r="R181" i="11"/>
  <c r="T713" i="11"/>
  <c r="T706" i="11" s="1"/>
  <c r="T383" i="11"/>
  <c r="T375" i="11" s="1"/>
  <c r="R446" i="11"/>
  <c r="T1097" i="11"/>
  <c r="T11505" i="8" s="1"/>
  <c r="T131" i="1" s="1"/>
  <c r="T28" i="11"/>
  <c r="R28" i="11"/>
  <c r="F509" i="8"/>
  <c r="E498" i="8"/>
  <c r="AJ496" i="8"/>
  <c r="AK496" i="8"/>
  <c r="F488" i="8"/>
  <c r="E470" i="8"/>
  <c r="AK468" i="8"/>
  <c r="AJ468" i="8"/>
  <c r="AK9522" i="8"/>
  <c r="AK10036" i="8"/>
  <c r="B65" i="8"/>
  <c r="F125" i="8"/>
  <c r="B125" i="8" s="1"/>
  <c r="B8001" i="8"/>
  <c r="T8151" i="8"/>
  <c r="B10527" i="8"/>
  <c r="F10533" i="8"/>
  <c r="B10533" i="8" s="1"/>
  <c r="B10057" i="8"/>
  <c r="F10063" i="8"/>
  <c r="B10063" i="8" s="1"/>
  <c r="B11451" i="8"/>
  <c r="F11457" i="8"/>
  <c r="B11457" i="8" s="1"/>
  <c r="B10797" i="8"/>
  <c r="F10995" i="8"/>
  <c r="B8145" i="8"/>
  <c r="F8151" i="8"/>
  <c r="AK10902" i="8"/>
  <c r="AK10390" i="8"/>
  <c r="AK11154" i="8"/>
  <c r="AK10888" i="8"/>
  <c r="AK10758" i="8"/>
  <c r="AK11350" i="8"/>
  <c r="AK8044" i="8"/>
  <c r="AK10826" i="8"/>
  <c r="AK9134" i="8"/>
  <c r="AK9504" i="8"/>
  <c r="AK11366" i="8"/>
  <c r="AK9470" i="8"/>
  <c r="AK11090" i="8"/>
  <c r="AK11148" i="8"/>
  <c r="AK8725" i="8"/>
  <c r="AK9573" i="8"/>
  <c r="AK10606" i="8"/>
  <c r="AK9180" i="8"/>
  <c r="AK10698" i="8"/>
  <c r="AK9516" i="8"/>
  <c r="AK8997" i="8"/>
  <c r="AK10322" i="8"/>
  <c r="AK8527" i="8"/>
  <c r="AK9305" i="8"/>
  <c r="AK8439" i="8"/>
  <c r="AK10842" i="8"/>
  <c r="AK11394" i="8"/>
  <c r="AK8034" i="8"/>
  <c r="AK10091" i="8"/>
  <c r="AK11274" i="8"/>
  <c r="AK10676" i="8"/>
  <c r="AK10251" i="8"/>
  <c r="AK9694" i="8"/>
  <c r="AK8743" i="8"/>
  <c r="AK11182" i="8"/>
  <c r="AK8927" i="8"/>
  <c r="AK9387" i="8"/>
  <c r="AK8257" i="8"/>
  <c r="AK8979" i="8"/>
  <c r="AK9335" i="8"/>
  <c r="AK9498" i="8"/>
  <c r="AK8679" i="8"/>
  <c r="AK8643" i="8"/>
  <c r="AK9051" i="8"/>
  <c r="AK9776" i="8"/>
  <c r="AK8909" i="8"/>
  <c r="AK10688" i="8"/>
  <c r="AK8114" i="8"/>
  <c r="AK9162" i="8"/>
  <c r="AK9950" i="8"/>
  <c r="AK8339" i="8"/>
  <c r="AK5147" i="8"/>
  <c r="AK6792" i="8"/>
  <c r="AK5099" i="8"/>
  <c r="B5160" i="8"/>
  <c r="B5154" i="8"/>
  <c r="B7838" i="8"/>
  <c r="B7832" i="8"/>
  <c r="AK7678" i="8"/>
  <c r="B7888" i="8"/>
  <c r="B7882" i="8"/>
  <c r="AK4515" i="8"/>
  <c r="AK7771" i="8"/>
  <c r="AK233" i="8"/>
  <c r="AK5093" i="8"/>
  <c r="AK6859" i="8"/>
  <c r="AK6960" i="8"/>
  <c r="AK49" i="8"/>
  <c r="AK7648" i="8"/>
  <c r="AJ165" i="8"/>
  <c r="AK165" i="8"/>
  <c r="F172" i="8"/>
  <c r="E167" i="8"/>
  <c r="AK7192" i="8"/>
  <c r="AJ138" i="8"/>
  <c r="AK138" i="8"/>
  <c r="AK4474" i="8"/>
  <c r="AK308" i="8"/>
  <c r="AK418" i="8"/>
  <c r="F157" i="8"/>
  <c r="E140" i="8"/>
  <c r="AK6948" i="8"/>
  <c r="AK7540" i="8"/>
  <c r="AK7873" i="8"/>
  <c r="AK100" i="8"/>
  <c r="AK5105" i="8"/>
  <c r="AK112" i="8"/>
  <c r="AK428" i="8"/>
  <c r="AK7114" i="8"/>
  <c r="AK7516" i="8"/>
  <c r="AK7847" i="8"/>
  <c r="AK29" i="8"/>
  <c r="AK23" i="8"/>
  <c r="AK338" i="8"/>
  <c r="AK5883" i="8"/>
  <c r="AK7636" i="8"/>
  <c r="AK3206" i="8"/>
  <c r="AK5111" i="8"/>
  <c r="AK7485" i="8"/>
  <c r="AK70" i="8"/>
  <c r="AK5121" i="8"/>
  <c r="AK7777" i="8"/>
  <c r="AK7630" i="8"/>
  <c r="AK6853" i="8"/>
  <c r="G1655" i="28" l="1"/>
  <c r="D15" i="31"/>
  <c r="F15" i="31" s="1"/>
  <c r="G1640" i="28"/>
  <c r="D11" i="31"/>
  <c r="F11" i="31" s="1"/>
  <c r="G1613" i="28"/>
  <c r="S3020" i="8"/>
  <c r="T3020" i="8" s="1"/>
  <c r="T3022" i="8" s="1"/>
  <c r="AN3017" i="8" s="1"/>
  <c r="S3034" i="8"/>
  <c r="T3034" i="8" s="1"/>
  <c r="T3036" i="8" s="1"/>
  <c r="AN3031" i="8" s="1"/>
  <c r="AN1582" i="8"/>
  <c r="Q1567" i="8"/>
  <c r="R1567" i="8" s="1"/>
  <c r="R1569" i="8" s="1"/>
  <c r="AM1564" i="8" s="1"/>
  <c r="Q1574" i="8"/>
  <c r="R1574" i="8" s="1"/>
  <c r="R1576" i="8" s="1"/>
  <c r="S1567" i="8"/>
  <c r="T1567" i="8" s="1"/>
  <c r="T1569" i="8" s="1"/>
  <c r="AN1564" i="8" s="1"/>
  <c r="S1574" i="8"/>
  <c r="T1574" i="8" s="1"/>
  <c r="T1576" i="8" s="1"/>
  <c r="AN1571" i="8" s="1"/>
  <c r="T1047" i="8"/>
  <c r="AN1042" i="8" s="1"/>
  <c r="S694" i="8"/>
  <c r="T694" i="8" s="1"/>
  <c r="T696" i="8" s="1"/>
  <c r="AN691" i="8" s="1"/>
  <c r="S975" i="8"/>
  <c r="T975" i="8" s="1"/>
  <c r="T977" i="8" s="1"/>
  <c r="AN972" i="8" s="1"/>
  <c r="S945" i="8"/>
  <c r="T945" i="8" s="1"/>
  <c r="S947" i="8"/>
  <c r="T947" i="8" s="1"/>
  <c r="S714" i="8"/>
  <c r="T714" i="8" s="1"/>
  <c r="S716" i="8"/>
  <c r="T716" i="8" s="1"/>
  <c r="S718" i="8"/>
  <c r="T718" i="8" s="1"/>
  <c r="S687" i="8"/>
  <c r="T687" i="8" s="1"/>
  <c r="T689" i="8" s="1"/>
  <c r="AN684" i="8" s="1"/>
  <c r="T675" i="8"/>
  <c r="AN670" i="8" s="1"/>
  <c r="S638" i="8"/>
  <c r="T638" i="8" s="1"/>
  <c r="S640" i="8"/>
  <c r="T640" i="8" s="1"/>
  <c r="Q11113" i="8"/>
  <c r="R11113" i="8" s="1"/>
  <c r="R11115" i="8" s="1"/>
  <c r="E11110" i="8" s="1"/>
  <c r="E794" i="32" s="1"/>
  <c r="F794" i="32" s="1"/>
  <c r="Q11036" i="8"/>
  <c r="R11036" i="8" s="1"/>
  <c r="R11038" i="8" s="1"/>
  <c r="AM11033" i="8" s="1"/>
  <c r="AO11033" i="8" s="1"/>
  <c r="Q11022" i="8"/>
  <c r="R11022" i="8" s="1"/>
  <c r="R11024" i="8" s="1"/>
  <c r="E11019" i="8" s="1"/>
  <c r="E778" i="32" s="1"/>
  <c r="F778" i="32" s="1"/>
  <c r="Q11226" i="8"/>
  <c r="R11226" i="8" s="1"/>
  <c r="R11228" i="8" s="1"/>
  <c r="AM11223" i="8" s="1"/>
  <c r="AO11223" i="8" s="1"/>
  <c r="Q11127" i="8"/>
  <c r="R11127" i="8" s="1"/>
  <c r="R11129" i="8" s="1"/>
  <c r="E11124" i="8" s="1"/>
  <c r="E796" i="32" s="1"/>
  <c r="F796" i="32" s="1"/>
  <c r="Q11205" i="8"/>
  <c r="R11205" i="8" s="1"/>
  <c r="R11207" i="8" s="1"/>
  <c r="E11202" i="8" s="1"/>
  <c r="E810" i="32" s="1"/>
  <c r="F810" i="32" s="1"/>
  <c r="Q11219" i="8"/>
  <c r="R11219" i="8" s="1"/>
  <c r="R11221" i="8" s="1"/>
  <c r="AM11216" i="8" s="1"/>
  <c r="AO11216" i="8" s="1"/>
  <c r="Q11212" i="8"/>
  <c r="R11212" i="8" s="1"/>
  <c r="R11214" i="8" s="1"/>
  <c r="AM11209" i="8" s="1"/>
  <c r="AO11209" i="8" s="1"/>
  <c r="Q11015" i="8"/>
  <c r="R11015" i="8" s="1"/>
  <c r="R11017" i="8" s="1"/>
  <c r="E11012" i="8" s="1"/>
  <c r="E777" i="32" s="1"/>
  <c r="F777" i="32" s="1"/>
  <c r="Q11303" i="8"/>
  <c r="R11303" i="8" s="1"/>
  <c r="R11305" i="8" s="1"/>
  <c r="E11300" i="8" s="1"/>
  <c r="E830" i="32" s="1"/>
  <c r="F830" i="32" s="1"/>
  <c r="Q11120" i="8"/>
  <c r="R11120" i="8" s="1"/>
  <c r="R11122" i="8" s="1"/>
  <c r="AM11117" i="8" s="1"/>
  <c r="AO11117" i="8" s="1"/>
  <c r="Q11317" i="8"/>
  <c r="R11317" i="8" s="1"/>
  <c r="R11319" i="8" s="1"/>
  <c r="E11314" i="8" s="1"/>
  <c r="E832" i="32" s="1"/>
  <c r="F832" i="32" s="1"/>
  <c r="Q11324" i="8"/>
  <c r="R11324" i="8" s="1"/>
  <c r="R11326" i="8" s="1"/>
  <c r="E11321" i="8" s="1"/>
  <c r="E833" i="32" s="1"/>
  <c r="F833" i="32" s="1"/>
  <c r="Q11029" i="8"/>
  <c r="R11029" i="8" s="1"/>
  <c r="R11031" i="8" s="1"/>
  <c r="AM11026" i="8" s="1"/>
  <c r="AO11026" i="8" s="1"/>
  <c r="Q11134" i="8"/>
  <c r="R11134" i="8" s="1"/>
  <c r="R11136" i="8" s="1"/>
  <c r="E11131" i="8" s="1"/>
  <c r="E797" i="32" s="1"/>
  <c r="F797" i="32" s="1"/>
  <c r="S122" i="1"/>
  <c r="AE122" i="1" s="1"/>
  <c r="AF122" i="1"/>
  <c r="S147" i="1"/>
  <c r="AE147" i="1" s="1"/>
  <c r="AF147" i="1"/>
  <c r="S111" i="1"/>
  <c r="AE111" i="1" s="1"/>
  <c r="AF111" i="1"/>
  <c r="S163" i="1"/>
  <c r="AE163" i="1" s="1"/>
  <c r="AF163" i="1"/>
  <c r="S158" i="1"/>
  <c r="AE158" i="1" s="1"/>
  <c r="AF158" i="1"/>
  <c r="S148" i="1"/>
  <c r="AE148" i="1" s="1"/>
  <c r="AF148" i="1"/>
  <c r="S131" i="1"/>
  <c r="AE131" i="1" s="1"/>
  <c r="AF131" i="1"/>
  <c r="S126" i="1"/>
  <c r="AE126" i="1" s="1"/>
  <c r="AF126" i="1"/>
  <c r="S155" i="1"/>
  <c r="AE155" i="1" s="1"/>
  <c r="AF155" i="1"/>
  <c r="T1084" i="11"/>
  <c r="T11492" i="8" s="1"/>
  <c r="T118" i="1" s="1"/>
  <c r="R1084" i="11"/>
  <c r="R11492" i="8" s="1"/>
  <c r="R118" i="1" s="1"/>
  <c r="AD118" i="1" s="1"/>
  <c r="R1085" i="11"/>
  <c r="R11493" i="8" s="1"/>
  <c r="R119" i="1" s="1"/>
  <c r="AD119" i="1" s="1"/>
  <c r="R1098" i="11"/>
  <c r="R11506" i="8" s="1"/>
  <c r="R132" i="1" s="1"/>
  <c r="AD132" i="1" s="1"/>
  <c r="T1098" i="11"/>
  <c r="T11506" i="8" s="1"/>
  <c r="T132" i="1" s="1"/>
  <c r="B11467" i="8"/>
  <c r="T28" i="1"/>
  <c r="A28" i="1" s="1"/>
  <c r="R1129" i="11"/>
  <c r="R11537" i="8" s="1"/>
  <c r="R163" i="1" s="1"/>
  <c r="AD163" i="1" s="1"/>
  <c r="AK411" i="26"/>
  <c r="AK412" i="26" s="1"/>
  <c r="AJ412" i="26"/>
  <c r="T1087" i="11"/>
  <c r="T11495" i="8" s="1"/>
  <c r="T121" i="1" s="1"/>
  <c r="T508" i="11"/>
  <c r="T498" i="11" s="1"/>
  <c r="S2396" i="8" s="1"/>
  <c r="T2396" i="8" s="1"/>
  <c r="T2398" i="8" s="1"/>
  <c r="AN2393" i="8" s="1"/>
  <c r="S1147" i="8"/>
  <c r="T1147" i="8" s="1"/>
  <c r="T1149" i="8" s="1"/>
  <c r="AN1144" i="8" s="1"/>
  <c r="S1140" i="8"/>
  <c r="T1140" i="8" s="1"/>
  <c r="T1142" i="8" s="1"/>
  <c r="AN1137" i="8" s="1"/>
  <c r="S1175" i="8"/>
  <c r="T1175" i="8" s="1"/>
  <c r="T1177" i="8" s="1"/>
  <c r="AN1172" i="8" s="1"/>
  <c r="S1168" i="8"/>
  <c r="T1168" i="8" s="1"/>
  <c r="T1170" i="8" s="1"/>
  <c r="AN1165" i="8" s="1"/>
  <c r="S1161" i="8"/>
  <c r="T1161" i="8" s="1"/>
  <c r="T1163" i="8" s="1"/>
  <c r="AN1158" i="8" s="1"/>
  <c r="S1154" i="8"/>
  <c r="T1154" i="8" s="1"/>
  <c r="T1156" i="8" s="1"/>
  <c r="AN1151" i="8" s="1"/>
  <c r="T1133" i="8"/>
  <c r="T1135" i="8" s="1"/>
  <c r="AN1130" i="8" s="1"/>
  <c r="R508" i="11"/>
  <c r="F11465" i="8"/>
  <c r="Q7051" i="8"/>
  <c r="R7051" i="8" s="1"/>
  <c r="E247" i="11"/>
  <c r="F247" i="11" s="1"/>
  <c r="S570" i="8"/>
  <c r="T570" i="8" s="1"/>
  <c r="T590" i="8" s="1"/>
  <c r="T599" i="8" s="1"/>
  <c r="AN559" i="8" s="1"/>
  <c r="S6734" i="8"/>
  <c r="T6734" i="8" s="1"/>
  <c r="T6736" i="8" s="1"/>
  <c r="AN6731" i="8" s="1"/>
  <c r="Q6734" i="8"/>
  <c r="R6734" i="8" s="1"/>
  <c r="R6736" i="8" s="1"/>
  <c r="AM6731" i="8" s="1"/>
  <c r="T459" i="8"/>
  <c r="B459" i="8" s="1"/>
  <c r="R11496" i="8"/>
  <c r="R122" i="1" s="1"/>
  <c r="AD122" i="1" s="1"/>
  <c r="R11500" i="8"/>
  <c r="R126" i="1" s="1"/>
  <c r="AD126" i="1" s="1"/>
  <c r="R11521" i="8"/>
  <c r="R147" i="1" s="1"/>
  <c r="AD147" i="1" s="1"/>
  <c r="R11522" i="8"/>
  <c r="R148" i="1" s="1"/>
  <c r="AD148" i="1" s="1"/>
  <c r="R11529" i="8"/>
  <c r="R155" i="1" s="1"/>
  <c r="AD155" i="1" s="1"/>
  <c r="AM10287" i="8"/>
  <c r="AO10287" i="8" s="1"/>
  <c r="E10287" i="8"/>
  <c r="E626" i="32" s="1"/>
  <c r="F626" i="32" s="1"/>
  <c r="F640" i="32" s="1"/>
  <c r="R10367" i="8"/>
  <c r="AM10227" i="8"/>
  <c r="AO10227" i="8" s="1"/>
  <c r="E10227" i="8"/>
  <c r="E612" i="32" s="1"/>
  <c r="F612" i="32" s="1"/>
  <c r="AM10173" i="8"/>
  <c r="AO10173" i="8" s="1"/>
  <c r="E10173" i="8"/>
  <c r="E602" i="32" s="1"/>
  <c r="F602" i="32" s="1"/>
  <c r="AM10126" i="8"/>
  <c r="AO10126" i="8" s="1"/>
  <c r="E10126" i="8"/>
  <c r="E593" i="32" s="1"/>
  <c r="F593" i="32" s="1"/>
  <c r="AM10234" i="8"/>
  <c r="AO10234" i="8" s="1"/>
  <c r="E10234" i="8"/>
  <c r="E613" i="32" s="1"/>
  <c r="F613" i="32" s="1"/>
  <c r="AM10180" i="8"/>
  <c r="AO10180" i="8" s="1"/>
  <c r="E10180" i="8"/>
  <c r="E603" i="32" s="1"/>
  <c r="F603" i="32" s="1"/>
  <c r="E1009" i="11"/>
  <c r="F1009" i="11" s="1"/>
  <c r="AE1009" i="11" s="1"/>
  <c r="T7084" i="8"/>
  <c r="AN7070" i="8" s="1"/>
  <c r="T7060" i="8"/>
  <c r="R1011" i="11"/>
  <c r="Q6658" i="8" s="1"/>
  <c r="R6658" i="8" s="1"/>
  <c r="E1015" i="11"/>
  <c r="F1015" i="11" s="1"/>
  <c r="AE1015" i="11" s="1"/>
  <c r="Q9231" i="8"/>
  <c r="R9231" i="8" s="1"/>
  <c r="R9233" i="8" s="1"/>
  <c r="AM9228" i="8" s="1"/>
  <c r="AO9228" i="8" s="1"/>
  <c r="Q8777" i="8"/>
  <c r="R8777" i="8" s="1"/>
  <c r="R8779" i="8" s="1"/>
  <c r="E8774" i="8" s="1"/>
  <c r="E143" i="32" s="1"/>
  <c r="F143" i="32" s="1"/>
  <c r="Q8403" i="8"/>
  <c r="R8403" i="8" s="1"/>
  <c r="R8405" i="8" s="1"/>
  <c r="AM8400" i="8" s="1"/>
  <c r="AO8400" i="8" s="1"/>
  <c r="Q8805" i="8"/>
  <c r="R8805" i="8" s="1"/>
  <c r="R8807" i="8" s="1"/>
  <c r="AM8802" i="8" s="1"/>
  <c r="AO8802" i="8" s="1"/>
  <c r="Q8417" i="8"/>
  <c r="R8417" i="8" s="1"/>
  <c r="R8419" i="8" s="1"/>
  <c r="AM8414" i="8" s="1"/>
  <c r="AO8414" i="8" s="1"/>
  <c r="Q8431" i="8"/>
  <c r="R8431" i="8" s="1"/>
  <c r="R8433" i="8" s="1"/>
  <c r="AM8428" i="8" s="1"/>
  <c r="AO8428" i="8" s="1"/>
  <c r="Q9248" i="8"/>
  <c r="R9248" i="8" s="1"/>
  <c r="R9250" i="8" s="1"/>
  <c r="E9245" i="8" s="1"/>
  <c r="Q8840" i="8"/>
  <c r="R8840" i="8" s="1"/>
  <c r="R8842" i="8" s="1"/>
  <c r="AM8837" i="8" s="1"/>
  <c r="AO8837" i="8" s="1"/>
  <c r="Q9207" i="8"/>
  <c r="R9207" i="8" s="1"/>
  <c r="R9212" i="8" s="1"/>
  <c r="AM9204" i="8" s="1"/>
  <c r="AO9204" i="8" s="1"/>
  <c r="Q8833" i="8"/>
  <c r="R8833" i="8" s="1"/>
  <c r="R8835" i="8" s="1"/>
  <c r="E8830" i="8" s="1"/>
  <c r="E151" i="32" s="1"/>
  <c r="F151" i="32" s="1"/>
  <c r="S6663" i="8"/>
  <c r="T6663" i="8" s="1"/>
  <c r="S7056" i="8"/>
  <c r="T7056" i="8" s="1"/>
  <c r="S6661" i="8"/>
  <c r="T6661" i="8" s="1"/>
  <c r="S7051" i="8"/>
  <c r="T7051" i="8" s="1"/>
  <c r="Q8175" i="8"/>
  <c r="R8175" i="8" s="1"/>
  <c r="R8177" i="8" s="1"/>
  <c r="AM8172" i="8" s="1"/>
  <c r="AO8172" i="8" s="1"/>
  <c r="Q8784" i="8"/>
  <c r="R8784" i="8" s="1"/>
  <c r="R8786" i="8" s="1"/>
  <c r="E8781" i="8" s="1"/>
  <c r="E144" i="32" s="1"/>
  <c r="F144" i="32" s="1"/>
  <c r="Q8382" i="8"/>
  <c r="R8382" i="8" s="1"/>
  <c r="R8384" i="8" s="1"/>
  <c r="E8379" i="8" s="1"/>
  <c r="E71" i="32" s="1"/>
  <c r="F71" i="32" s="1"/>
  <c r="Q8196" i="8"/>
  <c r="R8196" i="8" s="1"/>
  <c r="R8198" i="8" s="1"/>
  <c r="E8193" i="8" s="1"/>
  <c r="E37" i="32" s="1"/>
  <c r="F37" i="32" s="1"/>
  <c r="Q9217" i="8"/>
  <c r="R9217" i="8" s="1"/>
  <c r="R9219" i="8" s="1"/>
  <c r="AM9214" i="8" s="1"/>
  <c r="AO9214" i="8" s="1"/>
  <c r="Q8189" i="8"/>
  <c r="R8189" i="8" s="1"/>
  <c r="R8191" i="8" s="1"/>
  <c r="AM8186" i="8" s="1"/>
  <c r="AO8186" i="8" s="1"/>
  <c r="Q8203" i="8"/>
  <c r="R8203" i="8" s="1"/>
  <c r="R8205" i="8" s="1"/>
  <c r="AM8200" i="8" s="1"/>
  <c r="AO8200" i="8" s="1"/>
  <c r="Q8375" i="8"/>
  <c r="R8375" i="8" s="1"/>
  <c r="R8377" i="8" s="1"/>
  <c r="E8372" i="8" s="1"/>
  <c r="E70" i="32" s="1"/>
  <c r="F70" i="32" s="1"/>
  <c r="Q8410" i="8"/>
  <c r="R8410" i="8" s="1"/>
  <c r="R8412" i="8" s="1"/>
  <c r="E8407" i="8" s="1"/>
  <c r="E75" i="32" s="1"/>
  <c r="F75" i="32" s="1"/>
  <c r="Q9224" i="8"/>
  <c r="R9224" i="8" s="1"/>
  <c r="R9226" i="8" s="1"/>
  <c r="AM9221" i="8" s="1"/>
  <c r="AO9221" i="8" s="1"/>
  <c r="Q8389" i="8"/>
  <c r="R8389" i="8" s="1"/>
  <c r="R8391" i="8" s="1"/>
  <c r="AM8386" i="8" s="1"/>
  <c r="AO8386" i="8" s="1"/>
  <c r="Q9238" i="8"/>
  <c r="R9238" i="8" s="1"/>
  <c r="R9243" i="8" s="1"/>
  <c r="AM9235" i="8" s="1"/>
  <c r="AO9235" i="8" s="1"/>
  <c r="Q8826" i="8"/>
  <c r="R8826" i="8" s="1"/>
  <c r="R8828" i="8" s="1"/>
  <c r="E8823" i="8" s="1"/>
  <c r="E150" i="32" s="1"/>
  <c r="F150" i="32" s="1"/>
  <c r="Q8819" i="8"/>
  <c r="R8819" i="8" s="1"/>
  <c r="R8821" i="8" s="1"/>
  <c r="AM8816" i="8" s="1"/>
  <c r="AO8816" i="8" s="1"/>
  <c r="Q8847" i="8"/>
  <c r="R8847" i="8" s="1"/>
  <c r="R8849" i="8" s="1"/>
  <c r="AM8844" i="8" s="1"/>
  <c r="AO8844" i="8" s="1"/>
  <c r="Q8798" i="8"/>
  <c r="R8798" i="8" s="1"/>
  <c r="R8800" i="8" s="1"/>
  <c r="AM8795" i="8" s="1"/>
  <c r="AO8795" i="8" s="1"/>
  <c r="Q8791" i="8"/>
  <c r="R8791" i="8" s="1"/>
  <c r="R8793" i="8" s="1"/>
  <c r="AM8788" i="8" s="1"/>
  <c r="AO8788" i="8" s="1"/>
  <c r="Q8424" i="8"/>
  <c r="R8424" i="8" s="1"/>
  <c r="R8426" i="8" s="1"/>
  <c r="E8421" i="8" s="1"/>
  <c r="E77" i="32" s="1"/>
  <c r="F77" i="32" s="1"/>
  <c r="Q8210" i="8"/>
  <c r="R8210" i="8" s="1"/>
  <c r="R8212" i="8" s="1"/>
  <c r="AM8207" i="8" s="1"/>
  <c r="AO8207" i="8" s="1"/>
  <c r="Q8812" i="8"/>
  <c r="R8812" i="8" s="1"/>
  <c r="R8814" i="8" s="1"/>
  <c r="AM8809" i="8" s="1"/>
  <c r="AO8809" i="8" s="1"/>
  <c r="Q8182" i="8"/>
  <c r="R8182" i="8" s="1"/>
  <c r="R8184" i="8" s="1"/>
  <c r="E8179" i="8" s="1"/>
  <c r="E35" i="32" s="1"/>
  <c r="F35" i="32" s="1"/>
  <c r="Q8368" i="8"/>
  <c r="R8368" i="8" s="1"/>
  <c r="R8370" i="8" s="1"/>
  <c r="E8365" i="8" s="1"/>
  <c r="E69" i="32" s="1"/>
  <c r="F69" i="32" s="1"/>
  <c r="Q8231" i="8"/>
  <c r="R8231" i="8" s="1"/>
  <c r="R8233" i="8" s="1"/>
  <c r="AM8228" i="8" s="1"/>
  <c r="AO8228" i="8" s="1"/>
  <c r="Q8224" i="8"/>
  <c r="R8224" i="8" s="1"/>
  <c r="R8226" i="8" s="1"/>
  <c r="AM8221" i="8" s="1"/>
  <c r="AO8221" i="8" s="1"/>
  <c r="Q8396" i="8"/>
  <c r="R8396" i="8" s="1"/>
  <c r="R8398" i="8" s="1"/>
  <c r="E8393" i="8" s="1"/>
  <c r="E73" i="32" s="1"/>
  <c r="F73" i="32" s="1"/>
  <c r="Q10083" i="8"/>
  <c r="R10083" i="8" s="1"/>
  <c r="R10085" i="8" s="1"/>
  <c r="Q10118" i="8"/>
  <c r="R10118" i="8" s="1"/>
  <c r="R10120" i="8" s="1"/>
  <c r="AM11307" i="8"/>
  <c r="AO11307" i="8" s="1"/>
  <c r="E11307" i="8"/>
  <c r="E831" i="32" s="1"/>
  <c r="F831" i="32" s="1"/>
  <c r="B10995" i="8"/>
  <c r="AM8605" i="8"/>
  <c r="AO8605" i="8" s="1"/>
  <c r="E8605" i="8"/>
  <c r="E111" i="32" s="1"/>
  <c r="F111" i="32" s="1"/>
  <c r="AM9104" i="8"/>
  <c r="AO9104" i="8" s="1"/>
  <c r="E9104" i="8"/>
  <c r="E197" i="32" s="1"/>
  <c r="F197" i="32" s="1"/>
  <c r="AM9536" i="8"/>
  <c r="AO9536" i="8" s="1"/>
  <c r="E9536" i="8"/>
  <c r="E276" i="32" s="1"/>
  <c r="F276" i="32" s="1"/>
  <c r="AM9643" i="8"/>
  <c r="AO9643" i="8" s="1"/>
  <c r="E9643" i="8"/>
  <c r="E297" i="32" s="1"/>
  <c r="F297" i="32" s="1"/>
  <c r="AM9090" i="8"/>
  <c r="AO9090" i="8" s="1"/>
  <c r="E9090" i="8"/>
  <c r="E195" i="32" s="1"/>
  <c r="F195" i="32" s="1"/>
  <c r="AM9432" i="8"/>
  <c r="AO9432" i="8" s="1"/>
  <c r="E9432" i="8"/>
  <c r="E258" i="32" s="1"/>
  <c r="F258" i="32" s="1"/>
  <c r="AM8612" i="8"/>
  <c r="AO8612" i="8" s="1"/>
  <c r="E8612" i="8"/>
  <c r="E112" i="32" s="1"/>
  <c r="F112" i="32" s="1"/>
  <c r="AM8626" i="8"/>
  <c r="AO8626" i="8" s="1"/>
  <c r="E8626" i="8"/>
  <c r="E114" i="32" s="1"/>
  <c r="F114" i="32" s="1"/>
  <c r="AM8598" i="8"/>
  <c r="AO8598" i="8" s="1"/>
  <c r="E8598" i="8"/>
  <c r="E110" i="32" s="1"/>
  <c r="F110" i="32" s="1"/>
  <c r="AM9446" i="8"/>
  <c r="AO9446" i="8" s="1"/>
  <c r="E9446" i="8"/>
  <c r="E260" i="32" s="1"/>
  <c r="F260" i="32" s="1"/>
  <c r="AM8591" i="8"/>
  <c r="AO8591" i="8" s="1"/>
  <c r="E8591" i="8"/>
  <c r="E109" i="32" s="1"/>
  <c r="F109" i="32" s="1"/>
  <c r="AM9260" i="8"/>
  <c r="AO9260" i="8" s="1"/>
  <c r="E9260" i="8"/>
  <c r="E226" i="32" s="1"/>
  <c r="F226" i="32" s="1"/>
  <c r="AM9733" i="8"/>
  <c r="AO9733" i="8" s="1"/>
  <c r="E9733" i="8"/>
  <c r="E313" i="32" s="1"/>
  <c r="F313" i="32" s="1"/>
  <c r="AM9629" i="8"/>
  <c r="AO9629" i="8" s="1"/>
  <c r="E9629" i="8"/>
  <c r="E295" i="32" s="1"/>
  <c r="F295" i="32" s="1"/>
  <c r="AM9097" i="8"/>
  <c r="AO9097" i="8" s="1"/>
  <c r="E9097" i="8"/>
  <c r="E196" i="32" s="1"/>
  <c r="F196" i="32" s="1"/>
  <c r="AM9615" i="8"/>
  <c r="AO9615" i="8" s="1"/>
  <c r="E9615" i="8"/>
  <c r="E293" i="32" s="1"/>
  <c r="F293" i="32" s="1"/>
  <c r="R9797" i="8"/>
  <c r="AM9439" i="8"/>
  <c r="AO9439" i="8" s="1"/>
  <c r="E9439" i="8"/>
  <c r="E259" i="32" s="1"/>
  <c r="F259" i="32" s="1"/>
  <c r="AM9267" i="8"/>
  <c r="AO9267" i="8" s="1"/>
  <c r="E9267" i="8"/>
  <c r="E227" i="32" s="1"/>
  <c r="F227" i="32" s="1"/>
  <c r="E8763" i="8"/>
  <c r="E141" i="32" s="1"/>
  <c r="F141" i="32" s="1"/>
  <c r="AM8763" i="8"/>
  <c r="AO8763" i="8" s="1"/>
  <c r="AM9550" i="8"/>
  <c r="AO9550" i="8" s="1"/>
  <c r="E9550" i="8"/>
  <c r="E278" i="32" s="1"/>
  <c r="F278" i="32" s="1"/>
  <c r="AM8584" i="8"/>
  <c r="AO8584" i="8" s="1"/>
  <c r="E8584" i="8"/>
  <c r="E108" i="32" s="1"/>
  <c r="F108" i="32" s="1"/>
  <c r="AM9622" i="8"/>
  <c r="AO9622" i="8" s="1"/>
  <c r="E9622" i="8"/>
  <c r="E294" i="32" s="1"/>
  <c r="F294" i="32" s="1"/>
  <c r="AM9726" i="8"/>
  <c r="AO9726" i="8" s="1"/>
  <c r="E9726" i="8"/>
  <c r="E312" i="32" s="1"/>
  <c r="F312" i="32" s="1"/>
  <c r="AM9453" i="8"/>
  <c r="AO9453" i="8" s="1"/>
  <c r="E9453" i="8"/>
  <c r="E261" i="32" s="1"/>
  <c r="F261" i="32" s="1"/>
  <c r="R8750" i="8"/>
  <c r="AM8577" i="8"/>
  <c r="AO8577" i="8" s="1"/>
  <c r="E8577" i="8"/>
  <c r="E107" i="32" s="1"/>
  <c r="F107" i="32" s="1"/>
  <c r="AM9111" i="8"/>
  <c r="AO9111" i="8" s="1"/>
  <c r="E9111" i="8"/>
  <c r="E198" i="32" s="1"/>
  <c r="F198" i="32" s="1"/>
  <c r="AM8619" i="8"/>
  <c r="AO8619" i="8" s="1"/>
  <c r="E8619" i="8"/>
  <c r="E113" i="32" s="1"/>
  <c r="F113" i="32" s="1"/>
  <c r="AM9288" i="8"/>
  <c r="AO9288" i="8" s="1"/>
  <c r="E9288" i="8"/>
  <c r="E230" i="32" s="1"/>
  <c r="F230" i="32" s="1"/>
  <c r="E9425" i="8"/>
  <c r="E257" i="32" s="1"/>
  <c r="F257" i="32" s="1"/>
  <c r="R9602" i="8"/>
  <c r="AM9425" i="8"/>
  <c r="AO9425" i="8" s="1"/>
  <c r="AM9274" i="8"/>
  <c r="AO9274" i="8" s="1"/>
  <c r="E9274" i="8"/>
  <c r="E228" i="32" s="1"/>
  <c r="F228" i="32" s="1"/>
  <c r="AM9281" i="8"/>
  <c r="AO9281" i="8" s="1"/>
  <c r="E9281" i="8"/>
  <c r="E229" i="32" s="1"/>
  <c r="F229" i="32" s="1"/>
  <c r="AM9636" i="8"/>
  <c r="AO9636" i="8" s="1"/>
  <c r="E9636" i="8"/>
  <c r="E296" i="32" s="1"/>
  <c r="F296" i="32" s="1"/>
  <c r="R9187" i="8"/>
  <c r="AM9083" i="8"/>
  <c r="AO9083" i="8" s="1"/>
  <c r="E9083" i="8"/>
  <c r="E194" i="32" s="1"/>
  <c r="F194" i="32" s="1"/>
  <c r="AM9543" i="8"/>
  <c r="AO9543" i="8" s="1"/>
  <c r="E9543" i="8"/>
  <c r="E277" i="32" s="1"/>
  <c r="F277" i="32" s="1"/>
  <c r="AM8214" i="8"/>
  <c r="AO8214" i="8" s="1"/>
  <c r="E8214" i="8"/>
  <c r="E40" i="32" s="1"/>
  <c r="F40" i="32" s="1"/>
  <c r="E30" i="1"/>
  <c r="A30" i="1"/>
  <c r="B30" i="1"/>
  <c r="E29" i="1"/>
  <c r="A29" i="1"/>
  <c r="B29" i="1"/>
  <c r="E28" i="1"/>
  <c r="AJ11467" i="8"/>
  <c r="A27" i="1"/>
  <c r="B27" i="1"/>
  <c r="E27" i="1"/>
  <c r="Q5345" i="8"/>
  <c r="R5345" i="8" s="1"/>
  <c r="R5347" i="8" s="1"/>
  <c r="AM5342" i="8" s="1"/>
  <c r="S5352" i="8"/>
  <c r="T5352" i="8" s="1"/>
  <c r="T5354" i="8" s="1"/>
  <c r="AN5349" i="8" s="1"/>
  <c r="S2524" i="8"/>
  <c r="T2524" i="8" s="1"/>
  <c r="T2526" i="8" s="1"/>
  <c r="AN2521" i="8" s="1"/>
  <c r="S773" i="8"/>
  <c r="T773" i="8" s="1"/>
  <c r="T775" i="8" s="1"/>
  <c r="AN770" i="8" s="1"/>
  <c r="S808" i="8"/>
  <c r="T808" i="8" s="1"/>
  <c r="T810" i="8" s="1"/>
  <c r="AN805" i="8" s="1"/>
  <c r="S5644" i="8"/>
  <c r="T5644" i="8" s="1"/>
  <c r="S6046" i="8"/>
  <c r="T6046" i="8" s="1"/>
  <c r="S6145" i="8"/>
  <c r="T6145" i="8" s="1"/>
  <c r="Q5479" i="8"/>
  <c r="R5479" i="8" s="1"/>
  <c r="R5481" i="8" s="1"/>
  <c r="AM5476" i="8" s="1"/>
  <c r="S2471" i="8"/>
  <c r="T2471" i="8" s="1"/>
  <c r="T2473" i="8" s="1"/>
  <c r="AN2468" i="8" s="1"/>
  <c r="Q5317" i="8"/>
  <c r="R5317" i="8" s="1"/>
  <c r="R5319" i="8" s="1"/>
  <c r="AM5314" i="8" s="1"/>
  <c r="S5437" i="8"/>
  <c r="T5437" i="8" s="1"/>
  <c r="T5439" i="8" s="1"/>
  <c r="AN5434" i="8" s="1"/>
  <c r="S5366" i="8"/>
  <c r="T5366" i="8" s="1"/>
  <c r="T5368" i="8" s="1"/>
  <c r="AN5363" i="8" s="1"/>
  <c r="S5331" i="8"/>
  <c r="T5331" i="8" s="1"/>
  <c r="T5333" i="8" s="1"/>
  <c r="AN5328" i="8" s="1"/>
  <c r="Q5215" i="8"/>
  <c r="R5215" i="8" s="1"/>
  <c r="R5217" i="8" s="1"/>
  <c r="AM5212" i="8" s="1"/>
  <c r="S3948" i="8"/>
  <c r="T3948" i="8" s="1"/>
  <c r="T3951" i="8" s="1"/>
  <c r="AN3945" i="8" s="1"/>
  <c r="S2417" i="8"/>
  <c r="T2417" i="8" s="1"/>
  <c r="T2419" i="8" s="1"/>
  <c r="AN2414" i="8" s="1"/>
  <c r="S5317" i="8"/>
  <c r="T5317" i="8" s="1"/>
  <c r="T5319" i="8" s="1"/>
  <c r="AN5314" i="8" s="1"/>
  <c r="S5250" i="8"/>
  <c r="T5250" i="8" s="1"/>
  <c r="T5252" i="8" s="1"/>
  <c r="AN5247" i="8" s="1"/>
  <c r="S5345" i="8"/>
  <c r="T5345" i="8" s="1"/>
  <c r="T5347" i="8" s="1"/>
  <c r="AN5342" i="8" s="1"/>
  <c r="S5988" i="8"/>
  <c r="T5988" i="8" s="1"/>
  <c r="S2305" i="8"/>
  <c r="T2305" i="8" s="1"/>
  <c r="T2307" i="8" s="1"/>
  <c r="AN2302" i="8" s="1"/>
  <c r="S1862" i="8"/>
  <c r="T1862" i="8" s="1"/>
  <c r="T1864" i="8" s="1"/>
  <c r="AN1859" i="8" s="1"/>
  <c r="S794" i="8"/>
  <c r="T794" i="8" s="1"/>
  <c r="T796" i="8" s="1"/>
  <c r="AN791" i="8" s="1"/>
  <c r="S5257" i="8"/>
  <c r="T5257" i="8" s="1"/>
  <c r="T5259" i="8" s="1"/>
  <c r="AN5254" i="8" s="1"/>
  <c r="S5836" i="8"/>
  <c r="T5836" i="8" s="1"/>
  <c r="S901" i="8"/>
  <c r="T901" i="8" s="1"/>
  <c r="Q1862" i="8"/>
  <c r="R1862" i="8" s="1"/>
  <c r="R1864" i="8" s="1"/>
  <c r="AM1859" i="8" s="1"/>
  <c r="Q7508" i="8"/>
  <c r="R7508" i="8" s="1"/>
  <c r="R7510" i="8" s="1"/>
  <c r="E7505" i="8" s="1"/>
  <c r="E1488" i="28" s="1"/>
  <c r="F1488" i="28" s="1"/>
  <c r="Q4785" i="8"/>
  <c r="R4785" i="8" s="1"/>
  <c r="R4787" i="8" s="1"/>
  <c r="AM4782" i="8" s="1"/>
  <c r="S5479" i="8"/>
  <c r="T5479" i="8" s="1"/>
  <c r="T5481" i="8" s="1"/>
  <c r="AN5476" i="8" s="1"/>
  <c r="S6136" i="8"/>
  <c r="T6136" i="8" s="1"/>
  <c r="S5215" i="8"/>
  <c r="T5215" i="8" s="1"/>
  <c r="T5217" i="8" s="1"/>
  <c r="AN5212" i="8" s="1"/>
  <c r="S5243" i="8"/>
  <c r="T5243" i="8" s="1"/>
  <c r="T5245" i="8" s="1"/>
  <c r="AN5240" i="8" s="1"/>
  <c r="S5222" i="8"/>
  <c r="T5222" i="8" s="1"/>
  <c r="T5224" i="8" s="1"/>
  <c r="AN5219" i="8" s="1"/>
  <c r="S908" i="8"/>
  <c r="T908" i="8" s="1"/>
  <c r="T910" i="8" s="1"/>
  <c r="AN905" i="8" s="1"/>
  <c r="Q794" i="8"/>
  <c r="R794" i="8" s="1"/>
  <c r="R796" i="8" s="1"/>
  <c r="S5948" i="8"/>
  <c r="T5948" i="8" s="1"/>
  <c r="S3488" i="8"/>
  <c r="T3488" i="8" s="1"/>
  <c r="T3491" i="8" s="1"/>
  <c r="AN3485" i="8" s="1"/>
  <c r="T1085" i="11"/>
  <c r="T77" i="11"/>
  <c r="T56" i="11" s="1"/>
  <c r="R1097" i="11"/>
  <c r="R11505" i="8" s="1"/>
  <c r="R131" i="1" s="1"/>
  <c r="AD131" i="1" s="1"/>
  <c r="R77" i="11"/>
  <c r="S4398" i="8"/>
  <c r="T4398" i="8" s="1"/>
  <c r="T4401" i="8" s="1"/>
  <c r="AN4395" i="8" s="1"/>
  <c r="S4568" i="8"/>
  <c r="T4568" i="8" s="1"/>
  <c r="T4571" i="8" s="1"/>
  <c r="AN4565" i="8" s="1"/>
  <c r="E132" i="11"/>
  <c r="F132" i="11" s="1"/>
  <c r="R127" i="11"/>
  <c r="T1075" i="11"/>
  <c r="T11483" i="8" s="1"/>
  <c r="T101" i="11"/>
  <c r="T91" i="11" s="1"/>
  <c r="R101" i="11"/>
  <c r="R91" i="11" s="1"/>
  <c r="R1075" i="11"/>
  <c r="S5599" i="8"/>
  <c r="T5599" i="8" s="1"/>
  <c r="S6339" i="8"/>
  <c r="T6339" i="8" s="1"/>
  <c r="S5827" i="8"/>
  <c r="T5827" i="8" s="1"/>
  <c r="S6160" i="8"/>
  <c r="T6160" i="8" s="1"/>
  <c r="S5862" i="8"/>
  <c r="T5862" i="8" s="1"/>
  <c r="S5875" i="8"/>
  <c r="T5875" i="8" s="1"/>
  <c r="S5796" i="8"/>
  <c r="T5796" i="8" s="1"/>
  <c r="S5849" i="8"/>
  <c r="T5849" i="8" s="1"/>
  <c r="S5805" i="8"/>
  <c r="T5805" i="8" s="1"/>
  <c r="S5814" i="8"/>
  <c r="T5814" i="8" s="1"/>
  <c r="S6085" i="8"/>
  <c r="T6085" i="8" s="1"/>
  <c r="S6118" i="8"/>
  <c r="T6118" i="8" s="1"/>
  <c r="S6035" i="8"/>
  <c r="T6035" i="8" s="1"/>
  <c r="S6057" i="8"/>
  <c r="T6057" i="8" s="1"/>
  <c r="T6528" i="8"/>
  <c r="E806" i="11"/>
  <c r="F806" i="11" s="1"/>
  <c r="R797" i="11"/>
  <c r="Q3956" i="8"/>
  <c r="R3956" i="8" s="1"/>
  <c r="R3958" i="8" s="1"/>
  <c r="AM3953" i="8" s="1"/>
  <c r="T1071" i="11"/>
  <c r="E139" i="11"/>
  <c r="F139" i="11" s="1"/>
  <c r="Q2970" i="8"/>
  <c r="R2970" i="8" s="1"/>
  <c r="R2972" i="8" s="1"/>
  <c r="AM2967" i="8" s="1"/>
  <c r="Q4584" i="8"/>
  <c r="R4584" i="8" s="1"/>
  <c r="R4586" i="8" s="1"/>
  <c r="AM4581" i="8" s="1"/>
  <c r="Q3664" i="8"/>
  <c r="R3664" i="8" s="1"/>
  <c r="R3666" i="8" s="1"/>
  <c r="AM3661" i="8" s="1"/>
  <c r="Q3771" i="8"/>
  <c r="R3771" i="8" s="1"/>
  <c r="R3773" i="8" s="1"/>
  <c r="AM3768" i="8" s="1"/>
  <c r="Q4117" i="8"/>
  <c r="R4117" i="8" s="1"/>
  <c r="R4119" i="8" s="1"/>
  <c r="AM4114" i="8" s="1"/>
  <c r="R154" i="11"/>
  <c r="R141" i="11" s="1"/>
  <c r="Q4263" i="8"/>
  <c r="R4263" i="8" s="1"/>
  <c r="R4265" i="8" s="1"/>
  <c r="AM4260" i="8" s="1"/>
  <c r="Q3241" i="8"/>
  <c r="R3241" i="8" s="1"/>
  <c r="R3243" i="8" s="1"/>
  <c r="AM3238" i="8" s="1"/>
  <c r="Q2977" i="8"/>
  <c r="R2977" i="8" s="1"/>
  <c r="R2979" i="8" s="1"/>
  <c r="AM2974" i="8" s="1"/>
  <c r="Q4414" i="8"/>
  <c r="R4414" i="8" s="1"/>
  <c r="R4416" i="8" s="1"/>
  <c r="AM4411" i="8" s="1"/>
  <c r="Q3657" i="8"/>
  <c r="R3657" i="8" s="1"/>
  <c r="R3659" i="8" s="1"/>
  <c r="AM3654" i="8" s="1"/>
  <c r="Q3297" i="8"/>
  <c r="R3297" i="8" s="1"/>
  <c r="R3299" i="8" s="1"/>
  <c r="AM3294" i="8" s="1"/>
  <c r="Q3878" i="8"/>
  <c r="R3878" i="8" s="1"/>
  <c r="R3880" i="8" s="1"/>
  <c r="AM3875" i="8" s="1"/>
  <c r="Q3304" i="8"/>
  <c r="R3304" i="8" s="1"/>
  <c r="R3306" i="8" s="1"/>
  <c r="AM3301" i="8" s="1"/>
  <c r="R1071" i="11"/>
  <c r="R1096" i="11"/>
  <c r="T1096" i="11"/>
  <c r="T11504" i="8" s="1"/>
  <c r="T130" i="1" s="1"/>
  <c r="Q4717" i="8"/>
  <c r="R4717" i="8" s="1"/>
  <c r="R4719" i="8" s="1"/>
  <c r="AM4714" i="8" s="1"/>
  <c r="T154" i="11"/>
  <c r="T141" i="11" s="1"/>
  <c r="S3657" i="8"/>
  <c r="T3657" i="8" s="1"/>
  <c r="T3659" i="8" s="1"/>
  <c r="AN3654" i="8" s="1"/>
  <c r="S4263" i="8"/>
  <c r="T4263" i="8" s="1"/>
  <c r="T4265" i="8" s="1"/>
  <c r="AN4260" i="8" s="1"/>
  <c r="S3297" i="8"/>
  <c r="T3297" i="8" s="1"/>
  <c r="T3299" i="8" s="1"/>
  <c r="AN3294" i="8" s="1"/>
  <c r="S3956" i="8"/>
  <c r="T3956" i="8" s="1"/>
  <c r="T3958" i="8" s="1"/>
  <c r="AN3953" i="8" s="1"/>
  <c r="S4584" i="8"/>
  <c r="T4584" i="8" s="1"/>
  <c r="T4586" i="8" s="1"/>
  <c r="AN4581" i="8" s="1"/>
  <c r="S2977" i="8"/>
  <c r="T2977" i="8" s="1"/>
  <c r="T2979" i="8" s="1"/>
  <c r="AN2974" i="8" s="1"/>
  <c r="S3304" i="8"/>
  <c r="T3304" i="8" s="1"/>
  <c r="T3306" i="8" s="1"/>
  <c r="AN3301" i="8" s="1"/>
  <c r="S4117" i="8"/>
  <c r="T4117" i="8" s="1"/>
  <c r="T4119" i="8" s="1"/>
  <c r="AN4114" i="8" s="1"/>
  <c r="S3664" i="8"/>
  <c r="T3664" i="8" s="1"/>
  <c r="T3666" i="8" s="1"/>
  <c r="AN3661" i="8" s="1"/>
  <c r="S4717" i="8"/>
  <c r="T4717" i="8" s="1"/>
  <c r="T4719" i="8" s="1"/>
  <c r="AN4714" i="8" s="1"/>
  <c r="S3241" i="8"/>
  <c r="T3241" i="8" s="1"/>
  <c r="T3243" i="8" s="1"/>
  <c r="AN3238" i="8" s="1"/>
  <c r="S4785" i="8"/>
  <c r="T4785" i="8" s="1"/>
  <c r="T4787" i="8" s="1"/>
  <c r="AN4782" i="8" s="1"/>
  <c r="S2970" i="8"/>
  <c r="T2970" i="8" s="1"/>
  <c r="T2972" i="8" s="1"/>
  <c r="AN2967" i="8" s="1"/>
  <c r="S3771" i="8"/>
  <c r="T3771" i="8" s="1"/>
  <c r="T3773" i="8" s="1"/>
  <c r="AN3768" i="8" s="1"/>
  <c r="S3878" i="8"/>
  <c r="T3878" i="8" s="1"/>
  <c r="T3880" i="8" s="1"/>
  <c r="AN3875" i="8" s="1"/>
  <c r="S4414" i="8"/>
  <c r="T4414" i="8" s="1"/>
  <c r="T4416" i="8" s="1"/>
  <c r="AN4411" i="8" s="1"/>
  <c r="Q2154" i="8"/>
  <c r="Q2140" i="8"/>
  <c r="Q2126" i="8"/>
  <c r="Q2147" i="8"/>
  <c r="Q2133" i="8"/>
  <c r="Q2119" i="8"/>
  <c r="E539" i="11"/>
  <c r="F539" i="11" s="1"/>
  <c r="T520" i="11"/>
  <c r="T237" i="11"/>
  <c r="B247" i="11"/>
  <c r="E557" i="11"/>
  <c r="F557" i="11" s="1"/>
  <c r="S3649" i="8"/>
  <c r="T3649" i="8" s="1"/>
  <c r="T3652" i="8" s="1"/>
  <c r="AN3646" i="8" s="1"/>
  <c r="E125" i="11"/>
  <c r="F125" i="11" s="1"/>
  <c r="S4109" i="8"/>
  <c r="T4109" i="8" s="1"/>
  <c r="T4112" i="8" s="1"/>
  <c r="AN4106" i="8" s="1"/>
  <c r="S3641" i="8"/>
  <c r="T3641" i="8" s="1"/>
  <c r="T3644" i="8" s="1"/>
  <c r="AN3638" i="8" s="1"/>
  <c r="S4101" i="8"/>
  <c r="T4101" i="8" s="1"/>
  <c r="T4104" i="8" s="1"/>
  <c r="AN4098" i="8" s="1"/>
  <c r="S3763" i="8"/>
  <c r="T3763" i="8" s="1"/>
  <c r="T3766" i="8" s="1"/>
  <c r="AN3760" i="8" s="1"/>
  <c r="S2962" i="8"/>
  <c r="T2962" i="8" s="1"/>
  <c r="T2965" i="8" s="1"/>
  <c r="AN2959" i="8" s="1"/>
  <c r="Q3649" i="8"/>
  <c r="R3649" i="8" s="1"/>
  <c r="R3652" i="8" s="1"/>
  <c r="Q3641" i="8"/>
  <c r="R3641" i="8" s="1"/>
  <c r="R3644" i="8" s="1"/>
  <c r="Q4101" i="8"/>
  <c r="R4101" i="8" s="1"/>
  <c r="R4104" i="8" s="1"/>
  <c r="Q3948" i="8"/>
  <c r="R3948" i="8" s="1"/>
  <c r="R3951" i="8" s="1"/>
  <c r="Q3763" i="8"/>
  <c r="R3763" i="8" s="1"/>
  <c r="R3766" i="8" s="1"/>
  <c r="Q4109" i="8"/>
  <c r="R4109" i="8" s="1"/>
  <c r="R4112" i="8" s="1"/>
  <c r="Q2962" i="8"/>
  <c r="R2962" i="8" s="1"/>
  <c r="R2965" i="8" s="1"/>
  <c r="Q7304" i="8"/>
  <c r="R7304" i="8" s="1"/>
  <c r="R7306" i="8" s="1"/>
  <c r="AM7301" i="8" s="1"/>
  <c r="AO7301" i="8" s="1"/>
  <c r="Q7391" i="8"/>
  <c r="R7391" i="8" s="1"/>
  <c r="R7393" i="8" s="1"/>
  <c r="Q6934" i="8"/>
  <c r="R6934" i="8" s="1"/>
  <c r="R6936" i="8" s="1"/>
  <c r="E6931" i="8" s="1"/>
  <c r="E1382" i="28" s="1"/>
  <c r="F1382" i="28" s="1"/>
  <c r="Q7227" i="8"/>
  <c r="R7227" i="8" s="1"/>
  <c r="R7229" i="8" s="1"/>
  <c r="E7224" i="8" s="1"/>
  <c r="E1434" i="28" s="1"/>
  <c r="F1434" i="28" s="1"/>
  <c r="Q6821" i="8"/>
  <c r="R6821" i="8" s="1"/>
  <c r="R6823" i="8" s="1"/>
  <c r="AN6931" i="8"/>
  <c r="AN7224" i="8"/>
  <c r="S801" i="8"/>
  <c r="T801" i="8" s="1"/>
  <c r="T803" i="8" s="1"/>
  <c r="AN798" i="8" s="1"/>
  <c r="S2549" i="8"/>
  <c r="T2549" i="8" s="1"/>
  <c r="T2551" i="8" s="1"/>
  <c r="AN2546" i="8" s="1"/>
  <c r="S2517" i="8"/>
  <c r="T2517" i="8" s="1"/>
  <c r="T2519" i="8" s="1"/>
  <c r="AN2514" i="8" s="1"/>
  <c r="S2542" i="8"/>
  <c r="T2542" i="8" s="1"/>
  <c r="T2544" i="8" s="1"/>
  <c r="AN2539" i="8" s="1"/>
  <c r="S787" i="8"/>
  <c r="T787" i="8" s="1"/>
  <c r="T789" i="8" s="1"/>
  <c r="AN784" i="8" s="1"/>
  <c r="S871" i="8"/>
  <c r="T871" i="8" s="1"/>
  <c r="T873" i="8" s="1"/>
  <c r="AN868" i="8" s="1"/>
  <c r="S2535" i="8"/>
  <c r="T2535" i="8" s="1"/>
  <c r="T2537" i="8" s="1"/>
  <c r="AN2532" i="8" s="1"/>
  <c r="S5626" i="8"/>
  <c r="T5626" i="8" s="1"/>
  <c r="S5511" i="8"/>
  <c r="T5511" i="8" s="1"/>
  <c r="T5513" i="8" s="1"/>
  <c r="AN5508" i="8" s="1"/>
  <c r="S5812" i="8"/>
  <c r="T5812" i="8" s="1"/>
  <c r="S6366" i="8"/>
  <c r="T6366" i="8" s="1"/>
  <c r="S6296" i="8"/>
  <c r="T6296" i="8" s="1"/>
  <c r="S885" i="8"/>
  <c r="T885" i="8" s="1"/>
  <c r="T887" i="8" s="1"/>
  <c r="AN882" i="8" s="1"/>
  <c r="S2403" i="8"/>
  <c r="T2403" i="8" s="1"/>
  <c r="T2405" i="8" s="1"/>
  <c r="AN2400" i="8" s="1"/>
  <c r="S1599" i="8"/>
  <c r="T1599" i="8" s="1"/>
  <c r="T1601" i="8" s="1"/>
  <c r="AN1596" i="8" s="1"/>
  <c r="S6448" i="8"/>
  <c r="T6448" i="8" s="1"/>
  <c r="S6127" i="8"/>
  <c r="T6127" i="8" s="1"/>
  <c r="S6439" i="8"/>
  <c r="T6439" i="8" s="1"/>
  <c r="S6094" i="8"/>
  <c r="T6094" i="8" s="1"/>
  <c r="S6450" i="8"/>
  <c r="T6450" i="8" s="1"/>
  <c r="S6368" i="8"/>
  <c r="T6368" i="8" s="1"/>
  <c r="S5619" i="8"/>
  <c r="T5619" i="8" s="1"/>
  <c r="S6432" i="8"/>
  <c r="T6432" i="8" s="1"/>
  <c r="S5628" i="8"/>
  <c r="T5628" i="8" s="1"/>
  <c r="S6485" i="8"/>
  <c r="T6485" i="8" s="1"/>
  <c r="S6138" i="8"/>
  <c r="T6138" i="8" s="1"/>
  <c r="S5677" i="8"/>
  <c r="T5677" i="8" s="1"/>
  <c r="S5686" i="8"/>
  <c r="T5686" i="8" s="1"/>
  <c r="S5637" i="8"/>
  <c r="T5637" i="8" s="1"/>
  <c r="S6359" i="8"/>
  <c r="T6359" i="8" s="1"/>
  <c r="S2410" i="8"/>
  <c r="T2410" i="8" s="1"/>
  <c r="T2412" i="8" s="1"/>
  <c r="AN2407" i="8" s="1"/>
  <c r="S5384" i="8"/>
  <c r="T5384" i="8" s="1"/>
  <c r="T5386" i="8" s="1"/>
  <c r="AN5381" i="8" s="1"/>
  <c r="S5275" i="8"/>
  <c r="T5275" i="8" s="1"/>
  <c r="T5277" i="8" s="1"/>
  <c r="AN5272" i="8" s="1"/>
  <c r="E403" i="11"/>
  <c r="F403" i="11" s="1"/>
  <c r="E674" i="11"/>
  <c r="F674" i="11" s="1"/>
  <c r="S5684" i="8"/>
  <c r="T5684" i="8" s="1"/>
  <c r="S2298" i="8"/>
  <c r="T2298" i="8" s="1"/>
  <c r="T2300" i="8" s="1"/>
  <c r="AN2295" i="8" s="1"/>
  <c r="S2312" i="8"/>
  <c r="T2312" i="8" s="1"/>
  <c r="T2314" i="8" s="1"/>
  <c r="AN2309" i="8" s="1"/>
  <c r="E466" i="11"/>
  <c r="F466" i="11" s="1"/>
  <c r="E333" i="11"/>
  <c r="F333" i="11" s="1"/>
  <c r="S5229" i="8"/>
  <c r="T5229" i="8" s="1"/>
  <c r="T5231" i="8" s="1"/>
  <c r="AN5226" i="8" s="1"/>
  <c r="E656" i="11"/>
  <c r="F656" i="11" s="1"/>
  <c r="E435" i="11"/>
  <c r="F435" i="11" s="1"/>
  <c r="E323" i="11"/>
  <c r="F323" i="11" s="1"/>
  <c r="S5635" i="8"/>
  <c r="T5635" i="8" s="1"/>
  <c r="S6044" i="8"/>
  <c r="T6044" i="8" s="1"/>
  <c r="E638" i="11"/>
  <c r="F638" i="11" s="1"/>
  <c r="S5724" i="8"/>
  <c r="T5724" i="8" s="1"/>
  <c r="S6441" i="8"/>
  <c r="T6441" i="8" s="1"/>
  <c r="S5990" i="8"/>
  <c r="T5990" i="8" s="1"/>
  <c r="S915" i="8"/>
  <c r="T915" i="8" s="1"/>
  <c r="T917" i="8" s="1"/>
  <c r="AN912" i="8" s="1"/>
  <c r="E611" i="11"/>
  <c r="F611" i="11" s="1"/>
  <c r="E772" i="11"/>
  <c r="F772" i="11" s="1"/>
  <c r="E686" i="11"/>
  <c r="F686" i="11" s="1"/>
  <c r="S899" i="8"/>
  <c r="T899" i="8" s="1"/>
  <c r="S1830" i="8"/>
  <c r="T1830" i="8" s="1"/>
  <c r="T1832" i="8" s="1"/>
  <c r="AN1827" i="8" s="1"/>
  <c r="E620" i="11"/>
  <c r="F620" i="11" s="1"/>
  <c r="R552" i="11"/>
  <c r="S2882" i="8"/>
  <c r="T2882" i="8" s="1"/>
  <c r="T2884" i="8" s="1"/>
  <c r="AN2879" i="8" s="1"/>
  <c r="E602" i="11"/>
  <c r="F602" i="11" s="1"/>
  <c r="E849" i="11"/>
  <c r="F849" i="11" s="1"/>
  <c r="B772" i="11"/>
  <c r="E363" i="11"/>
  <c r="F363" i="11" s="1"/>
  <c r="S1388" i="8"/>
  <c r="T1388" i="8" s="1"/>
  <c r="T1390" i="8" s="1"/>
  <c r="AN1385" i="8" s="1"/>
  <c r="R762" i="11"/>
  <c r="S1631" i="8"/>
  <c r="T1631" i="8" s="1"/>
  <c r="T1633" i="8" s="1"/>
  <c r="AN1628" i="8" s="1"/>
  <c r="E476" i="11"/>
  <c r="F476" i="11" s="1"/>
  <c r="S1624" i="8"/>
  <c r="T1624" i="8" s="1"/>
  <c r="T1626" i="8" s="1"/>
  <c r="AN1621" i="8" s="1"/>
  <c r="R676" i="11"/>
  <c r="S2464" i="8"/>
  <c r="T2464" i="8" s="1"/>
  <c r="T2466" i="8" s="1"/>
  <c r="AN2461" i="8" s="1"/>
  <c r="S1395" i="8"/>
  <c r="T1395" i="8" s="1"/>
  <c r="T1397" i="8" s="1"/>
  <c r="AN1392" i="8" s="1"/>
  <c r="S1617" i="8"/>
  <c r="T1617" i="8" s="1"/>
  <c r="T1619" i="8" s="1"/>
  <c r="AN1614" i="8" s="1"/>
  <c r="R458" i="11"/>
  <c r="E393" i="11"/>
  <c r="F393" i="11" s="1"/>
  <c r="R385" i="11"/>
  <c r="Q1045" i="8" s="1"/>
  <c r="R1045" i="8" s="1"/>
  <c r="S6186" i="8"/>
  <c r="T6186" i="8" s="1"/>
  <c r="S6492" i="8"/>
  <c r="T6492" i="8" s="1"/>
  <c r="S5653" i="8"/>
  <c r="T5653" i="8" s="1"/>
  <c r="S5834" i="8"/>
  <c r="T5834" i="8" s="1"/>
  <c r="S6055" i="8"/>
  <c r="T6055" i="8" s="1"/>
  <c r="S5693" i="8"/>
  <c r="T5693" i="8" s="1"/>
  <c r="S6457" i="8"/>
  <c r="T6457" i="8" s="1"/>
  <c r="E918" i="11"/>
  <c r="F918" i="11" s="1"/>
  <c r="R907" i="11"/>
  <c r="R103" i="11"/>
  <c r="E110" i="11"/>
  <c r="F110" i="11" s="1"/>
  <c r="E721" i="11"/>
  <c r="F721" i="11" s="1"/>
  <c r="T715" i="11"/>
  <c r="S731" i="8"/>
  <c r="T731" i="8" s="1"/>
  <c r="S938" i="8"/>
  <c r="T938" i="8" s="1"/>
  <c r="S729" i="8"/>
  <c r="T729" i="8" s="1"/>
  <c r="S936" i="8"/>
  <c r="T936" i="8" s="1"/>
  <c r="S982" i="8"/>
  <c r="T982" i="8" s="1"/>
  <c r="T984" i="8" s="1"/>
  <c r="AN979" i="8" s="1"/>
  <c r="S1010" i="8"/>
  <c r="T1010" i="8" s="1"/>
  <c r="S1008" i="8"/>
  <c r="T1008" i="8" s="1"/>
  <c r="S6001" i="8"/>
  <c r="T6001" i="8" s="1"/>
  <c r="S6278" i="8"/>
  <c r="T6278" i="8" s="1"/>
  <c r="S6588" i="8"/>
  <c r="T6588" i="8" s="1"/>
  <c r="S6544" i="8"/>
  <c r="T6544" i="8" s="1"/>
  <c r="S5759" i="8"/>
  <c r="T5759" i="8" s="1"/>
  <c r="S5706" i="8"/>
  <c r="T5706" i="8" s="1"/>
  <c r="S5930" i="8"/>
  <c r="T5930" i="8" s="1"/>
  <c r="S5737" i="8"/>
  <c r="T5737" i="8" s="1"/>
  <c r="S6566" i="8"/>
  <c r="T6566" i="8" s="1"/>
  <c r="E208" i="11"/>
  <c r="F208" i="11" s="1"/>
  <c r="R201" i="11"/>
  <c r="S6033" i="8"/>
  <c r="T6033" i="8" s="1"/>
  <c r="S6070" i="8"/>
  <c r="T6070" i="8" s="1"/>
  <c r="S6470" i="8"/>
  <c r="T6470" i="8" s="1"/>
  <c r="S5608" i="8"/>
  <c r="T5608" i="8" s="1"/>
  <c r="S5794" i="8"/>
  <c r="T5794" i="8" s="1"/>
  <c r="S6177" i="8"/>
  <c r="T6177" i="8" s="1"/>
  <c r="S6265" i="8"/>
  <c r="T6265" i="8" s="1"/>
  <c r="S6421" i="8"/>
  <c r="T6421" i="8" s="1"/>
  <c r="S5666" i="8"/>
  <c r="T5666" i="8" s="1"/>
  <c r="S6348" i="8"/>
  <c r="T6348" i="8" s="1"/>
  <c r="S5904" i="8"/>
  <c r="T5904" i="8" s="1"/>
  <c r="S5917" i="8"/>
  <c r="T5917" i="8" s="1"/>
  <c r="R822" i="11"/>
  <c r="E835" i="11"/>
  <c r="F835" i="11" s="1"/>
  <c r="R417" i="11"/>
  <c r="E425" i="11"/>
  <c r="F425" i="11" s="1"/>
  <c r="S968" i="8"/>
  <c r="T968" i="8" s="1"/>
  <c r="T970" i="8" s="1"/>
  <c r="AN965" i="8" s="1"/>
  <c r="S680" i="8"/>
  <c r="T680" i="8" s="1"/>
  <c r="T682" i="8" s="1"/>
  <c r="AN677" i="8" s="1"/>
  <c r="S843" i="8"/>
  <c r="T843" i="8" s="1"/>
  <c r="T845" i="8" s="1"/>
  <c r="AN840" i="8" s="1"/>
  <c r="S850" i="8"/>
  <c r="T850" i="8" s="1"/>
  <c r="T852" i="8" s="1"/>
  <c r="AN847" i="8" s="1"/>
  <c r="S954" i="8"/>
  <c r="T954" i="8" s="1"/>
  <c r="T956" i="8" s="1"/>
  <c r="AN951" i="8" s="1"/>
  <c r="S738" i="8"/>
  <c r="T738" i="8" s="1"/>
  <c r="T740" i="8" s="1"/>
  <c r="AN735" i="8" s="1"/>
  <c r="S1017" i="8"/>
  <c r="T1017" i="8" s="1"/>
  <c r="T1019" i="8" s="1"/>
  <c r="AN1014" i="8" s="1"/>
  <c r="S822" i="8"/>
  <c r="T822" i="8" s="1"/>
  <c r="T824" i="8" s="1"/>
  <c r="AN819" i="8" s="1"/>
  <c r="E199" i="11"/>
  <c r="F199" i="11" s="1"/>
  <c r="R192" i="11"/>
  <c r="Q4189" i="8" s="1"/>
  <c r="R4189" i="8" s="1"/>
  <c r="R2451" i="8"/>
  <c r="Q993" i="8"/>
  <c r="R993" i="8" s="1"/>
  <c r="R995" i="8" s="1"/>
  <c r="AM990" i="8" s="1"/>
  <c r="Q2633" i="8"/>
  <c r="R2633" i="8" s="1"/>
  <c r="R2635" i="8" s="1"/>
  <c r="Q2914" i="8"/>
  <c r="R2914" i="8" s="1"/>
  <c r="R2916" i="8" s="1"/>
  <c r="Q1305" i="8"/>
  <c r="R1305" i="8" s="1"/>
  <c r="R1307" i="8" s="1"/>
  <c r="S2601" i="8"/>
  <c r="T2601" i="8" s="1"/>
  <c r="T2603" i="8" s="1"/>
  <c r="AN2598" i="8" s="1"/>
  <c r="S2030" i="8"/>
  <c r="T2030" i="8" s="1"/>
  <c r="T2032" i="8" s="1"/>
  <c r="AN2027" i="8" s="1"/>
  <c r="S1955" i="8"/>
  <c r="T1955" i="8" s="1"/>
  <c r="T1957" i="8" s="1"/>
  <c r="AN1952" i="8" s="1"/>
  <c r="S1762" i="8"/>
  <c r="T1762" i="8" s="1"/>
  <c r="T1764" i="8" s="1"/>
  <c r="AN1759" i="8" s="1"/>
  <c r="S2058" i="8"/>
  <c r="T2058" i="8" s="1"/>
  <c r="T2060" i="8" s="1"/>
  <c r="AN2055" i="8" s="1"/>
  <c r="S1948" i="8"/>
  <c r="T1948" i="8" s="1"/>
  <c r="T1950" i="8" s="1"/>
  <c r="AN1945" i="8" s="1"/>
  <c r="S1797" i="8"/>
  <c r="T1797" i="8" s="1"/>
  <c r="T1799" i="8" s="1"/>
  <c r="AN1794" i="8" s="1"/>
  <c r="S1692" i="8"/>
  <c r="T1692" i="8" s="1"/>
  <c r="T1694" i="8" s="1"/>
  <c r="AN1689" i="8" s="1"/>
  <c r="S2093" i="8"/>
  <c r="T2093" i="8" s="1"/>
  <c r="T2095" i="8" s="1"/>
  <c r="AN2090" i="8" s="1"/>
  <c r="S2051" i="8"/>
  <c r="T2051" i="8" s="1"/>
  <c r="T2053" i="8" s="1"/>
  <c r="AN2048" i="8" s="1"/>
  <c r="S1734" i="8"/>
  <c r="T1734" i="8" s="1"/>
  <c r="T1736" i="8" s="1"/>
  <c r="AN1731" i="8" s="1"/>
  <c r="S1755" i="8"/>
  <c r="T1755" i="8" s="1"/>
  <c r="T1757" i="8" s="1"/>
  <c r="AN1752" i="8" s="1"/>
  <c r="S1266" i="8"/>
  <c r="T1266" i="8" s="1"/>
  <c r="T1268" i="8" s="1"/>
  <c r="AN1263" i="8" s="1"/>
  <c r="S2037" i="8"/>
  <c r="T2037" i="8" s="1"/>
  <c r="T2039" i="8" s="1"/>
  <c r="AN2034" i="8" s="1"/>
  <c r="S1969" i="8"/>
  <c r="T1969" i="8" s="1"/>
  <c r="T1971" i="8" s="1"/>
  <c r="AN1966" i="8" s="1"/>
  <c r="S1678" i="8"/>
  <c r="T1678" i="8" s="1"/>
  <c r="T1680" i="8" s="1"/>
  <c r="AN1675" i="8" s="1"/>
  <c r="S1720" i="8"/>
  <c r="T1720" i="8" s="1"/>
  <c r="T1722" i="8" s="1"/>
  <c r="AN1717" i="8" s="1"/>
  <c r="S1287" i="8"/>
  <c r="T1287" i="8" s="1"/>
  <c r="T1289" i="8" s="1"/>
  <c r="AN1284" i="8" s="1"/>
  <c r="S1273" i="8"/>
  <c r="T1273" i="8" s="1"/>
  <c r="T1275" i="8" s="1"/>
  <c r="AN1270" i="8" s="1"/>
  <c r="S1776" i="8"/>
  <c r="T1776" i="8" s="1"/>
  <c r="T1778" i="8" s="1"/>
  <c r="AN1773" i="8" s="1"/>
  <c r="S1783" i="8"/>
  <c r="T1783" i="8" s="1"/>
  <c r="T1785" i="8" s="1"/>
  <c r="AN1780" i="8" s="1"/>
  <c r="S1941" i="8"/>
  <c r="T1941" i="8" s="1"/>
  <c r="T1943" i="8" s="1"/>
  <c r="AN1938" i="8" s="1"/>
  <c r="S2072" i="8"/>
  <c r="T2072" i="8" s="1"/>
  <c r="T2074" i="8" s="1"/>
  <c r="AN2069" i="8" s="1"/>
  <c r="S1294" i="8"/>
  <c r="T1294" i="8" s="1"/>
  <c r="T1296" i="8" s="1"/>
  <c r="AN1291" i="8" s="1"/>
  <c r="S2086" i="8"/>
  <c r="T2086" i="8" s="1"/>
  <c r="T2088" i="8" s="1"/>
  <c r="AN2083" i="8" s="1"/>
  <c r="S1727" i="8"/>
  <c r="T1727" i="8" s="1"/>
  <c r="T1729" i="8" s="1"/>
  <c r="AN1724" i="8" s="1"/>
  <c r="S1748" i="8"/>
  <c r="T1748" i="8" s="1"/>
  <c r="T1750" i="8" s="1"/>
  <c r="AN1745" i="8" s="1"/>
  <c r="S1685" i="8"/>
  <c r="T1685" i="8" s="1"/>
  <c r="T1687" i="8" s="1"/>
  <c r="AN1682" i="8" s="1"/>
  <c r="S2016" i="8"/>
  <c r="T2016" i="8" s="1"/>
  <c r="T2018" i="8" s="1"/>
  <c r="AN2013" i="8" s="1"/>
  <c r="S1238" i="8"/>
  <c r="T1238" i="8" s="1"/>
  <c r="T1240" i="8" s="1"/>
  <c r="AN1235" i="8" s="1"/>
  <c r="S2847" i="8"/>
  <c r="T2847" i="8" s="1"/>
  <c r="T2849" i="8" s="1"/>
  <c r="AN2844" i="8" s="1"/>
  <c r="S2161" i="8"/>
  <c r="T2161" i="8" s="1"/>
  <c r="T2174" i="8" s="1"/>
  <c r="AN2158" i="8" s="1"/>
  <c r="S1741" i="8"/>
  <c r="T1741" i="8" s="1"/>
  <c r="T1743" i="8" s="1"/>
  <c r="AN1738" i="8" s="1"/>
  <c r="S1671" i="8"/>
  <c r="T1671" i="8" s="1"/>
  <c r="T1673" i="8" s="1"/>
  <c r="AN1668" i="8" s="1"/>
  <c r="S1713" i="8"/>
  <c r="T1713" i="8" s="1"/>
  <c r="T1715" i="8" s="1"/>
  <c r="AN1710" i="8" s="1"/>
  <c r="S2065" i="8"/>
  <c r="T2065" i="8" s="1"/>
  <c r="T2067" i="8" s="1"/>
  <c r="AN2062" i="8" s="1"/>
  <c r="S1699" i="8"/>
  <c r="T1699" i="8" s="1"/>
  <c r="T1701" i="8" s="1"/>
  <c r="AN1696" i="8" s="1"/>
  <c r="S1381" i="8"/>
  <c r="T1381" i="8" s="1"/>
  <c r="T1383" i="8" s="1"/>
  <c r="AN1378" i="8" s="1"/>
  <c r="S1245" i="8"/>
  <c r="T1245" i="8" s="1"/>
  <c r="T1247" i="8" s="1"/>
  <c r="AN1242" i="8" s="1"/>
  <c r="S2854" i="8"/>
  <c r="T2854" i="8" s="1"/>
  <c r="T2856" i="8" s="1"/>
  <c r="AN2851" i="8" s="1"/>
  <c r="S2265" i="8"/>
  <c r="T2265" i="8" s="1"/>
  <c r="T2267" i="8" s="1"/>
  <c r="AN2262" i="8" s="1"/>
  <c r="S1706" i="8"/>
  <c r="T1706" i="8" s="1"/>
  <c r="T1708" i="8" s="1"/>
  <c r="AN1703" i="8" s="1"/>
  <c r="S2079" i="8"/>
  <c r="T2079" i="8" s="1"/>
  <c r="T2081" i="8" s="1"/>
  <c r="AN2076" i="8" s="1"/>
  <c r="S1657" i="8"/>
  <c r="T1657" i="8" s="1"/>
  <c r="T1659" i="8" s="1"/>
  <c r="AN1654" i="8" s="1"/>
  <c r="S2009" i="8"/>
  <c r="T2009" i="8" s="1"/>
  <c r="T2011" i="8" s="1"/>
  <c r="AN2006" i="8" s="1"/>
  <c r="S1402" i="8"/>
  <c r="T1402" i="8" s="1"/>
  <c r="T1404" i="8" s="1"/>
  <c r="AN1399" i="8" s="1"/>
  <c r="S1280" i="8"/>
  <c r="T1280" i="8" s="1"/>
  <c r="T1282" i="8" s="1"/>
  <c r="AN1277" i="8" s="1"/>
  <c r="S2023" i="8"/>
  <c r="T2023" i="8" s="1"/>
  <c r="T2025" i="8" s="1"/>
  <c r="AN2020" i="8" s="1"/>
  <c r="S2044" i="8"/>
  <c r="T2044" i="8" s="1"/>
  <c r="T2046" i="8" s="1"/>
  <c r="AN2041" i="8" s="1"/>
  <c r="S1976" i="8"/>
  <c r="T1976" i="8" s="1"/>
  <c r="T1978" i="8" s="1"/>
  <c r="AN1973" i="8" s="1"/>
  <c r="S1790" i="8"/>
  <c r="T1790" i="8" s="1"/>
  <c r="T1792" i="8" s="1"/>
  <c r="AN1787" i="8" s="1"/>
  <c r="S1252" i="8"/>
  <c r="T1252" i="8" s="1"/>
  <c r="T1254" i="8" s="1"/>
  <c r="AN1249" i="8" s="1"/>
  <c r="S1664" i="8"/>
  <c r="T1664" i="8" s="1"/>
  <c r="T1666" i="8" s="1"/>
  <c r="AN1661" i="8" s="1"/>
  <c r="S1962" i="8"/>
  <c r="T1962" i="8" s="1"/>
  <c r="T1964" i="8" s="1"/>
  <c r="AN1959" i="8" s="1"/>
  <c r="S1804" i="8"/>
  <c r="T1804" i="8" s="1"/>
  <c r="T1806" i="8" s="1"/>
  <c r="AN1801" i="8" s="1"/>
  <c r="S1769" i="8"/>
  <c r="T1769" i="8" s="1"/>
  <c r="T1771" i="8" s="1"/>
  <c r="AN1766" i="8" s="1"/>
  <c r="S1259" i="8"/>
  <c r="T1259" i="8" s="1"/>
  <c r="T1261" i="8" s="1"/>
  <c r="AN1256" i="8" s="1"/>
  <c r="E575" i="11"/>
  <c r="F575" i="11" s="1"/>
  <c r="R568" i="11"/>
  <c r="E629" i="11"/>
  <c r="F629" i="11" s="1"/>
  <c r="T622" i="11"/>
  <c r="S5525" i="8"/>
  <c r="T5525" i="8" s="1"/>
  <c r="T5527" i="8" s="1"/>
  <c r="AN5522" i="8" s="1"/>
  <c r="S5187" i="8"/>
  <c r="T5187" i="8" s="1"/>
  <c r="T5189" i="8" s="1"/>
  <c r="AN5184" i="8" s="1"/>
  <c r="S5289" i="8"/>
  <c r="T5289" i="8" s="1"/>
  <c r="T5291" i="8" s="1"/>
  <c r="AN5286" i="8" s="1"/>
  <c r="S5451" i="8"/>
  <c r="T5451" i="8" s="1"/>
  <c r="T5453" i="8" s="1"/>
  <c r="AN5448" i="8" s="1"/>
  <c r="S5398" i="8"/>
  <c r="T5398" i="8" s="1"/>
  <c r="T5400" i="8" s="1"/>
  <c r="AN5395" i="8" s="1"/>
  <c r="S2648" i="8"/>
  <c r="T2648" i="8" s="1"/>
  <c r="T2650" i="8" s="1"/>
  <c r="AN2645" i="8" s="1"/>
  <c r="S2707" i="8"/>
  <c r="T2707" i="8" s="1"/>
  <c r="T2709" i="8" s="1"/>
  <c r="AN2704" i="8" s="1"/>
  <c r="S1880" i="8"/>
  <c r="T1880" i="8" s="1"/>
  <c r="T1882" i="8" s="1"/>
  <c r="S2714" i="8"/>
  <c r="T2714" i="8" s="1"/>
  <c r="T2716" i="8" s="1"/>
  <c r="AN2711" i="8" s="1"/>
  <c r="S1093" i="8"/>
  <c r="T1093" i="8" s="1"/>
  <c r="T1095" i="8" s="1"/>
  <c r="S1887" i="8"/>
  <c r="T1887" i="8" s="1"/>
  <c r="T1889" i="8" s="1"/>
  <c r="AN1884" i="8" s="1"/>
  <c r="S1416" i="8"/>
  <c r="T1416" i="8" s="1"/>
  <c r="T1418" i="8" s="1"/>
  <c r="AN1413" i="8" s="1"/>
  <c r="S2814" i="8"/>
  <c r="T2814" i="8" s="1"/>
  <c r="T2816" i="8" s="1"/>
  <c r="AN2811" i="8" s="1"/>
  <c r="S1107" i="8"/>
  <c r="T1107" i="8" s="1"/>
  <c r="T1109" i="8" s="1"/>
  <c r="AN1104" i="8" s="1"/>
  <c r="S1423" i="8"/>
  <c r="T1423" i="8" s="1"/>
  <c r="T1425" i="8" s="1"/>
  <c r="AN1420" i="8" s="1"/>
  <c r="S2655" i="8"/>
  <c r="T2655" i="8" s="1"/>
  <c r="T2657" i="8" s="1"/>
  <c r="S1100" i="8"/>
  <c r="T1100" i="8" s="1"/>
  <c r="T1102" i="8" s="1"/>
  <c r="AN1097" i="8" s="1"/>
  <c r="S1409" i="8"/>
  <c r="T1409" i="8" s="1"/>
  <c r="T1411" i="8" s="1"/>
  <c r="AN1406" i="8" s="1"/>
  <c r="S2608" i="8"/>
  <c r="T2608" i="8" s="1"/>
  <c r="T2610" i="8" s="1"/>
  <c r="AN2605" i="8" s="1"/>
  <c r="S2807" i="8"/>
  <c r="T2807" i="8" s="1"/>
  <c r="T2809" i="8" s="1"/>
  <c r="AN2804" i="8" s="1"/>
  <c r="S1196" i="8"/>
  <c r="T1196" i="8" s="1"/>
  <c r="T1198" i="8" s="1"/>
  <c r="AN1193" i="8" s="1"/>
  <c r="S2889" i="8"/>
  <c r="T2889" i="8" s="1"/>
  <c r="T2891" i="8" s="1"/>
  <c r="S2575" i="8"/>
  <c r="T2575" i="8" s="1"/>
  <c r="T2577" i="8" s="1"/>
  <c r="AN2572" i="8" s="1"/>
  <c r="S2662" i="8"/>
  <c r="T2662" i="8" s="1"/>
  <c r="T2664" i="8" s="1"/>
  <c r="AN2659" i="8" s="1"/>
  <c r="S2821" i="8"/>
  <c r="T2821" i="8" s="1"/>
  <c r="T2823" i="8" s="1"/>
  <c r="S1873" i="8"/>
  <c r="T1873" i="8" s="1"/>
  <c r="T1875" i="8" s="1"/>
  <c r="AN1870" i="8" s="1"/>
  <c r="R249" i="11"/>
  <c r="E259" i="11"/>
  <c r="F259" i="11" s="1"/>
  <c r="S857" i="8"/>
  <c r="T857" i="8" s="1"/>
  <c r="T859" i="8" s="1"/>
  <c r="AN854" i="8" s="1"/>
  <c r="S864" i="8"/>
  <c r="T864" i="8" s="1"/>
  <c r="T866" i="8" s="1"/>
  <c r="AN861" i="8" s="1"/>
  <c r="S829" i="8"/>
  <c r="T829" i="8" s="1"/>
  <c r="T831" i="8" s="1"/>
  <c r="AN826" i="8" s="1"/>
  <c r="Q5331" i="8"/>
  <c r="R5331" i="8" s="1"/>
  <c r="R5333" i="8" s="1"/>
  <c r="Q5229" i="8"/>
  <c r="R5229" i="8" s="1"/>
  <c r="R5231" i="8" s="1"/>
  <c r="R30" i="11"/>
  <c r="E37" i="11"/>
  <c r="F37" i="11" s="1"/>
  <c r="E891" i="11"/>
  <c r="F891" i="11" s="1"/>
  <c r="R879" i="11"/>
  <c r="E54" i="11"/>
  <c r="F54" i="11" s="1"/>
  <c r="R46" i="11"/>
  <c r="Q3069" i="8" s="1"/>
  <c r="R3069" i="8" s="1"/>
  <c r="R3071" i="8" s="1"/>
  <c r="R183" i="11"/>
  <c r="E190" i="11"/>
  <c r="F190" i="11" s="1"/>
  <c r="R165" i="11"/>
  <c r="E172" i="11"/>
  <c r="F172" i="11" s="1"/>
  <c r="R808" i="11"/>
  <c r="E820" i="11"/>
  <c r="F820" i="11" s="1"/>
  <c r="B795" i="11"/>
  <c r="E795" i="11"/>
  <c r="F795" i="11" s="1"/>
  <c r="R785" i="11"/>
  <c r="S4728" i="8"/>
  <c r="T4728" i="8" s="1"/>
  <c r="T4730" i="8" s="1"/>
  <c r="AN4725" i="8" s="1"/>
  <c r="S4494" i="8"/>
  <c r="T4494" i="8" s="1"/>
  <c r="T4496" i="8" s="1"/>
  <c r="AN4491" i="8" s="1"/>
  <c r="S4888" i="8"/>
  <c r="T4888" i="8" s="1"/>
  <c r="T4890" i="8" s="1"/>
  <c r="AN4885" i="8" s="1"/>
  <c r="S4694" i="8"/>
  <c r="T4694" i="8" s="1"/>
  <c r="T4696" i="8" s="1"/>
  <c r="AN4691" i="8" s="1"/>
  <c r="S4351" i="8"/>
  <c r="T4351" i="8" s="1"/>
  <c r="T4353" i="8" s="1"/>
  <c r="AN4348" i="8" s="1"/>
  <c r="S3156" i="8"/>
  <c r="T3156" i="8" s="1"/>
  <c r="T3158" i="8" s="1"/>
  <c r="AN3153" i="8" s="1"/>
  <c r="S4054" i="8"/>
  <c r="T4054" i="8" s="1"/>
  <c r="T4056" i="8" s="1"/>
  <c r="AN4051" i="8" s="1"/>
  <c r="S5518" i="8"/>
  <c r="T5518" i="8" s="1"/>
  <c r="T5520" i="8" s="1"/>
  <c r="AN5515" i="8" s="1"/>
  <c r="S5282" i="8"/>
  <c r="T5282" i="8" s="1"/>
  <c r="T5284" i="8" s="1"/>
  <c r="AN5279" i="8" s="1"/>
  <c r="S5391" i="8"/>
  <c r="T5391" i="8" s="1"/>
  <c r="T5393" i="8" s="1"/>
  <c r="AN5388" i="8" s="1"/>
  <c r="S5444" i="8"/>
  <c r="T5444" i="8" s="1"/>
  <c r="T5446" i="8" s="1"/>
  <c r="AN5441" i="8" s="1"/>
  <c r="S5180" i="8"/>
  <c r="T5180" i="8" s="1"/>
  <c r="T5182" i="8" s="1"/>
  <c r="AN5177" i="8" s="1"/>
  <c r="R112" i="11"/>
  <c r="E118" i="11"/>
  <c r="F118" i="11" s="1"/>
  <c r="E584" i="11"/>
  <c r="F584" i="11" s="1"/>
  <c r="R577" i="11"/>
  <c r="S2680" i="8"/>
  <c r="T2680" i="8" s="1"/>
  <c r="T2683" i="8" s="1"/>
  <c r="AN2677" i="8" s="1"/>
  <c r="S3633" i="8"/>
  <c r="T3633" i="8" s="1"/>
  <c r="T3636" i="8" s="1"/>
  <c r="AN3630" i="8" s="1"/>
  <c r="S3267" i="8"/>
  <c r="T3267" i="8" s="1"/>
  <c r="T3270" i="8" s="1"/>
  <c r="AN3264" i="8" s="1"/>
  <c r="S3940" i="8"/>
  <c r="T3940" i="8" s="1"/>
  <c r="T3943" i="8" s="1"/>
  <c r="AN3937" i="8" s="1"/>
  <c r="S3289" i="8"/>
  <c r="T3289" i="8" s="1"/>
  <c r="T3292" i="8" s="1"/>
  <c r="AN3286" i="8" s="1"/>
  <c r="S3747" i="8"/>
  <c r="T3747" i="8" s="1"/>
  <c r="T3750" i="8" s="1"/>
  <c r="AN3744" i="8" s="1"/>
  <c r="S3755" i="8"/>
  <c r="T3755" i="8" s="1"/>
  <c r="T3758" i="8" s="1"/>
  <c r="AN3752" i="8" s="1"/>
  <c r="S2946" i="8"/>
  <c r="T2946" i="8" s="1"/>
  <c r="T2949" i="8" s="1"/>
  <c r="AN2943" i="8" s="1"/>
  <c r="S4093" i="8"/>
  <c r="T4093" i="8" s="1"/>
  <c r="T4096" i="8" s="1"/>
  <c r="AN4090" i="8" s="1"/>
  <c r="S2954" i="8"/>
  <c r="T2954" i="8" s="1"/>
  <c r="T2957" i="8" s="1"/>
  <c r="AN2951" i="8" s="1"/>
  <c r="S1441" i="8"/>
  <c r="T1441" i="8" s="1"/>
  <c r="T1443" i="8" s="1"/>
  <c r="AN1438" i="8" s="1"/>
  <c r="S2900" i="8"/>
  <c r="T2900" i="8" s="1"/>
  <c r="T2902" i="8" s="1"/>
  <c r="AN2897" i="8" s="1"/>
  <c r="S1434" i="8"/>
  <c r="T1434" i="8" s="1"/>
  <c r="T1436" i="8" s="1"/>
  <c r="AN1431" i="8" s="1"/>
  <c r="S2482" i="8"/>
  <c r="T2482" i="8" s="1"/>
  <c r="T2484" i="8" s="1"/>
  <c r="AN2479" i="8" s="1"/>
  <c r="S2907" i="8"/>
  <c r="T2907" i="8" s="1"/>
  <c r="T2909" i="8" s="1"/>
  <c r="AN2904" i="8" s="1"/>
  <c r="T2441" i="8"/>
  <c r="AN2434" i="8" s="1"/>
  <c r="S1642" i="8"/>
  <c r="T1642" i="8" s="1"/>
  <c r="T1644" i="8" s="1"/>
  <c r="AN1639" i="8" s="1"/>
  <c r="S1841" i="8"/>
  <c r="T1841" i="8" s="1"/>
  <c r="T1843" i="8" s="1"/>
  <c r="AN1838" i="8" s="1"/>
  <c r="S1366" i="8"/>
  <c r="T1366" i="8" s="1"/>
  <c r="T1368" i="8" s="1"/>
  <c r="AN1363" i="8" s="1"/>
  <c r="S2276" i="8"/>
  <c r="T2276" i="8" s="1"/>
  <c r="T2278" i="8" s="1"/>
  <c r="AN2273" i="8" s="1"/>
  <c r="T2195" i="8"/>
  <c r="AN2187" i="8" s="1"/>
  <c r="S1815" i="8"/>
  <c r="T1815" i="8" s="1"/>
  <c r="T1817" i="8" s="1"/>
  <c r="AN1812" i="8" s="1"/>
  <c r="S1987" i="8"/>
  <c r="T1987" i="8" s="1"/>
  <c r="T1989" i="8" s="1"/>
  <c r="AN1984" i="8" s="1"/>
  <c r="R586" i="11"/>
  <c r="E593" i="11"/>
  <c r="F593" i="11" s="1"/>
  <c r="R751" i="11"/>
  <c r="B760" i="11"/>
  <c r="E760" i="11"/>
  <c r="F760" i="11" s="1"/>
  <c r="E486" i="11"/>
  <c r="F486" i="11" s="1"/>
  <c r="R478" i="11"/>
  <c r="S5504" i="8"/>
  <c r="T5504" i="8" s="1"/>
  <c r="T5506" i="8" s="1"/>
  <c r="S5268" i="8"/>
  <c r="T5268" i="8" s="1"/>
  <c r="T5270" i="8" s="1"/>
  <c r="AN5265" i="8" s="1"/>
  <c r="S5377" i="8"/>
  <c r="T5377" i="8" s="1"/>
  <c r="T5379" i="8" s="1"/>
  <c r="AN5374" i="8" s="1"/>
  <c r="S5430" i="8"/>
  <c r="T5430" i="8" s="1"/>
  <c r="T5432" i="8" s="1"/>
  <c r="AN5427" i="8" s="1"/>
  <c r="Q885" i="8"/>
  <c r="R885" i="8" s="1"/>
  <c r="R887" i="8" s="1"/>
  <c r="Q1599" i="8"/>
  <c r="R1599" i="8" s="1"/>
  <c r="R1601" i="8" s="1"/>
  <c r="Q908" i="8"/>
  <c r="R908" i="8" s="1"/>
  <c r="R910" i="8" s="1"/>
  <c r="S3980" i="8"/>
  <c r="T3980" i="8" s="1"/>
  <c r="S3998" i="8"/>
  <c r="T3998" i="8" s="1"/>
  <c r="S4025" i="8"/>
  <c r="T4025" i="8" s="1"/>
  <c r="S3989" i="8"/>
  <c r="T3989" i="8" s="1"/>
  <c r="S3963" i="8"/>
  <c r="T3963" i="8" s="1"/>
  <c r="S4016" i="8"/>
  <c r="T4016" i="8" s="1"/>
  <c r="S4034" i="8"/>
  <c r="T4034" i="8" s="1"/>
  <c r="S4007" i="8"/>
  <c r="T4007" i="8" s="1"/>
  <c r="Q618" i="8"/>
  <c r="R618" i="8" s="1"/>
  <c r="Q612" i="8"/>
  <c r="R612" i="8" s="1"/>
  <c r="Q616" i="8"/>
  <c r="R616" i="8" s="1"/>
  <c r="Q614" i="8"/>
  <c r="R614" i="8" s="1"/>
  <c r="R933" i="11"/>
  <c r="E946" i="11"/>
  <c r="F946" i="11" s="1"/>
  <c r="B783" i="11"/>
  <c r="R774" i="11"/>
  <c r="E783" i="11"/>
  <c r="F783" i="11" s="1"/>
  <c r="S5655" i="8"/>
  <c r="T5655" i="8" s="1"/>
  <c r="S5695" i="8"/>
  <c r="T5695" i="8" s="1"/>
  <c r="S6494" i="8"/>
  <c r="T6494" i="8" s="1"/>
  <c r="S6459" i="8"/>
  <c r="T6459" i="8" s="1"/>
  <c r="S5646" i="8"/>
  <c r="T5646" i="8" s="1"/>
  <c r="S6188" i="8"/>
  <c r="T6188" i="8" s="1"/>
  <c r="S6147" i="8"/>
  <c r="T6147" i="8" s="1"/>
  <c r="Q2464" i="8"/>
  <c r="R2464" i="8" s="1"/>
  <c r="R2466" i="8" s="1"/>
  <c r="Q1631" i="8"/>
  <c r="R1631" i="8" s="1"/>
  <c r="R1633" i="8" s="1"/>
  <c r="Q2882" i="8"/>
  <c r="R2882" i="8" s="1"/>
  <c r="R2884" i="8" s="1"/>
  <c r="Q1395" i="8"/>
  <c r="R1395" i="8" s="1"/>
  <c r="R1397" i="8" s="1"/>
  <c r="Q1830" i="8"/>
  <c r="R1830" i="8" s="1"/>
  <c r="R1832" i="8" s="1"/>
  <c r="Q1617" i="8"/>
  <c r="R1617" i="8" s="1"/>
  <c r="R1619" i="8" s="1"/>
  <c r="Q1624" i="8"/>
  <c r="R1624" i="8" s="1"/>
  <c r="R1626" i="8" s="1"/>
  <c r="Q1388" i="8"/>
  <c r="R1388" i="8" s="1"/>
  <c r="R1390" i="8" s="1"/>
  <c r="Q2471" i="8"/>
  <c r="R2471" i="8" s="1"/>
  <c r="R2473" i="8" s="1"/>
  <c r="R375" i="11"/>
  <c r="E383" i="11"/>
  <c r="F383" i="11" s="1"/>
  <c r="S2179" i="8"/>
  <c r="T2179" i="8" s="1"/>
  <c r="T2181" i="8" s="1"/>
  <c r="AN2176" i="8" s="1"/>
  <c r="S2875" i="8"/>
  <c r="T2875" i="8" s="1"/>
  <c r="T2877" i="8" s="1"/>
  <c r="AN2872" i="8" s="1"/>
  <c r="S922" i="8"/>
  <c r="T922" i="8" s="1"/>
  <c r="T924" i="8" s="1"/>
  <c r="AN919" i="8" s="1"/>
  <c r="S1606" i="8"/>
  <c r="T1606" i="8" s="1"/>
  <c r="T1608" i="8" s="1"/>
  <c r="AN1603" i="8" s="1"/>
  <c r="S2868" i="8"/>
  <c r="T2868" i="8" s="1"/>
  <c r="T2870" i="8" s="1"/>
  <c r="AN2865" i="8" s="1"/>
  <c r="S2861" i="8"/>
  <c r="T2861" i="8" s="1"/>
  <c r="T2863" i="8" s="1"/>
  <c r="AN2858" i="8" s="1"/>
  <c r="Q2549" i="8"/>
  <c r="R2549" i="8" s="1"/>
  <c r="R2551" i="8" s="1"/>
  <c r="Q801" i="8"/>
  <c r="R801" i="8" s="1"/>
  <c r="R803" i="8" s="1"/>
  <c r="Q2524" i="8"/>
  <c r="R2524" i="8" s="1"/>
  <c r="R2526" i="8" s="1"/>
  <c r="Q2542" i="8"/>
  <c r="R2542" i="8" s="1"/>
  <c r="R2544" i="8" s="1"/>
  <c r="Q787" i="8"/>
  <c r="R787" i="8" s="1"/>
  <c r="R789" i="8" s="1"/>
  <c r="Q2517" i="8"/>
  <c r="R2517" i="8" s="1"/>
  <c r="R2519" i="8" s="1"/>
  <c r="Q871" i="8"/>
  <c r="R871" i="8" s="1"/>
  <c r="R873" i="8" s="1"/>
  <c r="Q2535" i="8"/>
  <c r="R2535" i="8" s="1"/>
  <c r="R2537" i="8" s="1"/>
  <c r="R437" i="11"/>
  <c r="E446" i="11"/>
  <c r="F446" i="11" s="1"/>
  <c r="R739" i="11"/>
  <c r="B749" i="11"/>
  <c r="E749" i="11"/>
  <c r="F749" i="11" s="1"/>
  <c r="S836" i="8"/>
  <c r="T836" i="8" s="1"/>
  <c r="T838" i="8" s="1"/>
  <c r="AN833" i="8" s="1"/>
  <c r="S745" i="8"/>
  <c r="T745" i="8" s="1"/>
  <c r="T747" i="8" s="1"/>
  <c r="AN742" i="8" s="1"/>
  <c r="S1532" i="8"/>
  <c r="T1532" i="8" s="1"/>
  <c r="T1534" i="8" s="1"/>
  <c r="AN1529" i="8" s="1"/>
  <c r="S1525" i="8"/>
  <c r="T1525" i="8" s="1"/>
  <c r="T1527" i="8" s="1"/>
  <c r="AN1522" i="8" s="1"/>
  <c r="S1024" i="8"/>
  <c r="T1024" i="8" s="1"/>
  <c r="T1026" i="8" s="1"/>
  <c r="AN1021" i="8" s="1"/>
  <c r="S1189" i="8"/>
  <c r="T1189" i="8" s="1"/>
  <c r="T1191" i="8" s="1"/>
  <c r="AN1186" i="8" s="1"/>
  <c r="S815" i="8"/>
  <c r="T815" i="8" s="1"/>
  <c r="T817" i="8" s="1"/>
  <c r="AN812" i="8" s="1"/>
  <c r="S1182" i="8"/>
  <c r="T1182" i="8" s="1"/>
  <c r="T1184" i="8" s="1"/>
  <c r="AN1179" i="8" s="1"/>
  <c r="S892" i="8"/>
  <c r="T892" i="8" s="1"/>
  <c r="T894" i="8" s="1"/>
  <c r="AN889" i="8" s="1"/>
  <c r="E733" i="11"/>
  <c r="F733" i="11" s="1"/>
  <c r="R723" i="11"/>
  <c r="E291" i="11"/>
  <c r="F291" i="11" s="1"/>
  <c r="R281" i="11"/>
  <c r="R545" i="11"/>
  <c r="E550" i="11"/>
  <c r="F550" i="11" s="1"/>
  <c r="R156" i="11"/>
  <c r="E163" i="11"/>
  <c r="F163" i="11" s="1"/>
  <c r="E665" i="11"/>
  <c r="F665" i="11" s="1"/>
  <c r="R658" i="11"/>
  <c r="R271" i="11"/>
  <c r="E279" i="11"/>
  <c r="F279" i="11" s="1"/>
  <c r="S5338" i="8"/>
  <c r="T5338" i="8" s="1"/>
  <c r="T5340" i="8" s="1"/>
  <c r="AN5335" i="8" s="1"/>
  <c r="S5236" i="8"/>
  <c r="T5236" i="8" s="1"/>
  <c r="T5238" i="8" s="1"/>
  <c r="AN5233" i="8" s="1"/>
  <c r="S6575" i="8"/>
  <c r="T6575" i="8" s="1"/>
  <c r="S5746" i="8"/>
  <c r="T5746" i="8" s="1"/>
  <c r="S6597" i="8"/>
  <c r="T6597" i="8" s="1"/>
  <c r="S6116" i="8"/>
  <c r="T6116" i="8" s="1"/>
  <c r="S6230" i="8"/>
  <c r="T6230" i="8" s="1"/>
  <c r="S6243" i="8"/>
  <c r="T6243" i="8" s="1"/>
  <c r="S6287" i="8"/>
  <c r="T6287" i="8" s="1"/>
  <c r="S6553" i="8"/>
  <c r="T6553" i="8" s="1"/>
  <c r="S6083" i="8"/>
  <c r="T6083" i="8" s="1"/>
  <c r="S6010" i="8"/>
  <c r="T6010" i="8" s="1"/>
  <c r="S5860" i="8"/>
  <c r="T5860" i="8" s="1"/>
  <c r="S5939" i="8"/>
  <c r="T5939" i="8" s="1"/>
  <c r="S5961" i="8"/>
  <c r="T5961" i="8" s="1"/>
  <c r="S5768" i="8"/>
  <c r="T5768" i="8" s="1"/>
  <c r="S6217" i="8"/>
  <c r="T6217" i="8" s="1"/>
  <c r="S5847" i="8"/>
  <c r="T5847" i="8" s="1"/>
  <c r="S6158" i="8"/>
  <c r="T6158" i="8" s="1"/>
  <c r="S6322" i="8"/>
  <c r="T6322" i="8" s="1"/>
  <c r="S5873" i="8"/>
  <c r="T5873" i="8" s="1"/>
  <c r="S5715" i="8"/>
  <c r="T5715" i="8" s="1"/>
  <c r="R345" i="11"/>
  <c r="E353" i="11"/>
  <c r="F353" i="11" s="1"/>
  <c r="R851" i="11"/>
  <c r="E863" i="11"/>
  <c r="F863" i="11" s="1"/>
  <c r="E496" i="11"/>
  <c r="F496" i="11" s="1"/>
  <c r="R488" i="11"/>
  <c r="Q1133" i="8" s="1"/>
  <c r="E373" i="11"/>
  <c r="F373" i="11" s="1"/>
  <c r="R365" i="11"/>
  <c r="S961" i="8"/>
  <c r="T961" i="8" s="1"/>
  <c r="T963" i="8" s="1"/>
  <c r="AN958" i="8" s="1"/>
  <c r="S752" i="8"/>
  <c r="T752" i="8" s="1"/>
  <c r="T754" i="8" s="1"/>
  <c r="AN749" i="8" s="1"/>
  <c r="S1031" i="8"/>
  <c r="T1031" i="8" s="1"/>
  <c r="T1033" i="8" s="1"/>
  <c r="AN1028" i="8" s="1"/>
  <c r="S1038" i="8"/>
  <c r="T1038" i="8" s="1"/>
  <c r="T1040" i="8" s="1"/>
  <c r="AN1035" i="8" s="1"/>
  <c r="S5777" i="8"/>
  <c r="T5777" i="8" s="1"/>
  <c r="S5970" i="8"/>
  <c r="T5970" i="8" s="1"/>
  <c r="S5979" i="8"/>
  <c r="T5979" i="8" s="1"/>
  <c r="S6309" i="8"/>
  <c r="T6309" i="8" s="1"/>
  <c r="S6103" i="8"/>
  <c r="T6103" i="8" s="1"/>
  <c r="R706" i="11"/>
  <c r="E713" i="11"/>
  <c r="F713" i="11" s="1"/>
  <c r="S4861" i="8"/>
  <c r="T4861" i="8" s="1"/>
  <c r="T4863" i="8" s="1"/>
  <c r="AN4858" i="8" s="1"/>
  <c r="S4332" i="8"/>
  <c r="T4332" i="8" s="1"/>
  <c r="T4334" i="8" s="1"/>
  <c r="AN4329" i="8" s="1"/>
  <c r="S4667" i="8"/>
  <c r="T4667" i="8" s="1"/>
  <c r="S4483" i="8"/>
  <c r="T4483" i="8" s="1"/>
  <c r="T4485" i="8" s="1"/>
  <c r="AN4480" i="8" s="1"/>
  <c r="S3584" i="8"/>
  <c r="T3584" i="8" s="1"/>
  <c r="T3586" i="8" s="1"/>
  <c r="AN3581" i="8" s="1"/>
  <c r="R920" i="11"/>
  <c r="E931" i="11"/>
  <c r="F931" i="11" s="1"/>
  <c r="Q6094" i="8"/>
  <c r="R6094" i="8" s="1"/>
  <c r="Q6127" i="8"/>
  <c r="R6127" i="8" s="1"/>
  <c r="Q5948" i="8"/>
  <c r="R5948" i="8" s="1"/>
  <c r="Q6296" i="8"/>
  <c r="R6296" i="8" s="1"/>
  <c r="Q5724" i="8"/>
  <c r="R5724" i="8" s="1"/>
  <c r="S4068" i="8"/>
  <c r="T4068" i="8" s="1"/>
  <c r="T4070" i="8" s="1"/>
  <c r="AN4065" i="8" s="1"/>
  <c r="S3716" i="8"/>
  <c r="T3716" i="8" s="1"/>
  <c r="T3718" i="8" s="1"/>
  <c r="S2832" i="8"/>
  <c r="T2832" i="8" s="1"/>
  <c r="T2834" i="8" s="1"/>
  <c r="AN2829" i="8" s="1"/>
  <c r="T4191" i="8"/>
  <c r="S2673" i="8"/>
  <c r="T2673" i="8" s="1"/>
  <c r="T2675" i="8" s="1"/>
  <c r="AN2670" i="8" s="1"/>
  <c r="S1898" i="8"/>
  <c r="T1898" i="8" s="1"/>
  <c r="T1900" i="8" s="1"/>
  <c r="AN1895" i="8" s="1"/>
  <c r="S1448" i="8"/>
  <c r="T1448" i="8" s="1"/>
  <c r="T1450" i="8" s="1"/>
  <c r="S3149" i="8"/>
  <c r="T3149" i="8" s="1"/>
  <c r="T3151" i="8" s="1"/>
  <c r="AN3146" i="8" s="1"/>
  <c r="S2626" i="8"/>
  <c r="T2626" i="8" s="1"/>
  <c r="T2628" i="8" s="1"/>
  <c r="AN2623" i="8" s="1"/>
  <c r="S2586" i="8"/>
  <c r="T2586" i="8" s="1"/>
  <c r="T2588" i="8" s="1"/>
  <c r="S1118" i="8"/>
  <c r="T1118" i="8" s="1"/>
  <c r="T1120" i="8" s="1"/>
  <c r="S3430" i="8"/>
  <c r="T3430" i="8" s="1"/>
  <c r="T3432" i="8" s="1"/>
  <c r="AN3427" i="8" s="1"/>
  <c r="S1223" i="8"/>
  <c r="T1223" i="8" s="1"/>
  <c r="T1225" i="8" s="1"/>
  <c r="S2725" i="8"/>
  <c r="T2725" i="8" s="1"/>
  <c r="T2727" i="8" s="1"/>
  <c r="AN2722" i="8" s="1"/>
  <c r="S2921" i="8"/>
  <c r="T2921" i="8" s="1"/>
  <c r="T2923" i="8" s="1"/>
  <c r="AN2918" i="8" s="1"/>
  <c r="S3252" i="8"/>
  <c r="T3252" i="8" s="1"/>
  <c r="T3254" i="8" s="1"/>
  <c r="S3816" i="8"/>
  <c r="T3816" i="8" s="1"/>
  <c r="T3818" i="8" s="1"/>
  <c r="AN3813" i="8" s="1"/>
  <c r="S2753" i="8"/>
  <c r="T2753" i="8" s="1"/>
  <c r="T2755" i="8" s="1"/>
  <c r="AN2750" i="8" s="1"/>
  <c r="S2774" i="8"/>
  <c r="T2774" i="8" s="1"/>
  <c r="T2776" i="8" s="1"/>
  <c r="AN2771" i="8" s="1"/>
  <c r="S2760" i="8"/>
  <c r="T2760" i="8" s="1"/>
  <c r="T2762" i="8" s="1"/>
  <c r="AN2757" i="8" s="1"/>
  <c r="S2781" i="8"/>
  <c r="T2781" i="8" s="1"/>
  <c r="T2783" i="8" s="1"/>
  <c r="AN2778" i="8" s="1"/>
  <c r="S2767" i="8"/>
  <c r="T2767" i="8" s="1"/>
  <c r="T2769" i="8" s="1"/>
  <c r="AN2764" i="8" s="1"/>
  <c r="S2503" i="8"/>
  <c r="T2503" i="8" s="1"/>
  <c r="T2505" i="8" s="1"/>
  <c r="AN2500" i="8" s="1"/>
  <c r="S2746" i="8"/>
  <c r="T2746" i="8" s="1"/>
  <c r="T2748" i="8" s="1"/>
  <c r="AN2743" i="8" s="1"/>
  <c r="S2510" i="8"/>
  <c r="T2510" i="8" s="1"/>
  <c r="T2512" i="8" s="1"/>
  <c r="AN2507" i="8" s="1"/>
  <c r="R865" i="11"/>
  <c r="E877" i="11"/>
  <c r="F877" i="11" s="1"/>
  <c r="S3692" i="8"/>
  <c r="T3692" i="8" s="1"/>
  <c r="T3694" i="8" s="1"/>
  <c r="AN3689" i="8" s="1"/>
  <c r="S3671" i="8"/>
  <c r="T3671" i="8" s="1"/>
  <c r="T3673" i="8" s="1"/>
  <c r="AN3668" i="8" s="1"/>
  <c r="S3360" i="8"/>
  <c r="T3360" i="8" s="1"/>
  <c r="T3362" i="8" s="1"/>
  <c r="AN3357" i="8" s="1"/>
  <c r="S3311" i="8"/>
  <c r="T3311" i="8" s="1"/>
  <c r="T3313" i="8" s="1"/>
  <c r="AN3308" i="8" s="1"/>
  <c r="S3118" i="8"/>
  <c r="T3118" i="8" s="1"/>
  <c r="T3120" i="8" s="1"/>
  <c r="AN3115" i="8" s="1"/>
  <c r="S3111" i="8"/>
  <c r="T3111" i="8" s="1"/>
  <c r="T3113" i="8" s="1"/>
  <c r="AN3108" i="8" s="1"/>
  <c r="S2991" i="8"/>
  <c r="T2991" i="8" s="1"/>
  <c r="T2993" i="8" s="1"/>
  <c r="AN2988" i="8" s="1"/>
  <c r="S3346" i="8"/>
  <c r="T3346" i="8" s="1"/>
  <c r="T3348" i="8" s="1"/>
  <c r="AN3343" i="8" s="1"/>
  <c r="S3402" i="8"/>
  <c r="T3402" i="8" s="1"/>
  <c r="T3404" i="8" s="1"/>
  <c r="AN3399" i="8" s="1"/>
  <c r="S3062" i="8"/>
  <c r="T3062" i="8" s="1"/>
  <c r="T3064" i="8" s="1"/>
  <c r="AN3059" i="8" s="1"/>
  <c r="S3090" i="8"/>
  <c r="T3090" i="8" s="1"/>
  <c r="T3092" i="8" s="1"/>
  <c r="AN3087" i="8" s="1"/>
  <c r="S3006" i="8"/>
  <c r="T3006" i="8" s="1"/>
  <c r="T3008" i="8" s="1"/>
  <c r="AN3003" i="8" s="1"/>
  <c r="S3893" i="8"/>
  <c r="T3893" i="8" s="1"/>
  <c r="T3896" i="8" s="1"/>
  <c r="AN3890" i="8" s="1"/>
  <c r="S3332" i="8"/>
  <c r="T3332" i="8" s="1"/>
  <c r="T3334" i="8" s="1"/>
  <c r="AN3329" i="8" s="1"/>
  <c r="S3381" i="8"/>
  <c r="T3381" i="8" s="1"/>
  <c r="T3383" i="8" s="1"/>
  <c r="AN3378" i="8" s="1"/>
  <c r="S3048" i="8"/>
  <c r="T3048" i="8" s="1"/>
  <c r="T3050" i="8" s="1"/>
  <c r="AN3045" i="8" s="1"/>
  <c r="S3076" i="8"/>
  <c r="T3076" i="8" s="1"/>
  <c r="T3078" i="8" s="1"/>
  <c r="AN3073" i="8" s="1"/>
  <c r="S3792" i="8"/>
  <c r="T3792" i="8" s="1"/>
  <c r="T3794" i="8" s="1"/>
  <c r="AN3789" i="8" s="1"/>
  <c r="S3685" i="8"/>
  <c r="T3685" i="8" s="1"/>
  <c r="T3687" i="8" s="1"/>
  <c r="AN3682" i="8" s="1"/>
  <c r="S3318" i="8"/>
  <c r="T3318" i="8" s="1"/>
  <c r="T3320" i="8" s="1"/>
  <c r="AN3315" i="8" s="1"/>
  <c r="S3374" i="8"/>
  <c r="T3374" i="8" s="1"/>
  <c r="T3376" i="8" s="1"/>
  <c r="AN3371" i="8" s="1"/>
  <c r="S3027" i="8"/>
  <c r="T3027" i="8" s="1"/>
  <c r="T3029" i="8" s="1"/>
  <c r="AN3024" i="8" s="1"/>
  <c r="S3083" i="8"/>
  <c r="T3083" i="8" s="1"/>
  <c r="T3085" i="8" s="1"/>
  <c r="AN3080" i="8" s="1"/>
  <c r="S3778" i="8"/>
  <c r="T3778" i="8" s="1"/>
  <c r="T3780" i="8" s="1"/>
  <c r="AN3775" i="8" s="1"/>
  <c r="S4124" i="8"/>
  <c r="T4124" i="8" s="1"/>
  <c r="T4126" i="8" s="1"/>
  <c r="AN4121" i="8" s="1"/>
  <c r="S3367" i="8"/>
  <c r="T3367" i="8" s="1"/>
  <c r="T3369" i="8" s="1"/>
  <c r="AN3364" i="8" s="1"/>
  <c r="S3388" i="8"/>
  <c r="T3388" i="8" s="1"/>
  <c r="T3390" i="8" s="1"/>
  <c r="AN3385" i="8" s="1"/>
  <c r="S3055" i="8"/>
  <c r="T3055" i="8" s="1"/>
  <c r="T3057" i="8" s="1"/>
  <c r="AN3052" i="8" s="1"/>
  <c r="S3104" i="8"/>
  <c r="T3104" i="8" s="1"/>
  <c r="T3106" i="8" s="1"/>
  <c r="AN3101" i="8" s="1"/>
  <c r="S4633" i="8"/>
  <c r="T4633" i="8" s="1"/>
  <c r="T4635" i="8" s="1"/>
  <c r="AN4630" i="8" s="1"/>
  <c r="S3353" i="8"/>
  <c r="T3353" i="8" s="1"/>
  <c r="T3355" i="8" s="1"/>
  <c r="AN3350" i="8" s="1"/>
  <c r="S3395" i="8"/>
  <c r="T3395" i="8" s="1"/>
  <c r="T3397" i="8" s="1"/>
  <c r="AN3392" i="8" s="1"/>
  <c r="S3125" i="8"/>
  <c r="T3125" i="8" s="1"/>
  <c r="T3127" i="8" s="1"/>
  <c r="AN3122" i="8" s="1"/>
  <c r="S3013" i="8"/>
  <c r="T3013" i="8" s="1"/>
  <c r="T3015" i="8" s="1"/>
  <c r="AN3010" i="8" s="1"/>
  <c r="S4619" i="8"/>
  <c r="T4619" i="8" s="1"/>
  <c r="T4621" i="8" s="1"/>
  <c r="S3785" i="8"/>
  <c r="T3785" i="8" s="1"/>
  <c r="T3787" i="8" s="1"/>
  <c r="AN3782" i="8" s="1"/>
  <c r="S3339" i="8"/>
  <c r="T3339" i="8" s="1"/>
  <c r="T3341" i="8" s="1"/>
  <c r="AN3336" i="8" s="1"/>
  <c r="S3041" i="8"/>
  <c r="T3041" i="8" s="1"/>
  <c r="T3043" i="8" s="1"/>
  <c r="AN3038" i="8" s="1"/>
  <c r="S2998" i="8"/>
  <c r="T2998" i="8" s="1"/>
  <c r="T3001" i="8" s="1"/>
  <c r="AN2995" i="8" s="1"/>
  <c r="S4626" i="8"/>
  <c r="T4626" i="8" s="1"/>
  <c r="S4640" i="8"/>
  <c r="T4640" i="8" s="1"/>
  <c r="S3325" i="8"/>
  <c r="T3325" i="8" s="1"/>
  <c r="T3327" i="8" s="1"/>
  <c r="AN3322" i="8" s="1"/>
  <c r="S3097" i="8"/>
  <c r="T3097" i="8" s="1"/>
  <c r="T3099" i="8" s="1"/>
  <c r="AN3094" i="8" s="1"/>
  <c r="S2984" i="8"/>
  <c r="T2984" i="8" s="1"/>
  <c r="T2986" i="8" s="1"/>
  <c r="AN2981" i="8" s="1"/>
  <c r="Q5493" i="8"/>
  <c r="R5493" i="8" s="1"/>
  <c r="R5495" i="8" s="1"/>
  <c r="AM5490" i="8" s="1"/>
  <c r="Q5359" i="8"/>
  <c r="R5359" i="8" s="1"/>
  <c r="R5361" i="8" s="1"/>
  <c r="Q5324" i="8"/>
  <c r="R5324" i="8" s="1"/>
  <c r="R5326" i="8" s="1"/>
  <c r="Q5486" i="8"/>
  <c r="R5486" i="8" s="1"/>
  <c r="R5488" i="8" s="1"/>
  <c r="Q5553" i="8"/>
  <c r="R5553" i="8" s="1"/>
  <c r="R5555" i="8" s="1"/>
  <c r="Q5419" i="8"/>
  <c r="R5419" i="8" s="1"/>
  <c r="R5421" i="8" s="1"/>
  <c r="Q5208" i="8"/>
  <c r="R5208" i="8" s="1"/>
  <c r="R5210" i="8" s="1"/>
  <c r="S4061" i="8"/>
  <c r="T4061" i="8" s="1"/>
  <c r="T4063" i="8" s="1"/>
  <c r="AN4058" i="8" s="1"/>
  <c r="S3723" i="8"/>
  <c r="T3723" i="8" s="1"/>
  <c r="T3725" i="8" s="1"/>
  <c r="AN3720" i="8" s="1"/>
  <c r="S3919" i="8"/>
  <c r="T3919" i="8" s="1"/>
  <c r="T3921" i="8" s="1"/>
  <c r="AN3916" i="8" s="1"/>
  <c r="S4148" i="8"/>
  <c r="T4148" i="8" s="1"/>
  <c r="T4150" i="8" s="1"/>
  <c r="AN4145" i="8" s="1"/>
  <c r="S3437" i="8"/>
  <c r="T3437" i="8" s="1"/>
  <c r="T3439" i="8" s="1"/>
  <c r="AN3434" i="8" s="1"/>
  <c r="S3163" i="8"/>
  <c r="T3163" i="8" s="1"/>
  <c r="T3165" i="8" s="1"/>
  <c r="AN3160" i="8" s="1"/>
  <c r="T4200" i="8"/>
  <c r="AN4193" i="8" s="1"/>
  <c r="S5906" i="8"/>
  <c r="T5906" i="8" s="1"/>
  <c r="S6232" i="8"/>
  <c r="T6232" i="8" s="1"/>
  <c r="S6311" i="8"/>
  <c r="T6311" i="8" s="1"/>
  <c r="S5932" i="8"/>
  <c r="T5932" i="8" s="1"/>
  <c r="S5708" i="8"/>
  <c r="T5708" i="8" s="1"/>
  <c r="S6096" i="8"/>
  <c r="T6096" i="8" s="1"/>
  <c r="S6568" i="8"/>
  <c r="T6568" i="8" s="1"/>
  <c r="S6012" i="8"/>
  <c r="T6012" i="8" s="1"/>
  <c r="S5717" i="8"/>
  <c r="T5717" i="8" s="1"/>
  <c r="S6179" i="8"/>
  <c r="T6179" i="8" s="1"/>
  <c r="S5981" i="8"/>
  <c r="T5981" i="8" s="1"/>
  <c r="S6324" i="8"/>
  <c r="T6324" i="8" s="1"/>
  <c r="S6072" i="8"/>
  <c r="T6072" i="8" s="1"/>
  <c r="S5941" i="8"/>
  <c r="T5941" i="8" s="1"/>
  <c r="S6599" i="8"/>
  <c r="T6599" i="8" s="1"/>
  <c r="S6590" i="8"/>
  <c r="T6590" i="8" s="1"/>
  <c r="S5950" i="8"/>
  <c r="T5950" i="8" s="1"/>
  <c r="S5770" i="8"/>
  <c r="T5770" i="8" s="1"/>
  <c r="S6219" i="8"/>
  <c r="T6219" i="8" s="1"/>
  <c r="S5963" i="8"/>
  <c r="T5963" i="8" s="1"/>
  <c r="S5726" i="8"/>
  <c r="T5726" i="8" s="1"/>
  <c r="S6423" i="8"/>
  <c r="T6423" i="8" s="1"/>
  <c r="S6350" i="8"/>
  <c r="T6350" i="8" s="1"/>
  <c r="S5601" i="8"/>
  <c r="T5601" i="8" s="1"/>
  <c r="S5748" i="8"/>
  <c r="T5748" i="8" s="1"/>
  <c r="S6472" i="8"/>
  <c r="T6472" i="8" s="1"/>
  <c r="S6267" i="8"/>
  <c r="T6267" i="8" s="1"/>
  <c r="S6245" i="8"/>
  <c r="T6245" i="8" s="1"/>
  <c r="S5668" i="8"/>
  <c r="T5668" i="8" s="1"/>
  <c r="S5761" i="8"/>
  <c r="T5761" i="8" s="1"/>
  <c r="S5972" i="8"/>
  <c r="T5972" i="8" s="1"/>
  <c r="S6546" i="8"/>
  <c r="T6546" i="8" s="1"/>
  <c r="S6280" i="8"/>
  <c r="T6280" i="8" s="1"/>
  <c r="S5919" i="8"/>
  <c r="T5919" i="8" s="1"/>
  <c r="S6105" i="8"/>
  <c r="T6105" i="8" s="1"/>
  <c r="S6577" i="8"/>
  <c r="T6577" i="8" s="1"/>
  <c r="S5610" i="8"/>
  <c r="T5610" i="8" s="1"/>
  <c r="S5739" i="8"/>
  <c r="T5739" i="8" s="1"/>
  <c r="S6129" i="8"/>
  <c r="T6129" i="8" s="1"/>
  <c r="S5779" i="8"/>
  <c r="T5779" i="8" s="1"/>
  <c r="S6341" i="8"/>
  <c r="T6341" i="8" s="1"/>
  <c r="S6298" i="8"/>
  <c r="T6298" i="8" s="1"/>
  <c r="S6555" i="8"/>
  <c r="T6555" i="8" s="1"/>
  <c r="S6289" i="8"/>
  <c r="T6289" i="8" s="1"/>
  <c r="S6003" i="8"/>
  <c r="T6003" i="8" s="1"/>
  <c r="E695" i="11"/>
  <c r="F695" i="11" s="1"/>
  <c r="R688" i="11"/>
  <c r="E89" i="11"/>
  <c r="F89" i="11" s="1"/>
  <c r="R79" i="11"/>
  <c r="E269" i="11"/>
  <c r="F269" i="11" s="1"/>
  <c r="R261" i="11"/>
  <c r="S2615" i="8"/>
  <c r="T2615" i="8" s="1"/>
  <c r="T2617" i="8" s="1"/>
  <c r="AN2612" i="8" s="1"/>
  <c r="S2796" i="8"/>
  <c r="T2796" i="8" s="1"/>
  <c r="T2798" i="8" s="1"/>
  <c r="S2564" i="8"/>
  <c r="T2564" i="8" s="1"/>
  <c r="T2566" i="8" s="1"/>
  <c r="AN2561" i="8" s="1"/>
  <c r="S2696" i="8"/>
  <c r="T2696" i="8" s="1"/>
  <c r="T2698" i="8" s="1"/>
  <c r="AN2693" i="8" s="1"/>
  <c r="S631" i="8"/>
  <c r="T631" i="8" s="1"/>
  <c r="S707" i="8"/>
  <c r="T707" i="8" s="1"/>
  <c r="S703" i="8"/>
  <c r="T703" i="8" s="1"/>
  <c r="S664" i="8"/>
  <c r="T664" i="8" s="1"/>
  <c r="S701" i="8"/>
  <c r="T701" i="8" s="1"/>
  <c r="S651" i="8"/>
  <c r="T651" i="8" s="1"/>
  <c r="S705" i="8"/>
  <c r="T705" i="8" s="1"/>
  <c r="S666" i="8"/>
  <c r="T666" i="8" s="1"/>
  <c r="S653" i="8"/>
  <c r="T653" i="8" s="1"/>
  <c r="S629" i="8"/>
  <c r="T629" i="8" s="1"/>
  <c r="Q901" i="8"/>
  <c r="R901" i="8" s="1"/>
  <c r="Q915" i="8"/>
  <c r="R915" i="8" s="1"/>
  <c r="R917" i="8" s="1"/>
  <c r="Q899" i="8"/>
  <c r="R899" i="8" s="1"/>
  <c r="R303" i="11"/>
  <c r="E313" i="11"/>
  <c r="F313" i="11" s="1"/>
  <c r="S1511" i="8"/>
  <c r="T1511" i="8" s="1"/>
  <c r="T1513" i="8" s="1"/>
  <c r="AN1508" i="8" s="1"/>
  <c r="S1497" i="8"/>
  <c r="T1497" i="8" s="1"/>
  <c r="T1499" i="8" s="1"/>
  <c r="AN1494" i="8" s="1"/>
  <c r="S1483" i="8"/>
  <c r="T1483" i="8" s="1"/>
  <c r="T1485" i="8" s="1"/>
  <c r="AN1480" i="8" s="1"/>
  <c r="S1469" i="8"/>
  <c r="T1469" i="8" s="1"/>
  <c r="T1471" i="8" s="1"/>
  <c r="AN1466" i="8" s="1"/>
  <c r="S1518" i="8"/>
  <c r="T1518" i="8" s="1"/>
  <c r="T1520" i="8" s="1"/>
  <c r="AN1515" i="8" s="1"/>
  <c r="S1504" i="8"/>
  <c r="T1504" i="8" s="1"/>
  <c r="T1506" i="8" s="1"/>
  <c r="AN1501" i="8" s="1"/>
  <c r="S1490" i="8"/>
  <c r="T1490" i="8" s="1"/>
  <c r="T1492" i="8" s="1"/>
  <c r="AN1487" i="8" s="1"/>
  <c r="S1476" i="8"/>
  <c r="T1476" i="8" s="1"/>
  <c r="T1478" i="8" s="1"/>
  <c r="AN1473" i="8" s="1"/>
  <c r="S5532" i="8"/>
  <c r="T5532" i="8" s="1"/>
  <c r="T5534" i="8" s="1"/>
  <c r="S5296" i="8"/>
  <c r="T5296" i="8" s="1"/>
  <c r="T5298" i="8" s="1"/>
  <c r="AN5293" i="8" s="1"/>
  <c r="S5405" i="8"/>
  <c r="T5405" i="8" s="1"/>
  <c r="T5407" i="8" s="1"/>
  <c r="AN5402" i="8" s="1"/>
  <c r="S5458" i="8"/>
  <c r="T5458" i="8" s="1"/>
  <c r="T5460" i="8" s="1"/>
  <c r="AN5455" i="8" s="1"/>
  <c r="S5194" i="8"/>
  <c r="T5194" i="8" s="1"/>
  <c r="T5196" i="8" s="1"/>
  <c r="AN5191" i="8" s="1"/>
  <c r="S5546" i="8"/>
  <c r="T5546" i="8" s="1"/>
  <c r="T5548" i="8" s="1"/>
  <c r="S5472" i="8"/>
  <c r="T5472" i="8" s="1"/>
  <c r="T5474" i="8" s="1"/>
  <c r="AN5469" i="8" s="1"/>
  <c r="S5412" i="8"/>
  <c r="T5412" i="8" s="1"/>
  <c r="T5414" i="8" s="1"/>
  <c r="AN5409" i="8" s="1"/>
  <c r="S5201" i="8"/>
  <c r="T5201" i="8" s="1"/>
  <c r="T5203" i="8" s="1"/>
  <c r="AN5198" i="8" s="1"/>
  <c r="S5310" i="8"/>
  <c r="T5310" i="8" s="1"/>
  <c r="T5312" i="8" s="1"/>
  <c r="AN5307" i="8" s="1"/>
  <c r="S2914" i="8"/>
  <c r="T2914" i="8" s="1"/>
  <c r="T2916" i="8" s="1"/>
  <c r="AN2911" i="8" s="1"/>
  <c r="T2451" i="8"/>
  <c r="AN2443" i="8" s="1"/>
  <c r="S993" i="8"/>
  <c r="T993" i="8" s="1"/>
  <c r="T995" i="8" s="1"/>
  <c r="S1305" i="8"/>
  <c r="T1305" i="8" s="1"/>
  <c r="T1307" i="8" s="1"/>
  <c r="AN1302" i="8" s="1"/>
  <c r="S2633" i="8"/>
  <c r="T2633" i="8" s="1"/>
  <c r="T2635" i="8" s="1"/>
  <c r="AN2630" i="8" s="1"/>
  <c r="T2204" i="8"/>
  <c r="AN2197" i="8" s="1"/>
  <c r="S2283" i="8"/>
  <c r="T2283" i="8" s="1"/>
  <c r="T2285" i="8" s="1"/>
  <c r="AN2280" i="8" s="1"/>
  <c r="S2104" i="8"/>
  <c r="T2104" i="8" s="1"/>
  <c r="T2106" i="8" s="1"/>
  <c r="AN2101" i="8" s="1"/>
  <c r="S1994" i="8"/>
  <c r="T1994" i="8" s="1"/>
  <c r="T1996" i="8" s="1"/>
  <c r="AN1991" i="8" s="1"/>
  <c r="S5465" i="8"/>
  <c r="T5465" i="8" s="1"/>
  <c r="T5467" i="8" s="1"/>
  <c r="AN5462" i="8" s="1"/>
  <c r="S5564" i="8"/>
  <c r="T5564" i="8" s="1"/>
  <c r="T5566" i="8" s="1"/>
  <c r="AN5561" i="8" s="1"/>
  <c r="S5539" i="8"/>
  <c r="T5539" i="8" s="1"/>
  <c r="T5541" i="8" s="1"/>
  <c r="AN5536" i="8" s="1"/>
  <c r="S5303" i="8"/>
  <c r="T5303" i="8" s="1"/>
  <c r="T5305" i="8" s="1"/>
  <c r="AN5300" i="8" s="1"/>
  <c r="S4753" i="8"/>
  <c r="T4753" i="8" s="1"/>
  <c r="T4756" i="8" s="1"/>
  <c r="AN4750" i="8" s="1"/>
  <c r="S4761" i="8"/>
  <c r="T4761" i="8" s="1"/>
  <c r="T4764" i="8" s="1"/>
  <c r="AN4758" i="8" s="1"/>
  <c r="S3472" i="8"/>
  <c r="T3472" i="8" s="1"/>
  <c r="T3475" i="8" s="1"/>
  <c r="AN3469" i="8" s="1"/>
  <c r="S4390" i="8"/>
  <c r="T4390" i="8" s="1"/>
  <c r="T4393" i="8" s="1"/>
  <c r="AN4387" i="8" s="1"/>
  <c r="S4231" i="8"/>
  <c r="T4231" i="8" s="1"/>
  <c r="T4234" i="8" s="1"/>
  <c r="AN4228" i="8" s="1"/>
  <c r="S4560" i="8"/>
  <c r="T4560" i="8" s="1"/>
  <c r="T4563" i="8" s="1"/>
  <c r="AN4557" i="8" s="1"/>
  <c r="S3464" i="8"/>
  <c r="T3464" i="8" s="1"/>
  <c r="T3467" i="8" s="1"/>
  <c r="AN3461" i="8" s="1"/>
  <c r="S4239" i="8"/>
  <c r="T4239" i="8" s="1"/>
  <c r="T4242" i="8" s="1"/>
  <c r="AN4236" i="8" s="1"/>
  <c r="S4777" i="8"/>
  <c r="T4777" i="8" s="1"/>
  <c r="T4780" i="8" s="1"/>
  <c r="AN4774" i="8" s="1"/>
  <c r="S3496" i="8"/>
  <c r="T3496" i="8" s="1"/>
  <c r="T3499" i="8" s="1"/>
  <c r="AN3493" i="8" s="1"/>
  <c r="S4769" i="8"/>
  <c r="T4769" i="8" s="1"/>
  <c r="T4772" i="8" s="1"/>
  <c r="AN4766" i="8" s="1"/>
  <c r="S4576" i="8"/>
  <c r="T4576" i="8" s="1"/>
  <c r="T4579" i="8" s="1"/>
  <c r="AN4573" i="8" s="1"/>
  <c r="S4544" i="8"/>
  <c r="T4544" i="8" s="1"/>
  <c r="T4547" i="8" s="1"/>
  <c r="AN4541" i="8" s="1"/>
  <c r="S4552" i="8"/>
  <c r="T4552" i="8" s="1"/>
  <c r="T4555" i="8" s="1"/>
  <c r="AN4549" i="8" s="1"/>
  <c r="S4374" i="8"/>
  <c r="T4374" i="8" s="1"/>
  <c r="T4377" i="8" s="1"/>
  <c r="AN4371" i="8" s="1"/>
  <c r="S4382" i="8"/>
  <c r="T4382" i="8" s="1"/>
  <c r="T4385" i="8" s="1"/>
  <c r="AN4379" i="8" s="1"/>
  <c r="S4247" i="8"/>
  <c r="T4247" i="8" s="1"/>
  <c r="T4250" i="8" s="1"/>
  <c r="AN4244" i="8" s="1"/>
  <c r="S4406" i="8"/>
  <c r="T4406" i="8" s="1"/>
  <c r="T4409" i="8" s="1"/>
  <c r="AN4403" i="8" s="1"/>
  <c r="S4223" i="8"/>
  <c r="T4223" i="8" s="1"/>
  <c r="T4226" i="8" s="1"/>
  <c r="AN4220" i="8" s="1"/>
  <c r="S4255" i="8"/>
  <c r="T4255" i="8" s="1"/>
  <c r="T4258" i="8" s="1"/>
  <c r="AN4252" i="8" s="1"/>
  <c r="S3480" i="8"/>
  <c r="T3480" i="8" s="1"/>
  <c r="T3483" i="8" s="1"/>
  <c r="AN3477" i="8" s="1"/>
  <c r="E647" i="11"/>
  <c r="F647" i="11" s="1"/>
  <c r="R640" i="11"/>
  <c r="R559" i="11"/>
  <c r="E566" i="11"/>
  <c r="F566" i="11" s="1"/>
  <c r="S1359" i="8"/>
  <c r="T1359" i="8" s="1"/>
  <c r="T1361" i="8" s="1"/>
  <c r="AN1356" i="8" s="1"/>
  <c r="T1546" i="8"/>
  <c r="AN1540" i="8" s="1"/>
  <c r="T1210" i="8"/>
  <c r="AN1204" i="8" s="1"/>
  <c r="T2432" i="8"/>
  <c r="AN2425" i="8" s="1"/>
  <c r="E518" i="11"/>
  <c r="F518" i="11" s="1"/>
  <c r="R510" i="11"/>
  <c r="E343" i="11"/>
  <c r="F343" i="11" s="1"/>
  <c r="R335" i="11"/>
  <c r="S2237" i="8"/>
  <c r="T2237" i="8" s="1"/>
  <c r="T2239" i="8" s="1"/>
  <c r="AN2234" i="8" s="1"/>
  <c r="S2223" i="8"/>
  <c r="T2223" i="8" s="1"/>
  <c r="T2225" i="8" s="1"/>
  <c r="AN2220" i="8" s="1"/>
  <c r="S1920" i="8"/>
  <c r="T1920" i="8" s="1"/>
  <c r="T1922" i="8" s="1"/>
  <c r="AN1917" i="8" s="1"/>
  <c r="S1348" i="8"/>
  <c r="T1348" i="8" s="1"/>
  <c r="T1350" i="8" s="1"/>
  <c r="AN1345" i="8" s="1"/>
  <c r="S1927" i="8"/>
  <c r="T1927" i="8" s="1"/>
  <c r="T1929" i="8" s="1"/>
  <c r="AN1924" i="8" s="1"/>
  <c r="S1320" i="8"/>
  <c r="T1320" i="8" s="1"/>
  <c r="T1322" i="8" s="1"/>
  <c r="AN1317" i="8" s="1"/>
  <c r="S2244" i="8"/>
  <c r="T2244" i="8" s="1"/>
  <c r="T2246" i="8" s="1"/>
  <c r="AN2241" i="8" s="1"/>
  <c r="S2230" i="8"/>
  <c r="T2230" i="8" s="1"/>
  <c r="T2232" i="8" s="1"/>
  <c r="AN2227" i="8" s="1"/>
  <c r="S1327" i="8"/>
  <c r="T1327" i="8" s="1"/>
  <c r="T1329" i="8" s="1"/>
  <c r="AN1324" i="8" s="1"/>
  <c r="S1341" i="8"/>
  <c r="T1341" i="8" s="1"/>
  <c r="T1343" i="8" s="1"/>
  <c r="AN1338" i="8" s="1"/>
  <c r="S1334" i="8"/>
  <c r="T1334" i="8" s="1"/>
  <c r="T1336" i="8" s="1"/>
  <c r="AN1331" i="8" s="1"/>
  <c r="S2251" i="8"/>
  <c r="T2251" i="8" s="1"/>
  <c r="T2253" i="8" s="1"/>
  <c r="AN2248" i="8" s="1"/>
  <c r="S2258" i="8"/>
  <c r="T2258" i="8" s="1"/>
  <c r="T2260" i="8" s="1"/>
  <c r="AN2255" i="8" s="1"/>
  <c r="S1913" i="8"/>
  <c r="T1913" i="8" s="1"/>
  <c r="T1915" i="8" s="1"/>
  <c r="AN1910" i="8" s="1"/>
  <c r="S1934" i="8"/>
  <c r="T1934" i="8" s="1"/>
  <c r="T1936" i="8" s="1"/>
  <c r="AN1931" i="8" s="1"/>
  <c r="S5675" i="8"/>
  <c r="T5675" i="8" s="1"/>
  <c r="S5803" i="8"/>
  <c r="T5803" i="8" s="1"/>
  <c r="S6483" i="8"/>
  <c r="T6483" i="8" s="1"/>
  <c r="S5617" i="8"/>
  <c r="T5617" i="8" s="1"/>
  <c r="S5825" i="8"/>
  <c r="T5825" i="8" s="1"/>
  <c r="S6430" i="8"/>
  <c r="T6430" i="8" s="1"/>
  <c r="S6357" i="8"/>
  <c r="T6357" i="8" s="1"/>
  <c r="R405" i="11"/>
  <c r="E415" i="11"/>
  <c r="F415" i="11" s="1"/>
  <c r="R174" i="11"/>
  <c r="E181" i="11"/>
  <c r="F181" i="11" s="1"/>
  <c r="R293" i="11"/>
  <c r="E301" i="11"/>
  <c r="F301" i="11" s="1"/>
  <c r="R39" i="11"/>
  <c r="E44" i="11"/>
  <c r="F44" i="11" s="1"/>
  <c r="S3805" i="8"/>
  <c r="T3805" i="8" s="1"/>
  <c r="T3807" i="8" s="1"/>
  <c r="AN3802" i="8" s="1"/>
  <c r="S3901" i="8"/>
  <c r="T3901" i="8" s="1"/>
  <c r="T3903" i="8" s="1"/>
  <c r="AN3898" i="8" s="1"/>
  <c r="S3908" i="8"/>
  <c r="T3908" i="8" s="1"/>
  <c r="T3910" i="8" s="1"/>
  <c r="AN3905" i="8" s="1"/>
  <c r="S4137" i="8"/>
  <c r="T4137" i="8" s="1"/>
  <c r="T4139" i="8" s="1"/>
  <c r="AN4134" i="8" s="1"/>
  <c r="S3419" i="8"/>
  <c r="T3419" i="8" s="1"/>
  <c r="T3421" i="8" s="1"/>
  <c r="AN3416" i="8" s="1"/>
  <c r="S4043" i="8"/>
  <c r="T4043" i="8" s="1"/>
  <c r="T4045" i="8" s="1"/>
  <c r="AN4040" i="8" s="1"/>
  <c r="S3138" i="8"/>
  <c r="T3138" i="8" s="1"/>
  <c r="T3140" i="8" s="1"/>
  <c r="AN3135" i="8" s="1"/>
  <c r="E456" i="11"/>
  <c r="F456" i="11" s="1"/>
  <c r="R448" i="11"/>
  <c r="Q1056" i="8"/>
  <c r="R1056" i="8" s="1"/>
  <c r="R1058" i="8" s="1"/>
  <c r="R1554" i="8"/>
  <c r="AM1548" i="8" s="1"/>
  <c r="R1218" i="8"/>
  <c r="R948" i="11"/>
  <c r="Q7060" i="8" s="1"/>
  <c r="E992" i="11"/>
  <c r="F992" i="11" s="1"/>
  <c r="E235" i="11"/>
  <c r="F235" i="11" s="1"/>
  <c r="T228" i="11"/>
  <c r="E704" i="11"/>
  <c r="F704" i="11" s="1"/>
  <c r="R697" i="11"/>
  <c r="R893" i="11"/>
  <c r="E905" i="11"/>
  <c r="F905" i="11" s="1"/>
  <c r="E217" i="11"/>
  <c r="F217" i="11" s="1"/>
  <c r="R210" i="11"/>
  <c r="Q1585" i="8" s="1"/>
  <c r="R1585" i="8" s="1"/>
  <c r="R1587" i="8" s="1"/>
  <c r="Q5546" i="8"/>
  <c r="R5546" i="8" s="1"/>
  <c r="R5548" i="8" s="1"/>
  <c r="AM5543" i="8" s="1"/>
  <c r="Q5412" i="8"/>
  <c r="R5412" i="8" s="1"/>
  <c r="R5414" i="8" s="1"/>
  <c r="Q5201" i="8"/>
  <c r="R5201" i="8" s="1"/>
  <c r="R5203" i="8" s="1"/>
  <c r="Q5310" i="8"/>
  <c r="R5310" i="8" s="1"/>
  <c r="R5312" i="8" s="1"/>
  <c r="Q5472" i="8"/>
  <c r="R5472" i="8" s="1"/>
  <c r="R5474" i="8" s="1"/>
  <c r="S929" i="8"/>
  <c r="T929" i="8" s="1"/>
  <c r="T931" i="8" s="1"/>
  <c r="AN926" i="8" s="1"/>
  <c r="S878" i="8"/>
  <c r="T878" i="8" s="1"/>
  <c r="T880" i="8" s="1"/>
  <c r="AN875" i="8" s="1"/>
  <c r="S780" i="8"/>
  <c r="T780" i="8" s="1"/>
  <c r="T782" i="8" s="1"/>
  <c r="AN777" i="8" s="1"/>
  <c r="E226" i="11"/>
  <c r="F226" i="11" s="1"/>
  <c r="R19" i="11"/>
  <c r="E28" i="11"/>
  <c r="F28" i="11" s="1"/>
  <c r="T19" i="11"/>
  <c r="B8151" i="8"/>
  <c r="F211" i="32" l="1"/>
  <c r="E1079" i="32" s="1"/>
  <c r="F324" i="32"/>
  <c r="F135" i="32"/>
  <c r="E1077" i="32" s="1"/>
  <c r="E1096" i="32"/>
  <c r="F287" i="32"/>
  <c r="E1081" i="32" s="1"/>
  <c r="F847" i="32"/>
  <c r="E912" i="8"/>
  <c r="AG912" i="8" s="1"/>
  <c r="E791" i="8"/>
  <c r="AG791" i="8" s="1"/>
  <c r="E882" i="8"/>
  <c r="AG882" i="8" s="1"/>
  <c r="E868" i="8"/>
  <c r="AG868" i="8" s="1"/>
  <c r="E798" i="8"/>
  <c r="AG798" i="8" s="1"/>
  <c r="E784" i="8"/>
  <c r="AG784" i="8" s="1"/>
  <c r="AM791" i="8"/>
  <c r="AO791" i="8" s="1"/>
  <c r="F11019" i="8"/>
  <c r="T11019" i="8" s="1"/>
  <c r="AM3066" i="8"/>
  <c r="AO3066" i="8" s="1"/>
  <c r="E3066" i="8"/>
  <c r="E769" i="28" s="1"/>
  <c r="F769" i="28" s="1"/>
  <c r="Q3020" i="8"/>
  <c r="R3020" i="8" s="1"/>
  <c r="R3022" i="8" s="1"/>
  <c r="AM3017" i="8" s="1"/>
  <c r="AO3017" i="8" s="1"/>
  <c r="Q3034" i="8"/>
  <c r="R3034" i="8" s="1"/>
  <c r="R3036" i="8" s="1"/>
  <c r="E1564" i="8"/>
  <c r="E516" i="28" s="1"/>
  <c r="F516" i="28" s="1"/>
  <c r="AM1582" i="8"/>
  <c r="AO1582" i="8" s="1"/>
  <c r="E1582" i="8"/>
  <c r="E519" i="28" s="1"/>
  <c r="F519" i="28" s="1"/>
  <c r="AO1564" i="8"/>
  <c r="AM1571" i="8"/>
  <c r="AO1571" i="8" s="1"/>
  <c r="E1571" i="8"/>
  <c r="R1047" i="8"/>
  <c r="AM1042" i="8" s="1"/>
  <c r="AO1042" i="8" s="1"/>
  <c r="Q694" i="8"/>
  <c r="R694" i="8" s="1"/>
  <c r="R696" i="8" s="1"/>
  <c r="Q975" i="8"/>
  <c r="R975" i="8" s="1"/>
  <c r="R977" i="8" s="1"/>
  <c r="Q947" i="8"/>
  <c r="R947" i="8" s="1"/>
  <c r="Q945" i="8"/>
  <c r="R945" i="8" s="1"/>
  <c r="T949" i="8"/>
  <c r="AN942" i="8" s="1"/>
  <c r="Q714" i="8"/>
  <c r="R714" i="8" s="1"/>
  <c r="Q716" i="8"/>
  <c r="R716" i="8" s="1"/>
  <c r="Q718" i="8"/>
  <c r="R718" i="8" s="1"/>
  <c r="T720" i="8"/>
  <c r="AN711" i="8" s="1"/>
  <c r="E11033" i="8"/>
  <c r="E780" i="32" s="1"/>
  <c r="F780" i="32" s="1"/>
  <c r="AM11110" i="8"/>
  <c r="AO11110" i="8" s="1"/>
  <c r="Q687" i="8"/>
  <c r="R687" i="8" s="1"/>
  <c r="R689" i="8" s="1"/>
  <c r="AM11019" i="8"/>
  <c r="AO11019" i="8" s="1"/>
  <c r="E11117" i="8"/>
  <c r="E795" i="32" s="1"/>
  <c r="F795" i="32" s="1"/>
  <c r="AG11019" i="8"/>
  <c r="AI11019" i="8" s="1"/>
  <c r="AJ11019" i="8" s="1"/>
  <c r="R675" i="8"/>
  <c r="AM11314" i="8"/>
  <c r="AO11314" i="8" s="1"/>
  <c r="T642" i="8"/>
  <c r="AN635" i="8" s="1"/>
  <c r="Q640" i="8"/>
  <c r="R640" i="8" s="1"/>
  <c r="Q638" i="8"/>
  <c r="R638" i="8" s="1"/>
  <c r="E11223" i="8"/>
  <c r="E813" i="32" s="1"/>
  <c r="F813" i="32" s="1"/>
  <c r="AM11300" i="8"/>
  <c r="AO11300" i="8" s="1"/>
  <c r="AM11124" i="8"/>
  <c r="AO11124" i="8" s="1"/>
  <c r="F11321" i="8"/>
  <c r="T11321" i="8" s="1"/>
  <c r="R11403" i="8"/>
  <c r="AG11321" i="8"/>
  <c r="AI11321" i="8" s="1"/>
  <c r="AJ11321" i="8" s="1"/>
  <c r="AM11321" i="8"/>
  <c r="AO11321" i="8" s="1"/>
  <c r="F11131" i="8"/>
  <c r="T11131" i="8" s="1"/>
  <c r="AM11202" i="8"/>
  <c r="AO11202" i="8" s="1"/>
  <c r="E11216" i="8"/>
  <c r="E812" i="32" s="1"/>
  <c r="F812" i="32" s="1"/>
  <c r="AG11131" i="8"/>
  <c r="AH11131" i="8" s="1"/>
  <c r="AM11131" i="8"/>
  <c r="AO11131" i="8" s="1"/>
  <c r="E11209" i="8"/>
  <c r="E811" i="32" s="1"/>
  <c r="F811" i="32" s="1"/>
  <c r="AG11300" i="8"/>
  <c r="AI11300" i="8" s="1"/>
  <c r="AJ11300" i="8" s="1"/>
  <c r="F11202" i="8"/>
  <c r="T11202" i="8" s="1"/>
  <c r="AG11202" i="8"/>
  <c r="AI11202" i="8" s="1"/>
  <c r="AJ11202" i="8" s="1"/>
  <c r="AM11012" i="8"/>
  <c r="AO11012" i="8" s="1"/>
  <c r="R11287" i="8"/>
  <c r="E11026" i="8"/>
  <c r="E779" i="32" s="1"/>
  <c r="F779" i="32" s="1"/>
  <c r="F11300" i="8"/>
  <c r="T11300" i="8" s="1"/>
  <c r="R1134" i="11"/>
  <c r="R1133" i="11"/>
  <c r="S130" i="1"/>
  <c r="AE130" i="1" s="1"/>
  <c r="AF130" i="1"/>
  <c r="S132" i="1"/>
  <c r="AE132" i="1" s="1"/>
  <c r="AF132" i="1"/>
  <c r="S121" i="1"/>
  <c r="AE121" i="1" s="1"/>
  <c r="AF121" i="1"/>
  <c r="S118" i="1"/>
  <c r="AE118" i="1" s="1"/>
  <c r="AF118" i="1"/>
  <c r="T1134" i="11"/>
  <c r="T11542" i="8"/>
  <c r="T109" i="1"/>
  <c r="F26" i="1"/>
  <c r="A26" i="1" s="1"/>
  <c r="E508" i="11"/>
  <c r="F508" i="11" s="1"/>
  <c r="S2319" i="8"/>
  <c r="T2319" i="8" s="1"/>
  <c r="T2321" i="8" s="1"/>
  <c r="AN2316" i="8" s="1"/>
  <c r="S2375" i="8"/>
  <c r="T2375" i="8" s="1"/>
  <c r="T2377" i="8" s="1"/>
  <c r="AN2372" i="8" s="1"/>
  <c r="S2389" i="8"/>
  <c r="T2389" i="8" s="1"/>
  <c r="T2391" i="8" s="1"/>
  <c r="AN2386" i="8" s="1"/>
  <c r="S2354" i="8"/>
  <c r="T2354" i="8" s="1"/>
  <c r="T2356" i="8" s="1"/>
  <c r="AN2351" i="8" s="1"/>
  <c r="S2326" i="8"/>
  <c r="T2326" i="8" s="1"/>
  <c r="T2328" i="8" s="1"/>
  <c r="AN2323" i="8" s="1"/>
  <c r="S2340" i="8"/>
  <c r="T2340" i="8" s="1"/>
  <c r="T2342" i="8" s="1"/>
  <c r="AN2337" i="8" s="1"/>
  <c r="S2333" i="8"/>
  <c r="T2333" i="8" s="1"/>
  <c r="T2335" i="8" s="1"/>
  <c r="AN2330" i="8" s="1"/>
  <c r="S2368" i="8"/>
  <c r="T2368" i="8" s="1"/>
  <c r="T2370" i="8" s="1"/>
  <c r="AN2365" i="8" s="1"/>
  <c r="S2347" i="8"/>
  <c r="T2347" i="8" s="1"/>
  <c r="T2349" i="8" s="1"/>
  <c r="AN2344" i="8" s="1"/>
  <c r="S2382" i="8"/>
  <c r="T2382" i="8" s="1"/>
  <c r="T2384" i="8" s="1"/>
  <c r="AN2379" i="8" s="1"/>
  <c r="S2361" i="8"/>
  <c r="T2361" i="8" s="1"/>
  <c r="T2363" i="8" s="1"/>
  <c r="AN2358" i="8" s="1"/>
  <c r="Q1147" i="8"/>
  <c r="Q1140" i="8"/>
  <c r="Q1175" i="8"/>
  <c r="Q1168" i="8"/>
  <c r="Q1161" i="8"/>
  <c r="Q1154" i="8"/>
  <c r="R498" i="11"/>
  <c r="B11465" i="8"/>
  <c r="AO6731" i="8"/>
  <c r="E6731" i="8"/>
  <c r="E1343" i="28" s="1"/>
  <c r="F1343" i="28" s="1"/>
  <c r="Q570" i="8"/>
  <c r="R570" i="8" s="1"/>
  <c r="R590" i="8" s="1"/>
  <c r="R11542" i="8"/>
  <c r="R11541" i="8"/>
  <c r="T1133" i="11"/>
  <c r="T11493" i="8"/>
  <c r="T119" i="1" s="1"/>
  <c r="R11504" i="8"/>
  <c r="R130" i="1" s="1"/>
  <c r="AD130" i="1" s="1"/>
  <c r="T11540" i="8"/>
  <c r="R11483" i="8"/>
  <c r="R109" i="1" s="1"/>
  <c r="AD109" i="1" s="1"/>
  <c r="F10227" i="8"/>
  <c r="T10227" i="8" s="1"/>
  <c r="AG10227" i="8"/>
  <c r="F10234" i="8"/>
  <c r="T10234" i="8" s="1"/>
  <c r="AG10234" i="8"/>
  <c r="F10126" i="8"/>
  <c r="T10126" i="8" s="1"/>
  <c r="AG10126" i="8"/>
  <c r="AG10180" i="8"/>
  <c r="F10180" i="8"/>
  <c r="T10180" i="8" s="1"/>
  <c r="F10287" i="8"/>
  <c r="AG10287" i="8"/>
  <c r="F10173" i="8"/>
  <c r="T10173" i="8" s="1"/>
  <c r="AG10173" i="8"/>
  <c r="AM9245" i="8"/>
  <c r="AO9245" i="8" s="1"/>
  <c r="E9228" i="8"/>
  <c r="E221" i="32" s="1"/>
  <c r="F221" i="32" s="1"/>
  <c r="E8400" i="8"/>
  <c r="E74" i="32" s="1"/>
  <c r="F74" i="32" s="1"/>
  <c r="E8802" i="8"/>
  <c r="E147" i="32" s="1"/>
  <c r="F147" i="32" s="1"/>
  <c r="R7060" i="8"/>
  <c r="R7084" i="8"/>
  <c r="AM8774" i="8"/>
  <c r="AO8774" i="8" s="1"/>
  <c r="E8428" i="8"/>
  <c r="E78" i="32" s="1"/>
  <c r="F78" i="32" s="1"/>
  <c r="AM8830" i="8"/>
  <c r="AO8830" i="8" s="1"/>
  <c r="AM8823" i="8"/>
  <c r="AO8823" i="8" s="1"/>
  <c r="E8837" i="8"/>
  <c r="E152" i="32" s="1"/>
  <c r="F152" i="32" s="1"/>
  <c r="E8414" i="8"/>
  <c r="E76" i="32" s="1"/>
  <c r="F76" i="32" s="1"/>
  <c r="E9204" i="8"/>
  <c r="E218" i="32" s="1"/>
  <c r="F218" i="32" s="1"/>
  <c r="AM8372" i="8"/>
  <c r="AO8372" i="8" s="1"/>
  <c r="T6665" i="8"/>
  <c r="AN6655" i="8" s="1"/>
  <c r="AM8179" i="8"/>
  <c r="AO8179" i="8" s="1"/>
  <c r="T7064" i="8"/>
  <c r="AN7048" i="8" s="1"/>
  <c r="AM8407" i="8"/>
  <c r="AO8407" i="8" s="1"/>
  <c r="AM8781" i="8"/>
  <c r="AO8781" i="8" s="1"/>
  <c r="E8221" i="8"/>
  <c r="E41" i="32" s="1"/>
  <c r="F41" i="32" s="1"/>
  <c r="Q7056" i="8"/>
  <c r="R7056" i="8" s="1"/>
  <c r="Q6663" i="8"/>
  <c r="R6663" i="8" s="1"/>
  <c r="E8795" i="8"/>
  <c r="E146" i="32" s="1"/>
  <c r="F146" i="32" s="1"/>
  <c r="E8228" i="8"/>
  <c r="E42" i="32" s="1"/>
  <c r="F42" i="32" s="1"/>
  <c r="E8172" i="8"/>
  <c r="E34" i="32" s="1"/>
  <c r="F34" i="32" s="1"/>
  <c r="Q6661" i="8"/>
  <c r="R6661" i="8" s="1"/>
  <c r="AM8193" i="8"/>
  <c r="AO8193" i="8" s="1"/>
  <c r="E9221" i="8"/>
  <c r="E220" i="32" s="1"/>
  <c r="F220" i="32" s="1"/>
  <c r="E8386" i="8"/>
  <c r="E72" i="32" s="1"/>
  <c r="F72" i="32" s="1"/>
  <c r="E8200" i="8"/>
  <c r="E38" i="32" s="1"/>
  <c r="F38" i="32" s="1"/>
  <c r="E8788" i="8"/>
  <c r="E145" i="32" s="1"/>
  <c r="F145" i="32" s="1"/>
  <c r="AM8421" i="8"/>
  <c r="AO8421" i="8" s="1"/>
  <c r="E9214" i="8"/>
  <c r="E219" i="32" s="1"/>
  <c r="F219" i="32" s="1"/>
  <c r="AM8393" i="8"/>
  <c r="AO8393" i="8" s="1"/>
  <c r="E8816" i="8"/>
  <c r="E149" i="32" s="1"/>
  <c r="F149" i="32" s="1"/>
  <c r="E8207" i="8"/>
  <c r="E39" i="32" s="1"/>
  <c r="F39" i="32" s="1"/>
  <c r="E9235" i="8"/>
  <c r="E222" i="32" s="1"/>
  <c r="F222" i="32" s="1"/>
  <c r="AM8365" i="8"/>
  <c r="AO8365" i="8" s="1"/>
  <c r="R9412" i="8"/>
  <c r="E8844" i="8"/>
  <c r="E153" i="32" s="1"/>
  <c r="F153" i="32" s="1"/>
  <c r="R8564" i="8"/>
  <c r="AM8379" i="8"/>
  <c r="AO8379" i="8" s="1"/>
  <c r="R8352" i="8"/>
  <c r="R9070" i="8"/>
  <c r="E8186" i="8"/>
  <c r="E36" i="32" s="1"/>
  <c r="F36" i="32" s="1"/>
  <c r="E8809" i="8"/>
  <c r="E148" i="32" s="1"/>
  <c r="F148" i="32" s="1"/>
  <c r="AM10115" i="8"/>
  <c r="AO10115" i="8" s="1"/>
  <c r="E10115" i="8"/>
  <c r="E591" i="32" s="1"/>
  <c r="F591" i="32" s="1"/>
  <c r="AM10080" i="8"/>
  <c r="AO10080" i="8" s="1"/>
  <c r="R10274" i="8"/>
  <c r="R10373" i="8" s="1"/>
  <c r="E10080" i="8"/>
  <c r="E584" i="32" s="1"/>
  <c r="F584" i="32" s="1"/>
  <c r="AG11307" i="8"/>
  <c r="F11307" i="8"/>
  <c r="T11307" i="8" s="1"/>
  <c r="AG11314" i="8"/>
  <c r="AI11314" i="8" s="1"/>
  <c r="AJ11314" i="8" s="1"/>
  <c r="F11314" i="8"/>
  <c r="T11314" i="8" s="1"/>
  <c r="F11124" i="8"/>
  <c r="T11124" i="8" s="1"/>
  <c r="AG11124" i="8"/>
  <c r="AI11124" i="8" s="1"/>
  <c r="AJ11124" i="8" s="1"/>
  <c r="F11110" i="8"/>
  <c r="T11110" i="8" s="1"/>
  <c r="AG11110" i="8"/>
  <c r="AG11012" i="8"/>
  <c r="F11012" i="8"/>
  <c r="F9281" i="8"/>
  <c r="T9281" i="8" s="1"/>
  <c r="AG9281" i="8"/>
  <c r="F9111" i="8"/>
  <c r="T9111" i="8" s="1"/>
  <c r="AG9111" i="8"/>
  <c r="AG9615" i="8"/>
  <c r="F9615" i="8"/>
  <c r="AG9083" i="8"/>
  <c r="F9083" i="8"/>
  <c r="AG9425" i="8"/>
  <c r="F9425" i="8"/>
  <c r="F8584" i="8"/>
  <c r="T8584" i="8" s="1"/>
  <c r="AG8584" i="8"/>
  <c r="F9733" i="8"/>
  <c r="T9733" i="8" s="1"/>
  <c r="AG9733" i="8"/>
  <c r="AG8626" i="8"/>
  <c r="F8626" i="8"/>
  <c r="T8626" i="8" s="1"/>
  <c r="F9288" i="8"/>
  <c r="T9288" i="8" s="1"/>
  <c r="AG9288" i="8"/>
  <c r="AG9267" i="8"/>
  <c r="F9267" i="8"/>
  <c r="T9267" i="8" s="1"/>
  <c r="F9446" i="8"/>
  <c r="T9446" i="8" s="1"/>
  <c r="AG9446" i="8"/>
  <c r="F9090" i="8"/>
  <c r="T9090" i="8" s="1"/>
  <c r="AG9090" i="8"/>
  <c r="AG9274" i="8"/>
  <c r="F9274" i="8"/>
  <c r="T9274" i="8" s="1"/>
  <c r="AG8577" i="8"/>
  <c r="F8577" i="8"/>
  <c r="F9726" i="8"/>
  <c r="T9726" i="8" s="1"/>
  <c r="AG9726" i="8"/>
  <c r="AG9550" i="8"/>
  <c r="F9550" i="8"/>
  <c r="T9550" i="8" s="1"/>
  <c r="F9097" i="8"/>
  <c r="T9097" i="8" s="1"/>
  <c r="AG9097" i="8"/>
  <c r="AG9104" i="8"/>
  <c r="F9104" i="8"/>
  <c r="T9104" i="8" s="1"/>
  <c r="F9439" i="8"/>
  <c r="T9439" i="8" s="1"/>
  <c r="AG9439" i="8"/>
  <c r="AG8612" i="8"/>
  <c r="F8612" i="8"/>
  <c r="T8612" i="8" s="1"/>
  <c r="F9643" i="8"/>
  <c r="T9643" i="8" s="1"/>
  <c r="AG9643" i="8"/>
  <c r="AG9260" i="8"/>
  <c r="F9260" i="8"/>
  <c r="T9260" i="8" s="1"/>
  <c r="AG9543" i="8"/>
  <c r="F9543" i="8"/>
  <c r="T9543" i="8" s="1"/>
  <c r="AG9636" i="8"/>
  <c r="F9636" i="8"/>
  <c r="T9636" i="8" s="1"/>
  <c r="F8619" i="8"/>
  <c r="T8619" i="8" s="1"/>
  <c r="AG8619" i="8"/>
  <c r="AG9622" i="8"/>
  <c r="F9622" i="8"/>
  <c r="T9622" i="8" s="1"/>
  <c r="F8598" i="8"/>
  <c r="T8598" i="8" s="1"/>
  <c r="AG8598" i="8"/>
  <c r="AG9432" i="8"/>
  <c r="F9432" i="8"/>
  <c r="T9432" i="8" s="1"/>
  <c r="AG8605" i="8"/>
  <c r="F8605" i="8"/>
  <c r="T8605" i="8" s="1"/>
  <c r="F9453" i="8"/>
  <c r="T9453" i="8" s="1"/>
  <c r="AG9453" i="8"/>
  <c r="F8763" i="8"/>
  <c r="T8763" i="8" s="1"/>
  <c r="AG8763" i="8"/>
  <c r="AG9629" i="8"/>
  <c r="F9629" i="8"/>
  <c r="T9629" i="8" s="1"/>
  <c r="AG8591" i="8"/>
  <c r="F8591" i="8"/>
  <c r="T8591" i="8" s="1"/>
  <c r="AG9536" i="8"/>
  <c r="F9536" i="8"/>
  <c r="T9536" i="8" s="1"/>
  <c r="F8393" i="8"/>
  <c r="T8393" i="8" s="1"/>
  <c r="AG8393" i="8"/>
  <c r="AG8407" i="8"/>
  <c r="F8407" i="8"/>
  <c r="T8407" i="8" s="1"/>
  <c r="AG8193" i="8"/>
  <c r="F8193" i="8"/>
  <c r="T8193" i="8" s="1"/>
  <c r="AG8379" i="8"/>
  <c r="F8379" i="8"/>
  <c r="T8379" i="8" s="1"/>
  <c r="AG8365" i="8"/>
  <c r="F8365" i="8"/>
  <c r="F9245" i="8"/>
  <c r="T9245" i="8" s="1"/>
  <c r="AG9245" i="8"/>
  <c r="F8372" i="8"/>
  <c r="T8372" i="8" s="1"/>
  <c r="AG8372" i="8"/>
  <c r="F8179" i="8"/>
  <c r="T8179" i="8" s="1"/>
  <c r="AG8179" i="8"/>
  <c r="F8214" i="8"/>
  <c r="T8214" i="8" s="1"/>
  <c r="AG8214" i="8"/>
  <c r="F8830" i="8"/>
  <c r="T8830" i="8" s="1"/>
  <c r="AG8830" i="8"/>
  <c r="F8774" i="8"/>
  <c r="AG8774" i="8"/>
  <c r="AG8823" i="8"/>
  <c r="F8823" i="8"/>
  <c r="T8823" i="8" s="1"/>
  <c r="F8781" i="8"/>
  <c r="T8781" i="8" s="1"/>
  <c r="AG8781" i="8"/>
  <c r="AG8421" i="8"/>
  <c r="F8421" i="8"/>
  <c r="T8421" i="8" s="1"/>
  <c r="B28" i="1"/>
  <c r="AM7505" i="8"/>
  <c r="AO7505" i="8" s="1"/>
  <c r="AO5476" i="8"/>
  <c r="E5476" i="8"/>
  <c r="E1148" i="28" s="1"/>
  <c r="F1148" i="28" s="1"/>
  <c r="T6149" i="8"/>
  <c r="AN6142" i="8" s="1"/>
  <c r="T5992" i="8"/>
  <c r="AN5985" i="8" s="1"/>
  <c r="T903" i="8"/>
  <c r="AN896" i="8" s="1"/>
  <c r="E5342" i="8"/>
  <c r="E1128" i="28" s="1"/>
  <c r="F1128" i="28" s="1"/>
  <c r="AO5342" i="8"/>
  <c r="T6140" i="8"/>
  <c r="AN6133" i="8" s="1"/>
  <c r="T5952" i="8"/>
  <c r="AN5945" i="8" s="1"/>
  <c r="E1859" i="8"/>
  <c r="E567" i="28" s="1"/>
  <c r="F567" i="28" s="1"/>
  <c r="E5212" i="8"/>
  <c r="E1109" i="28" s="1"/>
  <c r="F1109" i="28" s="1"/>
  <c r="AO5314" i="8"/>
  <c r="AO5212" i="8"/>
  <c r="Q5635" i="8"/>
  <c r="R5635" i="8" s="1"/>
  <c r="Q4178" i="8"/>
  <c r="R4178" i="8" s="1"/>
  <c r="R4180" i="8" s="1"/>
  <c r="AM4175" i="8" s="1"/>
  <c r="Q5250" i="8"/>
  <c r="R5250" i="8" s="1"/>
  <c r="R5252" i="8" s="1"/>
  <c r="AM5247" i="8" s="1"/>
  <c r="AO5247" i="8" s="1"/>
  <c r="Q5257" i="8"/>
  <c r="R5257" i="8" s="1"/>
  <c r="R5259" i="8" s="1"/>
  <c r="AM5254" i="8" s="1"/>
  <c r="AO5254" i="8" s="1"/>
  <c r="Q5836" i="8"/>
  <c r="R5836" i="8" s="1"/>
  <c r="Q5644" i="8"/>
  <c r="R5644" i="8" s="1"/>
  <c r="Q6339" i="8"/>
  <c r="R6339" i="8" s="1"/>
  <c r="E5314" i="8"/>
  <c r="E1124" i="28" s="1"/>
  <c r="F1124" i="28" s="1"/>
  <c r="Q6136" i="8"/>
  <c r="R6136" i="8" s="1"/>
  <c r="Q808" i="8"/>
  <c r="R808" i="8" s="1"/>
  <c r="R810" i="8" s="1"/>
  <c r="S616" i="8"/>
  <c r="T616" i="8" s="1"/>
  <c r="Q6145" i="8"/>
  <c r="R6145" i="8" s="1"/>
  <c r="Q5988" i="8"/>
  <c r="R5988" i="8" s="1"/>
  <c r="Q5366" i="8"/>
  <c r="R5366" i="8" s="1"/>
  <c r="R5368" i="8" s="1"/>
  <c r="AM5363" i="8" s="1"/>
  <c r="AO5363" i="8" s="1"/>
  <c r="S4178" i="8"/>
  <c r="T4178" i="8" s="1"/>
  <c r="T4180" i="8" s="1"/>
  <c r="AN4175" i="8" s="1"/>
  <c r="Q2305" i="8"/>
  <c r="R2305" i="8" s="1"/>
  <c r="R2307" i="8" s="1"/>
  <c r="E2302" i="8" s="1"/>
  <c r="E638" i="28" s="1"/>
  <c r="F638" i="28" s="1"/>
  <c r="Q5352" i="8"/>
  <c r="R5352" i="8" s="1"/>
  <c r="R5354" i="8" s="1"/>
  <c r="AM5349" i="8" s="1"/>
  <c r="AO5349" i="8" s="1"/>
  <c r="S4036" i="8"/>
  <c r="T4036" i="8" s="1"/>
  <c r="T4038" i="8" s="1"/>
  <c r="AN4031" i="8" s="1"/>
  <c r="S4848" i="8"/>
  <c r="T4848" i="8" s="1"/>
  <c r="T4850" i="8" s="1"/>
  <c r="AN4845" i="8" s="1"/>
  <c r="Q5243" i="8"/>
  <c r="R5243" i="8" s="1"/>
  <c r="R5245" i="8" s="1"/>
  <c r="AM5240" i="8" s="1"/>
  <c r="AO5240" i="8" s="1"/>
  <c r="AO1859" i="8"/>
  <c r="Q6046" i="8"/>
  <c r="R6046" i="8" s="1"/>
  <c r="T5648" i="8"/>
  <c r="AN5641" i="8" s="1"/>
  <c r="Q3488" i="8"/>
  <c r="R3488" i="8" s="1"/>
  <c r="R3491" i="8" s="1"/>
  <c r="AM3485" i="8" s="1"/>
  <c r="AO3485" i="8" s="1"/>
  <c r="Q773" i="8"/>
  <c r="R773" i="8" s="1"/>
  <c r="R775" i="8" s="1"/>
  <c r="Q5222" i="8"/>
  <c r="R5222" i="8" s="1"/>
  <c r="R5224" i="8" s="1"/>
  <c r="AM5219" i="8" s="1"/>
  <c r="AO5219" i="8" s="1"/>
  <c r="Q5511" i="8"/>
  <c r="R5511" i="8" s="1"/>
  <c r="R5513" i="8" s="1"/>
  <c r="AM5508" i="8" s="1"/>
  <c r="AO5508" i="8" s="1"/>
  <c r="E77" i="11"/>
  <c r="F77" i="11" s="1"/>
  <c r="S3699" i="8"/>
  <c r="T3699" i="8" s="1"/>
  <c r="T3701" i="8" s="1"/>
  <c r="AN3696" i="8" s="1"/>
  <c r="S3678" i="8"/>
  <c r="T3678" i="8" s="1"/>
  <c r="T3680" i="8" s="1"/>
  <c r="AN3675" i="8" s="1"/>
  <c r="S3972" i="8"/>
  <c r="T3972" i="8" s="1"/>
  <c r="T3975" i="8" s="1"/>
  <c r="AN3969" i="8" s="1"/>
  <c r="S3885" i="8"/>
  <c r="T3885" i="8" s="1"/>
  <c r="T3888" i="8" s="1"/>
  <c r="AN3882" i="8" s="1"/>
  <c r="R56" i="11"/>
  <c r="Q4398" i="8"/>
  <c r="R4398" i="8" s="1"/>
  <c r="R4401" i="8" s="1"/>
  <c r="E4395" i="8" s="1"/>
  <c r="E970" i="28" s="1"/>
  <c r="F970" i="28" s="1"/>
  <c r="Q4568" i="8"/>
  <c r="R4568" i="8" s="1"/>
  <c r="R4571" i="8" s="1"/>
  <c r="AM4565" i="8" s="1"/>
  <c r="AO4565" i="8" s="1"/>
  <c r="T1074" i="11"/>
  <c r="Q4027" i="8"/>
  <c r="R4027" i="8" s="1"/>
  <c r="Q4036" i="8"/>
  <c r="R4036" i="8" s="1"/>
  <c r="S4018" i="8"/>
  <c r="T4018" i="8" s="1"/>
  <c r="T4020" i="8" s="1"/>
  <c r="AN4013" i="8" s="1"/>
  <c r="S4027" i="8"/>
  <c r="T4027" i="8" s="1"/>
  <c r="T4029" i="8" s="1"/>
  <c r="AN4022" i="8" s="1"/>
  <c r="Q3965" i="8"/>
  <c r="R3965" i="8" s="1"/>
  <c r="Q4018" i="8"/>
  <c r="R4018" i="8" s="1"/>
  <c r="S3965" i="8"/>
  <c r="T3965" i="8" s="1"/>
  <c r="T3967" i="8" s="1"/>
  <c r="AN3960" i="8" s="1"/>
  <c r="Q4000" i="8"/>
  <c r="R4000" i="8" s="1"/>
  <c r="Q4009" i="8"/>
  <c r="R4009" i="8" s="1"/>
  <c r="S4000" i="8"/>
  <c r="T4000" i="8" s="1"/>
  <c r="T4002" i="8" s="1"/>
  <c r="AN3995" i="8" s="1"/>
  <c r="S4009" i="8"/>
  <c r="T4009" i="8" s="1"/>
  <c r="T4011" i="8" s="1"/>
  <c r="AN4004" i="8" s="1"/>
  <c r="T5603" i="8"/>
  <c r="AN5596" i="8" s="1"/>
  <c r="E101" i="11"/>
  <c r="F101" i="11" s="1"/>
  <c r="Q3982" i="8"/>
  <c r="R3982" i="8" s="1"/>
  <c r="Q3991" i="8"/>
  <c r="R3991" i="8" s="1"/>
  <c r="S3982" i="8"/>
  <c r="T3982" i="8" s="1"/>
  <c r="T3984" i="8" s="1"/>
  <c r="AN3977" i="8" s="1"/>
  <c r="S3991" i="8"/>
  <c r="T3991" i="8" s="1"/>
  <c r="T3993" i="8" s="1"/>
  <c r="AN3986" i="8" s="1"/>
  <c r="Q6160" i="8"/>
  <c r="R6160" i="8" s="1"/>
  <c r="Q5862" i="8"/>
  <c r="R5862" i="8" s="1"/>
  <c r="Q5875" i="8"/>
  <c r="R5875" i="8" s="1"/>
  <c r="Q5796" i="8"/>
  <c r="R5796" i="8" s="1"/>
  <c r="Q5849" i="8"/>
  <c r="R5849" i="8" s="1"/>
  <c r="Q5814" i="8"/>
  <c r="R5814" i="8" s="1"/>
  <c r="Q5827" i="8"/>
  <c r="R5827" i="8" s="1"/>
  <c r="Q5805" i="8"/>
  <c r="R5805" i="8" s="1"/>
  <c r="Q6085" i="8"/>
  <c r="R6085" i="8" s="1"/>
  <c r="Q6118" i="8"/>
  <c r="R6118" i="8" s="1"/>
  <c r="Q6035" i="8"/>
  <c r="R6035" i="8" s="1"/>
  <c r="Q6057" i="8"/>
  <c r="R6057" i="8" s="1"/>
  <c r="T6343" i="8"/>
  <c r="AN6336" i="8" s="1"/>
  <c r="Q5599" i="8"/>
  <c r="R5599" i="8" s="1"/>
  <c r="R1072" i="11"/>
  <c r="R1132" i="11"/>
  <c r="R1074" i="11"/>
  <c r="E2967" i="8"/>
  <c r="E755" i="28" s="1"/>
  <c r="F755" i="28" s="1"/>
  <c r="T1132" i="11"/>
  <c r="E4782" i="8"/>
  <c r="E1034" i="28" s="1"/>
  <c r="F1034" i="28" s="1"/>
  <c r="S4171" i="8"/>
  <c r="T4171" i="8" s="1"/>
  <c r="T4173" i="8" s="1"/>
  <c r="AN4168" i="8" s="1"/>
  <c r="T1072" i="11"/>
  <c r="E154" i="11"/>
  <c r="F154" i="11" s="1"/>
  <c r="Z154" i="11" s="1"/>
  <c r="AO4782" i="8"/>
  <c r="E3953" i="8"/>
  <c r="E903" i="28" s="1"/>
  <c r="F903" i="28" s="1"/>
  <c r="AO3953" i="8"/>
  <c r="E3294" i="8"/>
  <c r="E804" i="28" s="1"/>
  <c r="F804" i="28" s="1"/>
  <c r="E4260" i="8"/>
  <c r="E950" i="28" s="1"/>
  <c r="F950" i="28" s="1"/>
  <c r="AO3294" i="8"/>
  <c r="E3238" i="8"/>
  <c r="E791" i="28" s="1"/>
  <c r="F791" i="28" s="1"/>
  <c r="Q4171" i="8"/>
  <c r="R4171" i="8" s="1"/>
  <c r="R4173" i="8" s="1"/>
  <c r="AM4168" i="8" s="1"/>
  <c r="AO3238" i="8"/>
  <c r="E3654" i="8"/>
  <c r="E859" i="28" s="1"/>
  <c r="F859" i="28" s="1"/>
  <c r="E4714" i="8"/>
  <c r="E1020" i="28" s="1"/>
  <c r="F1020" i="28" s="1"/>
  <c r="AO4714" i="8"/>
  <c r="S614" i="8"/>
  <c r="T614" i="8" s="1"/>
  <c r="AO3654" i="8"/>
  <c r="S612" i="8"/>
  <c r="T612" i="8" s="1"/>
  <c r="E3661" i="8"/>
  <c r="E860" i="28" s="1"/>
  <c r="F860" i="28" s="1"/>
  <c r="AO3661" i="8"/>
  <c r="AO4260" i="8"/>
  <c r="E4581" i="8"/>
  <c r="E1000" i="28" s="1"/>
  <c r="F1000" i="28" s="1"/>
  <c r="E3875" i="8"/>
  <c r="E888" i="28" s="1"/>
  <c r="F888" i="28" s="1"/>
  <c r="E3768" i="8"/>
  <c r="E876" i="28" s="1"/>
  <c r="F876" i="28" s="1"/>
  <c r="AO3768" i="8"/>
  <c r="E2974" i="8"/>
  <c r="E756" i="28" s="1"/>
  <c r="F756" i="28" s="1"/>
  <c r="AO3875" i="8"/>
  <c r="E3301" i="8"/>
  <c r="E805" i="28" s="1"/>
  <c r="F805" i="28" s="1"/>
  <c r="AO3301" i="8"/>
  <c r="AO4581" i="8"/>
  <c r="AO2967" i="8"/>
  <c r="E4114" i="8"/>
  <c r="E924" i="28" s="1"/>
  <c r="F924" i="28" s="1"/>
  <c r="AO4114" i="8"/>
  <c r="E4411" i="8"/>
  <c r="E972" i="28" s="1"/>
  <c r="F972" i="28" s="1"/>
  <c r="AO4411" i="8"/>
  <c r="AO2974" i="8"/>
  <c r="S618" i="8"/>
  <c r="T618" i="8" s="1"/>
  <c r="S2154" i="8"/>
  <c r="T2154" i="8" s="1"/>
  <c r="T2156" i="8" s="1"/>
  <c r="AN2151" i="8" s="1"/>
  <c r="S2140" i="8"/>
  <c r="T2140" i="8" s="1"/>
  <c r="T2142" i="8" s="1"/>
  <c r="AN2137" i="8" s="1"/>
  <c r="S2126" i="8"/>
  <c r="T2126" i="8" s="1"/>
  <c r="T2128" i="8" s="1"/>
  <c r="AN2123" i="8" s="1"/>
  <c r="S2147" i="8"/>
  <c r="T2147" i="8" s="1"/>
  <c r="T2149" i="8" s="1"/>
  <c r="AN2144" i="8" s="1"/>
  <c r="S2133" i="8"/>
  <c r="T2133" i="8" s="1"/>
  <c r="T2135" i="8" s="1"/>
  <c r="AN2130" i="8" s="1"/>
  <c r="S2119" i="8"/>
  <c r="T2119" i="8" s="1"/>
  <c r="T2121" i="8" s="1"/>
  <c r="AN2116" i="8" s="1"/>
  <c r="T6300" i="8"/>
  <c r="AN6293" i="8" s="1"/>
  <c r="AM3760" i="8"/>
  <c r="AO3760" i="8" s="1"/>
  <c r="E3760" i="8"/>
  <c r="E875" i="28" s="1"/>
  <c r="F875" i="28" s="1"/>
  <c r="AM3945" i="8"/>
  <c r="AO3945" i="8" s="1"/>
  <c r="E3945" i="8"/>
  <c r="E902" i="28" s="1"/>
  <c r="F902" i="28" s="1"/>
  <c r="AM3638" i="8"/>
  <c r="AO3638" i="8" s="1"/>
  <c r="E3638" i="8"/>
  <c r="E857" i="28" s="1"/>
  <c r="F857" i="28" s="1"/>
  <c r="AM4098" i="8"/>
  <c r="AO4098" i="8" s="1"/>
  <c r="E4098" i="8"/>
  <c r="E922" i="28" s="1"/>
  <c r="F922" i="28" s="1"/>
  <c r="AM3646" i="8"/>
  <c r="AO3646" i="8" s="1"/>
  <c r="E3646" i="8"/>
  <c r="E858" i="28" s="1"/>
  <c r="F858" i="28" s="1"/>
  <c r="AM2959" i="8"/>
  <c r="AO2959" i="8" s="1"/>
  <c r="E2959" i="8"/>
  <c r="E754" i="28" s="1"/>
  <c r="F754" i="28" s="1"/>
  <c r="AM4106" i="8"/>
  <c r="AO4106" i="8" s="1"/>
  <c r="E4106" i="8"/>
  <c r="E923" i="28" s="1"/>
  <c r="F923" i="28" s="1"/>
  <c r="AG7505" i="8"/>
  <c r="F7505" i="8"/>
  <c r="T7505" i="8" s="1"/>
  <c r="E7301" i="8"/>
  <c r="E1448" i="28" s="1"/>
  <c r="F1448" i="28" s="1"/>
  <c r="F1461" i="28" s="1"/>
  <c r="E1650" i="28" s="1"/>
  <c r="R7621" i="8"/>
  <c r="AM7388" i="8"/>
  <c r="AO7388" i="8" s="1"/>
  <c r="E7388" i="8"/>
  <c r="E1467" i="28" s="1"/>
  <c r="F1467" i="28" s="1"/>
  <c r="F1508" i="28" s="1"/>
  <c r="E1651" i="28" s="1"/>
  <c r="AG7224" i="8"/>
  <c r="F7224" i="8"/>
  <c r="T7224" i="8" s="1"/>
  <c r="F6931" i="8"/>
  <c r="T6931" i="8" s="1"/>
  <c r="AG6931" i="8"/>
  <c r="R7035" i="8"/>
  <c r="AM6818" i="8"/>
  <c r="AO6818" i="8" s="1"/>
  <c r="E6818" i="8"/>
  <c r="E1362" i="28" s="1"/>
  <c r="F1362" i="28" s="1"/>
  <c r="F1400" i="28" s="1"/>
  <c r="E1648" i="28" s="1"/>
  <c r="AM7224" i="8"/>
  <c r="AO7224" i="8" s="1"/>
  <c r="R7375" i="8"/>
  <c r="AM6931" i="8"/>
  <c r="AO6931" i="8" s="1"/>
  <c r="T5630" i="8"/>
  <c r="AN5623" i="8" s="1"/>
  <c r="T5816" i="8"/>
  <c r="AN5809" i="8" s="1"/>
  <c r="T5688" i="8"/>
  <c r="AN5681" i="8" s="1"/>
  <c r="T6370" i="8"/>
  <c r="AN6363" i="8" s="1"/>
  <c r="T6361" i="8"/>
  <c r="AN6354" i="8" s="1"/>
  <c r="T6434" i="8"/>
  <c r="AN6427" i="8" s="1"/>
  <c r="T6131" i="8"/>
  <c r="AN6124" i="8" s="1"/>
  <c r="T6098" i="8"/>
  <c r="AN6091" i="8" s="1"/>
  <c r="T6452" i="8"/>
  <c r="AN6445" i="8" s="1"/>
  <c r="Q2298" i="8"/>
  <c r="R2298" i="8" s="1"/>
  <c r="R2300" i="8" s="1"/>
  <c r="AM2295" i="8" s="1"/>
  <c r="AO2295" i="8" s="1"/>
  <c r="T6443" i="8"/>
  <c r="AN6436" i="8" s="1"/>
  <c r="T6514" i="8"/>
  <c r="AN6509" i="8" s="1"/>
  <c r="Q5275" i="8"/>
  <c r="R5275" i="8" s="1"/>
  <c r="R5277" i="8" s="1"/>
  <c r="E5272" i="8" s="1"/>
  <c r="E1118" i="28" s="1"/>
  <c r="F1118" i="28" s="1"/>
  <c r="Q5384" i="8"/>
  <c r="R5384" i="8" s="1"/>
  <c r="R5386" i="8" s="1"/>
  <c r="AM5381" i="8" s="1"/>
  <c r="AO5381" i="8" s="1"/>
  <c r="Q5437" i="8"/>
  <c r="R5437" i="8" s="1"/>
  <c r="R5439" i="8" s="1"/>
  <c r="E5434" i="8" s="1"/>
  <c r="E1142" i="28" s="1"/>
  <c r="F1142" i="28" s="1"/>
  <c r="T5679" i="8"/>
  <c r="AN5672" i="8" s="1"/>
  <c r="Q2312" i="8"/>
  <c r="R2312" i="8" s="1"/>
  <c r="R2314" i="8" s="1"/>
  <c r="AM2309" i="8" s="1"/>
  <c r="AO2309" i="8" s="1"/>
  <c r="T6521" i="8"/>
  <c r="AN6516" i="8" s="1"/>
  <c r="T5829" i="8"/>
  <c r="AN5822" i="8" s="1"/>
  <c r="T5639" i="8"/>
  <c r="AN5632" i="8" s="1"/>
  <c r="T5621" i="8"/>
  <c r="AN5614" i="8" s="1"/>
  <c r="T6487" i="8"/>
  <c r="AN6480" i="8" s="1"/>
  <c r="T6050" i="8"/>
  <c r="AN6041" i="8" s="1"/>
  <c r="T5807" i="8"/>
  <c r="AN5800" i="8" s="1"/>
  <c r="T5728" i="8"/>
  <c r="AN5721" i="8" s="1"/>
  <c r="Q6448" i="8"/>
  <c r="R6448" i="8" s="1"/>
  <c r="T5877" i="8"/>
  <c r="AN5870" i="8" s="1"/>
  <c r="T5864" i="8"/>
  <c r="AN5857" i="8" s="1"/>
  <c r="T1012" i="8"/>
  <c r="AN1005" i="8" s="1"/>
  <c r="T5851" i="8"/>
  <c r="AN5844" i="8" s="1"/>
  <c r="Q5812" i="8"/>
  <c r="R5812" i="8" s="1"/>
  <c r="Q5684" i="8"/>
  <c r="R5684" i="8" s="1"/>
  <c r="Q6439" i="8"/>
  <c r="R6439" i="8" s="1"/>
  <c r="Q6366" i="8"/>
  <c r="R6366" i="8" s="1"/>
  <c r="Q6044" i="8"/>
  <c r="R6044" i="8" s="1"/>
  <c r="Q5626" i="8"/>
  <c r="R5626" i="8" s="1"/>
  <c r="R903" i="8"/>
  <c r="T733" i="8"/>
  <c r="T940" i="8"/>
  <c r="AN933" i="8" s="1"/>
  <c r="T633" i="8"/>
  <c r="AN626" i="8" s="1"/>
  <c r="T655" i="8"/>
  <c r="AN648" i="8" s="1"/>
  <c r="T709" i="8"/>
  <c r="AN698" i="8" s="1"/>
  <c r="Q1441" i="8"/>
  <c r="R1441" i="8" s="1"/>
  <c r="R1443" i="8" s="1"/>
  <c r="Q1434" i="8"/>
  <c r="R1434" i="8" s="1"/>
  <c r="R1436" i="8" s="1"/>
  <c r="Q2482" i="8"/>
  <c r="R2482" i="8" s="1"/>
  <c r="R2484" i="8" s="1"/>
  <c r="Q2900" i="8"/>
  <c r="R2900" i="8" s="1"/>
  <c r="R2902" i="8" s="1"/>
  <c r="Q2907" i="8"/>
  <c r="R2907" i="8" s="1"/>
  <c r="R2909" i="8" s="1"/>
  <c r="Q1841" i="8"/>
  <c r="R1841" i="8" s="1"/>
  <c r="R1843" i="8" s="1"/>
  <c r="R2441" i="8"/>
  <c r="Q1642" i="8"/>
  <c r="R1642" i="8" s="1"/>
  <c r="R1644" i="8" s="1"/>
  <c r="Q2223" i="8"/>
  <c r="R2223" i="8" s="1"/>
  <c r="R2225" i="8" s="1"/>
  <c r="R2119" i="8"/>
  <c r="R2121" i="8" s="1"/>
  <c r="R2147" i="8"/>
  <c r="R2149" i="8" s="1"/>
  <c r="Q1913" i="8"/>
  <c r="R1913" i="8" s="1"/>
  <c r="R1915" i="8" s="1"/>
  <c r="Q1320" i="8"/>
  <c r="R1320" i="8" s="1"/>
  <c r="R1322" i="8" s="1"/>
  <c r="Q2251" i="8"/>
  <c r="R2251" i="8" s="1"/>
  <c r="R2253" i="8" s="1"/>
  <c r="Q1334" i="8"/>
  <c r="R1334" i="8" s="1"/>
  <c r="R1336" i="8" s="1"/>
  <c r="Q2230" i="8"/>
  <c r="R2230" i="8" s="1"/>
  <c r="R2232" i="8" s="1"/>
  <c r="Q2258" i="8"/>
  <c r="R2258" i="8" s="1"/>
  <c r="R2260" i="8" s="1"/>
  <c r="Q1927" i="8"/>
  <c r="R1927" i="8" s="1"/>
  <c r="R1929" i="8" s="1"/>
  <c r="Q1341" i="8"/>
  <c r="R1341" i="8" s="1"/>
  <c r="R1343" i="8" s="1"/>
  <c r="R2133" i="8"/>
  <c r="R2135" i="8" s="1"/>
  <c r="Q1348" i="8"/>
  <c r="R1348" i="8" s="1"/>
  <c r="R1350" i="8" s="1"/>
  <c r="Q2244" i="8"/>
  <c r="R2244" i="8" s="1"/>
  <c r="R2246" i="8" s="1"/>
  <c r="R2154" i="8"/>
  <c r="R2156" i="8" s="1"/>
  <c r="R2126" i="8"/>
  <c r="R2128" i="8" s="1"/>
  <c r="Q1934" i="8"/>
  <c r="R1934" i="8" s="1"/>
  <c r="R1936" i="8" s="1"/>
  <c r="Q2237" i="8"/>
  <c r="R2237" i="8" s="1"/>
  <c r="R2239" i="8" s="1"/>
  <c r="Q1920" i="8"/>
  <c r="R1920" i="8" s="1"/>
  <c r="R1922" i="8" s="1"/>
  <c r="R2140" i="8"/>
  <c r="R2142" i="8" s="1"/>
  <c r="Q1327" i="8"/>
  <c r="R1327" i="8" s="1"/>
  <c r="R1329" i="8" s="1"/>
  <c r="Q5518" i="8"/>
  <c r="R5518" i="8" s="1"/>
  <c r="R5520" i="8" s="1"/>
  <c r="Q5180" i="8"/>
  <c r="R5180" i="8" s="1"/>
  <c r="R5182" i="8" s="1"/>
  <c r="Q5282" i="8"/>
  <c r="R5282" i="8" s="1"/>
  <c r="R5284" i="8" s="1"/>
  <c r="Q5391" i="8"/>
  <c r="R5391" i="8" s="1"/>
  <c r="R5393" i="8" s="1"/>
  <c r="Q5444" i="8"/>
  <c r="R5444" i="8" s="1"/>
  <c r="R5446" i="8" s="1"/>
  <c r="AN6523" i="8"/>
  <c r="AN2793" i="8"/>
  <c r="AM5483" i="8"/>
  <c r="Q5777" i="8"/>
  <c r="R5777" i="8" s="1"/>
  <c r="Q6309" i="8"/>
  <c r="R6309" i="8" s="1"/>
  <c r="Q5979" i="8"/>
  <c r="R5979" i="8" s="1"/>
  <c r="Q5970" i="8"/>
  <c r="R5970" i="8" s="1"/>
  <c r="Q6103" i="8"/>
  <c r="R6103" i="8" s="1"/>
  <c r="T6221" i="8"/>
  <c r="T6291" i="8"/>
  <c r="AN6284" i="8" s="1"/>
  <c r="Q4494" i="8"/>
  <c r="R4494" i="8" s="1"/>
  <c r="R4496" i="8" s="1"/>
  <c r="Q4888" i="8"/>
  <c r="R4888" i="8" s="1"/>
  <c r="R4890" i="8" s="1"/>
  <c r="Q4728" i="8"/>
  <c r="R4728" i="8" s="1"/>
  <c r="R4730" i="8" s="1"/>
  <c r="Q4054" i="8"/>
  <c r="R4054" i="8" s="1"/>
  <c r="R4056" i="8" s="1"/>
  <c r="Q3156" i="8"/>
  <c r="R3156" i="8" s="1"/>
  <c r="R3158" i="8" s="1"/>
  <c r="Q4351" i="8"/>
  <c r="R4351" i="8" s="1"/>
  <c r="R4353" i="8" s="1"/>
  <c r="Q4694" i="8"/>
  <c r="R4694" i="8" s="1"/>
  <c r="R4696" i="8" s="1"/>
  <c r="AM2521" i="8"/>
  <c r="AO2521" i="8" s="1"/>
  <c r="E2521" i="8"/>
  <c r="E674" i="28" s="1"/>
  <c r="F674" i="28" s="1"/>
  <c r="AM1827" i="8"/>
  <c r="AO1827" i="8" s="1"/>
  <c r="E1827" i="8"/>
  <c r="E558" i="28" s="1"/>
  <c r="F558" i="28" s="1"/>
  <c r="Q6483" i="8"/>
  <c r="R6483" i="8" s="1"/>
  <c r="Q5803" i="8"/>
  <c r="R5803" i="8" s="1"/>
  <c r="Q5617" i="8"/>
  <c r="R5617" i="8" s="1"/>
  <c r="Q5675" i="8"/>
  <c r="R5675" i="8" s="1"/>
  <c r="Q6430" i="8"/>
  <c r="R6430" i="8" s="1"/>
  <c r="Q6357" i="8"/>
  <c r="R6357" i="8" s="1"/>
  <c r="Q5825" i="8"/>
  <c r="R5825" i="8" s="1"/>
  <c r="R620" i="8"/>
  <c r="Q5564" i="8"/>
  <c r="R5564" i="8" s="1"/>
  <c r="R5566" i="8" s="1"/>
  <c r="Q5539" i="8"/>
  <c r="R5539" i="8" s="1"/>
  <c r="R5541" i="8" s="1"/>
  <c r="Q5303" i="8"/>
  <c r="R5303" i="8" s="1"/>
  <c r="R5305" i="8" s="1"/>
  <c r="Q5465" i="8"/>
  <c r="R5465" i="8" s="1"/>
  <c r="R5467" i="8" s="1"/>
  <c r="AN2886" i="8"/>
  <c r="Q5525" i="8"/>
  <c r="R5525" i="8" s="1"/>
  <c r="R5527" i="8" s="1"/>
  <c r="Q5398" i="8"/>
  <c r="R5398" i="8" s="1"/>
  <c r="R5400" i="8" s="1"/>
  <c r="Q5289" i="8"/>
  <c r="R5289" i="8" s="1"/>
  <c r="R5291" i="8" s="1"/>
  <c r="Q5187" i="8"/>
  <c r="R5187" i="8" s="1"/>
  <c r="R5189" i="8" s="1"/>
  <c r="Q5451" i="8"/>
  <c r="R5451" i="8" s="1"/>
  <c r="R5453" i="8" s="1"/>
  <c r="AM2630" i="8"/>
  <c r="AO2630" i="8" s="1"/>
  <c r="E2630" i="8"/>
  <c r="E693" i="28" s="1"/>
  <c r="F693" i="28" s="1"/>
  <c r="T5670" i="8"/>
  <c r="T6474" i="8"/>
  <c r="AN6467" i="8" s="1"/>
  <c r="T5710" i="8"/>
  <c r="Q4043" i="8"/>
  <c r="R4043" i="8" s="1"/>
  <c r="R4045" i="8" s="1"/>
  <c r="Q3419" i="8"/>
  <c r="R3419" i="8" s="1"/>
  <c r="R3421" i="8" s="1"/>
  <c r="Q3805" i="8"/>
  <c r="R3805" i="8" s="1"/>
  <c r="R3807" i="8" s="1"/>
  <c r="Q4137" i="8"/>
  <c r="R4137" i="8" s="1"/>
  <c r="R4139" i="8" s="1"/>
  <c r="Q3901" i="8"/>
  <c r="R3901" i="8" s="1"/>
  <c r="R3903" i="8" s="1"/>
  <c r="Q3908" i="8"/>
  <c r="R3908" i="8" s="1"/>
  <c r="R3910" i="8" s="1"/>
  <c r="Q3138" i="8"/>
  <c r="R3138" i="8" s="1"/>
  <c r="R3140" i="8" s="1"/>
  <c r="T5838" i="8"/>
  <c r="AN5831" i="8" s="1"/>
  <c r="AM912" i="8"/>
  <c r="AO912" i="8" s="1"/>
  <c r="T668" i="8"/>
  <c r="AM5321" i="8"/>
  <c r="T4628" i="8"/>
  <c r="AN4623" i="8" s="1"/>
  <c r="AN3249" i="8"/>
  <c r="Q6138" i="8"/>
  <c r="R6138" i="8" s="1"/>
  <c r="Q5990" i="8"/>
  <c r="R5990" i="8" s="1"/>
  <c r="Q6359" i="8"/>
  <c r="R6359" i="8" s="1"/>
  <c r="Q6485" i="8"/>
  <c r="R6485" i="8" s="1"/>
  <c r="Q5677" i="8"/>
  <c r="R5677" i="8" s="1"/>
  <c r="Q6441" i="8"/>
  <c r="R6441" i="8" s="1"/>
  <c r="Q5619" i="8"/>
  <c r="R5619" i="8" s="1"/>
  <c r="Q6450" i="8"/>
  <c r="R6450" i="8" s="1"/>
  <c r="Q5628" i="8"/>
  <c r="R5628" i="8" s="1"/>
  <c r="Q6432" i="8"/>
  <c r="R6432" i="8" s="1"/>
  <c r="Q5637" i="8"/>
  <c r="R5637" i="8" s="1"/>
  <c r="Q6368" i="8"/>
  <c r="R6368" i="8" s="1"/>
  <c r="Q5686" i="8"/>
  <c r="R5686" i="8" s="1"/>
  <c r="T5772" i="8"/>
  <c r="T6248" i="8"/>
  <c r="AN6240" i="8" s="1"/>
  <c r="AM798" i="8"/>
  <c r="AO798" i="8" s="1"/>
  <c r="AM1392" i="8"/>
  <c r="AO1392" i="8" s="1"/>
  <c r="E1392" i="8"/>
  <c r="E486" i="28" s="1"/>
  <c r="F486" i="28" s="1"/>
  <c r="AN5501" i="8"/>
  <c r="R4200" i="8"/>
  <c r="Q3723" i="8"/>
  <c r="R3723" i="8" s="1"/>
  <c r="R3725" i="8" s="1"/>
  <c r="Q3163" i="8"/>
  <c r="R3163" i="8" s="1"/>
  <c r="R3165" i="8" s="1"/>
  <c r="Q4148" i="8"/>
  <c r="R4148" i="8" s="1"/>
  <c r="R4150" i="8" s="1"/>
  <c r="Q4061" i="8"/>
  <c r="R4061" i="8" s="1"/>
  <c r="R4063" i="8" s="1"/>
  <c r="Q3437" i="8"/>
  <c r="R3437" i="8" s="1"/>
  <c r="R3439" i="8" s="1"/>
  <c r="Q3919" i="8"/>
  <c r="R3919" i="8" s="1"/>
  <c r="R3921" i="8" s="1"/>
  <c r="T6507" i="8"/>
  <c r="AN6502" i="8" s="1"/>
  <c r="T6074" i="8"/>
  <c r="T5763" i="8"/>
  <c r="AN5756" i="8" s="1"/>
  <c r="Q6423" i="8"/>
  <c r="R6423" i="8" s="1"/>
  <c r="Q6072" i="8"/>
  <c r="R6072" i="8" s="1"/>
  <c r="Q6590" i="8"/>
  <c r="R6590" i="8" s="1"/>
  <c r="Q6568" i="8"/>
  <c r="R6568" i="8" s="1"/>
  <c r="Q6324" i="8"/>
  <c r="R6324" i="8" s="1"/>
  <c r="Q6341" i="8"/>
  <c r="R6341" i="8" s="1"/>
  <c r="Q6289" i="8"/>
  <c r="R6289" i="8" s="1"/>
  <c r="Q6555" i="8"/>
  <c r="R6555" i="8" s="1"/>
  <c r="Q6311" i="8"/>
  <c r="R6311" i="8" s="1"/>
  <c r="Q6267" i="8"/>
  <c r="R6267" i="8" s="1"/>
  <c r="Q6012" i="8"/>
  <c r="R6012" i="8" s="1"/>
  <c r="Q6546" i="8"/>
  <c r="R6546" i="8" s="1"/>
  <c r="Q6298" i="8"/>
  <c r="R6298" i="8" s="1"/>
  <c r="R6300" i="8" s="1"/>
  <c r="AM6293" i="8" s="1"/>
  <c r="Q6179" i="8"/>
  <c r="R6179" i="8" s="1"/>
  <c r="Q6096" i="8"/>
  <c r="R6096" i="8" s="1"/>
  <c r="R6098" i="8" s="1"/>
  <c r="AM6091" i="8" s="1"/>
  <c r="Q5708" i="8"/>
  <c r="R5708" i="8" s="1"/>
  <c r="Q6232" i="8"/>
  <c r="R6232" i="8" s="1"/>
  <c r="Q5761" i="8"/>
  <c r="R5761" i="8" s="1"/>
  <c r="Q6472" i="8"/>
  <c r="R6472" i="8" s="1"/>
  <c r="Q6577" i="8"/>
  <c r="R6577" i="8" s="1"/>
  <c r="Q6350" i="8"/>
  <c r="R6350" i="8" s="1"/>
  <c r="Q5906" i="8"/>
  <c r="R5906" i="8" s="1"/>
  <c r="Q5932" i="8"/>
  <c r="R5932" i="8" s="1"/>
  <c r="Q5748" i="8"/>
  <c r="R5748" i="8" s="1"/>
  <c r="Q5668" i="8"/>
  <c r="R5668" i="8" s="1"/>
  <c r="Q5941" i="8"/>
  <c r="R5941" i="8" s="1"/>
  <c r="Q5610" i="8"/>
  <c r="R5610" i="8" s="1"/>
  <c r="Q5717" i="8"/>
  <c r="R5717" i="8" s="1"/>
  <c r="Q6245" i="8"/>
  <c r="R6245" i="8" s="1"/>
  <c r="Q5601" i="8"/>
  <c r="R5601" i="8" s="1"/>
  <c r="Q5963" i="8"/>
  <c r="R5963" i="8" s="1"/>
  <c r="Q5919" i="8"/>
  <c r="R5919" i="8" s="1"/>
  <c r="Q6599" i="8"/>
  <c r="R6599" i="8" s="1"/>
  <c r="Q5779" i="8"/>
  <c r="R5779" i="8" s="1"/>
  <c r="Q5726" i="8"/>
  <c r="R5726" i="8" s="1"/>
  <c r="R5728" i="8" s="1"/>
  <c r="AM5721" i="8" s="1"/>
  <c r="Q5739" i="8"/>
  <c r="R5739" i="8" s="1"/>
  <c r="Q6003" i="8"/>
  <c r="R6003" i="8" s="1"/>
  <c r="Q6280" i="8"/>
  <c r="R6280" i="8" s="1"/>
  <c r="Q6219" i="8"/>
  <c r="R6219" i="8" s="1"/>
  <c r="Q6129" i="8"/>
  <c r="R6129" i="8" s="1"/>
  <c r="R6131" i="8" s="1"/>
  <c r="Q5950" i="8"/>
  <c r="R5950" i="8" s="1"/>
  <c r="R5952" i="8" s="1"/>
  <c r="AM5945" i="8" s="1"/>
  <c r="Q5770" i="8"/>
  <c r="R5770" i="8" s="1"/>
  <c r="Q6105" i="8"/>
  <c r="R6105" i="8" s="1"/>
  <c r="Q5981" i="8"/>
  <c r="R5981" i="8" s="1"/>
  <c r="Q5972" i="8"/>
  <c r="R5972" i="8" s="1"/>
  <c r="T5657" i="8"/>
  <c r="AN5650" i="8" s="1"/>
  <c r="AM5469" i="8"/>
  <c r="AO5469" i="8" s="1"/>
  <c r="E5469" i="8"/>
  <c r="E1147" i="28" s="1"/>
  <c r="F1147" i="28" s="1"/>
  <c r="Q4769" i="8"/>
  <c r="R4769" i="8" s="1"/>
  <c r="R4772" i="8" s="1"/>
  <c r="Q4406" i="8"/>
  <c r="R4406" i="8" s="1"/>
  <c r="R4409" i="8" s="1"/>
  <c r="Q4761" i="8"/>
  <c r="R4761" i="8" s="1"/>
  <c r="R4764" i="8" s="1"/>
  <c r="Q4374" i="8"/>
  <c r="R4374" i="8" s="1"/>
  <c r="R4377" i="8" s="1"/>
  <c r="Q4231" i="8"/>
  <c r="R4231" i="8" s="1"/>
  <c r="R4234" i="8" s="1"/>
  <c r="Q3496" i="8"/>
  <c r="R3496" i="8" s="1"/>
  <c r="R3499" i="8" s="1"/>
  <c r="Q4777" i="8"/>
  <c r="R4777" i="8" s="1"/>
  <c r="R4780" i="8" s="1"/>
  <c r="Q4552" i="8"/>
  <c r="R4552" i="8" s="1"/>
  <c r="R4555" i="8" s="1"/>
  <c r="Q4382" i="8"/>
  <c r="R4382" i="8" s="1"/>
  <c r="R4385" i="8" s="1"/>
  <c r="Q4255" i="8"/>
  <c r="R4255" i="8" s="1"/>
  <c r="R4258" i="8" s="1"/>
  <c r="Q4239" i="8"/>
  <c r="R4239" i="8" s="1"/>
  <c r="R4242" i="8" s="1"/>
  <c r="Q4247" i="8"/>
  <c r="R4247" i="8" s="1"/>
  <c r="R4250" i="8" s="1"/>
  <c r="Q4223" i="8"/>
  <c r="R4223" i="8" s="1"/>
  <c r="R4226" i="8" s="1"/>
  <c r="Q3472" i="8"/>
  <c r="R3472" i="8" s="1"/>
  <c r="R3475" i="8" s="1"/>
  <c r="Q4544" i="8"/>
  <c r="R4544" i="8" s="1"/>
  <c r="R4547" i="8" s="1"/>
  <c r="Q4576" i="8"/>
  <c r="R4576" i="8" s="1"/>
  <c r="R4579" i="8" s="1"/>
  <c r="Q3464" i="8"/>
  <c r="R3464" i="8" s="1"/>
  <c r="R3467" i="8" s="1"/>
  <c r="Q4560" i="8"/>
  <c r="R4560" i="8" s="1"/>
  <c r="R4563" i="8" s="1"/>
  <c r="Q4390" i="8"/>
  <c r="R4390" i="8" s="1"/>
  <c r="R4393" i="8" s="1"/>
  <c r="Q4753" i="8"/>
  <c r="R4753" i="8" s="1"/>
  <c r="R4756" i="8" s="1"/>
  <c r="Q3480" i="8"/>
  <c r="R3480" i="8" s="1"/>
  <c r="R3483" i="8" s="1"/>
  <c r="Q864" i="8"/>
  <c r="R864" i="8" s="1"/>
  <c r="R866" i="8" s="1"/>
  <c r="Q829" i="8"/>
  <c r="R829" i="8" s="1"/>
  <c r="R831" i="8" s="1"/>
  <c r="Q857" i="8"/>
  <c r="R857" i="8" s="1"/>
  <c r="R859" i="8" s="1"/>
  <c r="AM5356" i="8"/>
  <c r="AN1445" i="8"/>
  <c r="T6107" i="8"/>
  <c r="AN6100" i="8" s="1"/>
  <c r="Q961" i="8"/>
  <c r="R961" i="8" s="1"/>
  <c r="R963" i="8" s="1"/>
  <c r="Q752" i="8"/>
  <c r="R752" i="8" s="1"/>
  <c r="R754" i="8" s="1"/>
  <c r="Q1031" i="8"/>
  <c r="R1031" i="8" s="1"/>
  <c r="R1033" i="8" s="1"/>
  <c r="Q1038" i="8"/>
  <c r="R1038" i="8" s="1"/>
  <c r="R1040" i="8" s="1"/>
  <c r="T5965" i="8"/>
  <c r="T6234" i="8"/>
  <c r="AN6227" i="8" s="1"/>
  <c r="AM2546" i="8"/>
  <c r="AO2546" i="8" s="1"/>
  <c r="E2546" i="8"/>
  <c r="E678" i="28" s="1"/>
  <c r="F678" i="28" s="1"/>
  <c r="Q2760" i="8"/>
  <c r="R2760" i="8" s="1"/>
  <c r="R2762" i="8" s="1"/>
  <c r="Q2503" i="8"/>
  <c r="R2503" i="8" s="1"/>
  <c r="R2505" i="8" s="1"/>
  <c r="Q2746" i="8"/>
  <c r="R2746" i="8" s="1"/>
  <c r="R2748" i="8" s="1"/>
  <c r="Q2781" i="8"/>
  <c r="R2781" i="8" s="1"/>
  <c r="R2783" i="8" s="1"/>
  <c r="Q2767" i="8"/>
  <c r="R2767" i="8" s="1"/>
  <c r="R2769" i="8" s="1"/>
  <c r="Q2753" i="8"/>
  <c r="R2753" i="8" s="1"/>
  <c r="R2755" i="8" s="1"/>
  <c r="Q2510" i="8"/>
  <c r="R2510" i="8" s="1"/>
  <c r="R2512" i="8" s="1"/>
  <c r="Q2774" i="8"/>
  <c r="R2774" i="8" s="1"/>
  <c r="R2776" i="8" s="1"/>
  <c r="AM2879" i="8"/>
  <c r="AO2879" i="8" s="1"/>
  <c r="E2879" i="8"/>
  <c r="E738" i="28" s="1"/>
  <c r="F738" i="28" s="1"/>
  <c r="Q2648" i="8"/>
  <c r="R2648" i="8" s="1"/>
  <c r="R2650" i="8" s="1"/>
  <c r="Q2707" i="8"/>
  <c r="R2707" i="8" s="1"/>
  <c r="R2709" i="8" s="1"/>
  <c r="Q1093" i="8"/>
  <c r="R1093" i="8" s="1"/>
  <c r="R1095" i="8" s="1"/>
  <c r="E1090" i="8" s="1"/>
  <c r="E438" i="28" s="1"/>
  <c r="F438" i="28" s="1"/>
  <c r="Q2807" i="8"/>
  <c r="R2807" i="8" s="1"/>
  <c r="R2809" i="8" s="1"/>
  <c r="Q2889" i="8"/>
  <c r="R2889" i="8" s="1"/>
  <c r="R2891" i="8" s="1"/>
  <c r="AM2886" i="8" s="1"/>
  <c r="Q1887" i="8"/>
  <c r="R1887" i="8" s="1"/>
  <c r="R1889" i="8" s="1"/>
  <c r="Q2662" i="8"/>
  <c r="R2662" i="8" s="1"/>
  <c r="R2664" i="8" s="1"/>
  <c r="Q1409" i="8"/>
  <c r="R1409" i="8" s="1"/>
  <c r="R1411" i="8" s="1"/>
  <c r="Q2714" i="8"/>
  <c r="R2714" i="8" s="1"/>
  <c r="R2716" i="8" s="1"/>
  <c r="Q1416" i="8"/>
  <c r="R1416" i="8" s="1"/>
  <c r="R1418" i="8" s="1"/>
  <c r="Q1196" i="8"/>
  <c r="R1196" i="8" s="1"/>
  <c r="R1198" i="8" s="1"/>
  <c r="Q2821" i="8"/>
  <c r="R2821" i="8" s="1"/>
  <c r="R2823" i="8" s="1"/>
  <c r="AM2818" i="8" s="1"/>
  <c r="Q1423" i="8"/>
  <c r="R1423" i="8" s="1"/>
  <c r="R1425" i="8" s="1"/>
  <c r="Q1100" i="8"/>
  <c r="R1100" i="8" s="1"/>
  <c r="R1102" i="8" s="1"/>
  <c r="Q2814" i="8"/>
  <c r="R2814" i="8" s="1"/>
  <c r="R2816" i="8" s="1"/>
  <c r="Q1107" i="8"/>
  <c r="R1107" i="8" s="1"/>
  <c r="R1109" i="8" s="1"/>
  <c r="Q2655" i="8"/>
  <c r="R2655" i="8" s="1"/>
  <c r="R2657" i="8" s="1"/>
  <c r="AM2652" i="8" s="1"/>
  <c r="Q2575" i="8"/>
  <c r="R2575" i="8" s="1"/>
  <c r="R2577" i="8" s="1"/>
  <c r="Q1880" i="8"/>
  <c r="R1880" i="8" s="1"/>
  <c r="R1882" i="8" s="1"/>
  <c r="AM1877" i="8" s="1"/>
  <c r="Q2608" i="8"/>
  <c r="R2608" i="8" s="1"/>
  <c r="R2610" i="8" s="1"/>
  <c r="Q1873" i="8"/>
  <c r="R1873" i="8" s="1"/>
  <c r="R1875" i="8" s="1"/>
  <c r="Q2680" i="8"/>
  <c r="R2680" i="8" s="1"/>
  <c r="R2683" i="8" s="1"/>
  <c r="Q3633" i="8"/>
  <c r="R3633" i="8" s="1"/>
  <c r="R3636" i="8" s="1"/>
  <c r="Q3289" i="8"/>
  <c r="R3289" i="8" s="1"/>
  <c r="R3292" i="8" s="1"/>
  <c r="Q2954" i="8"/>
  <c r="R2954" i="8" s="1"/>
  <c r="R2957" i="8" s="1"/>
  <c r="Q3940" i="8"/>
  <c r="R3940" i="8" s="1"/>
  <c r="R3943" i="8" s="1"/>
  <c r="Q3747" i="8"/>
  <c r="R3747" i="8" s="1"/>
  <c r="R3750" i="8" s="1"/>
  <c r="Q2946" i="8"/>
  <c r="R2946" i="8" s="1"/>
  <c r="R2949" i="8" s="1"/>
  <c r="Q3755" i="8"/>
  <c r="R3755" i="8" s="1"/>
  <c r="R3758" i="8" s="1"/>
  <c r="Q4093" i="8"/>
  <c r="R4093" i="8" s="1"/>
  <c r="R4096" i="8" s="1"/>
  <c r="Q3267" i="8"/>
  <c r="R3267" i="8" s="1"/>
  <c r="R3270" i="8" s="1"/>
  <c r="AM2443" i="8"/>
  <c r="AO2443" i="8" s="1"/>
  <c r="E2443" i="8"/>
  <c r="E658" i="28" s="1"/>
  <c r="F658" i="28" s="1"/>
  <c r="T6425" i="8"/>
  <c r="AN6418" i="8" s="1"/>
  <c r="T6039" i="8"/>
  <c r="AN6030" i="8" s="1"/>
  <c r="T6548" i="8"/>
  <c r="T6496" i="8"/>
  <c r="AM5307" i="8"/>
  <c r="AO5307" i="8" s="1"/>
  <c r="E5307" i="8"/>
  <c r="E1123" i="28" s="1"/>
  <c r="F1123" i="28" s="1"/>
  <c r="AM1212" i="8"/>
  <c r="E990" i="8"/>
  <c r="E419" i="28" s="1"/>
  <c r="F419" i="28" s="1"/>
  <c r="AN990" i="8"/>
  <c r="Q738" i="8"/>
  <c r="R738" i="8" s="1"/>
  <c r="R740" i="8" s="1"/>
  <c r="Q1017" i="8"/>
  <c r="R1017" i="8" s="1"/>
  <c r="R1019" i="8" s="1"/>
  <c r="Q954" i="8"/>
  <c r="R954" i="8" s="1"/>
  <c r="R956" i="8" s="1"/>
  <c r="Q822" i="8"/>
  <c r="R822" i="8" s="1"/>
  <c r="R824" i="8" s="1"/>
  <c r="T6313" i="8"/>
  <c r="AN6306" i="8" s="1"/>
  <c r="Q929" i="8"/>
  <c r="R929" i="8" s="1"/>
  <c r="R931" i="8" s="1"/>
  <c r="Q780" i="8"/>
  <c r="R780" i="8" s="1"/>
  <c r="R782" i="8" s="1"/>
  <c r="Q878" i="8"/>
  <c r="R878" i="8" s="1"/>
  <c r="R880" i="8" s="1"/>
  <c r="T5719" i="8"/>
  <c r="AN5712" i="8" s="1"/>
  <c r="T5943" i="8"/>
  <c r="T6122" i="8"/>
  <c r="AN6113" i="8" s="1"/>
  <c r="Q5504" i="8"/>
  <c r="R5504" i="8" s="1"/>
  <c r="R5506" i="8" s="1"/>
  <c r="AM5501" i="8" s="1"/>
  <c r="Q5377" i="8"/>
  <c r="R5377" i="8" s="1"/>
  <c r="R5379" i="8" s="1"/>
  <c r="Q5430" i="8"/>
  <c r="R5430" i="8" s="1"/>
  <c r="R5432" i="8" s="1"/>
  <c r="Q5268" i="8"/>
  <c r="R5268" i="8" s="1"/>
  <c r="R5270" i="8" s="1"/>
  <c r="AM2532" i="8"/>
  <c r="AO2532" i="8" s="1"/>
  <c r="E2532" i="8"/>
  <c r="E676" i="28" s="1"/>
  <c r="F676" i="28" s="1"/>
  <c r="AM1628" i="8"/>
  <c r="AO1628" i="8" s="1"/>
  <c r="E1628" i="8"/>
  <c r="E527" i="28" s="1"/>
  <c r="F527" i="28" s="1"/>
  <c r="AM905" i="8"/>
  <c r="AO905" i="8" s="1"/>
  <c r="E905" i="8"/>
  <c r="E407" i="28" s="1"/>
  <c r="F407" i="28" s="1"/>
  <c r="Q2283" i="8"/>
  <c r="R2283" i="8" s="1"/>
  <c r="R2285" i="8" s="1"/>
  <c r="R2204" i="8"/>
  <c r="Q1994" i="8"/>
  <c r="R1994" i="8" s="1"/>
  <c r="R1996" i="8" s="1"/>
  <c r="Q2104" i="8"/>
  <c r="R2104" i="8" s="1"/>
  <c r="R2106" i="8" s="1"/>
  <c r="Q4483" i="8"/>
  <c r="R4483" i="8" s="1"/>
  <c r="R4485" i="8" s="1"/>
  <c r="Q4861" i="8"/>
  <c r="R4861" i="8" s="1"/>
  <c r="R4863" i="8" s="1"/>
  <c r="Q3584" i="8"/>
  <c r="R3584" i="8" s="1"/>
  <c r="R3586" i="8" s="1"/>
  <c r="Q4667" i="8"/>
  <c r="R4667" i="8" s="1"/>
  <c r="Q4332" i="8"/>
  <c r="R4332" i="8" s="1"/>
  <c r="R4334" i="8" s="1"/>
  <c r="Q666" i="8"/>
  <c r="R666" i="8" s="1"/>
  <c r="Q653" i="8"/>
  <c r="R653" i="8" s="1"/>
  <c r="Q664" i="8"/>
  <c r="R664" i="8" s="1"/>
  <c r="Q651" i="8"/>
  <c r="R651" i="8" s="1"/>
  <c r="Q631" i="8"/>
  <c r="R631" i="8" s="1"/>
  <c r="Q707" i="8"/>
  <c r="R707" i="8" s="1"/>
  <c r="Q703" i="8"/>
  <c r="R703" i="8" s="1"/>
  <c r="Q629" i="8"/>
  <c r="R629" i="8" s="1"/>
  <c r="Q705" i="8"/>
  <c r="R705" i="8" s="1"/>
  <c r="Q701" i="8"/>
  <c r="R701" i="8" s="1"/>
  <c r="T6269" i="8"/>
  <c r="R1546" i="8"/>
  <c r="R2432" i="8"/>
  <c r="R1210" i="8"/>
  <c r="Q1359" i="8"/>
  <c r="R1359" i="8" s="1"/>
  <c r="R1361" i="8" s="1"/>
  <c r="T6592" i="8"/>
  <c r="AN6585" i="8" s="1"/>
  <c r="T6461" i="8"/>
  <c r="T6190" i="8"/>
  <c r="AN6183" i="8" s="1"/>
  <c r="AM5198" i="8"/>
  <c r="AO5198" i="8" s="1"/>
  <c r="E5198" i="8"/>
  <c r="E1107" i="28" s="1"/>
  <c r="F1107" i="28" s="1"/>
  <c r="AN5529" i="8"/>
  <c r="AN1220" i="8"/>
  <c r="T4669" i="8"/>
  <c r="T5983" i="8"/>
  <c r="AN5976" i="8" s="1"/>
  <c r="T6601" i="8"/>
  <c r="AN6594" i="8" s="1"/>
  <c r="Q5338" i="8"/>
  <c r="R5338" i="8" s="1"/>
  <c r="R5340" i="8" s="1"/>
  <c r="Q5236" i="8"/>
  <c r="R5236" i="8" s="1"/>
  <c r="R5238" i="8" s="1"/>
  <c r="Q731" i="8"/>
  <c r="R731" i="8" s="1"/>
  <c r="Q936" i="8"/>
  <c r="R936" i="8" s="1"/>
  <c r="Q1008" i="8"/>
  <c r="R1008" i="8" s="1"/>
  <c r="Q1010" i="8"/>
  <c r="R1010" i="8" s="1"/>
  <c r="Q938" i="8"/>
  <c r="R938" i="8" s="1"/>
  <c r="Q729" i="8"/>
  <c r="R729" i="8" s="1"/>
  <c r="Q982" i="8"/>
  <c r="R982" i="8" s="1"/>
  <c r="R984" i="8" s="1"/>
  <c r="AM868" i="8"/>
  <c r="AO868" i="8" s="1"/>
  <c r="AM2468" i="8"/>
  <c r="AO2468" i="8" s="1"/>
  <c r="E2468" i="8"/>
  <c r="E662" i="28" s="1"/>
  <c r="F662" i="28" s="1"/>
  <c r="AM2461" i="8"/>
  <c r="AO2461" i="8" s="1"/>
  <c r="E2461" i="8"/>
  <c r="E661" i="28" s="1"/>
  <c r="F661" i="28" s="1"/>
  <c r="AM1596" i="8"/>
  <c r="AO1596" i="8" s="1"/>
  <c r="E1596" i="8"/>
  <c r="E522" i="28" s="1"/>
  <c r="F522" i="28" s="1"/>
  <c r="AM5226" i="8"/>
  <c r="AO5226" i="8" s="1"/>
  <c r="E5226" i="8"/>
  <c r="E1111" i="28" s="1"/>
  <c r="F1111" i="28" s="1"/>
  <c r="AN1090" i="8"/>
  <c r="Q2179" i="8"/>
  <c r="R2179" i="8" s="1"/>
  <c r="R2181" i="8" s="1"/>
  <c r="Q922" i="8"/>
  <c r="R922" i="8" s="1"/>
  <c r="R924" i="8" s="1"/>
  <c r="Q1606" i="8"/>
  <c r="R1606" i="8" s="1"/>
  <c r="R1608" i="8" s="1"/>
  <c r="Q2868" i="8"/>
  <c r="R2868" i="8" s="1"/>
  <c r="R2870" i="8" s="1"/>
  <c r="Q2875" i="8"/>
  <c r="R2875" i="8" s="1"/>
  <c r="R2877" i="8" s="1"/>
  <c r="Q2861" i="8"/>
  <c r="R2861" i="8" s="1"/>
  <c r="R2863" i="8" s="1"/>
  <c r="Q6597" i="8"/>
  <c r="R6597" i="8" s="1"/>
  <c r="Q5961" i="8"/>
  <c r="R5961" i="8" s="1"/>
  <c r="Q6553" i="8"/>
  <c r="R6553" i="8" s="1"/>
  <c r="Q6083" i="8"/>
  <c r="R6083" i="8" s="1"/>
  <c r="Q6322" i="8"/>
  <c r="R6322" i="8" s="1"/>
  <c r="Q6116" i="8"/>
  <c r="R6116" i="8" s="1"/>
  <c r="Q5715" i="8"/>
  <c r="R5715" i="8" s="1"/>
  <c r="Q6217" i="8"/>
  <c r="R6217" i="8" s="1"/>
  <c r="Q6243" i="8"/>
  <c r="R6243" i="8" s="1"/>
  <c r="Q6230" i="8"/>
  <c r="R6230" i="8" s="1"/>
  <c r="Q5873" i="8"/>
  <c r="R5873" i="8" s="1"/>
  <c r="Q5746" i="8"/>
  <c r="R5746" i="8" s="1"/>
  <c r="Q5768" i="8"/>
  <c r="R5768" i="8" s="1"/>
  <c r="Q6010" i="8"/>
  <c r="R6010" i="8" s="1"/>
  <c r="Q6287" i="8"/>
  <c r="R6287" i="8" s="1"/>
  <c r="Q5939" i="8"/>
  <c r="R5939" i="8" s="1"/>
  <c r="Q6158" i="8"/>
  <c r="R6158" i="8" s="1"/>
  <c r="Q6575" i="8"/>
  <c r="R6575" i="8" s="1"/>
  <c r="Q5860" i="8"/>
  <c r="R5860" i="8" s="1"/>
  <c r="Q5847" i="8"/>
  <c r="R5847" i="8" s="1"/>
  <c r="T6201" i="8"/>
  <c r="AN6196" i="8" s="1"/>
  <c r="T6282" i="8"/>
  <c r="T6535" i="8"/>
  <c r="AN6530" i="8" s="1"/>
  <c r="AM5409" i="8"/>
  <c r="AO5409" i="8" s="1"/>
  <c r="E5409" i="8"/>
  <c r="E1138" i="28" s="1"/>
  <c r="F1138" i="28" s="1"/>
  <c r="AM1053" i="8"/>
  <c r="Q2403" i="8"/>
  <c r="R2403" i="8" s="1"/>
  <c r="R2405" i="8" s="1"/>
  <c r="Q2410" i="8"/>
  <c r="R2410" i="8" s="1"/>
  <c r="R2412" i="8" s="1"/>
  <c r="Q2417" i="8"/>
  <c r="R2417" i="8" s="1"/>
  <c r="R2419" i="8" s="1"/>
  <c r="AM5205" i="8"/>
  <c r="AN4186" i="8"/>
  <c r="T5974" i="8"/>
  <c r="AN5967" i="8" s="1"/>
  <c r="Q1490" i="8"/>
  <c r="R1490" i="8" s="1"/>
  <c r="R1492" i="8" s="1"/>
  <c r="Q1511" i="8"/>
  <c r="R1511" i="8" s="1"/>
  <c r="R1513" i="8" s="1"/>
  <c r="Q1469" i="8"/>
  <c r="R1469" i="8" s="1"/>
  <c r="R1471" i="8" s="1"/>
  <c r="Q1476" i="8"/>
  <c r="R1476" i="8" s="1"/>
  <c r="R1478" i="8" s="1"/>
  <c r="Q1497" i="8"/>
  <c r="R1497" i="8" s="1"/>
  <c r="R1499" i="8" s="1"/>
  <c r="Q1518" i="8"/>
  <c r="R1518" i="8" s="1"/>
  <c r="R1520" i="8" s="1"/>
  <c r="Q1504" i="8"/>
  <c r="R1504" i="8" s="1"/>
  <c r="R1506" i="8" s="1"/>
  <c r="Q1483" i="8"/>
  <c r="R1483" i="8" s="1"/>
  <c r="R1485" i="8" s="1"/>
  <c r="T6326" i="8"/>
  <c r="T6014" i="8"/>
  <c r="AN6007" i="8" s="1"/>
  <c r="T5750" i="8"/>
  <c r="Q5693" i="8"/>
  <c r="R5693" i="8" s="1"/>
  <c r="Q6457" i="8"/>
  <c r="R6457" i="8" s="1"/>
  <c r="Q5834" i="8"/>
  <c r="R5834" i="8" s="1"/>
  <c r="Q6055" i="8"/>
  <c r="R6055" i="8" s="1"/>
  <c r="Q6492" i="8"/>
  <c r="R6492" i="8" s="1"/>
  <c r="Q5653" i="8"/>
  <c r="R5653" i="8" s="1"/>
  <c r="Q6186" i="8"/>
  <c r="R6186" i="8" s="1"/>
  <c r="AM2514" i="8"/>
  <c r="AO2514" i="8" s="1"/>
  <c r="E2514" i="8"/>
  <c r="E673" i="28" s="1"/>
  <c r="F673" i="28" s="1"/>
  <c r="AM1385" i="8"/>
  <c r="AO1385" i="8" s="1"/>
  <c r="E1385" i="8"/>
  <c r="E485" i="28" s="1"/>
  <c r="F485" i="28" s="1"/>
  <c r="Q6147" i="8"/>
  <c r="R6147" i="8" s="1"/>
  <c r="Q5695" i="8"/>
  <c r="R5695" i="8" s="1"/>
  <c r="Q5646" i="8"/>
  <c r="R5646" i="8" s="1"/>
  <c r="Q6494" i="8"/>
  <c r="R6494" i="8" s="1"/>
  <c r="Q5655" i="8"/>
  <c r="R5655" i="8" s="1"/>
  <c r="Q6459" i="8"/>
  <c r="R6459" i="8" s="1"/>
  <c r="Q6188" i="8"/>
  <c r="R6188" i="8" s="1"/>
  <c r="AM882" i="8"/>
  <c r="AO882" i="8" s="1"/>
  <c r="Q5532" i="8"/>
  <c r="R5532" i="8" s="1"/>
  <c r="R5534" i="8" s="1"/>
  <c r="AM5529" i="8" s="1"/>
  <c r="Q5296" i="8"/>
  <c r="R5296" i="8" s="1"/>
  <c r="R5298" i="8" s="1"/>
  <c r="Q5458" i="8"/>
  <c r="R5458" i="8" s="1"/>
  <c r="R5460" i="8" s="1"/>
  <c r="Q5194" i="8"/>
  <c r="R5194" i="8" s="1"/>
  <c r="R5196" i="8" s="1"/>
  <c r="Q5405" i="8"/>
  <c r="R5405" i="8" s="1"/>
  <c r="R5407" i="8" s="1"/>
  <c r="Q3671" i="8"/>
  <c r="R3671" i="8" s="1"/>
  <c r="R3673" i="8" s="1"/>
  <c r="Q3332" i="8"/>
  <c r="R3332" i="8" s="1"/>
  <c r="R3334" i="8" s="1"/>
  <c r="Q3374" i="8"/>
  <c r="R3374" i="8" s="1"/>
  <c r="R3376" i="8" s="1"/>
  <c r="Q3118" i="8"/>
  <c r="R3118" i="8" s="1"/>
  <c r="R3120" i="8" s="1"/>
  <c r="Q3076" i="8"/>
  <c r="R3076" i="8" s="1"/>
  <c r="R3078" i="8" s="1"/>
  <c r="Q2984" i="8"/>
  <c r="R2984" i="8" s="1"/>
  <c r="R2986" i="8" s="1"/>
  <c r="Q3353" i="8"/>
  <c r="R3353" i="8" s="1"/>
  <c r="R3355" i="8" s="1"/>
  <c r="Q3395" i="8"/>
  <c r="R3395" i="8" s="1"/>
  <c r="R3397" i="8" s="1"/>
  <c r="Q3083" i="8"/>
  <c r="R3083" i="8" s="1"/>
  <c r="R3085" i="8" s="1"/>
  <c r="Q3041" i="8"/>
  <c r="R3041" i="8" s="1"/>
  <c r="R3043" i="8" s="1"/>
  <c r="Q4626" i="8"/>
  <c r="R4626" i="8" s="1"/>
  <c r="Q3346" i="8"/>
  <c r="R3346" i="8" s="1"/>
  <c r="R3348" i="8" s="1"/>
  <c r="Q3048" i="8"/>
  <c r="R3048" i="8" s="1"/>
  <c r="R3050" i="8" s="1"/>
  <c r="Q2998" i="8"/>
  <c r="R2998" i="8" s="1"/>
  <c r="R3001" i="8" s="1"/>
  <c r="Q3692" i="8"/>
  <c r="R3692" i="8" s="1"/>
  <c r="R3694" i="8" s="1"/>
  <c r="Q4640" i="8"/>
  <c r="R4640" i="8" s="1"/>
  <c r="Q3893" i="8"/>
  <c r="R3893" i="8" s="1"/>
  <c r="R3896" i="8" s="1"/>
  <c r="Q3778" i="8"/>
  <c r="R3778" i="8" s="1"/>
  <c r="R3780" i="8" s="1"/>
  <c r="Q3311" i="8"/>
  <c r="R3311" i="8" s="1"/>
  <c r="R3313" i="8" s="1"/>
  <c r="Q3125" i="8"/>
  <c r="R3125" i="8" s="1"/>
  <c r="R3127" i="8" s="1"/>
  <c r="Q4124" i="8"/>
  <c r="R4124" i="8" s="1"/>
  <c r="R4126" i="8" s="1"/>
  <c r="Q4633" i="8"/>
  <c r="R4633" i="8" s="1"/>
  <c r="R4635" i="8" s="1"/>
  <c r="Q3388" i="8"/>
  <c r="R3388" i="8" s="1"/>
  <c r="R3390" i="8" s="1"/>
  <c r="Q3097" i="8"/>
  <c r="R3097" i="8" s="1"/>
  <c r="R3099" i="8" s="1"/>
  <c r="Q3111" i="8"/>
  <c r="R3111" i="8" s="1"/>
  <c r="R3113" i="8" s="1"/>
  <c r="Q4619" i="8"/>
  <c r="R4619" i="8" s="1"/>
  <c r="R4621" i="8" s="1"/>
  <c r="Q3381" i="8"/>
  <c r="R3381" i="8" s="1"/>
  <c r="R3383" i="8" s="1"/>
  <c r="Q3104" i="8"/>
  <c r="R3104" i="8" s="1"/>
  <c r="R3106" i="8" s="1"/>
  <c r="Q3090" i="8"/>
  <c r="R3090" i="8" s="1"/>
  <c r="R3092" i="8" s="1"/>
  <c r="Q3685" i="8"/>
  <c r="R3685" i="8" s="1"/>
  <c r="R3687" i="8" s="1"/>
  <c r="Q3402" i="8"/>
  <c r="R3402" i="8" s="1"/>
  <c r="R3404" i="8" s="1"/>
  <c r="Q3055" i="8"/>
  <c r="R3055" i="8" s="1"/>
  <c r="R3057" i="8" s="1"/>
  <c r="Q3367" i="8"/>
  <c r="R3367" i="8" s="1"/>
  <c r="R3369" i="8" s="1"/>
  <c r="Q3013" i="8"/>
  <c r="R3013" i="8" s="1"/>
  <c r="R3015" i="8" s="1"/>
  <c r="Q3792" i="8"/>
  <c r="R3792" i="8" s="1"/>
  <c r="R3794" i="8" s="1"/>
  <c r="Q3325" i="8"/>
  <c r="R3325" i="8" s="1"/>
  <c r="R3327" i="8" s="1"/>
  <c r="Q3027" i="8"/>
  <c r="R3027" i="8" s="1"/>
  <c r="R3029" i="8" s="1"/>
  <c r="Q3360" i="8"/>
  <c r="R3360" i="8" s="1"/>
  <c r="R3362" i="8" s="1"/>
  <c r="Q2991" i="8"/>
  <c r="R2991" i="8" s="1"/>
  <c r="R2993" i="8" s="1"/>
  <c r="Q3318" i="8"/>
  <c r="R3318" i="8" s="1"/>
  <c r="R3320" i="8" s="1"/>
  <c r="Q3006" i="8"/>
  <c r="R3006" i="8" s="1"/>
  <c r="R3008" i="8" s="1"/>
  <c r="Q3785" i="8"/>
  <c r="R3785" i="8" s="1"/>
  <c r="R3787" i="8" s="1"/>
  <c r="Q3339" i="8"/>
  <c r="R3339" i="8" s="1"/>
  <c r="R3341" i="8" s="1"/>
  <c r="Q3062" i="8"/>
  <c r="R3062" i="8" s="1"/>
  <c r="R3064" i="8" s="1"/>
  <c r="AM5328" i="8"/>
  <c r="AO5328" i="8" s="1"/>
  <c r="E5328" i="8"/>
  <c r="E1126" i="28" s="1"/>
  <c r="F1126" i="28" s="1"/>
  <c r="AN2818" i="8"/>
  <c r="Q1223" i="8"/>
  <c r="R1223" i="8" s="1"/>
  <c r="R1225" i="8" s="1"/>
  <c r="AM1220" i="8" s="1"/>
  <c r="Q3149" i="8"/>
  <c r="R3149" i="8" s="1"/>
  <c r="R3151" i="8" s="1"/>
  <c r="Q2921" i="8"/>
  <c r="R2921" i="8" s="1"/>
  <c r="R2923" i="8" s="1"/>
  <c r="R4191" i="8"/>
  <c r="AM4186" i="8" s="1"/>
  <c r="Q3716" i="8"/>
  <c r="R3716" i="8" s="1"/>
  <c r="R3718" i="8" s="1"/>
  <c r="AM3713" i="8" s="1"/>
  <c r="Q2673" i="8"/>
  <c r="R2673" i="8" s="1"/>
  <c r="R2675" i="8" s="1"/>
  <c r="Q1898" i="8"/>
  <c r="R1898" i="8" s="1"/>
  <c r="R1900" i="8" s="1"/>
  <c r="Q2586" i="8"/>
  <c r="R2586" i="8" s="1"/>
  <c r="R2588" i="8" s="1"/>
  <c r="AM2583" i="8" s="1"/>
  <c r="Q1118" i="8"/>
  <c r="R1118" i="8" s="1"/>
  <c r="R1120" i="8" s="1"/>
  <c r="AM1115" i="8" s="1"/>
  <c r="Q2626" i="8"/>
  <c r="R2626" i="8" s="1"/>
  <c r="R2628" i="8" s="1"/>
  <c r="Q3816" i="8"/>
  <c r="R3816" i="8" s="1"/>
  <c r="R3818" i="8" s="1"/>
  <c r="Q3430" i="8"/>
  <c r="R3430" i="8" s="1"/>
  <c r="R3432" i="8" s="1"/>
  <c r="Q2832" i="8"/>
  <c r="R2832" i="8" s="1"/>
  <c r="R2834" i="8" s="1"/>
  <c r="Q4068" i="8"/>
  <c r="R4068" i="8" s="1"/>
  <c r="R4070" i="8" s="1"/>
  <c r="Q2725" i="8"/>
  <c r="R2725" i="8" s="1"/>
  <c r="R2727" i="8" s="1"/>
  <c r="Q1448" i="8"/>
  <c r="R1448" i="8" s="1"/>
  <c r="R1450" i="8" s="1"/>
  <c r="AM1445" i="8" s="1"/>
  <c r="Q3252" i="8"/>
  <c r="R3252" i="8" s="1"/>
  <c r="R3254" i="8" s="1"/>
  <c r="AM3249" i="8" s="1"/>
  <c r="T5921" i="8"/>
  <c r="T6181" i="8"/>
  <c r="AN6174" i="8" s="1"/>
  <c r="T6570" i="8"/>
  <c r="AN6563" i="8" s="1"/>
  <c r="T6005" i="8"/>
  <c r="AN5998" i="8" s="1"/>
  <c r="S5493" i="8"/>
  <c r="T5493" i="8" s="1"/>
  <c r="T5495" i="8" s="1"/>
  <c r="S5359" i="8"/>
  <c r="T5359" i="8" s="1"/>
  <c r="T5361" i="8" s="1"/>
  <c r="AN5356" i="8" s="1"/>
  <c r="T5697" i="8"/>
  <c r="T1554" i="8"/>
  <c r="T1218" i="8"/>
  <c r="AN1212" i="8" s="1"/>
  <c r="S1056" i="8"/>
  <c r="T1056" i="8" s="1"/>
  <c r="T1058" i="8" s="1"/>
  <c r="AN1053" i="8" s="1"/>
  <c r="Q2564" i="8"/>
  <c r="R2564" i="8" s="1"/>
  <c r="R2566" i="8" s="1"/>
  <c r="Q2796" i="8"/>
  <c r="R2796" i="8" s="1"/>
  <c r="R2798" i="8" s="1"/>
  <c r="AM2793" i="8" s="1"/>
  <c r="Q2615" i="8"/>
  <c r="R2615" i="8" s="1"/>
  <c r="R2617" i="8" s="1"/>
  <c r="Q2696" i="8"/>
  <c r="R2696" i="8" s="1"/>
  <c r="R2698" i="8" s="1"/>
  <c r="Q968" i="8"/>
  <c r="R968" i="8" s="1"/>
  <c r="R970" i="8" s="1"/>
  <c r="Q850" i="8"/>
  <c r="R850" i="8" s="1"/>
  <c r="R852" i="8" s="1"/>
  <c r="Q680" i="8"/>
  <c r="R680" i="8" s="1"/>
  <c r="R682" i="8" s="1"/>
  <c r="Q843" i="8"/>
  <c r="R843" i="8" s="1"/>
  <c r="R845" i="8" s="1"/>
  <c r="AM5416" i="8"/>
  <c r="AN4616" i="8"/>
  <c r="AN1115" i="8"/>
  <c r="T5781" i="8"/>
  <c r="AN5774" i="8" s="1"/>
  <c r="T6164" i="8"/>
  <c r="AN6155" i="8" s="1"/>
  <c r="T6089" i="8"/>
  <c r="AN6080" i="8" s="1"/>
  <c r="T6579" i="8"/>
  <c r="AM784" i="8"/>
  <c r="AO784" i="8" s="1"/>
  <c r="AM1621" i="8"/>
  <c r="AO1621" i="8" s="1"/>
  <c r="E1621" i="8"/>
  <c r="E526" i="28" s="1"/>
  <c r="F526" i="28" s="1"/>
  <c r="AN2652" i="8"/>
  <c r="AN1877" i="8"/>
  <c r="S5419" i="8"/>
  <c r="T5419" i="8" s="1"/>
  <c r="T5421" i="8" s="1"/>
  <c r="AN5416" i="8" s="1"/>
  <c r="S5486" i="8"/>
  <c r="T5486" i="8" s="1"/>
  <c r="T5488" i="8" s="1"/>
  <c r="AN5483" i="8" s="1"/>
  <c r="S5553" i="8"/>
  <c r="T5553" i="8" s="1"/>
  <c r="T5555" i="8" s="1"/>
  <c r="AN5550" i="8" s="1"/>
  <c r="S5208" i="8"/>
  <c r="T5208" i="8" s="1"/>
  <c r="T5210" i="8" s="1"/>
  <c r="AN5205" i="8" s="1"/>
  <c r="S5324" i="8"/>
  <c r="T5324" i="8" s="1"/>
  <c r="T5326" i="8" s="1"/>
  <c r="AN5321" i="8" s="1"/>
  <c r="AM1302" i="8"/>
  <c r="AO1302" i="8" s="1"/>
  <c r="E1302" i="8"/>
  <c r="E471" i="28" s="1"/>
  <c r="F471" i="28" s="1"/>
  <c r="T5908" i="8"/>
  <c r="AN5901" i="8" s="1"/>
  <c r="T5798" i="8"/>
  <c r="AN5791" i="8" s="1"/>
  <c r="T5741" i="8"/>
  <c r="AN5734" i="8" s="1"/>
  <c r="T6208" i="8"/>
  <c r="AN6203" i="8" s="1"/>
  <c r="Q892" i="8"/>
  <c r="R892" i="8" s="1"/>
  <c r="R894" i="8" s="1"/>
  <c r="Q1532" i="8"/>
  <c r="R1532" i="8" s="1"/>
  <c r="R1534" i="8" s="1"/>
  <c r="Q1189" i="8"/>
  <c r="R1189" i="8" s="1"/>
  <c r="R1191" i="8" s="1"/>
  <c r="Q836" i="8"/>
  <c r="R836" i="8" s="1"/>
  <c r="R838" i="8" s="1"/>
  <c r="Q1182" i="8"/>
  <c r="R1182" i="8" s="1"/>
  <c r="R1184" i="8" s="1"/>
  <c r="Q815" i="8"/>
  <c r="R815" i="8" s="1"/>
  <c r="R817" i="8" s="1"/>
  <c r="Q745" i="8"/>
  <c r="R745" i="8" s="1"/>
  <c r="R747" i="8" s="1"/>
  <c r="Q1525" i="8"/>
  <c r="R1525" i="8" s="1"/>
  <c r="R1527" i="8" s="1"/>
  <c r="Q1024" i="8"/>
  <c r="R1024" i="8" s="1"/>
  <c r="R1026" i="8" s="1"/>
  <c r="R2195" i="8"/>
  <c r="Q1987" i="8"/>
  <c r="R1987" i="8" s="1"/>
  <c r="R1989" i="8" s="1"/>
  <c r="Q1366" i="8"/>
  <c r="R1366" i="8" s="1"/>
  <c r="R1368" i="8" s="1"/>
  <c r="Q2276" i="8"/>
  <c r="R2276" i="8" s="1"/>
  <c r="R2278" i="8" s="1"/>
  <c r="Q1815" i="8"/>
  <c r="R1815" i="8" s="1"/>
  <c r="R1817" i="8" s="1"/>
  <c r="E5543" i="8"/>
  <c r="E1158" i="28" s="1"/>
  <c r="F1158" i="28" s="1"/>
  <c r="AN5543" i="8"/>
  <c r="Q3963" i="8"/>
  <c r="R3963" i="8" s="1"/>
  <c r="Q3989" i="8"/>
  <c r="R3989" i="8" s="1"/>
  <c r="Q3980" i="8"/>
  <c r="R3980" i="8" s="1"/>
  <c r="Q4025" i="8"/>
  <c r="R4025" i="8" s="1"/>
  <c r="Q3998" i="8"/>
  <c r="R3998" i="8" s="1"/>
  <c r="Q4034" i="8"/>
  <c r="R4034" i="8" s="1"/>
  <c r="Q4016" i="8"/>
  <c r="R4016" i="8" s="1"/>
  <c r="Q4007" i="8"/>
  <c r="R4007" i="8" s="1"/>
  <c r="AM5550" i="8"/>
  <c r="T4642" i="8"/>
  <c r="AN2583" i="8"/>
  <c r="AN3713" i="8"/>
  <c r="T6557" i="8"/>
  <c r="Q2847" i="8"/>
  <c r="R2847" i="8" s="1"/>
  <c r="R2849" i="8" s="1"/>
  <c r="Q2072" i="8"/>
  <c r="R2072" i="8" s="1"/>
  <c r="R2074" i="8" s="1"/>
  <c r="Q1741" i="8"/>
  <c r="R1741" i="8" s="1"/>
  <c r="R1743" i="8" s="1"/>
  <c r="Q1664" i="8"/>
  <c r="R1664" i="8" s="1"/>
  <c r="R1666" i="8" s="1"/>
  <c r="Q2030" i="8"/>
  <c r="R2030" i="8" s="1"/>
  <c r="R2032" i="8" s="1"/>
  <c r="Q1727" i="8"/>
  <c r="R1727" i="8" s="1"/>
  <c r="R1729" i="8" s="1"/>
  <c r="Q1748" i="8"/>
  <c r="R1748" i="8" s="1"/>
  <c r="R1750" i="8" s="1"/>
  <c r="Q1678" i="8"/>
  <c r="R1678" i="8" s="1"/>
  <c r="R1680" i="8" s="1"/>
  <c r="Q1381" i="8"/>
  <c r="R1381" i="8" s="1"/>
  <c r="R1383" i="8" s="1"/>
  <c r="Q1294" i="8"/>
  <c r="R1294" i="8" s="1"/>
  <c r="R1296" i="8" s="1"/>
  <c r="Q2265" i="8"/>
  <c r="R2265" i="8" s="1"/>
  <c r="R2267" i="8" s="1"/>
  <c r="Q1685" i="8"/>
  <c r="R1685" i="8" s="1"/>
  <c r="R1687" i="8" s="1"/>
  <c r="Q1706" i="8"/>
  <c r="R1706" i="8" s="1"/>
  <c r="R1708" i="8" s="1"/>
  <c r="Q2009" i="8"/>
  <c r="R2009" i="8" s="1"/>
  <c r="R2011" i="8" s="1"/>
  <c r="Q1804" i="8"/>
  <c r="R1804" i="8" s="1"/>
  <c r="R1806" i="8" s="1"/>
  <c r="Q2854" i="8"/>
  <c r="R2854" i="8" s="1"/>
  <c r="R2856" i="8" s="1"/>
  <c r="Q2601" i="8"/>
  <c r="R2601" i="8" s="1"/>
  <c r="R2603" i="8" s="1"/>
  <c r="Q2016" i="8"/>
  <c r="R2016" i="8" s="1"/>
  <c r="R2018" i="8" s="1"/>
  <c r="Q1769" i="8"/>
  <c r="R1769" i="8" s="1"/>
  <c r="R1771" i="8" s="1"/>
  <c r="Q2093" i="8"/>
  <c r="R2093" i="8" s="1"/>
  <c r="R2095" i="8" s="1"/>
  <c r="Q2044" i="8"/>
  <c r="R2044" i="8" s="1"/>
  <c r="R2046" i="8" s="1"/>
  <c r="Q1783" i="8"/>
  <c r="R1783" i="8" s="1"/>
  <c r="R1785" i="8" s="1"/>
  <c r="Q1273" i="8"/>
  <c r="R1273" i="8" s="1"/>
  <c r="R1275" i="8" s="1"/>
  <c r="Q1266" i="8"/>
  <c r="R1266" i="8" s="1"/>
  <c r="R1268" i="8" s="1"/>
  <c r="Q1755" i="8"/>
  <c r="R1755" i="8" s="1"/>
  <c r="R1757" i="8" s="1"/>
  <c r="Q1797" i="8"/>
  <c r="R1797" i="8" s="1"/>
  <c r="R1799" i="8" s="1"/>
  <c r="Q1762" i="8"/>
  <c r="R1762" i="8" s="1"/>
  <c r="R1764" i="8" s="1"/>
  <c r="Q1976" i="8"/>
  <c r="R1976" i="8" s="1"/>
  <c r="R1978" i="8" s="1"/>
  <c r="Q2023" i="8"/>
  <c r="R2023" i="8" s="1"/>
  <c r="R2025" i="8" s="1"/>
  <c r="Q1671" i="8"/>
  <c r="R1671" i="8" s="1"/>
  <c r="R1673" i="8" s="1"/>
  <c r="Q1245" i="8"/>
  <c r="R1245" i="8" s="1"/>
  <c r="R1247" i="8" s="1"/>
  <c r="Q1720" i="8"/>
  <c r="R1720" i="8" s="1"/>
  <c r="R1722" i="8" s="1"/>
  <c r="Q1776" i="8"/>
  <c r="R1776" i="8" s="1"/>
  <c r="R1778" i="8" s="1"/>
  <c r="Q1790" i="8"/>
  <c r="R1790" i="8" s="1"/>
  <c r="R1792" i="8" s="1"/>
  <c r="Q2079" i="8"/>
  <c r="R2079" i="8" s="1"/>
  <c r="R2081" i="8" s="1"/>
  <c r="Q2037" i="8"/>
  <c r="R2037" i="8" s="1"/>
  <c r="R2039" i="8" s="1"/>
  <c r="Q2051" i="8"/>
  <c r="R2051" i="8" s="1"/>
  <c r="R2053" i="8" s="1"/>
  <c r="Q1402" i="8"/>
  <c r="R1402" i="8" s="1"/>
  <c r="R1404" i="8" s="1"/>
  <c r="Q1280" i="8"/>
  <c r="R1280" i="8" s="1"/>
  <c r="R1282" i="8" s="1"/>
  <c r="Q1955" i="8"/>
  <c r="R1955" i="8" s="1"/>
  <c r="R1957" i="8" s="1"/>
  <c r="Q1287" i="8"/>
  <c r="R1287" i="8" s="1"/>
  <c r="R1289" i="8" s="1"/>
  <c r="Q1699" i="8"/>
  <c r="R1699" i="8" s="1"/>
  <c r="R1701" i="8" s="1"/>
  <c r="Q1713" i="8"/>
  <c r="R1713" i="8" s="1"/>
  <c r="R1715" i="8" s="1"/>
  <c r="Q2161" i="8"/>
  <c r="R2161" i="8" s="1"/>
  <c r="R2174" i="8" s="1"/>
  <c r="Q1969" i="8"/>
  <c r="R1969" i="8" s="1"/>
  <c r="R1971" i="8" s="1"/>
  <c r="Q1962" i="8"/>
  <c r="R1962" i="8" s="1"/>
  <c r="R1964" i="8" s="1"/>
  <c r="Q1941" i="8"/>
  <c r="R1941" i="8" s="1"/>
  <c r="R1943" i="8" s="1"/>
  <c r="Q1692" i="8"/>
  <c r="R1692" i="8" s="1"/>
  <c r="R1694" i="8" s="1"/>
  <c r="Q1734" i="8"/>
  <c r="R1734" i="8" s="1"/>
  <c r="R1736" i="8" s="1"/>
  <c r="Q1238" i="8"/>
  <c r="R1238" i="8" s="1"/>
  <c r="R1240" i="8" s="1"/>
  <c r="Q1948" i="8"/>
  <c r="R1948" i="8" s="1"/>
  <c r="R1950" i="8" s="1"/>
  <c r="Q2058" i="8"/>
  <c r="R2058" i="8" s="1"/>
  <c r="R2060" i="8" s="1"/>
  <c r="Q1259" i="8"/>
  <c r="R1259" i="8" s="1"/>
  <c r="R1261" i="8" s="1"/>
  <c r="Q2086" i="8"/>
  <c r="R2086" i="8" s="1"/>
  <c r="R2088" i="8" s="1"/>
  <c r="Q2065" i="8"/>
  <c r="R2065" i="8" s="1"/>
  <c r="R2067" i="8" s="1"/>
  <c r="Q1657" i="8"/>
  <c r="R1657" i="8" s="1"/>
  <c r="R1659" i="8" s="1"/>
  <c r="Q1252" i="8"/>
  <c r="R1252" i="8" s="1"/>
  <c r="R1254" i="8" s="1"/>
  <c r="AM2539" i="8"/>
  <c r="AO2539" i="8" s="1"/>
  <c r="E2539" i="8"/>
  <c r="E677" i="28" s="1"/>
  <c r="F677" i="28" s="1"/>
  <c r="AM1614" i="8"/>
  <c r="AO1614" i="8" s="1"/>
  <c r="E1614" i="8"/>
  <c r="E525" i="28" s="1"/>
  <c r="F525" i="28" s="1"/>
  <c r="Q6033" i="8"/>
  <c r="R6033" i="8" s="1"/>
  <c r="Q6177" i="8"/>
  <c r="R6177" i="8" s="1"/>
  <c r="Q5608" i="8"/>
  <c r="R5608" i="8" s="1"/>
  <c r="Q5794" i="8"/>
  <c r="R5794" i="8" s="1"/>
  <c r="Q5666" i="8"/>
  <c r="R5666" i="8" s="1"/>
  <c r="Q6421" i="8"/>
  <c r="R6421" i="8" s="1"/>
  <c r="Q5917" i="8"/>
  <c r="R5917" i="8" s="1"/>
  <c r="Q6470" i="8"/>
  <c r="R6470" i="8" s="1"/>
  <c r="Q6348" i="8"/>
  <c r="R6348" i="8" s="1"/>
  <c r="Q5904" i="8"/>
  <c r="R5904" i="8" s="1"/>
  <c r="Q6070" i="8"/>
  <c r="R6070" i="8" s="1"/>
  <c r="Q6265" i="8"/>
  <c r="R6265" i="8" s="1"/>
  <c r="Q5706" i="8"/>
  <c r="R5706" i="8" s="1"/>
  <c r="Q5930" i="8"/>
  <c r="R5930" i="8" s="1"/>
  <c r="Q6544" i="8"/>
  <c r="R6544" i="8" s="1"/>
  <c r="Q6001" i="8"/>
  <c r="R6001" i="8" s="1"/>
  <c r="Q6278" i="8"/>
  <c r="R6278" i="8" s="1"/>
  <c r="Q5737" i="8"/>
  <c r="R5737" i="8" s="1"/>
  <c r="Q6588" i="8"/>
  <c r="R6588" i="8" s="1"/>
  <c r="Q5759" i="8"/>
  <c r="R5759" i="8" s="1"/>
  <c r="Q6566" i="8"/>
  <c r="R6566" i="8" s="1"/>
  <c r="AM2911" i="8"/>
  <c r="AO2911" i="8" s="1"/>
  <c r="E2911" i="8"/>
  <c r="E743" i="28" s="1"/>
  <c r="F743" i="28" s="1"/>
  <c r="T6352" i="8"/>
  <c r="AN6345" i="8" s="1"/>
  <c r="T5612" i="8"/>
  <c r="AN5605" i="8" s="1"/>
  <c r="T5934" i="8"/>
  <c r="AN5927" i="8" s="1"/>
  <c r="T6061" i="8"/>
  <c r="AN6052" i="8" s="1"/>
  <c r="S4813" i="8"/>
  <c r="T4813" i="8" s="1"/>
  <c r="T4815" i="8" s="1"/>
  <c r="AN4810" i="8" s="1"/>
  <c r="S4305" i="8"/>
  <c r="T4305" i="8" s="1"/>
  <c r="T4307" i="8" s="1"/>
  <c r="AN4302" i="8" s="1"/>
  <c r="S4792" i="8"/>
  <c r="T4792" i="8" s="1"/>
  <c r="T4794" i="8" s="1"/>
  <c r="AN4789" i="8" s="1"/>
  <c r="S4298" i="8"/>
  <c r="T4298" i="8" s="1"/>
  <c r="T4300" i="8" s="1"/>
  <c r="AN4295" i="8" s="1"/>
  <c r="S3511" i="8"/>
  <c r="T3511" i="8" s="1"/>
  <c r="T3513" i="8" s="1"/>
  <c r="AN3508" i="8" s="1"/>
  <c r="S4605" i="8"/>
  <c r="T4605" i="8" s="1"/>
  <c r="T4607" i="8" s="1"/>
  <c r="AN4602" i="8" s="1"/>
  <c r="S3546" i="8"/>
  <c r="T3546" i="8" s="1"/>
  <c r="T3548" i="8" s="1"/>
  <c r="AN3543" i="8" s="1"/>
  <c r="S4598" i="8"/>
  <c r="T4598" i="8" s="1"/>
  <c r="T4600" i="8" s="1"/>
  <c r="AN4595" i="8" s="1"/>
  <c r="S4647" i="8"/>
  <c r="T4647" i="8" s="1"/>
  <c r="S4463" i="8"/>
  <c r="T4463" i="8" s="1"/>
  <c r="T4465" i="8" s="1"/>
  <c r="AN4460" i="8" s="1"/>
  <c r="S4834" i="8"/>
  <c r="T4834" i="8" s="1"/>
  <c r="T4836" i="8" s="1"/>
  <c r="AN4831" i="8" s="1"/>
  <c r="S3504" i="8"/>
  <c r="T3504" i="8" s="1"/>
  <c r="S3560" i="8"/>
  <c r="T3560" i="8" s="1"/>
  <c r="T3562" i="8" s="1"/>
  <c r="AN3557" i="8" s="1"/>
  <c r="S4799" i="8"/>
  <c r="T4799" i="8" s="1"/>
  <c r="T4801" i="8" s="1"/>
  <c r="AN4796" i="8" s="1"/>
  <c r="S4612" i="8"/>
  <c r="T4612" i="8" s="1"/>
  <c r="T4614" i="8" s="1"/>
  <c r="AN4609" i="8" s="1"/>
  <c r="S4591" i="8"/>
  <c r="T4591" i="8" s="1"/>
  <c r="T4593" i="8" s="1"/>
  <c r="AN4588" i="8" s="1"/>
  <c r="S3532" i="8"/>
  <c r="T3532" i="8" s="1"/>
  <c r="T3534" i="8" s="1"/>
  <c r="AN3529" i="8" s="1"/>
  <c r="S4456" i="8"/>
  <c r="T4456" i="8" s="1"/>
  <c r="T4458" i="8" s="1"/>
  <c r="AN4453" i="8" s="1"/>
  <c r="S4841" i="8"/>
  <c r="T4841" i="8" s="1"/>
  <c r="T4843" i="8" s="1"/>
  <c r="AN4838" i="8" s="1"/>
  <c r="S4449" i="8"/>
  <c r="T4449" i="8" s="1"/>
  <c r="T4451" i="8" s="1"/>
  <c r="AN4446" i="8" s="1"/>
  <c r="S4470" i="8"/>
  <c r="T4470" i="8" s="1"/>
  <c r="T4472" i="8" s="1"/>
  <c r="AN4467" i="8" s="1"/>
  <c r="S3518" i="8"/>
  <c r="T3518" i="8" s="1"/>
  <c r="T3520" i="8" s="1"/>
  <c r="AN3515" i="8" s="1"/>
  <c r="S3567" i="8"/>
  <c r="T3567" i="8" s="1"/>
  <c r="T3569" i="8" s="1"/>
  <c r="AN3564" i="8" s="1"/>
  <c r="S4291" i="8"/>
  <c r="T4291" i="8" s="1"/>
  <c r="T4293" i="8" s="1"/>
  <c r="AN4288" i="8" s="1"/>
  <c r="S4442" i="8"/>
  <c r="T4442" i="8" s="1"/>
  <c r="T4444" i="8" s="1"/>
  <c r="AN4439" i="8" s="1"/>
  <c r="S4654" i="8"/>
  <c r="T4654" i="8" s="1"/>
  <c r="S4435" i="8"/>
  <c r="T4435" i="8" s="1"/>
  <c r="T4437" i="8" s="1"/>
  <c r="AN4432" i="8" s="1"/>
  <c r="S4932" i="8"/>
  <c r="T4932" i="8" s="1"/>
  <c r="T4935" i="8" s="1"/>
  <c r="AN4929" i="8" s="1"/>
  <c r="S3553" i="8"/>
  <c r="T3553" i="8" s="1"/>
  <c r="T3555" i="8" s="1"/>
  <c r="AN3550" i="8" s="1"/>
  <c r="S4428" i="8"/>
  <c r="T4428" i="8" s="1"/>
  <c r="T4430" i="8" s="1"/>
  <c r="AN4425" i="8" s="1"/>
  <c r="S4820" i="8"/>
  <c r="T4820" i="8" s="1"/>
  <c r="T4822" i="8" s="1"/>
  <c r="AN4817" i="8" s="1"/>
  <c r="S4421" i="8"/>
  <c r="T4421" i="8" s="1"/>
  <c r="T4423" i="8" s="1"/>
  <c r="AN4418" i="8" s="1"/>
  <c r="S3539" i="8"/>
  <c r="T3539" i="8" s="1"/>
  <c r="T3541" i="8" s="1"/>
  <c r="AN3536" i="8" s="1"/>
  <c r="S4284" i="8"/>
  <c r="T4284" i="8" s="1"/>
  <c r="T4286" i="8" s="1"/>
  <c r="AN4281" i="8" s="1"/>
  <c r="S4827" i="8"/>
  <c r="T4827" i="8" s="1"/>
  <c r="T4829" i="8" s="1"/>
  <c r="AN4824" i="8" s="1"/>
  <c r="S4319" i="8"/>
  <c r="T4319" i="8" s="1"/>
  <c r="T4321" i="8" s="1"/>
  <c r="AN4316" i="8" s="1"/>
  <c r="S4806" i="8"/>
  <c r="T4806" i="8" s="1"/>
  <c r="T4808" i="8" s="1"/>
  <c r="AN4803" i="8" s="1"/>
  <c r="S4312" i="8"/>
  <c r="T4312" i="8" s="1"/>
  <c r="T4314" i="8" s="1"/>
  <c r="AN4309" i="8" s="1"/>
  <c r="S3525" i="8"/>
  <c r="T3525" i="8" s="1"/>
  <c r="T3527" i="8" s="1"/>
  <c r="AN3522" i="8" s="1"/>
  <c r="S4277" i="8"/>
  <c r="T4277" i="8" s="1"/>
  <c r="T4279" i="8" s="1"/>
  <c r="AN4274" i="8" s="1"/>
  <c r="S4270" i="8"/>
  <c r="T4270" i="8" s="1"/>
  <c r="T4272" i="8" s="1"/>
  <c r="AN4267" i="8" s="1"/>
  <c r="Q4827" i="8"/>
  <c r="R4827" i="8" s="1"/>
  <c r="R4829" i="8" s="1"/>
  <c r="Q4932" i="8"/>
  <c r="R4932" i="8" s="1"/>
  <c r="R4935" i="8" s="1"/>
  <c r="Q4284" i="8"/>
  <c r="R4284" i="8" s="1"/>
  <c r="R4286" i="8" s="1"/>
  <c r="Q4605" i="8"/>
  <c r="R4605" i="8" s="1"/>
  <c r="R4607" i="8" s="1"/>
  <c r="Q3546" i="8"/>
  <c r="R3546" i="8" s="1"/>
  <c r="R3548" i="8" s="1"/>
  <c r="Q3567" i="8"/>
  <c r="R3567" i="8" s="1"/>
  <c r="R3569" i="8" s="1"/>
  <c r="Q4813" i="8"/>
  <c r="R4813" i="8" s="1"/>
  <c r="R4815" i="8" s="1"/>
  <c r="Q4456" i="8"/>
  <c r="R4456" i="8" s="1"/>
  <c r="R4458" i="8" s="1"/>
  <c r="Q4841" i="8"/>
  <c r="R4841" i="8" s="1"/>
  <c r="R4843" i="8" s="1"/>
  <c r="Q4591" i="8"/>
  <c r="R4591" i="8" s="1"/>
  <c r="R4593" i="8" s="1"/>
  <c r="Q3532" i="8"/>
  <c r="R3532" i="8" s="1"/>
  <c r="R3534" i="8" s="1"/>
  <c r="Q3553" i="8"/>
  <c r="R3553" i="8" s="1"/>
  <c r="R3555" i="8" s="1"/>
  <c r="Q4799" i="8"/>
  <c r="R4799" i="8" s="1"/>
  <c r="R4801" i="8" s="1"/>
  <c r="Q4442" i="8"/>
  <c r="R4442" i="8" s="1"/>
  <c r="R4444" i="8" s="1"/>
  <c r="Q4654" i="8"/>
  <c r="R4654" i="8" s="1"/>
  <c r="Q4298" i="8"/>
  <c r="R4298" i="8" s="1"/>
  <c r="R4300" i="8" s="1"/>
  <c r="Q3518" i="8"/>
  <c r="R3518" i="8" s="1"/>
  <c r="R3520" i="8" s="1"/>
  <c r="Q4612" i="8"/>
  <c r="R4612" i="8" s="1"/>
  <c r="R4614" i="8" s="1"/>
  <c r="Q4428" i="8"/>
  <c r="R4428" i="8" s="1"/>
  <c r="R4430" i="8" s="1"/>
  <c r="Q4312" i="8"/>
  <c r="R4312" i="8" s="1"/>
  <c r="R4314" i="8" s="1"/>
  <c r="Q4647" i="8"/>
  <c r="R4647" i="8" s="1"/>
  <c r="Q3504" i="8"/>
  <c r="R3504" i="8" s="1"/>
  <c r="Q4598" i="8"/>
  <c r="R4598" i="8" s="1"/>
  <c r="R4600" i="8" s="1"/>
  <c r="Q4319" i="8"/>
  <c r="R4319" i="8" s="1"/>
  <c r="R4321" i="8" s="1"/>
  <c r="Q4421" i="8"/>
  <c r="R4421" i="8" s="1"/>
  <c r="R4423" i="8" s="1"/>
  <c r="Q4834" i="8"/>
  <c r="R4834" i="8" s="1"/>
  <c r="R4836" i="8" s="1"/>
  <c r="Q4463" i="8"/>
  <c r="R4463" i="8" s="1"/>
  <c r="R4465" i="8" s="1"/>
  <c r="Q4305" i="8"/>
  <c r="R4305" i="8" s="1"/>
  <c r="R4307" i="8" s="1"/>
  <c r="Q4820" i="8"/>
  <c r="R4820" i="8" s="1"/>
  <c r="R4822" i="8" s="1"/>
  <c r="Q4470" i="8"/>
  <c r="R4470" i="8" s="1"/>
  <c r="R4472" i="8" s="1"/>
  <c r="Q3539" i="8"/>
  <c r="R3539" i="8" s="1"/>
  <c r="R3541" i="8" s="1"/>
  <c r="Q4435" i="8"/>
  <c r="R4435" i="8" s="1"/>
  <c r="R4437" i="8" s="1"/>
  <c r="Q4291" i="8"/>
  <c r="R4291" i="8" s="1"/>
  <c r="R4293" i="8" s="1"/>
  <c r="Q4806" i="8"/>
  <c r="R4806" i="8" s="1"/>
  <c r="R4808" i="8" s="1"/>
  <c r="Q3525" i="8"/>
  <c r="R3525" i="8" s="1"/>
  <c r="R3527" i="8" s="1"/>
  <c r="Q4449" i="8"/>
  <c r="R4449" i="8" s="1"/>
  <c r="R4451" i="8" s="1"/>
  <c r="Q4270" i="8"/>
  <c r="R4270" i="8" s="1"/>
  <c r="R4272" i="8" s="1"/>
  <c r="Q4277" i="8"/>
  <c r="R4277" i="8" s="1"/>
  <c r="R4279" i="8" s="1"/>
  <c r="Q4792" i="8"/>
  <c r="R4792" i="8" s="1"/>
  <c r="R4794" i="8" s="1"/>
  <c r="Q3560" i="8"/>
  <c r="R3560" i="8" s="1"/>
  <c r="R3562" i="8" s="1"/>
  <c r="Q3511" i="8"/>
  <c r="R3511" i="8" s="1"/>
  <c r="R3513" i="8" s="1"/>
  <c r="F188" i="32" l="1"/>
  <c r="E1078" i="32" s="1"/>
  <c r="F824" i="32"/>
  <c r="E1103" i="32" s="1"/>
  <c r="F101" i="32"/>
  <c r="E1076" i="32" s="1"/>
  <c r="F620" i="32"/>
  <c r="E1095" i="32" s="1"/>
  <c r="F1097" i="32" s="1"/>
  <c r="D34" i="31" s="1"/>
  <c r="E1104" i="32"/>
  <c r="F63" i="32"/>
  <c r="E1075" i="32" s="1"/>
  <c r="F251" i="32"/>
  <c r="E1080" i="32" s="1"/>
  <c r="E1082" i="32"/>
  <c r="E402" i="28"/>
  <c r="F402" i="28" s="1"/>
  <c r="E408" i="28"/>
  <c r="F408" i="28" s="1"/>
  <c r="E404" i="28"/>
  <c r="F404" i="28" s="1"/>
  <c r="E875" i="8"/>
  <c r="AG875" i="8" s="1"/>
  <c r="E770" i="8"/>
  <c r="AG770" i="8" s="1"/>
  <c r="E1014" i="8"/>
  <c r="AG1014" i="8" s="1"/>
  <c r="E979" i="8"/>
  <c r="AG979" i="8" s="1"/>
  <c r="E965" i="8"/>
  <c r="AG965" i="8" s="1"/>
  <c r="E951" i="8"/>
  <c r="AG951" i="8" s="1"/>
  <c r="AM896" i="8"/>
  <c r="AO896" i="8" s="1"/>
  <c r="E896" i="8"/>
  <c r="AG896" i="8" s="1"/>
  <c r="E861" i="8"/>
  <c r="AG861" i="8" s="1"/>
  <c r="E854" i="8"/>
  <c r="AG854" i="8" s="1"/>
  <c r="E847" i="8"/>
  <c r="AG847" i="8" s="1"/>
  <c r="E840" i="8"/>
  <c r="AG840" i="8" s="1"/>
  <c r="E826" i="8"/>
  <c r="AG826" i="8" s="1"/>
  <c r="E819" i="8"/>
  <c r="AG819" i="8" s="1"/>
  <c r="E805" i="8"/>
  <c r="AG805" i="8" s="1"/>
  <c r="E735" i="8"/>
  <c r="AG735" i="8" s="1"/>
  <c r="E677" i="8"/>
  <c r="AG677" i="8" s="1"/>
  <c r="T677" i="8"/>
  <c r="E670" i="8"/>
  <c r="AG670" i="8" s="1"/>
  <c r="E391" i="28"/>
  <c r="F391" i="28" s="1"/>
  <c r="E833" i="8"/>
  <c r="AG833" i="8" s="1"/>
  <c r="E812" i="8"/>
  <c r="AG812" i="8" s="1"/>
  <c r="E392" i="28"/>
  <c r="F392" i="28" s="1"/>
  <c r="E777" i="8"/>
  <c r="AG777" i="8" s="1"/>
  <c r="E749" i="8"/>
  <c r="AG749" i="8" s="1"/>
  <c r="E742" i="8"/>
  <c r="AG742" i="8" s="1"/>
  <c r="AN726" i="8"/>
  <c r="E691" i="8"/>
  <c r="AG691" i="8" s="1"/>
  <c r="E684" i="8"/>
  <c r="AG684" i="8" s="1"/>
  <c r="E390" i="28"/>
  <c r="F390" i="28" s="1"/>
  <c r="AM805" i="8"/>
  <c r="AO805" i="8" s="1"/>
  <c r="F11117" i="8"/>
  <c r="T11117" i="8" s="1"/>
  <c r="AG11223" i="8"/>
  <c r="AI11223" i="8" s="1"/>
  <c r="AJ11223" i="8" s="1"/>
  <c r="F11033" i="8"/>
  <c r="T11033" i="8" s="1"/>
  <c r="AG3066" i="8"/>
  <c r="F3066" i="8"/>
  <c r="T3066" i="8" s="1"/>
  <c r="E3017" i="8"/>
  <c r="E762" i="28" s="1"/>
  <c r="F762" i="28" s="1"/>
  <c r="AM3031" i="8"/>
  <c r="AO3031" i="8" s="1"/>
  <c r="E3031" i="8"/>
  <c r="E764" i="28" s="1"/>
  <c r="F764" i="28" s="1"/>
  <c r="AG1564" i="8"/>
  <c r="AI1564" i="8" s="1"/>
  <c r="AJ1564" i="8" s="1"/>
  <c r="F1564" i="8"/>
  <c r="T1564" i="8" s="1"/>
  <c r="AG1582" i="8"/>
  <c r="F1582" i="8"/>
  <c r="T1582" i="8" s="1"/>
  <c r="E517" i="28"/>
  <c r="F517" i="28" s="1"/>
  <c r="F1571" i="8"/>
  <c r="T1571" i="8" s="1"/>
  <c r="AG1571" i="8"/>
  <c r="E1042" i="8"/>
  <c r="E427" i="28" s="1"/>
  <c r="F427" i="28" s="1"/>
  <c r="R949" i="8"/>
  <c r="AM972" i="8"/>
  <c r="AO972" i="8" s="1"/>
  <c r="E972" i="8"/>
  <c r="F972" i="8" s="1"/>
  <c r="T972" i="8" s="1"/>
  <c r="AG11033" i="8"/>
  <c r="AI11033" i="8" s="1"/>
  <c r="AJ11033" i="8" s="1"/>
  <c r="R720" i="8"/>
  <c r="AH11019" i="8"/>
  <c r="AM684" i="8"/>
  <c r="AO684" i="8" s="1"/>
  <c r="AM691" i="8"/>
  <c r="AO691" i="8" s="1"/>
  <c r="AG11117" i="8"/>
  <c r="AH11117" i="8" s="1"/>
  <c r="AM670" i="8"/>
  <c r="AO670" i="8" s="1"/>
  <c r="R642" i="8"/>
  <c r="F11223" i="8"/>
  <c r="T11223" i="8" s="1"/>
  <c r="F3875" i="8"/>
  <c r="T3875" i="8" s="1"/>
  <c r="AG3294" i="8"/>
  <c r="AI3294" i="8" s="1"/>
  <c r="F5314" i="8"/>
  <c r="T5314" i="8" s="1"/>
  <c r="F7301" i="8"/>
  <c r="T7301" i="8" s="1"/>
  <c r="T7375" i="8" s="1"/>
  <c r="F3654" i="8"/>
  <c r="T3654" i="8" s="1"/>
  <c r="AG5212" i="8"/>
  <c r="AI5212" i="8" s="1"/>
  <c r="AJ5212" i="8" s="1"/>
  <c r="AG3301" i="8"/>
  <c r="AI3301" i="8" s="1"/>
  <c r="AG4581" i="8"/>
  <c r="AI4581" i="8" s="1"/>
  <c r="F3238" i="8"/>
  <c r="T3238" i="8" s="1"/>
  <c r="F5476" i="8"/>
  <c r="T5476" i="8" s="1"/>
  <c r="AG3768" i="8"/>
  <c r="AH3768" i="8" s="1"/>
  <c r="F4260" i="8"/>
  <c r="T4260" i="8" s="1"/>
  <c r="AG5342" i="8"/>
  <c r="AH5342" i="8" s="1"/>
  <c r="F11209" i="8"/>
  <c r="T11209" i="8" s="1"/>
  <c r="F11026" i="8"/>
  <c r="T11026" i="8" s="1"/>
  <c r="AK11321" i="8"/>
  <c r="AG11026" i="8"/>
  <c r="AI11026" i="8" s="1"/>
  <c r="AJ11026" i="8" s="1"/>
  <c r="AG11216" i="8"/>
  <c r="AI11216" i="8" s="1"/>
  <c r="AJ11216" i="8" s="1"/>
  <c r="R11409" i="8"/>
  <c r="AI11131" i="8"/>
  <c r="AJ11131" i="8" s="1"/>
  <c r="AG11209" i="8"/>
  <c r="AI11209" i="8" s="1"/>
  <c r="AJ11209" i="8" s="1"/>
  <c r="AH11321" i="8"/>
  <c r="AH11202" i="8"/>
  <c r="F11216" i="8"/>
  <c r="T11216" i="8" s="1"/>
  <c r="AK11202" i="8"/>
  <c r="AK11300" i="8"/>
  <c r="AH11300" i="8"/>
  <c r="R1136" i="11"/>
  <c r="AD165" i="1"/>
  <c r="S119" i="1"/>
  <c r="AE119" i="1" s="1"/>
  <c r="AF119" i="1"/>
  <c r="S109" i="1"/>
  <c r="AE109" i="1" s="1"/>
  <c r="AF109" i="1"/>
  <c r="B26" i="1"/>
  <c r="E26" i="1"/>
  <c r="AO990" i="8"/>
  <c r="AO5543" i="8"/>
  <c r="Q2396" i="8"/>
  <c r="R2396" i="8" s="1"/>
  <c r="R2398" i="8" s="1"/>
  <c r="AM2393" i="8" s="1"/>
  <c r="AO2393" i="8" s="1"/>
  <c r="Q2382" i="8"/>
  <c r="R2382" i="8" s="1"/>
  <c r="R2384" i="8" s="1"/>
  <c r="AM2379" i="8" s="1"/>
  <c r="AO2379" i="8" s="1"/>
  <c r="Q2368" i="8"/>
  <c r="R2368" i="8" s="1"/>
  <c r="R2370" i="8" s="1"/>
  <c r="AM2365" i="8" s="1"/>
  <c r="AO2365" i="8" s="1"/>
  <c r="Q2354" i="8"/>
  <c r="R2354" i="8" s="1"/>
  <c r="R2356" i="8" s="1"/>
  <c r="AM2351" i="8" s="1"/>
  <c r="AO2351" i="8" s="1"/>
  <c r="Q2340" i="8"/>
  <c r="R2340" i="8" s="1"/>
  <c r="R2342" i="8" s="1"/>
  <c r="AM2337" i="8" s="1"/>
  <c r="AO2337" i="8" s="1"/>
  <c r="Q2326" i="8"/>
  <c r="R2326" i="8" s="1"/>
  <c r="R2328" i="8" s="1"/>
  <c r="AM2323" i="8" s="1"/>
  <c r="AO2323" i="8" s="1"/>
  <c r="Q2375" i="8"/>
  <c r="R2375" i="8" s="1"/>
  <c r="R2377" i="8" s="1"/>
  <c r="AM2372" i="8" s="1"/>
  <c r="AO2372" i="8" s="1"/>
  <c r="Q2361" i="8"/>
  <c r="R2361" i="8" s="1"/>
  <c r="R2363" i="8" s="1"/>
  <c r="AM2358" i="8" s="1"/>
  <c r="AO2358" i="8" s="1"/>
  <c r="Q2347" i="8"/>
  <c r="R2347" i="8" s="1"/>
  <c r="R2349" i="8" s="1"/>
  <c r="AM2344" i="8" s="1"/>
  <c r="AO2344" i="8" s="1"/>
  <c r="Q2333" i="8"/>
  <c r="R2333" i="8" s="1"/>
  <c r="R2335" i="8" s="1"/>
  <c r="E2330" i="8" s="1"/>
  <c r="E642" i="28" s="1"/>
  <c r="F642" i="28" s="1"/>
  <c r="Q2319" i="8"/>
  <c r="R2319" i="8" s="1"/>
  <c r="R2321" i="8" s="1"/>
  <c r="AM2316" i="8" s="1"/>
  <c r="AO2316" i="8" s="1"/>
  <c r="Q2389" i="8"/>
  <c r="R2389" i="8" s="1"/>
  <c r="R2391" i="8" s="1"/>
  <c r="AM2386" i="8" s="1"/>
  <c r="AO2386" i="8" s="1"/>
  <c r="R1147" i="8"/>
  <c r="R1149" i="8" s="1"/>
  <c r="E1144" i="8" s="1"/>
  <c r="E447" i="28" s="1"/>
  <c r="F447" i="28" s="1"/>
  <c r="R1168" i="8"/>
  <c r="R1170" i="8" s="1"/>
  <c r="E1165" i="8" s="1"/>
  <c r="E450" i="28" s="1"/>
  <c r="F450" i="28" s="1"/>
  <c r="R1175" i="8"/>
  <c r="R1177" i="8" s="1"/>
  <c r="E1172" i="8" s="1"/>
  <c r="E451" i="28" s="1"/>
  <c r="F451" i="28" s="1"/>
  <c r="R1161" i="8"/>
  <c r="R1163" i="8" s="1"/>
  <c r="AM1158" i="8" s="1"/>
  <c r="AO1158" i="8" s="1"/>
  <c r="R1154" i="8"/>
  <c r="R1156" i="8" s="1"/>
  <c r="E1151" i="8" s="1"/>
  <c r="E448" i="28" s="1"/>
  <c r="F448" i="28" s="1"/>
  <c r="R1133" i="8"/>
  <c r="R1135" i="8" s="1"/>
  <c r="E1130" i="8" s="1"/>
  <c r="E445" i="28" s="1"/>
  <c r="F445" i="28" s="1"/>
  <c r="R1140" i="8"/>
  <c r="R1142" i="8" s="1"/>
  <c r="AM1137" i="8" s="1"/>
  <c r="AO1137" i="8" s="1"/>
  <c r="F6731" i="8"/>
  <c r="T6731" i="8" s="1"/>
  <c r="AG6731" i="8"/>
  <c r="AI6731" i="8" s="1"/>
  <c r="AJ6731" i="8" s="1"/>
  <c r="R599" i="8"/>
  <c r="AG590" i="8"/>
  <c r="AG559" i="8" s="1"/>
  <c r="E562" i="8"/>
  <c r="T1136" i="11"/>
  <c r="T11541" i="8"/>
  <c r="T11544" i="8" s="1"/>
  <c r="T11482" i="8"/>
  <c r="R11540" i="8"/>
  <c r="R11544" i="8" s="1"/>
  <c r="R11482" i="8"/>
  <c r="F8788" i="8"/>
  <c r="T8788" i="8" s="1"/>
  <c r="F8809" i="8"/>
  <c r="T8809" i="8" s="1"/>
  <c r="F8200" i="8"/>
  <c r="T8200" i="8" s="1"/>
  <c r="F8795" i="8"/>
  <c r="T8795" i="8" s="1"/>
  <c r="AG8428" i="8"/>
  <c r="AI8428" i="8" s="1"/>
  <c r="AG8186" i="8"/>
  <c r="AI8186" i="8" s="1"/>
  <c r="F9235" i="8"/>
  <c r="T9235" i="8" s="1"/>
  <c r="AG8386" i="8"/>
  <c r="AH8386" i="8" s="1"/>
  <c r="AG8207" i="8"/>
  <c r="AI8207" i="8" s="1"/>
  <c r="F9221" i="8"/>
  <c r="T9221" i="8" s="1"/>
  <c r="AG8816" i="8"/>
  <c r="AI8816" i="8" s="1"/>
  <c r="AG9204" i="8"/>
  <c r="AI9204" i="8" s="1"/>
  <c r="F8221" i="8"/>
  <c r="T8221" i="8" s="1"/>
  <c r="AG8414" i="8"/>
  <c r="AI8414" i="8" s="1"/>
  <c r="F8802" i="8"/>
  <c r="T8802" i="8" s="1"/>
  <c r="AG9214" i="8"/>
  <c r="AI9214" i="8" s="1"/>
  <c r="F8172" i="8"/>
  <c r="T8172" i="8" s="1"/>
  <c r="AG8837" i="8"/>
  <c r="AH8837" i="8" s="1"/>
  <c r="F8400" i="8"/>
  <c r="T8400" i="8" s="1"/>
  <c r="AG8844" i="8"/>
  <c r="AH8844" i="8" s="1"/>
  <c r="F8228" i="8"/>
  <c r="T8228" i="8" s="1"/>
  <c r="AG9228" i="8"/>
  <c r="AH9228" i="8" s="1"/>
  <c r="AG8400" i="8"/>
  <c r="AI8400" i="8" s="1"/>
  <c r="F8428" i="8"/>
  <c r="T8428" i="8" s="1"/>
  <c r="F9228" i="8"/>
  <c r="T9228" i="8" s="1"/>
  <c r="F8414" i="8"/>
  <c r="T8414" i="8" s="1"/>
  <c r="AG8802" i="8"/>
  <c r="AH8802" i="8" s="1"/>
  <c r="AI10180" i="8"/>
  <c r="AH10180" i="8"/>
  <c r="AI10126" i="8"/>
  <c r="AH10126" i="8"/>
  <c r="AI10173" i="8"/>
  <c r="AH10173" i="8"/>
  <c r="AI10234" i="8"/>
  <c r="AH10234" i="8"/>
  <c r="AI10287" i="8"/>
  <c r="AH10287" i="8"/>
  <c r="AI10227" i="8"/>
  <c r="AH10227" i="8"/>
  <c r="F10367" i="8"/>
  <c r="G1096" i="32" s="1"/>
  <c r="T10287" i="8"/>
  <c r="T10367" i="8" s="1"/>
  <c r="F8837" i="8"/>
  <c r="T8837" i="8" s="1"/>
  <c r="AM7070" i="8"/>
  <c r="AO7070" i="8" s="1"/>
  <c r="E7070" i="8"/>
  <c r="E1408" i="28" s="1"/>
  <c r="F1408" i="28" s="1"/>
  <c r="AG8788" i="8"/>
  <c r="AI8788" i="8" s="1"/>
  <c r="F9204" i="8"/>
  <c r="T9204" i="8" s="1"/>
  <c r="AG9221" i="8"/>
  <c r="AI9221" i="8" s="1"/>
  <c r="AG8221" i="8"/>
  <c r="AH8221" i="8" s="1"/>
  <c r="AG8795" i="8"/>
  <c r="AI8795" i="8" s="1"/>
  <c r="F8386" i="8"/>
  <c r="T8386" i="8" s="1"/>
  <c r="R6665" i="8"/>
  <c r="AM6655" i="8" s="1"/>
  <c r="AO6655" i="8" s="1"/>
  <c r="R7064" i="8"/>
  <c r="AG8172" i="8"/>
  <c r="AH8172" i="8" s="1"/>
  <c r="AG8228" i="8"/>
  <c r="AI8228" i="8" s="1"/>
  <c r="AG8200" i="8"/>
  <c r="AI8200" i="8" s="1"/>
  <c r="F9214" i="8"/>
  <c r="T9214" i="8" s="1"/>
  <c r="F8816" i="8"/>
  <c r="T8816" i="8" s="1"/>
  <c r="AG9235" i="8"/>
  <c r="AH9235" i="8" s="1"/>
  <c r="F8844" i="8"/>
  <c r="T8844" i="8" s="1"/>
  <c r="R9803" i="8"/>
  <c r="F8207" i="8"/>
  <c r="T8207" i="8" s="1"/>
  <c r="AG8809" i="8"/>
  <c r="AI8809" i="8" s="1"/>
  <c r="F8186" i="8"/>
  <c r="T8186" i="8" s="1"/>
  <c r="AG10080" i="8"/>
  <c r="AI10080" i="8" s="1"/>
  <c r="AJ10080" i="8" s="1"/>
  <c r="F10080" i="8"/>
  <c r="F10115" i="8"/>
  <c r="T10115" i="8" s="1"/>
  <c r="AG10115" i="8"/>
  <c r="AI10115" i="8" s="1"/>
  <c r="AJ10115" i="8" s="1"/>
  <c r="AH11314" i="8"/>
  <c r="AK11314" i="8"/>
  <c r="T11403" i="8"/>
  <c r="AI11307" i="8"/>
  <c r="AJ11307" i="8" s="1"/>
  <c r="AH11307" i="8"/>
  <c r="F11403" i="8"/>
  <c r="AH11124" i="8"/>
  <c r="AK11124" i="8"/>
  <c r="AI11110" i="8"/>
  <c r="AJ11110" i="8" s="1"/>
  <c r="AH11110" i="8"/>
  <c r="AK11019" i="8"/>
  <c r="T11012" i="8"/>
  <c r="AI11012" i="8"/>
  <c r="AJ11012" i="8" s="1"/>
  <c r="AH11012" i="8"/>
  <c r="AI9629" i="8"/>
  <c r="AH9629" i="8"/>
  <c r="AI9432" i="8"/>
  <c r="AH9432" i="8"/>
  <c r="AI9636" i="8"/>
  <c r="AH9636" i="8"/>
  <c r="AH8612" i="8"/>
  <c r="AI8612" i="8"/>
  <c r="AI9550" i="8"/>
  <c r="AH9550" i="8"/>
  <c r="AI8626" i="8"/>
  <c r="AH8626" i="8"/>
  <c r="AI9083" i="8"/>
  <c r="AH9083" i="8"/>
  <c r="AH8763" i="8"/>
  <c r="AI8763" i="8"/>
  <c r="AH8598" i="8"/>
  <c r="AI8598" i="8"/>
  <c r="AH9439" i="8"/>
  <c r="AI9439" i="8"/>
  <c r="AH9726" i="8"/>
  <c r="AI9726" i="8"/>
  <c r="AH9446" i="8"/>
  <c r="AI9446" i="8"/>
  <c r="AI9733" i="8"/>
  <c r="AH9733" i="8"/>
  <c r="F9797" i="8"/>
  <c r="T9615" i="8"/>
  <c r="T9797" i="8" s="1"/>
  <c r="AH9543" i="8"/>
  <c r="AI9543" i="8"/>
  <c r="AI9615" i="8"/>
  <c r="AH9615" i="8"/>
  <c r="F9187" i="8"/>
  <c r="G1079" i="32" s="1"/>
  <c r="T9083" i="8"/>
  <c r="T9187" i="8" s="1"/>
  <c r="AI9453" i="8"/>
  <c r="AH9453" i="8"/>
  <c r="T8577" i="8"/>
  <c r="T8750" i="8" s="1"/>
  <c r="F8750" i="8"/>
  <c r="G1077" i="32" s="1"/>
  <c r="AI8584" i="8"/>
  <c r="AH8584" i="8"/>
  <c r="AI9111" i="8"/>
  <c r="AH9111" i="8"/>
  <c r="AH9536" i="8"/>
  <c r="AI9536" i="8"/>
  <c r="AH9622" i="8"/>
  <c r="AI9622" i="8"/>
  <c r="AI9260" i="8"/>
  <c r="AJ9260" i="8" s="1"/>
  <c r="AH9260" i="8"/>
  <c r="AI9104" i="8"/>
  <c r="AH9104" i="8"/>
  <c r="AI8577" i="8"/>
  <c r="AJ8577" i="8" s="1"/>
  <c r="AH8577" i="8"/>
  <c r="AI9267" i="8"/>
  <c r="AH9267" i="8"/>
  <c r="AI8619" i="8"/>
  <c r="AJ8619" i="8" s="1"/>
  <c r="AH8619" i="8"/>
  <c r="AH9643" i="8"/>
  <c r="AI9643" i="8"/>
  <c r="AH9097" i="8"/>
  <c r="AI9097" i="8"/>
  <c r="AH9288" i="8"/>
  <c r="AI9288" i="8"/>
  <c r="F9602" i="8"/>
  <c r="T9425" i="8"/>
  <c r="T9602" i="8" s="1"/>
  <c r="AI9281" i="8"/>
  <c r="AH9281" i="8"/>
  <c r="AI9090" i="8"/>
  <c r="AJ9090" i="8" s="1"/>
  <c r="AH9090" i="8"/>
  <c r="AH8591" i="8"/>
  <c r="AI8591" i="8"/>
  <c r="AH8605" i="8"/>
  <c r="AI8605" i="8"/>
  <c r="AH9274" i="8"/>
  <c r="AI9274" i="8"/>
  <c r="AI9425" i="8"/>
  <c r="AH9425" i="8"/>
  <c r="AH8823" i="8"/>
  <c r="AI8823" i="8"/>
  <c r="AH8421" i="8"/>
  <c r="AI8421" i="8"/>
  <c r="AI8379" i="8"/>
  <c r="AH8379" i="8"/>
  <c r="AI8774" i="8"/>
  <c r="AH8774" i="8"/>
  <c r="AI8372" i="8"/>
  <c r="AH8372" i="8"/>
  <c r="AI9245" i="8"/>
  <c r="AH9245" i="8"/>
  <c r="AI8393" i="8"/>
  <c r="AH8393" i="8"/>
  <c r="T8774" i="8"/>
  <c r="AH8193" i="8"/>
  <c r="AI8193" i="8"/>
  <c r="AH8781" i="8"/>
  <c r="AI8781" i="8"/>
  <c r="AI8830" i="8"/>
  <c r="AH8830" i="8"/>
  <c r="AI8179" i="8"/>
  <c r="AH8179" i="8"/>
  <c r="T8365" i="8"/>
  <c r="AI8365" i="8"/>
  <c r="AH8365" i="8"/>
  <c r="AI8407" i="8"/>
  <c r="AH8407" i="8"/>
  <c r="AI8214" i="8"/>
  <c r="AJ8214" i="8" s="1"/>
  <c r="AH8214" i="8"/>
  <c r="R6149" i="8"/>
  <c r="AM6142" i="8" s="1"/>
  <c r="AO6142" i="8" s="1"/>
  <c r="F5342" i="8"/>
  <c r="T5342" i="8" s="1"/>
  <c r="AG5476" i="8"/>
  <c r="AH5476" i="8" s="1"/>
  <c r="AG1859" i="8"/>
  <c r="AI1859" i="8" s="1"/>
  <c r="AJ1859" i="8" s="1"/>
  <c r="F1859" i="8"/>
  <c r="T1859" i="8" s="1"/>
  <c r="AM2302" i="8"/>
  <c r="AO2302" i="8" s="1"/>
  <c r="F791" i="8"/>
  <c r="T791" i="8" s="1"/>
  <c r="AI791" i="8"/>
  <c r="AJ791" i="8" s="1"/>
  <c r="AM770" i="8"/>
  <c r="AO770" i="8" s="1"/>
  <c r="E5254" i="8"/>
  <c r="E1115" i="28" s="1"/>
  <c r="F1115" i="28" s="1"/>
  <c r="E5508" i="8"/>
  <c r="E1153" i="28" s="1"/>
  <c r="F1153" i="28" s="1"/>
  <c r="R5639" i="8"/>
  <c r="AM5632" i="8" s="1"/>
  <c r="AO5632" i="8" s="1"/>
  <c r="E5363" i="8"/>
  <c r="E1131" i="28" s="1"/>
  <c r="F1131" i="28" s="1"/>
  <c r="R6140" i="8"/>
  <c r="AM6133" i="8" s="1"/>
  <c r="AO6133" i="8" s="1"/>
  <c r="E5240" i="8"/>
  <c r="E1113" i="28" s="1"/>
  <c r="F1113" i="28" s="1"/>
  <c r="AG5314" i="8"/>
  <c r="AI5314" i="8" s="1"/>
  <c r="R5648" i="8"/>
  <c r="AM5641" i="8" s="1"/>
  <c r="AO5641" i="8" s="1"/>
  <c r="F5212" i="8"/>
  <c r="T5212" i="8" s="1"/>
  <c r="E3485" i="8"/>
  <c r="E832" i="28" s="1"/>
  <c r="F832" i="28" s="1"/>
  <c r="Q4848" i="8"/>
  <c r="R4848" i="8" s="1"/>
  <c r="R4850" i="8" s="1"/>
  <c r="AM4845" i="8" s="1"/>
  <c r="AO4845" i="8" s="1"/>
  <c r="R5992" i="8"/>
  <c r="AM5985" i="8" s="1"/>
  <c r="AO5985" i="8" s="1"/>
  <c r="E4175" i="8"/>
  <c r="E934" i="28" s="1"/>
  <c r="F934" i="28" s="1"/>
  <c r="E5247" i="8"/>
  <c r="E1114" i="28" s="1"/>
  <c r="F1114" i="28" s="1"/>
  <c r="AO4175" i="8"/>
  <c r="E5219" i="8"/>
  <c r="E1110" i="28" s="1"/>
  <c r="F1110" i="28" s="1"/>
  <c r="E5349" i="8"/>
  <c r="E1129" i="28" s="1"/>
  <c r="F1129" i="28" s="1"/>
  <c r="T2324" i="26"/>
  <c r="AM4395" i="8"/>
  <c r="AO4395" i="8" s="1"/>
  <c r="R4011" i="8"/>
  <c r="AM4004" i="8" s="1"/>
  <c r="AO4004" i="8" s="1"/>
  <c r="Q3885" i="8"/>
  <c r="R3885" i="8" s="1"/>
  <c r="R3888" i="8" s="1"/>
  <c r="E3882" i="8" s="1"/>
  <c r="E889" i="28" s="1"/>
  <c r="F889" i="28" s="1"/>
  <c r="Q3972" i="8"/>
  <c r="R3972" i="8" s="1"/>
  <c r="R3975" i="8" s="1"/>
  <c r="E3969" i="8" s="1"/>
  <c r="E905" i="28" s="1"/>
  <c r="F905" i="28" s="1"/>
  <c r="Q3678" i="8"/>
  <c r="R3678" i="8" s="1"/>
  <c r="R3680" i="8" s="1"/>
  <c r="E3675" i="8" s="1"/>
  <c r="E862" i="28" s="1"/>
  <c r="F862" i="28" s="1"/>
  <c r="Q3699" i="8"/>
  <c r="R3699" i="8" s="1"/>
  <c r="R3701" i="8" s="1"/>
  <c r="AM3696" i="8" s="1"/>
  <c r="AO3696" i="8" s="1"/>
  <c r="R4029" i="8"/>
  <c r="AM4022" i="8" s="1"/>
  <c r="AO4022" i="8" s="1"/>
  <c r="E4565" i="8"/>
  <c r="E998" i="28" s="1"/>
  <c r="F998" i="28" s="1"/>
  <c r="R4002" i="8"/>
  <c r="E3995" i="8" s="1"/>
  <c r="E908" i="28" s="1"/>
  <c r="F908" i="28" s="1"/>
  <c r="R4038" i="8"/>
  <c r="AM4031" i="8" s="1"/>
  <c r="AO4031" i="8" s="1"/>
  <c r="R4020" i="8"/>
  <c r="AM4013" i="8" s="1"/>
  <c r="AO4013" i="8" s="1"/>
  <c r="R3967" i="8"/>
  <c r="E3960" i="8" s="1"/>
  <c r="E904" i="28" s="1"/>
  <c r="F904" i="28" s="1"/>
  <c r="R3984" i="8"/>
  <c r="AM3977" i="8" s="1"/>
  <c r="AO3977" i="8" s="1"/>
  <c r="R3993" i="8"/>
  <c r="E3986" i="8" s="1"/>
  <c r="E907" i="28" s="1"/>
  <c r="F907" i="28" s="1"/>
  <c r="R6343" i="8"/>
  <c r="AM6336" i="8" s="1"/>
  <c r="AO6336" i="8" s="1"/>
  <c r="R5603" i="8"/>
  <c r="E5596" i="8" s="1"/>
  <c r="E1172" i="28" s="1"/>
  <c r="F1172" i="28" s="1"/>
  <c r="AG2967" i="8"/>
  <c r="AH2967" i="8" s="1"/>
  <c r="F2967" i="8"/>
  <c r="T2967" i="8" s="1"/>
  <c r="AG4782" i="8"/>
  <c r="AI4782" i="8" s="1"/>
  <c r="F4782" i="8"/>
  <c r="T4782" i="8" s="1"/>
  <c r="F3953" i="8"/>
  <c r="T3953" i="8" s="1"/>
  <c r="AG3953" i="8"/>
  <c r="AH3953" i="8" s="1"/>
  <c r="F3301" i="8"/>
  <c r="T3301" i="8" s="1"/>
  <c r="AG3238" i="8"/>
  <c r="AI3238" i="8" s="1"/>
  <c r="AO4168" i="8"/>
  <c r="E4168" i="8"/>
  <c r="E933" i="28" s="1"/>
  <c r="F933" i="28" s="1"/>
  <c r="F2974" i="8"/>
  <c r="T2974" i="8" s="1"/>
  <c r="AG2974" i="8"/>
  <c r="AI2974" i="8" s="1"/>
  <c r="AG4260" i="8"/>
  <c r="AI4260" i="8" s="1"/>
  <c r="F3768" i="8"/>
  <c r="T3768" i="8" s="1"/>
  <c r="F3294" i="8"/>
  <c r="T3294" i="8" s="1"/>
  <c r="T620" i="8"/>
  <c r="E609" i="8" s="1"/>
  <c r="AG609" i="8" s="1"/>
  <c r="AG3654" i="8"/>
  <c r="AH3654" i="8" s="1"/>
  <c r="F4714" i="8"/>
  <c r="T4714" i="8" s="1"/>
  <c r="AG4714" i="8"/>
  <c r="AH4714" i="8" s="1"/>
  <c r="F4581" i="8"/>
  <c r="T4581" i="8" s="1"/>
  <c r="AG4411" i="8"/>
  <c r="AI4411" i="8" s="1"/>
  <c r="AG3661" i="8"/>
  <c r="AH3661" i="8" s="1"/>
  <c r="F3661" i="8"/>
  <c r="T3661" i="8" s="1"/>
  <c r="AG3875" i="8"/>
  <c r="AH3875" i="8" s="1"/>
  <c r="F4411" i="8"/>
  <c r="T4411" i="8" s="1"/>
  <c r="F4114" i="8"/>
  <c r="T4114" i="8" s="1"/>
  <c r="AG4114" i="8"/>
  <c r="AI4114" i="8" s="1"/>
  <c r="AG3638" i="8"/>
  <c r="AI3638" i="8" s="1"/>
  <c r="AJ3638" i="8" s="1"/>
  <c r="F3638" i="8"/>
  <c r="T3638" i="8" s="1"/>
  <c r="AG2959" i="8"/>
  <c r="AI2959" i="8" s="1"/>
  <c r="AJ2959" i="8" s="1"/>
  <c r="F2959" i="8"/>
  <c r="T2959" i="8" s="1"/>
  <c r="F3646" i="8"/>
  <c r="T3646" i="8" s="1"/>
  <c r="AG3646" i="8"/>
  <c r="AI3646" i="8" s="1"/>
  <c r="AJ3646" i="8" s="1"/>
  <c r="AG3945" i="8"/>
  <c r="AI3945" i="8" s="1"/>
  <c r="AJ3945" i="8" s="1"/>
  <c r="F3945" i="8"/>
  <c r="T3945" i="8" s="1"/>
  <c r="F4106" i="8"/>
  <c r="T4106" i="8" s="1"/>
  <c r="AG4106" i="8"/>
  <c r="AI4106" i="8" s="1"/>
  <c r="AJ4106" i="8" s="1"/>
  <c r="F3760" i="8"/>
  <c r="T3760" i="8" s="1"/>
  <c r="AG3760" i="8"/>
  <c r="AI3760" i="8" s="1"/>
  <c r="AJ3760" i="8" s="1"/>
  <c r="F4395" i="8"/>
  <c r="T4395" i="8" s="1"/>
  <c r="AG4395" i="8"/>
  <c r="AI4395" i="8" s="1"/>
  <c r="AJ4395" i="8" s="1"/>
  <c r="F4098" i="8"/>
  <c r="T4098" i="8" s="1"/>
  <c r="AG4098" i="8"/>
  <c r="AI4098" i="8" s="1"/>
  <c r="AJ4098" i="8" s="1"/>
  <c r="AI7505" i="8"/>
  <c r="AJ7505" i="8" s="1"/>
  <c r="AH7505" i="8"/>
  <c r="AG7301" i="8"/>
  <c r="AI7301" i="8" s="1"/>
  <c r="AJ7301" i="8" s="1"/>
  <c r="AG7388" i="8"/>
  <c r="F7388" i="8"/>
  <c r="AM5272" i="8"/>
  <c r="AO5272" i="8" s="1"/>
  <c r="AI6931" i="8"/>
  <c r="AJ6931" i="8" s="1"/>
  <c r="AH6931" i="8"/>
  <c r="F6818" i="8"/>
  <c r="AG6818" i="8"/>
  <c r="AI6818" i="8" s="1"/>
  <c r="AJ6818" i="8" s="1"/>
  <c r="AI7224" i="8"/>
  <c r="AJ7224" i="8" s="1"/>
  <c r="AH7224" i="8"/>
  <c r="E2295" i="8"/>
  <c r="E637" i="28" s="1"/>
  <c r="F637" i="28" s="1"/>
  <c r="AO5483" i="8"/>
  <c r="E2309" i="8"/>
  <c r="E639" i="28" s="1"/>
  <c r="F639" i="28" s="1"/>
  <c r="E5381" i="8"/>
  <c r="E1134" i="28" s="1"/>
  <c r="F1134" i="28" s="1"/>
  <c r="AM5434" i="8"/>
  <c r="AO5434" i="8" s="1"/>
  <c r="R6443" i="8"/>
  <c r="AM6436" i="8" s="1"/>
  <c r="AO6436" i="8" s="1"/>
  <c r="AO5356" i="8"/>
  <c r="R6269" i="8"/>
  <c r="AM6262" i="8" s="1"/>
  <c r="R5670" i="8"/>
  <c r="AM5663" i="8" s="1"/>
  <c r="R5943" i="8"/>
  <c r="AM5936" i="8" s="1"/>
  <c r="AO1212" i="8"/>
  <c r="R5934" i="8"/>
  <c r="AM5927" i="8" s="1"/>
  <c r="AO5927" i="8" s="1"/>
  <c r="R5710" i="8"/>
  <c r="AM5703" i="8" s="1"/>
  <c r="R5688" i="8"/>
  <c r="AM5681" i="8" s="1"/>
  <c r="AO5681" i="8" s="1"/>
  <c r="R6528" i="8"/>
  <c r="AM6523" i="8" s="1"/>
  <c r="AO6523" i="8" s="1"/>
  <c r="AO2818" i="8"/>
  <c r="R6507" i="8"/>
  <c r="AM6502" i="8" s="1"/>
  <c r="AO6502" i="8" s="1"/>
  <c r="R6282" i="8"/>
  <c r="AM6275" i="8" s="1"/>
  <c r="AO3713" i="8"/>
  <c r="R6452" i="8"/>
  <c r="AM6445" i="8" s="1"/>
  <c r="AO6445" i="8" s="1"/>
  <c r="R6557" i="8"/>
  <c r="AM6550" i="8" s="1"/>
  <c r="R6074" i="8"/>
  <c r="AM6067" i="8" s="1"/>
  <c r="R5908" i="8"/>
  <c r="AM5901" i="8" s="1"/>
  <c r="AO5901" i="8" s="1"/>
  <c r="R6181" i="8"/>
  <c r="AM6174" i="8" s="1"/>
  <c r="AO6174" i="8" s="1"/>
  <c r="R6164" i="8"/>
  <c r="AM6155" i="8" s="1"/>
  <c r="AO6155" i="8" s="1"/>
  <c r="R6005" i="8"/>
  <c r="AM5998" i="8" s="1"/>
  <c r="AO5998" i="8" s="1"/>
  <c r="E2818" i="8"/>
  <c r="E728" i="28" s="1"/>
  <c r="F728" i="28" s="1"/>
  <c r="R6579" i="8"/>
  <c r="AM6572" i="8" s="1"/>
  <c r="R5630" i="8"/>
  <c r="AM5623" i="8" s="1"/>
  <c r="AO5623" i="8" s="1"/>
  <c r="AO2583" i="8"/>
  <c r="E2583" i="8"/>
  <c r="E685" i="28" s="1"/>
  <c r="F685" i="28" s="1"/>
  <c r="R6221" i="8"/>
  <c r="AM6214" i="8" s="1"/>
  <c r="R6592" i="8"/>
  <c r="AM6585" i="8" s="1"/>
  <c r="AO6585" i="8" s="1"/>
  <c r="R5750" i="8"/>
  <c r="AM5743" i="8" s="1"/>
  <c r="R5877" i="8"/>
  <c r="AM5870" i="8" s="1"/>
  <c r="AO5870" i="8" s="1"/>
  <c r="R6201" i="8"/>
  <c r="E6196" i="8" s="1"/>
  <c r="E1255" i="28" s="1"/>
  <c r="F1255" i="28" s="1"/>
  <c r="R5965" i="8"/>
  <c r="AM5958" i="8" s="1"/>
  <c r="R5816" i="8"/>
  <c r="AM5809" i="8" s="1"/>
  <c r="AO5809" i="8" s="1"/>
  <c r="R6089" i="8"/>
  <c r="AM6080" i="8" s="1"/>
  <c r="AO6080" i="8" s="1"/>
  <c r="R5864" i="8"/>
  <c r="E5857" i="8" s="1"/>
  <c r="E1206" i="28" s="1"/>
  <c r="F1206" i="28" s="1"/>
  <c r="AO2652" i="8"/>
  <c r="E2652" i="8"/>
  <c r="E697" i="28" s="1"/>
  <c r="F697" i="28" s="1"/>
  <c r="R6050" i="8"/>
  <c r="AM6041" i="8" s="1"/>
  <c r="AO6041" i="8" s="1"/>
  <c r="R6521" i="8"/>
  <c r="AM6516" i="8" s="1"/>
  <c r="AO6516" i="8" s="1"/>
  <c r="R6474" i="8"/>
  <c r="AM6467" i="8" s="1"/>
  <c r="AO6467" i="8" s="1"/>
  <c r="R668" i="8"/>
  <c r="T661" i="8" s="1"/>
  <c r="R6370" i="8"/>
  <c r="AM6363" i="8" s="1"/>
  <c r="AO6363" i="8" s="1"/>
  <c r="R5921" i="8"/>
  <c r="AM5914" i="8" s="1"/>
  <c r="R6570" i="8"/>
  <c r="AM6563" i="8" s="1"/>
  <c r="AO6563" i="8" s="1"/>
  <c r="R5851" i="8"/>
  <c r="AM5844" i="8" s="1"/>
  <c r="AO5844" i="8" s="1"/>
  <c r="AO1115" i="8"/>
  <c r="R6234" i="8"/>
  <c r="AM6227" i="8" s="1"/>
  <c r="AO6227" i="8" s="1"/>
  <c r="E1115" i="8"/>
  <c r="E442" i="28" s="1"/>
  <c r="F442" i="28" s="1"/>
  <c r="AO5416" i="8"/>
  <c r="R6014" i="8"/>
  <c r="E6007" i="8" s="1"/>
  <c r="E1227" i="28" s="1"/>
  <c r="F1227" i="28" s="1"/>
  <c r="R6122" i="8"/>
  <c r="AM6113" i="8" s="1"/>
  <c r="AO6113" i="8" s="1"/>
  <c r="R5772" i="8"/>
  <c r="AM5765" i="8" s="1"/>
  <c r="R5612" i="8"/>
  <c r="AM5605" i="8" s="1"/>
  <c r="AO5605" i="8" s="1"/>
  <c r="R5657" i="8"/>
  <c r="AM5650" i="8" s="1"/>
  <c r="AO5650" i="8" s="1"/>
  <c r="R5763" i="8"/>
  <c r="AM5756" i="8" s="1"/>
  <c r="AO5756" i="8" s="1"/>
  <c r="E3713" i="8"/>
  <c r="E868" i="28" s="1"/>
  <c r="F868" i="28" s="1"/>
  <c r="AO1877" i="8"/>
  <c r="R6248" i="8"/>
  <c r="AM6240" i="8" s="1"/>
  <c r="AO6240" i="8" s="1"/>
  <c r="R6601" i="8"/>
  <c r="E6594" i="8" s="1"/>
  <c r="E1316" i="28" s="1"/>
  <c r="F1316" i="28" s="1"/>
  <c r="R6425" i="8"/>
  <c r="AM6418" i="8" s="1"/>
  <c r="AO6418" i="8" s="1"/>
  <c r="E1877" i="8"/>
  <c r="E570" i="28" s="1"/>
  <c r="F570" i="28" s="1"/>
  <c r="R6208" i="8"/>
  <c r="R5741" i="8"/>
  <c r="AM5734" i="8" s="1"/>
  <c r="AO5734" i="8" s="1"/>
  <c r="R6291" i="8"/>
  <c r="AM6284" i="8" s="1"/>
  <c r="AO6284" i="8" s="1"/>
  <c r="R5719" i="8"/>
  <c r="AM5712" i="8" s="1"/>
  <c r="AO5712" i="8" s="1"/>
  <c r="R1012" i="8"/>
  <c r="T1005" i="8" s="1"/>
  <c r="AO5321" i="8"/>
  <c r="R6535" i="8"/>
  <c r="AM6530" i="8" s="1"/>
  <c r="AO6530" i="8" s="1"/>
  <c r="R6352" i="8"/>
  <c r="E6345" i="8" s="1"/>
  <c r="E1278" i="28" s="1"/>
  <c r="F1278" i="28" s="1"/>
  <c r="R5838" i="8"/>
  <c r="AM5831" i="8" s="1"/>
  <c r="AO5831" i="8" s="1"/>
  <c r="R6326" i="8"/>
  <c r="AM6319" i="8" s="1"/>
  <c r="R5798" i="8"/>
  <c r="AM5791" i="8" s="1"/>
  <c r="AO5791" i="8" s="1"/>
  <c r="R6548" i="8"/>
  <c r="AM6541" i="8" s="1"/>
  <c r="R6039" i="8"/>
  <c r="AM6030" i="8" s="1"/>
  <c r="AO6030" i="8" s="1"/>
  <c r="AO1053" i="8"/>
  <c r="AM1654" i="8"/>
  <c r="AO1654" i="8" s="1"/>
  <c r="E1654" i="8"/>
  <c r="E532" i="28" s="1"/>
  <c r="AM1689" i="8"/>
  <c r="AO1689" i="8" s="1"/>
  <c r="E1689" i="8"/>
  <c r="E537" i="28" s="1"/>
  <c r="AM1952" i="8"/>
  <c r="AO1952" i="8" s="1"/>
  <c r="E1952" i="8"/>
  <c r="E582" i="28" s="1"/>
  <c r="F582" i="28" s="1"/>
  <c r="AM1717" i="8"/>
  <c r="AO1717" i="8" s="1"/>
  <c r="E1717" i="8"/>
  <c r="E541" i="28" s="1"/>
  <c r="F541" i="28" s="1"/>
  <c r="AM1263" i="8"/>
  <c r="AO1263" i="8" s="1"/>
  <c r="E1263" i="8"/>
  <c r="E465" i="28" s="1"/>
  <c r="AM2851" i="8"/>
  <c r="AO2851" i="8" s="1"/>
  <c r="E2851" i="8"/>
  <c r="E734" i="28" s="1"/>
  <c r="F734" i="28" s="1"/>
  <c r="AM1675" i="8"/>
  <c r="AO1675" i="8" s="1"/>
  <c r="E1675" i="8"/>
  <c r="E535" i="28" s="1"/>
  <c r="AM1522" i="8"/>
  <c r="AO1522" i="8" s="1"/>
  <c r="E1522" i="8"/>
  <c r="E509" i="28" s="1"/>
  <c r="F509" i="28" s="1"/>
  <c r="AG1302" i="8"/>
  <c r="AI1302" i="8" s="1"/>
  <c r="AJ1302" i="8" s="1"/>
  <c r="F1302" i="8"/>
  <c r="T1302" i="8" s="1"/>
  <c r="AN6572" i="8"/>
  <c r="AM2829" i="8"/>
  <c r="AO2829" i="8" s="1"/>
  <c r="E2829" i="8"/>
  <c r="E730" i="28" s="1"/>
  <c r="F730" i="28" s="1"/>
  <c r="AM2988" i="8"/>
  <c r="AO2988" i="8" s="1"/>
  <c r="E2988" i="8"/>
  <c r="E758" i="28" s="1"/>
  <c r="F758" i="28" s="1"/>
  <c r="AM3052" i="8"/>
  <c r="AO3052" i="8" s="1"/>
  <c r="E3052" i="8"/>
  <c r="E767" i="28" s="1"/>
  <c r="F767" i="28" s="1"/>
  <c r="AM3094" i="8"/>
  <c r="AO3094" i="8" s="1"/>
  <c r="E3094" i="8"/>
  <c r="E773" i="28" s="1"/>
  <c r="F773" i="28" s="1"/>
  <c r="R4642" i="8"/>
  <c r="AM3080" i="8"/>
  <c r="AO3080" i="8" s="1"/>
  <c r="E3080" i="8"/>
  <c r="E771" i="28" s="1"/>
  <c r="F771" i="28" s="1"/>
  <c r="AM3371" i="8"/>
  <c r="AO3371" i="8" s="1"/>
  <c r="E3371" i="8"/>
  <c r="E815" i="28" s="1"/>
  <c r="F815" i="28" s="1"/>
  <c r="AM5455" i="8"/>
  <c r="AO5455" i="8" s="1"/>
  <c r="E5455" i="8"/>
  <c r="E1145" i="28" s="1"/>
  <c r="F1145" i="28" s="1"/>
  <c r="R6461" i="8"/>
  <c r="E6454" i="8" s="1"/>
  <c r="E1296" i="28" s="1"/>
  <c r="F1296" i="28" s="1"/>
  <c r="AM1515" i="8"/>
  <c r="AO1515" i="8" s="1"/>
  <c r="E1515" i="8"/>
  <c r="E508" i="28" s="1"/>
  <c r="F508" i="28" s="1"/>
  <c r="R1846" i="8"/>
  <c r="AM1466" i="8"/>
  <c r="AO1466" i="8" s="1"/>
  <c r="E1466" i="8"/>
  <c r="E501" i="28" s="1"/>
  <c r="F501" i="28" s="1"/>
  <c r="AM2414" i="8"/>
  <c r="AO2414" i="8" s="1"/>
  <c r="E2414" i="8"/>
  <c r="E654" i="28" s="1"/>
  <c r="F654" i="28" s="1"/>
  <c r="AN4664" i="8"/>
  <c r="F5198" i="8"/>
  <c r="T5198" i="8" s="1"/>
  <c r="AG5198" i="8"/>
  <c r="AI5198" i="8" s="1"/>
  <c r="AJ5198" i="8" s="1"/>
  <c r="AM1540" i="8"/>
  <c r="AO1540" i="8" s="1"/>
  <c r="E1540" i="8"/>
  <c r="E512" i="28" s="1"/>
  <c r="F512" i="28" s="1"/>
  <c r="R4669" i="8"/>
  <c r="AM5265" i="8"/>
  <c r="AO5265" i="8" s="1"/>
  <c r="E5265" i="8"/>
  <c r="E1117" i="28" s="1"/>
  <c r="F1117" i="28" s="1"/>
  <c r="AN6541" i="8"/>
  <c r="AM2943" i="8"/>
  <c r="AO2943" i="8" s="1"/>
  <c r="R3273" i="8"/>
  <c r="E2943" i="8"/>
  <c r="E752" i="28" s="1"/>
  <c r="F752" i="28" s="1"/>
  <c r="AM2711" i="8"/>
  <c r="AO2711" i="8" s="1"/>
  <c r="E2711" i="8"/>
  <c r="E707" i="28" s="1"/>
  <c r="F707" i="28" s="1"/>
  <c r="AM2645" i="8"/>
  <c r="AO2645" i="8" s="1"/>
  <c r="E2645" i="8"/>
  <c r="E696" i="28" s="1"/>
  <c r="F696" i="28" s="1"/>
  <c r="AM2507" i="8"/>
  <c r="AO2507" i="8" s="1"/>
  <c r="E2507" i="8"/>
  <c r="E672" i="28" s="1"/>
  <c r="F672" i="28" s="1"/>
  <c r="AM4557" i="8"/>
  <c r="AO4557" i="8" s="1"/>
  <c r="E4557" i="8"/>
  <c r="E997" i="28" s="1"/>
  <c r="F997" i="28" s="1"/>
  <c r="AM4252" i="8"/>
  <c r="AO4252" i="8" s="1"/>
  <c r="E4252" i="8"/>
  <c r="E949" i="28" s="1"/>
  <c r="F949" i="28" s="1"/>
  <c r="AM4403" i="8"/>
  <c r="AO4403" i="8" s="1"/>
  <c r="E4403" i="8"/>
  <c r="E971" i="28" s="1"/>
  <c r="F971" i="28" s="1"/>
  <c r="AM3916" i="8"/>
  <c r="AO3916" i="8" s="1"/>
  <c r="E3916" i="8"/>
  <c r="E894" i="28" s="1"/>
  <c r="F894" i="28" s="1"/>
  <c r="AI798" i="8"/>
  <c r="AJ798" i="8" s="1"/>
  <c r="F798" i="8"/>
  <c r="T798" i="8" s="1"/>
  <c r="AM4134" i="8"/>
  <c r="AO4134" i="8" s="1"/>
  <c r="E4134" i="8"/>
  <c r="E927" i="28" s="1"/>
  <c r="F927" i="28" s="1"/>
  <c r="AM5522" i="8"/>
  <c r="AO5522" i="8" s="1"/>
  <c r="E5522" i="8"/>
  <c r="E1155" i="28" s="1"/>
  <c r="F1155" i="28" s="1"/>
  <c r="AM609" i="8"/>
  <c r="R6487" i="8"/>
  <c r="E2793" i="8"/>
  <c r="E724" i="28" s="1"/>
  <c r="F724" i="28" s="1"/>
  <c r="R5569" i="8"/>
  <c r="R5575" i="8" s="1"/>
  <c r="AM5177" i="8"/>
  <c r="AO5177" i="8" s="1"/>
  <c r="E5177" i="8"/>
  <c r="E1104" i="28" s="1"/>
  <c r="F1104" i="28" s="1"/>
  <c r="AM2151" i="8"/>
  <c r="AO2151" i="8" s="1"/>
  <c r="E2151" i="8"/>
  <c r="E613" i="28" s="1"/>
  <c r="F613" i="28" s="1"/>
  <c r="AM1331" i="8"/>
  <c r="AO1331" i="8" s="1"/>
  <c r="E1331" i="8"/>
  <c r="E476" i="28" s="1"/>
  <c r="F476" i="28" s="1"/>
  <c r="AM1438" i="8"/>
  <c r="AO1438" i="8" s="1"/>
  <c r="E1438" i="8"/>
  <c r="E493" i="28" s="1"/>
  <c r="F493" i="28" s="1"/>
  <c r="AM2062" i="8"/>
  <c r="AO2062" i="8" s="1"/>
  <c r="E2062" i="8"/>
  <c r="E599" i="28" s="1"/>
  <c r="F599" i="28" s="1"/>
  <c r="AM1938" i="8"/>
  <c r="AO1938" i="8" s="1"/>
  <c r="E1938" i="8"/>
  <c r="E580" i="28" s="1"/>
  <c r="F580" i="28" s="1"/>
  <c r="AM1277" i="8"/>
  <c r="AO1277" i="8" s="1"/>
  <c r="E1277" i="8"/>
  <c r="E467" i="28" s="1"/>
  <c r="AM1242" i="8"/>
  <c r="AO1242" i="8" s="1"/>
  <c r="E1242" i="8"/>
  <c r="E462" i="28" s="1"/>
  <c r="AM1270" i="8"/>
  <c r="AO1270" i="8" s="1"/>
  <c r="E1270" i="8"/>
  <c r="E466" i="28" s="1"/>
  <c r="F466" i="28" s="1"/>
  <c r="AM1801" i="8"/>
  <c r="AO1801" i="8" s="1"/>
  <c r="E1801" i="8"/>
  <c r="E553" i="28" s="1"/>
  <c r="AM1745" i="8"/>
  <c r="AO1745" i="8" s="1"/>
  <c r="E1745" i="8"/>
  <c r="E545" i="28" s="1"/>
  <c r="F545" i="28" s="1"/>
  <c r="E5550" i="8"/>
  <c r="E1159" i="28" s="1"/>
  <c r="F1159" i="28" s="1"/>
  <c r="AM1812" i="8"/>
  <c r="AO1812" i="8" s="1"/>
  <c r="E1812" i="8"/>
  <c r="E555" i="28" s="1"/>
  <c r="F555" i="28" s="1"/>
  <c r="AM742" i="8"/>
  <c r="AO742" i="8" s="1"/>
  <c r="E5416" i="8"/>
  <c r="E1139" i="28" s="1"/>
  <c r="F1139" i="28" s="1"/>
  <c r="AM840" i="8"/>
  <c r="AO840" i="8" s="1"/>
  <c r="AM2693" i="8"/>
  <c r="AO2693" i="8" s="1"/>
  <c r="E2693" i="8"/>
  <c r="E704" i="28" s="1"/>
  <c r="F704" i="28" s="1"/>
  <c r="AN5690" i="8"/>
  <c r="AM3427" i="8"/>
  <c r="AO3427" i="8" s="1"/>
  <c r="E3427" i="8"/>
  <c r="E823" i="28" s="1"/>
  <c r="F823" i="28" s="1"/>
  <c r="AG5328" i="8"/>
  <c r="F5328" i="8"/>
  <c r="T5328" i="8" s="1"/>
  <c r="AM3357" i="8"/>
  <c r="AO3357" i="8" s="1"/>
  <c r="E3357" i="8"/>
  <c r="E813" i="28" s="1"/>
  <c r="F813" i="28" s="1"/>
  <c r="AM3399" i="8"/>
  <c r="AO3399" i="8" s="1"/>
  <c r="E3399" i="8"/>
  <c r="E819" i="28" s="1"/>
  <c r="F819" i="28" s="1"/>
  <c r="AM3385" i="8"/>
  <c r="AO3385" i="8" s="1"/>
  <c r="E3385" i="8"/>
  <c r="E817" i="28" s="1"/>
  <c r="F817" i="28" s="1"/>
  <c r="AM3689" i="8"/>
  <c r="AO3689" i="8" s="1"/>
  <c r="E3689" i="8"/>
  <c r="E864" i="28" s="1"/>
  <c r="F864" i="28" s="1"/>
  <c r="AM3392" i="8"/>
  <c r="AO3392" i="8" s="1"/>
  <c r="E3392" i="8"/>
  <c r="E818" i="28" s="1"/>
  <c r="F818" i="28" s="1"/>
  <c r="AM3329" i="8"/>
  <c r="AO3329" i="8" s="1"/>
  <c r="E3329" i="8"/>
  <c r="E809" i="28" s="1"/>
  <c r="F809" i="28" s="1"/>
  <c r="AM5293" i="8"/>
  <c r="AO5293" i="8" s="1"/>
  <c r="E5293" i="8"/>
  <c r="E1121" i="28" s="1"/>
  <c r="F1121" i="28" s="1"/>
  <c r="R6190" i="8"/>
  <c r="R5697" i="8"/>
  <c r="AM5690" i="8" s="1"/>
  <c r="AM2407" i="8"/>
  <c r="AO2407" i="8" s="1"/>
  <c r="E2407" i="8"/>
  <c r="E653" i="28" s="1"/>
  <c r="F653" i="28" s="1"/>
  <c r="AM2858" i="8"/>
  <c r="AO2858" i="8" s="1"/>
  <c r="E2858" i="8"/>
  <c r="E735" i="28" s="1"/>
  <c r="F735" i="28" s="1"/>
  <c r="AM5233" i="8"/>
  <c r="AO5233" i="8" s="1"/>
  <c r="E5233" i="8"/>
  <c r="E1112" i="28" s="1"/>
  <c r="F1112" i="28" s="1"/>
  <c r="AN6262" i="8"/>
  <c r="AM3581" i="8"/>
  <c r="AO3581" i="8" s="1"/>
  <c r="E3581" i="8"/>
  <c r="E845" i="28" s="1"/>
  <c r="F845" i="28" s="1"/>
  <c r="F1628" i="8"/>
  <c r="T1628" i="8" s="1"/>
  <c r="AG1628" i="8"/>
  <c r="AI1628" i="8" s="1"/>
  <c r="AJ1628" i="8" s="1"/>
  <c r="AM5427" i="8"/>
  <c r="AO5427" i="8" s="1"/>
  <c r="E5427" i="8"/>
  <c r="E1141" i="28" s="1"/>
  <c r="F1141" i="28" s="1"/>
  <c r="AM875" i="8"/>
  <c r="AO875" i="8" s="1"/>
  <c r="F5307" i="8"/>
  <c r="T5307" i="8" s="1"/>
  <c r="AG5307" i="8"/>
  <c r="AI5307" i="8" s="1"/>
  <c r="AJ5307" i="8" s="1"/>
  <c r="AM3744" i="8"/>
  <c r="AO3744" i="8" s="1"/>
  <c r="E3744" i="8"/>
  <c r="E873" i="28" s="1"/>
  <c r="F873" i="28" s="1"/>
  <c r="AM1104" i="8"/>
  <c r="AO1104" i="8" s="1"/>
  <c r="E1104" i="8"/>
  <c r="E440" i="28" s="1"/>
  <c r="F440" i="28" s="1"/>
  <c r="AM1406" i="8"/>
  <c r="AO1406" i="8" s="1"/>
  <c r="E1406" i="8"/>
  <c r="E488" i="28" s="1"/>
  <c r="F488" i="28" s="1"/>
  <c r="AM2750" i="8"/>
  <c r="AO2750" i="8" s="1"/>
  <c r="E2750" i="8"/>
  <c r="E717" i="28" s="1"/>
  <c r="F717" i="28" s="1"/>
  <c r="AM3461" i="8"/>
  <c r="AO3461" i="8" s="1"/>
  <c r="E3461" i="8"/>
  <c r="E829" i="28" s="1"/>
  <c r="F829" i="28" s="1"/>
  <c r="AM4379" i="8"/>
  <c r="AO4379" i="8" s="1"/>
  <c r="E4379" i="8"/>
  <c r="E968" i="28" s="1"/>
  <c r="F968" i="28" s="1"/>
  <c r="AM4766" i="8"/>
  <c r="AO4766" i="8" s="1"/>
  <c r="E4766" i="8"/>
  <c r="E1032" i="28" s="1"/>
  <c r="F1032" i="28" s="1"/>
  <c r="AM3434" i="8"/>
  <c r="AO3434" i="8" s="1"/>
  <c r="E3434" i="8"/>
  <c r="E824" i="28" s="1"/>
  <c r="F824" i="28" s="1"/>
  <c r="AM3802" i="8"/>
  <c r="AO3802" i="8" s="1"/>
  <c r="E3802" i="8"/>
  <c r="E881" i="28" s="1"/>
  <c r="F881" i="28" s="1"/>
  <c r="R5829" i="8"/>
  <c r="AM4691" i="8"/>
  <c r="AO4691" i="8" s="1"/>
  <c r="E4691" i="8"/>
  <c r="E1016" i="28" s="1"/>
  <c r="F1016" i="28" s="1"/>
  <c r="AM5515" i="8"/>
  <c r="AO5515" i="8" s="1"/>
  <c r="E5515" i="8"/>
  <c r="E1154" i="28" s="1"/>
  <c r="F1154" i="28" s="1"/>
  <c r="AM2241" i="8"/>
  <c r="AO2241" i="8" s="1"/>
  <c r="E2241" i="8"/>
  <c r="E628" i="28" s="1"/>
  <c r="F628" i="28" s="1"/>
  <c r="AM2248" i="8"/>
  <c r="AO2248" i="8" s="1"/>
  <c r="E2248" i="8"/>
  <c r="E629" i="28" s="1"/>
  <c r="F629" i="28" s="1"/>
  <c r="AM1639" i="8"/>
  <c r="AO1639" i="8" s="1"/>
  <c r="E1639" i="8"/>
  <c r="E529" i="28" s="1"/>
  <c r="F529" i="28" s="1"/>
  <c r="AO5945" i="8"/>
  <c r="AG1614" i="8"/>
  <c r="AI1614" i="8" s="1"/>
  <c r="AJ1614" i="8" s="1"/>
  <c r="F1614" i="8"/>
  <c r="T1614" i="8" s="1"/>
  <c r="AM2083" i="8"/>
  <c r="AO2083" i="8" s="1"/>
  <c r="E2083" i="8"/>
  <c r="E602" i="28" s="1"/>
  <c r="F602" i="28" s="1"/>
  <c r="AM1959" i="8"/>
  <c r="AO1959" i="8" s="1"/>
  <c r="E1959" i="8"/>
  <c r="E583" i="28" s="1"/>
  <c r="F583" i="28" s="1"/>
  <c r="AM1399" i="8"/>
  <c r="AO1399" i="8" s="1"/>
  <c r="E1399" i="8"/>
  <c r="E487" i="28" s="1"/>
  <c r="F487" i="28" s="1"/>
  <c r="AM1668" i="8"/>
  <c r="AO1668" i="8" s="1"/>
  <c r="E1668" i="8"/>
  <c r="E534" i="28" s="1"/>
  <c r="F534" i="28" s="1"/>
  <c r="AM1780" i="8"/>
  <c r="AO1780" i="8" s="1"/>
  <c r="E1780" i="8"/>
  <c r="E550" i="28" s="1"/>
  <c r="F550" i="28" s="1"/>
  <c r="AM2006" i="8"/>
  <c r="AO2006" i="8" s="1"/>
  <c r="E2006" i="8"/>
  <c r="E591" i="28" s="1"/>
  <c r="F591" i="28" s="1"/>
  <c r="AM1724" i="8"/>
  <c r="AO1724" i="8" s="1"/>
  <c r="E1724" i="8"/>
  <c r="E542" i="28" s="1"/>
  <c r="AN6550" i="8"/>
  <c r="AM2273" i="8"/>
  <c r="AO2273" i="8" s="1"/>
  <c r="E2273" i="8"/>
  <c r="E633" i="28" s="1"/>
  <c r="F633" i="28" s="1"/>
  <c r="AM812" i="8"/>
  <c r="AO812" i="8" s="1"/>
  <c r="AO5205" i="8"/>
  <c r="AG1621" i="8"/>
  <c r="AI1621" i="8" s="1"/>
  <c r="AJ1621" i="8" s="1"/>
  <c r="F1621" i="8"/>
  <c r="T1621" i="8" s="1"/>
  <c r="AM677" i="8"/>
  <c r="AO677" i="8" s="1"/>
  <c r="AM2612" i="8"/>
  <c r="AO2612" i="8" s="1"/>
  <c r="E2612" i="8"/>
  <c r="E690" i="28" s="1"/>
  <c r="F690" i="28" s="1"/>
  <c r="AM3813" i="8"/>
  <c r="AO3813" i="8" s="1"/>
  <c r="E3813" i="8"/>
  <c r="E883" i="28" s="1"/>
  <c r="F883" i="28" s="1"/>
  <c r="AM2918" i="8"/>
  <c r="AO2918" i="8" s="1"/>
  <c r="E2918" i="8"/>
  <c r="E744" i="28" s="1"/>
  <c r="F744" i="28" s="1"/>
  <c r="AM3024" i="8"/>
  <c r="AO3024" i="8" s="1"/>
  <c r="E3024" i="8"/>
  <c r="E763" i="28" s="1"/>
  <c r="F763" i="28" s="1"/>
  <c r="AM3682" i="8"/>
  <c r="AO3682" i="8" s="1"/>
  <c r="E3682" i="8"/>
  <c r="E863" i="28" s="1"/>
  <c r="F863" i="28" s="1"/>
  <c r="AM4630" i="8"/>
  <c r="AO4630" i="8" s="1"/>
  <c r="E4630" i="8"/>
  <c r="E1007" i="28" s="1"/>
  <c r="F1007" i="28" s="1"/>
  <c r="AM2995" i="8"/>
  <c r="AO2995" i="8" s="1"/>
  <c r="E2995" i="8"/>
  <c r="E759" i="28" s="1"/>
  <c r="F759" i="28" s="1"/>
  <c r="AM3350" i="8"/>
  <c r="AO3350" i="8" s="1"/>
  <c r="E3350" i="8"/>
  <c r="E812" i="28" s="1"/>
  <c r="F812" i="28" s="1"/>
  <c r="AM1480" i="8"/>
  <c r="AO1480" i="8" s="1"/>
  <c r="E1480" i="8"/>
  <c r="E503" i="28" s="1"/>
  <c r="F503" i="28" s="1"/>
  <c r="AM1494" i="8"/>
  <c r="AO1494" i="8" s="1"/>
  <c r="E1494" i="8"/>
  <c r="E505" i="28" s="1"/>
  <c r="F505" i="28" s="1"/>
  <c r="AM1508" i="8"/>
  <c r="AO1508" i="8" s="1"/>
  <c r="E1508" i="8"/>
  <c r="E507" i="28" s="1"/>
  <c r="F507" i="28" s="1"/>
  <c r="AM2400" i="8"/>
  <c r="AO2400" i="8" s="1"/>
  <c r="E2400" i="8"/>
  <c r="E652" i="28" s="1"/>
  <c r="F652" i="28" s="1"/>
  <c r="AN6275" i="8"/>
  <c r="AM2872" i="8"/>
  <c r="AO2872" i="8" s="1"/>
  <c r="E2872" i="8"/>
  <c r="E737" i="28" s="1"/>
  <c r="F737" i="28" s="1"/>
  <c r="F2461" i="8"/>
  <c r="T2461" i="8" s="1"/>
  <c r="AG2461" i="8"/>
  <c r="AI2461" i="8" s="1"/>
  <c r="AJ2461" i="8" s="1"/>
  <c r="AM979" i="8"/>
  <c r="AO979" i="8" s="1"/>
  <c r="AM5335" i="8"/>
  <c r="AO5335" i="8" s="1"/>
  <c r="E5335" i="8"/>
  <c r="E1127" i="28" s="1"/>
  <c r="F1127" i="28" s="1"/>
  <c r="AM4858" i="8"/>
  <c r="AO4858" i="8" s="1"/>
  <c r="E4858" i="8"/>
  <c r="E1045" i="28" s="1"/>
  <c r="F1045" i="28" s="1"/>
  <c r="AM5374" i="8"/>
  <c r="AO5374" i="8" s="1"/>
  <c r="E5374" i="8"/>
  <c r="E1133" i="28" s="1"/>
  <c r="F1133" i="28" s="1"/>
  <c r="AM777" i="8"/>
  <c r="AO777" i="8" s="1"/>
  <c r="AM819" i="8"/>
  <c r="AO819" i="8" s="1"/>
  <c r="AM3937" i="8"/>
  <c r="AO3937" i="8" s="1"/>
  <c r="E3937" i="8"/>
  <c r="E901" i="28" s="1"/>
  <c r="F901" i="28" s="1"/>
  <c r="AM2811" i="8"/>
  <c r="AO2811" i="8" s="1"/>
  <c r="E2811" i="8"/>
  <c r="E727" i="28" s="1"/>
  <c r="F727" i="28" s="1"/>
  <c r="AM2659" i="8"/>
  <c r="AO2659" i="8" s="1"/>
  <c r="E2659" i="8"/>
  <c r="E698" i="28" s="1"/>
  <c r="F698" i="28" s="1"/>
  <c r="AM2764" i="8"/>
  <c r="AO2764" i="8" s="1"/>
  <c r="E2764" i="8"/>
  <c r="E719" i="28" s="1"/>
  <c r="F719" i="28" s="1"/>
  <c r="AM4573" i="8"/>
  <c r="AO4573" i="8" s="1"/>
  <c r="E4573" i="8"/>
  <c r="E999" i="28" s="1"/>
  <c r="F999" i="28" s="1"/>
  <c r="AM4549" i="8"/>
  <c r="AO4549" i="8" s="1"/>
  <c r="E4549" i="8"/>
  <c r="E996" i="28" s="1"/>
  <c r="F996" i="28" s="1"/>
  <c r="AM4058" i="8"/>
  <c r="AO4058" i="8" s="1"/>
  <c r="E4058" i="8"/>
  <c r="E916" i="28" s="1"/>
  <c r="F916" i="28" s="1"/>
  <c r="AO3249" i="8"/>
  <c r="AN661" i="8"/>
  <c r="AM3416" i="8"/>
  <c r="AO3416" i="8" s="1"/>
  <c r="E3416" i="8"/>
  <c r="E821" i="28" s="1"/>
  <c r="F821" i="28" s="1"/>
  <c r="AM5462" i="8"/>
  <c r="AO5462" i="8" s="1"/>
  <c r="E5462" i="8"/>
  <c r="E1146" i="28" s="1"/>
  <c r="F1146" i="28" s="1"/>
  <c r="R6514" i="8"/>
  <c r="F1827" i="8"/>
  <c r="T1827" i="8" s="1"/>
  <c r="AG1827" i="8"/>
  <c r="AI1827" i="8" s="1"/>
  <c r="AJ1827" i="8" s="1"/>
  <c r="AM4348" i="8"/>
  <c r="AO4348" i="8" s="1"/>
  <c r="E4348" i="8"/>
  <c r="E963" i="28" s="1"/>
  <c r="F963" i="28" s="1"/>
  <c r="AN6214" i="8"/>
  <c r="AM1324" i="8"/>
  <c r="AO1324" i="8" s="1"/>
  <c r="E1324" i="8"/>
  <c r="E475" i="28" s="1"/>
  <c r="F475" i="28" s="1"/>
  <c r="AM1345" i="8"/>
  <c r="AO1345" i="8" s="1"/>
  <c r="E1345" i="8"/>
  <c r="E478" i="28" s="1"/>
  <c r="F478" i="28" s="1"/>
  <c r="AM1317" i="8"/>
  <c r="AO1317" i="8" s="1"/>
  <c r="E1317" i="8"/>
  <c r="E474" i="28" s="1"/>
  <c r="F474" i="28" s="1"/>
  <c r="AM2434" i="8"/>
  <c r="AO2434" i="8" s="1"/>
  <c r="E2434" i="8"/>
  <c r="E657" i="28" s="1"/>
  <c r="F657" i="28" s="1"/>
  <c r="E5945" i="8"/>
  <c r="E1219" i="28" s="1"/>
  <c r="F1219" i="28" s="1"/>
  <c r="AM1256" i="8"/>
  <c r="AO1256" i="8" s="1"/>
  <c r="E1256" i="8"/>
  <c r="E464" i="28" s="1"/>
  <c r="F464" i="28" s="1"/>
  <c r="AM1966" i="8"/>
  <c r="AO1966" i="8" s="1"/>
  <c r="E1966" i="8"/>
  <c r="E584" i="28" s="1"/>
  <c r="F584" i="28" s="1"/>
  <c r="AM2048" i="8"/>
  <c r="AO2048" i="8" s="1"/>
  <c r="E2048" i="8"/>
  <c r="E597" i="28" s="1"/>
  <c r="F597" i="28" s="1"/>
  <c r="AM2020" i="8"/>
  <c r="AO2020" i="8" s="1"/>
  <c r="E2020" i="8"/>
  <c r="E593" i="28" s="1"/>
  <c r="F593" i="28" s="1"/>
  <c r="AM2041" i="8"/>
  <c r="AO2041" i="8" s="1"/>
  <c r="E2041" i="8"/>
  <c r="E596" i="28" s="1"/>
  <c r="F596" i="28" s="1"/>
  <c r="AM1703" i="8"/>
  <c r="AO1703" i="8" s="1"/>
  <c r="E1703" i="8"/>
  <c r="E539" i="28" s="1"/>
  <c r="F539" i="28" s="1"/>
  <c r="AM2027" i="8"/>
  <c r="AO2027" i="8" s="1"/>
  <c r="E2027" i="8"/>
  <c r="E594" i="28" s="1"/>
  <c r="F594" i="28" s="1"/>
  <c r="AM1363" i="8"/>
  <c r="AO1363" i="8" s="1"/>
  <c r="E1363" i="8"/>
  <c r="E481" i="28" s="1"/>
  <c r="F481" i="28" s="1"/>
  <c r="AM1179" i="8"/>
  <c r="AO1179" i="8" s="1"/>
  <c r="E1179" i="8"/>
  <c r="E452" i="28" s="1"/>
  <c r="F452" i="28" s="1"/>
  <c r="AO5550" i="8"/>
  <c r="AM847" i="8"/>
  <c r="AO847" i="8" s="1"/>
  <c r="E5490" i="8"/>
  <c r="E1150" i="28" s="1"/>
  <c r="F1150" i="28" s="1"/>
  <c r="AN5490" i="8"/>
  <c r="AM2623" i="8"/>
  <c r="AO2623" i="8" s="1"/>
  <c r="E2623" i="8"/>
  <c r="E692" i="28" s="1"/>
  <c r="F692" i="28" s="1"/>
  <c r="AM3146" i="8"/>
  <c r="AO3146" i="8" s="1"/>
  <c r="E3146" i="8"/>
  <c r="E781" i="28" s="1"/>
  <c r="F781" i="28" s="1"/>
  <c r="AM3059" i="8"/>
  <c r="AO3059" i="8" s="1"/>
  <c r="E3059" i="8"/>
  <c r="E768" i="28" s="1"/>
  <c r="F768" i="28" s="1"/>
  <c r="AM3322" i="8"/>
  <c r="AO3322" i="8" s="1"/>
  <c r="E3322" i="8"/>
  <c r="E808" i="28" s="1"/>
  <c r="F808" i="28" s="1"/>
  <c r="AM3087" i="8"/>
  <c r="AO3087" i="8" s="1"/>
  <c r="E3087" i="8"/>
  <c r="E772" i="28" s="1"/>
  <c r="F772" i="28" s="1"/>
  <c r="AM4121" i="8"/>
  <c r="AO4121" i="8" s="1"/>
  <c r="E4121" i="8"/>
  <c r="E925" i="28" s="1"/>
  <c r="F925" i="28" s="1"/>
  <c r="AM3045" i="8"/>
  <c r="AO3045" i="8" s="1"/>
  <c r="E3045" i="8"/>
  <c r="E766" i="28" s="1"/>
  <c r="AM3668" i="8"/>
  <c r="AO3668" i="8" s="1"/>
  <c r="E3668" i="8"/>
  <c r="E861" i="28" s="1"/>
  <c r="F861" i="28" s="1"/>
  <c r="R6496" i="8"/>
  <c r="AM6489" i="8" s="1"/>
  <c r="AN5743" i="8"/>
  <c r="AM6124" i="8"/>
  <c r="AO6124" i="8" s="1"/>
  <c r="E6124" i="8"/>
  <c r="E1245" i="28" s="1"/>
  <c r="F1245" i="28" s="1"/>
  <c r="AM2865" i="8"/>
  <c r="AO2865" i="8" s="1"/>
  <c r="E2865" i="8"/>
  <c r="E736" i="28" s="1"/>
  <c r="F736" i="28" s="1"/>
  <c r="F1090" i="8"/>
  <c r="T1090" i="8" s="1"/>
  <c r="AG1090" i="8"/>
  <c r="AI1090" i="8" s="1"/>
  <c r="AJ1090" i="8" s="1"/>
  <c r="R733" i="8"/>
  <c r="T726" i="8" s="1"/>
  <c r="AN6454" i="8"/>
  <c r="R655" i="8"/>
  <c r="AM4480" i="8"/>
  <c r="AO4480" i="8" s="1"/>
  <c r="E4480" i="8"/>
  <c r="E982" i="28" s="1"/>
  <c r="F982" i="28" s="1"/>
  <c r="AM926" i="8"/>
  <c r="AO926" i="8" s="1"/>
  <c r="E926" i="8"/>
  <c r="E410" i="28" s="1"/>
  <c r="F410" i="28" s="1"/>
  <c r="AM951" i="8"/>
  <c r="AO951" i="8" s="1"/>
  <c r="AG2302" i="8"/>
  <c r="AI2302" i="8" s="1"/>
  <c r="AJ2302" i="8" s="1"/>
  <c r="F2302" i="8"/>
  <c r="T2302" i="8" s="1"/>
  <c r="AM2951" i="8"/>
  <c r="AO2951" i="8" s="1"/>
  <c r="E2951" i="8"/>
  <c r="E753" i="28" s="1"/>
  <c r="F753" i="28" s="1"/>
  <c r="AM1097" i="8"/>
  <c r="AO1097" i="8" s="1"/>
  <c r="E1097" i="8"/>
  <c r="E439" i="28" s="1"/>
  <c r="F439" i="28" s="1"/>
  <c r="AM1884" i="8"/>
  <c r="AO1884" i="8" s="1"/>
  <c r="E1884" i="8"/>
  <c r="E571" i="28" s="1"/>
  <c r="F571" i="28" s="1"/>
  <c r="AM2778" i="8"/>
  <c r="AO2778" i="8" s="1"/>
  <c r="E2778" i="8"/>
  <c r="E721" i="28" s="1"/>
  <c r="F721" i="28" s="1"/>
  <c r="AN5958" i="8"/>
  <c r="AM854" i="8"/>
  <c r="AO854" i="8" s="1"/>
  <c r="AM4541" i="8"/>
  <c r="AO4541" i="8" s="1"/>
  <c r="E4541" i="8"/>
  <c r="E995" i="28" s="1"/>
  <c r="F995" i="28" s="1"/>
  <c r="AM4774" i="8"/>
  <c r="AO4774" i="8" s="1"/>
  <c r="E4774" i="8"/>
  <c r="E1033" i="28" s="1"/>
  <c r="F1033" i="28" s="1"/>
  <c r="F5469" i="8"/>
  <c r="T5469" i="8" s="1"/>
  <c r="AG5469" i="8"/>
  <c r="AI5469" i="8" s="1"/>
  <c r="AJ5469" i="8" s="1"/>
  <c r="AM4145" i="8"/>
  <c r="AO4145" i="8" s="1"/>
  <c r="E4145" i="8"/>
  <c r="E929" i="28" s="1"/>
  <c r="F929" i="28" s="1"/>
  <c r="AO5501" i="8"/>
  <c r="E3249" i="8"/>
  <c r="E793" i="28" s="1"/>
  <c r="F793" i="28" s="1"/>
  <c r="AI912" i="8"/>
  <c r="AJ912" i="8" s="1"/>
  <c r="F912" i="8"/>
  <c r="T912" i="8" s="1"/>
  <c r="AM4040" i="8"/>
  <c r="AO4040" i="8" s="1"/>
  <c r="E4040" i="8"/>
  <c r="E913" i="28" s="1"/>
  <c r="F913" i="28" s="1"/>
  <c r="AG2630" i="8"/>
  <c r="F2630" i="8"/>
  <c r="T2630" i="8" s="1"/>
  <c r="AO2886" i="8"/>
  <c r="AM5300" i="8"/>
  <c r="AO5300" i="8" s="1"/>
  <c r="E5300" i="8"/>
  <c r="E1122" i="28" s="1"/>
  <c r="F1122" i="28" s="1"/>
  <c r="R6361" i="8"/>
  <c r="AM3153" i="8"/>
  <c r="AO3153" i="8" s="1"/>
  <c r="E3153" i="8"/>
  <c r="E782" i="28" s="1"/>
  <c r="F782" i="28" s="1"/>
  <c r="R6107" i="8"/>
  <c r="AM2137" i="8"/>
  <c r="AO2137" i="8" s="1"/>
  <c r="E2137" i="8"/>
  <c r="E611" i="28" s="1"/>
  <c r="F611" i="28" s="1"/>
  <c r="AM2130" i="8"/>
  <c r="AO2130" i="8" s="1"/>
  <c r="E2130" i="8"/>
  <c r="E610" i="28" s="1"/>
  <c r="F610" i="28" s="1"/>
  <c r="AM1910" i="8"/>
  <c r="AO1910" i="8" s="1"/>
  <c r="E1910" i="8"/>
  <c r="E576" i="28" s="1"/>
  <c r="F576" i="28" s="1"/>
  <c r="AO5721" i="8"/>
  <c r="AM1838" i="8"/>
  <c r="AO1838" i="8" s="1"/>
  <c r="E1838" i="8"/>
  <c r="E560" i="28" s="1"/>
  <c r="F560" i="28" s="1"/>
  <c r="AO6091" i="8"/>
  <c r="F2911" i="8"/>
  <c r="T2911" i="8" s="1"/>
  <c r="AG2911" i="8"/>
  <c r="AI2911" i="8" s="1"/>
  <c r="AJ2911" i="8" s="1"/>
  <c r="AM2055" i="8"/>
  <c r="AO2055" i="8" s="1"/>
  <c r="E2055" i="8"/>
  <c r="E598" i="28" s="1"/>
  <c r="F598" i="28" s="1"/>
  <c r="AM2158" i="8"/>
  <c r="AO2158" i="8" s="1"/>
  <c r="E2158" i="8"/>
  <c r="E614" i="28" s="1"/>
  <c r="F614" i="28" s="1"/>
  <c r="AM2034" i="8"/>
  <c r="AO2034" i="8" s="1"/>
  <c r="E2034" i="8"/>
  <c r="E595" i="28" s="1"/>
  <c r="F595" i="28" s="1"/>
  <c r="AM1973" i="8"/>
  <c r="AO1973" i="8" s="1"/>
  <c r="E1973" i="8"/>
  <c r="E585" i="28" s="1"/>
  <c r="F585" i="28" s="1"/>
  <c r="AM2090" i="8"/>
  <c r="AO2090" i="8" s="1"/>
  <c r="E2090" i="8"/>
  <c r="E603" i="28" s="1"/>
  <c r="F603" i="28" s="1"/>
  <c r="AM1682" i="8"/>
  <c r="AO1682" i="8" s="1"/>
  <c r="E1682" i="8"/>
  <c r="E536" i="28" s="1"/>
  <c r="F536" i="28" s="1"/>
  <c r="AM1661" i="8"/>
  <c r="AO1661" i="8" s="1"/>
  <c r="E1661" i="8"/>
  <c r="E533" i="28" s="1"/>
  <c r="AM1984" i="8"/>
  <c r="AO1984" i="8" s="1"/>
  <c r="E1984" i="8"/>
  <c r="E587" i="28" s="1"/>
  <c r="F587" i="28" s="1"/>
  <c r="AM833" i="8"/>
  <c r="AO833" i="8" s="1"/>
  <c r="AM965" i="8"/>
  <c r="AO965" i="8" s="1"/>
  <c r="AM2561" i="8"/>
  <c r="AO2561" i="8" s="1"/>
  <c r="E2561" i="8"/>
  <c r="E681" i="28" s="1"/>
  <c r="F681" i="28" s="1"/>
  <c r="AM3336" i="8"/>
  <c r="AO3336" i="8" s="1"/>
  <c r="E3336" i="8"/>
  <c r="E810" i="28" s="1"/>
  <c r="F810" i="28" s="1"/>
  <c r="AM3789" i="8"/>
  <c r="AO3789" i="8" s="1"/>
  <c r="E3789" i="8"/>
  <c r="E879" i="28" s="1"/>
  <c r="F879" i="28" s="1"/>
  <c r="AM3101" i="8"/>
  <c r="AO3101" i="8" s="1"/>
  <c r="E3101" i="8"/>
  <c r="E774" i="28" s="1"/>
  <c r="F774" i="28" s="1"/>
  <c r="AM3122" i="8"/>
  <c r="AO3122" i="8" s="1"/>
  <c r="E3122" i="8"/>
  <c r="E777" i="28" s="1"/>
  <c r="F777" i="28" s="1"/>
  <c r="AM3343" i="8"/>
  <c r="AO3343" i="8" s="1"/>
  <c r="E3343" i="8"/>
  <c r="E811" i="28" s="1"/>
  <c r="F811" i="28" s="1"/>
  <c r="F1385" i="8"/>
  <c r="T1385" i="8" s="1"/>
  <c r="AG1385" i="8"/>
  <c r="AM1473" i="8"/>
  <c r="AO1473" i="8" s="1"/>
  <c r="E1473" i="8"/>
  <c r="E502" i="28" s="1"/>
  <c r="F502" i="28" s="1"/>
  <c r="AO4186" i="8"/>
  <c r="E1053" i="8"/>
  <c r="E429" i="28" s="1"/>
  <c r="F429" i="28" s="1"/>
  <c r="AM1603" i="8"/>
  <c r="AO1603" i="8" s="1"/>
  <c r="E1603" i="8"/>
  <c r="E523" i="28" s="1"/>
  <c r="F523" i="28" s="1"/>
  <c r="F2468" i="8"/>
  <c r="T2468" i="8" s="1"/>
  <c r="AG2468" i="8"/>
  <c r="AI2468" i="8" s="1"/>
  <c r="AJ2468" i="8" s="1"/>
  <c r="AO1220" i="8"/>
  <c r="AO5529" i="8"/>
  <c r="AM2101" i="8"/>
  <c r="AO2101" i="8" s="1"/>
  <c r="E2101" i="8"/>
  <c r="E605" i="28" s="1"/>
  <c r="F605" i="28" s="1"/>
  <c r="AM1014" i="8"/>
  <c r="AO1014" i="8" s="1"/>
  <c r="F990" i="8"/>
  <c r="T990" i="8" s="1"/>
  <c r="AG990" i="8"/>
  <c r="AM3286" i="8"/>
  <c r="AO3286" i="8" s="1"/>
  <c r="E3286" i="8"/>
  <c r="E803" i="28" s="1"/>
  <c r="F803" i="28" s="1"/>
  <c r="AM1870" i="8"/>
  <c r="AO1870" i="8" s="1"/>
  <c r="E1870" i="8"/>
  <c r="E569" i="28" s="1"/>
  <c r="F569" i="28" s="1"/>
  <c r="R2207" i="8"/>
  <c r="AM1420" i="8"/>
  <c r="AO1420" i="8" s="1"/>
  <c r="E1420" i="8"/>
  <c r="E490" i="28" s="1"/>
  <c r="F490" i="28" s="1"/>
  <c r="AM2743" i="8"/>
  <c r="AO2743" i="8" s="1"/>
  <c r="R2926" i="8"/>
  <c r="E2743" i="8"/>
  <c r="E716" i="28" s="1"/>
  <c r="F716" i="28" s="1"/>
  <c r="AM1035" i="8"/>
  <c r="AO1035" i="8" s="1"/>
  <c r="E1035" i="8"/>
  <c r="E426" i="28" s="1"/>
  <c r="F426" i="28" s="1"/>
  <c r="AO1445" i="8"/>
  <c r="AM826" i="8"/>
  <c r="AO826" i="8" s="1"/>
  <c r="AM3469" i="8"/>
  <c r="AO3469" i="8" s="1"/>
  <c r="E3469" i="8"/>
  <c r="E830" i="28" s="1"/>
  <c r="F830" i="28" s="1"/>
  <c r="AM3493" i="8"/>
  <c r="AO3493" i="8" s="1"/>
  <c r="E3493" i="8"/>
  <c r="E833" i="28" s="1"/>
  <c r="F833" i="28" s="1"/>
  <c r="AM3160" i="8"/>
  <c r="AO3160" i="8" s="1"/>
  <c r="E3160" i="8"/>
  <c r="E783" i="28" s="1"/>
  <c r="F783" i="28" s="1"/>
  <c r="E5501" i="8"/>
  <c r="E1152" i="28" s="1"/>
  <c r="F1152" i="28" s="1"/>
  <c r="E5321" i="8"/>
  <c r="E1125" i="28" s="1"/>
  <c r="F1125" i="28" s="1"/>
  <c r="AM5448" i="8"/>
  <c r="AO5448" i="8" s="1"/>
  <c r="E5448" i="8"/>
  <c r="E1144" i="28" s="1"/>
  <c r="F1144" i="28" s="1"/>
  <c r="E2886" i="8"/>
  <c r="E739" i="28" s="1"/>
  <c r="F739" i="28" s="1"/>
  <c r="AM5536" i="8"/>
  <c r="AO5536" i="8" s="1"/>
  <c r="E5536" i="8"/>
  <c r="E1157" i="28" s="1"/>
  <c r="F1157" i="28" s="1"/>
  <c r="R6434" i="8"/>
  <c r="AM4051" i="8"/>
  <c r="AO4051" i="8" s="1"/>
  <c r="E4051" i="8"/>
  <c r="E915" i="28" s="1"/>
  <c r="F915" i="28" s="1"/>
  <c r="R5974" i="8"/>
  <c r="E5483" i="8"/>
  <c r="E1149" i="28" s="1"/>
  <c r="F1149" i="28" s="1"/>
  <c r="AM1917" i="8"/>
  <c r="AO1917" i="8" s="1"/>
  <c r="E1917" i="8"/>
  <c r="E577" i="28" s="1"/>
  <c r="F577" i="28" s="1"/>
  <c r="AM1338" i="8"/>
  <c r="AO1338" i="8" s="1"/>
  <c r="E1338" i="8"/>
  <c r="E477" i="28" s="1"/>
  <c r="F477" i="28" s="1"/>
  <c r="AM2144" i="8"/>
  <c r="AO2144" i="8" s="1"/>
  <c r="E2144" i="8"/>
  <c r="E612" i="28" s="1"/>
  <c r="F612" i="28" s="1"/>
  <c r="E5721" i="8"/>
  <c r="E1187" i="28" s="1"/>
  <c r="F1187" i="28" s="1"/>
  <c r="AM2904" i="8"/>
  <c r="AO2904" i="8" s="1"/>
  <c r="E2904" i="8"/>
  <c r="E742" i="28" s="1"/>
  <c r="F742" i="28" s="1"/>
  <c r="E6091" i="8"/>
  <c r="E1241" i="28" s="1"/>
  <c r="F1241" i="28" s="1"/>
  <c r="F2539" i="8"/>
  <c r="T2539" i="8" s="1"/>
  <c r="AG2539" i="8"/>
  <c r="AI2539" i="8" s="1"/>
  <c r="AJ2539" i="8" s="1"/>
  <c r="AM1945" i="8"/>
  <c r="AO1945" i="8" s="1"/>
  <c r="E1945" i="8"/>
  <c r="E581" i="28" s="1"/>
  <c r="F581" i="28" s="1"/>
  <c r="AM1710" i="8"/>
  <c r="AO1710" i="8" s="1"/>
  <c r="E1710" i="8"/>
  <c r="E540" i="28" s="1"/>
  <c r="AM2076" i="8"/>
  <c r="AO2076" i="8" s="1"/>
  <c r="E2076" i="8"/>
  <c r="E601" i="28" s="1"/>
  <c r="F601" i="28" s="1"/>
  <c r="AM1759" i="8"/>
  <c r="AO1759" i="8" s="1"/>
  <c r="E1759" i="8"/>
  <c r="E547" i="28" s="1"/>
  <c r="F547" i="28" s="1"/>
  <c r="AM1766" i="8"/>
  <c r="AO1766" i="8" s="1"/>
  <c r="E1766" i="8"/>
  <c r="E548" i="28" s="1"/>
  <c r="AM2262" i="8"/>
  <c r="AO2262" i="8" s="1"/>
  <c r="E2262" i="8"/>
  <c r="E631" i="28" s="1"/>
  <c r="F631" i="28" s="1"/>
  <c r="AM1738" i="8"/>
  <c r="AO1738" i="8" s="1"/>
  <c r="E1738" i="8"/>
  <c r="E544" i="28" s="1"/>
  <c r="AM2187" i="8"/>
  <c r="AO2187" i="8" s="1"/>
  <c r="E2187" i="8"/>
  <c r="E617" i="28" s="1"/>
  <c r="F617" i="28" s="1"/>
  <c r="AM1186" i="8"/>
  <c r="AO1186" i="8" s="1"/>
  <c r="E1186" i="8"/>
  <c r="E453" i="28" s="1"/>
  <c r="F453" i="28" s="1"/>
  <c r="F784" i="8"/>
  <c r="T784" i="8" s="1"/>
  <c r="AI784" i="8"/>
  <c r="AJ784" i="8" s="1"/>
  <c r="F5434" i="8"/>
  <c r="T5434" i="8" s="1"/>
  <c r="AG5434" i="8"/>
  <c r="AI5434" i="8" s="1"/>
  <c r="AJ5434" i="8" s="1"/>
  <c r="AM3782" i="8"/>
  <c r="AO3782" i="8" s="1"/>
  <c r="E3782" i="8"/>
  <c r="E878" i="28" s="1"/>
  <c r="F878" i="28" s="1"/>
  <c r="AM3010" i="8"/>
  <c r="AO3010" i="8" s="1"/>
  <c r="E3010" i="8"/>
  <c r="E761" i="28" s="1"/>
  <c r="F761" i="28" s="1"/>
  <c r="AM3378" i="8"/>
  <c r="AO3378" i="8" s="1"/>
  <c r="E3378" i="8"/>
  <c r="E816" i="28" s="1"/>
  <c r="F816" i="28" s="1"/>
  <c r="AM3308" i="8"/>
  <c r="AO3308" i="8" s="1"/>
  <c r="E3308" i="8"/>
  <c r="E806" i="28" s="1"/>
  <c r="F806" i="28" s="1"/>
  <c r="AM2981" i="8"/>
  <c r="AO2981" i="8" s="1"/>
  <c r="E2981" i="8"/>
  <c r="E757" i="28" s="1"/>
  <c r="F757" i="28" s="1"/>
  <c r="R6061" i="8"/>
  <c r="AN6319" i="8"/>
  <c r="AM1487" i="8"/>
  <c r="AO1487" i="8" s="1"/>
  <c r="E1487" i="8"/>
  <c r="E504" i="28" s="1"/>
  <c r="F504" i="28" s="1"/>
  <c r="E4186" i="8"/>
  <c r="E936" i="28" s="1"/>
  <c r="F936" i="28" s="1"/>
  <c r="E5205" i="8"/>
  <c r="E1108" i="28" s="1"/>
  <c r="F1108" i="28" s="1"/>
  <c r="AM919" i="8"/>
  <c r="AO919" i="8" s="1"/>
  <c r="E919" i="8"/>
  <c r="E409" i="28" s="1"/>
  <c r="F409" i="28" s="1"/>
  <c r="E1220" i="8"/>
  <c r="E458" i="28" s="1"/>
  <c r="F458" i="28" s="1"/>
  <c r="E5529" i="8"/>
  <c r="E1156" i="28" s="1"/>
  <c r="F1156" i="28" s="1"/>
  <c r="AM1356" i="8"/>
  <c r="AO1356" i="8" s="1"/>
  <c r="E1356" i="8"/>
  <c r="E480" i="28" s="1"/>
  <c r="F480" i="28" s="1"/>
  <c r="R709" i="8"/>
  <c r="AM1991" i="8"/>
  <c r="AO1991" i="8" s="1"/>
  <c r="E1991" i="8"/>
  <c r="E588" i="28" s="1"/>
  <c r="F588" i="28" s="1"/>
  <c r="F2532" i="8"/>
  <c r="T2532" i="8" s="1"/>
  <c r="AG2532" i="8"/>
  <c r="AI2532" i="8" s="1"/>
  <c r="AJ2532" i="8" s="1"/>
  <c r="AM735" i="8"/>
  <c r="AO735" i="8" s="1"/>
  <c r="AN6489" i="8"/>
  <c r="AG2443" i="8"/>
  <c r="AI2443" i="8" s="1"/>
  <c r="AJ2443" i="8" s="1"/>
  <c r="F2443" i="8"/>
  <c r="T2443" i="8" s="1"/>
  <c r="AM3264" i="8"/>
  <c r="AO3264" i="8" s="1"/>
  <c r="E3264" i="8"/>
  <c r="E796" i="28" s="1"/>
  <c r="F796" i="28" s="1"/>
  <c r="AM3630" i="8"/>
  <c r="AO3630" i="8" s="1"/>
  <c r="E3630" i="8"/>
  <c r="E856" i="28" s="1"/>
  <c r="F856" i="28" s="1"/>
  <c r="AM2605" i="8"/>
  <c r="AO2605" i="8" s="1"/>
  <c r="E2605" i="8"/>
  <c r="E689" i="28" s="1"/>
  <c r="F689" i="28" s="1"/>
  <c r="AM2804" i="8"/>
  <c r="AO2804" i="8" s="1"/>
  <c r="E2804" i="8"/>
  <c r="E726" i="28" s="1"/>
  <c r="F726" i="28" s="1"/>
  <c r="F2879" i="8"/>
  <c r="T2879" i="8" s="1"/>
  <c r="AG2879" i="8"/>
  <c r="AM2500" i="8"/>
  <c r="AO2500" i="8" s="1"/>
  <c r="R2730" i="8"/>
  <c r="E2500" i="8"/>
  <c r="E671" i="28" s="1"/>
  <c r="F671" i="28" s="1"/>
  <c r="AM1028" i="8"/>
  <c r="AO1028" i="8" s="1"/>
  <c r="E1028" i="8"/>
  <c r="E425" i="28" s="1"/>
  <c r="F425" i="28" s="1"/>
  <c r="E1445" i="8"/>
  <c r="E494" i="28" s="1"/>
  <c r="F494" i="28" s="1"/>
  <c r="AM861" i="8"/>
  <c r="AO861" i="8" s="1"/>
  <c r="AM3477" i="8"/>
  <c r="AO3477" i="8" s="1"/>
  <c r="E3477" i="8"/>
  <c r="E831" i="28" s="1"/>
  <c r="F831" i="28" s="1"/>
  <c r="AM4220" i="8"/>
  <c r="AO4220" i="8" s="1"/>
  <c r="E4220" i="8"/>
  <c r="E945" i="28" s="1"/>
  <c r="F945" i="28" s="1"/>
  <c r="AM4228" i="8"/>
  <c r="AO4228" i="8" s="1"/>
  <c r="E4228" i="8"/>
  <c r="E946" i="28" s="1"/>
  <c r="F946" i="28" s="1"/>
  <c r="AM3720" i="8"/>
  <c r="AO3720" i="8" s="1"/>
  <c r="E3720" i="8"/>
  <c r="E869" i="28" s="1"/>
  <c r="F869" i="28" s="1"/>
  <c r="AN5765" i="8"/>
  <c r="AM3135" i="8"/>
  <c r="AO3135" i="8" s="1"/>
  <c r="E3135" i="8"/>
  <c r="E779" i="28" s="1"/>
  <c r="F779" i="28" s="1"/>
  <c r="AN5703" i="8"/>
  <c r="AM5184" i="8"/>
  <c r="AO5184" i="8" s="1"/>
  <c r="E5184" i="8"/>
  <c r="E1105" i="28" s="1"/>
  <c r="F1105" i="28" s="1"/>
  <c r="AM5561" i="8"/>
  <c r="AO5561" i="8" s="1"/>
  <c r="E5561" i="8"/>
  <c r="E1161" i="28" s="1"/>
  <c r="F1161" i="28" s="1"/>
  <c r="R5679" i="8"/>
  <c r="F2521" i="8"/>
  <c r="T2521" i="8" s="1"/>
  <c r="AG2521" i="8"/>
  <c r="AI2521" i="8" s="1"/>
  <c r="AJ2521" i="8" s="1"/>
  <c r="AM4725" i="8"/>
  <c r="AO4725" i="8" s="1"/>
  <c r="E4725" i="8"/>
  <c r="E1022" i="28" s="1"/>
  <c r="F1022" i="28" s="1"/>
  <c r="R5983" i="8"/>
  <c r="AM5441" i="8"/>
  <c r="AO5441" i="8" s="1"/>
  <c r="E5441" i="8"/>
  <c r="E1143" i="28" s="1"/>
  <c r="F1143" i="28" s="1"/>
  <c r="AM2234" i="8"/>
  <c r="AO2234" i="8" s="1"/>
  <c r="E2234" i="8"/>
  <c r="E627" i="28" s="1"/>
  <c r="F627" i="28" s="1"/>
  <c r="AM1924" i="8"/>
  <c r="AO1924" i="8" s="1"/>
  <c r="E1924" i="8"/>
  <c r="E578" i="28" s="1"/>
  <c r="F578" i="28" s="1"/>
  <c r="AM2116" i="8"/>
  <c r="AO2116" i="8" s="1"/>
  <c r="E2116" i="8"/>
  <c r="E608" i="28" s="1"/>
  <c r="F608" i="28" s="1"/>
  <c r="AM2897" i="8"/>
  <c r="AO2897" i="8" s="1"/>
  <c r="E2897" i="8"/>
  <c r="E741" i="28" s="1"/>
  <c r="F741" i="28" s="1"/>
  <c r="AO6293" i="8"/>
  <c r="AM1235" i="8"/>
  <c r="AO1235" i="8" s="1"/>
  <c r="E1235" i="8"/>
  <c r="AM1696" i="8"/>
  <c r="AO1696" i="8" s="1"/>
  <c r="E1696" i="8"/>
  <c r="E538" i="28" s="1"/>
  <c r="AM1787" i="8"/>
  <c r="AO1787" i="8" s="1"/>
  <c r="E1787" i="8"/>
  <c r="E551" i="28" s="1"/>
  <c r="F551" i="28" s="1"/>
  <c r="AM1794" i="8"/>
  <c r="AO1794" i="8" s="1"/>
  <c r="E1794" i="8"/>
  <c r="E552" i="28" s="1"/>
  <c r="F552" i="28" s="1"/>
  <c r="AM2013" i="8"/>
  <c r="AO2013" i="8" s="1"/>
  <c r="E2013" i="8"/>
  <c r="E592" i="28" s="1"/>
  <c r="F592" i="28" s="1"/>
  <c r="AM1291" i="8"/>
  <c r="AO1291" i="8" s="1"/>
  <c r="E1291" i="8"/>
  <c r="E469" i="28" s="1"/>
  <c r="AM2069" i="8"/>
  <c r="AO2069" i="8" s="1"/>
  <c r="E2069" i="8"/>
  <c r="E600" i="28" s="1"/>
  <c r="F600" i="28" s="1"/>
  <c r="AM1529" i="8"/>
  <c r="AO1529" i="8" s="1"/>
  <c r="E1529" i="8"/>
  <c r="E510" i="28" s="1"/>
  <c r="F510" i="28" s="1"/>
  <c r="AM2722" i="8"/>
  <c r="AO2722" i="8" s="1"/>
  <c r="E2722" i="8"/>
  <c r="E709" i="28" s="1"/>
  <c r="F709" i="28" s="1"/>
  <c r="AM1895" i="8"/>
  <c r="AO1895" i="8" s="1"/>
  <c r="E1895" i="8"/>
  <c r="E573" i="28" s="1"/>
  <c r="F573" i="28" s="1"/>
  <c r="AM3003" i="8"/>
  <c r="AO3003" i="8" s="1"/>
  <c r="E3003" i="8"/>
  <c r="E760" i="28" s="1"/>
  <c r="F760" i="28" s="1"/>
  <c r="AM3364" i="8"/>
  <c r="AO3364" i="8" s="1"/>
  <c r="E3364" i="8"/>
  <c r="E814" i="28" s="1"/>
  <c r="F814" i="28" s="1"/>
  <c r="AM4616" i="8"/>
  <c r="AO4616" i="8" s="1"/>
  <c r="E4616" i="8"/>
  <c r="E1005" i="28" s="1"/>
  <c r="F1005" i="28" s="1"/>
  <c r="AM3775" i="8"/>
  <c r="AO3775" i="8" s="1"/>
  <c r="E3775" i="8"/>
  <c r="E877" i="28" s="1"/>
  <c r="F877" i="28" s="1"/>
  <c r="R4628" i="8"/>
  <c r="AM3073" i="8"/>
  <c r="AO3073" i="8" s="1"/>
  <c r="E3073" i="8"/>
  <c r="E770" i="28" s="1"/>
  <c r="AM5402" i="8"/>
  <c r="AO5402" i="8" s="1"/>
  <c r="E5402" i="8"/>
  <c r="E1137" i="28" s="1"/>
  <c r="F1137" i="28" s="1"/>
  <c r="F882" i="8"/>
  <c r="T882" i="8" s="1"/>
  <c r="AI882" i="8"/>
  <c r="AJ882" i="8" s="1"/>
  <c r="AM1501" i="8"/>
  <c r="AO1501" i="8" s="1"/>
  <c r="E1501" i="8"/>
  <c r="E506" i="28" s="1"/>
  <c r="F506" i="28" s="1"/>
  <c r="AG5409" i="8"/>
  <c r="F5409" i="8"/>
  <c r="T5409" i="8" s="1"/>
  <c r="AM2176" i="8"/>
  <c r="AO2176" i="8" s="1"/>
  <c r="E2176" i="8"/>
  <c r="E615" i="28" s="1"/>
  <c r="F615" i="28" s="1"/>
  <c r="AG5226" i="8"/>
  <c r="AI5226" i="8" s="1"/>
  <c r="AJ5226" i="8" s="1"/>
  <c r="F5226" i="8"/>
  <c r="T5226" i="8" s="1"/>
  <c r="AM1204" i="8"/>
  <c r="AO1204" i="8" s="1"/>
  <c r="E1204" i="8"/>
  <c r="E456" i="28" s="1"/>
  <c r="F456" i="28" s="1"/>
  <c r="AM2197" i="8"/>
  <c r="AO2197" i="8" s="1"/>
  <c r="E2197" i="8"/>
  <c r="E618" i="28" s="1"/>
  <c r="F618" i="28" s="1"/>
  <c r="F905" i="8"/>
  <c r="T905" i="8" s="1"/>
  <c r="AG905" i="8"/>
  <c r="AI905" i="8" s="1"/>
  <c r="AJ905" i="8" s="1"/>
  <c r="AM4090" i="8"/>
  <c r="AO4090" i="8" s="1"/>
  <c r="E4090" i="8"/>
  <c r="E921" i="28" s="1"/>
  <c r="F921" i="28" s="1"/>
  <c r="AM2677" i="8"/>
  <c r="AO2677" i="8" s="1"/>
  <c r="E2677" i="8"/>
  <c r="E701" i="28" s="1"/>
  <c r="F701" i="28" s="1"/>
  <c r="AM1193" i="8"/>
  <c r="AO1193" i="8" s="1"/>
  <c r="E1193" i="8"/>
  <c r="E454" i="28" s="1"/>
  <c r="F454" i="28" s="1"/>
  <c r="AM1090" i="8"/>
  <c r="AO1090" i="8" s="1"/>
  <c r="AM2757" i="8"/>
  <c r="AO2757" i="8" s="1"/>
  <c r="E2757" i="8"/>
  <c r="E718" i="28" s="1"/>
  <c r="F718" i="28" s="1"/>
  <c r="AM749" i="8"/>
  <c r="AO749" i="8" s="1"/>
  <c r="E5356" i="8"/>
  <c r="E1130" i="28" s="1"/>
  <c r="F1130" i="28" s="1"/>
  <c r="AM4750" i="8"/>
  <c r="AO4750" i="8" s="1"/>
  <c r="E4750" i="8"/>
  <c r="E1030" i="28" s="1"/>
  <c r="F1030" i="28" s="1"/>
  <c r="AM4244" i="8"/>
  <c r="AO4244" i="8" s="1"/>
  <c r="E4244" i="8"/>
  <c r="E948" i="28" s="1"/>
  <c r="F948" i="28" s="1"/>
  <c r="AM4371" i="8"/>
  <c r="AO4371" i="8" s="1"/>
  <c r="E4371" i="8"/>
  <c r="E967" i="28" s="1"/>
  <c r="F967" i="28" s="1"/>
  <c r="AN6067" i="8"/>
  <c r="AM4193" i="8"/>
  <c r="AO4193" i="8" s="1"/>
  <c r="E4193" i="8"/>
  <c r="E937" i="28" s="1"/>
  <c r="F937" i="28" s="1"/>
  <c r="AG1392" i="8"/>
  <c r="AI1392" i="8" s="1"/>
  <c r="AJ1392" i="8" s="1"/>
  <c r="F1392" i="8"/>
  <c r="T1392" i="8" s="1"/>
  <c r="AM3905" i="8"/>
  <c r="AO3905" i="8" s="1"/>
  <c r="E3905" i="8"/>
  <c r="E892" i="28" s="1"/>
  <c r="F892" i="28" s="1"/>
  <c r="AM5286" i="8"/>
  <c r="AO5286" i="8" s="1"/>
  <c r="E5286" i="8"/>
  <c r="E1120" i="28" s="1"/>
  <c r="F1120" i="28" s="1"/>
  <c r="R5621" i="8"/>
  <c r="AM4885" i="8"/>
  <c r="AO4885" i="8" s="1"/>
  <c r="E4885" i="8"/>
  <c r="E1049" i="28" s="1"/>
  <c r="F1049" i="28" s="1"/>
  <c r="R6313" i="8"/>
  <c r="AM5388" i="8"/>
  <c r="AO5388" i="8" s="1"/>
  <c r="E5388" i="8"/>
  <c r="E1135" i="28" s="1"/>
  <c r="F1135" i="28" s="1"/>
  <c r="AM1931" i="8"/>
  <c r="AO1931" i="8" s="1"/>
  <c r="E1931" i="8"/>
  <c r="E579" i="28" s="1"/>
  <c r="F579" i="28" s="1"/>
  <c r="AM2255" i="8"/>
  <c r="AO2255" i="8" s="1"/>
  <c r="E2255" i="8"/>
  <c r="E630" i="28" s="1"/>
  <c r="F630" i="28" s="1"/>
  <c r="AM2220" i="8"/>
  <c r="AO2220" i="8" s="1"/>
  <c r="E2220" i="8"/>
  <c r="E625" i="28" s="1"/>
  <c r="F625" i="28" s="1"/>
  <c r="AM2479" i="8"/>
  <c r="AO2479" i="8" s="1"/>
  <c r="E2479" i="8"/>
  <c r="E664" i="28" s="1"/>
  <c r="F664" i="28" s="1"/>
  <c r="E6293" i="8"/>
  <c r="E1270" i="28" s="1"/>
  <c r="F1270" i="28" s="1"/>
  <c r="AM1249" i="8"/>
  <c r="AO1249" i="8" s="1"/>
  <c r="E1249" i="8"/>
  <c r="E463" i="28" s="1"/>
  <c r="F463" i="28" s="1"/>
  <c r="AM1731" i="8"/>
  <c r="AO1731" i="8" s="1"/>
  <c r="E1731" i="8"/>
  <c r="E543" i="28" s="1"/>
  <c r="F543" i="28" s="1"/>
  <c r="AM1284" i="8"/>
  <c r="AO1284" i="8" s="1"/>
  <c r="E1284" i="8"/>
  <c r="E468" i="28" s="1"/>
  <c r="F468" i="28" s="1"/>
  <c r="AM1773" i="8"/>
  <c r="AO1773" i="8" s="1"/>
  <c r="E1773" i="8"/>
  <c r="E549" i="28" s="1"/>
  <c r="F549" i="28" s="1"/>
  <c r="AM1752" i="8"/>
  <c r="AO1752" i="8" s="1"/>
  <c r="E1752" i="8"/>
  <c r="E546" i="28" s="1"/>
  <c r="AM2598" i="8"/>
  <c r="AO2598" i="8" s="1"/>
  <c r="E2598" i="8"/>
  <c r="E688" i="28" s="1"/>
  <c r="F688" i="28" s="1"/>
  <c r="AM1378" i="8"/>
  <c r="AO1378" i="8" s="1"/>
  <c r="E1378" i="8"/>
  <c r="E484" i="28" s="1"/>
  <c r="F484" i="28" s="1"/>
  <c r="AM2844" i="8"/>
  <c r="AO2844" i="8" s="1"/>
  <c r="E2844" i="8"/>
  <c r="E733" i="28" s="1"/>
  <c r="F733" i="28" s="1"/>
  <c r="AN4637" i="8"/>
  <c r="AG5543" i="8"/>
  <c r="F5543" i="8"/>
  <c r="T5543" i="8" s="1"/>
  <c r="AM1021" i="8"/>
  <c r="AO1021" i="8" s="1"/>
  <c r="E1021" i="8"/>
  <c r="E424" i="28" s="1"/>
  <c r="F424" i="28" s="1"/>
  <c r="AM889" i="8"/>
  <c r="AO889" i="8" s="1"/>
  <c r="E889" i="8"/>
  <c r="E405" i="28" s="1"/>
  <c r="F405" i="28" s="1"/>
  <c r="E1548" i="8"/>
  <c r="E513" i="28" s="1"/>
  <c r="F513" i="28" s="1"/>
  <c r="AN1548" i="8"/>
  <c r="AN5914" i="8"/>
  <c r="AM4065" i="8"/>
  <c r="AO4065" i="8" s="1"/>
  <c r="E4065" i="8"/>
  <c r="E917" i="28" s="1"/>
  <c r="F917" i="28" s="1"/>
  <c r="AM2670" i="8"/>
  <c r="AO2670" i="8" s="1"/>
  <c r="E2670" i="8"/>
  <c r="E700" i="28" s="1"/>
  <c r="F700" i="28" s="1"/>
  <c r="AM3315" i="8"/>
  <c r="AO3315" i="8" s="1"/>
  <c r="E3315" i="8"/>
  <c r="E807" i="28" s="1"/>
  <c r="F807" i="28" s="1"/>
  <c r="AM3108" i="8"/>
  <c r="AO3108" i="8" s="1"/>
  <c r="E3108" i="8"/>
  <c r="E775" i="28" s="1"/>
  <c r="F775" i="28" s="1"/>
  <c r="AM3890" i="8"/>
  <c r="AO3890" i="8" s="1"/>
  <c r="E3890" i="8"/>
  <c r="E890" i="28" s="1"/>
  <c r="F890" i="28" s="1"/>
  <c r="AM3038" i="8"/>
  <c r="AO3038" i="8" s="1"/>
  <c r="E3038" i="8"/>
  <c r="E765" i="28" s="1"/>
  <c r="AM3115" i="8"/>
  <c r="AO3115" i="8" s="1"/>
  <c r="E3115" i="8"/>
  <c r="E776" i="28" s="1"/>
  <c r="F776" i="28" s="1"/>
  <c r="AM5191" i="8"/>
  <c r="AO5191" i="8" s="1"/>
  <c r="E5191" i="8"/>
  <c r="E1106" i="28" s="1"/>
  <c r="F1106" i="28" s="1"/>
  <c r="AG2514" i="8"/>
  <c r="AI2514" i="8" s="1"/>
  <c r="AJ2514" i="8" s="1"/>
  <c r="F2514" i="8"/>
  <c r="T2514" i="8" s="1"/>
  <c r="F1596" i="8"/>
  <c r="T1596" i="8" s="1"/>
  <c r="AG1596" i="8"/>
  <c r="AI1596" i="8" s="1"/>
  <c r="AJ1596" i="8" s="1"/>
  <c r="F868" i="8"/>
  <c r="T868" i="8" s="1"/>
  <c r="AI868" i="8"/>
  <c r="AJ868" i="8" s="1"/>
  <c r="R940" i="8"/>
  <c r="AG5272" i="8"/>
  <c r="AI5272" i="8" s="1"/>
  <c r="AJ5272" i="8" s="1"/>
  <c r="F5272" i="8"/>
  <c r="T5272" i="8" s="1"/>
  <c r="AM2425" i="8"/>
  <c r="AO2425" i="8" s="1"/>
  <c r="E2425" i="8"/>
  <c r="E656" i="28" s="1"/>
  <c r="F656" i="28" s="1"/>
  <c r="R633" i="8"/>
  <c r="T626" i="8" s="1"/>
  <c r="AM4329" i="8"/>
  <c r="AO4329" i="8" s="1"/>
  <c r="E4329" i="8"/>
  <c r="E960" i="28" s="1"/>
  <c r="F960" i="28" s="1"/>
  <c r="AM2280" i="8"/>
  <c r="AO2280" i="8" s="1"/>
  <c r="E2280" i="8"/>
  <c r="E634" i="28" s="1"/>
  <c r="F634" i="28" s="1"/>
  <c r="AN5936" i="8"/>
  <c r="E1212" i="8"/>
  <c r="E457" i="28" s="1"/>
  <c r="F457" i="28" s="1"/>
  <c r="AM3752" i="8"/>
  <c r="AO3752" i="8" s="1"/>
  <c r="E3752" i="8"/>
  <c r="E874" i="28" s="1"/>
  <c r="F874" i="28" s="1"/>
  <c r="AM2572" i="8"/>
  <c r="AO2572" i="8" s="1"/>
  <c r="E2572" i="8"/>
  <c r="E683" i="28" s="1"/>
  <c r="F683" i="28" s="1"/>
  <c r="AM1413" i="8"/>
  <c r="AO1413" i="8" s="1"/>
  <c r="E1413" i="8"/>
  <c r="E489" i="28" s="1"/>
  <c r="F489" i="28" s="1"/>
  <c r="AM2704" i="8"/>
  <c r="AO2704" i="8" s="1"/>
  <c r="E2704" i="8"/>
  <c r="E706" i="28" s="1"/>
  <c r="F706" i="28" s="1"/>
  <c r="AM2771" i="8"/>
  <c r="AO2771" i="8" s="1"/>
  <c r="E2771" i="8"/>
  <c r="E720" i="28" s="1"/>
  <c r="F720" i="28" s="1"/>
  <c r="F2546" i="8"/>
  <c r="T2546" i="8" s="1"/>
  <c r="AG2546" i="8"/>
  <c r="AI2546" i="8" s="1"/>
  <c r="AJ2546" i="8" s="1"/>
  <c r="AM958" i="8"/>
  <c r="AO958" i="8" s="1"/>
  <c r="E958" i="8"/>
  <c r="E414" i="28" s="1"/>
  <c r="F414" i="28" s="1"/>
  <c r="AM4387" i="8"/>
  <c r="AO4387" i="8" s="1"/>
  <c r="E4387" i="8"/>
  <c r="E969" i="28" s="1"/>
  <c r="F969" i="28" s="1"/>
  <c r="AM4236" i="8"/>
  <c r="AO4236" i="8" s="1"/>
  <c r="E4236" i="8"/>
  <c r="E947" i="28" s="1"/>
  <c r="F947" i="28" s="1"/>
  <c r="AM4758" i="8"/>
  <c r="AO4758" i="8" s="1"/>
  <c r="E4758" i="8"/>
  <c r="E1031" i="28" s="1"/>
  <c r="F1031" i="28" s="1"/>
  <c r="AM3898" i="8"/>
  <c r="AO3898" i="8" s="1"/>
  <c r="E3898" i="8"/>
  <c r="E891" i="28" s="1"/>
  <c r="F891" i="28" s="1"/>
  <c r="AN5663" i="8"/>
  <c r="AM5395" i="8"/>
  <c r="AO5395" i="8" s="1"/>
  <c r="E5395" i="8"/>
  <c r="E1136" i="28" s="1"/>
  <c r="F1136" i="28" s="1"/>
  <c r="R5807" i="8"/>
  <c r="AM4491" i="8"/>
  <c r="AO4491" i="8" s="1"/>
  <c r="E4491" i="8"/>
  <c r="E984" i="28" s="1"/>
  <c r="F984" i="28" s="1"/>
  <c r="R5781" i="8"/>
  <c r="AO2793" i="8"/>
  <c r="AM5279" i="8"/>
  <c r="AO5279" i="8" s="1"/>
  <c r="E5279" i="8"/>
  <c r="E1119" i="28" s="1"/>
  <c r="F1119" i="28" s="1"/>
  <c r="AM2123" i="8"/>
  <c r="AO2123" i="8" s="1"/>
  <c r="E2123" i="8"/>
  <c r="E609" i="28" s="1"/>
  <c r="F609" i="28" s="1"/>
  <c r="AM2227" i="8"/>
  <c r="AO2227" i="8" s="1"/>
  <c r="E2227" i="8"/>
  <c r="E626" i="28" s="1"/>
  <c r="F626" i="28" s="1"/>
  <c r="AM1431" i="8"/>
  <c r="AO1431" i="8" s="1"/>
  <c r="E1431" i="8"/>
  <c r="E492" i="28" s="1"/>
  <c r="F492" i="28" s="1"/>
  <c r="AM4267" i="8"/>
  <c r="AO4267" i="8" s="1"/>
  <c r="R4524" i="8"/>
  <c r="E4267" i="8"/>
  <c r="E951" i="28" s="1"/>
  <c r="F951" i="28" s="1"/>
  <c r="AM4817" i="8"/>
  <c r="AO4817" i="8" s="1"/>
  <c r="E4817" i="8"/>
  <c r="E1039" i="28" s="1"/>
  <c r="F1039" i="28" s="1"/>
  <c r="R4649" i="8"/>
  <c r="R166" i="1"/>
  <c r="AM4796" i="8"/>
  <c r="AO4796" i="8" s="1"/>
  <c r="E4796" i="8"/>
  <c r="E1036" i="28" s="1"/>
  <c r="F1036" i="28" s="1"/>
  <c r="AM3543" i="8"/>
  <c r="AO3543" i="8" s="1"/>
  <c r="E3543" i="8"/>
  <c r="E840" i="28" s="1"/>
  <c r="F840" i="28" s="1"/>
  <c r="AM4446" i="8"/>
  <c r="AO4446" i="8" s="1"/>
  <c r="E4446" i="8"/>
  <c r="E977" i="28" s="1"/>
  <c r="F977" i="28" s="1"/>
  <c r="AM4302" i="8"/>
  <c r="AO4302" i="8" s="1"/>
  <c r="E4302" i="8"/>
  <c r="E956" i="28" s="1"/>
  <c r="F956" i="28" s="1"/>
  <c r="AM4309" i="8"/>
  <c r="AO4309" i="8" s="1"/>
  <c r="E4309" i="8"/>
  <c r="E957" i="28" s="1"/>
  <c r="F957" i="28" s="1"/>
  <c r="AM3550" i="8"/>
  <c r="AO3550" i="8" s="1"/>
  <c r="E3550" i="8"/>
  <c r="E841" i="28" s="1"/>
  <c r="F841" i="28" s="1"/>
  <c r="AM4602" i="8"/>
  <c r="AO4602" i="8" s="1"/>
  <c r="E4602" i="8"/>
  <c r="E1003" i="28" s="1"/>
  <c r="F1003" i="28" s="1"/>
  <c r="AM3522" i="8"/>
  <c r="AO3522" i="8" s="1"/>
  <c r="E3522" i="8"/>
  <c r="E837" i="28" s="1"/>
  <c r="F837" i="28" s="1"/>
  <c r="AM4460" i="8"/>
  <c r="AO4460" i="8" s="1"/>
  <c r="E4460" i="8"/>
  <c r="E979" i="28" s="1"/>
  <c r="F979" i="28" s="1"/>
  <c r="AM4425" i="8"/>
  <c r="AO4425" i="8" s="1"/>
  <c r="E4425" i="8"/>
  <c r="E974" i="28" s="1"/>
  <c r="F974" i="28" s="1"/>
  <c r="AM3529" i="8"/>
  <c r="AO3529" i="8" s="1"/>
  <c r="E3529" i="8"/>
  <c r="E838" i="28" s="1"/>
  <c r="F838" i="28" s="1"/>
  <c r="AM4281" i="8"/>
  <c r="AO4281" i="8" s="1"/>
  <c r="E4281" i="8"/>
  <c r="E953" i="28" s="1"/>
  <c r="F953" i="28" s="1"/>
  <c r="T3506" i="8"/>
  <c r="AN3501" i="8" s="1"/>
  <c r="T11474" i="8"/>
  <c r="AM4803" i="8"/>
  <c r="AO4803" i="8" s="1"/>
  <c r="E4803" i="8"/>
  <c r="E1037" i="28" s="1"/>
  <c r="F1037" i="28" s="1"/>
  <c r="AM4831" i="8"/>
  <c r="AO4831" i="8" s="1"/>
  <c r="E4831" i="8"/>
  <c r="E1041" i="28" s="1"/>
  <c r="F1041" i="28" s="1"/>
  <c r="AM4609" i="8"/>
  <c r="AO4609" i="8" s="1"/>
  <c r="E4609" i="8"/>
  <c r="E1004" i="28" s="1"/>
  <c r="F1004" i="28" s="1"/>
  <c r="AM4588" i="8"/>
  <c r="AO4588" i="8" s="1"/>
  <c r="E4588" i="8"/>
  <c r="E1001" i="28" s="1"/>
  <c r="F1001" i="28" s="1"/>
  <c r="AM4929" i="8"/>
  <c r="AO4929" i="8" s="1"/>
  <c r="E4929" i="8"/>
  <c r="E1056" i="28" s="1"/>
  <c r="F1056" i="28" s="1"/>
  <c r="AM3508" i="8"/>
  <c r="AO3508" i="8" s="1"/>
  <c r="E3508" i="8"/>
  <c r="E835" i="28" s="1"/>
  <c r="F835" i="28" s="1"/>
  <c r="AM4288" i="8"/>
  <c r="AO4288" i="8" s="1"/>
  <c r="E4288" i="8"/>
  <c r="E954" i="28" s="1"/>
  <c r="F954" i="28" s="1"/>
  <c r="AM4418" i="8"/>
  <c r="AO4418" i="8" s="1"/>
  <c r="E4418" i="8"/>
  <c r="E973" i="28" s="1"/>
  <c r="F973" i="28" s="1"/>
  <c r="AM3515" i="8"/>
  <c r="AO3515" i="8" s="1"/>
  <c r="E3515" i="8"/>
  <c r="E836" i="28" s="1"/>
  <c r="F836" i="28" s="1"/>
  <c r="AM4838" i="8"/>
  <c r="AO4838" i="8" s="1"/>
  <c r="E4838" i="8"/>
  <c r="E1042" i="28" s="1"/>
  <c r="F1042" i="28" s="1"/>
  <c r="AM4824" i="8"/>
  <c r="AO4824" i="8" s="1"/>
  <c r="E4824" i="8"/>
  <c r="E1040" i="28" s="1"/>
  <c r="F1040" i="28" s="1"/>
  <c r="T4656" i="8"/>
  <c r="AM3557" i="8"/>
  <c r="AO3557" i="8" s="1"/>
  <c r="E3557" i="8"/>
  <c r="E842" i="28" s="1"/>
  <c r="F842" i="28" s="1"/>
  <c r="AM4432" i="8"/>
  <c r="AO4432" i="8" s="1"/>
  <c r="E4432" i="8"/>
  <c r="E975" i="28" s="1"/>
  <c r="F975" i="28" s="1"/>
  <c r="AM4316" i="8"/>
  <c r="AO4316" i="8" s="1"/>
  <c r="E4316" i="8"/>
  <c r="E958" i="28" s="1"/>
  <c r="F958" i="28" s="1"/>
  <c r="AM4295" i="8"/>
  <c r="AO4295" i="8" s="1"/>
  <c r="E4295" i="8"/>
  <c r="E955" i="28" s="1"/>
  <c r="F955" i="28" s="1"/>
  <c r="AM4453" i="8"/>
  <c r="AO4453" i="8" s="1"/>
  <c r="E4453" i="8"/>
  <c r="E978" i="28" s="1"/>
  <c r="F978" i="28" s="1"/>
  <c r="T4649" i="8"/>
  <c r="AM4789" i="8"/>
  <c r="AO4789" i="8" s="1"/>
  <c r="E4789" i="8"/>
  <c r="E1035" i="28" s="1"/>
  <c r="F1035" i="28" s="1"/>
  <c r="AM3536" i="8"/>
  <c r="AO3536" i="8" s="1"/>
  <c r="E3536" i="8"/>
  <c r="E839" i="28" s="1"/>
  <c r="F839" i="28" s="1"/>
  <c r="AM4595" i="8"/>
  <c r="AO4595" i="8" s="1"/>
  <c r="E4595" i="8"/>
  <c r="E1002" i="28" s="1"/>
  <c r="F1002" i="28" s="1"/>
  <c r="R4656" i="8"/>
  <c r="R168" i="1"/>
  <c r="AM4810" i="8"/>
  <c r="AO4810" i="8" s="1"/>
  <c r="E4810" i="8"/>
  <c r="E1038" i="28" s="1"/>
  <c r="F1038" i="28" s="1"/>
  <c r="AM4274" i="8"/>
  <c r="AO4274" i="8" s="1"/>
  <c r="E4274" i="8"/>
  <c r="E952" i="28" s="1"/>
  <c r="F952" i="28" s="1"/>
  <c r="AM4467" i="8"/>
  <c r="AO4467" i="8" s="1"/>
  <c r="E4467" i="8"/>
  <c r="E980" i="28" s="1"/>
  <c r="F980" i="28" s="1"/>
  <c r="R3506" i="8"/>
  <c r="AM4439" i="8"/>
  <c r="AO4439" i="8" s="1"/>
  <c r="E4439" i="8"/>
  <c r="E976" i="28" s="1"/>
  <c r="F976" i="28" s="1"/>
  <c r="AM3564" i="8"/>
  <c r="AO3564" i="8" s="1"/>
  <c r="E3564" i="8"/>
  <c r="E843" i="28" s="1"/>
  <c r="F843" i="28" s="1"/>
  <c r="F849" i="32" l="1"/>
  <c r="F326" i="32"/>
  <c r="F642" i="32"/>
  <c r="G1104" i="32"/>
  <c r="F1105" i="32"/>
  <c r="D37" i="31" s="1"/>
  <c r="F1083" i="32"/>
  <c r="E423" i="28"/>
  <c r="F423" i="28" s="1"/>
  <c r="E417" i="28"/>
  <c r="F417" i="28" s="1"/>
  <c r="E415" i="28"/>
  <c r="F415" i="28" s="1"/>
  <c r="E413" i="28"/>
  <c r="F413" i="28" s="1"/>
  <c r="E406" i="28"/>
  <c r="F406" i="28" s="1"/>
  <c r="AM1005" i="8"/>
  <c r="AO1005" i="8" s="1"/>
  <c r="E1005" i="8"/>
  <c r="AG1005" i="8" s="1"/>
  <c r="AM942" i="8"/>
  <c r="AO942" i="8" s="1"/>
  <c r="E942" i="8"/>
  <c r="AG942" i="8" s="1"/>
  <c r="E933" i="8"/>
  <c r="AG933" i="8" s="1"/>
  <c r="T933" i="8"/>
  <c r="E726" i="8"/>
  <c r="AG726" i="8" s="1"/>
  <c r="E711" i="8"/>
  <c r="AG711" i="8" s="1"/>
  <c r="E698" i="8"/>
  <c r="AG698" i="8" s="1"/>
  <c r="T698" i="8"/>
  <c r="E661" i="8"/>
  <c r="AG661" i="8" s="1"/>
  <c r="E648" i="8"/>
  <c r="AG648" i="8" s="1"/>
  <c r="T648" i="8"/>
  <c r="E635" i="8"/>
  <c r="AG635" i="8" s="1"/>
  <c r="E626" i="8"/>
  <c r="AG626" i="8" s="1"/>
  <c r="F770" i="8"/>
  <c r="T770" i="8" s="1"/>
  <c r="R11463" i="8"/>
  <c r="R24" i="1" s="1"/>
  <c r="E403" i="28"/>
  <c r="F403" i="28" s="1"/>
  <c r="E393" i="28"/>
  <c r="F393" i="28" s="1"/>
  <c r="E400" i="28"/>
  <c r="F400" i="28" s="1"/>
  <c r="E401" i="28"/>
  <c r="F401" i="28" s="1"/>
  <c r="E399" i="28"/>
  <c r="F399" i="28" s="1"/>
  <c r="E389" i="28"/>
  <c r="F389" i="28" s="1"/>
  <c r="E397" i="28"/>
  <c r="F397" i="28" s="1"/>
  <c r="E394" i="28"/>
  <c r="F394" i="28" s="1"/>
  <c r="E398" i="28"/>
  <c r="F398" i="28" s="1"/>
  <c r="E396" i="28"/>
  <c r="F396" i="28" s="1"/>
  <c r="E395" i="28"/>
  <c r="F395" i="28" s="1"/>
  <c r="E381" i="28"/>
  <c r="F381" i="28" s="1"/>
  <c r="E379" i="28"/>
  <c r="F379" i="28" s="1"/>
  <c r="E380" i="28"/>
  <c r="F380" i="28" s="1"/>
  <c r="E388" i="28"/>
  <c r="F388" i="28" s="1"/>
  <c r="AI770" i="8"/>
  <c r="AJ770" i="8" s="1"/>
  <c r="E372" i="28"/>
  <c r="T11463" i="8"/>
  <c r="AJ11463" i="8" s="1"/>
  <c r="E374" i="28"/>
  <c r="F374" i="28" s="1"/>
  <c r="E373" i="28"/>
  <c r="F373" i="28" s="1"/>
  <c r="E371" i="28"/>
  <c r="F371" i="28" s="1"/>
  <c r="AM661" i="8"/>
  <c r="AO661" i="8" s="1"/>
  <c r="AM635" i="8"/>
  <c r="AO635" i="8" s="1"/>
  <c r="R11470" i="8"/>
  <c r="R31" i="1" s="1"/>
  <c r="F34" i="31"/>
  <c r="AK11223" i="8"/>
  <c r="AH11223" i="8"/>
  <c r="F1162" i="28"/>
  <c r="F988" i="28"/>
  <c r="E1635" i="28" s="1"/>
  <c r="AH3066" i="8"/>
  <c r="AI3066" i="8"/>
  <c r="AJ3066" i="8" s="1"/>
  <c r="F765" i="28"/>
  <c r="F797" i="28" s="1"/>
  <c r="E1631" i="28" s="1"/>
  <c r="F3017" i="8"/>
  <c r="T3017" i="8" s="1"/>
  <c r="AG3017" i="8"/>
  <c r="AI3017" i="8" s="1"/>
  <c r="AJ3017" i="8" s="1"/>
  <c r="AG3031" i="8"/>
  <c r="F3031" i="8"/>
  <c r="T3031" i="8" s="1"/>
  <c r="F745" i="28"/>
  <c r="E1630" i="28" s="1"/>
  <c r="F710" i="28"/>
  <c r="E1629" i="28" s="1"/>
  <c r="F619" i="28"/>
  <c r="E1627" i="28" s="1"/>
  <c r="AK1564" i="8"/>
  <c r="AH1564" i="8"/>
  <c r="AI1582" i="8"/>
  <c r="AJ1582" i="8" s="1"/>
  <c r="AH1582" i="8"/>
  <c r="AI1571" i="8"/>
  <c r="AJ1571" i="8" s="1"/>
  <c r="AH1571" i="8"/>
  <c r="F561" i="28"/>
  <c r="E1626" i="28" s="1"/>
  <c r="E461" i="28"/>
  <c r="F461" i="28" s="1"/>
  <c r="F1042" i="8"/>
  <c r="T1042" i="8" s="1"/>
  <c r="AG1042" i="8"/>
  <c r="AH1042" i="8" s="1"/>
  <c r="AK11033" i="8"/>
  <c r="AH11033" i="8"/>
  <c r="AG972" i="8"/>
  <c r="AH972" i="8" s="1"/>
  <c r="E416" i="28"/>
  <c r="F416" i="28" s="1"/>
  <c r="AI11117" i="8"/>
  <c r="AJ11117" i="8" s="1"/>
  <c r="AM711" i="8"/>
  <c r="AO711" i="8" s="1"/>
  <c r="AH684" i="8"/>
  <c r="F691" i="8"/>
  <c r="T691" i="8" s="1"/>
  <c r="F684" i="8"/>
  <c r="T684" i="8" s="1"/>
  <c r="AH4581" i="8"/>
  <c r="F670" i="8"/>
  <c r="T670" i="8" s="1"/>
  <c r="AH5212" i="8"/>
  <c r="AH3294" i="8"/>
  <c r="AH3301" i="8"/>
  <c r="AI3768" i="8"/>
  <c r="AJ3768" i="8" s="1"/>
  <c r="AI5342" i="8"/>
  <c r="AJ5342" i="8" s="1"/>
  <c r="F7375" i="8"/>
  <c r="AG5254" i="8"/>
  <c r="AI5254" i="8" s="1"/>
  <c r="AJ5254" i="8" s="1"/>
  <c r="AG5240" i="8"/>
  <c r="AI5240" i="8" s="1"/>
  <c r="AJ5240" i="8" s="1"/>
  <c r="AG4168" i="8"/>
  <c r="AI4168" i="8" s="1"/>
  <c r="AJ4168" i="8" s="1"/>
  <c r="AG4175" i="8"/>
  <c r="AI4175" i="8" s="1"/>
  <c r="AJ4175" i="8" s="1"/>
  <c r="F2583" i="8"/>
  <c r="T2583" i="8" s="1"/>
  <c r="AG5381" i="8"/>
  <c r="AI5381" i="8" s="1"/>
  <c r="AJ5381" i="8" s="1"/>
  <c r="AG4565" i="8"/>
  <c r="AI4565" i="8" s="1"/>
  <c r="AJ4565" i="8" s="1"/>
  <c r="F3485" i="8"/>
  <c r="T3485" i="8" s="1"/>
  <c r="AG5363" i="8"/>
  <c r="AH5363" i="8" s="1"/>
  <c r="F1877" i="8"/>
  <c r="T1877" i="8" s="1"/>
  <c r="AG2818" i="8"/>
  <c r="AH2818" i="8" s="1"/>
  <c r="AG5219" i="8"/>
  <c r="AI5219" i="8" s="1"/>
  <c r="AJ5219" i="8" s="1"/>
  <c r="F2295" i="8"/>
  <c r="T2295" i="8" s="1"/>
  <c r="AH11216" i="8"/>
  <c r="AH11026" i="8"/>
  <c r="AK11209" i="8"/>
  <c r="AK11131" i="8"/>
  <c r="T11287" i="8"/>
  <c r="T11409" i="8" s="1"/>
  <c r="AH11209" i="8"/>
  <c r="F11287" i="8"/>
  <c r="AF165" i="1"/>
  <c r="AE165" i="1"/>
  <c r="AO1548" i="8"/>
  <c r="AM6203" i="8"/>
  <c r="AO6203" i="8" s="1"/>
  <c r="X6208" i="8"/>
  <c r="AO5490" i="8"/>
  <c r="AM1151" i="8"/>
  <c r="AO1151" i="8" s="1"/>
  <c r="E2344" i="8"/>
  <c r="E644" i="28" s="1"/>
  <c r="F644" i="28" s="1"/>
  <c r="E2393" i="8"/>
  <c r="E651" i="28" s="1"/>
  <c r="F651" i="28" s="1"/>
  <c r="E2386" i="8"/>
  <c r="E650" i="28" s="1"/>
  <c r="F650" i="28" s="1"/>
  <c r="E2365" i="8"/>
  <c r="E647" i="28" s="1"/>
  <c r="F647" i="28" s="1"/>
  <c r="E2316" i="8"/>
  <c r="E640" i="28" s="1"/>
  <c r="F640" i="28" s="1"/>
  <c r="E2379" i="8"/>
  <c r="E649" i="28" s="1"/>
  <c r="F649" i="28" s="1"/>
  <c r="E2351" i="8"/>
  <c r="E645" i="28" s="1"/>
  <c r="F645" i="28" s="1"/>
  <c r="E2337" i="8"/>
  <c r="E643" i="28" s="1"/>
  <c r="F643" i="28" s="1"/>
  <c r="AM1144" i="8"/>
  <c r="AO1144" i="8" s="1"/>
  <c r="AM1165" i="8"/>
  <c r="AO1165" i="8" s="1"/>
  <c r="E2323" i="8"/>
  <c r="E641" i="28" s="1"/>
  <c r="F641" i="28" s="1"/>
  <c r="AM2330" i="8"/>
  <c r="AO2330" i="8" s="1"/>
  <c r="AM1130" i="8"/>
  <c r="AO1130" i="8" s="1"/>
  <c r="AM1172" i="8"/>
  <c r="AO1172" i="8" s="1"/>
  <c r="E2372" i="8"/>
  <c r="E648" i="28" s="1"/>
  <c r="F648" i="28" s="1"/>
  <c r="R2487" i="8"/>
  <c r="E2358" i="8"/>
  <c r="E646" i="28" s="1"/>
  <c r="F646" i="28" s="1"/>
  <c r="E1158" i="8"/>
  <c r="E449" i="28" s="1"/>
  <c r="F449" i="28" s="1"/>
  <c r="E1137" i="8"/>
  <c r="E446" i="28" s="1"/>
  <c r="F446" i="28" s="1"/>
  <c r="R1453" i="8"/>
  <c r="AK6731" i="8"/>
  <c r="AI8844" i="8"/>
  <c r="AJ8844" i="8" s="1"/>
  <c r="AH6731" i="8"/>
  <c r="F562" i="8"/>
  <c r="E559" i="8"/>
  <c r="E360" i="28" s="1"/>
  <c r="F360" i="28" s="1"/>
  <c r="AH559" i="8"/>
  <c r="AM559" i="8"/>
  <c r="AO559" i="8" s="1"/>
  <c r="AH9204" i="8"/>
  <c r="R757" i="8"/>
  <c r="T167" i="1"/>
  <c r="AH8186" i="8"/>
  <c r="AH8816" i="8"/>
  <c r="AI8386" i="8"/>
  <c r="AK8386" i="8" s="1"/>
  <c r="AI9228" i="8"/>
  <c r="AK9228" i="8" s="1"/>
  <c r="AH9214" i="8"/>
  <c r="AH8428" i="8"/>
  <c r="AH8207" i="8"/>
  <c r="AH8414" i="8"/>
  <c r="AI8837" i="8"/>
  <c r="AJ8837" i="8" s="1"/>
  <c r="AH8400" i="8"/>
  <c r="AI8802" i="8"/>
  <c r="AK8802" i="8" s="1"/>
  <c r="B10367" i="8"/>
  <c r="AJ10234" i="8"/>
  <c r="AK10234" i="8"/>
  <c r="AJ10173" i="8"/>
  <c r="AK10173" i="8"/>
  <c r="AJ10227" i="8"/>
  <c r="AK10227" i="8"/>
  <c r="AJ10126" i="8"/>
  <c r="AK10126" i="8"/>
  <c r="AJ10287" i="8"/>
  <c r="AK10287" i="8"/>
  <c r="AJ10180" i="8"/>
  <c r="AK10180" i="8"/>
  <c r="T8564" i="8"/>
  <c r="F8564" i="8"/>
  <c r="G1076" i="32" s="1"/>
  <c r="AI8221" i="8"/>
  <c r="AJ8221" i="8" s="1"/>
  <c r="F7070" i="8"/>
  <c r="T7070" i="8" s="1"/>
  <c r="AG7070" i="8"/>
  <c r="AH8795" i="8"/>
  <c r="AH8788" i="8"/>
  <c r="AH9221" i="8"/>
  <c r="R6805" i="8"/>
  <c r="E6655" i="8"/>
  <c r="E1330" i="28" s="1"/>
  <c r="F1330" i="28" s="1"/>
  <c r="F1356" i="28" s="1"/>
  <c r="AH8200" i="8"/>
  <c r="AI8172" i="8"/>
  <c r="AK8172" i="8" s="1"/>
  <c r="AH8228" i="8"/>
  <c r="AM7048" i="8"/>
  <c r="AO7048" i="8" s="1"/>
  <c r="R7211" i="8"/>
  <c r="E7048" i="8"/>
  <c r="E1406" i="28" s="1"/>
  <c r="F1406" i="28" s="1"/>
  <c r="F1428" i="28" s="1"/>
  <c r="E1649" i="28" s="1"/>
  <c r="F8352" i="8"/>
  <c r="G1075" i="32" s="1"/>
  <c r="AI9235" i="8"/>
  <c r="AJ9235" i="8" s="1"/>
  <c r="F9412" i="8"/>
  <c r="T9412" i="8"/>
  <c r="AH8809" i="8"/>
  <c r="T9070" i="8"/>
  <c r="F9070" i="8"/>
  <c r="G1078" i="32" s="1"/>
  <c r="T8352" i="8"/>
  <c r="AH10115" i="8"/>
  <c r="AK10115" i="8"/>
  <c r="T10080" i="8"/>
  <c r="T10274" i="8" s="1"/>
  <c r="T10373" i="8" s="1"/>
  <c r="F10274" i="8"/>
  <c r="G1095" i="32" s="1"/>
  <c r="AH10080" i="8"/>
  <c r="AK10080" i="8"/>
  <c r="B11403" i="8"/>
  <c r="AK11307" i="8"/>
  <c r="AK11216" i="8"/>
  <c r="AK11110" i="8"/>
  <c r="AK11026" i="8"/>
  <c r="AK11012" i="8"/>
  <c r="B8750" i="8"/>
  <c r="AK8577" i="8"/>
  <c r="E6142" i="8"/>
  <c r="E1247" i="28" s="1"/>
  <c r="F1247" i="28" s="1"/>
  <c r="AK8619" i="8"/>
  <c r="AK9260" i="8"/>
  <c r="AJ9097" i="8"/>
  <c r="AK9097" i="8"/>
  <c r="AJ9267" i="8"/>
  <c r="AK9267" i="8"/>
  <c r="AJ8584" i="8"/>
  <c r="AK8584" i="8"/>
  <c r="AJ9615" i="8"/>
  <c r="AK9615" i="8"/>
  <c r="AJ9425" i="8"/>
  <c r="AK9425" i="8"/>
  <c r="AJ9622" i="8"/>
  <c r="AK9622" i="8"/>
  <c r="AJ9543" i="8"/>
  <c r="AK9543" i="8"/>
  <c r="AJ9726" i="8"/>
  <c r="AK9726" i="8"/>
  <c r="AJ9274" i="8"/>
  <c r="AK9274" i="8"/>
  <c r="AJ9643" i="8"/>
  <c r="AK9643" i="8"/>
  <c r="AJ9083" i="8"/>
  <c r="AK9083" i="8"/>
  <c r="AJ9636" i="8"/>
  <c r="AK9636" i="8"/>
  <c r="AJ9281" i="8"/>
  <c r="AK9281" i="8"/>
  <c r="AJ9536" i="8"/>
  <c r="AK9536" i="8"/>
  <c r="AJ9439" i="8"/>
  <c r="AK9439" i="8"/>
  <c r="AJ8605" i="8"/>
  <c r="AK8605" i="8"/>
  <c r="AJ9453" i="8"/>
  <c r="AK9453" i="8"/>
  <c r="B9797" i="8"/>
  <c r="AJ8626" i="8"/>
  <c r="AK8626" i="8"/>
  <c r="AJ9432" i="8"/>
  <c r="AK9432" i="8"/>
  <c r="B9602" i="8"/>
  <c r="AJ9104" i="8"/>
  <c r="AK9104" i="8"/>
  <c r="AJ8598" i="8"/>
  <c r="AK8598" i="8"/>
  <c r="AJ8591" i="8"/>
  <c r="AK8591" i="8"/>
  <c r="AJ9288" i="8"/>
  <c r="AK9288" i="8"/>
  <c r="AJ9111" i="8"/>
  <c r="AK9111" i="8"/>
  <c r="B9187" i="8"/>
  <c r="AJ9733" i="8"/>
  <c r="AK9733" i="8"/>
  <c r="AJ9550" i="8"/>
  <c r="AK9550" i="8"/>
  <c r="AJ9629" i="8"/>
  <c r="AK9629" i="8"/>
  <c r="AJ9446" i="8"/>
  <c r="AK9446" i="8"/>
  <c r="AJ8763" i="8"/>
  <c r="AK8763" i="8"/>
  <c r="AJ8612" i="8"/>
  <c r="AK8612" i="8"/>
  <c r="AK9090" i="8"/>
  <c r="AJ8809" i="8"/>
  <c r="AK8809" i="8"/>
  <c r="AJ8407" i="8"/>
  <c r="AK8407" i="8"/>
  <c r="AJ8830" i="8"/>
  <c r="AK8830" i="8"/>
  <c r="AJ8393" i="8"/>
  <c r="AK8393" i="8"/>
  <c r="AJ8372" i="8"/>
  <c r="AK8372" i="8"/>
  <c r="AK9214" i="8"/>
  <c r="AJ9214" i="8"/>
  <c r="AK8400" i="8"/>
  <c r="AJ8400" i="8"/>
  <c r="AJ8781" i="8"/>
  <c r="AK8781" i="8"/>
  <c r="AJ9221" i="8"/>
  <c r="AK9221" i="8"/>
  <c r="AJ9204" i="8"/>
  <c r="AK9204" i="8"/>
  <c r="AJ8421" i="8"/>
  <c r="AK8421" i="8"/>
  <c r="AJ8795" i="8"/>
  <c r="AK8795" i="8"/>
  <c r="AJ8788" i="8"/>
  <c r="AK8788" i="8"/>
  <c r="AJ8186" i="8"/>
  <c r="AK8186" i="8"/>
  <c r="AJ8207" i="8"/>
  <c r="AK8207" i="8"/>
  <c r="AJ8193" i="8"/>
  <c r="AK8193" i="8"/>
  <c r="AJ8823" i="8"/>
  <c r="AK8823" i="8"/>
  <c r="AK8214" i="8"/>
  <c r="AJ8365" i="8"/>
  <c r="AK8365" i="8"/>
  <c r="AJ8816" i="8"/>
  <c r="AK8816" i="8"/>
  <c r="AJ8774" i="8"/>
  <c r="AK8774" i="8"/>
  <c r="AK8379" i="8"/>
  <c r="AJ8379" i="8"/>
  <c r="AJ8428" i="8"/>
  <c r="AK8428" i="8"/>
  <c r="AJ8200" i="8"/>
  <c r="AK8200" i="8"/>
  <c r="AJ8179" i="8"/>
  <c r="AK8179" i="8"/>
  <c r="AJ9245" i="8"/>
  <c r="AK9245" i="8"/>
  <c r="AJ8228" i="8"/>
  <c r="AK8228" i="8"/>
  <c r="AJ8414" i="8"/>
  <c r="AK8414" i="8"/>
  <c r="F5508" i="8"/>
  <c r="T5508" i="8" s="1"/>
  <c r="AG5508" i="8"/>
  <c r="AH5508" i="8" s="1"/>
  <c r="AI5476" i="8"/>
  <c r="AJ5476" i="8" s="1"/>
  <c r="AH791" i="8"/>
  <c r="AH1859" i="8"/>
  <c r="F5254" i="8"/>
  <c r="T5254" i="8" s="1"/>
  <c r="F805" i="8"/>
  <c r="T805" i="8" s="1"/>
  <c r="AI805" i="8"/>
  <c r="AJ805" i="8" s="1"/>
  <c r="E5632" i="8"/>
  <c r="E1176" i="28" s="1"/>
  <c r="F1176" i="28" s="1"/>
  <c r="E6133" i="8"/>
  <c r="E1246" i="28" s="1"/>
  <c r="F1246" i="28" s="1"/>
  <c r="F5363" i="8"/>
  <c r="T5363" i="8" s="1"/>
  <c r="F5240" i="8"/>
  <c r="T5240" i="8" s="1"/>
  <c r="F4175" i="8"/>
  <c r="T4175" i="8" s="1"/>
  <c r="AG5247" i="8"/>
  <c r="AI5247" i="8" s="1"/>
  <c r="AJ5247" i="8" s="1"/>
  <c r="F5247" i="8"/>
  <c r="T5247" i="8" s="1"/>
  <c r="F5349" i="8"/>
  <c r="T5349" i="8" s="1"/>
  <c r="AG5349" i="8"/>
  <c r="AH5349" i="8" s="1"/>
  <c r="E5641" i="8"/>
  <c r="E1177" i="28" s="1"/>
  <c r="F1177" i="28" s="1"/>
  <c r="AH5314" i="8"/>
  <c r="R2324" i="26"/>
  <c r="R4994" i="8"/>
  <c r="F5219" i="8"/>
  <c r="T5219" i="8" s="1"/>
  <c r="E5985" i="8"/>
  <c r="E1224" i="28" s="1"/>
  <c r="F1224" i="28" s="1"/>
  <c r="AM3882" i="8"/>
  <c r="AO3882" i="8" s="1"/>
  <c r="E4845" i="8"/>
  <c r="E1043" i="28" s="1"/>
  <c r="F1043" i="28" s="1"/>
  <c r="F1062" i="28" s="1"/>
  <c r="E1637" i="28" s="1"/>
  <c r="AG3485" i="8"/>
  <c r="AI3485" i="8" s="1"/>
  <c r="AJ3485" i="8" s="1"/>
  <c r="R2326" i="26"/>
  <c r="R2312" i="26"/>
  <c r="R11474" i="8"/>
  <c r="E4004" i="8"/>
  <c r="E909" i="28" s="1"/>
  <c r="F909" i="28" s="1"/>
  <c r="E4031" i="8"/>
  <c r="E912" i="28" s="1"/>
  <c r="F912" i="28" s="1"/>
  <c r="AM3969" i="8"/>
  <c r="AO3969" i="8" s="1"/>
  <c r="AM3675" i="8"/>
  <c r="AO3675" i="8" s="1"/>
  <c r="E3696" i="8"/>
  <c r="E865" i="28" s="1"/>
  <c r="F865" i="28" s="1"/>
  <c r="F895" i="28" s="1"/>
  <c r="E1633" i="28" s="1"/>
  <c r="E4022" i="8"/>
  <c r="E911" i="28" s="1"/>
  <c r="F911" i="28" s="1"/>
  <c r="R3924" i="8"/>
  <c r="F4565" i="8"/>
  <c r="T4565" i="8" s="1"/>
  <c r="AM3960" i="8"/>
  <c r="AO3960" i="8" s="1"/>
  <c r="E3977" i="8"/>
  <c r="E906" i="28" s="1"/>
  <c r="F906" i="28" s="1"/>
  <c r="AM3995" i="8"/>
  <c r="AO3995" i="8" s="1"/>
  <c r="R4203" i="8"/>
  <c r="AM3986" i="8"/>
  <c r="AO3986" i="8" s="1"/>
  <c r="E4013" i="8"/>
  <c r="E910" i="28" s="1"/>
  <c r="F910" i="28" s="1"/>
  <c r="E6336" i="8"/>
  <c r="E1277" i="28" s="1"/>
  <c r="F1277" i="28" s="1"/>
  <c r="AM5596" i="8"/>
  <c r="AO5596" i="8" s="1"/>
  <c r="AG5596" i="8"/>
  <c r="AI5596" i="8" s="1"/>
  <c r="AJ5596" i="8" s="1"/>
  <c r="F5596" i="8"/>
  <c r="T5596" i="8" s="1"/>
  <c r="AH4782" i="8"/>
  <c r="AN609" i="8"/>
  <c r="AI2967" i="8"/>
  <c r="AJ2967" i="8" s="1"/>
  <c r="AI3953" i="8"/>
  <c r="AJ3953" i="8" s="1"/>
  <c r="AH3238" i="8"/>
  <c r="F4168" i="8"/>
  <c r="T4168" i="8" s="1"/>
  <c r="AH2974" i="8"/>
  <c r="AH4260" i="8"/>
  <c r="AH4411" i="8"/>
  <c r="AI3654" i="8"/>
  <c r="AJ3654" i="8" s="1"/>
  <c r="AI3661" i="8"/>
  <c r="AJ3661" i="8" s="1"/>
  <c r="AI3875" i="8"/>
  <c r="AJ3875" i="8" s="1"/>
  <c r="AI4714" i="8"/>
  <c r="AK4714" i="8" s="1"/>
  <c r="AH4114" i="8"/>
  <c r="AK4114" i="8"/>
  <c r="AJ4114" i="8"/>
  <c r="AJ4260" i="8"/>
  <c r="AK4260" i="8"/>
  <c r="AJ3294" i="8"/>
  <c r="AK3294" i="8"/>
  <c r="AJ3301" i="8"/>
  <c r="AK3301" i="8"/>
  <c r="AJ4411" i="8"/>
  <c r="AK4411" i="8"/>
  <c r="AJ3238" i="8"/>
  <c r="AK3238" i="8"/>
  <c r="AJ4782" i="8"/>
  <c r="AK4782" i="8"/>
  <c r="AJ4581" i="8"/>
  <c r="AK4581" i="8"/>
  <c r="AJ2974" i="8"/>
  <c r="AK2974" i="8"/>
  <c r="AH4395" i="8"/>
  <c r="AK4395" i="8"/>
  <c r="AH3945" i="8"/>
  <c r="AK3945" i="8"/>
  <c r="AH2959" i="8"/>
  <c r="AK2959" i="8"/>
  <c r="AH4098" i="8"/>
  <c r="AK4098" i="8"/>
  <c r="AH3760" i="8"/>
  <c r="AK3760" i="8"/>
  <c r="AH4106" i="8"/>
  <c r="AK4106" i="8"/>
  <c r="AH3646" i="8"/>
  <c r="AK3646" i="8"/>
  <c r="AH3638" i="8"/>
  <c r="AK3638" i="8"/>
  <c r="AK7505" i="8"/>
  <c r="AH7301" i="8"/>
  <c r="AK7301" i="8"/>
  <c r="F7621" i="8"/>
  <c r="G1651" i="28" s="1"/>
  <c r="T7388" i="8"/>
  <c r="T7621" i="8" s="1"/>
  <c r="AI7388" i="8"/>
  <c r="AJ7388" i="8" s="1"/>
  <c r="AH7388" i="8"/>
  <c r="AG2295" i="8"/>
  <c r="AI2295" i="8" s="1"/>
  <c r="AJ2295" i="8" s="1"/>
  <c r="AK6931" i="8"/>
  <c r="F5381" i="8"/>
  <c r="T5381" i="8" s="1"/>
  <c r="AH6818" i="8"/>
  <c r="AK6818" i="8"/>
  <c r="F7035" i="8"/>
  <c r="G1648" i="28" s="1"/>
  <c r="T6818" i="8"/>
  <c r="T7035" i="8" s="1"/>
  <c r="AK7224" i="8"/>
  <c r="F2309" i="8"/>
  <c r="T2309" i="8" s="1"/>
  <c r="AG2309" i="8"/>
  <c r="AI2309" i="8" s="1"/>
  <c r="AJ2309" i="8" s="1"/>
  <c r="E5936" i="8"/>
  <c r="E1218" i="28" s="1"/>
  <c r="F1218" i="28" s="1"/>
  <c r="E6502" i="8"/>
  <c r="E6436" i="8"/>
  <c r="E1294" i="28" s="1"/>
  <c r="F1294" i="28" s="1"/>
  <c r="E5681" i="8"/>
  <c r="E1182" i="28" s="1"/>
  <c r="F1182" i="28" s="1"/>
  <c r="AO6067" i="8"/>
  <c r="E6067" i="8"/>
  <c r="E1238" i="28" s="1"/>
  <c r="F1238" i="28" s="1"/>
  <c r="AM5857" i="8"/>
  <c r="AO5857" i="8" s="1"/>
  <c r="E6214" i="8"/>
  <c r="E1258" i="28" s="1"/>
  <c r="F1258" i="28" s="1"/>
  <c r="AO6262" i="8"/>
  <c r="AO5936" i="8"/>
  <c r="AO6214" i="8"/>
  <c r="E5663" i="8"/>
  <c r="E1180" i="28" s="1"/>
  <c r="F1180" i="28" s="1"/>
  <c r="E6174" i="8"/>
  <c r="E1252" i="28" s="1"/>
  <c r="F1252" i="28" s="1"/>
  <c r="AO5663" i="8"/>
  <c r="AO5914" i="8"/>
  <c r="E5914" i="8"/>
  <c r="E1215" i="28" s="1"/>
  <c r="F1215" i="28" s="1"/>
  <c r="AM6007" i="8"/>
  <c r="AO6007" i="8" s="1"/>
  <c r="AO6489" i="8"/>
  <c r="E6262" i="8"/>
  <c r="E1266" i="28" s="1"/>
  <c r="F1266" i="28" s="1"/>
  <c r="AG1877" i="8"/>
  <c r="AI1877" i="8" s="1"/>
  <c r="AJ1877" i="8" s="1"/>
  <c r="E5927" i="8"/>
  <c r="E1217" i="28" s="1"/>
  <c r="F1217" i="28" s="1"/>
  <c r="E5870" i="8"/>
  <c r="E1208" i="28" s="1"/>
  <c r="F1208" i="28" s="1"/>
  <c r="E6530" i="8"/>
  <c r="E5605" i="8"/>
  <c r="E1173" i="28" s="1"/>
  <c r="F1173" i="28" s="1"/>
  <c r="AO5703" i="8"/>
  <c r="E5703" i="8"/>
  <c r="E1185" i="28" s="1"/>
  <c r="F1185" i="28" s="1"/>
  <c r="AO5958" i="8"/>
  <c r="E6113" i="8"/>
  <c r="E1244" i="28" s="1"/>
  <c r="F1244" i="28" s="1"/>
  <c r="AM6594" i="8"/>
  <c r="AO6594" i="8" s="1"/>
  <c r="AO6275" i="8"/>
  <c r="E6275" i="8"/>
  <c r="E1268" i="28" s="1"/>
  <c r="F1268" i="28" s="1"/>
  <c r="E6523" i="8"/>
  <c r="E6155" i="8"/>
  <c r="E1249" i="28" s="1"/>
  <c r="F1249" i="28" s="1"/>
  <c r="E6585" i="8"/>
  <c r="E1315" i="28" s="1"/>
  <c r="F1315" i="28" s="1"/>
  <c r="AO6541" i="8"/>
  <c r="E6445" i="8"/>
  <c r="E1295" i="28" s="1"/>
  <c r="F1295" i="28" s="1"/>
  <c r="AO6572" i="8"/>
  <c r="E5958" i="8"/>
  <c r="E1221" i="28" s="1"/>
  <c r="F1221" i="28" s="1"/>
  <c r="AO6550" i="8"/>
  <c r="F896" i="8"/>
  <c r="T896" i="8" s="1"/>
  <c r="E6550" i="8"/>
  <c r="E1310" i="28" s="1"/>
  <c r="F1310" i="28" s="1"/>
  <c r="E6467" i="8"/>
  <c r="E1298" i="28" s="1"/>
  <c r="F1298" i="28" s="1"/>
  <c r="AI896" i="8"/>
  <c r="AJ896" i="8" s="1"/>
  <c r="E5623" i="8"/>
  <c r="E1175" i="28" s="1"/>
  <c r="F1175" i="28" s="1"/>
  <c r="E6489" i="8"/>
  <c r="E1301" i="28" s="1"/>
  <c r="E5831" i="8"/>
  <c r="E1202" i="28" s="1"/>
  <c r="E5712" i="8"/>
  <c r="E1186" i="28" s="1"/>
  <c r="F1186" i="28" s="1"/>
  <c r="E6080" i="8"/>
  <c r="E1240" i="28" s="1"/>
  <c r="F1240" i="28" s="1"/>
  <c r="AG2583" i="8"/>
  <c r="AI2583" i="8" s="1"/>
  <c r="AJ2583" i="8" s="1"/>
  <c r="E5901" i="8"/>
  <c r="E1213" i="28" s="1"/>
  <c r="F1213" i="28" s="1"/>
  <c r="AO6319" i="8"/>
  <c r="E6319" i="8"/>
  <c r="E1274" i="28" s="1"/>
  <c r="F1274" i="28" s="1"/>
  <c r="F2818" i="8"/>
  <c r="T2818" i="8" s="1"/>
  <c r="E5998" i="8"/>
  <c r="E1226" i="28" s="1"/>
  <c r="F1226" i="28" s="1"/>
  <c r="AG2652" i="8"/>
  <c r="AI2652" i="8" s="1"/>
  <c r="AJ2652" i="8" s="1"/>
  <c r="E6418" i="8"/>
  <c r="E1292" i="28" s="1"/>
  <c r="F1292" i="28" s="1"/>
  <c r="E5844" i="8"/>
  <c r="E1204" i="28" s="1"/>
  <c r="F1204" i="28" s="1"/>
  <c r="F2652" i="8"/>
  <c r="T2652" i="8" s="1"/>
  <c r="AO5743" i="8"/>
  <c r="E5743" i="8"/>
  <c r="E1190" i="28" s="1"/>
  <c r="F1190" i="28" s="1"/>
  <c r="E6572" i="8"/>
  <c r="E1313" i="28" s="1"/>
  <c r="F1313" i="28" s="1"/>
  <c r="E6541" i="8"/>
  <c r="E1309" i="28" s="1"/>
  <c r="F1309" i="28" s="1"/>
  <c r="AM6196" i="8"/>
  <c r="AO6196" i="8" s="1"/>
  <c r="E6563" i="8"/>
  <c r="E1312" i="28" s="1"/>
  <c r="F1312" i="28" s="1"/>
  <c r="E5809" i="8"/>
  <c r="E1199" i="28" s="1"/>
  <c r="F1199" i="28" s="1"/>
  <c r="F3713" i="8"/>
  <c r="T3713" i="8" s="1"/>
  <c r="AG3713" i="8"/>
  <c r="AI3713" i="8" s="1"/>
  <c r="AJ3713" i="8" s="1"/>
  <c r="E6284" i="8"/>
  <c r="E1269" i="28" s="1"/>
  <c r="F1269" i="28" s="1"/>
  <c r="E5650" i="8"/>
  <c r="E1178" i="28" s="1"/>
  <c r="F1178" i="28" s="1"/>
  <c r="E6227" i="8"/>
  <c r="E1260" i="28" s="1"/>
  <c r="F1260" i="28" s="1"/>
  <c r="AG1115" i="8"/>
  <c r="AI1115" i="8" s="1"/>
  <c r="AJ1115" i="8" s="1"/>
  <c r="F1115" i="8"/>
  <c r="T1115" i="8" s="1"/>
  <c r="E5756" i="8"/>
  <c r="E1192" i="28" s="1"/>
  <c r="F1192" i="28" s="1"/>
  <c r="E5734" i="8"/>
  <c r="E1189" i="28" s="1"/>
  <c r="F1189" i="28" s="1"/>
  <c r="E6363" i="8"/>
  <c r="E1280" i="28" s="1"/>
  <c r="F1280" i="28" s="1"/>
  <c r="E6041" i="8"/>
  <c r="E1235" i="28" s="1"/>
  <c r="F1235" i="28" s="1"/>
  <c r="E6516" i="8"/>
  <c r="AK791" i="8"/>
  <c r="E6240" i="8"/>
  <c r="E1262" i="28" s="1"/>
  <c r="F1262" i="28" s="1"/>
  <c r="E5791" i="8"/>
  <c r="E1197" i="28" s="1"/>
  <c r="F1197" i="28" s="1"/>
  <c r="AK5212" i="8"/>
  <c r="AO5765" i="8"/>
  <c r="E5765" i="8"/>
  <c r="E1193" i="28" s="1"/>
  <c r="F1193" i="28" s="1"/>
  <c r="E6203" i="8"/>
  <c r="AM6345" i="8"/>
  <c r="AO6345" i="8" s="1"/>
  <c r="E6030" i="8"/>
  <c r="E1234" i="28" s="1"/>
  <c r="F1234" i="28" s="1"/>
  <c r="R6628" i="8"/>
  <c r="R6405" i="8"/>
  <c r="E5690" i="8"/>
  <c r="E1183" i="28" s="1"/>
  <c r="F1183" i="28" s="1"/>
  <c r="AO5690" i="8"/>
  <c r="R6017" i="8"/>
  <c r="AK1859" i="8"/>
  <c r="F4236" i="8"/>
  <c r="T4236" i="8" s="1"/>
  <c r="AG4236" i="8"/>
  <c r="AI4236" i="8" s="1"/>
  <c r="AJ4236" i="8" s="1"/>
  <c r="F1773" i="8"/>
  <c r="T1773" i="8" s="1"/>
  <c r="AG1773" i="8"/>
  <c r="AI1773" i="8" s="1"/>
  <c r="AJ1773" i="8" s="1"/>
  <c r="F5286" i="8"/>
  <c r="T5286" i="8" s="1"/>
  <c r="AG5286" i="8"/>
  <c r="AI5286" i="8" s="1"/>
  <c r="AJ5286" i="8" s="1"/>
  <c r="F749" i="8"/>
  <c r="T749" i="8" s="1"/>
  <c r="AI749" i="8"/>
  <c r="AJ749" i="8" s="1"/>
  <c r="AH5272" i="8"/>
  <c r="AK5272" i="8"/>
  <c r="AI5543" i="8"/>
  <c r="AJ5543" i="8" s="1"/>
  <c r="AH5543" i="8"/>
  <c r="AG1378" i="8"/>
  <c r="F1378" i="8"/>
  <c r="T1378" i="8" s="1"/>
  <c r="F1284" i="8"/>
  <c r="T1284" i="8" s="1"/>
  <c r="AG1284" i="8"/>
  <c r="AI1284" i="8" s="1"/>
  <c r="AJ1284" i="8" s="1"/>
  <c r="F2220" i="8"/>
  <c r="AG2220" i="8"/>
  <c r="AI2220" i="8" s="1"/>
  <c r="AJ2220" i="8" s="1"/>
  <c r="F4750" i="8"/>
  <c r="T4750" i="8" s="1"/>
  <c r="AG4750" i="8"/>
  <c r="F2757" i="8"/>
  <c r="T2757" i="8" s="1"/>
  <c r="AG2757" i="8"/>
  <c r="AI2757" i="8" s="1"/>
  <c r="AJ2757" i="8" s="1"/>
  <c r="F1501" i="8"/>
  <c r="T1501" i="8" s="1"/>
  <c r="AG1501" i="8"/>
  <c r="F3775" i="8"/>
  <c r="T3775" i="8" s="1"/>
  <c r="AG3775" i="8"/>
  <c r="AI3775" i="8" s="1"/>
  <c r="AJ3775" i="8" s="1"/>
  <c r="AM5976" i="8"/>
  <c r="AO5976" i="8" s="1"/>
  <c r="E5976" i="8"/>
  <c r="E1223" i="28" s="1"/>
  <c r="F1223" i="28" s="1"/>
  <c r="F5561" i="8"/>
  <c r="T5561" i="8" s="1"/>
  <c r="AG5561" i="8"/>
  <c r="AI5561" i="8" s="1"/>
  <c r="AJ5561" i="8" s="1"/>
  <c r="AI2879" i="8"/>
  <c r="AJ2879" i="8" s="1"/>
  <c r="AH2879" i="8"/>
  <c r="AG1991" i="8"/>
  <c r="F1991" i="8"/>
  <c r="T1991" i="8" s="1"/>
  <c r="AG919" i="8"/>
  <c r="AI919" i="8" s="1"/>
  <c r="AJ919" i="8" s="1"/>
  <c r="F919" i="8"/>
  <c r="T919" i="8" s="1"/>
  <c r="F1144" i="8"/>
  <c r="T1144" i="8" s="1"/>
  <c r="AG1144" i="8"/>
  <c r="AI1144" i="8" s="1"/>
  <c r="AJ1144" i="8" s="1"/>
  <c r="F1759" i="8"/>
  <c r="T1759" i="8" s="1"/>
  <c r="AG1759" i="8"/>
  <c r="AI1759" i="8" s="1"/>
  <c r="AJ1759" i="8" s="1"/>
  <c r="AG5721" i="8"/>
  <c r="F5721" i="8"/>
  <c r="T5721" i="8" s="1"/>
  <c r="F5483" i="8"/>
  <c r="T5483" i="8" s="1"/>
  <c r="AG5483" i="8"/>
  <c r="AI5483" i="8" s="1"/>
  <c r="AJ5483" i="8" s="1"/>
  <c r="F5448" i="8"/>
  <c r="T5448" i="8" s="1"/>
  <c r="AG5448" i="8"/>
  <c r="F3493" i="8"/>
  <c r="T3493" i="8" s="1"/>
  <c r="AG3493" i="8"/>
  <c r="AI3493" i="8" s="1"/>
  <c r="AJ3493" i="8" s="1"/>
  <c r="F1870" i="8"/>
  <c r="AG1870" i="8"/>
  <c r="F1473" i="8"/>
  <c r="T1473" i="8" s="1"/>
  <c r="AG1473" i="8"/>
  <c r="AI1473" i="8" s="1"/>
  <c r="AJ1473" i="8" s="1"/>
  <c r="AH1385" i="8"/>
  <c r="F2561" i="8"/>
  <c r="T2561" i="8" s="1"/>
  <c r="AG2561" i="8"/>
  <c r="F2137" i="8"/>
  <c r="T2137" i="8" s="1"/>
  <c r="AG2137" i="8"/>
  <c r="AG4541" i="8"/>
  <c r="AI4541" i="8" s="1"/>
  <c r="AJ4541" i="8" s="1"/>
  <c r="F4541" i="8"/>
  <c r="T4541" i="8" s="1"/>
  <c r="AG926" i="8"/>
  <c r="F926" i="8"/>
  <c r="T926" i="8" s="1"/>
  <c r="AG3045" i="8"/>
  <c r="F3045" i="8"/>
  <c r="T3045" i="8" s="1"/>
  <c r="AG3059" i="8"/>
  <c r="AI3059" i="8" s="1"/>
  <c r="AJ3059" i="8" s="1"/>
  <c r="F3059" i="8"/>
  <c r="T3059" i="8" s="1"/>
  <c r="F1345" i="8"/>
  <c r="T1345" i="8" s="1"/>
  <c r="AG1345" i="8"/>
  <c r="AI1345" i="8" s="1"/>
  <c r="AJ1345" i="8" s="1"/>
  <c r="F4549" i="8"/>
  <c r="T4549" i="8" s="1"/>
  <c r="AG4549" i="8"/>
  <c r="AI4549" i="8" s="1"/>
  <c r="AJ4549" i="8" s="1"/>
  <c r="F5335" i="8"/>
  <c r="T5335" i="8" s="1"/>
  <c r="AG5335" i="8"/>
  <c r="F812" i="8"/>
  <c r="T812" i="8" s="1"/>
  <c r="AG1724" i="8"/>
  <c r="AI1724" i="8" s="1"/>
  <c r="AJ1724" i="8" s="1"/>
  <c r="F1724" i="8"/>
  <c r="T1724" i="8" s="1"/>
  <c r="F1399" i="8"/>
  <c r="T1399" i="8" s="1"/>
  <c r="AG1399" i="8"/>
  <c r="AH1614" i="8"/>
  <c r="AK1614" i="8"/>
  <c r="F4766" i="8"/>
  <c r="T4766" i="8" s="1"/>
  <c r="AG4766" i="8"/>
  <c r="AI4766" i="8" s="1"/>
  <c r="AJ4766" i="8" s="1"/>
  <c r="F2750" i="8"/>
  <c r="T2750" i="8" s="1"/>
  <c r="AG2750" i="8"/>
  <c r="AI2750" i="8" s="1"/>
  <c r="AJ2750" i="8" s="1"/>
  <c r="AG5427" i="8"/>
  <c r="AI5427" i="8" s="1"/>
  <c r="AJ5427" i="8" s="1"/>
  <c r="F5427" i="8"/>
  <c r="T5427" i="8" s="1"/>
  <c r="AG3329" i="8"/>
  <c r="F3329" i="8"/>
  <c r="T3329" i="8" s="1"/>
  <c r="F3399" i="8"/>
  <c r="T3399" i="8" s="1"/>
  <c r="AG3399" i="8"/>
  <c r="AI3399" i="8" s="1"/>
  <c r="AJ3399" i="8" s="1"/>
  <c r="F1331" i="8"/>
  <c r="T1331" i="8" s="1"/>
  <c r="AG1331" i="8"/>
  <c r="AI1331" i="8" s="1"/>
  <c r="AJ1331" i="8" s="1"/>
  <c r="AM6480" i="8"/>
  <c r="AO6480" i="8" s="1"/>
  <c r="E6480" i="8"/>
  <c r="E1300" i="28" s="1"/>
  <c r="F5455" i="8"/>
  <c r="T5455" i="8" s="1"/>
  <c r="AG5455" i="8"/>
  <c r="AI5455" i="8" s="1"/>
  <c r="AJ5455" i="8" s="1"/>
  <c r="F3094" i="8"/>
  <c r="T3094" i="8" s="1"/>
  <c r="AG3094" i="8"/>
  <c r="AI3094" i="8" s="1"/>
  <c r="AJ3094" i="8" s="1"/>
  <c r="F1717" i="8"/>
  <c r="T1717" i="8" s="1"/>
  <c r="AG1717" i="8"/>
  <c r="AI1717" i="8" s="1"/>
  <c r="AJ1717" i="8" s="1"/>
  <c r="F6196" i="8"/>
  <c r="T6196" i="8" s="1"/>
  <c r="AG6196" i="8"/>
  <c r="F1413" i="8"/>
  <c r="T1413" i="8" s="1"/>
  <c r="AG1413" i="8"/>
  <c r="F4244" i="8"/>
  <c r="T4244" i="8" s="1"/>
  <c r="AG4244" i="8"/>
  <c r="AI4244" i="8" s="1"/>
  <c r="AJ4244" i="8" s="1"/>
  <c r="F1204" i="8"/>
  <c r="T1204" i="8" s="1"/>
  <c r="AG1204" i="8"/>
  <c r="AI1204" i="8" s="1"/>
  <c r="AJ1204" i="8" s="1"/>
  <c r="F3135" i="8"/>
  <c r="T3135" i="8" s="1"/>
  <c r="AG3135" i="8"/>
  <c r="AI3135" i="8" s="1"/>
  <c r="AJ3135" i="8" s="1"/>
  <c r="F1431" i="8"/>
  <c r="T1431" i="8" s="1"/>
  <c r="AG1431" i="8"/>
  <c r="AI1431" i="8" s="1"/>
  <c r="AJ1431" i="8" s="1"/>
  <c r="AG4329" i="8"/>
  <c r="AI4329" i="8" s="1"/>
  <c r="AJ4329" i="8" s="1"/>
  <c r="F4329" i="8"/>
  <c r="T4329" i="8" s="1"/>
  <c r="AH1596" i="8"/>
  <c r="AK1596" i="8"/>
  <c r="F1172" i="8"/>
  <c r="T1172" i="8" s="1"/>
  <c r="AG1172" i="8"/>
  <c r="AI1172" i="8" s="1"/>
  <c r="AJ1172" i="8" s="1"/>
  <c r="F3038" i="8"/>
  <c r="T3038" i="8" s="1"/>
  <c r="AG3038" i="8"/>
  <c r="AI3038" i="8" s="1"/>
  <c r="AJ3038" i="8" s="1"/>
  <c r="F3315" i="8"/>
  <c r="T3315" i="8" s="1"/>
  <c r="AG3315" i="8"/>
  <c r="AI3315" i="8" s="1"/>
  <c r="AJ3315" i="8" s="1"/>
  <c r="F1021" i="8"/>
  <c r="T1021" i="8" s="1"/>
  <c r="AG1021" i="8"/>
  <c r="AI1021" i="8" s="1"/>
  <c r="AJ1021" i="8" s="1"/>
  <c r="AM6306" i="8"/>
  <c r="AO6306" i="8" s="1"/>
  <c r="E6306" i="8"/>
  <c r="E1272" i="28" s="1"/>
  <c r="F1272" i="28" s="1"/>
  <c r="AG3905" i="8"/>
  <c r="AI3905" i="8" s="1"/>
  <c r="AJ3905" i="8" s="1"/>
  <c r="F3905" i="8"/>
  <c r="T3905" i="8" s="1"/>
  <c r="F4090" i="8"/>
  <c r="T4090" i="8" s="1"/>
  <c r="AG4090" i="8"/>
  <c r="AI4090" i="8" s="1"/>
  <c r="AJ4090" i="8" s="1"/>
  <c r="AH905" i="8"/>
  <c r="AK905" i="8"/>
  <c r="AH5226" i="8"/>
  <c r="AK5226" i="8"/>
  <c r="F1895" i="8"/>
  <c r="T1895" i="8" s="1"/>
  <c r="AG1895" i="8"/>
  <c r="F1291" i="8"/>
  <c r="T1291" i="8" s="1"/>
  <c r="AG1291" i="8"/>
  <c r="AG1696" i="8"/>
  <c r="AI1696" i="8" s="1"/>
  <c r="AJ1696" i="8" s="1"/>
  <c r="F1696" i="8"/>
  <c r="T1696" i="8" s="1"/>
  <c r="F1924" i="8"/>
  <c r="T1924" i="8" s="1"/>
  <c r="AG1924" i="8"/>
  <c r="F4725" i="8"/>
  <c r="T4725" i="8" s="1"/>
  <c r="AG4725" i="8"/>
  <c r="AI4725" i="8" s="1"/>
  <c r="AJ4725" i="8" s="1"/>
  <c r="F4228" i="8"/>
  <c r="T4228" i="8" s="1"/>
  <c r="AG4228" i="8"/>
  <c r="AI4228" i="8" s="1"/>
  <c r="AJ4228" i="8" s="1"/>
  <c r="AG1445" i="8"/>
  <c r="F1445" i="8"/>
  <c r="T1445" i="8" s="1"/>
  <c r="AG3782" i="8"/>
  <c r="AI3782" i="8" s="1"/>
  <c r="AJ3782" i="8" s="1"/>
  <c r="F3782" i="8"/>
  <c r="T3782" i="8" s="1"/>
  <c r="AH784" i="8"/>
  <c r="AK784" i="8"/>
  <c r="AH2539" i="8"/>
  <c r="AK2539" i="8"/>
  <c r="F2144" i="8"/>
  <c r="T2144" i="8" s="1"/>
  <c r="AG2144" i="8"/>
  <c r="AI2144" i="8" s="1"/>
  <c r="AJ2144" i="8" s="1"/>
  <c r="AM5967" i="8"/>
  <c r="AO5967" i="8" s="1"/>
  <c r="E5967" i="8"/>
  <c r="E1222" i="28" s="1"/>
  <c r="F1222" i="28" s="1"/>
  <c r="F3101" i="8"/>
  <c r="T3101" i="8" s="1"/>
  <c r="AG3101" i="8"/>
  <c r="AI3101" i="8" s="1"/>
  <c r="AJ3101" i="8" s="1"/>
  <c r="AG3960" i="8"/>
  <c r="AI3960" i="8" s="1"/>
  <c r="AJ3960" i="8" s="1"/>
  <c r="F3960" i="8"/>
  <c r="T3960" i="8" s="1"/>
  <c r="F1973" i="8"/>
  <c r="T1973" i="8" s="1"/>
  <c r="AG1973" i="8"/>
  <c r="AI1973" i="8" s="1"/>
  <c r="AJ1973" i="8" s="1"/>
  <c r="AG1838" i="8"/>
  <c r="F1838" i="8"/>
  <c r="T1838" i="8" s="1"/>
  <c r="AH912" i="8"/>
  <c r="AK912" i="8"/>
  <c r="AM726" i="8"/>
  <c r="AO726" i="8" s="1"/>
  <c r="AG6124" i="8"/>
  <c r="F6124" i="8"/>
  <c r="T6124" i="8" s="1"/>
  <c r="F1179" i="8"/>
  <c r="T1179" i="8" s="1"/>
  <c r="AG1179" i="8"/>
  <c r="AI1179" i="8" s="1"/>
  <c r="AJ1179" i="8" s="1"/>
  <c r="F1703" i="8"/>
  <c r="T1703" i="8" s="1"/>
  <c r="AG1703" i="8"/>
  <c r="AI1703" i="8" s="1"/>
  <c r="AJ1703" i="8" s="1"/>
  <c r="AG1966" i="8"/>
  <c r="AI1966" i="8" s="1"/>
  <c r="AJ1966" i="8" s="1"/>
  <c r="F1966" i="8"/>
  <c r="T1966" i="8" s="1"/>
  <c r="AM6509" i="8"/>
  <c r="AO6509" i="8" s="1"/>
  <c r="E6509" i="8"/>
  <c r="E1304" i="28" s="1"/>
  <c r="F1304" i="28" s="1"/>
  <c r="AG2764" i="8"/>
  <c r="F2764" i="8"/>
  <c r="T2764" i="8" s="1"/>
  <c r="F4858" i="8"/>
  <c r="T4858" i="8" s="1"/>
  <c r="AG4858" i="8"/>
  <c r="AI4858" i="8" s="1"/>
  <c r="AJ4858" i="8" s="1"/>
  <c r="AG2872" i="8"/>
  <c r="F2872" i="8"/>
  <c r="T2872" i="8" s="1"/>
  <c r="AG2400" i="8"/>
  <c r="AI2400" i="8" s="1"/>
  <c r="AJ2400" i="8" s="1"/>
  <c r="F2400" i="8"/>
  <c r="T2400" i="8" s="1"/>
  <c r="F2995" i="8"/>
  <c r="T2995" i="8" s="1"/>
  <c r="AG2995" i="8"/>
  <c r="AI2995" i="8" s="1"/>
  <c r="AJ2995" i="8" s="1"/>
  <c r="F2918" i="8"/>
  <c r="T2918" i="8" s="1"/>
  <c r="AG2918" i="8"/>
  <c r="AG5515" i="8"/>
  <c r="F5515" i="8"/>
  <c r="T5515" i="8" s="1"/>
  <c r="F4691" i="8"/>
  <c r="T4691" i="8" s="1"/>
  <c r="AG4691" i="8"/>
  <c r="AI4691" i="8" s="1"/>
  <c r="AJ4691" i="8" s="1"/>
  <c r="F1242" i="8"/>
  <c r="T1242" i="8" s="1"/>
  <c r="AG1242" i="8"/>
  <c r="AG2943" i="8"/>
  <c r="F2943" i="8"/>
  <c r="AG2414" i="8"/>
  <c r="AI2414" i="8" s="1"/>
  <c r="AJ2414" i="8" s="1"/>
  <c r="F2414" i="8"/>
  <c r="T2414" i="8" s="1"/>
  <c r="F1515" i="8"/>
  <c r="T1515" i="8" s="1"/>
  <c r="AG1515" i="8"/>
  <c r="F2572" i="8"/>
  <c r="T2572" i="8" s="1"/>
  <c r="AG2572" i="8"/>
  <c r="AG1548" i="8"/>
  <c r="F1548" i="8"/>
  <c r="T1548" i="8" s="1"/>
  <c r="AG2598" i="8"/>
  <c r="AI2598" i="8" s="1"/>
  <c r="AJ2598" i="8" s="1"/>
  <c r="F2598" i="8"/>
  <c r="T2598" i="8" s="1"/>
  <c r="F1731" i="8"/>
  <c r="T1731" i="8" s="1"/>
  <c r="AG1731" i="8"/>
  <c r="AI1731" i="8" s="1"/>
  <c r="AJ1731" i="8" s="1"/>
  <c r="AH5409" i="8"/>
  <c r="F1130" i="8"/>
  <c r="T1130" i="8" s="1"/>
  <c r="AG1130" i="8"/>
  <c r="AG5402" i="8"/>
  <c r="AI5402" i="8" s="1"/>
  <c r="AJ5402" i="8" s="1"/>
  <c r="F5402" i="8"/>
  <c r="T5402" i="8" s="1"/>
  <c r="AG4616" i="8"/>
  <c r="F4616" i="8"/>
  <c r="T4616" i="8" s="1"/>
  <c r="AG2897" i="8"/>
  <c r="AI2897" i="8" s="1"/>
  <c r="AJ2897" i="8" s="1"/>
  <c r="F2897" i="8"/>
  <c r="T2897" i="8" s="1"/>
  <c r="F5184" i="8"/>
  <c r="T5184" i="8" s="1"/>
  <c r="AG5184" i="8"/>
  <c r="AG3720" i="8"/>
  <c r="AI3720" i="8" s="1"/>
  <c r="AJ3720" i="8" s="1"/>
  <c r="F3720" i="8"/>
  <c r="T3720" i="8" s="1"/>
  <c r="F1028" i="8"/>
  <c r="T1028" i="8" s="1"/>
  <c r="AG1028" i="8"/>
  <c r="AI1028" i="8" s="1"/>
  <c r="AJ1028" i="8" s="1"/>
  <c r="AG3264" i="8"/>
  <c r="AI3264" i="8" s="1"/>
  <c r="AJ3264" i="8" s="1"/>
  <c r="F3264" i="8"/>
  <c r="T3264" i="8" s="1"/>
  <c r="AI735" i="8"/>
  <c r="AJ735" i="8" s="1"/>
  <c r="F735" i="8"/>
  <c r="T735" i="8" s="1"/>
  <c r="AM698" i="8"/>
  <c r="AO698" i="8" s="1"/>
  <c r="AG5857" i="8"/>
  <c r="AI5857" i="8" s="1"/>
  <c r="AJ5857" i="8" s="1"/>
  <c r="F5857" i="8"/>
  <c r="T5857" i="8" s="1"/>
  <c r="AG1165" i="8"/>
  <c r="F1165" i="8"/>
  <c r="T1165" i="8" s="1"/>
  <c r="F1738" i="8"/>
  <c r="T1738" i="8" s="1"/>
  <c r="AG1738" i="8"/>
  <c r="AI1738" i="8" s="1"/>
  <c r="AJ1738" i="8" s="1"/>
  <c r="F2076" i="8"/>
  <c r="T2076" i="8" s="1"/>
  <c r="AG2076" i="8"/>
  <c r="AI2076" i="8" s="1"/>
  <c r="AJ2076" i="8" s="1"/>
  <c r="F4051" i="8"/>
  <c r="T4051" i="8" s="1"/>
  <c r="AG4051" i="8"/>
  <c r="AG3469" i="8"/>
  <c r="AI3469" i="8" s="1"/>
  <c r="AJ3469" i="8" s="1"/>
  <c r="F3469" i="8"/>
  <c r="T3469" i="8" s="1"/>
  <c r="AG2743" i="8"/>
  <c r="F2743" i="8"/>
  <c r="AG3286" i="8"/>
  <c r="AI3286" i="8" s="1"/>
  <c r="AJ3286" i="8" s="1"/>
  <c r="F3286" i="8"/>
  <c r="T3286" i="8" s="1"/>
  <c r="F1151" i="8"/>
  <c r="T1151" i="8" s="1"/>
  <c r="AG1151" i="8"/>
  <c r="AI1151" i="8" s="1"/>
  <c r="AJ1151" i="8" s="1"/>
  <c r="F965" i="8"/>
  <c r="T965" i="8" s="1"/>
  <c r="AM6100" i="8"/>
  <c r="AO6100" i="8" s="1"/>
  <c r="E6100" i="8"/>
  <c r="E1242" i="28" s="1"/>
  <c r="F1242" i="28" s="1"/>
  <c r="AI2630" i="8"/>
  <c r="AJ2630" i="8" s="1"/>
  <c r="AH2630" i="8"/>
  <c r="AI854" i="8"/>
  <c r="AJ854" i="8" s="1"/>
  <c r="F854" i="8"/>
  <c r="T854" i="8" s="1"/>
  <c r="AG1884" i="8"/>
  <c r="F1884" i="8"/>
  <c r="T1884" i="8" s="1"/>
  <c r="F4480" i="8"/>
  <c r="T4480" i="8" s="1"/>
  <c r="AG4480" i="8"/>
  <c r="AI4480" i="8" s="1"/>
  <c r="AJ4480" i="8" s="1"/>
  <c r="F4121" i="8"/>
  <c r="T4121" i="8" s="1"/>
  <c r="AG4121" i="8"/>
  <c r="AI4121" i="8" s="1"/>
  <c r="AJ4121" i="8" s="1"/>
  <c r="AG3146" i="8"/>
  <c r="F3146" i="8"/>
  <c r="T3146" i="8" s="1"/>
  <c r="AG1324" i="8"/>
  <c r="AI1324" i="8" s="1"/>
  <c r="AJ1324" i="8" s="1"/>
  <c r="F1324" i="8"/>
  <c r="T1324" i="8" s="1"/>
  <c r="AG5462" i="8"/>
  <c r="F5462" i="8"/>
  <c r="T5462" i="8" s="1"/>
  <c r="AG4573" i="8"/>
  <c r="AI4573" i="8" s="1"/>
  <c r="AJ4573" i="8" s="1"/>
  <c r="F4573" i="8"/>
  <c r="T4573" i="8" s="1"/>
  <c r="F979" i="8"/>
  <c r="T979" i="8" s="1"/>
  <c r="F2273" i="8"/>
  <c r="T2273" i="8" s="1"/>
  <c r="AG2273" i="8"/>
  <c r="AI2273" i="8" s="1"/>
  <c r="AJ2273" i="8" s="1"/>
  <c r="AG2006" i="8"/>
  <c r="F2006" i="8"/>
  <c r="T2006" i="8" s="1"/>
  <c r="AG1959" i="8"/>
  <c r="AI1959" i="8" s="1"/>
  <c r="AJ1959" i="8" s="1"/>
  <c r="F1959" i="8"/>
  <c r="T1959" i="8" s="1"/>
  <c r="F1639" i="8"/>
  <c r="T1639" i="8" s="1"/>
  <c r="AG1639" i="8"/>
  <c r="AI1639" i="8" s="1"/>
  <c r="AJ1639" i="8" s="1"/>
  <c r="F4379" i="8"/>
  <c r="T4379" i="8" s="1"/>
  <c r="AG4379" i="8"/>
  <c r="F1406" i="8"/>
  <c r="T1406" i="8" s="1"/>
  <c r="AG1406" i="8"/>
  <c r="AI1406" i="8" s="1"/>
  <c r="AJ1406" i="8" s="1"/>
  <c r="AG5233" i="8"/>
  <c r="F5233" i="8"/>
  <c r="T5233" i="8" s="1"/>
  <c r="F3392" i="8"/>
  <c r="T3392" i="8" s="1"/>
  <c r="AG3392" i="8"/>
  <c r="AG3357" i="8"/>
  <c r="AI3357" i="8" s="1"/>
  <c r="AJ3357" i="8" s="1"/>
  <c r="F3357" i="8"/>
  <c r="T3357" i="8" s="1"/>
  <c r="AG5550" i="8"/>
  <c r="AI5550" i="8" s="1"/>
  <c r="AJ5550" i="8" s="1"/>
  <c r="F5550" i="8"/>
  <c r="T5550" i="8" s="1"/>
  <c r="AG2151" i="8"/>
  <c r="F2151" i="8"/>
  <c r="T2151" i="8" s="1"/>
  <c r="F2507" i="8"/>
  <c r="T2507" i="8" s="1"/>
  <c r="AG2507" i="8"/>
  <c r="AI2507" i="8" s="1"/>
  <c r="AJ2507" i="8" s="1"/>
  <c r="AM4664" i="8"/>
  <c r="AO4664" i="8" s="1"/>
  <c r="E4664" i="8"/>
  <c r="E1012" i="28" s="1"/>
  <c r="F1012" i="28" s="1"/>
  <c r="F3371" i="8"/>
  <c r="T3371" i="8" s="1"/>
  <c r="AG3371" i="8"/>
  <c r="AI3371" i="8" s="1"/>
  <c r="AJ3371" i="8" s="1"/>
  <c r="AG3052" i="8"/>
  <c r="F3052" i="8"/>
  <c r="T3052" i="8" s="1"/>
  <c r="AG2829" i="8"/>
  <c r="F2829" i="8"/>
  <c r="T2829" i="8" s="1"/>
  <c r="F1675" i="8"/>
  <c r="T1675" i="8" s="1"/>
  <c r="AG1675" i="8"/>
  <c r="AI1675" i="8" s="1"/>
  <c r="AJ1675" i="8" s="1"/>
  <c r="F1952" i="8"/>
  <c r="T1952" i="8" s="1"/>
  <c r="AG1952" i="8"/>
  <c r="AI1952" i="8" s="1"/>
  <c r="AJ1952" i="8" s="1"/>
  <c r="F6345" i="8"/>
  <c r="T6345" i="8" s="1"/>
  <c r="AG6345" i="8"/>
  <c r="AI6345" i="8" s="1"/>
  <c r="AJ6345" i="8" s="1"/>
  <c r="F3898" i="8"/>
  <c r="T3898" i="8" s="1"/>
  <c r="AG3898" i="8"/>
  <c r="AI3898" i="8" s="1"/>
  <c r="AJ3898" i="8" s="1"/>
  <c r="AG3752" i="8"/>
  <c r="AI3752" i="8" s="1"/>
  <c r="AJ3752" i="8" s="1"/>
  <c r="F3752" i="8"/>
  <c r="T3752" i="8" s="1"/>
  <c r="AG2227" i="8"/>
  <c r="AI2227" i="8" s="1"/>
  <c r="AJ2227" i="8" s="1"/>
  <c r="F2227" i="8"/>
  <c r="T2227" i="8" s="1"/>
  <c r="AM626" i="8"/>
  <c r="AO626" i="8" s="1"/>
  <c r="AM933" i="8"/>
  <c r="AO933" i="8" s="1"/>
  <c r="AH2514" i="8"/>
  <c r="AK2514" i="8"/>
  <c r="AG3890" i="8"/>
  <c r="F3890" i="8"/>
  <c r="T3890" i="8" s="1"/>
  <c r="AG2670" i="8"/>
  <c r="F2670" i="8"/>
  <c r="T2670" i="8" s="1"/>
  <c r="AG2255" i="8"/>
  <c r="F2255" i="8"/>
  <c r="T2255" i="8" s="1"/>
  <c r="AG4885" i="8"/>
  <c r="AI4885" i="8" s="1"/>
  <c r="AJ4885" i="8" s="1"/>
  <c r="F4885" i="8"/>
  <c r="T4885" i="8" s="1"/>
  <c r="AH1392" i="8"/>
  <c r="AK1392" i="8"/>
  <c r="AG2176" i="8"/>
  <c r="AI2176" i="8" s="1"/>
  <c r="AJ2176" i="8" s="1"/>
  <c r="F2176" i="8"/>
  <c r="T2176" i="8" s="1"/>
  <c r="F2722" i="8"/>
  <c r="T2722" i="8" s="1"/>
  <c r="AG2722" i="8"/>
  <c r="F2013" i="8"/>
  <c r="T2013" i="8" s="1"/>
  <c r="AG2013" i="8"/>
  <c r="AI2013" i="8" s="1"/>
  <c r="AJ2013" i="8" s="1"/>
  <c r="F1235" i="8"/>
  <c r="T1235" i="8" s="1"/>
  <c r="AG1235" i="8"/>
  <c r="AI1235" i="8" s="1"/>
  <c r="AJ1235" i="8" s="1"/>
  <c r="F2234" i="8"/>
  <c r="T2234" i="8" s="1"/>
  <c r="AG2234" i="8"/>
  <c r="AI2234" i="8" s="1"/>
  <c r="AJ2234" i="8" s="1"/>
  <c r="AG4220" i="8"/>
  <c r="AI4220" i="8" s="1"/>
  <c r="AJ4220" i="8" s="1"/>
  <c r="F4220" i="8"/>
  <c r="T4220" i="8" s="1"/>
  <c r="AG2804" i="8"/>
  <c r="F2804" i="8"/>
  <c r="T2804" i="8" s="1"/>
  <c r="AG1356" i="8"/>
  <c r="F1356" i="8"/>
  <c r="T1356" i="8" s="1"/>
  <c r="F3308" i="8"/>
  <c r="T3308" i="8" s="1"/>
  <c r="AG3308" i="8"/>
  <c r="AI3308" i="8" s="1"/>
  <c r="AJ3308" i="8" s="1"/>
  <c r="AG1338" i="8"/>
  <c r="AI1338" i="8" s="1"/>
  <c r="AJ1338" i="8" s="1"/>
  <c r="F1338" i="8"/>
  <c r="T1338" i="8" s="1"/>
  <c r="F5321" i="8"/>
  <c r="T5321" i="8" s="1"/>
  <c r="AG5321" i="8"/>
  <c r="AI5321" i="8" s="1"/>
  <c r="AJ5321" i="8" s="1"/>
  <c r="AH2468" i="8"/>
  <c r="AK2468" i="8"/>
  <c r="AG3675" i="8"/>
  <c r="AI3675" i="8" s="1"/>
  <c r="AJ3675" i="8" s="1"/>
  <c r="F3675" i="8"/>
  <c r="T3675" i="8" s="1"/>
  <c r="AG3789" i="8"/>
  <c r="F3789" i="8"/>
  <c r="T3789" i="8" s="1"/>
  <c r="AG1661" i="8"/>
  <c r="F1661" i="8"/>
  <c r="T1661" i="8" s="1"/>
  <c r="F2034" i="8"/>
  <c r="T2034" i="8" s="1"/>
  <c r="AG2034" i="8"/>
  <c r="AI2034" i="8" s="1"/>
  <c r="AJ2034" i="8" s="1"/>
  <c r="F3153" i="8"/>
  <c r="T3153" i="8" s="1"/>
  <c r="AG3153" i="8"/>
  <c r="AI3153" i="8" s="1"/>
  <c r="AJ3153" i="8" s="1"/>
  <c r="F3249" i="8"/>
  <c r="T3249" i="8" s="1"/>
  <c r="AG3249" i="8"/>
  <c r="AH5469" i="8"/>
  <c r="AK5469" i="8"/>
  <c r="F5490" i="8"/>
  <c r="T5490" i="8" s="1"/>
  <c r="AG5490" i="8"/>
  <c r="F1363" i="8"/>
  <c r="T1363" i="8" s="1"/>
  <c r="AG1363" i="8"/>
  <c r="AI1363" i="8" s="1"/>
  <c r="AJ1363" i="8" s="1"/>
  <c r="F2041" i="8"/>
  <c r="T2041" i="8" s="1"/>
  <c r="AG2041" i="8"/>
  <c r="AI2041" i="8" s="1"/>
  <c r="AJ2041" i="8" s="1"/>
  <c r="F1256" i="8"/>
  <c r="T1256" i="8" s="1"/>
  <c r="AG1256" i="8"/>
  <c r="AI1256" i="8" s="1"/>
  <c r="AJ1256" i="8" s="1"/>
  <c r="AG5945" i="8"/>
  <c r="F5945" i="8"/>
  <c r="T5945" i="8" s="1"/>
  <c r="F4348" i="8"/>
  <c r="T4348" i="8" s="1"/>
  <c r="AG4348" i="8"/>
  <c r="AI4348" i="8" s="1"/>
  <c r="AJ4348" i="8" s="1"/>
  <c r="F2659" i="8"/>
  <c r="T2659" i="8" s="1"/>
  <c r="AG2659" i="8"/>
  <c r="F819" i="8"/>
  <c r="T819" i="8" s="1"/>
  <c r="AI819" i="8"/>
  <c r="AJ819" i="8" s="1"/>
  <c r="F1508" i="8"/>
  <c r="T1508" i="8" s="1"/>
  <c r="AG1508" i="8"/>
  <c r="F4630" i="8"/>
  <c r="T4630" i="8" s="1"/>
  <c r="AG4630" i="8"/>
  <c r="AG3813" i="8"/>
  <c r="F3813" i="8"/>
  <c r="T3813" i="8" s="1"/>
  <c r="AM5822" i="8"/>
  <c r="AO5822" i="8" s="1"/>
  <c r="E5822" i="8"/>
  <c r="E1201" i="28" s="1"/>
  <c r="AH5307" i="8"/>
  <c r="AK5307" i="8"/>
  <c r="AH1628" i="8"/>
  <c r="AK1628" i="8"/>
  <c r="F2407" i="8"/>
  <c r="T2407" i="8" s="1"/>
  <c r="AG2407" i="8"/>
  <c r="AI2407" i="8" s="1"/>
  <c r="AJ2407" i="8" s="1"/>
  <c r="F2693" i="8"/>
  <c r="T2693" i="8" s="1"/>
  <c r="AG2693" i="8"/>
  <c r="AI2693" i="8" s="1"/>
  <c r="AJ2693" i="8" s="1"/>
  <c r="AG1745" i="8"/>
  <c r="AI1745" i="8" s="1"/>
  <c r="AJ1745" i="8" s="1"/>
  <c r="F1745" i="8"/>
  <c r="T1745" i="8" s="1"/>
  <c r="F1277" i="8"/>
  <c r="T1277" i="8" s="1"/>
  <c r="AG1277" i="8"/>
  <c r="AI1277" i="8" s="1"/>
  <c r="AJ1277" i="8" s="1"/>
  <c r="F5522" i="8"/>
  <c r="T5522" i="8" s="1"/>
  <c r="AG5522" i="8"/>
  <c r="AH798" i="8"/>
  <c r="AK798" i="8"/>
  <c r="F4403" i="8"/>
  <c r="T4403" i="8" s="1"/>
  <c r="AG4403" i="8"/>
  <c r="AI4403" i="8" s="1"/>
  <c r="AJ4403" i="8" s="1"/>
  <c r="F1540" i="8"/>
  <c r="T1540" i="8" s="1"/>
  <c r="AG1540" i="8"/>
  <c r="AI1540" i="8" s="1"/>
  <c r="AJ1540" i="8" s="1"/>
  <c r="AH1302" i="8"/>
  <c r="AK1302" i="8"/>
  <c r="F3995" i="8"/>
  <c r="T3995" i="8" s="1"/>
  <c r="AG3995" i="8"/>
  <c r="AG4387" i="8"/>
  <c r="AI4387" i="8" s="1"/>
  <c r="AJ4387" i="8" s="1"/>
  <c r="F4387" i="8"/>
  <c r="T4387" i="8" s="1"/>
  <c r="AG4491" i="8"/>
  <c r="AI4491" i="8" s="1"/>
  <c r="AJ4491" i="8" s="1"/>
  <c r="F4491" i="8"/>
  <c r="T4491" i="8" s="1"/>
  <c r="F4758" i="8"/>
  <c r="T4758" i="8" s="1"/>
  <c r="AG4758" i="8"/>
  <c r="AI4758" i="8" s="1"/>
  <c r="AJ4758" i="8" s="1"/>
  <c r="F958" i="8"/>
  <c r="T958" i="8" s="1"/>
  <c r="AG958" i="8"/>
  <c r="AI958" i="8" s="1"/>
  <c r="AJ958" i="8" s="1"/>
  <c r="F2704" i="8"/>
  <c r="T2704" i="8" s="1"/>
  <c r="AG2704" i="8"/>
  <c r="AI2704" i="8" s="1"/>
  <c r="AJ2704" i="8" s="1"/>
  <c r="F1212" i="8"/>
  <c r="T1212" i="8" s="1"/>
  <c r="AG1212" i="8"/>
  <c r="AG2425" i="8"/>
  <c r="AI2425" i="8" s="1"/>
  <c r="AJ2425" i="8" s="1"/>
  <c r="F2425" i="8"/>
  <c r="T2425" i="8" s="1"/>
  <c r="AG1752" i="8"/>
  <c r="AI1752" i="8" s="1"/>
  <c r="AJ1752" i="8" s="1"/>
  <c r="F1752" i="8"/>
  <c r="T1752" i="8" s="1"/>
  <c r="AG1249" i="8"/>
  <c r="AI1249" i="8" s="1"/>
  <c r="AJ1249" i="8" s="1"/>
  <c r="F1249" i="8"/>
  <c r="T1249" i="8" s="1"/>
  <c r="F6293" i="8"/>
  <c r="T6293" i="8" s="1"/>
  <c r="AG6293" i="8"/>
  <c r="AI6293" i="8" s="1"/>
  <c r="AJ6293" i="8" s="1"/>
  <c r="AJ5314" i="8"/>
  <c r="AK5314" i="8"/>
  <c r="F4371" i="8"/>
  <c r="T4371" i="8" s="1"/>
  <c r="AG4371" i="8"/>
  <c r="AI4371" i="8" s="1"/>
  <c r="AJ4371" i="8" s="1"/>
  <c r="F2197" i="8"/>
  <c r="T2197" i="8" s="1"/>
  <c r="AG2197" i="8"/>
  <c r="AI2197" i="8" s="1"/>
  <c r="AJ2197" i="8" s="1"/>
  <c r="AG3073" i="8"/>
  <c r="AI3073" i="8" s="1"/>
  <c r="AJ3073" i="8" s="1"/>
  <c r="F3073" i="8"/>
  <c r="T3073" i="8" s="1"/>
  <c r="AH2521" i="8"/>
  <c r="AK2521" i="8"/>
  <c r="AG5205" i="8"/>
  <c r="AI5205" i="8" s="1"/>
  <c r="AJ5205" i="8" s="1"/>
  <c r="F5205" i="8"/>
  <c r="T5205" i="8" s="1"/>
  <c r="F1186" i="8"/>
  <c r="T1186" i="8" s="1"/>
  <c r="AG1186" i="8"/>
  <c r="AI1186" i="8" s="1"/>
  <c r="AJ1186" i="8" s="1"/>
  <c r="F2262" i="8"/>
  <c r="T2262" i="8" s="1"/>
  <c r="AG2262" i="8"/>
  <c r="AI2262" i="8" s="1"/>
  <c r="AJ2262" i="8" s="1"/>
  <c r="AG1710" i="8"/>
  <c r="AI1710" i="8" s="1"/>
  <c r="AJ1710" i="8" s="1"/>
  <c r="F1710" i="8"/>
  <c r="T1710" i="8" s="1"/>
  <c r="AM6427" i="8"/>
  <c r="AO6427" i="8" s="1"/>
  <c r="E6427" i="8"/>
  <c r="E1293" i="28" s="1"/>
  <c r="F1293" i="28" s="1"/>
  <c r="AI826" i="8"/>
  <c r="AJ826" i="8" s="1"/>
  <c r="F826" i="8"/>
  <c r="T826" i="8" s="1"/>
  <c r="F1053" i="8"/>
  <c r="T1053" i="8" s="1"/>
  <c r="AG1053" i="8"/>
  <c r="AH2911" i="8"/>
  <c r="AK2911" i="8"/>
  <c r="F1910" i="8"/>
  <c r="T1910" i="8" s="1"/>
  <c r="AG1910" i="8"/>
  <c r="AI1910" i="8" s="1"/>
  <c r="AJ1910" i="8" s="1"/>
  <c r="AG4040" i="8"/>
  <c r="F4040" i="8"/>
  <c r="T4040" i="8" s="1"/>
  <c r="F1097" i="8"/>
  <c r="T1097" i="8" s="1"/>
  <c r="AG1097" i="8"/>
  <c r="AH2302" i="8"/>
  <c r="AK2302" i="8"/>
  <c r="AM648" i="8"/>
  <c r="AO648" i="8" s="1"/>
  <c r="AH1090" i="8"/>
  <c r="AK1090" i="8"/>
  <c r="AG3668" i="8"/>
  <c r="AI3668" i="8" s="1"/>
  <c r="AJ3668" i="8" s="1"/>
  <c r="F3668" i="8"/>
  <c r="T3668" i="8" s="1"/>
  <c r="AG3087" i="8"/>
  <c r="AI3087" i="8" s="1"/>
  <c r="AJ3087" i="8" s="1"/>
  <c r="F3087" i="8"/>
  <c r="T3087" i="8" s="1"/>
  <c r="AG2623" i="8"/>
  <c r="F2623" i="8"/>
  <c r="T2623" i="8" s="1"/>
  <c r="F847" i="8"/>
  <c r="T847" i="8" s="1"/>
  <c r="F2434" i="8"/>
  <c r="T2434" i="8" s="1"/>
  <c r="AG2434" i="8"/>
  <c r="AI2434" i="8" s="1"/>
  <c r="AJ2434" i="8" s="1"/>
  <c r="F3416" i="8"/>
  <c r="T3416" i="8" s="1"/>
  <c r="AG3416" i="8"/>
  <c r="AI3416" i="8" s="1"/>
  <c r="AJ3416" i="8" s="1"/>
  <c r="AH1621" i="8"/>
  <c r="AK1621" i="8"/>
  <c r="AG1780" i="8"/>
  <c r="AI1780" i="8" s="1"/>
  <c r="AJ1780" i="8" s="1"/>
  <c r="F1780" i="8"/>
  <c r="T1780" i="8" s="1"/>
  <c r="F2083" i="8"/>
  <c r="T2083" i="8" s="1"/>
  <c r="AG2083" i="8"/>
  <c r="AI2083" i="8" s="1"/>
  <c r="AJ2083" i="8" s="1"/>
  <c r="F3802" i="8"/>
  <c r="T3802" i="8" s="1"/>
  <c r="AG3802" i="8"/>
  <c r="AI3802" i="8" s="1"/>
  <c r="AJ3802" i="8" s="1"/>
  <c r="F3461" i="8"/>
  <c r="T3461" i="8" s="1"/>
  <c r="AG3461" i="8"/>
  <c r="AI3461" i="8" s="1"/>
  <c r="AJ3461" i="8" s="1"/>
  <c r="AG1104" i="8"/>
  <c r="F1104" i="8"/>
  <c r="T1104" i="8" s="1"/>
  <c r="AG2858" i="8"/>
  <c r="F2858" i="8"/>
  <c r="T2858" i="8" s="1"/>
  <c r="F3689" i="8"/>
  <c r="T3689" i="8" s="1"/>
  <c r="AG3689" i="8"/>
  <c r="AI3689" i="8" s="1"/>
  <c r="AJ3689" i="8" s="1"/>
  <c r="F742" i="8"/>
  <c r="T742" i="8" s="1"/>
  <c r="AI742" i="8"/>
  <c r="AJ742" i="8" s="1"/>
  <c r="F5177" i="8"/>
  <c r="AG5177" i="8"/>
  <c r="AI5177" i="8" s="1"/>
  <c r="AJ5177" i="8" s="1"/>
  <c r="F2645" i="8"/>
  <c r="T2645" i="8" s="1"/>
  <c r="AG2645" i="8"/>
  <c r="AG3080" i="8"/>
  <c r="AI3080" i="8" s="1"/>
  <c r="AJ3080" i="8" s="1"/>
  <c r="F3080" i="8"/>
  <c r="T3080" i="8" s="1"/>
  <c r="AG2988" i="8"/>
  <c r="AI2988" i="8" s="1"/>
  <c r="AJ2988" i="8" s="1"/>
  <c r="F2988" i="8"/>
  <c r="T2988" i="8" s="1"/>
  <c r="F2851" i="8"/>
  <c r="T2851" i="8" s="1"/>
  <c r="AG2851" i="8"/>
  <c r="AI2851" i="8" s="1"/>
  <c r="AJ2851" i="8" s="1"/>
  <c r="F1689" i="8"/>
  <c r="T1689" i="8" s="1"/>
  <c r="AG1689" i="8"/>
  <c r="AI1689" i="8" s="1"/>
  <c r="AJ1689" i="8" s="1"/>
  <c r="AM5774" i="8"/>
  <c r="AO5774" i="8" s="1"/>
  <c r="E5774" i="8"/>
  <c r="E1194" i="28" s="1"/>
  <c r="F1194" i="28" s="1"/>
  <c r="F2771" i="8"/>
  <c r="T2771" i="8" s="1"/>
  <c r="AG2771" i="8"/>
  <c r="AI2771" i="8" s="1"/>
  <c r="AJ2771" i="8" s="1"/>
  <c r="F2123" i="8"/>
  <c r="T2123" i="8" s="1"/>
  <c r="AG2123" i="8"/>
  <c r="AI2123" i="8" s="1"/>
  <c r="AJ2123" i="8" s="1"/>
  <c r="AM5800" i="8"/>
  <c r="AO5800" i="8" s="1"/>
  <c r="E5800" i="8"/>
  <c r="E1198" i="28" s="1"/>
  <c r="F1198" i="28" s="1"/>
  <c r="AH868" i="8"/>
  <c r="AK868" i="8"/>
  <c r="AG6594" i="8"/>
  <c r="F6594" i="8"/>
  <c r="T6594" i="8" s="1"/>
  <c r="F5191" i="8"/>
  <c r="T5191" i="8" s="1"/>
  <c r="AG5191" i="8"/>
  <c r="AG3108" i="8"/>
  <c r="AI3108" i="8" s="1"/>
  <c r="AJ3108" i="8" s="1"/>
  <c r="F3108" i="8"/>
  <c r="T3108" i="8" s="1"/>
  <c r="AG4065" i="8"/>
  <c r="F4065" i="8"/>
  <c r="T4065" i="8" s="1"/>
  <c r="F2479" i="8"/>
  <c r="T2479" i="8" s="1"/>
  <c r="AG2479" i="8"/>
  <c r="F1931" i="8"/>
  <c r="T1931" i="8" s="1"/>
  <c r="AG1931" i="8"/>
  <c r="AI1931" i="8" s="1"/>
  <c r="AJ1931" i="8" s="1"/>
  <c r="AM5614" i="8"/>
  <c r="AO5614" i="8" s="1"/>
  <c r="E5614" i="8"/>
  <c r="E1174" i="28" s="1"/>
  <c r="F1174" i="28" s="1"/>
  <c r="F4193" i="8"/>
  <c r="T4193" i="8" s="1"/>
  <c r="AG4193" i="8"/>
  <c r="AI4193" i="8" s="1"/>
  <c r="AJ4193" i="8" s="1"/>
  <c r="F5356" i="8"/>
  <c r="T5356" i="8" s="1"/>
  <c r="AG5356" i="8"/>
  <c r="AI5356" i="8" s="1"/>
  <c r="AJ5356" i="8" s="1"/>
  <c r="F1193" i="8"/>
  <c r="T1193" i="8" s="1"/>
  <c r="AG1193" i="8"/>
  <c r="F3364" i="8"/>
  <c r="T3364" i="8" s="1"/>
  <c r="AG3364" i="8"/>
  <c r="AI3364" i="8" s="1"/>
  <c r="AJ3364" i="8" s="1"/>
  <c r="F1794" i="8"/>
  <c r="T1794" i="8" s="1"/>
  <c r="AG1794" i="8"/>
  <c r="AI1794" i="8" s="1"/>
  <c r="AJ1794" i="8" s="1"/>
  <c r="F5441" i="8"/>
  <c r="T5441" i="8" s="1"/>
  <c r="AG5441" i="8"/>
  <c r="AI5441" i="8" s="1"/>
  <c r="AJ5441" i="8" s="1"/>
  <c r="F3477" i="8"/>
  <c r="T3477" i="8" s="1"/>
  <c r="AG3477" i="8"/>
  <c r="AI3477" i="8" s="1"/>
  <c r="AJ3477" i="8" s="1"/>
  <c r="F2500" i="8"/>
  <c r="AG2500" i="8"/>
  <c r="AI2500" i="8" s="1"/>
  <c r="AJ2500" i="8" s="1"/>
  <c r="AG2605" i="8"/>
  <c r="F2605" i="8"/>
  <c r="T2605" i="8" s="1"/>
  <c r="AH2532" i="8"/>
  <c r="AK2532" i="8"/>
  <c r="F5529" i="8"/>
  <c r="T5529" i="8" s="1"/>
  <c r="AG5529" i="8"/>
  <c r="F4186" i="8"/>
  <c r="T4186" i="8" s="1"/>
  <c r="AG4186" i="8"/>
  <c r="F3378" i="8"/>
  <c r="T3378" i="8" s="1"/>
  <c r="AG3378" i="8"/>
  <c r="AI3378" i="8" s="1"/>
  <c r="AJ3378" i="8" s="1"/>
  <c r="AH5434" i="8"/>
  <c r="AK5434" i="8"/>
  <c r="F6091" i="8"/>
  <c r="T6091" i="8" s="1"/>
  <c r="AG6091" i="8"/>
  <c r="AI6091" i="8" s="1"/>
  <c r="AJ6091" i="8" s="1"/>
  <c r="F1917" i="8"/>
  <c r="T1917" i="8" s="1"/>
  <c r="AG1917" i="8"/>
  <c r="AI1917" i="8" s="1"/>
  <c r="AJ1917" i="8" s="1"/>
  <c r="F5536" i="8"/>
  <c r="T5536" i="8" s="1"/>
  <c r="AG5536" i="8"/>
  <c r="AI5536" i="8" s="1"/>
  <c r="AJ5536" i="8" s="1"/>
  <c r="AG5501" i="8"/>
  <c r="F5501" i="8"/>
  <c r="T5501" i="8" s="1"/>
  <c r="AG1420" i="8"/>
  <c r="F1420" i="8"/>
  <c r="T1420" i="8" s="1"/>
  <c r="AI990" i="8"/>
  <c r="AJ990" i="8" s="1"/>
  <c r="AH990" i="8"/>
  <c r="AG2101" i="8"/>
  <c r="AI2101" i="8" s="1"/>
  <c r="AJ2101" i="8" s="1"/>
  <c r="F2101" i="8"/>
  <c r="T2101" i="8" s="1"/>
  <c r="AG3343" i="8"/>
  <c r="AI3343" i="8" s="1"/>
  <c r="AJ3343" i="8" s="1"/>
  <c r="F3343" i="8"/>
  <c r="T3343" i="8" s="1"/>
  <c r="AG3336" i="8"/>
  <c r="F3336" i="8"/>
  <c r="T3336" i="8" s="1"/>
  <c r="F833" i="8"/>
  <c r="T833" i="8" s="1"/>
  <c r="AI833" i="8"/>
  <c r="AJ833" i="8" s="1"/>
  <c r="F1682" i="8"/>
  <c r="T1682" i="8" s="1"/>
  <c r="AG1682" i="8"/>
  <c r="F2158" i="8"/>
  <c r="T2158" i="8" s="1"/>
  <c r="AG2158" i="8"/>
  <c r="AI2158" i="8" s="1"/>
  <c r="AJ2158" i="8" s="1"/>
  <c r="AM6354" i="8"/>
  <c r="AO6354" i="8" s="1"/>
  <c r="E6354" i="8"/>
  <c r="E1279" i="28" s="1"/>
  <c r="F1279" i="28" s="1"/>
  <c r="F4145" i="8"/>
  <c r="T4145" i="8" s="1"/>
  <c r="AG4145" i="8"/>
  <c r="AI4145" i="8" s="1"/>
  <c r="AJ4145" i="8" s="1"/>
  <c r="F3986" i="8"/>
  <c r="T3986" i="8" s="1"/>
  <c r="AG3986" i="8"/>
  <c r="AI3986" i="8" s="1"/>
  <c r="AJ3986" i="8" s="1"/>
  <c r="F2020" i="8"/>
  <c r="T2020" i="8" s="1"/>
  <c r="AG2020" i="8"/>
  <c r="AI2020" i="8" s="1"/>
  <c r="AJ2020" i="8" s="1"/>
  <c r="F2811" i="8"/>
  <c r="T2811" i="8" s="1"/>
  <c r="AG2811" i="8"/>
  <c r="F777" i="8"/>
  <c r="T777" i="8" s="1"/>
  <c r="AI777" i="8"/>
  <c r="AJ777" i="8" s="1"/>
  <c r="AH2461" i="8"/>
  <c r="AK2461" i="8"/>
  <c r="F6007" i="8"/>
  <c r="T6007" i="8" s="1"/>
  <c r="AG6007" i="8"/>
  <c r="F1494" i="8"/>
  <c r="T1494" i="8" s="1"/>
  <c r="AG1494" i="8"/>
  <c r="AI1494" i="8" s="1"/>
  <c r="AJ1494" i="8" s="1"/>
  <c r="F3969" i="8"/>
  <c r="T3969" i="8" s="1"/>
  <c r="AG3969" i="8"/>
  <c r="AI3969" i="8" s="1"/>
  <c r="AJ3969" i="8" s="1"/>
  <c r="F3682" i="8"/>
  <c r="T3682" i="8" s="1"/>
  <c r="AG3682" i="8"/>
  <c r="AI3682" i="8" s="1"/>
  <c r="AJ3682" i="8" s="1"/>
  <c r="AG2612" i="8"/>
  <c r="F2612" i="8"/>
  <c r="T2612" i="8" s="1"/>
  <c r="F2248" i="8"/>
  <c r="T2248" i="8" s="1"/>
  <c r="AG2248" i="8"/>
  <c r="AI2248" i="8" s="1"/>
  <c r="AJ2248" i="8" s="1"/>
  <c r="AM6183" i="8"/>
  <c r="AO6183" i="8" s="1"/>
  <c r="E6183" i="8"/>
  <c r="E1253" i="28" s="1"/>
  <c r="F1253" i="28" s="1"/>
  <c r="AI5328" i="8"/>
  <c r="AJ5328" i="8" s="1"/>
  <c r="AH5328" i="8"/>
  <c r="F840" i="8"/>
  <c r="T840" i="8" s="1"/>
  <c r="F1801" i="8"/>
  <c r="T1801" i="8" s="1"/>
  <c r="AG1801" i="8"/>
  <c r="AI1801" i="8" s="1"/>
  <c r="AJ1801" i="8" s="1"/>
  <c r="F1938" i="8"/>
  <c r="T1938" i="8" s="1"/>
  <c r="AG1938" i="8"/>
  <c r="AI1938" i="8" s="1"/>
  <c r="AJ1938" i="8" s="1"/>
  <c r="F4134" i="8"/>
  <c r="T4134" i="8" s="1"/>
  <c r="AG4134" i="8"/>
  <c r="AI4134" i="8" s="1"/>
  <c r="AJ4134" i="8" s="1"/>
  <c r="F3916" i="8"/>
  <c r="T3916" i="8" s="1"/>
  <c r="AG3916" i="8"/>
  <c r="AI3916" i="8" s="1"/>
  <c r="AJ3916" i="8" s="1"/>
  <c r="F4252" i="8"/>
  <c r="T4252" i="8" s="1"/>
  <c r="AG4252" i="8"/>
  <c r="AI4252" i="8" s="1"/>
  <c r="AJ4252" i="8" s="1"/>
  <c r="AM6454" i="8"/>
  <c r="AO6454" i="8" s="1"/>
  <c r="AH2443" i="8"/>
  <c r="AK2443" i="8"/>
  <c r="F1220" i="8"/>
  <c r="T1220" i="8" s="1"/>
  <c r="AG1220" i="8"/>
  <c r="F2187" i="8"/>
  <c r="T2187" i="8" s="1"/>
  <c r="AG2187" i="8"/>
  <c r="AI2187" i="8" s="1"/>
  <c r="AJ2187" i="8" s="1"/>
  <c r="F1945" i="8"/>
  <c r="T1945" i="8" s="1"/>
  <c r="AG1945" i="8"/>
  <c r="AI1945" i="8" s="1"/>
  <c r="AJ1945" i="8" s="1"/>
  <c r="F2904" i="8"/>
  <c r="T2904" i="8" s="1"/>
  <c r="AG2904" i="8"/>
  <c r="AI2904" i="8" s="1"/>
  <c r="AJ2904" i="8" s="1"/>
  <c r="F3160" i="8"/>
  <c r="T3160" i="8" s="1"/>
  <c r="AG3160" i="8"/>
  <c r="AI3160" i="8" s="1"/>
  <c r="AJ3160" i="8" s="1"/>
  <c r="F1603" i="8"/>
  <c r="T1603" i="8" s="1"/>
  <c r="AG1603" i="8"/>
  <c r="AI1603" i="8" s="1"/>
  <c r="AJ1603" i="8" s="1"/>
  <c r="F2130" i="8"/>
  <c r="T2130" i="8" s="1"/>
  <c r="AG2130" i="8"/>
  <c r="AI2130" i="8" s="1"/>
  <c r="AJ2130" i="8" s="1"/>
  <c r="F5300" i="8"/>
  <c r="T5300" i="8" s="1"/>
  <c r="AG5300" i="8"/>
  <c r="AI5300" i="8" s="1"/>
  <c r="AJ5300" i="8" s="1"/>
  <c r="F4774" i="8"/>
  <c r="T4774" i="8" s="1"/>
  <c r="AG4774" i="8"/>
  <c r="AI4774" i="8" s="1"/>
  <c r="AJ4774" i="8" s="1"/>
  <c r="F2778" i="8"/>
  <c r="T2778" i="8" s="1"/>
  <c r="AG2778" i="8"/>
  <c r="AI2778" i="8" s="1"/>
  <c r="AJ2778" i="8" s="1"/>
  <c r="F2951" i="8"/>
  <c r="T2951" i="8" s="1"/>
  <c r="AG2951" i="8"/>
  <c r="AI2951" i="8" s="1"/>
  <c r="AJ2951" i="8" s="1"/>
  <c r="F951" i="8"/>
  <c r="T951" i="8" s="1"/>
  <c r="AI951" i="8"/>
  <c r="AJ951" i="8" s="1"/>
  <c r="AG6454" i="8"/>
  <c r="AI6454" i="8" s="1"/>
  <c r="AJ6454" i="8" s="1"/>
  <c r="F6454" i="8"/>
  <c r="T6454" i="8" s="1"/>
  <c r="F2865" i="8"/>
  <c r="T2865" i="8" s="1"/>
  <c r="AG2865" i="8"/>
  <c r="AI2865" i="8" s="1"/>
  <c r="AJ2865" i="8" s="1"/>
  <c r="F3322" i="8"/>
  <c r="T3322" i="8" s="1"/>
  <c r="AG3322" i="8"/>
  <c r="AI3322" i="8" s="1"/>
  <c r="AJ3322" i="8" s="1"/>
  <c r="F1317" i="8"/>
  <c r="T1317" i="8" s="1"/>
  <c r="AG1317" i="8"/>
  <c r="AI1317" i="8" s="1"/>
  <c r="AJ1317" i="8" s="1"/>
  <c r="AH1827" i="8"/>
  <c r="AK1827" i="8"/>
  <c r="AG4058" i="8"/>
  <c r="AI4058" i="8" s="1"/>
  <c r="AJ4058" i="8" s="1"/>
  <c r="F4058" i="8"/>
  <c r="T4058" i="8" s="1"/>
  <c r="AG1668" i="8"/>
  <c r="AI1668" i="8" s="1"/>
  <c r="AJ1668" i="8" s="1"/>
  <c r="F1668" i="8"/>
  <c r="T1668" i="8" s="1"/>
  <c r="F3434" i="8"/>
  <c r="T3434" i="8" s="1"/>
  <c r="AG3434" i="8"/>
  <c r="AI3434" i="8" s="1"/>
  <c r="AJ3434" i="8" s="1"/>
  <c r="F875" i="8"/>
  <c r="T875" i="8" s="1"/>
  <c r="AI875" i="8"/>
  <c r="AJ875" i="8" s="1"/>
  <c r="F3581" i="8"/>
  <c r="T3581" i="8" s="1"/>
  <c r="AG3581" i="8"/>
  <c r="AI3581" i="8" s="1"/>
  <c r="AJ3581" i="8" s="1"/>
  <c r="F2330" i="8"/>
  <c r="T2330" i="8" s="1"/>
  <c r="AG2330" i="8"/>
  <c r="AI2330" i="8" s="1"/>
  <c r="AJ2330" i="8" s="1"/>
  <c r="AG5293" i="8"/>
  <c r="AI5293" i="8" s="1"/>
  <c r="AJ5293" i="8" s="1"/>
  <c r="F5293" i="8"/>
  <c r="T5293" i="8" s="1"/>
  <c r="F3385" i="8"/>
  <c r="T3385" i="8" s="1"/>
  <c r="AG3385" i="8"/>
  <c r="AI3385" i="8" s="1"/>
  <c r="AJ3385" i="8" s="1"/>
  <c r="F1812" i="8"/>
  <c r="T1812" i="8" s="1"/>
  <c r="AG1812" i="8"/>
  <c r="AI1812" i="8" s="1"/>
  <c r="AJ1812" i="8" s="1"/>
  <c r="F1438" i="8"/>
  <c r="T1438" i="8" s="1"/>
  <c r="AG1438" i="8"/>
  <c r="AI1438" i="8" s="1"/>
  <c r="AJ1438" i="8" s="1"/>
  <c r="F2711" i="8"/>
  <c r="T2711" i="8" s="1"/>
  <c r="AG2711" i="8"/>
  <c r="F1466" i="8"/>
  <c r="AG1466" i="8"/>
  <c r="AI1466" i="8" s="1"/>
  <c r="AJ1466" i="8" s="1"/>
  <c r="R167" i="1"/>
  <c r="R170" i="1" s="1"/>
  <c r="R165" i="1"/>
  <c r="F1522" i="8"/>
  <c r="T1522" i="8" s="1"/>
  <c r="AG1522" i="8"/>
  <c r="AI1522" i="8" s="1"/>
  <c r="AJ1522" i="8" s="1"/>
  <c r="F1263" i="8"/>
  <c r="T1263" i="8" s="1"/>
  <c r="AG1263" i="8"/>
  <c r="AG1654" i="8"/>
  <c r="AI1654" i="8" s="1"/>
  <c r="AJ1654" i="8" s="1"/>
  <c r="F1654" i="8"/>
  <c r="T1654" i="8" s="1"/>
  <c r="AG5395" i="8"/>
  <c r="AI5395" i="8" s="1"/>
  <c r="AJ5395" i="8" s="1"/>
  <c r="F5395" i="8"/>
  <c r="T5395" i="8" s="1"/>
  <c r="F2844" i="8"/>
  <c r="T2844" i="8" s="1"/>
  <c r="AG2844" i="8"/>
  <c r="F1529" i="8"/>
  <c r="T1529" i="8" s="1"/>
  <c r="AG1529" i="8"/>
  <c r="AI1529" i="8" s="1"/>
  <c r="AJ1529" i="8" s="1"/>
  <c r="AG1487" i="8"/>
  <c r="AI1487" i="8" s="1"/>
  <c r="AJ1487" i="8" s="1"/>
  <c r="F1487" i="8"/>
  <c r="T1487" i="8" s="1"/>
  <c r="AM6052" i="8"/>
  <c r="AO6052" i="8" s="1"/>
  <c r="E6052" i="8"/>
  <c r="E1236" i="28" s="1"/>
  <c r="F1236" i="28" s="1"/>
  <c r="F1766" i="8"/>
  <c r="T1766" i="8" s="1"/>
  <c r="AG1766" i="8"/>
  <c r="AG5279" i="8"/>
  <c r="AI5279" i="8" s="1"/>
  <c r="AJ5279" i="8" s="1"/>
  <c r="F5279" i="8"/>
  <c r="T5279" i="8" s="1"/>
  <c r="AH2546" i="8"/>
  <c r="AK2546" i="8"/>
  <c r="F2280" i="8"/>
  <c r="T2280" i="8" s="1"/>
  <c r="AG2280" i="8"/>
  <c r="AI2280" i="8" s="1"/>
  <c r="AJ2280" i="8" s="1"/>
  <c r="F3115" i="8"/>
  <c r="T3115" i="8" s="1"/>
  <c r="AG3115" i="8"/>
  <c r="AI3115" i="8" s="1"/>
  <c r="AJ3115" i="8" s="1"/>
  <c r="F3882" i="8"/>
  <c r="T3882" i="8" s="1"/>
  <c r="AG3882" i="8"/>
  <c r="AI3882" i="8" s="1"/>
  <c r="AJ3882" i="8" s="1"/>
  <c r="AG889" i="8"/>
  <c r="F889" i="8"/>
  <c r="T889" i="8" s="1"/>
  <c r="AG5388" i="8"/>
  <c r="AI5388" i="8" s="1"/>
  <c r="AJ5388" i="8" s="1"/>
  <c r="F5388" i="8"/>
  <c r="T5388" i="8" s="1"/>
  <c r="F2677" i="8"/>
  <c r="T2677" i="8" s="1"/>
  <c r="AG2677" i="8"/>
  <c r="AI2677" i="8" s="1"/>
  <c r="AJ2677" i="8" s="1"/>
  <c r="AI5409" i="8"/>
  <c r="AJ5409" i="8" s="1"/>
  <c r="AH882" i="8"/>
  <c r="AK882" i="8"/>
  <c r="AM4623" i="8"/>
  <c r="AO4623" i="8" s="1"/>
  <c r="E4623" i="8"/>
  <c r="E1006" i="28" s="1"/>
  <c r="F1006" i="28" s="1"/>
  <c r="F3003" i="8"/>
  <c r="T3003" i="8" s="1"/>
  <c r="AG3003" i="8"/>
  <c r="AI3003" i="8" s="1"/>
  <c r="AJ3003" i="8" s="1"/>
  <c r="F2069" i="8"/>
  <c r="T2069" i="8" s="1"/>
  <c r="AG2069" i="8"/>
  <c r="AI2069" i="8" s="1"/>
  <c r="AJ2069" i="8" s="1"/>
  <c r="AG1787" i="8"/>
  <c r="AI1787" i="8" s="1"/>
  <c r="AJ1787" i="8" s="1"/>
  <c r="F1787" i="8"/>
  <c r="T1787" i="8" s="1"/>
  <c r="AG2116" i="8"/>
  <c r="AI2116" i="8" s="1"/>
  <c r="AJ2116" i="8" s="1"/>
  <c r="F2116" i="8"/>
  <c r="T2116" i="8" s="1"/>
  <c r="AM5672" i="8"/>
  <c r="AO5672" i="8" s="1"/>
  <c r="E5672" i="8"/>
  <c r="E1181" i="28" s="1"/>
  <c r="F1181" i="28" s="1"/>
  <c r="F861" i="8"/>
  <c r="T861" i="8" s="1"/>
  <c r="AI861" i="8"/>
  <c r="AJ861" i="8" s="1"/>
  <c r="F3630" i="8"/>
  <c r="AG3630" i="8"/>
  <c r="AI3630" i="8" s="1"/>
  <c r="AJ3630" i="8" s="1"/>
  <c r="AG2981" i="8"/>
  <c r="AI2981" i="8" s="1"/>
  <c r="AJ2981" i="8" s="1"/>
  <c r="F2981" i="8"/>
  <c r="T2981" i="8" s="1"/>
  <c r="F3010" i="8"/>
  <c r="T3010" i="8" s="1"/>
  <c r="AG3010" i="8"/>
  <c r="AI3010" i="8" s="1"/>
  <c r="AJ3010" i="8" s="1"/>
  <c r="F2886" i="8"/>
  <c r="T2886" i="8" s="1"/>
  <c r="AG2886" i="8"/>
  <c r="F1035" i="8"/>
  <c r="T1035" i="8" s="1"/>
  <c r="AG1035" i="8"/>
  <c r="AI1035" i="8" s="1"/>
  <c r="AJ1035" i="8" s="1"/>
  <c r="AI1014" i="8"/>
  <c r="AJ1014" i="8" s="1"/>
  <c r="F1014" i="8"/>
  <c r="T1014" i="8" s="1"/>
  <c r="AI1385" i="8"/>
  <c r="AJ1385" i="8" s="1"/>
  <c r="F3122" i="8"/>
  <c r="T3122" i="8" s="1"/>
  <c r="AG3122" i="8"/>
  <c r="AI3122" i="8" s="1"/>
  <c r="AJ3122" i="8" s="1"/>
  <c r="F1984" i="8"/>
  <c r="T1984" i="8" s="1"/>
  <c r="AG1984" i="8"/>
  <c r="AI1984" i="8" s="1"/>
  <c r="AJ1984" i="8" s="1"/>
  <c r="AG2090" i="8"/>
  <c r="AI2090" i="8" s="1"/>
  <c r="AJ2090" i="8" s="1"/>
  <c r="F2090" i="8"/>
  <c r="T2090" i="8" s="1"/>
  <c r="F2055" i="8"/>
  <c r="T2055" i="8" s="1"/>
  <c r="AG2055" i="8"/>
  <c r="AI2055" i="8" s="1"/>
  <c r="AJ2055" i="8" s="1"/>
  <c r="R1077" i="8"/>
  <c r="F2027" i="8"/>
  <c r="T2027" i="8" s="1"/>
  <c r="AG2027" i="8"/>
  <c r="AG2048" i="8"/>
  <c r="AI2048" i="8" s="1"/>
  <c r="AJ2048" i="8" s="1"/>
  <c r="F2048" i="8"/>
  <c r="T2048" i="8" s="1"/>
  <c r="AG3937" i="8"/>
  <c r="AI3937" i="8" s="1"/>
  <c r="AJ3937" i="8" s="1"/>
  <c r="F3937" i="8"/>
  <c r="AG5374" i="8"/>
  <c r="AI5374" i="8" s="1"/>
  <c r="AJ5374" i="8" s="1"/>
  <c r="F5374" i="8"/>
  <c r="T5374" i="8" s="1"/>
  <c r="F1480" i="8"/>
  <c r="T1480" i="8" s="1"/>
  <c r="AG1480" i="8"/>
  <c r="AI1480" i="8" s="1"/>
  <c r="AJ1480" i="8" s="1"/>
  <c r="F3350" i="8"/>
  <c r="T3350" i="8" s="1"/>
  <c r="AG3350" i="8"/>
  <c r="AI3350" i="8" s="1"/>
  <c r="AJ3350" i="8" s="1"/>
  <c r="F3024" i="8"/>
  <c r="T3024" i="8" s="1"/>
  <c r="AG3024" i="8"/>
  <c r="F677" i="8"/>
  <c r="F2241" i="8"/>
  <c r="T2241" i="8" s="1"/>
  <c r="AG2241" i="8"/>
  <c r="AI2241" i="8" s="1"/>
  <c r="AJ2241" i="8" s="1"/>
  <c r="F3744" i="8"/>
  <c r="T3744" i="8" s="1"/>
  <c r="AG3744" i="8"/>
  <c r="AI3744" i="8" s="1"/>
  <c r="AJ3744" i="8" s="1"/>
  <c r="F3427" i="8"/>
  <c r="T3427" i="8" s="1"/>
  <c r="AG3427" i="8"/>
  <c r="AI3427" i="8" s="1"/>
  <c r="AJ3427" i="8" s="1"/>
  <c r="F5416" i="8"/>
  <c r="T5416" i="8" s="1"/>
  <c r="AG5416" i="8"/>
  <c r="AI5416" i="8" s="1"/>
  <c r="AJ5416" i="8" s="1"/>
  <c r="F1270" i="8"/>
  <c r="T1270" i="8" s="1"/>
  <c r="AG1270" i="8"/>
  <c r="AI1270" i="8" s="1"/>
  <c r="AJ1270" i="8" s="1"/>
  <c r="F2062" i="8"/>
  <c r="T2062" i="8" s="1"/>
  <c r="AG2062" i="8"/>
  <c r="F2793" i="8"/>
  <c r="T2793" i="8" s="1"/>
  <c r="AG2793" i="8"/>
  <c r="AG4557" i="8"/>
  <c r="AI4557" i="8" s="1"/>
  <c r="AJ4557" i="8" s="1"/>
  <c r="F4557" i="8"/>
  <c r="T4557" i="8" s="1"/>
  <c r="F5265" i="8"/>
  <c r="T5265" i="8" s="1"/>
  <c r="AG5265" i="8"/>
  <c r="AI5265" i="8" s="1"/>
  <c r="AJ5265" i="8" s="1"/>
  <c r="AH5198" i="8"/>
  <c r="AK5198" i="8"/>
  <c r="AM4637" i="8"/>
  <c r="AO4637" i="8" s="1"/>
  <c r="E4637" i="8"/>
  <c r="E1008" i="28" s="1"/>
  <c r="F1008" i="28" s="1"/>
  <c r="R4733" i="8"/>
  <c r="F3550" i="8"/>
  <c r="T3550" i="8" s="1"/>
  <c r="AG3550" i="8"/>
  <c r="AI3550" i="8" s="1"/>
  <c r="AJ3550" i="8" s="1"/>
  <c r="F4810" i="8"/>
  <c r="T4810" i="8" s="1"/>
  <c r="AG4810" i="8"/>
  <c r="AI4810" i="8" s="1"/>
  <c r="AJ4810" i="8" s="1"/>
  <c r="F4789" i="8"/>
  <c r="AG4789" i="8"/>
  <c r="AI4789" i="8" s="1"/>
  <c r="AJ4789" i="8" s="1"/>
  <c r="AG4432" i="8"/>
  <c r="AI4432" i="8" s="1"/>
  <c r="AJ4432" i="8" s="1"/>
  <c r="F4432" i="8"/>
  <c r="T4432" i="8" s="1"/>
  <c r="T168" i="1"/>
  <c r="F4418" i="8"/>
  <c r="T4418" i="8" s="1"/>
  <c r="AG4418" i="8"/>
  <c r="AI4418" i="8" s="1"/>
  <c r="AJ4418" i="8" s="1"/>
  <c r="F4609" i="8"/>
  <c r="T4609" i="8" s="1"/>
  <c r="AG4609" i="8"/>
  <c r="AI4609" i="8" s="1"/>
  <c r="AJ4609" i="8" s="1"/>
  <c r="AG4425" i="8"/>
  <c r="AI4425" i="8" s="1"/>
  <c r="AJ4425" i="8" s="1"/>
  <c r="F4425" i="8"/>
  <c r="T4425" i="8" s="1"/>
  <c r="F4309" i="8"/>
  <c r="T4309" i="8" s="1"/>
  <c r="AG4309" i="8"/>
  <c r="AI4309" i="8" s="1"/>
  <c r="AJ4309" i="8" s="1"/>
  <c r="AM4644" i="8"/>
  <c r="E4644" i="8"/>
  <c r="E1009" i="28" s="1"/>
  <c r="F1009" i="28" s="1"/>
  <c r="F3564" i="8"/>
  <c r="T3564" i="8" s="1"/>
  <c r="AG3564" i="8"/>
  <c r="AI3564" i="8" s="1"/>
  <c r="AJ3564" i="8" s="1"/>
  <c r="F4274" i="8"/>
  <c r="T4274" i="8" s="1"/>
  <c r="AG4274" i="8"/>
  <c r="AI4274" i="8" s="1"/>
  <c r="AJ4274" i="8" s="1"/>
  <c r="AG4817" i="8"/>
  <c r="F4817" i="8"/>
  <c r="T4817" i="8" s="1"/>
  <c r="AG3557" i="8"/>
  <c r="AI3557" i="8" s="1"/>
  <c r="AJ3557" i="8" s="1"/>
  <c r="F3557" i="8"/>
  <c r="T3557" i="8" s="1"/>
  <c r="AG4824" i="8"/>
  <c r="F4824" i="8"/>
  <c r="T4824" i="8" s="1"/>
  <c r="F4288" i="8"/>
  <c r="T4288" i="8" s="1"/>
  <c r="AG4288" i="8"/>
  <c r="AI4288" i="8" s="1"/>
  <c r="AJ4288" i="8" s="1"/>
  <c r="F4831" i="8"/>
  <c r="T4831" i="8" s="1"/>
  <c r="AG4831" i="8"/>
  <c r="AI4831" i="8" s="1"/>
  <c r="AJ4831" i="8" s="1"/>
  <c r="F4460" i="8"/>
  <c r="T4460" i="8" s="1"/>
  <c r="AG4460" i="8"/>
  <c r="AI4460" i="8" s="1"/>
  <c r="AJ4460" i="8" s="1"/>
  <c r="AG4302" i="8"/>
  <c r="F4302" i="8"/>
  <c r="T4302" i="8" s="1"/>
  <c r="F4453" i="8"/>
  <c r="T4453" i="8" s="1"/>
  <c r="AG4453" i="8"/>
  <c r="AI4453" i="8" s="1"/>
  <c r="AJ4453" i="8" s="1"/>
  <c r="AG4439" i="8"/>
  <c r="F4439" i="8"/>
  <c r="T4439" i="8" s="1"/>
  <c r="AM4651" i="8"/>
  <c r="E4651" i="8"/>
  <c r="E1010" i="28" s="1"/>
  <c r="F1010" i="28" s="1"/>
  <c r="AG4929" i="8"/>
  <c r="F4929" i="8"/>
  <c r="T4929" i="8" s="1"/>
  <c r="F3543" i="8"/>
  <c r="T3543" i="8" s="1"/>
  <c r="AG3543" i="8"/>
  <c r="AI3543" i="8" s="1"/>
  <c r="AJ3543" i="8" s="1"/>
  <c r="F4267" i="8"/>
  <c r="AG4267" i="8"/>
  <c r="AM3501" i="8"/>
  <c r="AO3501" i="8" s="1"/>
  <c r="R3617" i="8"/>
  <c r="R11476" i="8"/>
  <c r="E3501" i="8"/>
  <c r="E834" i="28" s="1"/>
  <c r="F834" i="28" s="1"/>
  <c r="F850" i="28" s="1"/>
  <c r="E1632" i="28" s="1"/>
  <c r="R11462" i="8"/>
  <c r="F3536" i="8"/>
  <c r="T3536" i="8" s="1"/>
  <c r="AG3536" i="8"/>
  <c r="F4316" i="8"/>
  <c r="T4316" i="8" s="1"/>
  <c r="AG4316" i="8"/>
  <c r="AI4316" i="8" s="1"/>
  <c r="AJ4316" i="8" s="1"/>
  <c r="F3515" i="8"/>
  <c r="T3515" i="8" s="1"/>
  <c r="AG3515" i="8"/>
  <c r="AI3515" i="8" s="1"/>
  <c r="AJ3515" i="8" s="1"/>
  <c r="F3529" i="8"/>
  <c r="T3529" i="8" s="1"/>
  <c r="AG3529" i="8"/>
  <c r="AI3529" i="8" s="1"/>
  <c r="AJ3529" i="8" s="1"/>
  <c r="F4467" i="8"/>
  <c r="T4467" i="8" s="1"/>
  <c r="AG4467" i="8"/>
  <c r="AI4467" i="8" s="1"/>
  <c r="AJ4467" i="8" s="1"/>
  <c r="AN4651" i="8"/>
  <c r="AG4595" i="8"/>
  <c r="AI4595" i="8" s="1"/>
  <c r="AJ4595" i="8" s="1"/>
  <c r="F4595" i="8"/>
  <c r="T4595" i="8" s="1"/>
  <c r="AN4644" i="8"/>
  <c r="AG4295" i="8"/>
  <c r="AI4295" i="8" s="1"/>
  <c r="AJ4295" i="8" s="1"/>
  <c r="F4295" i="8"/>
  <c r="T4295" i="8" s="1"/>
  <c r="F4838" i="8"/>
  <c r="T4838" i="8" s="1"/>
  <c r="AG4838" i="8"/>
  <c r="AG3508" i="8"/>
  <c r="AI3508" i="8" s="1"/>
  <c r="AJ3508" i="8" s="1"/>
  <c r="F3508" i="8"/>
  <c r="T3508" i="8" s="1"/>
  <c r="F4803" i="8"/>
  <c r="T4803" i="8" s="1"/>
  <c r="AG4803" i="8"/>
  <c r="AI4803" i="8" s="1"/>
  <c r="AJ4803" i="8" s="1"/>
  <c r="AG4281" i="8"/>
  <c r="AI4281" i="8" s="1"/>
  <c r="AJ4281" i="8" s="1"/>
  <c r="F4281" i="8"/>
  <c r="T4281" i="8" s="1"/>
  <c r="F3522" i="8"/>
  <c r="T3522" i="8" s="1"/>
  <c r="AG3522" i="8"/>
  <c r="AI3522" i="8" s="1"/>
  <c r="AJ3522" i="8" s="1"/>
  <c r="AG4602" i="8"/>
  <c r="AI4602" i="8" s="1"/>
  <c r="AJ4602" i="8" s="1"/>
  <c r="F4602" i="8"/>
  <c r="T4602" i="8" s="1"/>
  <c r="AG4446" i="8"/>
  <c r="F4446" i="8"/>
  <c r="T4446" i="8" s="1"/>
  <c r="F4588" i="8"/>
  <c r="AG4588" i="8"/>
  <c r="AI4588" i="8" s="1"/>
  <c r="AJ4588" i="8" s="1"/>
  <c r="AG4796" i="8"/>
  <c r="F4796" i="8"/>
  <c r="T4796" i="8" s="1"/>
  <c r="F1115" i="32" l="1"/>
  <c r="D30" i="31"/>
  <c r="F30" i="31" s="1"/>
  <c r="F11409" i="8"/>
  <c r="G1103" i="32"/>
  <c r="E422" i="28"/>
  <c r="E411" i="28"/>
  <c r="E412" i="28"/>
  <c r="F412" i="28" s="1"/>
  <c r="F432" i="28" s="1"/>
  <c r="E1624" i="28" s="1"/>
  <c r="T24" i="1"/>
  <c r="AH11463" i="8"/>
  <c r="F609" i="8"/>
  <c r="T609" i="8" s="1"/>
  <c r="E363" i="28"/>
  <c r="F363" i="28" s="1"/>
  <c r="E370" i="28"/>
  <c r="AK770" i="8"/>
  <c r="AH770" i="8"/>
  <c r="E378" i="28"/>
  <c r="E368" i="28"/>
  <c r="E375" i="28"/>
  <c r="E376" i="28"/>
  <c r="F376" i="28" s="1"/>
  <c r="E366" i="28"/>
  <c r="F366" i="28" s="1"/>
  <c r="E365" i="28"/>
  <c r="AH11470" i="8"/>
  <c r="F37" i="31"/>
  <c r="B7375" i="8"/>
  <c r="G1650" i="28"/>
  <c r="F6203" i="8"/>
  <c r="T6203" i="8" s="1"/>
  <c r="E1256" i="28"/>
  <c r="F1256" i="28" s="1"/>
  <c r="F1286" i="28" s="1"/>
  <c r="E1644" i="28" s="1"/>
  <c r="AG6516" i="8"/>
  <c r="AI6516" i="8" s="1"/>
  <c r="AJ6516" i="8" s="1"/>
  <c r="E1305" i="28"/>
  <c r="F1305" i="28" s="1"/>
  <c r="E1303" i="28"/>
  <c r="F1303" i="28" s="1"/>
  <c r="AG6530" i="8"/>
  <c r="AI6530" i="8" s="1"/>
  <c r="AJ6530" i="8" s="1"/>
  <c r="E1307" i="28"/>
  <c r="F1307" i="28" s="1"/>
  <c r="E1306" i="28"/>
  <c r="F1306" i="28" s="1"/>
  <c r="E1647" i="28"/>
  <c r="F1531" i="28"/>
  <c r="F1228" i="28"/>
  <c r="E1643" i="28" s="1"/>
  <c r="E1641" i="28"/>
  <c r="F1642" i="28" s="1"/>
  <c r="D12" i="31" s="1"/>
  <c r="F12" i="31" s="1"/>
  <c r="F1164" i="28"/>
  <c r="F1023" i="28"/>
  <c r="E1636" i="28" s="1"/>
  <c r="F938" i="28"/>
  <c r="E1634" i="28" s="1"/>
  <c r="AK3066" i="8"/>
  <c r="AH3017" i="8"/>
  <c r="AK3017" i="8"/>
  <c r="AH3031" i="8"/>
  <c r="AI3031" i="8"/>
  <c r="AJ3031" i="8" s="1"/>
  <c r="F665" i="28"/>
  <c r="E1628" i="28" s="1"/>
  <c r="AK1582" i="8"/>
  <c r="AK1571" i="8"/>
  <c r="F942" i="8"/>
  <c r="T942" i="8" s="1"/>
  <c r="AI1042" i="8"/>
  <c r="AJ1042" i="8" s="1"/>
  <c r="F495" i="28"/>
  <c r="E1625" i="28" s="1"/>
  <c r="AI942" i="8"/>
  <c r="AJ942" i="8" s="1"/>
  <c r="AI972" i="8"/>
  <c r="AJ972" i="8" s="1"/>
  <c r="AK11117" i="8"/>
  <c r="AI711" i="8"/>
  <c r="AJ711" i="8" s="1"/>
  <c r="F711" i="8"/>
  <c r="T711" i="8" s="1"/>
  <c r="AI684" i="8"/>
  <c r="AJ684" i="8" s="1"/>
  <c r="AH691" i="8"/>
  <c r="AI691" i="8"/>
  <c r="AJ691" i="8" s="1"/>
  <c r="AK5342" i="8"/>
  <c r="F635" i="8"/>
  <c r="T635" i="8" s="1"/>
  <c r="AI635" i="8"/>
  <c r="AJ635" i="8" s="1"/>
  <c r="AK5240" i="8"/>
  <c r="AH4565" i="8"/>
  <c r="AH670" i="8"/>
  <c r="AI670" i="8"/>
  <c r="AJ670" i="8" s="1"/>
  <c r="AH4168" i="8"/>
  <c r="AI2818" i="8"/>
  <c r="AJ2818" i="8" s="1"/>
  <c r="AK3768" i="8"/>
  <c r="AK5381" i="8"/>
  <c r="AK5254" i="8"/>
  <c r="AH5254" i="8"/>
  <c r="AH5381" i="8"/>
  <c r="AH5240" i="8"/>
  <c r="AK5219" i="8"/>
  <c r="AH5219" i="8"/>
  <c r="AK4565" i="8"/>
  <c r="AK4175" i="8"/>
  <c r="AK4168" i="8"/>
  <c r="AH4175" i="8"/>
  <c r="AI5363" i="8"/>
  <c r="AJ5363" i="8" s="1"/>
  <c r="AG6572" i="8"/>
  <c r="AI6572" i="8" s="1"/>
  <c r="AJ6572" i="8" s="1"/>
  <c r="AG6275" i="8"/>
  <c r="AI6275" i="8" s="1"/>
  <c r="AJ6275" i="8" s="1"/>
  <c r="AI1005" i="8"/>
  <c r="AJ1005" i="8" s="1"/>
  <c r="AG6319" i="8"/>
  <c r="AI6319" i="8" s="1"/>
  <c r="AJ6319" i="8" s="1"/>
  <c r="F6067" i="8"/>
  <c r="T6067" i="8" s="1"/>
  <c r="F5623" i="8"/>
  <c r="T5623" i="8" s="1"/>
  <c r="AG6113" i="8"/>
  <c r="AH6113" i="8" s="1"/>
  <c r="AG6174" i="8"/>
  <c r="AI6174" i="8" s="1"/>
  <c r="AJ6174" i="8" s="1"/>
  <c r="AG6655" i="8"/>
  <c r="AI6655" i="8" s="1"/>
  <c r="AG2372" i="8"/>
  <c r="AI2372" i="8" s="1"/>
  <c r="AJ2372" i="8" s="1"/>
  <c r="F2351" i="8"/>
  <c r="T2351" i="8" s="1"/>
  <c r="AG6240" i="8"/>
  <c r="AI6240" i="8" s="1"/>
  <c r="AJ6240" i="8" s="1"/>
  <c r="F5756" i="8"/>
  <c r="T5756" i="8" s="1"/>
  <c r="F5809" i="8"/>
  <c r="T5809" i="8" s="1"/>
  <c r="AG5663" i="8"/>
  <c r="AI5663" i="8" s="1"/>
  <c r="AJ5663" i="8" s="1"/>
  <c r="F5681" i="8"/>
  <c r="T5681" i="8" s="1"/>
  <c r="F4845" i="8"/>
  <c r="T4845" i="8" s="1"/>
  <c r="F2379" i="8"/>
  <c r="T2379" i="8" s="1"/>
  <c r="F6563" i="8"/>
  <c r="T6563" i="8" s="1"/>
  <c r="F6467" i="8"/>
  <c r="T6467" i="8" s="1"/>
  <c r="F6585" i="8"/>
  <c r="T6585" i="8" s="1"/>
  <c r="AG6436" i="8"/>
  <c r="AI6436" i="8" s="1"/>
  <c r="AJ6436" i="8" s="1"/>
  <c r="AG5641" i="8"/>
  <c r="AI5641" i="8" s="1"/>
  <c r="AJ5641" i="8" s="1"/>
  <c r="AG6142" i="8"/>
  <c r="AI6142" i="8" s="1"/>
  <c r="AJ6142" i="8" s="1"/>
  <c r="F6550" i="8"/>
  <c r="T6550" i="8" s="1"/>
  <c r="AG4031" i="8"/>
  <c r="AI4031" i="8" s="1"/>
  <c r="AJ4031" i="8" s="1"/>
  <c r="AG2365" i="8"/>
  <c r="AI2365" i="8" s="1"/>
  <c r="AJ2365" i="8" s="1"/>
  <c r="AG6227" i="8"/>
  <c r="AH6227" i="8" s="1"/>
  <c r="F6541" i="8"/>
  <c r="T6541" i="8" s="1"/>
  <c r="F6080" i="8"/>
  <c r="T6080" i="8" s="1"/>
  <c r="AG4004" i="8"/>
  <c r="AI4004" i="8" s="1"/>
  <c r="AJ4004" i="8" s="1"/>
  <c r="F1137" i="8"/>
  <c r="T1137" i="8" s="1"/>
  <c r="AG2386" i="8"/>
  <c r="AI2386" i="8" s="1"/>
  <c r="AJ2386" i="8" s="1"/>
  <c r="F1158" i="8"/>
  <c r="T1158" i="8" s="1"/>
  <c r="AG2393" i="8"/>
  <c r="AI2393" i="8" s="1"/>
  <c r="AJ2393" i="8" s="1"/>
  <c r="F5914" i="8"/>
  <c r="T5914" i="8" s="1"/>
  <c r="F6284" i="8"/>
  <c r="T6284" i="8" s="1"/>
  <c r="AG5743" i="8"/>
  <c r="AI5743" i="8" s="1"/>
  <c r="AJ5743" i="8" s="1"/>
  <c r="F5831" i="8"/>
  <c r="T5831" i="8" s="1"/>
  <c r="F5958" i="8"/>
  <c r="T5958" i="8" s="1"/>
  <c r="AG5870" i="8"/>
  <c r="AI5870" i="8" s="1"/>
  <c r="AJ5870" i="8" s="1"/>
  <c r="AG2358" i="8"/>
  <c r="AI2358" i="8" s="1"/>
  <c r="AJ2358" i="8" s="1"/>
  <c r="B11287" i="8"/>
  <c r="R23" i="1"/>
  <c r="R35" i="1" s="1"/>
  <c r="R45" i="1" s="1"/>
  <c r="F2393" i="8"/>
  <c r="T2393" i="8" s="1"/>
  <c r="AO609" i="8"/>
  <c r="F2365" i="8"/>
  <c r="T2365" i="8" s="1"/>
  <c r="F2386" i="8"/>
  <c r="T2386" i="8" s="1"/>
  <c r="AG2344" i="8"/>
  <c r="AI2344" i="8" s="1"/>
  <c r="AJ2344" i="8" s="1"/>
  <c r="F2344" i="8"/>
  <c r="T2344" i="8" s="1"/>
  <c r="AG2379" i="8"/>
  <c r="AI2379" i="8" s="1"/>
  <c r="AJ2379" i="8" s="1"/>
  <c r="AG2316" i="8"/>
  <c r="AI2316" i="8" s="1"/>
  <c r="AJ2316" i="8" s="1"/>
  <c r="F2316" i="8"/>
  <c r="T2316" i="8" s="1"/>
  <c r="AG2351" i="8"/>
  <c r="AI2351" i="8" s="1"/>
  <c r="AJ2351" i="8" s="1"/>
  <c r="AG1137" i="8"/>
  <c r="AH1137" i="8" s="1"/>
  <c r="F2323" i="8"/>
  <c r="T2323" i="8" s="1"/>
  <c r="AG2323" i="8"/>
  <c r="AI2323" i="8" s="1"/>
  <c r="AJ2323" i="8" s="1"/>
  <c r="F2372" i="8"/>
  <c r="T2372" i="8" s="1"/>
  <c r="AG2337" i="8"/>
  <c r="AI2337" i="8" s="1"/>
  <c r="AJ2337" i="8" s="1"/>
  <c r="F2337" i="8"/>
  <c r="T2337" i="8" s="1"/>
  <c r="F2358" i="8"/>
  <c r="T2358" i="8" s="1"/>
  <c r="AG1158" i="8"/>
  <c r="AI1158" i="8" s="1"/>
  <c r="AJ1158" i="8" s="1"/>
  <c r="AK8844" i="8"/>
  <c r="AI559" i="8"/>
  <c r="F559" i="8"/>
  <c r="R7733" i="8"/>
  <c r="R6634" i="8"/>
  <c r="AJ8386" i="8"/>
  <c r="AJ9228" i="8"/>
  <c r="AJ8802" i="8"/>
  <c r="AK8837" i="8"/>
  <c r="AK8221" i="8"/>
  <c r="AJ8172" i="8"/>
  <c r="B8564" i="8"/>
  <c r="AI7070" i="8"/>
  <c r="AJ7070" i="8" s="1"/>
  <c r="AH7070" i="8"/>
  <c r="F6655" i="8"/>
  <c r="T6655" i="8" s="1"/>
  <c r="T6805" i="8" s="1"/>
  <c r="F9803" i="8"/>
  <c r="B9412" i="8"/>
  <c r="B8352" i="8"/>
  <c r="AK9235" i="8"/>
  <c r="F7048" i="8"/>
  <c r="AG7048" i="8"/>
  <c r="AI7048" i="8" s="1"/>
  <c r="AJ7048" i="8" s="1"/>
  <c r="B9070" i="8"/>
  <c r="T9803" i="8"/>
  <c r="B11409" i="8"/>
  <c r="F10373" i="8"/>
  <c r="B10373" i="8" s="1"/>
  <c r="B10274" i="8"/>
  <c r="F6142" i="8"/>
  <c r="T6142" i="8" s="1"/>
  <c r="AK5476" i="8"/>
  <c r="AI5508" i="8"/>
  <c r="AJ5508" i="8" s="1"/>
  <c r="AG5632" i="8"/>
  <c r="AI5632" i="8" s="1"/>
  <c r="AJ5632" i="8" s="1"/>
  <c r="AH805" i="8"/>
  <c r="AG6133" i="8"/>
  <c r="AI6133" i="8" s="1"/>
  <c r="AJ6133" i="8" s="1"/>
  <c r="F5632" i="8"/>
  <c r="T5632" i="8" s="1"/>
  <c r="AK3485" i="8"/>
  <c r="F6133" i="8"/>
  <c r="T6133" i="8" s="1"/>
  <c r="F5641" i="8"/>
  <c r="T5641" i="8" s="1"/>
  <c r="AK5247" i="8"/>
  <c r="AH5247" i="8"/>
  <c r="AH3485" i="8"/>
  <c r="AG4845" i="8"/>
  <c r="AI4845" i="8" s="1"/>
  <c r="AJ4845" i="8" s="1"/>
  <c r="AI5349" i="8"/>
  <c r="AJ5349" i="8" s="1"/>
  <c r="F5985" i="8"/>
  <c r="T5985" i="8" s="1"/>
  <c r="AG5985" i="8"/>
  <c r="AI5985" i="8" s="1"/>
  <c r="AJ5985" i="8" s="1"/>
  <c r="F4031" i="8"/>
  <c r="T4031" i="8" s="1"/>
  <c r="R2322" i="26"/>
  <c r="AH2312" i="26"/>
  <c r="AH2322" i="26" s="1"/>
  <c r="R2328" i="26"/>
  <c r="F4004" i="8"/>
  <c r="T4004" i="8" s="1"/>
  <c r="AG3696" i="8"/>
  <c r="AI3696" i="8" s="1"/>
  <c r="AJ3696" i="8" s="1"/>
  <c r="F3696" i="8"/>
  <c r="T3696" i="8" s="1"/>
  <c r="AG4022" i="8"/>
  <c r="AI4022" i="8" s="1"/>
  <c r="AJ4022" i="8" s="1"/>
  <c r="F4022" i="8"/>
  <c r="T4022" i="8" s="1"/>
  <c r="AG3977" i="8"/>
  <c r="AI3977" i="8" s="1"/>
  <c r="AJ3977" i="8" s="1"/>
  <c r="F3977" i="8"/>
  <c r="T3977" i="8" s="1"/>
  <c r="AG4013" i="8"/>
  <c r="AI4013" i="8" s="1"/>
  <c r="AJ4013" i="8" s="1"/>
  <c r="F4013" i="8"/>
  <c r="T4013" i="8" s="1"/>
  <c r="F6336" i="8"/>
  <c r="T6336" i="8" s="1"/>
  <c r="AG6336" i="8"/>
  <c r="AI6336" i="8" s="1"/>
  <c r="AJ6336" i="8" s="1"/>
  <c r="AK5596" i="8"/>
  <c r="AH5596" i="8"/>
  <c r="AK2967" i="8"/>
  <c r="AK3953" i="8"/>
  <c r="AK3654" i="8"/>
  <c r="AK3661" i="8"/>
  <c r="AK3875" i="8"/>
  <c r="AJ4714" i="8"/>
  <c r="AK2295" i="8"/>
  <c r="AH2295" i="8"/>
  <c r="AK2309" i="8"/>
  <c r="F6445" i="8"/>
  <c r="T6445" i="8" s="1"/>
  <c r="AK7388" i="8"/>
  <c r="B7621" i="8"/>
  <c r="AG6445" i="8"/>
  <c r="AI6445" i="8" s="1"/>
  <c r="AJ6445" i="8" s="1"/>
  <c r="AH2309" i="8"/>
  <c r="F6113" i="8"/>
  <c r="T6113" i="8" s="1"/>
  <c r="F6174" i="8"/>
  <c r="T6174" i="8" s="1"/>
  <c r="B7035" i="8"/>
  <c r="AG5936" i="8"/>
  <c r="AI5936" i="8" s="1"/>
  <c r="AJ5936" i="8" s="1"/>
  <c r="F5936" i="8"/>
  <c r="T5936" i="8" s="1"/>
  <c r="F6502" i="8"/>
  <c r="T6502" i="8" s="1"/>
  <c r="AG6502" i="8"/>
  <c r="AI6502" i="8" s="1"/>
  <c r="AJ6502" i="8" s="1"/>
  <c r="AK896" i="8"/>
  <c r="AG5927" i="8"/>
  <c r="AI5927" i="8" s="1"/>
  <c r="AJ5927" i="8" s="1"/>
  <c r="AG5844" i="8"/>
  <c r="AH5844" i="8" s="1"/>
  <c r="AH1877" i="8"/>
  <c r="AG5681" i="8"/>
  <c r="AI5681" i="8" s="1"/>
  <c r="AJ5681" i="8" s="1"/>
  <c r="F5844" i="8"/>
  <c r="T5844" i="8" s="1"/>
  <c r="F5663" i="8"/>
  <c r="T5663" i="8" s="1"/>
  <c r="AH896" i="8"/>
  <c r="F6436" i="8"/>
  <c r="T6436" i="8" s="1"/>
  <c r="F5734" i="8"/>
  <c r="T5734" i="8" s="1"/>
  <c r="AG6067" i="8"/>
  <c r="AI6067" i="8" s="1"/>
  <c r="AJ6067" i="8" s="1"/>
  <c r="F5927" i="8"/>
  <c r="T5927" i="8" s="1"/>
  <c r="F6530" i="8"/>
  <c r="T6530" i="8" s="1"/>
  <c r="AG5914" i="8"/>
  <c r="AI5914" i="8" s="1"/>
  <c r="AJ5914" i="8" s="1"/>
  <c r="F6214" i="8"/>
  <c r="T6214" i="8" s="1"/>
  <c r="AG6214" i="8"/>
  <c r="AI6214" i="8" s="1"/>
  <c r="AJ6214" i="8" s="1"/>
  <c r="F6275" i="8"/>
  <c r="T6275" i="8" s="1"/>
  <c r="F5743" i="8"/>
  <c r="T5743" i="8" s="1"/>
  <c r="AG5809" i="8"/>
  <c r="AH5809" i="8" s="1"/>
  <c r="AG6523" i="8"/>
  <c r="AI6523" i="8" s="1"/>
  <c r="AJ6523" i="8" s="1"/>
  <c r="F5605" i="8"/>
  <c r="T5605" i="8" s="1"/>
  <c r="AG5712" i="8"/>
  <c r="AI5712" i="8" s="1"/>
  <c r="AJ5712" i="8" s="1"/>
  <c r="AG5605" i="8"/>
  <c r="AI5605" i="8" s="1"/>
  <c r="AJ5605" i="8" s="1"/>
  <c r="F6489" i="8"/>
  <c r="T6489" i="8" s="1"/>
  <c r="AK3713" i="8"/>
  <c r="F5870" i="8"/>
  <c r="T5870" i="8" s="1"/>
  <c r="AG6489" i="8"/>
  <c r="AI6489" i="8" s="1"/>
  <c r="AJ6489" i="8" s="1"/>
  <c r="AG5998" i="8"/>
  <c r="AI5998" i="8" s="1"/>
  <c r="AJ5998" i="8" s="1"/>
  <c r="F5791" i="8"/>
  <c r="T5791" i="8" s="1"/>
  <c r="AG5958" i="8"/>
  <c r="AI5958" i="8" s="1"/>
  <c r="AJ5958" i="8" s="1"/>
  <c r="AG6080" i="8"/>
  <c r="AI6080" i="8" s="1"/>
  <c r="AJ6080" i="8" s="1"/>
  <c r="AG6262" i="8"/>
  <c r="AI6262" i="8" s="1"/>
  <c r="AJ6262" i="8" s="1"/>
  <c r="F6262" i="8"/>
  <c r="T6262" i="8" s="1"/>
  <c r="AG6541" i="8"/>
  <c r="AI6541" i="8" s="1"/>
  <c r="AJ6541" i="8" s="1"/>
  <c r="F6227" i="8"/>
  <c r="T6227" i="8" s="1"/>
  <c r="F5998" i="8"/>
  <c r="T5998" i="8" s="1"/>
  <c r="AG6155" i="8"/>
  <c r="AI6155" i="8" s="1"/>
  <c r="AJ6155" i="8" s="1"/>
  <c r="F6155" i="8"/>
  <c r="T6155" i="8" s="1"/>
  <c r="F5690" i="8"/>
  <c r="T5690" i="8" s="1"/>
  <c r="AG5690" i="8"/>
  <c r="AH5690" i="8" s="1"/>
  <c r="AG5831" i="8"/>
  <c r="AI5831" i="8" s="1"/>
  <c r="AJ5831" i="8" s="1"/>
  <c r="F1005" i="8"/>
  <c r="AG6585" i="8"/>
  <c r="AH6585" i="8" s="1"/>
  <c r="AH1115" i="8"/>
  <c r="AG5703" i="8"/>
  <c r="AI5703" i="8" s="1"/>
  <c r="AJ5703" i="8" s="1"/>
  <c r="F5703" i="8"/>
  <c r="T5703" i="8" s="1"/>
  <c r="AH2583" i="8"/>
  <c r="AG6284" i="8"/>
  <c r="AI6284" i="8" s="1"/>
  <c r="AJ6284" i="8" s="1"/>
  <c r="AG5756" i="8"/>
  <c r="AI5756" i="8" s="1"/>
  <c r="AJ5756" i="8" s="1"/>
  <c r="F6523" i="8"/>
  <c r="T6523" i="8" s="1"/>
  <c r="F5712" i="8"/>
  <c r="T5712" i="8" s="1"/>
  <c r="F6572" i="8"/>
  <c r="T6572" i="8" s="1"/>
  <c r="F5901" i="8"/>
  <c r="T5901" i="8" s="1"/>
  <c r="AG5901" i="8"/>
  <c r="AH5901" i="8" s="1"/>
  <c r="AG5734" i="8"/>
  <c r="AI5734" i="8" s="1"/>
  <c r="AJ5734" i="8" s="1"/>
  <c r="AG5623" i="8"/>
  <c r="AI5623" i="8" s="1"/>
  <c r="AJ5623" i="8" s="1"/>
  <c r="F6240" i="8"/>
  <c r="T6240" i="8" s="1"/>
  <c r="F6418" i="8"/>
  <c r="T6418" i="8" s="1"/>
  <c r="AG6418" i="8"/>
  <c r="AI6418" i="8" s="1"/>
  <c r="AJ6418" i="8" s="1"/>
  <c r="AG6467" i="8"/>
  <c r="AI6467" i="8" s="1"/>
  <c r="AJ6467" i="8" s="1"/>
  <c r="F661" i="8"/>
  <c r="AH2652" i="8"/>
  <c r="AG6550" i="8"/>
  <c r="AH6550" i="8" s="1"/>
  <c r="F6319" i="8"/>
  <c r="T6319" i="8" s="1"/>
  <c r="AG5791" i="8"/>
  <c r="AI5791" i="8" s="1"/>
  <c r="AJ5791" i="8" s="1"/>
  <c r="AH3713" i="8"/>
  <c r="AG6363" i="8"/>
  <c r="AI6363" i="8" s="1"/>
  <c r="AJ6363" i="8" s="1"/>
  <c r="AG6030" i="8"/>
  <c r="AI6030" i="8" s="1"/>
  <c r="AJ6030" i="8" s="1"/>
  <c r="F6363" i="8"/>
  <c r="T6363" i="8" s="1"/>
  <c r="F6030" i="8"/>
  <c r="T6030" i="8" s="1"/>
  <c r="AG6563" i="8"/>
  <c r="AI6563" i="8" s="1"/>
  <c r="AJ6563" i="8" s="1"/>
  <c r="AI661" i="8"/>
  <c r="AJ661" i="8" s="1"/>
  <c r="F5765" i="8"/>
  <c r="T5765" i="8" s="1"/>
  <c r="AG5765" i="8"/>
  <c r="AH5765" i="8" s="1"/>
  <c r="F5650" i="8"/>
  <c r="T5650" i="8" s="1"/>
  <c r="AG5650" i="8"/>
  <c r="AI5650" i="8" s="1"/>
  <c r="AJ5650" i="8" s="1"/>
  <c r="F6041" i="8"/>
  <c r="T6041" i="8" s="1"/>
  <c r="AG6041" i="8"/>
  <c r="F6516" i="8"/>
  <c r="T6516" i="8" s="1"/>
  <c r="AG6203" i="8"/>
  <c r="AH6203" i="8" s="1"/>
  <c r="AK5543" i="8"/>
  <c r="AK990" i="8"/>
  <c r="AK1877" i="8"/>
  <c r="AK2583" i="8"/>
  <c r="AK2879" i="8"/>
  <c r="AK5328" i="8"/>
  <c r="AK1115" i="8"/>
  <c r="AK2630" i="8"/>
  <c r="AH4252" i="8"/>
  <c r="AK4252" i="8"/>
  <c r="AH4134" i="8"/>
  <c r="AK4134" i="8"/>
  <c r="AH1801" i="8"/>
  <c r="AK1801" i="8"/>
  <c r="AI6007" i="8"/>
  <c r="AJ6007" i="8" s="1"/>
  <c r="AH6007" i="8"/>
  <c r="AH777" i="8"/>
  <c r="AK777" i="8"/>
  <c r="AH3986" i="8"/>
  <c r="AK3986" i="8"/>
  <c r="AH1682" i="8"/>
  <c r="AH3378" i="8"/>
  <c r="AK3378" i="8"/>
  <c r="AH2479" i="8"/>
  <c r="AH3461" i="8"/>
  <c r="AK3461" i="8"/>
  <c r="AI847" i="8"/>
  <c r="AJ847" i="8" s="1"/>
  <c r="AH847" i="8"/>
  <c r="AH4630" i="8"/>
  <c r="AH1508" i="8"/>
  <c r="AH5945" i="8"/>
  <c r="AH3789" i="8"/>
  <c r="AH1338" i="8"/>
  <c r="AK1338" i="8"/>
  <c r="AI1356" i="8"/>
  <c r="AJ1356" i="8" s="1"/>
  <c r="AH1356" i="8"/>
  <c r="AH2255" i="8"/>
  <c r="AH3890" i="8"/>
  <c r="F4664" i="8"/>
  <c r="T4664" i="8" s="1"/>
  <c r="AG4664" i="8"/>
  <c r="AI4664" i="8" s="1"/>
  <c r="AJ4664" i="8" s="1"/>
  <c r="AH4379" i="8"/>
  <c r="AI979" i="8"/>
  <c r="AJ979" i="8" s="1"/>
  <c r="AH979" i="8"/>
  <c r="AH5462" i="8"/>
  <c r="F2926" i="8"/>
  <c r="G1630" i="28" s="1"/>
  <c r="T2743" i="8"/>
  <c r="T2926" i="8" s="1"/>
  <c r="AH4051" i="8"/>
  <c r="AH1165" i="8"/>
  <c r="AI5184" i="8"/>
  <c r="AJ5184" i="8" s="1"/>
  <c r="AH5184" i="8"/>
  <c r="AH1130" i="8"/>
  <c r="AH1515" i="8"/>
  <c r="AH1242" i="8"/>
  <c r="F726" i="8"/>
  <c r="AI726" i="8"/>
  <c r="AJ726" i="8" s="1"/>
  <c r="AH1838" i="8"/>
  <c r="AH1924" i="8"/>
  <c r="AH1291" i="8"/>
  <c r="F6306" i="8"/>
  <c r="T6306" i="8" s="1"/>
  <c r="AG6306" i="8"/>
  <c r="AI1413" i="8"/>
  <c r="AJ1413" i="8" s="1"/>
  <c r="AH1413" i="8"/>
  <c r="AG6480" i="8"/>
  <c r="F6480" i="8"/>
  <c r="T6480" i="8" s="1"/>
  <c r="AH1399" i="8"/>
  <c r="AH812" i="8"/>
  <c r="AH3045" i="8"/>
  <c r="AH2137" i="8"/>
  <c r="AI1870" i="8"/>
  <c r="AJ1870" i="8" s="1"/>
  <c r="AH1870" i="8"/>
  <c r="AH5448" i="8"/>
  <c r="AH5721" i="8"/>
  <c r="AH1991" i="8"/>
  <c r="AH1501" i="8"/>
  <c r="AH4750" i="8"/>
  <c r="AH2027" i="8"/>
  <c r="AH889" i="8"/>
  <c r="AH1766" i="8"/>
  <c r="AH2844" i="8"/>
  <c r="AH1263" i="8"/>
  <c r="AH5416" i="8"/>
  <c r="AK5416" i="8"/>
  <c r="AH3744" i="8"/>
  <c r="AK3744" i="8"/>
  <c r="AH3937" i="8"/>
  <c r="AK3937" i="8"/>
  <c r="AH2055" i="8"/>
  <c r="AK2055" i="8"/>
  <c r="AI2886" i="8"/>
  <c r="AJ2886" i="8" s="1"/>
  <c r="AH2886" i="8"/>
  <c r="AH861" i="8"/>
  <c r="AK861" i="8"/>
  <c r="AH2069" i="8"/>
  <c r="AK2069" i="8"/>
  <c r="F4623" i="8"/>
  <c r="AG4623" i="8"/>
  <c r="AI4623" i="8" s="1"/>
  <c r="AJ4623" i="8" s="1"/>
  <c r="AI1220" i="8"/>
  <c r="AJ1220" i="8" s="1"/>
  <c r="AH1220" i="8"/>
  <c r="AI609" i="8"/>
  <c r="AJ609" i="8" s="1"/>
  <c r="AH609" i="8"/>
  <c r="F6183" i="8"/>
  <c r="T6183" i="8" s="1"/>
  <c r="AG6183" i="8"/>
  <c r="AH3969" i="8"/>
  <c r="AK3969" i="8"/>
  <c r="AG6354" i="8"/>
  <c r="AI6354" i="8" s="1"/>
  <c r="AJ6354" i="8" s="1"/>
  <c r="F6354" i="8"/>
  <c r="T6354" i="8" s="1"/>
  <c r="AH5536" i="8"/>
  <c r="AK5536" i="8"/>
  <c r="AI5529" i="8"/>
  <c r="AJ5529" i="8" s="1"/>
  <c r="AH5529" i="8"/>
  <c r="AG5614" i="8"/>
  <c r="F5614" i="8"/>
  <c r="AH2771" i="8"/>
  <c r="AK2771" i="8"/>
  <c r="AH742" i="8"/>
  <c r="AK742" i="8"/>
  <c r="AI2858" i="8"/>
  <c r="AJ2858" i="8" s="1"/>
  <c r="AH2858" i="8"/>
  <c r="AH2083" i="8"/>
  <c r="AK2083" i="8"/>
  <c r="AH1910" i="8"/>
  <c r="AK1910" i="8"/>
  <c r="AH2704" i="8"/>
  <c r="AK2704" i="8"/>
  <c r="AH2234" i="8"/>
  <c r="AK2234" i="8"/>
  <c r="AH2013" i="8"/>
  <c r="AK2013" i="8"/>
  <c r="F626" i="8"/>
  <c r="AI626" i="8"/>
  <c r="AJ626" i="8" s="1"/>
  <c r="AH6345" i="8"/>
  <c r="AK6345" i="8"/>
  <c r="AH1675" i="8"/>
  <c r="AK1675" i="8"/>
  <c r="AH2151" i="8"/>
  <c r="AH3392" i="8"/>
  <c r="AH2006" i="8"/>
  <c r="AI965" i="8"/>
  <c r="AJ965" i="8" s="1"/>
  <c r="AH965" i="8"/>
  <c r="AH2743" i="8"/>
  <c r="AH1028" i="8"/>
  <c r="AK1028" i="8"/>
  <c r="AH1731" i="8"/>
  <c r="AK1731" i="8"/>
  <c r="T2943" i="8"/>
  <c r="T3273" i="8" s="1"/>
  <c r="F3273" i="8"/>
  <c r="G1631" i="28" s="1"/>
  <c r="AI2918" i="8"/>
  <c r="AJ2918" i="8" s="1"/>
  <c r="AH2918" i="8"/>
  <c r="AH2872" i="8"/>
  <c r="AH2764" i="8"/>
  <c r="AH4090" i="8"/>
  <c r="AK4090" i="8"/>
  <c r="AH1431" i="8"/>
  <c r="AK1431" i="8"/>
  <c r="AH1204" i="8"/>
  <c r="AK1204" i="8"/>
  <c r="AH3094" i="8"/>
  <c r="AK3094" i="8"/>
  <c r="AH3329" i="8"/>
  <c r="AH1345" i="8"/>
  <c r="AK1345" i="8"/>
  <c r="AH1473" i="8"/>
  <c r="AK1473" i="8"/>
  <c r="T1870" i="8"/>
  <c r="T2207" i="8" s="1"/>
  <c r="F2207" i="8"/>
  <c r="G1627" i="28" s="1"/>
  <c r="AG5976" i="8"/>
  <c r="AI5976" i="8" s="1"/>
  <c r="AJ5976" i="8" s="1"/>
  <c r="F5976" i="8"/>
  <c r="T5976" i="8" s="1"/>
  <c r="AH1378" i="8"/>
  <c r="AH4557" i="8"/>
  <c r="AK4557" i="8"/>
  <c r="AH1984" i="8"/>
  <c r="AK1984" i="8"/>
  <c r="AH1529" i="8"/>
  <c r="AK1529" i="8"/>
  <c r="AH1438" i="8"/>
  <c r="AK1438" i="8"/>
  <c r="AH2330" i="8"/>
  <c r="AK2330" i="8"/>
  <c r="AH3581" i="8"/>
  <c r="AK3581" i="8"/>
  <c r="AH1317" i="8"/>
  <c r="AK1317" i="8"/>
  <c r="AH4774" i="8"/>
  <c r="AK4774" i="8"/>
  <c r="AH2130" i="8"/>
  <c r="AK2130" i="8"/>
  <c r="AH1945" i="8"/>
  <c r="AK1945" i="8"/>
  <c r="AI2612" i="8"/>
  <c r="AJ2612" i="8" s="1"/>
  <c r="AH2612" i="8"/>
  <c r="AH3336" i="8"/>
  <c r="AH6091" i="8"/>
  <c r="AK6091" i="8"/>
  <c r="AH2500" i="8"/>
  <c r="AK2500" i="8"/>
  <c r="AH5356" i="8"/>
  <c r="AK5356" i="8"/>
  <c r="F5800" i="8"/>
  <c r="T5800" i="8" s="1"/>
  <c r="AG5800" i="8"/>
  <c r="AI5800" i="8" s="1"/>
  <c r="AJ5800" i="8" s="1"/>
  <c r="AH1689" i="8"/>
  <c r="AK1689" i="8"/>
  <c r="AH3080" i="8"/>
  <c r="AK3080" i="8"/>
  <c r="AH5177" i="8"/>
  <c r="AK5177" i="8"/>
  <c r="AI2623" i="8"/>
  <c r="AJ2623" i="8" s="1"/>
  <c r="AH2623" i="8"/>
  <c r="AI1097" i="8"/>
  <c r="AJ1097" i="8" s="1"/>
  <c r="AH1097" i="8"/>
  <c r="AH1186" i="8"/>
  <c r="AK1186" i="8"/>
  <c r="AH1249" i="8"/>
  <c r="AK1249" i="8"/>
  <c r="AH4758" i="8"/>
  <c r="AK4758" i="8"/>
  <c r="AH1540" i="8"/>
  <c r="AK1540" i="8"/>
  <c r="F5822" i="8"/>
  <c r="T5822" i="8" s="1"/>
  <c r="AG5822" i="8"/>
  <c r="AI5822" i="8" s="1"/>
  <c r="AJ5822" i="8" s="1"/>
  <c r="AI2659" i="8"/>
  <c r="AJ2659" i="8" s="1"/>
  <c r="AH2659" i="8"/>
  <c r="AH4348" i="8"/>
  <c r="AK4348" i="8"/>
  <c r="AH1256" i="8"/>
  <c r="AK1256" i="8"/>
  <c r="AH1363" i="8"/>
  <c r="AK1363" i="8"/>
  <c r="AI2804" i="8"/>
  <c r="AJ2804" i="8" s="1"/>
  <c r="AH2804" i="8"/>
  <c r="AH2176" i="8"/>
  <c r="AK2176" i="8"/>
  <c r="AH3052" i="8"/>
  <c r="AH5233" i="8"/>
  <c r="AH4121" i="8"/>
  <c r="AK4121" i="8"/>
  <c r="AH854" i="8"/>
  <c r="AK854" i="8"/>
  <c r="AH735" i="8"/>
  <c r="AK735" i="8"/>
  <c r="AH4616" i="8"/>
  <c r="AH2943" i="8"/>
  <c r="AH1179" i="8"/>
  <c r="AK1179" i="8"/>
  <c r="AG5967" i="8"/>
  <c r="F5967" i="8"/>
  <c r="T5967" i="8" s="1"/>
  <c r="AI1445" i="8"/>
  <c r="AJ1445" i="8" s="1"/>
  <c r="AH1445" i="8"/>
  <c r="AH4329" i="8"/>
  <c r="AK4329" i="8"/>
  <c r="AI6196" i="8"/>
  <c r="AJ6196" i="8" s="1"/>
  <c r="AH6196" i="8"/>
  <c r="AH5286" i="8"/>
  <c r="AK5286" i="8"/>
  <c r="AH2062" i="8"/>
  <c r="AH3024" i="8"/>
  <c r="T3937" i="8"/>
  <c r="R37" i="1"/>
  <c r="D83" i="1"/>
  <c r="AG4637" i="8"/>
  <c r="F4637" i="8"/>
  <c r="T4637" i="8" s="1"/>
  <c r="AI677" i="8"/>
  <c r="AJ677" i="8" s="1"/>
  <c r="AH677" i="8"/>
  <c r="AH3350" i="8"/>
  <c r="AK3350" i="8"/>
  <c r="AH1014" i="8"/>
  <c r="AK1014" i="8"/>
  <c r="AH2981" i="8"/>
  <c r="AK2981" i="8"/>
  <c r="AH3882" i="8"/>
  <c r="AK3882" i="8"/>
  <c r="AG6052" i="8"/>
  <c r="AI6052" i="8" s="1"/>
  <c r="AJ6052" i="8" s="1"/>
  <c r="F6052" i="8"/>
  <c r="T6052" i="8" s="1"/>
  <c r="AH3385" i="8"/>
  <c r="AK3385" i="8"/>
  <c r="AH1668" i="8"/>
  <c r="AK1668" i="8"/>
  <c r="AH4058" i="8"/>
  <c r="AK4058" i="8"/>
  <c r="AH2951" i="8"/>
  <c r="AK2951" i="8"/>
  <c r="AH3160" i="8"/>
  <c r="AK3160" i="8"/>
  <c r="AI2811" i="8"/>
  <c r="AJ2811" i="8" s="1"/>
  <c r="AH2811" i="8"/>
  <c r="AI1420" i="8"/>
  <c r="AJ1420" i="8" s="1"/>
  <c r="AH1420" i="8"/>
  <c r="F2730" i="8"/>
  <c r="G1629" i="28" s="1"/>
  <c r="T2500" i="8"/>
  <c r="T2730" i="8" s="1"/>
  <c r="AH3108" i="8"/>
  <c r="AK3108" i="8"/>
  <c r="T5177" i="8"/>
  <c r="T5569" i="8" s="1"/>
  <c r="T5575" i="8" s="1"/>
  <c r="F5569" i="8"/>
  <c r="F5575" i="8" s="1"/>
  <c r="AH3802" i="8"/>
  <c r="AK3802" i="8"/>
  <c r="AH3668" i="8"/>
  <c r="AK3668" i="8"/>
  <c r="AH826" i="8"/>
  <c r="AK826" i="8"/>
  <c r="AH1710" i="8"/>
  <c r="AK1710" i="8"/>
  <c r="AH2197" i="8"/>
  <c r="AK2197" i="8"/>
  <c r="AH4387" i="8"/>
  <c r="AK4387" i="8"/>
  <c r="AI5522" i="8"/>
  <c r="AJ5522" i="8" s="1"/>
  <c r="AH5522" i="8"/>
  <c r="AH2407" i="8"/>
  <c r="AK2407" i="8"/>
  <c r="AH3153" i="8"/>
  <c r="AK3153" i="8"/>
  <c r="AI1661" i="8"/>
  <c r="AJ1661" i="8" s="1"/>
  <c r="AH1661" i="8"/>
  <c r="AH5321" i="8"/>
  <c r="AK5321" i="8"/>
  <c r="AH3308" i="8"/>
  <c r="AK3308" i="8"/>
  <c r="AI2670" i="8"/>
  <c r="AJ2670" i="8" s="1"/>
  <c r="AH2670" i="8"/>
  <c r="AH3752" i="8"/>
  <c r="AK3752" i="8"/>
  <c r="AH4480" i="8"/>
  <c r="AK4480" i="8"/>
  <c r="AH1738" i="8"/>
  <c r="AK1738" i="8"/>
  <c r="AK5409" i="8"/>
  <c r="AK2652" i="8"/>
  <c r="AH4691" i="8"/>
  <c r="AK4691" i="8"/>
  <c r="F6509" i="8"/>
  <c r="T6509" i="8" s="1"/>
  <c r="AG6509" i="8"/>
  <c r="AH6509" i="8" s="1"/>
  <c r="AH1966" i="8"/>
  <c r="AK1966" i="8"/>
  <c r="AH1021" i="8"/>
  <c r="AK1021" i="8"/>
  <c r="AH3038" i="8"/>
  <c r="AK3038" i="8"/>
  <c r="AH1331" i="8"/>
  <c r="AK1331" i="8"/>
  <c r="AH4766" i="8"/>
  <c r="AK4766" i="8"/>
  <c r="AH4549" i="8"/>
  <c r="AK4549" i="8"/>
  <c r="AI926" i="8"/>
  <c r="AJ926" i="8" s="1"/>
  <c r="AH926" i="8"/>
  <c r="AH4541" i="8"/>
  <c r="AK4541" i="8"/>
  <c r="AI2561" i="8"/>
  <c r="AJ2561" i="8" s="1"/>
  <c r="AH2561" i="8"/>
  <c r="AH3493" i="8"/>
  <c r="AK3493" i="8"/>
  <c r="AH5483" i="8"/>
  <c r="AK5483" i="8"/>
  <c r="AI2793" i="8"/>
  <c r="AJ2793" i="8" s="1"/>
  <c r="AH2793" i="8"/>
  <c r="AH1270" i="8"/>
  <c r="AK1270" i="8"/>
  <c r="AH3427" i="8"/>
  <c r="AK3427" i="8"/>
  <c r="AH2241" i="8"/>
  <c r="AK2241" i="8"/>
  <c r="AH5374" i="8"/>
  <c r="AK5374" i="8"/>
  <c r="AH5388" i="8"/>
  <c r="AK5388" i="8"/>
  <c r="AH2280" i="8"/>
  <c r="AK2280" i="8"/>
  <c r="AH1522" i="8"/>
  <c r="AK1522" i="8"/>
  <c r="AH6454" i="8"/>
  <c r="AK6454" i="8"/>
  <c r="AH3916" i="8"/>
  <c r="AK3916" i="8"/>
  <c r="AH1938" i="8"/>
  <c r="AK1938" i="8"/>
  <c r="AI840" i="8"/>
  <c r="AJ840" i="8" s="1"/>
  <c r="AH840" i="8"/>
  <c r="AH2248" i="8"/>
  <c r="AK2248" i="8"/>
  <c r="AH2020" i="8"/>
  <c r="AK2020" i="8"/>
  <c r="AH2158" i="8"/>
  <c r="AK2158" i="8"/>
  <c r="AH833" i="8"/>
  <c r="AK833" i="8"/>
  <c r="AH1931" i="8"/>
  <c r="AK1931" i="8"/>
  <c r="AG5774" i="8"/>
  <c r="F5774" i="8"/>
  <c r="T5774" i="8" s="1"/>
  <c r="AH2434" i="8"/>
  <c r="AK2434" i="8"/>
  <c r="AH2425" i="8"/>
  <c r="AK2425" i="8"/>
  <c r="AH1745" i="8"/>
  <c r="AK1745" i="8"/>
  <c r="AH3675" i="8"/>
  <c r="AK3675" i="8"/>
  <c r="AI2722" i="8"/>
  <c r="AJ2722" i="8" s="1"/>
  <c r="AH2722" i="8"/>
  <c r="AH2507" i="8"/>
  <c r="AK2507" i="8"/>
  <c r="AH1406" i="8"/>
  <c r="AK1406" i="8"/>
  <c r="AH1639" i="8"/>
  <c r="AK1639" i="8"/>
  <c r="AH2273" i="8"/>
  <c r="AK2273" i="8"/>
  <c r="AH4573" i="8"/>
  <c r="AK4573" i="8"/>
  <c r="AH1324" i="8"/>
  <c r="AK1324" i="8"/>
  <c r="AH5857" i="8"/>
  <c r="AK5857" i="8"/>
  <c r="AH4858" i="8"/>
  <c r="AK4858" i="8"/>
  <c r="AH3960" i="8"/>
  <c r="AK3960" i="8"/>
  <c r="AH4228" i="8"/>
  <c r="AK4228" i="8"/>
  <c r="AH4725" i="8"/>
  <c r="AK4725" i="8"/>
  <c r="AH3399" i="8"/>
  <c r="AK3399" i="8"/>
  <c r="AH5427" i="8"/>
  <c r="AK5427" i="8"/>
  <c r="AH3059" i="8"/>
  <c r="AK3059" i="8"/>
  <c r="AH919" i="8"/>
  <c r="AK919" i="8"/>
  <c r="AH3775" i="8"/>
  <c r="AK3775" i="8"/>
  <c r="AH2757" i="8"/>
  <c r="AK2757" i="8"/>
  <c r="AH2220" i="8"/>
  <c r="AK2220" i="8"/>
  <c r="AH1284" i="8"/>
  <c r="AK1284" i="8"/>
  <c r="AH5265" i="8"/>
  <c r="AK5265" i="8"/>
  <c r="AH2048" i="8"/>
  <c r="AK2048" i="8"/>
  <c r="AH3122" i="8"/>
  <c r="AK3122" i="8"/>
  <c r="AH3010" i="8"/>
  <c r="AK3010" i="8"/>
  <c r="AH3630" i="8"/>
  <c r="AK3630" i="8"/>
  <c r="AH3003" i="8"/>
  <c r="AK3003" i="8"/>
  <c r="AH1654" i="8"/>
  <c r="AK1654" i="8"/>
  <c r="AH3682" i="8"/>
  <c r="AK3682" i="8"/>
  <c r="AH1494" i="8"/>
  <c r="AK1494" i="8"/>
  <c r="AH1917" i="8"/>
  <c r="AK1917" i="8"/>
  <c r="AH3364" i="8"/>
  <c r="AK3364" i="8"/>
  <c r="AI5191" i="8"/>
  <c r="AJ5191" i="8" s="1"/>
  <c r="AH5191" i="8"/>
  <c r="AH2123" i="8"/>
  <c r="AK2123" i="8"/>
  <c r="AI2645" i="8"/>
  <c r="AJ2645" i="8" s="1"/>
  <c r="AH2645" i="8"/>
  <c r="AI1104" i="8"/>
  <c r="AJ1104" i="8" s="1"/>
  <c r="AH1104" i="8"/>
  <c r="F6427" i="8"/>
  <c r="T6427" i="8" s="1"/>
  <c r="AG6427" i="8"/>
  <c r="AI6427" i="8" s="1"/>
  <c r="AJ6427" i="8" s="1"/>
  <c r="AH3073" i="8"/>
  <c r="AK3073" i="8"/>
  <c r="AH6293" i="8"/>
  <c r="AK6293" i="8"/>
  <c r="AI1212" i="8"/>
  <c r="AJ1212" i="8" s="1"/>
  <c r="AH1212" i="8"/>
  <c r="AH958" i="8"/>
  <c r="AK958" i="8"/>
  <c r="AI3995" i="8"/>
  <c r="AJ3995" i="8" s="1"/>
  <c r="AH3995" i="8"/>
  <c r="AI3813" i="8"/>
  <c r="AJ3813" i="8" s="1"/>
  <c r="AH3813" i="8"/>
  <c r="AI5945" i="8"/>
  <c r="AJ5945" i="8" s="1"/>
  <c r="AI5490" i="8"/>
  <c r="AJ5490" i="8" s="1"/>
  <c r="AH5490" i="8"/>
  <c r="AI3789" i="8"/>
  <c r="AJ3789" i="8" s="1"/>
  <c r="AH1235" i="8"/>
  <c r="AK1235" i="8"/>
  <c r="AH4885" i="8"/>
  <c r="AK4885" i="8"/>
  <c r="AI3890" i="8"/>
  <c r="AJ3890" i="8" s="1"/>
  <c r="AH1952" i="8"/>
  <c r="AK1952" i="8"/>
  <c r="AI2829" i="8"/>
  <c r="AJ2829" i="8" s="1"/>
  <c r="AH2829" i="8"/>
  <c r="AH3371" i="8"/>
  <c r="AK3371" i="8"/>
  <c r="AH5550" i="8"/>
  <c r="AK5550" i="8"/>
  <c r="AH3357" i="8"/>
  <c r="AK3357" i="8"/>
  <c r="AH1959" i="8"/>
  <c r="AK1959" i="8"/>
  <c r="AH1151" i="8"/>
  <c r="AK1151" i="8"/>
  <c r="AH5402" i="8"/>
  <c r="AK5402" i="8"/>
  <c r="AI1548" i="8"/>
  <c r="AJ1548" i="8" s="1"/>
  <c r="AH1548" i="8"/>
  <c r="AH2414" i="8"/>
  <c r="AK2414" i="8"/>
  <c r="AH2995" i="8"/>
  <c r="AK2995" i="8"/>
  <c r="AH2400" i="8"/>
  <c r="AK2400" i="8"/>
  <c r="AH2144" i="8"/>
  <c r="AK2144" i="8"/>
  <c r="AH1696" i="8"/>
  <c r="AK1696" i="8"/>
  <c r="AH3135" i="8"/>
  <c r="AK3135" i="8"/>
  <c r="AH4244" i="8"/>
  <c r="AK4244" i="8"/>
  <c r="AH5455" i="8"/>
  <c r="AK5455" i="8"/>
  <c r="AH1724" i="8"/>
  <c r="AK1724" i="8"/>
  <c r="T2220" i="8"/>
  <c r="AH749" i="8"/>
  <c r="AK749" i="8"/>
  <c r="AH1773" i="8"/>
  <c r="AK1773" i="8"/>
  <c r="AH4236" i="8"/>
  <c r="AK4236" i="8"/>
  <c r="AI3024" i="8"/>
  <c r="AJ3024" i="8" s="1"/>
  <c r="AH2090" i="8"/>
  <c r="AK2090" i="8"/>
  <c r="AH1035" i="8"/>
  <c r="AK1035" i="8"/>
  <c r="T3630" i="8"/>
  <c r="AG5672" i="8"/>
  <c r="AI5672" i="8" s="1"/>
  <c r="AJ5672" i="8" s="1"/>
  <c r="F5672" i="8"/>
  <c r="T5672" i="8" s="1"/>
  <c r="AH2116" i="8"/>
  <c r="AK2116" i="8"/>
  <c r="AH1787" i="8"/>
  <c r="AK1787" i="8"/>
  <c r="AI889" i="8"/>
  <c r="AJ889" i="8" s="1"/>
  <c r="AH5279" i="8"/>
  <c r="AK5279" i="8"/>
  <c r="AH5395" i="8"/>
  <c r="AK5395" i="8"/>
  <c r="AH1466" i="8"/>
  <c r="AK1466" i="8"/>
  <c r="AI2711" i="8"/>
  <c r="AJ2711" i="8" s="1"/>
  <c r="AH2711" i="8"/>
  <c r="AH875" i="8"/>
  <c r="AK875" i="8"/>
  <c r="AH3434" i="8"/>
  <c r="AK3434" i="8"/>
  <c r="AH3322" i="8"/>
  <c r="AK3322" i="8"/>
  <c r="AH2865" i="8"/>
  <c r="AK2865" i="8"/>
  <c r="AH951" i="8"/>
  <c r="AK951" i="8"/>
  <c r="AH2778" i="8"/>
  <c r="AK2778" i="8"/>
  <c r="AH5300" i="8"/>
  <c r="AK5300" i="8"/>
  <c r="AH1603" i="8"/>
  <c r="AK1603" i="8"/>
  <c r="AH2904" i="8"/>
  <c r="AK2904" i="8"/>
  <c r="AH2187" i="8"/>
  <c r="AK2187" i="8"/>
  <c r="AH4145" i="8"/>
  <c r="AK4145" i="8"/>
  <c r="AH3343" i="8"/>
  <c r="AK3343" i="8"/>
  <c r="AH2101" i="8"/>
  <c r="AK2101" i="8"/>
  <c r="AI5501" i="8"/>
  <c r="AJ5501" i="8" s="1"/>
  <c r="AH5501" i="8"/>
  <c r="AI4186" i="8"/>
  <c r="AJ4186" i="8" s="1"/>
  <c r="AH4186" i="8"/>
  <c r="AH3477" i="8"/>
  <c r="AK3477" i="8"/>
  <c r="AH1794" i="8"/>
  <c r="AK1794" i="8"/>
  <c r="AI1193" i="8"/>
  <c r="AJ1193" i="8" s="1"/>
  <c r="AH1193" i="8"/>
  <c r="AH4193" i="8"/>
  <c r="AK4193" i="8"/>
  <c r="AI4065" i="8"/>
  <c r="AJ4065" i="8" s="1"/>
  <c r="AH4065" i="8"/>
  <c r="AI6594" i="8"/>
  <c r="AJ6594" i="8" s="1"/>
  <c r="AH6594" i="8"/>
  <c r="AH2851" i="8"/>
  <c r="AK2851" i="8"/>
  <c r="AH2988" i="8"/>
  <c r="AK2988" i="8"/>
  <c r="AH3689" i="8"/>
  <c r="AK3689" i="8"/>
  <c r="AH1780" i="8"/>
  <c r="AK1780" i="8"/>
  <c r="AH3087" i="8"/>
  <c r="AK3087" i="8"/>
  <c r="F648" i="8"/>
  <c r="AI648" i="8"/>
  <c r="AJ648" i="8" s="1"/>
  <c r="AI1053" i="8"/>
  <c r="AJ1053" i="8" s="1"/>
  <c r="AH1053" i="8"/>
  <c r="AH2262" i="8"/>
  <c r="AK2262" i="8"/>
  <c r="AH1752" i="8"/>
  <c r="AK1752" i="8"/>
  <c r="AH2041" i="8"/>
  <c r="AK2041" i="8"/>
  <c r="AH4220" i="8"/>
  <c r="AK4220" i="8"/>
  <c r="AI2255" i="8"/>
  <c r="AJ2255" i="8" s="1"/>
  <c r="AH2227" i="8"/>
  <c r="AK2227" i="8"/>
  <c r="AH3898" i="8"/>
  <c r="AK3898" i="8"/>
  <c r="AI5462" i="8"/>
  <c r="AJ5462" i="8" s="1"/>
  <c r="AH3286" i="8"/>
  <c r="AK3286" i="8"/>
  <c r="AH3469" i="8"/>
  <c r="AK3469" i="8"/>
  <c r="AI1165" i="8"/>
  <c r="AJ1165" i="8" s="1"/>
  <c r="F698" i="8"/>
  <c r="AI698" i="8"/>
  <c r="AJ698" i="8" s="1"/>
  <c r="AH3720" i="8"/>
  <c r="AK3720" i="8"/>
  <c r="AH2897" i="8"/>
  <c r="AK2897" i="8"/>
  <c r="AH2598" i="8"/>
  <c r="AK2598" i="8"/>
  <c r="AH1703" i="8"/>
  <c r="AK1703" i="8"/>
  <c r="AI6124" i="8"/>
  <c r="AJ6124" i="8" s="1"/>
  <c r="AH6124" i="8"/>
  <c r="AI1838" i="8"/>
  <c r="AJ1838" i="8" s="1"/>
  <c r="AH3782" i="8"/>
  <c r="AK3782" i="8"/>
  <c r="AH1717" i="8"/>
  <c r="AK1717" i="8"/>
  <c r="AI3329" i="8"/>
  <c r="AJ3329" i="8" s="1"/>
  <c r="AH2750" i="8"/>
  <c r="AK2750" i="8"/>
  <c r="AI3045" i="8"/>
  <c r="AJ3045" i="8" s="1"/>
  <c r="AK1385" i="8"/>
  <c r="AI5448" i="8"/>
  <c r="AJ5448" i="8" s="1"/>
  <c r="AI5721" i="8"/>
  <c r="AJ5721" i="8" s="1"/>
  <c r="AI1991" i="8"/>
  <c r="AJ1991" i="8" s="1"/>
  <c r="AH5561" i="8"/>
  <c r="AK5561" i="8"/>
  <c r="AI2062" i="8"/>
  <c r="AJ2062" i="8" s="1"/>
  <c r="AH1480" i="8"/>
  <c r="AK1480" i="8"/>
  <c r="AI2027" i="8"/>
  <c r="AJ2027" i="8" s="1"/>
  <c r="AH2677" i="8"/>
  <c r="AK2677" i="8"/>
  <c r="AH3115" i="8"/>
  <c r="AK3115" i="8"/>
  <c r="AI1766" i="8"/>
  <c r="AJ1766" i="8" s="1"/>
  <c r="AH1487" i="8"/>
  <c r="AK1487" i="8"/>
  <c r="AI2844" i="8"/>
  <c r="AJ2844" i="8" s="1"/>
  <c r="AI1263" i="8"/>
  <c r="AJ1263" i="8" s="1"/>
  <c r="F1846" i="8"/>
  <c r="G1626" i="28" s="1"/>
  <c r="T1466" i="8"/>
  <c r="T1846" i="8" s="1"/>
  <c r="AH1812" i="8"/>
  <c r="AK1812" i="8"/>
  <c r="AH5293" i="8"/>
  <c r="AK5293" i="8"/>
  <c r="AI1682" i="8"/>
  <c r="AJ1682" i="8" s="1"/>
  <c r="AI3336" i="8"/>
  <c r="AJ3336" i="8" s="1"/>
  <c r="AI2605" i="8"/>
  <c r="AJ2605" i="8" s="1"/>
  <c r="AH2605" i="8"/>
  <c r="AH5441" i="8"/>
  <c r="AK5441" i="8"/>
  <c r="AI2479" i="8"/>
  <c r="AJ2479" i="8" s="1"/>
  <c r="AH3416" i="8"/>
  <c r="AK3416" i="8"/>
  <c r="AI4040" i="8"/>
  <c r="AJ4040" i="8" s="1"/>
  <c r="AH4040" i="8"/>
  <c r="AH5205" i="8"/>
  <c r="AK5205" i="8"/>
  <c r="AH4371" i="8"/>
  <c r="AK4371" i="8"/>
  <c r="AH4491" i="8"/>
  <c r="AK4491" i="8"/>
  <c r="AH4403" i="8"/>
  <c r="AK4403" i="8"/>
  <c r="AH1277" i="8"/>
  <c r="AK1277" i="8"/>
  <c r="AH2693" i="8"/>
  <c r="AK2693" i="8"/>
  <c r="AI4630" i="8"/>
  <c r="AJ4630" i="8" s="1"/>
  <c r="AI1508" i="8"/>
  <c r="AJ1508" i="8" s="1"/>
  <c r="AH819" i="8"/>
  <c r="AK819" i="8"/>
  <c r="AI3249" i="8"/>
  <c r="AJ3249" i="8" s="1"/>
  <c r="AH3249" i="8"/>
  <c r="AH2034" i="8"/>
  <c r="AK2034" i="8"/>
  <c r="AK805" i="8"/>
  <c r="F933" i="8"/>
  <c r="AI3052" i="8"/>
  <c r="AJ3052" i="8" s="1"/>
  <c r="AI2151" i="8"/>
  <c r="AJ2151" i="8" s="1"/>
  <c r="AI3392" i="8"/>
  <c r="AJ3392" i="8" s="1"/>
  <c r="AI5233" i="8"/>
  <c r="AJ5233" i="8" s="1"/>
  <c r="AI4379" i="8"/>
  <c r="AJ4379" i="8" s="1"/>
  <c r="AI2006" i="8"/>
  <c r="AJ2006" i="8" s="1"/>
  <c r="AI3146" i="8"/>
  <c r="AJ3146" i="8" s="1"/>
  <c r="AH3146" i="8"/>
  <c r="AI1884" i="8"/>
  <c r="AJ1884" i="8" s="1"/>
  <c r="AH1884" i="8"/>
  <c r="AG6100" i="8"/>
  <c r="AI6100" i="8" s="1"/>
  <c r="AJ6100" i="8" s="1"/>
  <c r="F6100" i="8"/>
  <c r="T6100" i="8" s="1"/>
  <c r="AI2743" i="8"/>
  <c r="AJ2743" i="8" s="1"/>
  <c r="AI4051" i="8"/>
  <c r="AJ4051" i="8" s="1"/>
  <c r="AH2076" i="8"/>
  <c r="AK2076" i="8"/>
  <c r="AH3264" i="8"/>
  <c r="AK3264" i="8"/>
  <c r="AI4616" i="8"/>
  <c r="AJ4616" i="8" s="1"/>
  <c r="AI1130" i="8"/>
  <c r="AJ1130" i="8" s="1"/>
  <c r="AI2572" i="8"/>
  <c r="AJ2572" i="8" s="1"/>
  <c r="AH2572" i="8"/>
  <c r="AI1515" i="8"/>
  <c r="AJ1515" i="8" s="1"/>
  <c r="AI2943" i="8"/>
  <c r="AJ2943" i="8" s="1"/>
  <c r="AI1242" i="8"/>
  <c r="AJ1242" i="8" s="1"/>
  <c r="AI5515" i="8"/>
  <c r="AJ5515" i="8" s="1"/>
  <c r="AH5515" i="8"/>
  <c r="AI2872" i="8"/>
  <c r="AJ2872" i="8" s="1"/>
  <c r="AI2764" i="8"/>
  <c r="AJ2764" i="8" s="1"/>
  <c r="AH1973" i="8"/>
  <c r="AK1973" i="8"/>
  <c r="AH3101" i="8"/>
  <c r="AK3101" i="8"/>
  <c r="AI1924" i="8"/>
  <c r="AJ1924" i="8" s="1"/>
  <c r="AI1291" i="8"/>
  <c r="AJ1291" i="8" s="1"/>
  <c r="AI1895" i="8"/>
  <c r="AJ1895" i="8" s="1"/>
  <c r="AH1895" i="8"/>
  <c r="AH3905" i="8"/>
  <c r="AK3905" i="8"/>
  <c r="AH3315" i="8"/>
  <c r="AK3315" i="8"/>
  <c r="AH1172" i="8"/>
  <c r="AK1172" i="8"/>
  <c r="AI1399" i="8"/>
  <c r="AJ1399" i="8" s="1"/>
  <c r="AI812" i="8"/>
  <c r="AJ812" i="8" s="1"/>
  <c r="AI5335" i="8"/>
  <c r="AJ5335" i="8" s="1"/>
  <c r="AH5335" i="8"/>
  <c r="AI2137" i="8"/>
  <c r="AJ2137" i="8" s="1"/>
  <c r="AH1759" i="8"/>
  <c r="AK1759" i="8"/>
  <c r="AH1144" i="8"/>
  <c r="AK1144" i="8"/>
  <c r="AI1501" i="8"/>
  <c r="AJ1501" i="8" s="1"/>
  <c r="AI4750" i="8"/>
  <c r="AJ4750" i="8" s="1"/>
  <c r="AI1378" i="8"/>
  <c r="AJ1378" i="8" s="1"/>
  <c r="AO4651" i="8"/>
  <c r="AO4644" i="8"/>
  <c r="AH3536" i="8"/>
  <c r="AH4446" i="8"/>
  <c r="T4267" i="8"/>
  <c r="T4524" i="8" s="1"/>
  <c r="F4524" i="8"/>
  <c r="G1635" i="28" s="1"/>
  <c r="AH4439" i="8"/>
  <c r="AH4302" i="8"/>
  <c r="AH4817" i="8"/>
  <c r="AH4810" i="8"/>
  <c r="AK4810" i="8"/>
  <c r="R11472" i="8"/>
  <c r="AH11462" i="8"/>
  <c r="AH4929" i="8"/>
  <c r="F4644" i="8"/>
  <c r="T4644" i="8" s="1"/>
  <c r="AG4644" i="8"/>
  <c r="AI4644" i="8" s="1"/>
  <c r="AJ4644" i="8" s="1"/>
  <c r="AH4432" i="8"/>
  <c r="AK4432" i="8"/>
  <c r="AH4588" i="8"/>
  <c r="AK4588" i="8"/>
  <c r="AH4595" i="8"/>
  <c r="AK4595" i="8"/>
  <c r="AH3529" i="8"/>
  <c r="AK3529" i="8"/>
  <c r="AH4316" i="8"/>
  <c r="AK4316" i="8"/>
  <c r="F3501" i="8"/>
  <c r="AG3501" i="8"/>
  <c r="AI3501" i="8" s="1"/>
  <c r="AJ3501" i="8" s="1"/>
  <c r="AG4651" i="8"/>
  <c r="F4651" i="8"/>
  <c r="T4651" i="8" s="1"/>
  <c r="AH4453" i="8"/>
  <c r="AK4453" i="8"/>
  <c r="AH4288" i="8"/>
  <c r="AK4288" i="8"/>
  <c r="AH4274" i="8"/>
  <c r="AK4274" i="8"/>
  <c r="AH4418" i="8"/>
  <c r="AK4418" i="8"/>
  <c r="AH3543" i="8"/>
  <c r="AK3543" i="8"/>
  <c r="AH4460" i="8"/>
  <c r="AK4460" i="8"/>
  <c r="AH3557" i="8"/>
  <c r="AK3557" i="8"/>
  <c r="AH4425" i="8"/>
  <c r="AK4425" i="8"/>
  <c r="AH4796" i="8"/>
  <c r="AH4838" i="8"/>
  <c r="AH4267" i="8"/>
  <c r="AH4824" i="8"/>
  <c r="T4588" i="8"/>
  <c r="AH3508" i="8"/>
  <c r="AK3508" i="8"/>
  <c r="AH3550" i="8"/>
  <c r="AK3550" i="8"/>
  <c r="AH4602" i="8"/>
  <c r="AK4602" i="8"/>
  <c r="R11478" i="8"/>
  <c r="R5000" i="8"/>
  <c r="AI4796" i="8"/>
  <c r="AJ4796" i="8" s="1"/>
  <c r="AI4446" i="8"/>
  <c r="AJ4446" i="8" s="1"/>
  <c r="AI4838" i="8"/>
  <c r="AJ4838" i="8" s="1"/>
  <c r="AI3536" i="8"/>
  <c r="AJ3536" i="8" s="1"/>
  <c r="AI4439" i="8"/>
  <c r="AJ4439" i="8" s="1"/>
  <c r="AI4302" i="8"/>
  <c r="AJ4302" i="8" s="1"/>
  <c r="AI4824" i="8"/>
  <c r="AJ4824" i="8" s="1"/>
  <c r="AI4817" i="8"/>
  <c r="AJ4817" i="8" s="1"/>
  <c r="AH4789" i="8"/>
  <c r="AK4789" i="8"/>
  <c r="AH3515" i="8"/>
  <c r="AK3515" i="8"/>
  <c r="AH4281" i="8"/>
  <c r="AK4281" i="8"/>
  <c r="AH4295" i="8"/>
  <c r="AK4295" i="8"/>
  <c r="AH3522" i="8"/>
  <c r="AK3522" i="8"/>
  <c r="AH4803" i="8"/>
  <c r="AK4803" i="8"/>
  <c r="AH4467" i="8"/>
  <c r="AK4467" i="8"/>
  <c r="AI4267" i="8"/>
  <c r="AJ4267" i="8" s="1"/>
  <c r="AI4929" i="8"/>
  <c r="AJ4929" i="8" s="1"/>
  <c r="AH4831" i="8"/>
  <c r="AK4831" i="8"/>
  <c r="AH3564" i="8"/>
  <c r="AK3564" i="8"/>
  <c r="AH4309" i="8"/>
  <c r="AK4309" i="8"/>
  <c r="AH4609" i="8"/>
  <c r="AK4609" i="8"/>
  <c r="T4789" i="8"/>
  <c r="AH6516" i="8" l="1"/>
  <c r="AH11472" i="8"/>
  <c r="F382" i="28"/>
  <c r="F1064" i="28" s="1"/>
  <c r="T11470" i="8"/>
  <c r="T31" i="1" s="1"/>
  <c r="F11470" i="8"/>
  <c r="F31" i="1" s="1"/>
  <c r="E31" i="1" s="1"/>
  <c r="F41" i="31"/>
  <c r="E41" i="31"/>
  <c r="F1653" i="28"/>
  <c r="D14" i="31" s="1"/>
  <c r="F14" i="31" s="1"/>
  <c r="G1642" i="28"/>
  <c r="AH6530" i="8"/>
  <c r="F1321" i="28"/>
  <c r="E1645" i="28" s="1"/>
  <c r="F1646" i="28" s="1"/>
  <c r="D13" i="31" s="1"/>
  <c r="F13" i="31" s="1"/>
  <c r="AK3031" i="8"/>
  <c r="AK1042" i="8"/>
  <c r="AH942" i="8"/>
  <c r="AK972" i="8"/>
  <c r="AK942" i="8"/>
  <c r="AK684" i="8"/>
  <c r="AK2818" i="8"/>
  <c r="AH711" i="8"/>
  <c r="AK711" i="8"/>
  <c r="AK691" i="8"/>
  <c r="AH635" i="8"/>
  <c r="AK670" i="8"/>
  <c r="AK635" i="8"/>
  <c r="AI6113" i="8"/>
  <c r="AJ6113" i="8" s="1"/>
  <c r="AK4004" i="8"/>
  <c r="AK5870" i="8"/>
  <c r="T4994" i="8"/>
  <c r="AH4004" i="8"/>
  <c r="AH5641" i="8"/>
  <c r="AH6240" i="8"/>
  <c r="AK5363" i="8"/>
  <c r="AK2393" i="8"/>
  <c r="AH2393" i="8"/>
  <c r="AK4031" i="8"/>
  <c r="AH4031" i="8"/>
  <c r="AK5663" i="8"/>
  <c r="AH5663" i="8"/>
  <c r="AK2372" i="8"/>
  <c r="AH2372" i="8"/>
  <c r="AK6572" i="8"/>
  <c r="AH2365" i="8"/>
  <c r="AH6572" i="8"/>
  <c r="T1453" i="8"/>
  <c r="AH6275" i="8"/>
  <c r="AH6142" i="8"/>
  <c r="AK5743" i="8"/>
  <c r="AK6174" i="8"/>
  <c r="AH5743" i="8"/>
  <c r="AH2386" i="8"/>
  <c r="F1453" i="8"/>
  <c r="G1625" i="28" s="1"/>
  <c r="AK6275" i="8"/>
  <c r="AH1005" i="8"/>
  <c r="AK6142" i="8"/>
  <c r="AH6655" i="8"/>
  <c r="AI6227" i="8"/>
  <c r="AJ6227" i="8" s="1"/>
  <c r="AH6174" i="8"/>
  <c r="AK6319" i="8"/>
  <c r="AK6436" i="8"/>
  <c r="AH2358" i="8"/>
  <c r="AH6436" i="8"/>
  <c r="AH6319" i="8"/>
  <c r="F4994" i="8"/>
  <c r="G1637" i="28" s="1"/>
  <c r="AK2358" i="8"/>
  <c r="AH5870" i="8"/>
  <c r="R39" i="1"/>
  <c r="AH2316" i="8"/>
  <c r="AK2379" i="8"/>
  <c r="AK2316" i="8"/>
  <c r="AH2379" i="8"/>
  <c r="AK2344" i="8"/>
  <c r="AH2344" i="8"/>
  <c r="AK2351" i="8"/>
  <c r="AH2351" i="8"/>
  <c r="AI1137" i="8"/>
  <c r="AJ1137" i="8" s="1"/>
  <c r="AK2323" i="8"/>
  <c r="AH2323" i="8"/>
  <c r="AH2337" i="8"/>
  <c r="AK2337" i="8"/>
  <c r="T2487" i="8"/>
  <c r="AK1158" i="8"/>
  <c r="AH1158" i="8"/>
  <c r="F2487" i="8"/>
  <c r="F591" i="8"/>
  <c r="F11463" i="8" s="1"/>
  <c r="F24" i="1" s="1"/>
  <c r="E561" i="8"/>
  <c r="T559" i="8"/>
  <c r="T757" i="8" s="1"/>
  <c r="AJ559" i="8"/>
  <c r="AK559" i="8"/>
  <c r="B5575" i="8"/>
  <c r="F757" i="8"/>
  <c r="F6805" i="8"/>
  <c r="G1647" i="28" s="1"/>
  <c r="AK7070" i="8"/>
  <c r="B9803" i="8"/>
  <c r="AH7048" i="8"/>
  <c r="AK7048" i="8"/>
  <c r="T7048" i="8"/>
  <c r="T7211" i="8" s="1"/>
  <c r="T7733" i="8" s="1"/>
  <c r="F7211" i="8"/>
  <c r="G1649" i="28" s="1"/>
  <c r="AK6655" i="8"/>
  <c r="AJ6655" i="8"/>
  <c r="AH5632" i="8"/>
  <c r="AK5508" i="8"/>
  <c r="AK6133" i="8"/>
  <c r="AH6133" i="8"/>
  <c r="AK4845" i="8"/>
  <c r="AH5985" i="8"/>
  <c r="AK5985" i="8"/>
  <c r="AH4845" i="8"/>
  <c r="AH4022" i="8"/>
  <c r="AK5349" i="8"/>
  <c r="R2330" i="26"/>
  <c r="F2326" i="26"/>
  <c r="F2312" i="26"/>
  <c r="F3924" i="8"/>
  <c r="G1633" i="28" s="1"/>
  <c r="T3924" i="8"/>
  <c r="AH3696" i="8"/>
  <c r="AK3696" i="8"/>
  <c r="AK3977" i="8"/>
  <c r="AH3977" i="8"/>
  <c r="AK4013" i="8"/>
  <c r="F4203" i="8"/>
  <c r="G1634" i="28" s="1"/>
  <c r="T4203" i="8"/>
  <c r="AH4013" i="8"/>
  <c r="AH6336" i="8"/>
  <c r="R11480" i="8"/>
  <c r="AI5844" i="8"/>
  <c r="AJ5844" i="8" s="1"/>
  <c r="AK6445" i="8"/>
  <c r="AI5809" i="8"/>
  <c r="AJ5809" i="8" s="1"/>
  <c r="AH6445" i="8"/>
  <c r="AK5936" i="8"/>
  <c r="AH5936" i="8"/>
  <c r="AK6502" i="8"/>
  <c r="AH6502" i="8"/>
  <c r="AH5927" i="8"/>
  <c r="AK5681" i="8"/>
  <c r="AH5681" i="8"/>
  <c r="AH5605" i="8"/>
  <c r="AK6214" i="8"/>
  <c r="AH6214" i="8"/>
  <c r="AK6067" i="8"/>
  <c r="AH6067" i="8"/>
  <c r="AH6284" i="8"/>
  <c r="AH5914" i="8"/>
  <c r="AH6523" i="8"/>
  <c r="AK5914" i="8"/>
  <c r="AK5756" i="8"/>
  <c r="AK6489" i="8"/>
  <c r="AI5690" i="8"/>
  <c r="AJ5690" i="8" s="1"/>
  <c r="AH6489" i="8"/>
  <c r="AK6523" i="8"/>
  <c r="AK5712" i="8"/>
  <c r="T1077" i="8"/>
  <c r="AH5712" i="8"/>
  <c r="AI6585" i="8"/>
  <c r="AJ6585" i="8" s="1"/>
  <c r="AH6080" i="8"/>
  <c r="AK6262" i="8"/>
  <c r="AH6262" i="8"/>
  <c r="AH5998" i="8"/>
  <c r="AI6203" i="8"/>
  <c r="AJ6203" i="8" s="1"/>
  <c r="AK6541" i="8"/>
  <c r="AH6541" i="8"/>
  <c r="AK5703" i="8"/>
  <c r="AH5831" i="8"/>
  <c r="AH6155" i="8"/>
  <c r="AH5958" i="8"/>
  <c r="AK661" i="8"/>
  <c r="AK5958" i="8"/>
  <c r="AK6155" i="8"/>
  <c r="AH661" i="8"/>
  <c r="AK6563" i="8"/>
  <c r="AH5756" i="8"/>
  <c r="AH5703" i="8"/>
  <c r="AI5901" i="8"/>
  <c r="AJ5901" i="8" s="1"/>
  <c r="AH5623" i="8"/>
  <c r="AH5791" i="8"/>
  <c r="AH5650" i="8"/>
  <c r="AK5623" i="8"/>
  <c r="AH6363" i="8"/>
  <c r="AK6030" i="8"/>
  <c r="AH6030" i="8"/>
  <c r="AK5734" i="8"/>
  <c r="AH5734" i="8"/>
  <c r="AK6363" i="8"/>
  <c r="AH6418" i="8"/>
  <c r="AK5791" i="8"/>
  <c r="AI5765" i="8"/>
  <c r="AJ5765" i="8" s="1"/>
  <c r="AK6467" i="8"/>
  <c r="AH6467" i="8"/>
  <c r="AH6563" i="8"/>
  <c r="AI6550" i="8"/>
  <c r="AJ6550" i="8" s="1"/>
  <c r="AI6041" i="8"/>
  <c r="AJ6041" i="8" s="1"/>
  <c r="AH6041" i="8"/>
  <c r="AK1212" i="8"/>
  <c r="AK2793" i="8"/>
  <c r="AK2804" i="8"/>
  <c r="AK677" i="8"/>
  <c r="AK6196" i="8"/>
  <c r="AK6516" i="8"/>
  <c r="AK5641" i="8"/>
  <c r="AK2858" i="8"/>
  <c r="B2730" i="8"/>
  <c r="AK1445" i="8"/>
  <c r="AK1661" i="8"/>
  <c r="AK2365" i="8"/>
  <c r="AK2829" i="8"/>
  <c r="AK1895" i="8"/>
  <c r="AK2623" i="8"/>
  <c r="AK2612" i="8"/>
  <c r="AK2605" i="8"/>
  <c r="AK6336" i="8"/>
  <c r="B1846" i="8"/>
  <c r="B3273" i="8"/>
  <c r="AK1413" i="8"/>
  <c r="AK1884" i="8"/>
  <c r="AK4040" i="8"/>
  <c r="AK6284" i="8"/>
  <c r="AK5191" i="8"/>
  <c r="AK1356" i="8"/>
  <c r="AK4186" i="8"/>
  <c r="AK5335" i="8"/>
  <c r="AK3146" i="8"/>
  <c r="AK5490" i="8"/>
  <c r="AK2645" i="8"/>
  <c r="AK5998" i="8"/>
  <c r="AK6124" i="8"/>
  <c r="AK1053" i="8"/>
  <c r="AK5501" i="8"/>
  <c r="AH933" i="8"/>
  <c r="AK2062" i="8"/>
  <c r="AK5233" i="8"/>
  <c r="AK3336" i="8"/>
  <c r="AK5529" i="8"/>
  <c r="AK6240" i="8"/>
  <c r="AK1766" i="8"/>
  <c r="AK5721" i="8"/>
  <c r="AH726" i="8"/>
  <c r="AK726" i="8"/>
  <c r="AK1130" i="8"/>
  <c r="AK979" i="8"/>
  <c r="AK3890" i="8"/>
  <c r="AK2386" i="8"/>
  <c r="AK5515" i="8"/>
  <c r="AK2572" i="8"/>
  <c r="AK6594" i="8"/>
  <c r="AK1193" i="8"/>
  <c r="AK926" i="8"/>
  <c r="AK1420" i="8"/>
  <c r="AH6052" i="8"/>
  <c r="AK6052" i="8"/>
  <c r="AK2659" i="8"/>
  <c r="AK1097" i="8"/>
  <c r="AK3392" i="8"/>
  <c r="AK609" i="8"/>
  <c r="AK3045" i="8"/>
  <c r="AH6480" i="8"/>
  <c r="AK1291" i="8"/>
  <c r="AK3789" i="8"/>
  <c r="AK2711" i="8"/>
  <c r="AK1548" i="8"/>
  <c r="AI5774" i="8"/>
  <c r="AJ5774" i="8" s="1"/>
  <c r="AH5774" i="8"/>
  <c r="AK840" i="8"/>
  <c r="AK3052" i="8"/>
  <c r="AK5650" i="8"/>
  <c r="AK965" i="8"/>
  <c r="AK6418" i="8"/>
  <c r="AK1263" i="8"/>
  <c r="AK4750" i="8"/>
  <c r="AK5448" i="8"/>
  <c r="AK5184" i="8"/>
  <c r="B2926" i="8"/>
  <c r="AK4379" i="8"/>
  <c r="AK2255" i="8"/>
  <c r="AK847" i="8"/>
  <c r="AK2479" i="8"/>
  <c r="AK1682" i="8"/>
  <c r="AK6007" i="8"/>
  <c r="AH6427" i="8"/>
  <c r="AK6427" i="8"/>
  <c r="AK2943" i="8"/>
  <c r="AH5976" i="8"/>
  <c r="AK5976" i="8"/>
  <c r="AK3329" i="8"/>
  <c r="AH4623" i="8"/>
  <c r="AK4623" i="8"/>
  <c r="AK812" i="8"/>
  <c r="AK1924" i="8"/>
  <c r="AK1242" i="8"/>
  <c r="AK5945" i="8"/>
  <c r="AH648" i="8"/>
  <c r="AK648" i="8"/>
  <c r="AK4065" i="8"/>
  <c r="F1077" i="8"/>
  <c r="G1624" i="28" s="1"/>
  <c r="AH5672" i="8"/>
  <c r="AK5672" i="8"/>
  <c r="F6405" i="8"/>
  <c r="AK3813" i="8"/>
  <c r="AK1005" i="8"/>
  <c r="AK2722" i="8"/>
  <c r="AK2561" i="8"/>
  <c r="AK2670" i="8"/>
  <c r="AK5522" i="8"/>
  <c r="AK5605" i="8"/>
  <c r="AK3024" i="8"/>
  <c r="AK5831" i="8"/>
  <c r="AH626" i="8"/>
  <c r="AK626" i="8"/>
  <c r="AK1220" i="8"/>
  <c r="AK2886" i="8"/>
  <c r="AK5632" i="8"/>
  <c r="AK889" i="8"/>
  <c r="AK1501" i="8"/>
  <c r="AI933" i="8"/>
  <c r="AJ933" i="8" s="1"/>
  <c r="AK3249" i="8"/>
  <c r="AH698" i="8"/>
  <c r="AK698" i="8"/>
  <c r="AK6080" i="8"/>
  <c r="T6405" i="8"/>
  <c r="AI6509" i="8"/>
  <c r="AK2811" i="8"/>
  <c r="T166" i="1"/>
  <c r="S165" i="1"/>
  <c r="F83" i="1" s="1"/>
  <c r="T165" i="1"/>
  <c r="AH5822" i="8"/>
  <c r="AK5822" i="8"/>
  <c r="AH5800" i="8"/>
  <c r="AK5800" i="8"/>
  <c r="B2207" i="8"/>
  <c r="AK4022" i="8"/>
  <c r="AK2764" i="8"/>
  <c r="AK2918" i="8"/>
  <c r="AK2743" i="8"/>
  <c r="AK2006" i="8"/>
  <c r="AK2151" i="8"/>
  <c r="T5614" i="8"/>
  <c r="T6017" i="8" s="1"/>
  <c r="F6017" i="8"/>
  <c r="T4623" i="8"/>
  <c r="AK1870" i="8"/>
  <c r="AK1399" i="8"/>
  <c r="AK1838" i="8"/>
  <c r="AK1165" i="8"/>
  <c r="AK5462" i="8"/>
  <c r="AH4664" i="8"/>
  <c r="AK4664" i="8"/>
  <c r="AK1508" i="8"/>
  <c r="AH6100" i="8"/>
  <c r="AK6100" i="8"/>
  <c r="AK6530" i="8"/>
  <c r="AK3995" i="8"/>
  <c r="AK1104" i="8"/>
  <c r="AI5614" i="8"/>
  <c r="AJ5614" i="8" s="1"/>
  <c r="AH5614" i="8"/>
  <c r="AI6183" i="8"/>
  <c r="AJ6183" i="8" s="1"/>
  <c r="AH6183" i="8"/>
  <c r="AK2844" i="8"/>
  <c r="AK2027" i="8"/>
  <c r="AK1991" i="8"/>
  <c r="AI6306" i="8"/>
  <c r="AJ6306" i="8" s="1"/>
  <c r="AH6306" i="8"/>
  <c r="AK1515" i="8"/>
  <c r="F6628" i="8"/>
  <c r="B5569" i="8"/>
  <c r="AI4637" i="8"/>
  <c r="AJ4637" i="8" s="1"/>
  <c r="AH4637" i="8"/>
  <c r="AI5967" i="8"/>
  <c r="AJ5967" i="8" s="1"/>
  <c r="AH5967" i="8"/>
  <c r="AK4616" i="8"/>
  <c r="AK1378" i="8"/>
  <c r="AK2872" i="8"/>
  <c r="AK5927" i="8"/>
  <c r="AH6354" i="8"/>
  <c r="AK6354" i="8"/>
  <c r="AK2137" i="8"/>
  <c r="AI6480" i="8"/>
  <c r="AJ6480" i="8" s="1"/>
  <c r="AK4051" i="8"/>
  <c r="AK4630" i="8"/>
  <c r="T6628" i="8"/>
  <c r="AK4838" i="8"/>
  <c r="B4524" i="8"/>
  <c r="AK4439" i="8"/>
  <c r="AK4267" i="8"/>
  <c r="AH4651" i="8"/>
  <c r="AH4644" i="8"/>
  <c r="AK4644" i="8"/>
  <c r="AH3501" i="8"/>
  <c r="AK3501" i="8"/>
  <c r="AK4817" i="8"/>
  <c r="AK4446" i="8"/>
  <c r="F4733" i="8"/>
  <c r="G1636" i="28" s="1"/>
  <c r="AK4796" i="8"/>
  <c r="T3501" i="8"/>
  <c r="F3617" i="8"/>
  <c r="G1632" i="28" s="1"/>
  <c r="F11462" i="8"/>
  <c r="F23" i="1" s="1"/>
  <c r="F11476" i="8"/>
  <c r="AK4929" i="8"/>
  <c r="AK4302" i="8"/>
  <c r="AK3536" i="8"/>
  <c r="AK4824" i="8"/>
  <c r="AI4651" i="8"/>
  <c r="AJ4651" i="8" s="1"/>
  <c r="E1623" i="28" l="1"/>
  <c r="F1638" i="28" s="1"/>
  <c r="AJ11470" i="8"/>
  <c r="B11470" i="8"/>
  <c r="B31" i="1"/>
  <c r="A31" i="1"/>
  <c r="F1323" i="28"/>
  <c r="AK6113" i="8"/>
  <c r="B4994" i="8"/>
  <c r="AK6227" i="8"/>
  <c r="B1453" i="8"/>
  <c r="T170" i="1"/>
  <c r="AK1137" i="8"/>
  <c r="B2487" i="8"/>
  <c r="B11463" i="8"/>
  <c r="F35" i="1"/>
  <c r="B6805" i="8"/>
  <c r="F7733" i="8"/>
  <c r="G1653" i="28" s="1"/>
  <c r="T6634" i="8"/>
  <c r="F6634" i="8"/>
  <c r="G1646" i="28" s="1"/>
  <c r="B7211" i="8"/>
  <c r="AJ2311" i="26"/>
  <c r="AH2311" i="26"/>
  <c r="AH2323" i="26" s="1"/>
  <c r="T2312" i="26"/>
  <c r="B2312" i="26" s="1"/>
  <c r="T2326" i="26"/>
  <c r="B2326" i="26" s="1"/>
  <c r="F2328" i="26"/>
  <c r="F2322" i="26"/>
  <c r="B3924" i="8"/>
  <c r="E23" i="1"/>
  <c r="B4203" i="8"/>
  <c r="AK5844" i="8"/>
  <c r="AK5809" i="8"/>
  <c r="AK6585" i="8"/>
  <c r="AK5690" i="8"/>
  <c r="B1077" i="8"/>
  <c r="AK6203" i="8"/>
  <c r="AK6550" i="8"/>
  <c r="AK5901" i="8"/>
  <c r="AK5765" i="8"/>
  <c r="AH11461" i="8"/>
  <c r="AH11473" i="8" s="1"/>
  <c r="B6017" i="8"/>
  <c r="T4733" i="8"/>
  <c r="B4733" i="8" s="1"/>
  <c r="AK6041" i="8"/>
  <c r="B757" i="8"/>
  <c r="AK5774" i="8"/>
  <c r="B6628" i="8"/>
  <c r="AK5967" i="8"/>
  <c r="AK6306" i="8"/>
  <c r="AK4637" i="8"/>
  <c r="AK6183" i="8"/>
  <c r="AK6509" i="8"/>
  <c r="AJ6509" i="8"/>
  <c r="AJ11461" i="8" s="1"/>
  <c r="B6405" i="8"/>
  <c r="AK5614" i="8"/>
  <c r="E83" i="1"/>
  <c r="T37" i="1"/>
  <c r="AK6480" i="8"/>
  <c r="AK933" i="8"/>
  <c r="E25" i="1"/>
  <c r="A25" i="1"/>
  <c r="B25" i="1"/>
  <c r="AK4651" i="8"/>
  <c r="F11472" i="8"/>
  <c r="T3617" i="8"/>
  <c r="T11476" i="8"/>
  <c r="B11476" i="8" s="1"/>
  <c r="T11462" i="8"/>
  <c r="T23" i="1" s="1"/>
  <c r="F5000" i="8"/>
  <c r="F11478" i="8"/>
  <c r="G1623" i="28" l="1"/>
  <c r="F45" i="1"/>
  <c r="F1661" i="28"/>
  <c r="D10" i="31"/>
  <c r="F10" i="31" s="1"/>
  <c r="U166" i="1"/>
  <c r="U168" i="1"/>
  <c r="U167" i="1"/>
  <c r="C72" i="1"/>
  <c r="Q15" i="1" s="1"/>
  <c r="E24" i="1"/>
  <c r="E35" i="1" s="1"/>
  <c r="E52" i="31" s="1"/>
  <c r="B24" i="1"/>
  <c r="A24" i="1"/>
  <c r="B6634" i="8"/>
  <c r="AK2311" i="26"/>
  <c r="T2330" i="26"/>
  <c r="T2328" i="26"/>
  <c r="B2328" i="26" s="1"/>
  <c r="T2322" i="26"/>
  <c r="AJ2312" i="26"/>
  <c r="AJ2322" i="26" s="1"/>
  <c r="F2330" i="26"/>
  <c r="B11462" i="8"/>
  <c r="B7733" i="8"/>
  <c r="AK11461" i="8"/>
  <c r="T11478" i="8"/>
  <c r="B11478" i="8" s="1"/>
  <c r="T5000" i="8"/>
  <c r="T11480" i="8" s="1"/>
  <c r="F11480" i="8"/>
  <c r="B3617" i="8"/>
  <c r="T11472" i="8"/>
  <c r="AJ11462" i="8"/>
  <c r="AJ11472" i="8" s="1"/>
  <c r="V35" i="1" l="1"/>
  <c r="E18" i="31"/>
  <c r="F18" i="31"/>
  <c r="Q16" i="1"/>
  <c r="V41" i="1"/>
  <c r="F72" i="1"/>
  <c r="AK2322" i="26"/>
  <c r="AK2323" i="26" s="1"/>
  <c r="AJ2323" i="26"/>
  <c r="B2330" i="26"/>
  <c r="F75" i="1"/>
  <c r="E22" i="18"/>
  <c r="T35" i="1"/>
  <c r="T45" i="1" s="1"/>
  <c r="B23" i="1"/>
  <c r="A23" i="1"/>
  <c r="B19" i="1" s="1"/>
  <c r="B11480" i="8"/>
  <c r="AK11472" i="8"/>
  <c r="AK11473" i="8" s="1"/>
  <c r="AJ11473" i="8"/>
  <c r="B5000" i="8"/>
  <c r="F50" i="31" l="1"/>
  <c r="F52" i="31" s="1"/>
  <c r="F54" i="31" s="1"/>
  <c r="E50" i="31"/>
  <c r="E54" i="31" s="1"/>
  <c r="B35" i="1" s="1"/>
  <c r="T39" i="1"/>
  <c r="F74" i="1"/>
  <c r="Q17" i="1" s="1"/>
  <c r="R83" i="1"/>
  <c r="Q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3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3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3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3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3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3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3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3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3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3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3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3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3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3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3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 Sammut</author>
  </authors>
  <commentList>
    <comment ref="A148" authorId="0" shapeId="0" xr:uid="{F1EB66D3-9014-4EAC-8DA0-8946FEBB27CD}">
      <text>
        <r>
          <rPr>
            <b/>
            <sz val="9"/>
            <color indexed="81"/>
            <rFont val="Tahoma"/>
            <family val="2"/>
          </rPr>
          <t>Thomas Sammut:</t>
        </r>
        <r>
          <rPr>
            <sz val="9"/>
            <color indexed="81"/>
            <rFont val="Tahoma"/>
            <family val="2"/>
          </rPr>
          <t xml:space="preserve">
Allowed for saddle every 1.5metres</t>
        </r>
      </text>
    </comment>
    <comment ref="AF148" authorId="0" shapeId="0" xr:uid="{023995CB-9703-48F5-A5A1-73B98BEEAE08}">
      <text>
        <r>
          <rPr>
            <b/>
            <sz val="9"/>
            <color indexed="81"/>
            <rFont val="Tahoma"/>
            <family val="2"/>
          </rPr>
          <t>Thomas Sammut:</t>
        </r>
        <r>
          <rPr>
            <sz val="9"/>
            <color indexed="81"/>
            <rFont val="Tahoma"/>
            <family val="2"/>
          </rPr>
          <t xml:space="preserve">
Allowed for saddle every 1.5metres</t>
        </r>
      </text>
    </comment>
    <comment ref="A528" authorId="0" shapeId="0" xr:uid="{3B21779E-023D-47A7-9BA8-656468A3CCEE}">
      <text>
        <r>
          <rPr>
            <b/>
            <sz val="9"/>
            <color indexed="81"/>
            <rFont val="Tahoma"/>
            <family val="2"/>
          </rPr>
          <t>Thomas Sammut:</t>
        </r>
        <r>
          <rPr>
            <sz val="9"/>
            <color indexed="81"/>
            <rFont val="Tahoma"/>
            <family val="2"/>
          </rPr>
          <t xml:space="preserve">
</t>
        </r>
      </text>
    </comment>
    <comment ref="Q996" authorId="0" shapeId="0" xr:uid="{00000000-0006-0000-0500-000001000000}">
      <text>
        <r>
          <rPr>
            <b/>
            <sz val="9"/>
            <color indexed="81"/>
            <rFont val="Tahoma"/>
            <family val="2"/>
          </rPr>
          <t>Thomas Sammut:</t>
        </r>
        <r>
          <rPr>
            <sz val="9"/>
            <color indexed="81"/>
            <rFont val="Tahoma"/>
            <family val="2"/>
          </rPr>
          <t xml:space="preserve">
See items at level 2 in green for lbour hours of cable containment</t>
        </r>
      </text>
    </comment>
    <comment ref="Q1059" authorId="0" shapeId="0" xr:uid="{4A7C85E2-BAB3-48A3-8C86-7EEBC84FF68F}">
      <text>
        <r>
          <rPr>
            <b/>
            <sz val="9"/>
            <color indexed="81"/>
            <rFont val="Tahoma"/>
            <family val="2"/>
          </rPr>
          <t>Thomas Sammut:</t>
        </r>
        <r>
          <rPr>
            <sz val="9"/>
            <color indexed="81"/>
            <rFont val="Tahoma"/>
            <family val="2"/>
          </rPr>
          <t xml:space="preserve">
Price by Michael Scicluna on 5.06.2025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Sammut</author>
    <author>Michael Vella</author>
  </authors>
  <commentList>
    <comment ref="S144" authorId="0" shapeId="0" xr:uid="{5D9EA872-8C4D-44E7-A769-0115DBF8EFD8}">
      <text>
        <r>
          <rPr>
            <b/>
            <sz val="9"/>
            <color indexed="81"/>
            <rFont val="Tahoma"/>
            <family val="2"/>
          </rPr>
          <t>Thomas Sammut:</t>
        </r>
        <r>
          <rPr>
            <sz val="9"/>
            <color indexed="81"/>
            <rFont val="Tahoma"/>
            <family val="2"/>
          </rPr>
          <t xml:space="preserve">
Two pairs two days</t>
        </r>
      </text>
    </comment>
    <comment ref="A150" authorId="0" shapeId="0" xr:uid="{37EBDF65-6E30-43A7-976C-60F46AF3723E}">
      <text>
        <r>
          <rPr>
            <b/>
            <sz val="9"/>
            <color indexed="81"/>
            <rFont val="Tahoma"/>
            <family val="2"/>
          </rPr>
          <t>Thomas Sammut:</t>
        </r>
        <r>
          <rPr>
            <sz val="9"/>
            <color indexed="81"/>
            <rFont val="Tahoma"/>
            <family val="2"/>
          </rPr>
          <t xml:space="preserve">
Original quantity in C</t>
        </r>
      </text>
    </comment>
    <comment ref="AR150" authorId="0" shapeId="0" xr:uid="{BE77059E-813F-4A53-BF2A-660EB3455ADA}">
      <text>
        <r>
          <rPr>
            <b/>
            <sz val="9"/>
            <color indexed="81"/>
            <rFont val="Tahoma"/>
            <family val="2"/>
          </rPr>
          <t>Thomas Sammut:</t>
        </r>
        <r>
          <rPr>
            <sz val="9"/>
            <color indexed="81"/>
            <rFont val="Tahoma"/>
            <family val="2"/>
          </rPr>
          <t xml:space="preserve">
Original quantity in C</t>
        </r>
      </text>
    </comment>
    <comment ref="A157" authorId="1" shapeId="0" xr:uid="{00000000-0006-0000-0600-00000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157" authorId="1" shapeId="0" xr:uid="{19A27C99-617C-4A25-9EF6-2D21D3780A0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2" authorId="1" shapeId="0" xr:uid="{00000000-0006-0000-0600-00000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172" authorId="1" shapeId="0" xr:uid="{44344F77-B1F3-48F8-9986-905C5815E62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Q184" authorId="0" shapeId="0" xr:uid="{780D6541-7618-435D-92E2-DFC4D470DF83}">
      <text>
        <r>
          <rPr>
            <b/>
            <sz val="9"/>
            <color indexed="81"/>
            <rFont val="Tahoma"/>
            <family val="2"/>
          </rPr>
          <t>Thomas Sammut:</t>
        </r>
        <r>
          <rPr>
            <sz val="9"/>
            <color indexed="81"/>
            <rFont val="Tahoma"/>
            <family val="2"/>
          </rPr>
          <t xml:space="preserve">
Updated as advised by Clint</t>
        </r>
      </text>
    </comment>
    <comment ref="A187" authorId="1" shapeId="0" xr:uid="{801CEB74-168F-438D-812C-C55E751DF92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187" authorId="1" shapeId="0" xr:uid="{24EC6083-3F31-48D6-9B2C-7B3DE94C289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88" authorId="1" shapeId="0" xr:uid="{00000000-0006-0000-0600-000004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488" authorId="1" shapeId="0" xr:uid="{AFA6506B-4803-4F48-A3FA-D00889F70AB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09" authorId="1" shapeId="0" xr:uid="{00000000-0006-0000-0600-000005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509" authorId="1" shapeId="0" xr:uid="{8988DD64-9CFC-475D-80B8-92A010987D6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91" authorId="1" shapeId="0" xr:uid="{458EB292-7109-4254-9E94-E6B8B62009B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591" authorId="1" shapeId="0" xr:uid="{BA1EFD6A-B296-4D76-AB10-DBF8812DBC9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163" authorId="0" shapeId="0" xr:uid="{CCE47D55-D25A-4C0D-902E-861D8AFFDAF1}">
      <text>
        <r>
          <rPr>
            <b/>
            <sz val="9"/>
            <color indexed="81"/>
            <rFont val="Tahoma"/>
            <family val="2"/>
          </rPr>
          <t>Thomas Sammut:</t>
        </r>
        <r>
          <rPr>
            <sz val="9"/>
            <color indexed="81"/>
            <rFont val="Tahoma"/>
            <family val="2"/>
          </rPr>
          <t xml:space="preserve">
Quantities in column C</t>
        </r>
      </text>
    </comment>
    <comment ref="AR2163" authorId="0" shapeId="0" xr:uid="{245E0ED8-D7EC-4463-8675-8CCCB3BF839A}">
      <text>
        <r>
          <rPr>
            <b/>
            <sz val="9"/>
            <color indexed="81"/>
            <rFont val="Tahoma"/>
            <family val="2"/>
          </rPr>
          <t>Thomas Sammut:</t>
        </r>
        <r>
          <rPr>
            <sz val="9"/>
            <color indexed="81"/>
            <rFont val="Tahoma"/>
            <family val="2"/>
          </rPr>
          <t xml:space="preserve">
Quantities in column C</t>
        </r>
      </text>
    </comment>
    <comment ref="Q5885" authorId="0" shapeId="0" xr:uid="{00000000-0006-0000-0600-000006000000}">
      <text>
        <r>
          <rPr>
            <b/>
            <sz val="9"/>
            <color indexed="81"/>
            <rFont val="Tahoma"/>
            <family val="2"/>
          </rPr>
          <t>Thomas Sammut:</t>
        </r>
        <r>
          <rPr>
            <sz val="9"/>
            <color indexed="81"/>
            <rFont val="Tahoma"/>
            <family val="2"/>
          </rPr>
          <t xml:space="preserve">
Price from FBP  - 1.6mm thickness</t>
        </r>
      </text>
    </comment>
    <comment ref="Q5886" authorId="0" shapeId="0" xr:uid="{00000000-0006-0000-0600-000007000000}">
      <text>
        <r>
          <rPr>
            <b/>
            <sz val="9"/>
            <color indexed="81"/>
            <rFont val="Tahoma"/>
            <family val="2"/>
          </rPr>
          <t>Thomas Sammut:</t>
        </r>
        <r>
          <rPr>
            <sz val="9"/>
            <color indexed="81"/>
            <rFont val="Tahoma"/>
            <family val="2"/>
          </rPr>
          <t xml:space="preserve">
Price from FBP  
</t>
        </r>
      </text>
    </comment>
    <comment ref="Q5887" authorId="0" shapeId="0" xr:uid="{00000000-0006-0000-0600-000008000000}">
      <text>
        <r>
          <rPr>
            <b/>
            <sz val="9"/>
            <color indexed="81"/>
            <rFont val="Tahoma"/>
            <family val="2"/>
          </rPr>
          <t>Thomas Sammut:</t>
        </r>
        <r>
          <rPr>
            <sz val="9"/>
            <color indexed="81"/>
            <rFont val="Tahoma"/>
            <family val="2"/>
          </rPr>
          <t xml:space="preserve">
Price from FBP  
</t>
        </r>
      </text>
    </comment>
    <comment ref="A7073" authorId="0" shapeId="0" xr:uid="{EA4A5CD3-1FEF-4754-A109-D9D7E5265927}">
      <text>
        <r>
          <rPr>
            <b/>
            <sz val="9"/>
            <color indexed="81"/>
            <rFont val="Tahoma"/>
            <family val="2"/>
          </rPr>
          <t>Thomas Sammut:</t>
        </r>
        <r>
          <rPr>
            <sz val="9"/>
            <color indexed="81"/>
            <rFont val="Tahoma"/>
            <family val="2"/>
          </rPr>
          <t xml:space="preserve">
New take offs by Umut - Original quantities in column C</t>
        </r>
      </text>
    </comment>
    <comment ref="AR7073" authorId="0" shapeId="0" xr:uid="{818AE6E6-C021-4035-A078-134574C8451C}">
      <text>
        <r>
          <rPr>
            <b/>
            <sz val="9"/>
            <color indexed="81"/>
            <rFont val="Tahoma"/>
            <family val="2"/>
          </rPr>
          <t>Thomas Sammut:</t>
        </r>
        <r>
          <rPr>
            <sz val="9"/>
            <color indexed="81"/>
            <rFont val="Tahoma"/>
            <family val="2"/>
          </rPr>
          <t xml:space="preserve">
New take offs by Umut - Original quantities in column C</t>
        </r>
      </text>
    </comment>
    <comment ref="A7131" authorId="1" shapeId="0" xr:uid="{BA49BCF2-8A3C-418A-8DB1-930BB54F8B1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7131" authorId="1" shapeId="0" xr:uid="{2AE0EAF7-014B-4FEC-B100-D9EE8155D1F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145" authorId="1" shapeId="0" xr:uid="{AC21309A-DEED-455C-9B66-2F93D078FB2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7145" authorId="1" shapeId="0" xr:uid="{0A431564-E0A5-4BF4-8D6E-A245E2D3AA3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758" authorId="1" shapeId="0" xr:uid="{8D3A4009-B553-4AC5-A78B-4E05C8FAFF9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R7758" authorId="1" shapeId="0" xr:uid="{16F179CE-BCDB-4D05-A7A4-C90D393B263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Q10869" authorId="0" shapeId="0" xr:uid="{B7646EFE-7016-433F-B3E2-E80A15906F90}">
      <text>
        <r>
          <rPr>
            <b/>
            <sz val="9"/>
            <color indexed="81"/>
            <rFont val="Tahoma"/>
            <family val="2"/>
          </rPr>
          <t>Thomas Sammut:</t>
        </r>
        <r>
          <rPr>
            <sz val="9"/>
            <color indexed="81"/>
            <rFont val="Tahoma"/>
            <family val="2"/>
          </rPr>
          <t xml:space="preserve">
See items at level 2 in green for lbour hours of cable containment</t>
        </r>
      </text>
    </comment>
    <comment ref="AK11461" authorId="1" shapeId="0" xr:uid="{00000000-0006-0000-0600-000013000000}">
      <text>
        <r>
          <rPr>
            <b/>
            <sz val="10"/>
            <color indexed="81"/>
            <rFont val="Tahoma"/>
            <family val="2"/>
          </rPr>
          <t>Michael Vella:</t>
        </r>
        <r>
          <rPr>
            <sz val="10"/>
            <color indexed="81"/>
            <rFont val="Tahoma"/>
            <family val="2"/>
          </rPr>
          <t xml:space="preserve">
This cell should be exactly equal to the MU SUMMARY TOTAL.</t>
        </r>
      </text>
    </comment>
    <comment ref="AH11473" authorId="1" shapeId="0" xr:uid="{00000000-0006-0000-0600-000014000000}">
      <text>
        <r>
          <rPr>
            <b/>
            <sz val="10"/>
            <color indexed="81"/>
            <rFont val="Tahoma"/>
            <family val="2"/>
          </rPr>
          <t>Michael Vella:</t>
        </r>
        <r>
          <rPr>
            <sz val="10"/>
            <color indexed="81"/>
            <rFont val="Tahoma"/>
            <family val="2"/>
          </rPr>
          <t xml:space="preserve">
This discrepancy must be small</t>
        </r>
      </text>
    </comment>
    <comment ref="AJ11473" authorId="1" shapeId="0" xr:uid="{00000000-0006-0000-0600-000015000000}">
      <text>
        <r>
          <rPr>
            <b/>
            <sz val="10"/>
            <color indexed="81"/>
            <rFont val="Tahoma"/>
            <family val="2"/>
          </rPr>
          <t>Michael Vella:</t>
        </r>
        <r>
          <rPr>
            <sz val="10"/>
            <color indexed="81"/>
            <rFont val="Tahoma"/>
            <family val="2"/>
          </rPr>
          <t xml:space="preserve">
This discrepancy must be small</t>
        </r>
      </text>
    </comment>
    <comment ref="AK11473" authorId="1" shapeId="0" xr:uid="{00000000-0006-0000-0600-000016000000}">
      <text>
        <r>
          <rPr>
            <b/>
            <sz val="10"/>
            <color indexed="81"/>
            <rFont val="Tahoma"/>
            <family val="2"/>
          </rPr>
          <t>Michael Vella:</t>
        </r>
        <r>
          <rPr>
            <sz val="10"/>
            <color indexed="81"/>
            <rFont val="Tahoma"/>
            <family val="2"/>
          </rPr>
          <t xml:space="preserve">
This discrepancy must be small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400" authorId="0" shapeId="0" xr:uid="{9FA0D3F5-AFAC-4FE4-8CA4-F7A10781DA18}">
      <text>
        <r>
          <rPr>
            <b/>
            <sz val="10"/>
            <color indexed="81"/>
            <rFont val="Tahoma"/>
            <family val="2"/>
          </rPr>
          <t>Michael Vella:</t>
        </r>
        <r>
          <rPr>
            <sz val="10"/>
            <color indexed="81"/>
            <rFont val="Tahoma"/>
            <family val="2"/>
          </rPr>
          <t xml:space="preserve">
This cell should be exactly equal to the MU SUMMARY TOTAL.</t>
        </r>
      </text>
    </comment>
    <comment ref="AH412" authorId="0" shapeId="0" xr:uid="{8CEE7FF7-8E6D-409C-990C-8835E28B0AC6}">
      <text>
        <r>
          <rPr>
            <b/>
            <sz val="10"/>
            <color indexed="81"/>
            <rFont val="Tahoma"/>
            <family val="2"/>
          </rPr>
          <t>Michael Vella:</t>
        </r>
        <r>
          <rPr>
            <sz val="10"/>
            <color indexed="81"/>
            <rFont val="Tahoma"/>
            <family val="2"/>
          </rPr>
          <t xml:space="preserve">
This discrepancy must be small</t>
        </r>
      </text>
    </comment>
    <comment ref="AJ412" authorId="0" shapeId="0" xr:uid="{05F9F265-C449-472A-8A92-A560BD288A0F}">
      <text>
        <r>
          <rPr>
            <b/>
            <sz val="10"/>
            <color indexed="81"/>
            <rFont val="Tahoma"/>
            <family val="2"/>
          </rPr>
          <t>Michael Vella:</t>
        </r>
        <r>
          <rPr>
            <sz val="10"/>
            <color indexed="81"/>
            <rFont val="Tahoma"/>
            <family val="2"/>
          </rPr>
          <t xml:space="preserve">
This discrepancy must be small</t>
        </r>
      </text>
    </comment>
    <comment ref="AK412" authorId="0" shapeId="0" xr:uid="{BA38D13A-239F-47F0-A231-31640216AD19}">
      <text>
        <r>
          <rPr>
            <b/>
            <sz val="10"/>
            <color indexed="81"/>
            <rFont val="Tahoma"/>
            <family val="2"/>
          </rPr>
          <t>Michael Vella:</t>
        </r>
        <r>
          <rPr>
            <sz val="10"/>
            <color indexed="81"/>
            <rFont val="Tahoma"/>
            <family val="2"/>
          </rPr>
          <t xml:space="preserve">
This discrepancy must be small</t>
        </r>
      </text>
    </comment>
    <comment ref="AK2311" authorId="0" shapeId="0" xr:uid="{00000000-0006-0000-0000-000001000000}">
      <text>
        <r>
          <rPr>
            <b/>
            <sz val="10"/>
            <color indexed="81"/>
            <rFont val="Tahoma"/>
            <family val="2"/>
          </rPr>
          <t>Michael Vella:</t>
        </r>
        <r>
          <rPr>
            <sz val="10"/>
            <color indexed="81"/>
            <rFont val="Tahoma"/>
            <family val="2"/>
          </rPr>
          <t xml:space="preserve">
This cell should be exactly equal to the MU SUMMARY TOTAL.</t>
        </r>
      </text>
    </comment>
    <comment ref="AH2323" authorId="0" shapeId="0" xr:uid="{00000000-0006-0000-0000-000002000000}">
      <text>
        <r>
          <rPr>
            <b/>
            <sz val="10"/>
            <color indexed="81"/>
            <rFont val="Tahoma"/>
            <family val="2"/>
          </rPr>
          <t>Michael Vella:</t>
        </r>
        <r>
          <rPr>
            <sz val="10"/>
            <color indexed="81"/>
            <rFont val="Tahoma"/>
            <family val="2"/>
          </rPr>
          <t xml:space="preserve">
This discrepancy must be small</t>
        </r>
      </text>
    </comment>
    <comment ref="AJ2323" authorId="0" shapeId="0" xr:uid="{00000000-0006-0000-0000-000003000000}">
      <text>
        <r>
          <rPr>
            <b/>
            <sz val="10"/>
            <color indexed="81"/>
            <rFont val="Tahoma"/>
            <family val="2"/>
          </rPr>
          <t>Michael Vella:</t>
        </r>
        <r>
          <rPr>
            <sz val="10"/>
            <color indexed="81"/>
            <rFont val="Tahoma"/>
            <family val="2"/>
          </rPr>
          <t xml:space="preserve">
This discrepancy must be small</t>
        </r>
      </text>
    </comment>
    <comment ref="AK2323" authorId="0" shapeId="0" xr:uid="{00000000-0006-0000-00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<sst xmlns="http://schemas.openxmlformats.org/spreadsheetml/2006/main" count="55253" uniqueCount="4147">
  <si>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</si>
  <si>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</si>
  <si>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</si>
  <si>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</si>
  <si>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</si>
  <si>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</si>
  <si>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</si>
  <si>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</si>
  <si>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</si>
  <si>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</si>
  <si>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</si>
  <si>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</si>
  <si>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</si>
  <si>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</si>
  <si>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</si>
  <si>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</si>
  <si>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</si>
  <si>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</si>
  <si>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</si>
  <si>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</si>
  <si>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</si>
  <si>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</si>
  <si>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</si>
  <si>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</si>
  <si>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</si>
  <si>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</si>
  <si>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</si>
  <si>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</si>
  <si>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</si>
  <si>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</si>
  <si>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</si>
  <si>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</si>
  <si>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</si>
  <si>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</si>
  <si>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</si>
  <si>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</si>
  <si>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</si>
  <si>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</si>
  <si>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</si>
  <si>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</si>
  <si>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</si>
  <si>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</si>
  <si>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</si>
  <si>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</si>
  <si>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</si>
  <si>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</si>
  <si>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</si>
  <si>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</si>
  <si>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</si>
  <si>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</si>
  <si>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</si>
  <si>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</si>
  <si>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</si>
  <si>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</si>
  <si>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</si>
  <si>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</si>
  <si>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</si>
  <si>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</si>
  <si>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</si>
  <si>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</si>
  <si>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</si>
  <si>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</si>
  <si>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</si>
  <si>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</si>
  <si>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</si>
  <si>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</si>
  <si>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</si>
  <si>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</si>
  <si>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</si>
  <si>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</si>
  <si>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</si>
  <si>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</si>
  <si>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</si>
  <si>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</si>
  <si>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</si>
  <si>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</si>
  <si>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</si>
  <si>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</si>
  <si>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</si>
  <si>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</si>
  <si>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</si>
  <si>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</si>
  <si>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</si>
  <si>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</si>
  <si>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</si>
  <si>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</si>
  <si>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</si>
  <si>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</si>
  <si>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</si>
  <si>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</si>
  <si>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</si>
  <si>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</si>
  <si>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</si>
  <si>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</si>
  <si>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</si>
  <si>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</si>
  <si>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</si>
  <si>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</si>
  <si>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</si>
  <si>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</si>
  <si>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</si>
  <si>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</si>
  <si>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</si>
  <si>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</si>
  <si>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</si>
  <si>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</si>
  <si>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</si>
  <si>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</si>
  <si>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</si>
  <si>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</si>
  <si>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</si>
  <si>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</si>
  <si>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</si>
  <si>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</si>
  <si>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</si>
  <si>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</si>
  <si>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</si>
  <si>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</si>
  <si>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</si>
  <si>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</si>
  <si>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</si>
  <si>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</si>
  <si>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</si>
  <si>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</si>
  <si>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</si>
  <si>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</si>
  <si>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</si>
  <si>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</si>
  <si>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</si>
  <si>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</si>
  <si>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</si>
  <si>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</si>
  <si>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</si>
  <si>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</si>
  <si>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</si>
  <si>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</si>
  <si>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</si>
  <si>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</si>
  <si>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</si>
  <si>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</si>
  <si>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</si>
  <si>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</si>
  <si>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</si>
  <si>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</si>
  <si>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</si>
  <si>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</si>
  <si>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</si>
  <si>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</si>
  <si>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SB</t>
  </si>
  <si>
    <t>END!</t>
  </si>
  <si>
    <t>COSTCODE TOTAL</t>
  </si>
  <si>
    <t>Cables accessories</t>
  </si>
  <si>
    <t>Fix 1</t>
  </si>
  <si>
    <t>Fix 2</t>
  </si>
  <si>
    <t>Fix 3</t>
  </si>
  <si>
    <t>Others</t>
  </si>
  <si>
    <t>TOTAL</t>
  </si>
  <si>
    <t>PAGE</t>
  </si>
  <si>
    <t>PAGE SELL</t>
  </si>
  <si>
    <t>PAGE MAT</t>
  </si>
  <si>
    <t>PAGE LAB</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</si>
  <si>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</si>
  <si>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</si>
  <si>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</si>
  <si>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</si>
  <si>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</si>
  <si>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</si>
  <si>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</si>
  <si>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</si>
  <si>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</si>
  <si>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</si>
  <si>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</si>
  <si>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</si>
  <si>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</si>
  <si>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</si>
  <si>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</si>
  <si>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</si>
  <si>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</si>
  <si>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</si>
  <si>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</si>
  <si>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</si>
  <si>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</si>
  <si>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</si>
  <si>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</si>
  <si>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</si>
  <si>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</si>
  <si>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</si>
  <si>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</si>
  <si>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</si>
  <si>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</si>
  <si>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</si>
  <si>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</si>
  <si>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</si>
  <si>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</si>
  <si>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</si>
  <si>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</si>
  <si>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</si>
  <si>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</si>
  <si>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DESCRIPTION</t>
  </si>
  <si>
    <t>QTY</t>
  </si>
  <si>
    <t>UNIT</t>
  </si>
  <si>
    <t xml:space="preserve">RATE </t>
  </si>
  <si>
    <t>Camilleri&amp;Cuschieri Tenders</t>
  </si>
  <si>
    <t>Conduit</t>
  </si>
  <si>
    <t>Wiring</t>
  </si>
  <si>
    <t>Supply</t>
  </si>
  <si>
    <t>checkdesc</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</si>
  <si>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</si>
  <si>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</si>
  <si>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</si>
  <si>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</si>
  <si>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</si>
  <si>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</si>
  <si>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</si>
  <si>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</si>
  <si>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</si>
  <si>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</si>
  <si>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</si>
  <si>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</si>
  <si>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</si>
  <si>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</si>
  <si>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</si>
  <si>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</si>
  <si>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</si>
  <si>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</si>
  <si>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</si>
  <si>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</si>
  <si>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</si>
  <si>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</si>
  <si>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</si>
  <si>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</si>
  <si>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</si>
  <si>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</si>
  <si>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</si>
  <si>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</si>
  <si>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</si>
  <si>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</si>
  <si>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</si>
  <si>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</si>
  <si>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</si>
  <si>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</si>
  <si>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</si>
  <si>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</si>
  <si>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</si>
  <si>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</si>
  <si>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</si>
  <si>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</si>
  <si>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</si>
  <si>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</si>
  <si>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</si>
  <si>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Final Sell after Discounts excl.VAT (€):</t>
  </si>
  <si>
    <t>Estim.Sell before Discounts excl.VAT (€):</t>
  </si>
  <si>
    <t>Overall Discount:</t>
  </si>
  <si>
    <t>MAT CONT &gt;&gt;</t>
  </si>
  <si>
    <t>BOQ TOTAL</t>
  </si>
  <si>
    <t>NOTES</t>
  </si>
  <si>
    <t>ELECTRICAL</t>
  </si>
  <si>
    <t>ELV</t>
  </si>
  <si>
    <t>Dist Boards</t>
  </si>
  <si>
    <t>Fire Alarm</t>
  </si>
  <si>
    <t>Data</t>
  </si>
  <si>
    <t>PRINT</t>
  </si>
  <si>
    <t xml:space="preserve">VAT: </t>
  </si>
  <si>
    <t xml:space="preserve">LAB. COST: </t>
  </si>
  <si>
    <t>Mechanical for Electrical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</si>
  <si>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</si>
  <si>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</si>
  <si>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</si>
  <si>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</si>
  <si>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</si>
  <si>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</si>
  <si>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</si>
  <si>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</si>
  <si>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</si>
  <si>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</si>
  <si>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</si>
  <si>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</si>
  <si>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</si>
  <si>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</si>
  <si>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</si>
  <si>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</si>
  <si>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</si>
  <si>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</si>
  <si>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</si>
  <si>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</si>
  <si>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</si>
  <si>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t>
  </si>
  <si>
    <t>Hrs</t>
  </si>
  <si>
    <t>Total</t>
  </si>
  <si>
    <t>Unit Lab phr.</t>
  </si>
  <si>
    <t>Mr. A. Sciberras</t>
  </si>
  <si>
    <t>Ms. S. Magri</t>
  </si>
  <si>
    <t>A. Sciberras</t>
  </si>
  <si>
    <t>SECTION 1 - MECHANICAL, ELECTRICAL AND PLUMBING</t>
  </si>
  <si>
    <t>RATE Euro 
(Exc of VAT)</t>
  </si>
  <si>
    <t xml:space="preserve">TOTAL Euro
(Exc of VAT)     </t>
  </si>
  <si>
    <t>PRELIMINARIES</t>
  </si>
  <si>
    <t>All equipment to be used within this contract is to be approved prior to delivery to site.</t>
  </si>
  <si>
    <t xml:space="preserve">
Mobilisation of site including the setting up of Storage facilities for materials, Sanitary facilities for the employees, Setting up of temporary site office, etc required to undertake the works 
</t>
  </si>
  <si>
    <t>L.S.</t>
  </si>
  <si>
    <t>Provision of insurance cover in the joint names of the Client and Contractor insure the Works against loss or damage by fire, storm, tempest, lightning, flood, earthquake, aircraft or anything dropped there from, aerial objects, riot and civil commotion for the full reinstatement value thereof plus 15% of all the Works executed and all unfixed materials and goods so insured until the completion of the Works.  The Contractor shall affect a policy of insurance against third party risks to cover an amount of not less than Euro 500,000 (five hundred thousand Euros) for any one accident.  The policy shall be in joint names of the Client and Contractor and shall include cross liability clauses.  In respect of liability for the death or injury to any person employed by the Contractor and arising out of and in the course of such person's employment by the Contractor the amount insured by the Contractor shall be such as to indemnify the Client against all damages as compensation payable.  The Contractor shall comply with and be subject to the terms, exclusions, exceptions, conditions and limitations of the insurance policies and shall bear the amount of the retained liabilities stated therein The Contractor shall deposit with the Client copies of the policy or policies and a copy of the receipt in respect of premiums paid before starting the Works</t>
  </si>
  <si>
    <t xml:space="preserve">
Implementation of health and safety measures on site including personal safety (e.g safety shoes, helmets scaffolding, harnesses etc) as well as those to render the site safe for employees (e.g staircase handrails, closing of lift shaft openings etc)
</t>
  </si>
  <si>
    <t xml:space="preserve">
Prepare a risk assessment report outlining all risks involved and measures to be taken to minimise or eliminate potential risks. The report is to be prepared and signed by a competent person and to be submitted within three weeks from commencement of works.
</t>
  </si>
  <si>
    <t xml:space="preserve">
Allow for carrying out all surveys, setting out of works unless included elsewhere in the Bills of Quantities. 
</t>
  </si>
  <si>
    <t>TOTAL FOR PAGE 01</t>
  </si>
  <si>
    <t>Euro Exc VAT</t>
  </si>
  <si>
    <t xml:space="preserve">
Provision for attending to site to take all relevant measurements in order to ascertain the exact quantities of the individual and measured items  to be procured as well as keeping of all relevant records of personnel attendance, stock control etc
</t>
  </si>
  <si>
    <t xml:space="preserve">
Provision of security measures on site both as regards the storage facilities as well as to safeguard the materials installed during the latter stages of the project.
</t>
  </si>
  <si>
    <t xml:space="preserve">
Provision for the supply and delivery to site of samples as may be requested by the client / engineer
</t>
  </si>
  <si>
    <t xml:space="preserve">
Allow for continuously keeping the site and building clean and in a workman type condition free from debris, surplus materials and any other type of loose matter arising from works, which will disturb the proper conditions of any internal and external areas, roads and/or adjoining structures. Site Cleaning is to take place during the whole duration of works.
Client reserves the right to employ cleaning companies at the contractor's expense if the contractor fails to keep the site clean.
</t>
  </si>
  <si>
    <t xml:space="preserve">
Provision for hauling of equipment on site, including cranage, permits and all necessary fees.
</t>
  </si>
  <si>
    <t>Provision for working at height, including scaffolding, cherry pickers etc. All equipment shall be fully certified.</t>
  </si>
  <si>
    <t>Provision for Builders Work in order to prepare all openings required to install conduits, pipework, ductwork, etc., and making good and reinstatement of all openings.</t>
  </si>
  <si>
    <t>Provision for Openings in Insulation Panelling in order to prepare all openings required to install conduits, pipework, ductwork, etc., and making good and reinstatement of all openings.</t>
  </si>
  <si>
    <t>TOTAL FOR PAGE 02</t>
  </si>
  <si>
    <t>TOTAL FOR PRELIMINARIES</t>
  </si>
  <si>
    <t>PLUMBING INSTALLATION</t>
  </si>
  <si>
    <t>PIPEWORK</t>
  </si>
  <si>
    <t>Supply and install the following Polypropylene PN 16 pipework, c/w weatherproof covering for all external runs, inclusive of all accessories, fittings sleeves in walls, brackets fixing, vents and all necessary to provide a complete system. Pipes to have the following Internal Ø in mm.</t>
  </si>
  <si>
    <t>15mm dia.</t>
  </si>
  <si>
    <t>m</t>
  </si>
  <si>
    <t>22mm dia.</t>
  </si>
  <si>
    <t>28mm dia.</t>
  </si>
  <si>
    <t>32mm dia.</t>
  </si>
  <si>
    <t>40mm dia.</t>
  </si>
  <si>
    <t>50mm dia.</t>
  </si>
  <si>
    <t>VALVES</t>
  </si>
  <si>
    <t>Supply, install and connect the following valves on main runs as per schematic. Valves on Hot Water runs shall be properly insulated with closed-cell foam insulation rated min B-S2,d0 and weatherproofed for external runs</t>
  </si>
  <si>
    <t xml:space="preserve">15mm dia. - Isolating valve </t>
  </si>
  <si>
    <t>No.</t>
  </si>
  <si>
    <t xml:space="preserve">22mm dia. - Isolating valve </t>
  </si>
  <si>
    <t xml:space="preserve">28mm dia. - Isolating valve </t>
  </si>
  <si>
    <t xml:space="preserve">32mm dia. - Isolating valve </t>
  </si>
  <si>
    <t xml:space="preserve">40mm dia. - Isolating valve </t>
  </si>
  <si>
    <t xml:space="preserve">50mm dia. - Isolating valve </t>
  </si>
  <si>
    <t>50mm dia. - Non-return valve</t>
  </si>
  <si>
    <t>15mm dia. - Pressure reducing valve</t>
  </si>
  <si>
    <t>22mm dia. - Pressure reducing valve</t>
  </si>
  <si>
    <t>40mm dia. - Pressure reducing valve</t>
  </si>
  <si>
    <t>50mm dia. - Pressure reducing valve</t>
  </si>
  <si>
    <t>22mm dia. - Solenoid Valve</t>
  </si>
  <si>
    <t>32mm dia. - Solenoid Valve</t>
  </si>
  <si>
    <t>50mm dia. - Solenoid Valve</t>
  </si>
  <si>
    <t>Basement Level -1</t>
  </si>
  <si>
    <t>Plumbing hot and cold water using Polypropylene PN 16 pipework chased in wall/ surface mounted from header in shaft / main distribution pipework to final sanitary fittings including the supply of all fittings, brackets etc. for a complete installation as per drawing.</t>
  </si>
  <si>
    <t>Bib Tap</t>
  </si>
  <si>
    <t xml:space="preserve">Supply, Install and connect the following chrome fittings </t>
  </si>
  <si>
    <t>Level 0</t>
  </si>
  <si>
    <t>Wash hand basin</t>
  </si>
  <si>
    <t>WC complete c/w flushing</t>
  </si>
  <si>
    <t>Water Heater</t>
  </si>
  <si>
    <t>Instant Water Heater</t>
  </si>
  <si>
    <t>Irrigation controller</t>
  </si>
  <si>
    <t>Supply and install U-PVC drains from sanitary fitting to main sewerage run including all fittings, gulleys, elbows, Tee-s, etc. as may be necessary for a complete installation for the following:</t>
  </si>
  <si>
    <t>WC</t>
  </si>
  <si>
    <t>Install and connect the following sanitary ware and chrome</t>
  </si>
  <si>
    <t>Wash hand basin mixer and waste</t>
  </si>
  <si>
    <t>Chrome Plated Angle Valves - 15mm dia.</t>
  </si>
  <si>
    <t>Water Heater 30L - Horizontal Type</t>
  </si>
  <si>
    <t>Instant Water Heater 3.5kW</t>
  </si>
  <si>
    <t>Irrigation controller c/w all interfaces, control cabling to solenoid valves and irrigation pump, programming etc. as per specs</t>
  </si>
  <si>
    <t>TOTAL FOR PAGE 03</t>
  </si>
  <si>
    <t>Level 1</t>
  </si>
  <si>
    <t>Plumbing hot and cold water using Polypropylene PN 16 pipework chased in wall from header in shaft / main distribution pipework to final sanitary fittings including the supply of all fittings, brackets etc. for a complete installation as per drawing.</t>
  </si>
  <si>
    <t>Kitchen Sink</t>
  </si>
  <si>
    <t>RO System</t>
  </si>
  <si>
    <t>Kitchen Sink mixer and waste</t>
  </si>
  <si>
    <t>RO System as per specs</t>
  </si>
  <si>
    <t>Level 2</t>
  </si>
  <si>
    <t>Water Heater 50L - Horizontal Type</t>
  </si>
  <si>
    <t>TOTAL FOR PAGE 04</t>
  </si>
  <si>
    <t>Level 3</t>
  </si>
  <si>
    <t>Supply and install drain line for RO System</t>
  </si>
  <si>
    <t>PLANT AND EQUIPMENT</t>
  </si>
  <si>
    <t xml:space="preserve">Supply, install and connect the following: </t>
  </si>
  <si>
    <t>Vertical Type Water storage tank 2,000L</t>
  </si>
  <si>
    <t>Reservoir Water Level Alarm c/w ultrasonic level sensors, interfaces, control cabling to solenoid valves, control cabling to water pumps, etc. as per specs</t>
  </si>
  <si>
    <t>SCW Tank Water Level Alarm c/w ultrasonic level sensors, interfaces, control cabling to solenoid valves, control cabling to water pumps, etc. as per specs</t>
  </si>
  <si>
    <t>Supply, install and connect the following pumps c/w flexible bellows, non-return valves, strainers, isolating valves, expansion vessels, etc. and all necessary fittings required as per drawing and specification, including the connecting up to the electrical supply</t>
  </si>
  <si>
    <t>General</t>
  </si>
  <si>
    <t>Provision for hyper chlorination of all pipework upon commissioning of Plumbing System.</t>
  </si>
  <si>
    <t>Test and commission system including the provision for all necessary testing as may be required</t>
  </si>
  <si>
    <t>Supply one full set of as fitted drawings (including 1 hard copy and a digital copy on 2 separate USBs) c/w all manuals etc..</t>
  </si>
  <si>
    <t>Set</t>
  </si>
  <si>
    <t>TOTAL FOR PAGE 05</t>
  </si>
  <si>
    <t>TOTAL FOR PLUMBING INSTALLATION</t>
  </si>
  <si>
    <t>SEWERAGE &amp; RAIN WATER SYSTEMS</t>
  </si>
  <si>
    <t>RAIN WATER PIPEWORK</t>
  </si>
  <si>
    <t>Supply install and connect the following U-PVC rain water collection pipework fixed to walls, ceiling by appropriate brackets or laid in ground, and laid in to falls as per drawings inclusive of all accessories, fittings, sleeves in walls, brackets fixing, vents and all necessary to provide a complete system. Pipes to have the following Internal Ø in mm</t>
  </si>
  <si>
    <t xml:space="preserve">250mm dia. </t>
  </si>
  <si>
    <t xml:space="preserve">200mm dia. </t>
  </si>
  <si>
    <t xml:space="preserve">160mm dia. </t>
  </si>
  <si>
    <t xml:space="preserve">150mm dia. </t>
  </si>
  <si>
    <t xml:space="preserve">125mm dia. </t>
  </si>
  <si>
    <t xml:space="preserve">110mm dia. </t>
  </si>
  <si>
    <t xml:space="preserve">80mm dia. </t>
  </si>
  <si>
    <t>OVERFLOW PIPEWORK</t>
  </si>
  <si>
    <t>Supply install and connect the following U-PVC Overflow water pipework fixed to walls, ceiling by appropriate brackets and laid in to fall as per drawings inclusive of all accessories, rodding points, fittings sleeves in walls, brackets fixing, vents and all necessary to provide a complete system. Pipes to have the following Internal Ø in mm</t>
  </si>
  <si>
    <t>300mm dia. - High Pressure Pipework</t>
  </si>
  <si>
    <t>DRAINAGE PIPEWORK</t>
  </si>
  <si>
    <t>Supply install and connect the following U-PVC Black water collection pipework fixed to walls, ceiling by appropriate brackets and laid in to fall as per drawings inclusive of all accessories, rodding points, fittings sleeves in walls, brackets fixing, vents and all necessary to provide a complete system. Pipes to have the following Internal Ø in mm</t>
  </si>
  <si>
    <t xml:space="preserve">50mm dia. </t>
  </si>
  <si>
    <t>SEWERAGE SYSTEM - SUMPS</t>
  </si>
  <si>
    <t>Pipework for Sump Pumps</t>
  </si>
  <si>
    <t>Supply install and connect the following High Pressure PVC pipework fixed to walls, ceiling by appropriate brackets or laid in ground, and laid in to falls as per drawings inclusive of all accessories, rodding points, fittings sleeves in walls, brackets fixing, vents and all necessary to provide a complete system. Pipes to have the following Internal Ø in mm</t>
  </si>
  <si>
    <t>63mm dia.</t>
  </si>
  <si>
    <t>80mm dia.</t>
  </si>
  <si>
    <t>100mm dia.</t>
  </si>
  <si>
    <t>Supply and install the following:</t>
  </si>
  <si>
    <t>Manifold for collection of Sumps pipework as per drawing, c/w all necessary valves etc for a complete system</t>
  </si>
  <si>
    <t>Valves for Sump Pump</t>
  </si>
  <si>
    <t>63mm dia. - Non-return valve</t>
  </si>
  <si>
    <t>80mm dia. - Non-return valve</t>
  </si>
  <si>
    <t>100mm dia. - Non-return valve</t>
  </si>
  <si>
    <t>Pumps</t>
  </si>
  <si>
    <t>Supply, install and connect the following pumps c/w flexible bellows, non-return valves, strainers, isolating valves etc. and all necessary fittings required as per drawing and specification, including the connecting up to the electrical supply</t>
  </si>
  <si>
    <t>TOTAL FOR PAGE 06</t>
  </si>
  <si>
    <t>dia. 110mm Water Trap</t>
  </si>
  <si>
    <t>dia. 250mm Non-return Valve - Sewerage</t>
  </si>
  <si>
    <t>dia. 110mm Non-return Valve - Sewerage</t>
  </si>
  <si>
    <t>dia. 80mm Non-return Valve - Sewerage</t>
  </si>
  <si>
    <t>dia. 110mm Non-return Valve - Overflow</t>
  </si>
  <si>
    <t>dia. 250mm Non-return Valve - Overflow</t>
  </si>
  <si>
    <t>dia. 200mm Non-return Valve c/w 600x600mm Manhole Load Class E - Overflow</t>
  </si>
  <si>
    <t>dia. 300mm Non-return Valve c/w 600x600mm Manhole Load Class E - Overflow</t>
  </si>
  <si>
    <t>dia. 300mm Isolating Valve - Rain Water/Overflow</t>
  </si>
  <si>
    <t>Floor drain - bathrooms</t>
  </si>
  <si>
    <t>Closed manifold dia. 110mm</t>
  </si>
  <si>
    <t>dia. 250mm Water Trap</t>
  </si>
  <si>
    <t>600x600mm Manhole Load Class E - Rain Water</t>
  </si>
  <si>
    <t>dia. 125mm Non-return Valve c/w 400x400mm Manhole Load Class E - Sewerage</t>
  </si>
  <si>
    <t>1200 x 600 mm Manhole Load Class E</t>
  </si>
  <si>
    <t>400 x 400 mm S.S. Gulley with grating and removable filter basket</t>
  </si>
  <si>
    <t>dia. 50mm air admittance valve</t>
  </si>
  <si>
    <t>dia. 150mm Isolating Valve - Rain Water/Sewerage</t>
  </si>
  <si>
    <t>TOTAL FOR PAGE 07</t>
  </si>
  <si>
    <t>Floor drain - terraces/roof</t>
  </si>
  <si>
    <t>Side parapett outlets - dia. 150mm</t>
  </si>
  <si>
    <t>Side parapett outlets - dia. 125mm</t>
  </si>
  <si>
    <t>Side parapett outlets - dia. 110mm</t>
  </si>
  <si>
    <t>Gulley</t>
  </si>
  <si>
    <t>dia. 110mm air admittance valve</t>
  </si>
  <si>
    <t>Level 4</t>
  </si>
  <si>
    <t>CIVIL WORKS</t>
  </si>
  <si>
    <t>Supply install and connect the following PVC pipework fixed to walls, ceiling by appropriate brackets or laid in ground, and laid in to falls as per drawings inclusive of all accessories, rodding points, fittings sleeves in walls, brackets fixing, vents and all necessary to provide a complete system. Pipes to have the following Internal Ø in mm</t>
  </si>
  <si>
    <t>dia. 80mm PVC Sleeves</t>
  </si>
  <si>
    <t>dia. 110mm Vent pipework</t>
  </si>
  <si>
    <t>dia. 110mm Sump Interconnecting pipework</t>
  </si>
  <si>
    <t>Equipment</t>
  </si>
  <si>
    <t>6000L Oil Interceptor - 40L/s c/w bypass as per specs</t>
  </si>
  <si>
    <t>5000L Oil Interceptor - 25L/s c/w bypass as per specs</t>
  </si>
  <si>
    <t>3000L Oil Interceptor - 15L/s c/w bypass as per specs</t>
  </si>
  <si>
    <t>Floor drain</t>
  </si>
  <si>
    <t>Gutter 150 x 150 mm - Load Class D</t>
  </si>
  <si>
    <t>Gutter 150 x 150 mm - Load Class E</t>
  </si>
  <si>
    <t>Gutter 300 x 300 mm - Load Class E</t>
  </si>
  <si>
    <t>Floor drain c/w backflow preventer</t>
  </si>
  <si>
    <t>Gutter 200 x 200 mm - Load Class E</t>
  </si>
  <si>
    <t>Provision for connecting up to existing sewer at street level, c/w all necessary pipework, fittings etc. necessary for a complete installation - dia. 110mm</t>
  </si>
  <si>
    <t>Provision for connecting up to existing sewer at street level, c/w all necessary pipework, fittings etc. necessary for a complete installation - dia. 250mm</t>
  </si>
  <si>
    <t>TOTAL FOR PAGE 08</t>
  </si>
  <si>
    <t>TOTAL FOR SEWERAGE &amp; RAIN WATER SYSTEMS</t>
  </si>
  <si>
    <t>ELECTRICAL INSTALLATION</t>
  </si>
  <si>
    <t>Supply, install and connect the following:</t>
  </si>
  <si>
    <r>
      <t xml:space="preserve">Supply, install and connect </t>
    </r>
    <r>
      <rPr>
        <b/>
        <sz val="10"/>
        <rFont val="Calibri"/>
        <family val="2"/>
        <scheme val="minor"/>
      </rPr>
      <t>600kVA standby super silent generator</t>
    </r>
    <r>
      <rPr>
        <sz val="10"/>
        <rFont val="Calibri"/>
        <family val="2"/>
        <scheme val="minor"/>
      </rPr>
      <t xml:space="preserve"> inclusive of fuel tank, pipeline, all sensing cables and devices, controls etc. for a complete system as per drawings and specifications</t>
    </r>
  </si>
  <si>
    <t>Double skin stainless steel Generator flue - dia. 150mm</t>
  </si>
  <si>
    <r>
      <t xml:space="preserve">Genset </t>
    </r>
    <r>
      <rPr>
        <b/>
        <sz val="10"/>
        <rFont val="Calibri"/>
        <family val="2"/>
        <scheme val="minor"/>
      </rPr>
      <t>Synchronizing Bus Bar</t>
    </r>
    <r>
      <rPr>
        <sz val="10"/>
        <rFont val="Calibri"/>
        <family val="2"/>
        <scheme val="minor"/>
      </rPr>
      <t xml:space="preserve"> as per schematic - complete with IP65 Weatherproof enclosure</t>
    </r>
  </si>
  <si>
    <r>
      <t>Main Fire Panel '</t>
    </r>
    <r>
      <rPr>
        <b/>
        <sz val="10"/>
        <rFont val="Calibri"/>
        <family val="2"/>
        <scheme val="minor"/>
      </rPr>
      <t>MP-FIRE</t>
    </r>
    <r>
      <rPr>
        <sz val="10"/>
        <rFont val="Calibri"/>
        <family val="2"/>
        <scheme val="minor"/>
      </rPr>
      <t>' 800A TP&amp;Nc/w all necessary circuit breakers, electrical accessories etc. as per schematic</t>
    </r>
  </si>
  <si>
    <r>
      <t>Main Panel '</t>
    </r>
    <r>
      <rPr>
        <b/>
        <sz val="10"/>
        <rFont val="Calibri"/>
        <family val="2"/>
        <scheme val="minor"/>
      </rPr>
      <t>MP-Main</t>
    </r>
    <r>
      <rPr>
        <sz val="10"/>
        <rFont val="Calibri"/>
        <family val="2"/>
        <scheme val="minor"/>
      </rPr>
      <t>' 2000A TP&amp;N c/w all necessary circuit breakers, electrical accessories etc. and c/w Programmable Load shedding capabilities and integrated 2000A Change Over as per schematic</t>
    </r>
  </si>
  <si>
    <r>
      <t>Distribution board '</t>
    </r>
    <r>
      <rPr>
        <b/>
        <sz val="10"/>
        <rFont val="Calibri"/>
        <family val="2"/>
        <scheme val="minor"/>
      </rPr>
      <t>DB-B1U</t>
    </r>
    <r>
      <rPr>
        <sz val="10"/>
        <rFont val="Calibri"/>
        <family val="2"/>
        <scheme val="minor"/>
      </rPr>
      <t>' 12 Way 100A TP&amp;N c/w all necessary circuit breakers, electrical accessories etc. as per schematic</t>
    </r>
  </si>
  <si>
    <r>
      <t>Distribution board '</t>
    </r>
    <r>
      <rPr>
        <b/>
        <sz val="10"/>
        <rFont val="Calibri"/>
        <family val="2"/>
        <scheme val="minor"/>
      </rPr>
      <t>DB-EV</t>
    </r>
    <r>
      <rPr>
        <sz val="10"/>
        <rFont val="Calibri"/>
        <family val="2"/>
        <scheme val="minor"/>
      </rPr>
      <t>' 18 Way 250A TP&amp;N c/w all necessary circuit breakers, electrical accessories etc. as per schematic</t>
    </r>
  </si>
  <si>
    <r>
      <t>Distribution board '</t>
    </r>
    <r>
      <rPr>
        <b/>
        <sz val="10"/>
        <rFont val="Calibri"/>
        <family val="2"/>
        <scheme val="minor"/>
      </rPr>
      <t>DB-LA2</t>
    </r>
    <r>
      <rPr>
        <sz val="10"/>
        <rFont val="Calibri"/>
        <family val="2"/>
        <scheme val="minor"/>
      </rPr>
      <t>' 10 Way 125A TP&amp;N c/w all necessary circuit breakers, electrical accessories etc. as per schematic</t>
    </r>
  </si>
  <si>
    <r>
      <t>Distribution board '</t>
    </r>
    <r>
      <rPr>
        <b/>
        <sz val="10"/>
        <rFont val="Calibri"/>
        <family val="2"/>
        <scheme val="minor"/>
      </rPr>
      <t>DB-B1L</t>
    </r>
    <r>
      <rPr>
        <sz val="10"/>
        <rFont val="Calibri"/>
        <family val="2"/>
        <scheme val="minor"/>
      </rPr>
      <t>' 14 Way 125A TP&amp;N c/w all necessary circuit breakers, electrical accessories etc. as per schematic</t>
    </r>
  </si>
  <si>
    <r>
      <t>Distribution board '</t>
    </r>
    <r>
      <rPr>
        <b/>
        <sz val="10"/>
        <rFont val="Calibri"/>
        <family val="2"/>
        <scheme val="minor"/>
      </rPr>
      <t>DB-B1P</t>
    </r>
    <r>
      <rPr>
        <sz val="10"/>
        <rFont val="Calibri"/>
        <family val="2"/>
        <scheme val="minor"/>
      </rPr>
      <t>' 12 Way 100A TP&amp;N c/w all necessary circuit breakers, electrical accessories etc. as per schematic</t>
    </r>
  </si>
  <si>
    <r>
      <t>Distribution board '</t>
    </r>
    <r>
      <rPr>
        <b/>
        <sz val="10"/>
        <rFont val="Calibri"/>
        <family val="2"/>
        <scheme val="minor"/>
      </rPr>
      <t>DB-TC</t>
    </r>
    <r>
      <rPr>
        <sz val="10"/>
        <rFont val="Calibri"/>
        <family val="2"/>
        <scheme val="minor"/>
      </rPr>
      <t>' 28 Way 250A TP&amp;N c/w all necessary circuit breakers, electrical accessories etc. as per schematic</t>
    </r>
  </si>
  <si>
    <r>
      <t>Distribution board '</t>
    </r>
    <r>
      <rPr>
        <b/>
        <sz val="10"/>
        <rFont val="Calibri"/>
        <family val="2"/>
        <scheme val="minor"/>
      </rPr>
      <t>DB-OL0</t>
    </r>
    <r>
      <rPr>
        <sz val="10"/>
        <rFont val="Calibri"/>
        <family val="2"/>
        <scheme val="minor"/>
      </rPr>
      <t>' 12 Way 63A TP&amp;N c/w all necessary circuit breakers, electrical accessories etc. as per schematic</t>
    </r>
  </si>
  <si>
    <r>
      <t>Distribution board '</t>
    </r>
    <r>
      <rPr>
        <b/>
        <sz val="10"/>
        <rFont val="Calibri"/>
        <family val="2"/>
        <scheme val="minor"/>
      </rPr>
      <t>DB-LA1</t>
    </r>
    <r>
      <rPr>
        <sz val="10"/>
        <rFont val="Calibri"/>
        <family val="2"/>
        <scheme val="minor"/>
      </rPr>
      <t>' 18 Way 160A TP&amp;N c/w all necessary circuit breakers, electrical accessories etc. as per schematic</t>
    </r>
  </si>
  <si>
    <r>
      <t>Distribution board '</t>
    </r>
    <r>
      <rPr>
        <b/>
        <sz val="10"/>
        <rFont val="Calibri"/>
        <family val="2"/>
        <scheme val="minor"/>
      </rPr>
      <t>DB-FLC</t>
    </r>
    <r>
      <rPr>
        <sz val="10"/>
        <rFont val="Calibri"/>
        <family val="2"/>
        <scheme val="minor"/>
      </rPr>
      <t>' 18 Way 250A TP&amp;N c/w all necessary circuit breakers, electrical accessories etc. as per schematic</t>
    </r>
  </si>
  <si>
    <r>
      <t>Distribution board '</t>
    </r>
    <r>
      <rPr>
        <b/>
        <sz val="10"/>
        <rFont val="Calibri"/>
        <family val="2"/>
        <scheme val="minor"/>
      </rPr>
      <t>DB-CRP</t>
    </r>
    <r>
      <rPr>
        <sz val="10"/>
        <rFont val="Calibri"/>
        <family val="2"/>
        <scheme val="minor"/>
      </rPr>
      <t>' 22 Way 125A TP&amp;N c/w all necessary circuit breakers, electrical accessories etc. as per schematic</t>
    </r>
  </si>
  <si>
    <r>
      <t>Distribution board '</t>
    </r>
    <r>
      <rPr>
        <b/>
        <sz val="10"/>
        <rFont val="Calibri"/>
        <family val="2"/>
        <scheme val="minor"/>
      </rPr>
      <t>DB-FLA</t>
    </r>
    <r>
      <rPr>
        <sz val="10"/>
        <rFont val="Calibri"/>
        <family val="2"/>
        <scheme val="minor"/>
      </rPr>
      <t>' 4 Way 63A TP&amp;N c/w all necessary circuit breakers, electrical accessories etc. as per schematic</t>
    </r>
  </si>
  <si>
    <r>
      <t>Distribution board '</t>
    </r>
    <r>
      <rPr>
        <b/>
        <sz val="10"/>
        <rFont val="Calibri"/>
        <family val="2"/>
        <scheme val="minor"/>
      </rPr>
      <t>DB-EA</t>
    </r>
    <r>
      <rPr>
        <sz val="10"/>
        <rFont val="Calibri"/>
        <family val="2"/>
        <scheme val="minor"/>
      </rPr>
      <t>' 8 Way 100A TP&amp;N c/w all necessary circuit breakers, electrical accessories etc. as per schematic - to be complete with IP65 Weatherproof enclosure as per specs.</t>
    </r>
  </si>
  <si>
    <r>
      <t>Distribution board '</t>
    </r>
    <r>
      <rPr>
        <b/>
        <sz val="10"/>
        <rFont val="Calibri"/>
        <family val="2"/>
        <scheme val="minor"/>
      </rPr>
      <t>DB-PL1</t>
    </r>
    <r>
      <rPr>
        <sz val="10"/>
        <rFont val="Calibri"/>
        <family val="2"/>
        <scheme val="minor"/>
      </rPr>
      <t>' 8 Way 300A TP&amp;N c/w all necessary circuit breakers, electrical accessories etc. as per schematic - to be complete with IP65 Weatherproof enclosure as per specs.</t>
    </r>
  </si>
  <si>
    <r>
      <t>Distribution board '</t>
    </r>
    <r>
      <rPr>
        <b/>
        <sz val="10"/>
        <rFont val="Calibri"/>
        <family val="2"/>
        <scheme val="minor"/>
      </rPr>
      <t>DB-PL2</t>
    </r>
    <r>
      <rPr>
        <sz val="10"/>
        <rFont val="Calibri"/>
        <family val="2"/>
        <scheme val="minor"/>
      </rPr>
      <t>' 6 Way 300A TP&amp;N c/w all necessary circuit breakers, electrical accessories etc. as per schematic - to be complete with IP65 Weatherproof enclosure as per specs.</t>
    </r>
  </si>
  <si>
    <r>
      <t>Distribution board '</t>
    </r>
    <r>
      <rPr>
        <b/>
        <sz val="10"/>
        <rFont val="Calibri"/>
        <family val="2"/>
        <scheme val="minor"/>
      </rPr>
      <t>DB-WH</t>
    </r>
    <r>
      <rPr>
        <sz val="10"/>
        <rFont val="Calibri"/>
        <family val="2"/>
        <scheme val="minor"/>
      </rPr>
      <t>' 22 Way 125A TP&amp;N c/w all necessary circuit breakers, electrical accessories etc. as per schematic</t>
    </r>
  </si>
  <si>
    <r>
      <t>Distribution board '</t>
    </r>
    <r>
      <rPr>
        <b/>
        <sz val="10"/>
        <rFont val="Calibri"/>
        <family val="2"/>
        <scheme val="minor"/>
      </rPr>
      <t>DB-OL1</t>
    </r>
    <r>
      <rPr>
        <sz val="10"/>
        <rFont val="Calibri"/>
        <family val="2"/>
        <scheme val="minor"/>
      </rPr>
      <t>' 12 Way 63A TP&amp;N c/w all necessary circuit breakers, electrical accessories etc. as per schematic</t>
    </r>
  </si>
  <si>
    <r>
      <t>Distribution board '</t>
    </r>
    <r>
      <rPr>
        <b/>
        <sz val="10"/>
        <rFont val="Calibri"/>
        <family val="2"/>
        <scheme val="minor"/>
      </rPr>
      <t>DB-AB</t>
    </r>
    <r>
      <rPr>
        <sz val="10"/>
        <rFont val="Calibri"/>
        <family val="2"/>
        <scheme val="minor"/>
      </rPr>
      <t>' 10 Way 63A TP&amp;N c/w all necessary circuit breakers, electrical accessories etc. as per schematic</t>
    </r>
  </si>
  <si>
    <r>
      <t>Distribution board '</t>
    </r>
    <r>
      <rPr>
        <b/>
        <sz val="10"/>
        <rFont val="Calibri"/>
        <family val="2"/>
        <scheme val="minor"/>
      </rPr>
      <t>DB-OL2</t>
    </r>
    <r>
      <rPr>
        <sz val="10"/>
        <rFont val="Calibri"/>
        <family val="2"/>
        <scheme val="minor"/>
      </rPr>
      <t>' 16 Way 63A TP&amp;N c/w all necessary circuit breakers, electrical accessories etc. as per schematic</t>
    </r>
  </si>
  <si>
    <r>
      <t>Distribution board '</t>
    </r>
    <r>
      <rPr>
        <b/>
        <sz val="10"/>
        <rFont val="Calibri"/>
        <family val="2"/>
        <scheme val="minor"/>
      </rPr>
      <t>DB-PL3</t>
    </r>
    <r>
      <rPr>
        <sz val="10"/>
        <rFont val="Calibri"/>
        <family val="2"/>
        <scheme val="minor"/>
      </rPr>
      <t>' 10 Way 400A TP&amp;N c/w all necessary circuit breakers, electrical accessories etc. as per schematic - to be complete with IP65 Weatherproof enclosure as per specs.</t>
    </r>
  </si>
  <si>
    <r>
      <t>Distribution board '</t>
    </r>
    <r>
      <rPr>
        <b/>
        <sz val="10"/>
        <rFont val="Calibri"/>
        <family val="2"/>
        <scheme val="minor"/>
      </rPr>
      <t>DB-OL3</t>
    </r>
    <r>
      <rPr>
        <sz val="10"/>
        <rFont val="Calibri"/>
        <family val="2"/>
        <scheme val="minor"/>
      </rPr>
      <t>' 12 Way 63A TP&amp;N c/w all necessary circuit breakers, electrical accessories etc. as per schematic</t>
    </r>
  </si>
  <si>
    <r>
      <t>Distribution board '</t>
    </r>
    <r>
      <rPr>
        <b/>
        <sz val="10"/>
        <rFont val="Calibri"/>
        <family val="2"/>
        <scheme val="minor"/>
      </rPr>
      <t>DB-OL4</t>
    </r>
    <r>
      <rPr>
        <sz val="10"/>
        <rFont val="Calibri"/>
        <family val="2"/>
        <scheme val="minor"/>
      </rPr>
      <t>' 12 Way 200A TP&amp;N c/w all necessary circuit breakers, electrical accessories etc. as per schematic - to be complete with IP65 Weatherproof enclosure as per specs.</t>
    </r>
  </si>
  <si>
    <t>TOTAL FOR PAGE 09</t>
  </si>
  <si>
    <r>
      <t xml:space="preserve">Supply, install and connect </t>
    </r>
    <r>
      <rPr>
        <b/>
        <sz val="10"/>
        <rFont val="Calibri"/>
        <family val="2"/>
        <scheme val="minor"/>
      </rPr>
      <t xml:space="preserve">Control Panel </t>
    </r>
    <r>
      <rPr>
        <sz val="10"/>
        <rFont val="Calibri"/>
        <family val="2"/>
        <scheme val="minor"/>
      </rPr>
      <t>'</t>
    </r>
    <r>
      <rPr>
        <b/>
        <sz val="10"/>
        <rFont val="Calibri"/>
        <family val="2"/>
        <scheme val="minor"/>
      </rPr>
      <t>CP-B1P</t>
    </r>
    <r>
      <rPr>
        <sz val="10"/>
        <rFont val="Calibri"/>
        <family val="2"/>
        <scheme val="minor"/>
      </rPr>
      <t>' c/w all necessary circuit breakers, electrical accessories, controls, control cabling and all other necessary items required for a  complete system as per schematic and specifications</t>
    </r>
  </si>
  <si>
    <r>
      <t xml:space="preserve">Supply, install and connect </t>
    </r>
    <r>
      <rPr>
        <b/>
        <sz val="10"/>
        <rFont val="Calibri"/>
        <family val="2"/>
        <scheme val="minor"/>
      </rPr>
      <t xml:space="preserve">Control Panel </t>
    </r>
    <r>
      <rPr>
        <sz val="10"/>
        <rFont val="Calibri"/>
        <family val="2"/>
        <scheme val="minor"/>
      </rPr>
      <t>'</t>
    </r>
    <r>
      <rPr>
        <b/>
        <sz val="10"/>
        <rFont val="Calibri"/>
        <family val="2"/>
        <scheme val="minor"/>
      </rPr>
      <t>CP-CW</t>
    </r>
    <r>
      <rPr>
        <sz val="10"/>
        <rFont val="Calibri"/>
        <family val="2"/>
        <scheme val="minor"/>
      </rPr>
      <t>' c/w all necessary circuit breakers, electrical accessories, controls, control cabling and all other necessary items required for a  complete system as per schematic and specifications</t>
    </r>
  </si>
  <si>
    <r>
      <rPr>
        <b/>
        <sz val="10"/>
        <rFont val="Calibri"/>
        <family val="2"/>
        <scheme val="minor"/>
      </rPr>
      <t>63A</t>
    </r>
    <r>
      <rPr>
        <sz val="10"/>
        <rFont val="Calibri"/>
        <family val="2"/>
        <scheme val="minor"/>
      </rPr>
      <t xml:space="preserve"> Automatic Transfer Switch as per specs</t>
    </r>
  </si>
  <si>
    <r>
      <rPr>
        <b/>
        <sz val="10"/>
        <rFont val="Calibri"/>
        <family val="2"/>
        <scheme val="minor"/>
      </rPr>
      <t>125A</t>
    </r>
    <r>
      <rPr>
        <sz val="10"/>
        <rFont val="Calibri"/>
        <family val="2"/>
        <scheme val="minor"/>
      </rPr>
      <t xml:space="preserve"> Automatic Transfer Switch as per specs</t>
    </r>
  </si>
  <si>
    <r>
      <rPr>
        <b/>
        <sz val="10"/>
        <rFont val="Calibri"/>
        <family val="2"/>
        <scheme val="minor"/>
      </rPr>
      <t>200A</t>
    </r>
    <r>
      <rPr>
        <sz val="10"/>
        <rFont val="Calibri"/>
        <family val="2"/>
        <scheme val="minor"/>
      </rPr>
      <t xml:space="preserve"> Automatic Transfer Switch as per specs</t>
    </r>
  </si>
  <si>
    <r>
      <rPr>
        <b/>
        <sz val="10"/>
        <rFont val="Calibri"/>
        <family val="2"/>
        <scheme val="minor"/>
      </rPr>
      <t>500A</t>
    </r>
    <r>
      <rPr>
        <sz val="10"/>
        <rFont val="Calibri"/>
        <family val="2"/>
        <scheme val="minor"/>
      </rPr>
      <t xml:space="preserve"> Automatic Transfer Switch as per specs</t>
    </r>
  </si>
  <si>
    <r>
      <t xml:space="preserve">Supply, install and connect </t>
    </r>
    <r>
      <rPr>
        <b/>
        <sz val="10"/>
        <rFont val="Calibri"/>
        <family val="2"/>
        <scheme val="minor"/>
      </rPr>
      <t>22kW EV Chargers</t>
    </r>
    <r>
      <rPr>
        <sz val="10"/>
        <rFont val="Calibri"/>
        <family val="2"/>
        <scheme val="minor"/>
      </rPr>
      <t xml:space="preserve"> as per specs</t>
    </r>
  </si>
  <si>
    <t>Supply, install and connect the following supply cables on cable tray, including all cleats, glands, terminal lugs etc., for a complete system</t>
  </si>
  <si>
    <t>From Enemalta energy meter to:</t>
  </si>
  <si>
    <r>
      <t>Main Panel</t>
    </r>
    <r>
      <rPr>
        <b/>
        <sz val="10"/>
        <rFont val="Calibri"/>
        <family val="2"/>
        <scheme val="minor"/>
      </rPr>
      <t xml:space="preserve"> 'MP-Main'</t>
    </r>
    <r>
      <rPr>
        <sz val="10"/>
        <rFont val="Calibri"/>
        <family val="2"/>
        <scheme val="minor"/>
      </rPr>
      <t xml:space="preserve"> -
(4 x 5 x 300mm2  F120 Fire Resistant Cable (BS7846) - XLPE/SWA/LSZH)</t>
    </r>
  </si>
  <si>
    <t>From Generator 01 to:</t>
  </si>
  <si>
    <r>
      <rPr>
        <b/>
        <sz val="10"/>
        <rFont val="Calibri"/>
        <family val="2"/>
        <scheme val="minor"/>
      </rPr>
      <t>Synchronizing Bus Bar</t>
    </r>
    <r>
      <rPr>
        <sz val="10"/>
        <rFont val="Calibri"/>
        <family val="2"/>
        <scheme val="minor"/>
      </rPr>
      <t xml:space="preserve"> and Main Genset Panel '</t>
    </r>
    <r>
      <rPr>
        <b/>
        <sz val="10"/>
        <rFont val="Calibri"/>
        <family val="2"/>
        <scheme val="minor"/>
      </rPr>
      <t>MP-GEN</t>
    </r>
    <r>
      <rPr>
        <sz val="10"/>
        <rFont val="Calibri"/>
        <family val="2"/>
        <scheme val="minor"/>
      </rPr>
      <t>' -
(2 x 5 x 240mm2  F120 Fire Resistant Cable (BS7846) -  XLPE/SWA/LSZH)</t>
    </r>
  </si>
  <si>
    <t>From Generator 02 to:</t>
  </si>
  <si>
    <t>From Main Genset Panel 'MP-GEN' to:</t>
  </si>
  <si>
    <r>
      <t>Main Fire Panel</t>
    </r>
    <r>
      <rPr>
        <b/>
        <sz val="10"/>
        <rFont val="Calibri"/>
        <family val="2"/>
        <scheme val="minor"/>
      </rPr>
      <t xml:space="preserve"> 'MP-FIRE'</t>
    </r>
    <r>
      <rPr>
        <sz val="10"/>
        <rFont val="Calibri"/>
        <family val="2"/>
        <scheme val="minor"/>
      </rPr>
      <t xml:space="preserve"> -
(2 x 5 x 240mm2  F120 Fire Resistant Cable (BS7846) - XLPE/SWA/LSZH)</t>
    </r>
  </si>
  <si>
    <r>
      <t xml:space="preserve">Automatic Transfer Switch </t>
    </r>
    <r>
      <rPr>
        <b/>
        <sz val="10"/>
        <rFont val="Calibri"/>
        <family val="2"/>
        <scheme val="minor"/>
      </rPr>
      <t>'TS-VB1U'</t>
    </r>
    <r>
      <rPr>
        <sz val="10"/>
        <rFont val="Calibri"/>
        <family val="2"/>
        <scheme val="minor"/>
      </rPr>
      <t xml:space="preserve"> -
(5 x 50mm2  F120 Fire Resistant Cable (BS7846) - XLPE/SWA/LSZH)</t>
    </r>
  </si>
  <si>
    <r>
      <t>Main Panel</t>
    </r>
    <r>
      <rPr>
        <b/>
        <sz val="10"/>
        <rFont val="Calibri"/>
        <family val="2"/>
        <scheme val="minor"/>
      </rPr>
      <t xml:space="preserve"> 'MP-Main'</t>
    </r>
    <r>
      <rPr>
        <sz val="10"/>
        <rFont val="Calibri"/>
        <family val="2"/>
        <scheme val="minor"/>
      </rPr>
      <t xml:space="preserve"> -
(4 x 5 x 240mm2  F120 Fire Resistant Cable (BS7846) - XLPE/SWA/LSZH)</t>
    </r>
  </si>
  <si>
    <t>From Main Fire Panel 'MP-FIRE' to:</t>
  </si>
  <si>
    <r>
      <rPr>
        <b/>
        <sz val="10"/>
        <rFont val="Calibri"/>
        <family val="2"/>
        <scheme val="minor"/>
      </rPr>
      <t>Automatic Transfer Switch</t>
    </r>
    <r>
      <rPr>
        <sz val="10"/>
        <rFont val="Calibri"/>
        <family val="2"/>
        <scheme val="minor"/>
      </rPr>
      <t xml:space="preserve"> for Sprinkler Pump Set '</t>
    </r>
    <r>
      <rPr>
        <b/>
        <sz val="10"/>
        <rFont val="Calibri"/>
        <family val="2"/>
        <scheme val="minor"/>
      </rPr>
      <t>TS-SP01</t>
    </r>
    <r>
      <rPr>
        <sz val="10"/>
        <rFont val="Calibri"/>
        <family val="2"/>
        <scheme val="minor"/>
      </rPr>
      <t>' -
(2 x 5 x 120mm2 F120 Fire Resistant Cable (BS7846) -  XLPE/SWA/LSZH)</t>
    </r>
  </si>
  <si>
    <r>
      <rPr>
        <b/>
        <sz val="10"/>
        <rFont val="Calibri"/>
        <family val="2"/>
        <scheme val="minor"/>
      </rPr>
      <t>Automatic Transfer Switch</t>
    </r>
    <r>
      <rPr>
        <sz val="10"/>
        <rFont val="Calibri"/>
        <family val="2"/>
        <scheme val="minor"/>
      </rPr>
      <t xml:space="preserve"> for Fire Fighting Pump Set '</t>
    </r>
    <r>
      <rPr>
        <b/>
        <sz val="10"/>
        <rFont val="Calibri"/>
        <family val="2"/>
        <scheme val="minor"/>
      </rPr>
      <t>TS-FP01</t>
    </r>
    <r>
      <rPr>
        <sz val="10"/>
        <rFont val="Calibri"/>
        <family val="2"/>
        <scheme val="minor"/>
      </rPr>
      <t>' -
(5 x 95mm2 F120 Fire Resistant Cable (BS7846) -  XLPE/SWA/LSZH)</t>
    </r>
  </si>
  <si>
    <r>
      <rPr>
        <b/>
        <sz val="10"/>
        <rFont val="Calibri"/>
        <family val="2"/>
        <scheme val="minor"/>
      </rPr>
      <t>Automatic Transfer Switch</t>
    </r>
    <r>
      <rPr>
        <sz val="10"/>
        <rFont val="Calibri"/>
        <family val="2"/>
        <scheme val="minor"/>
      </rPr>
      <t xml:space="preserve"> for Fire Appliance Pump Set '</t>
    </r>
    <r>
      <rPr>
        <b/>
        <sz val="10"/>
        <rFont val="Calibri"/>
        <family val="2"/>
        <scheme val="minor"/>
      </rPr>
      <t>TS-HP01</t>
    </r>
    <r>
      <rPr>
        <sz val="10"/>
        <rFont val="Calibri"/>
        <family val="2"/>
        <scheme val="minor"/>
      </rPr>
      <t>' -
(5 x 16mm2 F120 Fire Resistant Cable (BS7846) -  XLPE/SWA/LSZH)</t>
    </r>
  </si>
  <si>
    <r>
      <rPr>
        <b/>
        <sz val="10"/>
        <rFont val="Calibri"/>
        <family val="2"/>
        <scheme val="minor"/>
      </rPr>
      <t>Automatic Transfer Switch</t>
    </r>
    <r>
      <rPr>
        <sz val="10"/>
        <rFont val="Calibri"/>
        <family val="2"/>
        <scheme val="minor"/>
      </rPr>
      <t xml:space="preserve"> for Carpark Ventilation '</t>
    </r>
    <r>
      <rPr>
        <b/>
        <sz val="10"/>
        <rFont val="Calibri"/>
        <family val="2"/>
        <scheme val="minor"/>
      </rPr>
      <t>TS-VB1L</t>
    </r>
    <r>
      <rPr>
        <sz val="10"/>
        <rFont val="Calibri"/>
        <family val="2"/>
        <scheme val="minor"/>
      </rPr>
      <t>' -
(5 x 35mm2 F120 Fire Resistant Cable (BS7846) -  XLPE/SWA/LSZH)</t>
    </r>
  </si>
  <si>
    <t>TOTAL FOR PAGE 10</t>
  </si>
  <si>
    <t>From Main Panel 'MP-Main' to:</t>
  </si>
  <si>
    <r>
      <t>Distribution Board '</t>
    </r>
    <r>
      <rPr>
        <b/>
        <sz val="10"/>
        <rFont val="Calibri"/>
        <family val="2"/>
        <scheme val="minor"/>
      </rPr>
      <t>DB-EV</t>
    </r>
    <r>
      <rPr>
        <sz val="10"/>
        <rFont val="Calibri"/>
        <family val="2"/>
        <scheme val="minor"/>
      </rPr>
      <t>' (5 x 120mm2 XLPE/SWA/LSZH)</t>
    </r>
  </si>
  <si>
    <r>
      <t>Distribution Board '</t>
    </r>
    <r>
      <rPr>
        <b/>
        <sz val="10"/>
        <rFont val="Calibri"/>
        <family val="2"/>
        <scheme val="minor"/>
      </rPr>
      <t>DB-B1U</t>
    </r>
    <r>
      <rPr>
        <sz val="10"/>
        <rFont val="Calibri"/>
        <family val="2"/>
        <scheme val="minor"/>
      </rPr>
      <t>' 
(5 x 25mm2 F120 Fire Resistant Cable (BS7846) -  XLPE/SWA/LSZH)</t>
    </r>
  </si>
  <si>
    <r>
      <t>Distribution Board '</t>
    </r>
    <r>
      <rPr>
        <b/>
        <sz val="10"/>
        <rFont val="Calibri"/>
        <family val="2"/>
        <scheme val="minor"/>
      </rPr>
      <t>DB-LA2</t>
    </r>
    <r>
      <rPr>
        <sz val="10"/>
        <rFont val="Calibri"/>
        <family val="2"/>
        <scheme val="minor"/>
      </rPr>
      <t>' (5 x 35mm2 XLPE/SWA/LSZH)</t>
    </r>
  </si>
  <si>
    <r>
      <t>Distribution Board '</t>
    </r>
    <r>
      <rPr>
        <b/>
        <sz val="10"/>
        <rFont val="Calibri"/>
        <family val="2"/>
        <scheme val="minor"/>
      </rPr>
      <t>DB-B1L</t>
    </r>
    <r>
      <rPr>
        <sz val="10"/>
        <rFont val="Calibri"/>
        <family val="2"/>
        <scheme val="minor"/>
      </rPr>
      <t>' 
(5 x 70mm2 F120 Fire Resistant Cable (BS7846) -  XLPE/SWA/LSZH)</t>
    </r>
  </si>
  <si>
    <r>
      <t>Distribution Board '</t>
    </r>
    <r>
      <rPr>
        <b/>
        <sz val="10"/>
        <rFont val="Calibri"/>
        <family val="2"/>
        <scheme val="minor"/>
      </rPr>
      <t>DB-B1P</t>
    </r>
    <r>
      <rPr>
        <sz val="10"/>
        <rFont val="Calibri"/>
        <family val="2"/>
        <scheme val="minor"/>
      </rPr>
      <t>' (5 x 35mm2 XLPE/SWA/LSZH)</t>
    </r>
  </si>
  <si>
    <r>
      <t>Distribution Board '</t>
    </r>
    <r>
      <rPr>
        <b/>
        <sz val="10"/>
        <rFont val="Calibri"/>
        <family val="2"/>
        <scheme val="minor"/>
      </rPr>
      <t>DB-TC</t>
    </r>
    <r>
      <rPr>
        <sz val="10"/>
        <rFont val="Calibri"/>
        <family val="2"/>
        <scheme val="minor"/>
      </rPr>
      <t>' (5 x 150mm2 XLPE/SWA/LSZH)</t>
    </r>
  </si>
  <si>
    <r>
      <t>Distribution Board '</t>
    </r>
    <r>
      <rPr>
        <b/>
        <sz val="10"/>
        <rFont val="Calibri"/>
        <family val="2"/>
        <scheme val="minor"/>
      </rPr>
      <t>DB-OL0</t>
    </r>
    <r>
      <rPr>
        <sz val="10"/>
        <rFont val="Calibri"/>
        <family val="2"/>
        <scheme val="minor"/>
      </rPr>
      <t>' 
(5 x 16mm2 F120 Fire Resistant Cable (BS7846) -  XLPE/SWA/LSZH)</t>
    </r>
  </si>
  <si>
    <r>
      <t>Distribution Board '</t>
    </r>
    <r>
      <rPr>
        <b/>
        <sz val="10"/>
        <rFont val="Calibri"/>
        <family val="2"/>
        <scheme val="minor"/>
      </rPr>
      <t>DB-LA1</t>
    </r>
    <r>
      <rPr>
        <sz val="10"/>
        <rFont val="Calibri"/>
        <family val="2"/>
        <scheme val="minor"/>
      </rPr>
      <t>' 
(5 x 95mm2 F120 Fire Resistant Cable (BS7846) -  XLPE/SWA/LSZH)</t>
    </r>
  </si>
  <si>
    <r>
      <t>Distribution Board '</t>
    </r>
    <r>
      <rPr>
        <b/>
        <sz val="10"/>
        <rFont val="Calibri"/>
        <family val="2"/>
        <scheme val="minor"/>
      </rPr>
      <t>DB-FLC</t>
    </r>
    <r>
      <rPr>
        <sz val="10"/>
        <rFont val="Calibri"/>
        <family val="2"/>
        <scheme val="minor"/>
      </rPr>
      <t>' (5 x 185mm2 XLPE/SWA/LSZH)</t>
    </r>
  </si>
  <si>
    <r>
      <t>Distribution Board '</t>
    </r>
    <r>
      <rPr>
        <b/>
        <sz val="10"/>
        <rFont val="Calibri"/>
        <family val="2"/>
        <scheme val="minor"/>
      </rPr>
      <t>DB-FLA</t>
    </r>
    <r>
      <rPr>
        <sz val="10"/>
        <rFont val="Calibri"/>
        <family val="2"/>
        <scheme val="minor"/>
      </rPr>
      <t>' (5 x 16mm2 F120 Fire Resistant Cable (BS7846) - XLPE/SWA/LSZH)</t>
    </r>
  </si>
  <si>
    <r>
      <t>Distribution Board '</t>
    </r>
    <r>
      <rPr>
        <b/>
        <sz val="10"/>
        <rFont val="Calibri"/>
        <family val="2"/>
        <scheme val="minor"/>
      </rPr>
      <t>DB-WH</t>
    </r>
    <r>
      <rPr>
        <sz val="10"/>
        <rFont val="Calibri"/>
        <family val="2"/>
        <scheme val="minor"/>
      </rPr>
      <t>' 
(5 x 50mm2 F120 Fire Resistant Cable (BS7846) -  XLPE/SWA/LSZH)</t>
    </r>
  </si>
  <si>
    <r>
      <t>Distribution Board '</t>
    </r>
    <r>
      <rPr>
        <b/>
        <sz val="10"/>
        <rFont val="Calibri"/>
        <family val="2"/>
        <scheme val="minor"/>
      </rPr>
      <t>DB-CRP</t>
    </r>
    <r>
      <rPr>
        <sz val="10"/>
        <rFont val="Calibri"/>
        <family val="2"/>
        <scheme val="minor"/>
      </rPr>
      <t>' 
(5 x 50mm2 F120 Fire Resistant Cable (BS7846) -  XLPE/SWA/LSZH)</t>
    </r>
  </si>
  <si>
    <r>
      <t>Distribution Board '</t>
    </r>
    <r>
      <rPr>
        <b/>
        <sz val="10"/>
        <rFont val="Calibri"/>
        <family val="2"/>
        <scheme val="minor"/>
      </rPr>
      <t>DB-PL1</t>
    </r>
    <r>
      <rPr>
        <sz val="10"/>
        <rFont val="Calibri"/>
        <family val="2"/>
        <scheme val="minor"/>
      </rPr>
      <t>' (5 x 185mm2 XLPE/SWA/LSZH)</t>
    </r>
  </si>
  <si>
    <r>
      <t>Distribution Board '</t>
    </r>
    <r>
      <rPr>
        <b/>
        <sz val="10"/>
        <rFont val="Calibri"/>
        <family val="2"/>
        <scheme val="minor"/>
      </rPr>
      <t>DB-PL2</t>
    </r>
    <r>
      <rPr>
        <sz val="10"/>
        <rFont val="Calibri"/>
        <family val="2"/>
        <scheme val="minor"/>
      </rPr>
      <t>' (5 x 185mm2 XLPE/SWA/LSZH)</t>
    </r>
  </si>
  <si>
    <r>
      <t>Distribution Board '</t>
    </r>
    <r>
      <rPr>
        <b/>
        <sz val="10"/>
        <rFont val="Calibri"/>
        <family val="2"/>
        <scheme val="minor"/>
      </rPr>
      <t>DB-EA</t>
    </r>
    <r>
      <rPr>
        <sz val="10"/>
        <rFont val="Calibri"/>
        <family val="2"/>
        <scheme val="minor"/>
      </rPr>
      <t>' (5 x 35mm2 XLPE/SWA/LSZH)</t>
    </r>
  </si>
  <si>
    <r>
      <t>Distribution Board '</t>
    </r>
    <r>
      <rPr>
        <b/>
        <sz val="10"/>
        <rFont val="Calibri"/>
        <family val="2"/>
        <scheme val="minor"/>
      </rPr>
      <t>DB-AB</t>
    </r>
    <r>
      <rPr>
        <sz val="10"/>
        <rFont val="Calibri"/>
        <family val="2"/>
        <scheme val="minor"/>
      </rPr>
      <t>' 
(5 x 25mm2 F120 Fire Resistant Cable (BS7846) -  XLPE/SWA/LSZH)</t>
    </r>
  </si>
  <si>
    <r>
      <t>Distribution Board '</t>
    </r>
    <r>
      <rPr>
        <b/>
        <sz val="10"/>
        <rFont val="Calibri"/>
        <family val="2"/>
        <scheme val="minor"/>
      </rPr>
      <t>DB-OL1</t>
    </r>
    <r>
      <rPr>
        <sz val="10"/>
        <rFont val="Calibri"/>
        <family val="2"/>
        <scheme val="minor"/>
      </rPr>
      <t>' (5 x 16mm2 XLPE/SWA/LSZH)</t>
    </r>
  </si>
  <si>
    <r>
      <t>Distribution Board '</t>
    </r>
    <r>
      <rPr>
        <b/>
        <sz val="10"/>
        <rFont val="Calibri"/>
        <family val="2"/>
        <scheme val="minor"/>
      </rPr>
      <t>DB-OL2</t>
    </r>
    <r>
      <rPr>
        <sz val="10"/>
        <rFont val="Calibri"/>
        <family val="2"/>
        <scheme val="minor"/>
      </rPr>
      <t>' 
(5 x 16mm2 F120 Fire Resistant Cable (BS7846) -  XLPE/SWA/LSZH)</t>
    </r>
  </si>
  <si>
    <r>
      <t>Distribution Board '</t>
    </r>
    <r>
      <rPr>
        <b/>
        <sz val="10"/>
        <rFont val="Calibri"/>
        <family val="2"/>
        <scheme val="minor"/>
      </rPr>
      <t>DB-PL3</t>
    </r>
    <r>
      <rPr>
        <sz val="10"/>
        <rFont val="Calibri"/>
        <family val="2"/>
        <scheme val="minor"/>
      </rPr>
      <t>' (2 x 5 x 95mm2 XLPE/SWA/LSZH)</t>
    </r>
  </si>
  <si>
    <r>
      <t>Distribution Board '</t>
    </r>
    <r>
      <rPr>
        <b/>
        <sz val="10"/>
        <rFont val="Calibri"/>
        <family val="2"/>
        <scheme val="minor"/>
      </rPr>
      <t>DB-OL3</t>
    </r>
    <r>
      <rPr>
        <sz val="10"/>
        <rFont val="Calibri"/>
        <family val="2"/>
        <scheme val="minor"/>
      </rPr>
      <t>' (5 x 16mm2 XLPE/SWA/LSZH)</t>
    </r>
  </si>
  <si>
    <r>
      <t>Distribution Board '</t>
    </r>
    <r>
      <rPr>
        <b/>
        <sz val="10"/>
        <rFont val="Calibri"/>
        <family val="2"/>
        <scheme val="minor"/>
      </rPr>
      <t>DB-OL4</t>
    </r>
    <r>
      <rPr>
        <sz val="10"/>
        <rFont val="Calibri"/>
        <family val="2"/>
        <scheme val="minor"/>
      </rPr>
      <t>' (5 x 95mm2 XLPE/SWA/LSZH)</t>
    </r>
  </si>
  <si>
    <r>
      <t xml:space="preserve">Offices </t>
    </r>
    <r>
      <rPr>
        <b/>
        <sz val="10"/>
        <rFont val="Calibri"/>
        <family val="2"/>
        <scheme val="minor"/>
      </rPr>
      <t>Lift</t>
    </r>
    <r>
      <rPr>
        <sz val="10"/>
        <rFont val="Calibri"/>
        <family val="2"/>
        <scheme val="minor"/>
      </rPr>
      <t xml:space="preserve"> (5 x 10mm2 XLPE/SWA/LSZH)</t>
    </r>
  </si>
  <si>
    <r>
      <rPr>
        <b/>
        <sz val="10"/>
        <rFont val="Calibri"/>
        <family val="2"/>
        <scheme val="minor"/>
      </rPr>
      <t>Automatic Transfer Switch</t>
    </r>
    <r>
      <rPr>
        <sz val="10"/>
        <rFont val="Calibri"/>
        <family val="2"/>
        <scheme val="minor"/>
      </rPr>
      <t xml:space="preserve"> for Fire Appliance Pump Set '</t>
    </r>
    <r>
      <rPr>
        <b/>
        <sz val="10"/>
        <rFont val="Calibri"/>
        <family val="2"/>
        <scheme val="minor"/>
      </rPr>
      <t>TS-HP01</t>
    </r>
    <r>
      <rPr>
        <sz val="10"/>
        <rFont val="Calibri"/>
        <family val="2"/>
        <scheme val="minor"/>
      </rPr>
      <t>' -
(5 x 25mm2 F120 Fire Resistant Cable (BS7846) -  XLPE/SWA/LSZH)</t>
    </r>
  </si>
  <si>
    <r>
      <t xml:space="preserve">Automatic Transfer Switch </t>
    </r>
    <r>
      <rPr>
        <b/>
        <sz val="10"/>
        <rFont val="Calibri"/>
        <family val="2"/>
        <scheme val="minor"/>
      </rPr>
      <t>'TS-VB1U'</t>
    </r>
    <r>
      <rPr>
        <sz val="10"/>
        <rFont val="Calibri"/>
        <family val="2"/>
        <scheme val="minor"/>
      </rPr>
      <t xml:space="preserve"> -
(5 x 35mm2  F120 Fire Resistant Cable (BS7846) - XLPE/SWA/LSZH)</t>
    </r>
  </si>
  <si>
    <r>
      <rPr>
        <b/>
        <sz val="10"/>
        <rFont val="Calibri"/>
        <family val="2"/>
        <scheme val="minor"/>
      </rPr>
      <t>Automatic Transfer Switch</t>
    </r>
    <r>
      <rPr>
        <sz val="10"/>
        <rFont val="Calibri"/>
        <family val="2"/>
        <scheme val="minor"/>
      </rPr>
      <t xml:space="preserve"> for Carpark Ventilation '</t>
    </r>
    <r>
      <rPr>
        <b/>
        <sz val="10"/>
        <rFont val="Calibri"/>
        <family val="2"/>
        <scheme val="minor"/>
      </rPr>
      <t>TS-VB1L</t>
    </r>
    <r>
      <rPr>
        <sz val="10"/>
        <rFont val="Calibri"/>
        <family val="2"/>
        <scheme val="minor"/>
      </rPr>
      <t>' -
(5 x 50mm2 F120 Fire Resistant Cable (BS7846) -  XLPE/SWA/LSZH)</t>
    </r>
  </si>
  <si>
    <r>
      <t>Ventilation Control Panel '</t>
    </r>
    <r>
      <rPr>
        <b/>
        <sz val="10"/>
        <rFont val="Calibri"/>
        <family val="2"/>
        <scheme val="minor"/>
      </rPr>
      <t>VCP-WH</t>
    </r>
    <r>
      <rPr>
        <sz val="10"/>
        <rFont val="Calibri"/>
        <family val="2"/>
        <scheme val="minor"/>
      </rPr>
      <t>' -
(5 x 120mm2 F120 Fire Resistant Cable (BS7846) -  XLPE/SWA/LSZH)</t>
    </r>
  </si>
  <si>
    <t xml:space="preserve">3-Phase 40A Isolator </t>
  </si>
  <si>
    <t>From Automatic Transfer Switch to:</t>
  </si>
  <si>
    <r>
      <t>Sprinkler Pump Set '</t>
    </r>
    <r>
      <rPr>
        <b/>
        <sz val="10"/>
        <rFont val="Calibri"/>
        <family val="2"/>
        <scheme val="minor"/>
      </rPr>
      <t>SP-01</t>
    </r>
    <r>
      <rPr>
        <sz val="10"/>
        <rFont val="Calibri"/>
        <family val="2"/>
        <scheme val="minor"/>
      </rPr>
      <t>' -
(2 x 5 x 120mm2 F120 Fire Resistant Cable (BS7846) -  XLPE/SWA/LSZH)</t>
    </r>
  </si>
  <si>
    <r>
      <t>Fire Fighting Pump Set '</t>
    </r>
    <r>
      <rPr>
        <b/>
        <sz val="10"/>
        <rFont val="Calibri"/>
        <family val="2"/>
        <scheme val="minor"/>
      </rPr>
      <t>FP-01</t>
    </r>
    <r>
      <rPr>
        <sz val="10"/>
        <rFont val="Calibri"/>
        <family val="2"/>
        <scheme val="minor"/>
      </rPr>
      <t>' -
(5 x 95mm2 F120 Fire Resistant Cable (BS7846) -  XLPE/SWA/LSZH)</t>
    </r>
  </si>
  <si>
    <r>
      <t>Fire Appliance Pump Set '</t>
    </r>
    <r>
      <rPr>
        <b/>
        <sz val="10"/>
        <rFont val="Calibri"/>
        <family val="2"/>
        <scheme val="minor"/>
      </rPr>
      <t>HP-01</t>
    </r>
    <r>
      <rPr>
        <sz val="10"/>
        <rFont val="Calibri"/>
        <family val="2"/>
        <scheme val="minor"/>
      </rPr>
      <t>' -
(5 x 16mm2 F120 Fire Resistant Cable (BS7846) -  XLPE/SWA/LSZH)</t>
    </r>
  </si>
  <si>
    <r>
      <t>Ventilation Control Panel '</t>
    </r>
    <r>
      <rPr>
        <b/>
        <sz val="10"/>
        <rFont val="Calibri"/>
        <family val="2"/>
        <scheme val="minor"/>
      </rPr>
      <t>VCP-B1U</t>
    </r>
    <r>
      <rPr>
        <sz val="10"/>
        <rFont val="Calibri"/>
        <family val="2"/>
        <scheme val="minor"/>
      </rPr>
      <t>' -
(5 x 35mm2 F120 Fire Resistant Cable (BS7846) -  XLPE/SWA/LSZH)</t>
    </r>
  </si>
  <si>
    <r>
      <t>Ventilation Control Panel '</t>
    </r>
    <r>
      <rPr>
        <b/>
        <sz val="10"/>
        <rFont val="Calibri"/>
        <family val="2"/>
        <scheme val="minor"/>
      </rPr>
      <t>VCP-B1L</t>
    </r>
    <r>
      <rPr>
        <sz val="10"/>
        <rFont val="Calibri"/>
        <family val="2"/>
        <scheme val="minor"/>
      </rPr>
      <t>' -
(5 x 35mm2 F120 Fire Resistant Cable (BS7846) -  XLPE/SWA/LSZH)</t>
    </r>
  </si>
  <si>
    <t xml:space="preserve">3-Phase 63A Isolator </t>
  </si>
  <si>
    <t xml:space="preserve">3-Phase 200A Isolator </t>
  </si>
  <si>
    <t xml:space="preserve">3-Phase 500A Isolator </t>
  </si>
  <si>
    <t>TOTAL FOR PAGE 11</t>
  </si>
  <si>
    <t>From Distribution Board 'DB-B1U' to:</t>
  </si>
  <si>
    <r>
      <rPr>
        <b/>
        <sz val="10"/>
        <rFont val="Calibri"/>
        <family val="2"/>
        <scheme val="minor"/>
      </rPr>
      <t>Sump Pump 01</t>
    </r>
    <r>
      <rPr>
        <sz val="10"/>
        <rFont val="Calibri"/>
        <family val="2"/>
        <scheme val="minor"/>
      </rPr>
      <t xml:space="preserve"> (3 x 4mm2 XLPE/SWA/LSZH)</t>
    </r>
  </si>
  <si>
    <r>
      <rPr>
        <b/>
        <sz val="10"/>
        <rFont val="Calibri"/>
        <family val="2"/>
        <scheme val="minor"/>
      </rPr>
      <t>Sump Pump 02</t>
    </r>
    <r>
      <rPr>
        <sz val="10"/>
        <rFont val="Calibri"/>
        <family val="2"/>
        <scheme val="minor"/>
      </rPr>
      <t xml:space="preserve"> (3 x 4mm2 XLPE/SWA/LSZH)</t>
    </r>
  </si>
  <si>
    <r>
      <rPr>
        <b/>
        <sz val="10"/>
        <rFont val="Calibri"/>
        <family val="2"/>
        <scheme val="minor"/>
      </rPr>
      <t>Sump Pump 05</t>
    </r>
    <r>
      <rPr>
        <sz val="10"/>
        <rFont val="Calibri"/>
        <family val="2"/>
        <scheme val="minor"/>
      </rPr>
      <t xml:space="preserve"> (3 x 4mm2 XLPE/SWA/LSZH)</t>
    </r>
  </si>
  <si>
    <t xml:space="preserve">1-Phase 25A Isolator </t>
  </si>
  <si>
    <t>From Ventilation Control Panel 'VCP-B1U' to:</t>
  </si>
  <si>
    <r>
      <rPr>
        <b/>
        <sz val="10"/>
        <rFont val="Calibri"/>
        <family val="2"/>
        <scheme val="minor"/>
      </rPr>
      <t>Jet Fan 01</t>
    </r>
    <r>
      <rPr>
        <sz val="10"/>
        <rFont val="Calibri"/>
        <family val="2"/>
        <scheme val="minor"/>
      </rPr>
      <t xml:space="preserve">  (5 x 2.5mm2 F120 Fire Resistant Cable (BS7846) -  XLPE/SWA/LSZH)</t>
    </r>
  </si>
  <si>
    <r>
      <rPr>
        <b/>
        <sz val="10"/>
        <rFont val="Calibri"/>
        <family val="2"/>
        <scheme val="minor"/>
      </rPr>
      <t>Jet Fan 02</t>
    </r>
    <r>
      <rPr>
        <sz val="10"/>
        <rFont val="Calibri"/>
        <family val="2"/>
        <scheme val="minor"/>
      </rPr>
      <t xml:space="preserve">  (5 x 2.5mm2 F120 Fire Resistant Cable (BS7846) -  XLPE/SWA/LSZH)</t>
    </r>
  </si>
  <si>
    <r>
      <rPr>
        <b/>
        <sz val="10"/>
        <rFont val="Calibri"/>
        <family val="2"/>
        <scheme val="minor"/>
      </rPr>
      <t>Jet Fan 03</t>
    </r>
    <r>
      <rPr>
        <sz val="10"/>
        <rFont val="Calibri"/>
        <family val="2"/>
        <scheme val="minor"/>
      </rPr>
      <t xml:space="preserve">  (5 x 2.5mm2 F120 Fire Resistant Cable (BS7846) -  XLPE/SWA/LSZH)</t>
    </r>
  </si>
  <si>
    <r>
      <rPr>
        <b/>
        <sz val="10"/>
        <rFont val="Calibri"/>
        <family val="2"/>
        <scheme val="minor"/>
      </rPr>
      <t>Jet Fan 04</t>
    </r>
    <r>
      <rPr>
        <sz val="10"/>
        <rFont val="Calibri"/>
        <family val="2"/>
        <scheme val="minor"/>
      </rPr>
      <t xml:space="preserve">  (5 x 2.5mm2 F120 Fire Resistant Cable (BS7846) -  XLPE/SWA/LSZH)</t>
    </r>
  </si>
  <si>
    <r>
      <rPr>
        <b/>
        <sz val="10"/>
        <rFont val="Calibri"/>
        <family val="2"/>
        <scheme val="minor"/>
      </rPr>
      <t>Jet Fan 05</t>
    </r>
    <r>
      <rPr>
        <sz val="10"/>
        <rFont val="Calibri"/>
        <family val="2"/>
        <scheme val="minor"/>
      </rPr>
      <t xml:space="preserve">  (5 x 2.5mm2 F120 Fire Resistant Cable (BS7846) -  XLPE/SWA/LSZH)</t>
    </r>
  </si>
  <si>
    <r>
      <rPr>
        <b/>
        <sz val="10"/>
        <rFont val="Calibri"/>
        <family val="2"/>
        <scheme val="minor"/>
      </rPr>
      <t>Jet Fan 06</t>
    </r>
    <r>
      <rPr>
        <sz val="10"/>
        <rFont val="Calibri"/>
        <family val="2"/>
        <scheme val="minor"/>
      </rPr>
      <t xml:space="preserve">  (5 x 2.5mm2 F120 Fire Resistant Cable (BS7846) -  XLPE/SWA/LSZH)</t>
    </r>
  </si>
  <si>
    <r>
      <rPr>
        <b/>
        <sz val="10"/>
        <rFont val="Calibri"/>
        <family val="2"/>
        <scheme val="minor"/>
      </rPr>
      <t>Jet Fan 07</t>
    </r>
    <r>
      <rPr>
        <sz val="10"/>
        <rFont val="Calibri"/>
        <family val="2"/>
        <scheme val="minor"/>
      </rPr>
      <t xml:space="preserve">  (5 x 2.5mm2 F120 Fire Resistant Cable (BS7846) -  XLPE/SWA/LSZH)</t>
    </r>
  </si>
  <si>
    <r>
      <t>Extract Fan</t>
    </r>
    <r>
      <rPr>
        <b/>
        <sz val="10"/>
        <rFont val="Calibri"/>
        <family val="2"/>
        <scheme val="minor"/>
      </rPr>
      <t xml:space="preserve"> EF-B1U-01A  </t>
    </r>
    <r>
      <rPr>
        <sz val="10"/>
        <rFont val="Calibri"/>
        <family val="2"/>
        <scheme val="minor"/>
      </rPr>
      <t>(5 x 16mm2 F120 Fire Resistant Cable (BS7846) -  XLPE/SWA/LSZH)</t>
    </r>
  </si>
  <si>
    <r>
      <t>Extract Fan</t>
    </r>
    <r>
      <rPr>
        <b/>
        <sz val="10"/>
        <rFont val="Calibri"/>
        <family val="2"/>
        <scheme val="minor"/>
      </rPr>
      <t xml:space="preserve"> EF-B1U-01B  </t>
    </r>
    <r>
      <rPr>
        <sz val="10"/>
        <rFont val="Calibri"/>
        <family val="2"/>
        <scheme val="minor"/>
      </rPr>
      <t>(5 x 16mm2 F120 Fire Resistant Cable (BS7846) -  XLPE/SWA/LSZH)</t>
    </r>
  </si>
  <si>
    <r>
      <t>Extract Fan</t>
    </r>
    <r>
      <rPr>
        <b/>
        <sz val="10"/>
        <rFont val="Calibri"/>
        <family val="2"/>
        <scheme val="minor"/>
      </rPr>
      <t xml:space="preserve"> EF-B1U-02  </t>
    </r>
    <r>
      <rPr>
        <sz val="10"/>
        <rFont val="Calibri"/>
        <family val="2"/>
        <scheme val="minor"/>
      </rPr>
      <t>(3 x 4mm2 XLPE/SWA/LSZH)</t>
    </r>
  </si>
  <si>
    <t xml:space="preserve">3-Phase 16A Isolator </t>
  </si>
  <si>
    <t xml:space="preserve">1-Phase 32A Isolator </t>
  </si>
  <si>
    <t>From Distribution Board 'DB-EV' to:</t>
  </si>
  <si>
    <r>
      <rPr>
        <b/>
        <sz val="10"/>
        <rFont val="Calibri"/>
        <family val="2"/>
        <scheme val="minor"/>
      </rPr>
      <t>EV Charging Station 01</t>
    </r>
    <r>
      <rPr>
        <sz val="10"/>
        <rFont val="Calibri"/>
        <family val="2"/>
        <scheme val="minor"/>
      </rPr>
      <t xml:space="preserve"> (5 x 6mm2 XLPE/SWA/LSZH)</t>
    </r>
  </si>
  <si>
    <r>
      <rPr>
        <b/>
        <sz val="10"/>
        <rFont val="Calibri"/>
        <family val="2"/>
        <scheme val="minor"/>
      </rPr>
      <t>EV Charging Station 02</t>
    </r>
    <r>
      <rPr>
        <sz val="10"/>
        <rFont val="Calibri"/>
        <family val="2"/>
        <scheme val="minor"/>
      </rPr>
      <t xml:space="preserve"> (5 x 6mm2 XLPE/SWA/LSZH)</t>
    </r>
  </si>
  <si>
    <r>
      <rPr>
        <b/>
        <sz val="10"/>
        <rFont val="Calibri"/>
        <family val="2"/>
        <scheme val="minor"/>
      </rPr>
      <t>EV Charging Station 03</t>
    </r>
    <r>
      <rPr>
        <sz val="10"/>
        <rFont val="Calibri"/>
        <family val="2"/>
        <scheme val="minor"/>
      </rPr>
      <t xml:space="preserve"> (5 x 6mm2 XLPE/SWA/LSZH)</t>
    </r>
  </si>
  <si>
    <r>
      <rPr>
        <b/>
        <sz val="10"/>
        <rFont val="Calibri"/>
        <family val="2"/>
        <scheme val="minor"/>
      </rPr>
      <t>EV Charging Station 04</t>
    </r>
    <r>
      <rPr>
        <sz val="10"/>
        <rFont val="Calibri"/>
        <family val="2"/>
        <scheme val="minor"/>
      </rPr>
      <t xml:space="preserve"> (5 x 6mm2 XLPE/SWA/LSZH)</t>
    </r>
  </si>
  <si>
    <r>
      <rPr>
        <b/>
        <sz val="10"/>
        <rFont val="Calibri"/>
        <family val="2"/>
        <scheme val="minor"/>
      </rPr>
      <t>EV Charging Station 05</t>
    </r>
    <r>
      <rPr>
        <sz val="10"/>
        <rFont val="Calibri"/>
        <family val="2"/>
        <scheme val="minor"/>
      </rPr>
      <t xml:space="preserve"> (5 x 6mm2 XLPE/SWA/LSZH)</t>
    </r>
  </si>
  <si>
    <r>
      <rPr>
        <b/>
        <sz val="10"/>
        <rFont val="Calibri"/>
        <family val="2"/>
        <scheme val="minor"/>
      </rPr>
      <t>EV Charging Station 06</t>
    </r>
    <r>
      <rPr>
        <sz val="10"/>
        <rFont val="Calibri"/>
        <family val="2"/>
        <scheme val="minor"/>
      </rPr>
      <t xml:space="preserve"> (5 x 6mm2 XLPE/SWA/LSZH)</t>
    </r>
  </si>
  <si>
    <r>
      <rPr>
        <b/>
        <sz val="10"/>
        <rFont val="Calibri"/>
        <family val="2"/>
        <scheme val="minor"/>
      </rPr>
      <t>EV Charging Station 07</t>
    </r>
    <r>
      <rPr>
        <sz val="10"/>
        <rFont val="Calibri"/>
        <family val="2"/>
        <scheme val="minor"/>
      </rPr>
      <t xml:space="preserve"> (5 x 6mm2 XLPE/SWA/LSZH)</t>
    </r>
  </si>
  <si>
    <r>
      <rPr>
        <b/>
        <sz val="10"/>
        <rFont val="Calibri"/>
        <family val="2"/>
        <scheme val="minor"/>
      </rPr>
      <t>EV Charging Station 08</t>
    </r>
    <r>
      <rPr>
        <sz val="10"/>
        <rFont val="Calibri"/>
        <family val="2"/>
        <scheme val="minor"/>
      </rPr>
      <t xml:space="preserve"> (5 x 6mm2 XLPE/SWA/LSZH)</t>
    </r>
  </si>
  <si>
    <r>
      <rPr>
        <b/>
        <sz val="10"/>
        <rFont val="Calibri"/>
        <family val="2"/>
        <scheme val="minor"/>
      </rPr>
      <t>EV Charging Station 09</t>
    </r>
    <r>
      <rPr>
        <sz val="10"/>
        <rFont val="Calibri"/>
        <family val="2"/>
        <scheme val="minor"/>
      </rPr>
      <t xml:space="preserve"> (5 x 6mm2 XLPE/SWA/LSZH)</t>
    </r>
  </si>
  <si>
    <t>From Distribution Board 'DB-LA2' to:</t>
  </si>
  <si>
    <r>
      <rPr>
        <b/>
        <sz val="10"/>
        <rFont val="Calibri"/>
        <family val="2"/>
        <scheme val="minor"/>
      </rPr>
      <t>Main Gate</t>
    </r>
    <r>
      <rPr>
        <sz val="10"/>
        <rFont val="Calibri"/>
        <family val="2"/>
        <scheme val="minor"/>
      </rPr>
      <t xml:space="preserve"> (5 x 2.5mm2 XLPE/SWA/LSZH)</t>
    </r>
  </si>
  <si>
    <r>
      <rPr>
        <b/>
        <sz val="10"/>
        <rFont val="Calibri"/>
        <family val="2"/>
        <scheme val="minor"/>
      </rPr>
      <t xml:space="preserve">Truck Plugging Point 01 </t>
    </r>
    <r>
      <rPr>
        <sz val="10"/>
        <rFont val="Calibri"/>
        <family val="2"/>
        <scheme val="minor"/>
      </rPr>
      <t>(5 x 2.5mm2 XLPE/SWA/LSZH)</t>
    </r>
  </si>
  <si>
    <r>
      <rPr>
        <b/>
        <sz val="10"/>
        <rFont val="Calibri"/>
        <family val="2"/>
        <scheme val="minor"/>
      </rPr>
      <t xml:space="preserve">Truck Plugging Point 02 </t>
    </r>
    <r>
      <rPr>
        <sz val="10"/>
        <rFont val="Calibri"/>
        <family val="2"/>
        <scheme val="minor"/>
      </rPr>
      <t>(5 x 2.5mm2 XLPE/SWA/LSZH)</t>
    </r>
  </si>
  <si>
    <r>
      <rPr>
        <b/>
        <sz val="10"/>
        <rFont val="Calibri"/>
        <family val="2"/>
        <scheme val="minor"/>
      </rPr>
      <t xml:space="preserve">Trailers Plugging Point 01 </t>
    </r>
    <r>
      <rPr>
        <sz val="10"/>
        <rFont val="Calibri"/>
        <family val="2"/>
        <scheme val="minor"/>
      </rPr>
      <t>(5 x 2.5mm2 XLPE/SWA/LSZH)</t>
    </r>
  </si>
  <si>
    <r>
      <rPr>
        <b/>
        <sz val="10"/>
        <rFont val="Calibri"/>
        <family val="2"/>
        <scheme val="minor"/>
      </rPr>
      <t xml:space="preserve">Trailers Plugging Point 02 </t>
    </r>
    <r>
      <rPr>
        <sz val="10"/>
        <rFont val="Calibri"/>
        <family val="2"/>
        <scheme val="minor"/>
      </rPr>
      <t>(5 x 2.5mm2 XLPE/SWA/LSZH)</t>
    </r>
  </si>
  <si>
    <t>16A 3-Phase Industrial Socket Outlet c/w Rotary Switch</t>
  </si>
  <si>
    <t>From Distribution Board 'DB-B1L' to:</t>
  </si>
  <si>
    <r>
      <rPr>
        <b/>
        <sz val="10"/>
        <rFont val="Calibri"/>
        <family val="2"/>
        <scheme val="minor"/>
      </rPr>
      <t>Sump Pump 03</t>
    </r>
    <r>
      <rPr>
        <sz val="10"/>
        <rFont val="Calibri"/>
        <family val="2"/>
        <scheme val="minor"/>
      </rPr>
      <t xml:space="preserve"> (5 x 6mm2 XLPE/SWA/LSZH)</t>
    </r>
  </si>
  <si>
    <r>
      <rPr>
        <b/>
        <sz val="10"/>
        <rFont val="Calibri"/>
        <family val="2"/>
        <scheme val="minor"/>
      </rPr>
      <t>Sump Pump 04A</t>
    </r>
    <r>
      <rPr>
        <sz val="10"/>
        <rFont val="Calibri"/>
        <family val="2"/>
        <scheme val="minor"/>
      </rPr>
      <t xml:space="preserve"> (5 x 4mm2 XLPE/SWA/LSZH)</t>
    </r>
  </si>
  <si>
    <r>
      <rPr>
        <b/>
        <sz val="10"/>
        <rFont val="Calibri"/>
        <family val="2"/>
        <scheme val="minor"/>
      </rPr>
      <t>Sump Pump 04B</t>
    </r>
    <r>
      <rPr>
        <sz val="10"/>
        <rFont val="Calibri"/>
        <family val="2"/>
        <scheme val="minor"/>
      </rPr>
      <t xml:space="preserve"> (5 x 4mm2 XLPE/SWA/LSZH)</t>
    </r>
  </si>
  <si>
    <r>
      <rPr>
        <b/>
        <sz val="10"/>
        <rFont val="Calibri"/>
        <family val="2"/>
        <scheme val="minor"/>
      </rPr>
      <t>Sump Pump 08</t>
    </r>
    <r>
      <rPr>
        <sz val="10"/>
        <rFont val="Calibri"/>
        <family val="2"/>
        <scheme val="minor"/>
      </rPr>
      <t xml:space="preserve"> (5 x 6mm2 XLPE/SWA/LSZH)</t>
    </r>
  </si>
  <si>
    <r>
      <rPr>
        <b/>
        <sz val="10"/>
        <rFont val="Calibri"/>
        <family val="2"/>
        <scheme val="minor"/>
      </rPr>
      <t>Cesspit Pump A</t>
    </r>
    <r>
      <rPr>
        <sz val="10"/>
        <rFont val="Calibri"/>
        <family val="2"/>
        <scheme val="minor"/>
      </rPr>
      <t xml:space="preserve"> (3 x 4mm2 XLPE/SWA/LSZH)</t>
    </r>
  </si>
  <si>
    <r>
      <rPr>
        <b/>
        <sz val="10"/>
        <rFont val="Calibri"/>
        <family val="2"/>
        <scheme val="minor"/>
      </rPr>
      <t>Cesspit Pump B</t>
    </r>
    <r>
      <rPr>
        <sz val="10"/>
        <rFont val="Calibri"/>
        <family val="2"/>
        <scheme val="minor"/>
      </rPr>
      <t xml:space="preserve"> (3 x 4mm2 XLPE/SWA/LSZH)</t>
    </r>
  </si>
  <si>
    <r>
      <rPr>
        <b/>
        <sz val="10"/>
        <rFont val="Calibri"/>
        <family val="2"/>
        <scheme val="minor"/>
      </rPr>
      <t>SCW Submersible Pump</t>
    </r>
    <r>
      <rPr>
        <sz val="10"/>
        <rFont val="Calibri"/>
        <family val="2"/>
        <scheme val="minor"/>
      </rPr>
      <t xml:space="preserve"> (3 x 4mm2 XLPE/SWA/LSZH)</t>
    </r>
  </si>
  <si>
    <t xml:space="preserve">3-Phase 25A Isolator </t>
  </si>
  <si>
    <t xml:space="preserve">3-Phase 32A Isolator </t>
  </si>
  <si>
    <t>TOTAL FOR PAGE 12</t>
  </si>
  <si>
    <t>From Ventilation Control Panel 'VCP-B1L' to:</t>
  </si>
  <si>
    <r>
      <rPr>
        <b/>
        <sz val="10"/>
        <rFont val="Calibri"/>
        <family val="2"/>
        <scheme val="minor"/>
      </rPr>
      <t>Jet Fan 08</t>
    </r>
    <r>
      <rPr>
        <sz val="10"/>
        <rFont val="Calibri"/>
        <family val="2"/>
        <scheme val="minor"/>
      </rPr>
      <t xml:space="preserve">  (5 x 2.5mm2 F120 Fire Resistant Cable (BS7846) -  XLPE/SWA/LSZH)</t>
    </r>
  </si>
  <si>
    <r>
      <t>Extract Fan</t>
    </r>
    <r>
      <rPr>
        <b/>
        <sz val="10"/>
        <rFont val="Calibri"/>
        <family val="2"/>
        <scheme val="minor"/>
      </rPr>
      <t xml:space="preserve"> EF-B1L-01A  </t>
    </r>
    <r>
      <rPr>
        <sz val="10"/>
        <rFont val="Calibri"/>
        <family val="2"/>
        <scheme val="minor"/>
      </rPr>
      <t>(5 x 16mm2 F120 Fire Resistant Cable (BS7846) -  XLPE/SWA/LSZH)</t>
    </r>
  </si>
  <si>
    <r>
      <t>Extract Fan</t>
    </r>
    <r>
      <rPr>
        <b/>
        <sz val="10"/>
        <rFont val="Calibri"/>
        <family val="2"/>
        <scheme val="minor"/>
      </rPr>
      <t xml:space="preserve"> EF-B1L-01B  </t>
    </r>
    <r>
      <rPr>
        <sz val="10"/>
        <rFont val="Calibri"/>
        <family val="2"/>
        <scheme val="minor"/>
      </rPr>
      <t>(5 x 16mm2 F120 Fire Resistant Cable (BS7846) -  XLPE/SWA/LSZH)</t>
    </r>
  </si>
  <si>
    <t>From Distribution Board 'DB-B1P' to:</t>
  </si>
  <si>
    <r>
      <t>Plant Room Control Panel</t>
    </r>
    <r>
      <rPr>
        <b/>
        <sz val="10"/>
        <rFont val="Calibri"/>
        <family val="2"/>
        <scheme val="minor"/>
      </rPr>
      <t xml:space="preserve"> 'CP-B1P'</t>
    </r>
    <r>
      <rPr>
        <sz val="10"/>
        <rFont val="Calibri"/>
        <family val="2"/>
        <scheme val="minor"/>
      </rPr>
      <t xml:space="preserve"> (5 x 16mm2 XLPE/SWA/LSZH)</t>
    </r>
  </si>
  <si>
    <r>
      <t>Cold Water Control Panel</t>
    </r>
    <r>
      <rPr>
        <b/>
        <sz val="10"/>
        <rFont val="Calibri"/>
        <family val="2"/>
        <scheme val="minor"/>
      </rPr>
      <t xml:space="preserve"> 'CP-CW'</t>
    </r>
    <r>
      <rPr>
        <sz val="10"/>
        <rFont val="Calibri"/>
        <family val="2"/>
        <scheme val="minor"/>
      </rPr>
      <t xml:space="preserve"> (5 x 10mm2 XLPE/SWA/LSZH)</t>
    </r>
  </si>
  <si>
    <t>From Control Panel 'CP-B1P' to:</t>
  </si>
  <si>
    <r>
      <t>Supply Fan</t>
    </r>
    <r>
      <rPr>
        <b/>
        <sz val="10"/>
        <rFont val="Calibri"/>
        <family val="2"/>
        <scheme val="minor"/>
      </rPr>
      <t xml:space="preserve"> SF-B1L-01  </t>
    </r>
    <r>
      <rPr>
        <sz val="10"/>
        <rFont val="Calibri"/>
        <family val="2"/>
        <scheme val="minor"/>
      </rPr>
      <t>(5 x 4mm2 XLPE/SWA/LSZH)</t>
    </r>
  </si>
  <si>
    <r>
      <t>Extract Fan</t>
    </r>
    <r>
      <rPr>
        <b/>
        <sz val="10"/>
        <rFont val="Calibri"/>
        <family val="2"/>
        <scheme val="minor"/>
      </rPr>
      <t xml:space="preserve"> EF-B1L-02  </t>
    </r>
    <r>
      <rPr>
        <sz val="10"/>
        <rFont val="Calibri"/>
        <family val="2"/>
        <scheme val="minor"/>
      </rPr>
      <t>(5 x 4mm2 XLPE/SWA/LSZH)</t>
    </r>
  </si>
  <si>
    <r>
      <rPr>
        <b/>
        <sz val="10"/>
        <rFont val="Calibri"/>
        <family val="2"/>
        <scheme val="minor"/>
      </rPr>
      <t>Second Class Water Pump Set</t>
    </r>
    <r>
      <rPr>
        <sz val="10"/>
        <rFont val="Calibri"/>
        <family val="2"/>
        <scheme val="minor"/>
      </rPr>
      <t xml:space="preserve"> (5 x 4mm2 XLPE/SWA/LSZH)</t>
    </r>
  </si>
  <si>
    <t>From Distribution Board 'DB-TC' to:</t>
  </si>
  <si>
    <r>
      <rPr>
        <b/>
        <sz val="10"/>
        <rFont val="Calibri"/>
        <family val="2"/>
        <scheme val="minor"/>
      </rPr>
      <t xml:space="preserve">Truck Plugging Point 01 </t>
    </r>
    <r>
      <rPr>
        <sz val="10"/>
        <rFont val="Calibri"/>
        <family val="2"/>
        <scheme val="minor"/>
      </rPr>
      <t>(5 x 6mm2 XLPE/SWA/LSZH)</t>
    </r>
  </si>
  <si>
    <r>
      <rPr>
        <b/>
        <sz val="10"/>
        <rFont val="Calibri"/>
        <family val="2"/>
        <scheme val="minor"/>
      </rPr>
      <t xml:space="preserve">Truck Plugging Point 02 </t>
    </r>
    <r>
      <rPr>
        <sz val="10"/>
        <rFont val="Calibri"/>
        <family val="2"/>
        <scheme val="minor"/>
      </rPr>
      <t>(5 x 6mm2 XLPE/SWA/LSZH)</t>
    </r>
  </si>
  <si>
    <r>
      <rPr>
        <b/>
        <sz val="10"/>
        <rFont val="Calibri"/>
        <family val="2"/>
        <scheme val="minor"/>
      </rPr>
      <t xml:space="preserve">Truck Plugging Point 03 </t>
    </r>
    <r>
      <rPr>
        <sz val="10"/>
        <rFont val="Calibri"/>
        <family val="2"/>
        <scheme val="minor"/>
      </rPr>
      <t>(5 x 6mm2 XLPE/SWA/LSZH)</t>
    </r>
  </si>
  <si>
    <r>
      <rPr>
        <b/>
        <sz val="10"/>
        <rFont val="Calibri"/>
        <family val="2"/>
        <scheme val="minor"/>
      </rPr>
      <t xml:space="preserve">Truck Plugging Point 04 </t>
    </r>
    <r>
      <rPr>
        <sz val="10"/>
        <rFont val="Calibri"/>
        <family val="2"/>
        <scheme val="minor"/>
      </rPr>
      <t>(5 x 6mm2 XLPE/SWA/LSZH)</t>
    </r>
  </si>
  <si>
    <r>
      <rPr>
        <b/>
        <sz val="10"/>
        <rFont val="Calibri"/>
        <family val="2"/>
        <scheme val="minor"/>
      </rPr>
      <t xml:space="preserve">Truck Plugging Point 05 </t>
    </r>
    <r>
      <rPr>
        <sz val="10"/>
        <rFont val="Calibri"/>
        <family val="2"/>
        <scheme val="minor"/>
      </rPr>
      <t>(5 x 6mm2 XLPE/SWA/LSZH)</t>
    </r>
  </si>
  <si>
    <r>
      <rPr>
        <b/>
        <sz val="10"/>
        <rFont val="Calibri"/>
        <family val="2"/>
        <scheme val="minor"/>
      </rPr>
      <t xml:space="preserve">Truck Plugging Point 06 </t>
    </r>
    <r>
      <rPr>
        <sz val="10"/>
        <rFont val="Calibri"/>
        <family val="2"/>
        <scheme val="minor"/>
      </rPr>
      <t>(5 x 6mm2 XLPE/SWA/LSZH)</t>
    </r>
  </si>
  <si>
    <r>
      <rPr>
        <b/>
        <sz val="10"/>
        <rFont val="Calibri"/>
        <family val="2"/>
        <scheme val="minor"/>
      </rPr>
      <t xml:space="preserve">Truck Plugging Point 07 </t>
    </r>
    <r>
      <rPr>
        <sz val="10"/>
        <rFont val="Calibri"/>
        <family val="2"/>
        <scheme val="minor"/>
      </rPr>
      <t>(5 x 6mm2 XLPE/SWA/LSZH)</t>
    </r>
  </si>
  <si>
    <r>
      <rPr>
        <b/>
        <sz val="10"/>
        <rFont val="Calibri"/>
        <family val="2"/>
        <scheme val="minor"/>
      </rPr>
      <t xml:space="preserve">Truck Plugging Point 08 </t>
    </r>
    <r>
      <rPr>
        <sz val="10"/>
        <rFont val="Calibri"/>
        <family val="2"/>
        <scheme val="minor"/>
      </rPr>
      <t>(5 x 6mm2 XLPE/SWA/LSZH)</t>
    </r>
  </si>
  <si>
    <r>
      <rPr>
        <b/>
        <sz val="10"/>
        <rFont val="Calibri"/>
        <family val="2"/>
        <scheme val="minor"/>
      </rPr>
      <t xml:space="preserve">Truck Plugging Point 09 </t>
    </r>
    <r>
      <rPr>
        <sz val="10"/>
        <rFont val="Calibri"/>
        <family val="2"/>
        <scheme val="minor"/>
      </rPr>
      <t>(5 x 6mm2 XLPE/SWA/LSZH)</t>
    </r>
  </si>
  <si>
    <r>
      <rPr>
        <b/>
        <sz val="10"/>
        <rFont val="Calibri"/>
        <family val="2"/>
        <scheme val="minor"/>
      </rPr>
      <t xml:space="preserve">Truck Plugging Point 10 </t>
    </r>
    <r>
      <rPr>
        <sz val="10"/>
        <rFont val="Calibri"/>
        <family val="2"/>
        <scheme val="minor"/>
      </rPr>
      <t>(5 x 6mm2 XLPE/SWA/LSZH)</t>
    </r>
  </si>
  <si>
    <r>
      <rPr>
        <b/>
        <sz val="10"/>
        <rFont val="Calibri"/>
        <family val="2"/>
        <scheme val="minor"/>
      </rPr>
      <t xml:space="preserve">Truck Plugging Point 11 </t>
    </r>
    <r>
      <rPr>
        <sz val="10"/>
        <rFont val="Calibri"/>
        <family val="2"/>
        <scheme val="minor"/>
      </rPr>
      <t>(5 x 6mm2 XLPE/SWA/LSZH)</t>
    </r>
  </si>
  <si>
    <r>
      <rPr>
        <b/>
        <sz val="10"/>
        <rFont val="Calibri"/>
        <family val="2"/>
        <scheme val="minor"/>
      </rPr>
      <t xml:space="preserve">Truck Plugging Point 12 </t>
    </r>
    <r>
      <rPr>
        <sz val="10"/>
        <rFont val="Calibri"/>
        <family val="2"/>
        <scheme val="minor"/>
      </rPr>
      <t>(5 x 6mm2 XLPE/SWA/LSZH)</t>
    </r>
  </si>
  <si>
    <r>
      <rPr>
        <b/>
        <sz val="10"/>
        <rFont val="Calibri"/>
        <family val="2"/>
        <scheme val="minor"/>
      </rPr>
      <t xml:space="preserve">Truck Plugging Point 13 </t>
    </r>
    <r>
      <rPr>
        <sz val="10"/>
        <rFont val="Calibri"/>
        <family val="2"/>
        <scheme val="minor"/>
      </rPr>
      <t>(5 x 6mm2 XLPE/SWA/LSZH)</t>
    </r>
  </si>
  <si>
    <r>
      <rPr>
        <b/>
        <sz val="10"/>
        <rFont val="Calibri"/>
        <family val="2"/>
        <scheme val="minor"/>
      </rPr>
      <t xml:space="preserve">Truck Plugging Point 14 </t>
    </r>
    <r>
      <rPr>
        <sz val="10"/>
        <rFont val="Calibri"/>
        <family val="2"/>
        <scheme val="minor"/>
      </rPr>
      <t>(5 x 6mm2 XLPE/SWA/LSZH)</t>
    </r>
  </si>
  <si>
    <r>
      <rPr>
        <b/>
        <sz val="10"/>
        <rFont val="Calibri"/>
        <family val="2"/>
        <scheme val="minor"/>
      </rPr>
      <t xml:space="preserve">Truck Plugging Point 15 </t>
    </r>
    <r>
      <rPr>
        <sz val="10"/>
        <rFont val="Calibri"/>
        <family val="2"/>
        <scheme val="minor"/>
      </rPr>
      <t>(5 x 6mm2 XLPE/SWA/LSZH)</t>
    </r>
  </si>
  <si>
    <r>
      <rPr>
        <b/>
        <sz val="10"/>
        <rFont val="Calibri"/>
        <family val="2"/>
        <scheme val="minor"/>
      </rPr>
      <t xml:space="preserve">Truck Plugging Point 16 </t>
    </r>
    <r>
      <rPr>
        <sz val="10"/>
        <rFont val="Calibri"/>
        <family val="2"/>
        <scheme val="minor"/>
      </rPr>
      <t>(5 x 6mm2 XLPE/SWA/LSZH)</t>
    </r>
  </si>
  <si>
    <r>
      <rPr>
        <b/>
        <sz val="10"/>
        <rFont val="Calibri"/>
        <family val="2"/>
        <scheme val="minor"/>
      </rPr>
      <t xml:space="preserve">Truck Plugging Point 17 </t>
    </r>
    <r>
      <rPr>
        <sz val="10"/>
        <rFont val="Calibri"/>
        <family val="2"/>
        <scheme val="minor"/>
      </rPr>
      <t>(5 x 6mm2 XLPE/SWA/LSZH)</t>
    </r>
  </si>
  <si>
    <r>
      <rPr>
        <b/>
        <sz val="10"/>
        <rFont val="Calibri"/>
        <family val="2"/>
        <scheme val="minor"/>
      </rPr>
      <t xml:space="preserve">Truck Plugging Point 18 </t>
    </r>
    <r>
      <rPr>
        <sz val="10"/>
        <rFont val="Calibri"/>
        <family val="2"/>
        <scheme val="minor"/>
      </rPr>
      <t>(5 x 6mm2 XLPE/SWA/LSZH)</t>
    </r>
  </si>
  <si>
    <r>
      <rPr>
        <b/>
        <sz val="10"/>
        <rFont val="Calibri"/>
        <family val="2"/>
        <scheme val="minor"/>
      </rPr>
      <t xml:space="preserve">Truck Plugging Point 19 </t>
    </r>
    <r>
      <rPr>
        <sz val="10"/>
        <rFont val="Calibri"/>
        <family val="2"/>
        <scheme val="minor"/>
      </rPr>
      <t>(5 x 6mm2 XLPE/SWA/LSZH)</t>
    </r>
  </si>
  <si>
    <r>
      <rPr>
        <b/>
        <sz val="10"/>
        <rFont val="Calibri"/>
        <family val="2"/>
        <scheme val="minor"/>
      </rPr>
      <t xml:space="preserve">Truck Plugging Point 20 </t>
    </r>
    <r>
      <rPr>
        <sz val="10"/>
        <rFont val="Calibri"/>
        <family val="2"/>
        <scheme val="minor"/>
      </rPr>
      <t>(5 x 6mm2 XLPE/SWA/LSZH)</t>
    </r>
  </si>
  <si>
    <r>
      <rPr>
        <b/>
        <sz val="10"/>
        <rFont val="Calibri"/>
        <family val="2"/>
        <scheme val="minor"/>
      </rPr>
      <t xml:space="preserve">Truck Plugging Point 21 </t>
    </r>
    <r>
      <rPr>
        <sz val="10"/>
        <rFont val="Calibri"/>
        <family val="2"/>
        <scheme val="minor"/>
      </rPr>
      <t>(5 x 6mm2 XLPE/SWA/LSZH)</t>
    </r>
  </si>
  <si>
    <r>
      <rPr>
        <b/>
        <sz val="10"/>
        <rFont val="Calibri"/>
        <family val="2"/>
        <scheme val="minor"/>
      </rPr>
      <t xml:space="preserve">Truck Plugging Point 22 </t>
    </r>
    <r>
      <rPr>
        <sz val="10"/>
        <rFont val="Calibri"/>
        <family val="2"/>
        <scheme val="minor"/>
      </rPr>
      <t>(5 x 6mm2 XLPE/SWA/LSZH)</t>
    </r>
  </si>
  <si>
    <t>From Control Panel 'CP-CW' to:</t>
  </si>
  <si>
    <r>
      <rPr>
        <b/>
        <sz val="10"/>
        <rFont val="Calibri"/>
        <family val="2"/>
        <scheme val="minor"/>
      </rPr>
      <t>Domestic Cold Water Pump Set</t>
    </r>
    <r>
      <rPr>
        <sz val="10"/>
        <rFont val="Calibri"/>
        <family val="2"/>
        <scheme val="minor"/>
      </rPr>
      <t xml:space="preserve"> (5 x 4mm2 XLPE/SWA/LSZH)</t>
    </r>
  </si>
  <si>
    <t>TOTAL FOR PAGE 13</t>
  </si>
  <si>
    <t>From Distribution Board 'DB-OL0' to:</t>
  </si>
  <si>
    <r>
      <t>Ventilation Control Panel '</t>
    </r>
    <r>
      <rPr>
        <b/>
        <sz val="10"/>
        <rFont val="Calibri"/>
        <family val="2"/>
        <scheme val="minor"/>
      </rPr>
      <t>VCP-OL0</t>
    </r>
    <r>
      <rPr>
        <sz val="10"/>
        <rFont val="Calibri"/>
        <family val="2"/>
        <scheme val="minor"/>
      </rPr>
      <t>' (3 x 10mm2 LSZH/LSZH)</t>
    </r>
  </si>
  <si>
    <t>From Ventilation Control Panel 'VCP-OL0' to:</t>
  </si>
  <si>
    <r>
      <t>Heat Recovery Unit</t>
    </r>
    <r>
      <rPr>
        <b/>
        <sz val="10"/>
        <rFont val="Calibri"/>
        <family val="2"/>
        <scheme val="minor"/>
      </rPr>
      <t xml:space="preserve"> HRU-OL0-01</t>
    </r>
    <r>
      <rPr>
        <sz val="10"/>
        <rFont val="Calibri"/>
        <family val="2"/>
        <scheme val="minor"/>
      </rPr>
      <t xml:space="preserve">  (3 x 4mm2 XLPE/SWA/LSZH)</t>
    </r>
  </si>
  <si>
    <r>
      <t>Extract Fan</t>
    </r>
    <r>
      <rPr>
        <b/>
        <sz val="10"/>
        <rFont val="Calibri"/>
        <family val="2"/>
        <scheme val="minor"/>
      </rPr>
      <t xml:space="preserve"> EF-OF-01</t>
    </r>
    <r>
      <rPr>
        <sz val="10"/>
        <rFont val="Calibri"/>
        <family val="2"/>
        <scheme val="minor"/>
      </rPr>
      <t xml:space="preserve">  (3 x 4mm2 XLPE/SWA/LSZH)</t>
    </r>
  </si>
  <si>
    <r>
      <t>Extract Fan</t>
    </r>
    <r>
      <rPr>
        <b/>
        <sz val="10"/>
        <rFont val="Calibri"/>
        <family val="2"/>
        <scheme val="minor"/>
      </rPr>
      <t xml:space="preserve"> EF-OF-02</t>
    </r>
    <r>
      <rPr>
        <sz val="10"/>
        <rFont val="Calibri"/>
        <family val="2"/>
        <scheme val="minor"/>
      </rPr>
      <t xml:space="preserve">  (3 x 4mm2 XLPE/SWA/LSZH)</t>
    </r>
  </si>
  <si>
    <t>From Distribution Board 'DB-LA1' to:</t>
  </si>
  <si>
    <r>
      <rPr>
        <b/>
        <sz val="10"/>
        <rFont val="Calibri"/>
        <family val="2"/>
        <scheme val="minor"/>
      </rPr>
      <t>Truck Plugging Point 01</t>
    </r>
    <r>
      <rPr>
        <sz val="10"/>
        <rFont val="Calibri"/>
        <family val="2"/>
        <scheme val="minor"/>
      </rPr>
      <t xml:space="preserve"> (5 x 2.5mm2 XLPE/SWA/LSZH)</t>
    </r>
  </si>
  <si>
    <r>
      <rPr>
        <b/>
        <sz val="10"/>
        <rFont val="Calibri"/>
        <family val="2"/>
        <scheme val="minor"/>
      </rPr>
      <t>Truck Plugging Point 02</t>
    </r>
    <r>
      <rPr>
        <sz val="10"/>
        <rFont val="Calibri"/>
        <family val="2"/>
        <scheme val="minor"/>
      </rPr>
      <t xml:space="preserve"> (5 x 2.5mm2 XLPE/SWA/LSZH)</t>
    </r>
  </si>
  <si>
    <r>
      <rPr>
        <b/>
        <sz val="10"/>
        <rFont val="Calibri"/>
        <family val="2"/>
        <scheme val="minor"/>
      </rPr>
      <t>Truck Plugging Point 03</t>
    </r>
    <r>
      <rPr>
        <sz val="10"/>
        <rFont val="Calibri"/>
        <family val="2"/>
        <scheme val="minor"/>
      </rPr>
      <t xml:space="preserve"> (5 x 2.5mm2 XLPE/SWA/LSZH)</t>
    </r>
  </si>
  <si>
    <r>
      <rPr>
        <b/>
        <sz val="10"/>
        <rFont val="Calibri"/>
        <family val="2"/>
        <scheme val="minor"/>
      </rPr>
      <t xml:space="preserve">Truck Plugging Point 04 </t>
    </r>
    <r>
      <rPr>
        <sz val="10"/>
        <rFont val="Calibri"/>
        <family val="2"/>
        <scheme val="minor"/>
      </rPr>
      <t>(5 x 2.5mm2 XLPE/SWA/LSZH)</t>
    </r>
  </si>
  <si>
    <r>
      <rPr>
        <b/>
        <sz val="10"/>
        <rFont val="Calibri"/>
        <family val="2"/>
        <scheme val="minor"/>
      </rPr>
      <t xml:space="preserve">Trailer Plugging Point 05 </t>
    </r>
    <r>
      <rPr>
        <sz val="10"/>
        <rFont val="Calibri"/>
        <family val="2"/>
        <scheme val="minor"/>
      </rPr>
      <t>(5 x 6mm2 XLPE/SWA/LSZH)</t>
    </r>
  </si>
  <si>
    <r>
      <rPr>
        <b/>
        <sz val="10"/>
        <rFont val="Calibri"/>
        <family val="2"/>
        <scheme val="minor"/>
      </rPr>
      <t xml:space="preserve">Trailer Plugging Point 06 </t>
    </r>
    <r>
      <rPr>
        <sz val="10"/>
        <rFont val="Calibri"/>
        <family val="2"/>
        <scheme val="minor"/>
      </rPr>
      <t>(5 x 6mm2 XLPE/SWA/LSZH)</t>
    </r>
  </si>
  <si>
    <r>
      <rPr>
        <b/>
        <sz val="10"/>
        <rFont val="Calibri"/>
        <family val="2"/>
        <scheme val="minor"/>
      </rPr>
      <t xml:space="preserve">Trailer Plugging Point 07 </t>
    </r>
    <r>
      <rPr>
        <sz val="10"/>
        <rFont val="Calibri"/>
        <family val="2"/>
        <scheme val="minor"/>
      </rPr>
      <t>(5 x 6mm2 XLPE/SWA/LSZH)</t>
    </r>
  </si>
  <si>
    <r>
      <rPr>
        <b/>
        <sz val="10"/>
        <rFont val="Calibri"/>
        <family val="2"/>
        <scheme val="minor"/>
      </rPr>
      <t xml:space="preserve">Trailer Plugging Point 08 </t>
    </r>
    <r>
      <rPr>
        <sz val="10"/>
        <rFont val="Calibri"/>
        <family val="2"/>
        <scheme val="minor"/>
      </rPr>
      <t>(5 x 6mm2 XLPE/SWA/LSZH)</t>
    </r>
  </si>
  <si>
    <r>
      <rPr>
        <b/>
        <sz val="10"/>
        <rFont val="Calibri"/>
        <family val="2"/>
        <scheme val="minor"/>
      </rPr>
      <t xml:space="preserve">Shrink Wrap Equipment </t>
    </r>
    <r>
      <rPr>
        <sz val="10"/>
        <rFont val="Calibri"/>
        <family val="2"/>
        <scheme val="minor"/>
      </rPr>
      <t>(5 x 6mm2 XLPE/SWA/LSZH)</t>
    </r>
  </si>
  <si>
    <r>
      <rPr>
        <b/>
        <sz val="10"/>
        <rFont val="Calibri"/>
        <family val="2"/>
        <scheme val="minor"/>
      </rPr>
      <t xml:space="preserve">Compactor </t>
    </r>
    <r>
      <rPr>
        <sz val="10"/>
        <rFont val="Calibri"/>
        <family val="2"/>
        <scheme val="minor"/>
      </rPr>
      <t>(5 x 6mm2 XLPE/SWA/LSZH)</t>
    </r>
  </si>
  <si>
    <t>32A 3-Phase Industrial Socket Outlet c/w Rotary Switch</t>
  </si>
  <si>
    <t>From Distribution Board 'DB-FLC' to:</t>
  </si>
  <si>
    <r>
      <rPr>
        <b/>
        <sz val="10"/>
        <rFont val="Calibri"/>
        <family val="2"/>
        <scheme val="minor"/>
      </rPr>
      <t>Lifter Charger 01</t>
    </r>
    <r>
      <rPr>
        <sz val="10"/>
        <rFont val="Calibri"/>
        <family val="2"/>
        <scheme val="minor"/>
      </rPr>
      <t xml:space="preserve"> (5 x 6mm2 XLPE/SWA/LSZH)</t>
    </r>
  </si>
  <si>
    <r>
      <rPr>
        <b/>
        <sz val="10"/>
        <rFont val="Calibri"/>
        <family val="2"/>
        <scheme val="minor"/>
      </rPr>
      <t>Lifter Charger 02</t>
    </r>
    <r>
      <rPr>
        <sz val="10"/>
        <rFont val="Calibri"/>
        <family val="2"/>
        <scheme val="minor"/>
      </rPr>
      <t xml:space="preserve"> (5 x 6mm2 XLPE/SWA/LSZH)</t>
    </r>
  </si>
  <si>
    <r>
      <rPr>
        <b/>
        <sz val="10"/>
        <rFont val="Calibri"/>
        <family val="2"/>
        <scheme val="minor"/>
      </rPr>
      <t>Lifter Charger 03</t>
    </r>
    <r>
      <rPr>
        <sz val="10"/>
        <rFont val="Calibri"/>
        <family val="2"/>
        <scheme val="minor"/>
      </rPr>
      <t xml:space="preserve"> (5 x 6mm2 XLPE/SWA/LSZH)</t>
    </r>
  </si>
  <si>
    <r>
      <rPr>
        <b/>
        <sz val="10"/>
        <rFont val="Calibri"/>
        <family val="2"/>
        <scheme val="minor"/>
      </rPr>
      <t xml:space="preserve">Lifter Charger 04 </t>
    </r>
    <r>
      <rPr>
        <sz val="10"/>
        <rFont val="Calibri"/>
        <family val="2"/>
        <scheme val="minor"/>
      </rPr>
      <t>(5 x 6mm2 XLPE/SWA/LSZH)</t>
    </r>
  </si>
  <si>
    <r>
      <rPr>
        <b/>
        <sz val="10"/>
        <rFont val="Calibri"/>
        <family val="2"/>
        <scheme val="minor"/>
      </rPr>
      <t xml:space="preserve">Lifter Charger 05 </t>
    </r>
    <r>
      <rPr>
        <sz val="10"/>
        <rFont val="Calibri"/>
        <family val="2"/>
        <scheme val="minor"/>
      </rPr>
      <t>(5 x 6mm2 XLPE/SWA/LSZH)</t>
    </r>
  </si>
  <si>
    <r>
      <rPr>
        <b/>
        <sz val="10"/>
        <rFont val="Calibri"/>
        <family val="2"/>
        <scheme val="minor"/>
      </rPr>
      <t xml:space="preserve">Lifter Charger 06 </t>
    </r>
    <r>
      <rPr>
        <sz val="10"/>
        <rFont val="Calibri"/>
        <family val="2"/>
        <scheme val="minor"/>
      </rPr>
      <t>(5 x 6mm2 XLPE/SWA/LSZH)</t>
    </r>
  </si>
  <si>
    <r>
      <rPr>
        <b/>
        <sz val="10"/>
        <rFont val="Calibri"/>
        <family val="2"/>
        <scheme val="minor"/>
      </rPr>
      <t xml:space="preserve">Lifter Charger 07 </t>
    </r>
    <r>
      <rPr>
        <sz val="10"/>
        <rFont val="Calibri"/>
        <family val="2"/>
        <scheme val="minor"/>
      </rPr>
      <t>(5 x 6mm2 XLPE/SWA/LSZH)</t>
    </r>
  </si>
  <si>
    <r>
      <rPr>
        <b/>
        <sz val="10"/>
        <rFont val="Calibri"/>
        <family val="2"/>
        <scheme val="minor"/>
      </rPr>
      <t xml:space="preserve">Lifter Charger 08 </t>
    </r>
    <r>
      <rPr>
        <sz val="10"/>
        <rFont val="Calibri"/>
        <family val="2"/>
        <scheme val="minor"/>
      </rPr>
      <t>(5 x 6mm2 XLPE/SWA/LSZH)</t>
    </r>
  </si>
  <si>
    <r>
      <rPr>
        <b/>
        <sz val="10"/>
        <rFont val="Calibri"/>
        <family val="2"/>
        <scheme val="minor"/>
      </rPr>
      <t xml:space="preserve">Lifter Charger 09 </t>
    </r>
    <r>
      <rPr>
        <sz val="10"/>
        <rFont val="Calibri"/>
        <family val="2"/>
        <scheme val="minor"/>
      </rPr>
      <t>(5 x 6mm2 XLPE/SWA/LSZH)</t>
    </r>
  </si>
  <si>
    <r>
      <rPr>
        <b/>
        <sz val="10"/>
        <rFont val="Calibri"/>
        <family val="2"/>
        <scheme val="minor"/>
      </rPr>
      <t xml:space="preserve">Lifter Charger 10 </t>
    </r>
    <r>
      <rPr>
        <sz val="10"/>
        <rFont val="Calibri"/>
        <family val="2"/>
        <scheme val="minor"/>
      </rPr>
      <t>(5 x 6mm2 XLPE/SWA/LSZH)</t>
    </r>
  </si>
  <si>
    <r>
      <rPr>
        <b/>
        <sz val="10"/>
        <rFont val="Calibri"/>
        <family val="2"/>
        <scheme val="minor"/>
      </rPr>
      <t xml:space="preserve">Lifter Charger 11 </t>
    </r>
    <r>
      <rPr>
        <sz val="10"/>
        <rFont val="Calibri"/>
        <family val="2"/>
        <scheme val="minor"/>
      </rPr>
      <t>(5 x 6mm2 XLPE/SWA/LSZH)</t>
    </r>
  </si>
  <si>
    <r>
      <rPr>
        <b/>
        <sz val="10"/>
        <rFont val="Calibri"/>
        <family val="2"/>
        <scheme val="minor"/>
      </rPr>
      <t xml:space="preserve">Lifter Charger 12 </t>
    </r>
    <r>
      <rPr>
        <sz val="10"/>
        <rFont val="Calibri"/>
        <family val="2"/>
        <scheme val="minor"/>
      </rPr>
      <t>(5 x 6mm2 XLPE/SWA/LSZH)</t>
    </r>
  </si>
  <si>
    <r>
      <rPr>
        <b/>
        <sz val="10"/>
        <rFont val="Calibri"/>
        <family val="2"/>
        <scheme val="minor"/>
      </rPr>
      <t xml:space="preserve">Lifter Charger 13 </t>
    </r>
    <r>
      <rPr>
        <sz val="10"/>
        <rFont val="Calibri"/>
        <family val="2"/>
        <scheme val="minor"/>
      </rPr>
      <t>(5 x 6mm2 XLPE/SWA/LSZH)</t>
    </r>
  </si>
  <si>
    <t>From Distribution Board 'DB-CRP' to:</t>
  </si>
  <si>
    <r>
      <rPr>
        <b/>
        <sz val="10"/>
        <rFont val="Calibri"/>
        <family val="2"/>
        <scheme val="minor"/>
      </rPr>
      <t>DOBO/dock leveler 01</t>
    </r>
    <r>
      <rPr>
        <sz val="10"/>
        <rFont val="Calibri"/>
        <family val="2"/>
        <scheme val="minor"/>
      </rPr>
      <t xml:space="preserve"> (5 x 2.5mm2 XLPE/SWA/LSZH)</t>
    </r>
  </si>
  <si>
    <r>
      <rPr>
        <b/>
        <sz val="10"/>
        <rFont val="Calibri"/>
        <family val="2"/>
        <scheme val="minor"/>
      </rPr>
      <t xml:space="preserve">DOBO/dock leveler 02 </t>
    </r>
    <r>
      <rPr>
        <sz val="10"/>
        <rFont val="Calibri"/>
        <family val="2"/>
        <scheme val="minor"/>
      </rPr>
      <t>(5 x 2.5mm2 XLPE/SWA/LSZH)</t>
    </r>
  </si>
  <si>
    <r>
      <rPr>
        <b/>
        <sz val="10"/>
        <rFont val="Calibri"/>
        <family val="2"/>
        <scheme val="minor"/>
      </rPr>
      <t xml:space="preserve">DOBO/dock leveler 03 </t>
    </r>
    <r>
      <rPr>
        <sz val="10"/>
        <rFont val="Calibri"/>
        <family val="2"/>
        <scheme val="minor"/>
      </rPr>
      <t>(5 x 2.5mm2 XLPE/SWA/LSZH)</t>
    </r>
  </si>
  <si>
    <r>
      <rPr>
        <b/>
        <sz val="10"/>
        <rFont val="Calibri"/>
        <family val="2"/>
        <scheme val="minor"/>
      </rPr>
      <t xml:space="preserve">DOBO/dock leveler 04 </t>
    </r>
    <r>
      <rPr>
        <sz val="10"/>
        <rFont val="Calibri"/>
        <family val="2"/>
        <scheme val="minor"/>
      </rPr>
      <t>(5 x 2.5mm2 XLPE/SWA/LSZH)</t>
    </r>
  </si>
  <si>
    <r>
      <rPr>
        <b/>
        <sz val="10"/>
        <rFont val="Calibri"/>
        <family val="2"/>
        <scheme val="minor"/>
      </rPr>
      <t xml:space="preserve">DOBO/dock leveler 05 </t>
    </r>
    <r>
      <rPr>
        <sz val="10"/>
        <rFont val="Calibri"/>
        <family val="2"/>
        <scheme val="minor"/>
      </rPr>
      <t>(5 x 2.5mm2 XLPE/SWA/LSZH)</t>
    </r>
  </si>
  <si>
    <r>
      <rPr>
        <b/>
        <sz val="10"/>
        <rFont val="Calibri"/>
        <family val="2"/>
        <scheme val="minor"/>
      </rPr>
      <t xml:space="preserve">DOBO/dock leveler 06 </t>
    </r>
    <r>
      <rPr>
        <sz val="10"/>
        <rFont val="Calibri"/>
        <family val="2"/>
        <scheme val="minor"/>
      </rPr>
      <t>(5 x 2.5mm2 XLPE/SWA/LSZH)</t>
    </r>
  </si>
  <si>
    <r>
      <rPr>
        <b/>
        <sz val="10"/>
        <rFont val="Calibri"/>
        <family val="2"/>
        <scheme val="minor"/>
      </rPr>
      <t xml:space="preserve">Stretch Wrap </t>
    </r>
    <r>
      <rPr>
        <sz val="10"/>
        <rFont val="Calibri"/>
        <family val="2"/>
        <scheme val="minor"/>
      </rPr>
      <t>(5 x 6mm2 XLPE/SWA/LSZH)</t>
    </r>
  </si>
  <si>
    <r>
      <t>Distribution Board '</t>
    </r>
    <r>
      <rPr>
        <b/>
        <sz val="10"/>
        <rFont val="Calibri"/>
        <family val="2"/>
        <scheme val="minor"/>
      </rPr>
      <t>DB-CRL</t>
    </r>
    <r>
      <rPr>
        <sz val="10"/>
        <rFont val="Calibri"/>
        <family val="2"/>
        <scheme val="minor"/>
      </rPr>
      <t>'</t>
    </r>
    <r>
      <rPr>
        <b/>
        <sz val="10"/>
        <rFont val="Calibri"/>
        <family val="2"/>
        <scheme val="minor"/>
      </rPr>
      <t xml:space="preserve"> </t>
    </r>
    <r>
      <rPr>
        <sz val="10"/>
        <rFont val="Calibri"/>
        <family val="2"/>
        <scheme val="minor"/>
      </rPr>
      <t>(5 x 10mm2 XLPE/SWA/LSZH)</t>
    </r>
  </si>
  <si>
    <t>TOTAL FOR PAGE 14</t>
  </si>
  <si>
    <t>From Distribution Board 'DB-WH' to:</t>
  </si>
  <si>
    <t>From Ventilation Control Panel 'VCP-WH' to:</t>
  </si>
  <si>
    <r>
      <t>Supply Fan</t>
    </r>
    <r>
      <rPr>
        <b/>
        <sz val="10"/>
        <rFont val="Calibri"/>
        <family val="2"/>
        <scheme val="minor"/>
      </rPr>
      <t xml:space="preserve"> SPF1  </t>
    </r>
    <r>
      <rPr>
        <sz val="10"/>
        <rFont val="Calibri"/>
        <family val="2"/>
        <scheme val="minor"/>
      </rPr>
      <t>(5 x 4mm2 F120 Fire Resistant Cable (BS7846) -  XLPE/SWA/LSZH)</t>
    </r>
  </si>
  <si>
    <r>
      <t>Supply Fan</t>
    </r>
    <r>
      <rPr>
        <b/>
        <sz val="10"/>
        <rFont val="Calibri"/>
        <family val="2"/>
        <scheme val="minor"/>
      </rPr>
      <t xml:space="preserve"> SPF2  </t>
    </r>
    <r>
      <rPr>
        <sz val="10"/>
        <rFont val="Calibri"/>
        <family val="2"/>
        <scheme val="minor"/>
      </rPr>
      <t>(5 x 4mm2 F120 Fire Resistant Cable (BS7846) -  XLPE/SWA/LSZH)</t>
    </r>
  </si>
  <si>
    <r>
      <t>Supply Fan</t>
    </r>
    <r>
      <rPr>
        <b/>
        <sz val="10"/>
        <rFont val="Calibri"/>
        <family val="2"/>
        <scheme val="minor"/>
      </rPr>
      <t xml:space="preserve"> SPF3  </t>
    </r>
    <r>
      <rPr>
        <sz val="10"/>
        <rFont val="Calibri"/>
        <family val="2"/>
        <scheme val="minor"/>
      </rPr>
      <t>(5 x 4mm2 F120 Fire Resistant Cable (BS7846) -  XLPE/SWA/LSZH)</t>
    </r>
  </si>
  <si>
    <r>
      <t>Impulse Fan</t>
    </r>
    <r>
      <rPr>
        <b/>
        <sz val="10"/>
        <rFont val="Calibri"/>
        <family val="2"/>
        <scheme val="minor"/>
      </rPr>
      <t xml:space="preserve"> IF1</t>
    </r>
    <r>
      <rPr>
        <sz val="10"/>
        <rFont val="Calibri"/>
        <family val="2"/>
        <scheme val="minor"/>
      </rPr>
      <t xml:space="preserve">  (5 x 2.5mm2 F120 Fire Resistant Cable (BS7846) -  XLPE/SWA/LSZH)</t>
    </r>
  </si>
  <si>
    <r>
      <t>Impulse Fan</t>
    </r>
    <r>
      <rPr>
        <b/>
        <sz val="10"/>
        <rFont val="Calibri"/>
        <family val="2"/>
        <scheme val="minor"/>
      </rPr>
      <t xml:space="preserve"> IF2</t>
    </r>
    <r>
      <rPr>
        <sz val="10"/>
        <rFont val="Calibri"/>
        <family val="2"/>
        <scheme val="minor"/>
      </rPr>
      <t xml:space="preserve">  (5 x 2.5mm2 F120 Fire Resistant Cable (BS7846) -  XLPE/SWA/LSZH)</t>
    </r>
  </si>
  <si>
    <r>
      <t>Impulse Fan</t>
    </r>
    <r>
      <rPr>
        <b/>
        <sz val="10"/>
        <rFont val="Calibri"/>
        <family val="2"/>
        <scheme val="minor"/>
      </rPr>
      <t xml:space="preserve"> IF3</t>
    </r>
    <r>
      <rPr>
        <sz val="10"/>
        <rFont val="Calibri"/>
        <family val="2"/>
        <scheme val="minor"/>
      </rPr>
      <t xml:space="preserve">  (5 x 2.5mm2 F120 Fire Resistant Cable (BS7846) -  XLPE/SWA/LSZH)</t>
    </r>
  </si>
  <si>
    <r>
      <t>Impulse Fan</t>
    </r>
    <r>
      <rPr>
        <b/>
        <sz val="10"/>
        <rFont val="Calibri"/>
        <family val="2"/>
        <scheme val="minor"/>
      </rPr>
      <t xml:space="preserve"> IF4</t>
    </r>
    <r>
      <rPr>
        <sz val="10"/>
        <rFont val="Calibri"/>
        <family val="2"/>
        <scheme val="minor"/>
      </rPr>
      <t xml:space="preserve">  (5 x 2.5mm2 F120 Fire Resistant Cable (BS7846) -  XLPE/SWA/LSZH)</t>
    </r>
  </si>
  <si>
    <r>
      <t>Impulse Fan</t>
    </r>
    <r>
      <rPr>
        <b/>
        <sz val="10"/>
        <rFont val="Calibri"/>
        <family val="2"/>
        <scheme val="minor"/>
      </rPr>
      <t xml:space="preserve"> IF5</t>
    </r>
    <r>
      <rPr>
        <sz val="10"/>
        <rFont val="Calibri"/>
        <family val="2"/>
        <scheme val="minor"/>
      </rPr>
      <t xml:space="preserve">  (5 x 2.5mm2 F120 Fire Resistant Cable (BS7846) -  XLPE/SWA/LSZH)</t>
    </r>
  </si>
  <si>
    <r>
      <t>Impulse Fan</t>
    </r>
    <r>
      <rPr>
        <b/>
        <sz val="10"/>
        <rFont val="Calibri"/>
        <family val="2"/>
        <scheme val="minor"/>
      </rPr>
      <t xml:space="preserve"> IF6</t>
    </r>
    <r>
      <rPr>
        <sz val="10"/>
        <rFont val="Calibri"/>
        <family val="2"/>
        <scheme val="minor"/>
      </rPr>
      <t xml:space="preserve">  (5 x 2.5mm2 F120 Fire Resistant Cable (BS7846) -  XLPE/SWA/LSZH)</t>
    </r>
  </si>
  <si>
    <r>
      <t>Impulse Fan</t>
    </r>
    <r>
      <rPr>
        <b/>
        <sz val="10"/>
        <rFont val="Calibri"/>
        <family val="2"/>
        <scheme val="minor"/>
      </rPr>
      <t xml:space="preserve"> IF7 </t>
    </r>
    <r>
      <rPr>
        <sz val="10"/>
        <rFont val="Calibri"/>
        <family val="2"/>
        <scheme val="minor"/>
      </rPr>
      <t xml:space="preserve"> (5 x 2.5mm2 F120 Fire Resistant Cable (BS7846) -  XLPE/SWA/LSZH)</t>
    </r>
  </si>
  <si>
    <r>
      <t>Impulse Fan</t>
    </r>
    <r>
      <rPr>
        <b/>
        <sz val="10"/>
        <rFont val="Calibri"/>
        <family val="2"/>
        <scheme val="minor"/>
      </rPr>
      <t xml:space="preserve"> IF8 </t>
    </r>
    <r>
      <rPr>
        <sz val="10"/>
        <rFont val="Calibri"/>
        <family val="2"/>
        <scheme val="minor"/>
      </rPr>
      <t xml:space="preserve"> (5 x 2.5mm2 F120 Fire Resistant Cable (BS7846) -  XLPE/SWA/LSZH)</t>
    </r>
  </si>
  <si>
    <r>
      <t>Impulse Fan</t>
    </r>
    <r>
      <rPr>
        <b/>
        <sz val="10"/>
        <rFont val="Calibri"/>
        <family val="2"/>
        <scheme val="minor"/>
      </rPr>
      <t xml:space="preserve"> IF9</t>
    </r>
    <r>
      <rPr>
        <sz val="10"/>
        <rFont val="Calibri"/>
        <family val="2"/>
        <scheme val="minor"/>
      </rPr>
      <t xml:space="preserve">  (5 x 2.5mm2 F120 Fire Resistant Cable (BS7846) -  XLPE/SWA/LSZH)</t>
    </r>
  </si>
  <si>
    <r>
      <t>Impulse Fan</t>
    </r>
    <r>
      <rPr>
        <b/>
        <sz val="10"/>
        <rFont val="Calibri"/>
        <family val="2"/>
        <scheme val="minor"/>
      </rPr>
      <t xml:space="preserve"> IF10</t>
    </r>
    <r>
      <rPr>
        <sz val="10"/>
        <rFont val="Calibri"/>
        <family val="2"/>
        <scheme val="minor"/>
      </rPr>
      <t xml:space="preserve"> (5 x 2.5mm2 F120 Fire Resistant Cable (BS7846) -  XLPE/SWA/LSZH)</t>
    </r>
  </si>
  <si>
    <r>
      <t>Impulse Fan</t>
    </r>
    <r>
      <rPr>
        <b/>
        <sz val="10"/>
        <rFont val="Calibri"/>
        <family val="2"/>
        <scheme val="minor"/>
      </rPr>
      <t xml:space="preserve"> IF11</t>
    </r>
    <r>
      <rPr>
        <sz val="10"/>
        <rFont val="Calibri"/>
        <family val="2"/>
        <scheme val="minor"/>
      </rPr>
      <t xml:space="preserve"> (5 x 2.5mm2 F120 Fire Resistant Cable (BS7846) -  XLPE/SWA/LSZH)</t>
    </r>
  </si>
  <si>
    <r>
      <t>Impulse Fan</t>
    </r>
    <r>
      <rPr>
        <b/>
        <sz val="10"/>
        <rFont val="Calibri"/>
        <family val="2"/>
        <scheme val="minor"/>
      </rPr>
      <t xml:space="preserve"> IF12</t>
    </r>
    <r>
      <rPr>
        <sz val="10"/>
        <rFont val="Calibri"/>
        <family val="2"/>
        <scheme val="minor"/>
      </rPr>
      <t xml:space="preserve"> (5 x 2.5mm2 F120 Fire Resistant Cable (BS7846) -  XLPE/SWA/LSZH)</t>
    </r>
  </si>
  <si>
    <r>
      <t>Extract Fan</t>
    </r>
    <r>
      <rPr>
        <b/>
        <sz val="10"/>
        <rFont val="Calibri"/>
        <family val="2"/>
        <scheme val="minor"/>
      </rPr>
      <t xml:space="preserve"> EPF1  </t>
    </r>
    <r>
      <rPr>
        <sz val="10"/>
        <rFont val="Calibri"/>
        <family val="2"/>
        <scheme val="minor"/>
      </rPr>
      <t>(5 x 10mm2 F120 Fire Resistant Cable (BS7846) -  XLPE/SWA/LSZH)</t>
    </r>
  </si>
  <si>
    <r>
      <t>Extract Fan</t>
    </r>
    <r>
      <rPr>
        <b/>
        <sz val="10"/>
        <rFont val="Calibri"/>
        <family val="2"/>
        <scheme val="minor"/>
      </rPr>
      <t xml:space="preserve"> EPF2  </t>
    </r>
    <r>
      <rPr>
        <sz val="10"/>
        <rFont val="Calibri"/>
        <family val="2"/>
        <scheme val="minor"/>
      </rPr>
      <t>(5 x 10mm2 F120 Fire Resistant Cable (BS7846) -  XLPE/SWA/LSZH)</t>
    </r>
  </si>
  <si>
    <r>
      <t>Extract Fan</t>
    </r>
    <r>
      <rPr>
        <b/>
        <sz val="10"/>
        <rFont val="Calibri"/>
        <family val="2"/>
        <scheme val="minor"/>
      </rPr>
      <t xml:space="preserve"> EPF3  </t>
    </r>
    <r>
      <rPr>
        <sz val="10"/>
        <rFont val="Calibri"/>
        <family val="2"/>
        <scheme val="minor"/>
      </rPr>
      <t>(5 x 10mm2 F120 Fire Resistant Cable (BS7846) -  XLPE/SWA/LSZH)</t>
    </r>
  </si>
  <si>
    <t xml:space="preserve">3-Phase 20A Isolator </t>
  </si>
  <si>
    <t>From Distribution Board 'DB-EA' to:</t>
  </si>
  <si>
    <r>
      <rPr>
        <b/>
        <sz val="10"/>
        <rFont val="Calibri"/>
        <family val="2"/>
        <scheme val="minor"/>
      </rPr>
      <t>Sump Pump 06</t>
    </r>
    <r>
      <rPr>
        <sz val="10"/>
        <rFont val="Calibri"/>
        <family val="2"/>
        <scheme val="minor"/>
      </rPr>
      <t xml:space="preserve"> (5 x 4mm2 XLPE/SWA/LSZH)</t>
    </r>
  </si>
  <si>
    <r>
      <rPr>
        <b/>
        <sz val="10"/>
        <rFont val="Calibri"/>
        <family val="2"/>
        <scheme val="minor"/>
      </rPr>
      <t>Sump Pump 07</t>
    </r>
    <r>
      <rPr>
        <sz val="10"/>
        <rFont val="Calibri"/>
        <family val="2"/>
        <scheme val="minor"/>
      </rPr>
      <t xml:space="preserve"> (5 x 4mm2 XLPE/SWA/LSZH)</t>
    </r>
  </si>
  <si>
    <t>3-Phase 25A Isolator</t>
  </si>
  <si>
    <t>TOTAL FOR PAGE 15</t>
  </si>
  <si>
    <t>From Distribution Board 'DB-PL1' to:</t>
  </si>
  <si>
    <r>
      <t xml:space="preserve">Fridge Condenser Control Panel </t>
    </r>
    <r>
      <rPr>
        <b/>
        <sz val="10"/>
        <rFont val="Calibri"/>
        <family val="2"/>
        <scheme val="minor"/>
      </rPr>
      <t>CP-S1</t>
    </r>
    <r>
      <rPr>
        <sz val="10"/>
        <rFont val="Calibri"/>
        <family val="2"/>
        <scheme val="minor"/>
      </rPr>
      <t xml:space="preserve"> (5 x 25mm2 XLPE/SWA/LSZH)</t>
    </r>
  </si>
  <si>
    <r>
      <t xml:space="preserve">Fridge Condenser Control Panel </t>
    </r>
    <r>
      <rPr>
        <b/>
        <sz val="10"/>
        <rFont val="Calibri"/>
        <family val="2"/>
        <scheme val="minor"/>
      </rPr>
      <t>CP-S2</t>
    </r>
    <r>
      <rPr>
        <sz val="10"/>
        <rFont val="Calibri"/>
        <family val="2"/>
        <scheme val="minor"/>
      </rPr>
      <t xml:space="preserve"> (5 x 25mm2 XLPE/SWA/LSZH)</t>
    </r>
  </si>
  <si>
    <r>
      <t xml:space="preserve">Freezer Condenser Control Panel </t>
    </r>
    <r>
      <rPr>
        <b/>
        <sz val="10"/>
        <rFont val="Calibri"/>
        <family val="2"/>
        <scheme val="minor"/>
      </rPr>
      <t>CP-S6</t>
    </r>
    <r>
      <rPr>
        <sz val="10"/>
        <rFont val="Calibri"/>
        <family val="2"/>
        <scheme val="minor"/>
      </rPr>
      <t xml:space="preserve"> (5 x 35mm2 XLPE/SWA/LSZH)</t>
    </r>
  </si>
  <si>
    <r>
      <t xml:space="preserve">Freezer Condenser Control Panel </t>
    </r>
    <r>
      <rPr>
        <b/>
        <sz val="10"/>
        <rFont val="Calibri"/>
        <family val="2"/>
        <scheme val="minor"/>
      </rPr>
      <t>CP-S7</t>
    </r>
    <r>
      <rPr>
        <sz val="10"/>
        <rFont val="Calibri"/>
        <family val="2"/>
        <scheme val="minor"/>
      </rPr>
      <t xml:space="preserve"> (5 x 35mm2 XLPE/SWA/LSZH)</t>
    </r>
  </si>
  <si>
    <t>From Distribution Board 'DB-PL2' to:</t>
  </si>
  <si>
    <r>
      <t xml:space="preserve">Freezer Condenser Control Panel </t>
    </r>
    <r>
      <rPr>
        <b/>
        <sz val="10"/>
        <rFont val="Calibri"/>
        <family val="2"/>
        <scheme val="minor"/>
      </rPr>
      <t>CP-S8</t>
    </r>
    <r>
      <rPr>
        <sz val="10"/>
        <rFont val="Calibri"/>
        <family val="2"/>
        <scheme val="minor"/>
      </rPr>
      <t xml:space="preserve"> (5 x 35mm2 XLPE/SWA/LSZH)</t>
    </r>
  </si>
  <si>
    <r>
      <t xml:space="preserve">Freezer Condenser Control Panel </t>
    </r>
    <r>
      <rPr>
        <b/>
        <sz val="10"/>
        <rFont val="Calibri"/>
        <family val="2"/>
        <scheme val="minor"/>
      </rPr>
      <t>CP-S9</t>
    </r>
    <r>
      <rPr>
        <sz val="10"/>
        <rFont val="Calibri"/>
        <family val="2"/>
        <scheme val="minor"/>
      </rPr>
      <t xml:space="preserve"> (5 x 35mm2 XLPE/SWA/LSZH)</t>
    </r>
  </si>
  <si>
    <r>
      <t xml:space="preserve">Freezer Condenser Control Panel </t>
    </r>
    <r>
      <rPr>
        <b/>
        <sz val="10"/>
        <rFont val="Calibri"/>
        <family val="2"/>
        <scheme val="minor"/>
      </rPr>
      <t>CP-S10</t>
    </r>
    <r>
      <rPr>
        <sz val="10"/>
        <rFont val="Calibri"/>
        <family val="2"/>
        <scheme val="minor"/>
      </rPr>
      <t xml:space="preserve"> (5 x 35mm2 XLPE/SWA/LSZH)</t>
    </r>
  </si>
  <si>
    <t>From Distribution Board 'DB-OL1' to:</t>
  </si>
  <si>
    <r>
      <t>Ventilation Control Panel '</t>
    </r>
    <r>
      <rPr>
        <b/>
        <sz val="10"/>
        <rFont val="Calibri"/>
        <family val="2"/>
        <scheme val="minor"/>
      </rPr>
      <t>VCP-OL1</t>
    </r>
    <r>
      <rPr>
        <sz val="10"/>
        <rFont val="Calibri"/>
        <family val="2"/>
        <scheme val="minor"/>
      </rPr>
      <t>' (3 x 6mm2 LSZH/LSZH)</t>
    </r>
  </si>
  <si>
    <t>From Ventilation Control Panel 'VCP-OL1' to:</t>
  </si>
  <si>
    <r>
      <t>Heat Recovery Unit</t>
    </r>
    <r>
      <rPr>
        <b/>
        <sz val="10"/>
        <rFont val="Calibri"/>
        <family val="2"/>
        <scheme val="minor"/>
      </rPr>
      <t xml:space="preserve"> HRU-OL1-01 </t>
    </r>
    <r>
      <rPr>
        <sz val="10"/>
        <rFont val="Calibri"/>
        <family val="2"/>
        <scheme val="minor"/>
      </rPr>
      <t>(3 x 4mm2 XLPE/SWA/LSZH)</t>
    </r>
  </si>
  <si>
    <t>From Distribution Board 'DB-AB' to:</t>
  </si>
  <si>
    <r>
      <t>Air Conditioning VRF Unit '</t>
    </r>
    <r>
      <rPr>
        <b/>
        <sz val="10"/>
        <rFont val="Calibri"/>
        <family val="2"/>
        <scheme val="minor"/>
      </rPr>
      <t>S-20</t>
    </r>
    <r>
      <rPr>
        <sz val="10"/>
        <rFont val="Calibri"/>
        <family val="2"/>
        <scheme val="minor"/>
      </rPr>
      <t>' (5 x 6mm2 XLPE/SWA/LSZH)</t>
    </r>
  </si>
  <si>
    <r>
      <t>Air Conditioning Split Unit '</t>
    </r>
    <r>
      <rPr>
        <b/>
        <sz val="10"/>
        <rFont val="Calibri"/>
        <family val="2"/>
        <scheme val="minor"/>
      </rPr>
      <t>SPT-02</t>
    </r>
    <r>
      <rPr>
        <sz val="10"/>
        <rFont val="Calibri"/>
        <family val="2"/>
        <scheme val="minor"/>
      </rPr>
      <t>' (3 x 4mm2 XLPE/SWA/LSZH)</t>
    </r>
  </si>
  <si>
    <r>
      <t>Ventilation Control Panel '</t>
    </r>
    <r>
      <rPr>
        <b/>
        <sz val="10"/>
        <rFont val="Calibri"/>
        <family val="2"/>
        <scheme val="minor"/>
      </rPr>
      <t>VCP-AB</t>
    </r>
    <r>
      <rPr>
        <sz val="10"/>
        <rFont val="Calibri"/>
        <family val="2"/>
        <scheme val="minor"/>
      </rPr>
      <t>' (3 x 6mm2 LSZH/LSZH)</t>
    </r>
  </si>
  <si>
    <t>From Ventilation Control Panel 'VCP-AB' to:</t>
  </si>
  <si>
    <r>
      <t>Extract Fan</t>
    </r>
    <r>
      <rPr>
        <b/>
        <sz val="10"/>
        <rFont val="Calibri"/>
        <family val="2"/>
        <scheme val="minor"/>
      </rPr>
      <t xml:space="preserve"> EF-AB-01  </t>
    </r>
    <r>
      <rPr>
        <sz val="10"/>
        <rFont val="Calibri"/>
        <family val="2"/>
        <scheme val="minor"/>
      </rPr>
      <t>(3 x 4mm2 XLPE/SWA/LSZH)</t>
    </r>
  </si>
  <si>
    <r>
      <t>Heat Recovery Unit</t>
    </r>
    <r>
      <rPr>
        <b/>
        <sz val="10"/>
        <rFont val="Calibri"/>
        <family val="2"/>
        <scheme val="minor"/>
      </rPr>
      <t xml:space="preserve"> HRU-CAN-01 </t>
    </r>
    <r>
      <rPr>
        <sz val="10"/>
        <rFont val="Calibri"/>
        <family val="2"/>
        <scheme val="minor"/>
      </rPr>
      <t>(3 x 4mm2 XLPE/SWA/LSZH)</t>
    </r>
  </si>
  <si>
    <r>
      <t>Supply Fan</t>
    </r>
    <r>
      <rPr>
        <b/>
        <sz val="10"/>
        <rFont val="Calibri"/>
        <family val="2"/>
        <scheme val="minor"/>
      </rPr>
      <t xml:space="preserve"> SF-AB-01  </t>
    </r>
    <r>
      <rPr>
        <sz val="10"/>
        <rFont val="Calibri"/>
        <family val="2"/>
        <scheme val="minor"/>
      </rPr>
      <t>(3 x 4mm2 XLPE/SWA/LSZH)</t>
    </r>
  </si>
  <si>
    <t>Double pole switch</t>
  </si>
  <si>
    <t>From Distribution Board 'DB-OL2' to:</t>
  </si>
  <si>
    <r>
      <t>Ventilation Control Panel '</t>
    </r>
    <r>
      <rPr>
        <b/>
        <sz val="10"/>
        <rFont val="Calibri"/>
        <family val="2"/>
        <scheme val="minor"/>
      </rPr>
      <t>VCP-OL2</t>
    </r>
    <r>
      <rPr>
        <sz val="10"/>
        <rFont val="Calibri"/>
        <family val="2"/>
        <scheme val="minor"/>
      </rPr>
      <t>' (3 x 6mm2 LSZH/LSZH)</t>
    </r>
  </si>
  <si>
    <t>From Ventilation Control Panel 'VCP-OL2' to:</t>
  </si>
  <si>
    <r>
      <t>Heat Recovery Unit</t>
    </r>
    <r>
      <rPr>
        <b/>
        <sz val="10"/>
        <rFont val="Calibri"/>
        <family val="2"/>
        <scheme val="minor"/>
      </rPr>
      <t xml:space="preserve"> HRU-OL2-01 </t>
    </r>
    <r>
      <rPr>
        <sz val="10"/>
        <rFont val="Calibri"/>
        <family val="2"/>
        <scheme val="minor"/>
      </rPr>
      <t>(3 x 4mm2 XLPE/SWA/LSZH)</t>
    </r>
  </si>
  <si>
    <r>
      <t>Heat Recovery Unit</t>
    </r>
    <r>
      <rPr>
        <b/>
        <sz val="10"/>
        <rFont val="Calibri"/>
        <family val="2"/>
        <scheme val="minor"/>
      </rPr>
      <t xml:space="preserve"> HRU-OL2-02 </t>
    </r>
    <r>
      <rPr>
        <sz val="10"/>
        <rFont val="Calibri"/>
        <family val="2"/>
        <scheme val="minor"/>
      </rPr>
      <t>(3 x 4mm2 XLPE/SWA/LSZH)</t>
    </r>
  </si>
  <si>
    <t>TOTAL FOR PAGE 16</t>
  </si>
  <si>
    <t>From Distribution Board 'DB-PL3' to:</t>
  </si>
  <si>
    <r>
      <t xml:space="preserve">Fridge Condenser Control Panel </t>
    </r>
    <r>
      <rPr>
        <b/>
        <sz val="10"/>
        <rFont val="Calibri"/>
        <family val="2"/>
        <scheme val="minor"/>
      </rPr>
      <t>CP-S3</t>
    </r>
    <r>
      <rPr>
        <sz val="10"/>
        <rFont val="Calibri"/>
        <family val="2"/>
        <scheme val="minor"/>
      </rPr>
      <t xml:space="preserve"> (5 x 25mm2 XLPE/SWA/LSZH)</t>
    </r>
  </si>
  <si>
    <r>
      <t xml:space="preserve">Fridge Condenser Control Panel </t>
    </r>
    <r>
      <rPr>
        <b/>
        <sz val="10"/>
        <rFont val="Calibri"/>
        <family val="2"/>
        <scheme val="minor"/>
      </rPr>
      <t>CP-S4</t>
    </r>
    <r>
      <rPr>
        <sz val="10"/>
        <rFont val="Calibri"/>
        <family val="2"/>
        <scheme val="minor"/>
      </rPr>
      <t xml:space="preserve"> (5 x 25mm2 XLPE/SWA/LSZH)</t>
    </r>
  </si>
  <si>
    <r>
      <t xml:space="preserve">Fridge Condenser Control Panel </t>
    </r>
    <r>
      <rPr>
        <b/>
        <sz val="10"/>
        <rFont val="Calibri"/>
        <family val="2"/>
        <scheme val="minor"/>
      </rPr>
      <t>CP-S5</t>
    </r>
    <r>
      <rPr>
        <sz val="10"/>
        <rFont val="Calibri"/>
        <family val="2"/>
        <scheme val="minor"/>
      </rPr>
      <t xml:space="preserve"> (5 x 25mm2 XLPE/SWA/LSZH)</t>
    </r>
  </si>
  <si>
    <r>
      <t xml:space="preserve">Loading Condenser Control Panel </t>
    </r>
    <r>
      <rPr>
        <b/>
        <sz val="10"/>
        <rFont val="Calibri"/>
        <family val="2"/>
        <scheme val="minor"/>
      </rPr>
      <t xml:space="preserve">CP-S11 </t>
    </r>
    <r>
      <rPr>
        <sz val="10"/>
        <rFont val="Calibri"/>
        <family val="2"/>
        <scheme val="minor"/>
      </rPr>
      <t>(5 x 25mm2 XLPE/SWA/LSZH)</t>
    </r>
  </si>
  <si>
    <r>
      <t xml:space="preserve">Loading Condenser Control Panel </t>
    </r>
    <r>
      <rPr>
        <b/>
        <sz val="10"/>
        <rFont val="Calibri"/>
        <family val="2"/>
        <scheme val="minor"/>
      </rPr>
      <t xml:space="preserve">CP-S12 </t>
    </r>
    <r>
      <rPr>
        <sz val="10"/>
        <rFont val="Calibri"/>
        <family val="2"/>
        <scheme val="minor"/>
      </rPr>
      <t>(5 x 25mm2 XLPE/SWA/LSZH)</t>
    </r>
  </si>
  <si>
    <r>
      <t xml:space="preserve">Loading Condenser Control Panel </t>
    </r>
    <r>
      <rPr>
        <b/>
        <sz val="10"/>
        <rFont val="Calibri"/>
        <family val="2"/>
        <scheme val="minor"/>
      </rPr>
      <t xml:space="preserve">CP-S13 </t>
    </r>
    <r>
      <rPr>
        <sz val="10"/>
        <rFont val="Calibri"/>
        <family val="2"/>
        <scheme val="minor"/>
      </rPr>
      <t>(5 x 25mm2 XLPE/SWA/LSZH)</t>
    </r>
  </si>
  <si>
    <t>From Distribution Board 'DB-OL3' to:</t>
  </si>
  <si>
    <r>
      <t>Ventilation Control Panel '</t>
    </r>
    <r>
      <rPr>
        <b/>
        <sz val="10"/>
        <rFont val="Calibri"/>
        <family val="2"/>
        <scheme val="minor"/>
      </rPr>
      <t>VCP-OL3</t>
    </r>
    <r>
      <rPr>
        <sz val="10"/>
        <rFont val="Calibri"/>
        <family val="2"/>
        <scheme val="minor"/>
      </rPr>
      <t>' (3 x 6mm2 LSZH/LSZH)</t>
    </r>
  </si>
  <si>
    <t>From Ventilation Control Panel 'VCP-OL3' to:</t>
  </si>
  <si>
    <r>
      <t>Heat Recovery Unit</t>
    </r>
    <r>
      <rPr>
        <b/>
        <sz val="10"/>
        <rFont val="Calibri"/>
        <family val="2"/>
        <scheme val="minor"/>
      </rPr>
      <t xml:space="preserve"> HRU-OL3-01 </t>
    </r>
    <r>
      <rPr>
        <sz val="10"/>
        <rFont val="Calibri"/>
        <family val="2"/>
        <scheme val="minor"/>
      </rPr>
      <t>(3 x 4mm2 XLPE/SWA/LSZH)</t>
    </r>
  </si>
  <si>
    <r>
      <t>Heat Recovery Unit</t>
    </r>
    <r>
      <rPr>
        <b/>
        <sz val="10"/>
        <rFont val="Calibri"/>
        <family val="2"/>
        <scheme val="minor"/>
      </rPr>
      <t xml:space="preserve"> HRU-OL3-02 </t>
    </r>
    <r>
      <rPr>
        <sz val="10"/>
        <rFont val="Calibri"/>
        <family val="2"/>
        <scheme val="minor"/>
      </rPr>
      <t>(3 x 4mm2 XLPE/SWA/LSZH)</t>
    </r>
  </si>
  <si>
    <r>
      <t>Heat Recovery Unit</t>
    </r>
    <r>
      <rPr>
        <b/>
        <sz val="10"/>
        <rFont val="Calibri"/>
        <family val="2"/>
        <scheme val="minor"/>
      </rPr>
      <t xml:space="preserve"> HRU-OL3-03 </t>
    </r>
    <r>
      <rPr>
        <sz val="10"/>
        <rFont val="Calibri"/>
        <family val="2"/>
        <scheme val="minor"/>
      </rPr>
      <t>(3 x 4mm2 XLPE/SWA/LSZH)</t>
    </r>
  </si>
  <si>
    <t>From Distribution Board 'DB-OL4' to:</t>
  </si>
  <si>
    <r>
      <t>Air Conditioning VRF Unit '</t>
    </r>
    <r>
      <rPr>
        <b/>
        <sz val="10"/>
        <rFont val="Calibri"/>
        <family val="2"/>
        <scheme val="minor"/>
      </rPr>
      <t>S-14</t>
    </r>
    <r>
      <rPr>
        <sz val="10"/>
        <rFont val="Calibri"/>
        <family val="2"/>
        <scheme val="minor"/>
      </rPr>
      <t>' (5 x 6mm2 XLPE/SWA/LSZH)</t>
    </r>
  </si>
  <si>
    <r>
      <t>Air Conditioning VRF Unit '</t>
    </r>
    <r>
      <rPr>
        <b/>
        <sz val="10"/>
        <rFont val="Calibri"/>
        <family val="2"/>
        <scheme val="minor"/>
      </rPr>
      <t>S-15</t>
    </r>
    <r>
      <rPr>
        <sz val="10"/>
        <rFont val="Calibri"/>
        <family val="2"/>
        <scheme val="minor"/>
      </rPr>
      <t>' (5 x 6mm2 XLPE/SWA/LSZH)</t>
    </r>
  </si>
  <si>
    <r>
      <t>Air Conditioning VRF Unit '</t>
    </r>
    <r>
      <rPr>
        <b/>
        <sz val="10"/>
        <rFont val="Calibri"/>
        <family val="2"/>
        <scheme val="minor"/>
      </rPr>
      <t>S-16</t>
    </r>
    <r>
      <rPr>
        <sz val="10"/>
        <rFont val="Calibri"/>
        <family val="2"/>
        <scheme val="minor"/>
      </rPr>
      <t>' (5 x 10mm2 XLPE/SWA/LSZH)</t>
    </r>
  </si>
  <si>
    <r>
      <t>Air Conditioning VRF Unit '</t>
    </r>
    <r>
      <rPr>
        <b/>
        <sz val="10"/>
        <rFont val="Calibri"/>
        <family val="2"/>
        <scheme val="minor"/>
      </rPr>
      <t>S-17</t>
    </r>
    <r>
      <rPr>
        <sz val="10"/>
        <rFont val="Calibri"/>
        <family val="2"/>
        <scheme val="minor"/>
      </rPr>
      <t>' (5 x 10mm2 XLPE/SWA/LSZH)</t>
    </r>
  </si>
  <si>
    <r>
      <t>Air Conditioning VRF Unit '</t>
    </r>
    <r>
      <rPr>
        <b/>
        <sz val="10"/>
        <rFont val="Calibri"/>
        <family val="2"/>
        <scheme val="minor"/>
      </rPr>
      <t>S-18</t>
    </r>
    <r>
      <rPr>
        <sz val="10"/>
        <rFont val="Calibri"/>
        <family val="2"/>
        <scheme val="minor"/>
      </rPr>
      <t>' (5 x 10mm2 XLPE/SWA/LSZH)</t>
    </r>
  </si>
  <si>
    <r>
      <t>Air Conditioning VRF Unit '</t>
    </r>
    <r>
      <rPr>
        <b/>
        <sz val="10"/>
        <rFont val="Calibri"/>
        <family val="2"/>
        <scheme val="minor"/>
      </rPr>
      <t>S-19</t>
    </r>
    <r>
      <rPr>
        <sz val="10"/>
        <rFont val="Calibri"/>
        <family val="2"/>
        <scheme val="minor"/>
      </rPr>
      <t>' (5 x 4mm2 XLPE/SWA/LSZH)</t>
    </r>
  </si>
  <si>
    <t>TOTAL FOR PAGE 17</t>
  </si>
  <si>
    <r>
      <t xml:space="preserve">Wiring from distribution board using LSZH cable enclosed in galvanised trunking and </t>
    </r>
    <r>
      <rPr>
        <b/>
        <i/>
        <sz val="10"/>
        <rFont val="Calibri"/>
        <family val="2"/>
        <scheme val="minor"/>
      </rPr>
      <t>galvanised conduit</t>
    </r>
    <r>
      <rPr>
        <i/>
        <sz val="10"/>
        <rFont val="Calibri"/>
        <family val="2"/>
        <scheme val="minor"/>
      </rPr>
      <t xml:space="preserve"> surface mounted including the supply of all LSZH cable and </t>
    </r>
    <r>
      <rPr>
        <b/>
        <i/>
        <sz val="10"/>
        <rFont val="Calibri"/>
        <family val="2"/>
        <scheme val="minor"/>
      </rPr>
      <t>metal clad</t>
    </r>
    <r>
      <rPr>
        <i/>
        <sz val="10"/>
        <rFont val="Calibri"/>
        <family val="2"/>
        <scheme val="minor"/>
      </rPr>
      <t xml:space="preserve"> wiring accessories etc. for a complete installation.</t>
    </r>
  </si>
  <si>
    <t>From Distribution Board DB-B1U (Basement Level)</t>
  </si>
  <si>
    <t xml:space="preserve">Twin socket outlet </t>
  </si>
  <si>
    <t>Double pole switch (3 x 4mm2 CWZ/LSZH)</t>
  </si>
  <si>
    <t>1-Phase Isolator (excl. supply of Isolator)</t>
  </si>
  <si>
    <t>1-Phase Industrial Socket Outlet (excl. supply of socket)</t>
  </si>
  <si>
    <t>1 Light Point on 1 Switch</t>
  </si>
  <si>
    <t>2 Light Points on 1 Switch</t>
  </si>
  <si>
    <t>2 Light Points on 1 IP65 Switch</t>
  </si>
  <si>
    <t>4 Light Points on 1 Switch</t>
  </si>
  <si>
    <t>5 Light Points on 1 Switch</t>
  </si>
  <si>
    <t>7 Light Points on 1 Switch</t>
  </si>
  <si>
    <t>4 Light Points on 2 Way Switches</t>
  </si>
  <si>
    <t>8 Light Points on 2 Way Switches</t>
  </si>
  <si>
    <t>4 Light Points on integrated Presence Detector</t>
  </si>
  <si>
    <t>12 Light Points on integrated Presence Detector</t>
  </si>
  <si>
    <t>16 Light Points on integrated Presence Detector</t>
  </si>
  <si>
    <t>3 Light Points on Presence Detector</t>
  </si>
  <si>
    <t>2 Light Points on 2 Presence Detectors</t>
  </si>
  <si>
    <t>4 Light Points on 2 Presence Detectors</t>
  </si>
  <si>
    <t>24 Light Points on 9 Presence Detectors</t>
  </si>
  <si>
    <t>2 Light Points on 1 Presence Detector (staircase A - Basement Lev to Lev 0)</t>
  </si>
  <si>
    <t>4 Light Points on 2 Presence Detectors (staircase B - Basement Lev to Lev 0)</t>
  </si>
  <si>
    <t>4 Light Points on 2 Presence Detectors (staircase C - Basement Lev to Lev 0)</t>
  </si>
  <si>
    <t>Additional wiring for voltage sensing/battery charging for fittings with power pack.</t>
  </si>
  <si>
    <t>Maintained Emergency light points</t>
  </si>
  <si>
    <t>Supply, install and connect of the following:</t>
  </si>
  <si>
    <t>25A 1-Phase Isolator</t>
  </si>
  <si>
    <t>16A 1-Phase Industrial Socket Outlet</t>
  </si>
  <si>
    <t>16A 1-Phase Industrial Socket Outlet c/w Rotary Switch</t>
  </si>
  <si>
    <t>Supply, install and connect emergency shut-off system c/w power supplies, control cabling, interfaces to fire alarm system, contactors, emergency shut-off buttons (qty 2) etc for a complete system. Emergency shut-off buttons shall be interfaced to distribution board DB-EV such that in case of emergency the Power supply will automatically disconnect. The system shall include all the galvanised conduits,  wiring, control cabling etc. for a complete installation.</t>
  </si>
  <si>
    <r>
      <t>360</t>
    </r>
    <r>
      <rPr>
        <sz val="10"/>
        <rFont val="Calibri"/>
        <family val="2"/>
      </rPr>
      <t>°</t>
    </r>
    <r>
      <rPr>
        <sz val="10"/>
        <rFont val="Calibri"/>
        <family val="2"/>
        <scheme val="minor"/>
      </rPr>
      <t xml:space="preserve"> Presence Detector</t>
    </r>
  </si>
  <si>
    <t>From Distribution Board DB-EV  (Basement Level)</t>
  </si>
  <si>
    <t>Twin socket outlet (3 x 6mm2 LSZH)</t>
  </si>
  <si>
    <t>From Distribution Board DB-LA2 (Level 0)</t>
  </si>
  <si>
    <t>From Distribution Board DB-B1P (Basement Level)</t>
  </si>
  <si>
    <t>Twin socket outlet</t>
  </si>
  <si>
    <t>TOTAL FOR PAGE 18</t>
  </si>
  <si>
    <t>From Distribution Board DB-B1L (Basement Level - Level 0)</t>
  </si>
  <si>
    <t>3 Light Points on 1 Switch</t>
  </si>
  <si>
    <t>6 Light Points on 1 Switch</t>
  </si>
  <si>
    <t>1 Light Point on Presence Detector</t>
  </si>
  <si>
    <t>2 Light Points on Presence Detector</t>
  </si>
  <si>
    <t>5 Light Points on 2 Presence Detectors</t>
  </si>
  <si>
    <t>8 Light Points on 3 Presence Detectors</t>
  </si>
  <si>
    <t>9 Light Points on 3 Presence Detectors</t>
  </si>
  <si>
    <t>15 Light Points on 3 Presence Detectors</t>
  </si>
  <si>
    <t>15 Light Points on 5 Presence Detectors</t>
  </si>
  <si>
    <t>15 Light Points on 6 Presence Detectors</t>
  </si>
  <si>
    <t>20 Light Points on 3 Presence Detectors</t>
  </si>
  <si>
    <t>8 Light Points on 3 Presence Detectors (staircase E - Basement Lev to Lev 0)</t>
  </si>
  <si>
    <r>
      <t xml:space="preserve">Wiring from distribution board using LSZH cable enclosed in galvanised trunking and </t>
    </r>
    <r>
      <rPr>
        <b/>
        <i/>
        <sz val="10"/>
        <rFont val="Calibri"/>
        <family val="2"/>
        <scheme val="minor"/>
      </rPr>
      <t>LSZH conduit</t>
    </r>
    <r>
      <rPr>
        <i/>
        <sz val="10"/>
        <rFont val="Calibri"/>
        <family val="2"/>
        <scheme val="minor"/>
      </rPr>
      <t xml:space="preserve"> chased in wall including the supply of all LSZH cable and</t>
    </r>
    <r>
      <rPr>
        <b/>
        <i/>
        <sz val="10"/>
        <rFont val="Calibri"/>
        <family val="2"/>
        <scheme val="minor"/>
      </rPr>
      <t xml:space="preserve"> PVC </t>
    </r>
    <r>
      <rPr>
        <i/>
        <sz val="10"/>
        <rFont val="Calibri"/>
        <family val="2"/>
        <scheme val="minor"/>
      </rPr>
      <t xml:space="preserve">wiring accessories etc. for a complete installation. </t>
    </r>
  </si>
  <si>
    <t>From Distribution Board DB-OL0 (Level 0)</t>
  </si>
  <si>
    <t>Single socket outlet</t>
  </si>
  <si>
    <t>Unswitched Double Pole (3x4mm2 CWZ/LSZH)</t>
  </si>
  <si>
    <t>Flex outlet</t>
  </si>
  <si>
    <t>5 Light Points on Timer - external areas</t>
  </si>
  <si>
    <t>3 Light Points on 2 Presence Detectors</t>
  </si>
  <si>
    <t>9 Light Points on 4 Presence Detectors (staircase B - Lev 0 to Lev 3)</t>
  </si>
  <si>
    <t>Floor Box Type 01</t>
  </si>
  <si>
    <t>Provision for the supply and installation of HDMI points, including the supply of dia.25mm conduits, HDMI cable, back boxes, HDMI faceplates and including all chasing required, fixings, accessories etc for a complete installation between TV-01 and FB-01</t>
  </si>
  <si>
    <t>TOTAL FOR PAGE 19</t>
  </si>
  <si>
    <t>From Distribution Board DB-LA1 (Level 0)</t>
  </si>
  <si>
    <t>Unswitched double pole (3 x 4mm2 CWZ/LSZH)</t>
  </si>
  <si>
    <t>7 Light Points on 1 Switch - external areas</t>
  </si>
  <si>
    <t>4 Light Points on 2 Way Switch</t>
  </si>
  <si>
    <t>5 Light Points on 2 Way Switch</t>
  </si>
  <si>
    <t>4 Light Points on Photocell - external areas</t>
  </si>
  <si>
    <t>Photocell sensor</t>
  </si>
  <si>
    <t>From Distribution Board DB-FLA (Level 0)</t>
  </si>
  <si>
    <t>Supply, install and connect emergency shut-off system c/w power supplies, control cabling, interfaces to fire alarm system, contactors, emergency shut-off buttons (qty 1) etc for a complete system. Emergency shut-off buttons shall be interfaced to distribution board DB-FLC  such that in case of emergency the Power supply will automatically disconnect. The system shall include all the galvanised conduits,  wiring, control cabling etc. for a complete installation.</t>
  </si>
  <si>
    <t>From Distribution Board DB-EA (Level 0)</t>
  </si>
  <si>
    <t>3 Light Points on 1 IP65 Switch - external areas</t>
  </si>
  <si>
    <t>8 Light Points on 1 IP65 Switch - external areas</t>
  </si>
  <si>
    <t>Non-Maintained Emergency light points</t>
  </si>
  <si>
    <t>TOTAL FOR PAGE 20</t>
  </si>
  <si>
    <t>From Distribution Board DB-WH (Level 0 - Level 2)</t>
  </si>
  <si>
    <t>3 Light Point on 1 IP65 Switch - external areas</t>
  </si>
  <si>
    <t>4 Light Points on Switching Pack</t>
  </si>
  <si>
    <t>6 Light Points on Switching Pack</t>
  </si>
  <si>
    <t>8 Light Points on Switching Pack</t>
  </si>
  <si>
    <t>11 Light Points on Switching Pack</t>
  </si>
  <si>
    <t>12 Light Points on Switching Pack</t>
  </si>
  <si>
    <t>14 Light Points on Switching Pack</t>
  </si>
  <si>
    <t>16 Light Points on Switching Pack</t>
  </si>
  <si>
    <t>Switching Pack as per drawings and specs.</t>
  </si>
  <si>
    <t>From Distribution Board DB-CRP (Level 0)</t>
  </si>
  <si>
    <t>Unswitched Double pole (3 x 4mm2 CWZ/LSZH)</t>
  </si>
  <si>
    <r>
      <t xml:space="preserve">Wiring from distribution board using LSZH cable enclosed in galvanised trunking and </t>
    </r>
    <r>
      <rPr>
        <b/>
        <i/>
        <sz val="10"/>
        <rFont val="Calibri"/>
        <family val="2"/>
        <scheme val="minor"/>
      </rPr>
      <t>316L stainless steel conduit</t>
    </r>
    <r>
      <rPr>
        <i/>
        <sz val="10"/>
        <rFont val="Calibri"/>
        <family val="2"/>
        <scheme val="minor"/>
      </rPr>
      <t xml:space="preserve"> surface mounted including the supply of all LSZH cable and </t>
    </r>
    <r>
      <rPr>
        <b/>
        <i/>
        <sz val="10"/>
        <rFont val="Calibri"/>
        <family val="2"/>
        <scheme val="minor"/>
      </rPr>
      <t xml:space="preserve">316L stainless steel </t>
    </r>
    <r>
      <rPr>
        <i/>
        <sz val="10"/>
        <rFont val="Calibri"/>
        <family val="2"/>
        <scheme val="minor"/>
      </rPr>
      <t>wiring accessories etc. for a complete installation.</t>
    </r>
  </si>
  <si>
    <t>TOTAL FOR PAGE 21</t>
  </si>
  <si>
    <t>From Distribution Board DB-OL1 (Level 1)</t>
  </si>
  <si>
    <t>Single socket outlet - IP65</t>
  </si>
  <si>
    <t>1 Light Point on Timer</t>
  </si>
  <si>
    <t>Floor Box Type 02</t>
  </si>
  <si>
    <t>From Distribution Board DB-AB (Level 0 to Level 2)</t>
  </si>
  <si>
    <t>5 Light Points on Photocell and override switch (staircase D - Lev 0 to Lev 2)</t>
  </si>
  <si>
    <t>TOTAL FOR PAGE 22</t>
  </si>
  <si>
    <t>From Distribution Board DB-OL2 (Level 2)</t>
  </si>
  <si>
    <t>6 Light Points on 5 Presence Detectors</t>
  </si>
  <si>
    <t>6 Light Points on Timer</t>
  </si>
  <si>
    <t>7 Light Points on Timer (staircase E - Lev 0 to Lev 3)</t>
  </si>
  <si>
    <t>Floor Box Type 03</t>
  </si>
  <si>
    <t>Preparation for UPS (Level 2)</t>
  </si>
  <si>
    <t>TOTAL FOR PAGE 23</t>
  </si>
  <si>
    <t>From Distribution Board DB-OL3 (Level 3)</t>
  </si>
  <si>
    <t>9 Light Points on 5 Presence Detectors</t>
  </si>
  <si>
    <t>9 Light Points on Photocell - external areas</t>
  </si>
  <si>
    <t>From Distribution Board DB-OL4 (Level 4)</t>
  </si>
  <si>
    <t>16 Light Points on 1 IP65 Switch - external areas</t>
  </si>
  <si>
    <t>Earthing of all metal clad wiring accessories/metal wall plates</t>
  </si>
  <si>
    <t>Earthing of the installation according to IET standards and local Enemalta regulations.</t>
  </si>
  <si>
    <t>LS</t>
  </si>
  <si>
    <t>TOTAL FOR PAGE 24</t>
  </si>
  <si>
    <t>TOTAL FOR ELECTRICAL INSTALLATION</t>
  </si>
  <si>
    <t>LIGHT FITTINGS - SUPPLY ONLY</t>
  </si>
  <si>
    <t>Supply Only of the following light fittings</t>
  </si>
  <si>
    <t>Type E1: Flag Type Maintained Emergency Light Fitting With Exit Indicator as per spec</t>
  </si>
  <si>
    <t>Type G1: LED 1500lm Tube Light Surface Mounted as per spec</t>
  </si>
  <si>
    <t>Type G2: LED 1500lm Tube Light Surface Mounted c/w Power Pack as per spec</t>
  </si>
  <si>
    <t>Type G3: LED 3500lm Tube Light Surface Mounted as per spec</t>
  </si>
  <si>
    <t>Type G4: LED 3500lm Tube Light Surface Mounted c/w Power Pack as per spec</t>
  </si>
  <si>
    <t>Type J1: Garage LED Tube Light ~3000Lm Wide Beam IP66 as per spec</t>
  </si>
  <si>
    <t>Type J2: Garage LED Tube Light ~3000lm Wide Beam IP66 c/w Power Pack as per spec</t>
  </si>
  <si>
    <t>Type J3: Garage LED Tube Light ~3000Lm Wide Beam IP66 c/w Integrated Motion Sensor as per spec</t>
  </si>
  <si>
    <t>Type E2: IP65 Non-Maintained Emergency Light Fitting With Exit Indicator as per spec</t>
  </si>
  <si>
    <t>Type H1: Warehouse Surface LED Tube Light ~6500lm IP66 as per spec</t>
  </si>
  <si>
    <t>Type I1: Warehouse High Bay Suspended LED Tube Light ~12500lm IP66 as per spec</t>
  </si>
  <si>
    <t>Type L1: LED Flood Light 20000lm IP65 as per spec</t>
  </si>
  <si>
    <t>Type M1: LED Emergency Lights ~400lm as per spec</t>
  </si>
  <si>
    <t>TOTAL FOR PAGE 25</t>
  </si>
  <si>
    <t>TOTAL FOR LIGHT FITTINGS - SUPPLY ONLY</t>
  </si>
  <si>
    <t>LIGHT FITTINGS - INSTALL &amp; CONNECT</t>
  </si>
  <si>
    <t>Install and connect of the following light fittings</t>
  </si>
  <si>
    <t>Type B1: Ceiling Surface Mounted Lightpoint</t>
  </si>
  <si>
    <t>Type B2: Ceiling Surface Mounted Lightpoint c/w Power Pack</t>
  </si>
  <si>
    <t>Type C2: High Level Wall Surface Mounted Lightpoint c/w Power Pack</t>
  </si>
  <si>
    <t>Type E1: Flag Type Maintained Emergency Light Fitting With Exit Indicator</t>
  </si>
  <si>
    <t>Type F2: Ceiling Surface Mounted Lightpoint IP65 c/w Power Pack</t>
  </si>
  <si>
    <t>Type G1: LED 1500lm Tube Light Surface Mounted</t>
  </si>
  <si>
    <t>Type G2: LED 1500lm Tube Light Surface Mounted c/w Power Pack</t>
  </si>
  <si>
    <t>Type G3: LED 3500lm Tube Light Surface Mounted</t>
  </si>
  <si>
    <t>Type G4: LED 3500lm Tube Light Surface Mounted c/w Power Pack</t>
  </si>
  <si>
    <t>Type J1: Garage LED Tube Light ~3000Lm Wide Beam IP66</t>
  </si>
  <si>
    <t>Type J2: Garage LED Tube Light ~3000lm Wide 
Beam IP66 c/w Power Pack</t>
  </si>
  <si>
    <t>Type J3: Garage LED Tube Light ~3000Lm Wide Beam IP66 c/w Integrated Motion Sensor</t>
  </si>
  <si>
    <t>Type A1: Soffit Recessed Lightpoint</t>
  </si>
  <si>
    <t>Type A2: Soffit Recessed Lightpoint c/w Power Pack</t>
  </si>
  <si>
    <t>Type D1: Wall Surface Mounted Lightpoint IP65</t>
  </si>
  <si>
    <t>Type E2: IP65 Non-Maintained Emergency Light Fitting With Exit Indicator</t>
  </si>
  <si>
    <t>Type H1: Warehouse Surface LED Tube Light ~6500lm IP66</t>
  </si>
  <si>
    <t>Type I1: Warehouse High Bay Suspended LED Tube Light ~12500lm IP66</t>
  </si>
  <si>
    <t>Type L1: LED Flood Light 20000lm IP65</t>
  </si>
  <si>
    <t>Type M1: LED Emergency Lights ~400lm</t>
  </si>
  <si>
    <t>Type F1: Ceiling Surface Mounted Lightpoint IP65</t>
  </si>
  <si>
    <t>TOTAL FOR PAGE 26</t>
  </si>
  <si>
    <t>TOTAL FOR LIGHT FITTINGS - INSTALL &amp; CONNECT</t>
  </si>
  <si>
    <t>CABLE CONTAINMENT INSTALLATION</t>
  </si>
  <si>
    <t>Supply and install galvanised trunking/ cable trays/ cable basket as indicated on drawings c/w earth clips etc. for a complete installation</t>
  </si>
  <si>
    <t>Cable tray - Power</t>
  </si>
  <si>
    <t>50 mm</t>
  </si>
  <si>
    <t>100 mm</t>
  </si>
  <si>
    <t>200 mm</t>
  </si>
  <si>
    <t>250 mm</t>
  </si>
  <si>
    <t>300 mm</t>
  </si>
  <si>
    <t>400 mm</t>
  </si>
  <si>
    <t>500 mm</t>
  </si>
  <si>
    <t>Cable tray - Fire Safety</t>
  </si>
  <si>
    <t>Power - Trunking</t>
  </si>
  <si>
    <t>75 x 50 mm</t>
  </si>
  <si>
    <t>75 x 75 mm</t>
  </si>
  <si>
    <t>100 x 75 mm</t>
  </si>
  <si>
    <t>Data - Trunking</t>
  </si>
  <si>
    <t>ELV - Trunking</t>
  </si>
  <si>
    <t>150 x 75 mm</t>
  </si>
  <si>
    <t>PVC Sleeves</t>
  </si>
  <si>
    <t>Dia. 80mm Sleeves</t>
  </si>
  <si>
    <t>Cable tray - Plumbing</t>
  </si>
  <si>
    <t>125 x 75 mm</t>
  </si>
  <si>
    <t>250 x 75 mm</t>
  </si>
  <si>
    <t>TOTAL FOR PAGE 27</t>
  </si>
  <si>
    <t>200 x 100 mm</t>
  </si>
  <si>
    <t>400 x 100 mm</t>
  </si>
  <si>
    <t>Level 2 Roof/Terraces</t>
  </si>
  <si>
    <t>Lids for Cable Trays</t>
  </si>
  <si>
    <t>Level 4 Roof</t>
  </si>
  <si>
    <t>TOTAL FOR PAGE 28</t>
  </si>
  <si>
    <t>Shafts</t>
  </si>
  <si>
    <t>Earthing of all metal cable containment</t>
  </si>
  <si>
    <t>Testing of earth continuity on all metal cable containment systems and provision of certification.</t>
  </si>
  <si>
    <t xml:space="preserve">Supply one full set of as fitted drawings (including 1 hard copy and a digital copy on 2 separate USBs) c/w all manuals etc. </t>
  </si>
  <si>
    <t>TOTAL FOR PAGE 29</t>
  </si>
  <si>
    <t>TOTAL FOR CABLE CONTAINMENT INSTALLATION</t>
  </si>
  <si>
    <t>DATA INSTALLATION</t>
  </si>
  <si>
    <t>Basement Level -1 - From Data Cabinet B1</t>
  </si>
  <si>
    <r>
      <t xml:space="preserve">Supply and install </t>
    </r>
    <r>
      <rPr>
        <b/>
        <i/>
        <sz val="10"/>
        <rFont val="Calibri"/>
        <family val="2"/>
        <scheme val="minor"/>
      </rPr>
      <t>galvanised conduit</t>
    </r>
    <r>
      <rPr>
        <i/>
        <sz val="10"/>
        <rFont val="Calibri"/>
        <family val="2"/>
        <scheme val="minor"/>
      </rPr>
      <t xml:space="preserve"> surface mounted from Data cabinet B1 patch panel to various data points as per drawing, including the supply of all necessary back boxes. There shall be 1qty 25 mm conduits for a maximum of two cables. All data cable conduit shall be 25mm diameter.  </t>
    </r>
  </si>
  <si>
    <t>Data Points</t>
  </si>
  <si>
    <t>Wiring from Data cabinet B1 patch panel to the following points using CAT6A LSZH cables including the provision of all cables, installation etc for a complete system. All cables to be marked at both ends using appropriate number bands</t>
  </si>
  <si>
    <t>Data Points x 1 (CCTV)</t>
  </si>
  <si>
    <t>Data Points x 1 (WiFi)</t>
  </si>
  <si>
    <t>Data Points x 2 (CCTV)</t>
  </si>
  <si>
    <t>Data Points x 2 (Access + Intercom)</t>
  </si>
  <si>
    <r>
      <t xml:space="preserve">Supply, install and connect of the following </t>
    </r>
    <r>
      <rPr>
        <b/>
        <i/>
        <sz val="10"/>
        <rFont val="Calibri"/>
        <family val="2"/>
        <scheme val="minor"/>
      </rPr>
      <t>metal clad</t>
    </r>
    <r>
      <rPr>
        <i/>
        <sz val="10"/>
        <rFont val="Calibri"/>
        <family val="2"/>
        <scheme val="minor"/>
      </rPr>
      <t xml:space="preserve"> wall plates</t>
    </r>
  </si>
  <si>
    <t xml:space="preserve">Single Wall plates </t>
  </si>
  <si>
    <t xml:space="preserve">Twin Wall plates </t>
  </si>
  <si>
    <t xml:space="preserve">Termination of cables at both ends including the provision of RJ45 sockets  </t>
  </si>
  <si>
    <t>cable</t>
  </si>
  <si>
    <t>Testing of cables and issuing of the relevant certifications per data point</t>
  </si>
  <si>
    <t>Level 0 - From Data Cabinet B1</t>
  </si>
  <si>
    <t>Data Cabinet B1 in Basement Level -1</t>
  </si>
  <si>
    <r>
      <t xml:space="preserve">Supply,install and connect </t>
    </r>
    <r>
      <rPr>
        <b/>
        <sz val="10"/>
        <rFont val="Calibri"/>
        <family val="2"/>
        <scheme val="minor"/>
      </rPr>
      <t>Wall Mounted</t>
    </r>
    <r>
      <rPr>
        <sz val="10"/>
        <rFont val="Calibri"/>
        <family val="2"/>
        <scheme val="minor"/>
      </rPr>
      <t xml:space="preserve"> </t>
    </r>
    <r>
      <rPr>
        <b/>
        <sz val="10"/>
        <rFont val="Calibri"/>
        <family val="2"/>
        <scheme val="minor"/>
      </rPr>
      <t>18U Data Cabinet</t>
    </r>
    <r>
      <rPr>
        <sz val="10"/>
        <rFont val="Calibri"/>
        <family val="2"/>
        <scheme val="minor"/>
      </rPr>
      <t xml:space="preserve"> - 600 x 600 (mm)</t>
    </r>
  </si>
  <si>
    <t>Supply,install and connect 19" 1U 24 port CAT 6A patch panels</t>
  </si>
  <si>
    <t>Supply and install horizontal cable management frames, 1U high</t>
  </si>
  <si>
    <t>Supply and install vertical cable management frames 42U high</t>
  </si>
  <si>
    <t>Supply and install rack mountable PDU, 12-way, 1U high as specified</t>
  </si>
  <si>
    <t>TOTAL FOR PAGE 30</t>
  </si>
  <si>
    <t>Level 0 - From Server Cabinet L0/L1 Offices</t>
  </si>
  <si>
    <r>
      <t xml:space="preserve">Supply and install </t>
    </r>
    <r>
      <rPr>
        <b/>
        <i/>
        <sz val="10"/>
        <rFont val="Calibri"/>
        <family val="2"/>
        <scheme val="minor"/>
      </rPr>
      <t>LSZH conduit</t>
    </r>
    <r>
      <rPr>
        <i/>
        <sz val="10"/>
        <rFont val="Calibri"/>
        <family val="2"/>
        <scheme val="minor"/>
      </rPr>
      <t xml:space="preserve"> chased in walls and in screed under tiles from Server cabinet L0/L1 Offices patch panel to various data points as per drawing, including the supply of necessary back boxes. There shall be 1qty 25 mm conduits for a maximum of two cables. All data cable conduit shall be 25mm diameter.  </t>
    </r>
  </si>
  <si>
    <t>Wiring from Server cabinet L0/L1 Offices patch panel to the following points using CAT6A LSZH cables including the provision of all cables, installation etc for a complete system. All cables to be marked at both ends using appropriate number bands</t>
  </si>
  <si>
    <t>Data Points x 1 (Access)</t>
  </si>
  <si>
    <t>Data Points x 1 (Intercom)</t>
  </si>
  <si>
    <t>Data Points x 1 (General)</t>
  </si>
  <si>
    <t>Data Points x 2 (General)</t>
  </si>
  <si>
    <t>Data Points x 3 (CCTV)</t>
  </si>
  <si>
    <t>Data Points x 4 (General)</t>
  </si>
  <si>
    <r>
      <t xml:space="preserve">Supply, install and connect of the following </t>
    </r>
    <r>
      <rPr>
        <b/>
        <i/>
        <sz val="10"/>
        <rFont val="Calibri"/>
        <family val="2"/>
        <scheme val="minor"/>
      </rPr>
      <t>PVC</t>
    </r>
    <r>
      <rPr>
        <i/>
        <sz val="10"/>
        <rFont val="Calibri"/>
        <family val="2"/>
        <scheme val="minor"/>
      </rPr>
      <t xml:space="preserve"> wall plates</t>
    </r>
  </si>
  <si>
    <t xml:space="preserve">Triple Wall plates </t>
  </si>
  <si>
    <t xml:space="preserve">Quadruple Wall plates </t>
  </si>
  <si>
    <t>Level 1 - From Server Cabinet L0/L1 Offices</t>
  </si>
  <si>
    <t>Server Cabinet L0/L1 Offices in Level 1</t>
  </si>
  <si>
    <r>
      <t xml:space="preserve">Supply,install and connect </t>
    </r>
    <r>
      <rPr>
        <b/>
        <sz val="10"/>
        <rFont val="Calibri"/>
        <family val="2"/>
        <scheme val="minor"/>
      </rPr>
      <t>Floor</t>
    </r>
    <r>
      <rPr>
        <sz val="10"/>
        <rFont val="Calibri"/>
        <family val="2"/>
        <scheme val="minor"/>
      </rPr>
      <t xml:space="preserve"> </t>
    </r>
    <r>
      <rPr>
        <b/>
        <sz val="10"/>
        <rFont val="Calibri"/>
        <family val="2"/>
        <scheme val="minor"/>
      </rPr>
      <t>42U Server Cabinet</t>
    </r>
    <r>
      <rPr>
        <sz val="10"/>
        <rFont val="Calibri"/>
        <family val="2"/>
        <scheme val="minor"/>
      </rPr>
      <t xml:space="preserve"> - 800 x 1000 (mm)</t>
    </r>
  </si>
  <si>
    <t>TOTAL FOR PAGE 31</t>
  </si>
  <si>
    <t>Level 0 - From Data Cabinet L0 Warehouse</t>
  </si>
  <si>
    <r>
      <t xml:space="preserve">Supply and install </t>
    </r>
    <r>
      <rPr>
        <b/>
        <i/>
        <sz val="10"/>
        <rFont val="Calibri"/>
        <family val="2"/>
        <scheme val="minor"/>
      </rPr>
      <t>galvanised conduit</t>
    </r>
    <r>
      <rPr>
        <i/>
        <sz val="10"/>
        <rFont val="Calibri"/>
        <family val="2"/>
        <scheme val="minor"/>
      </rPr>
      <t xml:space="preserve"> surface mounted from Data cabinet L0 Warehouse patch panel to various data points as per drawing, including the supply of all necessary back boxes. There shall be 1qty 25 mm conduits for a maximum of two cables. All data cable conduit shall be 25mm diameter.  </t>
    </r>
  </si>
  <si>
    <r>
      <t xml:space="preserve">Supply and install </t>
    </r>
    <r>
      <rPr>
        <b/>
        <i/>
        <sz val="10"/>
        <rFont val="Calibri"/>
        <family val="2"/>
        <scheme val="minor"/>
      </rPr>
      <t>316L Stainless Steel conduit</t>
    </r>
    <r>
      <rPr>
        <i/>
        <sz val="10"/>
        <rFont val="Calibri"/>
        <family val="2"/>
        <scheme val="minor"/>
      </rPr>
      <t xml:space="preserve"> surface mounted from Data cabinet L0 Warehouse patch panel to various data points as per drawing, including the supply of all necessary back boxes. There shall be 1qty 25 mm conduits for a maximum of two cables. All data cable conduit shall be 25mm diameter.  </t>
    </r>
  </si>
  <si>
    <t>Wiring from Data cabinet L0 Warehouse patch panel to the following points using CAT6A LSZH cables including the provision of all cables, installation etc for a complete system. All cables to be marked at both ends using appropriate number bands</t>
  </si>
  <si>
    <t>Data Cabinet L0 Warehouse in Level 0</t>
  </si>
  <si>
    <r>
      <t xml:space="preserve">Supply,install and connect </t>
    </r>
    <r>
      <rPr>
        <b/>
        <sz val="10"/>
        <rFont val="Calibri"/>
        <family val="2"/>
        <scheme val="minor"/>
      </rPr>
      <t>Floor</t>
    </r>
    <r>
      <rPr>
        <sz val="10"/>
        <rFont val="Calibri"/>
        <family val="2"/>
        <scheme val="minor"/>
      </rPr>
      <t xml:space="preserve"> </t>
    </r>
    <r>
      <rPr>
        <b/>
        <sz val="10"/>
        <rFont val="Calibri"/>
        <family val="2"/>
        <scheme val="minor"/>
      </rPr>
      <t>21U Data Cabinet</t>
    </r>
    <r>
      <rPr>
        <sz val="10"/>
        <rFont val="Calibri"/>
        <family val="2"/>
        <scheme val="minor"/>
      </rPr>
      <t xml:space="preserve"> - 600 x 600 (mm)</t>
    </r>
  </si>
  <si>
    <t>TOTAL FOR PAGE 32</t>
  </si>
  <si>
    <t>Level 1 - From Server Cabinet L1 Ancillary Offices</t>
  </si>
  <si>
    <r>
      <t xml:space="preserve">Supply and install </t>
    </r>
    <r>
      <rPr>
        <b/>
        <i/>
        <sz val="10"/>
        <rFont val="Calibri"/>
        <family val="2"/>
        <scheme val="minor"/>
      </rPr>
      <t>LSZH conduit</t>
    </r>
    <r>
      <rPr>
        <i/>
        <sz val="10"/>
        <rFont val="Calibri"/>
        <family val="2"/>
        <scheme val="minor"/>
      </rPr>
      <t xml:space="preserve"> chased in walls and in screed under tiles from Server cabinet L1 Ancillary Offices patch panel to various data points as per drawing, including the supply of necessary back boxes. There shall be 1qty 25 mm conduits for a maximum of two cables. All data cable conduit shall be 25mm diameter.  </t>
    </r>
  </si>
  <si>
    <t>Wiring from Server cabinet L1 Ancillary Offices patch panel to the following points using CAT6A LSZH cables including the provision of all cables, installation etc for a complete system. All cables to be marked at both ends using appropriate number bands</t>
  </si>
  <si>
    <t>Level 2 - From Server Cabinet L1 Ancillary Offices</t>
  </si>
  <si>
    <t>Server Cabinet L1 Ancillary Offices in Level 1</t>
  </si>
  <si>
    <t>TOTAL FOR PAGE 33</t>
  </si>
  <si>
    <t>Level 2 - From Server Cabinet L2 Offices</t>
  </si>
  <si>
    <r>
      <t xml:space="preserve">Supply and install </t>
    </r>
    <r>
      <rPr>
        <b/>
        <i/>
        <sz val="10"/>
        <rFont val="Calibri"/>
        <family val="2"/>
        <scheme val="minor"/>
      </rPr>
      <t>LSZH conduit</t>
    </r>
    <r>
      <rPr>
        <i/>
        <sz val="10"/>
        <rFont val="Calibri"/>
        <family val="2"/>
        <scheme val="minor"/>
      </rPr>
      <t xml:space="preserve"> chased in walls and in screed under tiles from Server cabinet L2 Offices patch panel to various data points as per drawing, including the supply of necessary back boxes. There shall be 1qty 25 mm conduits for a maximum of two cables. All data cable conduit shall be 25mm diameter.  </t>
    </r>
  </si>
  <si>
    <t>Wiring from Server cabinet L2 Offices patch panel to the following points using CAT6A LSZH cables including the provision of all cables, installation etc for a complete system. All cables to be marked at both ends using appropriate number bands</t>
  </si>
  <si>
    <t>Server Cabinet L2 Offices in Level 2</t>
  </si>
  <si>
    <t>Level 3 - From Data Cabinet L3 Offices</t>
  </si>
  <si>
    <r>
      <t xml:space="preserve">Supply and install </t>
    </r>
    <r>
      <rPr>
        <b/>
        <i/>
        <sz val="10"/>
        <rFont val="Calibri"/>
        <family val="2"/>
        <scheme val="minor"/>
      </rPr>
      <t>LSZH conduit</t>
    </r>
    <r>
      <rPr>
        <i/>
        <sz val="10"/>
        <rFont val="Calibri"/>
        <family val="2"/>
        <scheme val="minor"/>
      </rPr>
      <t xml:space="preserve"> chased in walls and in screed under tiles from Data cabinet L3 Offices patch panel to various data points as per drawing, including the supply of necessary back boxes. There shall be 1qty 25 mm conduits for a maximum of two cables. All data cable conduit shall be 25mm diameter.  </t>
    </r>
  </si>
  <si>
    <t>Wiring from Data cabinet L3 Offices patch panel to the following points using CAT6A LSZH cables including the provision of all cables, installation etc for a complete system. All cables to be marked at both ends using appropriate number bands</t>
  </si>
  <si>
    <t>Data Cabinet L3 Offices in Level 3</t>
  </si>
  <si>
    <t>TOTAL FOR PAGE 34</t>
  </si>
  <si>
    <t>Fibre Optic Infrastructure</t>
  </si>
  <si>
    <t>Supply, install and connect Multimode 8 core OM3 Fibre cable to link Server Cabinet L0/L1 in Level 1 and Data Cabinet B1 in Basement Level -1</t>
  </si>
  <si>
    <t>Supply, install and connect Multimode 8 core OM3 Fibre cable to link Server Cabinet L0/L1 in Level 1 and Data Cabinet L0 Warehouse in Level 0</t>
  </si>
  <si>
    <t>Supply, install and connect Multimode 8 core OM3 Fibre cable to link Server Cabinet L0/L1 in Level 1 and Server Cabinet L1 Ancillary Offices in Level 1</t>
  </si>
  <si>
    <t>Supply, install and connect Multimode 8 core OM3 Fibre cable to link Server Cabinet L0/L1 in Level 1 and Server Cabinet L2 Offices in Level 2</t>
  </si>
  <si>
    <t>Supply, install and connect Multimode 8 core OM3 Fibre cable to link Server Cabinet L0/L1 in Level 1 and Data Cabinet L3 Offices in Level 3</t>
  </si>
  <si>
    <t>Supply, install and connect Multimode 8 core OM3 Fibre cable to link  Data Cabinet L0 Warehouse in Level 0 and Server Cabinet L1 Ancillary Offices in Level 1</t>
  </si>
  <si>
    <t>Terminate, splice and commission the fibre cable at both ends</t>
  </si>
  <si>
    <t>Testing of the above Fibre Cables as per technical specs document</t>
  </si>
  <si>
    <t>Supply,install and connect 19" 1U 24 port fibre optic patch panel compatible with the above fibre cables</t>
  </si>
  <si>
    <t>Supply and Install CAT6A Patch Leads - 0.5m</t>
  </si>
  <si>
    <t>Rate Only</t>
  </si>
  <si>
    <t>Supply and Install CAT6A Patch Leads - 1m</t>
  </si>
  <si>
    <t>Earthing of all metal clad wiring accessories</t>
  </si>
  <si>
    <t>Earthing of all Data installations including all cabinets as per specs</t>
  </si>
  <si>
    <t>Sets</t>
  </si>
  <si>
    <t>TOTAL FOR PAGE 35</t>
  </si>
  <si>
    <t>TOTAL FOR DATA INSTALLATION</t>
  </si>
  <si>
    <t xml:space="preserve">TOTAL Euro
( Exc of VAT )     </t>
  </si>
  <si>
    <t>LIGHTNING PROTECTION SYSTEM</t>
  </si>
  <si>
    <t>Supply, install and connect copper tape 25mm x 3mm (Horizontal installation)  c/w all clips, connectors, bolts, fixings etc. as per specification for a complete installation.</t>
  </si>
  <si>
    <t>Supply, install and connect colored PVC sheated copper tape 25mm x 3mm (Vertical installation) c/w all clips, connectors, bolts, fixings etc. as per specification for a complete installation. Color to be confirmed by client.</t>
  </si>
  <si>
    <t>Supply, install and connect air terminations 3.0m height c/w all connections, wire rope, fixing points, etc. as per specification for a complete installation.</t>
  </si>
  <si>
    <t>Supply, install and connect earth rods c/w inspection pit etc. as specified for a complete installation.</t>
  </si>
  <si>
    <t>Provision for bonding the LPS system with all the external equipment such as outdoor AC units, Ventilation Fans,HRUs etc..</t>
  </si>
  <si>
    <t>Provision for bonding the LPS system with all the external metal structures</t>
  </si>
  <si>
    <t>Provision for bonding the LPS system with all the external cable containment</t>
  </si>
  <si>
    <t>Provision for bonding the LPS system with all the metal PV structures</t>
  </si>
  <si>
    <t>Provision for the LPS system to be bonded with the main earth terminal in the main switch room.</t>
  </si>
  <si>
    <t>Provision for any builder's work which may be required in order to complete the installation.</t>
  </si>
  <si>
    <t>TOTAL FOR PAGE 36</t>
  </si>
  <si>
    <t>TOTAL FOR LIGHTNING PROTECTION SYSTEM</t>
  </si>
  <si>
    <t>FIRE STOPPING SYSTEMS</t>
  </si>
  <si>
    <t>Fire stopping of all services through fire compartments including all supplies of fire stopping intumescent blocks, fire rated expanding foam, intumescent mastic, intumescent pillows,  etc. for a complete installation as per specs. Fire stopping shall be done from both sides of the fire compartment.</t>
  </si>
  <si>
    <t>Supply and install fire collars to seal off pipework penetrations through fire compartments as per specs.</t>
  </si>
  <si>
    <t>TOTAL FOR PAGE 37</t>
  </si>
  <si>
    <t>TOTAL FOR FIRE STOPPING SYSTEMS</t>
  </si>
  <si>
    <t>DAYWORKS</t>
  </si>
  <si>
    <t>WORKING DAY HOURLY RATE</t>
  </si>
  <si>
    <t>Day Rate for Site Foreman</t>
  </si>
  <si>
    <t>hr</t>
  </si>
  <si>
    <t>Day Rate for Technician</t>
  </si>
  <si>
    <t>Day Rate for Skilled Installer</t>
  </si>
  <si>
    <t>Day Rate for Unskilled Installer</t>
  </si>
  <si>
    <t>Day Rate for Engineer</t>
  </si>
  <si>
    <t>WORK BEYOND WORKING DAY HOURLY RATE</t>
  </si>
  <si>
    <t>TOTAL FOR PAGE 38</t>
  </si>
  <si>
    <t>TOTAL FOR DAYWORKS</t>
  </si>
  <si>
    <t>SUMMARY</t>
  </si>
  <si>
    <t>Sub-Totals</t>
  </si>
  <si>
    <t>Euro 
(Exc of VAT)</t>
  </si>
  <si>
    <t>TOTAL FOR SEWERAGE &amp; RAIN WATER SYSTEM</t>
  </si>
  <si>
    <t>TOTAL FOR SECTION 1 -MEP INSTALLATION</t>
  </si>
  <si>
    <t>Item: 1</t>
  </si>
  <si>
    <t>Item: 1.001</t>
  </si>
  <si>
    <t>Item: 1.002</t>
  </si>
  <si>
    <t>Item: 1.003</t>
  </si>
  <si>
    <t>Item: 1.004</t>
  </si>
  <si>
    <t>Item: 1.005</t>
  </si>
  <si>
    <t>Discy:</t>
  </si>
  <si>
    <t xml:space="preserve"> PAGE: </t>
  </si>
  <si>
    <t>Item: 1.006</t>
  </si>
  <si>
    <t>Item: 1.007</t>
  </si>
  <si>
    <t>Item: 1.008</t>
  </si>
  <si>
    <t>Item: 1.009</t>
  </si>
  <si>
    <t>Item: 1.01</t>
  </si>
  <si>
    <t>Item: 1.011</t>
  </si>
  <si>
    <t>Item: 1.012</t>
  </si>
  <si>
    <t>Item: 1.013</t>
  </si>
  <si>
    <t>SECTION:</t>
  </si>
  <si>
    <t>SECT</t>
  </si>
  <si>
    <t>SECT SELL</t>
  </si>
  <si>
    <t>SECT MAT</t>
  </si>
  <si>
    <t>SECT LAB</t>
  </si>
  <si>
    <t>Item: 4</t>
  </si>
  <si>
    <t>Item: 4.001</t>
  </si>
  <si>
    <t>Supply, install and connect 600kVA standby super silent generator inclusive of fuel tank, pipeline, all sensing cables and devices, controls etc. for a complete system as per drawings and specifications</t>
  </si>
  <si>
    <t>Item: 4.002</t>
  </si>
  <si>
    <t>Item: 4.003</t>
  </si>
  <si>
    <t>Genset Synchronizing Bus Bar as per schematic - complete with IP65 Weatherproof enclosure</t>
  </si>
  <si>
    <t>Item: 4.004</t>
  </si>
  <si>
    <t>Genset Panel 'MP-GEN' 1000A TP&amp;N c/w all necessary circuit breakers, electrical accessories etc. as per schematic - to be complete with IP65 Weatherproof enclosure as per specs.</t>
  </si>
  <si>
    <t>Item: 4.005</t>
  </si>
  <si>
    <t>Main Fire Panel 'MP-FIRE' 800A TP&amp;Nc/w all necessary circuit breakers, electrical accessories etc. as per schematic</t>
  </si>
  <si>
    <t>Item: 4.006</t>
  </si>
  <si>
    <t>Main Panel 'MP-Main' 2000A TP&amp;N c/w all necessary circuit breakers, electrical accessories etc. and c/w Programmable Load shedding capabilities and integrated 2000A Change Over as per schematic</t>
  </si>
  <si>
    <t>Item: 4.007</t>
  </si>
  <si>
    <t>Distribution board 'DB-B1U' 12 Way 100A TP&amp;N c/w all necessary circuit breakers, electrical accessories etc. as per schematic</t>
  </si>
  <si>
    <t>Item: 4.008</t>
  </si>
  <si>
    <t>Distribution board 'DB-EV' 18 Way 250A TP&amp;N c/w all necessary circuit breakers, electrical accessories etc. as per schematic</t>
  </si>
  <si>
    <t>Item: 4.009</t>
  </si>
  <si>
    <t>Distribution board 'DB-LA2' 10 Way 125A TP&amp;N c/w all necessary circuit breakers, electrical accessories etc. as per schematic</t>
  </si>
  <si>
    <t>Item: 4.01</t>
  </si>
  <si>
    <t>Distribution board 'DB-B1L' 14 Way 125A TP&amp;N c/w all necessary circuit breakers, electrical accessories etc. as per schematic</t>
  </si>
  <si>
    <t>Item: 4.011</t>
  </si>
  <si>
    <t>Distribution board 'DB-B1P' 12 Way 100A TP&amp;N c/w all necessary circuit breakers, electrical accessories etc. as per schematic</t>
  </si>
  <si>
    <t>Item: 4.012</t>
  </si>
  <si>
    <t>Distribution board 'DB-TC' 28 Way 250A TP&amp;N c/w all necessary circuit breakers, electrical accessories etc. as per schematic</t>
  </si>
  <si>
    <t>Item: 4.013</t>
  </si>
  <si>
    <t>Distribution board 'DB-OL0' 12 Way 63A TP&amp;N c/w all necessary circuit breakers, electrical accessories etc. as per schematic</t>
  </si>
  <si>
    <t>Item: 4.014</t>
  </si>
  <si>
    <t>Distribution board 'DB-LA1' 18 Way 160A TP&amp;N c/w all necessary circuit breakers, electrical accessories etc. as per schematic</t>
  </si>
  <si>
    <t>Item: 4.01500000000001</t>
  </si>
  <si>
    <t>Distribution board 'DB-FLC' 18 Way 250A TP&amp;N c/w all necessary circuit breakers, electrical accessories etc. as per schematic</t>
  </si>
  <si>
    <t>Item: 4.01600000000001</t>
  </si>
  <si>
    <t>Distribution board 'DB-CRP' 22 Way 125A TP&amp;N c/w all necessary circuit breakers, electrical accessories etc. as per schematic</t>
  </si>
  <si>
    <t>Item: 4.01700000000001</t>
  </si>
  <si>
    <t>Distribution board 'DB-FLA' 4 Way 63A TP&amp;N c/w all necessary circuit breakers, electrical accessories etc. as per schematic</t>
  </si>
  <si>
    <t>Item: 4.01800000000001</t>
  </si>
  <si>
    <t>Distribution board 'DB-EA' 8 Way 100A TP&amp;N c/w all necessary circuit breakers, electrical accessories etc. as per schematic - to be complete with IP65 Weatherproof enclosure as per specs.</t>
  </si>
  <si>
    <t>Item: 4.01900000000001</t>
  </si>
  <si>
    <t>Distribution board 'DB-PL1' 8 Way 300A TP&amp;N c/w all necessary circuit breakers, electrical accessories etc. as per schematic - to be complete with IP65 Weatherproof enclosure as per specs.</t>
  </si>
  <si>
    <t>Item: 4.02000000000001</t>
  </si>
  <si>
    <t>Distribution board 'DB-PL2' 6 Way 300A TP&amp;N c/w all necessary circuit breakers, electrical accessories etc. as per schematic - to be complete with IP65 Weatherproof enclosure as per specs.</t>
  </si>
  <si>
    <t>Item: 4.02100000000001</t>
  </si>
  <si>
    <t>Distribution board 'DB-WH' 22 Way 125A TP&amp;N c/w all necessary circuit breakers, electrical accessories etc. as per schematic</t>
  </si>
  <si>
    <t>Item: 4.02200000000001</t>
  </si>
  <si>
    <t>Distribution board 'DB-OL1' 12 Way 63A TP&amp;N c/w all necessary circuit breakers, electrical accessories etc. as per schematic</t>
  </si>
  <si>
    <t>Item: 4.02300000000001</t>
  </si>
  <si>
    <t>Distribution board 'DB-AB' 10 Way 63A TP&amp;N c/w all necessary circuit breakers, electrical accessories etc. as per schematic</t>
  </si>
  <si>
    <t>Item: 4.02400000000001</t>
  </si>
  <si>
    <t>Distribution board 'DB-OL2' 16 Way 63A TP&amp;N c/w all necessary circuit breakers, electrical accessories etc. as per schematic</t>
  </si>
  <si>
    <t>Item: 4.02500000000001</t>
  </si>
  <si>
    <t>Distribution board 'DB-PL3' 10 Way 400A TP&amp;N c/w all necessary circuit breakers, electrical accessories etc. as per schematic - to be complete with IP65 Weatherproof enclosure as per specs.</t>
  </si>
  <si>
    <t>Item: 4.02600000000001</t>
  </si>
  <si>
    <t>Distribution board 'DB-OL3' 12 Way 63A TP&amp;N c/w all necessary circuit breakers, electrical accessories etc. as per schematic</t>
  </si>
  <si>
    <t>Item: 4.02700000000001</t>
  </si>
  <si>
    <t>Distribution board 'DB-OL4' 12 Way 200A TP&amp;N c/w all necessary circuit breakers, electrical accessories etc. as per schematic - to be complete with IP65 Weatherproof enclosure as per specs.</t>
  </si>
  <si>
    <t>Item: 4.02800000000001</t>
  </si>
  <si>
    <t>Supply, install and connect Control Panel 'CP-B1P' c/w all necessary circuit breakers, electrical accessories, controls, control cabling and all other necessary items required for a  complete system as per schematic and specifications</t>
  </si>
  <si>
    <t>Item: 4.02900000000001</t>
  </si>
  <si>
    <t>Supply, install and connect Control Panel 'CP-CW' c/w all necessary circuit breakers, electrical accessories, controls, control cabling and all other necessary items required for a  complete system as per schematic and specifications</t>
  </si>
  <si>
    <t>Item: 4.03000000000001</t>
  </si>
  <si>
    <t>63A Automatic Transfer Switch as per specs</t>
  </si>
  <si>
    <t>Item: 4.03100000000001</t>
  </si>
  <si>
    <t>125A Automatic Transfer Switch as per specs</t>
  </si>
  <si>
    <t>Item: 4.03200000000001</t>
  </si>
  <si>
    <t>200A Automatic Transfer Switch as per specs</t>
  </si>
  <si>
    <t>Item: 4.03300000000001</t>
  </si>
  <si>
    <t>500A Automatic Transfer Switch as per specs</t>
  </si>
  <si>
    <t>Item: 4.03400000000001</t>
  </si>
  <si>
    <t>Supply, install and connect 22kW EV Chargers as per specs</t>
  </si>
  <si>
    <t>Item: 4.03500000000001</t>
  </si>
  <si>
    <t>Main Panel 'MP-Main' -
(4 x 5 x 300mm2  F120 Fire Resistant Cable (BS7846) - XLPE/SWA/LSZH)</t>
  </si>
  <si>
    <t>Item: 4.03600000000001</t>
  </si>
  <si>
    <t>Synchronizing Bus Bar and Main Genset Panel 'MP-GEN' -
(2 x 5 x 240mm2  F120 Fire Resistant Cable (BS7846) -  XLPE/SWA/LSZH)</t>
  </si>
  <si>
    <t>Item: 4.03700000000001</t>
  </si>
  <si>
    <t>Item: 4.03800000000001</t>
  </si>
  <si>
    <t>Main Fire Panel 'MP-FIRE' -
(2 x 5 x 240mm2  F120 Fire Resistant Cable (BS7846) - XLPE/SWA/LSZH)</t>
  </si>
  <si>
    <t>Item: 4.03900000000001</t>
  </si>
  <si>
    <t>Automatic Transfer Switch 'TS-VB1U' -
(5 x 50mm2  F120 Fire Resistant Cable (BS7846) - XLPE/SWA/LSZH)</t>
  </si>
  <si>
    <t>Item: 4.04000000000001</t>
  </si>
  <si>
    <t>Main Panel 'MP-Main' -
(4 x 5 x 240mm2  F120 Fire Resistant Cable (BS7846) - XLPE/SWA/LSZH)</t>
  </si>
  <si>
    <t>Item: 4.04100000000001</t>
  </si>
  <si>
    <t>Automatic Transfer Switch for Sprinkler Pump Set 'TS-SP01' -
(2 x 5 x 120mm2 F120 Fire Resistant Cable (BS7846) -  XLPE/SWA/LSZH)</t>
  </si>
  <si>
    <t>Item: 4.04200000000001</t>
  </si>
  <si>
    <t>Automatic Transfer Switch for Fire Fighting Pump Set 'TS-FP01' -
(5 x 95mm2 F120 Fire Resistant Cable (BS7846) -  XLPE/SWA/LSZH)</t>
  </si>
  <si>
    <t>Item: 4.04300000000001</t>
  </si>
  <si>
    <t>Automatic Transfer Switch for Fire Appliance Pump Set 'TS-HP01' -
(5 x 16mm2 F120 Fire Resistant Cable (BS7846) -  XLPE/SWA/LSZH)</t>
  </si>
  <si>
    <t>Item: 4.04400000000001</t>
  </si>
  <si>
    <t>Automatic Transfer Switch for Carpark Ventilation 'TS-VB1L' -
(5 x 35mm2 F120 Fire Resistant Cable (BS7846) -  XLPE/SWA/LSZH)</t>
  </si>
  <si>
    <t>Item: 4.04500000000002</t>
  </si>
  <si>
    <t>Distribution Board 'DB-EV' (5 x 120mm2 XLPE/SWA/LSZH)</t>
  </si>
  <si>
    <t>Item: 4.04600000000002</t>
  </si>
  <si>
    <t>Distribution Board 'DB-B1U' 
(5 x 25mm2 F120 Fire Resistant Cable (BS7846) -  XLPE/SWA/LSZH)</t>
  </si>
  <si>
    <t>Item: 4.04700000000002</t>
  </si>
  <si>
    <t>Distribution Board 'DB-LA2' (5 x 35mm2 XLPE/SWA/LSZH)</t>
  </si>
  <si>
    <t>Item: 4.04800000000002</t>
  </si>
  <si>
    <t>Distribution Board 'DB-B1L' 
(5 x 70mm2 F120 Fire Resistant Cable (BS7846) -  XLPE/SWA/LSZH)</t>
  </si>
  <si>
    <t>Item: 4.04900000000002</t>
  </si>
  <si>
    <t>Distribution Board 'DB-B1P' (5 x 35mm2 XLPE/SWA/LSZH)</t>
  </si>
  <si>
    <t>Item: 4.05000000000002</t>
  </si>
  <si>
    <t>Distribution Board 'DB-TC' (5 x 150mm2 XLPE/SWA/LSZH)</t>
  </si>
  <si>
    <t>Item: 4.05100000000002</t>
  </si>
  <si>
    <t>Distribution Board 'DB-OL0' 
(5 x 16mm2 F120 Fire Resistant Cable (BS7846) -  XLPE/SWA/LSZH)</t>
  </si>
  <si>
    <t>Item: 4.05200000000002</t>
  </si>
  <si>
    <t>Distribution Board 'DB-LA1' 
(5 x 95mm2 F120 Fire Resistant Cable (BS7846) -  XLPE/SWA/LSZH)</t>
  </si>
  <si>
    <t>Item: 4.05300000000002</t>
  </si>
  <si>
    <t>Distribution Board 'DB-FLC' (5 x 185mm2 XLPE/SWA/LSZH)</t>
  </si>
  <si>
    <t>Item: 4.05400000000002</t>
  </si>
  <si>
    <t>Distribution Board 'DB-FLA' (5 x 16mm2 F120 Fire Resistant Cable (BS7846) - XLPE/SWA/LSZH)</t>
  </si>
  <si>
    <t>Item: 4.05500000000002</t>
  </si>
  <si>
    <t>Distribution Board 'DB-WH' 
(5 x 50mm2 F120 Fire Resistant Cable (BS7846) -  XLPE/SWA/LSZH)</t>
  </si>
  <si>
    <t>Item: 4.05600000000002</t>
  </si>
  <si>
    <t>Distribution Board 'DB-CRP' 
(5 x 50mm2 F120 Fire Resistant Cable (BS7846) -  XLPE/SWA/LSZH)</t>
  </si>
  <si>
    <t>Item: 4.05700000000002</t>
  </si>
  <si>
    <t>Distribution Board 'DB-PL1' (5 x 185mm2 XLPE/SWA/LSZH)</t>
  </si>
  <si>
    <t>Item: 4.05800000000002</t>
  </si>
  <si>
    <t>Distribution Board 'DB-PL2' (5 x 185mm2 XLPE/SWA/LSZH)</t>
  </si>
  <si>
    <t>Item: 4.05900000000002</t>
  </si>
  <si>
    <t>Distribution Board 'DB-EA' (5 x 35mm2 XLPE/SWA/LSZH)</t>
  </si>
  <si>
    <t>Item: 4.06000000000002</t>
  </si>
  <si>
    <t>Distribution Board 'DB-AB' 
(5 x 25mm2 F120 Fire Resistant Cable (BS7846) -  XLPE/SWA/LSZH)</t>
  </si>
  <si>
    <t>Item: 4.06100000000002</t>
  </si>
  <si>
    <t>Distribution Board 'DB-OL1' (5 x 16mm2 XLPE/SWA/LSZH)</t>
  </si>
  <si>
    <t>Item: 4.06200000000002</t>
  </si>
  <si>
    <t>Distribution Board 'DB-OL2' 
(5 x 16mm2 F120 Fire Resistant Cable (BS7846) -  XLPE/SWA/LSZH)</t>
  </si>
  <si>
    <t>Item: 4.06300000000002</t>
  </si>
  <si>
    <t>Distribution Board 'DB-PL3' (2 x 5 x 95mm2 XLPE/SWA/LSZH)</t>
  </si>
  <si>
    <t>Item: 4.06400000000002</t>
  </si>
  <si>
    <t>Distribution Board 'DB-OL3' (5 x 16mm2 XLPE/SWA/LSZH)</t>
  </si>
  <si>
    <t>Item: 4.06500000000002</t>
  </si>
  <si>
    <t>Distribution Board 'DB-OL4' (5 x 95mm2 XLPE/SWA/LSZH)</t>
  </si>
  <si>
    <t>Item: 4.06600000000002</t>
  </si>
  <si>
    <t>Offices Lift (5 x 10mm2 XLPE/SWA/LSZH)</t>
  </si>
  <si>
    <t>Item: 4.06700000000002</t>
  </si>
  <si>
    <t>Automatic Transfer Switch for Fire Appliance Pump Set 'TS-HP01' -
(5 x 25mm2 F120 Fire Resistant Cable (BS7846) -  XLPE/SWA/LSZH)</t>
  </si>
  <si>
    <t>Item: 4.06800000000002</t>
  </si>
  <si>
    <t>Item: 4.06900000000002</t>
  </si>
  <si>
    <t>Item: 4.07000000000002</t>
  </si>
  <si>
    <t>Automatic Transfer Switch 'TS-VB1U' -
(5 x 35mm2  F120 Fire Resistant Cable (BS7846) - XLPE/SWA/LSZH)</t>
  </si>
  <si>
    <t>Item: 4.07100000000002</t>
  </si>
  <si>
    <t>Automatic Transfer Switch for Carpark Ventilation 'TS-VB1L' -
(5 x 50mm2 F120 Fire Resistant Cable (BS7846) -  XLPE/SWA/LSZH)</t>
  </si>
  <si>
    <t>Item: 4.07200000000002</t>
  </si>
  <si>
    <t>Ventilation Control Panel 'VCP-WH' -
(5 x 120mm2 F120 Fire Resistant Cable (BS7846) -  XLPE/SWA/LSZH)</t>
  </si>
  <si>
    <t>Item: 4.07300000000002</t>
  </si>
  <si>
    <t>3-Phase 40A Isolator</t>
  </si>
  <si>
    <t>Item: 4.07400000000002</t>
  </si>
  <si>
    <t>Sprinkler Pump Set 'SP-01' -
(2 x 5 x 120mm2 F120 Fire Resistant Cable (BS7846) -  XLPE/SWA/LSZH)</t>
  </si>
  <si>
    <t>Item: 4.07500000000003</t>
  </si>
  <si>
    <t>Fire Fighting Pump Set 'FP-01' -
(5 x 95mm2 F120 Fire Resistant Cable (BS7846) -  XLPE/SWA/LSZH)</t>
  </si>
  <si>
    <t>Item: 4.07600000000003</t>
  </si>
  <si>
    <t>Fire Appliance Pump Set 'HP-01' -
(5 x 16mm2 F120 Fire Resistant Cable (BS7846) -  XLPE/SWA/LSZH)</t>
  </si>
  <si>
    <t>Item: 4.07700000000003</t>
  </si>
  <si>
    <t>Ventilation Control Panel 'VCP-B1U' -
(5 x 35mm2 F120 Fire Resistant Cable (BS7846) -  XLPE/SWA/LSZH)</t>
  </si>
  <si>
    <t>Item: 4.07800000000003</t>
  </si>
  <si>
    <t>Ventilation Control Panel 'VCP-B1L' -
(5 x 35mm2 F120 Fire Resistant Cable (BS7846) -  XLPE/SWA/LSZH)</t>
  </si>
  <si>
    <t>Item: 4.07900000000003</t>
  </si>
  <si>
    <t>3-Phase 63A Isolator</t>
  </si>
  <si>
    <t>Item: 4.08000000000003</t>
  </si>
  <si>
    <t>3-Phase 200A Isolator</t>
  </si>
  <si>
    <t>Item: 4.08100000000003</t>
  </si>
  <si>
    <t>3-Phase 500A Isolator</t>
  </si>
  <si>
    <t>Item: 4.08200000000003</t>
  </si>
  <si>
    <t>Sump Pump 01 (3 x 4mm2 XLPE/SWA/LSZH)</t>
  </si>
  <si>
    <t>Item: 4.08300000000003</t>
  </si>
  <si>
    <t>Sump Pump 02 (3 x 4mm2 XLPE/SWA/LSZH)</t>
  </si>
  <si>
    <t>Item: 4.08400000000003</t>
  </si>
  <si>
    <t>Sump Pump 05 (3 x 4mm2 XLPE/SWA/LSZH)</t>
  </si>
  <si>
    <t>Item: 4.08500000000003</t>
  </si>
  <si>
    <t>1-Phase 25A Isolator</t>
  </si>
  <si>
    <t>Item: 4.08600000000003</t>
  </si>
  <si>
    <t>Jet Fan 01  (5 x 2.5mm2 F120 Fire Resistant Cable (BS7846) -  XLPE/SWA/LSZH)</t>
  </si>
  <si>
    <t>Item: 4.08700000000003</t>
  </si>
  <si>
    <t>Jet Fan 02  (5 x 2.5mm2 F120 Fire Resistant Cable (BS7846) -  XLPE/SWA/LSZH)</t>
  </si>
  <si>
    <t>Item: 4.08800000000003</t>
  </si>
  <si>
    <t>Jet Fan 03  (5 x 2.5mm2 F120 Fire Resistant Cable (BS7846) -  XLPE/SWA/LSZH)</t>
  </si>
  <si>
    <t>Item: 4.08900000000003</t>
  </si>
  <si>
    <t>Jet Fan 04  (5 x 2.5mm2 F120 Fire Resistant Cable (BS7846) -  XLPE/SWA/LSZH)</t>
  </si>
  <si>
    <t>Item: 4.09000000000003</t>
  </si>
  <si>
    <t>Jet Fan 05  (5 x 2.5mm2 F120 Fire Resistant Cable (BS7846) -  XLPE/SWA/LSZH)</t>
  </si>
  <si>
    <t>Item: 4.09100000000003</t>
  </si>
  <si>
    <t>Jet Fan 06  (5 x 2.5mm2 F120 Fire Resistant Cable (BS7846) -  XLPE/SWA/LSZH)</t>
  </si>
  <si>
    <t>Item: 4.09200000000003</t>
  </si>
  <si>
    <t>Jet Fan 07  (5 x 2.5mm2 F120 Fire Resistant Cable (BS7846) -  XLPE/SWA/LSZH)</t>
  </si>
  <si>
    <t>Item: 4.09300000000003</t>
  </si>
  <si>
    <t>Extract Fan EF-B1U-01A  (5 x 16mm2 F120 Fire Resistant Cable (BS7846) -  XLPE/SWA/LSZH)</t>
  </si>
  <si>
    <t>Item: 4.09400000000003</t>
  </si>
  <si>
    <t>Extract Fan EF-B1U-01B  (5 x 16mm2 F120 Fire Resistant Cable (BS7846) -  XLPE/SWA/LSZH)</t>
  </si>
  <si>
    <t>Item: 4.09500000000003</t>
  </si>
  <si>
    <t>Extract Fan EF-B1U-02  (3 x 4mm2 XLPE/SWA/LSZH)</t>
  </si>
  <si>
    <t>Item: 4.09600000000003</t>
  </si>
  <si>
    <t>3-Phase 16A Isolator</t>
  </si>
  <si>
    <t>Item: 4.09700000000003</t>
  </si>
  <si>
    <t>Item: 4.09800000000003</t>
  </si>
  <si>
    <t>1-Phase 32A Isolator</t>
  </si>
  <si>
    <t>Item: 4.09900000000003</t>
  </si>
  <si>
    <t>EV Charging Station 01 (5 x 6mm2 XLPE/SWA/LSZH)</t>
  </si>
  <si>
    <t>Item: 4.10000000000003</t>
  </si>
  <si>
    <t>EV Charging Station 02 (5 x 6mm2 XLPE/SWA/LSZH)</t>
  </si>
  <si>
    <t>Item: 4.10100000000003</t>
  </si>
  <si>
    <t>EV Charging Station 03 (5 x 6mm2 XLPE/SWA/LSZH)</t>
  </si>
  <si>
    <t>Item: 4.10200000000003</t>
  </si>
  <si>
    <t>EV Charging Station 04 (5 x 6mm2 XLPE/SWA/LSZH)</t>
  </si>
  <si>
    <t>Item: 4.10300000000003</t>
  </si>
  <si>
    <t>EV Charging Station 05 (5 x 6mm2 XLPE/SWA/LSZH)</t>
  </si>
  <si>
    <t>Item: 4.10400000000003</t>
  </si>
  <si>
    <t>EV Charging Station 06 (5 x 6mm2 XLPE/SWA/LSZH)</t>
  </si>
  <si>
    <t>Item: 4.10500000000004</t>
  </si>
  <si>
    <t>EV Charging Station 07 (5 x 6mm2 XLPE/SWA/LSZH)</t>
  </si>
  <si>
    <t>Item: 4.10600000000004</t>
  </si>
  <si>
    <t>EV Charging Station 08 (5 x 6mm2 XLPE/SWA/LSZH)</t>
  </si>
  <si>
    <t>Item: 4.10700000000004</t>
  </si>
  <si>
    <t>EV Charging Station 09 (5 x 6mm2 XLPE/SWA/LSZH)</t>
  </si>
  <si>
    <t>Item: 4.10800000000004</t>
  </si>
  <si>
    <t>Item: 4.10900000000004</t>
  </si>
  <si>
    <t>Main Gate (5 x 2.5mm2 XLPE/SWA/LSZH)</t>
  </si>
  <si>
    <t>Item: 4.11000000000004</t>
  </si>
  <si>
    <t>Truck Plugging Point 01 (5 x 2.5mm2 XLPE/SWA/LSZH)</t>
  </si>
  <si>
    <t>Item: 4.11100000000004</t>
  </si>
  <si>
    <t>Truck Plugging Point 02 (5 x 2.5mm2 XLPE/SWA/LSZH)</t>
  </si>
  <si>
    <t>Item: 4.11200000000004</t>
  </si>
  <si>
    <t>Trailers Plugging Point 01 (5 x 2.5mm2 XLPE/SWA/LSZH)</t>
  </si>
  <si>
    <t>Item: 4.11300000000004</t>
  </si>
  <si>
    <t>Trailers Plugging Point 02 (5 x 2.5mm2 XLPE/SWA/LSZH)</t>
  </si>
  <si>
    <t>Item: 4.11400000000004</t>
  </si>
  <si>
    <t>Item: 4.11500000000004</t>
  </si>
  <si>
    <t>Item: 4.11600000000004</t>
  </si>
  <si>
    <t>Sump Pump 03 (5 x 6mm2 XLPE/SWA/LSZH)</t>
  </si>
  <si>
    <t>Item: 4.11700000000004</t>
  </si>
  <si>
    <t>Sump Pump 04A (5 x 4mm2 XLPE/SWA/LSZH)</t>
  </si>
  <si>
    <t>Item: 4.11800000000004</t>
  </si>
  <si>
    <t>Sump Pump 04B (5 x 4mm2 XLPE/SWA/LSZH)</t>
  </si>
  <si>
    <t>Item: 4.11900000000004</t>
  </si>
  <si>
    <t>Sump Pump 08 (5 x 6mm2 XLPE/SWA/LSZH)</t>
  </si>
  <si>
    <t>Item: 4.12000000000004</t>
  </si>
  <si>
    <t>Cesspit Pump A (3 x 4mm2 XLPE/SWA/LSZH)</t>
  </si>
  <si>
    <t>Item: 4.12100000000004</t>
  </si>
  <si>
    <t>Cesspit Pump B (3 x 4mm2 XLPE/SWA/LSZH)</t>
  </si>
  <si>
    <t>Item: 4.12200000000004</t>
  </si>
  <si>
    <t>SCW Submersible Pump (3 x 4mm2 XLPE/SWA/LSZH)</t>
  </si>
  <si>
    <t>Item: 4.12300000000004</t>
  </si>
  <si>
    <t>Item: 4.12400000000004</t>
  </si>
  <si>
    <t>3-Phase 32A Isolator</t>
  </si>
  <si>
    <t>Item: 4.12500000000004</t>
  </si>
  <si>
    <t>Item: 4.12600000000004</t>
  </si>
  <si>
    <t>Item: 4.12700000000004</t>
  </si>
  <si>
    <t>Item: 4.12800000000004</t>
  </si>
  <si>
    <t>Item: 4.12900000000004</t>
  </si>
  <si>
    <t>Item: 4.13000000000004</t>
  </si>
  <si>
    <t>Item: 4.13100000000004</t>
  </si>
  <si>
    <t>Item: 4.13200000000004</t>
  </si>
  <si>
    <t>Item: 4.13300000000004</t>
  </si>
  <si>
    <t>Jet Fan 08  (5 x 2.5mm2 F120 Fire Resistant Cable (BS7846) -  XLPE/SWA/LSZH)</t>
  </si>
  <si>
    <t>Item: 4.13400000000004</t>
  </si>
  <si>
    <t>Extract Fan EF-B1L-01A  (5 x 16mm2 F120 Fire Resistant Cable (BS7846) -  XLPE/SWA/LSZH)</t>
  </si>
  <si>
    <t>Item: 4.13500000000005</t>
  </si>
  <si>
    <t>Extract Fan EF-B1L-01B  (5 x 16mm2 F120 Fire Resistant Cable (BS7846) -  XLPE/SWA/LSZH)</t>
  </si>
  <si>
    <t>Item: 4.13600000000005</t>
  </si>
  <si>
    <t>Item: 4.13700000000005</t>
  </si>
  <si>
    <t>Item: 4.13800000000005</t>
  </si>
  <si>
    <t>Plant Room Control Panel 'CP-B1P' (5 x 16mm2 XLPE/SWA/LSZH)</t>
  </si>
  <si>
    <t>Item: 4.13900000000005</t>
  </si>
  <si>
    <t>Cold Water Control Panel 'CP-CW' (5 x 10mm2 XLPE/SWA/LSZH)</t>
  </si>
  <si>
    <t>Item: 4.14000000000005</t>
  </si>
  <si>
    <t>Supply Fan SF-B1L-01  (5 x 4mm2 XLPE/SWA/LSZH)</t>
  </si>
  <si>
    <t>Item: 4.14100000000005</t>
  </si>
  <si>
    <t>Extract Fan EF-B1L-02  (5 x 4mm2 XLPE/SWA/LSZH)</t>
  </si>
  <si>
    <t>Item: 4.14200000000005</t>
  </si>
  <si>
    <t>Second Class Water Pump Set (5 x 4mm2 XLPE/SWA/LSZH)</t>
  </si>
  <si>
    <t>Item: 4.14300000000005</t>
  </si>
  <si>
    <t>Item: 4.14400000000005</t>
  </si>
  <si>
    <t>Truck Plugging Point 01 (5 x 6mm2 XLPE/SWA/LSZH)</t>
  </si>
  <si>
    <t>Item: 4.14500000000005</t>
  </si>
  <si>
    <t>Truck Plugging Point 02 (5 x 6mm2 XLPE/SWA/LSZH)</t>
  </si>
  <si>
    <t>Item: 4.14600000000005</t>
  </si>
  <si>
    <t>Truck Plugging Point 03 (5 x 6mm2 XLPE/SWA/LSZH)</t>
  </si>
  <si>
    <t>Item: 4.14700000000005</t>
  </si>
  <si>
    <t>Truck Plugging Point 04 (5 x 6mm2 XLPE/SWA/LSZH)</t>
  </si>
  <si>
    <t>Item: 4.14800000000005</t>
  </si>
  <si>
    <t>Truck Plugging Point 05 (5 x 6mm2 XLPE/SWA/LSZH)</t>
  </si>
  <si>
    <t>Item: 4.14900000000005</t>
  </si>
  <si>
    <t>Truck Plugging Point 06 (5 x 6mm2 XLPE/SWA/LSZH)</t>
  </si>
  <si>
    <t>Item: 4.15000000000005</t>
  </si>
  <si>
    <t>Truck Plugging Point 07 (5 x 6mm2 XLPE/SWA/LSZH)</t>
  </si>
  <si>
    <t>Item: 4.15100000000005</t>
  </si>
  <si>
    <t>Truck Plugging Point 08 (5 x 6mm2 XLPE/SWA/LSZH)</t>
  </si>
  <si>
    <t>Item: 4.15200000000005</t>
  </si>
  <si>
    <t>Truck Plugging Point 09 (5 x 6mm2 XLPE/SWA/LSZH)</t>
  </si>
  <si>
    <t>Item: 4.15300000000005</t>
  </si>
  <si>
    <t>Truck Plugging Point 10 (5 x 6mm2 XLPE/SWA/LSZH)</t>
  </si>
  <si>
    <t>Item: 4.15400000000005</t>
  </si>
  <si>
    <t>Truck Plugging Point 11 (5 x 6mm2 XLPE/SWA/LSZH)</t>
  </si>
  <si>
    <t>Item: 4.15500000000005</t>
  </si>
  <si>
    <t>Truck Plugging Point 12 (5 x 6mm2 XLPE/SWA/LSZH)</t>
  </si>
  <si>
    <t>Item: 4.15600000000005</t>
  </si>
  <si>
    <t>Truck Plugging Point 13 (5 x 6mm2 XLPE/SWA/LSZH)</t>
  </si>
  <si>
    <t>Item: 4.15700000000005</t>
  </si>
  <si>
    <t>Truck Plugging Point 14 (5 x 6mm2 XLPE/SWA/LSZH)</t>
  </si>
  <si>
    <t>Item: 4.15800000000005</t>
  </si>
  <si>
    <t>Truck Plugging Point 15 (5 x 6mm2 XLPE/SWA/LSZH)</t>
  </si>
  <si>
    <t>Item: 4.15900000000005</t>
  </si>
  <si>
    <t>Truck Plugging Point 16 (5 x 6mm2 XLPE/SWA/LSZH)</t>
  </si>
  <si>
    <t>Item: 4.16000000000005</t>
  </si>
  <si>
    <t>Truck Plugging Point 17 (5 x 6mm2 XLPE/SWA/LSZH)</t>
  </si>
  <si>
    <t>Item: 4.16100000000005</t>
  </si>
  <si>
    <t>Truck Plugging Point 18 (5 x 6mm2 XLPE/SWA/LSZH)</t>
  </si>
  <si>
    <t>Item: 4.16200000000005</t>
  </si>
  <si>
    <t>Truck Plugging Point 19 (5 x 6mm2 XLPE/SWA/LSZH)</t>
  </si>
  <si>
    <t>Item: 4.16300000000005</t>
  </si>
  <si>
    <t>Truck Plugging Point 20 (5 x 6mm2 XLPE/SWA/LSZH)</t>
  </si>
  <si>
    <t>Item: 4.16400000000005</t>
  </si>
  <si>
    <t>Truck Plugging Point 21 (5 x 6mm2 XLPE/SWA/LSZH)</t>
  </si>
  <si>
    <t>Item: 4.16500000000006</t>
  </si>
  <si>
    <t>Truck Plugging Point 22 (5 x 6mm2 XLPE/SWA/LSZH)</t>
  </si>
  <si>
    <t>Item: 4.16600000000006</t>
  </si>
  <si>
    <t>Item: 4.16700000000006</t>
  </si>
  <si>
    <t>Domestic Cold Water Pump Set (5 x 4mm2 XLPE/SWA/LSZH)</t>
  </si>
  <si>
    <t>Item: 4.16800000000006</t>
  </si>
  <si>
    <t>Item: 4.16900000000006</t>
  </si>
  <si>
    <t>Ventilation Control Panel 'VCP-OL0' (3 x 10mm2 LSZH/LSZH)</t>
  </si>
  <si>
    <t>Item: 4.17000000000006</t>
  </si>
  <si>
    <t>Heat Recovery Unit HRU-OL0-01  (3 x 4mm2 XLPE/SWA/LSZH)</t>
  </si>
  <si>
    <t>Item: 4.17100000000006</t>
  </si>
  <si>
    <t>Extract Fan EF-OF-01  (3 x 4mm2 XLPE/SWA/LSZH)</t>
  </si>
  <si>
    <t>Item: 4.17200000000006</t>
  </si>
  <si>
    <t>Extract Fan EF-OF-02  (3 x 4mm2 XLPE/SWA/LSZH)</t>
  </si>
  <si>
    <t>Item: 4.17300000000006</t>
  </si>
  <si>
    <t>Item: 4.17400000000006</t>
  </si>
  <si>
    <t>Item: 4.17500000000006</t>
  </si>
  <si>
    <t>Item: 4.17600000000006</t>
  </si>
  <si>
    <t>Truck Plugging Point 03 (5 x 2.5mm2 XLPE/SWA/LSZH)</t>
  </si>
  <si>
    <t>Item: 4.17700000000006</t>
  </si>
  <si>
    <t>Truck Plugging Point 04 (5 x 2.5mm2 XLPE/SWA/LSZH)</t>
  </si>
  <si>
    <t>Item: 4.17800000000006</t>
  </si>
  <si>
    <t>Trailer Plugging Point 05 (5 x 6mm2 XLPE/SWA/LSZH)</t>
  </si>
  <si>
    <t>Item: 4.17900000000006</t>
  </si>
  <si>
    <t>Trailer Plugging Point 06 (5 x 6mm2 XLPE/SWA/LSZH)</t>
  </si>
  <si>
    <t>Item: 4.18000000000006</t>
  </si>
  <si>
    <t>Trailer Plugging Point 07 (5 x 6mm2 XLPE/SWA/LSZH)</t>
  </si>
  <si>
    <t>Item: 4.18100000000006</t>
  </si>
  <si>
    <t>Trailer Plugging Point 08 (5 x 6mm2 XLPE/SWA/LSZH)</t>
  </si>
  <si>
    <t>Item: 4.18200000000006</t>
  </si>
  <si>
    <t>Shrink Wrap Equipment (5 x 6mm2 XLPE/SWA/LSZH)</t>
  </si>
  <si>
    <t>Item: 4.18300000000006</t>
  </si>
  <si>
    <t>Compactor (5 x 6mm2 XLPE/SWA/LSZH)</t>
  </si>
  <si>
    <t>Item: 4.18400000000006</t>
  </si>
  <si>
    <t>Item: 4.18500000000006</t>
  </si>
  <si>
    <t>Item: 4.18600000000006</t>
  </si>
  <si>
    <t>Lifter Charger 01 (5 x 6mm2 XLPE/SWA/LSZH)</t>
  </si>
  <si>
    <t>Item: 4.18700000000006</t>
  </si>
  <si>
    <t>Lifter Charger 02 (5 x 6mm2 XLPE/SWA/LSZH)</t>
  </si>
  <si>
    <t>Item: 4.18800000000006</t>
  </si>
  <si>
    <t>Lifter Charger 03 (5 x 6mm2 XLPE/SWA/LSZH)</t>
  </si>
  <si>
    <t>Item: 4.18900000000006</t>
  </si>
  <si>
    <t>Lifter Charger 04 (5 x 6mm2 XLPE/SWA/LSZH)</t>
  </si>
  <si>
    <t>Item: 4.19000000000006</t>
  </si>
  <si>
    <t>Lifter Charger 05 (5 x 6mm2 XLPE/SWA/LSZH)</t>
  </si>
  <si>
    <t>Item: 4.19100000000006</t>
  </si>
  <si>
    <t>Lifter Charger 06 (5 x 6mm2 XLPE/SWA/LSZH)</t>
  </si>
  <si>
    <t>Item: 4.19200000000006</t>
  </si>
  <si>
    <t>Lifter Charger 07 (5 x 6mm2 XLPE/SWA/LSZH)</t>
  </si>
  <si>
    <t>Item: 4.19300000000006</t>
  </si>
  <si>
    <t>Lifter Charger 08 (5 x 6mm2 XLPE/SWA/LSZH)</t>
  </si>
  <si>
    <t>Item: 4.19400000000006</t>
  </si>
  <si>
    <t>Lifter Charger 09 (5 x 6mm2 XLPE/SWA/LSZH)</t>
  </si>
  <si>
    <t>Item: 4.19500000000007</t>
  </si>
  <si>
    <t>Lifter Charger 10 (5 x 6mm2 XLPE/SWA/LSZH)</t>
  </si>
  <si>
    <t>Item: 4.19600000000007</t>
  </si>
  <si>
    <t>Lifter Charger 11 (5 x 6mm2 XLPE/SWA/LSZH)</t>
  </si>
  <si>
    <t>Item: 4.19700000000007</t>
  </si>
  <si>
    <t>Lifter Charger 12 (5 x 6mm2 XLPE/SWA/LSZH)</t>
  </si>
  <si>
    <t>Item: 4.19800000000007</t>
  </si>
  <si>
    <t>Lifter Charger 13 (5 x 6mm2 XLPE/SWA/LSZH)</t>
  </si>
  <si>
    <t>Item: 4.19900000000007</t>
  </si>
  <si>
    <t>Item: 4.20000000000007</t>
  </si>
  <si>
    <t>DOBO/dock leveler 01 (5 x 2.5mm2 XLPE/SWA/LSZH)</t>
  </si>
  <si>
    <t>Item: 4.20100000000007</t>
  </si>
  <si>
    <t>DOBO/dock leveler 02 (5 x 2.5mm2 XLPE/SWA/LSZH)</t>
  </si>
  <si>
    <t>Item: 4.20200000000007</t>
  </si>
  <si>
    <t>DOBO/dock leveler 03 (5 x 2.5mm2 XLPE/SWA/LSZH)</t>
  </si>
  <si>
    <t>Item: 4.20300000000007</t>
  </si>
  <si>
    <t>DOBO/dock leveler 04 (5 x 2.5mm2 XLPE/SWA/LSZH)</t>
  </si>
  <si>
    <t>Item: 4.20400000000007</t>
  </si>
  <si>
    <t>DOBO/dock leveler 05 (5 x 2.5mm2 XLPE/SWA/LSZH)</t>
  </si>
  <si>
    <t>Item: 4.20500000000007</t>
  </si>
  <si>
    <t>DOBO/dock leveler 06 (5 x 2.5mm2 XLPE/SWA/LSZH)</t>
  </si>
  <si>
    <t>Item: 4.20600000000007</t>
  </si>
  <si>
    <t>Stretch Wrap (5 x 6mm2 XLPE/SWA/LSZH)</t>
  </si>
  <si>
    <t>Item: 4.20700000000007</t>
  </si>
  <si>
    <t>Distribution Board 'DB-CRL' (5 x 10mm2 XLPE/SWA/LSZH)</t>
  </si>
  <si>
    <t>Item: 4.20800000000007</t>
  </si>
  <si>
    <t>Item: 4.20900000000007</t>
  </si>
  <si>
    <t>Item: 4.21000000000007</t>
  </si>
  <si>
    <t>Item: 4.21100000000007</t>
  </si>
  <si>
    <t>Item: 4.21200000000007</t>
  </si>
  <si>
    <t>Item: 4.21300000000007</t>
  </si>
  <si>
    <t>Item: 4.21400000000007</t>
  </si>
  <si>
    <t>Item: 4.21500000000007</t>
  </si>
  <si>
    <t>Item: 4.21600000000007</t>
  </si>
  <si>
    <t>Item: 4.21700000000007</t>
  </si>
  <si>
    <t>Item: 4.21800000000007</t>
  </si>
  <si>
    <t>Item: 4.21900000000007</t>
  </si>
  <si>
    <t>Supply Fan SPF1  (5 x 4mm2 F120 Fire Resistant Cable (BS7846) -  XLPE/SWA/LSZH)</t>
  </si>
  <si>
    <t>Item: 4.22000000000007</t>
  </si>
  <si>
    <t>Supply Fan SPF2  (5 x 4mm2 F120 Fire Resistant Cable (BS7846) -  XLPE/SWA/LSZH)</t>
  </si>
  <si>
    <t>Item: 4.22100000000007</t>
  </si>
  <si>
    <t>Supply Fan SPF3  (5 x 4mm2 F120 Fire Resistant Cable (BS7846) -  XLPE/SWA/LSZH)</t>
  </si>
  <si>
    <t>Item: 4.22200000000007</t>
  </si>
  <si>
    <t>Impulse Fan IF1  (5 x 2.5mm2 F120 Fire Resistant Cable (BS7846) -  XLPE/SWA/LSZH)</t>
  </si>
  <si>
    <t>Item: 4.22300000000007</t>
  </si>
  <si>
    <t>Impulse Fan IF2  (5 x 2.5mm2 F120 Fire Resistant Cable (BS7846) -  XLPE/SWA/LSZH)</t>
  </si>
  <si>
    <t>Item: 4.22400000000007</t>
  </si>
  <si>
    <t>Impulse Fan IF3  (5 x 2.5mm2 F120 Fire Resistant Cable (BS7846) -  XLPE/SWA/LSZH)</t>
  </si>
  <si>
    <t>Item: 4.22500000000008</t>
  </si>
  <si>
    <t>Impulse Fan IF4  (5 x 2.5mm2 F120 Fire Resistant Cable (BS7846) -  XLPE/SWA/LSZH)</t>
  </si>
  <si>
    <t>Item: 4.22600000000008</t>
  </si>
  <si>
    <t>Impulse Fan IF5  (5 x 2.5mm2 F120 Fire Resistant Cable (BS7846) -  XLPE/SWA/LSZH)</t>
  </si>
  <si>
    <t>Item: 4.22700000000008</t>
  </si>
  <si>
    <t>Impulse Fan IF6  (5 x 2.5mm2 F120 Fire Resistant Cable (BS7846) -  XLPE/SWA/LSZH)</t>
  </si>
  <si>
    <t>Item: 4.22800000000008</t>
  </si>
  <si>
    <t>Impulse Fan IF7  (5 x 2.5mm2 F120 Fire Resistant Cable (BS7846) -  XLPE/SWA/LSZH)</t>
  </si>
  <si>
    <t>Item: 4.22900000000008</t>
  </si>
  <si>
    <t>Impulse Fan IF8  (5 x 2.5mm2 F120 Fire Resistant Cable (BS7846) -  XLPE/SWA/LSZH)</t>
  </si>
  <si>
    <t>Item: 4.23000000000008</t>
  </si>
  <si>
    <t>Impulse Fan IF9  (5 x 2.5mm2 F120 Fire Resistant Cable (BS7846) -  XLPE/SWA/LSZH)</t>
  </si>
  <si>
    <t>Item: 4.23100000000008</t>
  </si>
  <si>
    <t>Impulse Fan IF10 (5 x 2.5mm2 F120 Fire Resistant Cable (BS7846) -  XLPE/SWA/LSZH)</t>
  </si>
  <si>
    <t>Item: 4.23200000000008</t>
  </si>
  <si>
    <t>Impulse Fan IF11 (5 x 2.5mm2 F120 Fire Resistant Cable (BS7846) -  XLPE/SWA/LSZH)</t>
  </si>
  <si>
    <t>Item: 4.23300000000008</t>
  </si>
  <si>
    <t>Impulse Fan IF12 (5 x 2.5mm2 F120 Fire Resistant Cable (BS7846) -  XLPE/SWA/LSZH)</t>
  </si>
  <si>
    <t>Item: 4.23400000000008</t>
  </si>
  <si>
    <t>Extract Fan EPF1  (5 x 10mm2 F120 Fire Resistant Cable (BS7846) -  XLPE/SWA/LSZH)</t>
  </si>
  <si>
    <t>Item: 4.23500000000008</t>
  </si>
  <si>
    <t>Extract Fan EPF2  (5 x 10mm2 F120 Fire Resistant Cable (BS7846) -  XLPE/SWA/LSZH)</t>
  </si>
  <si>
    <t>Item: 4.23600000000008</t>
  </si>
  <si>
    <t>Extract Fan EPF3  (5 x 10mm2 F120 Fire Resistant Cable (BS7846) -  XLPE/SWA/LSZH)</t>
  </si>
  <si>
    <t>Item: 4.23700000000008</t>
  </si>
  <si>
    <t>Item: 4.23800000000008</t>
  </si>
  <si>
    <t>3-Phase 20A Isolator</t>
  </si>
  <si>
    <t>Item: 4.23900000000008</t>
  </si>
  <si>
    <t>Item: 4.24000000000008</t>
  </si>
  <si>
    <t>Sump Pump 06 (5 x 4mm2 XLPE/SWA/LSZH)</t>
  </si>
  <si>
    <t>Item: 4.24100000000008</t>
  </si>
  <si>
    <t>Sump Pump 07 (5 x 4mm2 XLPE/SWA/LSZH)</t>
  </si>
  <si>
    <t>Item: 4.24200000000008</t>
  </si>
  <si>
    <t>Item: 4.24300000000008</t>
  </si>
  <si>
    <t>Fridge Condenser Control Panel CP-S1 (5 x 25mm2 XLPE/SWA/LSZH)</t>
  </si>
  <si>
    <t>Item: 4.24400000000008</t>
  </si>
  <si>
    <t>Fridge Condenser Control Panel CP-S2 (5 x 25mm2 XLPE/SWA/LSZH)</t>
  </si>
  <si>
    <t>Item: 4.24500000000008</t>
  </si>
  <si>
    <t>Freezer Condenser Control Panel CP-S6 (5 x 35mm2 XLPE/SWA/LSZH)</t>
  </si>
  <si>
    <t>Item: 4.24600000000008</t>
  </si>
  <si>
    <t>Freezer Condenser Control Panel CP-S7 (5 x 35mm2 XLPE/SWA/LSZH)</t>
  </si>
  <si>
    <t>Item: 4.24700000000008</t>
  </si>
  <si>
    <t>Freezer Condenser Control Panel CP-S8 (5 x 35mm2 XLPE/SWA/LSZH)</t>
  </si>
  <si>
    <t>Item: 4.24800000000008</t>
  </si>
  <si>
    <t>Freezer Condenser Control Panel CP-S9 (5 x 35mm2 XLPE/SWA/LSZH)</t>
  </si>
  <si>
    <t>Item: 4.24900000000008</t>
  </si>
  <si>
    <t>Freezer Condenser Control Panel CP-S10 (5 x 35mm2 XLPE/SWA/LSZH)</t>
  </si>
  <si>
    <t>Item: 4.25000000000008</t>
  </si>
  <si>
    <t>Ventilation Control Panel 'VCP-OL1' (3 x 6mm2 LSZH/LSZH)</t>
  </si>
  <si>
    <t>Item: 4.25100000000008</t>
  </si>
  <si>
    <t>Heat Recovery Unit HRU-OL1-01 (3 x 4mm2 XLPE/SWA/LSZH)</t>
  </si>
  <si>
    <t>Item: 4.25200000000008</t>
  </si>
  <si>
    <t>Item: 4.25300000000008</t>
  </si>
  <si>
    <t>Air Conditioning VRF Unit 'S-20' (5 x 6mm2 XLPE/SWA/LSZH)</t>
  </si>
  <si>
    <t>Item: 4.25400000000008</t>
  </si>
  <si>
    <t>Air Conditioning Split Unit 'SPT-02' (3 x 4mm2 XLPE/SWA/LSZH)</t>
  </si>
  <si>
    <t>Item: 4.25500000000009</t>
  </si>
  <si>
    <t>Ventilation Control Panel 'VCP-AB' (3 x 6mm2 LSZH/LSZH)</t>
  </si>
  <si>
    <t>Item: 4.25600000000009</t>
  </si>
  <si>
    <t>Item: 4.25700000000009</t>
  </si>
  <si>
    <t>Item: 4.25800000000009</t>
  </si>
  <si>
    <t>Extract Fan EF-AB-01  (3 x 4mm2 XLPE/SWA/LSZH)</t>
  </si>
  <si>
    <t>Item: 4.25900000000009</t>
  </si>
  <si>
    <t>Heat Recovery Unit HRU-CAN-01 (3 x 4mm2 XLPE/SWA/LSZH)</t>
  </si>
  <si>
    <t>Item: 4.26000000000009</t>
  </si>
  <si>
    <t>Supply Fan SF-AB-01  (3 x 4mm2 XLPE/SWA/LSZH)</t>
  </si>
  <si>
    <t>Item: 4.26100000000009</t>
  </si>
  <si>
    <t>Item: 4.26200000000009</t>
  </si>
  <si>
    <t>Item: 4.26300000000009</t>
  </si>
  <si>
    <t>Ventilation Control Panel 'VCP-OL2' (3 x 6mm2 LSZH/LSZH)</t>
  </si>
  <si>
    <t>Item: 4.26400000000009</t>
  </si>
  <si>
    <t>Heat Recovery Unit HRU-OL2-01 (3 x 4mm2 XLPE/SWA/LSZH)</t>
  </si>
  <si>
    <t>Item: 4.26500000000009</t>
  </si>
  <si>
    <t>Heat Recovery Unit HRU-OL2-02 (3 x 4mm2 XLPE/SWA/LSZH)</t>
  </si>
  <si>
    <t>Item: 4.26600000000009</t>
  </si>
  <si>
    <t>Item: 4.26700000000009</t>
  </si>
  <si>
    <t>Fridge Condenser Control Panel CP-S3 (5 x 25mm2 XLPE/SWA/LSZH)</t>
  </si>
  <si>
    <t>Item: 4.26800000000009</t>
  </si>
  <si>
    <t>Fridge Condenser Control Panel CP-S4 (5 x 25mm2 XLPE/SWA/LSZH)</t>
  </si>
  <si>
    <t>Item: 4.26900000000009</t>
  </si>
  <si>
    <t>Fridge Condenser Control Panel CP-S5 (5 x 25mm2 XLPE/SWA/LSZH)</t>
  </si>
  <si>
    <t>Item: 4.27000000000009</t>
  </si>
  <si>
    <t>Loading Condenser Control Panel CP-S11 (5 x 25mm2 XLPE/SWA/LSZH)</t>
  </si>
  <si>
    <t>Item: 4.27100000000009</t>
  </si>
  <si>
    <t>Loading Condenser Control Panel CP-S12 (5 x 25mm2 XLPE/SWA/LSZH)</t>
  </si>
  <si>
    <t>Item: 4.27200000000009</t>
  </si>
  <si>
    <t>Loading Condenser Control Panel CP-S13 (5 x 25mm2 XLPE/SWA/LSZH)</t>
  </si>
  <si>
    <t>Item: 4.27300000000009</t>
  </si>
  <si>
    <t>Ventilation Control Panel 'VCP-OL3' (3 x 6mm2 LSZH/LSZH)</t>
  </si>
  <si>
    <t>Item: 4.27400000000009</t>
  </si>
  <si>
    <t>Heat Recovery Unit HRU-OL3-01 (3 x 4mm2 XLPE/SWA/LSZH)</t>
  </si>
  <si>
    <t>Item: 4.27500000000009</t>
  </si>
  <si>
    <t>Heat Recovery Unit HRU-OL3-02 (3 x 4mm2 XLPE/SWA/LSZH)</t>
  </si>
  <si>
    <t>Item: 4.27600000000009</t>
  </si>
  <si>
    <t>Heat Recovery Unit HRU-OL3-03 (3 x 4mm2 XLPE/SWA/LSZH)</t>
  </si>
  <si>
    <t>Item: 4.27700000000009</t>
  </si>
  <si>
    <t>Item: 4.27800000000009</t>
  </si>
  <si>
    <t>Air Conditioning VRF Unit 'S-14' (5 x 6mm2 XLPE/SWA/LSZH)</t>
  </si>
  <si>
    <t>Item: 4.27900000000009</t>
  </si>
  <si>
    <t>Air Conditioning VRF Unit 'S-15' (5 x 6mm2 XLPE/SWA/LSZH)</t>
  </si>
  <si>
    <t>Item: 4.28000000000009</t>
  </si>
  <si>
    <t>Air Conditioning VRF Unit 'S-16' (5 x 10mm2 XLPE/SWA/LSZH)</t>
  </si>
  <si>
    <t>Item: 4.28100000000009</t>
  </si>
  <si>
    <t>Air Conditioning VRF Unit 'S-17' (5 x 10mm2 XLPE/SWA/LSZH)</t>
  </si>
  <si>
    <t>Item: 4.28200000000009</t>
  </si>
  <si>
    <t>Air Conditioning VRF Unit 'S-18' (5 x 10mm2 XLPE/SWA/LSZH)</t>
  </si>
  <si>
    <t>Item: 4.28300000000009</t>
  </si>
  <si>
    <t>Air Conditioning VRF Unit 'S-19' (5 x 4mm2 XLPE/SWA/LSZH)</t>
  </si>
  <si>
    <t>Item: 4.28400000000009</t>
  </si>
  <si>
    <t>Item: 4.2850000000001</t>
  </si>
  <si>
    <t>Item: 4.2860000000001</t>
  </si>
  <si>
    <t>Item: 4.2870000000001</t>
  </si>
  <si>
    <t>Item: 4.2880000000001</t>
  </si>
  <si>
    <t>Wiring from distribution board using LSZH cable enclosed in galvanised trunking and galvanised conduit surface mounted including the supply of all LSZH cable and metal clad wiring accessories etc. for a complete installation.</t>
  </si>
  <si>
    <t>Item: 4.2890000000001</t>
  </si>
  <si>
    <t>Item: 4.2900000000001</t>
  </si>
  <si>
    <t>Item: 4.2910000000001</t>
  </si>
  <si>
    <t>Item: 4.2920000000001</t>
  </si>
  <si>
    <t>Item: 4.2930000000001</t>
  </si>
  <si>
    <t>Item: 4.2940000000001</t>
  </si>
  <si>
    <t>Item: 4.2950000000001</t>
  </si>
  <si>
    <t>Item: 4.2960000000001</t>
  </si>
  <si>
    <t>Item: 4.2970000000001</t>
  </si>
  <si>
    <t>Item: 4.2980000000001</t>
  </si>
  <si>
    <t>Item: 4.2990000000001</t>
  </si>
  <si>
    <t>Item: 4.3000000000001</t>
  </si>
  <si>
    <t>Item: 4.3010000000001</t>
  </si>
  <si>
    <t>Item: 4.3020000000001</t>
  </si>
  <si>
    <t>Item: 4.3030000000001</t>
  </si>
  <si>
    <t>Item: 4.3040000000001</t>
  </si>
  <si>
    <t>Item: 4.3050000000001</t>
  </si>
  <si>
    <t>Item: 4.3060000000001</t>
  </si>
  <si>
    <t>Item: 4.3070000000001</t>
  </si>
  <si>
    <t>Item: 4.3080000000001</t>
  </si>
  <si>
    <t>Item: 4.3090000000001</t>
  </si>
  <si>
    <t>Item: 4.3100000000001</t>
  </si>
  <si>
    <t>Item: 4.3110000000001</t>
  </si>
  <si>
    <t>Item: 4.3120000000001</t>
  </si>
  <si>
    <t>Item: 4.3130000000001</t>
  </si>
  <si>
    <t>Item: 4.3140000000001</t>
  </si>
  <si>
    <t>Item: 4.31500000000011</t>
  </si>
  <si>
    <t>Item: 4.31600000000011</t>
  </si>
  <si>
    <t>Item: 4.31700000000011</t>
  </si>
  <si>
    <t>Item: 4.31800000000011</t>
  </si>
  <si>
    <t>360° Presence Detector</t>
  </si>
  <si>
    <t>Item: 4.31900000000011</t>
  </si>
  <si>
    <t>Item: 4.32000000000011</t>
  </si>
  <si>
    <t>Item: 4.32100000000011</t>
  </si>
  <si>
    <t>Item: 4.32200000000011</t>
  </si>
  <si>
    <t>Item: 4.32300000000011</t>
  </si>
  <si>
    <t>Item: 4.32400000000011</t>
  </si>
  <si>
    <t>Item: 4.32500000000011</t>
  </si>
  <si>
    <t>Item: 4.32600000000011</t>
  </si>
  <si>
    <t>Item: 4.32700000000011</t>
  </si>
  <si>
    <t>Item: 4.32800000000011</t>
  </si>
  <si>
    <t>Item: 4.32900000000011</t>
  </si>
  <si>
    <t>Item: 4.33000000000011</t>
  </si>
  <si>
    <t>Item: 4.33100000000011</t>
  </si>
  <si>
    <t>Item: 4.33200000000011</t>
  </si>
  <si>
    <t>Item: 4.33300000000011</t>
  </si>
  <si>
    <t>Item: 4.33400000000011</t>
  </si>
  <si>
    <t>Item: 4.33500000000011</t>
  </si>
  <si>
    <t>Item: 4.33600000000011</t>
  </si>
  <si>
    <t>Item: 4.33700000000011</t>
  </si>
  <si>
    <t>Item: 4.33800000000011</t>
  </si>
  <si>
    <t>Item: 4.33900000000011</t>
  </si>
  <si>
    <t>Item: 4.34000000000011</t>
  </si>
  <si>
    <t>Item: 4.34100000000011</t>
  </si>
  <si>
    <t>Item: 4.34200000000011</t>
  </si>
  <si>
    <t>Item: 4.34300000000011</t>
  </si>
  <si>
    <t>Item: 4.34400000000011</t>
  </si>
  <si>
    <t>Wiring from distribution board using LSZH cable enclosed in galvanised trunking and LSZH conduit chased in wall including the supply of all LSZH cable and PVC wiring accessories etc. for a complete installation.</t>
  </si>
  <si>
    <t>Item: 4.34500000000012</t>
  </si>
  <si>
    <t>Item: 4.34600000000012</t>
  </si>
  <si>
    <t>Item: 4.34700000000012</t>
  </si>
  <si>
    <t>Item: 4.34800000000012</t>
  </si>
  <si>
    <t>Item: 4.34900000000012</t>
  </si>
  <si>
    <t>Item: 4.35000000000012</t>
  </si>
  <si>
    <t>Item: 4.35100000000012</t>
  </si>
  <si>
    <t>Item: 4.35200000000012</t>
  </si>
  <si>
    <t>Item: 4.35300000000012</t>
  </si>
  <si>
    <t>Item: 4.35400000000012</t>
  </si>
  <si>
    <t>Item: 4.35500000000012</t>
  </si>
  <si>
    <t>Item: 4.35600000000012</t>
  </si>
  <si>
    <t>Item: 4.35700000000012</t>
  </si>
  <si>
    <t>Item: 4.35800000000012</t>
  </si>
  <si>
    <t>Item: 4.35900000000012</t>
  </si>
  <si>
    <t>Item: 4.36000000000012</t>
  </si>
  <si>
    <t>Item: 4.36100000000012</t>
  </si>
  <si>
    <t>Item: 4.36200000000012</t>
  </si>
  <si>
    <t>Item: 4.36300000000012</t>
  </si>
  <si>
    <t>Item: 4.36400000000012</t>
  </si>
  <si>
    <t>Item: 4.36500000000012</t>
  </si>
  <si>
    <t>Item: 4.36600000000012</t>
  </si>
  <si>
    <t>Item: 4.36700000000012</t>
  </si>
  <si>
    <t>Item: 4.36800000000012</t>
  </si>
  <si>
    <t>Item: 4.36900000000012</t>
  </si>
  <si>
    <t>Item: 4.37000000000012</t>
  </si>
  <si>
    <t>Item: 4.37100000000012</t>
  </si>
  <si>
    <t>Item: 4.37200000000012</t>
  </si>
  <si>
    <t>Item: 4.37300000000012</t>
  </si>
  <si>
    <t>Item: 4.37400000000012</t>
  </si>
  <si>
    <t>Item: 4.37500000000013</t>
  </si>
  <si>
    <t>Item: 4.37600000000013</t>
  </si>
  <si>
    <t>Item: 4.37700000000013</t>
  </si>
  <si>
    <t>Item: 4.37800000000013</t>
  </si>
  <si>
    <t>Item: 4.37900000000013</t>
  </si>
  <si>
    <t>Item: 4.38000000000013</t>
  </si>
  <si>
    <t>Item: 4.38100000000013</t>
  </si>
  <si>
    <t>Item: 4.38200000000013</t>
  </si>
  <si>
    <t>Item: 4.38300000000013</t>
  </si>
  <si>
    <t>Item: 4.38400000000013</t>
  </si>
  <si>
    <t>Item: 4.38500000000013</t>
  </si>
  <si>
    <t>Item: 4.38600000000013</t>
  </si>
  <si>
    <t>Item: 4.38700000000013</t>
  </si>
  <si>
    <t>Item: 4.38800000000013</t>
  </si>
  <si>
    <t>Item: 4.38900000000013</t>
  </si>
  <si>
    <t>Item: 4.39000000000013</t>
  </si>
  <si>
    <t>Item: 4.39100000000013</t>
  </si>
  <si>
    <t>Item: 4.39200000000013</t>
  </si>
  <si>
    <t>Item: 4.39300000000013</t>
  </si>
  <si>
    <t>Item: 4.39400000000013</t>
  </si>
  <si>
    <t>Item: 4.39500000000013</t>
  </si>
  <si>
    <t>Item: 4.39600000000013</t>
  </si>
  <si>
    <t>Item: 4.39700000000013</t>
  </si>
  <si>
    <t>Item: 4.39800000000013</t>
  </si>
  <si>
    <t>Item: 4.39900000000013</t>
  </si>
  <si>
    <t>Item: 4.40000000000013</t>
  </si>
  <si>
    <t>Item: 4.40100000000013</t>
  </si>
  <si>
    <t>Item: 4.40200000000013</t>
  </si>
  <si>
    <t>Item: 4.40300000000013</t>
  </si>
  <si>
    <t>Item: 4.40400000000013</t>
  </si>
  <si>
    <t>Item: 4.40500000000014</t>
  </si>
  <si>
    <t>Item: 4.40600000000014</t>
  </si>
  <si>
    <t>Item: 4.40700000000014</t>
  </si>
  <si>
    <t>Item: 4.40800000000014</t>
  </si>
  <si>
    <t>Item: 4.40900000000014</t>
  </si>
  <si>
    <t>Item: 4.41000000000014</t>
  </si>
  <si>
    <t>Item: 4.41100000000014</t>
  </si>
  <si>
    <t>Item: 4.41200000000014</t>
  </si>
  <si>
    <t>Item: 4.41300000000014</t>
  </si>
  <si>
    <t>Item: 4.41400000000014</t>
  </si>
  <si>
    <t>Item: 4.41500000000014</t>
  </si>
  <si>
    <t>Item: 4.41600000000014</t>
  </si>
  <si>
    <t>Item: 4.41700000000014</t>
  </si>
  <si>
    <t>Item: 4.41800000000014</t>
  </si>
  <si>
    <t>Item: 4.41900000000014</t>
  </si>
  <si>
    <t>Item: 4.42000000000014</t>
  </si>
  <si>
    <t>Item: 4.42100000000014</t>
  </si>
  <si>
    <t>Item: 4.42200000000014</t>
  </si>
  <si>
    <t>Wiring from distribution board using LSZH cable enclosed in galvanised trunking and 316L stainless steel conduit surface mounted including the supply of all LSZH cable and 316L stainless steel wiring accessories etc. for a complete installation.</t>
  </si>
  <si>
    <t>Item: 4.42300000000014</t>
  </si>
  <si>
    <t>Item: 4.42400000000014</t>
  </si>
  <si>
    <t>Item: 4.42500000000014</t>
  </si>
  <si>
    <t>Item: 4.42600000000014</t>
  </si>
  <si>
    <t>Item: 4.42700000000014</t>
  </si>
  <si>
    <t>Item: 4.42800000000014</t>
  </si>
  <si>
    <t>Item: 4.42900000000014</t>
  </si>
  <si>
    <t>Item: 4.43000000000014</t>
  </si>
  <si>
    <t>Item: 4.43100000000014</t>
  </si>
  <si>
    <t>Item: 4.43200000000014</t>
  </si>
  <si>
    <t>Item: 4.43300000000014</t>
  </si>
  <si>
    <t>Item: 4.43400000000014</t>
  </si>
  <si>
    <t>Item: 4.43500000000015</t>
  </si>
  <si>
    <t>Item: 4.43600000000015</t>
  </si>
  <si>
    <t>Item: 4.43700000000015</t>
  </si>
  <si>
    <t>Item: 4.43800000000015</t>
  </si>
  <si>
    <t>Item: 4.43900000000015</t>
  </si>
  <si>
    <t>Item: 4.44000000000015</t>
  </si>
  <si>
    <t>Item: 4.44100000000015</t>
  </si>
  <si>
    <t>Item: 4.44200000000015</t>
  </si>
  <si>
    <t>Item: 4.44300000000015</t>
  </si>
  <si>
    <t>Item: 4.44400000000015</t>
  </si>
  <si>
    <t>Item: 4.44500000000015</t>
  </si>
  <si>
    <t>Item: 4.44600000000015</t>
  </si>
  <si>
    <t>Item: 4.44700000000015</t>
  </si>
  <si>
    <t>Item: 4.44800000000015</t>
  </si>
  <si>
    <t>Item: 4.44900000000015</t>
  </si>
  <si>
    <t>Item: 4.45000000000015</t>
  </si>
  <si>
    <t>Item: 4.45100000000015</t>
  </si>
  <si>
    <t>Item: 4.45200000000015</t>
  </si>
  <si>
    <t>Item: 4.45300000000015</t>
  </si>
  <si>
    <t>Item: 4.45400000000015</t>
  </si>
  <si>
    <t>Item: 4.45500000000015</t>
  </si>
  <si>
    <t>Item: 4.45600000000015</t>
  </si>
  <si>
    <t>Item: 4.45700000000015</t>
  </si>
  <si>
    <t>Item: 4.45800000000015</t>
  </si>
  <si>
    <t>Item: 4.45900000000015</t>
  </si>
  <si>
    <t>Item: 4.46000000000015</t>
  </si>
  <si>
    <t>Item: 4.46100000000015</t>
  </si>
  <si>
    <t>Item: 4.46200000000015</t>
  </si>
  <si>
    <t>Item: 4.46300000000015</t>
  </si>
  <si>
    <t>Item: 4.46400000000016</t>
  </si>
  <si>
    <t>Item: 4.46500000000016</t>
  </si>
  <si>
    <t>Item: 4.46600000000016</t>
  </si>
  <si>
    <t>Item: 4.46700000000016</t>
  </si>
  <si>
    <t>Item: 4.46800000000016</t>
  </si>
  <si>
    <t>Item: 4.46900000000016</t>
  </si>
  <si>
    <t>Item: 4.47000000000016</t>
  </si>
  <si>
    <t>Item: 4.47100000000016</t>
  </si>
  <si>
    <t>Item: 4.47200000000016</t>
  </si>
  <si>
    <t>Item: 4.47300000000016</t>
  </si>
  <si>
    <t>Item: 4.47400000000016</t>
  </si>
  <si>
    <t>Item: 4.47500000000016</t>
  </si>
  <si>
    <t>Item: 4.47600000000016</t>
  </si>
  <si>
    <t>Item: 4.47700000000016</t>
  </si>
  <si>
    <t>Item: 4.47800000000016</t>
  </si>
  <si>
    <t>Item: 4.47900000000016</t>
  </si>
  <si>
    <t>Item: 4.48000000000016</t>
  </si>
  <si>
    <t>Item: 4.48100000000016</t>
  </si>
  <si>
    <t>Item: 4.48200000000016</t>
  </si>
  <si>
    <t>Item: 4.48300000000016</t>
  </si>
  <si>
    <t>Item: 4.48400000000016</t>
  </si>
  <si>
    <t>Item: 4.48500000000016</t>
  </si>
  <si>
    <t>Item: 4.48600000000016</t>
  </si>
  <si>
    <t>Item: 4.48700000000016</t>
  </si>
  <si>
    <t>Item: 4.48800000000016</t>
  </si>
  <si>
    <t>Item: 4.48900000000016</t>
  </si>
  <si>
    <t>Item: 4.49000000000016</t>
  </si>
  <si>
    <t>Item: 4.49100000000016</t>
  </si>
  <si>
    <t>Item: 4.49200000000016</t>
  </si>
  <si>
    <t>Item: 4.49300000000016</t>
  </si>
  <si>
    <t>Item: 4.49400000000017</t>
  </si>
  <si>
    <t>Item: 4.49500000000017</t>
  </si>
  <si>
    <t>Item: 4.49600000000017</t>
  </si>
  <si>
    <t>Item: 4.49700000000017</t>
  </si>
  <si>
    <t>Item: 4.49800000000017</t>
  </si>
  <si>
    <t>Item: 4.49900000000017</t>
  </si>
  <si>
    <t>Item: 4.50000000000017</t>
  </si>
  <si>
    <t>Item: 4.50100000000017</t>
  </si>
  <si>
    <t>Item: 4.50200000000017</t>
  </si>
  <si>
    <t>Item: 4.50300000000017</t>
  </si>
  <si>
    <t>Item: 4.50400000000017</t>
  </si>
  <si>
    <t>Item: 4.50500000000017</t>
  </si>
  <si>
    <t>Item: 4.50600000000017</t>
  </si>
  <si>
    <t>Item: 4.50700000000017</t>
  </si>
  <si>
    <t>Item: 4.50800000000017</t>
  </si>
  <si>
    <t>Item: 4.50900000000017</t>
  </si>
  <si>
    <t>Item: 4.51000000000017</t>
  </si>
  <si>
    <t>Item: 4.51100000000017</t>
  </si>
  <si>
    <t>Item: 4.51200000000017</t>
  </si>
  <si>
    <t>Item: 4.51300000000017</t>
  </si>
  <si>
    <t>Item: 4.51400000000017</t>
  </si>
  <si>
    <t>Item: 4.51500000000017</t>
  </si>
  <si>
    <t>Item: 4.51600000000017</t>
  </si>
  <si>
    <t>Item: 5</t>
  </si>
  <si>
    <t>Item: 5.001</t>
  </si>
  <si>
    <t>Item: 5.002</t>
  </si>
  <si>
    <t>Item: 5.003</t>
  </si>
  <si>
    <t>Item: 5.004</t>
  </si>
  <si>
    <t>Item: 5.005</t>
  </si>
  <si>
    <t>Item: 5.006</t>
  </si>
  <si>
    <t>Item: 5.007</t>
  </si>
  <si>
    <t>Item: 5.008</t>
  </si>
  <si>
    <t>Item: 5.009</t>
  </si>
  <si>
    <t>Item: 5.01</t>
  </si>
  <si>
    <t>Item: 5.011</t>
  </si>
  <si>
    <t>Item: 5.012</t>
  </si>
  <si>
    <t>Item: 5.013</t>
  </si>
  <si>
    <t>Item: 5.014</t>
  </si>
  <si>
    <t>Item: 5.01500000000001</t>
  </si>
  <si>
    <t>Item: 5.01600000000001</t>
  </si>
  <si>
    <t>Item: 5.01700000000001</t>
  </si>
  <si>
    <t>Item: 5.01800000000001</t>
  </si>
  <si>
    <t>Item: 5.01900000000001</t>
  </si>
  <si>
    <t>Item: 5.02000000000001</t>
  </si>
  <si>
    <t>Item: 5.02100000000001</t>
  </si>
  <si>
    <t>Item: 5.02200000000001</t>
  </si>
  <si>
    <t>Item: 5.02300000000001</t>
  </si>
  <si>
    <t>Item: 5.02400000000001</t>
  </si>
  <si>
    <t>Item: 5.02500000000001</t>
  </si>
  <si>
    <t>Item: 6</t>
  </si>
  <si>
    <t>Item: 6.001</t>
  </si>
  <si>
    <t>Item: 6.002</t>
  </si>
  <si>
    <t>Item: 6.003</t>
  </si>
  <si>
    <t>Item: 6.004</t>
  </si>
  <si>
    <t>Item: 6.005</t>
  </si>
  <si>
    <t>Item: 6.006</t>
  </si>
  <si>
    <t>Item: 6.007</t>
  </si>
  <si>
    <t>Item: 6.008</t>
  </si>
  <si>
    <t>Item: 6.009</t>
  </si>
  <si>
    <t>Item: 6.01</t>
  </si>
  <si>
    <t>Item: 6.011</t>
  </si>
  <si>
    <t>Item: 6.012</t>
  </si>
  <si>
    <t>Item: 6.013</t>
  </si>
  <si>
    <t>Item: 6.014</t>
  </si>
  <si>
    <t>Item: 6.01500000000001</t>
  </si>
  <si>
    <t>Item: 6.01600000000001</t>
  </si>
  <si>
    <t>Item: 6.01700000000001</t>
  </si>
  <si>
    <t>Item: 6.01800000000001</t>
  </si>
  <si>
    <t>Item: 6.01900000000001</t>
  </si>
  <si>
    <t>Item: 6.02000000000001</t>
  </si>
  <si>
    <t>Item: 6.02100000000001</t>
  </si>
  <si>
    <t>Item: 6.02200000000001</t>
  </si>
  <si>
    <t>Item: 6.02300000000001</t>
  </si>
  <si>
    <t>Item: 6.02400000000001</t>
  </si>
  <si>
    <t>Item: 6.02500000000001</t>
  </si>
  <si>
    <t>Item: 6.02600000000001</t>
  </si>
  <si>
    <t>Item: 6.02700000000001</t>
  </si>
  <si>
    <t>Item: 6.02800000000001</t>
  </si>
  <si>
    <t>Item: 6.02900000000001</t>
  </si>
  <si>
    <t>Item: 6.03000000000001</t>
  </si>
  <si>
    <t>Item: 6.03100000000001</t>
  </si>
  <si>
    <t>Item: 6.03200000000001</t>
  </si>
  <si>
    <t>Item: 6.03300000000001</t>
  </si>
  <si>
    <t>Item: 6.03400000000001</t>
  </si>
  <si>
    <t>Item: 6.03500000000001</t>
  </si>
  <si>
    <t>Item: 6.03600000000001</t>
  </si>
  <si>
    <t>Item: 6.03700000000001</t>
  </si>
  <si>
    <t>Item: 6.03800000000001</t>
  </si>
  <si>
    <t>Item: 6.03900000000001</t>
  </si>
  <si>
    <t>Item: 6.04000000000001</t>
  </si>
  <si>
    <t>Item: 6.04100000000001</t>
  </si>
  <si>
    <t>Item: 6.04200000000001</t>
  </si>
  <si>
    <t>Item: 6.04300000000001</t>
  </si>
  <si>
    <t>Item: 6.04400000000001</t>
  </si>
  <si>
    <t>Item: 6.04500000000002</t>
  </si>
  <si>
    <t>Item: 6.04600000000002</t>
  </si>
  <si>
    <t>Item: 6.04700000000002</t>
  </si>
  <si>
    <t>Item: 6.04800000000002</t>
  </si>
  <si>
    <t>Item: 6.04900000000002</t>
  </si>
  <si>
    <t>Item: 6.05000000000002</t>
  </si>
  <si>
    <t>Item: 6.05100000000002</t>
  </si>
  <si>
    <t>Item: 6.05200000000002</t>
  </si>
  <si>
    <t>Item: 6.05300000000002</t>
  </si>
  <si>
    <t>Supply one full set of as fitted drawings (including 1 hard copy and a digital copy on 2 separate USBs) c/w all manuals etc.</t>
  </si>
  <si>
    <t>Item: 7</t>
  </si>
  <si>
    <t>Supply and install galvanised conduit surface mounted from Data cabinet B1 patch panel to various data points as per drawing, including the supply of all necessary back boxes. There shall be 1qty 25 mm conduits for a maximum of two cables. All data cable conduit shall be 25mm diameter.</t>
  </si>
  <si>
    <t>Item: 7.001</t>
  </si>
  <si>
    <t>Item: 7.002</t>
  </si>
  <si>
    <t>Item: 7.003</t>
  </si>
  <si>
    <t>Item: 7.004</t>
  </si>
  <si>
    <t>Item: 7.005</t>
  </si>
  <si>
    <t>Supply, install and connect of the following metal clad wall plates</t>
  </si>
  <si>
    <t>Item: 7.006</t>
  </si>
  <si>
    <t>Single Wall plates</t>
  </si>
  <si>
    <t>Item: 7.007</t>
  </si>
  <si>
    <t>Twin Wall plates</t>
  </si>
  <si>
    <t>Item: 7.008</t>
  </si>
  <si>
    <t>Termination of cables at both ends including the provision of RJ45 sockets</t>
  </si>
  <si>
    <t>Item: 7.009</t>
  </si>
  <si>
    <t>Item: 7.01</t>
  </si>
  <si>
    <t>Item: 7.011</t>
  </si>
  <si>
    <t>Item: 7.012</t>
  </si>
  <si>
    <t>Item: 7.013</t>
  </si>
  <si>
    <t>Item: 7.014</t>
  </si>
  <si>
    <t>Item: 7.01500000000001</t>
  </si>
  <si>
    <t>Supply,install and connect Wall Mounted 18U Data Cabinet - 600 x 600 (mm)</t>
  </si>
  <si>
    <t>Item: 7.01600000000001</t>
  </si>
  <si>
    <t>Item: 7.01700000000001</t>
  </si>
  <si>
    <t>Item: 7.01800000000001</t>
  </si>
  <si>
    <t>Item: 7.01900000000001</t>
  </si>
  <si>
    <t>Supply and install LSZH conduit chased in walls and in screed under tiles from Server cabinet L0/L1 Offices patch panel to various data points as per drawing, including the supply of necessary back boxes. There shall be 1qty 25 mm conduits for a maximum of two cables. All data cable conduit shall be 25mm diameter.</t>
  </si>
  <si>
    <t>Item: 7.02000000000001</t>
  </si>
  <si>
    <t>Item: 7.02100000000001</t>
  </si>
  <si>
    <t>Item: 7.02200000000001</t>
  </si>
  <si>
    <t>Item: 7.02300000000001</t>
  </si>
  <si>
    <t>Item: 7.02400000000001</t>
  </si>
  <si>
    <t>Item: 7.02500000000001</t>
  </si>
  <si>
    <t>Item: 7.02600000000001</t>
  </si>
  <si>
    <t>Item: 7.02700000000001</t>
  </si>
  <si>
    <t>Item: 7.02800000000001</t>
  </si>
  <si>
    <t>Item: 7.02900000000001</t>
  </si>
  <si>
    <t>Supply, install and connect of the following PVC wall plates</t>
  </si>
  <si>
    <t>Item: 7.03000000000001</t>
  </si>
  <si>
    <t>Item: 7.03100000000001</t>
  </si>
  <si>
    <t>Item: 7.03200000000001</t>
  </si>
  <si>
    <t>Triple Wall plates</t>
  </si>
  <si>
    <t>Item: 7.03300000000001</t>
  </si>
  <si>
    <t>Quadruple Wall plates</t>
  </si>
  <si>
    <t>Item: 7.03400000000001</t>
  </si>
  <si>
    <t>Item: 7.03500000000001</t>
  </si>
  <si>
    <t>Item: 7.03600000000001</t>
  </si>
  <si>
    <t>Item: 7.03700000000001</t>
  </si>
  <si>
    <t>Item: 7.03800000000001</t>
  </si>
  <si>
    <t>Item: 7.03900000000001</t>
  </si>
  <si>
    <t>Item: 7.04000000000001</t>
  </si>
  <si>
    <t>Item: 7.04100000000001</t>
  </si>
  <si>
    <t>Item: 7.04200000000001</t>
  </si>
  <si>
    <t>Item: 7.04300000000001</t>
  </si>
  <si>
    <t>Item: 7.04400000000001</t>
  </si>
  <si>
    <t>Item: 7.04500000000002</t>
  </si>
  <si>
    <t>Item: 7.04600000000002</t>
  </si>
  <si>
    <t>Supply,install and connect Floor 42U Server Cabinet - 800 x 1000 (mm)</t>
  </si>
  <si>
    <t>Item: 7.04700000000002</t>
  </si>
  <si>
    <t>Item: 7.04800000000002</t>
  </si>
  <si>
    <t>Item: 7.04900000000002</t>
  </si>
  <si>
    <t>Item: 7.05000000000002</t>
  </si>
  <si>
    <t>Supply and install galvanised conduit surface mounted from Data cabinet L0 Warehouse patch panel to various data points as per drawing, including the supply of all necessary back boxes. There shall be 1qty 25 mm conduits for a maximum of two cables. All data cable conduit shall be 25mm diameter.</t>
  </si>
  <si>
    <t>Item: 7.05100000000002</t>
  </si>
  <si>
    <t>Supply and install 316L Stainless Steel conduit surface mounted from Data cabinet L0 Warehouse patch panel to various data points as per drawing, including the supply of all necessary back boxes. There shall be 1qty 25 mm conduits for a maximum of two cables. All data cable conduit shall be 25mm diameter.</t>
  </si>
  <si>
    <t>Item: 7.05200000000002</t>
  </si>
  <si>
    <t>Item: 7.05300000000002</t>
  </si>
  <si>
    <t>Item: 7.05400000000002</t>
  </si>
  <si>
    <t>Item: 7.05500000000002</t>
  </si>
  <si>
    <t>Item: 7.05600000000002</t>
  </si>
  <si>
    <t>Item: 7.05700000000002</t>
  </si>
  <si>
    <t>Item: 7.05800000000002</t>
  </si>
  <si>
    <t>Item: 7.05900000000002</t>
  </si>
  <si>
    <t>Item: 7.06000000000002</t>
  </si>
  <si>
    <t>Item: 7.06100000000002</t>
  </si>
  <si>
    <t>Item: 7.06200000000002</t>
  </si>
  <si>
    <t>Item: 7.06300000000002</t>
  </si>
  <si>
    <t>Supply,install and connect Floor 21U Data Cabinet - 600 x 600 (mm)</t>
  </si>
  <si>
    <t>Item: 7.06400000000002</t>
  </si>
  <si>
    <t>Item: 7.06500000000002</t>
  </si>
  <si>
    <t>Item: 7.06600000000002</t>
  </si>
  <si>
    <t>Item: 7.06700000000002</t>
  </si>
  <si>
    <t>Supply and install LSZH conduit chased in walls and in screed under tiles from Server cabinet L1 Ancillary Offices patch panel to various data points as per drawing, including the supply of necessary back boxes. There shall be 1qty 25 mm conduits for a maximum of two cables. All data cable conduit shall be 25mm diameter.</t>
  </si>
  <si>
    <t>Item: 7.06800000000002</t>
  </si>
  <si>
    <t>Item: 7.06900000000002</t>
  </si>
  <si>
    <t>Item: 7.07000000000002</t>
  </si>
  <si>
    <t>Item: 7.07100000000002</t>
  </si>
  <si>
    <t>Item: 7.07200000000002</t>
  </si>
  <si>
    <t>Item: 7.07300000000002</t>
  </si>
  <si>
    <t>Item: 7.07400000000002</t>
  </si>
  <si>
    <t>Item: 7.07500000000003</t>
  </si>
  <si>
    <t>Item: 7.07600000000003</t>
  </si>
  <si>
    <t>Item: 7.07700000000003</t>
  </si>
  <si>
    <t>Item: 7.07800000000003</t>
  </si>
  <si>
    <t>Item: 7.07900000000003</t>
  </si>
  <si>
    <t>Item: 7.08000000000003</t>
  </si>
  <si>
    <t>Item: 7.08100000000003</t>
  </si>
  <si>
    <t>Item: 7.08200000000003</t>
  </si>
  <si>
    <t>Item: 7.08300000000003</t>
  </si>
  <si>
    <t>Item: 7.08400000000003</t>
  </si>
  <si>
    <t>Item: 7.08500000000003</t>
  </si>
  <si>
    <t>Item: 7.08600000000003</t>
  </si>
  <si>
    <t>Item: 7.08700000000003</t>
  </si>
  <si>
    <t>Supply and install LSZH conduit chased in walls and in screed under tiles from Server cabinet L2 Offices patch panel to various data points as per drawing, including the supply of necessary back boxes. There shall be 1qty 25 mm conduits for a maximum of two cables. All data cable conduit shall be 25mm diameter.</t>
  </si>
  <si>
    <t>Item: 7.08800000000003</t>
  </si>
  <si>
    <t>Item: 7.08900000000003</t>
  </si>
  <si>
    <t>Item: 7.09000000000003</t>
  </si>
  <si>
    <t>Item: 7.09100000000003</t>
  </si>
  <si>
    <t>Item: 7.09200000000003</t>
  </si>
  <si>
    <t>Item: 7.09300000000003</t>
  </si>
  <si>
    <t>Item: 7.09400000000003</t>
  </si>
  <si>
    <t>Supply and install LSZH conduit chased in walls and in screed under tiles from Data cabinet L3 Offices patch panel to various data points as per drawing, including the supply of necessary back boxes. There shall be 1qty 25 mm conduits for a maximum of two cables. All data cable conduit shall be 25mm diameter.</t>
  </si>
  <si>
    <t>Item: 8</t>
  </si>
  <si>
    <t>Item: 8.001</t>
  </si>
  <si>
    <t>Item: 8.002</t>
  </si>
  <si>
    <t>Item: 8.003</t>
  </si>
  <si>
    <t>Item: 8.004</t>
  </si>
  <si>
    <t>Item: 8.005</t>
  </si>
  <si>
    <t>Item: 8.006</t>
  </si>
  <si>
    <t>Item: 8.007</t>
  </si>
  <si>
    <t>Item: 8.008</t>
  </si>
  <si>
    <t>Item: 8.009</t>
  </si>
  <si>
    <t>Item: 8.00999999999999</t>
  </si>
  <si>
    <t>Item: 8.01099999999999</t>
  </si>
  <si>
    <t>Item: 8.01199999999999</t>
  </si>
  <si>
    <t>Item: 9</t>
  </si>
  <si>
    <t>Item: 9.001</t>
  </si>
  <si>
    <t>Item: 9.002</t>
  </si>
  <si>
    <t>Item: 9.003</t>
  </si>
  <si>
    <t>Item: 10.001</t>
  </si>
  <si>
    <t>Item: 10.002</t>
  </si>
  <si>
    <t>Item: 10.003</t>
  </si>
  <si>
    <t>Item: 10.004</t>
  </si>
  <si>
    <t>Item: 10.005</t>
  </si>
  <si>
    <t>Item: 10.006</t>
  </si>
  <si>
    <t>Item: 10.007</t>
  </si>
  <si>
    <t>Item: 10.008</t>
  </si>
  <si>
    <t>Item: 10.009</t>
  </si>
  <si>
    <t>Item: 10.01</t>
  </si>
  <si>
    <t>Discrepancy</t>
  </si>
  <si>
    <t>SUBI</t>
  </si>
  <si>
    <t>&gt;&gt;&gt; mu_B material here &gt;&gt;&gt;</t>
  </si>
  <si>
    <t>SECTION 3 - ELV, FIRE AND SECURITY</t>
  </si>
  <si>
    <t>FIRE ALARM &amp; DETECTION SYSTEM</t>
  </si>
  <si>
    <t xml:space="preserve">In general all the points except manual call points shall be wired with cables clipped directly to the wall / ceiling unless otherwise indicated.  All conduit rates are none the less to be quoted for since these may be required in some instances. </t>
  </si>
  <si>
    <t>Basement Level -1 - FAP1</t>
  </si>
  <si>
    <t>Optical smoke detector</t>
  </si>
  <si>
    <t>Combined optical smoke detector c/w internal sounder &amp; flashing beacon</t>
  </si>
  <si>
    <t>Rate of rise heat detector</t>
  </si>
  <si>
    <t>Combined rate of rise heat detector c/w internal sounder &amp; flashing beacon</t>
  </si>
  <si>
    <t>Manual call point</t>
  </si>
  <si>
    <t>Interface unit for Zone Assembly Valve</t>
  </si>
  <si>
    <t>Interface unit for Fire Suppression System</t>
  </si>
  <si>
    <t>Interface unit for VCP</t>
  </si>
  <si>
    <t>Interface unit for DB-EV</t>
  </si>
  <si>
    <t>Supply, install and connect of the following equipment:</t>
  </si>
  <si>
    <t>Manual call point c/w cover</t>
  </si>
  <si>
    <t>Basement Level -1 - FAP2</t>
  </si>
  <si>
    <t>Interface unit for Fire Fighting Pump Set</t>
  </si>
  <si>
    <t>Interface unit for Sprinkler Pump Set</t>
  </si>
  <si>
    <t>Interface unit for Fire Appliance Pump Set</t>
  </si>
  <si>
    <t>Level 0 - FAP1</t>
  </si>
  <si>
    <r>
      <t xml:space="preserve">Supply and install </t>
    </r>
    <r>
      <rPr>
        <b/>
        <i/>
        <sz val="10"/>
        <rFont val="Calibri"/>
        <family val="2"/>
        <scheme val="minor"/>
      </rPr>
      <t xml:space="preserve">LSZH conduit </t>
    </r>
    <r>
      <rPr>
        <i/>
        <sz val="10"/>
        <rFont val="Calibri"/>
        <family val="2"/>
        <scheme val="minor"/>
      </rPr>
      <t>recessed in wall or in screed under tiles from fire alarm panel via galvanised trunking to the following fire alarm points.</t>
    </r>
  </si>
  <si>
    <t>External fire sounder</t>
  </si>
  <si>
    <t>Interface unit for Autodialler</t>
  </si>
  <si>
    <t>Interface unit for Fire Damper Control Panel</t>
  </si>
  <si>
    <t>Interface unit for Automatic Opening Vents Control Panel</t>
  </si>
  <si>
    <t>Fire Alarm Panel as per specs</t>
  </si>
  <si>
    <t>Autodialler</t>
  </si>
  <si>
    <t>Level 0 - FAP2</t>
  </si>
  <si>
    <t>Interface unit for Aspiration Detection System</t>
  </si>
  <si>
    <t>Interface unit for Linear Heat Detection</t>
  </si>
  <si>
    <t>Interface unit for DB-FLC</t>
  </si>
  <si>
    <t>Interface unit for Fire Rated Shutter</t>
  </si>
  <si>
    <t>External fire sounder/beacon</t>
  </si>
  <si>
    <t>Linear heat detection Control Unit</t>
  </si>
  <si>
    <t>Linear heat detection cable (ceiling level above cold rooms)</t>
  </si>
  <si>
    <t>Linear heat detection End-of-line unit</t>
  </si>
  <si>
    <t>Level 1 - FAP1</t>
  </si>
  <si>
    <t>Level 1 - FAP2</t>
  </si>
  <si>
    <t>Warehouse ceiling</t>
  </si>
  <si>
    <t>Beam Transmitter</t>
  </si>
  <si>
    <t>Beam Receiver</t>
  </si>
  <si>
    <t>Ancillary Offices</t>
  </si>
  <si>
    <t>Level 2 - FAP1</t>
  </si>
  <si>
    <t>Level 2 - FAP2</t>
  </si>
  <si>
    <t>Level 3 - FAP1</t>
  </si>
  <si>
    <t>Level 4 - FAP1</t>
  </si>
  <si>
    <t>Optical smoke detector c/w remote indicator (for Lift)</t>
  </si>
  <si>
    <t>Interface unit for Lift</t>
  </si>
  <si>
    <t>Programming of detectors etc… for a complete working system</t>
  </si>
  <si>
    <t>TOTAL FOR FIRE ALARM &amp; DETECTION SYSTEM</t>
  </si>
  <si>
    <t>FIRE FIGHTING SYSTEM</t>
  </si>
  <si>
    <t>Fire Appliance System</t>
  </si>
  <si>
    <t>Suction pipework for Fire Appliance Pumpset including vortex plate and puddle flanges</t>
  </si>
  <si>
    <t>Drain line pipework for fire appliance pump - 2 " dia, c/w all necessary valves for a complete installation</t>
  </si>
  <si>
    <t>Supply and install air release valve for fire appliance system pipework</t>
  </si>
  <si>
    <t>Supply and install dia. 4" strainer for fire appliance system pipework</t>
  </si>
  <si>
    <t>Supply and install heavy gauge galvanised steel pipework and other equipment including all necessary fittings, supports, brackets, and hangers as specified for a complete system as detailed in the specifications:</t>
  </si>
  <si>
    <t>4 " dia</t>
  </si>
  <si>
    <t>Painting of all the pipework. All pipework shall be colour coded as per BS 1710 or equivalent</t>
  </si>
  <si>
    <t>Breeching Inlet Pipework</t>
  </si>
  <si>
    <t>Fire Fighting Infrastructure</t>
  </si>
  <si>
    <t>Suction pipework for Fire Fighting Pumpset including vortex plate and puddle flanges</t>
  </si>
  <si>
    <t>Drain line pipework for fire fighting pump - 2 " dia, c/w all necessary valves for a complete installation</t>
  </si>
  <si>
    <t>Supply and install lockable drain points for fire fighting system pipework</t>
  </si>
  <si>
    <t>Supply and install air release valve for fire fighting system pipework</t>
  </si>
  <si>
    <t>Supply and install dia. 4" strainer for fire fighting system pipework</t>
  </si>
  <si>
    <t>2 1/2 " dia</t>
  </si>
  <si>
    <t>Supply and install the following fire fighting equipment:</t>
  </si>
  <si>
    <t>Fireman pressure reducing landing valve</t>
  </si>
  <si>
    <t>Type C Fire extinguisher cabinet c/w hose reel - slim type</t>
  </si>
  <si>
    <t>Dry powder fire extinguisher - 9Kg</t>
  </si>
  <si>
    <t>AFFF fire extinguishers - 9L</t>
  </si>
  <si>
    <t>CO2 fire extinguishers - 5Kg</t>
  </si>
  <si>
    <t>Fire Blankets</t>
  </si>
  <si>
    <t>Breech inlet c/w Cabinet - Two-way type as per specs</t>
  </si>
  <si>
    <t>Fire Hydrant c/w anti-tamper devices as per specs</t>
  </si>
  <si>
    <t>Type A Fire extinguisher cabinet - slim type</t>
  </si>
  <si>
    <t>Type B Fire extinguisher cabinet c/w hose reel - slim type</t>
  </si>
  <si>
    <t>Lith-Ex fire extinguisher - 9L - c/w brackets/supports as per specs</t>
  </si>
  <si>
    <t>Fire Blankets c/w brackets/supports as per specs</t>
  </si>
  <si>
    <t>CO2 fire extinguisher - 9L - c/w brackets/supports as per specs</t>
  </si>
  <si>
    <t>Labelling of all equipment and pipework the entire length of the pipe, as per specifications</t>
  </si>
  <si>
    <t>L.S</t>
  </si>
  <si>
    <t>Encasement of fire mains pump suction lines for a certified fire rating of 120min</t>
  </si>
  <si>
    <t>Encasement of fire appliance pump suction lines for a certified fire rating of 120min</t>
  </si>
  <si>
    <t>Encasement of fire sprinkler pump suction lines for a certified fire rating of 120min</t>
  </si>
  <si>
    <t>TOTAL FOR FIRE FIGHTING SYSTEM</t>
  </si>
  <si>
    <t>FIRE SUPPRESSION SYSTEMS</t>
  </si>
  <si>
    <t>FLUORO-K SUPPRESSION SYSTEM</t>
  </si>
  <si>
    <t>Level -1 - Store Room - System 01</t>
  </si>
  <si>
    <t>Supply, install, connect and commission Aspiration Detection System including Control panel, pipework, detectors, alarms, battery back-ups etc. for a complete system as per specs</t>
  </si>
  <si>
    <t>Supply install and connect interface between the aspiration control panel and the fire suppression system.</t>
  </si>
  <si>
    <t>Supply, install and connect all cabling, interfaces, software, hardware etc. for the connection and interfacing to the fire alarm panel for a complete system</t>
  </si>
  <si>
    <t>Labelling and painting of all pipework the entire length of the pipe as per relevant standard</t>
  </si>
  <si>
    <t>Level -1 - Archive Room 01 - System 02</t>
  </si>
  <si>
    <t>Level -1 - Archive Room 02 - System 03</t>
  </si>
  <si>
    <t>Level 1 - Server Room - System 09</t>
  </si>
  <si>
    <t>Level 2 - Server Room - System 10</t>
  </si>
  <si>
    <t>AEROSOL SUPPRESSION SYSTEM</t>
  </si>
  <si>
    <t>Level 0 - Fork Lift Charging Room - System 04</t>
  </si>
  <si>
    <t>WET CHEMICAL SUPPRESSION SYSTEM</t>
  </si>
  <si>
    <t>Level 0 - Store Room - System 05</t>
  </si>
  <si>
    <t>OXYGEN REDUCTION SUPPRESSION SYSTEM</t>
  </si>
  <si>
    <t>Level 0 - Cold Room 1 Freezer - System 06</t>
  </si>
  <si>
    <t>Level 0 - Cold Room 2 Fridge - System 07</t>
  </si>
  <si>
    <t>Level 0 - Cold Room 3 Loading Bay - System 08</t>
  </si>
  <si>
    <t>Supply install and connect interface between the aspiration control panel and the fire alarm system.</t>
  </si>
  <si>
    <t>TOTAL FOR FIRE SUPPRESSION SYSTEMS</t>
  </si>
  <si>
    <t>CCTV INSTALLATION</t>
  </si>
  <si>
    <t>Supply, install and connect the following CCTV Equipment:</t>
  </si>
  <si>
    <t>Offices Parking (Quintano Offices NVR)</t>
  </si>
  <si>
    <t>Dome Type POE CCTV Camera - 4 MP</t>
  </si>
  <si>
    <t>Bullet Type POE CCTV Camera - 4 MP</t>
  </si>
  <si>
    <t>Truck Parking (Warhouse NVR)</t>
  </si>
  <si>
    <t>24 Port POE Switch</t>
  </si>
  <si>
    <t>OFFICES L0/L1</t>
  </si>
  <si>
    <t>32-channel NVR as specified c/w software,  and c/w all wiring, cabling and any ancillary items required for the connecting up between NVR and POE Switch, as per specs</t>
  </si>
  <si>
    <t>OFFICES L2</t>
  </si>
  <si>
    <t>12 Port POE Switch</t>
  </si>
  <si>
    <t>12-channel NVR as specified c/w software,  and c/w all wiring, cabling and any ancillary items required for the connecting up between NVR and POE Switch, as per specs</t>
  </si>
  <si>
    <t>OFFICES L3</t>
  </si>
  <si>
    <t>WAREHOUSE</t>
  </si>
  <si>
    <t>64-channel NVR as specified c/w software,  and c/w all wiring, cabling and any ancillary items required for the connecting up between NVR and POE Switch, as per specs</t>
  </si>
  <si>
    <t>19" Monitor for CCTV System as per specification</t>
  </si>
  <si>
    <t>TOTAL FOR CCTV INSTALLATION</t>
  </si>
  <si>
    <t>ACCESS CONTROL SYSTEM</t>
  </si>
  <si>
    <r>
      <t xml:space="preserve">Supply and install </t>
    </r>
    <r>
      <rPr>
        <b/>
        <i/>
        <sz val="10"/>
        <rFont val="Calibri"/>
        <family val="2"/>
        <scheme val="minor"/>
      </rPr>
      <t>galvanised conduit</t>
    </r>
    <r>
      <rPr>
        <i/>
        <sz val="10"/>
        <rFont val="Calibri"/>
        <family val="2"/>
        <scheme val="minor"/>
      </rPr>
      <t xml:space="preserve"> surface mounted and via galvanised trunking from main equipment to each of the following points</t>
    </r>
  </si>
  <si>
    <t>Gate Access Control c/w Card Reader</t>
  </si>
  <si>
    <t>Wiring using appropriate cable enclosed in galvanised trunking and conduit including the supply of all cables and wiring accessories from main equipment to the following points</t>
  </si>
  <si>
    <t>Supply, install and connect the following equipment:</t>
  </si>
  <si>
    <r>
      <t xml:space="preserve">Supply and install </t>
    </r>
    <r>
      <rPr>
        <b/>
        <i/>
        <sz val="10"/>
        <rFont val="Calibri"/>
        <family val="2"/>
        <scheme val="minor"/>
      </rPr>
      <t xml:space="preserve">LSZH conduit </t>
    </r>
    <r>
      <rPr>
        <i/>
        <sz val="10"/>
        <rFont val="Calibri"/>
        <family val="2"/>
        <scheme val="minor"/>
      </rPr>
      <t>recessed in wall or in screed under tiles and via galvanised trunking from main equipment to each of the following points</t>
    </r>
  </si>
  <si>
    <t>Access Control Type 01 as per drawing and specifications</t>
  </si>
  <si>
    <t>Access Control Type 02 as per drawing and specifications</t>
  </si>
  <si>
    <t>Supply, install &amp; connect Access control main equipment including cabling, hardware, software etc… for a complete system as per specs. - Offices</t>
  </si>
  <si>
    <t>Supply, install &amp; connect Access control main equipment including cabling, hardware, software etc… for a complete system as per specs. - Warehouse</t>
  </si>
  <si>
    <t>Access Control Key Cards</t>
  </si>
  <si>
    <t>Provision for the preparation of LSZH conduits from gate in Basement level -1 to reception, including the supply of conduits and back boxes - for remote opening of gate</t>
  </si>
  <si>
    <t>Provision for the preparation of LSZH conduits from gate in Level 0 to reception, including the supply of conduits and back boxes - for remote opening of gate</t>
  </si>
  <si>
    <t>TOTAL FOR ACCESS CONTROL SYSTEM</t>
  </si>
  <si>
    <t>INTERCOM SYSTEM</t>
  </si>
  <si>
    <t>External Intercom Point - Gate</t>
  </si>
  <si>
    <t>External Intercom Point</t>
  </si>
  <si>
    <t>Internal Intercom Point</t>
  </si>
  <si>
    <t>Desk Type Internal Intercom</t>
  </si>
  <si>
    <t xml:space="preserve">Supply, install and connect all power supplies, controllers etc .. which are required to have a complete working system. </t>
  </si>
  <si>
    <t>TOTAL FOR INTERCOM SYSTEM</t>
  </si>
  <si>
    <t>SECURITY SYSTEM</t>
  </si>
  <si>
    <t>OFFICES - System 1</t>
  </si>
  <si>
    <t>Presence detector points</t>
  </si>
  <si>
    <t>Internal Security Sounder</t>
  </si>
  <si>
    <t>External Security Sounder</t>
  </si>
  <si>
    <t>Security Keypad</t>
  </si>
  <si>
    <t>Security Panel as per specs</t>
  </si>
  <si>
    <t>WAREHOUSE - System 2</t>
  </si>
  <si>
    <t>TOTAL FOR SECURITY SYSTEM</t>
  </si>
  <si>
    <t>ACCESSIBLE BATHROOM CALL SYSTEM</t>
  </si>
  <si>
    <r>
      <t xml:space="preserve">Supply and install </t>
    </r>
    <r>
      <rPr>
        <b/>
        <i/>
        <sz val="10"/>
        <rFont val="Calibri"/>
        <family val="2"/>
        <scheme val="minor"/>
      </rPr>
      <t xml:space="preserve">LSZH conduit </t>
    </r>
    <r>
      <rPr>
        <i/>
        <sz val="10"/>
        <rFont val="Calibri"/>
        <family val="2"/>
        <scheme val="minor"/>
      </rPr>
      <t>recessed in wall or in screed under tiles and via galvanised trunking for each of the following points</t>
    </r>
  </si>
  <si>
    <t>From Ceiling Pull Cord Switch to Reset Point</t>
  </si>
  <si>
    <t>From Reset Point to Alarm Lamp</t>
  </si>
  <si>
    <t>From Alarm Lamp to Alarm Panel</t>
  </si>
  <si>
    <t>From Alarm Panel to Reception Main Alarm Panel</t>
  </si>
  <si>
    <t>Pull cord call switch unit</t>
  </si>
  <si>
    <t>Over door alarm lamp &amp; sounder unit, installed on the outer side</t>
  </si>
  <si>
    <t>Call and reset point, installed inside the bathroom</t>
  </si>
  <si>
    <t>Accessible bathroom alarm panel</t>
  </si>
  <si>
    <t>Accessible Bathroom Call System Main Panel as per specs</t>
  </si>
  <si>
    <t>TOTAL FOR ACCESSIBLE BATHROOM CALL SYSTEM</t>
  </si>
  <si>
    <t>SPRINKLERS SYSTEM</t>
  </si>
  <si>
    <t xml:space="preserve">SPRINKLER SYSTEM SHALL BE DESIGN, BUILT &amp; CERTIFIED BY THE CONTRACTOR. THE BELOW PUMP DETAILS, PIPE DIAMETERS, SIZES ETC ARE INDICATIVE FOR PRICING PURPOSES ONLY. </t>
  </si>
  <si>
    <t>Suction pipework for sprinkler Pumpset including vortex plate and puddle flanges</t>
  </si>
  <si>
    <t>Drain line and test line pipework for sprinkler pump - DN 50mm, c/w all necessary isolating valves, pressure reducing valves, sight glass etc.</t>
  </si>
  <si>
    <t>Supply and Install Flow meter</t>
  </si>
  <si>
    <t>Wet Alarm Check Valve c/w Water motor alarm</t>
  </si>
  <si>
    <t>Supply and Install Strainer - DN 150 mm</t>
  </si>
  <si>
    <t>Supply and Install Monitored Valves c/w connecting up to interface - DN 150mm</t>
  </si>
  <si>
    <t>Supply and Install Flow switch c/w connecting up to interface</t>
  </si>
  <si>
    <t>Supply and Install Pressure gauge</t>
  </si>
  <si>
    <t>Supply and install Air Discharge Pipework</t>
  </si>
  <si>
    <t>Supply and Install four position water level monitoring system c/w interfacing to fire alarm panel (for reservoir)</t>
  </si>
  <si>
    <t>Provision for all scaffolding necessary for the installation to ceiling etc.</t>
  </si>
  <si>
    <t>Supply and installation of zone assembly control valve c/w all necessary isolating valves, pressure reducing valves, control valves, pressure gauges, flow switch, sight glass, wiring, connecting up to interface etc as per drawing and specifications</t>
  </si>
  <si>
    <t xml:space="preserve">Supply and install Lockable Test/Drain Valve DN 50mm </t>
  </si>
  <si>
    <t xml:space="preserve">Supply and install painted fire fighting pipework for Sprinkler installation in galvanized, seamed, heavy gauge pipe complete with all fittings, brackets, markings, etc. </t>
  </si>
  <si>
    <t>Nominal diameter 150mm</t>
  </si>
  <si>
    <t>Nominal diameter 50mm</t>
  </si>
  <si>
    <t>Nominal diameter 40mm</t>
  </si>
  <si>
    <t>Nominal diameter 32mm</t>
  </si>
  <si>
    <t>Nominal diameter 25mm</t>
  </si>
  <si>
    <t xml:space="preserve">Supply and install Test/Drain Line - DN 50mm </t>
  </si>
  <si>
    <t>Supply and install Air Discharge Pipework c/w all necessary isolating valves, air release valve, etc. for a complete installation</t>
  </si>
  <si>
    <t>Labelling with identification tape and flow direction</t>
  </si>
  <si>
    <t>Above Cold Room and Ambient Area Ceiling Installation</t>
  </si>
  <si>
    <t>Nominal diameter 100mm</t>
  </si>
  <si>
    <t>Nominal diameter 65mm</t>
  </si>
  <si>
    <t>Cold Rooms Ceiling Installation</t>
  </si>
  <si>
    <t>Chilled Loading Bay</t>
  </si>
  <si>
    <t>Fridge/Freezer</t>
  </si>
  <si>
    <t>Cold Rooms Racks Installation (Fridge/Freezer)</t>
  </si>
  <si>
    <t>Nominal diameter 80mm</t>
  </si>
  <si>
    <t>Ambient Area Racks Installation</t>
  </si>
  <si>
    <t>Risers/Shafts</t>
  </si>
  <si>
    <t>Air Release Valve on DN 150mm pipework</t>
  </si>
  <si>
    <t xml:space="preserve">Supply and install Lockable Test/Drain Valve DN 100mm </t>
  </si>
  <si>
    <t xml:space="preserve">Supply and install Test/Drain Line - DN 100mm </t>
  </si>
  <si>
    <t>Allow for the provision of 2 sets of Hydraulic Calculations to be submitted with tender</t>
  </si>
  <si>
    <t>Unbilled item section to have a complete system</t>
  </si>
  <si>
    <t>TOTAL FOR SPRINKLERS SYSTEM</t>
  </si>
  <si>
    <t>TOTAL FOR FIRE SUPPRESSION SYSTEM</t>
  </si>
  <si>
    <t>TOTAL FOR  CCTV INSTALLATION</t>
  </si>
  <si>
    <t>TOTAL FOR SECTION 3 - ELV, FIRE AND SECURITY INSTALLATION</t>
  </si>
  <si>
    <t>BRATE</t>
  </si>
  <si>
    <t>General material Item</t>
  </si>
  <si>
    <t>UNHIDE COLUMNS TO SEE HOW !</t>
  </si>
  <si>
    <t>GEMA_022</t>
  </si>
  <si>
    <t>RTONLY</t>
  </si>
  <si>
    <t>CRO</t>
  </si>
  <si>
    <t xml:space="preserve">PAGE:  </t>
  </si>
  <si>
    <t>Item: 2</t>
  </si>
  <si>
    <t>In general all the points except manual call points shall be wired with cables clipped directly to the wall / ceiling unless otherwise indicated.  All conduit rates are none the less to be quoted for since these may be required in some instances.</t>
  </si>
  <si>
    <t>Supply and install galvanised conduit surface mounted from fire alarm panel via galvanised trunking to the following fire alarm points.</t>
  </si>
  <si>
    <t>Item: 2.001</t>
  </si>
  <si>
    <t>Item: 2.002</t>
  </si>
  <si>
    <t>Item: 2.003</t>
  </si>
  <si>
    <t>Item: 2.004</t>
  </si>
  <si>
    <t>Item: 2.005</t>
  </si>
  <si>
    <t>Item: 2.006</t>
  </si>
  <si>
    <t>Item: 2.007</t>
  </si>
  <si>
    <t>Item: 2.008</t>
  </si>
  <si>
    <t>Item: 2.009</t>
  </si>
  <si>
    <t>Wiring of the following fire alarm points from the Fire alarm panel, using fire proof cable clipped directly to the wall / ceiling or through conduits, as per specification</t>
  </si>
  <si>
    <t>Item: 2.01</t>
  </si>
  <si>
    <t>Item: 2.011</t>
  </si>
  <si>
    <t>Item: 2.012</t>
  </si>
  <si>
    <t>Item: 2.013</t>
  </si>
  <si>
    <t>Item: 2.014</t>
  </si>
  <si>
    <t>Item: 2.015</t>
  </si>
  <si>
    <t>Item: 2.016</t>
  </si>
  <si>
    <t>Item: 2.017</t>
  </si>
  <si>
    <t>Item: 2.018</t>
  </si>
  <si>
    <t>Item: 2.019</t>
  </si>
  <si>
    <t>Item: 2.02</t>
  </si>
  <si>
    <t>Item: 2.021</t>
  </si>
  <si>
    <t>Item: 2.022</t>
  </si>
  <si>
    <t>Item: 2.023</t>
  </si>
  <si>
    <t>Item: 2.024</t>
  </si>
  <si>
    <t>Item: 2.025</t>
  </si>
  <si>
    <t>Item: 2.026</t>
  </si>
  <si>
    <t>Item: 2.027</t>
  </si>
  <si>
    <t>Item: 2.028</t>
  </si>
  <si>
    <t>Item: 2.029</t>
  </si>
  <si>
    <t>Item: 2.03</t>
  </si>
  <si>
    <t>Item: 2.031</t>
  </si>
  <si>
    <t>Item: 2.032</t>
  </si>
  <si>
    <t>Item: 2.033</t>
  </si>
  <si>
    <t>Item: 2.034</t>
  </si>
  <si>
    <t>Item: 2.035</t>
  </si>
  <si>
    <t>Item: 2.036</t>
  </si>
  <si>
    <t>Item: 2.037</t>
  </si>
  <si>
    <t>Item: 2.038</t>
  </si>
  <si>
    <t>Item: 2.039</t>
  </si>
  <si>
    <t>Item: 2.04</t>
  </si>
  <si>
    <t>Item: 2.041</t>
  </si>
  <si>
    <t>Item: 2.042</t>
  </si>
  <si>
    <t>Item: 2.043</t>
  </si>
  <si>
    <t>Item: 2.044</t>
  </si>
  <si>
    <t>Item: 2.045</t>
  </si>
  <si>
    <t>Item: 2.04599999999999</t>
  </si>
  <si>
    <t>Item: 2.04699999999999</t>
  </si>
  <si>
    <t>Item: 2.04799999999999</t>
  </si>
  <si>
    <t>Item: 2.04899999999999</t>
  </si>
  <si>
    <t>Item: 2.04999999999999</t>
  </si>
  <si>
    <t>Item: 2.05099999999999</t>
  </si>
  <si>
    <t>Item: 2.05199999999999</t>
  </si>
  <si>
    <t>Item: 2.05299999999999</t>
  </si>
  <si>
    <t>Item: 2.05399999999999</t>
  </si>
  <si>
    <t>Item: 2.05499999999999</t>
  </si>
  <si>
    <t>Item: 2.05599999999999</t>
  </si>
  <si>
    <t>Item: 2.05699999999999</t>
  </si>
  <si>
    <t>Supply and install LSZH conduit recessed in wall or in screed under tiles from fire alarm panel via galvanised trunking to the following fire alarm points.</t>
  </si>
  <si>
    <t>Item: 2.05799999999999</t>
  </si>
  <si>
    <t>Item: 2.05899999999999</t>
  </si>
  <si>
    <t>Item: 2.05999999999999</t>
  </si>
  <si>
    <t>Item: 2.06099999999999</t>
  </si>
  <si>
    <t>Item: 2.06199999999999</t>
  </si>
  <si>
    <t>Item: 2.06299999999999</t>
  </si>
  <si>
    <t>Item: 2.06399999999999</t>
  </si>
  <si>
    <t>Item: 2.06499999999999</t>
  </si>
  <si>
    <t>Item: 2.06599999999999</t>
  </si>
  <si>
    <t>Item: 2.06699999999999</t>
  </si>
  <si>
    <t>Item: 2.06799999999999</t>
  </si>
  <si>
    <t>Item: 2.06899999999999</t>
  </si>
  <si>
    <t>Item: 2.06999999999999</t>
  </si>
  <si>
    <t>Item: 2.07099999999999</t>
  </si>
  <si>
    <t>Item: 2.07199999999999</t>
  </si>
  <si>
    <t>Item: 2.07299999999999</t>
  </si>
  <si>
    <t>Item: 2.07399999999999</t>
  </si>
  <si>
    <t>Item: 2.07499999999999</t>
  </si>
  <si>
    <t>Item: 2.07599999999999</t>
  </si>
  <si>
    <t>Item: 2.07699999999999</t>
  </si>
  <si>
    <t>Item: 2.07799999999999</t>
  </si>
  <si>
    <t>Item: 2.07899999999999</t>
  </si>
  <si>
    <t>Item: 2.07999999999999</t>
  </si>
  <si>
    <t>Item: 2.08099999999999</t>
  </si>
  <si>
    <t>Item: 2.08199999999999</t>
  </si>
  <si>
    <t>Item: 2.08299999999999</t>
  </si>
  <si>
    <t>Item: 2.08399999999999</t>
  </si>
  <si>
    <t>Item: 2.08499999999999</t>
  </si>
  <si>
    <t>Item: 2.08599999999999</t>
  </si>
  <si>
    <t>Item: 2.08699999999999</t>
  </si>
  <si>
    <t>Item: 2.08799999999999</t>
  </si>
  <si>
    <t>Item: 2.08899999999999</t>
  </si>
  <si>
    <t>Item: 2.08999999999999</t>
  </si>
  <si>
    <t>Item: 2.09099999999999</t>
  </si>
  <si>
    <t>Item: 2.09199999999999</t>
  </si>
  <si>
    <t>Item: 2.09299999999999</t>
  </si>
  <si>
    <t>Item: 2.09399999999999</t>
  </si>
  <si>
    <t>Item: 2.09499999999999</t>
  </si>
  <si>
    <t>Supply and install 316L Stainless Steel conduit surface mounted from fire alarm panel via galvanised trunking to the following fire alarm points.</t>
  </si>
  <si>
    <t>Item: 2.09599999999999</t>
  </si>
  <si>
    <t>Item: 2.09699999999999</t>
  </si>
  <si>
    <t>Item: 2.09799999999999</t>
  </si>
  <si>
    <t>Item: 2.09899999999999</t>
  </si>
  <si>
    <t>Item: 2.09999999999999</t>
  </si>
  <si>
    <t>Item: 2.10099999999999</t>
  </si>
  <si>
    <t>Item: 2.10199999999999</t>
  </si>
  <si>
    <t>Item: 2.10299999999999</t>
  </si>
  <si>
    <t>Item: 2.10399999999999</t>
  </si>
  <si>
    <t>Item: 2.10499999999999</t>
  </si>
  <si>
    <t>Item: 2.10599999999999</t>
  </si>
  <si>
    <t>Item: 2.10699999999999</t>
  </si>
  <si>
    <t>Item: 2.10799999999999</t>
  </si>
  <si>
    <t>Item: 2.10899999999999</t>
  </si>
  <si>
    <t>Item: 2.10999999999999</t>
  </si>
  <si>
    <t>Item: 2.11099999999999</t>
  </si>
  <si>
    <t>Item: 2.11199999999999</t>
  </si>
  <si>
    <t>Item: 2.11299999999999</t>
  </si>
  <si>
    <t>Item: 2.11399999999999</t>
  </si>
  <si>
    <t>Item: 2.11499999999999</t>
  </si>
  <si>
    <t>Item: 2.11599999999999</t>
  </si>
  <si>
    <t>Item: 2.11699999999999</t>
  </si>
  <si>
    <t>Item: 2.11799999999999</t>
  </si>
  <si>
    <t>Item: 2.11899999999999</t>
  </si>
  <si>
    <t>Item: 2.11999999999999</t>
  </si>
  <si>
    <t>Item: 2.12099999999999</t>
  </si>
  <si>
    <t>Item: 2.12199999999999</t>
  </si>
  <si>
    <t>Item: 2.12299999999999</t>
  </si>
  <si>
    <t>Item: 2.12399999999999</t>
  </si>
  <si>
    <t>Item: 2.12499999999999</t>
  </si>
  <si>
    <t>Item: 2.12599999999999</t>
  </si>
  <si>
    <t>Item: 2.12699999999999</t>
  </si>
  <si>
    <t>Item: 2.12799999999999</t>
  </si>
  <si>
    <t>Item: 2.12899999999999</t>
  </si>
  <si>
    <t>Item: 2.12999999999999</t>
  </si>
  <si>
    <t>Item: 2.13099999999999</t>
  </si>
  <si>
    <t>Item: 2.13199999999999</t>
  </si>
  <si>
    <t>Item: 2.13299999999999</t>
  </si>
  <si>
    <t>Item: 2.13399999999999</t>
  </si>
  <si>
    <t>Item: 2.13499999999999</t>
  </si>
  <si>
    <t>Item: 2.13599999999999</t>
  </si>
  <si>
    <t>Item: 2.13699999999998</t>
  </si>
  <si>
    <t>Item: 2.13799999999998</t>
  </si>
  <si>
    <t>Item: 2.13899999999998</t>
  </si>
  <si>
    <t>Item: 2.13999999999998</t>
  </si>
  <si>
    <t>Item: 2.14099999999998</t>
  </si>
  <si>
    <t>Item: 2.14199999999998</t>
  </si>
  <si>
    <t>Item: 2.14299999999998</t>
  </si>
  <si>
    <t>Item: 2.14399999999998</t>
  </si>
  <si>
    <t>Item: 2.14499999999998</t>
  </si>
  <si>
    <t>Item: 2.14599999999998</t>
  </si>
  <si>
    <t>Item: 2.14699999999998</t>
  </si>
  <si>
    <t>Item: 2.14799999999998</t>
  </si>
  <si>
    <t>Item: 2.14899999999998</t>
  </si>
  <si>
    <t>Item: 2.14999999999998</t>
  </si>
  <si>
    <t>Item: 2.15099999999998</t>
  </si>
  <si>
    <t>Item: 2.15199999999998</t>
  </si>
  <si>
    <t>Item: 2.15299999999998</t>
  </si>
  <si>
    <t>Item: 2.15399999999998</t>
  </si>
  <si>
    <t>Item: 2.15499999999998</t>
  </si>
  <si>
    <t>Item: 2.15599999999998</t>
  </si>
  <si>
    <t>Item: 2.15699999999998</t>
  </si>
  <si>
    <t>Item: 2.15799999999998</t>
  </si>
  <si>
    <t>Item: 2.15899999999998</t>
  </si>
  <si>
    <t>Item: 2.15999999999998</t>
  </si>
  <si>
    <t>Item: 2.16099999999998</t>
  </si>
  <si>
    <t>Item: 2.16199999999998</t>
  </si>
  <si>
    <t>Item: 2.16299999999998</t>
  </si>
  <si>
    <t>Item: 2.16399999999998</t>
  </si>
  <si>
    <t>Item: 2.16499999999998</t>
  </si>
  <si>
    <t>Item: 2.16599999999998</t>
  </si>
  <si>
    <t>Item: 2.16699999999998</t>
  </si>
  <si>
    <t>Item: 2.16799999999998</t>
  </si>
  <si>
    <t>Item: 2.16899999999998</t>
  </si>
  <si>
    <t>Item: 2.16999999999998</t>
  </si>
  <si>
    <t>Item: 2.17099999999998</t>
  </si>
  <si>
    <t>Item: 2.17199999999998</t>
  </si>
  <si>
    <t>Item: 2.17299999999998</t>
  </si>
  <si>
    <t>Item: 2.17399999999998</t>
  </si>
  <si>
    <t>Item: 2.17499999999998</t>
  </si>
  <si>
    <t>Item: 2.17599999999998</t>
  </si>
  <si>
    <t>Item: 2.17699999999998</t>
  </si>
  <si>
    <t>Item: 2.17799999999998</t>
  </si>
  <si>
    <t>Item: 2.17899999999998</t>
  </si>
  <si>
    <t>Item: 2.17999999999998</t>
  </si>
  <si>
    <t>Item: 2.18099999999998</t>
  </si>
  <si>
    <t>Item: 2.18199999999998</t>
  </si>
  <si>
    <t>Item: 2.18299999999998</t>
  </si>
  <si>
    <t>Item: 2.18399999999998</t>
  </si>
  <si>
    <t>Item: 2.18499999999998</t>
  </si>
  <si>
    <t>Item: 2.18599999999998</t>
  </si>
  <si>
    <t>Item: 2.18699999999998</t>
  </si>
  <si>
    <t>Item: 2.18799999999998</t>
  </si>
  <si>
    <t>Item: 2.18899999999998</t>
  </si>
  <si>
    <t>Item: 2.18999999999998</t>
  </si>
  <si>
    <t>Item: 2.19099999999998</t>
  </si>
  <si>
    <t>Item: 2.19199999999998</t>
  </si>
  <si>
    <t>Item: 2.19299999999998</t>
  </si>
  <si>
    <t>Item: 2.19399999999998</t>
  </si>
  <si>
    <t>Item: 2.19499999999998</t>
  </si>
  <si>
    <t>Item: 2.19599999999998</t>
  </si>
  <si>
    <t>Item: 2.19699999999998</t>
  </si>
  <si>
    <t>Item: 2.19799999999998</t>
  </si>
  <si>
    <t>Item: 2.19899999999998</t>
  </si>
  <si>
    <t>Item: 2.19999999999998</t>
  </si>
  <si>
    <t>Item: 2.20099999999998</t>
  </si>
  <si>
    <t>Item: 2.20199999999998</t>
  </si>
  <si>
    <t>Item: 2.20299999999998</t>
  </si>
  <si>
    <t>Item: 2.20399999999998</t>
  </si>
  <si>
    <t>Item: 2.20499999999998</t>
  </si>
  <si>
    <t>Item: 2.20599999999998</t>
  </si>
  <si>
    <t>Item: 2.20699999999998</t>
  </si>
  <si>
    <t>Item: 2.20799999999998</t>
  </si>
  <si>
    <t>Item: 2.20899999999998</t>
  </si>
  <si>
    <t>Item: 2.20999999999998</t>
  </si>
  <si>
    <t>Item: 2.21099999999998</t>
  </si>
  <si>
    <t>Item: 2.21199999999998</t>
  </si>
  <si>
    <t>Item: 2.21299999999998</t>
  </si>
  <si>
    <t>Item: 2.21399999999998</t>
  </si>
  <si>
    <t>Item: 2.21499999999998</t>
  </si>
  <si>
    <t>Item: 2.21599999999998</t>
  </si>
  <si>
    <t>Item: 2.21699999999998</t>
  </si>
  <si>
    <t>Item: 2.21799999999998</t>
  </si>
  <si>
    <t>Supply and install galvanised conduit surface mounted and via galvanised trunking from main equipment to each of the following points</t>
  </si>
  <si>
    <t>Supply and install LSZH conduit recessed in wall or in screed under tiles and via galvanised trunking from main equipment to each of the following points</t>
  </si>
  <si>
    <t>Supply, install and connect all power supplies, controllers etc .. which are required to have a complete working system.</t>
  </si>
  <si>
    <t>Item: 8.01299999999999</t>
  </si>
  <si>
    <t>Item: 8.01399999999999</t>
  </si>
  <si>
    <t>Item: 8.01499999999999</t>
  </si>
  <si>
    <t>Item: 8.01599999999999</t>
  </si>
  <si>
    <t>Item: 8.01699999999999</t>
  </si>
  <si>
    <t>Item: 8.01799999999999</t>
  </si>
  <si>
    <t>Item: 8.01899999999999</t>
  </si>
  <si>
    <t>Item: 8.01999999999999</t>
  </si>
  <si>
    <t>Item: 8.02099999999999</t>
  </si>
  <si>
    <t>Item: 8.02199999999999</t>
  </si>
  <si>
    <t>Item: 8.02299999999999</t>
  </si>
  <si>
    <t>Item: 8.02399999999999</t>
  </si>
  <si>
    <t>Item: 8.02499999999999</t>
  </si>
  <si>
    <t>Item: 8.02599999999999</t>
  </si>
  <si>
    <t>Item: 8.02699999999999</t>
  </si>
  <si>
    <t>Item: 8.02799999999998</t>
  </si>
  <si>
    <t>Item: 8.02899999999998</t>
  </si>
  <si>
    <t>Item: 8.02999999999998</t>
  </si>
  <si>
    <t>Item: 8.03099999999998</t>
  </si>
  <si>
    <t>Item: 8.03199999999998</t>
  </si>
  <si>
    <t>Item: 8.03299999999998</t>
  </si>
  <si>
    <t>Item: 8.03399999999998</t>
  </si>
  <si>
    <t>Item: 8.03499999999998</t>
  </si>
  <si>
    <t>Item: 8.03599999999998</t>
  </si>
  <si>
    <t>Item: 8.03699999999998</t>
  </si>
  <si>
    <t>Item: 8.03799999999998</t>
  </si>
  <si>
    <t>Item: 8.03899999999998</t>
  </si>
  <si>
    <t>Item: 8.03999999999998</t>
  </si>
  <si>
    <t>Item: 8.04099999999998</t>
  </si>
  <si>
    <t>Item: 8.04199999999998</t>
  </si>
  <si>
    <t>Item: 8.04299999999998</t>
  </si>
  <si>
    <t>Item: 8.04399999999998</t>
  </si>
  <si>
    <t>Item: 8.04499999999998</t>
  </si>
  <si>
    <t>Item: 8.04599999999997</t>
  </si>
  <si>
    <t>Item: 8.04699999999997</t>
  </si>
  <si>
    <t>Item: 8.04799999999997</t>
  </si>
  <si>
    <t>Item: 8.04899999999997</t>
  </si>
  <si>
    <t>Item: 8.04999999999997</t>
  </si>
  <si>
    <t>Item: 8.05099999999997</t>
  </si>
  <si>
    <t>Item: 8.05199999999997</t>
  </si>
  <si>
    <t>Supply and install LSZH conduit recessed in wall or in screed under tiles and via galvanised trunking for each of the following points</t>
  </si>
  <si>
    <t>Item: 9.004</t>
  </si>
  <si>
    <t>Item: 9.005</t>
  </si>
  <si>
    <t>Item: 9.006</t>
  </si>
  <si>
    <t>Item: 9.007</t>
  </si>
  <si>
    <t>Item: 9.008</t>
  </si>
  <si>
    <t>Item: 9.009</t>
  </si>
  <si>
    <t>Item: 9.00999999999999</t>
  </si>
  <si>
    <t>Item: 9.01099999999999</t>
  </si>
  <si>
    <t>Item: 9.01199999999999</t>
  </si>
  <si>
    <t>Item: 9.01299999999999</t>
  </si>
  <si>
    <t>Item: 9.01399999999999</t>
  </si>
  <si>
    <t>Item: 9.01499999999999</t>
  </si>
  <si>
    <t>Item: 9.01599999999999</t>
  </si>
  <si>
    <t>Item: 9.01699999999999</t>
  </si>
  <si>
    <t>Item: 9.01799999999999</t>
  </si>
  <si>
    <t>Item: 9.01899999999999</t>
  </si>
  <si>
    <t>Item: 9.01999999999999</t>
  </si>
  <si>
    <t>Item: 9.02099999999999</t>
  </si>
  <si>
    <t>Item: 9.02199999999999</t>
  </si>
  <si>
    <t>Item: 9.02299999999999</t>
  </si>
  <si>
    <t>Item: 9.02399999999999</t>
  </si>
  <si>
    <t>Item: 9.02499999999999</t>
  </si>
  <si>
    <t>Item: 9.02599999999999</t>
  </si>
  <si>
    <t>Item: 9.02699999999999</t>
  </si>
  <si>
    <t>Item: 9.02799999999998</t>
  </si>
  <si>
    <t>Item: 9.02899999999998</t>
  </si>
  <si>
    <t>Item: 9.02999999999998</t>
  </si>
  <si>
    <t>Item: 9.03099999999998</t>
  </si>
  <si>
    <t>Item: 9.03199999999998</t>
  </si>
  <si>
    <t>Item: 9.03299999999998</t>
  </si>
  <si>
    <t>Item: 9.03399999999998</t>
  </si>
  <si>
    <t>Item: 9.03499999999998</t>
  </si>
  <si>
    <t>Item: 9.03599999999998</t>
  </si>
  <si>
    <t>Item: 9.03699999999998</t>
  </si>
  <si>
    <t>Item: 9.03799999999998</t>
  </si>
  <si>
    <t>Item: 9.03899999999998</t>
  </si>
  <si>
    <t>Item: 9.03999999999998</t>
  </si>
  <si>
    <t>Item: 9.04099999999998</t>
  </si>
  <si>
    <t>Item: 9.04199999999998</t>
  </si>
  <si>
    <t>Item: 9.04299999999998</t>
  </si>
  <si>
    <t>Item: 9.04399999999998</t>
  </si>
  <si>
    <t>Item: 9.04499999999998</t>
  </si>
  <si>
    <t>Item: 9.04599999999997</t>
  </si>
  <si>
    <t>Item: 9.04699999999997</t>
  </si>
  <si>
    <t>Item: 9.04799999999997</t>
  </si>
  <si>
    <t>Item: 9.04899999999997</t>
  </si>
  <si>
    <t>Item: 9.04999999999997</t>
  </si>
  <si>
    <t>Item: 9.05099999999997</t>
  </si>
  <si>
    <t>Item: 11</t>
  </si>
  <si>
    <t>Item: 11.001</t>
  </si>
  <si>
    <t>Item: 11.002</t>
  </si>
  <si>
    <t>Item: 11.003</t>
  </si>
  <si>
    <t xml:space="preserve"> SUBCONTRACTING WORKS</t>
  </si>
  <si>
    <t>SUBC_001</t>
  </si>
  <si>
    <t>MISC</t>
  </si>
  <si>
    <t>h</t>
  </si>
  <si>
    <t>RATE_AAA</t>
  </si>
  <si>
    <t>Local Rate</t>
  </si>
  <si>
    <t>RTLO_001</t>
  </si>
  <si>
    <t>RTLO_002</t>
  </si>
  <si>
    <t>Power Cable   4c  240 mm2 XLPE SWA-PVC</t>
  </si>
  <si>
    <t>CAMC_033</t>
  </si>
  <si>
    <t>240mm2</t>
  </si>
  <si>
    <t xml:space="preserve">Cable Tie 225mm  </t>
  </si>
  <si>
    <t>CONS_009</t>
  </si>
  <si>
    <t>(__)</t>
  </si>
  <si>
    <t>01-003</t>
  </si>
  <si>
    <t>Gland Indoor 75S BWL  4*240mm2</t>
  </si>
  <si>
    <t>CAAC_051</t>
  </si>
  <si>
    <t>CMP</t>
  </si>
  <si>
    <t xml:space="preserve">Cable Lug 240  mm2   </t>
  </si>
  <si>
    <t>CAAC_018</t>
  </si>
  <si>
    <t>CTT</t>
  </si>
  <si>
    <t>CAMC_034</t>
  </si>
  <si>
    <t>300mm2</t>
  </si>
  <si>
    <t>Gland Indoor 75  BWL  4*300mm2</t>
  </si>
  <si>
    <t>CAAC_050</t>
  </si>
  <si>
    <t xml:space="preserve">Cable Lug 300  mm2   </t>
  </si>
  <si>
    <t>CAAC_019</t>
  </si>
  <si>
    <t>CAMC_032</t>
  </si>
  <si>
    <t>185mm2</t>
  </si>
  <si>
    <t>Gland Indoor 63  BWL  4*185mm2</t>
  </si>
  <si>
    <t>CAAC_048</t>
  </si>
  <si>
    <t>Cable Lug 185  mm2</t>
  </si>
  <si>
    <t>CAAC_017</t>
  </si>
  <si>
    <t>CAMC_031</t>
  </si>
  <si>
    <t>150mm2</t>
  </si>
  <si>
    <t>Gland Indoor 63S BWL  4*150mm2</t>
  </si>
  <si>
    <t>CAAC_049</t>
  </si>
  <si>
    <t xml:space="preserve">Cable Lug 150  mm2   </t>
  </si>
  <si>
    <t>CAAC_016</t>
  </si>
  <si>
    <t>Power Cable   4c  120 mm2 XLPE SWA-PVC</t>
  </si>
  <si>
    <t>CAMC_030</t>
  </si>
  <si>
    <t>120mm2</t>
  </si>
  <si>
    <t>Power Cable   4c   95 mm2 XLPE SWA-PVC</t>
  </si>
  <si>
    <t>CAMC_029</t>
  </si>
  <si>
    <t>95mm2</t>
  </si>
  <si>
    <t>Gland Indoor 50S BWL  4*95mm2</t>
  </si>
  <si>
    <t>CAAC_047</t>
  </si>
  <si>
    <t>Cable Lug  95  mm2</t>
  </si>
  <si>
    <t>CAAC_014</t>
  </si>
  <si>
    <t>Gland Indoor 50  BWL  4*120mm2</t>
  </si>
  <si>
    <t>CAAC_046</t>
  </si>
  <si>
    <t>Cable Lug 120  mm2</t>
  </si>
  <si>
    <t>CAAC_015</t>
  </si>
  <si>
    <t>CAMC_028</t>
  </si>
  <si>
    <t>70mm2</t>
  </si>
  <si>
    <t>Gland Indoor 40  BWL  4*50/70mm2</t>
  </si>
  <si>
    <t>CAAC_045</t>
  </si>
  <si>
    <t>Cable Lug  70  mm2</t>
  </si>
  <si>
    <t>CAAC_013</t>
  </si>
  <si>
    <t>Cable Marker 8 digit c/w Carrier Strip</t>
  </si>
  <si>
    <t>CAAC_091</t>
  </si>
  <si>
    <t>CAMC_027</t>
  </si>
  <si>
    <t>50mm2</t>
  </si>
  <si>
    <t xml:space="preserve">Cable Lug  50  mm2   </t>
  </si>
  <si>
    <t>CAAC_012</t>
  </si>
  <si>
    <t>CAMC_026</t>
  </si>
  <si>
    <t>35mm2</t>
  </si>
  <si>
    <t>Gland Indoor 32  BWL  4*25/35mm2</t>
  </si>
  <si>
    <t>CAAC_044</t>
  </si>
  <si>
    <t>Cable Lug  35  mm2</t>
  </si>
  <si>
    <t>CAAC_011</t>
  </si>
  <si>
    <t>Power Cable   5c  25 mm2 XLPE SWA-PVC</t>
  </si>
  <si>
    <t>CAMC_097</t>
  </si>
  <si>
    <t>25mm2</t>
  </si>
  <si>
    <t xml:space="preserve">Cable Lug  25  mm2   </t>
  </si>
  <si>
    <t>CAAC_010</t>
  </si>
  <si>
    <t>Power Cable   5c  16 mm2 XLPE SWA-PVC</t>
  </si>
  <si>
    <t>CAMC_087</t>
  </si>
  <si>
    <t>16mm2</t>
  </si>
  <si>
    <t>Gland Indoor 25  BWL  4*10/16mm2</t>
  </si>
  <si>
    <t>CAAC_043</t>
  </si>
  <si>
    <t>Cable Lug  16  mm2</t>
  </si>
  <si>
    <t>CAAC_009</t>
  </si>
  <si>
    <t>Power Cable   5c  10 mm2 XLPE SWA-PVC</t>
  </si>
  <si>
    <t>CAMC_086</t>
  </si>
  <si>
    <t>10mm2</t>
  </si>
  <si>
    <t>Cable Lug  10  mm2</t>
  </si>
  <si>
    <t>CAAC_008</t>
  </si>
  <si>
    <t>Power Cable   3c  10 mm2 PVC SWA-PVC</t>
  </si>
  <si>
    <t>CAMC_012</t>
  </si>
  <si>
    <t>06-011</t>
  </si>
  <si>
    <t>Gland 20S A2  BRASS</t>
  </si>
  <si>
    <t>CAAC_029</t>
  </si>
  <si>
    <t>Power Cable   5c  6.0 mm2 XLPE SWA-PVC</t>
  </si>
  <si>
    <t>CAMC_070</t>
  </si>
  <si>
    <t>BATT</t>
  </si>
  <si>
    <t>6.0mm2</t>
  </si>
  <si>
    <t>Gland Indoor 20  BWL  4*4/6mm2</t>
  </si>
  <si>
    <t>CAAC_040</t>
  </si>
  <si>
    <t>Cable Lug   6.0  mm2</t>
  </si>
  <si>
    <t>CAAC_007</t>
  </si>
  <si>
    <t>Wiring Cable  3c  6 mm2 PVC/PVC Non-Arm</t>
  </si>
  <si>
    <t>CAMC_104</t>
  </si>
  <si>
    <t>03-007</t>
  </si>
  <si>
    <t>Gland 20/16  A2  BRASS</t>
  </si>
  <si>
    <t>CAAC_028</t>
  </si>
  <si>
    <t>Power Cable   5c  4.0 mm2 PVC SWA-PVC</t>
  </si>
  <si>
    <t>CAMC_077</t>
  </si>
  <si>
    <t>4.0mm2</t>
  </si>
  <si>
    <t>06-018</t>
  </si>
  <si>
    <t xml:space="preserve">Cable Lug   4.0  mm2   </t>
  </si>
  <si>
    <t>CAAC_006</t>
  </si>
  <si>
    <t>Power Cable   3c   4.0 mm2 PVC SWA-PVC</t>
  </si>
  <si>
    <t>CAMC_010</t>
  </si>
  <si>
    <t>06-009</t>
  </si>
  <si>
    <t>Gland Indoor 20S BWL  4*1.5/2.5mm2</t>
  </si>
  <si>
    <t>CAAC_042</t>
  </si>
  <si>
    <t>Wiring Cable  3c  4.0 mm2 PVC/PVC Non-Arm</t>
  </si>
  <si>
    <t>CAMC_050</t>
  </si>
  <si>
    <t>03-006</t>
  </si>
  <si>
    <t>Power Cable   5c  2.5 mm2 XLPE SWA-PVC</t>
  </si>
  <si>
    <t>CAMC_084</t>
  </si>
  <si>
    <t>2.5mm2</t>
  </si>
  <si>
    <t xml:space="preserve">Cable Lug   2.5  mm2   </t>
  </si>
  <si>
    <t>CAAC_005</t>
  </si>
  <si>
    <t xml:space="preserve">MATERIAL SUMMARY </t>
  </si>
  <si>
    <t>MU SUMMARY TOTAL</t>
  </si>
  <si>
    <t>Disc. with</t>
  </si>
  <si>
    <t>MATERIAL ITEMS TOTAL</t>
  </si>
  <si>
    <t>COMP_GT</t>
  </si>
  <si>
    <t>equal MUs</t>
  </si>
  <si>
    <t>BOQ  ITEMS  TOTAL</t>
  </si>
  <si>
    <t>ITEM_GT</t>
  </si>
  <si>
    <t xml:space="preserve">  PAGES  TOTAL</t>
  </si>
  <si>
    <t>PAGE_GT</t>
  </si>
  <si>
    <t xml:space="preserve">  SECTIONS TOTAL </t>
  </si>
  <si>
    <t>SECT_GT</t>
  </si>
  <si>
    <t>RATE TOTALS IN CURRENT SHEET</t>
  </si>
  <si>
    <t>Fire Rated</t>
  </si>
  <si>
    <t>Local Rate(A)</t>
  </si>
  <si>
    <t>Surface Isolator  63A 4-Pole (Lockable)</t>
  </si>
  <si>
    <t>SWLV_180</t>
  </si>
  <si>
    <t>KM</t>
  </si>
  <si>
    <t>P3-63/I/SVB/N</t>
  </si>
  <si>
    <t>10</t>
  </si>
  <si>
    <t xml:space="preserve">Screw Wood S6 </t>
  </si>
  <si>
    <t>CONS_035</t>
  </si>
  <si>
    <t>02-008</t>
  </si>
  <si>
    <t xml:space="preserve">Rawl Plug S6 </t>
  </si>
  <si>
    <t>CONS_030</t>
  </si>
  <si>
    <t>02-009</t>
  </si>
  <si>
    <t xml:space="preserve">Label Small  </t>
  </si>
  <si>
    <t>CONS_021</t>
  </si>
  <si>
    <t>05-002</t>
  </si>
  <si>
    <t>Surface Isolator  40A 4-Pole (Lockable)</t>
  </si>
  <si>
    <t>SWLV_160</t>
  </si>
  <si>
    <t>P1-25/I/SVB/N</t>
  </si>
  <si>
    <t>Surface Isolator  25A  2-Pole (Lockable)</t>
  </si>
  <si>
    <t>Crainage &amp; Transportation</t>
  </si>
  <si>
    <t>Positioning in place</t>
  </si>
  <si>
    <t>CRAI_002</t>
  </si>
  <si>
    <t xml:space="preserve">No </t>
  </si>
  <si>
    <t>Generator Set</t>
  </si>
  <si>
    <t>GENS_002</t>
  </si>
  <si>
    <t>Erection Material</t>
  </si>
  <si>
    <t>including engine oil &amp; coolant</t>
  </si>
  <si>
    <t>EMAT_063</t>
  </si>
  <si>
    <t>01-002</t>
  </si>
  <si>
    <t>Testing &amp; Commissioning (by Electrician)</t>
  </si>
  <si>
    <t>COMM_003</t>
  </si>
  <si>
    <t>NoMat?</t>
  </si>
  <si>
    <t>litres</t>
  </si>
  <si>
    <t xml:space="preserve">Genset Fuel, Engine Oil &amp; Coolant  </t>
  </si>
  <si>
    <t>CONS_016</t>
  </si>
  <si>
    <t>01-013</t>
  </si>
  <si>
    <t>Permits</t>
  </si>
  <si>
    <t xml:space="preserve"> MECHANICAL FOR ELECTRICAL</t>
  </si>
  <si>
    <t>MEFE_001</t>
  </si>
  <si>
    <t>01-001</t>
  </si>
  <si>
    <t>Switchgear Arrangement Custom__1</t>
  </si>
  <si>
    <t>SWLV_221</t>
  </si>
  <si>
    <t>11001</t>
  </si>
  <si>
    <t>MP-GEN</t>
  </si>
  <si>
    <t>MP-FIRE</t>
  </si>
  <si>
    <t>MP-MAIN</t>
  </si>
  <si>
    <t>SWLV_014</t>
  </si>
  <si>
    <t xml:space="preserve">Label Large  </t>
  </si>
  <si>
    <t>CONS_020</t>
  </si>
  <si>
    <t xml:space="preserve">Distribution Board Schedule  </t>
  </si>
  <si>
    <t>DOCS_011</t>
  </si>
  <si>
    <t>Internal wiring</t>
  </si>
  <si>
    <t xml:space="preserve">Rawl Bolt 10mm </t>
  </si>
  <si>
    <t>CONS_025</t>
  </si>
  <si>
    <t>03-002</t>
  </si>
  <si>
    <t>DB-B1U</t>
  </si>
  <si>
    <t>DB-EV</t>
  </si>
  <si>
    <t>Distribution Board  12 WAY, 100A</t>
  </si>
  <si>
    <t>Distribution Board  10 WAY, 125A</t>
  </si>
  <si>
    <t>Distribution Board  18 WAY, 250A</t>
  </si>
  <si>
    <t>DB-B1L</t>
  </si>
  <si>
    <t>Distribution Board  14 WAY, 125A</t>
  </si>
  <si>
    <t>DB-B1P</t>
  </si>
  <si>
    <t>DB-LA2</t>
  </si>
  <si>
    <t>DB-TC</t>
  </si>
  <si>
    <t>Distribution Board  28 WAY, 250A</t>
  </si>
  <si>
    <t>DB-OL0</t>
  </si>
  <si>
    <t>Distribution Board  12 WAY, 63A</t>
  </si>
  <si>
    <t>Distribution Board  18 WAY, 160A</t>
  </si>
  <si>
    <t>DB-LA1</t>
  </si>
  <si>
    <t>DB-FLC</t>
  </si>
  <si>
    <t>DB-CRP</t>
  </si>
  <si>
    <t>Distribution Board  22 WAY, 125A</t>
  </si>
  <si>
    <t>Distribution Board  4 WAY, 63A</t>
  </si>
  <si>
    <t>DB-FLA</t>
  </si>
  <si>
    <t>DB-EA</t>
  </si>
  <si>
    <t>Distribution Board  8 WAY, 300A</t>
  </si>
  <si>
    <t>DB-PL1</t>
  </si>
  <si>
    <t>DB-PL2</t>
  </si>
  <si>
    <t>Distribution Board  6 WAY, 300A</t>
  </si>
  <si>
    <t>DB-WH</t>
  </si>
  <si>
    <t>DB-OL1</t>
  </si>
  <si>
    <t>Distribution Board  10 WAY, 63A</t>
  </si>
  <si>
    <t>DB-AB</t>
  </si>
  <si>
    <t>DB-OL2</t>
  </si>
  <si>
    <t>Distribution Board  16 WAY, 63A</t>
  </si>
  <si>
    <t>DB-OL3</t>
  </si>
  <si>
    <t>DB-OL4</t>
  </si>
  <si>
    <t>Distribution Board  12 WAY, 200A</t>
  </si>
  <si>
    <t>Distribution Board  10 WAY, 400A</t>
  </si>
  <si>
    <t>DB-PL3</t>
  </si>
  <si>
    <t>SWLV_201</t>
  </si>
  <si>
    <t>FED</t>
  </si>
  <si>
    <t>11</t>
  </si>
  <si>
    <t>SWLV_204</t>
  </si>
  <si>
    <t>SWLV_205</t>
  </si>
  <si>
    <t>SWLV_207</t>
  </si>
  <si>
    <t>22kW EV Chargers</t>
  </si>
  <si>
    <t>Control Panel 1</t>
  </si>
  <si>
    <t>CPAN_259</t>
  </si>
  <si>
    <t>Install only</t>
  </si>
  <si>
    <t>CP-B1P</t>
  </si>
  <si>
    <t>Supply only</t>
  </si>
  <si>
    <t xml:space="preserve">Labour </t>
  </si>
  <si>
    <t>Technician</t>
  </si>
  <si>
    <t>CP-CW</t>
  </si>
  <si>
    <t>Surface Isolator 200A 4-Pole</t>
  </si>
  <si>
    <t>SWLV_317</t>
  </si>
  <si>
    <t>Surface Isolator 500A 4-Pole</t>
  </si>
  <si>
    <t>SWLV_396</t>
  </si>
  <si>
    <t>SWLV_148</t>
  </si>
  <si>
    <t>T0-3-15680/I</t>
  </si>
  <si>
    <t>10-006</t>
  </si>
  <si>
    <t>Surface Isolator  20A  4-Pole (Lockable)</t>
  </si>
  <si>
    <t>Surface Isolator  32A 4-Pole (Lockable)</t>
  </si>
  <si>
    <t>SWLV_168</t>
  </si>
  <si>
    <t>P1-32/I/SVB/N</t>
  </si>
  <si>
    <t>WACC_139</t>
  </si>
  <si>
    <t>Gewiss</t>
  </si>
  <si>
    <t>GW 66204</t>
  </si>
  <si>
    <t>16A 2P+E Interlocked Industrial Socket IP67</t>
  </si>
  <si>
    <t>16A 5P Interlocked Industrial Socket IP67</t>
  </si>
  <si>
    <t>32A 5P Interlocked Industrial Socket IP67</t>
  </si>
  <si>
    <t>16A 2P+E Unswitched Industrial Socket IP67</t>
  </si>
  <si>
    <t>Power Cable   4c  300 mm2 XLPE SWA-PVC</t>
  </si>
  <si>
    <t>Wiring Cable  1c  300 mm2 PVC Non-Arm</t>
  </si>
  <si>
    <t>CASC_032</t>
  </si>
  <si>
    <t>02-017</t>
  </si>
  <si>
    <t>Wiring Cable  1c  240 mm2 PVC Non-Arm</t>
  </si>
  <si>
    <t>CASC_031</t>
  </si>
  <si>
    <t>02-016</t>
  </si>
  <si>
    <t>Wiring Cable  1c  120 mm2 PVC Non-Arm</t>
  </si>
  <si>
    <t>CASC_028</t>
  </si>
  <si>
    <t>02-013</t>
  </si>
  <si>
    <t>Wiring Cable  1c   95 mm2 PVC Non-Arm</t>
  </si>
  <si>
    <t>CASC_027</t>
  </si>
  <si>
    <t>02-012</t>
  </si>
  <si>
    <t>MC Socket Twin 13A</t>
  </si>
  <si>
    <t>WACC_025</t>
  </si>
  <si>
    <t>CONT</t>
  </si>
  <si>
    <t>3356</t>
  </si>
  <si>
    <t>MC Fuse Conn.Unit 13A Neon</t>
  </si>
  <si>
    <t>WACC_022</t>
  </si>
  <si>
    <t>3367</t>
  </si>
  <si>
    <t xml:space="preserve"> 1 Pt  x 1 Switch </t>
  </si>
  <si>
    <t>RTLT_002</t>
  </si>
  <si>
    <t xml:space="preserve"> 2 Pt  x 1 Switch </t>
  </si>
  <si>
    <t>IP56 1gang 2way switch</t>
  </si>
  <si>
    <t>WACC_019</t>
  </si>
  <si>
    <t xml:space="preserve"> 4 Pt  x 1 Switch </t>
  </si>
  <si>
    <t xml:space="preserve"> 5 Pt  x 1 Switch </t>
  </si>
  <si>
    <t xml:space="preserve"> 7 Pt  x 1 Switch </t>
  </si>
  <si>
    <t xml:space="preserve"> 4 Pt  x 2-2way Switches </t>
  </si>
  <si>
    <t xml:space="preserve"> 8 Pt  x 2-2way Switches </t>
  </si>
  <si>
    <t xml:space="preserve"> 4 Pt  x One Detector</t>
  </si>
  <si>
    <t xml:space="preserve"> 12 Pt  x One Detector</t>
  </si>
  <si>
    <t xml:space="preserve"> 16 Pt  x One Detector</t>
  </si>
  <si>
    <t xml:space="preserve"> 3 Pt  x One Detector</t>
  </si>
  <si>
    <t xml:space="preserve"> 2 Pt  x Two Detectors</t>
  </si>
  <si>
    <t xml:space="preserve"> 4 Pt  x Two Detectors</t>
  </si>
  <si>
    <t xml:space="preserve"> 24 Pt  x Nine Detectors</t>
  </si>
  <si>
    <t xml:space="preserve"> 2 Pt  x One Detector</t>
  </si>
  <si>
    <t>Included</t>
  </si>
  <si>
    <t>Control panel near Distribution Board DB-EV</t>
  </si>
  <si>
    <t>Control Transformer 230V/24V   50VA</t>
  </si>
  <si>
    <t>CPAN_028</t>
  </si>
  <si>
    <t xml:space="preserve">Din Rail  </t>
  </si>
  <si>
    <t>CPAN_034</t>
  </si>
  <si>
    <t>Enclosure Metal IP55  500*405*200</t>
  </si>
  <si>
    <t>CPAN_227</t>
  </si>
  <si>
    <t>GEWISS</t>
  </si>
  <si>
    <t>GW46406</t>
  </si>
  <si>
    <t xml:space="preserve">Filament Lamps 24V </t>
  </si>
  <si>
    <t>CPAN_186</t>
  </si>
  <si>
    <t>Fuse 2A</t>
  </si>
  <si>
    <t>CPAN_146</t>
  </si>
  <si>
    <t>72111</t>
  </si>
  <si>
    <t>Fuse 6A</t>
  </si>
  <si>
    <t>CPAN_268</t>
  </si>
  <si>
    <t>GW</t>
  </si>
  <si>
    <t>72113</t>
  </si>
  <si>
    <t>Fuse holder 20A  size 8.5 x 31.5mm</t>
  </si>
  <si>
    <t>CPAN_145</t>
  </si>
  <si>
    <t>96206</t>
  </si>
  <si>
    <t xml:space="preserve">Indicator Lamp Green </t>
  </si>
  <si>
    <t>CPAN_043</t>
  </si>
  <si>
    <t>RL-GN/FR</t>
  </si>
  <si>
    <t xml:space="preserve">Indicator Lamp Red </t>
  </si>
  <si>
    <t>CPAN_044</t>
  </si>
  <si>
    <t>RL-RT/FR</t>
  </si>
  <si>
    <t>Selector Switch 3 position</t>
  </si>
  <si>
    <t>CPAN_217</t>
  </si>
  <si>
    <t>G.E.</t>
  </si>
  <si>
    <t>AG P9MSVZON</t>
  </si>
  <si>
    <t>Spiral Cable Wrap</t>
  </si>
  <si>
    <t>CPAN_253</t>
  </si>
  <si>
    <t>Terminal Block End Caps  2.5mm</t>
  </si>
  <si>
    <t>CPAN_155</t>
  </si>
  <si>
    <t xml:space="preserve">Relay  1n/c 3n/o </t>
  </si>
  <si>
    <t>CPAN_112</t>
  </si>
  <si>
    <t>DILER-31</t>
  </si>
  <si>
    <t>Text Holder</t>
  </si>
  <si>
    <t>CPAN_278</t>
  </si>
  <si>
    <t>Terminal Block 2.5mm2</t>
  </si>
  <si>
    <t>CPAN_153</t>
  </si>
  <si>
    <t>Installation</t>
  </si>
  <si>
    <t>Emergency stop switch, 2P c/w mushroom head &amp; IP55 enclosure</t>
  </si>
  <si>
    <t>CPAN_250</t>
  </si>
  <si>
    <t>Moeller</t>
  </si>
  <si>
    <t>RPV/KC/1</t>
  </si>
  <si>
    <t>CASP_075</t>
  </si>
  <si>
    <t>Conduit Galv. 25mm RATE</t>
  </si>
  <si>
    <t>COGV_013</t>
  </si>
  <si>
    <t>BAR</t>
  </si>
  <si>
    <t>25mm</t>
  </si>
  <si>
    <t>Movement detector (Surface Mounted)</t>
  </si>
  <si>
    <t>WACC_165</t>
  </si>
  <si>
    <t>Connecting up to DB-EV</t>
  </si>
  <si>
    <t>Conduit Galv. 20mm RATE</t>
  </si>
  <si>
    <t>COGV_011</t>
  </si>
  <si>
    <t>20mm</t>
  </si>
  <si>
    <t>Wiring Cable  1c    1.5 mm2 PVC Non-Arm</t>
  </si>
  <si>
    <t>CASC_017</t>
  </si>
  <si>
    <t>02-002</t>
  </si>
  <si>
    <t>Connecting up to Fire alarm interface</t>
  </si>
  <si>
    <t xml:space="preserve">Fire Resistant Cable CWZ  2c+E  1.5 mm2 </t>
  </si>
  <si>
    <t>CASP_014</t>
  </si>
  <si>
    <t xml:space="preserve">Fire Resistant Cable Clips </t>
  </si>
  <si>
    <t>CASP_013</t>
  </si>
  <si>
    <t>Gland 20  A2  PVC</t>
  </si>
  <si>
    <t>CAAC_027</t>
  </si>
  <si>
    <t>Wiring Cable  1c    6.0 mm2 PVC Non-Arm</t>
  </si>
  <si>
    <t>CASC_020</t>
  </si>
  <si>
    <t>02-005</t>
  </si>
  <si>
    <t xml:space="preserve"> 3 Pt  x 1 Switch </t>
  </si>
  <si>
    <t xml:space="preserve"> 6 Pt  x 1 Switch </t>
  </si>
  <si>
    <t xml:space="preserve"> 1 Pt  x One Detector</t>
  </si>
  <si>
    <t xml:space="preserve"> 5 Pt  x Two Detectors</t>
  </si>
  <si>
    <t xml:space="preserve"> 8 Pt  x Three Detectors</t>
  </si>
  <si>
    <t xml:space="preserve"> 9 Pt  x Three Detectors</t>
  </si>
  <si>
    <t xml:space="preserve"> 15 Pt  x Three Detectors</t>
  </si>
  <si>
    <t xml:space="preserve"> 15 Pt  x Five Detectors</t>
  </si>
  <si>
    <t xml:space="preserve"> 15 Pt  x Six Detectors</t>
  </si>
  <si>
    <t xml:space="preserve"> 20 Pt  x Three Detectors</t>
  </si>
  <si>
    <t>WHITE Socket 13A  Single</t>
  </si>
  <si>
    <t>WACC_049</t>
  </si>
  <si>
    <t>BG</t>
  </si>
  <si>
    <t>921</t>
  </si>
  <si>
    <t>WHITE Socket 13A  Twin</t>
  </si>
  <si>
    <t>WACC_050</t>
  </si>
  <si>
    <t>922</t>
  </si>
  <si>
    <t>WHITE FCU 13A DP Neon</t>
  </si>
  <si>
    <t>WACC_043</t>
  </si>
  <si>
    <t>951</t>
  </si>
  <si>
    <t>MC Fuse Conn.Unit 13A Neon unswitched</t>
  </si>
  <si>
    <t>WACC_127</t>
  </si>
  <si>
    <t>WHITE Flex Outlet</t>
  </si>
  <si>
    <t>WACC_044</t>
  </si>
  <si>
    <t>DEL</t>
  </si>
  <si>
    <t>3205</t>
  </si>
  <si>
    <t xml:space="preserve"> 5 Pt  x 1 Time Switch </t>
  </si>
  <si>
    <t>Time Switch in DB</t>
  </si>
  <si>
    <t xml:space="preserve"> 3 Pt  x Two Detectors</t>
  </si>
  <si>
    <t xml:space="preserve"> 4 Pt  x Four Detectors</t>
  </si>
  <si>
    <t>Floor Outlet Box 3 Compartment</t>
  </si>
  <si>
    <t>WACC_143</t>
  </si>
  <si>
    <t>Type 01</t>
  </si>
  <si>
    <t>Movement detector (Recessed)</t>
  </si>
  <si>
    <t>WACC_138</t>
  </si>
  <si>
    <t>Conduit Galv. FLEX 25mm</t>
  </si>
  <si>
    <t>COGV_012</t>
  </si>
  <si>
    <t>Conduit BRASS ADAP.FLEX  25mm</t>
  </si>
  <si>
    <t>COGV_007</t>
  </si>
  <si>
    <t xml:space="preserve">Conduit PVC 25mm   HG RATE  </t>
  </si>
  <si>
    <t>COPV_007</t>
  </si>
  <si>
    <t>GEN</t>
  </si>
  <si>
    <t xml:space="preserve"> 5 Pt  x 2-2way Switches </t>
  </si>
  <si>
    <t xml:space="preserve"> 4 Pt  x Photocell</t>
  </si>
  <si>
    <t>included</t>
  </si>
  <si>
    <t>Light Sensitive Switch</t>
  </si>
  <si>
    <t>WACC_124</t>
  </si>
  <si>
    <t>TM</t>
  </si>
  <si>
    <t>TM TN1LV91</t>
  </si>
  <si>
    <t>Installation to DB</t>
  </si>
  <si>
    <t>Control panel near Distribution Board DB-FLC</t>
  </si>
  <si>
    <t>Emergency Stop push buttons - 2no.</t>
  </si>
  <si>
    <t>Emergency Stop push button - 1no.</t>
  </si>
  <si>
    <t>Connecting up to DB-FLC</t>
  </si>
  <si>
    <t xml:space="preserve"> 8 Pt  x 1 Switch </t>
  </si>
  <si>
    <t xml:space="preserve">1 Pt  x 1 Switch </t>
  </si>
  <si>
    <t xml:space="preserve"> 11 Pt  x 1 Switch </t>
  </si>
  <si>
    <t xml:space="preserve"> 12 Pt  x 1 Switch </t>
  </si>
  <si>
    <t xml:space="preserve"> 14 Pt  x 1 Switch </t>
  </si>
  <si>
    <t xml:space="preserve"> 16 Pt  x 1 Switch </t>
  </si>
  <si>
    <t>MC Switch 1G 2W 10A</t>
  </si>
  <si>
    <t>WACC_225</t>
  </si>
  <si>
    <t>MK</t>
  </si>
  <si>
    <t>K3591ALM</t>
  </si>
  <si>
    <t>WACC_015</t>
  </si>
  <si>
    <t>Type 02</t>
  </si>
  <si>
    <t xml:space="preserve">IP56 13A  Socket Single Switched </t>
  </si>
  <si>
    <t>WACC_016</t>
  </si>
  <si>
    <t xml:space="preserve"> 5 Pt  x Photcell and switch</t>
  </si>
  <si>
    <t xml:space="preserve"> 6 Pt  x Five Detector</t>
  </si>
  <si>
    <t xml:space="preserve"> 6 Pt  x 1 Time Switch </t>
  </si>
  <si>
    <t xml:space="preserve"> 7 Pt  x 1 Time Switch </t>
  </si>
  <si>
    <t>Type 03</t>
  </si>
  <si>
    <t xml:space="preserve"> 9 Pt  x Five Detectors</t>
  </si>
  <si>
    <t xml:space="preserve"> 9 Pt  x Photocell</t>
  </si>
  <si>
    <t xml:space="preserve">16 Pt  x 1 Switch </t>
  </si>
  <si>
    <t>Main Earth Bar</t>
  </si>
  <si>
    <t xml:space="preserve">Earth Bar  </t>
  </si>
  <si>
    <t>BOND_006</t>
  </si>
  <si>
    <t>05-001</t>
  </si>
  <si>
    <t>Cable Saddle</t>
  </si>
  <si>
    <t>CONS_007</t>
  </si>
  <si>
    <t>Labour to Connect Up (FIX 3)</t>
  </si>
  <si>
    <t>LABO_003</t>
  </si>
  <si>
    <t>2No. Earth electrodes complete with connection to earth bar</t>
  </si>
  <si>
    <t>BOND_007</t>
  </si>
  <si>
    <t xml:space="preserve">Cable Clip 22mm PVC </t>
  </si>
  <si>
    <t>Link to sub-station</t>
  </si>
  <si>
    <t>Earth Electrode Solid Copper 19mm diam - 3000mm</t>
  </si>
  <si>
    <t>240sqmm LSZH Earth Cable between Main Earth Bar and main switchbaord MP-Main</t>
  </si>
  <si>
    <t>Main Panels</t>
  </si>
  <si>
    <t>Distribution Boards</t>
  </si>
  <si>
    <t>EV Chargers</t>
  </si>
  <si>
    <t>Automatic Trnsfer Switches</t>
  </si>
  <si>
    <t>DOCS_002</t>
  </si>
  <si>
    <t>DOCS_012</t>
  </si>
  <si>
    <t>USB</t>
  </si>
  <si>
    <t>Operating and Maintenance Manuals</t>
  </si>
  <si>
    <t>DOCS_013</t>
  </si>
  <si>
    <t>Light Fitting Custom__1</t>
  </si>
  <si>
    <t>LIGH_031</t>
  </si>
  <si>
    <t>Light Fitting Custom__2</t>
  </si>
  <si>
    <t>LIGH_002</t>
  </si>
  <si>
    <t>Light Fitting Custom__3</t>
  </si>
  <si>
    <t>LIGH_003</t>
  </si>
  <si>
    <t>Light Fitting Custom__4</t>
  </si>
  <si>
    <t>LIGH_004</t>
  </si>
  <si>
    <t>Light Fitting Custom__5</t>
  </si>
  <si>
    <t>LIGH_005</t>
  </si>
  <si>
    <t>Light Fitting Custom__6</t>
  </si>
  <si>
    <t>LIGH_006</t>
  </si>
  <si>
    <t>Light Fitting Custom__7</t>
  </si>
  <si>
    <t>LIGH_007</t>
  </si>
  <si>
    <t>Light Fitting Custom__8</t>
  </si>
  <si>
    <t>LIGH_008</t>
  </si>
  <si>
    <t>Type E1</t>
  </si>
  <si>
    <t>Supply Only</t>
  </si>
  <si>
    <t>Type G1</t>
  </si>
  <si>
    <t>Type G2</t>
  </si>
  <si>
    <t>Type G3</t>
  </si>
  <si>
    <t>Type G4</t>
  </si>
  <si>
    <t>Type J1</t>
  </si>
  <si>
    <t>Type J2</t>
  </si>
  <si>
    <t>Type J3</t>
  </si>
  <si>
    <t>Type E2</t>
  </si>
  <si>
    <t>Type H1</t>
  </si>
  <si>
    <t>Type I1</t>
  </si>
  <si>
    <t>Type L1</t>
  </si>
  <si>
    <t>Type M1</t>
  </si>
  <si>
    <t>INSTALLATION OF LIGHT FITTINGS</t>
  </si>
  <si>
    <t>Install Only</t>
  </si>
  <si>
    <t>Wiring Cable  3c  1.0 mm2 PVC Non-Arm</t>
  </si>
  <si>
    <t>CAMC_047</t>
  </si>
  <si>
    <t>1.0mm2</t>
  </si>
  <si>
    <t>03-001</t>
  </si>
  <si>
    <t xml:space="preserve">Suspending Chain  </t>
  </si>
  <si>
    <t>CONS_040</t>
  </si>
  <si>
    <t>01-005</t>
  </si>
  <si>
    <t xml:space="preserve">Rawl Hook  6mm </t>
  </si>
  <si>
    <t>CONS_027</t>
  </si>
  <si>
    <t>03-004</t>
  </si>
  <si>
    <t>Type A1</t>
  </si>
  <si>
    <t>Wiring Cable  4c  1.0 mm2 PVC Non-Arm</t>
  </si>
  <si>
    <t>Type B1</t>
  </si>
  <si>
    <t>Type B2</t>
  </si>
  <si>
    <t>Type C2</t>
  </si>
  <si>
    <t>Type D1</t>
  </si>
  <si>
    <t>Type F1</t>
  </si>
  <si>
    <t>Type F2</t>
  </si>
  <si>
    <t>Type A2</t>
  </si>
  <si>
    <t>Cable Containment</t>
  </si>
  <si>
    <t>Hanging below ceiling</t>
  </si>
  <si>
    <t>Anchor  8mm Hilti HKD-SM8x30</t>
  </si>
  <si>
    <t>CONS_003</t>
  </si>
  <si>
    <t>HIL</t>
  </si>
  <si>
    <t>HKD-SM8x30</t>
  </si>
  <si>
    <t xml:space="preserve">Threaded Rod Galv. 8mm </t>
  </si>
  <si>
    <t>Ardic</t>
  </si>
  <si>
    <t>EMAT_043</t>
  </si>
  <si>
    <t>Hilti Channel 40x20 Endcap MQZ-E21</t>
  </si>
  <si>
    <t>EMAT_064</t>
  </si>
  <si>
    <t>Channel SHALLOW-Galv. Hilti MS-213M</t>
  </si>
  <si>
    <t>EMAT_020</t>
  </si>
  <si>
    <t>MS-213m</t>
  </si>
  <si>
    <t>Labour to manufacture brackets</t>
  </si>
  <si>
    <t>LABO_008</t>
  </si>
  <si>
    <t xml:space="preserve">Galv. Nut  8mm </t>
  </si>
  <si>
    <t>EMAT_022</t>
  </si>
  <si>
    <t>Tray Washers M8</t>
  </si>
  <si>
    <t>EMAT_057</t>
  </si>
  <si>
    <t>Based on: 1.2metres intervals</t>
  </si>
  <si>
    <t>Channel DEEP-Galv. Hilti MS-413M</t>
  </si>
  <si>
    <t>EMAT_018</t>
  </si>
  <si>
    <t>MS-413m</t>
  </si>
  <si>
    <t>02-018</t>
  </si>
  <si>
    <t>Push Button Angle Hilti MQW-02</t>
  </si>
  <si>
    <t>Price by Gledys</t>
  </si>
  <si>
    <t>Hilti</t>
  </si>
  <si>
    <t>EMAT_041</t>
  </si>
  <si>
    <t>Hilti Channel 40x40 Endcap MQZ-E41</t>
  </si>
  <si>
    <t>EMAT_065</t>
  </si>
  <si>
    <t>02-020</t>
  </si>
  <si>
    <t xml:space="preserve">Tray  500mm  Galv.     </t>
  </si>
  <si>
    <t>HDG</t>
  </si>
  <si>
    <t>TRGV_062</t>
  </si>
  <si>
    <t xml:space="preserve">Tray Coupler Galv.     </t>
  </si>
  <si>
    <t>TRGV_051</t>
  </si>
  <si>
    <t xml:space="preserve">Roofing Bolt  </t>
  </si>
  <si>
    <t>CONS_031</t>
  </si>
  <si>
    <t>Wing Nut Hilti  M6</t>
  </si>
  <si>
    <t>EMAT_059</t>
  </si>
  <si>
    <t>MKN-FM8</t>
  </si>
  <si>
    <t>04-002</t>
  </si>
  <si>
    <t xml:space="preserve">Hex.Set Screws  M6x20 </t>
  </si>
  <si>
    <t>EMAT_025</t>
  </si>
  <si>
    <t xml:space="preserve">Earth Strips Copper </t>
  </si>
  <si>
    <t>CONS_012</t>
  </si>
  <si>
    <t>01-011</t>
  </si>
  <si>
    <t xml:space="preserve">Tray  300mm  Galv.     </t>
  </si>
  <si>
    <t>TRGV_030</t>
  </si>
  <si>
    <t xml:space="preserve">Tray  100mm  Galv.     </t>
  </si>
  <si>
    <t>TRGV_009</t>
  </si>
  <si>
    <t xml:space="preserve">Tray  200mm  Galv.     </t>
  </si>
  <si>
    <t>TRGV_023</t>
  </si>
  <si>
    <t xml:space="preserve">Tray  400mm  Galv.     </t>
  </si>
  <si>
    <t>TRGV_037</t>
  </si>
  <si>
    <t>TKGV_006</t>
  </si>
  <si>
    <t>TIP</t>
  </si>
  <si>
    <t>Tee</t>
  </si>
  <si>
    <t>Flat angle</t>
  </si>
  <si>
    <t>Internal angle</t>
  </si>
  <si>
    <t>end cap</t>
  </si>
  <si>
    <t xml:space="preserve">Pop Rivet  </t>
  </si>
  <si>
    <t>CONS_023</t>
  </si>
  <si>
    <t>02-004</t>
  </si>
  <si>
    <t>Screw Self Tapping</t>
  </si>
  <si>
    <t>CONS_034</t>
  </si>
  <si>
    <t>02-006</t>
  </si>
  <si>
    <t xml:space="preserve">Trunking Galv. 75x50mm </t>
  </si>
  <si>
    <t xml:space="preserve">Trunking Galv. 75x75mm </t>
  </si>
  <si>
    <t xml:space="preserve">Trunking Galv. 100x75mm </t>
  </si>
  <si>
    <t xml:space="preserve">Trunking Galv. 150x75mm </t>
  </si>
  <si>
    <t>PVC Cable Duct 80mm</t>
  </si>
  <si>
    <t>PIPE_006</t>
  </si>
  <si>
    <t>80mm</t>
  </si>
  <si>
    <t>tube</t>
  </si>
  <si>
    <t>Tangit Glue</t>
  </si>
  <si>
    <t>CONS_044</t>
  </si>
  <si>
    <t>01-006</t>
  </si>
  <si>
    <t xml:space="preserve">Trunking Galv. 250x75mm </t>
  </si>
  <si>
    <t xml:space="preserve">Trunking Galv. 400x100mm </t>
  </si>
  <si>
    <t>Tray   50mm   Galv.     Cover</t>
  </si>
  <si>
    <t>TRGV_052</t>
  </si>
  <si>
    <t xml:space="preserve">Tray Cover Clip Galv.     </t>
  </si>
  <si>
    <t>TRGV_060</t>
  </si>
  <si>
    <t>Tray  100mm  Galv.     Cover</t>
  </si>
  <si>
    <t>TRGV_054</t>
  </si>
  <si>
    <t>Tray  200mm  Galv.     Cover</t>
  </si>
  <si>
    <t>TRGV_056</t>
  </si>
  <si>
    <t>Tray  300mm  Galv.     Cover</t>
  </si>
  <si>
    <t>TRGV_057</t>
  </si>
  <si>
    <t>ELV Conduit Points</t>
  </si>
  <si>
    <t xml:space="preserve">Conduit PVC 20mm   HG RATE  </t>
  </si>
  <si>
    <t>COPV_003</t>
  </si>
  <si>
    <t>AJ Electric</t>
  </si>
  <si>
    <t>WHITE Ceiling Rose</t>
  </si>
  <si>
    <t>WACC_037</t>
  </si>
  <si>
    <t>China</t>
  </si>
  <si>
    <t>Wiring Cable  1c    4.0 mm2 PVC Non-Arm</t>
  </si>
  <si>
    <t>CASC_019</t>
  </si>
  <si>
    <t>Bracketing in warehouse</t>
  </si>
  <si>
    <t>Hilti Beam Clamps Galvanised</t>
  </si>
  <si>
    <t>EMAT_074</t>
  </si>
  <si>
    <t>MKL-21-41 244874/1</t>
  </si>
  <si>
    <t>07-011</t>
  </si>
  <si>
    <t>EMAT_019</t>
  </si>
  <si>
    <t>Threaded Rod Galv. Coupler 10mm</t>
  </si>
  <si>
    <t>EMAT_079</t>
  </si>
  <si>
    <t>03-009</t>
  </si>
  <si>
    <t>04-004</t>
  </si>
  <si>
    <t>Wing Nut Hilti  M8</t>
  </si>
  <si>
    <t>EMAT_060</t>
  </si>
  <si>
    <t>04-005</t>
  </si>
  <si>
    <t xml:space="preserve">Hex.Set Screws  M8x25 </t>
  </si>
  <si>
    <t>EMAT_027</t>
  </si>
  <si>
    <t>05-004</t>
  </si>
  <si>
    <t>001# Light Point Rate (LSZH Conduit)</t>
  </si>
  <si>
    <t>002# Maintaned Emergency Light point rate (LSZH Conduit)</t>
  </si>
  <si>
    <t>003# Power Point Rate (LSZH Conduit)</t>
  </si>
  <si>
    <t>004# Light point rate (Galvanised Conduit)</t>
  </si>
  <si>
    <t>LSZH - Ramon</t>
  </si>
  <si>
    <t>Prices from Jason Camilleri €4.38 per 3metres 1.5mm thickness</t>
  </si>
  <si>
    <t>Quintano Foods Ltd.</t>
  </si>
  <si>
    <t>Warehouse at tal-Handaq, Qormi</t>
  </si>
  <si>
    <t>Stainless Steel</t>
  </si>
  <si>
    <t>CWZ/LSZH</t>
  </si>
  <si>
    <t>COGV_017</t>
  </si>
  <si>
    <t>Conduit Stainless Steel 20mm RATE</t>
  </si>
  <si>
    <t>COGV_025</t>
  </si>
  <si>
    <t>Conduit Stainless Steel Male Bush 20mm</t>
  </si>
  <si>
    <t>COGV_038</t>
  </si>
  <si>
    <t>Conduit Stainless Steel Saddle 20mm</t>
  </si>
  <si>
    <t>COGV_029</t>
  </si>
  <si>
    <t>Woodscrews Stainless Steel</t>
  </si>
  <si>
    <t>COGV_033</t>
  </si>
  <si>
    <t>Conduit Stainless Steel Bend 20mm</t>
  </si>
  <si>
    <t>INCLUDED</t>
  </si>
  <si>
    <t>Installation in cold room level 0</t>
  </si>
  <si>
    <t>Conduit Stainless Steel 25mm RATE</t>
  </si>
  <si>
    <t>Conduit Stainless Steel Male Bush 25mm</t>
  </si>
  <si>
    <t>Conduit Stainless Steel Saddle 25mm</t>
  </si>
  <si>
    <t>Conduit Stainless Steel Bend 25mm</t>
  </si>
  <si>
    <t xml:space="preserve">Conduit Galv. Stainless Steel Back Outlet 20mm </t>
  </si>
  <si>
    <t>Stainless Steel conduit at Level 0 Warehouse</t>
  </si>
  <si>
    <t xml:space="preserve">Tray   50mm   Galv.     </t>
  </si>
  <si>
    <t>TRGV_002</t>
  </si>
  <si>
    <t>PVC Cable Duct 80mm - 45deg elbow</t>
  </si>
  <si>
    <t>Labour only (FIX 1)</t>
  </si>
  <si>
    <t>LABO_005</t>
  </si>
  <si>
    <t>Coring of wall at DB-LA</t>
  </si>
  <si>
    <t>PVC Cable Duct 80mm - Sockets</t>
  </si>
  <si>
    <t>Conduit Stainless Steel Coupler 25mm</t>
  </si>
  <si>
    <t>WHITE Switch 1G 2W</t>
  </si>
  <si>
    <t>WACC_054</t>
  </si>
  <si>
    <t>912</t>
  </si>
  <si>
    <t>WHITE Switch 2G 2W</t>
  </si>
  <si>
    <t>WACC_055</t>
  </si>
  <si>
    <t>942</t>
  </si>
  <si>
    <t>Included above</t>
  </si>
  <si>
    <t>BATT Cables</t>
  </si>
  <si>
    <t>Cleveland</t>
  </si>
  <si>
    <t>Power Cable   5c  120 mm2 XLPE SWA-PVC</t>
  </si>
  <si>
    <t>Power Cable   5c   70 mm2 XLPE SWA-PVC</t>
  </si>
  <si>
    <t>Power Cable   5c   50 mm2 XLPE SWA-PVC</t>
  </si>
  <si>
    <t>Power Cable   5c  185 mm2 XLPE SWA-PVC</t>
  </si>
  <si>
    <t>Power Cable   5c  150 mm2 XLPE SWA-PVC</t>
  </si>
  <si>
    <t>Power Cable   5c   95 mm2 XLPE SWA-PVC</t>
  </si>
  <si>
    <t>Power Cable   5c   35 mm2 XLPE SWA-PVC</t>
  </si>
  <si>
    <t>Conduit Stainless Steel Coupler 20mm</t>
  </si>
  <si>
    <t>Conduit Stainless Steel 32mm RATE</t>
  </si>
  <si>
    <t>Conduit Stainless Steel Male Bush 32mm</t>
  </si>
  <si>
    <t>Conduit Stainless Steel Coupler 32mm</t>
  </si>
  <si>
    <t>Conduit Stainless Steel Saddle 32mm</t>
  </si>
  <si>
    <t>Conduit Stainless Steel Bend 32mm</t>
  </si>
  <si>
    <t>Added one at accesssory for side entry</t>
  </si>
  <si>
    <t xml:space="preserve">Conduit Galv. Stainless Steel Angle box 20mm </t>
  </si>
  <si>
    <t>For side entry at accessory</t>
  </si>
  <si>
    <t>Conduit Stainless Steel flanged coupler 25mm</t>
  </si>
  <si>
    <t>Conduit Stainless Steel flanged Coupler 32mm</t>
  </si>
  <si>
    <t>Conduit Stainless Silicon washer 32mm</t>
  </si>
  <si>
    <t>Conduit Stainless Steel silicon washer 25mm</t>
  </si>
  <si>
    <t>Conduit Silicon washer 20mm</t>
  </si>
  <si>
    <t>LSZH</t>
  </si>
  <si>
    <t>Material cost included above</t>
  </si>
  <si>
    <t>OK</t>
  </si>
  <si>
    <t>Labour to manufacture Brackets (FIX 1)</t>
  </si>
  <si>
    <t xml:space="preserve">Threaded Rod Galv. 10mm </t>
  </si>
  <si>
    <t xml:space="preserve">Galv. Nut  10mm </t>
  </si>
  <si>
    <t>1.2metre brackets - 65No.</t>
  </si>
  <si>
    <t xml:space="preserve">Tray Washers M6 </t>
  </si>
  <si>
    <t>07-003</t>
  </si>
  <si>
    <t>1.0metre brackets - 40No.</t>
  </si>
  <si>
    <t>700mm brackets - 40No.</t>
  </si>
  <si>
    <t>200mm brackets - 60No.</t>
  </si>
  <si>
    <t>Three hole angle Hilti 90deg</t>
  </si>
  <si>
    <t>EMAT_045</t>
  </si>
  <si>
    <t>MW-3</t>
  </si>
  <si>
    <t>07-005</t>
  </si>
  <si>
    <t>850mm brackets - 25No.</t>
  </si>
  <si>
    <t>Bracketing in warehouse - in next rate</t>
  </si>
  <si>
    <t>In Warehouse</t>
  </si>
  <si>
    <t>Double</t>
  </si>
  <si>
    <t>013# 3Pin 16Amp IP67 Unswitched Socket outlet</t>
  </si>
  <si>
    <t>014# 3Pin 16Amp IP67 Interlocked Socket outlet</t>
  </si>
  <si>
    <t>015# 5Pin 16Amp IP67 Interlocked Socket outlet</t>
  </si>
  <si>
    <t>016# 5Pin 32Amp IP67 Interlocked Socket outlet</t>
  </si>
  <si>
    <t>Calleja - ST753</t>
  </si>
  <si>
    <t>GENS_022</t>
  </si>
  <si>
    <t>Diesel Fuel</t>
  </si>
  <si>
    <t>Scissors Lift</t>
  </si>
  <si>
    <t>Based on: Contianment in level 2</t>
  </si>
  <si>
    <t>Scissors Lift - included in separate rate</t>
  </si>
  <si>
    <t xml:space="preserve">AT5075 HDG </t>
  </si>
  <si>
    <t xml:space="preserve">Trunking Cable Trays &amp; Covers / L:3000mm / HDG </t>
  </si>
  <si>
    <t xml:space="preserve">MT </t>
  </si>
  <si>
    <t xml:space="preserve">AT7575 HDG </t>
  </si>
  <si>
    <t xml:space="preserve">AT75100 HDG </t>
  </si>
  <si>
    <t xml:space="preserve">AT75125 HDG </t>
  </si>
  <si>
    <t xml:space="preserve">AT75150 HDG </t>
  </si>
  <si>
    <t xml:space="preserve">AT75250 HDG </t>
  </si>
  <si>
    <t xml:space="preserve">AT100200 HDG </t>
  </si>
  <si>
    <t xml:space="preserve">AT100400 HDG </t>
  </si>
  <si>
    <t xml:space="preserve">1,5 </t>
  </si>
  <si>
    <t xml:space="preserve">ATY90-5075 HDG </t>
  </si>
  <si>
    <t xml:space="preserve">Trunking 90° Horizontal Bends &amp; Covers / HDG </t>
  </si>
  <si>
    <t xml:space="preserve">PCS </t>
  </si>
  <si>
    <t xml:space="preserve">ATY90-7575 HDG </t>
  </si>
  <si>
    <t xml:space="preserve">ATY90-75100 HDG </t>
  </si>
  <si>
    <t xml:space="preserve">ATY90-75125 HDG </t>
  </si>
  <si>
    <t xml:space="preserve">ATY90-75150 HDG </t>
  </si>
  <si>
    <t xml:space="preserve">ATY90-75250 HDG </t>
  </si>
  <si>
    <t xml:space="preserve">ATY90-100200 HDG </t>
  </si>
  <si>
    <t xml:space="preserve">ATY90-100400 HDG </t>
  </si>
  <si>
    <t xml:space="preserve">ATD90-5075 HDG </t>
  </si>
  <si>
    <t xml:space="preserve">Trunking 90° Vertical Bends &amp; Covers / HDG </t>
  </si>
  <si>
    <t xml:space="preserve">ATD90-7575 HDG </t>
  </si>
  <si>
    <t xml:space="preserve">ATD90-75100 HDG </t>
  </si>
  <si>
    <t xml:space="preserve">ATD90-75125 HDG </t>
  </si>
  <si>
    <t xml:space="preserve">ATD90-75150 HDG </t>
  </si>
  <si>
    <t xml:space="preserve">ATD90-75250 HDG </t>
  </si>
  <si>
    <t xml:space="preserve">ATD90-100200 HDG </t>
  </si>
  <si>
    <t xml:space="preserve">ATD90-100400 HDG </t>
  </si>
  <si>
    <t xml:space="preserve">ATYT-5075 HDG </t>
  </si>
  <si>
    <t xml:space="preserve">Trunking Tee Horizontal Bends &amp; Covers / HDG </t>
  </si>
  <si>
    <t xml:space="preserve">ATYT-7575 HDG </t>
  </si>
  <si>
    <t xml:space="preserve">ATYT-75100 HDG </t>
  </si>
  <si>
    <t xml:space="preserve">ATYT-75125 HDG </t>
  </si>
  <si>
    <t xml:space="preserve">ATYT-75150 HDG </t>
  </si>
  <si>
    <t xml:space="preserve">ATYT-75250 HDG </t>
  </si>
  <si>
    <t xml:space="preserve">ATYT-100200 HDG </t>
  </si>
  <si>
    <t xml:space="preserve">ATYT-100400 HDG </t>
  </si>
  <si>
    <t xml:space="preserve">A 05-05A-08 H.D.G. </t>
  </si>
  <si>
    <t xml:space="preserve">Heavy Duty Cable Tray / L:3000 mm / H.D.G. </t>
  </si>
  <si>
    <t xml:space="preserve">1,2 </t>
  </si>
  <si>
    <t xml:space="preserve">A 10-05A-08 H.D.G. </t>
  </si>
  <si>
    <t xml:space="preserve">0,8 </t>
  </si>
  <si>
    <t xml:space="preserve">A 20-05A-08 H.D.G. </t>
  </si>
  <si>
    <t xml:space="preserve">A 25-05A-10 H.D.G. </t>
  </si>
  <si>
    <t xml:space="preserve">A 30-05A-10 H.D.G. </t>
  </si>
  <si>
    <t xml:space="preserve">A 40-05A-12 H.D.G. </t>
  </si>
  <si>
    <t xml:space="preserve">A 50-05A-15 H.D.G. </t>
  </si>
  <si>
    <t xml:space="preserve">A1-05-12 H.D.G. </t>
  </si>
  <si>
    <t xml:space="preserve">Straight Coupler H:50 mm (250 pcs in a box) H.D.G. </t>
  </si>
  <si>
    <t xml:space="preserve">L:140 </t>
  </si>
  <si>
    <t xml:space="preserve">A 05-K-08 H.D.G. </t>
  </si>
  <si>
    <t xml:space="preserve">Cover / L:3000 mm / H.D.G. </t>
  </si>
  <si>
    <t xml:space="preserve">A 10-K-08 H.D.G. </t>
  </si>
  <si>
    <t xml:space="preserve">A 20-K-08 H.D.G. </t>
  </si>
  <si>
    <t xml:space="preserve">A 26-K-10 H.D.G. </t>
  </si>
  <si>
    <t xml:space="preserve">A 30-K-10 H.D.G. </t>
  </si>
  <si>
    <t xml:space="preserve">A 50-K-15 H.D.G. </t>
  </si>
  <si>
    <t xml:space="preserve">AKT-1-5 D </t>
  </si>
  <si>
    <t xml:space="preserve">Cover Clamp ( no need screw) / 200 pcs in a box Dacromet </t>
  </si>
  <si>
    <t xml:space="preserve">ACD-41-21-15 </t>
  </si>
  <si>
    <t xml:space="preserve">C Support with Slots 21X41 / L:6000mm / P.G. </t>
  </si>
  <si>
    <t xml:space="preserve">ACD-41-41-15 </t>
  </si>
  <si>
    <t xml:space="preserve">C Support with Slots 41X41 / L:6000mm / P.G. </t>
  </si>
  <si>
    <t xml:space="preserve">AT-0 </t>
  </si>
  <si>
    <t xml:space="preserve">Threaded Rod / L:2000 mm ( 50 Pcs in box) </t>
  </si>
  <si>
    <t xml:space="preserve">M6 </t>
  </si>
  <si>
    <t xml:space="preserve">AT-1 </t>
  </si>
  <si>
    <t xml:space="preserve">M8 </t>
  </si>
  <si>
    <t>CIF</t>
  </si>
  <si>
    <t>Includes 125x75mm</t>
  </si>
  <si>
    <t xml:space="preserve">Trunking Galv. 200x100m </t>
  </si>
  <si>
    <t xml:space="preserve">Trunking Galv. 200x100mm </t>
  </si>
  <si>
    <t>Tray  500mm  Galv.     Cover</t>
  </si>
  <si>
    <t>Qty</t>
  </si>
  <si>
    <t>Decription</t>
  </si>
  <si>
    <t>Hydrolectric</t>
  </si>
  <si>
    <t>Industrial sockets</t>
  </si>
  <si>
    <t>Type 1</t>
  </si>
  <si>
    <t>Type 2</t>
  </si>
  <si>
    <t>Type 3</t>
  </si>
  <si>
    <t>Floor outlet boxes (without accessories)</t>
  </si>
  <si>
    <t>CASP_100</t>
  </si>
  <si>
    <t>HDMI cable from Scan</t>
  </si>
  <si>
    <t>HDMI cable from scan</t>
  </si>
  <si>
    <t>for HDMI only</t>
  </si>
  <si>
    <t>WACC_279</t>
  </si>
  <si>
    <t>MK Insignia</t>
  </si>
  <si>
    <t>K 14331  WHI</t>
  </si>
  <si>
    <t>WHITE HDMI outlet</t>
  </si>
  <si>
    <t>Behind TV and in floor box</t>
  </si>
  <si>
    <t>Hydro - price from floor outlet box</t>
  </si>
  <si>
    <t>MQT-21-41</t>
  </si>
  <si>
    <t>Calleja - ST700C</t>
  </si>
  <si>
    <t>ESS</t>
  </si>
  <si>
    <t>Palazzoli</t>
  </si>
  <si>
    <t>SC-CL011</t>
  </si>
  <si>
    <t>SC-CMA401</t>
  </si>
  <si>
    <t>SC-CMA402</t>
  </si>
  <si>
    <t>SC-OA035AG</t>
  </si>
  <si>
    <t>SC-OA20021WH</t>
  </si>
  <si>
    <t>SC-CL052</t>
  </si>
  <si>
    <t>SC-CL050</t>
  </si>
  <si>
    <t>SC-CL036</t>
  </si>
  <si>
    <t>SC-CMA652</t>
  </si>
  <si>
    <t>SC-CMA053</t>
  </si>
  <si>
    <t>SC-CMA035</t>
  </si>
  <si>
    <t>SC-CMA036</t>
  </si>
  <si>
    <t>Perry - PE-7245</t>
  </si>
  <si>
    <t>SECTION 4 - FIRE SOPPING</t>
  </si>
  <si>
    <t>FIRE STOPPING</t>
  </si>
  <si>
    <t>Fire stopping of all services through fire compartments including all supplies of firestopping intumescent blocks, fire rated expanding foam, intumescent mastic, intumescent pillows,  etc. for a complete installation. Fire stopping shall be done from both sides of the fire compartment.</t>
  </si>
  <si>
    <t>150 x 150 mm</t>
  </si>
  <si>
    <t>200 x 200 mm</t>
  </si>
  <si>
    <t>300 x 100 mm</t>
  </si>
  <si>
    <t>300 x 200 mm</t>
  </si>
  <si>
    <t>300 x 300 mm</t>
  </si>
  <si>
    <t>400 x 200 mm</t>
  </si>
  <si>
    <t>400 x 300 mm</t>
  </si>
  <si>
    <t>400 x 400 mm</t>
  </si>
  <si>
    <t>500 x 100 mm</t>
  </si>
  <si>
    <t>500 x 200 mm</t>
  </si>
  <si>
    <t>500 x 300 mm</t>
  </si>
  <si>
    <t>500 x 400 mm</t>
  </si>
  <si>
    <t>500 x 500 mm</t>
  </si>
  <si>
    <t>600 x 100 mm</t>
  </si>
  <si>
    <t>600 x 200 mm</t>
  </si>
  <si>
    <t>600 x 300 mm</t>
  </si>
  <si>
    <t>600 x 400 mm</t>
  </si>
  <si>
    <t>600 x 500 mm</t>
  </si>
  <si>
    <t>600 x 600 mm</t>
  </si>
  <si>
    <t>700 x 100 mm</t>
  </si>
  <si>
    <t>700 x 200 mm</t>
  </si>
  <si>
    <t>700 x 300 mm</t>
  </si>
  <si>
    <t>700 x 400 mm</t>
  </si>
  <si>
    <t>700 x 500 mm</t>
  </si>
  <si>
    <t>700 x 600 mm</t>
  </si>
  <si>
    <t>800 x 200 mm</t>
  </si>
  <si>
    <t>800 x 300 mm</t>
  </si>
  <si>
    <t>800 x 400 mm</t>
  </si>
  <si>
    <t>800 x 500 mm</t>
  </si>
  <si>
    <t>900 x 200 mm</t>
  </si>
  <si>
    <t>900 x 300 mm</t>
  </si>
  <si>
    <t>900 x 400 mm</t>
  </si>
  <si>
    <t>900 x 500 mm</t>
  </si>
  <si>
    <t>1000 x 200 mm</t>
  </si>
  <si>
    <t>1000 x 300 mm</t>
  </si>
  <si>
    <t>1000 x 400 mm</t>
  </si>
  <si>
    <t>1000 x 500 mm</t>
  </si>
  <si>
    <t>1100 x 200 mm</t>
  </si>
  <si>
    <t>1100 x 300 mm</t>
  </si>
  <si>
    <t>1100 x 400 mm</t>
  </si>
  <si>
    <t>1100 x 500 mm</t>
  </si>
  <si>
    <t>1200 x 200 mm</t>
  </si>
  <si>
    <t>1200 x 300 mm</t>
  </si>
  <si>
    <t>1200 x 400 mm</t>
  </si>
  <si>
    <t>1300 x 200 mm</t>
  </si>
  <si>
    <t>1300 x 300 mm</t>
  </si>
  <si>
    <t>1300 x 400 mm</t>
  </si>
  <si>
    <t>1400 x 200 mm</t>
  </si>
  <si>
    <t>1400 x 300 mm</t>
  </si>
  <si>
    <t>1400 x 400 mm</t>
  </si>
  <si>
    <t>1500 x 200 mm</t>
  </si>
  <si>
    <t>1500 x 300 mm</t>
  </si>
  <si>
    <t>dia. 175 mm</t>
  </si>
  <si>
    <t>dia. 200 mm</t>
  </si>
  <si>
    <t>dia. 250 mm</t>
  </si>
  <si>
    <t>dia. 300 mm</t>
  </si>
  <si>
    <t>dia. 350 mm</t>
  </si>
  <si>
    <t>Provision for inspecting of all fire compartmentation walls as indicated on drawings to ensure that all penetrations, openings etc. are filled with fire stopping material, c/w all necessary fire stopping materials for the making good of any encountered penetrations/openings.</t>
  </si>
  <si>
    <t>Certification of all fire compartments walls and ceilings to meet the fire rating specified in the fire report</t>
  </si>
  <si>
    <t>TOTAL FOR FIRE STOPPING</t>
  </si>
  <si>
    <t>TOTAL FOR SECTION 4 - FIRE STOPPING</t>
  </si>
  <si>
    <t xml:space="preserve"> FIRE BARRIERS</t>
  </si>
  <si>
    <t>FIBA_001</t>
  </si>
  <si>
    <t>MCE Ltd</t>
  </si>
  <si>
    <t>Lightning Protection System (MCE Ltd)</t>
  </si>
  <si>
    <t>NAS Ltd.</t>
  </si>
  <si>
    <t>005# Externall Light point rate (Galvanised Conduit)</t>
  </si>
  <si>
    <t>006# Light point rate (Galvanised Conduit)  in Warehouse</t>
  </si>
  <si>
    <t>007# Bracketing for Lighting in Warehouse</t>
  </si>
  <si>
    <t>008# Maintained Emergency Light point rate (Galvanised Conduit)</t>
  </si>
  <si>
    <t>009# Power points rate (Galvanised conduit)</t>
  </si>
  <si>
    <t>010# Power points rate galvanised conduit (CWZ LSZH Cable)</t>
  </si>
  <si>
    <t>011# Power points rate LSZH conduit (CWZ LSZH Cable)</t>
  </si>
  <si>
    <t>012# Single phase isolator / socket outlet point Galvanised conduit</t>
  </si>
  <si>
    <t>013# Single phase isolator / socket outlet point Stainless Steel conduit</t>
  </si>
  <si>
    <t>014# 3Pin 16Amp IP67 Unswitched Socket outlet</t>
  </si>
  <si>
    <t>015# 3Pin 16Amp IP67 Interlocked Socket outlet</t>
  </si>
  <si>
    <t>016# 5Pin 16Amp IP67 Interlocked Socket outlet</t>
  </si>
  <si>
    <t>017# 5Pin 32Amp IP67 Interlocked Socket outlet</t>
  </si>
  <si>
    <t>018# 1-Phase 25/32A Isolator</t>
  </si>
  <si>
    <t>019# 3-Phase 16A Isolator</t>
  </si>
  <si>
    <t>020# 3-Phase 20/25/32A Isolator</t>
  </si>
  <si>
    <t>021# 3-Phase 40A Isolator</t>
  </si>
  <si>
    <t>022# 3-Phase 63A Isolator</t>
  </si>
  <si>
    <t>023# 5 x 300mm2  F120 Fire Resistant Cable (BS7846) - XLPE/SWA/LSZH</t>
  </si>
  <si>
    <t>024# 5 x 240mm2  F120 Fire Resistant Cable (BS7846) -  XLPE/SWA/LSZH</t>
  </si>
  <si>
    <t>025# 5 x 185mm2 XLPE/SWA/LSZH</t>
  </si>
  <si>
    <t>026# 5 x 150mm2 XLPE/SWA/LSZH</t>
  </si>
  <si>
    <t>027# 5 x 120mm2 F120 Fire Resistant Cable (BS7846) -  XLPE/SWA/LSZH</t>
  </si>
  <si>
    <t>028# 5 x 120mm2 XLPE/SWA/LSZH</t>
  </si>
  <si>
    <t>029# 5 x 95mm2 F120 Fire Resistant Cable (BS7846) -  XLPE/SWA/LSZH</t>
  </si>
  <si>
    <t>030# 5 x 95mm2 XLPE/SWA/LSZH</t>
  </si>
  <si>
    <t>031# 5 x 70mm2  F120 Fire Resistant Cable (BS7846) - XLPE/SWA/LSZH</t>
  </si>
  <si>
    <t>032# 5 x 50mm2  F120 Fire Resistant Cable (BS7846) - XLPE/SWA/LSZH</t>
  </si>
  <si>
    <t>033# 5 x 35mm2 F120 Fire Resistant Cable (BS7846) -  XLPE/SWA/LSZH</t>
  </si>
  <si>
    <t>034# 5 x 35mm2 XLPE/SWA/LSZH</t>
  </si>
  <si>
    <t>035# 5 x 25mm2 F120 Fire Resistant Cable (BS7846) -  XLPE/SWA/LSZH</t>
  </si>
  <si>
    <t>036# 5 x 25mm2 XLPE/SWA/LSZH</t>
  </si>
  <si>
    <t>037# 5 x 16mm2 F120 Fire Resistant Cable (BS7846) -  XLPE/SWA/LSZH</t>
  </si>
  <si>
    <t>038# 5 x 16mm2 XLPE/SWA/LSZH</t>
  </si>
  <si>
    <t>039# 5 x 10mm2 F120 Fire Resistant Cable (BS7846) -  XLPE/SWA/LSZH</t>
  </si>
  <si>
    <t>040# 5 x 10mm2 XLPE/SWA/LSZH</t>
  </si>
  <si>
    <t>041# 3 x 10mm2 LSZH/LSZH</t>
  </si>
  <si>
    <t>042# 5 x 6mm2 XLPE/SWA/LSZH</t>
  </si>
  <si>
    <t>043# 3 x 6mm2 LSZH/LSZH</t>
  </si>
  <si>
    <t>044# 5 x 4mm2 F120 Fire Resistant Cable (BS7846) -  XLPE/SWA/LSZH</t>
  </si>
  <si>
    <t>045# 5 x 4mm2 XLPE/SWA/LSZH</t>
  </si>
  <si>
    <t>046# 3 x 4mm2 XLPE/SWA/LSZH</t>
  </si>
  <si>
    <t>047# 5 x 2.5mm2 F120 Fire Resistant Cable (BS7846) -  XLPE/SWA/LSZH</t>
  </si>
  <si>
    <t>048# 5 x 2.5mm2 XLPE/SWA/LSZH</t>
  </si>
  <si>
    <t>049# 5 x 2.5mm2 XLPE/SWA/LSZH in stainless steel sleeves at warehouse level 0</t>
  </si>
  <si>
    <t>050# Install only Light fitting Type A1</t>
  </si>
  <si>
    <t>051# Install only Light fitting Type A2</t>
  </si>
  <si>
    <t>052# Install only Light fitting Type B1</t>
  </si>
  <si>
    <t>053# Install only Light fitting Type B2</t>
  </si>
  <si>
    <t>054# Install only Light fitting Type C2</t>
  </si>
  <si>
    <t>055# Install only Light fitting Type D1</t>
  </si>
  <si>
    <t>056# Install only Light fitting Type E1</t>
  </si>
  <si>
    <t>057# Install only Light fitting Type E2</t>
  </si>
  <si>
    <t>058# Install only Light fitting Type F1</t>
  </si>
  <si>
    <t>059# Install only Light fitting Type F2</t>
  </si>
  <si>
    <t>060# Install only Light fitting Type G1</t>
  </si>
  <si>
    <t>061# Install only Light fitting Type G2</t>
  </si>
  <si>
    <t>062# Install only Light fitting Type G3</t>
  </si>
  <si>
    <t>063# Install only Light fitting Type G4</t>
  </si>
  <si>
    <t>064# Install only Light fitting Type H1</t>
  </si>
  <si>
    <t>065# Install only Light fitting Type I1</t>
  </si>
  <si>
    <t>066# Install only Light fitting Type J1</t>
  </si>
  <si>
    <t>067# Install only Light fitting Type J2</t>
  </si>
  <si>
    <t>068# Install only Light fitting Type J3</t>
  </si>
  <si>
    <t>069# Install only Light fitting Type L1</t>
  </si>
  <si>
    <t>070# Install only Light fitting Type M1</t>
  </si>
  <si>
    <t>071# 500mm cable Tray</t>
  </si>
  <si>
    <t>072# 400mm cable Tray</t>
  </si>
  <si>
    <t>073# 300mm cable Tray</t>
  </si>
  <si>
    <t>074# 200mm cable Tray</t>
  </si>
  <si>
    <t>075# 100mm cable Tray</t>
  </si>
  <si>
    <t>076# 50mm Galvanised Steel Cable tray</t>
  </si>
  <si>
    <t>077# 75x50mm galvanised steel cable trunking</t>
  </si>
  <si>
    <t>078# 75x75mm galvanised steel cable trunking</t>
  </si>
  <si>
    <t>079# 100x75mm galvanised steel cable trunking</t>
  </si>
  <si>
    <t>080# 150x75mm galvanised steel cable trunking</t>
  </si>
  <si>
    <t>081# 200x100mm galvanised steel cable trunking</t>
  </si>
  <si>
    <t>082# 250x75mm galvanised steel cable trunking</t>
  </si>
  <si>
    <t>083# 400x100mm galvanised steel cable trunking</t>
  </si>
  <si>
    <t>084# Bracket for 50-150mm cable tray/basket/trunking</t>
  </si>
  <si>
    <t>085# Bracket for 200-300mm cable tray/basket</t>
  </si>
  <si>
    <t>086# Bracket for 400-600mm cable tray/basket</t>
  </si>
  <si>
    <t>087# Bracket for Cable containment in warehouse</t>
  </si>
  <si>
    <t>088# Scissors lift in Warehouse for cable tray and trunking (Excluding bracketing)</t>
  </si>
  <si>
    <t>090# LSZH Conduit point for Data</t>
  </si>
  <si>
    <t>091# Galvanised Conduit points for Fire alarm devices</t>
  </si>
  <si>
    <t>092# LSZH Conduit points for Fire alarm devices</t>
  </si>
  <si>
    <t>093# Galvanised Conduit points for access control</t>
  </si>
  <si>
    <t>094# LSZH Conduit points for access control</t>
  </si>
  <si>
    <t>095# LSZH Conduit points for Bathroom Alarm</t>
  </si>
  <si>
    <t>EV chargers</t>
  </si>
  <si>
    <t>average for level 0 - 11metres</t>
  </si>
  <si>
    <t>59No. Cameras</t>
  </si>
  <si>
    <t>average for level -1 - 5metres</t>
  </si>
  <si>
    <t>61No. Cameras</t>
  </si>
  <si>
    <t>089# Galvanised Conduit point for Data at level -1</t>
  </si>
  <si>
    <t>089# Galvanised Conduit point for Data at level 0</t>
  </si>
  <si>
    <t>Additional cable trunking in warehouse - to be installed at Level 1</t>
  </si>
  <si>
    <t>Additional cable trunking at Level -1</t>
  </si>
  <si>
    <t>Stainless Steel conduit at Level 0 Cold Warehouse</t>
  </si>
  <si>
    <t>Conduit Stainless Back Box</t>
  </si>
  <si>
    <t>In cold warehouse</t>
  </si>
  <si>
    <t>Not applicable</t>
  </si>
  <si>
    <t>Reflector only</t>
  </si>
  <si>
    <t>Scissor lift for warehouse for 18No. Detectors</t>
  </si>
  <si>
    <t xml:space="preserve">Included </t>
  </si>
  <si>
    <t>Solar Solutions</t>
  </si>
  <si>
    <t>Tender</t>
  </si>
  <si>
    <t>T.Sammut</t>
  </si>
  <si>
    <t>Included with testing item 4.515</t>
  </si>
  <si>
    <t>Communication</t>
  </si>
  <si>
    <t>MEE25-0063</t>
  </si>
  <si>
    <t xml:space="preserve"> PAGE: 10</t>
  </si>
  <si>
    <t>PAGE:  9</t>
  </si>
  <si>
    <t xml:space="preserve"> PAGE: 1 </t>
  </si>
  <si>
    <t xml:space="preserve"> PAGE: 2</t>
  </si>
  <si>
    <t xml:space="preserve"> PAGE: 12</t>
  </si>
  <si>
    <t xml:space="preserve"> PAGE: 11</t>
  </si>
  <si>
    <t xml:space="preserve"> PAGE: 13</t>
  </si>
  <si>
    <t xml:space="preserve"> PAGE: 14</t>
  </si>
  <si>
    <t xml:space="preserve"> PAGE: 16</t>
  </si>
  <si>
    <t xml:space="preserve"> PAGE: 17</t>
  </si>
  <si>
    <t xml:space="preserve"> PAGE: 18</t>
  </si>
  <si>
    <t xml:space="preserve"> PAGE: 19</t>
  </si>
  <si>
    <t xml:space="preserve"> PAGE: 20</t>
  </si>
  <si>
    <t xml:space="preserve"> PAGE: 21</t>
  </si>
  <si>
    <t xml:space="preserve"> PAGE: 22</t>
  </si>
  <si>
    <t xml:space="preserve"> PAGE: 23</t>
  </si>
  <si>
    <t xml:space="preserve"> PAGE: 24</t>
  </si>
  <si>
    <t xml:space="preserve"> PAGE: 25</t>
  </si>
  <si>
    <t xml:space="preserve"> PAGE: 26</t>
  </si>
  <si>
    <t xml:space="preserve"> PAGE: 27</t>
  </si>
  <si>
    <t xml:space="preserve"> PAGE: 28</t>
  </si>
  <si>
    <t xml:space="preserve"> PAGE: 29</t>
  </si>
  <si>
    <t xml:space="preserve"> PAGE: 30</t>
  </si>
  <si>
    <t xml:space="preserve"> PAGE: 31</t>
  </si>
  <si>
    <t xml:space="preserve"> PAGE: 33</t>
  </si>
  <si>
    <t xml:space="preserve"> PAGE: 34</t>
  </si>
  <si>
    <t xml:space="preserve"> PAGE: 35</t>
  </si>
  <si>
    <t xml:space="preserve"> PAGE: 36</t>
  </si>
  <si>
    <t xml:space="preserve"> PAGE: 32</t>
  </si>
  <si>
    <t xml:space="preserve"> PAGE: 37</t>
  </si>
  <si>
    <t>Based on PO by Josef Gatt to MCE</t>
  </si>
  <si>
    <t>2No. Fans</t>
  </si>
  <si>
    <t>Variable speed drives</t>
  </si>
  <si>
    <t>Installation Only</t>
  </si>
  <si>
    <t>Control cables</t>
  </si>
  <si>
    <t>Power Cable  12c  2.5 mm2 PVC SWA-PVC</t>
  </si>
  <si>
    <t>CAMC_040</t>
  </si>
  <si>
    <t>Gland Outdoor 32  CW  4*25/35mm2</t>
  </si>
  <si>
    <t>CAAC_057</t>
  </si>
  <si>
    <t>Sleeve Anchor 12mm Hilti HLC 12x75/37-H</t>
  </si>
  <si>
    <t>CONS_039</t>
  </si>
  <si>
    <t>HLC 12x75/37-H</t>
  </si>
  <si>
    <t>Gland 32  A2  BRASS</t>
  </si>
  <si>
    <t>CAAC_031</t>
  </si>
  <si>
    <t>Gland 25  A2  BRASS</t>
  </si>
  <si>
    <t>CAAC_030</t>
  </si>
  <si>
    <t>Approx €25/daily - info from Godwin by phone</t>
  </si>
  <si>
    <t>Labour only (FIX 3)</t>
  </si>
  <si>
    <t>LABO_007</t>
  </si>
  <si>
    <t>Data point at each EV charger and controller</t>
  </si>
  <si>
    <t>Data point wiring</t>
  </si>
  <si>
    <t>Installation of chargers</t>
  </si>
  <si>
    <t>Power supply to EV charge controller and installation complete with CTs and MFM</t>
  </si>
  <si>
    <t>Testing</t>
  </si>
  <si>
    <t>Termination</t>
  </si>
  <si>
    <t>Wall Plates</t>
  </si>
  <si>
    <t>Data Switch  8 port</t>
  </si>
  <si>
    <t>DATA_042</t>
  </si>
  <si>
    <t>Data Patch Leads CAT6  FTP 1m</t>
  </si>
  <si>
    <t>DATA_037</t>
  </si>
  <si>
    <t>Data Switch / 24volt power supply and OVR</t>
  </si>
  <si>
    <t>24volt power supply</t>
  </si>
  <si>
    <t>OVR</t>
  </si>
  <si>
    <t>Installation of Controller/MFM anc CTs</t>
  </si>
  <si>
    <t>ELV Installation (NAS Ltd)</t>
  </si>
  <si>
    <t>DOCS_001</t>
  </si>
  <si>
    <t>Mobilisation</t>
  </si>
  <si>
    <t>Refer to covering letter</t>
  </si>
  <si>
    <t>Risk Assessment</t>
  </si>
  <si>
    <t>H&amp;S Site Visits</t>
  </si>
  <si>
    <t>Hours</t>
  </si>
  <si>
    <t>Office labour</t>
  </si>
  <si>
    <t>By Client</t>
  </si>
  <si>
    <t>To be advised</t>
  </si>
  <si>
    <t>Skips</t>
  </si>
  <si>
    <t>Included with MEP preliminaries</t>
  </si>
  <si>
    <t>Assembly - Technician</t>
  </si>
  <si>
    <t>Indoor Screened  !E Cable  1.5mm</t>
  </si>
  <si>
    <t>A0 "As Fitted Drawing" (Print) @2!Eents/sq.foot</t>
  </si>
  <si>
    <t>Controls ECA</t>
  </si>
  <si>
    <t xml:space="preserve">Indoor Screened  3c Cable 1.0mm </t>
  </si>
  <si>
    <t>CASP_018</t>
  </si>
  <si>
    <t>LAPP</t>
  </si>
  <si>
    <t>110CY</t>
  </si>
  <si>
    <t>Enclosure Polyester IP65</t>
  </si>
  <si>
    <t>Joint box</t>
  </si>
  <si>
    <t>CPAN_214</t>
  </si>
  <si>
    <t>2No. Float switches as per schematic</t>
  </si>
  <si>
    <t>Float Switch General</t>
  </si>
  <si>
    <t>CPAN_222</t>
  </si>
  <si>
    <t>At high level</t>
  </si>
  <si>
    <t>For EPF Fans</t>
  </si>
  <si>
    <t>for EPF fans</t>
  </si>
  <si>
    <t>For Impluse fans</t>
  </si>
  <si>
    <t>047# 5 x 2.5mm2 F120 Fire Resistant Cable (BS7846) -  XLPE/SWA/LSZH - at high level</t>
  </si>
  <si>
    <t>for jet fans</t>
  </si>
  <si>
    <t>Included with fire barriers above</t>
  </si>
  <si>
    <t>Fire rated</t>
  </si>
  <si>
    <t>FIRE RATED</t>
  </si>
  <si>
    <t>Surface Isolator  16A  4-Pole (Lockable)</t>
  </si>
  <si>
    <t>Bracket Custom_1</t>
  </si>
  <si>
    <t>EMAT_070</t>
  </si>
  <si>
    <t>01-007</t>
  </si>
  <si>
    <t>Days</t>
  </si>
  <si>
    <t>Operator</t>
  </si>
  <si>
    <t>Delivery of cherry picker</t>
  </si>
  <si>
    <t>Rates quoted by Gledys updated by 50%</t>
  </si>
  <si>
    <t>times</t>
  </si>
  <si>
    <t xml:space="preserve">Testing and Commissiong </t>
  </si>
  <si>
    <t>Under/over voltage relay on DB-EV mains</t>
  </si>
  <si>
    <t>SWLV_395</t>
  </si>
  <si>
    <t xml:space="preserve">To control DB incoming MCCB </t>
  </si>
  <si>
    <t>Mechanical item</t>
  </si>
  <si>
    <t>See quotation from Dione Cassar ESS</t>
  </si>
  <si>
    <t>Fire Stopping rates</t>
  </si>
  <si>
    <t>reduced labour for the stainless steel conduit</t>
  </si>
  <si>
    <t>removed the 5% contingency on all cables</t>
  </si>
  <si>
    <t>reduced the 50% contingency to 10% on fire barriers material cost</t>
  </si>
  <si>
    <t>deducted 5% discount from NAS Ltd quote</t>
  </si>
  <si>
    <t>reduced mark ups by 5%</t>
  </si>
  <si>
    <t>reduced rate for galvanised conduit</t>
  </si>
  <si>
    <t>Based on: 1.5metres intervals</t>
  </si>
  <si>
    <t>Based on: @ 1.5metres intervals</t>
  </si>
  <si>
    <t>changed interval of brackets from 1.2m to 1.5m</t>
  </si>
  <si>
    <t>Updated rate in item 7.052 - Data</t>
  </si>
  <si>
    <t>Reduced labour hours for installation of fire barriers</t>
  </si>
  <si>
    <t>BOQ item</t>
  </si>
  <si>
    <t>Comments</t>
  </si>
  <si>
    <t>4.068 and 4.069</t>
  </si>
  <si>
    <t>High cost due to cable rate.</t>
  </si>
  <si>
    <t>4.068 material only - €134</t>
  </si>
  <si>
    <t>4.06 material only - €107</t>
  </si>
  <si>
    <t>L/LA1/04</t>
  </si>
  <si>
    <t>New take off</t>
  </si>
  <si>
    <t>L/LA1/05</t>
  </si>
  <si>
    <t>Deducted stainless steel conduit for armoured cables in freezer</t>
  </si>
  <si>
    <t>Reduced scissors lift rate in ware house bracketing</t>
  </si>
  <si>
    <t>Added more take offs for external lights</t>
  </si>
  <si>
    <t>Reduced scissors lift in item 7.052  - data</t>
  </si>
  <si>
    <t>Note: Mark Ups include 2% measurement fee for C&amp;C and 0.6% CAR insurance - Email from Kris Micallef dated 11th February 2025</t>
  </si>
  <si>
    <t>Removed 25% contingency for scissors lift</t>
  </si>
  <si>
    <t>Saddles for stainless steel at 1.5metres</t>
  </si>
  <si>
    <t>Reduced small cable trunking labour - rate includes fittings</t>
  </si>
  <si>
    <t>Lowered bracket labour for lighting in warehouse - rate 007</t>
  </si>
  <si>
    <t>Difference</t>
  </si>
  <si>
    <t>Original</t>
  </si>
  <si>
    <t>Reduced gen set control cable length</t>
  </si>
  <si>
    <t>Reduced price of OVR for EV Chargers</t>
  </si>
  <si>
    <t>Installation in cold room level 0 - with item 4.206 - omitted for cost saving exercise</t>
  </si>
  <si>
    <t>From DB-EV</t>
  </si>
  <si>
    <t>Reduced rate for socket outlets in item 4.319</t>
  </si>
  <si>
    <t>Was Stainless Steel</t>
  </si>
  <si>
    <t>Deduction 1</t>
  </si>
  <si>
    <t>Deduction 2</t>
  </si>
  <si>
    <t>Second deductions</t>
  </si>
  <si>
    <t>07.04.2025</t>
  </si>
  <si>
    <t>10% deduction from labour on multicore armoured cables only</t>
  </si>
  <si>
    <t>Updated - increased</t>
  </si>
  <si>
    <t>Updated - reduced</t>
  </si>
  <si>
    <t>average for level -1 - 4metres</t>
  </si>
  <si>
    <t>Rate upated - price lower</t>
  </si>
  <si>
    <t>average for level 0 - 10metres</t>
  </si>
  <si>
    <t>Based on Umut take offs</t>
  </si>
  <si>
    <t>Lighting and power rates updated</t>
  </si>
  <si>
    <t>allowed for one third of the total value</t>
  </si>
  <si>
    <t>Two thirds of the total value</t>
  </si>
  <si>
    <t>Cost of EV chargers reduced</t>
  </si>
  <si>
    <t>Original Cost of fire barriers split on Elec and ELV</t>
  </si>
  <si>
    <t>Reduced data galvanised, LSZH and stainless steel conduit rates</t>
  </si>
  <si>
    <t>Reduced cost of control panels by Raymond Muscat</t>
  </si>
  <si>
    <t>CP-CW (contingency - Not quoted by Raymond Muscat)</t>
  </si>
  <si>
    <t>Reduced cost of scissors lift (now €14,000 below the cost required for the project)</t>
  </si>
  <si>
    <t>Changed distribution boards brand from Hager to Schneider Electric with an additional cost of €2,500 not covered in our estimates</t>
  </si>
  <si>
    <t>Remained as cost saving 1</t>
  </si>
  <si>
    <t>Introduction of a protective rain hood and powder coating for the external switchboard. Addiitonal cost to be incurred by Panta.</t>
  </si>
  <si>
    <t>Main Equipment (Gen Set / Main Switchboards)</t>
  </si>
  <si>
    <t>Cost for 2025</t>
  </si>
  <si>
    <t>Cancelled</t>
  </si>
  <si>
    <t>4.002a</t>
  </si>
  <si>
    <t>Double skin stainless steel Generator flue - dia. 250mm c/w Chinese hat</t>
  </si>
  <si>
    <r>
      <t>Genset Panel '</t>
    </r>
    <r>
      <rPr>
        <b/>
        <sz val="10"/>
        <rFont val="Calibri"/>
        <family val="2"/>
        <scheme val="minor"/>
      </rPr>
      <t>MP-GEN</t>
    </r>
    <r>
      <rPr>
        <sz val="10"/>
        <rFont val="Calibri"/>
        <family val="2"/>
        <scheme val="minor"/>
      </rPr>
      <t>' 2000A TP&amp;N c/w all necessary circuit breakers, electrical accessories etc. as per schematic - to be complete with IP65 Weatherproof enclosure as per specs.</t>
    </r>
  </si>
  <si>
    <t>4.004a</t>
  </si>
  <si>
    <r>
      <t>Genset Panel '</t>
    </r>
    <r>
      <rPr>
        <b/>
        <sz val="10"/>
        <rFont val="Calibri"/>
        <family val="2"/>
        <scheme val="minor"/>
      </rPr>
      <t>MP-GEN</t>
    </r>
    <r>
      <rPr>
        <sz val="10"/>
        <rFont val="Calibri"/>
        <family val="2"/>
        <scheme val="minor"/>
      </rPr>
      <t>' 1200A TP&amp;N c/w all necessary circuit breakers, electrical accessories etc. as per schematic</t>
    </r>
  </si>
  <si>
    <t>4.005a</t>
  </si>
  <si>
    <r>
      <t>Main Fire Panel '</t>
    </r>
    <r>
      <rPr>
        <b/>
        <sz val="10"/>
        <rFont val="Calibri"/>
        <family val="2"/>
        <scheme val="minor"/>
      </rPr>
      <t>MP-FIRE</t>
    </r>
    <r>
      <rPr>
        <sz val="10"/>
        <rFont val="Calibri"/>
        <family val="2"/>
        <scheme val="minor"/>
      </rPr>
      <t>' 400A TP&amp;N c/w all necessary circuit breakers, electrical accessories etc. as per schematic</t>
    </r>
  </si>
  <si>
    <t>4.006a</t>
  </si>
  <si>
    <r>
      <t xml:space="preserve">Additional </t>
    </r>
    <r>
      <rPr>
        <b/>
        <sz val="10"/>
        <rFont val="Calibri"/>
        <family val="2"/>
        <scheme val="minor"/>
      </rPr>
      <t>40A MCCB</t>
    </r>
    <r>
      <rPr>
        <sz val="10"/>
        <rFont val="Calibri"/>
        <family val="2"/>
        <scheme val="minor"/>
      </rPr>
      <t xml:space="preserve"> in Main Panel 'MP-Main'</t>
    </r>
  </si>
  <si>
    <t>4.029a</t>
  </si>
  <si>
    <r>
      <rPr>
        <b/>
        <sz val="10"/>
        <rFont val="Calibri"/>
        <family val="2"/>
        <scheme val="minor"/>
      </rPr>
      <t>40A</t>
    </r>
    <r>
      <rPr>
        <sz val="10"/>
        <rFont val="Calibri"/>
        <family val="2"/>
        <scheme val="minor"/>
      </rPr>
      <t xml:space="preserve"> Automatic Transfer Switch as per specs</t>
    </r>
  </si>
  <si>
    <t>4.036a</t>
  </si>
  <si>
    <r>
      <t>Main Genset Panel '</t>
    </r>
    <r>
      <rPr>
        <b/>
        <sz val="10"/>
        <rFont val="Calibri"/>
        <family val="2"/>
        <scheme val="minor"/>
      </rPr>
      <t>MP-GEN</t>
    </r>
    <r>
      <rPr>
        <sz val="10"/>
        <rFont val="Calibri"/>
        <family val="2"/>
        <scheme val="minor"/>
      </rPr>
      <t>' -
(2 x 5 x 240mm2  F120 Fire Resistant Cable (BS7846) -  XLPE/SWA/LSZH)</t>
    </r>
  </si>
  <si>
    <t>4.038a</t>
  </si>
  <si>
    <r>
      <t>Main Fire Panel '</t>
    </r>
    <r>
      <rPr>
        <b/>
        <sz val="10"/>
        <rFont val="Calibri"/>
        <family val="2"/>
        <scheme val="minor"/>
      </rPr>
      <t>MP-FIRE</t>
    </r>
    <r>
      <rPr>
        <sz val="10"/>
        <rFont val="Calibri"/>
        <family val="2"/>
        <scheme val="minor"/>
      </rPr>
      <t>' -
(5 x 185mm2  F120 Fire Resistant Cable (BS7846) - XLPE/SWA/LSZH)</t>
    </r>
  </si>
  <si>
    <t>4.039a</t>
  </si>
  <si>
    <r>
      <t xml:space="preserve">Automatic Transfer Switch </t>
    </r>
    <r>
      <rPr>
        <b/>
        <sz val="10"/>
        <rFont val="Calibri"/>
        <family val="2"/>
        <scheme val="minor"/>
      </rPr>
      <t>'TS-VB1U</t>
    </r>
    <r>
      <rPr>
        <sz val="10"/>
        <rFont val="Calibri"/>
        <family val="2"/>
        <scheme val="minor"/>
      </rPr>
      <t>' -
(5 x 35mm2  F120 Fire Resistant Cable (BS7846) - XLPE/SWA/LSZH)</t>
    </r>
  </si>
  <si>
    <t>4.039b</t>
  </si>
  <si>
    <r>
      <t xml:space="preserve">Automatic Transfer Switch </t>
    </r>
    <r>
      <rPr>
        <b/>
        <sz val="10"/>
        <rFont val="Calibri"/>
        <family val="2"/>
        <scheme val="minor"/>
      </rPr>
      <t>'TS-VGEN</t>
    </r>
    <r>
      <rPr>
        <sz val="10"/>
        <rFont val="Calibri"/>
        <family val="2"/>
        <scheme val="minor"/>
      </rPr>
      <t>' -
(5 x 16mm2  F120 Fire Resistant Cable (BS7846) - XLPE/SWA/LSZH)</t>
    </r>
  </si>
  <si>
    <t>4.040a</t>
  </si>
  <si>
    <r>
      <t>Main Panel '</t>
    </r>
    <r>
      <rPr>
        <b/>
        <sz val="10"/>
        <rFont val="Calibri"/>
        <family val="2"/>
        <scheme val="minor"/>
      </rPr>
      <t>MP-Main</t>
    </r>
    <r>
      <rPr>
        <sz val="10"/>
        <rFont val="Calibri"/>
        <family val="2"/>
        <scheme val="minor"/>
      </rPr>
      <t>' -
(3 x 5 x 240mm2  F120 Fire Resistant Cable (BS7846) - XLPE/SWA/LSZH)</t>
    </r>
  </si>
  <si>
    <t>4.068a</t>
  </si>
  <si>
    <r>
      <t>Sprinkler Pump Set '</t>
    </r>
    <r>
      <rPr>
        <b/>
        <sz val="10"/>
        <rFont val="Calibri"/>
        <family val="2"/>
        <scheme val="minor"/>
      </rPr>
      <t>SP01</t>
    </r>
    <r>
      <rPr>
        <sz val="10"/>
        <rFont val="Calibri"/>
        <family val="2"/>
        <scheme val="minor"/>
      </rPr>
      <t>' -
(2 x 5 x 120mm2 F120 Fire Resistant Cable (BS7846) -  XLPE/SWA/LSZH)</t>
    </r>
  </si>
  <si>
    <t>4.071a</t>
  </si>
  <si>
    <r>
      <rPr>
        <b/>
        <sz val="10"/>
        <rFont val="Calibri"/>
        <family val="2"/>
        <scheme val="minor"/>
      </rPr>
      <t>Automatic Transfer Switch</t>
    </r>
    <r>
      <rPr>
        <sz val="10"/>
        <rFont val="Calibri"/>
        <family val="2"/>
        <scheme val="minor"/>
      </rPr>
      <t xml:space="preserve"> for Generator Room VCP '</t>
    </r>
    <r>
      <rPr>
        <b/>
        <sz val="10"/>
        <rFont val="Calibri"/>
        <family val="2"/>
        <scheme val="minor"/>
      </rPr>
      <t>TS-VGEN</t>
    </r>
    <r>
      <rPr>
        <sz val="10"/>
        <rFont val="Calibri"/>
        <family val="2"/>
        <scheme val="minor"/>
      </rPr>
      <t>' -
(5 x 16mm2 F120 Fire Resistant Cable (BS7846) -  XLPE/SWA/LSZH)</t>
    </r>
  </si>
  <si>
    <t>4.078a</t>
  </si>
  <si>
    <r>
      <t>Ventilation Control Panel '</t>
    </r>
    <r>
      <rPr>
        <b/>
        <sz val="10"/>
        <rFont val="Calibri"/>
        <family val="2"/>
        <scheme val="minor"/>
      </rPr>
      <t>VCP-GEN</t>
    </r>
    <r>
      <rPr>
        <sz val="10"/>
        <rFont val="Calibri"/>
        <family val="2"/>
        <scheme val="minor"/>
      </rPr>
      <t>' -
(5 x 16mm2 F120 Fire Resistant Cable (BS7846) -  XLPE/SWA/LSZH)</t>
    </r>
  </si>
  <si>
    <t>From Ventilation Control Panel 'VCP-GEN' to:</t>
  </si>
  <si>
    <t>4.137a</t>
  </si>
  <si>
    <r>
      <t xml:space="preserve">Supply Fan </t>
    </r>
    <r>
      <rPr>
        <b/>
        <sz val="10"/>
        <rFont val="Calibri"/>
        <family val="2"/>
        <scheme val="minor"/>
      </rPr>
      <t>SF-GEN-01</t>
    </r>
    <r>
      <rPr>
        <sz val="10"/>
        <rFont val="Calibri"/>
        <family val="2"/>
        <scheme val="minor"/>
      </rPr>
      <t xml:space="preserve">  (5 x 4mm2 XLPE/SWA/LSZH)</t>
    </r>
  </si>
  <si>
    <t>4.137b</t>
  </si>
  <si>
    <r>
      <t xml:space="preserve">Extract Fan </t>
    </r>
    <r>
      <rPr>
        <b/>
        <sz val="10"/>
        <rFont val="Calibri"/>
        <family val="2"/>
        <scheme val="minor"/>
      </rPr>
      <t>EF-GEN-01</t>
    </r>
    <r>
      <rPr>
        <sz val="10"/>
        <rFont val="Calibri"/>
        <family val="2"/>
        <scheme val="minor"/>
      </rPr>
      <t xml:space="preserve">  (5 x 4mm2 XLPE/SWA/LSZH)</t>
    </r>
  </si>
  <si>
    <t>4.137c</t>
  </si>
  <si>
    <t>4.298a</t>
  </si>
  <si>
    <t>4.299a</t>
  </si>
  <si>
    <t>8 Light Points on 1 Switch</t>
  </si>
  <si>
    <t>4.303a</t>
  </si>
  <si>
    <t>15 Light Points on integrated Presence Detector</t>
  </si>
  <si>
    <t>8.063a</t>
  </si>
  <si>
    <r>
      <t xml:space="preserve">Supply,install and connect </t>
    </r>
    <r>
      <rPr>
        <b/>
        <sz val="10"/>
        <rFont val="Calibri"/>
        <family val="2"/>
        <scheme val="minor"/>
      </rPr>
      <t>Wall mounted 21U Data Cabinet</t>
    </r>
    <r>
      <rPr>
        <sz val="10"/>
        <rFont val="Calibri"/>
        <family val="2"/>
        <scheme val="minor"/>
      </rPr>
      <t xml:space="preserve"> - 600 x 600 (mm)</t>
    </r>
  </si>
  <si>
    <r>
      <rPr>
        <b/>
        <sz val="10"/>
        <color rgb="FF00B0F0"/>
        <rFont val="Calibri"/>
        <family val="2"/>
        <scheme val="minor"/>
      </rPr>
      <t>DCW Pressure Booster Pump Set</t>
    </r>
    <r>
      <rPr>
        <sz val="10"/>
        <color rgb="FF00B0F0"/>
        <rFont val="Calibri"/>
        <family val="2"/>
        <scheme val="minor"/>
      </rPr>
      <t xml:space="preserve"> - 100 L/min at 60m head</t>
    </r>
  </si>
  <si>
    <r>
      <rPr>
        <b/>
        <sz val="10"/>
        <color rgb="FF00B0F0"/>
        <rFont val="Calibri"/>
        <family val="2"/>
        <scheme val="minor"/>
      </rPr>
      <t>SCW Pressure Booster Pump Set</t>
    </r>
    <r>
      <rPr>
        <sz val="10"/>
        <color rgb="FF00B0F0"/>
        <rFont val="Calibri"/>
        <family val="2"/>
        <scheme val="minor"/>
      </rPr>
      <t xml:space="preserve"> - 175 L/min at 50m head</t>
    </r>
  </si>
  <si>
    <r>
      <rPr>
        <b/>
        <sz val="10"/>
        <color rgb="FF00B0F0"/>
        <rFont val="Calibri"/>
        <family val="2"/>
        <scheme val="minor"/>
      </rPr>
      <t>SCW Submersible Pump</t>
    </r>
    <r>
      <rPr>
        <sz val="10"/>
        <color rgb="FF00B0F0"/>
        <rFont val="Calibri"/>
        <family val="2"/>
        <scheme val="minor"/>
      </rPr>
      <t xml:space="preserve"> - 85 L/min at 15m head</t>
    </r>
  </si>
  <si>
    <r>
      <rPr>
        <b/>
        <sz val="10"/>
        <color rgb="FF00B0F0"/>
        <rFont val="Calibri"/>
        <family val="2"/>
        <scheme val="minor"/>
      </rPr>
      <t>Sump Pump</t>
    </r>
    <r>
      <rPr>
        <sz val="10"/>
        <color rgb="FF00B0F0"/>
        <rFont val="Calibri"/>
        <family val="2"/>
        <scheme val="minor"/>
      </rPr>
      <t xml:space="preserve"> - 1500 L/min at 5m head</t>
    </r>
  </si>
  <si>
    <r>
      <rPr>
        <b/>
        <sz val="10"/>
        <color rgb="FF00B0F0"/>
        <rFont val="Calibri"/>
        <family val="2"/>
        <scheme val="minor"/>
      </rPr>
      <t>Sump Pump</t>
    </r>
    <r>
      <rPr>
        <sz val="10"/>
        <color rgb="FF00B0F0"/>
        <rFont val="Calibri"/>
        <family val="2"/>
        <scheme val="minor"/>
      </rPr>
      <t xml:space="preserve"> - 1500 L/min at 15m head</t>
    </r>
  </si>
  <si>
    <r>
      <rPr>
        <b/>
        <sz val="10"/>
        <color rgb="FF00B0F0"/>
        <rFont val="Calibri"/>
        <family val="2"/>
        <scheme val="minor"/>
      </rPr>
      <t xml:space="preserve">Sump Pump </t>
    </r>
    <r>
      <rPr>
        <sz val="10"/>
        <color rgb="FF00B0F0"/>
        <rFont val="Calibri"/>
        <family val="2"/>
        <scheme val="minor"/>
      </rPr>
      <t>- 250 L/min at 15m head</t>
    </r>
  </si>
  <si>
    <r>
      <rPr>
        <b/>
        <sz val="10"/>
        <color rgb="FF00B0F0"/>
        <rFont val="Calibri"/>
        <family val="2"/>
        <scheme val="minor"/>
      </rPr>
      <t xml:space="preserve">Sump Pump </t>
    </r>
    <r>
      <rPr>
        <sz val="10"/>
        <color rgb="FF00B0F0"/>
        <rFont val="Calibri"/>
        <family val="2"/>
        <scheme val="minor"/>
      </rPr>
      <t>- 500 L/min at 15m head</t>
    </r>
  </si>
  <si>
    <r>
      <rPr>
        <b/>
        <sz val="10"/>
        <color rgb="FF00B0F0"/>
        <rFont val="Calibri"/>
        <family val="2"/>
        <scheme val="minor"/>
      </rPr>
      <t>Cesspit c/w Pumps</t>
    </r>
    <r>
      <rPr>
        <sz val="10"/>
        <color rgb="FF00B0F0"/>
        <rFont val="Calibri"/>
        <family val="2"/>
        <scheme val="minor"/>
      </rPr>
      <t xml:space="preserve"> - 2 x 150 L/min at 15m head - Prefabbricated Cesspit as per specs, dimensions to fit in allocated space on site</t>
    </r>
  </si>
  <si>
    <t>Item: 4.002a</t>
  </si>
  <si>
    <t xml:space="preserve">Same original rate applied as advised by Clint Scerri email dated 04.06.2025 </t>
  </si>
  <si>
    <t>Omitted by consultant</t>
  </si>
  <si>
    <t>Item: 4.004a</t>
  </si>
  <si>
    <t>Genset Panel 'MP-GEN' 1200A TP&amp;N c/w all necessary circuit breakers, electrical accessories etc. as per schematic</t>
  </si>
  <si>
    <t>Item: 4.005a</t>
  </si>
  <si>
    <t>Main Fire Panel 'MP-FIRE' 400A TP&amp;N c/w all necessary circuit breakers, electrical accessories etc. as per schematic</t>
  </si>
  <si>
    <t>MP-FIRE (New Schematic)</t>
  </si>
  <si>
    <t>MP-GEN (New Schematic)</t>
  </si>
  <si>
    <t>Item: 4.006a</t>
  </si>
  <si>
    <t>Additional 40A MCCB in Main Panel 'MP-Main'</t>
  </si>
  <si>
    <t>Item: 4.029a</t>
  </si>
  <si>
    <t>40A Automatic Transfer Switch as per specs</t>
  </si>
  <si>
    <t>Item: 4.036a</t>
  </si>
  <si>
    <t>Main Fire Panel 'MP-FIRE' -
(5 x 185mm2  F120 Fire Resistant Cable (BS7846) - XLPE/SWA/LSZH)</t>
  </si>
  <si>
    <t>Item: 4.038a</t>
  </si>
  <si>
    <t>NEW RATES</t>
  </si>
  <si>
    <t>024# 5 x 185mm2  F120 Fire Resistant Cable (BS7846) -  XLPE/SWA/LSZH</t>
  </si>
  <si>
    <t>Item: 4.039a</t>
  </si>
  <si>
    <t>Item: 4.039b</t>
  </si>
  <si>
    <t>Automatic Transfer Switch 'TS-VGEN' -
(5 x 16mm2  F120 Fire Resistant Cable (BS7846) - XLPE/SWA/LSZH)</t>
  </si>
  <si>
    <t>Main Panel 'MP-Main' -
(3 x 5 x 240mm2  F120 Fire Resistant Cable (BS7846) - XLPE/SWA/LSZH)</t>
  </si>
  <si>
    <t>Sprinkler Pump Set 'SP01' -
(2 x 5 x 120mm2 F120 Fire Resistant Cable (BS7846) -  XLPE/SWA/LSZH)</t>
  </si>
  <si>
    <t>Item: 4.071a</t>
  </si>
  <si>
    <t>Automatic Transfer Switch for Generator Room VCP 'TS-VGEN' -
(5 x 16mm2 F120 Fire Resistant Cable (BS7846) -  XLPE/SWA/LSZH)</t>
  </si>
  <si>
    <t>Item: 4.078a</t>
  </si>
  <si>
    <t>(5 x 16mm2 F120 Fire Resistant Cable (BS7846) -  XLPE/SWA/LSZH)</t>
  </si>
  <si>
    <t>Item: 4.137a</t>
  </si>
  <si>
    <t>Item: 4.137b</t>
  </si>
  <si>
    <t>Supply Fan SF-GEN-01  (5 x 4mm2 XLPE/SWA/LSZH)</t>
  </si>
  <si>
    <t>Extract Fan EF-GEN-01  (5 x 4mm2 XLPE/SWA/LSZH)</t>
  </si>
  <si>
    <t>Item: 4.137c</t>
  </si>
  <si>
    <t>Item: 4.298a</t>
  </si>
  <si>
    <t>Item: 4.299a</t>
  </si>
  <si>
    <t xml:space="preserve">8 Pt  x 1 Switch </t>
  </si>
  <si>
    <t>Item: 4.303a</t>
  </si>
  <si>
    <t xml:space="preserve"> 15 Pt  x One Detector</t>
  </si>
  <si>
    <t>Supply,install and connect Wall mounted 21U Data Cabinet - 600 x 600 (mm)</t>
  </si>
  <si>
    <t>Item: 8.01</t>
  </si>
  <si>
    <t>Item: 8.011</t>
  </si>
  <si>
    <t>Item: 8.012</t>
  </si>
  <si>
    <t>Item: 8.013</t>
  </si>
  <si>
    <t>Item: 8.014</t>
  </si>
  <si>
    <t>Item: 8.01500000000001</t>
  </si>
  <si>
    <t>Item: 8.01600000000001</t>
  </si>
  <si>
    <t>Item: 8.01700000000001</t>
  </si>
  <si>
    <t>Item: 8.01800000000001</t>
  </si>
  <si>
    <t>Item: 8.01900000000001</t>
  </si>
  <si>
    <t>Item: 8.02000000000001</t>
  </si>
  <si>
    <t>Item: 8.02100000000001</t>
  </si>
  <si>
    <t>Item: 8.02200000000001</t>
  </si>
  <si>
    <t>Item: 8.02300000000001</t>
  </si>
  <si>
    <t>Item: 8.02400000000001</t>
  </si>
  <si>
    <t>Item: 8.02500000000001</t>
  </si>
  <si>
    <t>Item: 8.02600000000001</t>
  </si>
  <si>
    <t>Item: 8.02700000000001</t>
  </si>
  <si>
    <t>Item: 8.02800000000001</t>
  </si>
  <si>
    <t>Item: 8.02900000000001</t>
  </si>
  <si>
    <t>Item: 8.03000000000001</t>
  </si>
  <si>
    <t>Item: 8.03100000000001</t>
  </si>
  <si>
    <t>Item: 8.03200000000001</t>
  </si>
  <si>
    <t>Item: 8.03300000000001</t>
  </si>
  <si>
    <t>Item: 8.03400000000001</t>
  </si>
  <si>
    <t>Item: 8.03500000000001</t>
  </si>
  <si>
    <t>Item: 8.03600000000001</t>
  </si>
  <si>
    <t>Item: 8.03700000000001</t>
  </si>
  <si>
    <t>Item: 8.03800000000001</t>
  </si>
  <si>
    <t>Item: 8.03900000000001</t>
  </si>
  <si>
    <t>Item: 8.04000000000001</t>
  </si>
  <si>
    <t>Item: 8.04100000000001</t>
  </si>
  <si>
    <t>Item: 8.04200000000001</t>
  </si>
  <si>
    <t>Item: 8.04300000000001</t>
  </si>
  <si>
    <t>Item: 8.04400000000001</t>
  </si>
  <si>
    <t>Item: 8.04500000000002</t>
  </si>
  <si>
    <t>Item: 8.04600000000002</t>
  </si>
  <si>
    <t>Item: 8.04700000000002</t>
  </si>
  <si>
    <t>Item: 8.04800000000002</t>
  </si>
  <si>
    <t>Item: 8.04900000000002</t>
  </si>
  <si>
    <t>Item: 8.05000000000002</t>
  </si>
  <si>
    <t>Item: 8.05100000000002</t>
  </si>
  <si>
    <t>Item: 8.05200000000002</t>
  </si>
  <si>
    <t>Item: 8.05300000000002</t>
  </si>
  <si>
    <t>Item: 8.05400000000002</t>
  </si>
  <si>
    <t>Item: 8.05500000000002</t>
  </si>
  <si>
    <t>Item: 8.05600000000002</t>
  </si>
  <si>
    <t>Item: 8.05700000000002</t>
  </si>
  <si>
    <t>Item: 8.05800000000002</t>
  </si>
  <si>
    <t>Item: 8.05900000000002</t>
  </si>
  <si>
    <t>Item: 8.06000000000002</t>
  </si>
  <si>
    <t>Item: 8.06100000000002</t>
  </si>
  <si>
    <t>Item: 8.06200000000002</t>
  </si>
  <si>
    <t>Item: 8.06300000000002</t>
  </si>
  <si>
    <t>Item: 8.063a</t>
  </si>
  <si>
    <t>Item: 8.06400000000002</t>
  </si>
  <si>
    <t>Item: 8.06500000000002</t>
  </si>
  <si>
    <t>Item: 8.06600000000002</t>
  </si>
  <si>
    <t>Item: 8.06700000000002</t>
  </si>
  <si>
    <t>Item: 8.06800000000002</t>
  </si>
  <si>
    <t>Item: 8.06900000000002</t>
  </si>
  <si>
    <t>Item: 8.07000000000002</t>
  </si>
  <si>
    <t>Item: 8.07100000000002</t>
  </si>
  <si>
    <t>Item: 8.07200000000002</t>
  </si>
  <si>
    <t>Item: 8.07300000000002</t>
  </si>
  <si>
    <t>Item: 8.07400000000002</t>
  </si>
  <si>
    <t>Item: 8.07500000000003</t>
  </si>
  <si>
    <t>Item: 8.07600000000003</t>
  </si>
  <si>
    <t>Item: 8.07700000000003</t>
  </si>
  <si>
    <t>Item: 8.07800000000003</t>
  </si>
  <si>
    <t>Item: 8.07900000000003</t>
  </si>
  <si>
    <t>Item: 8.08000000000003</t>
  </si>
  <si>
    <t>Item: 8.08100000000003</t>
  </si>
  <si>
    <t>Item: 8.08200000000003</t>
  </si>
  <si>
    <t>Item: 8.08300000000003</t>
  </si>
  <si>
    <t>Item: 8.08400000000003</t>
  </si>
  <si>
    <t>Item: 8.08500000000003</t>
  </si>
  <si>
    <t>Item: 8.08600000000003</t>
  </si>
  <si>
    <t>Item: 8.08700000000003</t>
  </si>
  <si>
    <t>Item: 8.08800000000003</t>
  </si>
  <si>
    <t>Item: 8.08900000000003</t>
  </si>
  <si>
    <t>Item: 8.09000000000003</t>
  </si>
  <si>
    <t>Item: 8.09100000000003</t>
  </si>
  <si>
    <t>Item: 8.09200000000003</t>
  </si>
  <si>
    <t>Item: 8.09300000000003</t>
  </si>
  <si>
    <t>Item: 8.09400000000003</t>
  </si>
  <si>
    <t>Item: 8.09500000000003</t>
  </si>
  <si>
    <t>Item: 8.09600000000003</t>
  </si>
  <si>
    <t>Item: 8.09700000000003</t>
  </si>
  <si>
    <t>Item: 8.09800000000003</t>
  </si>
  <si>
    <t>Item: 8.09900000000003</t>
  </si>
  <si>
    <t>Item: 8.10000000000003</t>
  </si>
  <si>
    <t>Item: 8.10100000000003</t>
  </si>
  <si>
    <t>Item: 8.10200000000003</t>
  </si>
  <si>
    <t>Item: 8.10300000000003</t>
  </si>
  <si>
    <t>Item: 8.10400000000003</t>
  </si>
  <si>
    <t>Item: 8.10500000000004</t>
  </si>
  <si>
    <t>Item: 8.10600000000004</t>
  </si>
  <si>
    <t>Item: 8.10700000000004</t>
  </si>
  <si>
    <t>Item: 8.10800000000004</t>
  </si>
  <si>
    <t>Item: 8.10900000000004</t>
  </si>
  <si>
    <t>Item: 8.11000000000004</t>
  </si>
  <si>
    <t>Item: 8.11100000000004</t>
  </si>
  <si>
    <t>Item: 8.11200000000004</t>
  </si>
  <si>
    <t>Item: 8.11300000000004</t>
  </si>
  <si>
    <t>Item: 8.11400000000004</t>
  </si>
  <si>
    <t>Item: 8.11500000000004</t>
  </si>
  <si>
    <t>Item: 8.11600000000004</t>
  </si>
  <si>
    <t>Item: 8.11700000000004</t>
  </si>
  <si>
    <t>Item: 8.11800000000004</t>
  </si>
  <si>
    <t>Item: 8.11900000000004</t>
  </si>
  <si>
    <t>Item: 8.12000000000004</t>
  </si>
  <si>
    <t>Item: 8.12100000000004</t>
  </si>
  <si>
    <t>Item: 8.12200000000004</t>
  </si>
  <si>
    <t>Item: 8.12300000000004</t>
  </si>
  <si>
    <t>Item: 8.12400000000004</t>
  </si>
  <si>
    <t>Item: 8.12500000000004</t>
  </si>
  <si>
    <t>Item: 8.12600000000004</t>
  </si>
  <si>
    <t>Item: 8.12700000000004</t>
  </si>
  <si>
    <t>Item: 8.12800000000004</t>
  </si>
  <si>
    <t>Item: 8.12900000000004</t>
  </si>
  <si>
    <t>Item: 8.13000000000004</t>
  </si>
  <si>
    <t>Item: 8.13100000000004</t>
  </si>
  <si>
    <t>Item: 8.13200000000004</t>
  </si>
  <si>
    <t>Item: 8.13300000000004</t>
  </si>
  <si>
    <t>Item: 8.13400000000004</t>
  </si>
  <si>
    <t>Item: 8.13500000000005</t>
  </si>
  <si>
    <t xml:space="preserve">  </t>
  </si>
  <si>
    <t>Truck Parking (Warehouse NVR)</t>
  </si>
  <si>
    <t>10.001a</t>
  </si>
  <si>
    <t>10.014a</t>
  </si>
  <si>
    <t>Nominal diameter 200mm</t>
  </si>
  <si>
    <t>ESFR SYSTEM</t>
  </si>
  <si>
    <t>10.068a</t>
  </si>
  <si>
    <t>Freezer Rooms Ceiling Installation</t>
  </si>
  <si>
    <t>10.068b</t>
  </si>
  <si>
    <t>10.068c</t>
  </si>
  <si>
    <t>10.068d</t>
  </si>
  <si>
    <t>10.068e</t>
  </si>
  <si>
    <t>10.068f</t>
  </si>
  <si>
    <t>10.068g</t>
  </si>
  <si>
    <t>10.068h</t>
  </si>
  <si>
    <t>10.068i</t>
  </si>
  <si>
    <t>10.068j</t>
  </si>
  <si>
    <t>10.068k</t>
  </si>
  <si>
    <t>10.068l</t>
  </si>
  <si>
    <t>10.068m</t>
  </si>
  <si>
    <t>Cold Room Ceiling Installation</t>
  </si>
  <si>
    <t>10.068n</t>
  </si>
  <si>
    <t>10.068o</t>
  </si>
  <si>
    <t>10.068p</t>
  </si>
  <si>
    <t>10.068q</t>
  </si>
  <si>
    <t>10.068r</t>
  </si>
  <si>
    <t>10.068s</t>
  </si>
  <si>
    <t>10.068t</t>
  </si>
  <si>
    <t>10.068u</t>
  </si>
  <si>
    <t>10.068v</t>
  </si>
  <si>
    <t>10.068w</t>
  </si>
  <si>
    <t>10.068x</t>
  </si>
  <si>
    <t>10.068y</t>
  </si>
  <si>
    <r>
      <t xml:space="preserve">Supply and install </t>
    </r>
    <r>
      <rPr>
        <b/>
        <sz val="10"/>
        <color rgb="FF00B0F0"/>
        <rFont val="Calibri"/>
        <family val="2"/>
        <scheme val="minor"/>
      </rPr>
      <t>Fire Appliance pump set</t>
    </r>
    <r>
      <rPr>
        <sz val="10"/>
        <color rgb="FF00B0F0"/>
        <rFont val="Calibri"/>
        <family val="2"/>
        <scheme val="minor"/>
      </rPr>
      <t xml:space="preserve">, dual-electric driven, capacity </t>
    </r>
    <r>
      <rPr>
        <b/>
        <sz val="10"/>
        <color rgb="FF00B0F0"/>
        <rFont val="Calibri"/>
        <family val="2"/>
        <scheme val="minor"/>
      </rPr>
      <t>1,500 l/min @ 40m head</t>
    </r>
    <r>
      <rPr>
        <sz val="10"/>
        <color rgb="FF00B0F0"/>
        <rFont val="Calibri"/>
        <family val="2"/>
        <scheme val="minor"/>
      </rPr>
      <t xml:space="preserve"> c/w jockey pump, starting arrangement, delivery manifold, isolating valves, non-return valves, pressure switches, gauges etc. and including </t>
    </r>
    <r>
      <rPr>
        <b/>
        <sz val="10"/>
        <color rgb="FF00B0F0"/>
        <rFont val="Calibri"/>
        <family val="2"/>
        <scheme val="minor"/>
      </rPr>
      <t>Control Panel</t>
    </r>
    <r>
      <rPr>
        <sz val="10"/>
        <color rgb="FF00B0F0"/>
        <rFont val="Calibri"/>
        <family val="2"/>
        <scheme val="minor"/>
      </rPr>
      <t xml:space="preserve"> as specified</t>
    </r>
  </si>
  <si>
    <r>
      <t xml:space="preserve">Supply and install </t>
    </r>
    <r>
      <rPr>
        <b/>
        <sz val="10"/>
        <color rgb="FF00B0F0"/>
        <rFont val="Calibri"/>
        <family val="2"/>
        <scheme val="minor"/>
      </rPr>
      <t>Fire Fighting pump set</t>
    </r>
    <r>
      <rPr>
        <sz val="10"/>
        <color rgb="FF00B0F0"/>
        <rFont val="Calibri"/>
        <family val="2"/>
        <scheme val="minor"/>
      </rPr>
      <t xml:space="preserve">, dual-electric driven, capacity </t>
    </r>
    <r>
      <rPr>
        <b/>
        <sz val="10"/>
        <color rgb="FF00B0F0"/>
        <rFont val="Calibri"/>
        <family val="2"/>
        <scheme val="minor"/>
      </rPr>
      <t>1,500 l/min @ 130m head</t>
    </r>
    <r>
      <rPr>
        <sz val="10"/>
        <color rgb="FF00B0F0"/>
        <rFont val="Calibri"/>
        <family val="2"/>
        <scheme val="minor"/>
      </rPr>
      <t xml:space="preserve"> c/w jockey pump, starting arrangement, delivery manifold, isolating valves, non-return valves, pressure switches, gauges etc. and including </t>
    </r>
    <r>
      <rPr>
        <b/>
        <sz val="10"/>
        <color rgb="FF00B0F0"/>
        <rFont val="Calibri"/>
        <family val="2"/>
        <scheme val="minor"/>
      </rPr>
      <t>Control Panel</t>
    </r>
    <r>
      <rPr>
        <sz val="10"/>
        <color rgb="FF00B0F0"/>
        <rFont val="Calibri"/>
        <family val="2"/>
        <scheme val="minor"/>
      </rPr>
      <t xml:space="preserve"> as specified</t>
    </r>
  </si>
  <si>
    <r>
      <t xml:space="preserve">Supply, install, connect and commission Fluoro-K automatic fire suppression system c/w storage units, control panel (with integral power supply and battery backup), pipework, discharge nozzels, pressure gauges, discharge pressure switch, valves, manual triggering system, alarms, etc for a complete system for Store room as per drawings  - </t>
    </r>
    <r>
      <rPr>
        <b/>
        <sz val="10"/>
        <color rgb="FF00B0F0"/>
        <rFont val="Calibri"/>
        <family val="2"/>
        <scheme val="minor"/>
      </rPr>
      <t>Store Room approx dimensions:
-Area: 50.8 m2
-Height: 3.18 m</t>
    </r>
  </si>
  <si>
    <r>
      <t xml:space="preserve">Provision for </t>
    </r>
    <r>
      <rPr>
        <b/>
        <sz val="10"/>
        <color rgb="FF00B0F0"/>
        <rFont val="Calibri"/>
        <family val="2"/>
        <scheme val="minor"/>
      </rPr>
      <t>Integrity testing</t>
    </r>
    <r>
      <rPr>
        <sz val="10"/>
        <color rgb="FF00B0F0"/>
        <rFont val="Calibri"/>
        <family val="2"/>
        <scheme val="minor"/>
      </rPr>
      <t xml:space="preserve"> of the room.
The contractor shall be responsible to carry out a thorough visual inspection before conducting the test and carrying out any remedial measures which in his opinion may cause the test to fail. The contactor shall carry out the sealing of the rooms and the test until a pass is obtained</t>
    </r>
  </si>
  <si>
    <r>
      <t xml:space="preserve">Supply, install, connect and commission Fluoro-K automatic fire suppression system c/w storage units, control panel (with integral power supply and battery backup), pipework, discharge nozzels, pressure gauges, discharge pressure switch, valves, manual triggering system, alarms, etc for a complete system for Archive room as per drawings  - </t>
    </r>
    <r>
      <rPr>
        <b/>
        <sz val="10"/>
        <color rgb="FF00B0F0"/>
        <rFont val="Calibri"/>
        <family val="2"/>
        <scheme val="minor"/>
      </rPr>
      <t>Archive Room approx dimensions:
-Area: 28.7 m2
-Height: 3.18 m</t>
    </r>
  </si>
  <si>
    <r>
      <t xml:space="preserve">Supply, install, connect and commission Fluoro-K automatic fire suppression system c/w storage units, control panel (with integral power supply and battery backup), pipework, discharge nozzels, pressure gauges, discharge pressure switch, valves, manual triggering system, alarms, etc for a complete system for Archive room as per drawings  - </t>
    </r>
    <r>
      <rPr>
        <b/>
        <sz val="10"/>
        <color rgb="FF00B0F0"/>
        <rFont val="Calibri"/>
        <family val="2"/>
        <scheme val="minor"/>
      </rPr>
      <t>Archive Room approx dimensions:
-Area: 67.5 m2
-Height: 3.18 m</t>
    </r>
  </si>
  <si>
    <r>
      <t xml:space="preserve">Supply, install, connect and commission Fluoro-K automatic fire suppression system c/w storage units, control panel (with integral power supply and battery backup), pipework, discharge nozzels, pressure gauges, discharge pressure switch, valves, manual triggering system, alarms, etc for a complete system for Server room as per drawings  - </t>
    </r>
    <r>
      <rPr>
        <b/>
        <sz val="10"/>
        <color rgb="FF00B0F0"/>
        <rFont val="Calibri"/>
        <family val="2"/>
        <scheme val="minor"/>
      </rPr>
      <t>Server Room approx dimensions:
-Area: 4.7 m2
-Height: 2.6 m</t>
    </r>
  </si>
  <si>
    <r>
      <t xml:space="preserve">Supply, install, connect and commission Fluoro-K automatic fire suppression system c/w storage units, control panel (with integral power supply and battery backup), pipework, discharge nozzels, pressure gauges, discharge pressure switch, valves, manual triggering system, alarms, etc for a complete system for Server room as per drawings  - </t>
    </r>
    <r>
      <rPr>
        <b/>
        <sz val="10"/>
        <color rgb="FF00B0F0"/>
        <rFont val="Calibri"/>
        <family val="2"/>
        <scheme val="minor"/>
      </rPr>
      <t>Server Room approx dimensions:
-Area: 14.7 m2
-Height: 3 m</t>
    </r>
  </si>
  <si>
    <r>
      <t xml:space="preserve">Supply, install, connect and commission Aerosol automatic fire suppression system c/w storage units, control panel (with integral power supply and battery backup), pipework, discharge nozzels, pressure gauges, discharge pressure switch, valves, manual triggering system, alarms, etc for a complete system for Fork Lift Charging room as per drawings  - </t>
    </r>
    <r>
      <rPr>
        <b/>
        <sz val="10"/>
        <color rgb="FF00B0F0"/>
        <rFont val="Calibri"/>
        <family val="2"/>
        <scheme val="minor"/>
      </rPr>
      <t>Fork Lift Charging Room approx dimensions:
-Area: 106 m2
-Height: 5.2 m</t>
    </r>
  </si>
  <si>
    <r>
      <t xml:space="preserve">Supply, install, connect and commission Wet Chemical automatic fire suppression system c/w storage units, control panel (with integral power supply and battery backup), pipework, discharge nozzels, pressure gauges, discharge pressure switch, valves, manual triggering system, alarms, etc for a complete system for Store room as per drawings  - </t>
    </r>
    <r>
      <rPr>
        <b/>
        <sz val="10"/>
        <color rgb="FF00B0F0"/>
        <rFont val="Calibri"/>
        <family val="2"/>
        <scheme val="minor"/>
      </rPr>
      <t>Store Room approx dimensions:
-Area: 96 m2
-Height: 5.3 m</t>
    </r>
  </si>
  <si>
    <r>
      <t xml:space="preserve">Supply, install, connect and commission Oxygen reduction automatic fire suppression system c/w storage units, control panel (with integral power supply and battery backup), pipework, nozzels, pressure gauges, valves, manual triggering system, alarms, Oxygen measurement system, Oxygen supplement system, wall mounted monitoring and control displays, etc for a complete system for Cold room Freezer as per drawings  - </t>
    </r>
    <r>
      <rPr>
        <b/>
        <sz val="10"/>
        <color rgb="FF00B0F0"/>
        <rFont val="Calibri"/>
        <family val="2"/>
        <scheme val="minor"/>
      </rPr>
      <t>Cold Room Freezer approx dimensions:
-Width: 14 m
-Depth: 44 m
-Height: 11 m</t>
    </r>
  </si>
  <si>
    <r>
      <t xml:space="preserve">Supply, install, connect and commission Oxygen reduction automatic fire suppression system c/w storage units, control panel (with integral power supply and battery backup), pipework, nozzels, pressure gauges, valves, manual triggering system, alarms, Oxygen measurement system, Oxygen supplement system, wall mounted monitoring and control displays, etc for a complete system for Cold room Fridge as per drawings  - </t>
    </r>
    <r>
      <rPr>
        <b/>
        <sz val="10"/>
        <color rgb="FF00B0F0"/>
        <rFont val="Calibri"/>
        <family val="2"/>
        <scheme val="minor"/>
      </rPr>
      <t>Cold Room Fridge approx dimensions:
-Width: 14 m
-Depth: 44 m
-Height: 11 m</t>
    </r>
  </si>
  <si>
    <r>
      <t xml:space="preserve">Supply and install </t>
    </r>
    <r>
      <rPr>
        <b/>
        <sz val="10"/>
        <color rgb="FF00B0F0"/>
        <rFont val="Calibri"/>
        <family val="2"/>
        <scheme val="minor"/>
      </rPr>
      <t>Sprinkler pump set</t>
    </r>
    <r>
      <rPr>
        <sz val="10"/>
        <color rgb="FF00B0F0"/>
        <rFont val="Calibri"/>
        <family val="2"/>
        <scheme val="minor"/>
      </rPr>
      <t xml:space="preserve">, dual-electric driven, capacity </t>
    </r>
    <r>
      <rPr>
        <b/>
        <sz val="10"/>
        <color rgb="FF00B0F0"/>
        <rFont val="Calibri"/>
        <family val="2"/>
        <scheme val="minor"/>
      </rPr>
      <t>12,500 l/min @ 90m head</t>
    </r>
    <r>
      <rPr>
        <sz val="10"/>
        <color rgb="FF00B0F0"/>
        <rFont val="Calibri"/>
        <family val="2"/>
        <scheme val="minor"/>
      </rPr>
      <t xml:space="preserve"> </t>
    </r>
    <r>
      <rPr>
        <b/>
        <sz val="10"/>
        <color rgb="FF00B0F0"/>
        <rFont val="Calibri"/>
        <family val="2"/>
        <scheme val="minor"/>
      </rPr>
      <t>each</t>
    </r>
    <r>
      <rPr>
        <sz val="10"/>
        <color rgb="FF00B0F0"/>
        <rFont val="Calibri"/>
        <family val="2"/>
        <scheme val="minor"/>
      </rPr>
      <t xml:space="preserve"> c/w jockey pump, starting arrangement, delivery manifold, isolating valves, non-return valves, pressure switches, gauges, etc. and including </t>
    </r>
    <r>
      <rPr>
        <b/>
        <sz val="10"/>
        <color rgb="FF00B0F0"/>
        <rFont val="Calibri"/>
        <family val="2"/>
        <scheme val="minor"/>
      </rPr>
      <t xml:space="preserve">Control Panel </t>
    </r>
    <r>
      <rPr>
        <sz val="10"/>
        <color rgb="FF00B0F0"/>
        <rFont val="Calibri"/>
        <family val="2"/>
        <scheme val="minor"/>
      </rPr>
      <t>as specified</t>
    </r>
  </si>
  <si>
    <r>
      <t xml:space="preserve">Supply and install </t>
    </r>
    <r>
      <rPr>
        <b/>
        <sz val="10"/>
        <color rgb="FF00B0F0"/>
        <rFont val="Calibri"/>
        <family val="2"/>
        <scheme val="minor"/>
      </rPr>
      <t>Sprinkler pump set</t>
    </r>
    <r>
      <rPr>
        <sz val="10"/>
        <color rgb="FF00B0F0"/>
        <rFont val="Calibri"/>
        <family val="2"/>
        <scheme val="minor"/>
      </rPr>
      <t xml:space="preserve">, diesel and electric driven, capacity </t>
    </r>
    <r>
      <rPr>
        <b/>
        <sz val="10"/>
        <color rgb="FF00B0F0"/>
        <rFont val="Calibri"/>
        <family val="2"/>
        <scheme val="minor"/>
      </rPr>
      <t>12,500 l/min @ 90m head each</t>
    </r>
    <r>
      <rPr>
        <sz val="10"/>
        <color rgb="FF00B0F0"/>
        <rFont val="Calibri"/>
        <family val="2"/>
        <scheme val="minor"/>
      </rPr>
      <t xml:space="preserve"> c/w jockey pump, starting arrangement, delivery manifold, isolating valves, non-return valves, pressure switches, gauges, etc. and including Control Panel as specified </t>
    </r>
    <r>
      <rPr>
        <b/>
        <sz val="10"/>
        <color rgb="FF00B0F0"/>
        <rFont val="Calibri"/>
        <family val="2"/>
        <scheme val="minor"/>
      </rPr>
      <t>for ESFR</t>
    </r>
  </si>
  <si>
    <r>
      <t>Supply and install ceiling sprinkler heads  68</t>
    </r>
    <r>
      <rPr>
        <vertAlign val="superscript"/>
        <sz val="10"/>
        <color rgb="FF00B0F0"/>
        <rFont val="Calibri"/>
        <family val="2"/>
        <scheme val="minor"/>
      </rPr>
      <t>o</t>
    </r>
    <r>
      <rPr>
        <sz val="10"/>
        <color rgb="FF00B0F0"/>
        <rFont val="Calibri"/>
        <family val="2"/>
        <scheme val="minor"/>
      </rPr>
      <t>C K=80</t>
    </r>
  </si>
  <si>
    <r>
      <t>Supply and install in-rack sprinkler heads  68</t>
    </r>
    <r>
      <rPr>
        <vertAlign val="superscript"/>
        <sz val="10"/>
        <color rgb="FF00B0F0"/>
        <rFont val="Calibri"/>
        <family val="2"/>
        <scheme val="minor"/>
      </rPr>
      <t>o</t>
    </r>
    <r>
      <rPr>
        <sz val="10"/>
        <color rgb="FF00B0F0"/>
        <rFont val="Calibri"/>
        <family val="2"/>
        <scheme val="minor"/>
      </rPr>
      <t>C K=80</t>
    </r>
  </si>
  <si>
    <r>
      <t>Supply and install DRY ESFR pendant type sprinkler heads  74</t>
    </r>
    <r>
      <rPr>
        <sz val="10"/>
        <color rgb="FF00B0F0"/>
        <rFont val="Calibri"/>
        <family val="2"/>
      </rPr>
      <t>°</t>
    </r>
    <r>
      <rPr>
        <sz val="10"/>
        <color rgb="FF00B0F0"/>
        <rFont val="Calibri"/>
        <family val="2"/>
        <scheme val="minor"/>
      </rPr>
      <t>C K=200</t>
    </r>
  </si>
  <si>
    <r>
      <t>Supply and install ESFR pendant type sprinkler heads  68</t>
    </r>
    <r>
      <rPr>
        <sz val="10"/>
        <color rgb="FF00B0F0"/>
        <rFont val="Calibri"/>
        <family val="2"/>
      </rPr>
      <t>°</t>
    </r>
    <r>
      <rPr>
        <sz val="10"/>
        <color rgb="FF00B0F0"/>
        <rFont val="Calibri"/>
        <family val="2"/>
        <scheme val="minor"/>
      </rPr>
      <t>C K=200</t>
    </r>
  </si>
  <si>
    <t>TOTAL FOR INSTALL AND CONNECT LIGHT FITTINGS.</t>
  </si>
  <si>
    <t>TOTAL FOR CONTAINMENT</t>
  </si>
  <si>
    <t xml:space="preserve"> PAGE: 15</t>
  </si>
  <si>
    <t>Deduction 3</t>
  </si>
  <si>
    <t>Item: 4.040a</t>
  </si>
  <si>
    <t>Power Cable   4c  185 mm2 XLPE SWA-PVC</t>
  </si>
  <si>
    <t>Wiring Cable  1c  185 mm2 PVC Non-Arm</t>
  </si>
  <si>
    <t>CASC_030</t>
  </si>
  <si>
    <t>02-015</t>
  </si>
  <si>
    <t xml:space="preserve">Cost Included with 4core above </t>
  </si>
  <si>
    <t>40Amp MCCB</t>
  </si>
  <si>
    <t>12.06.2025</t>
  </si>
  <si>
    <t>Third reductions (Redesign - Rev A)</t>
  </si>
  <si>
    <t>Electrical and ELV installations (Rev A)</t>
  </si>
  <si>
    <t>EL25-0062A</t>
  </si>
  <si>
    <t>Generator Set upgrade to extra silent enclosure +/-72dBA @ 7 metres</t>
  </si>
  <si>
    <t>increased by €1000 since we deducted €1000 from MP-Main</t>
  </si>
  <si>
    <t>deduction of €2000 since this cost was added to MP-Gen &amp; MP-Fire</t>
  </si>
  <si>
    <t>TOTALS PAGES</t>
  </si>
  <si>
    <t>SECTION 1</t>
  </si>
  <si>
    <t>Total for Preliminaries</t>
  </si>
  <si>
    <t>Total for Plumbing Installation</t>
  </si>
  <si>
    <t>Total for Sewerage &amp; Rain Water System</t>
  </si>
  <si>
    <t>Total for Electrical Installation</t>
  </si>
  <si>
    <t>Total for Light Fittings - Supply Only</t>
  </si>
  <si>
    <t>Total for Light Fittings - Install &amp; Connect</t>
  </si>
  <si>
    <t>Total for Cable Containment Installation</t>
  </si>
  <si>
    <t>Total for Data Installation</t>
  </si>
  <si>
    <t>Total for Lightning Protection System</t>
  </si>
  <si>
    <t>Total for Fire Stopping Systems</t>
  </si>
  <si>
    <t>Total for Dayworks</t>
  </si>
  <si>
    <t>TOTAL FOR SECTION 1 - MEP INSTALLATION</t>
  </si>
  <si>
    <t>SECTION 2</t>
  </si>
  <si>
    <t>Total for Ventilation System</t>
  </si>
  <si>
    <t>Total for Air Conditioning System</t>
  </si>
  <si>
    <t>TOTAL FOR SECTION 2 - HVAC INSTALLATION</t>
  </si>
  <si>
    <t>SECTION 3</t>
  </si>
  <si>
    <t>Total for Fire Alarm &amp; Detection System</t>
  </si>
  <si>
    <t>Total for Fire Fighting System</t>
  </si>
  <si>
    <t>Total for Fire Suppression System</t>
  </si>
  <si>
    <t>Total for CCTV Installation</t>
  </si>
  <si>
    <t>Total for Access Control System</t>
  </si>
  <si>
    <t>Total for Intercom System</t>
  </si>
  <si>
    <t>Total for Security System</t>
  </si>
  <si>
    <t>Total for Accessible Bathroom Call System</t>
  </si>
  <si>
    <t>Total for Sprinklers System</t>
  </si>
  <si>
    <t>SECTION 4</t>
  </si>
  <si>
    <t>Total for Fire Stopping</t>
  </si>
  <si>
    <t>GRAN TOTAL FOR M&amp;E INSTALLATIONS</t>
  </si>
  <si>
    <t xml:space="preserve">  Euro Exc VAT</t>
  </si>
  <si>
    <t>Updated BOQ and drawings from consultant</t>
  </si>
  <si>
    <t>total cost saving</t>
  </si>
  <si>
    <t>Fourth reductions - Rev B</t>
  </si>
  <si>
    <t>14.07.2025</t>
  </si>
  <si>
    <t>Corrected error for socket outlets - item 4.379</t>
  </si>
  <si>
    <t>Upgraded price for light fittings as per latest clarifications</t>
  </si>
  <si>
    <t>Value of Rev A - Discounted</t>
  </si>
  <si>
    <t>Changed to Trilux  as per clarifications</t>
  </si>
  <si>
    <t>Totals with Mech</t>
  </si>
  <si>
    <t xml:space="preserve">250mm diameter double wall s/s flue c/w 2 x 90 deg. bends </t>
  </si>
  <si>
    <t>Reduced labour hours by 10%</t>
  </si>
  <si>
    <t>Included additional discount from NAS for ELV systems (new factor x 0.873)</t>
  </si>
  <si>
    <t>Included additional discount from NAS for Generator set and changed genrator flue from Panta to NAS</t>
  </si>
  <si>
    <t>DBs and Changeover</t>
  </si>
  <si>
    <t>Armoured Cables</t>
  </si>
  <si>
    <t>New rate</t>
  </si>
  <si>
    <t>NAS Ltd - Fire Alarm</t>
  </si>
  <si>
    <t>NAS Ltd - CCTV</t>
  </si>
  <si>
    <t>As Awarded</t>
  </si>
  <si>
    <t>Sprinkler System</t>
  </si>
  <si>
    <t>HVAC</t>
  </si>
  <si>
    <t>Fire fighting</t>
  </si>
  <si>
    <t>Fire Stopping</t>
  </si>
  <si>
    <t>Overall discount</t>
  </si>
  <si>
    <t>GRAN TOTAL FOR M&amp;E INSTALLATIONS INCLUDING OVERALL DISCOUNT</t>
  </si>
  <si>
    <t>Mechanical BOQs (As Awarded)</t>
  </si>
  <si>
    <t>f</t>
  </si>
  <si>
    <t>NAS Ltd. - Data</t>
  </si>
  <si>
    <t>NAS Ltd. - Intercom</t>
  </si>
  <si>
    <t>NAS Ltd. - Accessible Bathroom</t>
  </si>
  <si>
    <t>NAS Ltd. - Access Control</t>
  </si>
  <si>
    <t>NAS Ltd - Security</t>
  </si>
  <si>
    <r>
      <t xml:space="preserve">Supply and install </t>
    </r>
    <r>
      <rPr>
        <b/>
        <i/>
        <sz val="10"/>
        <rFont val="Calibri"/>
        <family val="2"/>
        <scheme val="minor"/>
      </rPr>
      <t xml:space="preserve">galvanised conduit </t>
    </r>
    <r>
      <rPr>
        <i/>
        <sz val="10"/>
        <rFont val="Calibri"/>
        <family val="2"/>
        <scheme val="minor"/>
      </rPr>
      <t>surface mounted from fire alarm panel via galvanised trunking to the following fire alarm points.</t>
    </r>
  </si>
  <si>
    <t xml:space="preserve">Wiring of the following fire alarm points from the Fire alarm panel, using fire proof cable clipped directly to the wall / ceiling or through conduits, as per specification </t>
  </si>
  <si>
    <r>
      <t xml:space="preserve">Supply and install </t>
    </r>
    <r>
      <rPr>
        <b/>
        <i/>
        <sz val="10"/>
        <rFont val="Calibri"/>
        <family val="2"/>
        <scheme val="minor"/>
      </rPr>
      <t xml:space="preserve">316L Stainless Steel conduit </t>
    </r>
    <r>
      <rPr>
        <i/>
        <sz val="10"/>
        <rFont val="Calibri"/>
        <family val="2"/>
        <scheme val="minor"/>
      </rPr>
      <t>surface mounted from fire alarm panel via galvanised trunking to the following fire alarm points.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</si>
</sst>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3" formatCode="_-* #,##0.00_-;\-* #,##0.00_-;_-* &quot;-&quot;??_-;_-@_-"/>
    <numFmt numFmtId="164" formatCode="_(* #,##0.00_);_(* \(#,##0.00\);_(* &quot;-&quot;??_);_(@_)"/>
    <numFmt numFmtId="165" formatCode="_(&quot;$&quot;* #,##0.00_);_(&quot;$&quot;* \(#,##0.00\);_(&quot;$&quot;* &quot;-&quot;??_);_(@_)"/>
    <numFmt numFmtId="166" formatCode="0.000"/>
    <numFmt numFmtId="167" formatCode="&quot;Lm &quot;#,##0.00_);[Red]\(&quot;Lm &quot;#,##0.00\)"/>
    <numFmt numFmtId="168" formatCode="\(\ 0.00%\ \)"/>
    <numFmt numFmtId="169" formatCode="&quot;Lm/hr &quot;#,##0.00_);[Red]\(&quot;Lm &quot;#,##0.00\)"/>
    <numFmt numFmtId="170" formatCode="dd/mm/yy;@"/>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quot;€/Prhr &quot;#,##0.000_);[Red]\(&quot;Lm &quot;#,##0.000\)"/>
    <numFmt numFmtId="179" formatCode="_([$€-2]\ * #,##0.00_);_([$€-2]\ * \(#,##0.00\);_([$€-2]\ * &quot;-&quot;??_);_(@_)"/>
    <numFmt numFmtId="180" formatCode="0.00_)"/>
    <numFmt numFmtId="181" formatCode="#,##0.00_ ;[Red]\-#,##0.00\ "/>
    <numFmt numFmtId="182" formatCode="0.0"/>
    <numFmt numFmtId="183" formatCode="#,##0.00000000000_ ;[Red]\-#,##0.00000000000\ "/>
    <numFmt numFmtId="184" formatCode="0.000000"/>
    <numFmt numFmtId="185" formatCode="#,##0.00000_ ;\-#,##0.00000\ "/>
    <numFmt numFmtId="186" formatCode="0.00000"/>
    <numFmt numFmtId="187" formatCode="#,##0.00000000_ ;[Red]\-#,##0.00000000\ "/>
    <numFmt numFmtId="188" formatCode="0.0000%"/>
    <numFmt numFmtId="189" formatCode="0.000000%"/>
  </numFmts>
  <fonts count="216">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sz val="9"/>
      <color indexed="13"/>
      <name val="Arial"/>
      <family val="2"/>
    </font>
    <font>
      <b/>
      <sz val="9"/>
      <name val="Arial"/>
      <family val="2"/>
    </font>
    <font>
      <b/>
      <sz val="9"/>
      <color indexed="13"/>
      <name val="Arial"/>
      <family val="2"/>
    </font>
    <font>
      <sz val="9"/>
      <color indexed="10"/>
      <name val="Arial"/>
      <family val="2"/>
    </font>
    <font>
      <b/>
      <sz val="10"/>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11"/>
      <color theme="1"/>
      <name val="Calibri"/>
      <family val="2"/>
      <scheme val="minor"/>
    </font>
    <font>
      <sz val="10"/>
      <color rgb="FFFF0000"/>
      <name val="Calibri"/>
      <family val="2"/>
      <scheme val="minor"/>
    </font>
    <font>
      <b/>
      <sz val="10"/>
      <color rgb="FFFF0000"/>
      <name val="Calibri"/>
      <family val="2"/>
      <scheme val="minor"/>
    </font>
    <font>
      <sz val="10"/>
      <name val="Calibri"/>
      <family val="2"/>
      <scheme val="minor"/>
    </font>
    <font>
      <b/>
      <sz val="10"/>
      <name val="Calibri"/>
      <family val="2"/>
      <scheme val="minor"/>
    </font>
    <font>
      <i/>
      <sz val="10"/>
      <name val="Calibri"/>
      <family val="2"/>
      <scheme val="minor"/>
    </font>
    <font>
      <sz val="11"/>
      <name val="Calibri"/>
      <family val="2"/>
      <scheme val="minor"/>
    </font>
    <font>
      <b/>
      <i/>
      <sz val="10"/>
      <name val="Calibri"/>
      <family val="2"/>
      <scheme val="minor"/>
    </font>
    <font>
      <sz val="10"/>
      <name val="Calibri"/>
      <family val="2"/>
    </font>
    <font>
      <b/>
      <sz val="10"/>
      <name val="Calibri"/>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b/>
      <sz val="9"/>
      <color indexed="10"/>
      <name val="MS Sans Serif"/>
      <family val="2"/>
    </font>
    <font>
      <sz val="9"/>
      <name val="MS Sans Serif"/>
    </font>
    <font>
      <b/>
      <sz val="9"/>
      <color rgb="FF0070C0"/>
      <name val="MS Sans Serif"/>
    </font>
    <font>
      <b/>
      <sz val="10"/>
      <color rgb="FF0070C0"/>
      <name val="Arial"/>
      <family val="2"/>
    </font>
    <font>
      <b/>
      <sz val="9"/>
      <name val="MS Sans Serif"/>
    </font>
    <font>
      <sz val="9"/>
      <color rgb="FFFF0000"/>
      <name val="MS Sans Serif"/>
    </font>
    <font>
      <b/>
      <i/>
      <sz val="8"/>
      <name val="Arial"/>
      <family val="2"/>
    </font>
    <font>
      <b/>
      <i/>
      <sz val="11"/>
      <name val="Arial"/>
      <family val="2"/>
    </font>
    <font>
      <sz val="9"/>
      <color indexed="34"/>
      <name val="Arial"/>
      <family val="2"/>
    </font>
    <font>
      <b/>
      <i/>
      <sz val="8"/>
      <color indexed="33"/>
      <name val="Arial"/>
      <family val="2"/>
    </font>
    <font>
      <b/>
      <sz val="9"/>
      <color rgb="FFFF0000"/>
      <name val="MS Sans Serif"/>
    </font>
    <font>
      <b/>
      <sz val="9"/>
      <color rgb="FFFF0066"/>
      <name val="MS Sans Serif"/>
    </font>
    <font>
      <b/>
      <sz val="9"/>
      <color indexed="81"/>
      <name val="Tahoma"/>
      <family val="2"/>
    </font>
    <font>
      <sz val="9"/>
      <color indexed="81"/>
      <name val="Tahoma"/>
      <family val="2"/>
    </font>
    <font>
      <b/>
      <sz val="9"/>
      <color rgb="FFFF0000"/>
      <name val="Arial"/>
      <family val="2"/>
    </font>
    <font>
      <b/>
      <i/>
      <sz val="9"/>
      <color rgb="FF0070C0"/>
      <name val="Arial"/>
      <family val="2"/>
    </font>
    <font>
      <sz val="10"/>
      <color rgb="FFFF0000"/>
      <name val="Arial"/>
      <family val="2"/>
    </font>
    <font>
      <i/>
      <sz val="10"/>
      <color indexed="12"/>
      <name val="Arial"/>
      <family val="2"/>
    </font>
    <font>
      <sz val="9"/>
      <color rgb="FFFF0000"/>
      <name val="Arial"/>
      <family val="2"/>
    </font>
    <font>
      <i/>
      <sz val="9"/>
      <color rgb="FF0070C0"/>
      <name val="Arial"/>
      <family val="2"/>
    </font>
    <font>
      <b/>
      <sz val="10"/>
      <color rgb="FFFF0000"/>
      <name val="Arial"/>
      <family val="2"/>
    </font>
    <font>
      <sz val="9"/>
      <color rgb="FF00B050"/>
      <name val="Arial"/>
      <family val="2"/>
    </font>
    <font>
      <sz val="10"/>
      <color rgb="FF00B050"/>
      <name val="Arial"/>
      <family val="2"/>
    </font>
    <font>
      <b/>
      <sz val="9"/>
      <color rgb="FF00B050"/>
      <name val="Arial"/>
      <family val="2"/>
    </font>
    <font>
      <i/>
      <sz val="9"/>
      <color rgb="FF00B050"/>
      <name val="Arial"/>
      <family val="2"/>
    </font>
    <font>
      <sz val="10"/>
      <color rgb="FF000000"/>
      <name val="Mark Pro Book"/>
      <family val="2"/>
    </font>
    <font>
      <b/>
      <sz val="10"/>
      <color rgb="FFFF0000"/>
      <name val="Mark Pro Book"/>
      <family val="2"/>
    </font>
    <font>
      <b/>
      <sz val="9"/>
      <color rgb="FF0070C0"/>
      <name val="Arial"/>
      <family val="2"/>
    </font>
    <font>
      <sz val="9"/>
      <color indexed="10"/>
      <name val="MS Sans Serif"/>
    </font>
    <font>
      <sz val="9"/>
      <color theme="1"/>
      <name val="MS Sans Serif"/>
    </font>
    <font>
      <b/>
      <u/>
      <sz val="10"/>
      <color rgb="FF0070C0"/>
      <name val="Arial"/>
      <family val="2"/>
    </font>
    <font>
      <b/>
      <sz val="10"/>
      <color rgb="FFC00000"/>
      <name val="Calibri"/>
      <family val="2"/>
      <scheme val="minor"/>
    </font>
    <font>
      <b/>
      <sz val="11"/>
      <color theme="1"/>
      <name val="Calibri"/>
      <family val="2"/>
      <scheme val="minor"/>
    </font>
    <font>
      <sz val="10"/>
      <color rgb="FF00B0F0"/>
      <name val="Calibri"/>
      <family val="2"/>
      <scheme val="minor"/>
    </font>
    <font>
      <b/>
      <sz val="10"/>
      <color rgb="FF00B0F0"/>
      <name val="Calibri"/>
      <family val="2"/>
      <scheme val="minor"/>
    </font>
    <font>
      <i/>
      <sz val="10"/>
      <color rgb="FF00B0F0"/>
      <name val="Calibri"/>
      <family val="2"/>
      <scheme val="minor"/>
    </font>
    <font>
      <i/>
      <sz val="9"/>
      <color rgb="FFFF0000"/>
      <name val="Arial"/>
      <family val="2"/>
    </font>
    <font>
      <b/>
      <sz val="10"/>
      <color rgb="FF00B0F0"/>
      <name val="Calibri"/>
      <family val="2"/>
    </font>
    <font>
      <b/>
      <i/>
      <sz val="10"/>
      <color rgb="FF00B0F0"/>
      <name val="Calibri"/>
      <family val="2"/>
      <scheme val="minor"/>
    </font>
    <font>
      <vertAlign val="superscript"/>
      <sz val="10"/>
      <color rgb="FF00B0F0"/>
      <name val="Calibri"/>
      <family val="2"/>
      <scheme val="minor"/>
    </font>
    <font>
      <sz val="10"/>
      <color rgb="FF00B0F0"/>
      <name val="Calibri"/>
      <family val="2"/>
    </font>
    <font>
      <b/>
      <i/>
      <sz val="9"/>
      <color rgb="FFFF0000"/>
      <name val="Arial"/>
      <family val="2"/>
    </font>
  </fonts>
  <fills count="42">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solid">
        <fgColor theme="9" tint="0.79998168889431442"/>
        <bgColor indexed="64"/>
      </patternFill>
    </fill>
    <fill>
      <patternFill patternType="lightUp"/>
    </fill>
    <fill>
      <patternFill patternType="lightGray">
        <bgColor indexed="26"/>
      </patternFill>
    </fill>
    <fill>
      <patternFill patternType="solid">
        <fgColor indexed="47"/>
        <bgColor indexed="8"/>
      </patternFill>
    </fill>
    <fill>
      <patternFill patternType="solid">
        <fgColor theme="0"/>
        <bgColor indexed="64"/>
      </patternFill>
    </fill>
    <fill>
      <patternFill patternType="solid">
        <fgColor indexed="10"/>
        <bgColor indexed="64"/>
      </patternFill>
    </fill>
    <fill>
      <patternFill patternType="solid">
        <fgColor rgb="FF92D050"/>
        <bgColor indexed="64"/>
      </patternFill>
    </fill>
    <fill>
      <patternFill patternType="lightGray">
        <bgColor indexed="11"/>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8" tint="0.59999389629810485"/>
        <bgColor indexed="64"/>
      </patternFill>
    </fill>
    <fill>
      <patternFill patternType="lightGray">
        <bgColor indexed="51"/>
      </patternFill>
    </fill>
  </fills>
  <borders count="65">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s>
  <cellStyleXfs count="21">
    <xf numFmtId="0" fontId="0" fillId="0" borderId="0"/>
    <xf numFmtId="164" fontId="4" fillId="0" borderId="0" applyFont="0" applyFill="0" applyBorder="0" applyAlignment="0" applyProtection="0"/>
    <xf numFmtId="165"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27" fillId="0" borderId="0"/>
    <xf numFmtId="0" fontId="144" fillId="0" borderId="0"/>
    <xf numFmtId="1" fontId="4" fillId="0" borderId="0"/>
    <xf numFmtId="0" fontId="4" fillId="0" borderId="0"/>
    <xf numFmtId="0" fontId="151" fillId="0" borderId="0"/>
    <xf numFmtId="0" fontId="4" fillId="0" borderId="0"/>
    <xf numFmtId="0" fontId="4" fillId="0" borderId="0"/>
    <xf numFmtId="0" fontId="4" fillId="0" borderId="0"/>
    <xf numFmtId="0" fontId="166" fillId="0" borderId="0"/>
    <xf numFmtId="180" fontId="168" fillId="0" borderId="0"/>
    <xf numFmtId="0" fontId="4" fillId="0" borderId="0"/>
    <xf numFmtId="1" fontId="4" fillId="0" borderId="0"/>
    <xf numFmtId="1" fontId="4" fillId="0" borderId="0"/>
  </cellStyleXfs>
  <cellXfs count="1500">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2" fillId="0" borderId="0" xfId="6" applyFont="1" applyAlignment="1" applyProtection="1">
      <alignment horizontal="center"/>
      <protection locked="0"/>
    </xf>
    <xf numFmtId="0" fontId="33" fillId="0" borderId="0" xfId="2" applyNumberFormat="1" applyFont="1" applyFill="1" applyBorder="1" applyAlignment="1" applyProtection="1">
      <alignment horizontal="centerContinuous"/>
      <protection locked="0"/>
    </xf>
    <xf numFmtId="0" fontId="18"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28"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5"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3" fillId="2" borderId="4" xfId="2" applyNumberFormat="1" applyFont="1" applyFill="1" applyBorder="1" applyAlignment="1" applyProtection="1">
      <alignment horizontal="center" vertical="center"/>
    </xf>
    <xf numFmtId="0" fontId="53" fillId="2" borderId="5" xfId="3" applyFont="1" applyFill="1" applyBorder="1" applyAlignment="1">
      <alignment horizontal="center" vertical="center"/>
    </xf>
    <xf numFmtId="0" fontId="53" fillId="2" borderId="6" xfId="0" applyFont="1" applyFill="1" applyBorder="1" applyAlignment="1">
      <alignment horizontal="center" vertical="center"/>
    </xf>
    <xf numFmtId="0" fontId="53"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1" fontId="12" fillId="0" borderId="0" xfId="6" applyFont="1" applyAlignment="1" applyProtection="1">
      <alignment horizontal="center"/>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0" fontId="16" fillId="0" borderId="0" xfId="3" applyFont="1" applyProtection="1">
      <protection locked="0"/>
    </xf>
    <xf numFmtId="0" fontId="15" fillId="0" borderId="11" xfId="3" applyFont="1" applyBorder="1" applyAlignment="1" applyProtection="1">
      <alignment horizontal="center"/>
      <protection locked="0"/>
    </xf>
    <xf numFmtId="0" fontId="12" fillId="0" borderId="1" xfId="3" applyFont="1" applyBorder="1" applyProtection="1">
      <protection locked="0"/>
    </xf>
    <xf numFmtId="0" fontId="7" fillId="0" borderId="0" xfId="3" applyFont="1" applyProtection="1">
      <protection locked="0"/>
    </xf>
    <xf numFmtId="1" fontId="7" fillId="0" borderId="0" xfId="3" applyNumberFormat="1" applyFont="1" applyProtection="1">
      <protection locked="0"/>
    </xf>
    <xf numFmtId="0" fontId="15" fillId="0" borderId="0" xfId="3" applyFont="1" applyProtection="1">
      <protection locked="0"/>
    </xf>
    <xf numFmtId="0" fontId="16" fillId="0" borderId="1" xfId="3" applyFont="1" applyBorder="1" applyProtection="1">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8"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6"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6"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3" fillId="0" borderId="1" xfId="0" applyFont="1" applyBorder="1" applyAlignment="1" applyProtection="1">
      <alignment horizontal="left"/>
      <protection locked="0"/>
    </xf>
    <xf numFmtId="1" fontId="22"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6" fontId="0" fillId="0" borderId="1" xfId="0" applyNumberFormat="1" applyBorder="1" applyProtection="1">
      <protection locked="0"/>
    </xf>
    <xf numFmtId="0" fontId="21" fillId="0" borderId="0" xfId="0" applyFont="1" applyAlignment="1" applyProtection="1">
      <alignment horizontal="center"/>
      <protection locked="0"/>
    </xf>
    <xf numFmtId="0" fontId="24" fillId="0" borderId="0" xfId="0" applyFont="1" applyProtection="1">
      <protection locked="0"/>
    </xf>
    <xf numFmtId="0" fontId="21" fillId="0" borderId="0" xfId="0" applyFont="1" applyAlignment="1" applyProtection="1">
      <alignment horizontal="left"/>
      <protection locked="0"/>
    </xf>
    <xf numFmtId="0" fontId="25"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24" fillId="0" borderId="1" xfId="0" applyFont="1" applyBorder="1" applyProtection="1">
      <protection locked="0"/>
    </xf>
    <xf numFmtId="0" fontId="21" fillId="0" borderId="15" xfId="0" applyFont="1" applyBorder="1" applyAlignment="1" applyProtection="1">
      <alignment horizontal="left"/>
      <protection locked="0"/>
    </xf>
    <xf numFmtId="0" fontId="26"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6" fontId="0" fillId="0" borderId="15" xfId="0" applyNumberFormat="1" applyBorder="1" applyProtection="1">
      <protection locked="0"/>
    </xf>
    <xf numFmtId="0" fontId="0" fillId="8" borderId="0" xfId="0" applyFill="1"/>
    <xf numFmtId="0" fontId="0" fillId="14" borderId="0" xfId="0" applyFill="1"/>
    <xf numFmtId="0" fontId="59" fillId="15" borderId="0" xfId="0" applyFont="1" applyFill="1"/>
    <xf numFmtId="0" fontId="59"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58"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2" fillId="0" borderId="0" xfId="6" applyNumberFormat="1" applyFont="1" applyAlignment="1" applyProtection="1">
      <alignment vertical="top"/>
      <protection locked="0"/>
    </xf>
    <xf numFmtId="0" fontId="24"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29"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1"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3"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4" fillId="0" borderId="0" xfId="0" applyFont="1"/>
    <xf numFmtId="0" fontId="0" fillId="14" borderId="0" xfId="0" applyFill="1" applyAlignment="1" applyProtection="1">
      <alignment horizontal="center"/>
      <protection locked="0"/>
    </xf>
    <xf numFmtId="0" fontId="71" fillId="7" borderId="0" xfId="0" applyFont="1" applyFill="1" applyAlignment="1" applyProtection="1">
      <alignment horizontal="center"/>
      <protection locked="0"/>
    </xf>
    <xf numFmtId="0" fontId="73" fillId="14" borderId="0" xfId="0" applyFont="1" applyFill="1" applyAlignment="1" applyProtection="1">
      <alignment horizontal="center"/>
      <protection locked="0"/>
    </xf>
    <xf numFmtId="0" fontId="73" fillId="2" borderId="0" xfId="0" applyFont="1" applyFill="1" applyAlignment="1">
      <alignment horizontal="center"/>
    </xf>
    <xf numFmtId="0" fontId="73" fillId="12" borderId="0" xfId="0" applyFont="1" applyFill="1" applyAlignment="1" applyProtection="1">
      <alignment horizontal="center"/>
      <protection locked="0"/>
    </xf>
    <xf numFmtId="0" fontId="74" fillId="0" borderId="0" xfId="0" applyFont="1" applyAlignment="1">
      <alignment horizontal="center"/>
    </xf>
    <xf numFmtId="0" fontId="73" fillId="0" borderId="0" xfId="0" applyFont="1" applyAlignment="1" applyProtection="1">
      <alignment horizontal="center"/>
      <protection locked="0"/>
    </xf>
    <xf numFmtId="0" fontId="28" fillId="0" borderId="13" xfId="2" applyNumberFormat="1" applyFont="1" applyBorder="1" applyAlignment="1" applyProtection="1">
      <alignment horizontal="centerContinuous"/>
      <protection locked="0"/>
    </xf>
    <xf numFmtId="0" fontId="7" fillId="0" borderId="0" xfId="7" applyProtection="1">
      <protection locked="0"/>
    </xf>
    <xf numFmtId="0" fontId="72" fillId="0" borderId="0" xfId="0" applyFont="1" applyProtection="1">
      <protection locked="0"/>
    </xf>
    <xf numFmtId="0" fontId="31"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3" fillId="0" borderId="0" xfId="3" applyFont="1" applyAlignment="1" applyProtection="1">
      <alignment horizontal="centerContinuous"/>
      <protection locked="0"/>
    </xf>
    <xf numFmtId="0" fontId="32" fillId="0" borderId="0" xfId="0" applyFont="1" applyAlignment="1" applyProtection="1">
      <alignment horizontal="center"/>
      <protection locked="0"/>
    </xf>
    <xf numFmtId="0" fontId="0" fillId="0" borderId="0" xfId="0" applyAlignment="1" applyProtection="1">
      <alignment horizontal="right"/>
      <protection locked="0"/>
    </xf>
    <xf numFmtId="0" fontId="81" fillId="0" borderId="0" xfId="7" applyFont="1" applyAlignment="1" applyProtection="1">
      <alignment horizontal="left"/>
      <protection locked="0"/>
    </xf>
    <xf numFmtId="0" fontId="35"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4" fillId="0" borderId="0" xfId="7" applyFont="1" applyProtection="1">
      <protection locked="0"/>
    </xf>
    <xf numFmtId="0" fontId="37" fillId="0" borderId="0" xfId="7" applyFont="1" applyAlignment="1" applyProtection="1">
      <alignment horizontal="left"/>
      <protection locked="0"/>
    </xf>
    <xf numFmtId="0" fontId="62" fillId="0" borderId="0" xfId="7" applyFont="1" applyAlignment="1" applyProtection="1">
      <alignment horizontal="right"/>
      <protection locked="0"/>
    </xf>
    <xf numFmtId="2" fontId="54" fillId="0" borderId="0" xfId="1" applyNumberFormat="1" applyFont="1" applyAlignment="1" applyProtection="1">
      <alignment horizontal="right"/>
      <protection locked="0"/>
    </xf>
    <xf numFmtId="0" fontId="38" fillId="0" borderId="0" xfId="8" applyFont="1" applyProtection="1">
      <protection locked="0"/>
    </xf>
    <xf numFmtId="0" fontId="18"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8"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1" fillId="0" borderId="0" xfId="8" applyFont="1" applyAlignment="1" applyProtection="1">
      <alignment horizontal="right"/>
      <protection locked="0"/>
    </xf>
    <xf numFmtId="0" fontId="21"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6" fillId="0" borderId="0" xfId="0" applyFont="1" applyAlignment="1" applyProtection="1">
      <alignment horizontal="centerContinuous"/>
      <protection locked="0"/>
    </xf>
    <xf numFmtId="0" fontId="0" fillId="0" borderId="3" xfId="0" applyBorder="1" applyProtection="1">
      <protection locked="0"/>
    </xf>
    <xf numFmtId="0" fontId="24" fillId="0" borderId="0" xfId="0" applyFont="1" applyAlignment="1" applyProtection="1">
      <alignment horizontal="centerContinuous"/>
      <protection locked="0"/>
    </xf>
    <xf numFmtId="0" fontId="63" fillId="0" borderId="0" xfId="0" applyFont="1" applyProtection="1">
      <protection locked="0"/>
    </xf>
    <xf numFmtId="0" fontId="64" fillId="0" borderId="0" xfId="0" applyFont="1" applyProtection="1">
      <protection locked="0"/>
    </xf>
    <xf numFmtId="0" fontId="40" fillId="0" borderId="17" xfId="8" applyFont="1" applyBorder="1" applyAlignment="1" applyProtection="1">
      <alignment horizontal="left"/>
      <protection locked="0"/>
    </xf>
    <xf numFmtId="0" fontId="40" fillId="0" borderId="0" xfId="8" applyFont="1" applyProtection="1">
      <protection locked="0"/>
    </xf>
    <xf numFmtId="0" fontId="82" fillId="0" borderId="0" xfId="0" applyFont="1" applyAlignment="1" applyProtection="1">
      <alignment horizontal="right"/>
      <protection locked="0"/>
    </xf>
    <xf numFmtId="0" fontId="66" fillId="0" borderId="22" xfId="8" applyFont="1" applyBorder="1" applyAlignment="1" applyProtection="1">
      <alignment horizontal="left"/>
      <protection locked="0"/>
    </xf>
    <xf numFmtId="0" fontId="65" fillId="0" borderId="22" xfId="8" applyFont="1" applyBorder="1" applyAlignment="1" applyProtection="1">
      <alignment horizontal="centerContinuous"/>
      <protection locked="0"/>
    </xf>
    <xf numFmtId="0" fontId="65" fillId="0" borderId="22" xfId="8" applyFont="1" applyBorder="1" applyProtection="1">
      <protection locked="0"/>
    </xf>
    <xf numFmtId="0" fontId="67" fillId="0" borderId="22" xfId="0" applyFont="1" applyBorder="1" applyProtection="1">
      <protection locked="0"/>
    </xf>
    <xf numFmtId="0" fontId="67" fillId="0" borderId="0" xfId="0" applyFont="1" applyProtection="1">
      <protection locked="0"/>
    </xf>
    <xf numFmtId="0" fontId="68" fillId="0" borderId="0" xfId="0" applyFont="1" applyAlignment="1" applyProtection="1">
      <alignment horizontal="right"/>
      <protection locked="0"/>
    </xf>
    <xf numFmtId="169" fontId="68" fillId="0" borderId="0" xfId="0" applyNumberFormat="1" applyFont="1" applyAlignment="1" applyProtection="1">
      <alignment horizontal="right"/>
      <protection locked="0"/>
    </xf>
    <xf numFmtId="0" fontId="66" fillId="0" borderId="0" xfId="8" applyFont="1" applyAlignment="1" applyProtection="1">
      <alignment horizontal="left"/>
      <protection locked="0"/>
    </xf>
    <xf numFmtId="0" fontId="65" fillId="0" borderId="0" xfId="8" applyFont="1" applyAlignment="1" applyProtection="1">
      <alignment horizontal="centerContinuous"/>
      <protection locked="0"/>
    </xf>
    <xf numFmtId="0" fontId="65" fillId="0" borderId="0" xfId="8" applyFont="1" applyProtection="1">
      <protection locked="0"/>
    </xf>
    <xf numFmtId="0" fontId="24" fillId="0" borderId="23" xfId="0" applyFont="1" applyBorder="1" applyAlignment="1" applyProtection="1">
      <alignment horizontal="center"/>
      <protection locked="0"/>
    </xf>
    <xf numFmtId="0" fontId="24" fillId="0" borderId="22" xfId="0" applyFont="1" applyBorder="1" applyAlignment="1" applyProtection="1">
      <alignment horizontal="center"/>
      <protection locked="0"/>
    </xf>
    <xf numFmtId="0" fontId="31"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1"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7" fontId="0" fillId="0" borderId="19" xfId="0" applyNumberFormat="1" applyBorder="1" applyAlignment="1" applyProtection="1">
      <alignment horizontal="center"/>
      <protection locked="0"/>
    </xf>
    <xf numFmtId="0" fontId="0" fillId="0" borderId="20" xfId="0" applyBorder="1" applyProtection="1">
      <protection locked="0"/>
    </xf>
    <xf numFmtId="0" fontId="40" fillId="0" borderId="13" xfId="8" applyFont="1" applyBorder="1" applyAlignment="1" applyProtection="1">
      <alignment horizontal="centerContinuous"/>
      <protection locked="0"/>
    </xf>
    <xf numFmtId="0" fontId="40" fillId="0" borderId="13" xfId="8" applyFont="1" applyBorder="1" applyProtection="1">
      <protection locked="0"/>
    </xf>
    <xf numFmtId="0" fontId="40" fillId="0" borderId="0" xfId="8" applyFont="1" applyAlignment="1" applyProtection="1">
      <alignment horizontal="centerContinuous"/>
      <protection locked="0"/>
    </xf>
    <xf numFmtId="9" fontId="42" fillId="2" borderId="3" xfId="8" applyNumberFormat="1" applyFont="1" applyFill="1" applyBorder="1" applyAlignment="1" applyProtection="1">
      <alignment horizontal="centerContinuous"/>
      <protection locked="0"/>
    </xf>
    <xf numFmtId="9" fontId="42" fillId="0" borderId="0" xfId="8" applyNumberFormat="1" applyFont="1" applyAlignment="1" applyProtection="1">
      <alignment horizontal="centerContinuous"/>
      <protection locked="0"/>
    </xf>
    <xf numFmtId="0" fontId="42" fillId="2" borderId="3" xfId="8" applyFont="1" applyFill="1" applyBorder="1" applyAlignment="1" applyProtection="1">
      <alignment horizontal="centerContinuous"/>
      <protection locked="0"/>
    </xf>
    <xf numFmtId="15" fontId="42" fillId="2" borderId="3" xfId="8" applyNumberFormat="1" applyFont="1" applyFill="1" applyBorder="1" applyAlignment="1" applyProtection="1">
      <alignment horizontal="centerContinuous"/>
      <protection locked="0"/>
    </xf>
    <xf numFmtId="0" fontId="43" fillId="0" borderId="0" xfId="8" applyFont="1" applyProtection="1">
      <protection locked="0"/>
    </xf>
    <xf numFmtId="0" fontId="44" fillId="0" borderId="0" xfId="8" applyFont="1" applyProtection="1">
      <protection locked="0"/>
    </xf>
    <xf numFmtId="0" fontId="40" fillId="0" borderId="0" xfId="8" applyFont="1" applyAlignment="1" applyProtection="1">
      <alignment horizontal="left"/>
      <protection locked="0"/>
    </xf>
    <xf numFmtId="15" fontId="40" fillId="0" borderId="0" xfId="8" applyNumberFormat="1" applyFont="1" applyAlignment="1" applyProtection="1">
      <alignment horizontal="centerContinuous"/>
      <protection locked="0"/>
    </xf>
    <xf numFmtId="0" fontId="45" fillId="0" borderId="0" xfId="8" applyFont="1" applyAlignment="1" applyProtection="1">
      <alignment horizontal="left"/>
      <protection locked="0"/>
    </xf>
    <xf numFmtId="15" fontId="46" fillId="0" borderId="0" xfId="0" applyNumberFormat="1" applyFont="1" applyAlignment="1" applyProtection="1">
      <alignment horizontal="left"/>
      <protection locked="0"/>
    </xf>
    <xf numFmtId="0" fontId="43" fillId="0" borderId="13" xfId="8" applyFont="1" applyBorder="1" applyProtection="1">
      <protection locked="0"/>
    </xf>
    <xf numFmtId="0" fontId="44" fillId="0" borderId="13" xfId="8" applyFont="1" applyBorder="1" applyProtection="1">
      <protection locked="0"/>
    </xf>
    <xf numFmtId="0" fontId="38" fillId="0" borderId="13" xfId="8" applyFont="1" applyBorder="1" applyProtection="1">
      <protection locked="0"/>
    </xf>
    <xf numFmtId="0" fontId="38" fillId="0" borderId="21" xfId="8" applyFont="1" applyBorder="1" applyProtection="1">
      <protection locked="0"/>
    </xf>
    <xf numFmtId="0" fontId="0" fillId="0" borderId="0" xfId="0" applyAlignment="1" applyProtection="1">
      <alignment vertical="center"/>
      <protection locked="0"/>
    </xf>
    <xf numFmtId="0" fontId="47" fillId="0" borderId="23" xfId="8" applyFont="1" applyBorder="1" applyAlignment="1" applyProtection="1">
      <alignment horizontal="left"/>
      <protection locked="0"/>
    </xf>
    <xf numFmtId="0" fontId="47"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0" fillId="0" borderId="22" xfId="8" applyNumberFormat="1" applyFont="1" applyBorder="1" applyAlignment="1" applyProtection="1">
      <alignment horizontal="centerContinuous"/>
      <protection locked="0"/>
    </xf>
    <xf numFmtId="0" fontId="40" fillId="0" borderId="22" xfId="8" applyFont="1" applyBorder="1" applyAlignment="1" applyProtection="1">
      <alignment horizontal="centerContinuous"/>
      <protection locked="0"/>
    </xf>
    <xf numFmtId="0" fontId="38" fillId="0" borderId="22" xfId="8"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4" fillId="0" borderId="24" xfId="8" applyFont="1" applyBorder="1" applyAlignment="1" applyProtection="1">
      <alignment horizontal="centerContinuous"/>
      <protection locked="0"/>
    </xf>
    <xf numFmtId="0" fontId="21" fillId="0" borderId="20" xfId="8" applyFont="1" applyBorder="1" applyAlignment="1" applyProtection="1">
      <alignment horizontal="left"/>
      <protection locked="0"/>
    </xf>
    <xf numFmtId="0" fontId="21"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0" fillId="0" borderId="13" xfId="8" applyNumberFormat="1" applyFont="1" applyBorder="1" applyAlignment="1" applyProtection="1">
      <alignment horizontal="centerContinuous"/>
      <protection locked="0"/>
    </xf>
    <xf numFmtId="0" fontId="38" fillId="0" borderId="13" xfId="8" applyFont="1" applyBorder="1" applyAlignment="1" applyProtection="1">
      <alignment horizontal="centerContinuous"/>
      <protection locked="0"/>
    </xf>
    <xf numFmtId="0" fontId="38" fillId="0" borderId="21" xfId="8" applyFont="1" applyBorder="1" applyAlignment="1" applyProtection="1">
      <alignment horizontal="centerContinuous"/>
      <protection locked="0"/>
    </xf>
    <xf numFmtId="0" fontId="21" fillId="0" borderId="17" xfId="8" applyFont="1" applyBorder="1" applyAlignment="1" applyProtection="1">
      <alignment horizontal="left"/>
      <protection locked="0"/>
    </xf>
    <xf numFmtId="0" fontId="21" fillId="0" borderId="0" xfId="8" applyFont="1" applyAlignment="1" applyProtection="1">
      <alignment horizontal="centerContinuous"/>
      <protection locked="0"/>
    </xf>
    <xf numFmtId="0" fontId="47" fillId="0" borderId="0" xfId="8" applyFont="1" applyAlignment="1" applyProtection="1">
      <alignment horizontal="centerContinuous"/>
      <protection locked="0"/>
    </xf>
    <xf numFmtId="0" fontId="38" fillId="0" borderId="0" xfId="8" applyFont="1" applyAlignment="1" applyProtection="1">
      <alignment horizontal="centerContinuous"/>
      <protection locked="0"/>
    </xf>
    <xf numFmtId="0" fontId="38" fillId="0" borderId="19" xfId="8" applyFont="1" applyBorder="1" applyAlignment="1" applyProtection="1">
      <alignment horizontal="centerContinuous"/>
      <protection locked="0"/>
    </xf>
    <xf numFmtId="0" fontId="48" fillId="0" borderId="0" xfId="8" applyFont="1" applyAlignment="1" applyProtection="1">
      <alignment horizontal="right"/>
      <protection locked="0"/>
    </xf>
    <xf numFmtId="0" fontId="48" fillId="0" borderId="17" xfId="8" applyFont="1" applyBorder="1" applyAlignment="1" applyProtection="1">
      <alignment horizontal="left"/>
      <protection locked="0"/>
    </xf>
    <xf numFmtId="0" fontId="48" fillId="0" borderId="0" xfId="8" applyFont="1" applyAlignment="1" applyProtection="1">
      <alignment horizontal="left"/>
      <protection locked="0"/>
    </xf>
    <xf numFmtId="0" fontId="47" fillId="0" borderId="0" xfId="8" applyFont="1" applyAlignment="1" applyProtection="1">
      <alignment horizontal="left"/>
      <protection locked="0"/>
    </xf>
    <xf numFmtId="0" fontId="43"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1" fillId="0" borderId="17" xfId="0" applyFont="1" applyBorder="1" applyAlignment="1" applyProtection="1">
      <alignment horizontal="left"/>
      <protection locked="0"/>
    </xf>
    <xf numFmtId="0" fontId="41"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0"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0"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3"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7" fontId="12" fillId="0" borderId="0" xfId="0" applyNumberFormat="1" applyFont="1"/>
    <xf numFmtId="0" fontId="12" fillId="17" borderId="0" xfId="8" applyFont="1" applyFill="1" applyAlignment="1">
      <alignment horizontal="left"/>
    </xf>
    <xf numFmtId="0" fontId="8" fillId="17" borderId="0" xfId="0" applyFont="1" applyFill="1"/>
    <xf numFmtId="0" fontId="40" fillId="17" borderId="0" xfId="8" applyFont="1" applyFill="1"/>
    <xf numFmtId="1" fontId="49" fillId="2" borderId="3" xfId="6" applyFont="1" applyFill="1" applyBorder="1" applyAlignment="1">
      <alignment horizontal="center"/>
    </xf>
    <xf numFmtId="166" fontId="12" fillId="2" borderId="3" xfId="6" applyNumberFormat="1" applyFont="1" applyFill="1" applyBorder="1" applyAlignment="1">
      <alignment horizontal="center"/>
    </xf>
    <xf numFmtId="0" fontId="0" fillId="0" borderId="13" xfId="0" applyBorder="1"/>
    <xf numFmtId="0" fontId="28" fillId="0" borderId="0" xfId="3" applyFont="1" applyAlignment="1" applyProtection="1">
      <alignment horizontal="left"/>
      <protection locked="0"/>
    </xf>
    <xf numFmtId="0" fontId="10" fillId="17" borderId="18" xfId="0" applyFont="1" applyFill="1" applyBorder="1" applyAlignment="1">
      <alignment horizontal="center"/>
    </xf>
    <xf numFmtId="2" fontId="24" fillId="0" borderId="11" xfId="0" applyNumberFormat="1" applyFont="1" applyBorder="1" applyAlignment="1">
      <alignment horizontal="center" vertical="top"/>
    </xf>
    <xf numFmtId="0" fontId="83" fillId="0" borderId="0" xfId="3" applyFont="1" applyAlignment="1">
      <alignment horizontal="center"/>
    </xf>
    <xf numFmtId="0" fontId="0" fillId="0" borderId="28" xfId="0" applyBorder="1"/>
    <xf numFmtId="164" fontId="0" fillId="0" borderId="0" xfId="1" applyFont="1" applyAlignment="1" applyProtection="1">
      <alignment horizontal="right"/>
      <protection locked="0"/>
    </xf>
    <xf numFmtId="164" fontId="18" fillId="0" borderId="0" xfId="1" applyFont="1" applyFill="1" applyBorder="1" applyProtection="1">
      <protection locked="0"/>
    </xf>
    <xf numFmtId="164" fontId="0" fillId="0" borderId="0" xfId="1" applyFont="1" applyProtection="1">
      <protection locked="0"/>
    </xf>
    <xf numFmtId="164" fontId="4" fillId="0" borderId="0" xfId="1" applyProtection="1">
      <protection locked="0"/>
    </xf>
    <xf numFmtId="164" fontId="12" fillId="19" borderId="9" xfId="1" applyFont="1" applyFill="1" applyBorder="1" applyProtection="1">
      <protection locked="0"/>
    </xf>
    <xf numFmtId="164" fontId="12" fillId="4" borderId="19" xfId="1" applyFont="1" applyFill="1" applyBorder="1" applyAlignment="1" applyProtection="1">
      <alignment horizontal="center"/>
      <protection locked="0"/>
    </xf>
    <xf numFmtId="39" fontId="18" fillId="0" borderId="3" xfId="1" applyNumberFormat="1" applyFont="1" applyFill="1" applyBorder="1" applyAlignment="1" applyProtection="1">
      <alignment horizontal="right"/>
      <protection locked="0"/>
    </xf>
    <xf numFmtId="2" fontId="50"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4"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8" fillId="0" borderId="17" xfId="0" applyNumberFormat="1" applyFont="1" applyBorder="1" applyAlignment="1" applyProtection="1">
      <alignment horizontal="center"/>
      <protection locked="0"/>
    </xf>
    <xf numFmtId="0" fontId="88" fillId="17" borderId="14" xfId="0" applyFont="1" applyFill="1" applyBorder="1"/>
    <xf numFmtId="0" fontId="88" fillId="17" borderId="16" xfId="0" applyFont="1" applyFill="1" applyBorder="1"/>
    <xf numFmtId="0" fontId="89" fillId="17" borderId="14" xfId="0" applyFont="1" applyFill="1" applyBorder="1"/>
    <xf numFmtId="0" fontId="0" fillId="0" borderId="0" xfId="0" applyAlignment="1">
      <alignment horizontal="center"/>
    </xf>
    <xf numFmtId="0" fontId="92" fillId="0" borderId="10" xfId="0" applyFont="1" applyBorder="1" applyAlignment="1">
      <alignment horizontal="center"/>
    </xf>
    <xf numFmtId="0" fontId="92" fillId="0" borderId="11" xfId="0" applyFont="1" applyBorder="1" applyAlignment="1">
      <alignment horizontal="center"/>
    </xf>
    <xf numFmtId="10" fontId="90" fillId="12" borderId="17" xfId="0" applyNumberFormat="1" applyFont="1" applyFill="1" applyBorder="1" applyAlignment="1" applyProtection="1">
      <alignment horizontal="center"/>
      <protection locked="0"/>
    </xf>
    <xf numFmtId="2" fontId="85" fillId="12" borderId="10" xfId="0" applyNumberFormat="1" applyFont="1" applyFill="1" applyBorder="1" applyAlignment="1" applyProtection="1">
      <alignment horizontal="center"/>
      <protection locked="0"/>
    </xf>
    <xf numFmtId="0" fontId="89" fillId="17" borderId="22" xfId="0" applyFont="1" applyFill="1" applyBorder="1"/>
    <xf numFmtId="0" fontId="88" fillId="17" borderId="22" xfId="0" applyFont="1" applyFill="1" applyBorder="1"/>
    <xf numFmtId="0" fontId="88" fillId="17" borderId="24" xfId="0" applyFont="1" applyFill="1" applyBorder="1"/>
    <xf numFmtId="0" fontId="89" fillId="14" borderId="14" xfId="0" applyFont="1" applyFill="1" applyBorder="1"/>
    <xf numFmtId="0" fontId="86" fillId="14" borderId="14" xfId="0" applyFont="1" applyFill="1" applyBorder="1"/>
    <xf numFmtId="0" fontId="91" fillId="17" borderId="10" xfId="7" applyFont="1" applyFill="1" applyBorder="1" applyAlignment="1" applyProtection="1">
      <alignment horizontal="center"/>
      <protection locked="0"/>
    </xf>
    <xf numFmtId="0" fontId="93" fillId="17" borderId="25" xfId="7" applyFont="1" applyFill="1" applyBorder="1" applyAlignment="1" applyProtection="1">
      <alignment horizontal="center"/>
      <protection locked="0"/>
    </xf>
    <xf numFmtId="0" fontId="36" fillId="0" borderId="0" xfId="7" applyFont="1" applyAlignment="1" applyProtection="1">
      <alignment vertical="top"/>
      <protection locked="0"/>
    </xf>
    <xf numFmtId="10" fontId="90"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1" fillId="0" borderId="0" xfId="0" applyFont="1" applyProtection="1">
      <protection locked="0"/>
    </xf>
    <xf numFmtId="0" fontId="51" fillId="2" borderId="29" xfId="0" applyFont="1" applyFill="1" applyBorder="1" applyProtection="1">
      <protection locked="0"/>
    </xf>
    <xf numFmtId="0" fontId="75" fillId="0" borderId="0" xfId="0" applyFont="1"/>
    <xf numFmtId="0" fontId="75" fillId="0" borderId="0" xfId="0" applyFont="1" applyProtection="1">
      <protection locked="0"/>
    </xf>
    <xf numFmtId="0" fontId="4" fillId="0" borderId="0" xfId="7" applyFont="1" applyAlignment="1">
      <alignment horizontal="centerContinuous" vertical="center"/>
    </xf>
    <xf numFmtId="0" fontId="78"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70" fontId="13" fillId="17" borderId="0" xfId="4" applyNumberFormat="1" applyFont="1" applyFill="1" applyAlignment="1">
      <alignment horizontal="center"/>
    </xf>
    <xf numFmtId="0" fontId="84" fillId="2" borderId="24" xfId="7" applyFont="1" applyFill="1" applyBorder="1" applyAlignment="1">
      <alignment horizontal="centerContinuous"/>
    </xf>
    <xf numFmtId="0" fontId="30" fillId="3" borderId="24" xfId="3" applyFont="1" applyFill="1" applyBorder="1" applyAlignment="1">
      <alignment horizontal="left"/>
    </xf>
    <xf numFmtId="0" fontId="30" fillId="4" borderId="19" xfId="3" applyFont="1" applyFill="1" applyBorder="1" applyAlignment="1">
      <alignment horizontal="left"/>
    </xf>
    <xf numFmtId="0" fontId="30" fillId="5" borderId="19" xfId="3" applyFont="1" applyFill="1" applyBorder="1" applyAlignment="1">
      <alignment horizontal="left"/>
    </xf>
    <xf numFmtId="0" fontId="30" fillId="6" borderId="19" xfId="3" applyFont="1" applyFill="1" applyBorder="1" applyAlignment="1">
      <alignment horizontal="left"/>
    </xf>
    <xf numFmtId="0" fontId="30" fillId="2" borderId="19" xfId="3" applyFont="1" applyFill="1" applyBorder="1" applyAlignment="1">
      <alignment horizontal="left"/>
    </xf>
    <xf numFmtId="0" fontId="30" fillId="7" borderId="19" xfId="3" applyFont="1" applyFill="1" applyBorder="1" applyAlignment="1">
      <alignment horizontal="left"/>
    </xf>
    <xf numFmtId="0" fontId="30" fillId="8" borderId="19" xfId="3" applyFont="1" applyFill="1" applyBorder="1" applyAlignment="1">
      <alignment horizontal="left"/>
    </xf>
    <xf numFmtId="0" fontId="30" fillId="9" borderId="19" xfId="3" applyFont="1" applyFill="1" applyBorder="1" applyAlignment="1">
      <alignment horizontal="left"/>
    </xf>
    <xf numFmtId="0" fontId="30" fillId="10" borderId="19" xfId="3" applyFont="1" applyFill="1" applyBorder="1" applyAlignment="1">
      <alignment horizontal="left"/>
    </xf>
    <xf numFmtId="0" fontId="30" fillId="11" borderId="19" xfId="3" applyFont="1" applyFill="1" applyBorder="1" applyAlignment="1">
      <alignment horizontal="left"/>
    </xf>
    <xf numFmtId="38" fontId="10" fillId="2" borderId="18" xfId="0" applyNumberFormat="1" applyFont="1" applyFill="1" applyBorder="1" applyAlignment="1">
      <alignment horizontal="center"/>
    </xf>
    <xf numFmtId="1" fontId="22" fillId="0" borderId="13" xfId="6" applyFont="1" applyBorder="1" applyAlignment="1" applyProtection="1">
      <alignment horizontal="left"/>
      <protection locked="0"/>
    </xf>
    <xf numFmtId="0" fontId="0" fillId="2" borderId="0" xfId="0" applyFill="1"/>
    <xf numFmtId="164" fontId="12" fillId="0" borderId="0" xfId="1" applyFont="1" applyFill="1" applyBorder="1" applyAlignment="1" applyProtection="1">
      <alignment horizontal="right"/>
      <protection locked="0"/>
    </xf>
    <xf numFmtId="0" fontId="100" fillId="0" borderId="0" xfId="3" applyFont="1" applyAlignment="1">
      <alignment horizontal="center" vertical="center"/>
    </xf>
    <xf numFmtId="2" fontId="101"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1" fillId="0" borderId="30" xfId="0" applyFont="1" applyBorder="1" applyAlignment="1" applyProtection="1">
      <alignment horizontal="center"/>
      <protection locked="0"/>
    </xf>
    <xf numFmtId="0" fontId="21" fillId="0" borderId="26" xfId="0" applyFont="1" applyBorder="1" applyAlignment="1" applyProtection="1">
      <alignment horizontal="center"/>
      <protection locked="0"/>
    </xf>
    <xf numFmtId="0" fontId="63" fillId="0" borderId="0" xfId="0" applyFont="1" applyAlignment="1" applyProtection="1">
      <alignment horizontal="center"/>
      <protection locked="0"/>
    </xf>
    <xf numFmtId="0" fontId="63" fillId="0" borderId="21" xfId="0" applyFont="1" applyBorder="1" applyAlignment="1" applyProtection="1">
      <alignment horizontal="center"/>
      <protection locked="0"/>
    </xf>
    <xf numFmtId="0" fontId="103"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8" fillId="0" borderId="0" xfId="7" applyFont="1"/>
    <xf numFmtId="49" fontId="75" fillId="0" borderId="0" xfId="2" applyNumberFormat="1" applyFont="1" applyFill="1" applyBorder="1" applyAlignment="1" applyProtection="1">
      <alignment horizontal="right"/>
      <protection locked="0"/>
    </xf>
    <xf numFmtId="49" fontId="105" fillId="0" borderId="0" xfId="2" applyNumberFormat="1" applyFont="1" applyFill="1" applyBorder="1" applyAlignment="1" applyProtection="1">
      <alignment horizontal="right" vertical="center"/>
    </xf>
    <xf numFmtId="0" fontId="106" fillId="0" borderId="0" xfId="0" applyFont="1" applyAlignment="1">
      <alignment horizontal="right"/>
    </xf>
    <xf numFmtId="0" fontId="89" fillId="2" borderId="3" xfId="7" applyFont="1" applyFill="1" applyBorder="1" applyAlignment="1">
      <alignment horizontal="center"/>
    </xf>
    <xf numFmtId="164" fontId="0" fillId="0" borderId="0" xfId="1" applyFont="1" applyAlignment="1" applyProtection="1">
      <alignment horizontal="right"/>
    </xf>
    <xf numFmtId="0" fontId="102" fillId="17" borderId="11" xfId="3" applyFont="1" applyFill="1" applyBorder="1" applyAlignment="1" applyProtection="1">
      <alignment horizontal="left" vertical="center"/>
      <protection locked="0"/>
    </xf>
    <xf numFmtId="0" fontId="110" fillId="17" borderId="6" xfId="3" applyFont="1" applyFill="1" applyBorder="1" applyAlignment="1">
      <alignment horizontal="center" vertical="center"/>
    </xf>
    <xf numFmtId="0" fontId="111" fillId="17" borderId="3" xfId="2" applyNumberFormat="1" applyFont="1" applyFill="1" applyBorder="1" applyAlignment="1" applyProtection="1">
      <alignment horizontal="center" vertical="center"/>
    </xf>
    <xf numFmtId="0" fontId="24" fillId="0" borderId="0" xfId="7" applyFont="1" applyAlignment="1" applyProtection="1">
      <alignment horizontal="left"/>
      <protection locked="0"/>
    </xf>
    <xf numFmtId="0" fontId="95" fillId="0" borderId="0" xfId="7" applyFont="1" applyAlignment="1">
      <alignment vertical="center"/>
    </xf>
    <xf numFmtId="0" fontId="107" fillId="2" borderId="18" xfId="7" applyFont="1" applyFill="1" applyBorder="1" applyAlignment="1">
      <alignment horizontal="right"/>
    </xf>
    <xf numFmtId="0" fontId="94" fillId="12" borderId="10" xfId="0" applyFont="1" applyFill="1" applyBorder="1" applyAlignment="1" applyProtection="1">
      <alignment horizontal="center"/>
      <protection locked="0"/>
    </xf>
    <xf numFmtId="0" fontId="80" fillId="2" borderId="16" xfId="3" applyFont="1" applyFill="1" applyBorder="1" applyAlignment="1">
      <alignment horizontal="left"/>
    </xf>
    <xf numFmtId="0" fontId="94" fillId="12" borderId="25" xfId="0" applyFont="1" applyFill="1" applyBorder="1" applyAlignment="1" applyProtection="1">
      <alignment horizontal="center"/>
      <protection locked="0"/>
    </xf>
    <xf numFmtId="0" fontId="94" fillId="12" borderId="11" xfId="0" applyFont="1" applyFill="1" applyBorder="1" applyAlignment="1" applyProtection="1">
      <alignment horizontal="center"/>
      <protection locked="0"/>
    </xf>
    <xf numFmtId="0" fontId="70" fillId="0" borderId="0" xfId="3" applyFont="1" applyAlignment="1">
      <alignment horizontal="right"/>
    </xf>
    <xf numFmtId="0" fontId="87" fillId="14" borderId="14" xfId="0" applyFont="1" applyFill="1" applyBorder="1"/>
    <xf numFmtId="0" fontId="87" fillId="14" borderId="16" xfId="0" applyFont="1" applyFill="1" applyBorder="1"/>
    <xf numFmtId="2" fontId="88" fillId="2" borderId="10" xfId="3" applyNumberFormat="1" applyFont="1" applyFill="1" applyBorder="1" applyAlignment="1">
      <alignment horizontal="center"/>
    </xf>
    <xf numFmtId="2" fontId="88" fillId="2" borderId="25" xfId="3" applyNumberFormat="1" applyFont="1" applyFill="1" applyBorder="1" applyAlignment="1">
      <alignment horizontal="center"/>
    </xf>
    <xf numFmtId="2" fontId="88" fillId="2" borderId="11" xfId="3" applyNumberFormat="1" applyFont="1" applyFill="1" applyBorder="1" applyAlignment="1">
      <alignment horizontal="center"/>
    </xf>
    <xf numFmtId="2" fontId="13" fillId="12" borderId="0" xfId="3" applyNumberFormat="1" applyFont="1" applyFill="1" applyAlignment="1">
      <alignment horizontal="center"/>
    </xf>
    <xf numFmtId="0" fontId="69" fillId="12" borderId="3" xfId="3" applyFont="1" applyFill="1" applyBorder="1" applyAlignment="1" applyProtection="1">
      <alignment horizontal="center"/>
      <protection locked="0"/>
    </xf>
    <xf numFmtId="164" fontId="12" fillId="18" borderId="19" xfId="1" applyFont="1" applyFill="1" applyBorder="1" applyAlignment="1" applyProtection="1">
      <alignment horizontal="center"/>
      <protection locked="0"/>
    </xf>
    <xf numFmtId="0" fontId="114" fillId="0" borderId="19" xfId="0" applyFont="1" applyBorder="1" applyAlignment="1" applyProtection="1">
      <alignment horizontal="center"/>
      <protection locked="0"/>
    </xf>
    <xf numFmtId="0" fontId="114" fillId="0" borderId="25" xfId="0" applyFont="1" applyBorder="1" applyAlignment="1" applyProtection="1">
      <alignment horizontal="center"/>
      <protection locked="0"/>
    </xf>
    <xf numFmtId="0" fontId="114" fillId="0" borderId="0" xfId="0" applyFont="1" applyAlignment="1" applyProtection="1">
      <alignment horizontal="center"/>
      <protection locked="0"/>
    </xf>
    <xf numFmtId="0" fontId="13" fillId="0" borderId="0" xfId="0" applyFont="1" applyProtection="1">
      <protection locked="0"/>
    </xf>
    <xf numFmtId="0" fontId="115" fillId="0" borderId="0" xfId="0" applyFont="1" applyAlignment="1" applyProtection="1">
      <alignment horizontal="center"/>
      <protection locked="0"/>
    </xf>
    <xf numFmtId="0" fontId="116" fillId="0" borderId="0" xfId="0" applyFont="1" applyAlignment="1" applyProtection="1">
      <alignment horizontal="center"/>
      <protection locked="0"/>
    </xf>
    <xf numFmtId="0" fontId="89" fillId="17" borderId="5" xfId="7" applyFont="1" applyFill="1" applyBorder="1" applyAlignment="1">
      <alignment horizontal="centerContinuous" vertical="center"/>
    </xf>
    <xf numFmtId="0" fontId="9" fillId="17" borderId="3" xfId="3" applyFont="1" applyFill="1" applyBorder="1" applyAlignment="1">
      <alignment horizontal="center"/>
    </xf>
    <xf numFmtId="0" fontId="31" fillId="17" borderId="4" xfId="0" applyFont="1" applyFill="1" applyBorder="1"/>
    <xf numFmtId="0" fontId="39" fillId="17" borderId="29" xfId="7" applyFont="1" applyFill="1" applyBorder="1" applyAlignment="1">
      <alignment horizontal="left" vertical="center"/>
    </xf>
    <xf numFmtId="0" fontId="0" fillId="17" borderId="29" xfId="0" applyFill="1" applyBorder="1"/>
    <xf numFmtId="0" fontId="96"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0"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164" fontId="15" fillId="17" borderId="17" xfId="1" applyFont="1" applyFill="1" applyBorder="1" applyAlignment="1" applyProtection="1">
      <alignment horizontal="center"/>
    </xf>
    <xf numFmtId="164" fontId="15" fillId="17" borderId="0" xfId="1" applyFont="1" applyFill="1" applyBorder="1" applyAlignment="1" applyProtection="1">
      <alignment horizontal="center"/>
    </xf>
    <xf numFmtId="164" fontId="12" fillId="17" borderId="0" xfId="1" applyFont="1" applyFill="1" applyBorder="1" applyAlignment="1" applyProtection="1">
      <alignment horizontal="center"/>
    </xf>
    <xf numFmtId="164" fontId="12" fillId="0" borderId="0" xfId="1" applyFont="1" applyBorder="1" applyProtection="1"/>
    <xf numFmtId="0" fontId="117"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18" fillId="0" borderId="0" xfId="0" applyFont="1" applyAlignment="1" applyProtection="1">
      <alignment horizontal="right" vertical="top"/>
      <protection locked="0"/>
    </xf>
    <xf numFmtId="10" fontId="119" fillId="17" borderId="18" xfId="7" applyNumberFormat="1" applyFont="1" applyFill="1" applyBorder="1" applyAlignment="1">
      <alignment horizontal="center"/>
    </xf>
    <xf numFmtId="10" fontId="119" fillId="17" borderId="23" xfId="7" applyNumberFormat="1" applyFont="1" applyFill="1" applyBorder="1" applyAlignment="1">
      <alignment horizontal="center"/>
    </xf>
    <xf numFmtId="10" fontId="120" fillId="14" borderId="18" xfId="7" applyNumberFormat="1" applyFont="1" applyFill="1" applyBorder="1" applyAlignment="1">
      <alignment horizontal="center"/>
    </xf>
    <xf numFmtId="14" fontId="121" fillId="0" borderId="0" xfId="7" applyNumberFormat="1" applyFont="1" applyAlignment="1" applyProtection="1">
      <alignment horizontal="right"/>
      <protection locked="0"/>
    </xf>
    <xf numFmtId="14" fontId="54" fillId="0" borderId="0" xfId="7" applyNumberFormat="1" applyFont="1" applyAlignment="1" applyProtection="1">
      <alignment horizontal="center"/>
      <protection locked="0"/>
    </xf>
    <xf numFmtId="175" fontId="62" fillId="0" borderId="0" xfId="7" applyNumberFormat="1" applyFont="1" applyAlignment="1" applyProtection="1">
      <alignment horizontal="right"/>
      <protection locked="0"/>
    </xf>
    <xf numFmtId="176" fontId="62" fillId="0" borderId="0" xfId="7" applyNumberFormat="1" applyFont="1" applyAlignment="1" applyProtection="1">
      <alignment horizontal="left"/>
      <protection locked="0"/>
    </xf>
    <xf numFmtId="171" fontId="79" fillId="17" borderId="19" xfId="0" applyNumberFormat="1" applyFont="1" applyFill="1" applyBorder="1" applyAlignment="1" applyProtection="1">
      <alignment horizontal="center"/>
      <protection locked="0"/>
    </xf>
    <xf numFmtId="168" fontId="12" fillId="0" borderId="11" xfId="7" applyNumberFormat="1" applyFont="1" applyBorder="1" applyAlignment="1" applyProtection="1">
      <alignment horizontal="center"/>
      <protection locked="0"/>
    </xf>
    <xf numFmtId="39" fontId="123" fillId="0" borderId="16" xfId="1" applyNumberFormat="1" applyFont="1" applyFill="1" applyBorder="1" applyAlignment="1" applyProtection="1">
      <alignment horizontal="right"/>
    </xf>
    <xf numFmtId="39" fontId="123" fillId="0" borderId="18" xfId="1" applyNumberFormat="1" applyFont="1" applyFill="1" applyBorder="1" applyAlignment="1" applyProtection="1">
      <alignment horizontal="right"/>
    </xf>
    <xf numFmtId="0" fontId="124" fillId="0" borderId="14" xfId="7" applyFont="1" applyBorder="1" applyAlignment="1">
      <alignment horizontal="center"/>
    </xf>
    <xf numFmtId="40" fontId="20" fillId="2" borderId="14" xfId="7" applyNumberFormat="1" applyFont="1" applyFill="1" applyBorder="1" applyAlignment="1">
      <alignment horizontal="right"/>
    </xf>
    <xf numFmtId="40" fontId="20" fillId="2" borderId="16" xfId="7" applyNumberFormat="1" applyFont="1" applyFill="1" applyBorder="1" applyAlignment="1">
      <alignment horizontal="right"/>
    </xf>
    <xf numFmtId="14" fontId="54" fillId="0" borderId="0" xfId="7" applyNumberFormat="1" applyFont="1" applyAlignment="1" applyProtection="1">
      <alignment horizontal="right"/>
      <protection locked="0"/>
    </xf>
    <xf numFmtId="0" fontId="121" fillId="0" borderId="0" xfId="0" applyFont="1"/>
    <xf numFmtId="39" fontId="54" fillId="0" borderId="0" xfId="1" applyNumberFormat="1" applyFont="1" applyFill="1" applyBorder="1" applyAlignment="1" applyProtection="1">
      <alignment horizontal="right"/>
      <protection locked="0"/>
    </xf>
    <xf numFmtId="164" fontId="54" fillId="0" borderId="0" xfId="1" applyFont="1" applyFill="1" applyBorder="1" applyAlignment="1" applyProtection="1">
      <alignment horizontal="right"/>
      <protection locked="0"/>
    </xf>
    <xf numFmtId="164" fontId="54"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8" fontId="122" fillId="17" borderId="3" xfId="7" applyNumberFormat="1" applyFont="1" applyFill="1" applyBorder="1" applyAlignment="1">
      <alignment horizontal="center"/>
    </xf>
    <xf numFmtId="0" fontId="12" fillId="0" borderId="1" xfId="3" applyFont="1" applyBorder="1"/>
    <xf numFmtId="0" fontId="110" fillId="17" borderId="25" xfId="0" applyFont="1" applyFill="1" applyBorder="1" applyAlignment="1">
      <alignment horizontal="center" vertical="center"/>
    </xf>
    <xf numFmtId="0" fontId="110" fillId="17" borderId="19" xfId="0" applyFont="1" applyFill="1" applyBorder="1" applyAlignment="1">
      <alignment horizontal="center" vertical="center"/>
    </xf>
    <xf numFmtId="0" fontId="110" fillId="17" borderId="6" xfId="0" applyFont="1" applyFill="1" applyBorder="1" applyAlignment="1">
      <alignment horizontal="right" vertical="center"/>
    </xf>
    <xf numFmtId="0" fontId="30" fillId="11" borderId="11" xfId="3" applyFont="1" applyFill="1" applyBorder="1" applyAlignment="1">
      <alignment horizontal="left"/>
    </xf>
    <xf numFmtId="0" fontId="107" fillId="2" borderId="23" xfId="7" applyFont="1" applyFill="1" applyBorder="1" applyAlignment="1">
      <alignment horizontal="center"/>
    </xf>
    <xf numFmtId="2" fontId="30" fillId="2" borderId="17" xfId="7" applyNumberFormat="1" applyFont="1" applyFill="1" applyBorder="1" applyAlignment="1">
      <alignment horizontal="center"/>
    </xf>
    <xf numFmtId="0" fontId="80" fillId="2" borderId="21" xfId="3" applyFont="1" applyFill="1" applyBorder="1" applyAlignment="1">
      <alignment horizontal="left"/>
    </xf>
    <xf numFmtId="0" fontId="13" fillId="0" borderId="40" xfId="0" applyFont="1" applyBorder="1" applyAlignment="1" applyProtection="1">
      <alignment horizontal="center"/>
      <protection locked="0"/>
    </xf>
    <xf numFmtId="4" fontId="18"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3" fillId="14" borderId="3" xfId="0" applyFont="1" applyFill="1" applyBorder="1" applyAlignment="1" applyProtection="1">
      <alignment horizontal="center"/>
      <protection locked="0"/>
    </xf>
    <xf numFmtId="0" fontId="73" fillId="12" borderId="3" xfId="0" applyFont="1" applyFill="1" applyBorder="1" applyAlignment="1" applyProtection="1">
      <alignment horizontal="center"/>
      <protection locked="0"/>
    </xf>
    <xf numFmtId="0" fontId="73" fillId="0" borderId="3" xfId="0" applyFont="1" applyBorder="1" applyAlignment="1" applyProtection="1">
      <alignment horizontal="center"/>
      <protection locked="0"/>
    </xf>
    <xf numFmtId="0" fontId="8" fillId="19" borderId="3" xfId="0" applyFont="1" applyFill="1" applyBorder="1" applyProtection="1">
      <protection locked="0"/>
    </xf>
    <xf numFmtId="0" fontId="21" fillId="0" borderId="0" xfId="0" applyFont="1"/>
    <xf numFmtId="0" fontId="59" fillId="20" borderId="0" xfId="0" applyFont="1" applyFill="1" applyAlignment="1">
      <alignment horizontal="center"/>
    </xf>
    <xf numFmtId="0" fontId="59" fillId="15" borderId="0" xfId="0" applyFont="1" applyFill="1" applyAlignment="1">
      <alignment horizontal="center"/>
    </xf>
    <xf numFmtId="0" fontId="59" fillId="21" borderId="0" xfId="0" applyFont="1" applyFill="1" applyAlignment="1">
      <alignment horizontal="center"/>
    </xf>
    <xf numFmtId="0" fontId="59" fillId="0" borderId="0" xfId="0" applyFont="1"/>
    <xf numFmtId="0" fontId="126" fillId="0" borderId="0" xfId="0" applyFont="1"/>
    <xf numFmtId="38" fontId="127" fillId="17" borderId="18" xfId="0" applyNumberFormat="1" applyFont="1" applyFill="1" applyBorder="1" applyAlignment="1">
      <alignment horizontal="center"/>
    </xf>
    <xf numFmtId="38" fontId="28" fillId="12" borderId="14" xfId="0" applyNumberFormat="1" applyFont="1" applyFill="1" applyBorder="1" applyAlignment="1" applyProtection="1">
      <alignment horizontal="center"/>
      <protection locked="0"/>
    </xf>
    <xf numFmtId="0" fontId="59" fillId="0" borderId="0" xfId="0" applyFont="1" applyProtection="1">
      <protection locked="0"/>
    </xf>
    <xf numFmtId="0" fontId="128" fillId="0" borderId="0" xfId="7" applyFont="1" applyProtection="1">
      <protection locked="0"/>
    </xf>
    <xf numFmtId="0" fontId="129" fillId="0" borderId="0" xfId="0" applyFont="1" applyProtection="1">
      <protection locked="0"/>
    </xf>
    <xf numFmtId="0" fontId="130" fillId="0" borderId="0" xfId="0" applyFont="1" applyProtection="1">
      <protection locked="0"/>
    </xf>
    <xf numFmtId="0" fontId="47" fillId="0" borderId="0" xfId="0" applyFont="1" applyProtection="1">
      <protection locked="0"/>
    </xf>
    <xf numFmtId="0" fontId="132" fillId="0" borderId="3" xfId="0" applyFont="1" applyBorder="1" applyAlignment="1">
      <alignment horizontal="center"/>
    </xf>
    <xf numFmtId="0" fontId="109" fillId="0" borderId="0" xfId="0" applyFont="1" applyAlignment="1">
      <alignment vertical="center"/>
    </xf>
    <xf numFmtId="2" fontId="13" fillId="12" borderId="0" xfId="3" applyNumberFormat="1" applyFont="1" applyFill="1" applyAlignment="1">
      <alignment horizontal="center" vertical="top"/>
    </xf>
    <xf numFmtId="2" fontId="28" fillId="2" borderId="0" xfId="3" applyNumberFormat="1" applyFont="1" applyFill="1" applyAlignment="1" applyProtection="1">
      <alignment horizontal="center" vertical="top"/>
      <protection locked="0"/>
    </xf>
    <xf numFmtId="0" fontId="0" fillId="2" borderId="0" xfId="0" applyFill="1" applyProtection="1">
      <protection locked="0"/>
    </xf>
    <xf numFmtId="0" fontId="46" fillId="0" borderId="0" xfId="0" applyFont="1" applyAlignment="1" applyProtection="1">
      <alignment horizontal="center"/>
      <protection locked="0"/>
    </xf>
    <xf numFmtId="0" fontId="133" fillId="0" borderId="0" xfId="3" applyFont="1" applyAlignment="1">
      <alignment horizontal="right" vertical="top"/>
    </xf>
    <xf numFmtId="0" fontId="133" fillId="0" borderId="0" xfId="7" applyFont="1" applyAlignment="1">
      <alignment horizontal="right"/>
    </xf>
    <xf numFmtId="0" fontId="133" fillId="0" borderId="0" xfId="3" applyFont="1" applyAlignment="1">
      <alignment horizontal="right"/>
    </xf>
    <xf numFmtId="0" fontId="134" fillId="0" borderId="0" xfId="0" applyFont="1" applyAlignment="1" applyProtection="1">
      <alignment horizontal="left"/>
      <protection locked="0"/>
    </xf>
    <xf numFmtId="0" fontId="135" fillId="0" borderId="0" xfId="0" applyFont="1" applyProtection="1">
      <protection locked="0"/>
    </xf>
    <xf numFmtId="2" fontId="13" fillId="17" borderId="6" xfId="0" applyNumberFormat="1" applyFont="1" applyFill="1" applyBorder="1" applyAlignment="1">
      <alignment horizontal="center" vertical="center"/>
    </xf>
    <xf numFmtId="49" fontId="136"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37" fillId="0" borderId="3" xfId="1" applyNumberFormat="1" applyFont="1" applyFill="1" applyBorder="1" applyAlignment="1" applyProtection="1">
      <alignment horizontal="right"/>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38" fillId="17" borderId="19" xfId="0" applyFont="1" applyFill="1" applyBorder="1" applyAlignment="1">
      <alignment horizontal="left"/>
    </xf>
    <xf numFmtId="0" fontId="139"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6"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97"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1"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1"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2" fillId="2" borderId="29" xfId="2" applyNumberFormat="1" applyFont="1" applyFill="1" applyBorder="1" applyAlignment="1" applyProtection="1">
      <alignment horizontal="center"/>
    </xf>
    <xf numFmtId="0" fontId="56" fillId="2" borderId="29" xfId="2" applyNumberFormat="1" applyFont="1" applyFill="1" applyBorder="1" applyAlignment="1" applyProtection="1">
      <alignment horizontal="centerContinuous"/>
    </xf>
    <xf numFmtId="0" fontId="125" fillId="0" borderId="0" xfId="0" applyFont="1" applyAlignment="1">
      <alignment horizontal="center"/>
    </xf>
    <xf numFmtId="0" fontId="73" fillId="2" borderId="3" xfId="0" applyFont="1" applyFill="1" applyBorder="1" applyAlignment="1" applyProtection="1">
      <alignment horizontal="center"/>
      <protection locked="0"/>
    </xf>
    <xf numFmtId="0" fontId="74" fillId="0" borderId="3" xfId="0" applyFont="1" applyBorder="1" applyAlignment="1" applyProtection="1">
      <alignment horizontal="center"/>
      <protection locked="0"/>
    </xf>
    <xf numFmtId="168" fontId="142"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5" fillId="0" borderId="0" xfId="6" applyFont="1" applyAlignment="1" applyProtection="1">
      <alignment horizontal="center" vertical="top"/>
      <protection locked="0"/>
    </xf>
    <xf numFmtId="0" fontId="15" fillId="0" borderId="42" xfId="3" applyFont="1" applyBorder="1" applyAlignment="1">
      <alignment horizontal="center"/>
    </xf>
    <xf numFmtId="0" fontId="12" fillId="0" borderId="0" xfId="3" applyFont="1" applyAlignment="1">
      <alignment horizontal="left"/>
    </xf>
    <xf numFmtId="0" fontId="15" fillId="0" borderId="43" xfId="3" applyFont="1" applyBorder="1" applyAlignment="1">
      <alignment horizontal="center"/>
    </xf>
    <xf numFmtId="2" fontId="7" fillId="0" borderId="0" xfId="10" applyNumberFormat="1" applyFont="1" applyProtection="1">
      <protection locked="0"/>
    </xf>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0" fontId="1" fillId="0" borderId="3" xfId="0" applyFont="1" applyBorder="1" applyAlignment="1">
      <alignment horizontal="center"/>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0" fontId="7" fillId="0" borderId="1" xfId="3" applyFont="1" applyBorder="1"/>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1" fontId="4" fillId="0" borderId="25" xfId="0" applyNumberFormat="1" applyFont="1" applyBorder="1" applyAlignment="1">
      <alignment horizontal="center" vertical="top"/>
    </xf>
    <xf numFmtId="0" fontId="4" fillId="0" borderId="0" xfId="0" applyFont="1" applyAlignment="1">
      <alignment horizontal="left"/>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59" fillId="0" borderId="18" xfId="0" applyNumberFormat="1" applyFont="1" applyBorder="1" applyAlignment="1">
      <alignment horizontal="center" vertical="top"/>
    </xf>
    <xf numFmtId="4" fontId="1" fillId="0" borderId="3" xfId="0" applyNumberFormat="1" applyFont="1" applyBorder="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45" fillId="0" borderId="11" xfId="0" applyNumberFormat="1" applyFont="1" applyBorder="1" applyAlignment="1">
      <alignment horizontal="center" vertical="top"/>
    </xf>
    <xf numFmtId="0" fontId="31" fillId="0" borderId="20" xfId="0" applyFont="1" applyBorder="1" applyAlignment="1">
      <alignment horizontal="left" vertical="top" indent="1"/>
    </xf>
    <xf numFmtId="0" fontId="1" fillId="0" borderId="46" xfId="0" applyFont="1" applyBorder="1" applyAlignment="1">
      <alignment horizontal="center" vertical="top"/>
    </xf>
    <xf numFmtId="0" fontId="4" fillId="0" borderId="11" xfId="0" applyFont="1" applyBorder="1" applyAlignment="1">
      <alignment horizontal="center" vertical="top"/>
    </xf>
    <xf numFmtId="0" fontId="4" fillId="0" borderId="47" xfId="0" applyFont="1" applyBorder="1" applyAlignment="1">
      <alignment horizontal="center" vertical="top"/>
    </xf>
    <xf numFmtId="0" fontId="24"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8" xfId="0" applyFont="1" applyBorder="1" applyAlignment="1">
      <alignment horizontal="center" vertical="top"/>
    </xf>
    <xf numFmtId="0" fontId="4" fillId="0" borderId="49"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8" xfId="0" applyFont="1" applyBorder="1" applyAlignment="1">
      <alignment horizontal="center" vertical="top" wrapText="1"/>
    </xf>
    <xf numFmtId="0" fontId="4" fillId="0" borderId="25" xfId="0" applyFont="1" applyBorder="1" applyAlignment="1">
      <alignment horizontal="center" vertical="top" wrapText="1"/>
    </xf>
    <xf numFmtId="0" fontId="4" fillId="0" borderId="49"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8" xfId="0" applyNumberFormat="1" applyFont="1" applyBorder="1" applyAlignment="1">
      <alignment horizontal="center" vertical="top"/>
    </xf>
    <xf numFmtId="1" fontId="4" fillId="0" borderId="49"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6" xfId="0" applyNumberFormat="1" applyFont="1" applyBorder="1" applyAlignment="1">
      <alignment horizontal="center" vertical="top"/>
    </xf>
    <xf numFmtId="1" fontId="4" fillId="0" borderId="47"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4" xfId="0" applyFont="1" applyBorder="1" applyAlignment="1">
      <alignment horizontal="center" vertical="top"/>
    </xf>
    <xf numFmtId="0" fontId="1" fillId="0" borderId="14" xfId="0" applyFont="1" applyBorder="1" applyAlignment="1">
      <alignment horizontal="center" vertical="top"/>
    </xf>
    <xf numFmtId="0" fontId="1" fillId="0" borderId="45" xfId="0" applyFont="1" applyBorder="1" applyAlignment="1">
      <alignment horizontal="right" vertical="top"/>
    </xf>
    <xf numFmtId="0" fontId="4" fillId="0" borderId="44"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78" fontId="77"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46" fillId="0" borderId="0" xfId="3" applyFont="1" applyProtection="1">
      <protection locked="0"/>
    </xf>
    <xf numFmtId="0" fontId="147" fillId="0" borderId="0" xfId="3" applyFont="1" applyAlignment="1" applyProtection="1">
      <alignment horizontal="right"/>
      <protection locked="0"/>
    </xf>
    <xf numFmtId="0" fontId="146" fillId="0" borderId="0" xfId="11" applyFont="1" applyProtection="1">
      <protection locked="0"/>
    </xf>
    <xf numFmtId="0" fontId="146" fillId="0" borderId="0" xfId="3" applyFont="1" applyAlignment="1" applyProtection="1">
      <alignment horizontal="left"/>
      <protection locked="0"/>
    </xf>
    <xf numFmtId="0" fontId="146" fillId="0" borderId="13" xfId="3" applyFont="1" applyBorder="1" applyProtection="1">
      <protection locked="0"/>
    </xf>
    <xf numFmtId="0" fontId="146" fillId="0" borderId="13" xfId="11" applyFont="1" applyBorder="1" applyProtection="1">
      <protection locked="0"/>
    </xf>
    <xf numFmtId="0" fontId="147" fillId="0" borderId="0" xfId="11" applyFont="1" applyAlignment="1" applyProtection="1">
      <alignment horizontal="right"/>
      <protection locked="0"/>
    </xf>
    <xf numFmtId="15" fontId="146" fillId="0" borderId="0" xfId="11" applyNumberFormat="1" applyFont="1" applyProtection="1">
      <protection locked="0"/>
    </xf>
    <xf numFmtId="0" fontId="146" fillId="17" borderId="0" xfId="3" applyFont="1" applyFill="1" applyAlignment="1" applyProtection="1">
      <alignment horizontal="left"/>
      <protection locked="0"/>
    </xf>
    <xf numFmtId="0" fontId="148" fillId="0" borderId="0" xfId="3" applyFont="1" applyProtection="1">
      <protection locked="0"/>
    </xf>
    <xf numFmtId="0" fontId="148" fillId="0" borderId="0" xfId="3" applyFont="1" applyAlignment="1" applyProtection="1">
      <alignment horizontal="right"/>
      <protection locked="0"/>
    </xf>
    <xf numFmtId="4" fontId="146" fillId="17" borderId="0" xfId="1" applyNumberFormat="1" applyFont="1" applyFill="1" applyBorder="1" applyAlignment="1" applyProtection="1">
      <alignment horizontal="centerContinuous"/>
      <protection locked="0"/>
    </xf>
    <xf numFmtId="0" fontId="146" fillId="0" borderId="0" xfId="11" applyFont="1"/>
    <xf numFmtId="0" fontId="147" fillId="0" borderId="0" xfId="3" applyFont="1" applyAlignment="1" applyProtection="1">
      <alignment horizontal="left"/>
      <protection locked="0"/>
    </xf>
    <xf numFmtId="0" fontId="148" fillId="0" borderId="0" xfId="3" applyFont="1" applyAlignment="1" applyProtection="1">
      <alignment horizontal="left"/>
      <protection locked="0"/>
    </xf>
    <xf numFmtId="0" fontId="147" fillId="0" borderId="0" xfId="3" applyFont="1" applyProtection="1">
      <protection locked="0"/>
    </xf>
    <xf numFmtId="0" fontId="146" fillId="0" borderId="0" xfId="3" applyFont="1" applyAlignment="1" applyProtection="1">
      <alignment horizontal="center"/>
      <protection locked="0"/>
    </xf>
    <xf numFmtId="0" fontId="146" fillId="0" borderId="22" xfId="3" applyFont="1" applyBorder="1" applyProtection="1">
      <protection locked="0"/>
    </xf>
    <xf numFmtId="0" fontId="146" fillId="0" borderId="34" xfId="3" applyFont="1" applyBorder="1" applyProtection="1">
      <protection locked="0"/>
    </xf>
    <xf numFmtId="0" fontId="146" fillId="0" borderId="35" xfId="3" applyFont="1" applyBorder="1" applyProtection="1">
      <protection locked="0"/>
    </xf>
    <xf numFmtId="0" fontId="146" fillId="0" borderId="36" xfId="3" applyFont="1" applyBorder="1" applyProtection="1">
      <protection locked="0"/>
    </xf>
    <xf numFmtId="0" fontId="146" fillId="0" borderId="37" xfId="3" applyFont="1" applyBorder="1" applyProtection="1">
      <protection locked="0"/>
    </xf>
    <xf numFmtId="0" fontId="148" fillId="0" borderId="0" xfId="7" applyFont="1" applyAlignment="1" applyProtection="1">
      <alignment horizontal="left" vertical="center"/>
      <protection locked="0"/>
    </xf>
    <xf numFmtId="0" fontId="146" fillId="0" borderId="38" xfId="3" applyFont="1" applyBorder="1" applyProtection="1">
      <protection locked="0"/>
    </xf>
    <xf numFmtId="0" fontId="146" fillId="0" borderId="39" xfId="3" applyFont="1" applyBorder="1" applyProtection="1">
      <protection locked="0"/>
    </xf>
    <xf numFmtId="0" fontId="149" fillId="0" borderId="0" xfId="3" applyFont="1" applyProtection="1">
      <protection locked="0"/>
    </xf>
    <xf numFmtId="0" fontId="147" fillId="0" borderId="0" xfId="7" applyFont="1" applyAlignment="1" applyProtection="1">
      <alignment horizontal="right"/>
      <protection locked="0"/>
    </xf>
    <xf numFmtId="0" fontId="147" fillId="0" borderId="13" xfId="7" applyFont="1" applyBorder="1" applyAlignment="1" applyProtection="1">
      <alignment horizontal="left"/>
      <protection locked="0"/>
    </xf>
    <xf numFmtId="0" fontId="147" fillId="0" borderId="0" xfId="7" applyFont="1" applyAlignment="1" applyProtection="1">
      <alignment horizontal="left"/>
      <protection locked="0"/>
    </xf>
    <xf numFmtId="0" fontId="150" fillId="0" borderId="0" xfId="3" applyFont="1" applyAlignment="1" applyProtection="1">
      <alignment horizontal="right"/>
      <protection locked="0"/>
    </xf>
    <xf numFmtId="0" fontId="149" fillId="0" borderId="0" xfId="3" applyFont="1" applyAlignment="1" applyProtection="1">
      <alignment horizontal="left"/>
      <protection locked="0"/>
    </xf>
    <xf numFmtId="0" fontId="152" fillId="0" borderId="0" xfId="12" applyFont="1" applyAlignment="1">
      <alignment horizontal="center" vertical="center"/>
    </xf>
    <xf numFmtId="0" fontId="153" fillId="0" borderId="0" xfId="12" applyFont="1" applyAlignment="1">
      <alignment horizontal="left" vertical="center" wrapText="1"/>
    </xf>
    <xf numFmtId="0" fontId="152" fillId="0" borderId="0" xfId="12" applyFont="1" applyAlignment="1" applyProtection="1">
      <alignment horizontal="center" vertical="center"/>
      <protection locked="0"/>
    </xf>
    <xf numFmtId="0" fontId="152" fillId="0" borderId="0" xfId="12" applyFont="1" applyAlignment="1">
      <alignment horizontal="right" vertical="center"/>
    </xf>
    <xf numFmtId="0" fontId="152" fillId="0" borderId="0" xfId="12" applyFont="1" applyAlignment="1">
      <alignment vertical="center"/>
    </xf>
    <xf numFmtId="0" fontId="154" fillId="0" borderId="0" xfId="12" applyFont="1" applyAlignment="1">
      <alignment horizontal="center" vertical="center"/>
    </xf>
    <xf numFmtId="0" fontId="155" fillId="0" borderId="0" xfId="12" applyFont="1" applyAlignment="1">
      <alignment horizontal="left" vertical="center" wrapText="1"/>
    </xf>
    <xf numFmtId="0" fontId="154" fillId="0" borderId="0" xfId="12" applyFont="1" applyAlignment="1">
      <alignment horizontal="right" vertical="center"/>
    </xf>
    <xf numFmtId="0" fontId="154" fillId="0" borderId="0" xfId="12" applyFont="1" applyAlignment="1">
      <alignment vertical="center"/>
    </xf>
    <xf numFmtId="0" fontId="154" fillId="0" borderId="0" xfId="12" applyFont="1" applyAlignment="1">
      <alignment horizontal="left" vertical="center" wrapText="1"/>
    </xf>
    <xf numFmtId="0" fontId="154" fillId="0" borderId="0" xfId="12" applyFont="1" applyAlignment="1" applyProtection="1">
      <alignment horizontal="center" vertical="center"/>
      <protection locked="0"/>
    </xf>
    <xf numFmtId="166" fontId="155" fillId="0" borderId="3" xfId="11" applyNumberFormat="1" applyFont="1" applyBorder="1" applyAlignment="1">
      <alignment horizontal="center" vertical="center" wrapText="1"/>
    </xf>
    <xf numFmtId="0" fontId="155" fillId="0" borderId="3" xfId="11" applyFont="1" applyBorder="1" applyAlignment="1">
      <alignment horizontal="left" vertical="center" wrapText="1"/>
    </xf>
    <xf numFmtId="0" fontId="155" fillId="0" borderId="3" xfId="11" applyFont="1" applyBorder="1" applyAlignment="1">
      <alignment horizontal="center" vertical="center" wrapText="1"/>
    </xf>
    <xf numFmtId="4" fontId="155" fillId="0" borderId="3" xfId="11" applyNumberFormat="1" applyFont="1" applyBorder="1" applyAlignment="1" applyProtection="1">
      <alignment horizontal="center" vertical="center" wrapText="1"/>
      <protection locked="0"/>
    </xf>
    <xf numFmtId="166" fontId="155" fillId="0" borderId="3" xfId="12" applyNumberFormat="1" applyFont="1" applyBorder="1" applyAlignment="1">
      <alignment horizontal="center" vertical="center" wrapText="1"/>
    </xf>
    <xf numFmtId="0" fontId="155" fillId="0" borderId="3" xfId="12" applyFont="1" applyBorder="1" applyAlignment="1">
      <alignment horizontal="left" vertical="center" wrapText="1"/>
    </xf>
    <xf numFmtId="0" fontId="155" fillId="0" borderId="3" xfId="12" applyFont="1" applyBorder="1" applyAlignment="1">
      <alignment horizontal="center" vertical="center" wrapText="1"/>
    </xf>
    <xf numFmtId="4" fontId="155" fillId="0" borderId="3" xfId="12" applyNumberFormat="1" applyFont="1" applyBorder="1" applyAlignment="1" applyProtection="1">
      <alignment horizontal="center" vertical="center" wrapText="1"/>
      <protection locked="0"/>
    </xf>
    <xf numFmtId="164" fontId="155" fillId="0" borderId="3" xfId="12" applyNumberFormat="1" applyFont="1" applyBorder="1" applyAlignment="1">
      <alignment horizontal="right" vertical="center" wrapText="1"/>
    </xf>
    <xf numFmtId="166" fontId="154" fillId="0" borderId="3" xfId="12" applyNumberFormat="1" applyFont="1" applyBorder="1" applyAlignment="1">
      <alignment horizontal="center" vertical="center" wrapText="1"/>
    </xf>
    <xf numFmtId="0" fontId="156" fillId="0" borderId="3" xfId="12" applyFont="1" applyBorder="1" applyAlignment="1">
      <alignment horizontal="left" vertical="center" wrapText="1"/>
    </xf>
    <xf numFmtId="1" fontId="154" fillId="0" borderId="3" xfId="12" applyNumberFormat="1" applyFont="1" applyBorder="1" applyAlignment="1">
      <alignment horizontal="center" vertical="center" wrapText="1"/>
    </xf>
    <xf numFmtId="0" fontId="154" fillId="0" borderId="3" xfId="12" applyFont="1" applyBorder="1" applyAlignment="1">
      <alignment horizontal="center" vertical="center" wrapText="1"/>
    </xf>
    <xf numFmtId="0" fontId="154" fillId="0" borderId="3" xfId="12" applyFont="1" applyBorder="1" applyAlignment="1" applyProtection="1">
      <alignment horizontal="center" vertical="center" wrapText="1"/>
      <protection locked="0"/>
    </xf>
    <xf numFmtId="0" fontId="154" fillId="0" borderId="3" xfId="12" applyFont="1" applyBorder="1" applyAlignment="1">
      <alignment vertical="center" wrapText="1"/>
    </xf>
    <xf numFmtId="4" fontId="154" fillId="0" borderId="3" xfId="12" applyNumberFormat="1" applyFont="1" applyBorder="1" applyAlignment="1" applyProtection="1">
      <alignment horizontal="center" vertical="center" wrapText="1"/>
      <protection locked="0"/>
    </xf>
    <xf numFmtId="164" fontId="154" fillId="0" borderId="3" xfId="12" applyNumberFormat="1" applyFont="1" applyBorder="1" applyAlignment="1">
      <alignment horizontal="right" vertical="center"/>
    </xf>
    <xf numFmtId="0" fontId="154" fillId="0" borderId="3" xfId="12" applyFont="1" applyBorder="1" applyAlignment="1">
      <alignment horizontal="left" vertical="center" wrapText="1"/>
    </xf>
    <xf numFmtId="0" fontId="155" fillId="0" borderId="3" xfId="12" applyFont="1" applyBorder="1" applyAlignment="1" applyProtection="1">
      <alignment horizontal="center" vertical="center" wrapText="1"/>
      <protection locked="0"/>
    </xf>
    <xf numFmtId="166" fontId="154" fillId="0" borderId="0" xfId="12" applyNumberFormat="1" applyFont="1" applyAlignment="1">
      <alignment horizontal="center" vertical="center" wrapText="1"/>
    </xf>
    <xf numFmtId="0" fontId="154" fillId="0" borderId="0" xfId="12" applyFont="1" applyAlignment="1">
      <alignment horizontal="center" vertical="center" wrapText="1"/>
    </xf>
    <xf numFmtId="4" fontId="154" fillId="0" borderId="0" xfId="12" applyNumberFormat="1" applyFont="1" applyAlignment="1" applyProtection="1">
      <alignment horizontal="center" vertical="center" wrapText="1"/>
      <protection locked="0"/>
    </xf>
    <xf numFmtId="0" fontId="154" fillId="0" borderId="3" xfId="12" applyFont="1" applyBorder="1" applyAlignment="1">
      <alignment horizontal="justify" vertical="center" wrapText="1"/>
    </xf>
    <xf numFmtId="0" fontId="154" fillId="0" borderId="3" xfId="13" applyFont="1" applyBorder="1" applyAlignment="1">
      <alignment vertical="center" wrapText="1"/>
    </xf>
    <xf numFmtId="0" fontId="157" fillId="0" borderId="0" xfId="12" applyFont="1" applyAlignment="1">
      <alignment vertical="center"/>
    </xf>
    <xf numFmtId="0" fontId="155" fillId="0" borderId="16" xfId="12" applyFont="1" applyBorder="1" applyAlignment="1" applyProtection="1">
      <alignment horizontal="center" vertical="center" wrapText="1"/>
      <protection locked="0"/>
    </xf>
    <xf numFmtId="166" fontId="155" fillId="0" borderId="0" xfId="12" applyNumberFormat="1" applyFont="1" applyAlignment="1">
      <alignment horizontal="center" vertical="center" wrapText="1"/>
    </xf>
    <xf numFmtId="0" fontId="155" fillId="0" borderId="0" xfId="12" applyFont="1" applyAlignment="1">
      <alignment horizontal="center" vertical="center" wrapText="1"/>
    </xf>
    <xf numFmtId="0" fontId="155" fillId="0" borderId="0" xfId="12" applyFont="1" applyAlignment="1" applyProtection="1">
      <alignment horizontal="center" vertical="center" wrapText="1"/>
      <protection locked="0"/>
    </xf>
    <xf numFmtId="164" fontId="155" fillId="0" borderId="0" xfId="12" applyNumberFormat="1" applyFont="1" applyAlignment="1">
      <alignment horizontal="right" vertical="center" wrapText="1"/>
    </xf>
    <xf numFmtId="4" fontId="155" fillId="0" borderId="3" xfId="12" applyNumberFormat="1" applyFont="1" applyBorder="1" applyAlignment="1">
      <alignment horizontal="center" vertical="center" wrapText="1"/>
    </xf>
    <xf numFmtId="4" fontId="154" fillId="0" borderId="3" xfId="12" applyNumberFormat="1" applyFont="1" applyBorder="1" applyAlignment="1">
      <alignment horizontal="center" vertical="center" wrapText="1"/>
    </xf>
    <xf numFmtId="0" fontId="154" fillId="0" borderId="0" xfId="12" applyFont="1" applyAlignment="1">
      <alignment vertical="center" wrapText="1"/>
    </xf>
    <xf numFmtId="3" fontId="154" fillId="0" borderId="3" xfId="12" applyNumberFormat="1" applyFont="1" applyBorder="1" applyAlignment="1">
      <alignment horizontal="center" vertical="center" wrapText="1"/>
    </xf>
    <xf numFmtId="0" fontId="155" fillId="0" borderId="3" xfId="14" applyFont="1" applyBorder="1" applyAlignment="1">
      <alignment horizontal="left" vertical="center" wrapText="1"/>
    </xf>
    <xf numFmtId="0" fontId="154" fillId="0" borderId="3" xfId="14" applyFont="1" applyBorder="1" applyAlignment="1">
      <alignment horizontal="center" vertical="center" wrapText="1"/>
    </xf>
    <xf numFmtId="4" fontId="154" fillId="0" borderId="18" xfId="14" applyNumberFormat="1" applyFont="1" applyBorder="1" applyAlignment="1" applyProtection="1">
      <alignment horizontal="center" vertical="center" wrapText="1"/>
      <protection locked="0"/>
    </xf>
    <xf numFmtId="166" fontId="154" fillId="0" borderId="3" xfId="12" applyNumberFormat="1" applyFont="1" applyBorder="1" applyAlignment="1">
      <alignment horizontal="center" vertical="center"/>
    </xf>
    <xf numFmtId="0" fontId="156" fillId="0" borderId="3" xfId="12" applyFont="1" applyBorder="1" applyAlignment="1">
      <alignment vertical="center" wrapText="1"/>
    </xf>
    <xf numFmtId="166" fontId="152" fillId="0" borderId="0" xfId="12" applyNumberFormat="1" applyFont="1" applyAlignment="1">
      <alignment horizontal="center" vertical="center"/>
    </xf>
    <xf numFmtId="4" fontId="153" fillId="0" borderId="0" xfId="12" applyNumberFormat="1" applyFont="1" applyAlignment="1" applyProtection="1">
      <alignment horizontal="center" vertical="center" wrapText="1"/>
      <protection locked="0"/>
    </xf>
    <xf numFmtId="0" fontId="154" fillId="0" borderId="3" xfId="11" applyFont="1" applyBorder="1" applyAlignment="1">
      <alignment horizontal="center" vertical="center" wrapText="1"/>
    </xf>
    <xf numFmtId="0" fontId="154" fillId="0" borderId="3" xfId="12" applyFont="1" applyBorder="1" applyAlignment="1">
      <alignment horizontal="center" vertical="center"/>
    </xf>
    <xf numFmtId="4" fontId="154" fillId="0" borderId="3" xfId="12" applyNumberFormat="1" applyFont="1" applyBorder="1" applyAlignment="1" applyProtection="1">
      <alignment horizontal="center" vertical="center"/>
      <protection locked="0"/>
    </xf>
    <xf numFmtId="0" fontId="154" fillId="0" borderId="3" xfId="12" applyFont="1" applyBorder="1" applyAlignment="1">
      <alignment horizontal="justify" vertical="center"/>
    </xf>
    <xf numFmtId="0" fontId="154" fillId="0" borderId="3" xfId="13" applyFont="1" applyBorder="1" applyAlignment="1">
      <alignment horizontal="left" vertical="center" wrapText="1"/>
    </xf>
    <xf numFmtId="0" fontId="154" fillId="0" borderId="3" xfId="13" applyFont="1" applyBorder="1" applyAlignment="1">
      <alignment horizontal="center" vertical="center" wrapText="1"/>
    </xf>
    <xf numFmtId="166" fontId="153" fillId="0" borderId="0" xfId="12" applyNumberFormat="1" applyFont="1" applyAlignment="1">
      <alignment horizontal="center" vertical="center" wrapText="1"/>
    </xf>
    <xf numFmtId="0" fontId="153" fillId="0" borderId="0" xfId="12" applyFont="1" applyAlignment="1">
      <alignment horizontal="center" vertical="center" wrapText="1"/>
    </xf>
    <xf numFmtId="0" fontId="152" fillId="0" borderId="0" xfId="12" applyFont="1" applyAlignment="1">
      <alignment horizontal="center" vertical="center" wrapText="1"/>
    </xf>
    <xf numFmtId="0" fontId="153" fillId="0" borderId="0" xfId="12" applyFont="1" applyAlignment="1" applyProtection="1">
      <alignment horizontal="center" vertical="center" wrapText="1"/>
      <protection locked="0"/>
    </xf>
    <xf numFmtId="164" fontId="153" fillId="0" borderId="0" xfId="12" applyNumberFormat="1" applyFont="1" applyAlignment="1">
      <alignment horizontal="right" vertical="center" wrapText="1"/>
    </xf>
    <xf numFmtId="4" fontId="155" fillId="0" borderId="0" xfId="12" applyNumberFormat="1" applyFont="1" applyAlignment="1" applyProtection="1">
      <alignment horizontal="center" vertical="center" wrapText="1"/>
      <protection locked="0"/>
    </xf>
    <xf numFmtId="0" fontId="156" fillId="0" borderId="3" xfId="15" applyFont="1" applyBorder="1" applyAlignment="1">
      <alignment horizontal="left" vertical="center" wrapText="1" shrinkToFit="1"/>
    </xf>
    <xf numFmtId="0" fontId="155" fillId="0" borderId="3" xfId="15" applyFont="1" applyBorder="1" applyAlignment="1">
      <alignment horizontal="left" vertical="center" wrapText="1" shrinkToFit="1"/>
    </xf>
    <xf numFmtId="0" fontId="158" fillId="0" borderId="3" xfId="12" applyFont="1" applyBorder="1" applyAlignment="1">
      <alignment horizontal="left" vertical="center" wrapText="1"/>
    </xf>
    <xf numFmtId="0" fontId="154" fillId="0" borderId="3" xfId="15" applyFont="1" applyBorder="1" applyAlignment="1">
      <alignment horizontal="left" vertical="center" wrapText="1" shrinkToFit="1"/>
    </xf>
    <xf numFmtId="166" fontId="152" fillId="0" borderId="3" xfId="12" applyNumberFormat="1" applyFont="1" applyBorder="1" applyAlignment="1">
      <alignment horizontal="center" vertical="center" wrapText="1"/>
    </xf>
    <xf numFmtId="1" fontId="152" fillId="0" borderId="3" xfId="12" applyNumberFormat="1" applyFont="1" applyBorder="1" applyAlignment="1">
      <alignment horizontal="center" vertical="center" wrapText="1"/>
    </xf>
    <xf numFmtId="0" fontId="152" fillId="0" borderId="3" xfId="12" applyFont="1" applyBorder="1" applyAlignment="1">
      <alignment horizontal="center" vertical="center" wrapText="1"/>
    </xf>
    <xf numFmtId="0" fontId="152" fillId="0" borderId="3" xfId="12" applyFont="1" applyBorder="1" applyAlignment="1" applyProtection="1">
      <alignment horizontal="center" vertical="center" wrapText="1"/>
      <protection locked="0"/>
    </xf>
    <xf numFmtId="0" fontId="154" fillId="0" borderId="3" xfId="15" applyFont="1" applyBorder="1" applyAlignment="1">
      <alignment vertical="center" wrapText="1" shrinkToFit="1"/>
    </xf>
    <xf numFmtId="0" fontId="154" fillId="22" borderId="0" xfId="12" applyFont="1" applyFill="1" applyAlignment="1">
      <alignment vertical="center"/>
    </xf>
    <xf numFmtId="164" fontId="154" fillId="0" borderId="3" xfId="12" applyNumberFormat="1" applyFont="1" applyBorder="1" applyAlignment="1" applyProtection="1">
      <alignment horizontal="center" vertical="center" wrapText="1"/>
      <protection locked="0"/>
    </xf>
    <xf numFmtId="166" fontId="152" fillId="0" borderId="0" xfId="13" applyNumberFormat="1" applyFont="1" applyAlignment="1">
      <alignment horizontal="center" vertical="center"/>
    </xf>
    <xf numFmtId="0" fontId="153" fillId="0" borderId="0" xfId="13" applyFont="1" applyAlignment="1">
      <alignment horizontal="left" vertical="center" wrapText="1"/>
    </xf>
    <xf numFmtId="0" fontId="153" fillId="0" borderId="0" xfId="13" applyFont="1" applyAlignment="1">
      <alignment horizontal="center" vertical="center"/>
    </xf>
    <xf numFmtId="0" fontId="153" fillId="0" borderId="0" xfId="13" applyFont="1" applyAlignment="1" applyProtection="1">
      <alignment horizontal="center" vertical="center"/>
      <protection locked="0"/>
    </xf>
    <xf numFmtId="0" fontId="160" fillId="0" borderId="3" xfId="15" applyFont="1" applyBorder="1" applyAlignment="1">
      <alignment horizontal="left" vertical="center" wrapText="1" shrinkToFit="1"/>
    </xf>
    <xf numFmtId="166" fontId="154" fillId="0" borderId="0" xfId="12" applyNumberFormat="1" applyFont="1" applyAlignment="1">
      <alignment horizontal="center" vertical="center"/>
    </xf>
    <xf numFmtId="179" fontId="154" fillId="0" borderId="18" xfId="12" applyNumberFormat="1" applyFont="1" applyBorder="1" applyAlignment="1">
      <alignment horizontal="right" vertical="center"/>
    </xf>
    <xf numFmtId="0" fontId="154" fillId="0" borderId="3" xfId="15" applyFont="1" applyBorder="1" applyAlignment="1">
      <alignment horizontal="left" vertical="center" wrapText="1"/>
    </xf>
    <xf numFmtId="2" fontId="154" fillId="0" borderId="3" xfId="12" applyNumberFormat="1" applyFont="1" applyBorder="1" applyAlignment="1">
      <alignment horizontal="center" vertical="center"/>
    </xf>
    <xf numFmtId="0" fontId="156" fillId="0" borderId="3" xfId="12" applyFont="1" applyBorder="1" applyAlignment="1">
      <alignment horizontal="justify" vertical="center" wrapText="1"/>
    </xf>
    <xf numFmtId="0" fontId="154" fillId="0" borderId="3" xfId="15" applyFont="1" applyBorder="1" applyAlignment="1">
      <alignment horizontal="center" vertical="center" wrapText="1"/>
    </xf>
    <xf numFmtId="2" fontId="154" fillId="0" borderId="3" xfId="15" applyNumberFormat="1" applyFont="1" applyBorder="1" applyAlignment="1">
      <alignment horizontal="center" vertical="center" wrapText="1"/>
    </xf>
    <xf numFmtId="164" fontId="154" fillId="0" borderId="3" xfId="12" applyNumberFormat="1" applyFont="1" applyBorder="1" applyAlignment="1" applyProtection="1">
      <alignment horizontal="center" vertical="center"/>
      <protection locked="0"/>
    </xf>
    <xf numFmtId="0" fontId="156" fillId="0" borderId="3" xfId="12" applyFont="1" applyBorder="1" applyAlignment="1">
      <alignment horizontal="justify" vertical="center"/>
    </xf>
    <xf numFmtId="0" fontId="152" fillId="0" borderId="0" xfId="12" applyFont="1"/>
    <xf numFmtId="0" fontId="154" fillId="0" borderId="0" xfId="12" applyFont="1"/>
    <xf numFmtId="0" fontId="155" fillId="0" borderId="3" xfId="12" applyFont="1" applyBorder="1" applyAlignment="1">
      <alignment vertical="center" wrapText="1"/>
    </xf>
    <xf numFmtId="0" fontId="158" fillId="0" borderId="3" xfId="12" applyFont="1" applyBorder="1" applyAlignment="1">
      <alignment vertical="center" wrapText="1"/>
    </xf>
    <xf numFmtId="4" fontId="155" fillId="0" borderId="16" xfId="12" applyNumberFormat="1" applyFont="1" applyBorder="1" applyAlignment="1" applyProtection="1">
      <alignment horizontal="center" vertical="center" wrapText="1"/>
      <protection locked="0"/>
    </xf>
    <xf numFmtId="4" fontId="154" fillId="0" borderId="0" xfId="12" applyNumberFormat="1" applyFont="1" applyAlignment="1">
      <alignment horizontal="right" vertical="center"/>
    </xf>
    <xf numFmtId="0" fontId="155" fillId="0" borderId="14" xfId="12" applyFont="1" applyBorder="1" applyAlignment="1">
      <alignment horizontal="left" vertical="center" wrapText="1"/>
    </xf>
    <xf numFmtId="0" fontId="153" fillId="0" borderId="0" xfId="12" applyFont="1" applyAlignment="1">
      <alignment vertical="center" wrapText="1"/>
    </xf>
    <xf numFmtId="2" fontId="153" fillId="0" borderId="0" xfId="12" applyNumberFormat="1" applyFont="1" applyAlignment="1">
      <alignment horizontal="left" vertical="center" wrapText="1"/>
    </xf>
    <xf numFmtId="0" fontId="155" fillId="0" borderId="0" xfId="12" applyFont="1" applyAlignment="1">
      <alignment vertical="center" wrapText="1"/>
    </xf>
    <xf numFmtId="2" fontId="155" fillId="0" borderId="0" xfId="12" applyNumberFormat="1" applyFont="1" applyAlignment="1">
      <alignment horizontal="left" vertical="center" wrapText="1"/>
    </xf>
    <xf numFmtId="166" fontId="154" fillId="0" borderId="0" xfId="13" applyNumberFormat="1" applyFont="1" applyAlignment="1">
      <alignment horizontal="center" vertical="center"/>
    </xf>
    <xf numFmtId="0" fontId="155" fillId="0" borderId="0" xfId="13" applyFont="1" applyAlignment="1">
      <alignment horizontal="left" vertical="center" wrapText="1"/>
    </xf>
    <xf numFmtId="0" fontId="155" fillId="0" borderId="0" xfId="13" applyFont="1" applyAlignment="1">
      <alignment horizontal="center" vertical="center"/>
    </xf>
    <xf numFmtId="0" fontId="155" fillId="0" borderId="0" xfId="13" applyFont="1" applyAlignment="1" applyProtection="1">
      <alignment horizontal="center" vertical="center"/>
      <protection locked="0"/>
    </xf>
    <xf numFmtId="0" fontId="154" fillId="0" borderId="3" xfId="12" applyFont="1" applyBorder="1" applyAlignment="1" applyProtection="1">
      <alignment horizontal="center" vertical="center"/>
      <protection locked="0"/>
    </xf>
    <xf numFmtId="0" fontId="154" fillId="0" borderId="3" xfId="12" applyFont="1" applyBorder="1" applyAlignment="1" applyProtection="1">
      <alignment horizontal="left" vertical="center" wrapText="1"/>
      <protection locked="0"/>
    </xf>
    <xf numFmtId="0" fontId="154" fillId="0" borderId="3" xfId="13" applyFont="1" applyBorder="1" applyAlignment="1" applyProtection="1">
      <alignment horizontal="center" vertical="center" wrapText="1"/>
      <protection locked="0"/>
    </xf>
    <xf numFmtId="0" fontId="154" fillId="0" borderId="3" xfId="13" applyFont="1" applyBorder="1" applyAlignment="1" applyProtection="1">
      <alignment horizontal="left" vertical="center" wrapText="1"/>
      <protection locked="0"/>
    </xf>
    <xf numFmtId="166" fontId="154" fillId="23" borderId="3" xfId="12" applyNumberFormat="1" applyFont="1" applyFill="1" applyBorder="1" applyAlignment="1">
      <alignment horizontal="center" vertical="center"/>
    </xf>
    <xf numFmtId="0" fontId="155" fillId="23" borderId="3" xfId="12" applyFont="1" applyFill="1" applyBorder="1" applyAlignment="1">
      <alignment horizontal="left" vertical="center" wrapText="1"/>
    </xf>
    <xf numFmtId="0" fontId="155" fillId="23" borderId="18" xfId="12" applyFont="1" applyFill="1" applyBorder="1" applyAlignment="1">
      <alignment horizontal="center" vertical="center" wrapText="1"/>
    </xf>
    <xf numFmtId="0" fontId="155" fillId="23" borderId="16" xfId="12" applyFont="1" applyFill="1" applyBorder="1" applyAlignment="1">
      <alignment horizontal="center" vertical="center" wrapText="1"/>
    </xf>
    <xf numFmtId="0" fontId="155" fillId="23" borderId="3" xfId="12" applyFont="1" applyFill="1" applyBorder="1" applyAlignment="1">
      <alignment horizontal="center" vertical="center" wrapText="1"/>
    </xf>
    <xf numFmtId="4" fontId="155" fillId="0" borderId="0" xfId="12" applyNumberFormat="1" applyFont="1" applyAlignment="1">
      <alignment horizontal="right" vertical="center" wrapText="1"/>
    </xf>
    <xf numFmtId="166" fontId="154" fillId="0" borderId="18" xfId="12" applyNumberFormat="1" applyFont="1" applyBorder="1" applyAlignment="1">
      <alignment horizontal="center" vertical="center"/>
    </xf>
    <xf numFmtId="0" fontId="155" fillId="0" borderId="14" xfId="12" applyFont="1" applyBorder="1" applyAlignment="1">
      <alignment horizontal="center" vertical="center" wrapText="1"/>
    </xf>
    <xf numFmtId="0" fontId="155" fillId="0" borderId="16" xfId="12" applyFont="1" applyBorder="1" applyAlignment="1">
      <alignment horizontal="center" vertical="center" wrapText="1"/>
    </xf>
    <xf numFmtId="166" fontId="154" fillId="0" borderId="10" xfId="12" applyNumberFormat="1" applyFont="1" applyBorder="1" applyAlignment="1">
      <alignment horizontal="center" vertical="center"/>
    </xf>
    <xf numFmtId="0" fontId="155" fillId="0" borderId="18" xfId="12" applyFont="1" applyBorder="1" applyAlignment="1">
      <alignment horizontal="center" vertical="center" wrapText="1"/>
    </xf>
    <xf numFmtId="166" fontId="154" fillId="0" borderId="25" xfId="12" applyNumberFormat="1" applyFont="1" applyBorder="1" applyAlignment="1">
      <alignment horizontal="center" vertical="center"/>
    </xf>
    <xf numFmtId="0" fontId="155" fillId="23" borderId="42" xfId="12" applyFont="1" applyFill="1" applyBorder="1" applyAlignment="1">
      <alignment horizontal="left" vertical="center" wrapText="1"/>
    </xf>
    <xf numFmtId="0" fontId="152" fillId="0" borderId="0" xfId="12" applyFont="1" applyAlignment="1">
      <alignment horizontal="left" vertical="center" wrapText="1"/>
    </xf>
    <xf numFmtId="0" fontId="13" fillId="0" borderId="23" xfId="3" applyFont="1" applyBorder="1" applyAlignment="1">
      <alignment horizontal="right"/>
    </xf>
    <xf numFmtId="0" fontId="13" fillId="0" borderId="22" xfId="3" applyFont="1" applyBorder="1" applyAlignment="1">
      <alignment horizontal="right"/>
    </xf>
    <xf numFmtId="1" fontId="15" fillId="0" borderId="3" xfId="10" applyFont="1" applyBorder="1" applyAlignment="1" applyProtection="1">
      <alignment horizontal="center"/>
      <protection locked="0"/>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1" fontId="15" fillId="0" borderId="0" xfId="10" applyFont="1" applyProtection="1">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166" fontId="15" fillId="0" borderId="0" xfId="10" applyNumberFormat="1" applyFont="1" applyProtection="1">
      <protection locked="0"/>
    </xf>
    <xf numFmtId="1" fontId="7" fillId="0" borderId="0" xfId="10" applyFont="1" applyProtection="1">
      <protection locked="0"/>
    </xf>
    <xf numFmtId="2" fontId="7" fillId="13" borderId="0" xfId="10" applyNumberFormat="1" applyFont="1" applyFill="1"/>
    <xf numFmtId="2" fontId="7" fillId="18"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6" fontId="7" fillId="0" borderId="1" xfId="10" applyNumberFormat="1" applyFont="1" applyBorder="1" applyProtection="1">
      <protection locked="0"/>
    </xf>
    <xf numFmtId="2" fontId="7" fillId="13" borderId="15" xfId="10" applyNumberFormat="1" applyFont="1" applyFill="1" applyBorder="1"/>
    <xf numFmtId="1" fontId="14" fillId="0" borderId="0" xfId="10" applyFont="1" applyAlignment="1" applyProtection="1">
      <alignment horizontal="left" wrapText="1"/>
      <protection locked="0"/>
    </xf>
    <xf numFmtId="1" fontId="14" fillId="0" borderId="0" xfId="10" applyFont="1" applyAlignment="1" applyProtection="1">
      <alignment horizontal="left" vertical="top"/>
      <protection locked="0"/>
    </xf>
    <xf numFmtId="1" fontId="7" fillId="0" borderId="0" xfId="3" applyNumberFormat="1" applyFont="1"/>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171" fontId="13" fillId="0" borderId="0" xfId="3" applyNumberFormat="1" applyFont="1"/>
    <xf numFmtId="4" fontId="7" fillId="7" borderId="0" xfId="3" applyNumberFormat="1" applyFont="1" applyFill="1"/>
    <xf numFmtId="0" fontId="17" fillId="0" borderId="0" xfId="3" applyFont="1" applyProtection="1">
      <protection locked="0"/>
    </xf>
    <xf numFmtId="0" fontId="15" fillId="0" borderId="0" xfId="3" applyFont="1" applyAlignment="1">
      <alignment horizontal="right"/>
    </xf>
    <xf numFmtId="166" fontId="7" fillId="0" borderId="0" xfId="10" applyNumberFormat="1" applyFont="1" applyProtection="1">
      <protection locked="0"/>
    </xf>
    <xf numFmtId="2" fontId="7" fillId="0" borderId="1" xfId="3" applyNumberFormat="1" applyFont="1" applyBorder="1"/>
    <xf numFmtId="0" fontId="17" fillId="0" borderId="1" xfId="3" applyFont="1" applyBorder="1" applyProtection="1">
      <protection locked="0"/>
    </xf>
    <xf numFmtId="0" fontId="14" fillId="0" borderId="0" xfId="3" applyFont="1"/>
    <xf numFmtId="4" fontId="7" fillId="6" borderId="0" xfId="3" applyNumberFormat="1" applyFont="1" applyFill="1"/>
    <xf numFmtId="0" fontId="15" fillId="0" borderId="0" xfId="3" applyFont="1" applyAlignment="1" applyProtection="1">
      <alignment horizontal="center"/>
      <protection locked="0"/>
    </xf>
    <xf numFmtId="1" fontId="15" fillId="0" borderId="0" xfId="10" applyFont="1" applyAlignment="1" applyProtection="1">
      <alignment horizontal="center"/>
      <protection locked="0"/>
    </xf>
    <xf numFmtId="0" fontId="7" fillId="0" borderId="0" xfId="3" applyFont="1" applyAlignment="1" applyProtection="1">
      <alignment horizontal="center"/>
      <protection locked="0"/>
    </xf>
    <xf numFmtId="4" fontId="161" fillId="2" borderId="18" xfId="10" applyNumberFormat="1" applyFont="1" applyFill="1" applyBorder="1" applyAlignment="1">
      <alignment horizontal="right"/>
    </xf>
    <xf numFmtId="4" fontId="161"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62"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0" fillId="0" borderId="22" xfId="10" applyFont="1" applyBorder="1" applyAlignment="1" applyProtection="1">
      <alignment vertical="center"/>
      <protection locked="0"/>
    </xf>
    <xf numFmtId="1" fontId="20" fillId="0" borderId="22" xfId="10" applyFont="1" applyBorder="1" applyAlignment="1" applyProtection="1">
      <alignment horizontal="centerContinuous" vertical="center"/>
      <protection locked="0"/>
    </xf>
    <xf numFmtId="1" fontId="20" fillId="0" borderId="0" xfId="10" applyFont="1" applyAlignment="1" applyProtection="1">
      <alignment vertical="center"/>
      <protection locked="0"/>
    </xf>
    <xf numFmtId="1" fontId="20" fillId="0" borderId="0" xfId="10" applyFont="1" applyAlignment="1" applyProtection="1">
      <alignment horizontal="centerContinuous" vertical="center"/>
      <protection locked="0"/>
    </xf>
    <xf numFmtId="2" fontId="163" fillId="0" borderId="52" xfId="3" applyNumberFormat="1" applyFont="1" applyBorder="1" applyAlignment="1">
      <alignment horizontal="right"/>
    </xf>
    <xf numFmtId="2" fontId="164" fillId="0" borderId="0" xfId="3" applyNumberFormat="1" applyFont="1" applyAlignment="1">
      <alignment horizontal="left"/>
    </xf>
    <xf numFmtId="1" fontId="7" fillId="0" borderId="53" xfId="10" applyFont="1" applyBorder="1" applyProtection="1">
      <protection locked="0"/>
    </xf>
    <xf numFmtId="2" fontId="7" fillId="0" borderId="53" xfId="10" applyNumberFormat="1" applyFont="1" applyBorder="1" applyProtection="1">
      <protection locked="0"/>
    </xf>
    <xf numFmtId="1" fontId="15" fillId="0" borderId="53" xfId="10" applyFont="1" applyBorder="1" applyAlignment="1">
      <alignment horizontal="center"/>
    </xf>
    <xf numFmtId="1" fontId="15" fillId="0" borderId="53" xfId="10" applyFont="1" applyBorder="1"/>
    <xf numFmtId="2" fontId="7" fillId="0" borderId="54" xfId="10" applyNumberFormat="1" applyFont="1" applyBorder="1" applyProtection="1">
      <protection locked="0"/>
    </xf>
    <xf numFmtId="2" fontId="7" fillId="0" borderId="54" xfId="3" applyNumberFormat="1" applyFont="1" applyBorder="1"/>
    <xf numFmtId="2" fontId="7" fillId="0" borderId="54" xfId="10" applyNumberFormat="1" applyFont="1" applyBorder="1"/>
    <xf numFmtId="0" fontId="7" fillId="24" borderId="18" xfId="3" applyFont="1" applyFill="1" applyBorder="1" applyProtection="1">
      <protection locked="0"/>
    </xf>
    <xf numFmtId="4" fontId="23" fillId="3" borderId="18" xfId="3" applyNumberFormat="1" applyFont="1" applyFill="1" applyBorder="1" applyAlignment="1">
      <alignment horizontal="right"/>
    </xf>
    <xf numFmtId="4" fontId="23" fillId="3" borderId="14" xfId="3" applyNumberFormat="1" applyFont="1" applyFill="1" applyBorder="1" applyAlignment="1">
      <alignment horizontal="right"/>
    </xf>
    <xf numFmtId="4" fontId="23" fillId="3" borderId="16" xfId="3" applyNumberFormat="1" applyFont="1" applyFill="1" applyBorder="1" applyAlignment="1">
      <alignment horizontal="right"/>
    </xf>
    <xf numFmtId="1" fontId="7" fillId="0" borderId="0" xfId="3" applyNumberFormat="1" applyFont="1" applyAlignment="1" applyProtection="1">
      <alignment horizontal="center"/>
      <protection locked="0"/>
    </xf>
    <xf numFmtId="1" fontId="15" fillId="0" borderId="55" xfId="10" applyFont="1" applyBorder="1" applyProtection="1">
      <protection locked="0"/>
    </xf>
    <xf numFmtId="1" fontId="7" fillId="0" borderId="55" xfId="10" applyFont="1" applyBorder="1" applyAlignment="1">
      <alignment horizontal="center"/>
    </xf>
    <xf numFmtId="0" fontId="7" fillId="0" borderId="0" xfId="3" applyFont="1" applyAlignment="1" applyProtection="1">
      <alignment horizontal="right"/>
      <protection locked="0"/>
    </xf>
    <xf numFmtId="0" fontId="165" fillId="0" borderId="0" xfId="3" applyFont="1" applyAlignment="1" applyProtection="1">
      <alignment horizontal="left"/>
      <protection locked="0"/>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6" fontId="7" fillId="0" borderId="53" xfId="10" applyNumberFormat="1" applyFont="1" applyBorder="1" applyProtection="1">
      <protection locked="0"/>
    </xf>
    <xf numFmtId="1" fontId="15" fillId="0" borderId="53" xfId="10" applyFont="1" applyBorder="1" applyProtection="1">
      <protection locked="0"/>
    </xf>
    <xf numFmtId="1" fontId="7" fillId="0" borderId="53" xfId="10" applyFont="1" applyBorder="1" applyAlignment="1">
      <alignment horizontal="center"/>
    </xf>
    <xf numFmtId="166" fontId="7" fillId="0" borderId="54" xfId="10" applyNumberFormat="1" applyFont="1" applyBorder="1" applyProtection="1">
      <protection locked="0"/>
    </xf>
    <xf numFmtId="2" fontId="7" fillId="3" borderId="56" xfId="10" applyNumberFormat="1" applyFont="1" applyFill="1" applyBorder="1"/>
    <xf numFmtId="1" fontId="7" fillId="0" borderId="54" xfId="10" applyFont="1" applyBorder="1" applyProtection="1">
      <protection locked="0"/>
    </xf>
    <xf numFmtId="4" fontId="13" fillId="3" borderId="57" xfId="3" applyNumberFormat="1" applyFont="1" applyFill="1" applyBorder="1"/>
    <xf numFmtId="0" fontId="7" fillId="2" borderId="3" xfId="3" applyFont="1" applyFill="1" applyBorder="1" applyProtection="1">
      <protection locked="0"/>
    </xf>
    <xf numFmtId="4" fontId="88" fillId="4" borderId="18" xfId="3" applyNumberFormat="1" applyFont="1" applyFill="1" applyBorder="1" applyAlignment="1">
      <alignment horizontal="left"/>
    </xf>
    <xf numFmtId="4" fontId="23" fillId="4" borderId="14" xfId="3" applyNumberFormat="1" applyFont="1" applyFill="1" applyBorder="1" applyAlignment="1">
      <alignment horizontal="right"/>
    </xf>
    <xf numFmtId="4" fontId="23" fillId="25" borderId="16" xfId="3" applyNumberFormat="1" applyFont="1" applyFill="1" applyBorder="1" applyAlignment="1">
      <alignment horizontal="right"/>
    </xf>
    <xf numFmtId="2" fontId="7" fillId="0" borderId="0" xfId="10" applyNumberFormat="1" applyFont="1"/>
    <xf numFmtId="1" fontId="7" fillId="0" borderId="0" xfId="0" applyNumberFormat="1" applyFont="1"/>
    <xf numFmtId="0" fontId="167" fillId="0" borderId="0" xfId="16" applyFont="1" applyAlignment="1">
      <alignment horizontal="center" vertical="center"/>
    </xf>
    <xf numFmtId="180" fontId="169" fillId="0" borderId="0" xfId="17" applyFont="1"/>
    <xf numFmtId="180" fontId="169" fillId="26" borderId="0" xfId="17" applyFont="1" applyFill="1" applyAlignment="1">
      <alignment horizontal="center"/>
    </xf>
    <xf numFmtId="0" fontId="167" fillId="17" borderId="0" xfId="16" applyFont="1" applyFill="1" applyAlignment="1">
      <alignment horizontal="center" vertical="center"/>
    </xf>
    <xf numFmtId="0" fontId="167" fillId="0" borderId="0" xfId="16" applyFont="1" applyAlignment="1">
      <alignment horizontal="left" vertical="center"/>
    </xf>
    <xf numFmtId="0" fontId="170" fillId="0" borderId="0" xfId="16" applyFont="1" applyAlignment="1">
      <alignment horizontal="center" vertical="center"/>
    </xf>
    <xf numFmtId="2" fontId="171" fillId="0" borderId="0" xfId="16" applyNumberFormat="1" applyFont="1" applyAlignment="1">
      <alignment horizontal="center" vertical="center"/>
    </xf>
    <xf numFmtId="172" fontId="171" fillId="0" borderId="0" xfId="16" applyNumberFormat="1" applyFont="1" applyAlignment="1">
      <alignment horizontal="center" vertical="center"/>
    </xf>
    <xf numFmtId="1" fontId="172" fillId="17" borderId="0" xfId="16" applyNumberFormat="1" applyFont="1" applyFill="1" applyAlignment="1">
      <alignment horizontal="center" vertical="center"/>
    </xf>
    <xf numFmtId="170" fontId="167" fillId="0" borderId="0" xfId="16" applyNumberFormat="1" applyFont="1" applyAlignment="1">
      <alignment horizontal="center" vertical="center"/>
    </xf>
    <xf numFmtId="2" fontId="167" fillId="0" borderId="0" xfId="16" applyNumberFormat="1" applyFont="1" applyAlignment="1">
      <alignment vertical="center"/>
    </xf>
    <xf numFmtId="0" fontId="167" fillId="0" borderId="0" xfId="16" applyFont="1" applyAlignment="1">
      <alignment vertical="center"/>
    </xf>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54" xfId="3" applyFont="1" applyBorder="1"/>
    <xf numFmtId="1" fontId="15" fillId="0" borderId="54" xfId="10" applyFont="1" applyBorder="1" applyProtection="1">
      <protection locked="0"/>
    </xf>
    <xf numFmtId="1" fontId="7" fillId="0" borderId="54" xfId="10" applyFont="1" applyBorder="1" applyAlignment="1">
      <alignment horizontal="center"/>
    </xf>
    <xf numFmtId="4" fontId="13" fillId="4" borderId="57" xfId="3" applyNumberFormat="1" applyFont="1" applyFill="1" applyBorder="1"/>
    <xf numFmtId="1" fontId="88"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7" fillId="0" borderId="0" xfId="10" applyFont="1"/>
    <xf numFmtId="1" fontId="173"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19" fillId="2" borderId="15" xfId="10" applyNumberFormat="1" applyFont="1" applyFill="1" applyBorder="1"/>
    <xf numFmtId="0" fontId="153" fillId="0" borderId="0" xfId="12" applyFont="1" applyAlignment="1">
      <alignment vertical="center"/>
    </xf>
    <xf numFmtId="0" fontId="155" fillId="0" borderId="0" xfId="12" applyFont="1" applyAlignment="1">
      <alignment vertical="center"/>
    </xf>
    <xf numFmtId="166" fontId="154" fillId="0" borderId="0" xfId="12" applyNumberFormat="1" applyFont="1" applyAlignment="1">
      <alignment vertical="center"/>
    </xf>
    <xf numFmtId="0" fontId="160" fillId="0" borderId="3" xfId="15" applyFont="1" applyBorder="1" applyAlignment="1">
      <alignment vertical="center" wrapText="1" shrinkToFit="1"/>
    </xf>
    <xf numFmtId="0" fontId="156" fillId="27" borderId="3" xfId="18" applyFont="1" applyFill="1" applyBorder="1" applyAlignment="1">
      <alignment vertical="center" wrapText="1"/>
    </xf>
    <xf numFmtId="0" fontId="154" fillId="27" borderId="3" xfId="13" applyFont="1" applyFill="1" applyBorder="1" applyAlignment="1">
      <alignment vertical="center" wrapText="1"/>
    </xf>
    <xf numFmtId="0" fontId="156" fillId="27" borderId="3" xfId="13" applyFont="1" applyFill="1" applyBorder="1" applyAlignment="1">
      <alignment vertical="center" wrapText="1"/>
    </xf>
    <xf numFmtId="166" fontId="155" fillId="0" borderId="3" xfId="12" applyNumberFormat="1" applyFont="1" applyBorder="1" applyAlignment="1">
      <alignment vertical="center" wrapText="1"/>
    </xf>
    <xf numFmtId="166" fontId="154" fillId="0" borderId="0" xfId="12" applyNumberFormat="1" applyFont="1" applyAlignment="1">
      <alignment vertical="center" wrapText="1"/>
    </xf>
    <xf numFmtId="4" fontId="152" fillId="0" borderId="3" xfId="12" applyNumberFormat="1" applyFont="1" applyBorder="1" applyAlignment="1" applyProtection="1">
      <alignment horizontal="center" vertical="center" wrapText="1"/>
      <protection locked="0"/>
    </xf>
    <xf numFmtId="0" fontId="156" fillId="0" borderId="0" xfId="12" applyFont="1" applyAlignment="1">
      <alignment vertical="center"/>
    </xf>
    <xf numFmtId="0" fontId="156" fillId="0" borderId="3" xfId="13" applyFont="1" applyBorder="1" applyAlignment="1">
      <alignment vertical="center" wrapText="1"/>
    </xf>
    <xf numFmtId="4" fontId="154" fillId="0" borderId="3" xfId="13" applyNumberFormat="1" applyFont="1" applyBorder="1" applyAlignment="1" applyProtection="1">
      <alignment horizontal="center" vertical="center" wrapText="1"/>
      <protection locked="0"/>
    </xf>
    <xf numFmtId="166" fontId="155" fillId="0" borderId="0" xfId="12" applyNumberFormat="1" applyFont="1" applyAlignment="1">
      <alignment vertical="center" wrapText="1"/>
    </xf>
    <xf numFmtId="166" fontId="153" fillId="0" borderId="0" xfId="12" applyNumberFormat="1" applyFont="1" applyAlignment="1">
      <alignment vertical="center" wrapText="1"/>
    </xf>
    <xf numFmtId="166" fontId="153" fillId="0" borderId="3" xfId="12" applyNumberFormat="1" applyFont="1" applyBorder="1" applyAlignment="1">
      <alignment horizontal="center" vertical="center" wrapText="1"/>
    </xf>
    <xf numFmtId="0" fontId="155" fillId="0" borderId="3" xfId="15" applyFont="1" applyBorder="1" applyAlignment="1">
      <alignment vertical="center" wrapText="1" shrinkToFit="1"/>
    </xf>
    <xf numFmtId="0" fontId="156" fillId="0" borderId="0" xfId="12" applyFont="1" applyAlignment="1">
      <alignment vertical="center" wrapText="1"/>
    </xf>
    <xf numFmtId="0" fontId="155" fillId="0" borderId="3" xfId="12" applyFont="1" applyBorder="1" applyAlignment="1">
      <alignment horizontal="justify" vertical="center"/>
    </xf>
    <xf numFmtId="0" fontId="153" fillId="0" borderId="3" xfId="12" applyFont="1" applyBorder="1" applyAlignment="1">
      <alignment horizontal="center" vertical="center" wrapText="1"/>
    </xf>
    <xf numFmtId="0" fontId="154" fillId="0" borderId="3" xfId="13" applyFont="1" applyBorder="1" applyAlignment="1" applyProtection="1">
      <alignment vertical="center" wrapText="1"/>
      <protection locked="0"/>
    </xf>
    <xf numFmtId="166" fontId="154" fillId="0" borderId="10" xfId="12" applyNumberFormat="1" applyFont="1" applyBorder="1" applyAlignment="1">
      <alignment vertical="center"/>
    </xf>
    <xf numFmtId="166" fontId="154" fillId="0" borderId="25" xfId="12" applyNumberFormat="1" applyFont="1" applyBorder="1" applyAlignment="1">
      <alignment vertical="center"/>
    </xf>
    <xf numFmtId="166" fontId="152" fillId="0" borderId="0" xfId="12" applyNumberFormat="1" applyFont="1" applyAlignment="1">
      <alignment vertical="center"/>
    </xf>
    <xf numFmtId="0" fontId="13" fillId="0" borderId="0" xfId="0" applyFont="1"/>
    <xf numFmtId="4" fontId="15" fillId="3" borderId="3" xfId="3" applyNumberFormat="1" applyFont="1" applyFill="1" applyBorder="1" applyAlignment="1">
      <alignment horizontal="right"/>
    </xf>
    <xf numFmtId="0" fontId="7" fillId="0" borderId="0" xfId="0" applyFont="1"/>
    <xf numFmtId="0" fontId="167" fillId="0" borderId="0" xfId="0" applyFont="1"/>
    <xf numFmtId="0" fontId="96" fillId="0" borderId="0" xfId="0" applyFont="1"/>
    <xf numFmtId="0" fontId="174" fillId="0" borderId="0" xfId="0" applyFont="1"/>
    <xf numFmtId="0" fontId="167" fillId="17" borderId="0" xfId="0" applyFont="1" applyFill="1"/>
    <xf numFmtId="1" fontId="15" fillId="7" borderId="0" xfId="10" applyFont="1" applyFill="1"/>
    <xf numFmtId="0" fontId="167" fillId="0" borderId="0" xfId="0" applyFont="1" applyAlignment="1">
      <alignment horizontal="center"/>
    </xf>
    <xf numFmtId="1" fontId="15" fillId="7" borderId="0" xfId="10" applyFont="1" applyFill="1" applyAlignment="1">
      <alignment horizontal="center"/>
    </xf>
    <xf numFmtId="0" fontId="172" fillId="0" borderId="0" xfId="0" applyFont="1" applyAlignment="1">
      <alignment horizontal="center"/>
    </xf>
    <xf numFmtId="0" fontId="172" fillId="17" borderId="0" xfId="0" applyFont="1" applyFill="1" applyAlignment="1">
      <alignment horizontal="center"/>
    </xf>
    <xf numFmtId="170" fontId="167" fillId="0" borderId="0" xfId="0" applyNumberFormat="1" applyFont="1"/>
    <xf numFmtId="2" fontId="167" fillId="0" borderId="0" xfId="0" applyNumberFormat="1" applyFont="1"/>
    <xf numFmtId="2" fontId="167" fillId="3" borderId="0" xfId="0" applyNumberFormat="1" applyFont="1" applyFill="1"/>
    <xf numFmtId="2" fontId="167" fillId="18" borderId="0" xfId="0" applyNumberFormat="1" applyFont="1" applyFill="1"/>
    <xf numFmtId="1" fontId="15" fillId="0" borderId="1" xfId="10" applyFont="1" applyBorder="1" applyAlignment="1" applyProtection="1">
      <alignment horizontal="center"/>
      <protection locked="0"/>
    </xf>
    <xf numFmtId="0" fontId="175" fillId="0" borderId="0" xfId="0" applyFont="1"/>
    <xf numFmtId="0" fontId="176" fillId="17" borderId="0" xfId="0" applyFont="1" applyFill="1" applyAlignment="1">
      <alignment horizontal="center"/>
    </xf>
    <xf numFmtId="1" fontId="177" fillId="0" borderId="0" xfId="0" applyNumberFormat="1" applyFont="1"/>
    <xf numFmtId="0" fontId="176" fillId="0" borderId="0" xfId="0" applyFont="1"/>
    <xf numFmtId="0" fontId="176" fillId="17" borderId="0" xfId="0" applyFont="1" applyFill="1"/>
    <xf numFmtId="170" fontId="176" fillId="0" borderId="0" xfId="0" applyNumberFormat="1" applyFont="1"/>
    <xf numFmtId="2" fontId="176" fillId="0" borderId="0" xfId="0" applyNumberFormat="1" applyFont="1"/>
    <xf numFmtId="2" fontId="176" fillId="3" borderId="0" xfId="0" applyNumberFormat="1" applyFont="1" applyFill="1"/>
    <xf numFmtId="2" fontId="176" fillId="18" borderId="0" xfId="0" applyNumberFormat="1" applyFont="1" applyFill="1"/>
    <xf numFmtId="2" fontId="15" fillId="0" borderId="0" xfId="19" applyNumberFormat="1" applyFont="1" applyProtection="1">
      <protection locked="0"/>
    </xf>
    <xf numFmtId="1" fontId="15" fillId="0" borderId="0" xfId="19" applyFont="1" applyProtection="1">
      <protection locked="0"/>
    </xf>
    <xf numFmtId="1" fontId="15" fillId="2" borderId="0" xfId="19" applyFont="1" applyFill="1" applyProtection="1">
      <protection locked="0"/>
    </xf>
    <xf numFmtId="17" fontId="15" fillId="2" borderId="0" xfId="19" applyNumberFormat="1" applyFont="1" applyFill="1" applyProtection="1">
      <protection locked="0"/>
    </xf>
    <xf numFmtId="1" fontId="15" fillId="0" borderId="0" xfId="19" applyFont="1" applyAlignment="1" applyProtection="1">
      <alignment horizontal="center"/>
      <protection locked="0"/>
    </xf>
    <xf numFmtId="2" fontId="58" fillId="0" borderId="0" xfId="19" applyNumberFormat="1" applyFont="1"/>
    <xf numFmtId="2" fontId="7" fillId="3" borderId="0" xfId="19" applyNumberFormat="1" applyFont="1" applyFill="1"/>
    <xf numFmtId="2" fontId="7" fillId="3" borderId="0" xfId="10" applyNumberFormat="1" applyFont="1" applyFill="1"/>
    <xf numFmtId="1" fontId="7" fillId="0" borderId="0" xfId="19" applyFont="1" applyProtection="1">
      <protection locked="0"/>
    </xf>
    <xf numFmtId="1" fontId="7" fillId="0" borderId="0" xfId="19" applyFont="1" applyAlignment="1" applyProtection="1">
      <alignment horizontal="right"/>
      <protection locked="0"/>
    </xf>
    <xf numFmtId="2" fontId="7" fillId="0" borderId="0" xfId="19" applyNumberFormat="1" applyFont="1" applyProtection="1">
      <protection locked="0"/>
    </xf>
    <xf numFmtId="1" fontId="58" fillId="0" borderId="0" xfId="19" applyFont="1" applyProtection="1">
      <protection locked="0"/>
    </xf>
    <xf numFmtId="1" fontId="7" fillId="2" borderId="0" xfId="19" applyFont="1" applyFill="1" applyProtection="1">
      <protection locked="0"/>
    </xf>
    <xf numFmtId="17" fontId="7" fillId="2" borderId="0" xfId="19" applyNumberFormat="1" applyFont="1" applyFill="1" applyProtection="1">
      <protection locked="0"/>
    </xf>
    <xf numFmtId="1" fontId="7" fillId="0" borderId="0" xfId="19" applyFont="1" applyAlignment="1" applyProtection="1">
      <alignment horizontal="center"/>
      <protection locked="0"/>
    </xf>
    <xf numFmtId="2" fontId="58" fillId="3" borderId="0" xfId="19" applyNumberFormat="1" applyFont="1" applyFill="1"/>
    <xf numFmtId="0" fontId="7" fillId="0" borderId="0" xfId="0" applyFont="1" applyProtection="1">
      <protection locked="0"/>
    </xf>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58"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58" fillId="16" borderId="1" xfId="10" applyNumberFormat="1" applyFont="1" applyFill="1" applyBorder="1" applyAlignment="1">
      <alignment horizontal="right" vertical="top"/>
    </xf>
    <xf numFmtId="2" fontId="7" fillId="0" borderId="0" xfId="10" applyNumberFormat="1" applyFont="1" applyAlignment="1" applyProtection="1">
      <alignment horizontal="right" vertical="top"/>
      <protection locked="0"/>
    </xf>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1"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75" fillId="17" borderId="0" xfId="0" applyFont="1" applyFill="1"/>
    <xf numFmtId="0" fontId="175" fillId="17" borderId="0" xfId="0" applyFont="1" applyFill="1" applyAlignment="1">
      <alignment horizontal="center"/>
    </xf>
    <xf numFmtId="0" fontId="178" fillId="17" borderId="0" xfId="0" applyFont="1" applyFill="1" applyAlignment="1">
      <alignment horizontal="center"/>
    </xf>
    <xf numFmtId="170" fontId="175" fillId="0" borderId="0" xfId="0" applyNumberFormat="1" applyFont="1"/>
    <xf numFmtId="2" fontId="175" fillId="0" borderId="0" xfId="0" applyNumberFormat="1" applyFont="1"/>
    <xf numFmtId="2" fontId="175" fillId="3" borderId="0" xfId="0" applyNumberFormat="1" applyFont="1" applyFill="1"/>
    <xf numFmtId="2" fontId="175" fillId="18" borderId="0" xfId="0" applyNumberFormat="1" applyFont="1" applyFill="1"/>
    <xf numFmtId="164" fontId="15" fillId="2" borderId="15" xfId="1" applyFont="1" applyFill="1" applyBorder="1"/>
    <xf numFmtId="2" fontId="13" fillId="2" borderId="0" xfId="3" applyNumberFormat="1" applyFont="1" applyFill="1" applyAlignment="1" applyProtection="1">
      <alignment horizontal="center"/>
      <protection locked="0"/>
    </xf>
    <xf numFmtId="0" fontId="180" fillId="0" borderId="0" xfId="3" applyFont="1" applyAlignment="1">
      <alignment horizontal="right"/>
    </xf>
    <xf numFmtId="4" fontId="7" fillId="13" borderId="0" xfId="10" applyNumberFormat="1" applyFont="1" applyFill="1" applyAlignment="1">
      <alignment horizontal="right"/>
    </xf>
    <xf numFmtId="2" fontId="7" fillId="0" borderId="0" xfId="10" applyNumberFormat="1" applyFont="1" applyAlignment="1">
      <alignment horizontal="right"/>
    </xf>
    <xf numFmtId="4" fontId="7" fillId="13" borderId="0" xfId="10" applyNumberFormat="1" applyFont="1" applyFill="1" applyAlignment="1" applyProtection="1">
      <alignment horizontal="right"/>
      <protection locked="0"/>
    </xf>
    <xf numFmtId="4" fontId="7" fillId="4" borderId="0" xfId="3" applyNumberFormat="1" applyFont="1" applyFill="1" applyAlignment="1">
      <alignment horizontal="right"/>
    </xf>
    <xf numFmtId="2" fontId="7" fillId="0" borderId="0" xfId="3" applyNumberFormat="1" applyFont="1" applyAlignment="1">
      <alignment horizontal="right"/>
    </xf>
    <xf numFmtId="4" fontId="7" fillId="4" borderId="0" xfId="3" applyNumberFormat="1" applyFont="1" applyFill="1" applyAlignment="1" applyProtection="1">
      <alignment horizontal="right"/>
      <protection locked="0"/>
    </xf>
    <xf numFmtId="4" fontId="7" fillId="5" borderId="0" xfId="3" applyNumberFormat="1" applyFont="1" applyFill="1" applyAlignment="1">
      <alignment horizontal="right"/>
    </xf>
    <xf numFmtId="4" fontId="7" fillId="5" borderId="0" xfId="3" applyNumberFormat="1" applyFont="1" applyFill="1" applyAlignment="1" applyProtection="1">
      <alignment horizontal="right"/>
      <protection locked="0"/>
    </xf>
    <xf numFmtId="4" fontId="7" fillId="6" borderId="0" xfId="3" applyNumberFormat="1" applyFont="1" applyFill="1" applyAlignment="1">
      <alignment horizontal="right"/>
    </xf>
    <xf numFmtId="4" fontId="7" fillId="6" borderId="0" xfId="3" applyNumberFormat="1" applyFont="1" applyFill="1" applyAlignment="1" applyProtection="1">
      <alignment horizontal="right"/>
      <protection locked="0"/>
    </xf>
    <xf numFmtId="4" fontId="7" fillId="2" borderId="0" xfId="3" applyNumberFormat="1" applyFont="1" applyFill="1" applyAlignment="1">
      <alignment horizontal="right"/>
    </xf>
    <xf numFmtId="4" fontId="7" fillId="2" borderId="0" xfId="3" applyNumberFormat="1" applyFont="1" applyFill="1" applyAlignment="1" applyProtection="1">
      <alignment horizontal="right"/>
      <protection locked="0"/>
    </xf>
    <xf numFmtId="4" fontId="7" fillId="7" borderId="0" xfId="3" applyNumberFormat="1" applyFont="1" applyFill="1" applyAlignment="1">
      <alignment horizontal="right"/>
    </xf>
    <xf numFmtId="4" fontId="7" fillId="7" borderId="0" xfId="3" applyNumberFormat="1" applyFont="1" applyFill="1" applyAlignment="1" applyProtection="1">
      <alignment horizontal="right"/>
      <protection locked="0"/>
    </xf>
    <xf numFmtId="4" fontId="7" fillId="8" borderId="0" xfId="3" applyNumberFormat="1" applyFont="1" applyFill="1" applyAlignment="1">
      <alignment horizontal="right"/>
    </xf>
    <xf numFmtId="4" fontId="7" fillId="8" borderId="0" xfId="3" applyNumberFormat="1" applyFont="1" applyFill="1" applyProtection="1">
      <protection locked="0"/>
    </xf>
    <xf numFmtId="4" fontId="7" fillId="9" borderId="0" xfId="3" applyNumberFormat="1" applyFont="1" applyFill="1" applyAlignment="1">
      <alignment horizontal="right"/>
    </xf>
    <xf numFmtId="4" fontId="7" fillId="9" borderId="0" xfId="3" applyNumberFormat="1" applyFont="1" applyFill="1" applyProtection="1">
      <protection locked="0"/>
    </xf>
    <xf numFmtId="4" fontId="7" fillId="10" borderId="0" xfId="3" applyNumberFormat="1" applyFont="1" applyFill="1" applyAlignment="1">
      <alignment horizontal="right"/>
    </xf>
    <xf numFmtId="4" fontId="7" fillId="10" borderId="0" xfId="3" applyNumberFormat="1" applyFont="1" applyFill="1" applyProtection="1">
      <protection locked="0"/>
    </xf>
    <xf numFmtId="4" fontId="7" fillId="11" borderId="13" xfId="3" applyNumberFormat="1" applyFont="1" applyFill="1" applyBorder="1" applyAlignment="1">
      <alignment horizontal="right"/>
    </xf>
    <xf numFmtId="4" fontId="7" fillId="11" borderId="0" xfId="3" applyNumberFormat="1" applyFont="1" applyFill="1" applyProtection="1">
      <protection locked="0"/>
    </xf>
    <xf numFmtId="0" fontId="15" fillId="0" borderId="1" xfId="3" applyFont="1" applyBorder="1" applyAlignment="1">
      <alignment horizontal="left"/>
    </xf>
    <xf numFmtId="0" fontId="181" fillId="0" borderId="1" xfId="3" applyFont="1" applyBorder="1" applyAlignment="1">
      <alignment horizontal="right"/>
    </xf>
    <xf numFmtId="0" fontId="3" fillId="0" borderId="1" xfId="3" applyFont="1" applyBorder="1"/>
    <xf numFmtId="0" fontId="15" fillId="0" borderId="1" xfId="3" applyFont="1" applyBorder="1" applyAlignment="1">
      <alignment horizontal="right"/>
    </xf>
    <xf numFmtId="4" fontId="15" fillId="2" borderId="1" xfId="3" applyNumberFormat="1" applyFont="1" applyFill="1" applyBorder="1" applyAlignment="1">
      <alignment horizontal="right"/>
    </xf>
    <xf numFmtId="1" fontId="15" fillId="2" borderId="1" xfId="10" applyFont="1" applyFill="1" applyBorder="1" applyProtection="1">
      <protection locked="0"/>
    </xf>
    <xf numFmtId="2" fontId="15" fillId="2" borderId="1" xfId="10" applyNumberFormat="1" applyFont="1" applyFill="1" applyBorder="1" applyProtection="1">
      <protection locked="0"/>
    </xf>
    <xf numFmtId="1" fontId="15" fillId="2" borderId="1" xfId="10" applyFont="1" applyFill="1" applyBorder="1"/>
    <xf numFmtId="2" fontId="15" fillId="2" borderId="1" xfId="3" applyNumberFormat="1" applyFont="1" applyFill="1" applyBorder="1"/>
    <xf numFmtId="0" fontId="19" fillId="2" borderId="1" xfId="3" applyFont="1" applyFill="1" applyBorder="1" applyProtection="1">
      <protection locked="0"/>
    </xf>
    <xf numFmtId="164" fontId="15" fillId="0" borderId="1" xfId="1" applyFont="1" applyFill="1" applyBorder="1"/>
    <xf numFmtId="0" fontId="181" fillId="0" borderId="0" xfId="3" applyFont="1" applyAlignment="1">
      <alignment horizontal="right"/>
    </xf>
    <xf numFmtId="0" fontId="3" fillId="0" borderId="0" xfId="3" applyFont="1" applyAlignment="1">
      <alignment horizontal="right"/>
    </xf>
    <xf numFmtId="2" fontId="15" fillId="0" borderId="0" xfId="3" applyNumberFormat="1" applyFont="1"/>
    <xf numFmtId="2" fontId="15" fillId="0" borderId="0" xfId="10" applyNumberFormat="1" applyFont="1"/>
    <xf numFmtId="2" fontId="19" fillId="0" borderId="0" xfId="3" applyNumberFormat="1" applyFont="1" applyProtection="1">
      <protection locked="0"/>
    </xf>
    <xf numFmtId="43" fontId="20" fillId="0" borderId="58" xfId="3" applyNumberFormat="1" applyFont="1" applyBorder="1"/>
    <xf numFmtId="0" fontId="15" fillId="12" borderId="0" xfId="3" applyFont="1" applyFill="1" applyAlignment="1" applyProtection="1">
      <alignment horizontal="left"/>
      <protection locked="0"/>
    </xf>
    <xf numFmtId="0" fontId="15" fillId="12" borderId="0" xfId="3" applyFont="1" applyFill="1" applyAlignment="1" applyProtection="1">
      <alignment horizontal="center"/>
      <protection locked="0"/>
    </xf>
    <xf numFmtId="2" fontId="7" fillId="0" borderId="0" xfId="3" applyNumberFormat="1" applyFont="1"/>
    <xf numFmtId="2" fontId="7" fillId="0" borderId="12" xfId="3" applyNumberFormat="1" applyFont="1" applyBorder="1"/>
    <xf numFmtId="2" fontId="7" fillId="0" borderId="12" xfId="3" applyNumberFormat="1" applyFont="1" applyBorder="1" applyProtection="1">
      <protection locked="0"/>
    </xf>
    <xf numFmtId="0" fontId="20" fillId="12" borderId="0" xfId="3" applyFont="1" applyFill="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lignment horizontal="right"/>
    </xf>
    <xf numFmtId="2" fontId="7" fillId="13" borderId="12" xfId="10" applyNumberFormat="1" applyFont="1" applyFill="1" applyBorder="1"/>
    <xf numFmtId="2" fontId="7" fillId="0" borderId="12" xfId="10" applyNumberFormat="1" applyFont="1" applyBorder="1" applyProtection="1">
      <protection locked="0"/>
    </xf>
    <xf numFmtId="0" fontId="7" fillId="2" borderId="0" xfId="3" applyFont="1" applyFill="1" applyAlignment="1" applyProtection="1">
      <alignment horizontal="center"/>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xf numFmtId="2" fontId="7" fillId="7" borderId="12" xfId="3" applyNumberFormat="1" applyFont="1" applyFill="1" applyBorder="1"/>
    <xf numFmtId="2" fontId="17" fillId="0" borderId="12" xfId="3" applyNumberFormat="1" applyFont="1" applyBorder="1" applyProtection="1">
      <protection locked="0"/>
    </xf>
    <xf numFmtId="0" fontId="182" fillId="12" borderId="0" xfId="3" applyFont="1" applyFill="1" applyProtection="1">
      <protection locked="0"/>
    </xf>
    <xf numFmtId="4" fontId="7" fillId="6" borderId="12" xfId="3" applyNumberFormat="1" applyFont="1" applyFill="1" applyBorder="1"/>
    <xf numFmtId="2" fontId="7" fillId="6" borderId="12" xfId="3" applyNumberFormat="1" applyFont="1" applyFill="1" applyBorder="1"/>
    <xf numFmtId="2" fontId="15" fillId="0" borderId="1" xfId="3" applyNumberFormat="1" applyFont="1" applyBorder="1" applyAlignment="1">
      <alignment horizontal="right"/>
    </xf>
    <xf numFmtId="2" fontId="7" fillId="0" borderId="1" xfId="3" applyNumberFormat="1"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lignment horizontal="right"/>
    </xf>
    <xf numFmtId="49" fontId="183" fillId="0" borderId="14" xfId="0" applyNumberFormat="1" applyFont="1" applyBorder="1" applyAlignment="1">
      <alignment horizontal="left"/>
    </xf>
    <xf numFmtId="1" fontId="22" fillId="0" borderId="0" xfId="10" applyFont="1" applyAlignment="1" applyProtection="1">
      <alignment horizontal="center"/>
      <protection locked="0"/>
    </xf>
    <xf numFmtId="0" fontId="3" fillId="0" borderId="13" xfId="0" applyFont="1" applyBorder="1"/>
    <xf numFmtId="0" fontId="15" fillId="0" borderId="13" xfId="0" applyFont="1" applyBorder="1" applyAlignment="1">
      <alignment horizontal="right"/>
    </xf>
    <xf numFmtId="1" fontId="0" fillId="0" borderId="13" xfId="0" applyNumberFormat="1" applyBorder="1"/>
    <xf numFmtId="0" fontId="1" fillId="0" borderId="13" xfId="0" applyFont="1" applyBorder="1"/>
    <xf numFmtId="2" fontId="1" fillId="2" borderId="14" xfId="0" applyNumberFormat="1" applyFont="1" applyFill="1" applyBorder="1" applyAlignment="1">
      <alignment horizontal="right"/>
    </xf>
    <xf numFmtId="166" fontId="1" fillId="2" borderId="14" xfId="0" applyNumberFormat="1" applyFont="1" applyFill="1" applyBorder="1"/>
    <xf numFmtId="0" fontId="7" fillId="0" borderId="0" xfId="0" applyFont="1" applyAlignment="1">
      <alignment horizontal="right"/>
    </xf>
    <xf numFmtId="0" fontId="138" fillId="0" borderId="0" xfId="0" applyFont="1" applyAlignment="1">
      <alignment horizontal="left"/>
    </xf>
    <xf numFmtId="0" fontId="1" fillId="0" borderId="0" xfId="0" applyFont="1" applyAlignment="1">
      <alignment horizontal="center"/>
    </xf>
    <xf numFmtId="2" fontId="4" fillId="0" borderId="0" xfId="0" applyNumberFormat="1" applyFont="1"/>
    <xf numFmtId="166" fontId="0" fillId="0" borderId="0" xfId="0" applyNumberFormat="1"/>
    <xf numFmtId="0" fontId="7" fillId="0" borderId="1" xfId="0" applyFont="1" applyBorder="1" applyAlignment="1">
      <alignment horizontal="right"/>
    </xf>
    <xf numFmtId="0" fontId="23" fillId="0" borderId="1" xfId="0" applyFont="1" applyBorder="1" applyAlignment="1">
      <alignment horizontal="left"/>
    </xf>
    <xf numFmtId="1" fontId="22" fillId="0" borderId="1" xfId="10" applyFont="1" applyBorder="1" applyAlignment="1" applyProtection="1">
      <alignment horizontal="center"/>
      <protection locked="0"/>
    </xf>
    <xf numFmtId="0" fontId="7" fillId="0" borderId="1" xfId="0" applyFont="1" applyBorder="1"/>
    <xf numFmtId="0" fontId="0" fillId="0" borderId="1" xfId="0" applyBorder="1"/>
    <xf numFmtId="0" fontId="1" fillId="0" borderId="1" xfId="0" applyFont="1" applyBorder="1" applyAlignment="1">
      <alignment horizontal="center"/>
    </xf>
    <xf numFmtId="1" fontId="0" fillId="0" borderId="1" xfId="0" applyNumberFormat="1" applyBorder="1"/>
    <xf numFmtId="2" fontId="4" fillId="0" borderId="1" xfId="0" applyNumberFormat="1" applyFont="1" applyBorder="1"/>
    <xf numFmtId="166" fontId="0" fillId="0" borderId="1" xfId="0" applyNumberFormat="1" applyBorder="1"/>
    <xf numFmtId="0" fontId="1" fillId="0" borderId="0" xfId="0" applyFont="1" applyAlignment="1">
      <alignment horizontal="left"/>
    </xf>
    <xf numFmtId="0" fontId="25" fillId="0" borderId="0" xfId="0" applyFont="1" applyAlignment="1">
      <alignment horizontal="center"/>
    </xf>
    <xf numFmtId="0" fontId="24" fillId="0" borderId="1" xfId="0" applyFont="1" applyBorder="1"/>
    <xf numFmtId="0" fontId="1" fillId="0" borderId="15" xfId="0" applyFont="1" applyBorder="1" applyAlignment="1">
      <alignment horizontal="left"/>
    </xf>
    <xf numFmtId="0" fontId="26" fillId="0" borderId="15" xfId="0" applyFont="1" applyBorder="1" applyAlignment="1">
      <alignment horizontal="center"/>
    </xf>
    <xf numFmtId="0" fontId="0" fillId="0" borderId="15" xfId="0" applyBorder="1"/>
    <xf numFmtId="1" fontId="0" fillId="0" borderId="15" xfId="0" applyNumberFormat="1" applyBorder="1"/>
    <xf numFmtId="2" fontId="4" fillId="0" borderId="15" xfId="0" applyNumberFormat="1" applyFont="1" applyBorder="1" applyAlignment="1">
      <alignment horizontal="right"/>
    </xf>
    <xf numFmtId="166" fontId="0" fillId="0" borderId="15" xfId="0" applyNumberFormat="1" applyBorder="1"/>
    <xf numFmtId="0" fontId="14" fillId="0" borderId="0" xfId="0" applyFont="1"/>
    <xf numFmtId="2" fontId="7" fillId="14" borderId="3" xfId="3" applyNumberFormat="1" applyFont="1" applyFill="1" applyBorder="1"/>
    <xf numFmtId="1" fontId="58" fillId="0" borderId="0" xfId="0" applyNumberFormat="1" applyFont="1"/>
    <xf numFmtId="0" fontId="184" fillId="0" borderId="0" xfId="0" applyFont="1"/>
    <xf numFmtId="1" fontId="58" fillId="0" borderId="0" xfId="10" applyFont="1" applyProtection="1">
      <protection locked="0"/>
    </xf>
    <xf numFmtId="1" fontId="15" fillId="2" borderId="0" xfId="10" applyFont="1" applyFill="1" applyProtection="1">
      <protection locked="0"/>
    </xf>
    <xf numFmtId="1" fontId="7" fillId="2" borderId="0" xfId="10" applyFont="1" applyFill="1" applyProtection="1">
      <protection locked="0"/>
    </xf>
    <xf numFmtId="2" fontId="7" fillId="2" borderId="0" xfId="10" applyNumberFormat="1" applyFont="1" applyFill="1" applyProtection="1">
      <protection locked="0"/>
    </xf>
    <xf numFmtId="2" fontId="58" fillId="3" borderId="0" xfId="10" applyNumberFormat="1" applyFont="1" applyFill="1" applyProtection="1">
      <protection locked="0"/>
    </xf>
    <xf numFmtId="0" fontId="185" fillId="0" borderId="0" xfId="0" applyFont="1"/>
    <xf numFmtId="0" fontId="178" fillId="0" borderId="0" xfId="0" applyFont="1"/>
    <xf numFmtId="4" fontId="154" fillId="0" borderId="0" xfId="12" applyNumberFormat="1" applyFont="1" applyAlignment="1">
      <alignment horizontal="center" vertical="center"/>
    </xf>
    <xf numFmtId="1" fontId="0" fillId="3" borderId="0" xfId="0" applyNumberFormat="1" applyFill="1"/>
    <xf numFmtId="0" fontId="0" fillId="3" borderId="0" xfId="0" applyFill="1"/>
    <xf numFmtId="0" fontId="188" fillId="0" borderId="0" xfId="3" applyFont="1" applyProtection="1">
      <protection locked="0"/>
    </xf>
    <xf numFmtId="1" fontId="189" fillId="0" borderId="0" xfId="10" applyFont="1" applyProtection="1">
      <protection locked="0"/>
    </xf>
    <xf numFmtId="1" fontId="188" fillId="0" borderId="0" xfId="19" applyFont="1" applyProtection="1">
      <protection locked="0"/>
    </xf>
    <xf numFmtId="1" fontId="188" fillId="0" borderId="0" xfId="10" applyFont="1" applyProtection="1">
      <protection locked="0"/>
    </xf>
    <xf numFmtId="1" fontId="189" fillId="0" borderId="0" xfId="10" applyFont="1" applyAlignment="1" applyProtection="1">
      <alignment horizontal="left" vertical="top"/>
      <protection locked="0"/>
    </xf>
    <xf numFmtId="2" fontId="175" fillId="28" borderId="0" xfId="0" applyNumberFormat="1" applyFont="1" applyFill="1"/>
    <xf numFmtId="0" fontId="3" fillId="2" borderId="3" xfId="0" applyFont="1" applyFill="1" applyBorder="1" applyAlignment="1">
      <alignment horizontal="center"/>
    </xf>
    <xf numFmtId="2" fontId="23" fillId="2" borderId="3" xfId="0" applyNumberFormat="1" applyFont="1" applyFill="1" applyBorder="1" applyAlignment="1">
      <alignment horizontal="center"/>
    </xf>
    <xf numFmtId="0" fontId="34" fillId="2" borderId="4" xfId="2" applyNumberFormat="1" applyFont="1" applyFill="1" applyBorder="1" applyAlignment="1" applyProtection="1">
      <alignment horizontal="center" vertical="center"/>
    </xf>
    <xf numFmtId="2" fontId="7" fillId="0" borderId="0" xfId="6" applyNumberFormat="1" applyFont="1" applyProtection="1">
      <protection locked="0"/>
    </xf>
    <xf numFmtId="0" fontId="4" fillId="0" borderId="1" xfId="0" applyFont="1" applyBorder="1" applyProtection="1">
      <protection locked="0"/>
    </xf>
    <xf numFmtId="0" fontId="4" fillId="0" borderId="15" xfId="0" applyFont="1" applyBorder="1" applyProtection="1">
      <protection locked="0"/>
    </xf>
    <xf numFmtId="0" fontId="191" fillId="0" borderId="0" xfId="3" applyFont="1"/>
    <xf numFmtId="9" fontId="4" fillId="0" borderId="0" xfId="3" applyNumberFormat="1"/>
    <xf numFmtId="0" fontId="7" fillId="3" borderId="0" xfId="0" applyFont="1" applyFill="1"/>
    <xf numFmtId="2" fontId="7" fillId="0" borderId="0" xfId="0" applyNumberFormat="1" applyFont="1" applyProtection="1">
      <protection locked="0"/>
    </xf>
    <xf numFmtId="2" fontId="7" fillId="0" borderId="0" xfId="0" applyNumberFormat="1" applyFont="1"/>
    <xf numFmtId="49" fontId="13" fillId="2" borderId="0" xfId="20" applyNumberFormat="1" applyFont="1" applyFill="1" applyAlignment="1" applyProtection="1">
      <alignment horizontal="center"/>
      <protection locked="0"/>
    </xf>
    <xf numFmtId="1" fontId="15" fillId="0" borderId="0" xfId="0" applyNumberFormat="1" applyFont="1" applyAlignment="1">
      <alignment horizontal="center"/>
    </xf>
    <xf numFmtId="17" fontId="7" fillId="2" borderId="0" xfId="20" applyNumberFormat="1" applyFont="1" applyFill="1" applyAlignment="1" applyProtection="1">
      <alignment horizontal="center"/>
      <protection locked="0"/>
    </xf>
    <xf numFmtId="2" fontId="167" fillId="0" borderId="0" xfId="0" applyNumberFormat="1" applyFont="1" applyAlignment="1" applyProtection="1">
      <alignment horizontal="center"/>
      <protection locked="0"/>
    </xf>
    <xf numFmtId="49" fontId="13" fillId="2" borderId="0" xfId="0" applyNumberFormat="1" applyFont="1" applyFill="1" applyAlignment="1" applyProtection="1">
      <alignment horizontal="center"/>
      <protection locked="0"/>
    </xf>
    <xf numFmtId="1" fontId="15" fillId="0" borderId="0" xfId="0" applyNumberFormat="1" applyFont="1" applyAlignment="1" applyProtection="1">
      <alignment horizontal="center"/>
      <protection locked="0"/>
    </xf>
    <xf numFmtId="17" fontId="7" fillId="2" borderId="0" xfId="0" applyNumberFormat="1" applyFont="1" applyFill="1" applyAlignment="1" applyProtection="1">
      <alignment horizontal="center"/>
      <protection locked="0"/>
    </xf>
    <xf numFmtId="2" fontId="167" fillId="28" borderId="0" xfId="0" applyNumberFormat="1" applyFont="1" applyFill="1"/>
    <xf numFmtId="0" fontId="7" fillId="3" borderId="0" xfId="3" applyFont="1" applyFill="1" applyProtection="1">
      <protection locked="0"/>
    </xf>
    <xf numFmtId="0" fontId="179" fillId="0" borderId="0" xfId="0" applyFont="1"/>
    <xf numFmtId="0" fontId="192" fillId="0" borderId="0" xfId="3" applyFont="1"/>
    <xf numFmtId="0" fontId="190" fillId="0" borderId="0" xfId="0" applyFont="1"/>
    <xf numFmtId="2" fontId="7" fillId="0" borderId="0" xfId="10" applyNumberFormat="1" applyFont="1" applyAlignment="1" applyProtection="1">
      <alignment vertical="top"/>
      <protection locked="0"/>
    </xf>
    <xf numFmtId="1" fontId="193" fillId="0" borderId="0" xfId="10" applyFont="1" applyAlignment="1" applyProtection="1">
      <alignment horizontal="left" vertical="top"/>
      <protection locked="0"/>
    </xf>
    <xf numFmtId="1" fontId="7" fillId="3" borderId="0" xfId="10" applyFont="1" applyFill="1" applyProtection="1">
      <protection locked="0"/>
    </xf>
    <xf numFmtId="0" fontId="194" fillId="0" borderId="0" xfId="3" applyFont="1"/>
    <xf numFmtId="0" fontId="179" fillId="17" borderId="0" xfId="0" applyFont="1" applyFill="1"/>
    <xf numFmtId="0" fontId="179" fillId="17" borderId="0" xfId="0" applyFont="1" applyFill="1" applyAlignment="1">
      <alignment horizontal="center"/>
    </xf>
    <xf numFmtId="0" fontId="184" fillId="17" borderId="0" xfId="0" applyFont="1" applyFill="1" applyAlignment="1">
      <alignment horizontal="center"/>
    </xf>
    <xf numFmtId="170" fontId="179" fillId="0" borderId="0" xfId="0" applyNumberFormat="1" applyFont="1"/>
    <xf numFmtId="2" fontId="179" fillId="0" borderId="0" xfId="0" applyNumberFormat="1" applyFont="1"/>
    <xf numFmtId="2" fontId="179" fillId="3" borderId="0" xfId="0" applyNumberFormat="1" applyFont="1" applyFill="1"/>
    <xf numFmtId="2" fontId="179" fillId="18" borderId="0" xfId="0" applyNumberFormat="1" applyFont="1" applyFill="1"/>
    <xf numFmtId="0" fontId="190" fillId="3" borderId="0" xfId="0" applyFont="1" applyFill="1"/>
    <xf numFmtId="0" fontId="196" fillId="0" borderId="0" xfId="0" applyFont="1"/>
    <xf numFmtId="2" fontId="197" fillId="0" borderId="0" xfId="19" applyNumberFormat="1" applyFont="1" applyProtection="1">
      <protection locked="0"/>
    </xf>
    <xf numFmtId="1" fontId="197" fillId="0" borderId="0" xfId="19" applyFont="1" applyProtection="1">
      <protection locked="0"/>
    </xf>
    <xf numFmtId="1" fontId="197" fillId="2" borderId="0" xfId="19" applyFont="1" applyFill="1" applyProtection="1">
      <protection locked="0"/>
    </xf>
    <xf numFmtId="17" fontId="197" fillId="2" borderId="0" xfId="19" applyNumberFormat="1" applyFont="1" applyFill="1" applyProtection="1">
      <protection locked="0"/>
    </xf>
    <xf numFmtId="1" fontId="197" fillId="0" borderId="0" xfId="19" applyFont="1" applyAlignment="1" applyProtection="1">
      <alignment horizontal="center"/>
      <protection locked="0"/>
    </xf>
    <xf numFmtId="2" fontId="198" fillId="0" borderId="0" xfId="19" applyNumberFormat="1" applyFont="1"/>
    <xf numFmtId="2" fontId="195" fillId="3" borderId="0" xfId="19" applyNumberFormat="1" applyFont="1" applyFill="1"/>
    <xf numFmtId="2" fontId="195" fillId="3" borderId="0" xfId="10" applyNumberFormat="1" applyFont="1" applyFill="1"/>
    <xf numFmtId="1" fontId="195" fillId="0" borderId="0" xfId="19" applyFont="1" applyAlignment="1" applyProtection="1">
      <alignment horizontal="right"/>
      <protection locked="0"/>
    </xf>
    <xf numFmtId="2" fontId="195" fillId="0" borderId="0" xfId="19" applyNumberFormat="1" applyFont="1" applyProtection="1">
      <protection locked="0"/>
    </xf>
    <xf numFmtId="1" fontId="198" fillId="0" borderId="0" xfId="19" applyFont="1" applyProtection="1">
      <protection locked="0"/>
    </xf>
    <xf numFmtId="1" fontId="195" fillId="2" borderId="0" xfId="19" applyFont="1" applyFill="1" applyProtection="1">
      <protection locked="0"/>
    </xf>
    <xf numFmtId="17" fontId="195" fillId="2" borderId="0" xfId="19" applyNumberFormat="1" applyFont="1" applyFill="1" applyProtection="1">
      <protection locked="0"/>
    </xf>
    <xf numFmtId="1" fontId="195" fillId="0" borderId="0" xfId="19" applyFont="1" applyProtection="1">
      <protection locked="0"/>
    </xf>
    <xf numFmtId="1" fontId="195" fillId="0" borderId="0" xfId="19" applyFont="1" applyAlignment="1" applyProtection="1">
      <alignment horizontal="center"/>
      <protection locked="0"/>
    </xf>
    <xf numFmtId="2" fontId="198" fillId="3" borderId="0" xfId="19" applyNumberFormat="1" applyFont="1" applyFill="1"/>
    <xf numFmtId="1" fontId="190" fillId="3" borderId="0" xfId="0" applyNumberFormat="1" applyFont="1" applyFill="1"/>
    <xf numFmtId="0" fontId="146" fillId="0" borderId="0" xfId="0" applyFont="1" applyAlignment="1">
      <alignment vertical="center" wrapText="1"/>
    </xf>
    <xf numFmtId="0" fontId="199" fillId="0" borderId="0" xfId="0" applyFont="1" applyAlignment="1">
      <alignment vertical="center" wrapText="1"/>
    </xf>
    <xf numFmtId="0" fontId="200" fillId="0" borderId="0" xfId="0" applyFont="1" applyAlignment="1">
      <alignment vertical="center" wrapText="1"/>
    </xf>
    <xf numFmtId="2" fontId="0" fillId="0" borderId="0" xfId="0" applyNumberFormat="1" applyAlignment="1">
      <alignment horizontal="center"/>
    </xf>
    <xf numFmtId="2" fontId="1" fillId="0" borderId="0" xfId="0" applyNumberFormat="1" applyFont="1" applyAlignment="1">
      <alignment horizontal="center"/>
    </xf>
    <xf numFmtId="43" fontId="155" fillId="0" borderId="3" xfId="11" applyNumberFormat="1" applyFont="1" applyBorder="1" applyAlignment="1">
      <alignment horizontal="center" vertical="center" wrapText="1"/>
    </xf>
    <xf numFmtId="43" fontId="155" fillId="0" borderId="3" xfId="12" applyNumberFormat="1" applyFont="1" applyBorder="1" applyAlignment="1">
      <alignment horizontal="right" vertical="center" wrapText="1"/>
    </xf>
    <xf numFmtId="43" fontId="154" fillId="0" borderId="3" xfId="12" applyNumberFormat="1" applyFont="1" applyBorder="1" applyAlignment="1">
      <alignment horizontal="right" vertical="center" wrapText="1"/>
    </xf>
    <xf numFmtId="43" fontId="154" fillId="0" borderId="3" xfId="12" applyNumberFormat="1" applyFont="1" applyBorder="1" applyAlignment="1">
      <alignment horizontal="right" vertical="center"/>
    </xf>
    <xf numFmtId="43" fontId="154" fillId="0" borderId="0" xfId="12" applyNumberFormat="1" applyFont="1" applyAlignment="1">
      <alignment horizontal="right" vertical="center" wrapText="1"/>
    </xf>
    <xf numFmtId="43" fontId="155" fillId="0" borderId="0" xfId="12" applyNumberFormat="1" applyFont="1" applyAlignment="1">
      <alignment horizontal="right" vertical="center" wrapText="1"/>
    </xf>
    <xf numFmtId="43" fontId="155" fillId="0" borderId="3" xfId="12" applyNumberFormat="1" applyFont="1" applyBorder="1" applyAlignment="1">
      <alignment horizontal="center" vertical="center" wrapText="1"/>
    </xf>
    <xf numFmtId="43" fontId="154" fillId="0" borderId="3" xfId="12" applyNumberFormat="1" applyFont="1" applyBorder="1" applyAlignment="1" applyProtection="1">
      <alignment horizontal="center" vertical="center" wrapText="1"/>
      <protection locked="0"/>
    </xf>
    <xf numFmtId="43" fontId="154" fillId="0" borderId="3" xfId="12" applyNumberFormat="1" applyFont="1" applyBorder="1" applyAlignment="1">
      <alignment horizontal="center" vertical="center"/>
    </xf>
    <xf numFmtId="43" fontId="153" fillId="0" borderId="0" xfId="12" applyNumberFormat="1" applyFont="1" applyAlignment="1">
      <alignment horizontal="right" vertical="center" wrapText="1"/>
    </xf>
    <xf numFmtId="43" fontId="155" fillId="0" borderId="0" xfId="12" applyNumberFormat="1" applyFont="1" applyAlignment="1" applyProtection="1">
      <alignment vertical="center" wrapText="1"/>
      <protection locked="0"/>
    </xf>
    <xf numFmtId="43" fontId="155" fillId="0" borderId="0" xfId="12" applyNumberFormat="1" applyFont="1" applyAlignment="1">
      <alignment vertical="center" wrapText="1"/>
    </xf>
    <xf numFmtId="43" fontId="155" fillId="23" borderId="3" xfId="12" applyNumberFormat="1" applyFont="1" applyFill="1" applyBorder="1" applyAlignment="1">
      <alignment horizontal="center" vertical="center" wrapText="1"/>
    </xf>
    <xf numFmtId="43" fontId="154" fillId="0" borderId="0" xfId="12" applyNumberFormat="1" applyFont="1" applyAlignment="1" applyProtection="1">
      <alignment horizontal="center" vertical="center"/>
      <protection locked="0"/>
    </xf>
    <xf numFmtId="43" fontId="154" fillId="23" borderId="43" xfId="12" applyNumberFormat="1" applyFont="1" applyFill="1" applyBorder="1" applyAlignment="1">
      <alignment horizontal="center" vertical="center"/>
    </xf>
    <xf numFmtId="43" fontId="154" fillId="23" borderId="51" xfId="12" applyNumberFormat="1" applyFont="1" applyFill="1" applyBorder="1" applyAlignment="1">
      <alignment horizontal="center" vertical="center"/>
    </xf>
    <xf numFmtId="43" fontId="155" fillId="23" borderId="50" xfId="12" applyNumberFormat="1" applyFont="1" applyFill="1" applyBorder="1" applyAlignment="1">
      <alignment horizontal="right" vertical="center" wrapText="1"/>
    </xf>
    <xf numFmtId="0" fontId="1" fillId="0" borderId="0" xfId="0" applyFont="1" applyAlignment="1">
      <alignment horizontal="center" vertical="center"/>
    </xf>
    <xf numFmtId="1" fontId="14" fillId="0" borderId="0" xfId="10" applyFont="1" applyAlignment="1" applyProtection="1">
      <alignment horizontal="left" vertical="top" wrapText="1"/>
      <protection locked="0"/>
    </xf>
    <xf numFmtId="0" fontId="0" fillId="0" borderId="0" xfId="0" applyAlignment="1">
      <alignment vertical="top" wrapText="1"/>
    </xf>
    <xf numFmtId="1" fontId="175" fillId="0" borderId="0" xfId="0" applyNumberFormat="1" applyFont="1"/>
    <xf numFmtId="0" fontId="4" fillId="0" borderId="1" xfId="0" applyFont="1" applyBorder="1"/>
    <xf numFmtId="0" fontId="4" fillId="0" borderId="15" xfId="0" applyFont="1" applyBorder="1"/>
    <xf numFmtId="4" fontId="15" fillId="4" borderId="18" xfId="3" applyNumberFormat="1" applyFont="1" applyFill="1" applyBorder="1" applyAlignment="1">
      <alignment horizontal="right"/>
    </xf>
    <xf numFmtId="4" fontId="15" fillId="4" borderId="16" xfId="3" applyNumberFormat="1" applyFont="1" applyFill="1" applyBorder="1" applyAlignment="1">
      <alignment horizontal="right"/>
    </xf>
    <xf numFmtId="2" fontId="13" fillId="4" borderId="3" xfId="3" applyNumberFormat="1" applyFont="1" applyFill="1" applyBorder="1" applyAlignment="1" applyProtection="1">
      <alignment horizontal="center"/>
      <protection locked="0"/>
    </xf>
    <xf numFmtId="4" fontId="13" fillId="4" borderId="3" xfId="3" applyNumberFormat="1" applyFont="1" applyFill="1" applyBorder="1" applyAlignment="1">
      <alignment horizontal="center"/>
    </xf>
    <xf numFmtId="2" fontId="15" fillId="4" borderId="3" xfId="3" applyNumberFormat="1" applyFont="1" applyFill="1" applyBorder="1" applyAlignment="1">
      <alignment horizontal="center"/>
    </xf>
    <xf numFmtId="2" fontId="7" fillId="4" borderId="3" xfId="3" applyNumberFormat="1" applyFont="1" applyFill="1" applyBorder="1" applyAlignment="1">
      <alignment horizontal="center"/>
    </xf>
    <xf numFmtId="4" fontId="15" fillId="4" borderId="3" xfId="3" applyNumberFormat="1" applyFont="1" applyFill="1" applyBorder="1" applyAlignment="1">
      <alignment horizontal="right"/>
    </xf>
    <xf numFmtId="49" fontId="75" fillId="0" borderId="0" xfId="2" applyNumberFormat="1" applyFont="1" applyFill="1" applyBorder="1" applyAlignment="1" applyProtection="1">
      <alignment horizontal="right" wrapText="1"/>
      <protection locked="0"/>
    </xf>
    <xf numFmtId="0" fontId="201" fillId="0" borderId="0" xfId="3" applyFont="1" applyProtection="1">
      <protection locked="0"/>
    </xf>
    <xf numFmtId="1" fontId="58" fillId="0" borderId="0" xfId="10" applyFont="1" applyAlignment="1" applyProtection="1">
      <alignment horizontal="center"/>
      <protection locked="0"/>
    </xf>
    <xf numFmtId="2" fontId="60" fillId="16" borderId="1" xfId="6" applyNumberFormat="1" applyFont="1" applyFill="1" applyBorder="1" applyAlignment="1">
      <alignment horizontal="right" vertical="top"/>
    </xf>
    <xf numFmtId="1" fontId="193" fillId="0" borderId="0" xfId="19" applyFont="1" applyProtection="1">
      <protection locked="0"/>
    </xf>
    <xf numFmtId="1" fontId="189" fillId="0" borderId="0" xfId="19" applyFont="1" applyProtection="1">
      <protection locked="0"/>
    </xf>
    <xf numFmtId="43" fontId="0" fillId="0" borderId="0" xfId="0" applyNumberFormat="1" applyProtection="1">
      <protection locked="0"/>
    </xf>
    <xf numFmtId="1" fontId="193" fillId="0" borderId="0" xfId="10" applyFont="1" applyAlignment="1" applyProtection="1">
      <alignment horizontal="left"/>
      <protection locked="0"/>
    </xf>
    <xf numFmtId="0" fontId="189" fillId="0" borderId="0" xfId="0" applyFont="1"/>
    <xf numFmtId="2" fontId="202" fillId="0" borderId="0" xfId="0" applyNumberFormat="1" applyFont="1"/>
    <xf numFmtId="0" fontId="7" fillId="3" borderId="0" xfId="3" applyFont="1" applyFill="1"/>
    <xf numFmtId="1" fontId="189" fillId="0" borderId="0" xfId="10" applyFont="1" applyAlignment="1" applyProtection="1">
      <alignment horizontal="lef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1" fontId="4" fillId="0" borderId="0" xfId="0" applyNumberFormat="1" applyFont="1"/>
    <xf numFmtId="2" fontId="178" fillId="28" borderId="0" xfId="0" applyNumberFormat="1" applyFont="1" applyFill="1"/>
    <xf numFmtId="4" fontId="88" fillId="6" borderId="18" xfId="3" applyNumberFormat="1" applyFont="1" applyFill="1" applyBorder="1" applyAlignment="1">
      <alignment horizontal="left"/>
    </xf>
    <xf numFmtId="4" fontId="23" fillId="6" borderId="14" xfId="3" applyNumberFormat="1" applyFont="1" applyFill="1" applyBorder="1" applyAlignment="1">
      <alignment horizontal="right"/>
    </xf>
    <xf numFmtId="4" fontId="23" fillId="30" borderId="16" xfId="3" applyNumberFormat="1" applyFont="1" applyFill="1" applyBorder="1" applyAlignment="1">
      <alignment horizontal="right"/>
    </xf>
    <xf numFmtId="4" fontId="13" fillId="6" borderId="57" xfId="3" applyNumberFormat="1" applyFont="1" applyFill="1" applyBorder="1"/>
    <xf numFmtId="0" fontId="178" fillId="0" borderId="0" xfId="0" applyFont="1" applyAlignment="1">
      <alignment horizontal="right"/>
    </xf>
    <xf numFmtId="172" fontId="85" fillId="12" borderId="10" xfId="0" applyNumberFormat="1" applyFont="1" applyFill="1" applyBorder="1" applyAlignment="1" applyProtection="1">
      <alignment horizontal="center"/>
      <protection locked="0"/>
    </xf>
    <xf numFmtId="0" fontId="188" fillId="0" borderId="0" xfId="3" applyFont="1"/>
    <xf numFmtId="4" fontId="15" fillId="17" borderId="18" xfId="3" applyNumberFormat="1" applyFont="1" applyFill="1" applyBorder="1" applyAlignment="1">
      <alignment horizontal="right"/>
    </xf>
    <xf numFmtId="4" fontId="15" fillId="17" borderId="16" xfId="3" applyNumberFormat="1" applyFont="1" applyFill="1" applyBorder="1" applyAlignment="1">
      <alignment horizontal="right"/>
    </xf>
    <xf numFmtId="2" fontId="13" fillId="17" borderId="3" xfId="3" applyNumberFormat="1" applyFont="1" applyFill="1" applyBorder="1" applyAlignment="1" applyProtection="1">
      <alignment horizontal="center"/>
      <protection locked="0"/>
    </xf>
    <xf numFmtId="4" fontId="13" fillId="17" borderId="3" xfId="3" applyNumberFormat="1" applyFont="1" applyFill="1" applyBorder="1" applyAlignment="1">
      <alignment horizontal="center"/>
    </xf>
    <xf numFmtId="2" fontId="15" fillId="17" borderId="3" xfId="3" applyNumberFormat="1" applyFont="1" applyFill="1" applyBorder="1" applyAlignment="1">
      <alignment horizontal="center"/>
    </xf>
    <xf numFmtId="2" fontId="7" fillId="17" borderId="3" xfId="3" applyNumberFormat="1" applyFont="1" applyFill="1" applyBorder="1" applyAlignment="1">
      <alignment horizontal="center"/>
    </xf>
    <xf numFmtId="4" fontId="154" fillId="22" borderId="3" xfId="12" applyNumberFormat="1" applyFont="1" applyFill="1" applyBorder="1" applyAlignment="1" applyProtection="1">
      <alignment horizontal="center" vertical="center" wrapText="1"/>
      <protection locked="0"/>
    </xf>
    <xf numFmtId="164" fontId="154" fillId="0" borderId="3" xfId="12" applyNumberFormat="1" applyFont="1" applyBorder="1" applyAlignment="1" applyProtection="1">
      <alignment horizontal="left" vertical="center"/>
      <protection locked="0"/>
    </xf>
    <xf numFmtId="4" fontId="15" fillId="7" borderId="18" xfId="3" applyNumberFormat="1" applyFont="1" applyFill="1" applyBorder="1" applyAlignment="1">
      <alignment horizontal="right"/>
    </xf>
    <xf numFmtId="4" fontId="15" fillId="7" borderId="16" xfId="3" applyNumberFormat="1" applyFont="1" applyFill="1" applyBorder="1" applyAlignment="1">
      <alignment horizontal="right"/>
    </xf>
    <xf numFmtId="2" fontId="13" fillId="7" borderId="3" xfId="3" applyNumberFormat="1" applyFont="1" applyFill="1" applyBorder="1" applyAlignment="1" applyProtection="1">
      <alignment horizontal="center"/>
      <protection locked="0"/>
    </xf>
    <xf numFmtId="4" fontId="13" fillId="7" borderId="3" xfId="3" applyNumberFormat="1" applyFont="1" applyFill="1" applyBorder="1" applyAlignment="1">
      <alignment horizontal="center"/>
    </xf>
    <xf numFmtId="2" fontId="15" fillId="7" borderId="3" xfId="3" applyNumberFormat="1" applyFont="1" applyFill="1" applyBorder="1" applyAlignment="1">
      <alignment horizontal="center"/>
    </xf>
    <xf numFmtId="2" fontId="7" fillId="7" borderId="3" xfId="3" applyNumberFormat="1" applyFont="1" applyFill="1" applyBorder="1" applyAlignment="1">
      <alignment horizontal="center"/>
    </xf>
    <xf numFmtId="2" fontId="175" fillId="31" borderId="0" xfId="0" applyNumberFormat="1" applyFont="1" applyFill="1"/>
    <xf numFmtId="2" fontId="175" fillId="22" borderId="0" xfId="0" applyNumberFormat="1" applyFont="1" applyFill="1"/>
    <xf numFmtId="0" fontId="175" fillId="22" borderId="0" xfId="0" applyFont="1" applyFill="1"/>
    <xf numFmtId="174" fontId="0" fillId="32" borderId="0" xfId="0" applyNumberFormat="1" applyFill="1" applyProtection="1">
      <protection locked="0"/>
    </xf>
    <xf numFmtId="2" fontId="175" fillId="32" borderId="0" xfId="0" applyNumberFormat="1" applyFont="1" applyFill="1"/>
    <xf numFmtId="2" fontId="176" fillId="31" borderId="0" xfId="0" applyNumberFormat="1" applyFont="1" applyFill="1"/>
    <xf numFmtId="2" fontId="203" fillId="32" borderId="0" xfId="0" applyNumberFormat="1" applyFont="1" applyFill="1"/>
    <xf numFmtId="0" fontId="24" fillId="32" borderId="0" xfId="3" applyFont="1" applyFill="1"/>
    <xf numFmtId="2" fontId="167" fillId="32" borderId="0" xfId="0" applyNumberFormat="1" applyFont="1" applyFill="1"/>
    <xf numFmtId="1" fontId="7" fillId="33" borderId="0" xfId="19" applyFont="1" applyFill="1" applyAlignment="1" applyProtection="1">
      <alignment horizontal="right"/>
      <protection locked="0"/>
    </xf>
    <xf numFmtId="1" fontId="0" fillId="33" borderId="0" xfId="0" applyNumberFormat="1" applyFill="1"/>
    <xf numFmtId="0" fontId="0" fillId="33" borderId="0" xfId="0" applyFill="1"/>
    <xf numFmtId="2" fontId="175" fillId="33" borderId="0" xfId="0" applyNumberFormat="1" applyFont="1" applyFill="1"/>
    <xf numFmtId="0" fontId="204" fillId="0" borderId="0" xfId="3" applyFont="1"/>
    <xf numFmtId="164" fontId="7" fillId="4" borderId="19" xfId="1" applyFont="1" applyFill="1" applyBorder="1" applyAlignment="1" applyProtection="1">
      <alignment horizontal="center"/>
      <protection locked="0"/>
    </xf>
    <xf numFmtId="164" fontId="7" fillId="18" borderId="19" xfId="1" applyFont="1" applyFill="1" applyBorder="1" applyAlignment="1" applyProtection="1">
      <alignment horizontal="center"/>
      <protection locked="0"/>
    </xf>
    <xf numFmtId="164" fontId="7" fillId="19" borderId="9" xfId="1" applyFont="1" applyFill="1" applyBorder="1" applyProtection="1">
      <protection locked="0"/>
    </xf>
    <xf numFmtId="0" fontId="190" fillId="0" borderId="0" xfId="0" applyFont="1" applyProtection="1">
      <protection locked="0"/>
    </xf>
    <xf numFmtId="181" fontId="190" fillId="0" borderId="0" xfId="0" applyNumberFormat="1" applyFont="1" applyProtection="1">
      <protection locked="0"/>
    </xf>
    <xf numFmtId="164" fontId="101" fillId="0" borderId="0" xfId="1" applyFont="1" applyProtection="1">
      <protection locked="0"/>
    </xf>
    <xf numFmtId="1" fontId="14" fillId="29" borderId="0" xfId="10" applyFont="1" applyFill="1" applyAlignment="1" applyProtection="1">
      <alignment vertical="top"/>
      <protection locked="0"/>
    </xf>
    <xf numFmtId="0" fontId="1" fillId="0" borderId="0" xfId="0" applyFont="1" applyAlignment="1" applyProtection="1">
      <alignment horizontal="left"/>
      <protection locked="0"/>
    </xf>
    <xf numFmtId="0" fontId="1" fillId="0" borderId="15" xfId="0" applyFont="1" applyBorder="1" applyAlignment="1" applyProtection="1">
      <alignment horizontal="left"/>
      <protection locked="0"/>
    </xf>
    <xf numFmtId="1" fontId="7" fillId="34" borderId="0" xfId="19" applyFont="1" applyFill="1" applyAlignment="1" applyProtection="1">
      <alignment horizontal="right"/>
      <protection locked="0"/>
    </xf>
    <xf numFmtId="0" fontId="175" fillId="34" borderId="0" xfId="0" applyFont="1" applyFill="1"/>
    <xf numFmtId="4" fontId="7" fillId="0" borderId="0" xfId="3" applyNumberFormat="1" applyFont="1"/>
    <xf numFmtId="1" fontId="0" fillId="35" borderId="0" xfId="0" applyNumberFormat="1" applyFill="1"/>
    <xf numFmtId="1" fontId="0" fillId="36" borderId="0" xfId="0" applyNumberFormat="1" applyFill="1"/>
    <xf numFmtId="166" fontId="175" fillId="0" borderId="0" xfId="0" applyNumberFormat="1" applyFont="1"/>
    <xf numFmtId="0" fontId="7" fillId="36" borderId="0" xfId="3" applyFont="1" applyFill="1" applyProtection="1">
      <protection locked="0"/>
    </xf>
    <xf numFmtId="2" fontId="0" fillId="36" borderId="0" xfId="0" applyNumberFormat="1" applyFill="1"/>
    <xf numFmtId="2" fontId="175" fillId="36" borderId="0" xfId="0" applyNumberFormat="1" applyFont="1" applyFill="1"/>
    <xf numFmtId="4" fontId="7" fillId="0" borderId="1" xfId="3" applyNumberFormat="1" applyFont="1" applyBorder="1"/>
    <xf numFmtId="2" fontId="175" fillId="35" borderId="0" xfId="0" applyNumberFormat="1" applyFont="1" applyFill="1"/>
    <xf numFmtId="181" fontId="190" fillId="37" borderId="0" xfId="0" applyNumberFormat="1" applyFont="1" applyFill="1" applyProtection="1">
      <protection locked="0"/>
    </xf>
    <xf numFmtId="4" fontId="23" fillId="8" borderId="18" xfId="3" applyNumberFormat="1" applyFont="1" applyFill="1" applyBorder="1" applyAlignment="1">
      <alignment horizontal="right"/>
    </xf>
    <xf numFmtId="4" fontId="23" fillId="8" borderId="14" xfId="3" applyNumberFormat="1" applyFont="1" applyFill="1" applyBorder="1" applyAlignment="1">
      <alignment horizontal="right"/>
    </xf>
    <xf numFmtId="4" fontId="23" fillId="8" borderId="16" xfId="3" applyNumberFormat="1" applyFont="1" applyFill="1" applyBorder="1" applyAlignment="1">
      <alignment horizontal="right"/>
    </xf>
    <xf numFmtId="4" fontId="13" fillId="8" borderId="57" xfId="3" applyNumberFormat="1" applyFont="1" applyFill="1" applyBorder="1"/>
    <xf numFmtId="4" fontId="15" fillId="8" borderId="18" xfId="3" applyNumberFormat="1" applyFont="1" applyFill="1" applyBorder="1" applyAlignment="1">
      <alignment horizontal="right"/>
    </xf>
    <xf numFmtId="4" fontId="15" fillId="8" borderId="16" xfId="3" applyNumberFormat="1" applyFont="1" applyFill="1" applyBorder="1" applyAlignment="1">
      <alignment horizontal="right"/>
    </xf>
    <xf numFmtId="2" fontId="13" fillId="8" borderId="3" xfId="3" applyNumberFormat="1" applyFont="1" applyFill="1" applyBorder="1" applyAlignment="1" applyProtection="1">
      <alignment horizontal="center"/>
      <protection locked="0"/>
    </xf>
    <xf numFmtId="4" fontId="13" fillId="8" borderId="3" xfId="3" applyNumberFormat="1" applyFont="1" applyFill="1" applyBorder="1" applyAlignment="1">
      <alignment horizontal="center"/>
    </xf>
    <xf numFmtId="2" fontId="15" fillId="8" borderId="3" xfId="3" applyNumberFormat="1" applyFont="1" applyFill="1" applyBorder="1" applyAlignment="1">
      <alignment horizontal="center"/>
    </xf>
    <xf numFmtId="2" fontId="7" fillId="8" borderId="3" xfId="3" applyNumberFormat="1" applyFont="1" applyFill="1" applyBorder="1" applyAlignment="1">
      <alignment horizontal="center"/>
    </xf>
    <xf numFmtId="4" fontId="154" fillId="0" borderId="0" xfId="12" applyNumberFormat="1" applyFont="1" applyAlignment="1" applyProtection="1">
      <alignment vertical="center" wrapText="1"/>
      <protection locked="0"/>
    </xf>
    <xf numFmtId="43" fontId="155" fillId="0" borderId="3" xfId="12" applyNumberFormat="1" applyFont="1" applyBorder="1" applyAlignment="1">
      <alignment horizontal="right" vertical="center"/>
    </xf>
    <xf numFmtId="166" fontId="154" fillId="33" borderId="3" xfId="12" applyNumberFormat="1" applyFont="1" applyFill="1" applyBorder="1" applyAlignment="1">
      <alignment horizontal="center" vertical="center" wrapText="1"/>
    </xf>
    <xf numFmtId="43" fontId="205" fillId="33" borderId="3" xfId="12" applyNumberFormat="1" applyFont="1" applyFill="1" applyBorder="1" applyAlignment="1">
      <alignment horizontal="right" vertical="center"/>
    </xf>
    <xf numFmtId="0" fontId="154" fillId="33" borderId="3" xfId="12" applyFont="1" applyFill="1" applyBorder="1" applyAlignment="1">
      <alignment horizontal="center" vertical="center" wrapText="1"/>
    </xf>
    <xf numFmtId="166" fontId="154" fillId="38" borderId="3" xfId="12" applyNumberFormat="1" applyFont="1" applyFill="1" applyBorder="1" applyAlignment="1">
      <alignment horizontal="center" vertical="center" wrapText="1"/>
    </xf>
    <xf numFmtId="0" fontId="154" fillId="38" borderId="3" xfId="12" applyFont="1" applyFill="1" applyBorder="1" applyAlignment="1">
      <alignment vertical="center" wrapText="1"/>
    </xf>
    <xf numFmtId="0" fontId="154" fillId="38" borderId="3" xfId="11" applyFont="1" applyFill="1" applyBorder="1" applyAlignment="1">
      <alignment horizontal="center" vertical="center" wrapText="1"/>
    </xf>
    <xf numFmtId="0" fontId="154" fillId="38" borderId="3" xfId="12" applyFont="1" applyFill="1" applyBorder="1" applyAlignment="1">
      <alignment horizontal="center" vertical="center"/>
    </xf>
    <xf numFmtId="4" fontId="154" fillId="38" borderId="3" xfId="12" applyNumberFormat="1" applyFont="1" applyFill="1" applyBorder="1" applyAlignment="1" applyProtection="1">
      <alignment horizontal="center" vertical="center" wrapText="1"/>
      <protection locked="0"/>
    </xf>
    <xf numFmtId="43" fontId="154" fillId="38" borderId="3" xfId="12" applyNumberFormat="1" applyFont="1" applyFill="1" applyBorder="1" applyAlignment="1">
      <alignment horizontal="right" vertical="center"/>
    </xf>
    <xf numFmtId="0" fontId="154" fillId="38" borderId="0" xfId="12" applyFont="1" applyFill="1" applyAlignment="1">
      <alignment vertical="center"/>
    </xf>
    <xf numFmtId="0" fontId="154" fillId="33" borderId="0" xfId="12" applyFont="1" applyFill="1" applyAlignment="1">
      <alignment vertical="center"/>
    </xf>
    <xf numFmtId="0" fontId="154" fillId="38" borderId="3" xfId="12" applyFont="1" applyFill="1" applyBorder="1" applyAlignment="1">
      <alignment horizontal="center" vertical="center" wrapText="1"/>
    </xf>
    <xf numFmtId="43" fontId="205" fillId="38" borderId="3" xfId="12" applyNumberFormat="1" applyFont="1" applyFill="1" applyBorder="1" applyAlignment="1">
      <alignment horizontal="right" vertical="center"/>
    </xf>
    <xf numFmtId="0" fontId="154" fillId="38" borderId="3" xfId="12" applyFont="1" applyFill="1" applyBorder="1" applyAlignment="1">
      <alignment horizontal="left" vertical="center" wrapText="1"/>
    </xf>
    <xf numFmtId="0" fontId="155" fillId="38" borderId="3" xfId="12" applyFont="1" applyFill="1" applyBorder="1" applyAlignment="1">
      <alignment horizontal="left" vertical="center" wrapText="1"/>
    </xf>
    <xf numFmtId="0" fontId="156" fillId="38" borderId="3" xfId="12" applyFont="1" applyFill="1" applyBorder="1" applyAlignment="1">
      <alignment horizontal="left" vertical="center" wrapText="1"/>
    </xf>
    <xf numFmtId="43" fontId="152" fillId="0" borderId="3" xfId="12" applyNumberFormat="1" applyFont="1" applyBorder="1" applyAlignment="1">
      <alignment horizontal="right" vertical="center"/>
    </xf>
    <xf numFmtId="43" fontId="153" fillId="0" borderId="0" xfId="13" applyNumberFormat="1" applyFont="1" applyAlignment="1">
      <alignment horizontal="right" vertical="center"/>
    </xf>
    <xf numFmtId="166" fontId="154" fillId="38" borderId="3" xfId="12" applyNumberFormat="1" applyFont="1" applyFill="1" applyBorder="1" applyAlignment="1">
      <alignment horizontal="center" vertical="center"/>
    </xf>
    <xf numFmtId="166" fontId="154" fillId="33" borderId="3" xfId="12" applyNumberFormat="1" applyFont="1" applyFill="1" applyBorder="1" applyAlignment="1">
      <alignment horizontal="center" vertical="center"/>
    </xf>
    <xf numFmtId="0" fontId="154" fillId="38" borderId="3" xfId="12" applyFont="1" applyFill="1" applyBorder="1" applyAlignment="1">
      <alignment horizontal="justify" vertical="center"/>
    </xf>
    <xf numFmtId="43" fontId="155" fillId="0" borderId="0" xfId="13" applyNumberFormat="1" applyFont="1" applyAlignment="1">
      <alignment horizontal="right" vertical="center"/>
    </xf>
    <xf numFmtId="43" fontId="154" fillId="0" borderId="0" xfId="12" applyNumberFormat="1" applyFont="1" applyAlignment="1">
      <alignment horizontal="center" vertical="center"/>
    </xf>
    <xf numFmtId="0" fontId="207" fillId="0" borderId="0" xfId="12" applyFont="1" applyAlignment="1">
      <alignment horizontal="center" vertical="center"/>
    </xf>
    <xf numFmtId="0" fontId="207" fillId="0" borderId="0" xfId="12" applyFont="1" applyAlignment="1">
      <alignment horizontal="left" vertical="center" wrapText="1"/>
    </xf>
    <xf numFmtId="0" fontId="207" fillId="0" borderId="0" xfId="12" applyFont="1" applyAlignment="1" applyProtection="1">
      <alignment horizontal="center" vertical="center"/>
      <protection locked="0"/>
    </xf>
    <xf numFmtId="0" fontId="207" fillId="0" borderId="0" xfId="12" applyFont="1" applyAlignment="1">
      <alignment horizontal="right" vertical="center"/>
    </xf>
    <xf numFmtId="166" fontId="208" fillId="0" borderId="3" xfId="11" applyNumberFormat="1" applyFont="1" applyBorder="1" applyAlignment="1">
      <alignment horizontal="center" vertical="center" wrapText="1"/>
    </xf>
    <xf numFmtId="0" fontId="208" fillId="0" borderId="3" xfId="11" applyFont="1" applyBorder="1" applyAlignment="1">
      <alignment horizontal="left" vertical="center" wrapText="1"/>
    </xf>
    <xf numFmtId="0" fontId="208" fillId="0" borderId="3" xfId="11" applyFont="1" applyBorder="1" applyAlignment="1">
      <alignment horizontal="center" vertical="center" wrapText="1"/>
    </xf>
    <xf numFmtId="4" fontId="208" fillId="0" borderId="3" xfId="11" applyNumberFormat="1" applyFont="1" applyBorder="1" applyAlignment="1" applyProtection="1">
      <alignment horizontal="center" vertical="center" wrapText="1"/>
      <protection locked="0"/>
    </xf>
    <xf numFmtId="43" fontId="208" fillId="0" borderId="3" xfId="11" applyNumberFormat="1" applyFont="1" applyBorder="1" applyAlignment="1">
      <alignment horizontal="center" vertical="center" wrapText="1"/>
    </xf>
    <xf numFmtId="166" fontId="208" fillId="0" borderId="3" xfId="12" applyNumberFormat="1" applyFont="1" applyBorder="1" applyAlignment="1">
      <alignment horizontal="center" vertical="center" wrapText="1"/>
    </xf>
    <xf numFmtId="0" fontId="208" fillId="0" borderId="3" xfId="12" applyFont="1" applyBorder="1" applyAlignment="1">
      <alignment horizontal="left" vertical="center" wrapText="1"/>
    </xf>
    <xf numFmtId="0" fontId="208" fillId="0" borderId="3" xfId="12" applyFont="1" applyBorder="1" applyAlignment="1">
      <alignment horizontal="center" vertical="center" wrapText="1"/>
    </xf>
    <xf numFmtId="4" fontId="208" fillId="0" borderId="3" xfId="12" applyNumberFormat="1" applyFont="1" applyBorder="1" applyAlignment="1" applyProtection="1">
      <alignment horizontal="center" vertical="center" wrapText="1"/>
      <protection locked="0"/>
    </xf>
    <xf numFmtId="43" fontId="208" fillId="0" borderId="3" xfId="12" applyNumberFormat="1" applyFont="1" applyBorder="1" applyAlignment="1">
      <alignment horizontal="right" vertical="center" wrapText="1"/>
    </xf>
    <xf numFmtId="4" fontId="208" fillId="0" borderId="3" xfId="12" applyNumberFormat="1" applyFont="1" applyBorder="1" applyAlignment="1">
      <alignment horizontal="center" vertical="center" wrapText="1"/>
    </xf>
    <xf numFmtId="4" fontId="207" fillId="0" borderId="3" xfId="12" applyNumberFormat="1" applyFont="1" applyBorder="1" applyAlignment="1">
      <alignment horizontal="center" vertical="center" wrapText="1"/>
    </xf>
    <xf numFmtId="4" fontId="207" fillId="0" borderId="3" xfId="12" applyNumberFormat="1" applyFont="1" applyBorder="1" applyAlignment="1" applyProtection="1">
      <alignment horizontal="center" vertical="center" wrapText="1"/>
      <protection locked="0"/>
    </xf>
    <xf numFmtId="43" fontId="207" fillId="0" borderId="3" xfId="12" applyNumberFormat="1" applyFont="1" applyBorder="1" applyAlignment="1">
      <alignment horizontal="right" vertical="center"/>
    </xf>
    <xf numFmtId="4" fontId="209" fillId="0" borderId="3" xfId="12" applyNumberFormat="1" applyFont="1" applyBorder="1" applyAlignment="1">
      <alignment horizontal="center" vertical="center" wrapText="1"/>
    </xf>
    <xf numFmtId="0" fontId="209" fillId="0" borderId="3" xfId="12" applyFont="1" applyBorder="1" applyAlignment="1">
      <alignment horizontal="left" vertical="center" wrapText="1"/>
    </xf>
    <xf numFmtId="4" fontId="209" fillId="0" borderId="3" xfId="12" applyNumberFormat="1" applyFont="1" applyBorder="1" applyAlignment="1" applyProtection="1">
      <alignment horizontal="center" vertical="center" wrapText="1"/>
      <protection locked="0"/>
    </xf>
    <xf numFmtId="166" fontId="207" fillId="0" borderId="3" xfId="12" applyNumberFormat="1" applyFont="1" applyBorder="1" applyAlignment="1">
      <alignment horizontal="center" vertical="center" wrapText="1"/>
    </xf>
    <xf numFmtId="0" fontId="207" fillId="0" borderId="3" xfId="12" applyFont="1" applyBorder="1" applyAlignment="1">
      <alignment horizontal="left" vertical="center" wrapText="1"/>
    </xf>
    <xf numFmtId="3" fontId="207" fillId="0" borderId="3" xfId="12" applyNumberFormat="1" applyFont="1" applyBorder="1" applyAlignment="1">
      <alignment horizontal="center" vertical="center" wrapText="1"/>
    </xf>
    <xf numFmtId="3" fontId="209" fillId="0" borderId="3" xfId="12" applyNumberFormat="1" applyFont="1" applyBorder="1" applyAlignment="1">
      <alignment horizontal="center" vertical="center" wrapText="1"/>
    </xf>
    <xf numFmtId="0" fontId="208" fillId="0" borderId="3" xfId="14" applyFont="1" applyBorder="1" applyAlignment="1">
      <alignment horizontal="left" vertical="center" wrapText="1"/>
    </xf>
    <xf numFmtId="0" fontId="207" fillId="0" borderId="3" xfId="14" applyFont="1" applyBorder="1" applyAlignment="1">
      <alignment horizontal="center" vertical="center" wrapText="1"/>
    </xf>
    <xf numFmtId="0" fontId="207" fillId="0" borderId="3" xfId="12" applyFont="1" applyBorder="1" applyAlignment="1">
      <alignment horizontal="center" vertical="center" wrapText="1"/>
    </xf>
    <xf numFmtId="4" fontId="207" fillId="0" borderId="18" xfId="14" applyNumberFormat="1" applyFont="1" applyBorder="1" applyAlignment="1" applyProtection="1">
      <alignment horizontal="center" vertical="center" wrapText="1"/>
      <protection locked="0"/>
    </xf>
    <xf numFmtId="166" fontId="207" fillId="0" borderId="3" xfId="12" applyNumberFormat="1" applyFont="1" applyBorder="1" applyAlignment="1">
      <alignment horizontal="center" vertical="center"/>
    </xf>
    <xf numFmtId="49" fontId="209" fillId="0" borderId="3" xfId="12" applyNumberFormat="1" applyFont="1" applyBorder="1" applyAlignment="1">
      <alignment horizontal="left" vertical="center" wrapText="1"/>
    </xf>
    <xf numFmtId="4" fontId="207" fillId="0" borderId="18" xfId="12" applyNumberFormat="1" applyFont="1" applyBorder="1" applyAlignment="1" applyProtection="1">
      <alignment horizontal="center" vertical="center" wrapText="1"/>
      <protection locked="0"/>
    </xf>
    <xf numFmtId="179" fontId="207" fillId="0" borderId="3" xfId="12" applyNumberFormat="1" applyFont="1" applyBorder="1" applyAlignment="1">
      <alignment horizontal="right" vertical="center"/>
    </xf>
    <xf numFmtId="49" fontId="207" fillId="0" borderId="3" xfId="12" applyNumberFormat="1" applyFont="1" applyBorder="1" applyAlignment="1">
      <alignment horizontal="left" vertical="center" wrapText="1"/>
    </xf>
    <xf numFmtId="0" fontId="209" fillId="0" borderId="3" xfId="12" applyFont="1" applyBorder="1" applyAlignment="1">
      <alignment vertical="center" wrapText="1"/>
    </xf>
    <xf numFmtId="4" fontId="207" fillId="0" borderId="3" xfId="14" applyNumberFormat="1" applyFont="1" applyBorder="1" applyAlignment="1" applyProtection="1">
      <alignment horizontal="center" vertical="center" wrapText="1"/>
      <protection locked="0"/>
    </xf>
    <xf numFmtId="43" fontId="208" fillId="0" borderId="3" xfId="12" applyNumberFormat="1" applyFont="1" applyBorder="1" applyAlignment="1">
      <alignment horizontal="right" vertical="center"/>
    </xf>
    <xf numFmtId="166" fontId="207" fillId="0" borderId="0" xfId="12" applyNumberFormat="1" applyFont="1" applyAlignment="1">
      <alignment horizontal="center" vertical="center"/>
    </xf>
    <xf numFmtId="0" fontId="208" fillId="0" borderId="0" xfId="12" applyFont="1" applyAlignment="1">
      <alignment horizontal="left" vertical="center" wrapText="1"/>
    </xf>
    <xf numFmtId="2" fontId="208" fillId="0" borderId="0" xfId="12" applyNumberFormat="1" applyFont="1" applyAlignment="1">
      <alignment horizontal="center" vertical="center" wrapText="1"/>
    </xf>
    <xf numFmtId="4" fontId="208" fillId="0" borderId="0" xfId="12" applyNumberFormat="1" applyFont="1" applyAlignment="1" applyProtection="1">
      <alignment horizontal="center" vertical="center" wrapText="1"/>
      <protection locked="0"/>
    </xf>
    <xf numFmtId="43" fontId="208" fillId="0" borderId="0" xfId="12" applyNumberFormat="1" applyFont="1" applyAlignment="1">
      <alignment horizontal="right" vertical="center"/>
    </xf>
    <xf numFmtId="0" fontId="207" fillId="0" borderId="3" xfId="12" applyFont="1" applyBorder="1" applyAlignment="1">
      <alignment vertical="center" wrapText="1"/>
    </xf>
    <xf numFmtId="0" fontId="207" fillId="0" borderId="3" xfId="11" applyFont="1" applyBorder="1" applyAlignment="1">
      <alignment horizontal="center" vertical="center" wrapText="1"/>
    </xf>
    <xf numFmtId="0" fontId="207" fillId="0" borderId="3" xfId="12" applyFont="1" applyBorder="1" applyAlignment="1">
      <alignment horizontal="center" vertical="center"/>
    </xf>
    <xf numFmtId="4" fontId="207" fillId="0" borderId="3" xfId="12" applyNumberFormat="1" applyFont="1" applyBorder="1" applyAlignment="1" applyProtection="1">
      <alignment horizontal="center" vertical="center"/>
      <protection locked="0"/>
    </xf>
    <xf numFmtId="0" fontId="207" fillId="0" borderId="3" xfId="12" applyFont="1" applyBorder="1" applyAlignment="1">
      <alignment horizontal="justify" vertical="center"/>
    </xf>
    <xf numFmtId="0" fontId="207" fillId="0" borderId="3" xfId="13" applyFont="1" applyBorder="1" applyAlignment="1">
      <alignment horizontal="left" vertical="center" wrapText="1"/>
    </xf>
    <xf numFmtId="0" fontId="207" fillId="0" borderId="3" xfId="13" applyFont="1" applyBorder="1" applyAlignment="1">
      <alignment horizontal="center" vertical="center" wrapText="1"/>
    </xf>
    <xf numFmtId="0" fontId="208" fillId="0" borderId="3" xfId="12" applyFont="1" applyBorder="1" applyAlignment="1" applyProtection="1">
      <alignment horizontal="center" vertical="center" wrapText="1"/>
      <protection locked="0"/>
    </xf>
    <xf numFmtId="166" fontId="208" fillId="0" borderId="0" xfId="12" applyNumberFormat="1" applyFont="1" applyAlignment="1">
      <alignment horizontal="center" vertical="center" wrapText="1"/>
    </xf>
    <xf numFmtId="0" fontId="208" fillId="0" borderId="0" xfId="12" applyFont="1" applyAlignment="1">
      <alignment horizontal="center" vertical="center" wrapText="1"/>
    </xf>
    <xf numFmtId="0" fontId="207" fillId="0" borderId="0" xfId="12" applyFont="1" applyAlignment="1">
      <alignment horizontal="center" vertical="center" wrapText="1"/>
    </xf>
    <xf numFmtId="0" fontId="208" fillId="0" borderId="0" xfId="12" applyFont="1" applyAlignment="1" applyProtection="1">
      <alignment horizontal="center" vertical="center" wrapText="1"/>
      <protection locked="0"/>
    </xf>
    <xf numFmtId="43" fontId="208" fillId="0" borderId="0" xfId="12" applyNumberFormat="1" applyFont="1" applyAlignment="1">
      <alignment horizontal="right" vertical="center" wrapText="1"/>
    </xf>
    <xf numFmtId="0" fontId="208" fillId="0" borderId="16" xfId="12" applyFont="1" applyBorder="1" applyAlignment="1" applyProtection="1">
      <alignment horizontal="center" vertical="center" wrapText="1"/>
      <protection locked="0"/>
    </xf>
    <xf numFmtId="166" fontId="207" fillId="33" borderId="3" xfId="12" applyNumberFormat="1" applyFont="1" applyFill="1" applyBorder="1" applyAlignment="1">
      <alignment horizontal="center" vertical="center" wrapText="1"/>
    </xf>
    <xf numFmtId="3" fontId="207" fillId="33" borderId="3" xfId="12" applyNumberFormat="1" applyFont="1" applyFill="1" applyBorder="1" applyAlignment="1">
      <alignment horizontal="center" vertical="center" wrapText="1"/>
    </xf>
    <xf numFmtId="43" fontId="208" fillId="33" borderId="3" xfId="12" applyNumberFormat="1" applyFont="1" applyFill="1" applyBorder="1" applyAlignment="1">
      <alignment horizontal="right" vertical="center"/>
    </xf>
    <xf numFmtId="166" fontId="208" fillId="0" borderId="0" xfId="12" applyNumberFormat="1" applyFont="1" applyAlignment="1">
      <alignment horizontal="center" vertical="center"/>
    </xf>
    <xf numFmtId="166" fontId="208" fillId="0" borderId="3" xfId="12" applyNumberFormat="1" applyFont="1" applyBorder="1" applyAlignment="1">
      <alignment horizontal="center" vertical="center"/>
    </xf>
    <xf numFmtId="0" fontId="194" fillId="0" borderId="0" xfId="0" applyFont="1"/>
    <xf numFmtId="2" fontId="188" fillId="0" borderId="0" xfId="3" applyNumberFormat="1" applyFont="1" applyProtection="1">
      <protection locked="0"/>
    </xf>
    <xf numFmtId="2" fontId="179" fillId="33" borderId="0" xfId="0" applyNumberFormat="1" applyFont="1" applyFill="1"/>
    <xf numFmtId="1" fontId="190" fillId="0" borderId="0" xfId="0" applyNumberFormat="1" applyFont="1"/>
    <xf numFmtId="2" fontId="188" fillId="0" borderId="0" xfId="19" applyNumberFormat="1" applyFont="1" applyProtection="1">
      <protection locked="0"/>
    </xf>
    <xf numFmtId="1" fontId="188" fillId="2" borderId="0" xfId="19" applyFont="1" applyFill="1" applyProtection="1">
      <protection locked="0"/>
    </xf>
    <xf numFmtId="17" fontId="188" fillId="2" borderId="0" xfId="19" applyNumberFormat="1" applyFont="1" applyFill="1" applyProtection="1">
      <protection locked="0"/>
    </xf>
    <xf numFmtId="1" fontId="188" fillId="0" borderId="0" xfId="19" applyFont="1" applyAlignment="1" applyProtection="1">
      <alignment horizontal="center"/>
      <protection locked="0"/>
    </xf>
    <xf numFmtId="2" fontId="210" fillId="0" borderId="0" xfId="19" applyNumberFormat="1" applyFont="1"/>
    <xf numFmtId="2" fontId="192" fillId="3" borderId="0" xfId="19" applyNumberFormat="1" applyFont="1" applyFill="1"/>
    <xf numFmtId="2" fontId="192" fillId="3" borderId="0" xfId="10" applyNumberFormat="1" applyFont="1" applyFill="1"/>
    <xf numFmtId="1" fontId="192" fillId="0" borderId="0" xfId="19" applyFont="1" applyProtection="1">
      <protection locked="0"/>
    </xf>
    <xf numFmtId="0" fontId="192" fillId="0" borderId="0" xfId="0" applyFont="1"/>
    <xf numFmtId="1" fontId="192" fillId="0" borderId="0" xfId="19" applyFont="1" applyAlignment="1" applyProtection="1">
      <alignment horizontal="right"/>
      <protection locked="0"/>
    </xf>
    <xf numFmtId="2" fontId="192" fillId="0" borderId="0" xfId="19" applyNumberFormat="1" applyFont="1" applyProtection="1">
      <protection locked="0"/>
    </xf>
    <xf numFmtId="1" fontId="210" fillId="0" borderId="0" xfId="19" applyFont="1" applyProtection="1">
      <protection locked="0"/>
    </xf>
    <xf numFmtId="1" fontId="192" fillId="2" borderId="0" xfId="19" applyFont="1" applyFill="1" applyProtection="1">
      <protection locked="0"/>
    </xf>
    <xf numFmtId="17" fontId="192" fillId="2" borderId="0" xfId="19" applyNumberFormat="1" applyFont="1" applyFill="1" applyProtection="1">
      <protection locked="0"/>
    </xf>
    <xf numFmtId="1" fontId="192" fillId="0" borderId="0" xfId="19" applyFont="1" applyAlignment="1" applyProtection="1">
      <alignment horizontal="center"/>
      <protection locked="0"/>
    </xf>
    <xf numFmtId="2" fontId="210" fillId="3" borderId="0" xfId="19" applyNumberFormat="1" applyFont="1" applyFill="1"/>
    <xf numFmtId="0" fontId="192" fillId="0" borderId="0" xfId="0" applyFont="1" applyProtection="1">
      <protection locked="0"/>
    </xf>
    <xf numFmtId="0" fontId="154" fillId="39" borderId="0" xfId="12" applyFont="1" applyFill="1" applyAlignment="1">
      <alignment vertical="center"/>
    </xf>
    <xf numFmtId="43" fontId="152" fillId="0" borderId="0" xfId="12" applyNumberFormat="1" applyFont="1" applyAlignment="1" applyProtection="1">
      <alignment horizontal="center" vertical="center"/>
      <protection locked="0"/>
    </xf>
    <xf numFmtId="0" fontId="157" fillId="0" borderId="0" xfId="12" applyFont="1" applyAlignment="1">
      <alignment vertical="center" wrapText="1"/>
    </xf>
    <xf numFmtId="43" fontId="152" fillId="0" borderId="0" xfId="12" applyNumberFormat="1" applyFont="1" applyAlignment="1">
      <alignment horizontal="right" vertical="center"/>
    </xf>
    <xf numFmtId="4" fontId="152" fillId="0" borderId="0" xfId="12" applyNumberFormat="1" applyFont="1" applyAlignment="1">
      <alignment horizontal="right" vertical="center"/>
    </xf>
    <xf numFmtId="0" fontId="211" fillId="0" borderId="3" xfId="15" applyFont="1" applyBorder="1" applyAlignment="1">
      <alignment vertical="center" wrapText="1" shrinkToFit="1"/>
    </xf>
    <xf numFmtId="0" fontId="208" fillId="0" borderId="3" xfId="12" applyFont="1" applyBorder="1" applyAlignment="1">
      <alignment vertical="center" wrapText="1"/>
    </xf>
    <xf numFmtId="0" fontId="207" fillId="0" borderId="3" xfId="15" applyFont="1" applyBorder="1" applyAlignment="1">
      <alignment vertical="center" wrapText="1"/>
    </xf>
    <xf numFmtId="0" fontId="207" fillId="0" borderId="3" xfId="13" applyFont="1" applyBorder="1" applyAlignment="1">
      <alignment vertical="center" wrapText="1"/>
    </xf>
    <xf numFmtId="0" fontId="209" fillId="0" borderId="3" xfId="13" applyFont="1" applyBorder="1" applyAlignment="1">
      <alignment vertical="center" wrapText="1"/>
    </xf>
    <xf numFmtId="166" fontId="208" fillId="0" borderId="3" xfId="12" applyNumberFormat="1" applyFont="1" applyBorder="1" applyAlignment="1">
      <alignment vertical="center" wrapText="1"/>
    </xf>
    <xf numFmtId="166" fontId="207" fillId="0" borderId="0" xfId="12" applyNumberFormat="1" applyFont="1" applyAlignment="1">
      <alignment vertical="center" wrapText="1"/>
    </xf>
    <xf numFmtId="0" fontId="207" fillId="0" borderId="0" xfId="12" applyFont="1" applyAlignment="1">
      <alignment vertical="center" wrapText="1"/>
    </xf>
    <xf numFmtId="4" fontId="207" fillId="0" borderId="0" xfId="12" applyNumberFormat="1" applyFont="1" applyAlignment="1" applyProtection="1">
      <alignment horizontal="center" vertical="center" wrapText="1"/>
      <protection locked="0"/>
    </xf>
    <xf numFmtId="43" fontId="207" fillId="0" borderId="0" xfId="12" applyNumberFormat="1" applyFont="1" applyAlignment="1">
      <alignment horizontal="right" vertical="center" wrapText="1"/>
    </xf>
    <xf numFmtId="166" fontId="207" fillId="0" borderId="0" xfId="12" applyNumberFormat="1" applyFont="1" applyAlignment="1">
      <alignment horizontal="center" vertical="center" wrapText="1"/>
    </xf>
    <xf numFmtId="166" fontId="208" fillId="0" borderId="0" xfId="12" applyNumberFormat="1" applyFont="1" applyAlignment="1">
      <alignment vertical="center" wrapText="1"/>
    </xf>
    <xf numFmtId="0" fontId="212" fillId="0" borderId="3" xfId="12" applyFont="1" applyBorder="1" applyAlignment="1">
      <alignment horizontal="left" vertical="center"/>
    </xf>
    <xf numFmtId="0" fontId="207" fillId="33" borderId="3" xfId="12" applyFont="1" applyFill="1" applyBorder="1" applyAlignment="1">
      <alignment horizontal="center" vertical="center" wrapText="1"/>
    </xf>
    <xf numFmtId="0" fontId="207" fillId="39" borderId="3" xfId="15" applyFont="1" applyFill="1" applyBorder="1" applyAlignment="1">
      <alignment vertical="center" wrapText="1"/>
    </xf>
    <xf numFmtId="0" fontId="207" fillId="39" borderId="3" xfId="12" applyFont="1" applyFill="1" applyBorder="1" applyAlignment="1">
      <alignment horizontal="center" vertical="center" wrapText="1"/>
    </xf>
    <xf numFmtId="4" fontId="207" fillId="33" borderId="3" xfId="12" applyNumberFormat="1" applyFont="1" applyFill="1" applyBorder="1" applyAlignment="1" applyProtection="1">
      <alignment horizontal="center" vertical="center" wrapText="1"/>
      <protection locked="0"/>
    </xf>
    <xf numFmtId="43" fontId="207" fillId="39" borderId="3" xfId="12" applyNumberFormat="1" applyFont="1" applyFill="1" applyBorder="1" applyAlignment="1">
      <alignment horizontal="right" vertical="center"/>
    </xf>
    <xf numFmtId="0" fontId="207" fillId="0" borderId="3" xfId="15" applyFont="1" applyBorder="1" applyAlignment="1">
      <alignment horizontal="center" vertical="center"/>
    </xf>
    <xf numFmtId="0" fontId="209" fillId="0" borderId="3" xfId="15" applyFont="1" applyBorder="1" applyAlignment="1">
      <alignment vertical="center" wrapText="1"/>
    </xf>
    <xf numFmtId="4" fontId="207" fillId="39" borderId="3" xfId="12" applyNumberFormat="1" applyFont="1" applyFill="1" applyBorder="1" applyAlignment="1" applyProtection="1">
      <alignment horizontal="center" vertical="center" wrapText="1"/>
      <protection locked="0"/>
    </xf>
    <xf numFmtId="0" fontId="212" fillId="0" borderId="3" xfId="15" applyFont="1" applyBorder="1" applyAlignment="1">
      <alignment vertical="center" wrapText="1"/>
    </xf>
    <xf numFmtId="0" fontId="208" fillId="39" borderId="3" xfId="15" applyFont="1" applyFill="1" applyBorder="1" applyAlignment="1">
      <alignment vertical="center" wrapText="1"/>
    </xf>
    <xf numFmtId="0" fontId="209" fillId="39" borderId="3" xfId="15" applyFont="1" applyFill="1" applyBorder="1" applyAlignment="1">
      <alignment vertical="center" wrapText="1"/>
    </xf>
    <xf numFmtId="0" fontId="207" fillId="33" borderId="3" xfId="15" applyFont="1" applyFill="1" applyBorder="1" applyAlignment="1">
      <alignment vertical="center" wrapText="1"/>
    </xf>
    <xf numFmtId="43" fontId="207" fillId="33" borderId="3" xfId="12" applyNumberFormat="1" applyFont="1" applyFill="1" applyBorder="1" applyAlignment="1">
      <alignment horizontal="right" vertical="center"/>
    </xf>
    <xf numFmtId="166" fontId="207" fillId="38" borderId="3" xfId="12" applyNumberFormat="1" applyFont="1" applyFill="1" applyBorder="1" applyAlignment="1">
      <alignment horizontal="center" vertical="center" wrapText="1"/>
    </xf>
    <xf numFmtId="0" fontId="207" fillId="38" borderId="3" xfId="12" applyFont="1" applyFill="1" applyBorder="1" applyAlignment="1">
      <alignment horizontal="center" vertical="center" wrapText="1"/>
    </xf>
    <xf numFmtId="0" fontId="207" fillId="0" borderId="3" xfId="15" applyFont="1" applyBorder="1" applyAlignment="1">
      <alignment horizontal="left" vertical="center" wrapText="1"/>
    </xf>
    <xf numFmtId="4" fontId="207" fillId="0" borderId="3" xfId="13" applyNumberFormat="1" applyFont="1" applyBorder="1" applyAlignment="1" applyProtection="1">
      <alignment horizontal="center" vertical="center" wrapText="1"/>
      <protection locked="0"/>
    </xf>
    <xf numFmtId="0" fontId="207" fillId="0" borderId="3" xfId="13" applyFont="1" applyBorder="1" applyAlignment="1" applyProtection="1">
      <alignment vertical="center" wrapText="1"/>
      <protection locked="0"/>
    </xf>
    <xf numFmtId="0" fontId="207" fillId="0" borderId="3" xfId="13" applyFont="1" applyBorder="1" applyAlignment="1" applyProtection="1">
      <alignment horizontal="center" vertical="center" wrapText="1"/>
      <protection locked="0"/>
    </xf>
    <xf numFmtId="43" fontId="154" fillId="0" borderId="0" xfId="12" applyNumberFormat="1" applyFont="1" applyAlignment="1">
      <alignment vertical="center"/>
    </xf>
    <xf numFmtId="4" fontId="154" fillId="0" borderId="0" xfId="12" applyNumberFormat="1" applyFont="1" applyAlignment="1">
      <alignment vertical="center"/>
    </xf>
    <xf numFmtId="4" fontId="154" fillId="38" borderId="0" xfId="12" applyNumberFormat="1" applyFont="1" applyFill="1" applyAlignment="1">
      <alignment horizontal="center" vertical="center"/>
    </xf>
    <xf numFmtId="0" fontId="4" fillId="0" borderId="0" xfId="8" applyFont="1" applyProtection="1">
      <protection locked="0"/>
    </xf>
    <xf numFmtId="1" fontId="215" fillId="0" borderId="0" xfId="0" applyNumberFormat="1" applyFont="1"/>
    <xf numFmtId="1" fontId="7" fillId="3" borderId="0" xfId="10" applyFont="1" applyFill="1" applyAlignment="1" applyProtection="1">
      <alignment horizontal="center"/>
      <protection locked="0"/>
    </xf>
    <xf numFmtId="0" fontId="178" fillId="0" borderId="0" xfId="0" applyFont="1" applyAlignment="1">
      <alignment horizontal="center"/>
    </xf>
    <xf numFmtId="0" fontId="175" fillId="0" borderId="0" xfId="0" applyFont="1" applyAlignment="1">
      <alignment horizontal="left"/>
    </xf>
    <xf numFmtId="0" fontId="152" fillId="0" borderId="0" xfId="12" applyFont="1" applyAlignment="1">
      <alignment horizontal="left" vertical="center"/>
    </xf>
    <xf numFmtId="2" fontId="155" fillId="23" borderId="10" xfId="12" applyNumberFormat="1" applyFont="1" applyFill="1" applyBorder="1" applyAlignment="1">
      <alignment horizontal="left" vertical="center" wrapText="1"/>
    </xf>
    <xf numFmtId="0" fontId="154" fillId="23" borderId="23" xfId="12" applyFont="1" applyFill="1" applyBorder="1" applyAlignment="1">
      <alignment horizontal="right" vertical="center" wrapText="1"/>
    </xf>
    <xf numFmtId="0" fontId="154" fillId="23" borderId="24" xfId="12" applyFont="1" applyFill="1" applyBorder="1" applyAlignment="1">
      <alignment horizontal="right" vertical="center" wrapText="1"/>
    </xf>
    <xf numFmtId="0" fontId="154" fillId="23" borderId="0" xfId="12" applyFont="1" applyFill="1" applyAlignment="1">
      <alignment vertical="center"/>
    </xf>
    <xf numFmtId="2" fontId="155" fillId="0" borderId="18" xfId="12" applyNumberFormat="1" applyFont="1" applyBorder="1" applyAlignment="1">
      <alignment horizontal="left" vertical="center" wrapText="1"/>
    </xf>
    <xf numFmtId="0" fontId="154" fillId="0" borderId="14" xfId="12" applyFont="1" applyBorder="1" applyAlignment="1">
      <alignment horizontal="right" vertical="center" wrapText="1"/>
    </xf>
    <xf numFmtId="0" fontId="155" fillId="0" borderId="14" xfId="12" applyFont="1" applyBorder="1" applyAlignment="1">
      <alignment horizontal="right" vertical="center" wrapText="1"/>
    </xf>
    <xf numFmtId="43" fontId="155" fillId="0" borderId="16" xfId="12" applyNumberFormat="1" applyFont="1" applyBorder="1" applyAlignment="1">
      <alignment horizontal="right" vertical="center" wrapText="1"/>
    </xf>
    <xf numFmtId="2" fontId="155" fillId="0" borderId="11" xfId="12" applyNumberFormat="1" applyFont="1" applyBorder="1" applyAlignment="1">
      <alignment horizontal="left" vertical="center" wrapText="1"/>
    </xf>
    <xf numFmtId="0" fontId="154" fillId="0" borderId="11" xfId="12" applyFont="1" applyBorder="1" applyAlignment="1">
      <alignment horizontal="right" vertical="center" wrapText="1"/>
    </xf>
    <xf numFmtId="2" fontId="155" fillId="0" borderId="3" xfId="12" applyNumberFormat="1" applyFont="1" applyBorder="1" applyAlignment="1">
      <alignment horizontal="left" vertical="center" wrapText="1"/>
    </xf>
    <xf numFmtId="0" fontId="154" fillId="0" borderId="3" xfId="12" applyFont="1" applyBorder="1" applyAlignment="1">
      <alignment horizontal="right" vertical="center" wrapText="1"/>
    </xf>
    <xf numFmtId="0" fontId="155" fillId="0" borderId="3" xfId="12" applyFont="1" applyBorder="1" applyAlignment="1">
      <alignment horizontal="right" vertical="center" wrapText="1"/>
    </xf>
    <xf numFmtId="2" fontId="154" fillId="0" borderId="3" xfId="12" applyNumberFormat="1" applyFont="1" applyBorder="1" applyAlignment="1">
      <alignment horizontal="left" vertical="center" wrapText="1"/>
    </xf>
    <xf numFmtId="43" fontId="155" fillId="35" borderId="3" xfId="12" applyNumberFormat="1" applyFont="1" applyFill="1" applyBorder="1" applyAlignment="1">
      <alignment horizontal="right" vertical="center"/>
    </xf>
    <xf numFmtId="43" fontId="152" fillId="0" borderId="0" xfId="12" applyNumberFormat="1" applyFont="1" applyAlignment="1">
      <alignment horizontal="center" vertical="center"/>
    </xf>
    <xf numFmtId="0" fontId="154" fillId="0" borderId="10" xfId="12" applyFont="1" applyBorder="1" applyAlignment="1">
      <alignment horizontal="right" vertical="center" wrapText="1"/>
    </xf>
    <xf numFmtId="43" fontId="154" fillId="0" borderId="10" xfId="12" applyNumberFormat="1" applyFont="1" applyBorder="1" applyAlignment="1">
      <alignment horizontal="right" vertical="center" wrapText="1"/>
    </xf>
    <xf numFmtId="43" fontId="155" fillId="0" borderId="10" xfId="12" applyNumberFormat="1" applyFont="1" applyBorder="1" applyAlignment="1">
      <alignment horizontal="right" vertical="center" wrapText="1"/>
    </xf>
    <xf numFmtId="0" fontId="155" fillId="23" borderId="51" xfId="12" applyFont="1" applyFill="1" applyBorder="1" applyAlignment="1">
      <alignment vertical="center" wrapText="1"/>
    </xf>
    <xf numFmtId="182" fontId="155" fillId="23" borderId="42" xfId="12" applyNumberFormat="1" applyFont="1" applyFill="1" applyBorder="1" applyAlignment="1">
      <alignment vertical="center" wrapText="1"/>
    </xf>
    <xf numFmtId="183" fontId="0" fillId="0" borderId="0" xfId="0" applyNumberFormat="1"/>
    <xf numFmtId="184" fontId="85" fillId="12" borderId="10" xfId="0" applyNumberFormat="1" applyFont="1" applyFill="1" applyBorder="1" applyAlignment="1" applyProtection="1">
      <alignment horizontal="center"/>
      <protection locked="0"/>
    </xf>
    <xf numFmtId="40" fontId="7" fillId="0" borderId="3" xfId="1" applyNumberFormat="1" applyFont="1" applyFill="1" applyBorder="1" applyAlignment="1" applyProtection="1">
      <alignment horizontal="right"/>
      <protection locked="0"/>
    </xf>
    <xf numFmtId="2" fontId="176" fillId="40" borderId="0" xfId="0" applyNumberFormat="1" applyFont="1" applyFill="1"/>
    <xf numFmtId="2" fontId="178" fillId="40" borderId="0" xfId="0" applyNumberFormat="1" applyFont="1" applyFill="1"/>
    <xf numFmtId="2" fontId="175" fillId="40" borderId="0" xfId="0" applyNumberFormat="1" applyFont="1" applyFill="1"/>
    <xf numFmtId="0" fontId="178" fillId="40" borderId="0" xfId="0" applyFont="1" applyFill="1"/>
    <xf numFmtId="4" fontId="15" fillId="9" borderId="18" xfId="3" applyNumberFormat="1" applyFont="1" applyFill="1" applyBorder="1" applyAlignment="1">
      <alignment horizontal="right"/>
    </xf>
    <xf numFmtId="4" fontId="15" fillId="9" borderId="16" xfId="3" applyNumberFormat="1" applyFont="1" applyFill="1" applyBorder="1" applyAlignment="1">
      <alignment horizontal="right"/>
    </xf>
    <xf numFmtId="2" fontId="13" fillId="9" borderId="3" xfId="3" applyNumberFormat="1" applyFont="1" applyFill="1" applyBorder="1" applyAlignment="1" applyProtection="1">
      <alignment horizontal="center"/>
      <protection locked="0"/>
    </xf>
    <xf numFmtId="4" fontId="13" fillId="9" borderId="3" xfId="3" applyNumberFormat="1" applyFont="1" applyFill="1" applyBorder="1" applyAlignment="1">
      <alignment horizontal="center"/>
    </xf>
    <xf numFmtId="2" fontId="15" fillId="9" borderId="3" xfId="3" applyNumberFormat="1" applyFont="1" applyFill="1" applyBorder="1" applyAlignment="1">
      <alignment horizontal="center"/>
    </xf>
    <xf numFmtId="2" fontId="7" fillId="9" borderId="3" xfId="3" applyNumberFormat="1" applyFont="1" applyFill="1" applyBorder="1" applyAlignment="1">
      <alignment horizontal="center"/>
    </xf>
    <xf numFmtId="4" fontId="15" fillId="10" borderId="18" xfId="3" applyNumberFormat="1" applyFont="1" applyFill="1" applyBorder="1" applyAlignment="1">
      <alignment horizontal="right"/>
    </xf>
    <xf numFmtId="4" fontId="15" fillId="10" borderId="16" xfId="3" applyNumberFormat="1" applyFont="1" applyFill="1" applyBorder="1" applyAlignment="1">
      <alignment horizontal="right"/>
    </xf>
    <xf numFmtId="2" fontId="13" fillId="10" borderId="3" xfId="3" applyNumberFormat="1" applyFont="1" applyFill="1" applyBorder="1" applyAlignment="1" applyProtection="1">
      <alignment horizontal="center"/>
      <protection locked="0"/>
    </xf>
    <xf numFmtId="4" fontId="13" fillId="10" borderId="3" xfId="3" applyNumberFormat="1" applyFont="1" applyFill="1" applyBorder="1" applyAlignment="1">
      <alignment horizontal="center"/>
    </xf>
    <xf numFmtId="2" fontId="15" fillId="10" borderId="3" xfId="3" applyNumberFormat="1" applyFont="1" applyFill="1" applyBorder="1" applyAlignment="1">
      <alignment horizontal="center"/>
    </xf>
    <xf numFmtId="2" fontId="7" fillId="10" borderId="3" xfId="3" applyNumberFormat="1" applyFont="1" applyFill="1" applyBorder="1" applyAlignment="1">
      <alignment horizontal="center"/>
    </xf>
    <xf numFmtId="185" fontId="15" fillId="17" borderId="0" xfId="1" applyNumberFormat="1" applyFont="1" applyFill="1" applyBorder="1" applyAlignment="1" applyProtection="1">
      <alignment horizontal="center"/>
    </xf>
    <xf numFmtId="186" fontId="120" fillId="14" borderId="18" xfId="7" applyNumberFormat="1" applyFont="1" applyFill="1" applyBorder="1" applyAlignment="1">
      <alignment horizontal="center"/>
    </xf>
    <xf numFmtId="187" fontId="0" fillId="0" borderId="0" xfId="0" applyNumberFormat="1"/>
    <xf numFmtId="187" fontId="0" fillId="0" borderId="0" xfId="0" applyNumberFormat="1" applyProtection="1">
      <protection locked="0"/>
    </xf>
    <xf numFmtId="189" fontId="30" fillId="12" borderId="17" xfId="0" applyNumberFormat="1" applyFont="1" applyFill="1" applyBorder="1" applyAlignment="1" applyProtection="1">
      <alignment horizontal="center"/>
      <protection locked="0"/>
    </xf>
    <xf numFmtId="188" fontId="152" fillId="0" borderId="0" xfId="12" applyNumberFormat="1" applyFont="1" applyAlignment="1">
      <alignment vertical="center"/>
    </xf>
    <xf numFmtId="0" fontId="38" fillId="0" borderId="61" xfId="8" applyFont="1" applyBorder="1" applyProtection="1">
      <protection locked="0"/>
    </xf>
    <xf numFmtId="0" fontId="38" fillId="0" borderId="63" xfId="8" applyFont="1" applyBorder="1" applyProtection="1">
      <protection locked="0"/>
    </xf>
    <xf numFmtId="164" fontId="38" fillId="0" borderId="62" xfId="1" applyFont="1" applyBorder="1" applyProtection="1">
      <protection locked="0"/>
    </xf>
    <xf numFmtId="164" fontId="38" fillId="0" borderId="39" xfId="1" applyFont="1" applyBorder="1" applyProtection="1">
      <protection locked="0"/>
    </xf>
    <xf numFmtId="4" fontId="88" fillId="5" borderId="18" xfId="3" applyNumberFormat="1" applyFont="1" applyFill="1" applyBorder="1" applyAlignment="1">
      <alignment horizontal="left"/>
    </xf>
    <xf numFmtId="4" fontId="23" fillId="5" borderId="14" xfId="3" applyNumberFormat="1" applyFont="1" applyFill="1" applyBorder="1" applyAlignment="1">
      <alignment horizontal="right"/>
    </xf>
    <xf numFmtId="4" fontId="23" fillId="41" borderId="16" xfId="3" applyNumberFormat="1" applyFont="1" applyFill="1" applyBorder="1" applyAlignment="1">
      <alignment horizontal="right"/>
    </xf>
    <xf numFmtId="4" fontId="13" fillId="5" borderId="57" xfId="3" applyNumberFormat="1" applyFont="1" applyFill="1" applyBorder="1"/>
    <xf numFmtId="166" fontId="156" fillId="0" borderId="3" xfId="12" applyNumberFormat="1" applyFont="1" applyBorder="1" applyAlignment="1">
      <alignment horizontal="center" vertical="center" wrapText="1"/>
    </xf>
    <xf numFmtId="0" fontId="156" fillId="0" borderId="3" xfId="12" applyFont="1" applyBorder="1" applyAlignment="1">
      <alignment horizontal="center" vertical="center" wrapText="1"/>
    </xf>
    <xf numFmtId="4" fontId="156" fillId="0" borderId="3" xfId="12" applyNumberFormat="1" applyFont="1" applyBorder="1" applyAlignment="1" applyProtection="1">
      <alignment horizontal="center" vertical="center" wrapText="1"/>
      <protection locked="0"/>
    </xf>
    <xf numFmtId="43" fontId="156" fillId="0" borderId="3" xfId="12" applyNumberFormat="1" applyFont="1" applyBorder="1" applyAlignment="1">
      <alignment horizontal="right" vertical="center"/>
    </xf>
    <xf numFmtId="0" fontId="154" fillId="0" borderId="0" xfId="13" applyFont="1" applyAlignment="1">
      <alignment vertical="center" wrapText="1"/>
    </xf>
    <xf numFmtId="43" fontId="154" fillId="0" borderId="0" xfId="12" applyNumberFormat="1" applyFont="1" applyAlignment="1">
      <alignment horizontal="right" vertical="center"/>
    </xf>
    <xf numFmtId="1" fontId="14" fillId="0" borderId="0" xfId="10" applyFont="1" applyAlignment="1" applyProtection="1">
      <alignment horizontal="left" vertical="top" wrapText="1"/>
      <protection locked="0"/>
    </xf>
    <xf numFmtId="0" fontId="0" fillId="0" borderId="0" xfId="0" applyAlignment="1">
      <alignment vertical="top" wrapText="1"/>
    </xf>
    <xf numFmtId="0" fontId="14" fillId="0" borderId="0" xfId="3" applyFont="1" applyAlignment="1" applyProtection="1">
      <alignment vertical="top" wrapText="1"/>
      <protection locked="0"/>
    </xf>
    <xf numFmtId="0" fontId="14" fillId="22" borderId="0" xfId="3" applyFont="1" applyFill="1" applyAlignment="1" applyProtection="1">
      <alignment vertical="top" wrapText="1"/>
      <protection locked="0"/>
    </xf>
    <xf numFmtId="0" fontId="0" fillId="22" borderId="0" xfId="0" applyFill="1" applyAlignment="1">
      <alignment vertical="top" wrapText="1"/>
    </xf>
    <xf numFmtId="0" fontId="155" fillId="0" borderId="3" xfId="12" applyFont="1" applyBorder="1" applyAlignment="1">
      <alignment horizontal="center" vertical="center" wrapText="1"/>
    </xf>
    <xf numFmtId="0" fontId="154" fillId="0" borderId="3" xfId="12" applyFont="1" applyBorder="1" applyAlignment="1">
      <alignment horizontal="center" vertical="center" wrapText="1"/>
    </xf>
    <xf numFmtId="0" fontId="208" fillId="0" borderId="3" xfId="12" applyFont="1" applyBorder="1" applyAlignment="1">
      <alignment horizontal="center" vertical="center" wrapText="1"/>
    </xf>
    <xf numFmtId="0" fontId="207" fillId="0" borderId="3" xfId="12" applyFont="1" applyBorder="1" applyAlignment="1">
      <alignment horizontal="center" vertical="center" wrapText="1"/>
    </xf>
    <xf numFmtId="0" fontId="155" fillId="23" borderId="42" xfId="12" applyFont="1" applyFill="1" applyBorder="1" applyAlignment="1">
      <alignment horizontal="center" vertical="center" wrapText="1"/>
    </xf>
    <xf numFmtId="0" fontId="154" fillId="23" borderId="50" xfId="12" applyFont="1" applyFill="1" applyBorder="1" applyAlignment="1">
      <alignment horizontal="center" vertical="center" wrapText="1"/>
    </xf>
    <xf numFmtId="0" fontId="205" fillId="0" borderId="0" xfId="12" applyFont="1" applyAlignment="1">
      <alignment horizontal="right" vertical="center"/>
    </xf>
    <xf numFmtId="0" fontId="155" fillId="0" borderId="18" xfId="12" applyFont="1" applyBorder="1" applyAlignment="1">
      <alignment horizontal="center" vertical="center" wrapText="1"/>
    </xf>
    <xf numFmtId="0" fontId="154" fillId="0" borderId="14" xfId="12" applyFont="1" applyBorder="1" applyAlignment="1">
      <alignment horizontal="center" vertical="center" wrapText="1"/>
    </xf>
    <xf numFmtId="0" fontId="147" fillId="0" borderId="0" xfId="3" applyFont="1" applyAlignment="1">
      <alignment horizontal="center"/>
    </xf>
    <xf numFmtId="0" fontId="146" fillId="0" borderId="0" xfId="3" applyFont="1" applyAlignment="1">
      <alignment horizontal="center"/>
    </xf>
    <xf numFmtId="0" fontId="4" fillId="0" borderId="0" xfId="0" applyFont="1" applyAlignment="1" applyProtection="1">
      <alignment horizontal="center"/>
      <protection locked="0"/>
    </xf>
    <xf numFmtId="0" fontId="131"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39" fillId="0" borderId="23" xfId="8" applyFont="1" applyBorder="1" applyAlignment="1" applyProtection="1">
      <alignment horizontal="center"/>
      <protection locked="0"/>
    </xf>
    <xf numFmtId="0" fontId="39" fillId="0" borderId="22" xfId="8" applyFont="1" applyBorder="1" applyAlignment="1" applyProtection="1">
      <alignment horizontal="center"/>
      <protection locked="0"/>
    </xf>
    <xf numFmtId="0" fontId="39" fillId="0" borderId="24" xfId="8" applyFont="1" applyBorder="1" applyAlignment="1" applyProtection="1">
      <alignment horizontal="center"/>
      <protection locked="0"/>
    </xf>
    <xf numFmtId="0" fontId="21" fillId="0" borderId="20" xfId="8" applyFont="1" applyBorder="1" applyAlignment="1" applyProtection="1">
      <alignment horizontal="center" vertical="center"/>
      <protection locked="0"/>
    </xf>
    <xf numFmtId="0" fontId="21" fillId="0" borderId="13" xfId="8" applyFont="1" applyBorder="1" applyAlignment="1" applyProtection="1">
      <alignment horizontal="center" vertical="center"/>
      <protection locked="0"/>
    </xf>
    <xf numFmtId="0" fontId="21" fillId="0" borderId="0" xfId="8" applyFont="1" applyAlignment="1" applyProtection="1">
      <alignment horizontal="center" vertical="center"/>
      <protection locked="0"/>
    </xf>
    <xf numFmtId="0" fontId="21" fillId="0" borderId="19" xfId="8" applyFont="1" applyBorder="1" applyAlignment="1" applyProtection="1">
      <alignment horizontal="center" vertical="center"/>
      <protection locked="0"/>
    </xf>
    <xf numFmtId="0" fontId="28" fillId="0" borderId="0" xfId="3" applyFont="1" applyAlignment="1" applyProtection="1">
      <alignment horizontal="left"/>
      <protection locked="0"/>
    </xf>
    <xf numFmtId="0" fontId="47" fillId="0" borderId="0" xfId="8" applyFont="1" applyAlignment="1" applyProtection="1">
      <alignment horizontal="left"/>
      <protection locked="0"/>
    </xf>
    <xf numFmtId="0" fontId="109" fillId="0" borderId="14" xfId="0" applyFont="1" applyBorder="1" applyAlignment="1">
      <alignment horizontal="center" vertical="center"/>
    </xf>
    <xf numFmtId="0" fontId="108" fillId="0" borderId="0" xfId="0" applyFont="1" applyAlignment="1">
      <alignment horizontal="left" vertical="center"/>
    </xf>
    <xf numFmtId="0" fontId="38" fillId="0" borderId="64" xfId="8" applyFont="1" applyBorder="1" applyAlignment="1" applyProtection="1">
      <alignment horizontal="center"/>
      <protection locked="0"/>
    </xf>
    <xf numFmtId="0" fontId="38" fillId="0" borderId="35" xfId="8" applyFont="1" applyBorder="1" applyAlignment="1" applyProtection="1">
      <alignment horizontal="center"/>
      <protection locked="0"/>
    </xf>
    <xf numFmtId="0" fontId="190" fillId="0" borderId="17" xfId="0" applyFont="1" applyBorder="1" applyAlignment="1" applyProtection="1">
      <alignment horizontal="center" vertical="top" wrapText="1"/>
      <protection locked="0"/>
    </xf>
    <xf numFmtId="0" fontId="190" fillId="0" borderId="0" xfId="0" applyFont="1" applyAlignment="1" applyProtection="1">
      <alignment horizontal="center" vertical="top" wrapText="1"/>
      <protection locked="0"/>
    </xf>
    <xf numFmtId="0" fontId="13" fillId="0" borderId="0" xfId="3" applyFont="1" applyAlignment="1" applyProtection="1">
      <alignment horizontal="left" vertical="top" wrapText="1"/>
      <protection locked="0"/>
    </xf>
    <xf numFmtId="0" fontId="29" fillId="0" borderId="0" xfId="3" applyFont="1" applyAlignment="1" applyProtection="1">
      <alignment horizontal="left" vertical="top" wrapText="1"/>
      <protection locked="0"/>
    </xf>
    <xf numFmtId="0" fontId="113" fillId="0" borderId="0" xfId="0" applyFont="1" applyAlignment="1">
      <alignment horizontal="center"/>
    </xf>
    <xf numFmtId="0" fontId="104" fillId="7" borderId="0" xfId="7" applyFont="1" applyFill="1" applyAlignment="1">
      <alignment horizontal="center" vertical="top" wrapText="1"/>
    </xf>
    <xf numFmtId="4" fontId="155" fillId="0" borderId="0" xfId="12" applyNumberFormat="1" applyFont="1" applyAlignment="1" applyProtection="1">
      <alignment horizontal="center" vertical="center" wrapText="1"/>
      <protection locked="0"/>
    </xf>
    <xf numFmtId="0" fontId="206" fillId="0" borderId="0" xfId="12" applyFont="1" applyAlignment="1">
      <alignment vertical="center" wrapText="1"/>
    </xf>
    <xf numFmtId="0" fontId="208" fillId="0" borderId="18" xfId="12" applyFont="1" applyBorder="1" applyAlignment="1">
      <alignment horizontal="center" vertical="center" wrapText="1"/>
    </xf>
    <xf numFmtId="0" fontId="208" fillId="0" borderId="16" xfId="12" applyFont="1" applyBorder="1" applyAlignment="1">
      <alignment horizontal="center" vertical="center" wrapText="1"/>
    </xf>
    <xf numFmtId="2" fontId="155" fillId="23" borderId="59" xfId="12" applyNumberFormat="1" applyFont="1" applyFill="1" applyBorder="1" applyAlignment="1">
      <alignment horizontal="center" wrapText="1"/>
    </xf>
    <xf numFmtId="2" fontId="155" fillId="23" borderId="60" xfId="12" applyNumberFormat="1" applyFont="1" applyFill="1" applyBorder="1" applyAlignment="1">
      <alignment horizontal="center" wrapText="1"/>
    </xf>
    <xf numFmtId="0" fontId="1" fillId="0" borderId="44" xfId="0" applyFont="1" applyBorder="1" applyAlignment="1">
      <alignment horizontal="center" vertical="top"/>
    </xf>
    <xf numFmtId="0" fontId="1" fillId="0" borderId="14" xfId="0" applyFont="1" applyBorder="1" applyAlignment="1">
      <alignment horizontal="center" vertical="top"/>
    </xf>
    <xf numFmtId="0" fontId="1" fillId="0" borderId="45" xfId="0" applyFont="1" applyBorder="1" applyAlignment="1">
      <alignment horizontal="center" vertical="top"/>
    </xf>
    <xf numFmtId="0" fontId="1" fillId="0" borderId="0" xfId="0" applyFont="1" applyAlignment="1">
      <alignment horizontal="center"/>
    </xf>
  </cellXfs>
  <cellStyles count="21">
    <cellStyle name="Comma" xfId="1" builtinId="3"/>
    <cellStyle name="Currency_Estimate" xfId="2" xr:uid="{00000000-0005-0000-0000-000001000000}"/>
    <cellStyle name="Normal" xfId="0" builtinId="0"/>
    <cellStyle name="Normal 10 2" xfId="13" xr:uid="{00000000-0005-0000-0000-000003000000}"/>
    <cellStyle name="Normal 12 2" xfId="14" xr:uid="{00000000-0005-0000-0000-000004000000}"/>
    <cellStyle name="Normal 2" xfId="9" xr:uid="{00000000-0005-0000-0000-000005000000}"/>
    <cellStyle name="Normal 2 2" xfId="15" xr:uid="{00000000-0005-0000-0000-000006000000}"/>
    <cellStyle name="Normal 3" xfId="11" xr:uid="{00000000-0005-0000-0000-000007000000}"/>
    <cellStyle name="Normal 3 6" xfId="18" xr:uid="{00000000-0005-0000-0000-000008000000}"/>
    <cellStyle name="Normal 4" xfId="12" xr:uid="{00000000-0005-0000-0000-000009000000}"/>
    <cellStyle name="Normal_BLOCKS" xfId="3" xr:uid="{00000000-0005-0000-0000-00000A000000}"/>
    <cellStyle name="Normal_CABLE" xfId="4" xr:uid="{00000000-0005-0000-0000-00000B000000}"/>
    <cellStyle name="Normal_E11_0126_Seabank_Hotel_Electrical" xfId="5" xr:uid="{00000000-0005-0000-0000-00000C000000}"/>
    <cellStyle name="Normal_Estimate" xfId="6" xr:uid="{00000000-0005-0000-0000-00000D000000}"/>
    <cellStyle name="Normal_Estimate 2" xfId="10" xr:uid="{00000000-0005-0000-0000-00000E000000}"/>
    <cellStyle name="Normal_Mark_up" xfId="7" xr:uid="{00000000-0005-0000-0000-00000F000000}"/>
    <cellStyle name="Normal_PANELS" xfId="20" xr:uid="{00000000-0005-0000-0000-000010000000}"/>
    <cellStyle name="Normal_Price Lists" xfId="16" xr:uid="{00000000-0005-0000-0000-000011000000}"/>
    <cellStyle name="Normal_Prince_Est" xfId="17" xr:uid="{00000000-0005-0000-0000-000012000000}"/>
    <cellStyle name="Normal_RATES" xfId="19" xr:uid="{00000000-0005-0000-0000-000013000000}"/>
    <cellStyle name="Normal_STANDARD" xfId="8" xr:uid="{00000000-0005-0000-0000-000014000000}"/>
  </cellStyles>
  <dxfs count="26">
    <dxf>
      <font>
        <condense val="0"/>
        <extend val="0"/>
        <color indexed="56"/>
      </font>
    </dxf>
    <dxf>
      <font>
        <condense val="0"/>
        <extend val="0"/>
        <color indexed="10"/>
      </font>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
      <font>
        <b/>
        <i val="0"/>
        <condense val="0"/>
        <extend val="0"/>
      </font>
      <fill>
        <patternFill>
          <bgColor indexed="3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As per notes for covering letter.</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As per notes for covering letter.</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259080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3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3</xdr:row>
          <xdr:rowOff>45720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3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121920</xdr:colOff>
          <xdr:row>3</xdr:row>
          <xdr:rowOff>220980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3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3</xdr:row>
          <xdr:rowOff>297180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3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68580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3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259080</xdr:colOff>
          <xdr:row>6</xdr:row>
          <xdr:rowOff>160020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3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144780</xdr:rowOff>
        </xdr:from>
        <xdr:to>
          <xdr:col>1</xdr:col>
          <xdr:colOff>236220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3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3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106680</xdr:rowOff>
        </xdr:from>
        <xdr:to>
          <xdr:col>1</xdr:col>
          <xdr:colOff>68580</xdr:colOff>
          <xdr:row>7</xdr:row>
          <xdr:rowOff>335280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3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182880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3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8</xdr:row>
          <xdr:rowOff>297180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3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oneCellAnchor>
    <xdr:from>
      <xdr:col>19</xdr:col>
      <xdr:colOff>462915</xdr:colOff>
      <xdr:row>7</xdr:row>
      <xdr:rowOff>341763</xdr:rowOff>
    </xdr:from>
    <xdr:ext cx="7977569" cy="2628220"/>
    <xdr:sp macro="" textlink="">
      <xdr:nvSpPr>
        <xdr:cNvPr id="2" name="Rectangle 1">
          <a:extLst>
            <a:ext uri="{FF2B5EF4-FFF2-40B4-BE49-F238E27FC236}">
              <a16:creationId xmlns:a16="http://schemas.microsoft.com/office/drawing/2014/main" id="{A2845169-705B-9D28-A00C-B99942F55E05}"/>
            </a:ext>
          </a:extLst>
        </xdr:cNvPr>
        <xdr:cNvSpPr/>
      </xdr:nvSpPr>
      <xdr:spPr>
        <a:xfrm>
          <a:off x="7092315" y="2437263"/>
          <a:ext cx="7977569" cy="2628220"/>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This quotation</a:t>
          </a:r>
          <a:r>
            <a:rPr lang="en-US" sz="5400" b="1" cap="none" spc="0" baseline="0">
              <a:ln w="22225">
                <a:solidFill>
                  <a:schemeClr val="accent2"/>
                </a:solidFill>
                <a:prstDash val="solid"/>
              </a:ln>
              <a:solidFill>
                <a:schemeClr val="accent2">
                  <a:lumMod val="40000"/>
                  <a:lumOff val="60000"/>
                </a:schemeClr>
              </a:solidFill>
              <a:effectLst/>
            </a:rPr>
            <a:t> includes</a:t>
          </a:r>
        </a:p>
        <a:p>
          <a:pPr algn="ctr"/>
          <a:r>
            <a:rPr lang="en-US" sz="5400" b="1" cap="none" spc="0" baseline="0">
              <a:ln w="22225">
                <a:solidFill>
                  <a:schemeClr val="accent2"/>
                </a:solidFill>
                <a:prstDash val="solid"/>
              </a:ln>
              <a:solidFill>
                <a:schemeClr val="accent2">
                  <a:lumMod val="40000"/>
                  <a:lumOff val="60000"/>
                </a:schemeClr>
              </a:solidFill>
              <a:effectLst/>
            </a:rPr>
            <a:t> redesign by the consultant</a:t>
          </a:r>
        </a:p>
        <a:p>
          <a:pPr algn="ctr"/>
          <a:r>
            <a:rPr lang="en-US" sz="5400" b="1" cap="none" spc="0" baseline="0">
              <a:ln w="22225">
                <a:solidFill>
                  <a:schemeClr val="accent2"/>
                </a:solidFill>
                <a:prstDash val="solid"/>
              </a:ln>
              <a:solidFill>
                <a:schemeClr val="accent2">
                  <a:lumMod val="40000"/>
                  <a:lumOff val="60000"/>
                </a:schemeClr>
              </a:solidFill>
              <a:effectLst/>
            </a:rPr>
            <a:t>of June 2025</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21</xdr:col>
      <xdr:colOff>26670</xdr:colOff>
      <xdr:row>594</xdr:row>
      <xdr:rowOff>38100</xdr:rowOff>
    </xdr:from>
    <xdr:to>
      <xdr:col>25</xdr:col>
      <xdr:colOff>190499</xdr:colOff>
      <xdr:row>601</xdr:row>
      <xdr:rowOff>20957</xdr:rowOff>
    </xdr:to>
    <xdr:pic>
      <xdr:nvPicPr>
        <xdr:cNvPr id="2" name="Picture 1">
          <a:extLst>
            <a:ext uri="{FF2B5EF4-FFF2-40B4-BE49-F238E27FC236}">
              <a16:creationId xmlns:a16="http://schemas.microsoft.com/office/drawing/2014/main" id="{E0911BB3-CE97-8DFC-82E4-CF2B5927D406}"/>
            </a:ext>
          </a:extLst>
        </xdr:cNvPr>
        <xdr:cNvPicPr>
          <a:picLocks noChangeAspect="1"/>
        </xdr:cNvPicPr>
      </xdr:nvPicPr>
      <xdr:blipFill>
        <a:blip xmlns:r="http://schemas.openxmlformats.org/officeDocument/2006/relationships" r:embed="rId1"/>
        <a:stretch>
          <a:fillRect/>
        </a:stretch>
      </xdr:blipFill>
      <xdr:spPr>
        <a:xfrm>
          <a:off x="10551795" y="83934300"/>
          <a:ext cx="1564005" cy="1156337"/>
        </a:xfrm>
        <a:prstGeom prst="rect">
          <a:avLst/>
        </a:prstGeom>
      </xdr:spPr>
    </xdr:pic>
    <xdr:clientData/>
  </xdr:twoCellAnchor>
  <xdr:twoCellAnchor editAs="oneCell">
    <xdr:from>
      <xdr:col>21</xdr:col>
      <xdr:colOff>0</xdr:colOff>
      <xdr:row>603</xdr:row>
      <xdr:rowOff>1</xdr:rowOff>
    </xdr:from>
    <xdr:to>
      <xdr:col>25</xdr:col>
      <xdr:colOff>249554</xdr:colOff>
      <xdr:row>609</xdr:row>
      <xdr:rowOff>93229</xdr:rowOff>
    </xdr:to>
    <xdr:pic>
      <xdr:nvPicPr>
        <xdr:cNvPr id="3" name="Picture 2">
          <a:extLst>
            <a:ext uri="{FF2B5EF4-FFF2-40B4-BE49-F238E27FC236}">
              <a16:creationId xmlns:a16="http://schemas.microsoft.com/office/drawing/2014/main" id="{1EF05D34-7964-F7EE-8F2D-B159CB2102DC}"/>
            </a:ext>
          </a:extLst>
        </xdr:cNvPr>
        <xdr:cNvPicPr>
          <a:picLocks noChangeAspect="1"/>
        </xdr:cNvPicPr>
      </xdr:nvPicPr>
      <xdr:blipFill>
        <a:blip xmlns:r="http://schemas.openxmlformats.org/officeDocument/2006/relationships" r:embed="rId2"/>
        <a:stretch>
          <a:fillRect/>
        </a:stretch>
      </xdr:blipFill>
      <xdr:spPr>
        <a:xfrm>
          <a:off x="9248775" y="86534626"/>
          <a:ext cx="1657350" cy="1102878"/>
        </a:xfrm>
        <a:prstGeom prst="rect">
          <a:avLst/>
        </a:prstGeom>
      </xdr:spPr>
    </xdr:pic>
    <xdr:clientData/>
  </xdr:twoCellAnchor>
  <xdr:twoCellAnchor editAs="oneCell">
    <xdr:from>
      <xdr:col>21</xdr:col>
      <xdr:colOff>0</xdr:colOff>
      <xdr:row>629</xdr:row>
      <xdr:rowOff>0</xdr:rowOff>
    </xdr:from>
    <xdr:to>
      <xdr:col>25</xdr:col>
      <xdr:colOff>324990</xdr:colOff>
      <xdr:row>636</xdr:row>
      <xdr:rowOff>129653</xdr:rowOff>
    </xdr:to>
    <xdr:pic>
      <xdr:nvPicPr>
        <xdr:cNvPr id="4" name="Picture 3">
          <a:extLst>
            <a:ext uri="{FF2B5EF4-FFF2-40B4-BE49-F238E27FC236}">
              <a16:creationId xmlns:a16="http://schemas.microsoft.com/office/drawing/2014/main" id="{5EA8A5FF-F35B-7C5B-7A07-20FA5CDC64FB}"/>
            </a:ext>
          </a:extLst>
        </xdr:cNvPr>
        <xdr:cNvPicPr>
          <a:picLocks noChangeAspect="1"/>
        </xdr:cNvPicPr>
      </xdr:nvPicPr>
      <xdr:blipFill>
        <a:blip xmlns:r="http://schemas.openxmlformats.org/officeDocument/2006/relationships" r:embed="rId3"/>
        <a:stretch>
          <a:fillRect/>
        </a:stretch>
      </xdr:blipFill>
      <xdr:spPr>
        <a:xfrm>
          <a:off x="9248775" y="91020900"/>
          <a:ext cx="1691787" cy="1303133"/>
        </a:xfrm>
        <a:prstGeom prst="rect">
          <a:avLst/>
        </a:prstGeom>
      </xdr:spPr>
    </xdr:pic>
    <xdr:clientData/>
  </xdr:twoCellAnchor>
  <xdr:twoCellAnchor editAs="oneCell">
    <xdr:from>
      <xdr:col>21</xdr:col>
      <xdr:colOff>19050</xdr:colOff>
      <xdr:row>638</xdr:row>
      <xdr:rowOff>57150</xdr:rowOff>
    </xdr:from>
    <xdr:to>
      <xdr:col>25</xdr:col>
      <xdr:colOff>324990</xdr:colOff>
      <xdr:row>646</xdr:row>
      <xdr:rowOff>17258</xdr:rowOff>
    </xdr:to>
    <xdr:pic>
      <xdr:nvPicPr>
        <xdr:cNvPr id="5" name="Picture 4">
          <a:extLst>
            <a:ext uri="{FF2B5EF4-FFF2-40B4-BE49-F238E27FC236}">
              <a16:creationId xmlns:a16="http://schemas.microsoft.com/office/drawing/2014/main" id="{83D42E19-61AF-CCF1-13A1-F69FC1B3A987}"/>
            </a:ext>
          </a:extLst>
        </xdr:cNvPr>
        <xdr:cNvPicPr>
          <a:picLocks noChangeAspect="1"/>
        </xdr:cNvPicPr>
      </xdr:nvPicPr>
      <xdr:blipFill>
        <a:blip xmlns:r="http://schemas.openxmlformats.org/officeDocument/2006/relationships" r:embed="rId3"/>
        <a:stretch>
          <a:fillRect/>
        </a:stretch>
      </xdr:blipFill>
      <xdr:spPr>
        <a:xfrm>
          <a:off x="9267825" y="92573475"/>
          <a:ext cx="1693692" cy="1301228"/>
        </a:xfrm>
        <a:prstGeom prst="rect">
          <a:avLst/>
        </a:prstGeom>
      </xdr:spPr>
    </xdr:pic>
    <xdr:clientData/>
  </xdr:twoCellAnchor>
  <xdr:twoCellAnchor editAs="oneCell">
    <xdr:from>
      <xdr:col>21</xdr:col>
      <xdr:colOff>15240</xdr:colOff>
      <xdr:row>647</xdr:row>
      <xdr:rowOff>72390</xdr:rowOff>
    </xdr:from>
    <xdr:to>
      <xdr:col>25</xdr:col>
      <xdr:colOff>324990</xdr:colOff>
      <xdr:row>655</xdr:row>
      <xdr:rowOff>49643</xdr:rowOff>
    </xdr:to>
    <xdr:pic>
      <xdr:nvPicPr>
        <xdr:cNvPr id="6" name="Picture 5">
          <a:extLst>
            <a:ext uri="{FF2B5EF4-FFF2-40B4-BE49-F238E27FC236}">
              <a16:creationId xmlns:a16="http://schemas.microsoft.com/office/drawing/2014/main" id="{8CF3A3F3-58C2-A6BA-933F-91BC4F5BAC9A}"/>
            </a:ext>
          </a:extLst>
        </xdr:cNvPr>
        <xdr:cNvPicPr>
          <a:picLocks noChangeAspect="1"/>
        </xdr:cNvPicPr>
      </xdr:nvPicPr>
      <xdr:blipFill>
        <a:blip xmlns:r="http://schemas.openxmlformats.org/officeDocument/2006/relationships" r:embed="rId3"/>
        <a:stretch>
          <a:fillRect/>
        </a:stretch>
      </xdr:blipFill>
      <xdr:spPr>
        <a:xfrm>
          <a:off x="9264015" y="94084140"/>
          <a:ext cx="1695597" cy="1301228"/>
        </a:xfrm>
        <a:prstGeom prst="rect">
          <a:avLst/>
        </a:prstGeom>
      </xdr:spPr>
    </xdr:pic>
    <xdr:clientData/>
  </xdr:twoCellAnchor>
  <xdr:twoCellAnchor editAs="oneCell">
    <xdr:from>
      <xdr:col>21</xdr:col>
      <xdr:colOff>19050</xdr:colOff>
      <xdr:row>656</xdr:row>
      <xdr:rowOff>129540</xdr:rowOff>
    </xdr:from>
    <xdr:to>
      <xdr:col>25</xdr:col>
      <xdr:colOff>324990</xdr:colOff>
      <xdr:row>664</xdr:row>
      <xdr:rowOff>93458</xdr:rowOff>
    </xdr:to>
    <xdr:pic>
      <xdr:nvPicPr>
        <xdr:cNvPr id="7" name="Picture 6">
          <a:extLst>
            <a:ext uri="{FF2B5EF4-FFF2-40B4-BE49-F238E27FC236}">
              <a16:creationId xmlns:a16="http://schemas.microsoft.com/office/drawing/2014/main" id="{D101E75B-D7B3-B956-F034-9A30B2D0A633}"/>
            </a:ext>
          </a:extLst>
        </xdr:cNvPr>
        <xdr:cNvPicPr>
          <a:picLocks noChangeAspect="1"/>
        </xdr:cNvPicPr>
      </xdr:nvPicPr>
      <xdr:blipFill>
        <a:blip xmlns:r="http://schemas.openxmlformats.org/officeDocument/2006/relationships" r:embed="rId3"/>
        <a:stretch>
          <a:fillRect/>
        </a:stretch>
      </xdr:blipFill>
      <xdr:spPr>
        <a:xfrm>
          <a:off x="9267825" y="95636715"/>
          <a:ext cx="1687977" cy="1301228"/>
        </a:xfrm>
        <a:prstGeom prst="rect">
          <a:avLst/>
        </a:prstGeom>
      </xdr:spPr>
    </xdr:pic>
    <xdr:clientData/>
  </xdr:twoCellAnchor>
  <xdr:twoCellAnchor editAs="oneCell">
    <xdr:from>
      <xdr:col>21</xdr:col>
      <xdr:colOff>24766</xdr:colOff>
      <xdr:row>666</xdr:row>
      <xdr:rowOff>38100</xdr:rowOff>
    </xdr:from>
    <xdr:to>
      <xdr:col>25</xdr:col>
      <xdr:colOff>15240</xdr:colOff>
      <xdr:row>673</xdr:row>
      <xdr:rowOff>57150</xdr:rowOff>
    </xdr:to>
    <xdr:pic>
      <xdr:nvPicPr>
        <xdr:cNvPr id="8" name="Picture 7">
          <a:extLst>
            <a:ext uri="{FF2B5EF4-FFF2-40B4-BE49-F238E27FC236}">
              <a16:creationId xmlns:a16="http://schemas.microsoft.com/office/drawing/2014/main" id="{82B54053-8126-D215-7EAE-7521A84F9B91}"/>
            </a:ext>
          </a:extLst>
        </xdr:cNvPr>
        <xdr:cNvPicPr>
          <a:picLocks noChangeAspect="1"/>
        </xdr:cNvPicPr>
      </xdr:nvPicPr>
      <xdr:blipFill>
        <a:blip xmlns:r="http://schemas.openxmlformats.org/officeDocument/2006/relationships" r:embed="rId4"/>
        <a:stretch>
          <a:fillRect/>
        </a:stretch>
      </xdr:blipFill>
      <xdr:spPr>
        <a:xfrm>
          <a:off x="9273541" y="97193100"/>
          <a:ext cx="1381125" cy="1210300"/>
        </a:xfrm>
        <a:prstGeom prst="rect">
          <a:avLst/>
        </a:prstGeom>
      </xdr:spPr>
    </xdr:pic>
    <xdr:clientData/>
  </xdr:twoCellAnchor>
  <xdr:twoCellAnchor editAs="oneCell">
    <xdr:from>
      <xdr:col>21</xdr:col>
      <xdr:colOff>20956</xdr:colOff>
      <xdr:row>674</xdr:row>
      <xdr:rowOff>114300</xdr:rowOff>
    </xdr:from>
    <xdr:to>
      <xdr:col>25</xdr:col>
      <xdr:colOff>15240</xdr:colOff>
      <xdr:row>682</xdr:row>
      <xdr:rowOff>16813</xdr:rowOff>
    </xdr:to>
    <xdr:pic>
      <xdr:nvPicPr>
        <xdr:cNvPr id="9" name="Picture 8">
          <a:extLst>
            <a:ext uri="{FF2B5EF4-FFF2-40B4-BE49-F238E27FC236}">
              <a16:creationId xmlns:a16="http://schemas.microsoft.com/office/drawing/2014/main" id="{5C439A3F-98C9-6A3C-898F-CC26229B8A18}"/>
            </a:ext>
          </a:extLst>
        </xdr:cNvPr>
        <xdr:cNvPicPr>
          <a:picLocks noChangeAspect="1"/>
        </xdr:cNvPicPr>
      </xdr:nvPicPr>
      <xdr:blipFill>
        <a:blip xmlns:r="http://schemas.openxmlformats.org/officeDocument/2006/relationships" r:embed="rId4"/>
        <a:stretch>
          <a:fillRect/>
        </a:stretch>
      </xdr:blipFill>
      <xdr:spPr>
        <a:xfrm>
          <a:off x="9269731" y="98612325"/>
          <a:ext cx="1388745" cy="1208395"/>
        </a:xfrm>
        <a:prstGeom prst="rect">
          <a:avLst/>
        </a:prstGeom>
      </xdr:spPr>
    </xdr:pic>
    <xdr:clientData/>
  </xdr:twoCellAnchor>
  <xdr:twoCellAnchor editAs="oneCell">
    <xdr:from>
      <xdr:col>21</xdr:col>
      <xdr:colOff>15240</xdr:colOff>
      <xdr:row>686</xdr:row>
      <xdr:rowOff>66675</xdr:rowOff>
    </xdr:from>
    <xdr:to>
      <xdr:col>25</xdr:col>
      <xdr:colOff>324990</xdr:colOff>
      <xdr:row>694</xdr:row>
      <xdr:rowOff>7620</xdr:rowOff>
    </xdr:to>
    <xdr:pic>
      <xdr:nvPicPr>
        <xdr:cNvPr id="10" name="Picture 9">
          <a:extLst>
            <a:ext uri="{FF2B5EF4-FFF2-40B4-BE49-F238E27FC236}">
              <a16:creationId xmlns:a16="http://schemas.microsoft.com/office/drawing/2014/main" id="{2720998F-636B-6284-F35D-1962FE00DAED}"/>
            </a:ext>
          </a:extLst>
        </xdr:cNvPr>
        <xdr:cNvPicPr>
          <a:picLocks noChangeAspect="1"/>
        </xdr:cNvPicPr>
      </xdr:nvPicPr>
      <xdr:blipFill>
        <a:blip xmlns:r="http://schemas.openxmlformats.org/officeDocument/2006/relationships" r:embed="rId3"/>
        <a:stretch>
          <a:fillRect/>
        </a:stretch>
      </xdr:blipFill>
      <xdr:spPr>
        <a:xfrm>
          <a:off x="9264015" y="100060125"/>
          <a:ext cx="1687977" cy="1293608"/>
        </a:xfrm>
        <a:prstGeom prst="rect">
          <a:avLst/>
        </a:prstGeom>
      </xdr:spPr>
    </xdr:pic>
    <xdr:clientData/>
  </xdr:twoCellAnchor>
  <xdr:twoCellAnchor editAs="oneCell">
    <xdr:from>
      <xdr:col>21</xdr:col>
      <xdr:colOff>19050</xdr:colOff>
      <xdr:row>695</xdr:row>
      <xdr:rowOff>121920</xdr:rowOff>
    </xdr:from>
    <xdr:to>
      <xdr:col>25</xdr:col>
      <xdr:colOff>324990</xdr:colOff>
      <xdr:row>703</xdr:row>
      <xdr:rowOff>85725</xdr:rowOff>
    </xdr:to>
    <xdr:pic>
      <xdr:nvPicPr>
        <xdr:cNvPr id="11" name="Picture 10">
          <a:extLst>
            <a:ext uri="{FF2B5EF4-FFF2-40B4-BE49-F238E27FC236}">
              <a16:creationId xmlns:a16="http://schemas.microsoft.com/office/drawing/2014/main" id="{D2AE8AA1-39A6-3582-5700-762E94C914DF}"/>
            </a:ext>
          </a:extLst>
        </xdr:cNvPr>
        <xdr:cNvPicPr>
          <a:picLocks noChangeAspect="1"/>
        </xdr:cNvPicPr>
      </xdr:nvPicPr>
      <xdr:blipFill>
        <a:blip xmlns:r="http://schemas.openxmlformats.org/officeDocument/2006/relationships" r:embed="rId3"/>
        <a:stretch>
          <a:fillRect/>
        </a:stretch>
      </xdr:blipFill>
      <xdr:spPr>
        <a:xfrm>
          <a:off x="9267825" y="101610795"/>
          <a:ext cx="1687977" cy="1293608"/>
        </a:xfrm>
        <a:prstGeom prst="rect">
          <a:avLst/>
        </a:prstGeom>
      </xdr:spPr>
    </xdr:pic>
    <xdr:clientData/>
  </xdr:twoCellAnchor>
  <xdr:twoCellAnchor editAs="oneCell">
    <xdr:from>
      <xdr:col>21</xdr:col>
      <xdr:colOff>15240</xdr:colOff>
      <xdr:row>704</xdr:row>
      <xdr:rowOff>123825</xdr:rowOff>
    </xdr:from>
    <xdr:to>
      <xdr:col>25</xdr:col>
      <xdr:colOff>324990</xdr:colOff>
      <xdr:row>712</xdr:row>
      <xdr:rowOff>93458</xdr:rowOff>
    </xdr:to>
    <xdr:pic>
      <xdr:nvPicPr>
        <xdr:cNvPr id="12" name="Picture 11">
          <a:extLst>
            <a:ext uri="{FF2B5EF4-FFF2-40B4-BE49-F238E27FC236}">
              <a16:creationId xmlns:a16="http://schemas.microsoft.com/office/drawing/2014/main" id="{2E261177-3BC3-B565-440F-703B2EA92B07}"/>
            </a:ext>
          </a:extLst>
        </xdr:cNvPr>
        <xdr:cNvPicPr>
          <a:picLocks noChangeAspect="1"/>
        </xdr:cNvPicPr>
      </xdr:nvPicPr>
      <xdr:blipFill>
        <a:blip xmlns:r="http://schemas.openxmlformats.org/officeDocument/2006/relationships" r:embed="rId3"/>
        <a:stretch>
          <a:fillRect/>
        </a:stretch>
      </xdr:blipFill>
      <xdr:spPr>
        <a:xfrm>
          <a:off x="9264015" y="103108125"/>
          <a:ext cx="1687977" cy="1293608"/>
        </a:xfrm>
        <a:prstGeom prst="rect">
          <a:avLst/>
        </a:prstGeom>
      </xdr:spPr>
    </xdr:pic>
    <xdr:clientData/>
  </xdr:twoCellAnchor>
  <xdr:twoCellAnchor editAs="oneCell">
    <xdr:from>
      <xdr:col>21</xdr:col>
      <xdr:colOff>19050</xdr:colOff>
      <xdr:row>713</xdr:row>
      <xdr:rowOff>76199</xdr:rowOff>
    </xdr:from>
    <xdr:to>
      <xdr:col>25</xdr:col>
      <xdr:colOff>194308</xdr:colOff>
      <xdr:row>720</xdr:row>
      <xdr:rowOff>135420</xdr:rowOff>
    </xdr:to>
    <xdr:pic>
      <xdr:nvPicPr>
        <xdr:cNvPr id="13" name="Picture 12">
          <a:extLst>
            <a:ext uri="{FF2B5EF4-FFF2-40B4-BE49-F238E27FC236}">
              <a16:creationId xmlns:a16="http://schemas.microsoft.com/office/drawing/2014/main" id="{3F730651-5F14-06F7-0666-274A90484182}"/>
            </a:ext>
          </a:extLst>
        </xdr:cNvPr>
        <xdr:cNvPicPr>
          <a:picLocks noChangeAspect="1"/>
        </xdr:cNvPicPr>
      </xdr:nvPicPr>
      <xdr:blipFill>
        <a:blip xmlns:r="http://schemas.openxmlformats.org/officeDocument/2006/relationships" r:embed="rId5"/>
        <a:stretch>
          <a:fillRect/>
        </a:stretch>
      </xdr:blipFill>
      <xdr:spPr>
        <a:xfrm>
          <a:off x="10544175" y="103260524"/>
          <a:ext cx="1583054" cy="1212295"/>
        </a:xfrm>
        <a:prstGeom prst="rect">
          <a:avLst/>
        </a:prstGeom>
      </xdr:spPr>
    </xdr:pic>
    <xdr:clientData/>
  </xdr:twoCellAnchor>
  <xdr:twoCellAnchor editAs="oneCell">
    <xdr:from>
      <xdr:col>21</xdr:col>
      <xdr:colOff>0</xdr:colOff>
      <xdr:row>722</xdr:row>
      <xdr:rowOff>0</xdr:rowOff>
    </xdr:from>
    <xdr:to>
      <xdr:col>25</xdr:col>
      <xdr:colOff>192541</xdr:colOff>
      <xdr:row>729</xdr:row>
      <xdr:rowOff>135255</xdr:rowOff>
    </xdr:to>
    <xdr:pic>
      <xdr:nvPicPr>
        <xdr:cNvPr id="14" name="Picture 13">
          <a:extLst>
            <a:ext uri="{FF2B5EF4-FFF2-40B4-BE49-F238E27FC236}">
              <a16:creationId xmlns:a16="http://schemas.microsoft.com/office/drawing/2014/main" id="{93C69C76-4CBA-F902-B76C-95BC9A3ED052}"/>
            </a:ext>
          </a:extLst>
        </xdr:cNvPr>
        <xdr:cNvPicPr>
          <a:picLocks noChangeAspect="1"/>
        </xdr:cNvPicPr>
      </xdr:nvPicPr>
      <xdr:blipFill>
        <a:blip xmlns:r="http://schemas.openxmlformats.org/officeDocument/2006/relationships" r:embed="rId6"/>
        <a:stretch>
          <a:fillRect/>
        </a:stretch>
      </xdr:blipFill>
      <xdr:spPr>
        <a:xfrm>
          <a:off x="9248775" y="105956100"/>
          <a:ext cx="1585097" cy="12955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5BBD-C35C-41A4-B733-2060F6A1E754}">
  <dimension ref="A1:G1121"/>
  <sheetViews>
    <sheetView topLeftCell="A31" workbookViewId="0">
      <selection activeCell="G18" sqref="G18"/>
    </sheetView>
  </sheetViews>
  <sheetFormatPr defaultColWidth="9.33203125" defaultRowHeight="13.8"/>
  <cols>
    <col min="1" max="1" width="9.33203125" style="883" customWidth="1"/>
    <col min="2" max="2" width="60.6640625" style="627" customWidth="1"/>
    <col min="3" max="4" width="9.44140625" style="623" customWidth="1"/>
    <col min="5" max="5" width="10.6640625" style="625" customWidth="1"/>
    <col min="6" max="6" width="13.5546875" style="626" customWidth="1"/>
    <col min="7" max="16384" width="9.33203125" style="627"/>
  </cols>
  <sheetData>
    <row r="1" spans="1:6">
      <c r="A1" s="673"/>
      <c r="B1" s="860"/>
    </row>
    <row r="2" spans="1:6" s="631" customFormat="1" ht="15" customHeight="1">
      <c r="A2" s="703"/>
      <c r="B2" s="861" t="s">
        <v>2057</v>
      </c>
      <c r="C2" s="628"/>
      <c r="D2" s="628"/>
      <c r="E2" s="1238"/>
      <c r="F2" s="1238"/>
    </row>
    <row r="3" spans="1:6" s="631" customFormat="1">
      <c r="A3" s="628"/>
      <c r="B3" s="632"/>
      <c r="C3" s="628"/>
      <c r="D3" s="628"/>
      <c r="E3" s="633"/>
      <c r="F3" s="630"/>
    </row>
    <row r="4" spans="1:6" s="631" customFormat="1" ht="27.6">
      <c r="A4" s="634" t="s">
        <v>143</v>
      </c>
      <c r="B4" s="635" t="s">
        <v>198</v>
      </c>
      <c r="C4" s="636" t="s">
        <v>199</v>
      </c>
      <c r="D4" s="636" t="s">
        <v>200</v>
      </c>
      <c r="E4" s="637" t="s">
        <v>294</v>
      </c>
      <c r="F4" s="1122" t="s">
        <v>295</v>
      </c>
    </row>
    <row r="5" spans="1:6" s="631" customFormat="1">
      <c r="A5" s="638">
        <v>1</v>
      </c>
      <c r="B5" s="639" t="s">
        <v>296</v>
      </c>
      <c r="C5" s="640"/>
      <c r="D5" s="640"/>
      <c r="E5" s="641"/>
      <c r="F5" s="1123"/>
    </row>
    <row r="6" spans="1:6" s="631" customFormat="1" ht="27.6">
      <c r="A6" s="643"/>
      <c r="B6" s="644" t="s">
        <v>297</v>
      </c>
      <c r="C6" s="645"/>
      <c r="D6" s="646"/>
      <c r="E6" s="647"/>
      <c r="F6" s="1124"/>
    </row>
    <row r="7" spans="1:6" s="631" customFormat="1" ht="69">
      <c r="A7" s="643">
        <f ca="1">IFERROR(IF(OFFSET(A7,-1,0)&gt;0,OFFSET(A7,-1,0)+0.001,ERROR.TYPE(0)),IFERROR(IF(OFFSET(A7,-2,0)&gt;0,OFFSET(A7,-2,0)+0.001,ERROR.TYPE(0)),IFERROR(IF(OFFSET(A7,-3,0)&gt;0,OFFSET(A7,-3,0)+0.001,ERROR.TYPE(0)),IFERROR(IF(OFFSET(A7,-4,0)&gt;0,OFFSET(A7,-4,0)+0.001,ERROR.TYPE(0)),IFERROR(IF(OFFSET(A7,-5,0)&gt;0,OFFSET(A7,-5,0)+0.001,ERROR.TYPE(0)),IFERROR(IF(OFFSET(A7,-6,0)&gt;0,OFFSET(A7,-6,0)+0.001,ERROR.TYPE(0)),IFERROR(IF(OFFSET(A7,-7,0)&gt;0,OFFSET(A7,-7,0)+0.001,ERROR.TYPE(0)),IFERROR(IF(OFFSET(A7,-8,0)&gt;0,OFFSET(A7,-8,0)+0.001,ERROR.TYPE(0)),IFERROR(IF(OFFSET(A7,-9,0)&gt;0,OFFSET(A7,-9,0)+0.001,ERROR.TYPE(0)),IFERROR(IF(OFFSET(A7,-10,0)&gt;0,OFFSET(A7,-10,0)+0.001,ERROR.TYPE(0)),ERROR.TYPE(0)))))))))))</f>
        <v>1.0009999999999999</v>
      </c>
      <c r="B7" s="648" t="s">
        <v>298</v>
      </c>
      <c r="C7" s="646">
        <v>1</v>
      </c>
      <c r="D7" s="646" t="s">
        <v>299</v>
      </c>
      <c r="E7" s="649" t="str">
        <f>Elec_Est!Q8014</f>
        <v>Included with MEP preliminaries</v>
      </c>
      <c r="F7" s="1125"/>
    </row>
    <row r="8" spans="1:6" s="631" customFormat="1" ht="262.2">
      <c r="A8" s="643">
        <f t="shared" ref="A8:A11" ca="1" si="0">IFERROR(IF(OFFSET(A8,-1,0)&gt;0,OFFSET(A8,-1,0)+0.001,ERROR.TYPE(0)),IFERROR(IF(OFFSET(A8,-2,0)&gt;0,OFFSET(A8,-2,0)+0.001,ERROR.TYPE(0)),IFERROR(IF(OFFSET(A8,-3,0)&gt;0,OFFSET(A8,-3,0)+0.001,ERROR.TYPE(0)),IFERROR(IF(OFFSET(A8,-4,0)&gt;0,OFFSET(A8,-4,0)+0.001,ERROR.TYPE(0)),IFERROR(IF(OFFSET(A8,-5,0)&gt;0,OFFSET(A8,-5,0)+0.001,ERROR.TYPE(0)),IFERROR(IF(OFFSET(A8,-6,0)&gt;0,OFFSET(A8,-6,0)+0.001,ERROR.TYPE(0)),IFERROR(IF(OFFSET(A8,-7,0)&gt;0,OFFSET(A8,-7,0)+0.001,ERROR.TYPE(0)),IFERROR(IF(OFFSET(A8,-8,0)&gt;0,OFFSET(A8,-8,0)+0.001,ERROR.TYPE(0)),IFERROR(IF(OFFSET(A8,-9,0)&gt;0,OFFSET(A8,-9,0)+0.001,ERROR.TYPE(0)),IFERROR(IF(OFFSET(A8,-10,0)&gt;0,OFFSET(A8,-10,0)+0.001,ERROR.TYPE(0)),ERROR.TYPE(0)))))))))))</f>
        <v>1.0019999999999998</v>
      </c>
      <c r="B8" s="651" t="s">
        <v>300</v>
      </c>
      <c r="C8" s="646">
        <v>1</v>
      </c>
      <c r="D8" s="646" t="s">
        <v>299</v>
      </c>
      <c r="E8" s="649" t="str">
        <f>Elec_Est!Q8024</f>
        <v>Included with MEP preliminaries</v>
      </c>
      <c r="F8" s="1125"/>
    </row>
    <row r="9" spans="1:6" s="631" customFormat="1" ht="82.8">
      <c r="A9" s="643">
        <f t="shared" ca="1" si="0"/>
        <v>1.0029999999999997</v>
      </c>
      <c r="B9" s="648" t="s">
        <v>301</v>
      </c>
      <c r="C9" s="646">
        <v>1</v>
      </c>
      <c r="D9" s="646" t="s">
        <v>299</v>
      </c>
      <c r="E9" s="649" t="str">
        <f>Elec_Est!Q8034</f>
        <v>Included with MEP preliminaries</v>
      </c>
      <c r="F9" s="1125"/>
    </row>
    <row r="10" spans="1:6" s="631" customFormat="1" ht="82.8">
      <c r="A10" s="643">
        <f t="shared" ca="1" si="0"/>
        <v>1.0039999999999996</v>
      </c>
      <c r="B10" s="648" t="s">
        <v>302</v>
      </c>
      <c r="C10" s="646">
        <v>1</v>
      </c>
      <c r="D10" s="646" t="s">
        <v>299</v>
      </c>
      <c r="E10" s="649" t="str">
        <f>Elec_Est!Q8044</f>
        <v>Included with MEP preliminaries</v>
      </c>
      <c r="F10" s="1125"/>
    </row>
    <row r="11" spans="1:6" s="631" customFormat="1" ht="55.2">
      <c r="A11" s="643">
        <f t="shared" ca="1" si="0"/>
        <v>1.0049999999999994</v>
      </c>
      <c r="B11" s="648" t="s">
        <v>303</v>
      </c>
      <c r="C11" s="646">
        <v>1</v>
      </c>
      <c r="D11" s="646" t="s">
        <v>299</v>
      </c>
      <c r="E11" s="649" t="str">
        <f>Elec_Est!Q8054</f>
        <v>Included with MEP preliminaries</v>
      </c>
      <c r="F11" s="1125"/>
    </row>
    <row r="12" spans="1:6" s="631" customFormat="1">
      <c r="A12" s="638"/>
      <c r="B12" s="639" t="s">
        <v>304</v>
      </c>
      <c r="C12" s="1456" t="s">
        <v>305</v>
      </c>
      <c r="D12" s="1457"/>
      <c r="E12" s="652"/>
      <c r="F12" s="1123">
        <f>SUM(F7:F11)</f>
        <v>0</v>
      </c>
    </row>
    <row r="13" spans="1:6" s="631" customFormat="1">
      <c r="A13" s="653"/>
      <c r="B13" s="632"/>
      <c r="C13" s="654"/>
      <c r="D13" s="654"/>
      <c r="E13" s="655"/>
      <c r="F13" s="1126"/>
    </row>
    <row r="14" spans="1:6" s="631" customFormat="1">
      <c r="A14" s="653"/>
      <c r="B14" s="632"/>
      <c r="C14" s="654"/>
      <c r="D14" s="654"/>
      <c r="E14" s="655"/>
      <c r="F14" s="1126"/>
    </row>
    <row r="15" spans="1:6" s="631" customFormat="1" ht="27.6">
      <c r="A15" s="634" t="s">
        <v>143</v>
      </c>
      <c r="B15" s="635" t="s">
        <v>198</v>
      </c>
      <c r="C15" s="636" t="s">
        <v>199</v>
      </c>
      <c r="D15" s="636" t="s">
        <v>200</v>
      </c>
      <c r="E15" s="637" t="s">
        <v>294</v>
      </c>
      <c r="F15" s="1122" t="s">
        <v>295</v>
      </c>
    </row>
    <row r="16" spans="1:6" s="631" customFormat="1" ht="82.8">
      <c r="A16" s="643">
        <f t="shared" ref="A16:A23" ca="1" si="1">IFERROR(IF(OFFSET(A16,-1,0)&gt;0,OFFSET(A16,-1,0)+0.001,ERROR.TYPE(0)),IFERROR(IF(OFFSET(A16,-2,0)&gt;0,OFFSET(A16,-2,0)+0.001,ERROR.TYPE(0)),IFERROR(IF(OFFSET(A16,-3,0)&gt;0,OFFSET(A16,-3,0)+0.001,ERROR.TYPE(0)),IFERROR(IF(OFFSET(A16,-4,0)&gt;0,OFFSET(A16,-4,0)+0.001,ERROR.TYPE(0)),IFERROR(IF(OFFSET(A16,-5,0)&gt;0,OFFSET(A16,-5,0)+0.001,ERROR.TYPE(0)),IFERROR(IF(OFFSET(A16,-6,0)&gt;0,OFFSET(A16,-6,0)+0.001,ERROR.TYPE(0)),IFERROR(IF(OFFSET(A16,-7,0)&gt;0,OFFSET(A16,-7,0)+0.001,ERROR.TYPE(0)),IFERROR(IF(OFFSET(A16,-8,0)&gt;0,OFFSET(A16,-8,0)+0.001,ERROR.TYPE(0)),IFERROR(IF(OFFSET(A16,-9,0)&gt;0,OFFSET(A16,-9,0)+0.001,ERROR.TYPE(0)),IFERROR(IF(OFFSET(A16,-10,0)&gt;0,OFFSET(A16,-10,0)+0.001,ERROR.TYPE(0)),ERROR.TYPE(0)))))))))))</f>
        <v>1.0059999999999993</v>
      </c>
      <c r="B16" s="648" t="s">
        <v>306</v>
      </c>
      <c r="C16" s="646">
        <v>1</v>
      </c>
      <c r="D16" s="646" t="s">
        <v>299</v>
      </c>
      <c r="E16" s="649" t="str">
        <f>Elec_Est!Q8064</f>
        <v>Included with MEP preliminaries</v>
      </c>
      <c r="F16" s="1125"/>
    </row>
    <row r="17" spans="1:6" s="631" customFormat="1" ht="69">
      <c r="A17" s="643">
        <f t="shared" ca="1" si="1"/>
        <v>1.0069999999999992</v>
      </c>
      <c r="B17" s="648" t="s">
        <v>307</v>
      </c>
      <c r="C17" s="646">
        <v>1</v>
      </c>
      <c r="D17" s="646" t="s">
        <v>299</v>
      </c>
      <c r="E17" s="649" t="str">
        <f>Elec_Est!Q8074</f>
        <v>Included with MEP preliminaries</v>
      </c>
      <c r="F17" s="1125"/>
    </row>
    <row r="18" spans="1:6" s="631" customFormat="1" ht="55.2">
      <c r="A18" s="643">
        <f t="shared" ca="1" si="1"/>
        <v>1.0079999999999991</v>
      </c>
      <c r="B18" s="648" t="s">
        <v>308</v>
      </c>
      <c r="C18" s="646">
        <v>1</v>
      </c>
      <c r="D18" s="646" t="s">
        <v>299</v>
      </c>
      <c r="E18" s="649" t="str">
        <f>Elec_Est!Q8084</f>
        <v>Included with MEP preliminaries</v>
      </c>
      <c r="F18" s="1125"/>
    </row>
    <row r="19" spans="1:6" s="631" customFormat="1" ht="138">
      <c r="A19" s="643">
        <f t="shared" ca="1" si="1"/>
        <v>1.008999999999999</v>
      </c>
      <c r="B19" s="648" t="s">
        <v>309</v>
      </c>
      <c r="C19" s="646">
        <v>1</v>
      </c>
      <c r="D19" s="646" t="s">
        <v>299</v>
      </c>
      <c r="E19" s="649" t="str">
        <f>Elec_Est!Q8094</f>
        <v>Included with MEP preliminaries</v>
      </c>
      <c r="F19" s="1125"/>
    </row>
    <row r="20" spans="1:6" s="631" customFormat="1" ht="55.2">
      <c r="A20" s="643">
        <f t="shared" ca="1" si="1"/>
        <v>1.0099999999999989</v>
      </c>
      <c r="B20" s="656" t="s">
        <v>310</v>
      </c>
      <c r="C20" s="646">
        <v>1</v>
      </c>
      <c r="D20" s="646" t="s">
        <v>299</v>
      </c>
      <c r="E20" s="649" t="str">
        <f>Elec_Est!Q8104</f>
        <v>Included with MEP preliminaries</v>
      </c>
      <c r="F20" s="1125"/>
    </row>
    <row r="21" spans="1:6" s="658" customFormat="1" ht="55.2">
      <c r="A21" s="643">
        <f t="shared" ca="1" si="1"/>
        <v>1.0109999999999988</v>
      </c>
      <c r="B21" s="657" t="s">
        <v>311</v>
      </c>
      <c r="C21" s="646">
        <v>1</v>
      </c>
      <c r="D21" s="646" t="s">
        <v>299</v>
      </c>
      <c r="E21" s="649" t="str">
        <f>Elec_Est!Q8114</f>
        <v>Included with MEP preliminaries</v>
      </c>
      <c r="F21" s="1125"/>
    </row>
    <row r="22" spans="1:6" s="631" customFormat="1" ht="55.2">
      <c r="A22" s="643">
        <f t="shared" ca="1" si="1"/>
        <v>1.0119999999999987</v>
      </c>
      <c r="B22" s="656" t="s">
        <v>312</v>
      </c>
      <c r="C22" s="646">
        <v>1</v>
      </c>
      <c r="D22" s="646" t="s">
        <v>299</v>
      </c>
      <c r="E22" s="649" t="str">
        <f>Elec_Est!Q8124</f>
        <v>Included with MEP preliminaries</v>
      </c>
      <c r="F22" s="1125"/>
    </row>
    <row r="23" spans="1:6" s="631" customFormat="1" ht="55.2">
      <c r="A23" s="643">
        <f t="shared" ca="1" si="1"/>
        <v>1.0129999999999986</v>
      </c>
      <c r="B23" s="656" t="s">
        <v>313</v>
      </c>
      <c r="C23" s="646">
        <v>1</v>
      </c>
      <c r="D23" s="646" t="s">
        <v>299</v>
      </c>
      <c r="E23" s="649" t="str">
        <f>Elec_Est!Q8134</f>
        <v>Included with MEP preliminaries</v>
      </c>
      <c r="F23" s="1125"/>
    </row>
    <row r="24" spans="1:6" s="631" customFormat="1" ht="14.7" customHeight="1">
      <c r="A24" s="638"/>
      <c r="B24" s="639" t="s">
        <v>314</v>
      </c>
      <c r="C24" s="1456" t="s">
        <v>305</v>
      </c>
      <c r="D24" s="1457"/>
      <c r="E24" s="652"/>
      <c r="F24" s="1123">
        <f>SUM(F16:F23)</f>
        <v>0</v>
      </c>
    </row>
    <row r="25" spans="1:6" s="631" customFormat="1">
      <c r="A25" s="653"/>
      <c r="B25" s="632"/>
      <c r="C25" s="654"/>
      <c r="D25" s="654"/>
      <c r="E25" s="655"/>
      <c r="F25" s="1126"/>
    </row>
    <row r="26" spans="1:6" s="631" customFormat="1" ht="14.7" customHeight="1">
      <c r="A26" s="638"/>
      <c r="B26" s="639" t="s">
        <v>315</v>
      </c>
      <c r="C26" s="1456" t="s">
        <v>305</v>
      </c>
      <c r="D26" s="1457"/>
      <c r="E26" s="659"/>
      <c r="F26" s="1123">
        <f>F24+F12</f>
        <v>0</v>
      </c>
    </row>
    <row r="27" spans="1:6" s="631" customFormat="1" ht="14.7" customHeight="1">
      <c r="A27" s="660"/>
      <c r="B27" s="629"/>
      <c r="C27" s="661"/>
      <c r="D27" s="654"/>
      <c r="E27" s="662"/>
      <c r="F27" s="1127"/>
    </row>
    <row r="28" spans="1:6" s="631" customFormat="1">
      <c r="A28" s="862"/>
      <c r="C28" s="628"/>
      <c r="D28" s="628"/>
      <c r="E28" s="633"/>
      <c r="F28" s="630"/>
    </row>
    <row r="29" spans="1:6" s="631" customFormat="1" ht="27.6">
      <c r="A29" s="634" t="s">
        <v>143</v>
      </c>
      <c r="B29" s="635" t="s">
        <v>198</v>
      </c>
      <c r="C29" s="636" t="s">
        <v>199</v>
      </c>
      <c r="D29" s="636" t="s">
        <v>200</v>
      </c>
      <c r="E29" s="637" t="s">
        <v>294</v>
      </c>
      <c r="F29" s="1122" t="s">
        <v>295</v>
      </c>
    </row>
    <row r="30" spans="1:6" s="631" customFormat="1">
      <c r="A30" s="638">
        <v>2</v>
      </c>
      <c r="B30" s="863" t="s">
        <v>2058</v>
      </c>
      <c r="C30" s="646"/>
      <c r="D30" s="646"/>
      <c r="E30" s="649"/>
      <c r="F30" s="1125"/>
    </row>
    <row r="31" spans="1:6" s="631" customFormat="1" ht="55.2">
      <c r="A31" s="638"/>
      <c r="B31" s="864" t="s">
        <v>2059</v>
      </c>
      <c r="C31" s="646"/>
      <c r="D31" s="646"/>
      <c r="E31" s="649"/>
      <c r="F31" s="1125"/>
    </row>
    <row r="32" spans="1:6" s="631" customFormat="1">
      <c r="A32" s="643"/>
      <c r="B32" s="714" t="s">
        <v>2060</v>
      </c>
      <c r="C32" s="646"/>
      <c r="D32" s="646"/>
      <c r="E32" s="649"/>
      <c r="F32" s="1125"/>
    </row>
    <row r="33" spans="1:6" s="631" customFormat="1" ht="27.6">
      <c r="A33" s="643"/>
      <c r="B33" s="864" t="s">
        <v>4144</v>
      </c>
      <c r="C33" s="646"/>
      <c r="D33" s="646"/>
      <c r="E33" s="649"/>
      <c r="F33" s="1125"/>
    </row>
    <row r="34" spans="1:6" s="631" customFormat="1">
      <c r="A34" s="643">
        <f ca="1">IFERROR(IF(OFFSET(A34,-1,0)&gt;0,OFFSET(A34,-1,0)+0.001,ERROR.TYPE(0)),IFERROR(IF(OFFSET(A34,-2,0)&gt;0,OFFSET(A34,-2,0)+0.001,ERROR.TYPE(0)),IFERROR(IF(OFFSET(A34,-3,0)&gt;0,OFFSET(A34,-3,0)+0.001,ERROR.TYPE(0)),IFERROR(IF(OFFSET(A34,-4,0)&gt;0,OFFSET(A34,-4,0)+0.001,ERROR.TYPE(0)),IFERROR(IF(OFFSET(A34,-5,0)&gt;0,OFFSET(A34,-5,0)+0.001,ERROR.TYPE(0)),IFERROR(IF(OFFSET(A34,-6,0)&gt;0,OFFSET(A34,-6,0)+0.001,ERROR.TYPE(0)),IFERROR(IF(OFFSET(A34,-7,0)&gt;0,OFFSET(A34,-7,0)+0.001,ERROR.TYPE(0)),IFERROR(IF(OFFSET(A34,-8,0)&gt;0,OFFSET(A34,-8,0)+0.001,ERROR.TYPE(0)),IFERROR(IF(OFFSET(A34,-9,0)&gt;0,OFFSET(A34,-9,0)+0.001,ERROR.TYPE(0)),IFERROR(IF(OFFSET(A34,-10,0)&gt;0,OFFSET(A34,-10,0)+0.001,ERROR.TYPE(0)),ERROR.TYPE(0)))))))))))</f>
        <v>2.0009999999999999</v>
      </c>
      <c r="B34" s="865" t="s">
        <v>2061</v>
      </c>
      <c r="C34" s="646">
        <v>14</v>
      </c>
      <c r="D34" s="646" t="s">
        <v>141</v>
      </c>
      <c r="E34" s="649">
        <f ca="1">Elec_Est!E8172</f>
        <v>98.17</v>
      </c>
      <c r="F34" s="1125">
        <f t="shared" ref="F34:F42" ca="1" si="2">IFERROR($C34*E34,E34)</f>
        <v>1374.38</v>
      </c>
    </row>
    <row r="35" spans="1:6" s="631" customFormat="1">
      <c r="A35" s="643">
        <f ca="1">IFERROR(IF(OFFSET(A35,-1,0)&gt;0,OFFSET(A35,-1,0)+0.001,ERROR.TYPE(0)),IFERROR(IF(OFFSET(A35,-2,0)&gt;0,OFFSET(A35,-2,0)+0.001,ERROR.TYPE(0)),IFERROR(IF(OFFSET(A35,-3,0)&gt;0,OFFSET(A35,-3,0)+0.001,ERROR.TYPE(0)),IFERROR(IF(OFFSET(A35,-4,0)&gt;0,OFFSET(A35,-4,0)+0.001,ERROR.TYPE(0)),IFERROR(IF(OFFSET(A35,-5,0)&gt;0,OFFSET(A35,-5,0)+0.001,ERROR.TYPE(0)),IFERROR(IF(OFFSET(A35,-6,0)&gt;0,OFFSET(A35,-6,0)+0.001,ERROR.TYPE(0)),IFERROR(IF(OFFSET(A35,-7,0)&gt;0,OFFSET(A35,-7,0)+0.001,ERROR.TYPE(0)),IFERROR(IF(OFFSET(A35,-8,0)&gt;0,OFFSET(A35,-8,0)+0.001,ERROR.TYPE(0)),IFERROR(IF(OFFSET(A35,-9,0)&gt;0,OFFSET(A35,-9,0)+0.001,ERROR.TYPE(0)),IFERROR(IF(OFFSET(A35,-10,0)&gt;0,OFFSET(A35,-10,0)+0.001,ERROR.TYPE(0)),ERROR.TYPE(0)))))))))))</f>
        <v>2.0019999999999998</v>
      </c>
      <c r="B35" s="865" t="s">
        <v>2062</v>
      </c>
      <c r="C35" s="646">
        <v>5</v>
      </c>
      <c r="D35" s="646" t="s">
        <v>141</v>
      </c>
      <c r="E35" s="649">
        <f ca="1">Elec_Est!E8179</f>
        <v>98.17</v>
      </c>
      <c r="F35" s="1125">
        <f t="shared" ca="1" si="2"/>
        <v>490.85</v>
      </c>
    </row>
    <row r="36" spans="1:6" s="631" customFormat="1">
      <c r="A36" s="643">
        <f ca="1">IFERROR(IF(OFFSET(A36,-1,0)&gt;0,OFFSET(A36,-1,0)+0.001,ERROR.TYPE(0)),IFERROR(IF(OFFSET(A36,-2,0)&gt;0,OFFSET(A36,-2,0)+0.001,ERROR.TYPE(0)),IFERROR(IF(OFFSET(A36,-3,0)&gt;0,OFFSET(A36,-3,0)+0.001,ERROR.TYPE(0)),IFERROR(IF(OFFSET(A36,-4,0)&gt;0,OFFSET(A36,-4,0)+0.001,ERROR.TYPE(0)),IFERROR(IF(OFFSET(A36,-5,0)&gt;0,OFFSET(A36,-5,0)+0.001,ERROR.TYPE(0)),IFERROR(IF(OFFSET(A36,-6,0)&gt;0,OFFSET(A36,-6,0)+0.001,ERROR.TYPE(0)),IFERROR(IF(OFFSET(A36,-7,0)&gt;0,OFFSET(A36,-7,0)+0.001,ERROR.TYPE(0)),IFERROR(IF(OFFSET(A36,-8,0)&gt;0,OFFSET(A36,-8,0)+0.001,ERROR.TYPE(0)),IFERROR(IF(OFFSET(A36,-9,0)&gt;0,OFFSET(A36,-9,0)+0.001,ERROR.TYPE(0)),IFERROR(IF(OFFSET(A36,-10,0)&gt;0,OFFSET(A36,-10,0)+0.001,ERROR.TYPE(0)),ERROR.TYPE(0)))))))))))</f>
        <v>2.0029999999999997</v>
      </c>
      <c r="B36" s="865" t="s">
        <v>2063</v>
      </c>
      <c r="C36" s="646">
        <v>77</v>
      </c>
      <c r="D36" s="646" t="s">
        <v>141</v>
      </c>
      <c r="E36" s="649">
        <f ca="1">Elec_Est!E8186</f>
        <v>98.17</v>
      </c>
      <c r="F36" s="1125">
        <f t="shared" ca="1" si="2"/>
        <v>7559.09</v>
      </c>
    </row>
    <row r="37" spans="1:6" s="631" customFormat="1" ht="15.6" customHeight="1">
      <c r="A37" s="643">
        <f ca="1">IFERROR(IF(OFFSET(A37,-1,0)&gt;0,OFFSET(A37,-1,0)+0.001,ERROR.TYPE(0)),IFERROR(IF(OFFSET(A37,-2,0)&gt;0,OFFSET(A37,-2,0)+0.001,ERROR.TYPE(0)),IFERROR(IF(OFFSET(A37,-3,0)&gt;0,OFFSET(A37,-3,0)+0.001,ERROR.TYPE(0)),IFERROR(IF(OFFSET(A37,-4,0)&gt;0,OFFSET(A37,-4,0)+0.001,ERROR.TYPE(0)),IFERROR(IF(OFFSET(A37,-5,0)&gt;0,OFFSET(A37,-5,0)+0.001,ERROR.TYPE(0)),IFERROR(IF(OFFSET(A37,-6,0)&gt;0,OFFSET(A37,-6,0)+0.001,ERROR.TYPE(0)),IFERROR(IF(OFFSET(A37,-7,0)&gt;0,OFFSET(A37,-7,0)+0.001,ERROR.TYPE(0)),IFERROR(IF(OFFSET(A37,-8,0)&gt;0,OFFSET(A37,-8,0)+0.001,ERROR.TYPE(0)),IFERROR(IF(OFFSET(A37,-9,0)&gt;0,OFFSET(A37,-9,0)+0.001,ERROR.TYPE(0)),IFERROR(IF(OFFSET(A37,-10,0)&gt;0,OFFSET(A37,-10,0)+0.001,ERROR.TYPE(0)),ERROR.TYPE(0)))))))))))</f>
        <v>2.0039999999999996</v>
      </c>
      <c r="B37" s="865" t="s">
        <v>2064</v>
      </c>
      <c r="C37" s="646">
        <v>8</v>
      </c>
      <c r="D37" s="646" t="s">
        <v>141</v>
      </c>
      <c r="E37" s="649">
        <f ca="1">Elec_Est!E8193</f>
        <v>98.17</v>
      </c>
      <c r="F37" s="1125">
        <f t="shared" ca="1" si="2"/>
        <v>785.36</v>
      </c>
    </row>
    <row r="38" spans="1:6" s="631" customFormat="1">
      <c r="A38" s="643">
        <f t="shared" ref="A38:A42" ca="1" si="3">IFERROR(IF(OFFSET(A38,-1,0)&gt;0,OFFSET(A38,-1,0)+0.001,ERROR.TYPE(0)),IFERROR(IF(OFFSET(A38,-2,0)&gt;0,OFFSET(A38,-2,0)+0.001,ERROR.TYPE(0)),IFERROR(IF(OFFSET(A38,-3,0)&gt;0,OFFSET(A38,-3,0)+0.001,ERROR.TYPE(0)),IFERROR(IF(OFFSET(A38,-4,0)&gt;0,OFFSET(A38,-4,0)+0.001,ERROR.TYPE(0)),IFERROR(IF(OFFSET(A38,-5,0)&gt;0,OFFSET(A38,-5,0)+0.001,ERROR.TYPE(0)),IFERROR(IF(OFFSET(A38,-6,0)&gt;0,OFFSET(A38,-6,0)+0.001,ERROR.TYPE(0)),IFERROR(IF(OFFSET(A38,-7,0)&gt;0,OFFSET(A38,-7,0)+0.001,ERROR.TYPE(0)),IFERROR(IF(OFFSET(A38,-8,0)&gt;0,OFFSET(A38,-8,0)+0.001,ERROR.TYPE(0)),IFERROR(IF(OFFSET(A38,-9,0)&gt;0,OFFSET(A38,-9,0)+0.001,ERROR.TYPE(0)),IFERROR(IF(OFFSET(A38,-10,0)&gt;0,OFFSET(A38,-10,0)+0.001,ERROR.TYPE(0)),ERROR.TYPE(0)))))))))))</f>
        <v>2.0049999999999994</v>
      </c>
      <c r="B38" s="865" t="s">
        <v>2065</v>
      </c>
      <c r="C38" s="646">
        <v>2</v>
      </c>
      <c r="D38" s="646" t="s">
        <v>141</v>
      </c>
      <c r="E38" s="649">
        <f ca="1">Elec_Est!E8200</f>
        <v>98.17</v>
      </c>
      <c r="F38" s="1125">
        <f t="shared" ca="1" si="2"/>
        <v>196.34</v>
      </c>
    </row>
    <row r="39" spans="1:6" s="631" customFormat="1">
      <c r="A39" s="643">
        <f ca="1">IFERROR(IF(OFFSET(A39,-1,0)&gt;0,OFFSET(A39,-1,0)+0.001,ERROR.TYPE(0)),IFERROR(IF(OFFSET(A39,-2,0)&gt;0,OFFSET(A39,-2,0)+0.001,ERROR.TYPE(0)),IFERROR(IF(OFFSET(A39,-3,0)&gt;0,OFFSET(A39,-3,0)+0.001,ERROR.TYPE(0)),IFERROR(IF(OFFSET(A39,-4,0)&gt;0,OFFSET(A39,-4,0)+0.001,ERROR.TYPE(0)),IFERROR(IF(OFFSET(A39,-5,0)&gt;0,OFFSET(A39,-5,0)+0.001,ERROR.TYPE(0)),IFERROR(IF(OFFSET(A39,-6,0)&gt;0,OFFSET(A39,-6,0)+0.001,ERROR.TYPE(0)),IFERROR(IF(OFFSET(A39,-7,0)&gt;0,OFFSET(A39,-7,0)+0.001,ERROR.TYPE(0)),IFERROR(IF(OFFSET(A39,-8,0)&gt;0,OFFSET(A39,-8,0)+0.001,ERROR.TYPE(0)),IFERROR(IF(OFFSET(A39,-9,0)&gt;0,OFFSET(A39,-9,0)+0.001,ERROR.TYPE(0)),IFERROR(IF(OFFSET(A39,-10,0)&gt;0,OFFSET(A39,-10,0)+0.001,ERROR.TYPE(0)),ERROR.TYPE(0)))))))))))</f>
        <v>2.0059999999999993</v>
      </c>
      <c r="B39" s="657" t="s">
        <v>2066</v>
      </c>
      <c r="C39" s="646">
        <v>1</v>
      </c>
      <c r="D39" s="646" t="s">
        <v>141</v>
      </c>
      <c r="E39" s="649">
        <f ca="1">Elec_Est!E8207</f>
        <v>98.17</v>
      </c>
      <c r="F39" s="1125">
        <f t="shared" ca="1" si="2"/>
        <v>98.17</v>
      </c>
    </row>
    <row r="40" spans="1:6" s="631" customFormat="1">
      <c r="A40" s="643">
        <f ca="1">IFERROR(IF(OFFSET(A40,-1,0)&gt;0,OFFSET(A40,-1,0)+0.001,ERROR.TYPE(0)),IFERROR(IF(OFFSET(A40,-2,0)&gt;0,OFFSET(A40,-2,0)+0.001,ERROR.TYPE(0)),IFERROR(IF(OFFSET(A40,-3,0)&gt;0,OFFSET(A40,-3,0)+0.001,ERROR.TYPE(0)),IFERROR(IF(OFFSET(A40,-4,0)&gt;0,OFFSET(A40,-4,0)+0.001,ERROR.TYPE(0)),IFERROR(IF(OFFSET(A40,-5,0)&gt;0,OFFSET(A40,-5,0)+0.001,ERROR.TYPE(0)),IFERROR(IF(OFFSET(A40,-6,0)&gt;0,OFFSET(A40,-6,0)+0.001,ERROR.TYPE(0)),IFERROR(IF(OFFSET(A40,-7,0)&gt;0,OFFSET(A40,-7,0)+0.001,ERROR.TYPE(0)),IFERROR(IF(OFFSET(A40,-8,0)&gt;0,OFFSET(A40,-8,0)+0.001,ERROR.TYPE(0)),IFERROR(IF(OFFSET(A40,-9,0)&gt;0,OFFSET(A40,-9,0)+0.001,ERROR.TYPE(0)),IFERROR(IF(OFFSET(A40,-10,0)&gt;0,OFFSET(A40,-10,0)+0.001,ERROR.TYPE(0)),ERROR.TYPE(0)))))))))))</f>
        <v>2.0069999999999992</v>
      </c>
      <c r="B40" s="657" t="s">
        <v>2067</v>
      </c>
      <c r="C40" s="646">
        <v>3</v>
      </c>
      <c r="D40" s="646" t="s">
        <v>141</v>
      </c>
      <c r="E40" s="649">
        <f ca="1">Elec_Est!E8214</f>
        <v>98.17</v>
      </c>
      <c r="F40" s="1125">
        <f t="shared" ca="1" si="2"/>
        <v>294.51</v>
      </c>
    </row>
    <row r="41" spans="1:6" s="631" customFormat="1">
      <c r="A41" s="643">
        <f t="shared" ca="1" si="3"/>
        <v>2.0079999999999991</v>
      </c>
      <c r="B41" s="865" t="s">
        <v>2068</v>
      </c>
      <c r="C41" s="646">
        <v>1</v>
      </c>
      <c r="D41" s="646" t="s">
        <v>141</v>
      </c>
      <c r="E41" s="649">
        <f ca="1">Elec_Est!E8221</f>
        <v>98.17</v>
      </c>
      <c r="F41" s="1125">
        <f t="shared" ca="1" si="2"/>
        <v>98.17</v>
      </c>
    </row>
    <row r="42" spans="1:6" s="631" customFormat="1">
      <c r="A42" s="643">
        <f t="shared" ca="1" si="3"/>
        <v>2.008999999999999</v>
      </c>
      <c r="B42" s="865" t="s">
        <v>2069</v>
      </c>
      <c r="C42" s="646">
        <v>1</v>
      </c>
      <c r="D42" s="646" t="s">
        <v>141</v>
      </c>
      <c r="E42" s="649">
        <f ca="1">Elec_Est!E8228</f>
        <v>98.17</v>
      </c>
      <c r="F42" s="1125">
        <f t="shared" ca="1" si="2"/>
        <v>98.17</v>
      </c>
    </row>
    <row r="43" spans="1:6" s="631" customFormat="1" ht="41.4">
      <c r="A43" s="638"/>
      <c r="B43" s="866" t="s">
        <v>4145</v>
      </c>
      <c r="C43" s="646"/>
      <c r="D43" s="646"/>
      <c r="E43" s="649"/>
      <c r="F43" s="1125"/>
    </row>
    <row r="44" spans="1:6" s="631" customFormat="1">
      <c r="A44" s="643">
        <f ca="1">IFERROR(IF(OFFSET(A44,-1,0)&gt;0,OFFSET(A44,-1,0)+0.001,ERROR.TYPE(0)),IFERROR(IF(OFFSET(A44,-2,0)&gt;0,OFFSET(A44,-2,0)+0.001,ERROR.TYPE(0)),IFERROR(IF(OFFSET(A44,-3,0)&gt;0,OFFSET(A44,-3,0)+0.001,ERROR.TYPE(0)),IFERROR(IF(OFFSET(A44,-4,0)&gt;0,OFFSET(A44,-4,0)+0.001,ERROR.TYPE(0)),IFERROR(IF(OFFSET(A44,-5,0)&gt;0,OFFSET(A44,-5,0)+0.001,ERROR.TYPE(0)),IFERROR(IF(OFFSET(A44,-6,0)&gt;0,OFFSET(A44,-6,0)+0.001,ERROR.TYPE(0)),IFERROR(IF(OFFSET(A44,-7,0)&gt;0,OFFSET(A44,-7,0)+0.001,ERROR.TYPE(0)),IFERROR(IF(OFFSET(A44,-8,0)&gt;0,OFFSET(A44,-8,0)+0.001,ERROR.TYPE(0)),IFERROR(IF(OFFSET(A44,-9,0)&gt;0,OFFSET(A44,-9,0)+0.001,ERROR.TYPE(0)),IFERROR(IF(OFFSET(A44,-10,0)&gt;0,OFFSET(A44,-10,0)+0.001,ERROR.TYPE(0)),ERROR.TYPE(0)))))))))))</f>
        <v>2.0099999999999989</v>
      </c>
      <c r="B44" s="865" t="s">
        <v>2061</v>
      </c>
      <c r="C44" s="646">
        <v>14</v>
      </c>
      <c r="D44" s="646" t="s">
        <v>141</v>
      </c>
      <c r="E44" s="649">
        <f>Elec_Est!E8239</f>
        <v>36.950000000000003</v>
      </c>
      <c r="F44" s="1125">
        <f t="shared" ref="F44:F52" si="4">IFERROR($C44*E44,E44)</f>
        <v>517.30000000000007</v>
      </c>
    </row>
    <row r="45" spans="1:6" s="631" customFormat="1">
      <c r="A45" s="643">
        <f ca="1">IFERROR(IF(OFFSET(A45,-1,0)&gt;0,OFFSET(A45,-1,0)+0.001,ERROR.TYPE(0)),IFERROR(IF(OFFSET(A45,-2,0)&gt;0,OFFSET(A45,-2,0)+0.001,ERROR.TYPE(0)),IFERROR(IF(OFFSET(A45,-3,0)&gt;0,OFFSET(A45,-3,0)+0.001,ERROR.TYPE(0)),IFERROR(IF(OFFSET(A45,-4,0)&gt;0,OFFSET(A45,-4,0)+0.001,ERROR.TYPE(0)),IFERROR(IF(OFFSET(A45,-5,0)&gt;0,OFFSET(A45,-5,0)+0.001,ERROR.TYPE(0)),IFERROR(IF(OFFSET(A45,-6,0)&gt;0,OFFSET(A45,-6,0)+0.001,ERROR.TYPE(0)),IFERROR(IF(OFFSET(A45,-7,0)&gt;0,OFFSET(A45,-7,0)+0.001,ERROR.TYPE(0)),IFERROR(IF(OFFSET(A45,-8,0)&gt;0,OFFSET(A45,-8,0)+0.001,ERROR.TYPE(0)),IFERROR(IF(OFFSET(A45,-9,0)&gt;0,OFFSET(A45,-9,0)+0.001,ERROR.TYPE(0)),IFERROR(IF(OFFSET(A45,-10,0)&gt;0,OFFSET(A45,-10,0)+0.001,ERROR.TYPE(0)),ERROR.TYPE(0)))))))))))</f>
        <v>2.0109999999999988</v>
      </c>
      <c r="B45" s="865" t="s">
        <v>2062</v>
      </c>
      <c r="C45" s="646">
        <v>5</v>
      </c>
      <c r="D45" s="646" t="s">
        <v>141</v>
      </c>
      <c r="E45" s="649">
        <f>Elec_Est!E8245</f>
        <v>36.950000000000003</v>
      </c>
      <c r="F45" s="1125">
        <f t="shared" si="4"/>
        <v>184.75</v>
      </c>
    </row>
    <row r="46" spans="1:6" s="631" customFormat="1">
      <c r="A46" s="643">
        <f ca="1">IFERROR(IF(OFFSET(A46,-1,0)&gt;0,OFFSET(A46,-1,0)+0.001,ERROR.TYPE(0)),IFERROR(IF(OFFSET(A46,-2,0)&gt;0,OFFSET(A46,-2,0)+0.001,ERROR.TYPE(0)),IFERROR(IF(OFFSET(A46,-3,0)&gt;0,OFFSET(A46,-3,0)+0.001,ERROR.TYPE(0)),IFERROR(IF(OFFSET(A46,-4,0)&gt;0,OFFSET(A46,-4,0)+0.001,ERROR.TYPE(0)),IFERROR(IF(OFFSET(A46,-5,0)&gt;0,OFFSET(A46,-5,0)+0.001,ERROR.TYPE(0)),IFERROR(IF(OFFSET(A46,-6,0)&gt;0,OFFSET(A46,-6,0)+0.001,ERROR.TYPE(0)),IFERROR(IF(OFFSET(A46,-7,0)&gt;0,OFFSET(A46,-7,0)+0.001,ERROR.TYPE(0)),IFERROR(IF(OFFSET(A46,-8,0)&gt;0,OFFSET(A46,-8,0)+0.001,ERROR.TYPE(0)),IFERROR(IF(OFFSET(A46,-9,0)&gt;0,OFFSET(A46,-9,0)+0.001,ERROR.TYPE(0)),IFERROR(IF(OFFSET(A46,-10,0)&gt;0,OFFSET(A46,-10,0)+0.001,ERROR.TYPE(0)),ERROR.TYPE(0)))))))))))</f>
        <v>2.0119999999999987</v>
      </c>
      <c r="B46" s="865" t="s">
        <v>2063</v>
      </c>
      <c r="C46" s="646">
        <v>77</v>
      </c>
      <c r="D46" s="646" t="s">
        <v>141</v>
      </c>
      <c r="E46" s="649">
        <f>Elec_Est!E8251</f>
        <v>36.950000000000003</v>
      </c>
      <c r="F46" s="1125">
        <f t="shared" si="4"/>
        <v>2845.15</v>
      </c>
    </row>
    <row r="47" spans="1:6" s="631" customFormat="1" ht="15.6" customHeight="1">
      <c r="A47" s="643">
        <f ca="1">IFERROR(IF(OFFSET(A47,-1,0)&gt;0,OFFSET(A47,-1,0)+0.001,ERROR.TYPE(0)),IFERROR(IF(OFFSET(A47,-2,0)&gt;0,OFFSET(A47,-2,0)+0.001,ERROR.TYPE(0)),IFERROR(IF(OFFSET(A47,-3,0)&gt;0,OFFSET(A47,-3,0)+0.001,ERROR.TYPE(0)),IFERROR(IF(OFFSET(A47,-4,0)&gt;0,OFFSET(A47,-4,0)+0.001,ERROR.TYPE(0)),IFERROR(IF(OFFSET(A47,-5,0)&gt;0,OFFSET(A47,-5,0)+0.001,ERROR.TYPE(0)),IFERROR(IF(OFFSET(A47,-6,0)&gt;0,OFFSET(A47,-6,0)+0.001,ERROR.TYPE(0)),IFERROR(IF(OFFSET(A47,-7,0)&gt;0,OFFSET(A47,-7,0)+0.001,ERROR.TYPE(0)),IFERROR(IF(OFFSET(A47,-8,0)&gt;0,OFFSET(A47,-8,0)+0.001,ERROR.TYPE(0)),IFERROR(IF(OFFSET(A47,-9,0)&gt;0,OFFSET(A47,-9,0)+0.001,ERROR.TYPE(0)),IFERROR(IF(OFFSET(A47,-10,0)&gt;0,OFFSET(A47,-10,0)+0.001,ERROR.TYPE(0)),ERROR.TYPE(0)))))))))))</f>
        <v>2.0129999999999986</v>
      </c>
      <c r="B47" s="865" t="s">
        <v>2064</v>
      </c>
      <c r="C47" s="646">
        <v>8</v>
      </c>
      <c r="D47" s="646" t="s">
        <v>141</v>
      </c>
      <c r="E47" s="649">
        <f>Elec_Est!E8257</f>
        <v>36.950000000000003</v>
      </c>
      <c r="F47" s="1125">
        <f t="shared" si="4"/>
        <v>295.60000000000002</v>
      </c>
    </row>
    <row r="48" spans="1:6" s="631" customFormat="1">
      <c r="A48" s="643">
        <f t="shared" ref="A48:A52" ca="1" si="5">IFERROR(IF(OFFSET(A48,-1,0)&gt;0,OFFSET(A48,-1,0)+0.001,ERROR.TYPE(0)),IFERROR(IF(OFFSET(A48,-2,0)&gt;0,OFFSET(A48,-2,0)+0.001,ERROR.TYPE(0)),IFERROR(IF(OFFSET(A48,-3,0)&gt;0,OFFSET(A48,-3,0)+0.001,ERROR.TYPE(0)),IFERROR(IF(OFFSET(A48,-4,0)&gt;0,OFFSET(A48,-4,0)+0.001,ERROR.TYPE(0)),IFERROR(IF(OFFSET(A48,-5,0)&gt;0,OFFSET(A48,-5,0)+0.001,ERROR.TYPE(0)),IFERROR(IF(OFFSET(A48,-6,0)&gt;0,OFFSET(A48,-6,0)+0.001,ERROR.TYPE(0)),IFERROR(IF(OFFSET(A48,-7,0)&gt;0,OFFSET(A48,-7,0)+0.001,ERROR.TYPE(0)),IFERROR(IF(OFFSET(A48,-8,0)&gt;0,OFFSET(A48,-8,0)+0.001,ERROR.TYPE(0)),IFERROR(IF(OFFSET(A48,-9,0)&gt;0,OFFSET(A48,-9,0)+0.001,ERROR.TYPE(0)),IFERROR(IF(OFFSET(A48,-10,0)&gt;0,OFFSET(A48,-10,0)+0.001,ERROR.TYPE(0)),ERROR.TYPE(0)))))))))))</f>
        <v>2.0139999999999985</v>
      </c>
      <c r="B48" s="865" t="s">
        <v>2065</v>
      </c>
      <c r="C48" s="646">
        <v>2</v>
      </c>
      <c r="D48" s="646" t="s">
        <v>141</v>
      </c>
      <c r="E48" s="649">
        <f>Elec_Est!E8263</f>
        <v>36.950000000000003</v>
      </c>
      <c r="F48" s="1125">
        <f t="shared" si="4"/>
        <v>73.900000000000006</v>
      </c>
    </row>
    <row r="49" spans="1:6" s="631" customFormat="1">
      <c r="A49" s="643">
        <f ca="1">IFERROR(IF(OFFSET(A49,-1,0)&gt;0,OFFSET(A49,-1,0)+0.001,ERROR.TYPE(0)),IFERROR(IF(OFFSET(A49,-2,0)&gt;0,OFFSET(A49,-2,0)+0.001,ERROR.TYPE(0)),IFERROR(IF(OFFSET(A49,-3,0)&gt;0,OFFSET(A49,-3,0)+0.001,ERROR.TYPE(0)),IFERROR(IF(OFFSET(A49,-4,0)&gt;0,OFFSET(A49,-4,0)+0.001,ERROR.TYPE(0)),IFERROR(IF(OFFSET(A49,-5,0)&gt;0,OFFSET(A49,-5,0)+0.001,ERROR.TYPE(0)),IFERROR(IF(OFFSET(A49,-6,0)&gt;0,OFFSET(A49,-6,0)+0.001,ERROR.TYPE(0)),IFERROR(IF(OFFSET(A49,-7,0)&gt;0,OFFSET(A49,-7,0)+0.001,ERROR.TYPE(0)),IFERROR(IF(OFFSET(A49,-8,0)&gt;0,OFFSET(A49,-8,0)+0.001,ERROR.TYPE(0)),IFERROR(IF(OFFSET(A49,-9,0)&gt;0,OFFSET(A49,-9,0)+0.001,ERROR.TYPE(0)),IFERROR(IF(OFFSET(A49,-10,0)&gt;0,OFFSET(A49,-10,0)+0.001,ERROR.TYPE(0)),ERROR.TYPE(0)))))))))))</f>
        <v>2.0149999999999983</v>
      </c>
      <c r="B49" s="657" t="s">
        <v>2066</v>
      </c>
      <c r="C49" s="646">
        <v>1</v>
      </c>
      <c r="D49" s="646" t="s">
        <v>141</v>
      </c>
      <c r="E49" s="649">
        <f>Elec_Est!E8269</f>
        <v>36.950000000000003</v>
      </c>
      <c r="F49" s="1125">
        <f t="shared" si="4"/>
        <v>36.950000000000003</v>
      </c>
    </row>
    <row r="50" spans="1:6" s="631" customFormat="1">
      <c r="A50" s="643">
        <f ca="1">IFERROR(IF(OFFSET(A50,-1,0)&gt;0,OFFSET(A50,-1,0)+0.001,ERROR.TYPE(0)),IFERROR(IF(OFFSET(A50,-2,0)&gt;0,OFFSET(A50,-2,0)+0.001,ERROR.TYPE(0)),IFERROR(IF(OFFSET(A50,-3,0)&gt;0,OFFSET(A50,-3,0)+0.001,ERROR.TYPE(0)),IFERROR(IF(OFFSET(A50,-4,0)&gt;0,OFFSET(A50,-4,0)+0.001,ERROR.TYPE(0)),IFERROR(IF(OFFSET(A50,-5,0)&gt;0,OFFSET(A50,-5,0)+0.001,ERROR.TYPE(0)),IFERROR(IF(OFFSET(A50,-6,0)&gt;0,OFFSET(A50,-6,0)+0.001,ERROR.TYPE(0)),IFERROR(IF(OFFSET(A50,-7,0)&gt;0,OFFSET(A50,-7,0)+0.001,ERROR.TYPE(0)),IFERROR(IF(OFFSET(A50,-8,0)&gt;0,OFFSET(A50,-8,0)+0.001,ERROR.TYPE(0)),IFERROR(IF(OFFSET(A50,-9,0)&gt;0,OFFSET(A50,-9,0)+0.001,ERROR.TYPE(0)),IFERROR(IF(OFFSET(A50,-10,0)&gt;0,OFFSET(A50,-10,0)+0.001,ERROR.TYPE(0)),ERROR.TYPE(0)))))))))))</f>
        <v>2.0159999999999982</v>
      </c>
      <c r="B50" s="657" t="s">
        <v>2067</v>
      </c>
      <c r="C50" s="646">
        <v>3</v>
      </c>
      <c r="D50" s="646" t="s">
        <v>141</v>
      </c>
      <c r="E50" s="649">
        <f>Elec_Est!E8275</f>
        <v>36.950000000000003</v>
      </c>
      <c r="F50" s="1125">
        <f t="shared" si="4"/>
        <v>110.85000000000001</v>
      </c>
    </row>
    <row r="51" spans="1:6" s="631" customFormat="1">
      <c r="A51" s="643">
        <f t="shared" ca="1" si="5"/>
        <v>2.0169999999999981</v>
      </c>
      <c r="B51" s="865" t="s">
        <v>2068</v>
      </c>
      <c r="C51" s="646">
        <v>1</v>
      </c>
      <c r="D51" s="646" t="s">
        <v>141</v>
      </c>
      <c r="E51" s="649">
        <f>Elec_Est!E8281</f>
        <v>36.950000000000003</v>
      </c>
      <c r="F51" s="1125">
        <f t="shared" si="4"/>
        <v>36.950000000000003</v>
      </c>
    </row>
    <row r="52" spans="1:6" s="631" customFormat="1">
      <c r="A52" s="643">
        <f t="shared" ca="1" si="5"/>
        <v>2.017999999999998</v>
      </c>
      <c r="B52" s="865" t="s">
        <v>2069</v>
      </c>
      <c r="C52" s="646">
        <v>1</v>
      </c>
      <c r="D52" s="646" t="s">
        <v>141</v>
      </c>
      <c r="E52" s="649">
        <f>Elec_Est!E8287</f>
        <v>36.950000000000003</v>
      </c>
      <c r="F52" s="1125">
        <f t="shared" si="4"/>
        <v>36.950000000000003</v>
      </c>
    </row>
    <row r="53" spans="1:6" s="631" customFormat="1">
      <c r="A53" s="638"/>
      <c r="B53" s="866" t="s">
        <v>2070</v>
      </c>
      <c r="C53" s="646"/>
      <c r="D53" s="646"/>
      <c r="E53" s="649"/>
      <c r="F53" s="1125"/>
    </row>
    <row r="54" spans="1:6" s="631" customFormat="1">
      <c r="A54" s="643">
        <f ca="1">IFERROR(IF(OFFSET(A54,-1,0)&gt;0,OFFSET(A54,-1,0)+0.001,ERROR.TYPE(0)),IFERROR(IF(OFFSET(A54,-2,0)&gt;0,OFFSET(A54,-2,0)+0.001,ERROR.TYPE(0)),IFERROR(IF(OFFSET(A54,-3,0)&gt;0,OFFSET(A54,-3,0)+0.001,ERROR.TYPE(0)),IFERROR(IF(OFFSET(A54,-4,0)&gt;0,OFFSET(A54,-4,0)+0.001,ERROR.TYPE(0)),IFERROR(IF(OFFSET(A54,-5,0)&gt;0,OFFSET(A54,-5,0)+0.001,ERROR.TYPE(0)),IFERROR(IF(OFFSET(A54,-6,0)&gt;0,OFFSET(A54,-6,0)+0.001,ERROR.TYPE(0)),IFERROR(IF(OFFSET(A54,-7,0)&gt;0,OFFSET(A54,-7,0)+0.001,ERROR.TYPE(0)),IFERROR(IF(OFFSET(A54,-8,0)&gt;0,OFFSET(A54,-8,0)+0.001,ERROR.TYPE(0)),IFERROR(IF(OFFSET(A54,-9,0)&gt;0,OFFSET(A54,-9,0)+0.001,ERROR.TYPE(0)),IFERROR(IF(OFFSET(A54,-10,0)&gt;0,OFFSET(A54,-10,0)+0.001,ERROR.TYPE(0)),ERROR.TYPE(0)))))))))))</f>
        <v>2.0189999999999979</v>
      </c>
      <c r="B54" s="865" t="s">
        <v>2061</v>
      </c>
      <c r="C54" s="646">
        <v>14</v>
      </c>
      <c r="D54" s="646" t="s">
        <v>141</v>
      </c>
      <c r="E54" s="649">
        <f>Elec_Est!E8297</f>
        <v>52.23</v>
      </c>
      <c r="F54" s="1125">
        <f t="shared" ref="F54:F62" si="6">IFERROR($C54*E54,E54)</f>
        <v>731.21999999999991</v>
      </c>
    </row>
    <row r="55" spans="1:6" s="631" customFormat="1">
      <c r="A55" s="643">
        <f ca="1">IFERROR(IF(OFFSET(A55,-1,0)&gt;0,OFFSET(A55,-1,0)+0.001,ERROR.TYPE(0)),IFERROR(IF(OFFSET(A55,-2,0)&gt;0,OFFSET(A55,-2,0)+0.001,ERROR.TYPE(0)),IFERROR(IF(OFFSET(A55,-3,0)&gt;0,OFFSET(A55,-3,0)+0.001,ERROR.TYPE(0)),IFERROR(IF(OFFSET(A55,-4,0)&gt;0,OFFSET(A55,-4,0)+0.001,ERROR.TYPE(0)),IFERROR(IF(OFFSET(A55,-5,0)&gt;0,OFFSET(A55,-5,0)+0.001,ERROR.TYPE(0)),IFERROR(IF(OFFSET(A55,-6,0)&gt;0,OFFSET(A55,-6,0)+0.001,ERROR.TYPE(0)),IFERROR(IF(OFFSET(A55,-7,0)&gt;0,OFFSET(A55,-7,0)+0.001,ERROR.TYPE(0)),IFERROR(IF(OFFSET(A55,-8,0)&gt;0,OFFSET(A55,-8,0)+0.001,ERROR.TYPE(0)),IFERROR(IF(OFFSET(A55,-9,0)&gt;0,OFFSET(A55,-9,0)+0.001,ERROR.TYPE(0)),IFERROR(IF(OFFSET(A55,-10,0)&gt;0,OFFSET(A55,-10,0)+0.001,ERROR.TYPE(0)),ERROR.TYPE(0)))))))))))</f>
        <v>2.0199999999999978</v>
      </c>
      <c r="B55" s="865" t="s">
        <v>2062</v>
      </c>
      <c r="C55" s="646">
        <v>5</v>
      </c>
      <c r="D55" s="646" t="s">
        <v>141</v>
      </c>
      <c r="E55" s="649">
        <f>Elec_Est!E8303</f>
        <v>93.61</v>
      </c>
      <c r="F55" s="1125">
        <f t="shared" si="6"/>
        <v>468.05</v>
      </c>
    </row>
    <row r="56" spans="1:6" s="631" customFormat="1">
      <c r="A56" s="643">
        <f ca="1">IFERROR(IF(OFFSET(A56,-1,0)&gt;0,OFFSET(A56,-1,0)+0.001,ERROR.TYPE(0)),IFERROR(IF(OFFSET(A56,-2,0)&gt;0,OFFSET(A56,-2,0)+0.001,ERROR.TYPE(0)),IFERROR(IF(OFFSET(A56,-3,0)&gt;0,OFFSET(A56,-3,0)+0.001,ERROR.TYPE(0)),IFERROR(IF(OFFSET(A56,-4,0)&gt;0,OFFSET(A56,-4,0)+0.001,ERROR.TYPE(0)),IFERROR(IF(OFFSET(A56,-5,0)&gt;0,OFFSET(A56,-5,0)+0.001,ERROR.TYPE(0)),IFERROR(IF(OFFSET(A56,-6,0)&gt;0,OFFSET(A56,-6,0)+0.001,ERROR.TYPE(0)),IFERROR(IF(OFFSET(A56,-7,0)&gt;0,OFFSET(A56,-7,0)+0.001,ERROR.TYPE(0)),IFERROR(IF(OFFSET(A56,-8,0)&gt;0,OFFSET(A56,-8,0)+0.001,ERROR.TYPE(0)),IFERROR(IF(OFFSET(A56,-9,0)&gt;0,OFFSET(A56,-9,0)+0.001,ERROR.TYPE(0)),IFERROR(IF(OFFSET(A56,-10,0)&gt;0,OFFSET(A56,-10,0)+0.001,ERROR.TYPE(0)),ERROR.TYPE(0)))))))))))</f>
        <v>2.0209999999999977</v>
      </c>
      <c r="B56" s="865" t="s">
        <v>2063</v>
      </c>
      <c r="C56" s="646">
        <v>77</v>
      </c>
      <c r="D56" s="646" t="s">
        <v>141</v>
      </c>
      <c r="E56" s="649">
        <f>Elec_Est!E8309</f>
        <v>51.24</v>
      </c>
      <c r="F56" s="1125">
        <f t="shared" si="6"/>
        <v>3945.48</v>
      </c>
    </row>
    <row r="57" spans="1:6" s="631" customFormat="1" ht="15.6" customHeight="1">
      <c r="A57" s="643">
        <f ca="1">IFERROR(IF(OFFSET(A57,-1,0)&gt;0,OFFSET(A57,-1,0)+0.001,ERROR.TYPE(0)),IFERROR(IF(OFFSET(A57,-2,0)&gt;0,OFFSET(A57,-2,0)+0.001,ERROR.TYPE(0)),IFERROR(IF(OFFSET(A57,-3,0)&gt;0,OFFSET(A57,-3,0)+0.001,ERROR.TYPE(0)),IFERROR(IF(OFFSET(A57,-4,0)&gt;0,OFFSET(A57,-4,0)+0.001,ERROR.TYPE(0)),IFERROR(IF(OFFSET(A57,-5,0)&gt;0,OFFSET(A57,-5,0)+0.001,ERROR.TYPE(0)),IFERROR(IF(OFFSET(A57,-6,0)&gt;0,OFFSET(A57,-6,0)+0.001,ERROR.TYPE(0)),IFERROR(IF(OFFSET(A57,-7,0)&gt;0,OFFSET(A57,-7,0)+0.001,ERROR.TYPE(0)),IFERROR(IF(OFFSET(A57,-8,0)&gt;0,OFFSET(A57,-8,0)+0.001,ERROR.TYPE(0)),IFERROR(IF(OFFSET(A57,-9,0)&gt;0,OFFSET(A57,-9,0)+0.001,ERROR.TYPE(0)),IFERROR(IF(OFFSET(A57,-10,0)&gt;0,OFFSET(A57,-10,0)+0.001,ERROR.TYPE(0)),ERROR.TYPE(0)))))))))))</f>
        <v>2.0219999999999976</v>
      </c>
      <c r="B57" s="865" t="s">
        <v>2064</v>
      </c>
      <c r="C57" s="646">
        <v>8</v>
      </c>
      <c r="D57" s="646" t="s">
        <v>141</v>
      </c>
      <c r="E57" s="649">
        <f>Elec_Est!E8315</f>
        <v>92.63</v>
      </c>
      <c r="F57" s="1125">
        <f t="shared" si="6"/>
        <v>741.04</v>
      </c>
    </row>
    <row r="58" spans="1:6" s="631" customFormat="1">
      <c r="A58" s="643">
        <f t="shared" ref="A58:A62" ca="1" si="7">IFERROR(IF(OFFSET(A58,-1,0)&gt;0,OFFSET(A58,-1,0)+0.001,ERROR.TYPE(0)),IFERROR(IF(OFFSET(A58,-2,0)&gt;0,OFFSET(A58,-2,0)+0.001,ERROR.TYPE(0)),IFERROR(IF(OFFSET(A58,-3,0)&gt;0,OFFSET(A58,-3,0)+0.001,ERROR.TYPE(0)),IFERROR(IF(OFFSET(A58,-4,0)&gt;0,OFFSET(A58,-4,0)+0.001,ERROR.TYPE(0)),IFERROR(IF(OFFSET(A58,-5,0)&gt;0,OFFSET(A58,-5,0)+0.001,ERROR.TYPE(0)),IFERROR(IF(OFFSET(A58,-6,0)&gt;0,OFFSET(A58,-6,0)+0.001,ERROR.TYPE(0)),IFERROR(IF(OFFSET(A58,-7,0)&gt;0,OFFSET(A58,-7,0)+0.001,ERROR.TYPE(0)),IFERROR(IF(OFFSET(A58,-8,0)&gt;0,OFFSET(A58,-8,0)+0.001,ERROR.TYPE(0)),IFERROR(IF(OFFSET(A58,-9,0)&gt;0,OFFSET(A58,-9,0)+0.001,ERROR.TYPE(0)),IFERROR(IF(OFFSET(A58,-10,0)&gt;0,OFFSET(A58,-10,0)+0.001,ERROR.TYPE(0)),ERROR.TYPE(0)))))))))))</f>
        <v>2.0229999999999975</v>
      </c>
      <c r="B58" s="865" t="s">
        <v>2071</v>
      </c>
      <c r="C58" s="646">
        <v>2</v>
      </c>
      <c r="D58" s="646" t="s">
        <v>141</v>
      </c>
      <c r="E58" s="649">
        <f>Elec_Est!E8321</f>
        <v>54.2</v>
      </c>
      <c r="F58" s="1125">
        <f t="shared" si="6"/>
        <v>108.4</v>
      </c>
    </row>
    <row r="59" spans="1:6" s="631" customFormat="1">
      <c r="A59" s="643">
        <f ca="1">IFERROR(IF(OFFSET(A59,-1,0)&gt;0,OFFSET(A59,-1,0)+0.001,ERROR.TYPE(0)),IFERROR(IF(OFFSET(A59,-2,0)&gt;0,OFFSET(A59,-2,0)+0.001,ERROR.TYPE(0)),IFERROR(IF(OFFSET(A59,-3,0)&gt;0,OFFSET(A59,-3,0)+0.001,ERROR.TYPE(0)),IFERROR(IF(OFFSET(A59,-4,0)&gt;0,OFFSET(A59,-4,0)+0.001,ERROR.TYPE(0)),IFERROR(IF(OFFSET(A59,-5,0)&gt;0,OFFSET(A59,-5,0)+0.001,ERROR.TYPE(0)),IFERROR(IF(OFFSET(A59,-6,0)&gt;0,OFFSET(A59,-6,0)+0.001,ERROR.TYPE(0)),IFERROR(IF(OFFSET(A59,-7,0)&gt;0,OFFSET(A59,-7,0)+0.001,ERROR.TYPE(0)),IFERROR(IF(OFFSET(A59,-8,0)&gt;0,OFFSET(A59,-8,0)+0.001,ERROR.TYPE(0)),IFERROR(IF(OFFSET(A59,-9,0)&gt;0,OFFSET(A59,-9,0)+0.001,ERROR.TYPE(0)),IFERROR(IF(OFFSET(A59,-10,0)&gt;0,OFFSET(A59,-10,0)+0.001,ERROR.TYPE(0)),ERROR.TYPE(0)))))))))))</f>
        <v>2.0239999999999974</v>
      </c>
      <c r="B59" s="657" t="s">
        <v>2066</v>
      </c>
      <c r="C59" s="646">
        <v>1</v>
      </c>
      <c r="D59" s="646" t="s">
        <v>141</v>
      </c>
      <c r="E59" s="649">
        <f>Elec_Est!E8327</f>
        <v>77.849999999999994</v>
      </c>
      <c r="F59" s="1125">
        <f t="shared" si="6"/>
        <v>77.849999999999994</v>
      </c>
    </row>
    <row r="60" spans="1:6" s="631" customFormat="1">
      <c r="A60" s="643">
        <f ca="1">IFERROR(IF(OFFSET(A60,-1,0)&gt;0,OFFSET(A60,-1,0)+0.001,ERROR.TYPE(0)),IFERROR(IF(OFFSET(A60,-2,0)&gt;0,OFFSET(A60,-2,0)+0.001,ERROR.TYPE(0)),IFERROR(IF(OFFSET(A60,-3,0)&gt;0,OFFSET(A60,-3,0)+0.001,ERROR.TYPE(0)),IFERROR(IF(OFFSET(A60,-4,0)&gt;0,OFFSET(A60,-4,0)+0.001,ERROR.TYPE(0)),IFERROR(IF(OFFSET(A60,-5,0)&gt;0,OFFSET(A60,-5,0)+0.001,ERROR.TYPE(0)),IFERROR(IF(OFFSET(A60,-6,0)&gt;0,OFFSET(A60,-6,0)+0.001,ERROR.TYPE(0)),IFERROR(IF(OFFSET(A60,-7,0)&gt;0,OFFSET(A60,-7,0)+0.001,ERROR.TYPE(0)),IFERROR(IF(OFFSET(A60,-8,0)&gt;0,OFFSET(A60,-8,0)+0.001,ERROR.TYPE(0)),IFERROR(IF(OFFSET(A60,-9,0)&gt;0,OFFSET(A60,-9,0)+0.001,ERROR.TYPE(0)),IFERROR(IF(OFFSET(A60,-10,0)&gt;0,OFFSET(A60,-10,0)+0.001,ERROR.TYPE(0)),ERROR.TYPE(0)))))))))))</f>
        <v>2.0249999999999972</v>
      </c>
      <c r="B60" s="657" t="s">
        <v>2067</v>
      </c>
      <c r="C60" s="646">
        <v>3</v>
      </c>
      <c r="D60" s="646" t="s">
        <v>141</v>
      </c>
      <c r="E60" s="649">
        <f>Elec_Est!E8333</f>
        <v>77.849999999999994</v>
      </c>
      <c r="F60" s="1125">
        <f t="shared" si="6"/>
        <v>233.54999999999998</v>
      </c>
    </row>
    <row r="61" spans="1:6" s="631" customFormat="1">
      <c r="A61" s="643">
        <f t="shared" ca="1" si="7"/>
        <v>2.0259999999999971</v>
      </c>
      <c r="B61" s="865" t="s">
        <v>2068</v>
      </c>
      <c r="C61" s="646">
        <v>1</v>
      </c>
      <c r="D61" s="646" t="s">
        <v>141</v>
      </c>
      <c r="E61" s="649">
        <f>Elec_Est!E8339</f>
        <v>77.849999999999994</v>
      </c>
      <c r="F61" s="1125">
        <f t="shared" si="6"/>
        <v>77.849999999999994</v>
      </c>
    </row>
    <row r="62" spans="1:6" s="631" customFormat="1">
      <c r="A62" s="643">
        <f t="shared" ca="1" si="7"/>
        <v>2.026999999999997</v>
      </c>
      <c r="B62" s="865" t="s">
        <v>2069</v>
      </c>
      <c r="C62" s="646">
        <v>1</v>
      </c>
      <c r="D62" s="646" t="s">
        <v>141</v>
      </c>
      <c r="E62" s="649">
        <f>Elec_Est!E8345</f>
        <v>88.04</v>
      </c>
      <c r="F62" s="1125">
        <f t="shared" si="6"/>
        <v>88.04</v>
      </c>
    </row>
    <row r="63" spans="1:6" s="631" customFormat="1" ht="15" customHeight="1">
      <c r="A63" s="867"/>
      <c r="B63" s="639" t="s">
        <v>361</v>
      </c>
      <c r="C63" s="1456" t="s">
        <v>305</v>
      </c>
      <c r="D63" s="1457"/>
      <c r="E63" s="652"/>
      <c r="F63" s="1123">
        <f ca="1">SUM(F31:F62)</f>
        <v>21604.920000000002</v>
      </c>
    </row>
    <row r="64" spans="1:6" s="631" customFormat="1">
      <c r="A64" s="868"/>
      <c r="B64" s="666"/>
      <c r="C64" s="654"/>
      <c r="D64" s="654"/>
      <c r="E64" s="655"/>
      <c r="F64" s="1126"/>
    </row>
    <row r="65" spans="1:6" s="631" customFormat="1">
      <c r="A65" s="653"/>
      <c r="B65" s="666"/>
      <c r="C65" s="654"/>
      <c r="D65" s="654"/>
      <c r="E65" s="655"/>
      <c r="F65" s="1126"/>
    </row>
    <row r="66" spans="1:6" s="631" customFormat="1" ht="27.6">
      <c r="A66" s="634" t="s">
        <v>143</v>
      </c>
      <c r="B66" s="635" t="s">
        <v>198</v>
      </c>
      <c r="C66" s="636" t="s">
        <v>199</v>
      </c>
      <c r="D66" s="636" t="s">
        <v>200</v>
      </c>
      <c r="E66" s="637" t="s">
        <v>294</v>
      </c>
      <c r="F66" s="1122" t="s">
        <v>295</v>
      </c>
    </row>
    <row r="67" spans="1:6" s="631" customFormat="1">
      <c r="A67" s="643"/>
      <c r="B67" s="714" t="s">
        <v>2072</v>
      </c>
      <c r="C67" s="646"/>
      <c r="D67" s="646"/>
      <c r="E67" s="649"/>
      <c r="F67" s="1125"/>
    </row>
    <row r="68" spans="1:6" s="631" customFormat="1" ht="27.6">
      <c r="A68" s="643"/>
      <c r="B68" s="864" t="s">
        <v>4144</v>
      </c>
      <c r="C68" s="646"/>
      <c r="D68" s="646"/>
      <c r="E68" s="649"/>
      <c r="F68" s="1125"/>
    </row>
    <row r="69" spans="1:6" s="631" customFormat="1">
      <c r="A69" s="1243">
        <f ca="1">IFERROR(IF(OFFSET(A69,-1,0)&gt;0,OFFSET(A69,-1,0)+0.001,ERROR.TYPE(0)),IFERROR(IF(OFFSET(A69,-2,0)&gt;0,OFFSET(A69,-2,0)+0.001,ERROR.TYPE(0)),IFERROR(IF(OFFSET(A69,-3,0)&gt;0,OFFSET(A69,-3,0)+0.001,ERROR.TYPE(0)),IFERROR(IF(OFFSET(A69,-4,0)&gt;0,OFFSET(A69,-4,0)+0.001,ERROR.TYPE(0)),IFERROR(IF(OFFSET(A69,-5,0)&gt;0,OFFSET(A69,-5,0)+0.001,ERROR.TYPE(0)),IFERROR(IF(OFFSET(A69,-6,0)&gt;0,OFFSET(A69,-6,0)+0.001,ERROR.TYPE(0)),IFERROR(IF(OFFSET(A69,-7,0)&gt;0,OFFSET(A69,-7,0)+0.001,ERROR.TYPE(0)),IFERROR(IF(OFFSET(A69,-8,0)&gt;0,OFFSET(A69,-8,0)+0.001,ERROR.TYPE(0)),IFERROR(IF(OFFSET(A69,-9,0)&gt;0,OFFSET(A69,-9,0)+0.001,ERROR.TYPE(0)),IFERROR(IF(OFFSET(A69,-10,0)&gt;0,OFFSET(A69,-10,0)+0.001,ERROR.TYPE(0)),ERROR.TYPE(0)))))))))))</f>
        <v>2.0279999999999969</v>
      </c>
      <c r="B69" s="865" t="s">
        <v>2061</v>
      </c>
      <c r="C69" s="1251">
        <v>8</v>
      </c>
      <c r="D69" s="646" t="s">
        <v>141</v>
      </c>
      <c r="E69" s="649">
        <f ca="1">Elec_Est!E8365</f>
        <v>98.17</v>
      </c>
      <c r="F69" s="1125">
        <f ca="1">IFERROR($C69*E69,E69)</f>
        <v>785.36</v>
      </c>
    </row>
    <row r="70" spans="1:6" s="631" customFormat="1">
      <c r="A70" s="1243">
        <f ca="1">IFERROR(IF(OFFSET(A70,-1,0)&gt;0,OFFSET(A70,-1,0)+0.001,ERROR.TYPE(0)),IFERROR(IF(OFFSET(A70,-2,0)&gt;0,OFFSET(A70,-2,0)+0.001,ERROR.TYPE(0)),IFERROR(IF(OFFSET(A70,-3,0)&gt;0,OFFSET(A70,-3,0)+0.001,ERROR.TYPE(0)),IFERROR(IF(OFFSET(A70,-4,0)&gt;0,OFFSET(A70,-4,0)+0.001,ERROR.TYPE(0)),IFERROR(IF(OFFSET(A70,-5,0)&gt;0,OFFSET(A70,-5,0)+0.001,ERROR.TYPE(0)),IFERROR(IF(OFFSET(A70,-6,0)&gt;0,OFFSET(A70,-6,0)+0.001,ERROR.TYPE(0)),IFERROR(IF(OFFSET(A70,-7,0)&gt;0,OFFSET(A70,-7,0)+0.001,ERROR.TYPE(0)),IFERROR(IF(OFFSET(A70,-8,0)&gt;0,OFFSET(A70,-8,0)+0.001,ERROR.TYPE(0)),IFERROR(IF(OFFSET(A70,-9,0)&gt;0,OFFSET(A70,-9,0)+0.001,ERROR.TYPE(0)),IFERROR(IF(OFFSET(A70,-10,0)&gt;0,OFFSET(A70,-10,0)+0.001,ERROR.TYPE(0)),ERROR.TYPE(0)))))))))))</f>
        <v>2.0289999999999968</v>
      </c>
      <c r="B70" s="865" t="s">
        <v>2062</v>
      </c>
      <c r="C70" s="1251">
        <v>5</v>
      </c>
      <c r="D70" s="646" t="s">
        <v>141</v>
      </c>
      <c r="E70" s="649">
        <f ca="1">Elec_Est!E8372</f>
        <v>98.17</v>
      </c>
      <c r="F70" s="1125">
        <f ca="1">IFERROR($C70*E70,E70)</f>
        <v>490.85</v>
      </c>
    </row>
    <row r="71" spans="1:6" s="631" customFormat="1">
      <c r="A71" s="643">
        <f ca="1">IFERROR(IF(OFFSET(A71,-1,0)&gt;0,OFFSET(A71,-1,0)+0.001,ERROR.TYPE(0)),IFERROR(IF(OFFSET(A71,-2,0)&gt;0,OFFSET(A71,-2,0)+0.001,ERROR.TYPE(0)),IFERROR(IF(OFFSET(A71,-3,0)&gt;0,OFFSET(A71,-3,0)+0.001,ERROR.TYPE(0)),IFERROR(IF(OFFSET(A71,-4,0)&gt;0,OFFSET(A71,-4,0)+0.001,ERROR.TYPE(0)),IFERROR(IF(OFFSET(A71,-5,0)&gt;0,OFFSET(A71,-5,0)+0.001,ERROR.TYPE(0)),IFERROR(IF(OFFSET(A71,-6,0)&gt;0,OFFSET(A71,-6,0)+0.001,ERROR.TYPE(0)),IFERROR(IF(OFFSET(A71,-7,0)&gt;0,OFFSET(A71,-7,0)+0.001,ERROR.TYPE(0)),IFERROR(IF(OFFSET(A71,-8,0)&gt;0,OFFSET(A71,-8,0)+0.001,ERROR.TYPE(0)),IFERROR(IF(OFFSET(A71,-9,0)&gt;0,OFFSET(A71,-9,0)+0.001,ERROR.TYPE(0)),IFERROR(IF(OFFSET(A71,-10,0)&gt;0,OFFSET(A71,-10,0)+0.001,ERROR.TYPE(0)),ERROR.TYPE(0)))))))))))</f>
        <v>2.0299999999999967</v>
      </c>
      <c r="B71" s="865" t="s">
        <v>2063</v>
      </c>
      <c r="C71" s="646">
        <v>52</v>
      </c>
      <c r="D71" s="646" t="s">
        <v>141</v>
      </c>
      <c r="E71" s="649">
        <f ca="1">Elec_Est!E8379</f>
        <v>98.17</v>
      </c>
      <c r="F71" s="1125">
        <f ca="1">IFERROR($C71*E71,E71)</f>
        <v>5104.84</v>
      </c>
    </row>
    <row r="72" spans="1:6" s="631" customFormat="1" ht="15.6" customHeight="1">
      <c r="A72" s="643">
        <f ca="1">IFERROR(IF(OFFSET(A72,-1,0)&gt;0,OFFSET(A72,-1,0)+0.001,ERROR.TYPE(0)),IFERROR(IF(OFFSET(A72,-2,0)&gt;0,OFFSET(A72,-2,0)+0.001,ERROR.TYPE(0)),IFERROR(IF(OFFSET(A72,-3,0)&gt;0,OFFSET(A72,-3,0)+0.001,ERROR.TYPE(0)),IFERROR(IF(OFFSET(A72,-4,0)&gt;0,OFFSET(A72,-4,0)+0.001,ERROR.TYPE(0)),IFERROR(IF(OFFSET(A72,-5,0)&gt;0,OFFSET(A72,-5,0)+0.001,ERROR.TYPE(0)),IFERROR(IF(OFFSET(A72,-6,0)&gt;0,OFFSET(A72,-6,0)+0.001,ERROR.TYPE(0)),IFERROR(IF(OFFSET(A72,-7,0)&gt;0,OFFSET(A72,-7,0)+0.001,ERROR.TYPE(0)),IFERROR(IF(OFFSET(A72,-8,0)&gt;0,OFFSET(A72,-8,0)+0.001,ERROR.TYPE(0)),IFERROR(IF(OFFSET(A72,-9,0)&gt;0,OFFSET(A72,-9,0)+0.001,ERROR.TYPE(0)),IFERROR(IF(OFFSET(A72,-10,0)&gt;0,OFFSET(A72,-10,0)+0.001,ERROR.TYPE(0)),ERROR.TYPE(0)))))))))))</f>
        <v>2.0309999999999966</v>
      </c>
      <c r="B72" s="865" t="s">
        <v>2064</v>
      </c>
      <c r="C72" s="646">
        <v>9</v>
      </c>
      <c r="D72" s="646" t="s">
        <v>141</v>
      </c>
      <c r="E72" s="649">
        <f ca="1">Elec_Est!E8386</f>
        <v>98.17</v>
      </c>
      <c r="F72" s="1125">
        <f ca="1">IFERROR($C72*E72,E72)</f>
        <v>883.53</v>
      </c>
    </row>
    <row r="73" spans="1:6" s="631" customFormat="1">
      <c r="A73" s="643">
        <f t="shared" ref="A73:A78" ca="1" si="8">IFERROR(IF(OFFSET(A73,-1,0)&gt;0,OFFSET(A73,-1,0)+0.001,ERROR.TYPE(0)),IFERROR(IF(OFFSET(A73,-2,0)&gt;0,OFFSET(A73,-2,0)+0.001,ERROR.TYPE(0)),IFERROR(IF(OFFSET(A73,-3,0)&gt;0,OFFSET(A73,-3,0)+0.001,ERROR.TYPE(0)),IFERROR(IF(OFFSET(A73,-4,0)&gt;0,OFFSET(A73,-4,0)+0.001,ERROR.TYPE(0)),IFERROR(IF(OFFSET(A73,-5,0)&gt;0,OFFSET(A73,-5,0)+0.001,ERROR.TYPE(0)),IFERROR(IF(OFFSET(A73,-6,0)&gt;0,OFFSET(A73,-6,0)+0.001,ERROR.TYPE(0)),IFERROR(IF(OFFSET(A73,-7,0)&gt;0,OFFSET(A73,-7,0)+0.001,ERROR.TYPE(0)),IFERROR(IF(OFFSET(A73,-8,0)&gt;0,OFFSET(A73,-8,0)+0.001,ERROR.TYPE(0)),IFERROR(IF(OFFSET(A73,-9,0)&gt;0,OFFSET(A73,-9,0)+0.001,ERROR.TYPE(0)),IFERROR(IF(OFFSET(A73,-10,0)&gt;0,OFFSET(A73,-10,0)+0.001,ERROR.TYPE(0)),ERROR.TYPE(0)))))))))))</f>
        <v>2.0319999999999965</v>
      </c>
      <c r="B73" s="865" t="s">
        <v>2065</v>
      </c>
      <c r="C73" s="646">
        <v>1</v>
      </c>
      <c r="D73" s="646" t="s">
        <v>141</v>
      </c>
      <c r="E73" s="649">
        <f ca="1">Elec_Est!E8393</f>
        <v>98.17</v>
      </c>
      <c r="F73" s="1125">
        <f ca="1">IFERROR($C73*E73,E73)</f>
        <v>98.17</v>
      </c>
    </row>
    <row r="74" spans="1:6" s="631" customFormat="1">
      <c r="A74" s="643">
        <f t="shared" ca="1" si="8"/>
        <v>2.0329999999999964</v>
      </c>
      <c r="B74" s="865" t="s">
        <v>2073</v>
      </c>
      <c r="C74" s="646">
        <v>4</v>
      </c>
      <c r="D74" s="646" t="s">
        <v>141</v>
      </c>
      <c r="E74" s="649">
        <f ca="1">Elec_Est!E8400</f>
        <v>98.17</v>
      </c>
      <c r="F74" s="1125">
        <f t="shared" ref="F74:F76" ca="1" si="9">IFERROR($C74*E74,E74)</f>
        <v>392.68</v>
      </c>
    </row>
    <row r="75" spans="1:6" s="631" customFormat="1">
      <c r="A75" s="643">
        <f t="shared" ca="1" si="8"/>
        <v>2.0339999999999963</v>
      </c>
      <c r="B75" s="865" t="s">
        <v>2074</v>
      </c>
      <c r="C75" s="646">
        <v>4</v>
      </c>
      <c r="D75" s="646" t="s">
        <v>141</v>
      </c>
      <c r="E75" s="649">
        <f ca="1">Elec_Est!E8407</f>
        <v>98.17</v>
      </c>
      <c r="F75" s="1125">
        <f t="shared" ca="1" si="9"/>
        <v>392.68</v>
      </c>
    </row>
    <row r="76" spans="1:6" s="631" customFormat="1">
      <c r="A76" s="643">
        <f t="shared" ca="1" si="8"/>
        <v>2.0349999999999961</v>
      </c>
      <c r="B76" s="865" t="s">
        <v>2075</v>
      </c>
      <c r="C76" s="646">
        <v>4</v>
      </c>
      <c r="D76" s="646" t="s">
        <v>141</v>
      </c>
      <c r="E76" s="649">
        <f ca="1">Elec_Est!E8414</f>
        <v>98.17</v>
      </c>
      <c r="F76" s="1125">
        <f t="shared" ca="1" si="9"/>
        <v>392.68</v>
      </c>
    </row>
    <row r="77" spans="1:6" s="631" customFormat="1">
      <c r="A77" s="643">
        <f ca="1">IFERROR(IF(OFFSET(A77,-1,0)&gt;0,OFFSET(A77,-1,0)+0.001,ERROR.TYPE(0)),IFERROR(IF(OFFSET(A77,-2,0)&gt;0,OFFSET(A77,-2,0)+0.001,ERROR.TYPE(0)),IFERROR(IF(OFFSET(A77,-3,0)&gt;0,OFFSET(A77,-3,0)+0.001,ERROR.TYPE(0)),IFERROR(IF(OFFSET(A77,-4,0)&gt;0,OFFSET(A77,-4,0)+0.001,ERROR.TYPE(0)),IFERROR(IF(OFFSET(A77,-5,0)&gt;0,OFFSET(A77,-5,0)+0.001,ERROR.TYPE(0)),IFERROR(IF(OFFSET(A77,-6,0)&gt;0,OFFSET(A77,-6,0)+0.001,ERROR.TYPE(0)),IFERROR(IF(OFFSET(A77,-7,0)&gt;0,OFFSET(A77,-7,0)+0.001,ERROR.TYPE(0)),IFERROR(IF(OFFSET(A77,-8,0)&gt;0,OFFSET(A77,-8,0)+0.001,ERROR.TYPE(0)),IFERROR(IF(OFFSET(A77,-9,0)&gt;0,OFFSET(A77,-9,0)+0.001,ERROR.TYPE(0)),IFERROR(IF(OFFSET(A77,-10,0)&gt;0,OFFSET(A77,-10,0)+0.001,ERROR.TYPE(0)),ERROR.TYPE(0)))))))))))</f>
        <v>2.035999999999996</v>
      </c>
      <c r="B77" s="657" t="s">
        <v>2066</v>
      </c>
      <c r="C77" s="646">
        <v>1</v>
      </c>
      <c r="D77" s="646" t="s">
        <v>141</v>
      </c>
      <c r="E77" s="649">
        <f ca="1">Elec_Est!E8421</f>
        <v>98.17</v>
      </c>
      <c r="F77" s="1125">
        <f ca="1">IFERROR($C77*E77,E77)</f>
        <v>98.17</v>
      </c>
    </row>
    <row r="78" spans="1:6" s="631" customFormat="1">
      <c r="A78" s="643">
        <f t="shared" ca="1" si="8"/>
        <v>2.0369999999999959</v>
      </c>
      <c r="B78" s="865" t="s">
        <v>2068</v>
      </c>
      <c r="C78" s="646">
        <v>1</v>
      </c>
      <c r="D78" s="646" t="s">
        <v>141</v>
      </c>
      <c r="E78" s="649">
        <f ca="1">Elec_Est!E8428</f>
        <v>98.17</v>
      </c>
      <c r="F78" s="1125">
        <f t="shared" ref="F78" ca="1" si="10">IFERROR($C78*E78,E78)</f>
        <v>98.17</v>
      </c>
    </row>
    <row r="79" spans="1:6" s="631" customFormat="1" ht="41.4">
      <c r="A79" s="638"/>
      <c r="B79" s="866" t="s">
        <v>4145</v>
      </c>
      <c r="C79" s="646"/>
      <c r="D79" s="646"/>
      <c r="E79" s="649"/>
      <c r="F79" s="1125"/>
    </row>
    <row r="80" spans="1:6" s="631" customFormat="1">
      <c r="A80" s="1243">
        <f ca="1">IFERROR(IF(OFFSET(A80,-1,0)&gt;0,OFFSET(A80,-1,0)+0.001,ERROR.TYPE(0)),IFERROR(IF(OFFSET(A80,-2,0)&gt;0,OFFSET(A80,-2,0)+0.001,ERROR.TYPE(0)),IFERROR(IF(OFFSET(A80,-3,0)&gt;0,OFFSET(A80,-3,0)+0.001,ERROR.TYPE(0)),IFERROR(IF(OFFSET(A80,-4,0)&gt;0,OFFSET(A80,-4,0)+0.001,ERROR.TYPE(0)),IFERROR(IF(OFFSET(A80,-5,0)&gt;0,OFFSET(A80,-5,0)+0.001,ERROR.TYPE(0)),IFERROR(IF(OFFSET(A80,-6,0)&gt;0,OFFSET(A80,-6,0)+0.001,ERROR.TYPE(0)),IFERROR(IF(OFFSET(A80,-7,0)&gt;0,OFFSET(A80,-7,0)+0.001,ERROR.TYPE(0)),IFERROR(IF(OFFSET(A80,-8,0)&gt;0,OFFSET(A80,-8,0)+0.001,ERROR.TYPE(0)),IFERROR(IF(OFFSET(A80,-9,0)&gt;0,OFFSET(A80,-9,0)+0.001,ERROR.TYPE(0)),IFERROR(IF(OFFSET(A80,-10,0)&gt;0,OFFSET(A80,-10,0)+0.001,ERROR.TYPE(0)),ERROR.TYPE(0)))))))))))</f>
        <v>2.0379999999999958</v>
      </c>
      <c r="B80" s="865" t="s">
        <v>2061</v>
      </c>
      <c r="C80" s="1251">
        <v>8</v>
      </c>
      <c r="D80" s="646" t="s">
        <v>141</v>
      </c>
      <c r="E80" s="649">
        <f>Elec_Est!E8439</f>
        <v>36.950000000000003</v>
      </c>
      <c r="F80" s="1125">
        <f>IFERROR($C80*E80,E80)</f>
        <v>295.60000000000002</v>
      </c>
    </row>
    <row r="81" spans="1:6" s="631" customFormat="1">
      <c r="A81" s="1243">
        <f ca="1">IFERROR(IF(OFFSET(A81,-1,0)&gt;0,OFFSET(A81,-1,0)+0.001,ERROR.TYPE(0)),IFERROR(IF(OFFSET(A81,-2,0)&gt;0,OFFSET(A81,-2,0)+0.001,ERROR.TYPE(0)),IFERROR(IF(OFFSET(A81,-3,0)&gt;0,OFFSET(A81,-3,0)+0.001,ERROR.TYPE(0)),IFERROR(IF(OFFSET(A81,-4,0)&gt;0,OFFSET(A81,-4,0)+0.001,ERROR.TYPE(0)),IFERROR(IF(OFFSET(A81,-5,0)&gt;0,OFFSET(A81,-5,0)+0.001,ERROR.TYPE(0)),IFERROR(IF(OFFSET(A81,-6,0)&gt;0,OFFSET(A81,-6,0)+0.001,ERROR.TYPE(0)),IFERROR(IF(OFFSET(A81,-7,0)&gt;0,OFFSET(A81,-7,0)+0.001,ERROR.TYPE(0)),IFERROR(IF(OFFSET(A81,-8,0)&gt;0,OFFSET(A81,-8,0)+0.001,ERROR.TYPE(0)),IFERROR(IF(OFFSET(A81,-9,0)&gt;0,OFFSET(A81,-9,0)+0.001,ERROR.TYPE(0)),IFERROR(IF(OFFSET(A81,-10,0)&gt;0,OFFSET(A81,-10,0)+0.001,ERROR.TYPE(0)),ERROR.TYPE(0)))))))))))</f>
        <v>2.0389999999999957</v>
      </c>
      <c r="B81" s="865" t="s">
        <v>2062</v>
      </c>
      <c r="C81" s="1251">
        <v>5</v>
      </c>
      <c r="D81" s="646" t="s">
        <v>141</v>
      </c>
      <c r="E81" s="649">
        <f>Elec_Est!E8445</f>
        <v>36.950000000000003</v>
      </c>
      <c r="F81" s="1125">
        <f>IFERROR($C81*E81,E81)</f>
        <v>184.75</v>
      </c>
    </row>
    <row r="82" spans="1:6" s="631" customFormat="1">
      <c r="A82" s="643">
        <f ca="1">IFERROR(IF(OFFSET(A82,-1,0)&gt;0,OFFSET(A82,-1,0)+0.001,ERROR.TYPE(0)),IFERROR(IF(OFFSET(A82,-2,0)&gt;0,OFFSET(A82,-2,0)+0.001,ERROR.TYPE(0)),IFERROR(IF(OFFSET(A82,-3,0)&gt;0,OFFSET(A82,-3,0)+0.001,ERROR.TYPE(0)),IFERROR(IF(OFFSET(A82,-4,0)&gt;0,OFFSET(A82,-4,0)+0.001,ERROR.TYPE(0)),IFERROR(IF(OFFSET(A82,-5,0)&gt;0,OFFSET(A82,-5,0)+0.001,ERROR.TYPE(0)),IFERROR(IF(OFFSET(A82,-6,0)&gt;0,OFFSET(A82,-6,0)+0.001,ERROR.TYPE(0)),IFERROR(IF(OFFSET(A82,-7,0)&gt;0,OFFSET(A82,-7,0)+0.001,ERROR.TYPE(0)),IFERROR(IF(OFFSET(A82,-8,0)&gt;0,OFFSET(A82,-8,0)+0.001,ERROR.TYPE(0)),IFERROR(IF(OFFSET(A82,-9,0)&gt;0,OFFSET(A82,-9,0)+0.001,ERROR.TYPE(0)),IFERROR(IF(OFFSET(A82,-10,0)&gt;0,OFFSET(A82,-10,0)+0.001,ERROR.TYPE(0)),ERROR.TYPE(0)))))))))))</f>
        <v>2.0399999999999956</v>
      </c>
      <c r="B82" s="865" t="s">
        <v>2063</v>
      </c>
      <c r="C82" s="646">
        <v>52</v>
      </c>
      <c r="D82" s="646" t="s">
        <v>141</v>
      </c>
      <c r="E82" s="649">
        <f>Elec_Est!E8451</f>
        <v>36.950000000000003</v>
      </c>
      <c r="F82" s="1125">
        <f>IFERROR($C82*E82,E82)</f>
        <v>1921.4</v>
      </c>
    </row>
    <row r="83" spans="1:6" s="631" customFormat="1" ht="15.6" customHeight="1">
      <c r="A83" s="643">
        <f ca="1">IFERROR(IF(OFFSET(A83,-1,0)&gt;0,OFFSET(A83,-1,0)+0.001,ERROR.TYPE(0)),IFERROR(IF(OFFSET(A83,-2,0)&gt;0,OFFSET(A83,-2,0)+0.001,ERROR.TYPE(0)),IFERROR(IF(OFFSET(A83,-3,0)&gt;0,OFFSET(A83,-3,0)+0.001,ERROR.TYPE(0)),IFERROR(IF(OFFSET(A83,-4,0)&gt;0,OFFSET(A83,-4,0)+0.001,ERROR.TYPE(0)),IFERROR(IF(OFFSET(A83,-5,0)&gt;0,OFFSET(A83,-5,0)+0.001,ERROR.TYPE(0)),IFERROR(IF(OFFSET(A83,-6,0)&gt;0,OFFSET(A83,-6,0)+0.001,ERROR.TYPE(0)),IFERROR(IF(OFFSET(A83,-7,0)&gt;0,OFFSET(A83,-7,0)+0.001,ERROR.TYPE(0)),IFERROR(IF(OFFSET(A83,-8,0)&gt;0,OFFSET(A83,-8,0)+0.001,ERROR.TYPE(0)),IFERROR(IF(OFFSET(A83,-9,0)&gt;0,OFFSET(A83,-9,0)+0.001,ERROR.TYPE(0)),IFERROR(IF(OFFSET(A83,-10,0)&gt;0,OFFSET(A83,-10,0)+0.001,ERROR.TYPE(0)),ERROR.TYPE(0)))))))))))</f>
        <v>2.0409999999999955</v>
      </c>
      <c r="B83" s="865" t="s">
        <v>2064</v>
      </c>
      <c r="C83" s="646">
        <v>9</v>
      </c>
      <c r="D83" s="646" t="s">
        <v>141</v>
      </c>
      <c r="E83" s="649">
        <f>Elec_Est!E8457</f>
        <v>36.950000000000003</v>
      </c>
      <c r="F83" s="1125">
        <f>IFERROR($C83*E83,E83)</f>
        <v>332.55</v>
      </c>
    </row>
    <row r="84" spans="1:6" s="631" customFormat="1">
      <c r="A84" s="643">
        <f t="shared" ref="A84:A89" ca="1" si="11">IFERROR(IF(OFFSET(A84,-1,0)&gt;0,OFFSET(A84,-1,0)+0.001,ERROR.TYPE(0)),IFERROR(IF(OFFSET(A84,-2,0)&gt;0,OFFSET(A84,-2,0)+0.001,ERROR.TYPE(0)),IFERROR(IF(OFFSET(A84,-3,0)&gt;0,OFFSET(A84,-3,0)+0.001,ERROR.TYPE(0)),IFERROR(IF(OFFSET(A84,-4,0)&gt;0,OFFSET(A84,-4,0)+0.001,ERROR.TYPE(0)),IFERROR(IF(OFFSET(A84,-5,0)&gt;0,OFFSET(A84,-5,0)+0.001,ERROR.TYPE(0)),IFERROR(IF(OFFSET(A84,-6,0)&gt;0,OFFSET(A84,-6,0)+0.001,ERROR.TYPE(0)),IFERROR(IF(OFFSET(A84,-7,0)&gt;0,OFFSET(A84,-7,0)+0.001,ERROR.TYPE(0)),IFERROR(IF(OFFSET(A84,-8,0)&gt;0,OFFSET(A84,-8,0)+0.001,ERROR.TYPE(0)),IFERROR(IF(OFFSET(A84,-9,0)&gt;0,OFFSET(A84,-9,0)+0.001,ERROR.TYPE(0)),IFERROR(IF(OFFSET(A84,-10,0)&gt;0,OFFSET(A84,-10,0)+0.001,ERROR.TYPE(0)),ERROR.TYPE(0)))))))))))</f>
        <v>2.0419999999999954</v>
      </c>
      <c r="B84" s="865" t="s">
        <v>2065</v>
      </c>
      <c r="C84" s="646">
        <v>1</v>
      </c>
      <c r="D84" s="646" t="s">
        <v>141</v>
      </c>
      <c r="E84" s="649">
        <f>Elec_Est!E8463</f>
        <v>36.950000000000003</v>
      </c>
      <c r="F84" s="1125">
        <f>IFERROR($C84*E84,E84)</f>
        <v>36.950000000000003</v>
      </c>
    </row>
    <row r="85" spans="1:6" s="631" customFormat="1">
      <c r="A85" s="643">
        <f t="shared" ca="1" si="11"/>
        <v>2.0429999999999953</v>
      </c>
      <c r="B85" s="865" t="s">
        <v>2073</v>
      </c>
      <c r="C85" s="646">
        <v>4</v>
      </c>
      <c r="D85" s="646" t="s">
        <v>141</v>
      </c>
      <c r="E85" s="649">
        <f>Elec_Est!E8469</f>
        <v>36.950000000000003</v>
      </c>
      <c r="F85" s="1125">
        <f t="shared" ref="F85:F87" si="12">IFERROR($C85*E85,E85)</f>
        <v>147.80000000000001</v>
      </c>
    </row>
    <row r="86" spans="1:6" s="631" customFormat="1">
      <c r="A86" s="643">
        <f t="shared" ca="1" si="11"/>
        <v>2.0439999999999952</v>
      </c>
      <c r="B86" s="865" t="s">
        <v>2074</v>
      </c>
      <c r="C86" s="646">
        <v>4</v>
      </c>
      <c r="D86" s="646" t="s">
        <v>141</v>
      </c>
      <c r="E86" s="649">
        <f>Elec_Est!E8475</f>
        <v>36.950000000000003</v>
      </c>
      <c r="F86" s="1125">
        <f t="shared" si="12"/>
        <v>147.80000000000001</v>
      </c>
    </row>
    <row r="87" spans="1:6" s="631" customFormat="1">
      <c r="A87" s="643">
        <f t="shared" ca="1" si="11"/>
        <v>2.044999999999995</v>
      </c>
      <c r="B87" s="865" t="s">
        <v>2075</v>
      </c>
      <c r="C87" s="646">
        <v>4</v>
      </c>
      <c r="D87" s="646" t="s">
        <v>141</v>
      </c>
      <c r="E87" s="649">
        <f>Elec_Est!E8481</f>
        <v>36.950000000000003</v>
      </c>
      <c r="F87" s="1125">
        <f t="shared" si="12"/>
        <v>147.80000000000001</v>
      </c>
    </row>
    <row r="88" spans="1:6" s="631" customFormat="1">
      <c r="A88" s="643">
        <f ca="1">IFERROR(IF(OFFSET(A88,-1,0)&gt;0,OFFSET(A88,-1,0)+0.001,ERROR.TYPE(0)),IFERROR(IF(OFFSET(A88,-2,0)&gt;0,OFFSET(A88,-2,0)+0.001,ERROR.TYPE(0)),IFERROR(IF(OFFSET(A88,-3,0)&gt;0,OFFSET(A88,-3,0)+0.001,ERROR.TYPE(0)),IFERROR(IF(OFFSET(A88,-4,0)&gt;0,OFFSET(A88,-4,0)+0.001,ERROR.TYPE(0)),IFERROR(IF(OFFSET(A88,-5,0)&gt;0,OFFSET(A88,-5,0)+0.001,ERROR.TYPE(0)),IFERROR(IF(OFFSET(A88,-6,0)&gt;0,OFFSET(A88,-6,0)+0.001,ERROR.TYPE(0)),IFERROR(IF(OFFSET(A88,-7,0)&gt;0,OFFSET(A88,-7,0)+0.001,ERROR.TYPE(0)),IFERROR(IF(OFFSET(A88,-8,0)&gt;0,OFFSET(A88,-8,0)+0.001,ERROR.TYPE(0)),IFERROR(IF(OFFSET(A88,-9,0)&gt;0,OFFSET(A88,-9,0)+0.001,ERROR.TYPE(0)),IFERROR(IF(OFFSET(A88,-10,0)&gt;0,OFFSET(A88,-10,0)+0.001,ERROR.TYPE(0)),ERROR.TYPE(0)))))))))))</f>
        <v>2.0459999999999949</v>
      </c>
      <c r="B88" s="657" t="s">
        <v>2066</v>
      </c>
      <c r="C88" s="646">
        <v>1</v>
      </c>
      <c r="D88" s="646" t="s">
        <v>141</v>
      </c>
      <c r="E88" s="649">
        <f>Elec_Est!E8487</f>
        <v>36.950000000000003</v>
      </c>
      <c r="F88" s="1125">
        <f>IFERROR($C88*E88,E88)</f>
        <v>36.950000000000003</v>
      </c>
    </row>
    <row r="89" spans="1:6" s="631" customFormat="1">
      <c r="A89" s="643">
        <f t="shared" ca="1" si="11"/>
        <v>2.0469999999999948</v>
      </c>
      <c r="B89" s="865" t="s">
        <v>2068</v>
      </c>
      <c r="C89" s="646">
        <v>1</v>
      </c>
      <c r="D89" s="646" t="s">
        <v>141</v>
      </c>
      <c r="E89" s="649">
        <f>Elec_Est!E8493</f>
        <v>36.950000000000003</v>
      </c>
      <c r="F89" s="1125">
        <f t="shared" ref="F89" si="13">IFERROR($C89*E89,E89)</f>
        <v>36.950000000000003</v>
      </c>
    </row>
    <row r="90" spans="1:6" s="631" customFormat="1">
      <c r="A90" s="638"/>
      <c r="B90" s="866" t="s">
        <v>2070</v>
      </c>
      <c r="C90" s="646"/>
      <c r="D90" s="646"/>
      <c r="E90" s="649"/>
      <c r="F90" s="1125"/>
    </row>
    <row r="91" spans="1:6" s="631" customFormat="1">
      <c r="A91" s="1243">
        <f ca="1">IFERROR(IF(OFFSET(A91,-1,0)&gt;0,OFFSET(A91,-1,0)+0.001,ERROR.TYPE(0)),IFERROR(IF(OFFSET(A91,-2,0)&gt;0,OFFSET(A91,-2,0)+0.001,ERROR.TYPE(0)),IFERROR(IF(OFFSET(A91,-3,0)&gt;0,OFFSET(A91,-3,0)+0.001,ERROR.TYPE(0)),IFERROR(IF(OFFSET(A91,-4,0)&gt;0,OFFSET(A91,-4,0)+0.001,ERROR.TYPE(0)),IFERROR(IF(OFFSET(A91,-5,0)&gt;0,OFFSET(A91,-5,0)+0.001,ERROR.TYPE(0)),IFERROR(IF(OFFSET(A91,-6,0)&gt;0,OFFSET(A91,-6,0)+0.001,ERROR.TYPE(0)),IFERROR(IF(OFFSET(A91,-7,0)&gt;0,OFFSET(A91,-7,0)+0.001,ERROR.TYPE(0)),IFERROR(IF(OFFSET(A91,-8,0)&gt;0,OFFSET(A91,-8,0)+0.001,ERROR.TYPE(0)),IFERROR(IF(OFFSET(A91,-9,0)&gt;0,OFFSET(A91,-9,0)+0.001,ERROR.TYPE(0)),IFERROR(IF(OFFSET(A91,-10,0)&gt;0,OFFSET(A91,-10,0)+0.001,ERROR.TYPE(0)),ERROR.TYPE(0)))))))))))</f>
        <v>2.0479999999999947</v>
      </c>
      <c r="B91" s="865" t="s">
        <v>2061</v>
      </c>
      <c r="C91" s="1251">
        <v>8</v>
      </c>
      <c r="D91" s="646" t="s">
        <v>141</v>
      </c>
      <c r="E91" s="649">
        <f>Elec_Est!E8503</f>
        <v>52.23</v>
      </c>
      <c r="F91" s="1125">
        <f>IFERROR($C91*E91,E91)</f>
        <v>417.84</v>
      </c>
    </row>
    <row r="92" spans="1:6" s="631" customFormat="1">
      <c r="A92" s="1243">
        <f ca="1">IFERROR(IF(OFFSET(A92,-1,0)&gt;0,OFFSET(A92,-1,0)+0.001,ERROR.TYPE(0)),IFERROR(IF(OFFSET(A92,-2,0)&gt;0,OFFSET(A92,-2,0)+0.001,ERROR.TYPE(0)),IFERROR(IF(OFFSET(A92,-3,0)&gt;0,OFFSET(A92,-3,0)+0.001,ERROR.TYPE(0)),IFERROR(IF(OFFSET(A92,-4,0)&gt;0,OFFSET(A92,-4,0)+0.001,ERROR.TYPE(0)),IFERROR(IF(OFFSET(A92,-5,0)&gt;0,OFFSET(A92,-5,0)+0.001,ERROR.TYPE(0)),IFERROR(IF(OFFSET(A92,-6,0)&gt;0,OFFSET(A92,-6,0)+0.001,ERROR.TYPE(0)),IFERROR(IF(OFFSET(A92,-7,0)&gt;0,OFFSET(A92,-7,0)+0.001,ERROR.TYPE(0)),IFERROR(IF(OFFSET(A92,-8,0)&gt;0,OFFSET(A92,-8,0)+0.001,ERROR.TYPE(0)),IFERROR(IF(OFFSET(A92,-9,0)&gt;0,OFFSET(A92,-9,0)+0.001,ERROR.TYPE(0)),IFERROR(IF(OFFSET(A92,-10,0)&gt;0,OFFSET(A92,-10,0)+0.001,ERROR.TYPE(0)),ERROR.TYPE(0)))))))))))</f>
        <v>2.0489999999999946</v>
      </c>
      <c r="B92" s="865" t="s">
        <v>2062</v>
      </c>
      <c r="C92" s="1251">
        <v>5</v>
      </c>
      <c r="D92" s="646" t="s">
        <v>141</v>
      </c>
      <c r="E92" s="649">
        <f>Elec_Est!E8509</f>
        <v>93.61</v>
      </c>
      <c r="F92" s="1125">
        <f>IFERROR($C92*E92,E92)</f>
        <v>468.05</v>
      </c>
    </row>
    <row r="93" spans="1:6" s="631" customFormat="1">
      <c r="A93" s="643">
        <f ca="1">IFERROR(IF(OFFSET(A93,-1,0)&gt;0,OFFSET(A93,-1,0)+0.001,ERROR.TYPE(0)),IFERROR(IF(OFFSET(A93,-2,0)&gt;0,OFFSET(A93,-2,0)+0.001,ERROR.TYPE(0)),IFERROR(IF(OFFSET(A93,-3,0)&gt;0,OFFSET(A93,-3,0)+0.001,ERROR.TYPE(0)),IFERROR(IF(OFFSET(A93,-4,0)&gt;0,OFFSET(A93,-4,0)+0.001,ERROR.TYPE(0)),IFERROR(IF(OFFSET(A93,-5,0)&gt;0,OFFSET(A93,-5,0)+0.001,ERROR.TYPE(0)),IFERROR(IF(OFFSET(A93,-6,0)&gt;0,OFFSET(A93,-6,0)+0.001,ERROR.TYPE(0)),IFERROR(IF(OFFSET(A93,-7,0)&gt;0,OFFSET(A93,-7,0)+0.001,ERROR.TYPE(0)),IFERROR(IF(OFFSET(A93,-8,0)&gt;0,OFFSET(A93,-8,0)+0.001,ERROR.TYPE(0)),IFERROR(IF(OFFSET(A93,-9,0)&gt;0,OFFSET(A93,-9,0)+0.001,ERROR.TYPE(0)),IFERROR(IF(OFFSET(A93,-10,0)&gt;0,OFFSET(A93,-10,0)+0.001,ERROR.TYPE(0)),ERROR.TYPE(0)))))))))))</f>
        <v>2.0499999999999945</v>
      </c>
      <c r="B93" s="865" t="s">
        <v>2063</v>
      </c>
      <c r="C93" s="646">
        <v>52</v>
      </c>
      <c r="D93" s="646" t="s">
        <v>141</v>
      </c>
      <c r="E93" s="649">
        <f>Elec_Est!E8515</f>
        <v>51.24</v>
      </c>
      <c r="F93" s="1125">
        <f>IFERROR($C93*E93,E93)</f>
        <v>2664.48</v>
      </c>
    </row>
    <row r="94" spans="1:6" s="631" customFormat="1" ht="15.6" customHeight="1">
      <c r="A94" s="643">
        <f ca="1">IFERROR(IF(OFFSET(A94,-1,0)&gt;0,OFFSET(A94,-1,0)+0.001,ERROR.TYPE(0)),IFERROR(IF(OFFSET(A94,-2,0)&gt;0,OFFSET(A94,-2,0)+0.001,ERROR.TYPE(0)),IFERROR(IF(OFFSET(A94,-3,0)&gt;0,OFFSET(A94,-3,0)+0.001,ERROR.TYPE(0)),IFERROR(IF(OFFSET(A94,-4,0)&gt;0,OFFSET(A94,-4,0)+0.001,ERROR.TYPE(0)),IFERROR(IF(OFFSET(A94,-5,0)&gt;0,OFFSET(A94,-5,0)+0.001,ERROR.TYPE(0)),IFERROR(IF(OFFSET(A94,-6,0)&gt;0,OFFSET(A94,-6,0)+0.001,ERROR.TYPE(0)),IFERROR(IF(OFFSET(A94,-7,0)&gt;0,OFFSET(A94,-7,0)+0.001,ERROR.TYPE(0)),IFERROR(IF(OFFSET(A94,-8,0)&gt;0,OFFSET(A94,-8,0)+0.001,ERROR.TYPE(0)),IFERROR(IF(OFFSET(A94,-9,0)&gt;0,OFFSET(A94,-9,0)+0.001,ERROR.TYPE(0)),IFERROR(IF(OFFSET(A94,-10,0)&gt;0,OFFSET(A94,-10,0)+0.001,ERROR.TYPE(0)),ERROR.TYPE(0)))))))))))</f>
        <v>2.0509999999999944</v>
      </c>
      <c r="B94" s="865" t="s">
        <v>2064</v>
      </c>
      <c r="C94" s="646">
        <v>9</v>
      </c>
      <c r="D94" s="646" t="s">
        <v>141</v>
      </c>
      <c r="E94" s="649">
        <f>Elec_Est!E8521</f>
        <v>92.63</v>
      </c>
      <c r="F94" s="1125">
        <f>IFERROR($C94*E94,E94)</f>
        <v>833.67</v>
      </c>
    </row>
    <row r="95" spans="1:6" s="631" customFormat="1">
      <c r="A95" s="643">
        <f t="shared" ref="A95:A100" ca="1" si="14">IFERROR(IF(OFFSET(A95,-1,0)&gt;0,OFFSET(A95,-1,0)+0.001,ERROR.TYPE(0)),IFERROR(IF(OFFSET(A95,-2,0)&gt;0,OFFSET(A95,-2,0)+0.001,ERROR.TYPE(0)),IFERROR(IF(OFFSET(A95,-3,0)&gt;0,OFFSET(A95,-3,0)+0.001,ERROR.TYPE(0)),IFERROR(IF(OFFSET(A95,-4,0)&gt;0,OFFSET(A95,-4,0)+0.001,ERROR.TYPE(0)),IFERROR(IF(OFFSET(A95,-5,0)&gt;0,OFFSET(A95,-5,0)+0.001,ERROR.TYPE(0)),IFERROR(IF(OFFSET(A95,-6,0)&gt;0,OFFSET(A95,-6,0)+0.001,ERROR.TYPE(0)),IFERROR(IF(OFFSET(A95,-7,0)&gt;0,OFFSET(A95,-7,0)+0.001,ERROR.TYPE(0)),IFERROR(IF(OFFSET(A95,-8,0)&gt;0,OFFSET(A95,-8,0)+0.001,ERROR.TYPE(0)),IFERROR(IF(OFFSET(A95,-9,0)&gt;0,OFFSET(A95,-9,0)+0.001,ERROR.TYPE(0)),IFERROR(IF(OFFSET(A95,-10,0)&gt;0,OFFSET(A95,-10,0)+0.001,ERROR.TYPE(0)),ERROR.TYPE(0)))))))))))</f>
        <v>2.0519999999999943</v>
      </c>
      <c r="B95" s="865" t="s">
        <v>2071</v>
      </c>
      <c r="C95" s="646">
        <v>1</v>
      </c>
      <c r="D95" s="646" t="s">
        <v>141</v>
      </c>
      <c r="E95" s="649">
        <f>Elec_Est!E8527</f>
        <v>54.2</v>
      </c>
      <c r="F95" s="1125">
        <f>IFERROR($C95*E95,E95)</f>
        <v>54.2</v>
      </c>
    </row>
    <row r="96" spans="1:6" s="631" customFormat="1">
      <c r="A96" s="643">
        <f t="shared" ca="1" si="14"/>
        <v>2.0529999999999942</v>
      </c>
      <c r="B96" s="865" t="s">
        <v>2073</v>
      </c>
      <c r="C96" s="646">
        <v>4</v>
      </c>
      <c r="D96" s="646" t="s">
        <v>141</v>
      </c>
      <c r="E96" s="649">
        <f>Elec_Est!E8533</f>
        <v>77.849999999999994</v>
      </c>
      <c r="F96" s="1125">
        <f t="shared" ref="F96:F98" si="15">IFERROR($C96*E96,E96)</f>
        <v>311.39999999999998</v>
      </c>
    </row>
    <row r="97" spans="1:6" s="631" customFormat="1">
      <c r="A97" s="643">
        <f t="shared" ca="1" si="14"/>
        <v>2.0539999999999941</v>
      </c>
      <c r="B97" s="865" t="s">
        <v>2074</v>
      </c>
      <c r="C97" s="646">
        <v>4</v>
      </c>
      <c r="D97" s="646" t="s">
        <v>141</v>
      </c>
      <c r="E97" s="649">
        <f>Elec_Est!E8539</f>
        <v>77.849999999999994</v>
      </c>
      <c r="F97" s="1125">
        <f t="shared" si="15"/>
        <v>311.39999999999998</v>
      </c>
    </row>
    <row r="98" spans="1:6" s="631" customFormat="1">
      <c r="A98" s="643">
        <f t="shared" ca="1" si="14"/>
        <v>2.0549999999999939</v>
      </c>
      <c r="B98" s="865" t="s">
        <v>2075</v>
      </c>
      <c r="C98" s="646">
        <v>4</v>
      </c>
      <c r="D98" s="646" t="s">
        <v>141</v>
      </c>
      <c r="E98" s="649">
        <f>Elec_Est!E8545</f>
        <v>77.849999999999994</v>
      </c>
      <c r="F98" s="1125">
        <f t="shared" si="15"/>
        <v>311.39999999999998</v>
      </c>
    </row>
    <row r="99" spans="1:6" s="631" customFormat="1">
      <c r="A99" s="643">
        <f ca="1">IFERROR(IF(OFFSET(A99,-1,0)&gt;0,OFFSET(A99,-1,0)+0.001,ERROR.TYPE(0)),IFERROR(IF(OFFSET(A99,-2,0)&gt;0,OFFSET(A99,-2,0)+0.001,ERROR.TYPE(0)),IFERROR(IF(OFFSET(A99,-3,0)&gt;0,OFFSET(A99,-3,0)+0.001,ERROR.TYPE(0)),IFERROR(IF(OFFSET(A99,-4,0)&gt;0,OFFSET(A99,-4,0)+0.001,ERROR.TYPE(0)),IFERROR(IF(OFFSET(A99,-5,0)&gt;0,OFFSET(A99,-5,0)+0.001,ERROR.TYPE(0)),IFERROR(IF(OFFSET(A99,-6,0)&gt;0,OFFSET(A99,-6,0)+0.001,ERROR.TYPE(0)),IFERROR(IF(OFFSET(A99,-7,0)&gt;0,OFFSET(A99,-7,0)+0.001,ERROR.TYPE(0)),IFERROR(IF(OFFSET(A99,-8,0)&gt;0,OFFSET(A99,-8,0)+0.001,ERROR.TYPE(0)),IFERROR(IF(OFFSET(A99,-9,0)&gt;0,OFFSET(A99,-9,0)+0.001,ERROR.TYPE(0)),IFERROR(IF(OFFSET(A99,-10,0)&gt;0,OFFSET(A99,-10,0)+0.001,ERROR.TYPE(0)),ERROR.TYPE(0)))))))))))</f>
        <v>2.0559999999999938</v>
      </c>
      <c r="B99" s="657" t="s">
        <v>2066</v>
      </c>
      <c r="C99" s="646">
        <v>1</v>
      </c>
      <c r="D99" s="646" t="s">
        <v>141</v>
      </c>
      <c r="E99" s="649">
        <f>Elec_Est!E8551</f>
        <v>77.849999999999994</v>
      </c>
      <c r="F99" s="1125">
        <f>IFERROR($C99*E99,E99)</f>
        <v>77.849999999999994</v>
      </c>
    </row>
    <row r="100" spans="1:6" s="631" customFormat="1">
      <c r="A100" s="643">
        <f t="shared" ca="1" si="14"/>
        <v>2.0569999999999937</v>
      </c>
      <c r="B100" s="865" t="s">
        <v>2068</v>
      </c>
      <c r="C100" s="646">
        <v>1</v>
      </c>
      <c r="D100" s="646" t="s">
        <v>141</v>
      </c>
      <c r="E100" s="649">
        <f>Elec_Est!E8557</f>
        <v>77.849999999999994</v>
      </c>
      <c r="F100" s="1125">
        <f t="shared" ref="F100" si="16">IFERROR($C100*E100,E100)</f>
        <v>77.849999999999994</v>
      </c>
    </row>
    <row r="101" spans="1:6" s="631" customFormat="1" ht="15" customHeight="1">
      <c r="A101" s="867"/>
      <c r="B101" s="639" t="s">
        <v>370</v>
      </c>
      <c r="C101" s="1456" t="s">
        <v>305</v>
      </c>
      <c r="D101" s="1457"/>
      <c r="E101" s="652"/>
      <c r="F101" s="1123">
        <f ca="1">SUM(F68:F100)</f>
        <v>17553.82</v>
      </c>
    </row>
    <row r="102" spans="1:6" s="631" customFormat="1">
      <c r="A102" s="868"/>
      <c r="B102" s="666"/>
      <c r="C102" s="654"/>
      <c r="D102" s="654"/>
      <c r="E102" s="655"/>
      <c r="F102" s="1126"/>
    </row>
    <row r="103" spans="1:6" s="631" customFormat="1">
      <c r="A103" s="653"/>
      <c r="B103" s="666"/>
      <c r="C103" s="654"/>
      <c r="D103" s="654"/>
      <c r="E103" s="655"/>
      <c r="F103" s="1126"/>
    </row>
    <row r="104" spans="1:6" s="631" customFormat="1" ht="27.6">
      <c r="A104" s="634" t="s">
        <v>143</v>
      </c>
      <c r="B104" s="635" t="s">
        <v>198</v>
      </c>
      <c r="C104" s="636" t="s">
        <v>199</v>
      </c>
      <c r="D104" s="636" t="s">
        <v>200</v>
      </c>
      <c r="E104" s="637" t="s">
        <v>294</v>
      </c>
      <c r="F104" s="1122" t="s">
        <v>295</v>
      </c>
    </row>
    <row r="105" spans="1:6" s="631" customFormat="1">
      <c r="A105" s="643"/>
      <c r="B105" s="714" t="s">
        <v>2076</v>
      </c>
      <c r="C105" s="646"/>
      <c r="D105" s="646"/>
      <c r="E105" s="649"/>
      <c r="F105" s="1125"/>
    </row>
    <row r="106" spans="1:6" s="631" customFormat="1" ht="41.4">
      <c r="A106" s="643"/>
      <c r="B106" s="864" t="s">
        <v>2077</v>
      </c>
      <c r="C106" s="646"/>
      <c r="D106" s="646"/>
      <c r="E106" s="649"/>
      <c r="F106" s="1125"/>
    </row>
    <row r="107" spans="1:6" s="631" customFormat="1">
      <c r="A107" s="643">
        <f ca="1">IFERROR(IF(OFFSET(A107,-1,0)&gt;0,OFFSET(A107,-1,0)+0.001,ERROR.TYPE(0)),IFERROR(IF(OFFSET(A107,-2,0)&gt;0,OFFSET(A107,-2,0)+0.001,ERROR.TYPE(0)),IFERROR(IF(OFFSET(A107,-3,0)&gt;0,OFFSET(A107,-3,0)+0.001,ERROR.TYPE(0)),IFERROR(IF(OFFSET(A107,-4,0)&gt;0,OFFSET(A107,-4,0)+0.001,ERROR.TYPE(0)),IFERROR(IF(OFFSET(A107,-5,0)&gt;0,OFFSET(A107,-5,0)+0.001,ERROR.TYPE(0)),IFERROR(IF(OFFSET(A107,-6,0)&gt;0,OFFSET(A107,-6,0)+0.001,ERROR.TYPE(0)),IFERROR(IF(OFFSET(A107,-7,0)&gt;0,OFFSET(A107,-7,0)+0.001,ERROR.TYPE(0)),IFERROR(IF(OFFSET(A107,-8,0)&gt;0,OFFSET(A107,-8,0)+0.001,ERROR.TYPE(0)),IFERROR(IF(OFFSET(A107,-9,0)&gt;0,OFFSET(A107,-9,0)+0.001,ERROR.TYPE(0)),IFERROR(IF(OFFSET(A107,-10,0)&gt;0,OFFSET(A107,-10,0)+0.001,ERROR.TYPE(0)),ERROR.TYPE(0)))))))))))</f>
        <v>2.0579999999999936</v>
      </c>
      <c r="B107" s="865" t="s">
        <v>2061</v>
      </c>
      <c r="C107" s="646">
        <v>12</v>
      </c>
      <c r="D107" s="646" t="s">
        <v>141</v>
      </c>
      <c r="E107" s="649">
        <f ca="1">Elec_Est!E8577</f>
        <v>49.52</v>
      </c>
      <c r="F107" s="1125">
        <f t="shared" ref="F107:F114" ca="1" si="17">IFERROR($C107*E107,E107)</f>
        <v>594.24</v>
      </c>
    </row>
    <row r="108" spans="1:6" s="631" customFormat="1">
      <c r="A108" s="643">
        <f ca="1">IFERROR(IF(OFFSET(A108,-1,0)&gt;0,OFFSET(A108,-1,0)+0.001,ERROR.TYPE(0)),IFERROR(IF(OFFSET(A108,-2,0)&gt;0,OFFSET(A108,-2,0)+0.001,ERROR.TYPE(0)),IFERROR(IF(OFFSET(A108,-3,0)&gt;0,OFFSET(A108,-3,0)+0.001,ERROR.TYPE(0)),IFERROR(IF(OFFSET(A108,-4,0)&gt;0,OFFSET(A108,-4,0)+0.001,ERROR.TYPE(0)),IFERROR(IF(OFFSET(A108,-5,0)&gt;0,OFFSET(A108,-5,0)+0.001,ERROR.TYPE(0)),IFERROR(IF(OFFSET(A108,-6,0)&gt;0,OFFSET(A108,-6,0)+0.001,ERROR.TYPE(0)),IFERROR(IF(OFFSET(A108,-7,0)&gt;0,OFFSET(A108,-7,0)+0.001,ERROR.TYPE(0)),IFERROR(IF(OFFSET(A108,-8,0)&gt;0,OFFSET(A108,-8,0)+0.001,ERROR.TYPE(0)),IFERROR(IF(OFFSET(A108,-9,0)&gt;0,OFFSET(A108,-9,0)+0.001,ERROR.TYPE(0)),IFERROR(IF(OFFSET(A108,-10,0)&gt;0,OFFSET(A108,-10,0)+0.001,ERROR.TYPE(0)),ERROR.TYPE(0)))))))))))</f>
        <v>2.0589999999999935</v>
      </c>
      <c r="B108" s="865" t="s">
        <v>2062</v>
      </c>
      <c r="C108" s="646">
        <v>2</v>
      </c>
      <c r="D108" s="646" t="s">
        <v>141</v>
      </c>
      <c r="E108" s="649">
        <f ca="1">Elec_Est!E8584</f>
        <v>49.52</v>
      </c>
      <c r="F108" s="1125">
        <f ca="1">IFERROR($C108*E108,E108)</f>
        <v>99.04</v>
      </c>
    </row>
    <row r="109" spans="1:6" s="631" customFormat="1">
      <c r="A109" s="643">
        <f ca="1">IFERROR(IF(OFFSET(A109,-1,0)&gt;0,OFFSET(A109,-1,0)+0.001,ERROR.TYPE(0)),IFERROR(IF(OFFSET(A109,-2,0)&gt;0,OFFSET(A109,-2,0)+0.001,ERROR.TYPE(0)),IFERROR(IF(OFFSET(A109,-3,0)&gt;0,OFFSET(A109,-3,0)+0.001,ERROR.TYPE(0)),IFERROR(IF(OFFSET(A109,-4,0)&gt;0,OFFSET(A109,-4,0)+0.001,ERROR.TYPE(0)),IFERROR(IF(OFFSET(A109,-5,0)&gt;0,OFFSET(A109,-5,0)+0.001,ERROR.TYPE(0)),IFERROR(IF(OFFSET(A109,-6,0)&gt;0,OFFSET(A109,-6,0)+0.001,ERROR.TYPE(0)),IFERROR(IF(OFFSET(A109,-7,0)&gt;0,OFFSET(A109,-7,0)+0.001,ERROR.TYPE(0)),IFERROR(IF(OFFSET(A109,-8,0)&gt;0,OFFSET(A109,-8,0)+0.001,ERROR.TYPE(0)),IFERROR(IF(OFFSET(A109,-9,0)&gt;0,OFFSET(A109,-9,0)+0.001,ERROR.TYPE(0)),IFERROR(IF(OFFSET(A109,-10,0)&gt;0,OFFSET(A109,-10,0)+0.001,ERROR.TYPE(0)),ERROR.TYPE(0)))))))))))</f>
        <v>2.0599999999999934</v>
      </c>
      <c r="B109" s="657" t="s">
        <v>2078</v>
      </c>
      <c r="C109" s="646">
        <v>1</v>
      </c>
      <c r="D109" s="646" t="s">
        <v>141</v>
      </c>
      <c r="E109" s="649">
        <f ca="1">Elec_Est!E8591</f>
        <v>49.52</v>
      </c>
      <c r="F109" s="1125">
        <f ca="1">IFERROR($C109*E109,E109)</f>
        <v>49.52</v>
      </c>
    </row>
    <row r="110" spans="1:6" s="631" customFormat="1">
      <c r="A110" s="643">
        <f t="shared" ref="A110:A313" ca="1" si="18">IFERROR(IF(OFFSET(A110,-1,0)&gt;0,OFFSET(A110,-1,0)+0.001,ERROR.TYPE(0)),IFERROR(IF(OFFSET(A110,-2,0)&gt;0,OFFSET(A110,-2,0)+0.001,ERROR.TYPE(0)),IFERROR(IF(OFFSET(A110,-3,0)&gt;0,OFFSET(A110,-3,0)+0.001,ERROR.TYPE(0)),IFERROR(IF(OFFSET(A110,-4,0)&gt;0,OFFSET(A110,-4,0)+0.001,ERROR.TYPE(0)),IFERROR(IF(OFFSET(A110,-5,0)&gt;0,OFFSET(A110,-5,0)+0.001,ERROR.TYPE(0)),IFERROR(IF(OFFSET(A110,-6,0)&gt;0,OFFSET(A110,-6,0)+0.001,ERROR.TYPE(0)),IFERROR(IF(OFFSET(A110,-7,0)&gt;0,OFFSET(A110,-7,0)+0.001,ERROR.TYPE(0)),IFERROR(IF(OFFSET(A110,-8,0)&gt;0,OFFSET(A110,-8,0)+0.001,ERROR.TYPE(0)),IFERROR(IF(OFFSET(A110,-9,0)&gt;0,OFFSET(A110,-9,0)+0.001,ERROR.TYPE(0)),IFERROR(IF(OFFSET(A110,-10,0)&gt;0,OFFSET(A110,-10,0)+0.001,ERROR.TYPE(0)),ERROR.TYPE(0)))))))))))</f>
        <v>2.0609999999999933</v>
      </c>
      <c r="B110" s="865" t="s">
        <v>2065</v>
      </c>
      <c r="C110" s="646">
        <v>4</v>
      </c>
      <c r="D110" s="646" t="s">
        <v>141</v>
      </c>
      <c r="E110" s="649">
        <f ca="1">Elec_Est!E8598</f>
        <v>49.52</v>
      </c>
      <c r="F110" s="1125">
        <f t="shared" ca="1" si="17"/>
        <v>198.08</v>
      </c>
    </row>
    <row r="111" spans="1:6" s="631" customFormat="1">
      <c r="A111" s="643">
        <f t="shared" ca="1" si="18"/>
        <v>2.0619999999999932</v>
      </c>
      <c r="B111" s="657" t="s">
        <v>2079</v>
      </c>
      <c r="C111" s="646">
        <v>1</v>
      </c>
      <c r="D111" s="646" t="s">
        <v>141</v>
      </c>
      <c r="E111" s="649">
        <f ca="1">Elec_Est!E8605</f>
        <v>49.52</v>
      </c>
      <c r="F111" s="1125">
        <f t="shared" ca="1" si="17"/>
        <v>49.52</v>
      </c>
    </row>
    <row r="112" spans="1:6" s="631" customFormat="1">
      <c r="A112" s="643">
        <f t="shared" ca="1" si="18"/>
        <v>2.0629999999999931</v>
      </c>
      <c r="B112" s="865" t="s">
        <v>2068</v>
      </c>
      <c r="C112" s="646">
        <v>1</v>
      </c>
      <c r="D112" s="646" t="s">
        <v>141</v>
      </c>
      <c r="E112" s="649">
        <f ca="1">Elec_Est!E8612</f>
        <v>49.52</v>
      </c>
      <c r="F112" s="1125">
        <f t="shared" ca="1" si="17"/>
        <v>49.52</v>
      </c>
    </row>
    <row r="113" spans="1:6" s="631" customFormat="1">
      <c r="A113" s="643">
        <f t="shared" ca="1" si="18"/>
        <v>2.063999999999993</v>
      </c>
      <c r="B113" s="657" t="s">
        <v>2080</v>
      </c>
      <c r="C113" s="646">
        <v>1</v>
      </c>
      <c r="D113" s="646" t="s">
        <v>141</v>
      </c>
      <c r="E113" s="649">
        <f ca="1">Elec_Est!E8619</f>
        <v>49.52</v>
      </c>
      <c r="F113" s="1125">
        <f t="shared" ca="1" si="17"/>
        <v>49.52</v>
      </c>
    </row>
    <row r="114" spans="1:6" s="631" customFormat="1">
      <c r="A114" s="643">
        <f ca="1">IFERROR(IF(OFFSET(A114,-1,0)&gt;0,OFFSET(A114,-1,0)+0.001,ERROR.TYPE(0)),IFERROR(IF(OFFSET(A114,-2,0)&gt;0,OFFSET(A114,-2,0)+0.001,ERROR.TYPE(0)),IFERROR(IF(OFFSET(A114,-3,0)&gt;0,OFFSET(A114,-3,0)+0.001,ERROR.TYPE(0)),IFERROR(IF(OFFSET(A114,-4,0)&gt;0,OFFSET(A114,-4,0)+0.001,ERROR.TYPE(0)),IFERROR(IF(OFFSET(A114,-5,0)&gt;0,OFFSET(A114,-5,0)+0.001,ERROR.TYPE(0)),IFERROR(IF(OFFSET(A114,-6,0)&gt;0,OFFSET(A114,-6,0)+0.001,ERROR.TYPE(0)),IFERROR(IF(OFFSET(A114,-7,0)&gt;0,OFFSET(A114,-7,0)+0.001,ERROR.TYPE(0)),IFERROR(IF(OFFSET(A114,-8,0)&gt;0,OFFSET(A114,-8,0)+0.001,ERROR.TYPE(0)),IFERROR(IF(OFFSET(A114,-9,0)&gt;0,OFFSET(A114,-9,0)+0.001,ERROR.TYPE(0)),IFERROR(IF(OFFSET(A114,-10,0)&gt;0,OFFSET(A114,-10,0)+0.001,ERROR.TYPE(0)),ERROR.TYPE(0)))))))))))</f>
        <v>2.0649999999999928</v>
      </c>
      <c r="B114" s="657" t="s">
        <v>2081</v>
      </c>
      <c r="C114" s="646">
        <v>1</v>
      </c>
      <c r="D114" s="646" t="s">
        <v>141</v>
      </c>
      <c r="E114" s="649">
        <f ca="1">Elec_Est!E8626</f>
        <v>49.52</v>
      </c>
      <c r="F114" s="1125">
        <f t="shared" ca="1" si="17"/>
        <v>49.52</v>
      </c>
    </row>
    <row r="115" spans="1:6" s="631" customFormat="1" ht="41.4">
      <c r="A115" s="638"/>
      <c r="B115" s="866" t="s">
        <v>4145</v>
      </c>
      <c r="C115" s="646"/>
      <c r="D115" s="646"/>
      <c r="E115" s="649"/>
      <c r="F115" s="1125"/>
    </row>
    <row r="116" spans="1:6" s="631" customFormat="1">
      <c r="A116" s="643">
        <f ca="1">IFERROR(IF(OFFSET(A116,-1,0)&gt;0,OFFSET(A116,-1,0)+0.001,ERROR.TYPE(0)),IFERROR(IF(OFFSET(A116,-2,0)&gt;0,OFFSET(A116,-2,0)+0.001,ERROR.TYPE(0)),IFERROR(IF(OFFSET(A116,-3,0)&gt;0,OFFSET(A116,-3,0)+0.001,ERROR.TYPE(0)),IFERROR(IF(OFFSET(A116,-4,0)&gt;0,OFFSET(A116,-4,0)+0.001,ERROR.TYPE(0)),IFERROR(IF(OFFSET(A116,-5,0)&gt;0,OFFSET(A116,-5,0)+0.001,ERROR.TYPE(0)),IFERROR(IF(OFFSET(A116,-6,0)&gt;0,OFFSET(A116,-6,0)+0.001,ERROR.TYPE(0)),IFERROR(IF(OFFSET(A116,-7,0)&gt;0,OFFSET(A116,-7,0)+0.001,ERROR.TYPE(0)),IFERROR(IF(OFFSET(A116,-8,0)&gt;0,OFFSET(A116,-8,0)+0.001,ERROR.TYPE(0)),IFERROR(IF(OFFSET(A116,-9,0)&gt;0,OFFSET(A116,-9,0)+0.001,ERROR.TYPE(0)),IFERROR(IF(OFFSET(A116,-10,0)&gt;0,OFFSET(A116,-10,0)+0.001,ERROR.TYPE(0)),ERROR.TYPE(0)))))))))))</f>
        <v>2.0659999999999927</v>
      </c>
      <c r="B116" s="865" t="s">
        <v>2061</v>
      </c>
      <c r="C116" s="646">
        <v>12</v>
      </c>
      <c r="D116" s="646" t="s">
        <v>141</v>
      </c>
      <c r="E116" s="649">
        <f>Elec_Est!E8637</f>
        <v>36.950000000000003</v>
      </c>
      <c r="F116" s="1125">
        <f t="shared" ref="F116" si="19">IFERROR($C116*E116,E116)</f>
        <v>443.40000000000003</v>
      </c>
    </row>
    <row r="117" spans="1:6" s="631" customFormat="1">
      <c r="A117" s="643">
        <f ca="1">IFERROR(IF(OFFSET(A117,-1,0)&gt;0,OFFSET(A117,-1,0)+0.001,ERROR.TYPE(0)),IFERROR(IF(OFFSET(A117,-2,0)&gt;0,OFFSET(A117,-2,0)+0.001,ERROR.TYPE(0)),IFERROR(IF(OFFSET(A117,-3,0)&gt;0,OFFSET(A117,-3,0)+0.001,ERROR.TYPE(0)),IFERROR(IF(OFFSET(A117,-4,0)&gt;0,OFFSET(A117,-4,0)+0.001,ERROR.TYPE(0)),IFERROR(IF(OFFSET(A117,-5,0)&gt;0,OFFSET(A117,-5,0)+0.001,ERROR.TYPE(0)),IFERROR(IF(OFFSET(A117,-6,0)&gt;0,OFFSET(A117,-6,0)+0.001,ERROR.TYPE(0)),IFERROR(IF(OFFSET(A117,-7,0)&gt;0,OFFSET(A117,-7,0)+0.001,ERROR.TYPE(0)),IFERROR(IF(OFFSET(A117,-8,0)&gt;0,OFFSET(A117,-8,0)+0.001,ERROR.TYPE(0)),IFERROR(IF(OFFSET(A117,-9,0)&gt;0,OFFSET(A117,-9,0)+0.001,ERROR.TYPE(0)),IFERROR(IF(OFFSET(A117,-10,0)&gt;0,OFFSET(A117,-10,0)+0.001,ERROR.TYPE(0)),ERROR.TYPE(0)))))))))))</f>
        <v>2.0669999999999926</v>
      </c>
      <c r="B117" s="865" t="s">
        <v>2062</v>
      </c>
      <c r="C117" s="646">
        <v>2</v>
      </c>
      <c r="D117" s="646" t="s">
        <v>141</v>
      </c>
      <c r="E117" s="649">
        <f>Elec_Est!E8643</f>
        <v>36.950000000000003</v>
      </c>
      <c r="F117" s="1125">
        <f>IFERROR($C117*E117,E117)</f>
        <v>73.900000000000006</v>
      </c>
    </row>
    <row r="118" spans="1:6" s="631" customFormat="1">
      <c r="A118" s="643">
        <f ca="1">IFERROR(IF(OFFSET(A118,-1,0)&gt;0,OFFSET(A118,-1,0)+0.001,ERROR.TYPE(0)),IFERROR(IF(OFFSET(A118,-2,0)&gt;0,OFFSET(A118,-2,0)+0.001,ERROR.TYPE(0)),IFERROR(IF(OFFSET(A118,-3,0)&gt;0,OFFSET(A118,-3,0)+0.001,ERROR.TYPE(0)),IFERROR(IF(OFFSET(A118,-4,0)&gt;0,OFFSET(A118,-4,0)+0.001,ERROR.TYPE(0)),IFERROR(IF(OFFSET(A118,-5,0)&gt;0,OFFSET(A118,-5,0)+0.001,ERROR.TYPE(0)),IFERROR(IF(OFFSET(A118,-6,0)&gt;0,OFFSET(A118,-6,0)+0.001,ERROR.TYPE(0)),IFERROR(IF(OFFSET(A118,-7,0)&gt;0,OFFSET(A118,-7,0)+0.001,ERROR.TYPE(0)),IFERROR(IF(OFFSET(A118,-8,0)&gt;0,OFFSET(A118,-8,0)+0.001,ERROR.TYPE(0)),IFERROR(IF(OFFSET(A118,-9,0)&gt;0,OFFSET(A118,-9,0)+0.001,ERROR.TYPE(0)),IFERROR(IF(OFFSET(A118,-10,0)&gt;0,OFFSET(A118,-10,0)+0.001,ERROR.TYPE(0)),ERROR.TYPE(0)))))))))))</f>
        <v>2.0679999999999925</v>
      </c>
      <c r="B118" s="657" t="s">
        <v>2078</v>
      </c>
      <c r="C118" s="646">
        <v>1</v>
      </c>
      <c r="D118" s="646" t="s">
        <v>141</v>
      </c>
      <c r="E118" s="649">
        <f>Elec_Est!E8649</f>
        <v>36.950000000000003</v>
      </c>
      <c r="F118" s="1125">
        <f>IFERROR($C118*E118,E118)</f>
        <v>36.950000000000003</v>
      </c>
    </row>
    <row r="119" spans="1:6" s="631" customFormat="1">
      <c r="A119" s="643">
        <f t="shared" ca="1" si="18"/>
        <v>2.0689999999999924</v>
      </c>
      <c r="B119" s="865" t="s">
        <v>2065</v>
      </c>
      <c r="C119" s="646">
        <v>4</v>
      </c>
      <c r="D119" s="646" t="s">
        <v>141</v>
      </c>
      <c r="E119" s="649">
        <f>Elec_Est!E8655</f>
        <v>36.950000000000003</v>
      </c>
      <c r="F119" s="1125">
        <f t="shared" ref="F119:F123" si="20">IFERROR($C119*E119,E119)</f>
        <v>147.80000000000001</v>
      </c>
    </row>
    <row r="120" spans="1:6" s="631" customFormat="1">
      <c r="A120" s="643">
        <f t="shared" ca="1" si="18"/>
        <v>2.0699999999999923</v>
      </c>
      <c r="B120" s="657" t="s">
        <v>2079</v>
      </c>
      <c r="C120" s="646">
        <v>1</v>
      </c>
      <c r="D120" s="646" t="s">
        <v>141</v>
      </c>
      <c r="E120" s="649">
        <f>Elec_Est!E8661</f>
        <v>36.950000000000003</v>
      </c>
      <c r="F120" s="1125">
        <f t="shared" si="20"/>
        <v>36.950000000000003</v>
      </c>
    </row>
    <row r="121" spans="1:6" s="631" customFormat="1">
      <c r="A121" s="643">
        <f t="shared" ca="1" si="18"/>
        <v>2.0709999999999922</v>
      </c>
      <c r="B121" s="865" t="s">
        <v>2068</v>
      </c>
      <c r="C121" s="646">
        <v>1</v>
      </c>
      <c r="D121" s="646" t="s">
        <v>141</v>
      </c>
      <c r="E121" s="649">
        <f>Elec_Est!E8667</f>
        <v>36.950000000000003</v>
      </c>
      <c r="F121" s="1125">
        <f t="shared" si="20"/>
        <v>36.950000000000003</v>
      </c>
    </row>
    <row r="122" spans="1:6" s="631" customFormat="1">
      <c r="A122" s="643">
        <f t="shared" ca="1" si="18"/>
        <v>2.0719999999999921</v>
      </c>
      <c r="B122" s="657" t="s">
        <v>2080</v>
      </c>
      <c r="C122" s="646">
        <v>1</v>
      </c>
      <c r="D122" s="646" t="s">
        <v>141</v>
      </c>
      <c r="E122" s="649">
        <f>Elec_Est!E8673</f>
        <v>36.950000000000003</v>
      </c>
      <c r="F122" s="1125">
        <f t="shared" si="20"/>
        <v>36.950000000000003</v>
      </c>
    </row>
    <row r="123" spans="1:6" s="631" customFormat="1">
      <c r="A123" s="643">
        <f ca="1">IFERROR(IF(OFFSET(A123,-1,0)&gt;0,OFFSET(A123,-1,0)+0.001,ERROR.TYPE(0)),IFERROR(IF(OFFSET(A123,-2,0)&gt;0,OFFSET(A123,-2,0)+0.001,ERROR.TYPE(0)),IFERROR(IF(OFFSET(A123,-3,0)&gt;0,OFFSET(A123,-3,0)+0.001,ERROR.TYPE(0)),IFERROR(IF(OFFSET(A123,-4,0)&gt;0,OFFSET(A123,-4,0)+0.001,ERROR.TYPE(0)),IFERROR(IF(OFFSET(A123,-5,0)&gt;0,OFFSET(A123,-5,0)+0.001,ERROR.TYPE(0)),IFERROR(IF(OFFSET(A123,-6,0)&gt;0,OFFSET(A123,-6,0)+0.001,ERROR.TYPE(0)),IFERROR(IF(OFFSET(A123,-7,0)&gt;0,OFFSET(A123,-7,0)+0.001,ERROR.TYPE(0)),IFERROR(IF(OFFSET(A123,-8,0)&gt;0,OFFSET(A123,-8,0)+0.001,ERROR.TYPE(0)),IFERROR(IF(OFFSET(A123,-9,0)&gt;0,OFFSET(A123,-9,0)+0.001,ERROR.TYPE(0)),IFERROR(IF(OFFSET(A123,-10,0)&gt;0,OFFSET(A123,-10,0)+0.001,ERROR.TYPE(0)),ERROR.TYPE(0)))))))))))</f>
        <v>2.072999999999992</v>
      </c>
      <c r="B123" s="865" t="s">
        <v>2081</v>
      </c>
      <c r="C123" s="646">
        <v>1</v>
      </c>
      <c r="D123" s="646" t="s">
        <v>141</v>
      </c>
      <c r="E123" s="649">
        <f>Elec_Est!E8679</f>
        <v>36.950000000000003</v>
      </c>
      <c r="F123" s="1125">
        <f t="shared" si="20"/>
        <v>36.950000000000003</v>
      </c>
    </row>
    <row r="124" spans="1:6" s="631" customFormat="1">
      <c r="A124" s="638"/>
      <c r="B124" s="866" t="s">
        <v>2070</v>
      </c>
      <c r="C124" s="646"/>
      <c r="D124" s="646"/>
      <c r="E124" s="649"/>
      <c r="F124" s="1125"/>
    </row>
    <row r="125" spans="1:6" s="631" customFormat="1">
      <c r="A125" s="643">
        <f ca="1">IFERROR(IF(OFFSET(A125,-1,0)&gt;0,OFFSET(A125,-1,0)+0.001,ERROR.TYPE(0)),IFERROR(IF(OFFSET(A125,-2,0)&gt;0,OFFSET(A125,-2,0)+0.001,ERROR.TYPE(0)),IFERROR(IF(OFFSET(A125,-3,0)&gt;0,OFFSET(A125,-3,0)+0.001,ERROR.TYPE(0)),IFERROR(IF(OFFSET(A125,-4,0)&gt;0,OFFSET(A125,-4,0)+0.001,ERROR.TYPE(0)),IFERROR(IF(OFFSET(A125,-5,0)&gt;0,OFFSET(A125,-5,0)+0.001,ERROR.TYPE(0)),IFERROR(IF(OFFSET(A125,-6,0)&gt;0,OFFSET(A125,-6,0)+0.001,ERROR.TYPE(0)),IFERROR(IF(OFFSET(A125,-7,0)&gt;0,OFFSET(A125,-7,0)+0.001,ERROR.TYPE(0)),IFERROR(IF(OFFSET(A125,-8,0)&gt;0,OFFSET(A125,-8,0)+0.001,ERROR.TYPE(0)),IFERROR(IF(OFFSET(A125,-9,0)&gt;0,OFFSET(A125,-9,0)+0.001,ERROR.TYPE(0)),IFERROR(IF(OFFSET(A125,-10,0)&gt;0,OFFSET(A125,-10,0)+0.001,ERROR.TYPE(0)),ERROR.TYPE(0)))))))))))</f>
        <v>2.0739999999999919</v>
      </c>
      <c r="B125" s="865" t="s">
        <v>2061</v>
      </c>
      <c r="C125" s="646">
        <v>12</v>
      </c>
      <c r="D125" s="646" t="s">
        <v>141</v>
      </c>
      <c r="E125" s="649">
        <f>Elec_Est!E8689</f>
        <v>52.23</v>
      </c>
      <c r="F125" s="1125">
        <f t="shared" ref="F125" si="21">IFERROR($C125*E125,E125)</f>
        <v>626.76</v>
      </c>
    </row>
    <row r="126" spans="1:6" s="631" customFormat="1">
      <c r="A126" s="643">
        <f ca="1">IFERROR(IF(OFFSET(A126,-1,0)&gt;0,OFFSET(A126,-1,0)+0.001,ERROR.TYPE(0)),IFERROR(IF(OFFSET(A126,-2,0)&gt;0,OFFSET(A126,-2,0)+0.001,ERROR.TYPE(0)),IFERROR(IF(OFFSET(A126,-3,0)&gt;0,OFFSET(A126,-3,0)+0.001,ERROR.TYPE(0)),IFERROR(IF(OFFSET(A126,-4,0)&gt;0,OFFSET(A126,-4,0)+0.001,ERROR.TYPE(0)),IFERROR(IF(OFFSET(A126,-5,0)&gt;0,OFFSET(A126,-5,0)+0.001,ERROR.TYPE(0)),IFERROR(IF(OFFSET(A126,-6,0)&gt;0,OFFSET(A126,-6,0)+0.001,ERROR.TYPE(0)),IFERROR(IF(OFFSET(A126,-7,0)&gt;0,OFFSET(A126,-7,0)+0.001,ERROR.TYPE(0)),IFERROR(IF(OFFSET(A126,-8,0)&gt;0,OFFSET(A126,-8,0)+0.001,ERROR.TYPE(0)),IFERROR(IF(OFFSET(A126,-9,0)&gt;0,OFFSET(A126,-9,0)+0.001,ERROR.TYPE(0)),IFERROR(IF(OFFSET(A126,-10,0)&gt;0,OFFSET(A126,-10,0)+0.001,ERROR.TYPE(0)),ERROR.TYPE(0)))))))))))</f>
        <v>2.0749999999999917</v>
      </c>
      <c r="B126" s="865" t="s">
        <v>2062</v>
      </c>
      <c r="C126" s="646">
        <v>2</v>
      </c>
      <c r="D126" s="646" t="s">
        <v>141</v>
      </c>
      <c r="E126" s="649">
        <f>Elec_Est!E8695</f>
        <v>93.61</v>
      </c>
      <c r="F126" s="1125">
        <f>IFERROR($C126*E126,E126)</f>
        <v>187.22</v>
      </c>
    </row>
    <row r="127" spans="1:6" s="631" customFormat="1">
      <c r="A127" s="643">
        <f ca="1">IFERROR(IF(OFFSET(A127,-1,0)&gt;0,OFFSET(A127,-1,0)+0.001,ERROR.TYPE(0)),IFERROR(IF(OFFSET(A127,-2,0)&gt;0,OFFSET(A127,-2,0)+0.001,ERROR.TYPE(0)),IFERROR(IF(OFFSET(A127,-3,0)&gt;0,OFFSET(A127,-3,0)+0.001,ERROR.TYPE(0)),IFERROR(IF(OFFSET(A127,-4,0)&gt;0,OFFSET(A127,-4,0)+0.001,ERROR.TYPE(0)),IFERROR(IF(OFFSET(A127,-5,0)&gt;0,OFFSET(A127,-5,0)+0.001,ERROR.TYPE(0)),IFERROR(IF(OFFSET(A127,-6,0)&gt;0,OFFSET(A127,-6,0)+0.001,ERROR.TYPE(0)),IFERROR(IF(OFFSET(A127,-7,0)&gt;0,OFFSET(A127,-7,0)+0.001,ERROR.TYPE(0)),IFERROR(IF(OFFSET(A127,-8,0)&gt;0,OFFSET(A127,-8,0)+0.001,ERROR.TYPE(0)),IFERROR(IF(OFFSET(A127,-9,0)&gt;0,OFFSET(A127,-9,0)+0.001,ERROR.TYPE(0)),IFERROR(IF(OFFSET(A127,-10,0)&gt;0,OFFSET(A127,-10,0)+0.001,ERROR.TYPE(0)),ERROR.TYPE(0)))))))))))</f>
        <v>2.0759999999999916</v>
      </c>
      <c r="B127" s="657" t="s">
        <v>2078</v>
      </c>
      <c r="C127" s="646">
        <v>1</v>
      </c>
      <c r="D127" s="646" t="s">
        <v>141</v>
      </c>
      <c r="E127" s="649">
        <f>Elec_Est!E8701</f>
        <v>81.790000000000006</v>
      </c>
      <c r="F127" s="1125">
        <f>IFERROR($C127*E127,E127)</f>
        <v>81.790000000000006</v>
      </c>
    </row>
    <row r="128" spans="1:6" s="631" customFormat="1">
      <c r="A128" s="643">
        <f t="shared" ca="1" si="18"/>
        <v>2.0769999999999915</v>
      </c>
      <c r="B128" s="865" t="s">
        <v>2071</v>
      </c>
      <c r="C128" s="646">
        <v>4</v>
      </c>
      <c r="D128" s="646" t="s">
        <v>141</v>
      </c>
      <c r="E128" s="649">
        <f>Elec_Est!E8707</f>
        <v>54.2</v>
      </c>
      <c r="F128" s="1125">
        <f t="shared" ref="F128:F134" si="22">IFERROR($C128*E128,E128)</f>
        <v>216.8</v>
      </c>
    </row>
    <row r="129" spans="1:6" s="631" customFormat="1">
      <c r="A129" s="643">
        <f t="shared" ca="1" si="18"/>
        <v>2.0779999999999914</v>
      </c>
      <c r="B129" s="657" t="s">
        <v>2079</v>
      </c>
      <c r="C129" s="646">
        <v>1</v>
      </c>
      <c r="D129" s="646" t="s">
        <v>141</v>
      </c>
      <c r="E129" s="649">
        <f>Elec_Est!E8713</f>
        <v>77.849999999999994</v>
      </c>
      <c r="F129" s="1125">
        <f t="shared" si="22"/>
        <v>77.849999999999994</v>
      </c>
    </row>
    <row r="130" spans="1:6" s="631" customFormat="1">
      <c r="A130" s="643">
        <f t="shared" ca="1" si="18"/>
        <v>2.0789999999999913</v>
      </c>
      <c r="B130" s="865" t="s">
        <v>2068</v>
      </c>
      <c r="C130" s="646">
        <v>1</v>
      </c>
      <c r="D130" s="646" t="s">
        <v>141</v>
      </c>
      <c r="E130" s="649">
        <f>Elec_Est!E8719</f>
        <v>77.849999999999994</v>
      </c>
      <c r="F130" s="1125">
        <f t="shared" si="22"/>
        <v>77.849999999999994</v>
      </c>
    </row>
    <row r="131" spans="1:6" s="631" customFormat="1">
      <c r="A131" s="643">
        <f t="shared" ca="1" si="18"/>
        <v>2.0799999999999912</v>
      </c>
      <c r="B131" s="657" t="s">
        <v>2080</v>
      </c>
      <c r="C131" s="646">
        <v>1</v>
      </c>
      <c r="D131" s="646" t="s">
        <v>141</v>
      </c>
      <c r="E131" s="649">
        <f>Elec_Est!E8725</f>
        <v>77.849999999999994</v>
      </c>
      <c r="F131" s="1125">
        <f t="shared" si="22"/>
        <v>77.849999999999994</v>
      </c>
    </row>
    <row r="132" spans="1:6" s="631" customFormat="1">
      <c r="A132" s="643">
        <f ca="1">IFERROR(IF(OFFSET(A132,-1,0)&gt;0,OFFSET(A132,-1,0)+0.001,ERROR.TYPE(0)),IFERROR(IF(OFFSET(A132,-2,0)&gt;0,OFFSET(A132,-2,0)+0.001,ERROR.TYPE(0)),IFERROR(IF(OFFSET(A132,-3,0)&gt;0,OFFSET(A132,-3,0)+0.001,ERROR.TYPE(0)),IFERROR(IF(OFFSET(A132,-4,0)&gt;0,OFFSET(A132,-4,0)+0.001,ERROR.TYPE(0)),IFERROR(IF(OFFSET(A132,-5,0)&gt;0,OFFSET(A132,-5,0)+0.001,ERROR.TYPE(0)),IFERROR(IF(OFFSET(A132,-6,0)&gt;0,OFFSET(A132,-6,0)+0.001,ERROR.TYPE(0)),IFERROR(IF(OFFSET(A132,-7,0)&gt;0,OFFSET(A132,-7,0)+0.001,ERROR.TYPE(0)),IFERROR(IF(OFFSET(A132,-8,0)&gt;0,OFFSET(A132,-8,0)+0.001,ERROR.TYPE(0)),IFERROR(IF(OFFSET(A132,-9,0)&gt;0,OFFSET(A132,-9,0)+0.001,ERROR.TYPE(0)),IFERROR(IF(OFFSET(A132,-10,0)&gt;0,OFFSET(A132,-10,0)+0.001,ERROR.TYPE(0)),ERROR.TYPE(0)))))))))))</f>
        <v>2.0809999999999911</v>
      </c>
      <c r="B132" s="865" t="s">
        <v>2081</v>
      </c>
      <c r="C132" s="646">
        <v>1</v>
      </c>
      <c r="D132" s="646" t="s">
        <v>141</v>
      </c>
      <c r="E132" s="649">
        <f>Elec_Est!E8731</f>
        <v>77.849999999999994</v>
      </c>
      <c r="F132" s="1125">
        <f t="shared" si="22"/>
        <v>77.849999999999994</v>
      </c>
    </row>
    <row r="133" spans="1:6" s="631" customFormat="1">
      <c r="A133" s="643">
        <f ca="1">IFERROR(IF(OFFSET(A133,-1,0)&gt;0,OFFSET(A133,-1,0)+0.001,ERROR.TYPE(0)),IFERROR(IF(OFFSET(A133,-2,0)&gt;0,OFFSET(A133,-2,0)+0.001,ERROR.TYPE(0)),IFERROR(IF(OFFSET(A133,-3,0)&gt;0,OFFSET(A133,-3,0)+0.001,ERROR.TYPE(0)),IFERROR(IF(OFFSET(A133,-4,0)&gt;0,OFFSET(A133,-4,0)+0.001,ERROR.TYPE(0)),IFERROR(IF(OFFSET(A133,-5,0)&gt;0,OFFSET(A133,-5,0)+0.001,ERROR.TYPE(0)),IFERROR(IF(OFFSET(A133,-6,0)&gt;0,OFFSET(A133,-6,0)+0.001,ERROR.TYPE(0)),IFERROR(IF(OFFSET(A133,-7,0)&gt;0,OFFSET(A133,-7,0)+0.001,ERROR.TYPE(0)),IFERROR(IF(OFFSET(A133,-8,0)&gt;0,OFFSET(A133,-8,0)+0.001,ERROR.TYPE(0)),IFERROR(IF(OFFSET(A133,-9,0)&gt;0,OFFSET(A133,-9,0)+0.001,ERROR.TYPE(0)),IFERROR(IF(OFFSET(A133,-10,0)&gt;0,OFFSET(A133,-10,0)+0.001,ERROR.TYPE(0)),ERROR.TYPE(0)))))))))))</f>
        <v>2.081999999999991</v>
      </c>
      <c r="B133" s="865" t="s">
        <v>2082</v>
      </c>
      <c r="C133" s="646">
        <v>1</v>
      </c>
      <c r="D133" s="646" t="s">
        <v>141</v>
      </c>
      <c r="E133" s="649">
        <f>Elec_Est!E8737</f>
        <v>3941.53</v>
      </c>
      <c r="F133" s="1125">
        <f t="shared" si="22"/>
        <v>3941.53</v>
      </c>
    </row>
    <row r="134" spans="1:6" s="631" customFormat="1">
      <c r="A134" s="643">
        <f t="shared" ref="A134" ca="1" si="23">IFERROR(IF(OFFSET(A134,-1,0)&gt;0,OFFSET(A134,-1,0)+0.001,ERROR.TYPE(0)),IFERROR(IF(OFFSET(A134,-2,0)&gt;0,OFFSET(A134,-2,0)+0.001,ERROR.TYPE(0)),IFERROR(IF(OFFSET(A134,-3,0)&gt;0,OFFSET(A134,-3,0)+0.001,ERROR.TYPE(0)),IFERROR(IF(OFFSET(A134,-4,0)&gt;0,OFFSET(A134,-4,0)+0.001,ERROR.TYPE(0)),IFERROR(IF(OFFSET(A134,-5,0)&gt;0,OFFSET(A134,-5,0)+0.001,ERROR.TYPE(0)),IFERROR(IF(OFFSET(A134,-6,0)&gt;0,OFFSET(A134,-6,0)+0.001,ERROR.TYPE(0)),IFERROR(IF(OFFSET(A134,-7,0)&gt;0,OFFSET(A134,-7,0)+0.001,ERROR.TYPE(0)),IFERROR(IF(OFFSET(A134,-8,0)&gt;0,OFFSET(A134,-8,0)+0.001,ERROR.TYPE(0)),IFERROR(IF(OFFSET(A134,-9,0)&gt;0,OFFSET(A134,-9,0)+0.001,ERROR.TYPE(0)),IFERROR(IF(OFFSET(A134,-10,0)&gt;0,OFFSET(A134,-10,0)+0.001,ERROR.TYPE(0)),ERROR.TYPE(0)))))))))))</f>
        <v>2.0829999999999909</v>
      </c>
      <c r="B134" s="678" t="s">
        <v>2083</v>
      </c>
      <c r="C134" s="646">
        <v>1</v>
      </c>
      <c r="D134" s="646" t="s">
        <v>329</v>
      </c>
      <c r="E134" s="649">
        <f>Elec_Est!E8743</f>
        <v>147.81</v>
      </c>
      <c r="F134" s="1125">
        <f t="shared" si="22"/>
        <v>147.81</v>
      </c>
    </row>
    <row r="135" spans="1:6" s="631" customFormat="1" ht="15" customHeight="1">
      <c r="A135" s="867"/>
      <c r="B135" s="639" t="s">
        <v>384</v>
      </c>
      <c r="C135" s="1456" t="s">
        <v>305</v>
      </c>
      <c r="D135" s="1457"/>
      <c r="E135" s="652"/>
      <c r="F135" s="1123">
        <f ca="1">SUM(F106:F134)</f>
        <v>7502.1200000000008</v>
      </c>
    </row>
    <row r="136" spans="1:6" s="631" customFormat="1">
      <c r="A136" s="868"/>
      <c r="B136" s="666"/>
      <c r="C136" s="654"/>
      <c r="D136" s="654"/>
      <c r="E136" s="655"/>
      <c r="F136" s="1126"/>
    </row>
    <row r="137" spans="1:6" s="631" customFormat="1">
      <c r="A137" s="653"/>
      <c r="B137" s="666"/>
      <c r="C137" s="654"/>
      <c r="D137" s="654"/>
      <c r="E137" s="655"/>
      <c r="F137" s="1126"/>
    </row>
    <row r="138" spans="1:6" s="631" customFormat="1" ht="27.6">
      <c r="A138" s="634" t="s">
        <v>143</v>
      </c>
      <c r="B138" s="635" t="s">
        <v>198</v>
      </c>
      <c r="C138" s="636" t="s">
        <v>199</v>
      </c>
      <c r="D138" s="636" t="s">
        <v>200</v>
      </c>
      <c r="E138" s="637" t="s">
        <v>294</v>
      </c>
      <c r="F138" s="1122" t="s">
        <v>295</v>
      </c>
    </row>
    <row r="139" spans="1:6" s="631" customFormat="1">
      <c r="A139" s="643"/>
      <c r="B139" s="714" t="s">
        <v>2084</v>
      </c>
      <c r="C139" s="646"/>
      <c r="D139" s="646"/>
      <c r="E139" s="649"/>
      <c r="F139" s="1125"/>
    </row>
    <row r="140" spans="1:6" s="631" customFormat="1" ht="41.4">
      <c r="A140" s="643"/>
      <c r="B140" s="864" t="s">
        <v>2077</v>
      </c>
      <c r="C140" s="646"/>
      <c r="D140" s="646"/>
      <c r="E140" s="649"/>
      <c r="F140" s="1125"/>
    </row>
    <row r="141" spans="1:6" s="631" customFormat="1">
      <c r="A141" s="643">
        <f ca="1">IFERROR(IF(OFFSET(A141,-1,0)&gt;0,OFFSET(A141,-1,0)+0.001,ERROR.TYPE(0)),IFERROR(IF(OFFSET(A141,-2,0)&gt;0,OFFSET(A141,-2,0)+0.001,ERROR.TYPE(0)),IFERROR(IF(OFFSET(A141,-3,0)&gt;0,OFFSET(A141,-3,0)+0.001,ERROR.TYPE(0)),IFERROR(IF(OFFSET(A141,-4,0)&gt;0,OFFSET(A141,-4,0)+0.001,ERROR.TYPE(0)),IFERROR(IF(OFFSET(A141,-5,0)&gt;0,OFFSET(A141,-5,0)+0.001,ERROR.TYPE(0)),IFERROR(IF(OFFSET(A141,-6,0)&gt;0,OFFSET(A141,-6,0)+0.001,ERROR.TYPE(0)),IFERROR(IF(OFFSET(A141,-7,0)&gt;0,OFFSET(A141,-7,0)+0.001,ERROR.TYPE(0)),IFERROR(IF(OFFSET(A141,-8,0)&gt;0,OFFSET(A141,-8,0)+0.001,ERROR.TYPE(0)),IFERROR(IF(OFFSET(A141,-9,0)&gt;0,OFFSET(A141,-9,0)+0.001,ERROR.TYPE(0)),IFERROR(IF(OFFSET(A141,-10,0)&gt;0,OFFSET(A141,-10,0)+0.001,ERROR.TYPE(0)),ERROR.TYPE(0)))))))))))</f>
        <v>2.0839999999999907</v>
      </c>
      <c r="B141" s="865" t="s">
        <v>2061</v>
      </c>
      <c r="C141" s="646">
        <v>2</v>
      </c>
      <c r="D141" s="646" t="s">
        <v>141</v>
      </c>
      <c r="E141" s="649">
        <f ca="1">Elec_Est!E8763</f>
        <v>49.52</v>
      </c>
      <c r="F141" s="1125">
        <f ca="1">IFERROR($C141*E141,E141)</f>
        <v>99.04</v>
      </c>
    </row>
    <row r="142" spans="1:6" s="631" customFormat="1" ht="27.6">
      <c r="A142" s="643"/>
      <c r="B142" s="864" t="s">
        <v>4144</v>
      </c>
      <c r="C142" s="646"/>
      <c r="D142" s="646"/>
      <c r="E142" s="649"/>
      <c r="F142" s="1125"/>
    </row>
    <row r="143" spans="1:6" s="631" customFormat="1">
      <c r="A143" s="643">
        <f ca="1">IFERROR(IF(OFFSET(A143,-1,0)&gt;0,OFFSET(A143,-1,0)+0.001,ERROR.TYPE(0)),IFERROR(IF(OFFSET(A143,-2,0)&gt;0,OFFSET(A143,-2,0)+0.001,ERROR.TYPE(0)),IFERROR(IF(OFFSET(A143,-3,0)&gt;0,OFFSET(A143,-3,0)+0.001,ERROR.TYPE(0)),IFERROR(IF(OFFSET(A143,-4,0)&gt;0,OFFSET(A143,-4,0)+0.001,ERROR.TYPE(0)),IFERROR(IF(OFFSET(A143,-5,0)&gt;0,OFFSET(A143,-5,0)+0.001,ERROR.TYPE(0)),IFERROR(IF(OFFSET(A143,-6,0)&gt;0,OFFSET(A143,-6,0)+0.001,ERROR.TYPE(0)),IFERROR(IF(OFFSET(A143,-7,0)&gt;0,OFFSET(A143,-7,0)+0.001,ERROR.TYPE(0)),IFERROR(IF(OFFSET(A143,-8,0)&gt;0,OFFSET(A143,-8,0)+0.001,ERROR.TYPE(0)),IFERROR(IF(OFFSET(A143,-9,0)&gt;0,OFFSET(A143,-9,0)+0.001,ERROR.TYPE(0)),IFERROR(IF(OFFSET(A143,-10,0)&gt;0,OFFSET(A143,-10,0)+0.001,ERROR.TYPE(0)),ERROR.TYPE(0)))))))))))</f>
        <v>2.0849999999999906</v>
      </c>
      <c r="B143" s="865" t="s">
        <v>2061</v>
      </c>
      <c r="C143" s="646">
        <v>6</v>
      </c>
      <c r="D143" s="646" t="s">
        <v>141</v>
      </c>
      <c r="E143" s="649">
        <f ca="1">Elec_Est!E8774</f>
        <v>98.17</v>
      </c>
      <c r="F143" s="1125">
        <f ca="1">IFERROR($C143*E143,E143)</f>
        <v>589.02</v>
      </c>
    </row>
    <row r="144" spans="1:6" s="631" customFormat="1">
      <c r="A144" s="643">
        <f ca="1">IFERROR(IF(OFFSET(A144,-1,0)&gt;0,OFFSET(A144,-1,0)+0.001,ERROR.TYPE(0)),IFERROR(IF(OFFSET(A144,-2,0)&gt;0,OFFSET(A144,-2,0)+0.001,ERROR.TYPE(0)),IFERROR(IF(OFFSET(A144,-3,0)&gt;0,OFFSET(A144,-3,0)+0.001,ERROR.TYPE(0)),IFERROR(IF(OFFSET(A144,-4,0)&gt;0,OFFSET(A144,-4,0)+0.001,ERROR.TYPE(0)),IFERROR(IF(OFFSET(A144,-5,0)&gt;0,OFFSET(A144,-5,0)+0.001,ERROR.TYPE(0)),IFERROR(IF(OFFSET(A144,-6,0)&gt;0,OFFSET(A144,-6,0)+0.001,ERROR.TYPE(0)),IFERROR(IF(OFFSET(A144,-7,0)&gt;0,OFFSET(A144,-7,0)+0.001,ERROR.TYPE(0)),IFERROR(IF(OFFSET(A144,-8,0)&gt;0,OFFSET(A144,-8,0)+0.001,ERROR.TYPE(0)),IFERROR(IF(OFFSET(A144,-9,0)&gt;0,OFFSET(A144,-9,0)+0.001,ERROR.TYPE(0)),IFERROR(IF(OFFSET(A144,-10,0)&gt;0,OFFSET(A144,-10,0)+0.001,ERROR.TYPE(0)),ERROR.TYPE(0)))))))))))</f>
        <v>2.0859999999999905</v>
      </c>
      <c r="B144" s="865" t="s">
        <v>2062</v>
      </c>
      <c r="C144" s="646">
        <v>3</v>
      </c>
      <c r="D144" s="646" t="s">
        <v>141</v>
      </c>
      <c r="E144" s="649">
        <f ca="1">Elec_Est!E8781</f>
        <v>98.17</v>
      </c>
      <c r="F144" s="1125">
        <f ca="1">IFERROR($C144*E144,E144)</f>
        <v>294.51</v>
      </c>
    </row>
    <row r="145" spans="1:6" s="631" customFormat="1">
      <c r="A145" s="643">
        <f ca="1">IFERROR(IF(OFFSET(A145,-1,0)&gt;0,OFFSET(A145,-1,0)+0.001,ERROR.TYPE(0)),IFERROR(IF(OFFSET(A145,-2,0)&gt;0,OFFSET(A145,-2,0)+0.001,ERROR.TYPE(0)),IFERROR(IF(OFFSET(A145,-3,0)&gt;0,OFFSET(A145,-3,0)+0.001,ERROR.TYPE(0)),IFERROR(IF(OFFSET(A145,-4,0)&gt;0,OFFSET(A145,-4,0)+0.001,ERROR.TYPE(0)),IFERROR(IF(OFFSET(A145,-5,0)&gt;0,OFFSET(A145,-5,0)+0.001,ERROR.TYPE(0)),IFERROR(IF(OFFSET(A145,-6,0)&gt;0,OFFSET(A145,-6,0)+0.001,ERROR.TYPE(0)),IFERROR(IF(OFFSET(A145,-7,0)&gt;0,OFFSET(A145,-7,0)+0.001,ERROR.TYPE(0)),IFERROR(IF(OFFSET(A145,-8,0)&gt;0,OFFSET(A145,-8,0)+0.001,ERROR.TYPE(0)),IFERROR(IF(OFFSET(A145,-9,0)&gt;0,OFFSET(A145,-9,0)+0.001,ERROR.TYPE(0)),IFERROR(IF(OFFSET(A145,-10,0)&gt;0,OFFSET(A145,-10,0)+0.001,ERROR.TYPE(0)),ERROR.TYPE(0)))))))))))</f>
        <v>2.0869999999999904</v>
      </c>
      <c r="B145" s="657" t="s">
        <v>2078</v>
      </c>
      <c r="C145" s="646">
        <v>1</v>
      </c>
      <c r="D145" s="646" t="s">
        <v>141</v>
      </c>
      <c r="E145" s="649">
        <f ca="1">Elec_Est!E8788</f>
        <v>98.17</v>
      </c>
      <c r="F145" s="1125">
        <f ca="1">IFERROR($C145*E145,E145)</f>
        <v>98.17</v>
      </c>
    </row>
    <row r="146" spans="1:6" s="631" customFormat="1">
      <c r="A146" s="643">
        <f t="shared" ref="A146" ca="1" si="24">IFERROR(IF(OFFSET(A146,-1,0)&gt;0,OFFSET(A146,-1,0)+0.001,ERROR.TYPE(0)),IFERROR(IF(OFFSET(A146,-2,0)&gt;0,OFFSET(A146,-2,0)+0.001,ERROR.TYPE(0)),IFERROR(IF(OFFSET(A146,-3,0)&gt;0,OFFSET(A146,-3,0)+0.001,ERROR.TYPE(0)),IFERROR(IF(OFFSET(A146,-4,0)&gt;0,OFFSET(A146,-4,0)+0.001,ERROR.TYPE(0)),IFERROR(IF(OFFSET(A146,-5,0)&gt;0,OFFSET(A146,-5,0)+0.001,ERROR.TYPE(0)),IFERROR(IF(OFFSET(A146,-6,0)&gt;0,OFFSET(A146,-6,0)+0.001,ERROR.TYPE(0)),IFERROR(IF(OFFSET(A146,-7,0)&gt;0,OFFSET(A146,-7,0)+0.001,ERROR.TYPE(0)),IFERROR(IF(OFFSET(A146,-8,0)&gt;0,OFFSET(A146,-8,0)+0.001,ERROR.TYPE(0)),IFERROR(IF(OFFSET(A146,-9,0)&gt;0,OFFSET(A146,-9,0)+0.001,ERROR.TYPE(0)),IFERROR(IF(OFFSET(A146,-10,0)&gt;0,OFFSET(A146,-10,0)+0.001,ERROR.TYPE(0)),ERROR.TYPE(0)))))))))))</f>
        <v>2.0879999999999903</v>
      </c>
      <c r="B146" s="865" t="s">
        <v>2065</v>
      </c>
      <c r="C146" s="646">
        <v>5</v>
      </c>
      <c r="D146" s="646" t="s">
        <v>141</v>
      </c>
      <c r="E146" s="649">
        <f ca="1">Elec_Est!E8795</f>
        <v>98.17</v>
      </c>
      <c r="F146" s="1125">
        <f ca="1">IFERROR($C146*E146,E146)</f>
        <v>490.85</v>
      </c>
    </row>
    <row r="147" spans="1:6" s="631" customFormat="1">
      <c r="A147" s="643">
        <f t="shared" ca="1" si="18"/>
        <v>2.0889999999999902</v>
      </c>
      <c r="B147" s="657" t="s">
        <v>2079</v>
      </c>
      <c r="C147" s="646">
        <v>1</v>
      </c>
      <c r="D147" s="646" t="s">
        <v>141</v>
      </c>
      <c r="E147" s="649">
        <f ca="1">Elec_Est!E8802</f>
        <v>98.17</v>
      </c>
      <c r="F147" s="1125">
        <f t="shared" ref="F147" ca="1" si="25">IFERROR($C147*E147,E147)</f>
        <v>98.17</v>
      </c>
    </row>
    <row r="148" spans="1:6" s="631" customFormat="1">
      <c r="A148" s="643">
        <f ca="1">IFERROR(IF(OFFSET(A148,-1,0)&gt;0,OFFSET(A148,-1,0)+0.001,ERROR.TYPE(0)),IFERROR(IF(OFFSET(A148,-2,0)&gt;0,OFFSET(A148,-2,0)+0.001,ERROR.TYPE(0)),IFERROR(IF(OFFSET(A148,-3,0)&gt;0,OFFSET(A148,-3,0)+0.001,ERROR.TYPE(0)),IFERROR(IF(OFFSET(A148,-4,0)&gt;0,OFFSET(A148,-4,0)+0.001,ERROR.TYPE(0)),IFERROR(IF(OFFSET(A148,-5,0)&gt;0,OFFSET(A148,-5,0)+0.001,ERROR.TYPE(0)),IFERROR(IF(OFFSET(A148,-6,0)&gt;0,OFFSET(A148,-6,0)+0.001,ERROR.TYPE(0)),IFERROR(IF(OFFSET(A148,-7,0)&gt;0,OFFSET(A148,-7,0)+0.001,ERROR.TYPE(0)),IFERROR(IF(OFFSET(A148,-8,0)&gt;0,OFFSET(A148,-8,0)+0.001,ERROR.TYPE(0)),IFERROR(IF(OFFSET(A148,-9,0)&gt;0,OFFSET(A148,-9,0)+0.001,ERROR.TYPE(0)),IFERROR(IF(OFFSET(A148,-10,0)&gt;0,OFFSET(A148,-10,0)+0.001,ERROR.TYPE(0)),ERROR.TYPE(0)))))))))))</f>
        <v>2.0899999999999901</v>
      </c>
      <c r="B148" s="657" t="s">
        <v>2066</v>
      </c>
      <c r="C148" s="646">
        <v>5</v>
      </c>
      <c r="D148" s="646" t="s">
        <v>141</v>
      </c>
      <c r="E148" s="649">
        <f ca="1">Elec_Est!E8809</f>
        <v>98.17</v>
      </c>
      <c r="F148" s="1125">
        <f ca="1">IFERROR($C148*E148,E148)</f>
        <v>490.85</v>
      </c>
    </row>
    <row r="149" spans="1:6" s="631" customFormat="1">
      <c r="A149" s="643">
        <f ca="1">IFERROR(IF(OFFSET(A149,-1,0)&gt;0,OFFSET(A149,-1,0)+0.001,ERROR.TYPE(0)),IFERROR(IF(OFFSET(A149,-2,0)&gt;0,OFFSET(A149,-2,0)+0.001,ERROR.TYPE(0)),IFERROR(IF(OFFSET(A149,-3,0)&gt;0,OFFSET(A149,-3,0)+0.001,ERROR.TYPE(0)),IFERROR(IF(OFFSET(A149,-4,0)&gt;0,OFFSET(A149,-4,0)+0.001,ERROR.TYPE(0)),IFERROR(IF(OFFSET(A149,-5,0)&gt;0,OFFSET(A149,-5,0)+0.001,ERROR.TYPE(0)),IFERROR(IF(OFFSET(A149,-6,0)&gt;0,OFFSET(A149,-6,0)+0.001,ERROR.TYPE(0)),IFERROR(IF(OFFSET(A149,-7,0)&gt;0,OFFSET(A149,-7,0)+0.001,ERROR.TYPE(0)),IFERROR(IF(OFFSET(A149,-8,0)&gt;0,OFFSET(A149,-8,0)+0.001,ERROR.TYPE(0)),IFERROR(IF(OFFSET(A149,-9,0)&gt;0,OFFSET(A149,-9,0)+0.001,ERROR.TYPE(0)),IFERROR(IF(OFFSET(A149,-10,0)&gt;0,OFFSET(A149,-10,0)+0.001,ERROR.TYPE(0)),ERROR.TYPE(0)))))))))))</f>
        <v>2.09099999999999</v>
      </c>
      <c r="B149" s="657" t="s">
        <v>2067</v>
      </c>
      <c r="C149" s="646">
        <v>3</v>
      </c>
      <c r="D149" s="646" t="s">
        <v>141</v>
      </c>
      <c r="E149" s="649">
        <f ca="1">Elec_Est!E8816</f>
        <v>98.17</v>
      </c>
      <c r="F149" s="1125">
        <f ca="1">IFERROR($C149*E149,E149)</f>
        <v>294.51</v>
      </c>
    </row>
    <row r="150" spans="1:6" s="631" customFormat="1">
      <c r="A150" s="643">
        <f ca="1">IFERROR(IF(OFFSET(A150,-1,0)&gt;0,OFFSET(A150,-1,0)+0.001,ERROR.TYPE(0)),IFERROR(IF(OFFSET(A150,-2,0)&gt;0,OFFSET(A150,-2,0)+0.001,ERROR.TYPE(0)),IFERROR(IF(OFFSET(A150,-3,0)&gt;0,OFFSET(A150,-3,0)+0.001,ERROR.TYPE(0)),IFERROR(IF(OFFSET(A150,-4,0)&gt;0,OFFSET(A150,-4,0)+0.001,ERROR.TYPE(0)),IFERROR(IF(OFFSET(A150,-5,0)&gt;0,OFFSET(A150,-5,0)+0.001,ERROR.TYPE(0)),IFERROR(IF(OFFSET(A150,-6,0)&gt;0,OFFSET(A150,-6,0)+0.001,ERROR.TYPE(0)),IFERROR(IF(OFFSET(A150,-7,0)&gt;0,OFFSET(A150,-7,0)+0.001,ERROR.TYPE(0)),IFERROR(IF(OFFSET(A150,-8,0)&gt;0,OFFSET(A150,-8,0)+0.001,ERROR.TYPE(0)),IFERROR(IF(OFFSET(A150,-9,0)&gt;0,OFFSET(A150,-9,0)+0.001,ERROR.TYPE(0)),IFERROR(IF(OFFSET(A150,-10,0)&gt;0,OFFSET(A150,-10,0)+0.001,ERROR.TYPE(0)),ERROR.TYPE(0)))))))))))</f>
        <v>2.0919999999999899</v>
      </c>
      <c r="B150" s="657" t="s">
        <v>2085</v>
      </c>
      <c r="C150" s="646">
        <v>1</v>
      </c>
      <c r="D150" s="646" t="s">
        <v>141</v>
      </c>
      <c r="E150" s="649">
        <f ca="1">Elec_Est!E8823</f>
        <v>98.17</v>
      </c>
      <c r="F150" s="1125">
        <f ca="1">IFERROR($C150*E150,E150)</f>
        <v>98.17</v>
      </c>
    </row>
    <row r="151" spans="1:6" s="631" customFormat="1">
      <c r="A151" s="643">
        <f t="shared" ca="1" si="18"/>
        <v>2.0929999999999898</v>
      </c>
      <c r="B151" s="865" t="s">
        <v>2086</v>
      </c>
      <c r="C151" s="646">
        <v>1</v>
      </c>
      <c r="D151" s="646" t="s">
        <v>141</v>
      </c>
      <c r="E151" s="649">
        <f ca="1">Elec_Est!E8830</f>
        <v>98.17</v>
      </c>
      <c r="F151" s="1125">
        <f t="shared" ref="F151:F153" ca="1" si="26">IFERROR($C151*E151,E151)</f>
        <v>98.17</v>
      </c>
    </row>
    <row r="152" spans="1:6" s="631" customFormat="1">
      <c r="A152" s="643">
        <f t="shared" ca="1" si="18"/>
        <v>2.0939999999999896</v>
      </c>
      <c r="B152" s="865" t="s">
        <v>2087</v>
      </c>
      <c r="C152" s="646">
        <v>1</v>
      </c>
      <c r="D152" s="646" t="s">
        <v>141</v>
      </c>
      <c r="E152" s="649">
        <f ca="1">Elec_Est!E8837</f>
        <v>98.17</v>
      </c>
      <c r="F152" s="1125">
        <f t="shared" ca="1" si="26"/>
        <v>98.17</v>
      </c>
    </row>
    <row r="153" spans="1:6" s="631" customFormat="1">
      <c r="A153" s="643">
        <f t="shared" ca="1" si="18"/>
        <v>2.0949999999999895</v>
      </c>
      <c r="B153" s="865" t="s">
        <v>2088</v>
      </c>
      <c r="C153" s="646">
        <v>3</v>
      </c>
      <c r="D153" s="646" t="s">
        <v>141</v>
      </c>
      <c r="E153" s="649">
        <f ca="1">Elec_Est!E8844</f>
        <v>98.17</v>
      </c>
      <c r="F153" s="1125">
        <f t="shared" ca="1" si="26"/>
        <v>294.51</v>
      </c>
    </row>
    <row r="154" spans="1:6" ht="27.6">
      <c r="A154" s="691"/>
      <c r="B154" s="864" t="s">
        <v>4146</v>
      </c>
      <c r="C154" s="693"/>
      <c r="D154" s="693"/>
      <c r="E154" s="869"/>
      <c r="F154" s="1256"/>
    </row>
    <row r="155" spans="1:6" s="631" customFormat="1">
      <c r="A155" s="643">
        <f ca="1">IFERROR(IF(OFFSET(A155,-1,0)&gt;0,OFFSET(A155,-1,0)+0.001,ERROR.TYPE(0)),IFERROR(IF(OFFSET(A155,-2,0)&gt;0,OFFSET(A155,-2,0)+0.001,ERROR.TYPE(0)),IFERROR(IF(OFFSET(A155,-3,0)&gt;0,OFFSET(A155,-3,0)+0.001,ERROR.TYPE(0)),IFERROR(IF(OFFSET(A155,-4,0)&gt;0,OFFSET(A155,-4,0)+0.001,ERROR.TYPE(0)),IFERROR(IF(OFFSET(A155,-5,0)&gt;0,OFFSET(A155,-5,0)+0.001,ERROR.TYPE(0)),IFERROR(IF(OFFSET(A155,-6,0)&gt;0,OFFSET(A155,-6,0)+0.001,ERROR.TYPE(0)),IFERROR(IF(OFFSET(A155,-7,0)&gt;0,OFFSET(A155,-7,0)+0.001,ERROR.TYPE(0)),IFERROR(IF(OFFSET(A155,-8,0)&gt;0,OFFSET(A155,-8,0)+0.001,ERROR.TYPE(0)),IFERROR(IF(OFFSET(A155,-9,0)&gt;0,OFFSET(A155,-9,0)+0.001,ERROR.TYPE(0)),IFERROR(IF(OFFSET(A155,-10,0)&gt;0,OFFSET(A155,-10,0)+0.001,ERROR.TYPE(0)),ERROR.TYPE(0)))))))))))</f>
        <v>2.0959999999999894</v>
      </c>
      <c r="B155" s="865" t="s">
        <v>2089</v>
      </c>
      <c r="C155" s="646">
        <v>4</v>
      </c>
      <c r="D155" s="646" t="s">
        <v>141</v>
      </c>
      <c r="E155" s="649">
        <f>Elec_Est!E8855</f>
        <v>918.74</v>
      </c>
      <c r="F155" s="1125">
        <f>IFERROR($C155*E155,E155)</f>
        <v>3674.96</v>
      </c>
    </row>
    <row r="156" spans="1:6" s="631" customFormat="1">
      <c r="A156" s="643">
        <f t="shared" ca="1" si="18"/>
        <v>2.0969999999999893</v>
      </c>
      <c r="B156" s="865" t="s">
        <v>2065</v>
      </c>
      <c r="C156" s="646">
        <v>5</v>
      </c>
      <c r="D156" s="646" t="s">
        <v>141</v>
      </c>
      <c r="E156" s="649">
        <f>Elec_Est!E8871</f>
        <v>1065.77</v>
      </c>
      <c r="F156" s="1125">
        <f t="shared" ref="F156" si="27">IFERROR($C156*E156,E156)</f>
        <v>5328.85</v>
      </c>
    </row>
    <row r="157" spans="1:6" s="631" customFormat="1" ht="41.4">
      <c r="A157" s="638"/>
      <c r="B157" s="866" t="s">
        <v>4145</v>
      </c>
      <c r="C157" s="646"/>
      <c r="D157" s="646"/>
      <c r="E157" s="649"/>
      <c r="F157" s="1125"/>
    </row>
    <row r="158" spans="1:6" s="631" customFormat="1">
      <c r="A158" s="643">
        <f ca="1">IFERROR(IF(OFFSET(A158,-1,0)&gt;0,OFFSET(A158,-1,0)+0.001,ERROR.TYPE(0)),IFERROR(IF(OFFSET(A158,-2,0)&gt;0,OFFSET(A158,-2,0)+0.001,ERROR.TYPE(0)),IFERROR(IF(OFFSET(A158,-3,0)&gt;0,OFFSET(A158,-3,0)+0.001,ERROR.TYPE(0)),IFERROR(IF(OFFSET(A158,-4,0)&gt;0,OFFSET(A158,-4,0)+0.001,ERROR.TYPE(0)),IFERROR(IF(OFFSET(A158,-5,0)&gt;0,OFFSET(A158,-5,0)+0.001,ERROR.TYPE(0)),IFERROR(IF(OFFSET(A158,-6,0)&gt;0,OFFSET(A158,-6,0)+0.001,ERROR.TYPE(0)),IFERROR(IF(OFFSET(A158,-7,0)&gt;0,OFFSET(A158,-7,0)+0.001,ERROR.TYPE(0)),IFERROR(IF(OFFSET(A158,-8,0)&gt;0,OFFSET(A158,-8,0)+0.001,ERROR.TYPE(0)),IFERROR(IF(OFFSET(A158,-9,0)&gt;0,OFFSET(A158,-9,0)+0.001,ERROR.TYPE(0)),IFERROR(IF(OFFSET(A158,-10,0)&gt;0,OFFSET(A158,-10,0)+0.001,ERROR.TYPE(0)),ERROR.TYPE(0)))))))))))</f>
        <v>2.0979999999999892</v>
      </c>
      <c r="B158" s="865" t="s">
        <v>2061</v>
      </c>
      <c r="C158" s="646">
        <v>8</v>
      </c>
      <c r="D158" s="646" t="s">
        <v>141</v>
      </c>
      <c r="E158" s="649">
        <f>Elec_Est!E8891</f>
        <v>36.950000000000003</v>
      </c>
      <c r="F158" s="1125">
        <f>IFERROR($C158*E158,E158)</f>
        <v>295.60000000000002</v>
      </c>
    </row>
    <row r="159" spans="1:6" s="631" customFormat="1">
      <c r="A159" s="643">
        <f ca="1">IFERROR(IF(OFFSET(A159,-1,0)&gt;0,OFFSET(A159,-1,0)+0.001,ERROR.TYPE(0)),IFERROR(IF(OFFSET(A159,-2,0)&gt;0,OFFSET(A159,-2,0)+0.001,ERROR.TYPE(0)),IFERROR(IF(OFFSET(A159,-3,0)&gt;0,OFFSET(A159,-3,0)+0.001,ERROR.TYPE(0)),IFERROR(IF(OFFSET(A159,-4,0)&gt;0,OFFSET(A159,-4,0)+0.001,ERROR.TYPE(0)),IFERROR(IF(OFFSET(A159,-5,0)&gt;0,OFFSET(A159,-5,0)+0.001,ERROR.TYPE(0)),IFERROR(IF(OFFSET(A159,-6,0)&gt;0,OFFSET(A159,-6,0)+0.001,ERROR.TYPE(0)),IFERROR(IF(OFFSET(A159,-7,0)&gt;0,OFFSET(A159,-7,0)+0.001,ERROR.TYPE(0)),IFERROR(IF(OFFSET(A159,-8,0)&gt;0,OFFSET(A159,-8,0)+0.001,ERROR.TYPE(0)),IFERROR(IF(OFFSET(A159,-9,0)&gt;0,OFFSET(A159,-9,0)+0.001,ERROR.TYPE(0)),IFERROR(IF(OFFSET(A159,-10,0)&gt;0,OFFSET(A159,-10,0)+0.001,ERROR.TYPE(0)),ERROR.TYPE(0)))))))))))</f>
        <v>2.0989999999999891</v>
      </c>
      <c r="B159" s="865" t="s">
        <v>2062</v>
      </c>
      <c r="C159" s="646">
        <v>3</v>
      </c>
      <c r="D159" s="646" t="s">
        <v>141</v>
      </c>
      <c r="E159" s="649">
        <f>Elec_Est!E8897</f>
        <v>36.950000000000003</v>
      </c>
      <c r="F159" s="1125">
        <f>IFERROR($C159*E159,E159)</f>
        <v>110.85000000000001</v>
      </c>
    </row>
    <row r="160" spans="1:6" s="631" customFormat="1">
      <c r="A160" s="643">
        <f ca="1">IFERROR(IF(OFFSET(A160,-1,0)&gt;0,OFFSET(A160,-1,0)+0.001,ERROR.TYPE(0)),IFERROR(IF(OFFSET(A160,-2,0)&gt;0,OFFSET(A160,-2,0)+0.001,ERROR.TYPE(0)),IFERROR(IF(OFFSET(A160,-3,0)&gt;0,OFFSET(A160,-3,0)+0.001,ERROR.TYPE(0)),IFERROR(IF(OFFSET(A160,-4,0)&gt;0,OFFSET(A160,-4,0)+0.001,ERROR.TYPE(0)),IFERROR(IF(OFFSET(A160,-5,0)&gt;0,OFFSET(A160,-5,0)+0.001,ERROR.TYPE(0)),IFERROR(IF(OFFSET(A160,-6,0)&gt;0,OFFSET(A160,-6,0)+0.001,ERROR.TYPE(0)),IFERROR(IF(OFFSET(A160,-7,0)&gt;0,OFFSET(A160,-7,0)+0.001,ERROR.TYPE(0)),IFERROR(IF(OFFSET(A160,-8,0)&gt;0,OFFSET(A160,-8,0)+0.001,ERROR.TYPE(0)),IFERROR(IF(OFFSET(A160,-9,0)&gt;0,OFFSET(A160,-9,0)+0.001,ERROR.TYPE(0)),IFERROR(IF(OFFSET(A160,-10,0)&gt;0,OFFSET(A160,-10,0)+0.001,ERROR.TYPE(0)),ERROR.TYPE(0)))))))))))</f>
        <v>2.099999999999989</v>
      </c>
      <c r="B160" s="657" t="s">
        <v>2078</v>
      </c>
      <c r="C160" s="646">
        <v>1</v>
      </c>
      <c r="D160" s="646" t="s">
        <v>141</v>
      </c>
      <c r="E160" s="649">
        <f>Elec_Est!E8903</f>
        <v>36.950000000000003</v>
      </c>
      <c r="F160" s="1125">
        <f>IFERROR($C160*E160,E160)</f>
        <v>36.950000000000003</v>
      </c>
    </row>
    <row r="161" spans="1:6" s="631" customFormat="1">
      <c r="A161" s="643">
        <f t="shared" ref="A161" ca="1" si="28">IFERROR(IF(OFFSET(A161,-1,0)&gt;0,OFFSET(A161,-1,0)+0.001,ERROR.TYPE(0)),IFERROR(IF(OFFSET(A161,-2,0)&gt;0,OFFSET(A161,-2,0)+0.001,ERROR.TYPE(0)),IFERROR(IF(OFFSET(A161,-3,0)&gt;0,OFFSET(A161,-3,0)+0.001,ERROR.TYPE(0)),IFERROR(IF(OFFSET(A161,-4,0)&gt;0,OFFSET(A161,-4,0)+0.001,ERROR.TYPE(0)),IFERROR(IF(OFFSET(A161,-5,0)&gt;0,OFFSET(A161,-5,0)+0.001,ERROR.TYPE(0)),IFERROR(IF(OFFSET(A161,-6,0)&gt;0,OFFSET(A161,-6,0)+0.001,ERROR.TYPE(0)),IFERROR(IF(OFFSET(A161,-7,0)&gt;0,OFFSET(A161,-7,0)+0.001,ERROR.TYPE(0)),IFERROR(IF(OFFSET(A161,-8,0)&gt;0,OFFSET(A161,-8,0)+0.001,ERROR.TYPE(0)),IFERROR(IF(OFFSET(A161,-9,0)&gt;0,OFFSET(A161,-9,0)+0.001,ERROR.TYPE(0)),IFERROR(IF(OFFSET(A161,-10,0)&gt;0,OFFSET(A161,-10,0)+0.001,ERROR.TYPE(0)),ERROR.TYPE(0)))))))))))</f>
        <v>2.1009999999999889</v>
      </c>
      <c r="B161" s="865" t="s">
        <v>2065</v>
      </c>
      <c r="C161" s="646">
        <v>10</v>
      </c>
      <c r="D161" s="646" t="s">
        <v>141</v>
      </c>
      <c r="E161" s="649">
        <f>Elec_Est!E8909</f>
        <v>36.950000000000003</v>
      </c>
      <c r="F161" s="1125">
        <f>IFERROR($C161*E161,E161)</f>
        <v>369.5</v>
      </c>
    </row>
    <row r="162" spans="1:6" s="631" customFormat="1">
      <c r="A162" s="643">
        <f t="shared" ca="1" si="18"/>
        <v>2.1019999999999888</v>
      </c>
      <c r="B162" s="657" t="s">
        <v>2079</v>
      </c>
      <c r="C162" s="646">
        <v>1</v>
      </c>
      <c r="D162" s="646" t="s">
        <v>141</v>
      </c>
      <c r="E162" s="649">
        <f>Elec_Est!E8915</f>
        <v>36.950000000000003</v>
      </c>
      <c r="F162" s="1125">
        <f t="shared" ref="F162" si="29">IFERROR($C162*E162,E162)</f>
        <v>36.950000000000003</v>
      </c>
    </row>
    <row r="163" spans="1:6" s="631" customFormat="1">
      <c r="A163" s="643">
        <f ca="1">IFERROR(IF(OFFSET(A163,-1,0)&gt;0,OFFSET(A163,-1,0)+0.001,ERROR.TYPE(0)),IFERROR(IF(OFFSET(A163,-2,0)&gt;0,OFFSET(A163,-2,0)+0.001,ERROR.TYPE(0)),IFERROR(IF(OFFSET(A163,-3,0)&gt;0,OFFSET(A163,-3,0)+0.001,ERROR.TYPE(0)),IFERROR(IF(OFFSET(A163,-4,0)&gt;0,OFFSET(A163,-4,0)+0.001,ERROR.TYPE(0)),IFERROR(IF(OFFSET(A163,-5,0)&gt;0,OFFSET(A163,-5,0)+0.001,ERROR.TYPE(0)),IFERROR(IF(OFFSET(A163,-6,0)&gt;0,OFFSET(A163,-6,0)+0.001,ERROR.TYPE(0)),IFERROR(IF(OFFSET(A163,-7,0)&gt;0,OFFSET(A163,-7,0)+0.001,ERROR.TYPE(0)),IFERROR(IF(OFFSET(A163,-8,0)&gt;0,OFFSET(A163,-8,0)+0.001,ERROR.TYPE(0)),IFERROR(IF(OFFSET(A163,-9,0)&gt;0,OFFSET(A163,-9,0)+0.001,ERROR.TYPE(0)),IFERROR(IF(OFFSET(A163,-10,0)&gt;0,OFFSET(A163,-10,0)+0.001,ERROR.TYPE(0)),ERROR.TYPE(0)))))))))))</f>
        <v>2.1029999999999887</v>
      </c>
      <c r="B163" s="657" t="s">
        <v>2066</v>
      </c>
      <c r="C163" s="646">
        <v>5</v>
      </c>
      <c r="D163" s="646" t="s">
        <v>141</v>
      </c>
      <c r="E163" s="649">
        <f>Elec_Est!E8921</f>
        <v>41.79</v>
      </c>
      <c r="F163" s="1125">
        <f>IFERROR($C163*E163,E163)</f>
        <v>208.95</v>
      </c>
    </row>
    <row r="164" spans="1:6" s="631" customFormat="1">
      <c r="A164" s="643">
        <f ca="1">IFERROR(IF(OFFSET(A164,-1,0)&gt;0,OFFSET(A164,-1,0)+0.001,ERROR.TYPE(0)),IFERROR(IF(OFFSET(A164,-2,0)&gt;0,OFFSET(A164,-2,0)+0.001,ERROR.TYPE(0)),IFERROR(IF(OFFSET(A164,-3,0)&gt;0,OFFSET(A164,-3,0)+0.001,ERROR.TYPE(0)),IFERROR(IF(OFFSET(A164,-4,0)&gt;0,OFFSET(A164,-4,0)+0.001,ERROR.TYPE(0)),IFERROR(IF(OFFSET(A164,-5,0)&gt;0,OFFSET(A164,-5,0)+0.001,ERROR.TYPE(0)),IFERROR(IF(OFFSET(A164,-6,0)&gt;0,OFFSET(A164,-6,0)+0.001,ERROR.TYPE(0)),IFERROR(IF(OFFSET(A164,-7,0)&gt;0,OFFSET(A164,-7,0)+0.001,ERROR.TYPE(0)),IFERROR(IF(OFFSET(A164,-8,0)&gt;0,OFFSET(A164,-8,0)+0.001,ERROR.TYPE(0)),IFERROR(IF(OFFSET(A164,-9,0)&gt;0,OFFSET(A164,-9,0)+0.001,ERROR.TYPE(0)),IFERROR(IF(OFFSET(A164,-10,0)&gt;0,OFFSET(A164,-10,0)+0.001,ERROR.TYPE(0)),ERROR.TYPE(0)))))))))))</f>
        <v>2.1039999999999885</v>
      </c>
      <c r="B164" s="657" t="s">
        <v>2067</v>
      </c>
      <c r="C164" s="646">
        <v>3</v>
      </c>
      <c r="D164" s="646" t="s">
        <v>141</v>
      </c>
      <c r="E164" s="649">
        <f>Elec_Est!E8927</f>
        <v>36.950000000000003</v>
      </c>
      <c r="F164" s="1125">
        <f>IFERROR($C164*E164,E164)</f>
        <v>110.85000000000001</v>
      </c>
    </row>
    <row r="165" spans="1:6" s="631" customFormat="1">
      <c r="A165" s="643">
        <f ca="1">IFERROR(IF(OFFSET(A165,-1,0)&gt;0,OFFSET(A165,-1,0)+0.001,ERROR.TYPE(0)),IFERROR(IF(OFFSET(A165,-2,0)&gt;0,OFFSET(A165,-2,0)+0.001,ERROR.TYPE(0)),IFERROR(IF(OFFSET(A165,-3,0)&gt;0,OFFSET(A165,-3,0)+0.001,ERROR.TYPE(0)),IFERROR(IF(OFFSET(A165,-4,0)&gt;0,OFFSET(A165,-4,0)+0.001,ERROR.TYPE(0)),IFERROR(IF(OFFSET(A165,-5,0)&gt;0,OFFSET(A165,-5,0)+0.001,ERROR.TYPE(0)),IFERROR(IF(OFFSET(A165,-6,0)&gt;0,OFFSET(A165,-6,0)+0.001,ERROR.TYPE(0)),IFERROR(IF(OFFSET(A165,-7,0)&gt;0,OFFSET(A165,-7,0)+0.001,ERROR.TYPE(0)),IFERROR(IF(OFFSET(A165,-8,0)&gt;0,OFFSET(A165,-8,0)+0.001,ERROR.TYPE(0)),IFERROR(IF(OFFSET(A165,-9,0)&gt;0,OFFSET(A165,-9,0)+0.001,ERROR.TYPE(0)),IFERROR(IF(OFFSET(A165,-10,0)&gt;0,OFFSET(A165,-10,0)+0.001,ERROR.TYPE(0)),ERROR.TYPE(0)))))))))))</f>
        <v>2.1049999999999884</v>
      </c>
      <c r="B165" s="657" t="s">
        <v>2085</v>
      </c>
      <c r="C165" s="646">
        <v>1</v>
      </c>
      <c r="D165" s="646" t="s">
        <v>141</v>
      </c>
      <c r="E165" s="649">
        <f>Elec_Est!E8933</f>
        <v>41.79</v>
      </c>
      <c r="F165" s="1125">
        <f>IFERROR($C165*E165,E165)</f>
        <v>41.79</v>
      </c>
    </row>
    <row r="166" spans="1:6" s="631" customFormat="1">
      <c r="A166" s="643">
        <f t="shared" ca="1" si="18"/>
        <v>2.1059999999999883</v>
      </c>
      <c r="B166" s="865" t="s">
        <v>2086</v>
      </c>
      <c r="C166" s="646">
        <v>1</v>
      </c>
      <c r="D166" s="646" t="s">
        <v>141</v>
      </c>
      <c r="E166" s="649">
        <f>Elec_Est!E8939</f>
        <v>36.950000000000003</v>
      </c>
      <c r="F166" s="1125">
        <f t="shared" ref="F166:F168" si="30">IFERROR($C166*E166,E166)</f>
        <v>36.950000000000003</v>
      </c>
    </row>
    <row r="167" spans="1:6" s="631" customFormat="1">
      <c r="A167" s="643">
        <f t="shared" ca="1" si="18"/>
        <v>2.1069999999999882</v>
      </c>
      <c r="B167" s="865" t="s">
        <v>2087</v>
      </c>
      <c r="C167" s="646">
        <v>1</v>
      </c>
      <c r="D167" s="646" t="s">
        <v>141</v>
      </c>
      <c r="E167" s="649">
        <f>Elec_Est!E8945</f>
        <v>36.950000000000003</v>
      </c>
      <c r="F167" s="1125">
        <f t="shared" si="30"/>
        <v>36.950000000000003</v>
      </c>
    </row>
    <row r="168" spans="1:6" s="631" customFormat="1">
      <c r="A168" s="643">
        <f t="shared" ca="1" si="18"/>
        <v>2.1079999999999881</v>
      </c>
      <c r="B168" s="865" t="s">
        <v>2088</v>
      </c>
      <c r="C168" s="646">
        <v>3</v>
      </c>
      <c r="D168" s="646" t="s">
        <v>141</v>
      </c>
      <c r="E168" s="649">
        <f>Elec_Est!E8951</f>
        <v>36.950000000000003</v>
      </c>
      <c r="F168" s="1125">
        <f t="shared" si="30"/>
        <v>110.85000000000001</v>
      </c>
    </row>
    <row r="169" spans="1:6" s="631" customFormat="1">
      <c r="A169" s="643">
        <f ca="1">IFERROR(IF(OFFSET(A169,-1,0)&gt;0,OFFSET(A169,-1,0)+0.001,ERROR.TYPE(0)),IFERROR(IF(OFFSET(A169,-2,0)&gt;0,OFFSET(A169,-2,0)+0.001,ERROR.TYPE(0)),IFERROR(IF(OFFSET(A169,-3,0)&gt;0,OFFSET(A169,-3,0)+0.001,ERROR.TYPE(0)),IFERROR(IF(OFFSET(A169,-4,0)&gt;0,OFFSET(A169,-4,0)+0.001,ERROR.TYPE(0)),IFERROR(IF(OFFSET(A169,-5,0)&gt;0,OFFSET(A169,-5,0)+0.001,ERROR.TYPE(0)),IFERROR(IF(OFFSET(A169,-6,0)&gt;0,OFFSET(A169,-6,0)+0.001,ERROR.TYPE(0)),IFERROR(IF(OFFSET(A169,-7,0)&gt;0,OFFSET(A169,-7,0)+0.001,ERROR.TYPE(0)),IFERROR(IF(OFFSET(A169,-8,0)&gt;0,OFFSET(A169,-8,0)+0.001,ERROR.TYPE(0)),IFERROR(IF(OFFSET(A169,-9,0)&gt;0,OFFSET(A169,-9,0)+0.001,ERROR.TYPE(0)),IFERROR(IF(OFFSET(A169,-10,0)&gt;0,OFFSET(A169,-10,0)+0.001,ERROR.TYPE(0)),ERROR.TYPE(0)))))))))))</f>
        <v>2.108999999999988</v>
      </c>
      <c r="B169" s="865" t="s">
        <v>2089</v>
      </c>
      <c r="C169" s="646">
        <v>4</v>
      </c>
      <c r="D169" s="646" t="s">
        <v>141</v>
      </c>
      <c r="E169" s="649">
        <f>Elec_Est!E8957</f>
        <v>36.950000000000003</v>
      </c>
      <c r="F169" s="1125">
        <f>IFERROR($C169*E169,E169)</f>
        <v>147.80000000000001</v>
      </c>
    </row>
    <row r="170" spans="1:6" s="631" customFormat="1">
      <c r="A170" s="638"/>
      <c r="B170" s="866" t="s">
        <v>2070</v>
      </c>
      <c r="C170" s="646"/>
      <c r="D170" s="646"/>
      <c r="E170" s="649"/>
      <c r="F170" s="1125"/>
    </row>
    <row r="171" spans="1:6" s="631" customFormat="1">
      <c r="A171" s="643">
        <f ca="1">IFERROR(IF(OFFSET(A171,-1,0)&gt;0,OFFSET(A171,-1,0)+0.001,ERROR.TYPE(0)),IFERROR(IF(OFFSET(A171,-2,0)&gt;0,OFFSET(A171,-2,0)+0.001,ERROR.TYPE(0)),IFERROR(IF(OFFSET(A171,-3,0)&gt;0,OFFSET(A171,-3,0)+0.001,ERROR.TYPE(0)),IFERROR(IF(OFFSET(A171,-4,0)&gt;0,OFFSET(A171,-4,0)+0.001,ERROR.TYPE(0)),IFERROR(IF(OFFSET(A171,-5,0)&gt;0,OFFSET(A171,-5,0)+0.001,ERROR.TYPE(0)),IFERROR(IF(OFFSET(A171,-6,0)&gt;0,OFFSET(A171,-6,0)+0.001,ERROR.TYPE(0)),IFERROR(IF(OFFSET(A171,-7,0)&gt;0,OFFSET(A171,-7,0)+0.001,ERROR.TYPE(0)),IFERROR(IF(OFFSET(A171,-8,0)&gt;0,OFFSET(A171,-8,0)+0.001,ERROR.TYPE(0)),IFERROR(IF(OFFSET(A171,-9,0)&gt;0,OFFSET(A171,-9,0)+0.001,ERROR.TYPE(0)),IFERROR(IF(OFFSET(A171,-10,0)&gt;0,OFFSET(A171,-10,0)+0.001,ERROR.TYPE(0)),ERROR.TYPE(0)))))))))))</f>
        <v>2.1099999999999879</v>
      </c>
      <c r="B171" s="865" t="s">
        <v>2061</v>
      </c>
      <c r="C171" s="646">
        <v>8</v>
      </c>
      <c r="D171" s="646" t="s">
        <v>141</v>
      </c>
      <c r="E171" s="649">
        <f>Elec_Est!E8967</f>
        <v>52.23</v>
      </c>
      <c r="F171" s="1125">
        <f>IFERROR($C171*E171,E171)</f>
        <v>417.84</v>
      </c>
    </row>
    <row r="172" spans="1:6" s="631" customFormat="1">
      <c r="A172" s="643">
        <f ca="1">IFERROR(IF(OFFSET(A172,-1,0)&gt;0,OFFSET(A172,-1,0)+0.001,ERROR.TYPE(0)),IFERROR(IF(OFFSET(A172,-2,0)&gt;0,OFFSET(A172,-2,0)+0.001,ERROR.TYPE(0)),IFERROR(IF(OFFSET(A172,-3,0)&gt;0,OFFSET(A172,-3,0)+0.001,ERROR.TYPE(0)),IFERROR(IF(OFFSET(A172,-4,0)&gt;0,OFFSET(A172,-4,0)+0.001,ERROR.TYPE(0)),IFERROR(IF(OFFSET(A172,-5,0)&gt;0,OFFSET(A172,-5,0)+0.001,ERROR.TYPE(0)),IFERROR(IF(OFFSET(A172,-6,0)&gt;0,OFFSET(A172,-6,0)+0.001,ERROR.TYPE(0)),IFERROR(IF(OFFSET(A172,-7,0)&gt;0,OFFSET(A172,-7,0)+0.001,ERROR.TYPE(0)),IFERROR(IF(OFFSET(A172,-8,0)&gt;0,OFFSET(A172,-8,0)+0.001,ERROR.TYPE(0)),IFERROR(IF(OFFSET(A172,-9,0)&gt;0,OFFSET(A172,-9,0)+0.001,ERROR.TYPE(0)),IFERROR(IF(OFFSET(A172,-10,0)&gt;0,OFFSET(A172,-10,0)+0.001,ERROR.TYPE(0)),ERROR.TYPE(0)))))))))))</f>
        <v>2.1109999999999878</v>
      </c>
      <c r="B172" s="865" t="s">
        <v>2062</v>
      </c>
      <c r="C172" s="646">
        <v>3</v>
      </c>
      <c r="D172" s="646" t="s">
        <v>141</v>
      </c>
      <c r="E172" s="649">
        <f>Elec_Est!E8973</f>
        <v>93.61</v>
      </c>
      <c r="F172" s="1125">
        <f>IFERROR($C172*E172,E172)</f>
        <v>280.83</v>
      </c>
    </row>
    <row r="173" spans="1:6" s="631" customFormat="1">
      <c r="A173" s="643">
        <f ca="1">IFERROR(IF(OFFSET(A173,-1,0)&gt;0,OFFSET(A173,-1,0)+0.001,ERROR.TYPE(0)),IFERROR(IF(OFFSET(A173,-2,0)&gt;0,OFFSET(A173,-2,0)+0.001,ERROR.TYPE(0)),IFERROR(IF(OFFSET(A173,-3,0)&gt;0,OFFSET(A173,-3,0)+0.001,ERROR.TYPE(0)),IFERROR(IF(OFFSET(A173,-4,0)&gt;0,OFFSET(A173,-4,0)+0.001,ERROR.TYPE(0)),IFERROR(IF(OFFSET(A173,-5,0)&gt;0,OFFSET(A173,-5,0)+0.001,ERROR.TYPE(0)),IFERROR(IF(OFFSET(A173,-6,0)&gt;0,OFFSET(A173,-6,0)+0.001,ERROR.TYPE(0)),IFERROR(IF(OFFSET(A173,-7,0)&gt;0,OFFSET(A173,-7,0)+0.001,ERROR.TYPE(0)),IFERROR(IF(OFFSET(A173,-8,0)&gt;0,OFFSET(A173,-8,0)+0.001,ERROR.TYPE(0)),IFERROR(IF(OFFSET(A173,-9,0)&gt;0,OFFSET(A173,-9,0)+0.001,ERROR.TYPE(0)),IFERROR(IF(OFFSET(A173,-10,0)&gt;0,OFFSET(A173,-10,0)+0.001,ERROR.TYPE(0)),ERROR.TYPE(0)))))))))))</f>
        <v>2.1119999999999877</v>
      </c>
      <c r="B173" s="657" t="s">
        <v>2078</v>
      </c>
      <c r="C173" s="646">
        <v>1</v>
      </c>
      <c r="D173" s="646" t="s">
        <v>141</v>
      </c>
      <c r="E173" s="649">
        <f>Elec_Est!E8979</f>
        <v>81.790000000000006</v>
      </c>
      <c r="F173" s="1125">
        <f>IFERROR($C173*E173,E173)</f>
        <v>81.790000000000006</v>
      </c>
    </row>
    <row r="174" spans="1:6" s="631" customFormat="1">
      <c r="A174" s="643">
        <f t="shared" ref="A174" ca="1" si="31">IFERROR(IF(OFFSET(A174,-1,0)&gt;0,OFFSET(A174,-1,0)+0.001,ERROR.TYPE(0)),IFERROR(IF(OFFSET(A174,-2,0)&gt;0,OFFSET(A174,-2,0)+0.001,ERROR.TYPE(0)),IFERROR(IF(OFFSET(A174,-3,0)&gt;0,OFFSET(A174,-3,0)+0.001,ERROR.TYPE(0)),IFERROR(IF(OFFSET(A174,-4,0)&gt;0,OFFSET(A174,-4,0)+0.001,ERROR.TYPE(0)),IFERROR(IF(OFFSET(A174,-5,0)&gt;0,OFFSET(A174,-5,0)+0.001,ERROR.TYPE(0)),IFERROR(IF(OFFSET(A174,-6,0)&gt;0,OFFSET(A174,-6,0)+0.001,ERROR.TYPE(0)),IFERROR(IF(OFFSET(A174,-7,0)&gt;0,OFFSET(A174,-7,0)+0.001,ERROR.TYPE(0)),IFERROR(IF(OFFSET(A174,-8,0)&gt;0,OFFSET(A174,-8,0)+0.001,ERROR.TYPE(0)),IFERROR(IF(OFFSET(A174,-9,0)&gt;0,OFFSET(A174,-9,0)+0.001,ERROR.TYPE(0)),IFERROR(IF(OFFSET(A174,-10,0)&gt;0,OFFSET(A174,-10,0)+0.001,ERROR.TYPE(0)),ERROR.TYPE(0)))))))))))</f>
        <v>2.1129999999999876</v>
      </c>
      <c r="B174" s="865" t="s">
        <v>2071</v>
      </c>
      <c r="C174" s="646">
        <v>10</v>
      </c>
      <c r="D174" s="646" t="s">
        <v>141</v>
      </c>
      <c r="E174" s="649">
        <f>Elec_Est!E8985</f>
        <v>54.2</v>
      </c>
      <c r="F174" s="1125">
        <f>IFERROR($C174*E174,E174)</f>
        <v>542</v>
      </c>
    </row>
    <row r="175" spans="1:6" s="631" customFormat="1">
      <c r="A175" s="643">
        <f t="shared" ca="1" si="18"/>
        <v>2.1139999999999874</v>
      </c>
      <c r="B175" s="865" t="s">
        <v>2090</v>
      </c>
      <c r="C175" s="646">
        <v>1</v>
      </c>
      <c r="D175" s="646" t="s">
        <v>141</v>
      </c>
      <c r="E175" s="649">
        <f>Elec_Est!E8991</f>
        <v>640.5</v>
      </c>
      <c r="F175" s="1125">
        <f t="shared" ref="F175:F178" si="32">IFERROR($C175*E175,E175)</f>
        <v>640.5</v>
      </c>
    </row>
    <row r="176" spans="1:6" s="631" customFormat="1">
      <c r="A176" s="643">
        <f t="shared" ca="1" si="18"/>
        <v>2.1149999999999873</v>
      </c>
      <c r="B176" s="865" t="s">
        <v>2091</v>
      </c>
      <c r="C176" s="646">
        <v>45</v>
      </c>
      <c r="D176" s="646" t="s">
        <v>320</v>
      </c>
      <c r="E176" s="649">
        <f>Elec_Est!E8997</f>
        <v>4.93</v>
      </c>
      <c r="F176" s="1125">
        <f t="shared" si="32"/>
        <v>221.85</v>
      </c>
    </row>
    <row r="177" spans="1:6" s="631" customFormat="1">
      <c r="A177" s="643">
        <f t="shared" ca="1" si="18"/>
        <v>2.1159999999999872</v>
      </c>
      <c r="B177" s="865" t="s">
        <v>2092</v>
      </c>
      <c r="C177" s="646">
        <v>1</v>
      </c>
      <c r="D177" s="646" t="s">
        <v>141</v>
      </c>
      <c r="E177" s="649">
        <f>Elec_Est!E9003</f>
        <v>149.78</v>
      </c>
      <c r="F177" s="1125">
        <f t="shared" si="32"/>
        <v>149.78</v>
      </c>
    </row>
    <row r="178" spans="1:6" s="631" customFormat="1">
      <c r="A178" s="643">
        <f t="shared" ca="1" si="18"/>
        <v>2.1169999999999871</v>
      </c>
      <c r="B178" s="657" t="s">
        <v>2079</v>
      </c>
      <c r="C178" s="646">
        <v>1</v>
      </c>
      <c r="D178" s="646" t="s">
        <v>141</v>
      </c>
      <c r="E178" s="649">
        <f>Elec_Est!E9009</f>
        <v>77.849999999999994</v>
      </c>
      <c r="F178" s="1125">
        <f t="shared" si="32"/>
        <v>77.849999999999994</v>
      </c>
    </row>
    <row r="179" spans="1:6" s="631" customFormat="1">
      <c r="A179" s="643">
        <f ca="1">IFERROR(IF(OFFSET(A179,-1,0)&gt;0,OFFSET(A179,-1,0)+0.001,ERROR.TYPE(0)),IFERROR(IF(OFFSET(A179,-2,0)&gt;0,OFFSET(A179,-2,0)+0.001,ERROR.TYPE(0)),IFERROR(IF(OFFSET(A179,-3,0)&gt;0,OFFSET(A179,-3,0)+0.001,ERROR.TYPE(0)),IFERROR(IF(OFFSET(A179,-4,0)&gt;0,OFFSET(A179,-4,0)+0.001,ERROR.TYPE(0)),IFERROR(IF(OFFSET(A179,-5,0)&gt;0,OFFSET(A179,-5,0)+0.001,ERROR.TYPE(0)),IFERROR(IF(OFFSET(A179,-6,0)&gt;0,OFFSET(A179,-6,0)+0.001,ERROR.TYPE(0)),IFERROR(IF(OFFSET(A179,-7,0)&gt;0,OFFSET(A179,-7,0)+0.001,ERROR.TYPE(0)),IFERROR(IF(OFFSET(A179,-8,0)&gt;0,OFFSET(A179,-8,0)+0.001,ERROR.TYPE(0)),IFERROR(IF(OFFSET(A179,-9,0)&gt;0,OFFSET(A179,-9,0)+0.001,ERROR.TYPE(0)),IFERROR(IF(OFFSET(A179,-10,0)&gt;0,OFFSET(A179,-10,0)+0.001,ERROR.TYPE(0)),ERROR.TYPE(0)))))))))))</f>
        <v>2.117999999999987</v>
      </c>
      <c r="B179" s="657" t="s">
        <v>2066</v>
      </c>
      <c r="C179" s="646">
        <v>5</v>
      </c>
      <c r="D179" s="646" t="s">
        <v>141</v>
      </c>
      <c r="E179" s="649">
        <f>Elec_Est!E9015</f>
        <v>77.849999999999994</v>
      </c>
      <c r="F179" s="1125">
        <f>IFERROR($C179*E179,E179)</f>
        <v>389.25</v>
      </c>
    </row>
    <row r="180" spans="1:6" s="631" customFormat="1">
      <c r="A180" s="643">
        <f ca="1">IFERROR(IF(OFFSET(A180,-1,0)&gt;0,OFFSET(A180,-1,0)+0.001,ERROR.TYPE(0)),IFERROR(IF(OFFSET(A180,-2,0)&gt;0,OFFSET(A180,-2,0)+0.001,ERROR.TYPE(0)),IFERROR(IF(OFFSET(A180,-3,0)&gt;0,OFFSET(A180,-3,0)+0.001,ERROR.TYPE(0)),IFERROR(IF(OFFSET(A180,-4,0)&gt;0,OFFSET(A180,-4,0)+0.001,ERROR.TYPE(0)),IFERROR(IF(OFFSET(A180,-5,0)&gt;0,OFFSET(A180,-5,0)+0.001,ERROR.TYPE(0)),IFERROR(IF(OFFSET(A180,-6,0)&gt;0,OFFSET(A180,-6,0)+0.001,ERROR.TYPE(0)),IFERROR(IF(OFFSET(A180,-7,0)&gt;0,OFFSET(A180,-7,0)+0.001,ERROR.TYPE(0)),IFERROR(IF(OFFSET(A180,-8,0)&gt;0,OFFSET(A180,-8,0)+0.001,ERROR.TYPE(0)),IFERROR(IF(OFFSET(A180,-9,0)&gt;0,OFFSET(A180,-9,0)+0.001,ERROR.TYPE(0)),IFERROR(IF(OFFSET(A180,-10,0)&gt;0,OFFSET(A180,-10,0)+0.001,ERROR.TYPE(0)),ERROR.TYPE(0)))))))))))</f>
        <v>2.1189999999999869</v>
      </c>
      <c r="B180" s="657" t="s">
        <v>2067</v>
      </c>
      <c r="C180" s="646">
        <v>3</v>
      </c>
      <c r="D180" s="646" t="s">
        <v>141</v>
      </c>
      <c r="E180" s="649">
        <f>Elec_Est!E9021</f>
        <v>77.849999999999994</v>
      </c>
      <c r="F180" s="1125">
        <f>IFERROR($C180*E180,E180)</f>
        <v>233.54999999999998</v>
      </c>
    </row>
    <row r="181" spans="1:6" s="631" customFormat="1">
      <c r="A181" s="643">
        <f ca="1">IFERROR(IF(OFFSET(A181,-1,0)&gt;0,OFFSET(A181,-1,0)+0.001,ERROR.TYPE(0)),IFERROR(IF(OFFSET(A181,-2,0)&gt;0,OFFSET(A181,-2,0)+0.001,ERROR.TYPE(0)),IFERROR(IF(OFFSET(A181,-3,0)&gt;0,OFFSET(A181,-3,0)+0.001,ERROR.TYPE(0)),IFERROR(IF(OFFSET(A181,-4,0)&gt;0,OFFSET(A181,-4,0)+0.001,ERROR.TYPE(0)),IFERROR(IF(OFFSET(A181,-5,0)&gt;0,OFFSET(A181,-5,0)+0.001,ERROR.TYPE(0)),IFERROR(IF(OFFSET(A181,-6,0)&gt;0,OFFSET(A181,-6,0)+0.001,ERROR.TYPE(0)),IFERROR(IF(OFFSET(A181,-7,0)&gt;0,OFFSET(A181,-7,0)+0.001,ERROR.TYPE(0)),IFERROR(IF(OFFSET(A181,-8,0)&gt;0,OFFSET(A181,-8,0)+0.001,ERROR.TYPE(0)),IFERROR(IF(OFFSET(A181,-9,0)&gt;0,OFFSET(A181,-9,0)+0.001,ERROR.TYPE(0)),IFERROR(IF(OFFSET(A181,-10,0)&gt;0,OFFSET(A181,-10,0)+0.001,ERROR.TYPE(0)),ERROR.TYPE(0)))))))))))</f>
        <v>2.1199999999999868</v>
      </c>
      <c r="B181" s="657" t="s">
        <v>2085</v>
      </c>
      <c r="C181" s="646">
        <v>1</v>
      </c>
      <c r="D181" s="646" t="s">
        <v>141</v>
      </c>
      <c r="E181" s="649">
        <f>Elec_Est!E9027</f>
        <v>77.849999999999994</v>
      </c>
      <c r="F181" s="1125">
        <f>IFERROR($C181*E181,E181)</f>
        <v>77.849999999999994</v>
      </c>
    </row>
    <row r="182" spans="1:6" s="631" customFormat="1">
      <c r="A182" s="643">
        <f t="shared" ca="1" si="18"/>
        <v>2.1209999999999867</v>
      </c>
      <c r="B182" s="865" t="s">
        <v>2086</v>
      </c>
      <c r="C182" s="646">
        <v>1</v>
      </c>
      <c r="D182" s="646" t="s">
        <v>141</v>
      </c>
      <c r="E182" s="649">
        <f>Elec_Est!E9033</f>
        <v>77.849999999999994</v>
      </c>
      <c r="F182" s="1125">
        <f t="shared" ref="F182:F184" si="33">IFERROR($C182*E182,E182)</f>
        <v>77.849999999999994</v>
      </c>
    </row>
    <row r="183" spans="1:6" s="631" customFormat="1">
      <c r="A183" s="643">
        <f t="shared" ca="1" si="18"/>
        <v>2.1219999999999866</v>
      </c>
      <c r="B183" s="865" t="s">
        <v>2087</v>
      </c>
      <c r="C183" s="646">
        <v>1</v>
      </c>
      <c r="D183" s="646" t="s">
        <v>141</v>
      </c>
      <c r="E183" s="649">
        <f>Elec_Est!E9039</f>
        <v>77.849999999999994</v>
      </c>
      <c r="F183" s="1125">
        <f t="shared" si="33"/>
        <v>77.849999999999994</v>
      </c>
    </row>
    <row r="184" spans="1:6" s="631" customFormat="1">
      <c r="A184" s="643">
        <f t="shared" ca="1" si="18"/>
        <v>2.1229999999999865</v>
      </c>
      <c r="B184" s="865" t="s">
        <v>2088</v>
      </c>
      <c r="C184" s="646">
        <v>3</v>
      </c>
      <c r="D184" s="646" t="s">
        <v>141</v>
      </c>
      <c r="E184" s="649">
        <f>Elec_Est!E9045</f>
        <v>77.849999999999994</v>
      </c>
      <c r="F184" s="1125">
        <f t="shared" si="33"/>
        <v>233.54999999999998</v>
      </c>
    </row>
    <row r="185" spans="1:6" s="631" customFormat="1">
      <c r="A185" s="643">
        <f ca="1">IFERROR(IF(OFFSET(A185,-1,0)&gt;0,OFFSET(A185,-1,0)+0.001,ERROR.TYPE(0)),IFERROR(IF(OFFSET(A185,-2,0)&gt;0,OFFSET(A185,-2,0)+0.001,ERROR.TYPE(0)),IFERROR(IF(OFFSET(A185,-3,0)&gt;0,OFFSET(A185,-3,0)+0.001,ERROR.TYPE(0)),IFERROR(IF(OFFSET(A185,-4,0)&gt;0,OFFSET(A185,-4,0)+0.001,ERROR.TYPE(0)),IFERROR(IF(OFFSET(A185,-5,0)&gt;0,OFFSET(A185,-5,0)+0.001,ERROR.TYPE(0)),IFERROR(IF(OFFSET(A185,-6,0)&gt;0,OFFSET(A185,-6,0)+0.001,ERROR.TYPE(0)),IFERROR(IF(OFFSET(A185,-7,0)&gt;0,OFFSET(A185,-7,0)+0.001,ERROR.TYPE(0)),IFERROR(IF(OFFSET(A185,-8,0)&gt;0,OFFSET(A185,-8,0)+0.001,ERROR.TYPE(0)),IFERROR(IF(OFFSET(A185,-9,0)&gt;0,OFFSET(A185,-9,0)+0.001,ERROR.TYPE(0)),IFERROR(IF(OFFSET(A185,-10,0)&gt;0,OFFSET(A185,-10,0)+0.001,ERROR.TYPE(0)),ERROR.TYPE(0)))))))))))</f>
        <v>2.1239999999999863</v>
      </c>
      <c r="B185" s="865" t="s">
        <v>2089</v>
      </c>
      <c r="C185" s="646">
        <v>4</v>
      </c>
      <c r="D185" s="646" t="s">
        <v>141</v>
      </c>
      <c r="E185" s="649">
        <f>Elec_Est!E9051</f>
        <v>96.57</v>
      </c>
      <c r="F185" s="1125">
        <f>IFERROR($C185*E185,E185)</f>
        <v>386.28</v>
      </c>
    </row>
    <row r="186" spans="1:6" s="631" customFormat="1">
      <c r="A186" s="643">
        <f ca="1">IFERROR(IF(OFFSET(A186,-1,0)&gt;0,OFFSET(A186,-1,0)+0.001,ERROR.TYPE(0)),IFERROR(IF(OFFSET(A186,-2,0)&gt;0,OFFSET(A186,-2,0)+0.001,ERROR.TYPE(0)),IFERROR(IF(OFFSET(A186,-3,0)&gt;0,OFFSET(A186,-3,0)+0.001,ERROR.TYPE(0)),IFERROR(IF(OFFSET(A186,-4,0)&gt;0,OFFSET(A186,-4,0)+0.001,ERROR.TYPE(0)),IFERROR(IF(OFFSET(A186,-5,0)&gt;0,OFFSET(A186,-5,0)+0.001,ERROR.TYPE(0)),IFERROR(IF(OFFSET(A186,-6,0)&gt;0,OFFSET(A186,-6,0)+0.001,ERROR.TYPE(0)),IFERROR(IF(OFFSET(A186,-7,0)&gt;0,OFFSET(A186,-7,0)+0.001,ERROR.TYPE(0)),IFERROR(IF(OFFSET(A186,-8,0)&gt;0,OFFSET(A186,-8,0)+0.001,ERROR.TYPE(0)),IFERROR(IF(OFFSET(A186,-9,0)&gt;0,OFFSET(A186,-9,0)+0.001,ERROR.TYPE(0)),IFERROR(IF(OFFSET(A186,-10,0)&gt;0,OFFSET(A186,-10,0)+0.001,ERROR.TYPE(0)),ERROR.TYPE(0)))))))))))</f>
        <v>2.1249999999999862</v>
      </c>
      <c r="B186" s="865" t="s">
        <v>2082</v>
      </c>
      <c r="C186" s="646">
        <v>1</v>
      </c>
      <c r="D186" s="646" t="s">
        <v>141</v>
      </c>
      <c r="E186" s="649">
        <f>Elec_Est!E9057</f>
        <v>3941.53</v>
      </c>
      <c r="F186" s="1125">
        <f t="shared" ref="F186:F187" si="34">IFERROR($C186*E186,E186)</f>
        <v>3941.53</v>
      </c>
    </row>
    <row r="187" spans="1:6" s="631" customFormat="1">
      <c r="A187" s="643">
        <f t="shared" ref="A187" ca="1" si="35">IFERROR(IF(OFFSET(A187,-1,0)&gt;0,OFFSET(A187,-1,0)+0.001,ERROR.TYPE(0)),IFERROR(IF(OFFSET(A187,-2,0)&gt;0,OFFSET(A187,-2,0)+0.001,ERROR.TYPE(0)),IFERROR(IF(OFFSET(A187,-3,0)&gt;0,OFFSET(A187,-3,0)+0.001,ERROR.TYPE(0)),IFERROR(IF(OFFSET(A187,-4,0)&gt;0,OFFSET(A187,-4,0)+0.001,ERROR.TYPE(0)),IFERROR(IF(OFFSET(A187,-5,0)&gt;0,OFFSET(A187,-5,0)+0.001,ERROR.TYPE(0)),IFERROR(IF(OFFSET(A187,-6,0)&gt;0,OFFSET(A187,-6,0)+0.001,ERROR.TYPE(0)),IFERROR(IF(OFFSET(A187,-7,0)&gt;0,OFFSET(A187,-7,0)+0.001,ERROR.TYPE(0)),IFERROR(IF(OFFSET(A187,-8,0)&gt;0,OFFSET(A187,-8,0)+0.001,ERROR.TYPE(0)),IFERROR(IF(OFFSET(A187,-9,0)&gt;0,OFFSET(A187,-9,0)+0.001,ERROR.TYPE(0)),IFERROR(IF(OFFSET(A187,-10,0)&gt;0,OFFSET(A187,-10,0)+0.001,ERROR.TYPE(0)),ERROR.TYPE(0)))))))))))</f>
        <v>2.1259999999999861</v>
      </c>
      <c r="B187" s="678" t="s">
        <v>2083</v>
      </c>
      <c r="C187" s="646">
        <v>1</v>
      </c>
      <c r="D187" s="646" t="s">
        <v>329</v>
      </c>
      <c r="E187" s="649">
        <f>Elec_Est!E9063</f>
        <v>147.81</v>
      </c>
      <c r="F187" s="1125">
        <f t="shared" si="34"/>
        <v>147.81</v>
      </c>
    </row>
    <row r="188" spans="1:6" s="631" customFormat="1" ht="15" customHeight="1">
      <c r="A188" s="867"/>
      <c r="B188" s="639" t="s">
        <v>416</v>
      </c>
      <c r="C188" s="1456" t="s">
        <v>305</v>
      </c>
      <c r="D188" s="1457"/>
      <c r="E188" s="652"/>
      <c r="F188" s="1123">
        <f ca="1">SUM(F140:F187)</f>
        <v>21569.9</v>
      </c>
    </row>
    <row r="189" spans="1:6" s="631" customFormat="1">
      <c r="A189" s="868"/>
      <c r="B189" s="666"/>
      <c r="C189" s="654"/>
      <c r="D189" s="654"/>
      <c r="E189" s="655"/>
      <c r="F189" s="1126"/>
    </row>
    <row r="190" spans="1:6" s="631" customFormat="1">
      <c r="A190" s="653"/>
      <c r="B190" s="666"/>
      <c r="C190" s="654"/>
      <c r="D190" s="654"/>
      <c r="E190" s="655"/>
      <c r="F190" s="1126"/>
    </row>
    <row r="191" spans="1:6" s="631" customFormat="1" ht="27.6">
      <c r="A191" s="634" t="s">
        <v>143</v>
      </c>
      <c r="B191" s="635" t="s">
        <v>198</v>
      </c>
      <c r="C191" s="636" t="s">
        <v>199</v>
      </c>
      <c r="D191" s="636" t="s">
        <v>200</v>
      </c>
      <c r="E191" s="637" t="s">
        <v>294</v>
      </c>
      <c r="F191" s="1122" t="s">
        <v>295</v>
      </c>
    </row>
    <row r="192" spans="1:6" s="631" customFormat="1">
      <c r="A192" s="643"/>
      <c r="B192" s="714" t="s">
        <v>2093</v>
      </c>
      <c r="C192" s="646"/>
      <c r="D192" s="646"/>
      <c r="E192" s="649"/>
      <c r="F192" s="1125"/>
    </row>
    <row r="193" spans="1:6" s="631" customFormat="1" ht="41.4">
      <c r="A193" s="643"/>
      <c r="B193" s="864" t="s">
        <v>2077</v>
      </c>
      <c r="C193" s="646"/>
      <c r="D193" s="646"/>
      <c r="E193" s="649"/>
      <c r="F193" s="1125"/>
    </row>
    <row r="194" spans="1:6" s="631" customFormat="1">
      <c r="A194" s="643">
        <f ca="1">IFERROR(IF(OFFSET(A194,-1,0)&gt;0,OFFSET(A194,-1,0)+0.001,ERROR.TYPE(0)),IFERROR(IF(OFFSET(A194,-2,0)&gt;0,OFFSET(A194,-2,0)+0.001,ERROR.TYPE(0)),IFERROR(IF(OFFSET(A194,-3,0)&gt;0,OFFSET(A194,-3,0)+0.001,ERROR.TYPE(0)),IFERROR(IF(OFFSET(A194,-4,0)&gt;0,OFFSET(A194,-4,0)+0.001,ERROR.TYPE(0)),IFERROR(IF(OFFSET(A194,-5,0)&gt;0,OFFSET(A194,-5,0)+0.001,ERROR.TYPE(0)),IFERROR(IF(OFFSET(A194,-6,0)&gt;0,OFFSET(A194,-6,0)+0.001,ERROR.TYPE(0)),IFERROR(IF(OFFSET(A194,-7,0)&gt;0,OFFSET(A194,-7,0)+0.001,ERROR.TYPE(0)),IFERROR(IF(OFFSET(A194,-8,0)&gt;0,OFFSET(A194,-8,0)+0.001,ERROR.TYPE(0)),IFERROR(IF(OFFSET(A194,-9,0)&gt;0,OFFSET(A194,-9,0)+0.001,ERROR.TYPE(0)),IFERROR(IF(OFFSET(A194,-10,0)&gt;0,OFFSET(A194,-10,0)+0.001,ERROR.TYPE(0)),ERROR.TYPE(0)))))))))))</f>
        <v>2.126999999999986</v>
      </c>
      <c r="B194" s="865" t="s">
        <v>2063</v>
      </c>
      <c r="C194" s="646">
        <v>1</v>
      </c>
      <c r="D194" s="646" t="s">
        <v>141</v>
      </c>
      <c r="E194" s="649">
        <f ca="1">Elec_Est!E9083</f>
        <v>49.52</v>
      </c>
      <c r="F194" s="1125">
        <f ca="1">IFERROR($C194*E194,E194)</f>
        <v>49.52</v>
      </c>
    </row>
    <row r="195" spans="1:6" s="631" customFormat="1">
      <c r="A195" s="643">
        <f ca="1">IFERROR(IF(OFFSET(A195,-1,0)&gt;0,OFFSET(A195,-1,0)+0.001,ERROR.TYPE(0)),IFERROR(IF(OFFSET(A195,-2,0)&gt;0,OFFSET(A195,-2,0)+0.001,ERROR.TYPE(0)),IFERROR(IF(OFFSET(A195,-3,0)&gt;0,OFFSET(A195,-3,0)+0.001,ERROR.TYPE(0)),IFERROR(IF(OFFSET(A195,-4,0)&gt;0,OFFSET(A195,-4,0)+0.001,ERROR.TYPE(0)),IFERROR(IF(OFFSET(A195,-5,0)&gt;0,OFFSET(A195,-5,0)+0.001,ERROR.TYPE(0)),IFERROR(IF(OFFSET(A195,-6,0)&gt;0,OFFSET(A195,-6,0)+0.001,ERROR.TYPE(0)),IFERROR(IF(OFFSET(A195,-7,0)&gt;0,OFFSET(A195,-7,0)+0.001,ERROR.TYPE(0)),IFERROR(IF(OFFSET(A195,-8,0)&gt;0,OFFSET(A195,-8,0)+0.001,ERROR.TYPE(0)),IFERROR(IF(OFFSET(A195,-9,0)&gt;0,OFFSET(A195,-9,0)+0.001,ERROR.TYPE(0)),IFERROR(IF(OFFSET(A195,-10,0)&gt;0,OFFSET(A195,-10,0)+0.001,ERROR.TYPE(0)),ERROR.TYPE(0)))))))))))</f>
        <v>2.1279999999999859</v>
      </c>
      <c r="B195" s="865" t="s">
        <v>2061</v>
      </c>
      <c r="C195" s="646">
        <v>7</v>
      </c>
      <c r="D195" s="646" t="s">
        <v>141</v>
      </c>
      <c r="E195" s="649">
        <f ca="1">Elec_Est!E9090</f>
        <v>49.52</v>
      </c>
      <c r="F195" s="1125">
        <f t="shared" ref="F195" ca="1" si="36">IFERROR($C195*E195,E195)</f>
        <v>346.64000000000004</v>
      </c>
    </row>
    <row r="196" spans="1:6" s="631" customFormat="1">
      <c r="A196" s="643">
        <f ca="1">IFERROR(IF(OFFSET(A196,-1,0)&gt;0,OFFSET(A196,-1,0)+0.001,ERROR.TYPE(0)),IFERROR(IF(OFFSET(A196,-2,0)&gt;0,OFFSET(A196,-2,0)+0.001,ERROR.TYPE(0)),IFERROR(IF(OFFSET(A196,-3,0)&gt;0,OFFSET(A196,-3,0)+0.001,ERROR.TYPE(0)),IFERROR(IF(OFFSET(A196,-4,0)&gt;0,OFFSET(A196,-4,0)+0.001,ERROR.TYPE(0)),IFERROR(IF(OFFSET(A196,-5,0)&gt;0,OFFSET(A196,-5,0)+0.001,ERROR.TYPE(0)),IFERROR(IF(OFFSET(A196,-6,0)&gt;0,OFFSET(A196,-6,0)+0.001,ERROR.TYPE(0)),IFERROR(IF(OFFSET(A196,-7,0)&gt;0,OFFSET(A196,-7,0)+0.001,ERROR.TYPE(0)),IFERROR(IF(OFFSET(A196,-8,0)&gt;0,OFFSET(A196,-8,0)+0.001,ERROR.TYPE(0)),IFERROR(IF(OFFSET(A196,-9,0)&gt;0,OFFSET(A196,-9,0)+0.001,ERROR.TYPE(0)),IFERROR(IF(OFFSET(A196,-10,0)&gt;0,OFFSET(A196,-10,0)+0.001,ERROR.TYPE(0)),ERROR.TYPE(0)))))))))))</f>
        <v>2.1289999999999858</v>
      </c>
      <c r="B196" s="865" t="s">
        <v>2062</v>
      </c>
      <c r="C196" s="646">
        <v>2</v>
      </c>
      <c r="D196" s="646" t="s">
        <v>141</v>
      </c>
      <c r="E196" s="649">
        <f ca="1">Elec_Est!E9097</f>
        <v>49.52</v>
      </c>
      <c r="F196" s="1125">
        <f ca="1">IFERROR($C196*E196,E196)</f>
        <v>99.04</v>
      </c>
    </row>
    <row r="197" spans="1:6" s="631" customFormat="1">
      <c r="A197" s="643">
        <f t="shared" ca="1" si="18"/>
        <v>2.1299999999999857</v>
      </c>
      <c r="B197" s="865" t="s">
        <v>2065</v>
      </c>
      <c r="C197" s="646">
        <v>1</v>
      </c>
      <c r="D197" s="646" t="s">
        <v>141</v>
      </c>
      <c r="E197" s="649">
        <f ca="1">Elec_Est!E9104</f>
        <v>49.52</v>
      </c>
      <c r="F197" s="1125">
        <f t="shared" ref="F197:F198" ca="1" si="37">IFERROR($C197*E197,E197)</f>
        <v>49.52</v>
      </c>
    </row>
    <row r="198" spans="1:6" s="631" customFormat="1">
      <c r="A198" s="643">
        <f t="shared" ca="1" si="18"/>
        <v>2.1309999999999856</v>
      </c>
      <c r="B198" s="865" t="s">
        <v>2068</v>
      </c>
      <c r="C198" s="646">
        <v>1</v>
      </c>
      <c r="D198" s="646" t="s">
        <v>141</v>
      </c>
      <c r="E198" s="649">
        <f ca="1">Elec_Est!E9111</f>
        <v>49.52</v>
      </c>
      <c r="F198" s="1125">
        <f t="shared" ca="1" si="37"/>
        <v>49.52</v>
      </c>
    </row>
    <row r="199" spans="1:6" s="631" customFormat="1" ht="41.4">
      <c r="A199" s="638"/>
      <c r="B199" s="866" t="s">
        <v>4145</v>
      </c>
      <c r="C199" s="646"/>
      <c r="D199" s="646"/>
      <c r="E199" s="649"/>
      <c r="F199" s="1125"/>
    </row>
    <row r="200" spans="1:6" s="631" customFormat="1">
      <c r="A200" s="643">
        <f ca="1">IFERROR(IF(OFFSET(A200,-1,0)&gt;0,OFFSET(A200,-1,0)+0.001,ERROR.TYPE(0)),IFERROR(IF(OFFSET(A200,-2,0)&gt;0,OFFSET(A200,-2,0)+0.001,ERROR.TYPE(0)),IFERROR(IF(OFFSET(A200,-3,0)&gt;0,OFFSET(A200,-3,0)+0.001,ERROR.TYPE(0)),IFERROR(IF(OFFSET(A200,-4,0)&gt;0,OFFSET(A200,-4,0)+0.001,ERROR.TYPE(0)),IFERROR(IF(OFFSET(A200,-5,0)&gt;0,OFFSET(A200,-5,0)+0.001,ERROR.TYPE(0)),IFERROR(IF(OFFSET(A200,-6,0)&gt;0,OFFSET(A200,-6,0)+0.001,ERROR.TYPE(0)),IFERROR(IF(OFFSET(A200,-7,0)&gt;0,OFFSET(A200,-7,0)+0.001,ERROR.TYPE(0)),IFERROR(IF(OFFSET(A200,-8,0)&gt;0,OFFSET(A200,-8,0)+0.001,ERROR.TYPE(0)),IFERROR(IF(OFFSET(A200,-9,0)&gt;0,OFFSET(A200,-9,0)+0.001,ERROR.TYPE(0)),IFERROR(IF(OFFSET(A200,-10,0)&gt;0,OFFSET(A200,-10,0)+0.001,ERROR.TYPE(0)),ERROR.TYPE(0)))))))))))</f>
        <v>2.1319999999999855</v>
      </c>
      <c r="B200" s="865" t="s">
        <v>2063</v>
      </c>
      <c r="C200" s="646">
        <v>1</v>
      </c>
      <c r="D200" s="646" t="s">
        <v>141</v>
      </c>
      <c r="E200" s="649">
        <f>Elec_Est!E9122</f>
        <v>36.950000000000003</v>
      </c>
      <c r="F200" s="1125">
        <f>IFERROR($C200*E200,E200)</f>
        <v>36.950000000000003</v>
      </c>
    </row>
    <row r="201" spans="1:6" s="631" customFormat="1">
      <c r="A201" s="643">
        <f ca="1">IFERROR(IF(OFFSET(A201,-1,0)&gt;0,OFFSET(A201,-1,0)+0.001,ERROR.TYPE(0)),IFERROR(IF(OFFSET(A201,-2,0)&gt;0,OFFSET(A201,-2,0)+0.001,ERROR.TYPE(0)),IFERROR(IF(OFFSET(A201,-3,0)&gt;0,OFFSET(A201,-3,0)+0.001,ERROR.TYPE(0)),IFERROR(IF(OFFSET(A201,-4,0)&gt;0,OFFSET(A201,-4,0)+0.001,ERROR.TYPE(0)),IFERROR(IF(OFFSET(A201,-5,0)&gt;0,OFFSET(A201,-5,0)+0.001,ERROR.TYPE(0)),IFERROR(IF(OFFSET(A201,-6,0)&gt;0,OFFSET(A201,-6,0)+0.001,ERROR.TYPE(0)),IFERROR(IF(OFFSET(A201,-7,0)&gt;0,OFFSET(A201,-7,0)+0.001,ERROR.TYPE(0)),IFERROR(IF(OFFSET(A201,-8,0)&gt;0,OFFSET(A201,-8,0)+0.001,ERROR.TYPE(0)),IFERROR(IF(OFFSET(A201,-9,0)&gt;0,OFFSET(A201,-9,0)+0.001,ERROR.TYPE(0)),IFERROR(IF(OFFSET(A201,-10,0)&gt;0,OFFSET(A201,-10,0)+0.001,ERROR.TYPE(0)),ERROR.TYPE(0)))))))))))</f>
        <v>2.1329999999999854</v>
      </c>
      <c r="B201" s="865" t="s">
        <v>2061</v>
      </c>
      <c r="C201" s="646">
        <v>7</v>
      </c>
      <c r="D201" s="646" t="s">
        <v>141</v>
      </c>
      <c r="E201" s="649">
        <f>Elec_Est!E9128</f>
        <v>36.950000000000003</v>
      </c>
      <c r="F201" s="1125">
        <f t="shared" ref="F201" si="38">IFERROR($C201*E201,E201)</f>
        <v>258.65000000000003</v>
      </c>
    </row>
    <row r="202" spans="1:6" s="631" customFormat="1">
      <c r="A202" s="643">
        <f ca="1">IFERROR(IF(OFFSET(A202,-1,0)&gt;0,OFFSET(A202,-1,0)+0.001,ERROR.TYPE(0)),IFERROR(IF(OFFSET(A202,-2,0)&gt;0,OFFSET(A202,-2,0)+0.001,ERROR.TYPE(0)),IFERROR(IF(OFFSET(A202,-3,0)&gt;0,OFFSET(A202,-3,0)+0.001,ERROR.TYPE(0)),IFERROR(IF(OFFSET(A202,-4,0)&gt;0,OFFSET(A202,-4,0)+0.001,ERROR.TYPE(0)),IFERROR(IF(OFFSET(A202,-5,0)&gt;0,OFFSET(A202,-5,0)+0.001,ERROR.TYPE(0)),IFERROR(IF(OFFSET(A202,-6,0)&gt;0,OFFSET(A202,-6,0)+0.001,ERROR.TYPE(0)),IFERROR(IF(OFFSET(A202,-7,0)&gt;0,OFFSET(A202,-7,0)+0.001,ERROR.TYPE(0)),IFERROR(IF(OFFSET(A202,-8,0)&gt;0,OFFSET(A202,-8,0)+0.001,ERROR.TYPE(0)),IFERROR(IF(OFFSET(A202,-9,0)&gt;0,OFFSET(A202,-9,0)+0.001,ERROR.TYPE(0)),IFERROR(IF(OFFSET(A202,-10,0)&gt;0,OFFSET(A202,-10,0)+0.001,ERROR.TYPE(0)),ERROR.TYPE(0)))))))))))</f>
        <v>2.1339999999999852</v>
      </c>
      <c r="B202" s="865" t="s">
        <v>2062</v>
      </c>
      <c r="C202" s="646">
        <v>2</v>
      </c>
      <c r="D202" s="646" t="s">
        <v>141</v>
      </c>
      <c r="E202" s="649">
        <f>Elec_Est!E9134</f>
        <v>36.950000000000003</v>
      </c>
      <c r="F202" s="1125">
        <f>IFERROR($C202*E202,E202)</f>
        <v>73.900000000000006</v>
      </c>
    </row>
    <row r="203" spans="1:6" s="631" customFormat="1">
      <c r="A203" s="643">
        <f t="shared" ca="1" si="18"/>
        <v>2.1349999999999851</v>
      </c>
      <c r="B203" s="865" t="s">
        <v>2065</v>
      </c>
      <c r="C203" s="646">
        <v>1</v>
      </c>
      <c r="D203" s="646" t="s">
        <v>141</v>
      </c>
      <c r="E203" s="649">
        <f>Elec_Est!E9140</f>
        <v>36.950000000000003</v>
      </c>
      <c r="F203" s="1125">
        <f t="shared" ref="F203:F204" si="39">IFERROR($C203*E203,E203)</f>
        <v>36.950000000000003</v>
      </c>
    </row>
    <row r="204" spans="1:6" s="631" customFormat="1">
      <c r="A204" s="643">
        <f t="shared" ca="1" si="18"/>
        <v>2.135999999999985</v>
      </c>
      <c r="B204" s="865" t="s">
        <v>2068</v>
      </c>
      <c r="C204" s="646">
        <v>1</v>
      </c>
      <c r="D204" s="646" t="s">
        <v>141</v>
      </c>
      <c r="E204" s="649">
        <f>Elec_Est!E9146</f>
        <v>36.950000000000003</v>
      </c>
      <c r="F204" s="1125">
        <f t="shared" si="39"/>
        <v>36.950000000000003</v>
      </c>
    </row>
    <row r="205" spans="1:6" s="631" customFormat="1">
      <c r="A205" s="638"/>
      <c r="B205" s="866" t="s">
        <v>2070</v>
      </c>
      <c r="C205" s="646"/>
      <c r="D205" s="646"/>
      <c r="E205" s="649"/>
      <c r="F205" s="1125"/>
    </row>
    <row r="206" spans="1:6" s="631" customFormat="1">
      <c r="A206" s="643">
        <f ca="1">IFERROR(IF(OFFSET(A206,-1,0)&gt;0,OFFSET(A206,-1,0)+0.001,ERROR.TYPE(0)),IFERROR(IF(OFFSET(A206,-2,0)&gt;0,OFFSET(A206,-2,0)+0.001,ERROR.TYPE(0)),IFERROR(IF(OFFSET(A206,-3,0)&gt;0,OFFSET(A206,-3,0)+0.001,ERROR.TYPE(0)),IFERROR(IF(OFFSET(A206,-4,0)&gt;0,OFFSET(A206,-4,0)+0.001,ERROR.TYPE(0)),IFERROR(IF(OFFSET(A206,-5,0)&gt;0,OFFSET(A206,-5,0)+0.001,ERROR.TYPE(0)),IFERROR(IF(OFFSET(A206,-6,0)&gt;0,OFFSET(A206,-6,0)+0.001,ERROR.TYPE(0)),IFERROR(IF(OFFSET(A206,-7,0)&gt;0,OFFSET(A206,-7,0)+0.001,ERROR.TYPE(0)),IFERROR(IF(OFFSET(A206,-8,0)&gt;0,OFFSET(A206,-8,0)+0.001,ERROR.TYPE(0)),IFERROR(IF(OFFSET(A206,-9,0)&gt;0,OFFSET(A206,-9,0)+0.001,ERROR.TYPE(0)),IFERROR(IF(OFFSET(A206,-10,0)&gt;0,OFFSET(A206,-10,0)+0.001,ERROR.TYPE(0)),ERROR.TYPE(0)))))))))))</f>
        <v>2.1369999999999849</v>
      </c>
      <c r="B206" s="865" t="s">
        <v>2063</v>
      </c>
      <c r="C206" s="646">
        <v>1</v>
      </c>
      <c r="D206" s="646" t="s">
        <v>141</v>
      </c>
      <c r="E206" s="649">
        <f>Elec_Est!E9156</f>
        <v>51.24</v>
      </c>
      <c r="F206" s="1125">
        <f>IFERROR($C206*E206,E206)</f>
        <v>51.24</v>
      </c>
    </row>
    <row r="207" spans="1:6" s="631" customFormat="1">
      <c r="A207" s="643">
        <f ca="1">IFERROR(IF(OFFSET(A207,-1,0)&gt;0,OFFSET(A207,-1,0)+0.001,ERROR.TYPE(0)),IFERROR(IF(OFFSET(A207,-2,0)&gt;0,OFFSET(A207,-2,0)+0.001,ERROR.TYPE(0)),IFERROR(IF(OFFSET(A207,-3,0)&gt;0,OFFSET(A207,-3,0)+0.001,ERROR.TYPE(0)),IFERROR(IF(OFFSET(A207,-4,0)&gt;0,OFFSET(A207,-4,0)+0.001,ERROR.TYPE(0)),IFERROR(IF(OFFSET(A207,-5,0)&gt;0,OFFSET(A207,-5,0)+0.001,ERROR.TYPE(0)),IFERROR(IF(OFFSET(A207,-6,0)&gt;0,OFFSET(A207,-6,0)+0.001,ERROR.TYPE(0)),IFERROR(IF(OFFSET(A207,-7,0)&gt;0,OFFSET(A207,-7,0)+0.001,ERROR.TYPE(0)),IFERROR(IF(OFFSET(A207,-8,0)&gt;0,OFFSET(A207,-8,0)+0.001,ERROR.TYPE(0)),IFERROR(IF(OFFSET(A207,-9,0)&gt;0,OFFSET(A207,-9,0)+0.001,ERROR.TYPE(0)),IFERROR(IF(OFFSET(A207,-10,0)&gt;0,OFFSET(A207,-10,0)+0.001,ERROR.TYPE(0)),ERROR.TYPE(0)))))))))))</f>
        <v>2.1379999999999848</v>
      </c>
      <c r="B207" s="865" t="s">
        <v>2061</v>
      </c>
      <c r="C207" s="646">
        <v>7</v>
      </c>
      <c r="D207" s="646" t="s">
        <v>141</v>
      </c>
      <c r="E207" s="649">
        <f>Elec_Est!E9162</f>
        <v>52.23</v>
      </c>
      <c r="F207" s="1125">
        <f t="shared" ref="F207" si="40">IFERROR($C207*E207,E207)</f>
        <v>365.60999999999996</v>
      </c>
    </row>
    <row r="208" spans="1:6" s="631" customFormat="1">
      <c r="A208" s="643">
        <f ca="1">IFERROR(IF(OFFSET(A208,-1,0)&gt;0,OFFSET(A208,-1,0)+0.001,ERROR.TYPE(0)),IFERROR(IF(OFFSET(A208,-2,0)&gt;0,OFFSET(A208,-2,0)+0.001,ERROR.TYPE(0)),IFERROR(IF(OFFSET(A208,-3,0)&gt;0,OFFSET(A208,-3,0)+0.001,ERROR.TYPE(0)),IFERROR(IF(OFFSET(A208,-4,0)&gt;0,OFFSET(A208,-4,0)+0.001,ERROR.TYPE(0)),IFERROR(IF(OFFSET(A208,-5,0)&gt;0,OFFSET(A208,-5,0)+0.001,ERROR.TYPE(0)),IFERROR(IF(OFFSET(A208,-6,0)&gt;0,OFFSET(A208,-6,0)+0.001,ERROR.TYPE(0)),IFERROR(IF(OFFSET(A208,-7,0)&gt;0,OFFSET(A208,-7,0)+0.001,ERROR.TYPE(0)),IFERROR(IF(OFFSET(A208,-8,0)&gt;0,OFFSET(A208,-8,0)+0.001,ERROR.TYPE(0)),IFERROR(IF(OFFSET(A208,-9,0)&gt;0,OFFSET(A208,-9,0)+0.001,ERROR.TYPE(0)),IFERROR(IF(OFFSET(A208,-10,0)&gt;0,OFFSET(A208,-10,0)+0.001,ERROR.TYPE(0)),ERROR.TYPE(0)))))))))))</f>
        <v>2.1389999999999847</v>
      </c>
      <c r="B208" s="865" t="s">
        <v>2062</v>
      </c>
      <c r="C208" s="646">
        <v>2</v>
      </c>
      <c r="D208" s="646" t="s">
        <v>141</v>
      </c>
      <c r="E208" s="649">
        <f>Elec_Est!E9168</f>
        <v>93.61</v>
      </c>
      <c r="F208" s="1125">
        <f>IFERROR($C208*E208,E208)</f>
        <v>187.22</v>
      </c>
    </row>
    <row r="209" spans="1:6" s="631" customFormat="1">
      <c r="A209" s="643">
        <f t="shared" ca="1" si="18"/>
        <v>2.1399999999999846</v>
      </c>
      <c r="B209" s="865" t="s">
        <v>2071</v>
      </c>
      <c r="C209" s="646">
        <v>1</v>
      </c>
      <c r="D209" s="646" t="s">
        <v>141</v>
      </c>
      <c r="E209" s="649">
        <f>Elec_Est!E9174</f>
        <v>54.2</v>
      </c>
      <c r="F209" s="1125">
        <f t="shared" ref="F209:F210" si="41">IFERROR($C209*E209,E209)</f>
        <v>54.2</v>
      </c>
    </row>
    <row r="210" spans="1:6" s="631" customFormat="1">
      <c r="A210" s="643">
        <f t="shared" ca="1" si="18"/>
        <v>2.1409999999999845</v>
      </c>
      <c r="B210" s="865" t="s">
        <v>2068</v>
      </c>
      <c r="C210" s="646">
        <v>1</v>
      </c>
      <c r="D210" s="646" t="s">
        <v>141</v>
      </c>
      <c r="E210" s="649">
        <f>Elec_Est!E9180</f>
        <v>77.849999999999994</v>
      </c>
      <c r="F210" s="1125">
        <f t="shared" si="41"/>
        <v>77.849999999999994</v>
      </c>
    </row>
    <row r="211" spans="1:6" s="631" customFormat="1" ht="15" customHeight="1">
      <c r="A211" s="867"/>
      <c r="B211" s="639" t="s">
        <v>435</v>
      </c>
      <c r="C211" s="1456" t="s">
        <v>305</v>
      </c>
      <c r="D211" s="1457"/>
      <c r="E211" s="652"/>
      <c r="F211" s="1123">
        <f ca="1">SUM(F193:F210)</f>
        <v>1773.76</v>
      </c>
    </row>
    <row r="212" spans="1:6" s="631" customFormat="1">
      <c r="A212" s="868"/>
      <c r="B212" s="666"/>
      <c r="C212" s="654"/>
      <c r="D212" s="654"/>
      <c r="E212" s="655"/>
      <c r="F212" s="1126"/>
    </row>
    <row r="213" spans="1:6" s="631" customFormat="1">
      <c r="A213" s="653"/>
      <c r="B213" s="666"/>
      <c r="C213" s="654"/>
      <c r="D213" s="654"/>
      <c r="E213" s="655"/>
      <c r="F213" s="1126"/>
    </row>
    <row r="214" spans="1:6" s="631" customFormat="1" ht="27.6">
      <c r="A214" s="634" t="s">
        <v>143</v>
      </c>
      <c r="B214" s="635" t="s">
        <v>198</v>
      </c>
      <c r="C214" s="636" t="s">
        <v>199</v>
      </c>
      <c r="D214" s="636" t="s">
        <v>200</v>
      </c>
      <c r="E214" s="637" t="s">
        <v>294</v>
      </c>
      <c r="F214" s="1122" t="s">
        <v>295</v>
      </c>
    </row>
    <row r="215" spans="1:6" s="631" customFormat="1">
      <c r="A215" s="643"/>
      <c r="B215" s="714" t="s">
        <v>2094</v>
      </c>
      <c r="C215" s="646"/>
      <c r="D215" s="646"/>
      <c r="E215" s="649"/>
      <c r="F215" s="1125"/>
    </row>
    <row r="216" spans="1:6" s="870" customFormat="1">
      <c r="A216" s="1445"/>
      <c r="B216" s="715" t="s">
        <v>2095</v>
      </c>
      <c r="C216" s="1446"/>
      <c r="D216" s="1446"/>
      <c r="E216" s="1447"/>
      <c r="F216" s="1448"/>
    </row>
    <row r="217" spans="1:6" s="631" customFormat="1" ht="27.6">
      <c r="A217" s="643"/>
      <c r="B217" s="864" t="s">
        <v>4144</v>
      </c>
      <c r="C217" s="646"/>
      <c r="D217" s="646"/>
      <c r="E217" s="649"/>
      <c r="F217" s="1125"/>
    </row>
    <row r="218" spans="1:6" s="631" customFormat="1">
      <c r="A218" s="643">
        <f t="shared" ref="A218:A223" ca="1" si="42">IFERROR(IF(OFFSET(A218,-1,0)&gt;0,OFFSET(A218,-1,0)+0.001,ERROR.TYPE(0)),IFERROR(IF(OFFSET(A218,-2,0)&gt;0,OFFSET(A218,-2,0)+0.001,ERROR.TYPE(0)),IFERROR(IF(OFFSET(A218,-3,0)&gt;0,OFFSET(A218,-3,0)+0.001,ERROR.TYPE(0)),IFERROR(IF(OFFSET(A218,-4,0)&gt;0,OFFSET(A218,-4,0)+0.001,ERROR.TYPE(0)),IFERROR(IF(OFFSET(A218,-5,0)&gt;0,OFFSET(A218,-5,0)+0.001,ERROR.TYPE(0)),IFERROR(IF(OFFSET(A218,-6,0)&gt;0,OFFSET(A218,-6,0)+0.001,ERROR.TYPE(0)),IFERROR(IF(OFFSET(A218,-7,0)&gt;0,OFFSET(A218,-7,0)+0.001,ERROR.TYPE(0)),IFERROR(IF(OFFSET(A218,-8,0)&gt;0,OFFSET(A218,-8,0)+0.001,ERROR.TYPE(0)),IFERROR(IF(OFFSET(A218,-9,0)&gt;0,OFFSET(A218,-9,0)+0.001,ERROR.TYPE(0)),IFERROR(IF(OFFSET(A218,-10,0)&gt;0,OFFSET(A218,-10,0)+0.001,ERROR.TYPE(0)),ERROR.TYPE(0)))))))))))</f>
        <v>2.1419999999999844</v>
      </c>
      <c r="B218" s="865" t="s">
        <v>2061</v>
      </c>
      <c r="C218" s="646">
        <v>26</v>
      </c>
      <c r="D218" s="646" t="s">
        <v>141</v>
      </c>
      <c r="E218" s="649">
        <f ca="1">Elec_Est!E9204</f>
        <v>108.78</v>
      </c>
      <c r="F218" s="1125">
        <f t="shared" ref="F218:F222" ca="1" si="43">IFERROR($C218*E218,E218)</f>
        <v>2828.28</v>
      </c>
    </row>
    <row r="219" spans="1:6" s="631" customFormat="1" ht="17.7" customHeight="1">
      <c r="A219" s="643">
        <f t="shared" ca="1" si="42"/>
        <v>2.1429999999999843</v>
      </c>
      <c r="B219" s="865" t="s">
        <v>2062</v>
      </c>
      <c r="C219" s="646">
        <v>3</v>
      </c>
      <c r="D219" s="646" t="s">
        <v>141</v>
      </c>
      <c r="E219" s="649">
        <f ca="1">Elec_Est!E9214</f>
        <v>98.17</v>
      </c>
      <c r="F219" s="1125">
        <f t="shared" ca="1" si="43"/>
        <v>294.51</v>
      </c>
    </row>
    <row r="220" spans="1:6" s="631" customFormat="1">
      <c r="A220" s="643">
        <f t="shared" ca="1" si="42"/>
        <v>2.1439999999999841</v>
      </c>
      <c r="B220" s="865" t="s">
        <v>2063</v>
      </c>
      <c r="C220" s="646">
        <v>2</v>
      </c>
      <c r="D220" s="646" t="s">
        <v>141</v>
      </c>
      <c r="E220" s="649">
        <f ca="1">Elec_Est!E9221</f>
        <v>98.17</v>
      </c>
      <c r="F220" s="1125">
        <f t="shared" ca="1" si="43"/>
        <v>196.34</v>
      </c>
    </row>
    <row r="221" spans="1:6" s="631" customFormat="1">
      <c r="A221" s="643">
        <f t="shared" ca="1" si="42"/>
        <v>2.144999999999984</v>
      </c>
      <c r="B221" s="865" t="s">
        <v>2064</v>
      </c>
      <c r="C221" s="646">
        <v>1</v>
      </c>
      <c r="D221" s="646" t="s">
        <v>141</v>
      </c>
      <c r="E221" s="649">
        <f ca="1">Elec_Est!E9228</f>
        <v>98.17</v>
      </c>
      <c r="F221" s="1125">
        <f t="shared" ca="1" si="43"/>
        <v>98.17</v>
      </c>
    </row>
    <row r="222" spans="1:6" s="631" customFormat="1">
      <c r="A222" s="643">
        <f t="shared" ca="1" si="42"/>
        <v>2.1459999999999839</v>
      </c>
      <c r="B222" s="865" t="s">
        <v>2096</v>
      </c>
      <c r="C222" s="646">
        <v>3</v>
      </c>
      <c r="D222" s="646" t="s">
        <v>141</v>
      </c>
      <c r="E222" s="649">
        <f ca="1">Elec_Est!E9235</f>
        <v>113.42</v>
      </c>
      <c r="F222" s="1125">
        <f t="shared" ca="1" si="43"/>
        <v>340.26</v>
      </c>
    </row>
    <row r="223" spans="1:6" s="631" customFormat="1" ht="27.6">
      <c r="A223" s="643">
        <f t="shared" ca="1" si="42"/>
        <v>2.1469999999999838</v>
      </c>
      <c r="B223" s="865" t="s">
        <v>2097</v>
      </c>
      <c r="C223" s="646">
        <v>3</v>
      </c>
      <c r="D223" s="646" t="s">
        <v>141</v>
      </c>
      <c r="E223" s="649" t="str">
        <f>Elec_Est!Q9245</f>
        <v>Not applicable</v>
      </c>
      <c r="F223" s="1125"/>
    </row>
    <row r="224" spans="1:6" s="870" customFormat="1">
      <c r="A224" s="1445"/>
      <c r="B224" s="715" t="s">
        <v>2098</v>
      </c>
      <c r="C224" s="1446"/>
      <c r="D224" s="1446"/>
      <c r="E224" s="1447"/>
      <c r="F224" s="1448"/>
    </row>
    <row r="225" spans="1:6" s="631" customFormat="1" ht="41.4">
      <c r="A225" s="643"/>
      <c r="B225" s="864" t="s">
        <v>2077</v>
      </c>
      <c r="C225" s="646"/>
      <c r="D225" s="646"/>
      <c r="E225" s="649"/>
      <c r="F225" s="1125"/>
    </row>
    <row r="226" spans="1:6" s="631" customFormat="1">
      <c r="A226" s="643">
        <f ca="1">IFERROR(IF(OFFSET(A226,-1,0)&gt;0,OFFSET(A226,-1,0)+0.001,ERROR.TYPE(0)),IFERROR(IF(OFFSET(A226,-2,0)&gt;0,OFFSET(A226,-2,0)+0.001,ERROR.TYPE(0)),IFERROR(IF(OFFSET(A226,-3,0)&gt;0,OFFSET(A226,-3,0)+0.001,ERROR.TYPE(0)),IFERROR(IF(OFFSET(A226,-4,0)&gt;0,OFFSET(A226,-4,0)+0.001,ERROR.TYPE(0)),IFERROR(IF(OFFSET(A226,-5,0)&gt;0,OFFSET(A226,-5,0)+0.001,ERROR.TYPE(0)),IFERROR(IF(OFFSET(A226,-6,0)&gt;0,OFFSET(A226,-6,0)+0.001,ERROR.TYPE(0)),IFERROR(IF(OFFSET(A226,-7,0)&gt;0,OFFSET(A226,-7,0)+0.001,ERROR.TYPE(0)),IFERROR(IF(OFFSET(A226,-8,0)&gt;0,OFFSET(A226,-8,0)+0.001,ERROR.TYPE(0)),IFERROR(IF(OFFSET(A226,-9,0)&gt;0,OFFSET(A226,-9,0)+0.001,ERROR.TYPE(0)),IFERROR(IF(OFFSET(A226,-10,0)&gt;0,OFFSET(A226,-10,0)+0.001,ERROR.TYPE(0)),ERROR.TYPE(0)))))))))))</f>
        <v>2.1479999999999837</v>
      </c>
      <c r="B226" s="865" t="s">
        <v>2061</v>
      </c>
      <c r="C226" s="646">
        <v>3</v>
      </c>
      <c r="D226" s="646" t="s">
        <v>141</v>
      </c>
      <c r="E226" s="649">
        <f ca="1">Elec_Est!E9260</f>
        <v>49.52</v>
      </c>
      <c r="F226" s="1125">
        <f t="shared" ref="F226" ca="1" si="44">IFERROR($C226*E226,E226)</f>
        <v>148.56</v>
      </c>
    </row>
    <row r="227" spans="1:6" s="631" customFormat="1" ht="17.7" customHeight="1">
      <c r="A227" s="643">
        <f ca="1">IFERROR(IF(OFFSET(A227,-1,0)&gt;0,OFFSET(A227,-1,0)+0.001,ERROR.TYPE(0)),IFERROR(IF(OFFSET(A227,-2,0)&gt;0,OFFSET(A227,-2,0)+0.001,ERROR.TYPE(0)),IFERROR(IF(OFFSET(A227,-3,0)&gt;0,OFFSET(A227,-3,0)+0.001,ERROR.TYPE(0)),IFERROR(IF(OFFSET(A227,-4,0)&gt;0,OFFSET(A227,-4,0)+0.001,ERROR.TYPE(0)),IFERROR(IF(OFFSET(A227,-5,0)&gt;0,OFFSET(A227,-5,0)+0.001,ERROR.TYPE(0)),IFERROR(IF(OFFSET(A227,-6,0)&gt;0,OFFSET(A227,-6,0)+0.001,ERROR.TYPE(0)),IFERROR(IF(OFFSET(A227,-7,0)&gt;0,OFFSET(A227,-7,0)+0.001,ERROR.TYPE(0)),IFERROR(IF(OFFSET(A227,-8,0)&gt;0,OFFSET(A227,-8,0)+0.001,ERROR.TYPE(0)),IFERROR(IF(OFFSET(A227,-9,0)&gt;0,OFFSET(A227,-9,0)+0.001,ERROR.TYPE(0)),IFERROR(IF(OFFSET(A227,-10,0)&gt;0,OFFSET(A227,-10,0)+0.001,ERROR.TYPE(0)),ERROR.TYPE(0)))))))))))</f>
        <v>2.1489999999999836</v>
      </c>
      <c r="B227" s="865" t="s">
        <v>2062</v>
      </c>
      <c r="C227" s="646">
        <v>1</v>
      </c>
      <c r="D227" s="646" t="s">
        <v>141</v>
      </c>
      <c r="E227" s="649">
        <f ca="1">Elec_Est!E9267</f>
        <v>49.52</v>
      </c>
      <c r="F227" s="1125">
        <f ca="1">IFERROR($C227*E227,E227)</f>
        <v>49.52</v>
      </c>
    </row>
    <row r="228" spans="1:6" s="631" customFormat="1">
      <c r="A228" s="643">
        <f t="shared" ca="1" si="18"/>
        <v>2.1499999999999835</v>
      </c>
      <c r="B228" s="865" t="s">
        <v>2065</v>
      </c>
      <c r="C228" s="646">
        <v>1</v>
      </c>
      <c r="D228" s="646" t="s">
        <v>141</v>
      </c>
      <c r="E228" s="649">
        <f ca="1">Elec_Est!E9274</f>
        <v>49.52</v>
      </c>
      <c r="F228" s="1125">
        <f t="shared" ref="F228:F230" ca="1" si="45">IFERROR($C228*E228,E228)</f>
        <v>49.52</v>
      </c>
    </row>
    <row r="229" spans="1:6" s="631" customFormat="1">
      <c r="A229" s="643">
        <f t="shared" ca="1" si="18"/>
        <v>2.1509999999999834</v>
      </c>
      <c r="B229" s="865" t="s">
        <v>2068</v>
      </c>
      <c r="C229" s="646">
        <v>1</v>
      </c>
      <c r="D229" s="646" t="s">
        <v>141</v>
      </c>
      <c r="E229" s="649">
        <f ca="1">Elec_Est!E9281</f>
        <v>49.52</v>
      </c>
      <c r="F229" s="1125">
        <f t="shared" ca="1" si="45"/>
        <v>49.52</v>
      </c>
    </row>
    <row r="230" spans="1:6" s="631" customFormat="1">
      <c r="A230" s="643">
        <f t="shared" ca="1" si="18"/>
        <v>2.1519999999999833</v>
      </c>
      <c r="B230" s="657" t="s">
        <v>2067</v>
      </c>
      <c r="C230" s="646">
        <v>1</v>
      </c>
      <c r="D230" s="646" t="s">
        <v>141</v>
      </c>
      <c r="E230" s="649">
        <f ca="1">Elec_Est!E9288</f>
        <v>49.52</v>
      </c>
      <c r="F230" s="1125">
        <f t="shared" ca="1" si="45"/>
        <v>49.52</v>
      </c>
    </row>
    <row r="231" spans="1:6" s="631" customFormat="1" ht="41.4">
      <c r="A231" s="638"/>
      <c r="B231" s="866" t="s">
        <v>4145</v>
      </c>
      <c r="C231" s="646"/>
      <c r="D231" s="646"/>
      <c r="E231" s="649"/>
      <c r="F231" s="1125"/>
    </row>
    <row r="232" spans="1:6" s="631" customFormat="1">
      <c r="A232" s="643">
        <f ca="1">IFERROR(IF(OFFSET(A232,-1,0)&gt;0,OFFSET(A232,-1,0)+0.001,ERROR.TYPE(0)),IFERROR(IF(OFFSET(A232,-2,0)&gt;0,OFFSET(A232,-2,0)+0.001,ERROR.TYPE(0)),IFERROR(IF(OFFSET(A232,-3,0)&gt;0,OFFSET(A232,-3,0)+0.001,ERROR.TYPE(0)),IFERROR(IF(OFFSET(A232,-4,0)&gt;0,OFFSET(A232,-4,0)+0.001,ERROR.TYPE(0)),IFERROR(IF(OFFSET(A232,-5,0)&gt;0,OFFSET(A232,-5,0)+0.001,ERROR.TYPE(0)),IFERROR(IF(OFFSET(A232,-6,0)&gt;0,OFFSET(A232,-6,0)+0.001,ERROR.TYPE(0)),IFERROR(IF(OFFSET(A232,-7,0)&gt;0,OFFSET(A232,-7,0)+0.001,ERROR.TYPE(0)),IFERROR(IF(OFFSET(A232,-8,0)&gt;0,OFFSET(A232,-8,0)+0.001,ERROR.TYPE(0)),IFERROR(IF(OFFSET(A232,-9,0)&gt;0,OFFSET(A232,-9,0)+0.001,ERROR.TYPE(0)),IFERROR(IF(OFFSET(A232,-10,0)&gt;0,OFFSET(A232,-10,0)+0.001,ERROR.TYPE(0)),ERROR.TYPE(0)))))))))))</f>
        <v>2.1529999999999831</v>
      </c>
      <c r="B232" s="865" t="s">
        <v>2061</v>
      </c>
      <c r="C232" s="646">
        <v>29</v>
      </c>
      <c r="D232" s="646" t="s">
        <v>141</v>
      </c>
      <c r="E232" s="649">
        <f>Elec_Est!E9299</f>
        <v>36.950000000000003</v>
      </c>
      <c r="F232" s="1125">
        <f>IFERROR($C232*E232,E232)</f>
        <v>1071.5500000000002</v>
      </c>
    </row>
    <row r="233" spans="1:6" s="631" customFormat="1" ht="17.7" customHeight="1">
      <c r="A233" s="643">
        <f ca="1">IFERROR(IF(OFFSET(A233,-1,0)&gt;0,OFFSET(A233,-1,0)+0.001,ERROR.TYPE(0)),IFERROR(IF(OFFSET(A233,-2,0)&gt;0,OFFSET(A233,-2,0)+0.001,ERROR.TYPE(0)),IFERROR(IF(OFFSET(A233,-3,0)&gt;0,OFFSET(A233,-3,0)+0.001,ERROR.TYPE(0)),IFERROR(IF(OFFSET(A233,-4,0)&gt;0,OFFSET(A233,-4,0)+0.001,ERROR.TYPE(0)),IFERROR(IF(OFFSET(A233,-5,0)&gt;0,OFFSET(A233,-5,0)+0.001,ERROR.TYPE(0)),IFERROR(IF(OFFSET(A233,-6,0)&gt;0,OFFSET(A233,-6,0)+0.001,ERROR.TYPE(0)),IFERROR(IF(OFFSET(A233,-7,0)&gt;0,OFFSET(A233,-7,0)+0.001,ERROR.TYPE(0)),IFERROR(IF(OFFSET(A233,-8,0)&gt;0,OFFSET(A233,-8,0)+0.001,ERROR.TYPE(0)),IFERROR(IF(OFFSET(A233,-9,0)&gt;0,OFFSET(A233,-9,0)+0.001,ERROR.TYPE(0)),IFERROR(IF(OFFSET(A233,-10,0)&gt;0,OFFSET(A233,-10,0)+0.001,ERROR.TYPE(0)),ERROR.TYPE(0)))))))))))</f>
        <v>2.153999999999983</v>
      </c>
      <c r="B233" s="865" t="s">
        <v>2062</v>
      </c>
      <c r="C233" s="646">
        <v>4</v>
      </c>
      <c r="D233" s="646" t="s">
        <v>141</v>
      </c>
      <c r="E233" s="649">
        <f>Elec_Est!E9305</f>
        <v>36.950000000000003</v>
      </c>
      <c r="F233" s="1125">
        <f>IFERROR($C233*E233,E233)</f>
        <v>147.80000000000001</v>
      </c>
    </row>
    <row r="234" spans="1:6" s="631" customFormat="1">
      <c r="A234" s="643">
        <f ca="1">IFERROR(IF(OFFSET(A234,-1,0)&gt;0,OFFSET(A234,-1,0)+0.001,ERROR.TYPE(0)),IFERROR(IF(OFFSET(A234,-2,0)&gt;0,OFFSET(A234,-2,0)+0.001,ERROR.TYPE(0)),IFERROR(IF(OFFSET(A234,-3,0)&gt;0,OFFSET(A234,-3,0)+0.001,ERROR.TYPE(0)),IFERROR(IF(OFFSET(A234,-4,0)&gt;0,OFFSET(A234,-4,0)+0.001,ERROR.TYPE(0)),IFERROR(IF(OFFSET(A234,-5,0)&gt;0,OFFSET(A234,-5,0)+0.001,ERROR.TYPE(0)),IFERROR(IF(OFFSET(A234,-6,0)&gt;0,OFFSET(A234,-6,0)+0.001,ERROR.TYPE(0)),IFERROR(IF(OFFSET(A234,-7,0)&gt;0,OFFSET(A234,-7,0)+0.001,ERROR.TYPE(0)),IFERROR(IF(OFFSET(A234,-8,0)&gt;0,OFFSET(A234,-8,0)+0.001,ERROR.TYPE(0)),IFERROR(IF(OFFSET(A234,-9,0)&gt;0,OFFSET(A234,-9,0)+0.001,ERROR.TYPE(0)),IFERROR(IF(OFFSET(A234,-10,0)&gt;0,OFFSET(A234,-10,0)+0.001,ERROR.TYPE(0)),ERROR.TYPE(0)))))))))))</f>
        <v>2.1549999999999829</v>
      </c>
      <c r="B234" s="865" t="s">
        <v>2063</v>
      </c>
      <c r="C234" s="646">
        <v>2</v>
      </c>
      <c r="D234" s="646" t="s">
        <v>141</v>
      </c>
      <c r="E234" s="649">
        <f>Elec_Est!E9311</f>
        <v>36.950000000000003</v>
      </c>
      <c r="F234" s="1125">
        <f>IFERROR($C234*E234,E234)</f>
        <v>73.900000000000006</v>
      </c>
    </row>
    <row r="235" spans="1:6" s="631" customFormat="1">
      <c r="A235" s="643">
        <f ca="1">IFERROR(IF(OFFSET(A235,-1,0)&gt;0,OFFSET(A235,-1,0)+0.001,ERROR.TYPE(0)),IFERROR(IF(OFFSET(A235,-2,0)&gt;0,OFFSET(A235,-2,0)+0.001,ERROR.TYPE(0)),IFERROR(IF(OFFSET(A235,-3,0)&gt;0,OFFSET(A235,-3,0)+0.001,ERROR.TYPE(0)),IFERROR(IF(OFFSET(A235,-4,0)&gt;0,OFFSET(A235,-4,0)+0.001,ERROR.TYPE(0)),IFERROR(IF(OFFSET(A235,-5,0)&gt;0,OFFSET(A235,-5,0)+0.001,ERROR.TYPE(0)),IFERROR(IF(OFFSET(A235,-6,0)&gt;0,OFFSET(A235,-6,0)+0.001,ERROR.TYPE(0)),IFERROR(IF(OFFSET(A235,-7,0)&gt;0,OFFSET(A235,-7,0)+0.001,ERROR.TYPE(0)),IFERROR(IF(OFFSET(A235,-8,0)&gt;0,OFFSET(A235,-8,0)+0.001,ERROR.TYPE(0)),IFERROR(IF(OFFSET(A235,-9,0)&gt;0,OFFSET(A235,-9,0)+0.001,ERROR.TYPE(0)),IFERROR(IF(OFFSET(A235,-10,0)&gt;0,OFFSET(A235,-10,0)+0.001,ERROR.TYPE(0)),ERROR.TYPE(0)))))))))))</f>
        <v>2.1559999999999828</v>
      </c>
      <c r="B235" s="865" t="s">
        <v>2064</v>
      </c>
      <c r="C235" s="646">
        <v>1</v>
      </c>
      <c r="D235" s="646" t="s">
        <v>141</v>
      </c>
      <c r="E235" s="649">
        <f>Elec_Est!E9317</f>
        <v>36.950000000000003</v>
      </c>
      <c r="F235" s="1125">
        <f>IFERROR($C235*E235,E235)</f>
        <v>36.950000000000003</v>
      </c>
    </row>
    <row r="236" spans="1:6" s="631" customFormat="1">
      <c r="A236" s="643">
        <f t="shared" ca="1" si="18"/>
        <v>2.1569999999999827</v>
      </c>
      <c r="B236" s="865" t="s">
        <v>2065</v>
      </c>
      <c r="C236" s="646">
        <v>1</v>
      </c>
      <c r="D236" s="646" t="s">
        <v>141</v>
      </c>
      <c r="E236" s="649">
        <f>Elec_Est!E9323</f>
        <v>36.950000000000003</v>
      </c>
      <c r="F236" s="1125">
        <f t="shared" ref="F236" si="46">IFERROR($C236*E236,E236)</f>
        <v>36.950000000000003</v>
      </c>
    </row>
    <row r="237" spans="1:6" s="631" customFormat="1">
      <c r="A237" s="643">
        <f ca="1">IFERROR(IF(OFFSET(A237,-1,0)&gt;0,OFFSET(A237,-1,0)+0.001,ERROR.TYPE(0)),IFERROR(IF(OFFSET(A237,-2,0)&gt;0,OFFSET(A237,-2,0)+0.001,ERROR.TYPE(0)),IFERROR(IF(OFFSET(A237,-3,0)&gt;0,OFFSET(A237,-3,0)+0.001,ERROR.TYPE(0)),IFERROR(IF(OFFSET(A237,-4,0)&gt;0,OFFSET(A237,-4,0)+0.001,ERROR.TYPE(0)),IFERROR(IF(OFFSET(A237,-5,0)&gt;0,OFFSET(A237,-5,0)+0.001,ERROR.TYPE(0)),IFERROR(IF(OFFSET(A237,-6,0)&gt;0,OFFSET(A237,-6,0)+0.001,ERROR.TYPE(0)),IFERROR(IF(OFFSET(A237,-7,0)&gt;0,OFFSET(A237,-7,0)+0.001,ERROR.TYPE(0)),IFERROR(IF(OFFSET(A237,-8,0)&gt;0,OFFSET(A237,-8,0)+0.001,ERROR.TYPE(0)),IFERROR(IF(OFFSET(A237,-9,0)&gt;0,OFFSET(A237,-9,0)+0.001,ERROR.TYPE(0)),IFERROR(IF(OFFSET(A237,-10,0)&gt;0,OFFSET(A237,-10,0)+0.001,ERROR.TYPE(0)),ERROR.TYPE(0)))))))))))</f>
        <v>2.1579999999999826</v>
      </c>
      <c r="B237" s="865" t="s">
        <v>2096</v>
      </c>
      <c r="C237" s="646">
        <v>3</v>
      </c>
      <c r="D237" s="646" t="s">
        <v>141</v>
      </c>
      <c r="E237" s="649">
        <f>Elec_Est!E9329</f>
        <v>36.950000000000003</v>
      </c>
      <c r="F237" s="1125">
        <f>IFERROR($C237*E237,E237)</f>
        <v>110.85000000000001</v>
      </c>
    </row>
    <row r="238" spans="1:6" s="631" customFormat="1">
      <c r="A238" s="643">
        <f ca="1">IFERROR(IF(OFFSET(A238,-1,0)&gt;0,OFFSET(A238,-1,0)+0.001,ERROR.TYPE(0)),IFERROR(IF(OFFSET(A238,-2,0)&gt;0,OFFSET(A238,-2,0)+0.001,ERROR.TYPE(0)),IFERROR(IF(OFFSET(A238,-3,0)&gt;0,OFFSET(A238,-3,0)+0.001,ERROR.TYPE(0)),IFERROR(IF(OFFSET(A238,-4,0)&gt;0,OFFSET(A238,-4,0)+0.001,ERROR.TYPE(0)),IFERROR(IF(OFFSET(A238,-5,0)&gt;0,OFFSET(A238,-5,0)+0.001,ERROR.TYPE(0)),IFERROR(IF(OFFSET(A238,-6,0)&gt;0,OFFSET(A238,-6,0)+0.001,ERROR.TYPE(0)),IFERROR(IF(OFFSET(A238,-7,0)&gt;0,OFFSET(A238,-7,0)+0.001,ERROR.TYPE(0)),IFERROR(IF(OFFSET(A238,-8,0)&gt;0,OFFSET(A238,-8,0)+0.001,ERROR.TYPE(0)),IFERROR(IF(OFFSET(A238,-9,0)&gt;0,OFFSET(A238,-9,0)+0.001,ERROR.TYPE(0)),IFERROR(IF(OFFSET(A238,-10,0)&gt;0,OFFSET(A238,-10,0)+0.001,ERROR.TYPE(0)),ERROR.TYPE(0)))))))))))</f>
        <v>2.1589999999999825</v>
      </c>
      <c r="B238" s="865" t="s">
        <v>2097</v>
      </c>
      <c r="C238" s="646">
        <v>3</v>
      </c>
      <c r="D238" s="646" t="s">
        <v>141</v>
      </c>
      <c r="E238" s="649">
        <f>Elec_Est!E9335</f>
        <v>36.950000000000003</v>
      </c>
      <c r="F238" s="1125">
        <f>IFERROR($C238*E238,E238)</f>
        <v>110.85000000000001</v>
      </c>
    </row>
    <row r="239" spans="1:6" s="631" customFormat="1">
      <c r="A239" s="643">
        <f t="shared" ca="1" si="18"/>
        <v>2.1599999999999824</v>
      </c>
      <c r="B239" s="865" t="s">
        <v>2068</v>
      </c>
      <c r="C239" s="646">
        <v>1</v>
      </c>
      <c r="D239" s="646" t="s">
        <v>141</v>
      </c>
      <c r="E239" s="649">
        <f>Elec_Est!E9341</f>
        <v>36.950000000000003</v>
      </c>
      <c r="F239" s="1125">
        <f t="shared" ref="F239:F240" si="47">IFERROR($C239*E239,E239)</f>
        <v>36.950000000000003</v>
      </c>
    </row>
    <row r="240" spans="1:6" s="631" customFormat="1">
      <c r="A240" s="643">
        <f t="shared" ca="1" si="18"/>
        <v>2.1609999999999823</v>
      </c>
      <c r="B240" s="657" t="s">
        <v>2067</v>
      </c>
      <c r="C240" s="646">
        <v>1</v>
      </c>
      <c r="D240" s="646" t="s">
        <v>141</v>
      </c>
      <c r="E240" s="649">
        <f>Elec_Est!E9347</f>
        <v>36.950000000000003</v>
      </c>
      <c r="F240" s="1125">
        <f t="shared" si="47"/>
        <v>36.950000000000003</v>
      </c>
    </row>
    <row r="241" spans="1:6" s="631" customFormat="1">
      <c r="A241" s="638"/>
      <c r="B241" s="866" t="s">
        <v>2070</v>
      </c>
      <c r="C241" s="646"/>
      <c r="D241" s="646"/>
      <c r="E241" s="649"/>
      <c r="F241" s="1125"/>
    </row>
    <row r="242" spans="1:6" s="631" customFormat="1">
      <c r="A242" s="643">
        <f ca="1">IFERROR(IF(OFFSET(A242,-1,0)&gt;0,OFFSET(A242,-1,0)+0.001,ERROR.TYPE(0)),IFERROR(IF(OFFSET(A242,-2,0)&gt;0,OFFSET(A242,-2,0)+0.001,ERROR.TYPE(0)),IFERROR(IF(OFFSET(A242,-3,0)&gt;0,OFFSET(A242,-3,0)+0.001,ERROR.TYPE(0)),IFERROR(IF(OFFSET(A242,-4,0)&gt;0,OFFSET(A242,-4,0)+0.001,ERROR.TYPE(0)),IFERROR(IF(OFFSET(A242,-5,0)&gt;0,OFFSET(A242,-5,0)+0.001,ERROR.TYPE(0)),IFERROR(IF(OFFSET(A242,-6,0)&gt;0,OFFSET(A242,-6,0)+0.001,ERROR.TYPE(0)),IFERROR(IF(OFFSET(A242,-7,0)&gt;0,OFFSET(A242,-7,0)+0.001,ERROR.TYPE(0)),IFERROR(IF(OFFSET(A242,-8,0)&gt;0,OFFSET(A242,-8,0)+0.001,ERROR.TYPE(0)),IFERROR(IF(OFFSET(A242,-9,0)&gt;0,OFFSET(A242,-9,0)+0.001,ERROR.TYPE(0)),IFERROR(IF(OFFSET(A242,-10,0)&gt;0,OFFSET(A242,-10,0)+0.001,ERROR.TYPE(0)),ERROR.TYPE(0)))))))))))</f>
        <v>2.1619999999999822</v>
      </c>
      <c r="B242" s="865" t="s">
        <v>2061</v>
      </c>
      <c r="C242" s="646">
        <v>29</v>
      </c>
      <c r="D242" s="646" t="s">
        <v>141</v>
      </c>
      <c r="E242" s="649">
        <f>Elec_Est!E9357</f>
        <v>52.23</v>
      </c>
      <c r="F242" s="1125">
        <f>IFERROR($C242*E242,E242)</f>
        <v>1514.6699999999998</v>
      </c>
    </row>
    <row r="243" spans="1:6" s="631" customFormat="1" ht="17.7" customHeight="1">
      <c r="A243" s="643">
        <f ca="1">IFERROR(IF(OFFSET(A243,-1,0)&gt;0,OFFSET(A243,-1,0)+0.001,ERROR.TYPE(0)),IFERROR(IF(OFFSET(A243,-2,0)&gt;0,OFFSET(A243,-2,0)+0.001,ERROR.TYPE(0)),IFERROR(IF(OFFSET(A243,-3,0)&gt;0,OFFSET(A243,-3,0)+0.001,ERROR.TYPE(0)),IFERROR(IF(OFFSET(A243,-4,0)&gt;0,OFFSET(A243,-4,0)+0.001,ERROR.TYPE(0)),IFERROR(IF(OFFSET(A243,-5,0)&gt;0,OFFSET(A243,-5,0)+0.001,ERROR.TYPE(0)),IFERROR(IF(OFFSET(A243,-6,0)&gt;0,OFFSET(A243,-6,0)+0.001,ERROR.TYPE(0)),IFERROR(IF(OFFSET(A243,-7,0)&gt;0,OFFSET(A243,-7,0)+0.001,ERROR.TYPE(0)),IFERROR(IF(OFFSET(A243,-8,0)&gt;0,OFFSET(A243,-8,0)+0.001,ERROR.TYPE(0)),IFERROR(IF(OFFSET(A243,-9,0)&gt;0,OFFSET(A243,-9,0)+0.001,ERROR.TYPE(0)),IFERROR(IF(OFFSET(A243,-10,0)&gt;0,OFFSET(A243,-10,0)+0.001,ERROR.TYPE(0)),ERROR.TYPE(0)))))))))))</f>
        <v>2.162999999999982</v>
      </c>
      <c r="B243" s="865" t="s">
        <v>2062</v>
      </c>
      <c r="C243" s="646">
        <v>4</v>
      </c>
      <c r="D243" s="646" t="s">
        <v>141</v>
      </c>
      <c r="E243" s="649">
        <f>Elec_Est!E9363</f>
        <v>93.61</v>
      </c>
      <c r="F243" s="1125">
        <f>IFERROR($C243*E243,E243)</f>
        <v>374.44</v>
      </c>
    </row>
    <row r="244" spans="1:6" s="631" customFormat="1">
      <c r="A244" s="643">
        <f ca="1">IFERROR(IF(OFFSET(A244,-1,0)&gt;0,OFFSET(A244,-1,0)+0.001,ERROR.TYPE(0)),IFERROR(IF(OFFSET(A244,-2,0)&gt;0,OFFSET(A244,-2,0)+0.001,ERROR.TYPE(0)),IFERROR(IF(OFFSET(A244,-3,0)&gt;0,OFFSET(A244,-3,0)+0.001,ERROR.TYPE(0)),IFERROR(IF(OFFSET(A244,-4,0)&gt;0,OFFSET(A244,-4,0)+0.001,ERROR.TYPE(0)),IFERROR(IF(OFFSET(A244,-5,0)&gt;0,OFFSET(A244,-5,0)+0.001,ERROR.TYPE(0)),IFERROR(IF(OFFSET(A244,-6,0)&gt;0,OFFSET(A244,-6,0)+0.001,ERROR.TYPE(0)),IFERROR(IF(OFFSET(A244,-7,0)&gt;0,OFFSET(A244,-7,0)+0.001,ERROR.TYPE(0)),IFERROR(IF(OFFSET(A244,-8,0)&gt;0,OFFSET(A244,-8,0)+0.001,ERROR.TYPE(0)),IFERROR(IF(OFFSET(A244,-9,0)&gt;0,OFFSET(A244,-9,0)+0.001,ERROR.TYPE(0)),IFERROR(IF(OFFSET(A244,-10,0)&gt;0,OFFSET(A244,-10,0)+0.001,ERROR.TYPE(0)),ERROR.TYPE(0)))))))))))</f>
        <v>2.1639999999999819</v>
      </c>
      <c r="B244" s="865" t="s">
        <v>2063</v>
      </c>
      <c r="C244" s="646">
        <v>2</v>
      </c>
      <c r="D244" s="646" t="s">
        <v>141</v>
      </c>
      <c r="E244" s="649">
        <f>Elec_Est!E9369</f>
        <v>51.24</v>
      </c>
      <c r="F244" s="1125">
        <f>IFERROR($C244*E244,E244)</f>
        <v>102.48</v>
      </c>
    </row>
    <row r="245" spans="1:6" s="631" customFormat="1">
      <c r="A245" s="643">
        <f ca="1">IFERROR(IF(OFFSET(A245,-1,0)&gt;0,OFFSET(A245,-1,0)+0.001,ERROR.TYPE(0)),IFERROR(IF(OFFSET(A245,-2,0)&gt;0,OFFSET(A245,-2,0)+0.001,ERROR.TYPE(0)),IFERROR(IF(OFFSET(A245,-3,0)&gt;0,OFFSET(A245,-3,0)+0.001,ERROR.TYPE(0)),IFERROR(IF(OFFSET(A245,-4,0)&gt;0,OFFSET(A245,-4,0)+0.001,ERROR.TYPE(0)),IFERROR(IF(OFFSET(A245,-5,0)&gt;0,OFFSET(A245,-5,0)+0.001,ERROR.TYPE(0)),IFERROR(IF(OFFSET(A245,-6,0)&gt;0,OFFSET(A245,-6,0)+0.001,ERROR.TYPE(0)),IFERROR(IF(OFFSET(A245,-7,0)&gt;0,OFFSET(A245,-7,0)+0.001,ERROR.TYPE(0)),IFERROR(IF(OFFSET(A245,-8,0)&gt;0,OFFSET(A245,-8,0)+0.001,ERROR.TYPE(0)),IFERROR(IF(OFFSET(A245,-9,0)&gt;0,OFFSET(A245,-9,0)+0.001,ERROR.TYPE(0)),IFERROR(IF(OFFSET(A245,-10,0)&gt;0,OFFSET(A245,-10,0)+0.001,ERROR.TYPE(0)),ERROR.TYPE(0)))))))))))</f>
        <v>2.1649999999999818</v>
      </c>
      <c r="B245" s="865" t="s">
        <v>2064</v>
      </c>
      <c r="C245" s="646">
        <v>1</v>
      </c>
      <c r="D245" s="646" t="s">
        <v>141</v>
      </c>
      <c r="E245" s="649">
        <f>Elec_Est!E9375</f>
        <v>92.63</v>
      </c>
      <c r="F245" s="1125">
        <f>IFERROR($C245*E245,E245)</f>
        <v>92.63</v>
      </c>
    </row>
    <row r="246" spans="1:6" s="631" customFormat="1">
      <c r="A246" s="643">
        <f t="shared" ca="1" si="18"/>
        <v>2.1659999999999817</v>
      </c>
      <c r="B246" s="865" t="s">
        <v>2071</v>
      </c>
      <c r="C246" s="646">
        <v>1</v>
      </c>
      <c r="D246" s="646" t="s">
        <v>141</v>
      </c>
      <c r="E246" s="649">
        <f>Elec_Est!E9381</f>
        <v>54.2</v>
      </c>
      <c r="F246" s="1125">
        <f t="shared" ref="F246" si="48">IFERROR($C246*E246,E246)</f>
        <v>54.2</v>
      </c>
    </row>
    <row r="247" spans="1:6" s="631" customFormat="1">
      <c r="A247" s="643">
        <f ca="1">IFERROR(IF(OFFSET(A247,-1,0)&gt;0,OFFSET(A247,-1,0)+0.001,ERROR.TYPE(0)),IFERROR(IF(OFFSET(A247,-2,0)&gt;0,OFFSET(A247,-2,0)+0.001,ERROR.TYPE(0)),IFERROR(IF(OFFSET(A247,-3,0)&gt;0,OFFSET(A247,-3,0)+0.001,ERROR.TYPE(0)),IFERROR(IF(OFFSET(A247,-4,0)&gt;0,OFFSET(A247,-4,0)+0.001,ERROR.TYPE(0)),IFERROR(IF(OFFSET(A247,-5,0)&gt;0,OFFSET(A247,-5,0)+0.001,ERROR.TYPE(0)),IFERROR(IF(OFFSET(A247,-6,0)&gt;0,OFFSET(A247,-6,0)+0.001,ERROR.TYPE(0)),IFERROR(IF(OFFSET(A247,-7,0)&gt;0,OFFSET(A247,-7,0)+0.001,ERROR.TYPE(0)),IFERROR(IF(OFFSET(A247,-8,0)&gt;0,OFFSET(A247,-8,0)+0.001,ERROR.TYPE(0)),IFERROR(IF(OFFSET(A247,-9,0)&gt;0,OFFSET(A247,-9,0)+0.001,ERROR.TYPE(0)),IFERROR(IF(OFFSET(A247,-10,0)&gt;0,OFFSET(A247,-10,0)+0.001,ERROR.TYPE(0)),ERROR.TYPE(0)))))))))))</f>
        <v>2.1669999999999816</v>
      </c>
      <c r="B247" s="865" t="s">
        <v>2096</v>
      </c>
      <c r="C247" s="646">
        <v>3</v>
      </c>
      <c r="D247" s="646" t="s">
        <v>141</v>
      </c>
      <c r="E247" s="649">
        <f>Elec_Est!E9387</f>
        <v>458.2</v>
      </c>
      <c r="F247" s="1125">
        <f>IFERROR($C247*E247,E247)</f>
        <v>1374.6</v>
      </c>
    </row>
    <row r="248" spans="1:6" s="631" customFormat="1">
      <c r="A248" s="643">
        <f ca="1">IFERROR(IF(OFFSET(A248,-1,0)&gt;0,OFFSET(A248,-1,0)+0.001,ERROR.TYPE(0)),IFERROR(IF(OFFSET(A248,-2,0)&gt;0,OFFSET(A248,-2,0)+0.001,ERROR.TYPE(0)),IFERROR(IF(OFFSET(A248,-3,0)&gt;0,OFFSET(A248,-3,0)+0.001,ERROR.TYPE(0)),IFERROR(IF(OFFSET(A248,-4,0)&gt;0,OFFSET(A248,-4,0)+0.001,ERROR.TYPE(0)),IFERROR(IF(OFFSET(A248,-5,0)&gt;0,OFFSET(A248,-5,0)+0.001,ERROR.TYPE(0)),IFERROR(IF(OFFSET(A248,-6,0)&gt;0,OFFSET(A248,-6,0)+0.001,ERROR.TYPE(0)),IFERROR(IF(OFFSET(A248,-7,0)&gt;0,OFFSET(A248,-7,0)+0.001,ERROR.TYPE(0)),IFERROR(IF(OFFSET(A248,-8,0)&gt;0,OFFSET(A248,-8,0)+0.001,ERROR.TYPE(0)),IFERROR(IF(OFFSET(A248,-9,0)&gt;0,OFFSET(A248,-9,0)+0.001,ERROR.TYPE(0)),IFERROR(IF(OFFSET(A248,-10,0)&gt;0,OFFSET(A248,-10,0)+0.001,ERROR.TYPE(0)),ERROR.TYPE(0)))))))))))</f>
        <v>2.1679999999999815</v>
      </c>
      <c r="B248" s="865" t="s">
        <v>2097</v>
      </c>
      <c r="C248" s="646">
        <v>3</v>
      </c>
      <c r="D248" s="646" t="s">
        <v>141</v>
      </c>
      <c r="E248" s="649">
        <f>Elec_Est!E9393</f>
        <v>87.7</v>
      </c>
      <c r="F248" s="1125">
        <f>IFERROR($C248*E248,E248)</f>
        <v>263.10000000000002</v>
      </c>
    </row>
    <row r="249" spans="1:6" s="631" customFormat="1">
      <c r="A249" s="643">
        <f t="shared" ca="1" si="18"/>
        <v>2.1689999999999814</v>
      </c>
      <c r="B249" s="865" t="s">
        <v>2068</v>
      </c>
      <c r="C249" s="646">
        <v>1</v>
      </c>
      <c r="D249" s="646" t="s">
        <v>141</v>
      </c>
      <c r="E249" s="649">
        <f>Elec_Est!E9399</f>
        <v>77.849999999999994</v>
      </c>
      <c r="F249" s="1125">
        <f t="shared" ref="F249:F250" si="49">IFERROR($C249*E249,E249)</f>
        <v>77.849999999999994</v>
      </c>
    </row>
    <row r="250" spans="1:6" s="631" customFormat="1">
      <c r="A250" s="643">
        <f t="shared" ca="1" si="18"/>
        <v>2.1699999999999813</v>
      </c>
      <c r="B250" s="657" t="s">
        <v>2067</v>
      </c>
      <c r="C250" s="646">
        <v>1</v>
      </c>
      <c r="D250" s="646" t="s">
        <v>141</v>
      </c>
      <c r="E250" s="649">
        <f>Elec_Est!E9405</f>
        <v>77.849999999999994</v>
      </c>
      <c r="F250" s="1125">
        <f t="shared" si="49"/>
        <v>77.849999999999994</v>
      </c>
    </row>
    <row r="251" spans="1:6" s="631" customFormat="1" ht="15" customHeight="1">
      <c r="A251" s="867"/>
      <c r="B251" s="639" t="s">
        <v>460</v>
      </c>
      <c r="C251" s="1456" t="s">
        <v>305</v>
      </c>
      <c r="D251" s="1457"/>
      <c r="E251" s="652"/>
      <c r="F251" s="1123">
        <f ca="1">SUM(F218:F250)</f>
        <v>9698.77</v>
      </c>
    </row>
    <row r="252" spans="1:6" s="631" customFormat="1">
      <c r="A252" s="653"/>
      <c r="B252" s="1449"/>
      <c r="C252" s="654"/>
      <c r="D252" s="654"/>
      <c r="E252" s="655"/>
      <c r="F252" s="1450"/>
    </row>
    <row r="253" spans="1:6" s="631" customFormat="1">
      <c r="A253" s="653"/>
      <c r="B253" s="666"/>
      <c r="C253" s="654"/>
      <c r="D253" s="654"/>
      <c r="E253" s="655"/>
      <c r="F253" s="1126"/>
    </row>
    <row r="254" spans="1:6" s="631" customFormat="1" ht="27.6">
      <c r="A254" s="634" t="s">
        <v>143</v>
      </c>
      <c r="B254" s="635" t="s">
        <v>198</v>
      </c>
      <c r="C254" s="636" t="s">
        <v>199</v>
      </c>
      <c r="D254" s="636" t="s">
        <v>200</v>
      </c>
      <c r="E254" s="637" t="s">
        <v>294</v>
      </c>
      <c r="F254" s="1122" t="s">
        <v>295</v>
      </c>
    </row>
    <row r="255" spans="1:6" s="631" customFormat="1">
      <c r="A255" s="643"/>
      <c r="B255" s="714" t="s">
        <v>2099</v>
      </c>
      <c r="C255" s="646"/>
      <c r="D255" s="646"/>
      <c r="E255" s="649"/>
      <c r="F255" s="1125"/>
    </row>
    <row r="256" spans="1:6" s="631" customFormat="1" ht="41.4">
      <c r="A256" s="643"/>
      <c r="B256" s="864" t="s">
        <v>2077</v>
      </c>
      <c r="C256" s="646"/>
      <c r="D256" s="646"/>
      <c r="E256" s="649"/>
      <c r="F256" s="1125"/>
    </row>
    <row r="257" spans="1:6" s="631" customFormat="1">
      <c r="A257" s="643">
        <f ca="1">IFERROR(IF(OFFSET(A257,-1,0)&gt;0,OFFSET(A257,-1,0)+0.001,ERROR.TYPE(0)),IFERROR(IF(OFFSET(A257,-2,0)&gt;0,OFFSET(A257,-2,0)+0.001,ERROR.TYPE(0)),IFERROR(IF(OFFSET(A257,-3,0)&gt;0,OFFSET(A257,-3,0)+0.001,ERROR.TYPE(0)),IFERROR(IF(OFFSET(A257,-4,0)&gt;0,OFFSET(A257,-4,0)+0.001,ERROR.TYPE(0)),IFERROR(IF(OFFSET(A257,-5,0)&gt;0,OFFSET(A257,-5,0)+0.001,ERROR.TYPE(0)),IFERROR(IF(OFFSET(A257,-6,0)&gt;0,OFFSET(A257,-6,0)+0.001,ERROR.TYPE(0)),IFERROR(IF(OFFSET(A257,-7,0)&gt;0,OFFSET(A257,-7,0)+0.001,ERROR.TYPE(0)),IFERROR(IF(OFFSET(A257,-8,0)&gt;0,OFFSET(A257,-8,0)+0.001,ERROR.TYPE(0)),IFERROR(IF(OFFSET(A257,-9,0)&gt;0,OFFSET(A257,-9,0)+0.001,ERROR.TYPE(0)),IFERROR(IF(OFFSET(A257,-10,0)&gt;0,OFFSET(A257,-10,0)+0.001,ERROR.TYPE(0)),ERROR.TYPE(0)))))))))))</f>
        <v>2.1709999999999812</v>
      </c>
      <c r="B257" s="865" t="s">
        <v>2063</v>
      </c>
      <c r="C257" s="646">
        <v>1</v>
      </c>
      <c r="D257" s="646" t="s">
        <v>141</v>
      </c>
      <c r="E257" s="649">
        <f ca="1">Elec_Est!E9425</f>
        <v>49.52</v>
      </c>
      <c r="F257" s="1125">
        <f ca="1">IFERROR($C257*E257,E257)</f>
        <v>49.52</v>
      </c>
    </row>
    <row r="258" spans="1:6" s="631" customFormat="1">
      <c r="A258" s="643">
        <f ca="1">IFERROR(IF(OFFSET(A258,-1,0)&gt;0,OFFSET(A258,-1,0)+0.001,ERROR.TYPE(0)),IFERROR(IF(OFFSET(A258,-2,0)&gt;0,OFFSET(A258,-2,0)+0.001,ERROR.TYPE(0)),IFERROR(IF(OFFSET(A258,-3,0)&gt;0,OFFSET(A258,-3,0)+0.001,ERROR.TYPE(0)),IFERROR(IF(OFFSET(A258,-4,0)&gt;0,OFFSET(A258,-4,0)+0.001,ERROR.TYPE(0)),IFERROR(IF(OFFSET(A258,-5,0)&gt;0,OFFSET(A258,-5,0)+0.001,ERROR.TYPE(0)),IFERROR(IF(OFFSET(A258,-6,0)&gt;0,OFFSET(A258,-6,0)+0.001,ERROR.TYPE(0)),IFERROR(IF(OFFSET(A258,-7,0)&gt;0,OFFSET(A258,-7,0)+0.001,ERROR.TYPE(0)),IFERROR(IF(OFFSET(A258,-8,0)&gt;0,OFFSET(A258,-8,0)+0.001,ERROR.TYPE(0)),IFERROR(IF(OFFSET(A258,-9,0)&gt;0,OFFSET(A258,-9,0)+0.001,ERROR.TYPE(0)),IFERROR(IF(OFFSET(A258,-10,0)&gt;0,OFFSET(A258,-10,0)+0.001,ERROR.TYPE(0)),ERROR.TYPE(0)))))))))))</f>
        <v>2.1719999999999811</v>
      </c>
      <c r="B258" s="865" t="s">
        <v>2061</v>
      </c>
      <c r="C258" s="646">
        <v>24</v>
      </c>
      <c r="D258" s="646" t="s">
        <v>141</v>
      </c>
      <c r="E258" s="649">
        <f ca="1">Elec_Est!E9432</f>
        <v>49.52</v>
      </c>
      <c r="F258" s="1125">
        <f t="shared" ref="F258" ca="1" si="50">IFERROR($C258*E258,E258)</f>
        <v>1188.48</v>
      </c>
    </row>
    <row r="259" spans="1:6" s="631" customFormat="1">
      <c r="A259" s="643">
        <f ca="1">IFERROR(IF(OFFSET(A259,-1,0)&gt;0,OFFSET(A259,-1,0)+0.001,ERROR.TYPE(0)),IFERROR(IF(OFFSET(A259,-2,0)&gt;0,OFFSET(A259,-2,0)+0.001,ERROR.TYPE(0)),IFERROR(IF(OFFSET(A259,-3,0)&gt;0,OFFSET(A259,-3,0)+0.001,ERROR.TYPE(0)),IFERROR(IF(OFFSET(A259,-4,0)&gt;0,OFFSET(A259,-4,0)+0.001,ERROR.TYPE(0)),IFERROR(IF(OFFSET(A259,-5,0)&gt;0,OFFSET(A259,-5,0)+0.001,ERROR.TYPE(0)),IFERROR(IF(OFFSET(A259,-6,0)&gt;0,OFFSET(A259,-6,0)+0.001,ERROR.TYPE(0)),IFERROR(IF(OFFSET(A259,-7,0)&gt;0,OFFSET(A259,-7,0)+0.001,ERROR.TYPE(0)),IFERROR(IF(OFFSET(A259,-8,0)&gt;0,OFFSET(A259,-8,0)+0.001,ERROR.TYPE(0)),IFERROR(IF(OFFSET(A259,-9,0)&gt;0,OFFSET(A259,-9,0)+0.001,ERROR.TYPE(0)),IFERROR(IF(OFFSET(A259,-10,0)&gt;0,OFFSET(A259,-10,0)+0.001,ERROR.TYPE(0)),ERROR.TYPE(0)))))))))))</f>
        <v>2.1729999999999809</v>
      </c>
      <c r="B259" s="865" t="s">
        <v>2062</v>
      </c>
      <c r="C259" s="646">
        <v>4</v>
      </c>
      <c r="D259" s="646" t="s">
        <v>141</v>
      </c>
      <c r="E259" s="649">
        <f ca="1">Elec_Est!E9439</f>
        <v>49.52</v>
      </c>
      <c r="F259" s="1125">
        <f ca="1">IFERROR($C259*E259,E259)</f>
        <v>198.08</v>
      </c>
    </row>
    <row r="260" spans="1:6" s="631" customFormat="1">
      <c r="A260" s="643">
        <f t="shared" ca="1" si="18"/>
        <v>2.1739999999999808</v>
      </c>
      <c r="B260" s="865" t="s">
        <v>2065</v>
      </c>
      <c r="C260" s="646">
        <v>2</v>
      </c>
      <c r="D260" s="646" t="s">
        <v>141</v>
      </c>
      <c r="E260" s="649">
        <f ca="1">Elec_Est!E9446</f>
        <v>49.52</v>
      </c>
      <c r="F260" s="1125">
        <f t="shared" ref="F260:F261" ca="1" si="51">IFERROR($C260*E260,E260)</f>
        <v>99.04</v>
      </c>
    </row>
    <row r="261" spans="1:6" s="631" customFormat="1">
      <c r="A261" s="643">
        <f t="shared" ca="1" si="18"/>
        <v>2.1749999999999807</v>
      </c>
      <c r="B261" s="657" t="s">
        <v>2067</v>
      </c>
      <c r="C261" s="646">
        <v>1</v>
      </c>
      <c r="D261" s="646" t="s">
        <v>141</v>
      </c>
      <c r="E261" s="649">
        <f ca="1">Elec_Est!E9453</f>
        <v>49.52</v>
      </c>
      <c r="F261" s="1125">
        <f t="shared" ca="1" si="51"/>
        <v>49.52</v>
      </c>
    </row>
    <row r="262" spans="1:6" s="631" customFormat="1" ht="41.4">
      <c r="A262" s="638"/>
      <c r="B262" s="866" t="s">
        <v>4145</v>
      </c>
      <c r="C262" s="646"/>
      <c r="D262" s="646"/>
      <c r="E262" s="649"/>
      <c r="F262" s="1125"/>
    </row>
    <row r="263" spans="1:6" s="631" customFormat="1">
      <c r="A263" s="643">
        <f ca="1">IFERROR(IF(OFFSET(A263,-1,0)&gt;0,OFFSET(A263,-1,0)+0.001,ERROR.TYPE(0)),IFERROR(IF(OFFSET(A263,-2,0)&gt;0,OFFSET(A263,-2,0)+0.001,ERROR.TYPE(0)),IFERROR(IF(OFFSET(A263,-3,0)&gt;0,OFFSET(A263,-3,0)+0.001,ERROR.TYPE(0)),IFERROR(IF(OFFSET(A263,-4,0)&gt;0,OFFSET(A263,-4,0)+0.001,ERROR.TYPE(0)),IFERROR(IF(OFFSET(A263,-5,0)&gt;0,OFFSET(A263,-5,0)+0.001,ERROR.TYPE(0)),IFERROR(IF(OFFSET(A263,-6,0)&gt;0,OFFSET(A263,-6,0)+0.001,ERROR.TYPE(0)),IFERROR(IF(OFFSET(A263,-7,0)&gt;0,OFFSET(A263,-7,0)+0.001,ERROR.TYPE(0)),IFERROR(IF(OFFSET(A263,-8,0)&gt;0,OFFSET(A263,-8,0)+0.001,ERROR.TYPE(0)),IFERROR(IF(OFFSET(A263,-9,0)&gt;0,OFFSET(A263,-9,0)+0.001,ERROR.TYPE(0)),IFERROR(IF(OFFSET(A263,-10,0)&gt;0,OFFSET(A263,-10,0)+0.001,ERROR.TYPE(0)),ERROR.TYPE(0)))))))))))</f>
        <v>2.1759999999999806</v>
      </c>
      <c r="B263" s="865" t="s">
        <v>2063</v>
      </c>
      <c r="C263" s="646">
        <v>1</v>
      </c>
      <c r="D263" s="646" t="s">
        <v>141</v>
      </c>
      <c r="E263" s="649">
        <f>Elec_Est!E9464</f>
        <v>36.950000000000003</v>
      </c>
      <c r="F263" s="1125">
        <f>IFERROR($C263*E263,E263)</f>
        <v>36.950000000000003</v>
      </c>
    </row>
    <row r="264" spans="1:6" s="631" customFormat="1">
      <c r="A264" s="643">
        <f ca="1">IFERROR(IF(OFFSET(A264,-1,0)&gt;0,OFFSET(A264,-1,0)+0.001,ERROR.TYPE(0)),IFERROR(IF(OFFSET(A264,-2,0)&gt;0,OFFSET(A264,-2,0)+0.001,ERROR.TYPE(0)),IFERROR(IF(OFFSET(A264,-3,0)&gt;0,OFFSET(A264,-3,0)+0.001,ERROR.TYPE(0)),IFERROR(IF(OFFSET(A264,-4,0)&gt;0,OFFSET(A264,-4,0)+0.001,ERROR.TYPE(0)),IFERROR(IF(OFFSET(A264,-5,0)&gt;0,OFFSET(A264,-5,0)+0.001,ERROR.TYPE(0)),IFERROR(IF(OFFSET(A264,-6,0)&gt;0,OFFSET(A264,-6,0)+0.001,ERROR.TYPE(0)),IFERROR(IF(OFFSET(A264,-7,0)&gt;0,OFFSET(A264,-7,0)+0.001,ERROR.TYPE(0)),IFERROR(IF(OFFSET(A264,-8,0)&gt;0,OFFSET(A264,-8,0)+0.001,ERROR.TYPE(0)),IFERROR(IF(OFFSET(A264,-9,0)&gt;0,OFFSET(A264,-9,0)+0.001,ERROR.TYPE(0)),IFERROR(IF(OFFSET(A264,-10,0)&gt;0,OFFSET(A264,-10,0)+0.001,ERROR.TYPE(0)),ERROR.TYPE(0)))))))))))</f>
        <v>2.1769999999999805</v>
      </c>
      <c r="B264" s="865" t="s">
        <v>2061</v>
      </c>
      <c r="C264" s="646">
        <v>24</v>
      </c>
      <c r="D264" s="646" t="s">
        <v>141</v>
      </c>
      <c r="E264" s="649">
        <f>Elec_Est!E9470</f>
        <v>36.950000000000003</v>
      </c>
      <c r="F264" s="1125">
        <f t="shared" ref="F264" si="52">IFERROR($C264*E264,E264)</f>
        <v>886.80000000000007</v>
      </c>
    </row>
    <row r="265" spans="1:6" s="631" customFormat="1">
      <c r="A265" s="643">
        <f ca="1">IFERROR(IF(OFFSET(A265,-1,0)&gt;0,OFFSET(A265,-1,0)+0.001,ERROR.TYPE(0)),IFERROR(IF(OFFSET(A265,-2,0)&gt;0,OFFSET(A265,-2,0)+0.001,ERROR.TYPE(0)),IFERROR(IF(OFFSET(A265,-3,0)&gt;0,OFFSET(A265,-3,0)+0.001,ERROR.TYPE(0)),IFERROR(IF(OFFSET(A265,-4,0)&gt;0,OFFSET(A265,-4,0)+0.001,ERROR.TYPE(0)),IFERROR(IF(OFFSET(A265,-5,0)&gt;0,OFFSET(A265,-5,0)+0.001,ERROR.TYPE(0)),IFERROR(IF(OFFSET(A265,-6,0)&gt;0,OFFSET(A265,-6,0)+0.001,ERROR.TYPE(0)),IFERROR(IF(OFFSET(A265,-7,0)&gt;0,OFFSET(A265,-7,0)+0.001,ERROR.TYPE(0)),IFERROR(IF(OFFSET(A265,-8,0)&gt;0,OFFSET(A265,-8,0)+0.001,ERROR.TYPE(0)),IFERROR(IF(OFFSET(A265,-9,0)&gt;0,OFFSET(A265,-9,0)+0.001,ERROR.TYPE(0)),IFERROR(IF(OFFSET(A265,-10,0)&gt;0,OFFSET(A265,-10,0)+0.001,ERROR.TYPE(0)),ERROR.TYPE(0)))))))))))</f>
        <v>2.1779999999999804</v>
      </c>
      <c r="B265" s="865" t="s">
        <v>2062</v>
      </c>
      <c r="C265" s="646">
        <v>4</v>
      </c>
      <c r="D265" s="646" t="s">
        <v>141</v>
      </c>
      <c r="E265" s="649">
        <f>Elec_Est!E9476</f>
        <v>36.950000000000003</v>
      </c>
      <c r="F265" s="1125">
        <f>IFERROR($C265*E265,E265)</f>
        <v>147.80000000000001</v>
      </c>
    </row>
    <row r="266" spans="1:6" s="631" customFormat="1">
      <c r="A266" s="643">
        <f t="shared" ca="1" si="18"/>
        <v>2.1789999999999803</v>
      </c>
      <c r="B266" s="865" t="s">
        <v>2065</v>
      </c>
      <c r="C266" s="646">
        <v>2</v>
      </c>
      <c r="D266" s="646" t="s">
        <v>141</v>
      </c>
      <c r="E266" s="649">
        <f>Elec_Est!E9482</f>
        <v>36.950000000000003</v>
      </c>
      <c r="F266" s="1125">
        <f t="shared" ref="F266:F267" si="53">IFERROR($C266*E266,E266)</f>
        <v>73.900000000000006</v>
      </c>
    </row>
    <row r="267" spans="1:6" s="631" customFormat="1">
      <c r="A267" s="643">
        <f t="shared" ca="1" si="18"/>
        <v>2.1799999999999802</v>
      </c>
      <c r="B267" s="657" t="s">
        <v>2067</v>
      </c>
      <c r="C267" s="646">
        <v>1</v>
      </c>
      <c r="D267" s="646" t="s">
        <v>141</v>
      </c>
      <c r="E267" s="649">
        <f>Elec_Est!E9488</f>
        <v>36.950000000000003</v>
      </c>
      <c r="F267" s="1125">
        <f t="shared" si="53"/>
        <v>36.950000000000003</v>
      </c>
    </row>
    <row r="268" spans="1:6" s="631" customFormat="1">
      <c r="A268" s="638"/>
      <c r="B268" s="866" t="s">
        <v>2070</v>
      </c>
      <c r="C268" s="646"/>
      <c r="D268" s="646"/>
      <c r="E268" s="649"/>
      <c r="F268" s="1125"/>
    </row>
    <row r="269" spans="1:6" s="631" customFormat="1">
      <c r="A269" s="643">
        <f ca="1">IFERROR(IF(OFFSET(A269,-1,0)&gt;0,OFFSET(A269,-1,0)+0.001,ERROR.TYPE(0)),IFERROR(IF(OFFSET(A269,-2,0)&gt;0,OFFSET(A269,-2,0)+0.001,ERROR.TYPE(0)),IFERROR(IF(OFFSET(A269,-3,0)&gt;0,OFFSET(A269,-3,0)+0.001,ERROR.TYPE(0)),IFERROR(IF(OFFSET(A269,-4,0)&gt;0,OFFSET(A269,-4,0)+0.001,ERROR.TYPE(0)),IFERROR(IF(OFFSET(A269,-5,0)&gt;0,OFFSET(A269,-5,0)+0.001,ERROR.TYPE(0)),IFERROR(IF(OFFSET(A269,-6,0)&gt;0,OFFSET(A269,-6,0)+0.001,ERROR.TYPE(0)),IFERROR(IF(OFFSET(A269,-7,0)&gt;0,OFFSET(A269,-7,0)+0.001,ERROR.TYPE(0)),IFERROR(IF(OFFSET(A269,-8,0)&gt;0,OFFSET(A269,-8,0)+0.001,ERROR.TYPE(0)),IFERROR(IF(OFFSET(A269,-9,0)&gt;0,OFFSET(A269,-9,0)+0.001,ERROR.TYPE(0)),IFERROR(IF(OFFSET(A269,-10,0)&gt;0,OFFSET(A269,-10,0)+0.001,ERROR.TYPE(0)),ERROR.TYPE(0)))))))))))</f>
        <v>2.1809999999999801</v>
      </c>
      <c r="B269" s="865" t="s">
        <v>2063</v>
      </c>
      <c r="C269" s="646">
        <v>1</v>
      </c>
      <c r="D269" s="646" t="s">
        <v>141</v>
      </c>
      <c r="E269" s="649">
        <f>Elec_Est!E9498</f>
        <v>51.24</v>
      </c>
      <c r="F269" s="1125">
        <f>IFERROR($C269*E269,E269)</f>
        <v>51.24</v>
      </c>
    </row>
    <row r="270" spans="1:6" s="631" customFormat="1">
      <c r="A270" s="643">
        <f ca="1">IFERROR(IF(OFFSET(A270,-1,0)&gt;0,OFFSET(A270,-1,0)+0.001,ERROR.TYPE(0)),IFERROR(IF(OFFSET(A270,-2,0)&gt;0,OFFSET(A270,-2,0)+0.001,ERROR.TYPE(0)),IFERROR(IF(OFFSET(A270,-3,0)&gt;0,OFFSET(A270,-3,0)+0.001,ERROR.TYPE(0)),IFERROR(IF(OFFSET(A270,-4,0)&gt;0,OFFSET(A270,-4,0)+0.001,ERROR.TYPE(0)),IFERROR(IF(OFFSET(A270,-5,0)&gt;0,OFFSET(A270,-5,0)+0.001,ERROR.TYPE(0)),IFERROR(IF(OFFSET(A270,-6,0)&gt;0,OFFSET(A270,-6,0)+0.001,ERROR.TYPE(0)),IFERROR(IF(OFFSET(A270,-7,0)&gt;0,OFFSET(A270,-7,0)+0.001,ERROR.TYPE(0)),IFERROR(IF(OFFSET(A270,-8,0)&gt;0,OFFSET(A270,-8,0)+0.001,ERROR.TYPE(0)),IFERROR(IF(OFFSET(A270,-9,0)&gt;0,OFFSET(A270,-9,0)+0.001,ERROR.TYPE(0)),IFERROR(IF(OFFSET(A270,-10,0)&gt;0,OFFSET(A270,-10,0)+0.001,ERROR.TYPE(0)),ERROR.TYPE(0)))))))))))</f>
        <v>2.18199999999998</v>
      </c>
      <c r="B270" s="865" t="s">
        <v>2061</v>
      </c>
      <c r="C270" s="646">
        <v>24</v>
      </c>
      <c r="D270" s="646" t="s">
        <v>141</v>
      </c>
      <c r="E270" s="649">
        <f>Elec_Est!E9504</f>
        <v>52.23</v>
      </c>
      <c r="F270" s="1125">
        <f t="shared" ref="F270" si="54">IFERROR($C270*E270,E270)</f>
        <v>1253.52</v>
      </c>
    </row>
    <row r="271" spans="1:6" s="631" customFormat="1">
      <c r="A271" s="643">
        <f ca="1">IFERROR(IF(OFFSET(A271,-1,0)&gt;0,OFFSET(A271,-1,0)+0.001,ERROR.TYPE(0)),IFERROR(IF(OFFSET(A271,-2,0)&gt;0,OFFSET(A271,-2,0)+0.001,ERROR.TYPE(0)),IFERROR(IF(OFFSET(A271,-3,0)&gt;0,OFFSET(A271,-3,0)+0.001,ERROR.TYPE(0)),IFERROR(IF(OFFSET(A271,-4,0)&gt;0,OFFSET(A271,-4,0)+0.001,ERROR.TYPE(0)),IFERROR(IF(OFFSET(A271,-5,0)&gt;0,OFFSET(A271,-5,0)+0.001,ERROR.TYPE(0)),IFERROR(IF(OFFSET(A271,-6,0)&gt;0,OFFSET(A271,-6,0)+0.001,ERROR.TYPE(0)),IFERROR(IF(OFFSET(A271,-7,0)&gt;0,OFFSET(A271,-7,0)+0.001,ERROR.TYPE(0)),IFERROR(IF(OFFSET(A271,-8,0)&gt;0,OFFSET(A271,-8,0)+0.001,ERROR.TYPE(0)),IFERROR(IF(OFFSET(A271,-9,0)&gt;0,OFFSET(A271,-9,0)+0.001,ERROR.TYPE(0)),IFERROR(IF(OFFSET(A271,-10,0)&gt;0,OFFSET(A271,-10,0)+0.001,ERROR.TYPE(0)),ERROR.TYPE(0)))))))))))</f>
        <v>2.1829999999999798</v>
      </c>
      <c r="B271" s="865" t="s">
        <v>2062</v>
      </c>
      <c r="C271" s="646">
        <v>4</v>
      </c>
      <c r="D271" s="646" t="s">
        <v>141</v>
      </c>
      <c r="E271" s="649">
        <f>Elec_Est!E9510</f>
        <v>93.61</v>
      </c>
      <c r="F271" s="1125">
        <f>IFERROR($C271*E271,E271)</f>
        <v>374.44</v>
      </c>
    </row>
    <row r="272" spans="1:6" s="631" customFormat="1">
      <c r="A272" s="643">
        <f t="shared" ca="1" si="18"/>
        <v>2.1839999999999797</v>
      </c>
      <c r="B272" s="865" t="s">
        <v>2071</v>
      </c>
      <c r="C272" s="646">
        <v>2</v>
      </c>
      <c r="D272" s="646" t="s">
        <v>141</v>
      </c>
      <c r="E272" s="649">
        <f>Elec_Est!E9516</f>
        <v>54.2</v>
      </c>
      <c r="F272" s="1125">
        <f t="shared" ref="F272:F273" si="55">IFERROR($C272*E272,E272)</f>
        <v>108.4</v>
      </c>
    </row>
    <row r="273" spans="1:6" s="631" customFormat="1">
      <c r="A273" s="643">
        <f t="shared" ca="1" si="18"/>
        <v>2.1849999999999796</v>
      </c>
      <c r="B273" s="657" t="s">
        <v>2067</v>
      </c>
      <c r="C273" s="646">
        <v>1</v>
      </c>
      <c r="D273" s="646" t="s">
        <v>141</v>
      </c>
      <c r="E273" s="649">
        <f>Elec_Est!E9522</f>
        <v>77.849999999999994</v>
      </c>
      <c r="F273" s="1125">
        <f t="shared" si="55"/>
        <v>77.849999999999994</v>
      </c>
    </row>
    <row r="274" spans="1:6" s="631" customFormat="1">
      <c r="A274" s="643"/>
      <c r="B274" s="714" t="s">
        <v>2100</v>
      </c>
      <c r="C274" s="646"/>
      <c r="D274" s="646"/>
      <c r="E274" s="649"/>
      <c r="F274" s="1125"/>
    </row>
    <row r="275" spans="1:6" s="631" customFormat="1" ht="41.4">
      <c r="A275" s="643"/>
      <c r="B275" s="864" t="s">
        <v>2077</v>
      </c>
      <c r="C275" s="646"/>
      <c r="D275" s="646"/>
      <c r="E275" s="649"/>
      <c r="F275" s="1125"/>
    </row>
    <row r="276" spans="1:6" s="631" customFormat="1">
      <c r="A276" s="643">
        <f ca="1">IFERROR(IF(OFFSET(A276,-1,0)&gt;0,OFFSET(A276,-1,0)+0.001,ERROR.TYPE(0)),IFERROR(IF(OFFSET(A276,-2,0)&gt;0,OFFSET(A276,-2,0)+0.001,ERROR.TYPE(0)),IFERROR(IF(OFFSET(A276,-3,0)&gt;0,OFFSET(A276,-3,0)+0.001,ERROR.TYPE(0)),IFERROR(IF(OFFSET(A276,-4,0)&gt;0,OFFSET(A276,-4,0)+0.001,ERROR.TYPE(0)),IFERROR(IF(OFFSET(A276,-5,0)&gt;0,OFFSET(A276,-5,0)+0.001,ERROR.TYPE(0)),IFERROR(IF(OFFSET(A276,-6,0)&gt;0,OFFSET(A276,-6,0)+0.001,ERROR.TYPE(0)),IFERROR(IF(OFFSET(A276,-7,0)&gt;0,OFFSET(A276,-7,0)+0.001,ERROR.TYPE(0)),IFERROR(IF(OFFSET(A276,-8,0)&gt;0,OFFSET(A276,-8,0)+0.001,ERROR.TYPE(0)),IFERROR(IF(OFFSET(A276,-9,0)&gt;0,OFFSET(A276,-9,0)+0.001,ERROR.TYPE(0)),IFERROR(IF(OFFSET(A276,-10,0)&gt;0,OFFSET(A276,-10,0)+0.001,ERROR.TYPE(0)),ERROR.TYPE(0)))))))))))</f>
        <v>2.1859999999999795</v>
      </c>
      <c r="B276" s="865" t="s">
        <v>2061</v>
      </c>
      <c r="C276" s="646">
        <v>2</v>
      </c>
      <c r="D276" s="646" t="s">
        <v>141</v>
      </c>
      <c r="E276" s="649">
        <f ca="1">Elec_Est!E9536</f>
        <v>49.52</v>
      </c>
      <c r="F276" s="1125">
        <f t="shared" ref="F276" ca="1" si="56">IFERROR($C276*E276,E276)</f>
        <v>99.04</v>
      </c>
    </row>
    <row r="277" spans="1:6" s="631" customFormat="1" ht="17.7" customHeight="1">
      <c r="A277" s="643">
        <f ca="1">IFERROR(IF(OFFSET(A277,-1,0)&gt;0,OFFSET(A277,-1,0)+0.001,ERROR.TYPE(0)),IFERROR(IF(OFFSET(A277,-2,0)&gt;0,OFFSET(A277,-2,0)+0.001,ERROR.TYPE(0)),IFERROR(IF(OFFSET(A277,-3,0)&gt;0,OFFSET(A277,-3,0)+0.001,ERROR.TYPE(0)),IFERROR(IF(OFFSET(A277,-4,0)&gt;0,OFFSET(A277,-4,0)+0.001,ERROR.TYPE(0)),IFERROR(IF(OFFSET(A277,-5,0)&gt;0,OFFSET(A277,-5,0)+0.001,ERROR.TYPE(0)),IFERROR(IF(OFFSET(A277,-6,0)&gt;0,OFFSET(A277,-6,0)+0.001,ERROR.TYPE(0)),IFERROR(IF(OFFSET(A277,-7,0)&gt;0,OFFSET(A277,-7,0)+0.001,ERROR.TYPE(0)),IFERROR(IF(OFFSET(A277,-8,0)&gt;0,OFFSET(A277,-8,0)+0.001,ERROR.TYPE(0)),IFERROR(IF(OFFSET(A277,-9,0)&gt;0,OFFSET(A277,-9,0)+0.001,ERROR.TYPE(0)),IFERROR(IF(OFFSET(A277,-10,0)&gt;0,OFFSET(A277,-10,0)+0.001,ERROR.TYPE(0)),ERROR.TYPE(0)))))))))))</f>
        <v>2.1869999999999794</v>
      </c>
      <c r="B277" s="865" t="s">
        <v>2062</v>
      </c>
      <c r="C277" s="646">
        <v>1</v>
      </c>
      <c r="D277" s="646" t="s">
        <v>141</v>
      </c>
      <c r="E277" s="649">
        <f ca="1">Elec_Est!E9543</f>
        <v>49.52</v>
      </c>
      <c r="F277" s="1125">
        <f ca="1">IFERROR($C277*E277,E277)</f>
        <v>49.52</v>
      </c>
    </row>
    <row r="278" spans="1:6" s="631" customFormat="1">
      <c r="A278" s="643">
        <f t="shared" ca="1" si="18"/>
        <v>2.1879999999999793</v>
      </c>
      <c r="B278" s="865" t="s">
        <v>2065</v>
      </c>
      <c r="C278" s="646">
        <v>1</v>
      </c>
      <c r="D278" s="646" t="s">
        <v>141</v>
      </c>
      <c r="E278" s="649">
        <f ca="1">Elec_Est!E9550</f>
        <v>49.52</v>
      </c>
      <c r="F278" s="1125">
        <f t="shared" ref="F278" ca="1" si="57">IFERROR($C278*E278,E278)</f>
        <v>49.52</v>
      </c>
    </row>
    <row r="279" spans="1:6" s="631" customFormat="1" ht="41.4">
      <c r="A279" s="638"/>
      <c r="B279" s="866" t="s">
        <v>4145</v>
      </c>
      <c r="C279" s="646"/>
      <c r="D279" s="646"/>
      <c r="E279" s="649"/>
      <c r="F279" s="1125"/>
    </row>
    <row r="280" spans="1:6" s="631" customFormat="1">
      <c r="A280" s="643">
        <f ca="1">IFERROR(IF(OFFSET(A280,-1,0)&gt;0,OFFSET(A280,-1,0)+0.001,ERROR.TYPE(0)),IFERROR(IF(OFFSET(A280,-2,0)&gt;0,OFFSET(A280,-2,0)+0.001,ERROR.TYPE(0)),IFERROR(IF(OFFSET(A280,-3,0)&gt;0,OFFSET(A280,-3,0)+0.001,ERROR.TYPE(0)),IFERROR(IF(OFFSET(A280,-4,0)&gt;0,OFFSET(A280,-4,0)+0.001,ERROR.TYPE(0)),IFERROR(IF(OFFSET(A280,-5,0)&gt;0,OFFSET(A280,-5,0)+0.001,ERROR.TYPE(0)),IFERROR(IF(OFFSET(A280,-6,0)&gt;0,OFFSET(A280,-6,0)+0.001,ERROR.TYPE(0)),IFERROR(IF(OFFSET(A280,-7,0)&gt;0,OFFSET(A280,-7,0)+0.001,ERROR.TYPE(0)),IFERROR(IF(OFFSET(A280,-8,0)&gt;0,OFFSET(A280,-8,0)+0.001,ERROR.TYPE(0)),IFERROR(IF(OFFSET(A280,-9,0)&gt;0,OFFSET(A280,-9,0)+0.001,ERROR.TYPE(0)),IFERROR(IF(OFFSET(A280,-10,0)&gt;0,OFFSET(A280,-10,0)+0.001,ERROR.TYPE(0)),ERROR.TYPE(0)))))))))))</f>
        <v>2.1889999999999792</v>
      </c>
      <c r="B280" s="865" t="s">
        <v>2061</v>
      </c>
      <c r="C280" s="646">
        <v>2</v>
      </c>
      <c r="D280" s="646" t="s">
        <v>141</v>
      </c>
      <c r="E280" s="649">
        <f>Elec_Est!E9561</f>
        <v>36.950000000000003</v>
      </c>
      <c r="F280" s="1125">
        <f t="shared" ref="F280" si="58">IFERROR($C280*E280,E280)</f>
        <v>73.900000000000006</v>
      </c>
    </row>
    <row r="281" spans="1:6" s="631" customFormat="1" ht="17.7" customHeight="1">
      <c r="A281" s="643">
        <f ca="1">IFERROR(IF(OFFSET(A281,-1,0)&gt;0,OFFSET(A281,-1,0)+0.001,ERROR.TYPE(0)),IFERROR(IF(OFFSET(A281,-2,0)&gt;0,OFFSET(A281,-2,0)+0.001,ERROR.TYPE(0)),IFERROR(IF(OFFSET(A281,-3,0)&gt;0,OFFSET(A281,-3,0)+0.001,ERROR.TYPE(0)),IFERROR(IF(OFFSET(A281,-4,0)&gt;0,OFFSET(A281,-4,0)+0.001,ERROR.TYPE(0)),IFERROR(IF(OFFSET(A281,-5,0)&gt;0,OFFSET(A281,-5,0)+0.001,ERROR.TYPE(0)),IFERROR(IF(OFFSET(A281,-6,0)&gt;0,OFFSET(A281,-6,0)+0.001,ERROR.TYPE(0)),IFERROR(IF(OFFSET(A281,-7,0)&gt;0,OFFSET(A281,-7,0)+0.001,ERROR.TYPE(0)),IFERROR(IF(OFFSET(A281,-8,0)&gt;0,OFFSET(A281,-8,0)+0.001,ERROR.TYPE(0)),IFERROR(IF(OFFSET(A281,-9,0)&gt;0,OFFSET(A281,-9,0)+0.001,ERROR.TYPE(0)),IFERROR(IF(OFFSET(A281,-10,0)&gt;0,OFFSET(A281,-10,0)+0.001,ERROR.TYPE(0)),ERROR.TYPE(0)))))))))))</f>
        <v>2.1899999999999791</v>
      </c>
      <c r="B281" s="865" t="s">
        <v>2062</v>
      </c>
      <c r="C281" s="646">
        <v>1</v>
      </c>
      <c r="D281" s="646" t="s">
        <v>141</v>
      </c>
      <c r="E281" s="649">
        <f>Elec_Est!E9567</f>
        <v>36.950000000000003</v>
      </c>
      <c r="F281" s="1125">
        <f>IFERROR($C281*E281,E281)</f>
        <v>36.950000000000003</v>
      </c>
    </row>
    <row r="282" spans="1:6" s="631" customFormat="1">
      <c r="A282" s="643">
        <f t="shared" ca="1" si="18"/>
        <v>2.190999999999979</v>
      </c>
      <c r="B282" s="865" t="s">
        <v>2065</v>
      </c>
      <c r="C282" s="646">
        <v>1</v>
      </c>
      <c r="D282" s="646" t="s">
        <v>141</v>
      </c>
      <c r="E282" s="649">
        <f>Elec_Est!E9573</f>
        <v>36.950000000000003</v>
      </c>
      <c r="F282" s="1125">
        <f t="shared" ref="F282" si="59">IFERROR($C282*E282,E282)</f>
        <v>36.950000000000003</v>
      </c>
    </row>
    <row r="283" spans="1:6" s="631" customFormat="1">
      <c r="A283" s="638"/>
      <c r="B283" s="866" t="s">
        <v>2070</v>
      </c>
      <c r="C283" s="646"/>
      <c r="D283" s="646"/>
      <c r="E283" s="649"/>
      <c r="F283" s="1125"/>
    </row>
    <row r="284" spans="1:6" s="631" customFormat="1">
      <c r="A284" s="643">
        <f ca="1">IFERROR(IF(OFFSET(A284,-1,0)&gt;0,OFFSET(A284,-1,0)+0.001,ERROR.TYPE(0)),IFERROR(IF(OFFSET(A284,-2,0)&gt;0,OFFSET(A284,-2,0)+0.001,ERROR.TYPE(0)),IFERROR(IF(OFFSET(A284,-3,0)&gt;0,OFFSET(A284,-3,0)+0.001,ERROR.TYPE(0)),IFERROR(IF(OFFSET(A284,-4,0)&gt;0,OFFSET(A284,-4,0)+0.001,ERROR.TYPE(0)),IFERROR(IF(OFFSET(A284,-5,0)&gt;0,OFFSET(A284,-5,0)+0.001,ERROR.TYPE(0)),IFERROR(IF(OFFSET(A284,-6,0)&gt;0,OFFSET(A284,-6,0)+0.001,ERROR.TYPE(0)),IFERROR(IF(OFFSET(A284,-7,0)&gt;0,OFFSET(A284,-7,0)+0.001,ERROR.TYPE(0)),IFERROR(IF(OFFSET(A284,-8,0)&gt;0,OFFSET(A284,-8,0)+0.001,ERROR.TYPE(0)),IFERROR(IF(OFFSET(A284,-9,0)&gt;0,OFFSET(A284,-9,0)+0.001,ERROR.TYPE(0)),IFERROR(IF(OFFSET(A284,-10,0)&gt;0,OFFSET(A284,-10,0)+0.001,ERROR.TYPE(0)),ERROR.TYPE(0)))))))))))</f>
        <v>2.1919999999999789</v>
      </c>
      <c r="B284" s="865" t="s">
        <v>2061</v>
      </c>
      <c r="C284" s="646">
        <v>2</v>
      </c>
      <c r="D284" s="646" t="s">
        <v>141</v>
      </c>
      <c r="E284" s="649">
        <f>Elec_Est!E9583</f>
        <v>52.23</v>
      </c>
      <c r="F284" s="1125">
        <f t="shared" ref="F284" si="60">IFERROR($C284*E284,E284)</f>
        <v>104.46</v>
      </c>
    </row>
    <row r="285" spans="1:6" s="631" customFormat="1" ht="17.7" customHeight="1">
      <c r="A285" s="643">
        <f ca="1">IFERROR(IF(OFFSET(A285,-1,0)&gt;0,OFFSET(A285,-1,0)+0.001,ERROR.TYPE(0)),IFERROR(IF(OFFSET(A285,-2,0)&gt;0,OFFSET(A285,-2,0)+0.001,ERROR.TYPE(0)),IFERROR(IF(OFFSET(A285,-3,0)&gt;0,OFFSET(A285,-3,0)+0.001,ERROR.TYPE(0)),IFERROR(IF(OFFSET(A285,-4,0)&gt;0,OFFSET(A285,-4,0)+0.001,ERROR.TYPE(0)),IFERROR(IF(OFFSET(A285,-5,0)&gt;0,OFFSET(A285,-5,0)+0.001,ERROR.TYPE(0)),IFERROR(IF(OFFSET(A285,-6,0)&gt;0,OFFSET(A285,-6,0)+0.001,ERROR.TYPE(0)),IFERROR(IF(OFFSET(A285,-7,0)&gt;0,OFFSET(A285,-7,0)+0.001,ERROR.TYPE(0)),IFERROR(IF(OFFSET(A285,-8,0)&gt;0,OFFSET(A285,-8,0)+0.001,ERROR.TYPE(0)),IFERROR(IF(OFFSET(A285,-9,0)&gt;0,OFFSET(A285,-9,0)+0.001,ERROR.TYPE(0)),IFERROR(IF(OFFSET(A285,-10,0)&gt;0,OFFSET(A285,-10,0)+0.001,ERROR.TYPE(0)),ERROR.TYPE(0)))))))))))</f>
        <v>2.1929999999999787</v>
      </c>
      <c r="B285" s="865" t="s">
        <v>2062</v>
      </c>
      <c r="C285" s="646">
        <v>1</v>
      </c>
      <c r="D285" s="646" t="s">
        <v>141</v>
      </c>
      <c r="E285" s="649">
        <f>Elec_Est!E9589</f>
        <v>93.61</v>
      </c>
      <c r="F285" s="1125">
        <f>IFERROR($C285*E285,E285)</f>
        <v>93.61</v>
      </c>
    </row>
    <row r="286" spans="1:6" s="631" customFormat="1">
      <c r="A286" s="643">
        <f t="shared" ca="1" si="18"/>
        <v>2.1939999999999786</v>
      </c>
      <c r="B286" s="865" t="s">
        <v>2071</v>
      </c>
      <c r="C286" s="646">
        <v>1</v>
      </c>
      <c r="D286" s="646" t="s">
        <v>141</v>
      </c>
      <c r="E286" s="649">
        <f>Elec_Est!E9595</f>
        <v>54.2</v>
      </c>
      <c r="F286" s="1125">
        <f t="shared" ref="F286" si="61">IFERROR($C286*E286,E286)</f>
        <v>54.2</v>
      </c>
    </row>
    <row r="287" spans="1:6" s="631" customFormat="1" ht="15" customHeight="1">
      <c r="A287" s="867"/>
      <c r="B287" s="639" t="s">
        <v>490</v>
      </c>
      <c r="C287" s="1456" t="s">
        <v>305</v>
      </c>
      <c r="D287" s="1457"/>
      <c r="E287" s="652"/>
      <c r="F287" s="1123">
        <f ca="1">SUM(F256:F286)</f>
        <v>5230.6399999999994</v>
      </c>
    </row>
    <row r="288" spans="1:6" s="631" customFormat="1">
      <c r="A288" s="653"/>
      <c r="B288" s="1449"/>
      <c r="C288" s="654"/>
      <c r="D288" s="654"/>
      <c r="E288" s="655"/>
      <c r="F288" s="1450"/>
    </row>
    <row r="289" spans="1:6" s="631" customFormat="1">
      <c r="A289" s="653"/>
      <c r="B289" s="666"/>
      <c r="C289" s="654"/>
      <c r="D289" s="654"/>
      <c r="E289" s="655"/>
      <c r="F289" s="1126"/>
    </row>
    <row r="290" spans="1:6" s="631" customFormat="1" ht="27.6">
      <c r="A290" s="634" t="s">
        <v>143</v>
      </c>
      <c r="B290" s="635" t="s">
        <v>198</v>
      </c>
      <c r="C290" s="636" t="s">
        <v>199</v>
      </c>
      <c r="D290" s="636" t="s">
        <v>200</v>
      </c>
      <c r="E290" s="637" t="s">
        <v>294</v>
      </c>
      <c r="F290" s="1122" t="s">
        <v>295</v>
      </c>
    </row>
    <row r="291" spans="1:6" s="631" customFormat="1">
      <c r="A291" s="643"/>
      <c r="B291" s="714" t="s">
        <v>2101</v>
      </c>
      <c r="C291" s="646"/>
      <c r="D291" s="646"/>
      <c r="E291" s="649"/>
      <c r="F291" s="1125"/>
    </row>
    <row r="292" spans="1:6" s="631" customFormat="1" ht="41.4">
      <c r="A292" s="643"/>
      <c r="B292" s="864" t="s">
        <v>2077</v>
      </c>
      <c r="C292" s="646"/>
      <c r="D292" s="646"/>
      <c r="E292" s="649"/>
      <c r="F292" s="1125"/>
    </row>
    <row r="293" spans="1:6" s="631" customFormat="1">
      <c r="A293" s="643">
        <f ca="1">IFERROR(IF(OFFSET(A293,-1,0)&gt;0,OFFSET(A293,-1,0)+0.001,ERROR.TYPE(0)),IFERROR(IF(OFFSET(A293,-2,0)&gt;0,OFFSET(A293,-2,0)+0.001,ERROR.TYPE(0)),IFERROR(IF(OFFSET(A293,-3,0)&gt;0,OFFSET(A293,-3,0)+0.001,ERROR.TYPE(0)),IFERROR(IF(OFFSET(A293,-4,0)&gt;0,OFFSET(A293,-4,0)+0.001,ERROR.TYPE(0)),IFERROR(IF(OFFSET(A293,-5,0)&gt;0,OFFSET(A293,-5,0)+0.001,ERROR.TYPE(0)),IFERROR(IF(OFFSET(A293,-6,0)&gt;0,OFFSET(A293,-6,0)+0.001,ERROR.TYPE(0)),IFERROR(IF(OFFSET(A293,-7,0)&gt;0,OFFSET(A293,-7,0)+0.001,ERROR.TYPE(0)),IFERROR(IF(OFFSET(A293,-8,0)&gt;0,OFFSET(A293,-8,0)+0.001,ERROR.TYPE(0)),IFERROR(IF(OFFSET(A293,-9,0)&gt;0,OFFSET(A293,-9,0)+0.001,ERROR.TYPE(0)),IFERROR(IF(OFFSET(A293,-10,0)&gt;0,OFFSET(A293,-10,0)+0.001,ERROR.TYPE(0)),ERROR.TYPE(0)))))))))))</f>
        <v>2.1949999999999785</v>
      </c>
      <c r="B293" s="865" t="s">
        <v>2063</v>
      </c>
      <c r="C293" s="646">
        <v>1</v>
      </c>
      <c r="D293" s="646" t="s">
        <v>141</v>
      </c>
      <c r="E293" s="649">
        <f ca="1">Elec_Est!E9615</f>
        <v>49.52</v>
      </c>
      <c r="F293" s="1125">
        <f ca="1">IFERROR($C293*E293,E293)</f>
        <v>49.52</v>
      </c>
    </row>
    <row r="294" spans="1:6" s="631" customFormat="1">
      <c r="A294" s="643">
        <f ca="1">IFERROR(IF(OFFSET(A294,-1,0)&gt;0,OFFSET(A294,-1,0)+0.001,ERROR.TYPE(0)),IFERROR(IF(OFFSET(A294,-2,0)&gt;0,OFFSET(A294,-2,0)+0.001,ERROR.TYPE(0)),IFERROR(IF(OFFSET(A294,-3,0)&gt;0,OFFSET(A294,-3,0)+0.001,ERROR.TYPE(0)),IFERROR(IF(OFFSET(A294,-4,0)&gt;0,OFFSET(A294,-4,0)+0.001,ERROR.TYPE(0)),IFERROR(IF(OFFSET(A294,-5,0)&gt;0,OFFSET(A294,-5,0)+0.001,ERROR.TYPE(0)),IFERROR(IF(OFFSET(A294,-6,0)&gt;0,OFFSET(A294,-6,0)+0.001,ERROR.TYPE(0)),IFERROR(IF(OFFSET(A294,-7,0)&gt;0,OFFSET(A294,-7,0)+0.001,ERROR.TYPE(0)),IFERROR(IF(OFFSET(A294,-8,0)&gt;0,OFFSET(A294,-8,0)+0.001,ERROR.TYPE(0)),IFERROR(IF(OFFSET(A294,-9,0)&gt;0,OFFSET(A294,-9,0)+0.001,ERROR.TYPE(0)),IFERROR(IF(OFFSET(A294,-10,0)&gt;0,OFFSET(A294,-10,0)+0.001,ERROR.TYPE(0)),ERROR.TYPE(0)))))))))))</f>
        <v>2.1959999999999784</v>
      </c>
      <c r="B294" s="865" t="s">
        <v>2061</v>
      </c>
      <c r="C294" s="646">
        <v>14</v>
      </c>
      <c r="D294" s="646" t="s">
        <v>141</v>
      </c>
      <c r="E294" s="649">
        <f ca="1">Elec_Est!E9622</f>
        <v>49.52</v>
      </c>
      <c r="F294" s="1125">
        <f t="shared" ref="F294" ca="1" si="62">IFERROR($C294*E294,E294)</f>
        <v>693.28000000000009</v>
      </c>
    </row>
    <row r="295" spans="1:6" s="631" customFormat="1">
      <c r="A295" s="643">
        <f ca="1">IFERROR(IF(OFFSET(A295,-1,0)&gt;0,OFFSET(A295,-1,0)+0.001,ERROR.TYPE(0)),IFERROR(IF(OFFSET(A295,-2,0)&gt;0,OFFSET(A295,-2,0)+0.001,ERROR.TYPE(0)),IFERROR(IF(OFFSET(A295,-3,0)&gt;0,OFFSET(A295,-3,0)+0.001,ERROR.TYPE(0)),IFERROR(IF(OFFSET(A295,-4,0)&gt;0,OFFSET(A295,-4,0)+0.001,ERROR.TYPE(0)),IFERROR(IF(OFFSET(A295,-5,0)&gt;0,OFFSET(A295,-5,0)+0.001,ERROR.TYPE(0)),IFERROR(IF(OFFSET(A295,-6,0)&gt;0,OFFSET(A295,-6,0)+0.001,ERROR.TYPE(0)),IFERROR(IF(OFFSET(A295,-7,0)&gt;0,OFFSET(A295,-7,0)+0.001,ERROR.TYPE(0)),IFERROR(IF(OFFSET(A295,-8,0)&gt;0,OFFSET(A295,-8,0)+0.001,ERROR.TYPE(0)),IFERROR(IF(OFFSET(A295,-9,0)&gt;0,OFFSET(A295,-9,0)+0.001,ERROR.TYPE(0)),IFERROR(IF(OFFSET(A295,-10,0)&gt;0,OFFSET(A295,-10,0)+0.001,ERROR.TYPE(0)),ERROR.TYPE(0)))))))))))</f>
        <v>2.1969999999999783</v>
      </c>
      <c r="B295" s="865" t="s">
        <v>2062</v>
      </c>
      <c r="C295" s="646">
        <v>5</v>
      </c>
      <c r="D295" s="646" t="s">
        <v>141</v>
      </c>
      <c r="E295" s="649">
        <f ca="1">Elec_Est!E9629</f>
        <v>49.52</v>
      </c>
      <c r="F295" s="1125">
        <f ca="1">IFERROR($C295*E295,E295)</f>
        <v>247.60000000000002</v>
      </c>
    </row>
    <row r="296" spans="1:6" s="631" customFormat="1">
      <c r="A296" s="643">
        <f t="shared" ca="1" si="18"/>
        <v>2.1979999999999782</v>
      </c>
      <c r="B296" s="865" t="s">
        <v>2065</v>
      </c>
      <c r="C296" s="646">
        <v>2</v>
      </c>
      <c r="D296" s="646" t="s">
        <v>141</v>
      </c>
      <c r="E296" s="649">
        <f ca="1">Elec_Est!E9636</f>
        <v>49.52</v>
      </c>
      <c r="F296" s="1125">
        <f t="shared" ref="F296:F297" ca="1" si="63">IFERROR($C296*E296,E296)</f>
        <v>99.04</v>
      </c>
    </row>
    <row r="297" spans="1:6" s="631" customFormat="1">
      <c r="A297" s="643">
        <f t="shared" ca="1" si="18"/>
        <v>2.1989999999999781</v>
      </c>
      <c r="B297" s="657" t="s">
        <v>2068</v>
      </c>
      <c r="C297" s="646">
        <v>1</v>
      </c>
      <c r="D297" s="646" t="s">
        <v>141</v>
      </c>
      <c r="E297" s="649">
        <f ca="1">Elec_Est!E9643</f>
        <v>49.52</v>
      </c>
      <c r="F297" s="1125">
        <f t="shared" ca="1" si="63"/>
        <v>49.52</v>
      </c>
    </row>
    <row r="298" spans="1:6" s="631" customFormat="1" ht="41.4">
      <c r="A298" s="638"/>
      <c r="B298" s="866" t="s">
        <v>4145</v>
      </c>
      <c r="C298" s="646"/>
      <c r="D298" s="646"/>
      <c r="E298" s="649"/>
      <c r="F298" s="1125"/>
    </row>
    <row r="299" spans="1:6" s="631" customFormat="1">
      <c r="A299" s="643">
        <f ca="1">IFERROR(IF(OFFSET(A299,-1,0)&gt;0,OFFSET(A299,-1,0)+0.001,ERROR.TYPE(0)),IFERROR(IF(OFFSET(A299,-2,0)&gt;0,OFFSET(A299,-2,0)+0.001,ERROR.TYPE(0)),IFERROR(IF(OFFSET(A299,-3,0)&gt;0,OFFSET(A299,-3,0)+0.001,ERROR.TYPE(0)),IFERROR(IF(OFFSET(A299,-4,0)&gt;0,OFFSET(A299,-4,0)+0.001,ERROR.TYPE(0)),IFERROR(IF(OFFSET(A299,-5,0)&gt;0,OFFSET(A299,-5,0)+0.001,ERROR.TYPE(0)),IFERROR(IF(OFFSET(A299,-6,0)&gt;0,OFFSET(A299,-6,0)+0.001,ERROR.TYPE(0)),IFERROR(IF(OFFSET(A299,-7,0)&gt;0,OFFSET(A299,-7,0)+0.001,ERROR.TYPE(0)),IFERROR(IF(OFFSET(A299,-8,0)&gt;0,OFFSET(A299,-8,0)+0.001,ERROR.TYPE(0)),IFERROR(IF(OFFSET(A299,-9,0)&gt;0,OFFSET(A299,-9,0)+0.001,ERROR.TYPE(0)),IFERROR(IF(OFFSET(A299,-10,0)&gt;0,OFFSET(A299,-10,0)+0.001,ERROR.TYPE(0)),ERROR.TYPE(0)))))))))))</f>
        <v>2.199999999999978</v>
      </c>
      <c r="B299" s="865" t="s">
        <v>2063</v>
      </c>
      <c r="C299" s="646">
        <v>1</v>
      </c>
      <c r="D299" s="646" t="s">
        <v>141</v>
      </c>
      <c r="E299" s="649">
        <f>Elec_Est!E9654</f>
        <v>36.950000000000003</v>
      </c>
      <c r="F299" s="1125">
        <f>IFERROR($C299*E299,E299)</f>
        <v>36.950000000000003</v>
      </c>
    </row>
    <row r="300" spans="1:6" s="631" customFormat="1">
      <c r="A300" s="643">
        <f ca="1">IFERROR(IF(OFFSET(A300,-1,0)&gt;0,OFFSET(A300,-1,0)+0.001,ERROR.TYPE(0)),IFERROR(IF(OFFSET(A300,-2,0)&gt;0,OFFSET(A300,-2,0)+0.001,ERROR.TYPE(0)),IFERROR(IF(OFFSET(A300,-3,0)&gt;0,OFFSET(A300,-3,0)+0.001,ERROR.TYPE(0)),IFERROR(IF(OFFSET(A300,-4,0)&gt;0,OFFSET(A300,-4,0)+0.001,ERROR.TYPE(0)),IFERROR(IF(OFFSET(A300,-5,0)&gt;0,OFFSET(A300,-5,0)+0.001,ERROR.TYPE(0)),IFERROR(IF(OFFSET(A300,-6,0)&gt;0,OFFSET(A300,-6,0)+0.001,ERROR.TYPE(0)),IFERROR(IF(OFFSET(A300,-7,0)&gt;0,OFFSET(A300,-7,0)+0.001,ERROR.TYPE(0)),IFERROR(IF(OFFSET(A300,-8,0)&gt;0,OFFSET(A300,-8,0)+0.001,ERROR.TYPE(0)),IFERROR(IF(OFFSET(A300,-9,0)&gt;0,OFFSET(A300,-9,0)+0.001,ERROR.TYPE(0)),IFERROR(IF(OFFSET(A300,-10,0)&gt;0,OFFSET(A300,-10,0)+0.001,ERROR.TYPE(0)),ERROR.TYPE(0)))))))))))</f>
        <v>2.2009999999999779</v>
      </c>
      <c r="B300" s="865" t="s">
        <v>2061</v>
      </c>
      <c r="C300" s="646">
        <v>14</v>
      </c>
      <c r="D300" s="646" t="s">
        <v>141</v>
      </c>
      <c r="E300" s="649">
        <f>Elec_Est!E9660</f>
        <v>36.950000000000003</v>
      </c>
      <c r="F300" s="1125">
        <f t="shared" ref="F300" si="64">IFERROR($C300*E300,E300)</f>
        <v>517.30000000000007</v>
      </c>
    </row>
    <row r="301" spans="1:6" s="631" customFormat="1">
      <c r="A301" s="643">
        <f ca="1">IFERROR(IF(OFFSET(A301,-1,0)&gt;0,OFFSET(A301,-1,0)+0.001,ERROR.TYPE(0)),IFERROR(IF(OFFSET(A301,-2,0)&gt;0,OFFSET(A301,-2,0)+0.001,ERROR.TYPE(0)),IFERROR(IF(OFFSET(A301,-3,0)&gt;0,OFFSET(A301,-3,0)+0.001,ERROR.TYPE(0)),IFERROR(IF(OFFSET(A301,-4,0)&gt;0,OFFSET(A301,-4,0)+0.001,ERROR.TYPE(0)),IFERROR(IF(OFFSET(A301,-5,0)&gt;0,OFFSET(A301,-5,0)+0.001,ERROR.TYPE(0)),IFERROR(IF(OFFSET(A301,-6,0)&gt;0,OFFSET(A301,-6,0)+0.001,ERROR.TYPE(0)),IFERROR(IF(OFFSET(A301,-7,0)&gt;0,OFFSET(A301,-7,0)+0.001,ERROR.TYPE(0)),IFERROR(IF(OFFSET(A301,-8,0)&gt;0,OFFSET(A301,-8,0)+0.001,ERROR.TYPE(0)),IFERROR(IF(OFFSET(A301,-9,0)&gt;0,OFFSET(A301,-9,0)+0.001,ERROR.TYPE(0)),IFERROR(IF(OFFSET(A301,-10,0)&gt;0,OFFSET(A301,-10,0)+0.001,ERROR.TYPE(0)),ERROR.TYPE(0)))))))))))</f>
        <v>2.2019999999999778</v>
      </c>
      <c r="B301" s="865" t="s">
        <v>2062</v>
      </c>
      <c r="C301" s="646">
        <v>5</v>
      </c>
      <c r="D301" s="646" t="s">
        <v>141</v>
      </c>
      <c r="E301" s="649">
        <f>Elec_Est!E9666</f>
        <v>36.950000000000003</v>
      </c>
      <c r="F301" s="1125">
        <f>IFERROR($C301*E301,E301)</f>
        <v>184.75</v>
      </c>
    </row>
    <row r="302" spans="1:6" s="631" customFormat="1">
      <c r="A302" s="643">
        <f t="shared" ca="1" si="18"/>
        <v>2.2029999999999776</v>
      </c>
      <c r="B302" s="865" t="s">
        <v>2065</v>
      </c>
      <c r="C302" s="646">
        <v>2</v>
      </c>
      <c r="D302" s="646" t="s">
        <v>141</v>
      </c>
      <c r="E302" s="649">
        <f>Elec_Est!E9672</f>
        <v>36.950000000000003</v>
      </c>
      <c r="F302" s="1125">
        <f t="shared" ref="F302:F303" si="65">IFERROR($C302*E302,E302)</f>
        <v>73.900000000000006</v>
      </c>
    </row>
    <row r="303" spans="1:6" s="631" customFormat="1">
      <c r="A303" s="643">
        <f t="shared" ca="1" si="18"/>
        <v>2.2039999999999775</v>
      </c>
      <c r="B303" s="657" t="s">
        <v>2068</v>
      </c>
      <c r="C303" s="646">
        <v>1</v>
      </c>
      <c r="D303" s="646" t="s">
        <v>141</v>
      </c>
      <c r="E303" s="649">
        <f>Elec_Est!E9678</f>
        <v>36.950000000000003</v>
      </c>
      <c r="F303" s="1125">
        <f t="shared" si="65"/>
        <v>36.950000000000003</v>
      </c>
    </row>
    <row r="304" spans="1:6" s="631" customFormat="1">
      <c r="A304" s="638"/>
      <c r="B304" s="866" t="s">
        <v>2070</v>
      </c>
      <c r="C304" s="646"/>
      <c r="D304" s="646"/>
      <c r="E304" s="649"/>
      <c r="F304" s="1125"/>
    </row>
    <row r="305" spans="1:6" s="631" customFormat="1">
      <c r="A305" s="643">
        <f ca="1">IFERROR(IF(OFFSET(A305,-1,0)&gt;0,OFFSET(A305,-1,0)+0.001,ERROR.TYPE(0)),IFERROR(IF(OFFSET(A305,-2,0)&gt;0,OFFSET(A305,-2,0)+0.001,ERROR.TYPE(0)),IFERROR(IF(OFFSET(A305,-3,0)&gt;0,OFFSET(A305,-3,0)+0.001,ERROR.TYPE(0)),IFERROR(IF(OFFSET(A305,-4,0)&gt;0,OFFSET(A305,-4,0)+0.001,ERROR.TYPE(0)),IFERROR(IF(OFFSET(A305,-5,0)&gt;0,OFFSET(A305,-5,0)+0.001,ERROR.TYPE(0)),IFERROR(IF(OFFSET(A305,-6,0)&gt;0,OFFSET(A305,-6,0)+0.001,ERROR.TYPE(0)),IFERROR(IF(OFFSET(A305,-7,0)&gt;0,OFFSET(A305,-7,0)+0.001,ERROR.TYPE(0)),IFERROR(IF(OFFSET(A305,-8,0)&gt;0,OFFSET(A305,-8,0)+0.001,ERROR.TYPE(0)),IFERROR(IF(OFFSET(A305,-9,0)&gt;0,OFFSET(A305,-9,0)+0.001,ERROR.TYPE(0)),IFERROR(IF(OFFSET(A305,-10,0)&gt;0,OFFSET(A305,-10,0)+0.001,ERROR.TYPE(0)),ERROR.TYPE(0)))))))))))</f>
        <v>2.2049999999999774</v>
      </c>
      <c r="B305" s="865" t="s">
        <v>2063</v>
      </c>
      <c r="C305" s="646">
        <v>1</v>
      </c>
      <c r="D305" s="646" t="s">
        <v>141</v>
      </c>
      <c r="E305" s="649">
        <f>Elec_Est!E9688</f>
        <v>51.24</v>
      </c>
      <c r="F305" s="1125">
        <f>IFERROR($C305*E305,E305)</f>
        <v>51.24</v>
      </c>
    </row>
    <row r="306" spans="1:6" s="631" customFormat="1">
      <c r="A306" s="643">
        <f ca="1">IFERROR(IF(OFFSET(A306,-1,0)&gt;0,OFFSET(A306,-1,0)+0.001,ERROR.TYPE(0)),IFERROR(IF(OFFSET(A306,-2,0)&gt;0,OFFSET(A306,-2,0)+0.001,ERROR.TYPE(0)),IFERROR(IF(OFFSET(A306,-3,0)&gt;0,OFFSET(A306,-3,0)+0.001,ERROR.TYPE(0)),IFERROR(IF(OFFSET(A306,-4,0)&gt;0,OFFSET(A306,-4,0)+0.001,ERROR.TYPE(0)),IFERROR(IF(OFFSET(A306,-5,0)&gt;0,OFFSET(A306,-5,0)+0.001,ERROR.TYPE(0)),IFERROR(IF(OFFSET(A306,-6,0)&gt;0,OFFSET(A306,-6,0)+0.001,ERROR.TYPE(0)),IFERROR(IF(OFFSET(A306,-7,0)&gt;0,OFFSET(A306,-7,0)+0.001,ERROR.TYPE(0)),IFERROR(IF(OFFSET(A306,-8,0)&gt;0,OFFSET(A306,-8,0)+0.001,ERROR.TYPE(0)),IFERROR(IF(OFFSET(A306,-9,0)&gt;0,OFFSET(A306,-9,0)+0.001,ERROR.TYPE(0)),IFERROR(IF(OFFSET(A306,-10,0)&gt;0,OFFSET(A306,-10,0)+0.001,ERROR.TYPE(0)),ERROR.TYPE(0)))))))))))</f>
        <v>2.2059999999999773</v>
      </c>
      <c r="B306" s="865" t="s">
        <v>2061</v>
      </c>
      <c r="C306" s="646">
        <v>14</v>
      </c>
      <c r="D306" s="646" t="s">
        <v>141</v>
      </c>
      <c r="E306" s="649">
        <f>Elec_Est!E9694</f>
        <v>52.23</v>
      </c>
      <c r="F306" s="1125">
        <f t="shared" ref="F306" si="66">IFERROR($C306*E306,E306)</f>
        <v>731.21999999999991</v>
      </c>
    </row>
    <row r="307" spans="1:6" s="631" customFormat="1">
      <c r="A307" s="643">
        <f ca="1">IFERROR(IF(OFFSET(A307,-1,0)&gt;0,OFFSET(A307,-1,0)+0.001,ERROR.TYPE(0)),IFERROR(IF(OFFSET(A307,-2,0)&gt;0,OFFSET(A307,-2,0)+0.001,ERROR.TYPE(0)),IFERROR(IF(OFFSET(A307,-3,0)&gt;0,OFFSET(A307,-3,0)+0.001,ERROR.TYPE(0)),IFERROR(IF(OFFSET(A307,-4,0)&gt;0,OFFSET(A307,-4,0)+0.001,ERROR.TYPE(0)),IFERROR(IF(OFFSET(A307,-5,0)&gt;0,OFFSET(A307,-5,0)+0.001,ERROR.TYPE(0)),IFERROR(IF(OFFSET(A307,-6,0)&gt;0,OFFSET(A307,-6,0)+0.001,ERROR.TYPE(0)),IFERROR(IF(OFFSET(A307,-7,0)&gt;0,OFFSET(A307,-7,0)+0.001,ERROR.TYPE(0)),IFERROR(IF(OFFSET(A307,-8,0)&gt;0,OFFSET(A307,-8,0)+0.001,ERROR.TYPE(0)),IFERROR(IF(OFFSET(A307,-9,0)&gt;0,OFFSET(A307,-9,0)+0.001,ERROR.TYPE(0)),IFERROR(IF(OFFSET(A307,-10,0)&gt;0,OFFSET(A307,-10,0)+0.001,ERROR.TYPE(0)),ERROR.TYPE(0)))))))))))</f>
        <v>2.2069999999999772</v>
      </c>
      <c r="B307" s="865" t="s">
        <v>2062</v>
      </c>
      <c r="C307" s="646">
        <v>5</v>
      </c>
      <c r="D307" s="646" t="s">
        <v>141</v>
      </c>
      <c r="E307" s="649">
        <f>Elec_Est!E9700</f>
        <v>93.61</v>
      </c>
      <c r="F307" s="1125">
        <f>IFERROR($C307*E307,E307)</f>
        <v>468.05</v>
      </c>
    </row>
    <row r="308" spans="1:6" s="631" customFormat="1">
      <c r="A308" s="643">
        <f t="shared" ca="1" si="18"/>
        <v>2.2079999999999771</v>
      </c>
      <c r="B308" s="865" t="s">
        <v>2071</v>
      </c>
      <c r="C308" s="646">
        <v>2</v>
      </c>
      <c r="D308" s="646" t="s">
        <v>141</v>
      </c>
      <c r="E308" s="649">
        <f>Elec_Est!E9706</f>
        <v>54.2</v>
      </c>
      <c r="F308" s="1125">
        <f t="shared" ref="F308:F309" si="67">IFERROR($C308*E308,E308)</f>
        <v>108.4</v>
      </c>
    </row>
    <row r="309" spans="1:6" s="631" customFormat="1">
      <c r="A309" s="643">
        <f t="shared" ca="1" si="18"/>
        <v>2.208999999999977</v>
      </c>
      <c r="B309" s="657" t="s">
        <v>2068</v>
      </c>
      <c r="C309" s="646">
        <v>1</v>
      </c>
      <c r="D309" s="646" t="s">
        <v>141</v>
      </c>
      <c r="E309" s="649">
        <f>Elec_Est!E9712</f>
        <v>77.849999999999994</v>
      </c>
      <c r="F309" s="1125">
        <f t="shared" si="67"/>
        <v>77.849999999999994</v>
      </c>
    </row>
    <row r="310" spans="1:6" s="631" customFormat="1">
      <c r="A310" s="643"/>
      <c r="B310" s="714" t="s">
        <v>2102</v>
      </c>
      <c r="C310" s="646"/>
      <c r="D310" s="646"/>
      <c r="E310" s="649"/>
      <c r="F310" s="1125"/>
    </row>
    <row r="311" spans="1:6" s="631" customFormat="1" ht="41.4">
      <c r="A311" s="643"/>
      <c r="B311" s="864" t="s">
        <v>2077</v>
      </c>
      <c r="C311" s="646"/>
      <c r="D311" s="646"/>
      <c r="E311" s="649"/>
      <c r="F311" s="1125"/>
    </row>
    <row r="312" spans="1:6" s="631" customFormat="1">
      <c r="A312" s="643">
        <f ca="1">IFERROR(IF(OFFSET(A312,-1,0)&gt;0,OFFSET(A312,-1,0)+0.001,ERROR.TYPE(0)),IFERROR(IF(OFFSET(A312,-2,0)&gt;0,OFFSET(A312,-2,0)+0.001,ERROR.TYPE(0)),IFERROR(IF(OFFSET(A312,-3,0)&gt;0,OFFSET(A312,-3,0)+0.001,ERROR.TYPE(0)),IFERROR(IF(OFFSET(A312,-4,0)&gt;0,OFFSET(A312,-4,0)+0.001,ERROR.TYPE(0)),IFERROR(IF(OFFSET(A312,-5,0)&gt;0,OFFSET(A312,-5,0)+0.001,ERROR.TYPE(0)),IFERROR(IF(OFFSET(A312,-6,0)&gt;0,OFFSET(A312,-6,0)+0.001,ERROR.TYPE(0)),IFERROR(IF(OFFSET(A312,-7,0)&gt;0,OFFSET(A312,-7,0)+0.001,ERROR.TYPE(0)),IFERROR(IF(OFFSET(A312,-8,0)&gt;0,OFFSET(A312,-8,0)+0.001,ERROR.TYPE(0)),IFERROR(IF(OFFSET(A312,-9,0)&gt;0,OFFSET(A312,-9,0)+0.001,ERROR.TYPE(0)),IFERROR(IF(OFFSET(A312,-10,0)&gt;0,OFFSET(A312,-10,0)+0.001,ERROR.TYPE(0)),ERROR.TYPE(0)))))))))))</f>
        <v>2.2099999999999769</v>
      </c>
      <c r="B312" s="657" t="s">
        <v>2103</v>
      </c>
      <c r="C312" s="646">
        <v>1</v>
      </c>
      <c r="D312" s="646" t="s">
        <v>141</v>
      </c>
      <c r="E312" s="649">
        <f ca="1">Elec_Est!E9726</f>
        <v>49.52</v>
      </c>
      <c r="F312" s="1125">
        <f t="shared" ref="F312:F313" ca="1" si="68">IFERROR($C312*E312,E312)</f>
        <v>49.52</v>
      </c>
    </row>
    <row r="313" spans="1:6" s="631" customFormat="1">
      <c r="A313" s="643">
        <f t="shared" ca="1" si="18"/>
        <v>2.2109999999999768</v>
      </c>
      <c r="B313" s="657" t="s">
        <v>2104</v>
      </c>
      <c r="C313" s="646">
        <v>1</v>
      </c>
      <c r="D313" s="646" t="s">
        <v>141</v>
      </c>
      <c r="E313" s="649">
        <f ca="1">Elec_Est!E9733</f>
        <v>49.52</v>
      </c>
      <c r="F313" s="1125">
        <f t="shared" ca="1" si="68"/>
        <v>49.52</v>
      </c>
    </row>
    <row r="314" spans="1:6" s="631" customFormat="1" ht="41.4">
      <c r="A314" s="638"/>
      <c r="B314" s="871" t="s">
        <v>4145</v>
      </c>
      <c r="C314" s="646"/>
      <c r="D314" s="646"/>
      <c r="E314" s="649"/>
      <c r="F314" s="1125"/>
    </row>
    <row r="315" spans="1:6" s="631" customFormat="1">
      <c r="A315" s="643">
        <f ca="1">IFERROR(IF(OFFSET(A315,-1,0)&gt;0,OFFSET(A315,-1,0)+0.001,ERROR.TYPE(0)),IFERROR(IF(OFFSET(A315,-2,0)&gt;0,OFFSET(A315,-2,0)+0.001,ERROR.TYPE(0)),IFERROR(IF(OFFSET(A315,-3,0)&gt;0,OFFSET(A315,-3,0)+0.001,ERROR.TYPE(0)),IFERROR(IF(OFFSET(A315,-4,0)&gt;0,OFFSET(A315,-4,0)+0.001,ERROR.TYPE(0)),IFERROR(IF(OFFSET(A315,-5,0)&gt;0,OFFSET(A315,-5,0)+0.001,ERROR.TYPE(0)),IFERROR(IF(OFFSET(A315,-6,0)&gt;0,OFFSET(A315,-6,0)+0.001,ERROR.TYPE(0)),IFERROR(IF(OFFSET(A315,-7,0)&gt;0,OFFSET(A315,-7,0)+0.001,ERROR.TYPE(0)),IFERROR(IF(OFFSET(A315,-8,0)&gt;0,OFFSET(A315,-8,0)+0.001,ERROR.TYPE(0)),IFERROR(IF(OFFSET(A315,-9,0)&gt;0,OFFSET(A315,-9,0)+0.001,ERROR.TYPE(0)),IFERROR(IF(OFFSET(A315,-10,0)&gt;0,OFFSET(A315,-10,0)+0.001,ERROR.TYPE(0)),ERROR.TYPE(0)))))))))))</f>
        <v>2.2119999999999767</v>
      </c>
      <c r="B315" s="657" t="s">
        <v>2103</v>
      </c>
      <c r="C315" s="646">
        <v>1</v>
      </c>
      <c r="D315" s="646" t="s">
        <v>141</v>
      </c>
      <c r="E315" s="649">
        <f>Elec_Est!E9744</f>
        <v>44.34</v>
      </c>
      <c r="F315" s="1125">
        <f>IFERROR($C315*E315,E315)</f>
        <v>44.34</v>
      </c>
    </row>
    <row r="316" spans="1:6" s="631" customFormat="1">
      <c r="A316" s="643">
        <f ca="1">IFERROR(IF(OFFSET(A316,-1,0)&gt;0,OFFSET(A316,-1,0)+0.001,ERROR.TYPE(0)),IFERROR(IF(OFFSET(A316,-2,0)&gt;0,OFFSET(A316,-2,0)+0.001,ERROR.TYPE(0)),IFERROR(IF(OFFSET(A316,-3,0)&gt;0,OFFSET(A316,-3,0)+0.001,ERROR.TYPE(0)),IFERROR(IF(OFFSET(A316,-4,0)&gt;0,OFFSET(A316,-4,0)+0.001,ERROR.TYPE(0)),IFERROR(IF(OFFSET(A316,-5,0)&gt;0,OFFSET(A316,-5,0)+0.001,ERROR.TYPE(0)),IFERROR(IF(OFFSET(A316,-6,0)&gt;0,OFFSET(A316,-6,0)+0.001,ERROR.TYPE(0)),IFERROR(IF(OFFSET(A316,-7,0)&gt;0,OFFSET(A316,-7,0)+0.001,ERROR.TYPE(0)),IFERROR(IF(OFFSET(A316,-8,0)&gt;0,OFFSET(A316,-8,0)+0.001,ERROR.TYPE(0)),IFERROR(IF(OFFSET(A316,-9,0)&gt;0,OFFSET(A316,-9,0)+0.001,ERROR.TYPE(0)),IFERROR(IF(OFFSET(A316,-10,0)&gt;0,OFFSET(A316,-10,0)+0.001,ERROR.TYPE(0)),ERROR.TYPE(0)))))))))))</f>
        <v>2.2129999999999765</v>
      </c>
      <c r="B316" s="657" t="s">
        <v>2104</v>
      </c>
      <c r="C316" s="646">
        <v>1</v>
      </c>
      <c r="D316" s="646" t="s">
        <v>141</v>
      </c>
      <c r="E316" s="649">
        <f>Elec_Est!E9750</f>
        <v>36.950000000000003</v>
      </c>
      <c r="F316" s="1125">
        <f t="shared" ref="F316" si="69">IFERROR($C316*E316,E316)</f>
        <v>36.950000000000003</v>
      </c>
    </row>
    <row r="317" spans="1:6" s="631" customFormat="1">
      <c r="A317" s="638"/>
      <c r="B317" s="871" t="s">
        <v>2070</v>
      </c>
      <c r="C317" s="646"/>
      <c r="D317" s="646"/>
      <c r="E317" s="649"/>
      <c r="F317" s="1125"/>
    </row>
    <row r="318" spans="1:6" s="631" customFormat="1">
      <c r="A318" s="643">
        <f ca="1">IFERROR(IF(OFFSET(A318,-1,0)&gt;0,OFFSET(A318,-1,0)+0.001,ERROR.TYPE(0)),IFERROR(IF(OFFSET(A318,-2,0)&gt;0,OFFSET(A318,-2,0)+0.001,ERROR.TYPE(0)),IFERROR(IF(OFFSET(A318,-3,0)&gt;0,OFFSET(A318,-3,0)+0.001,ERROR.TYPE(0)),IFERROR(IF(OFFSET(A318,-4,0)&gt;0,OFFSET(A318,-4,0)+0.001,ERROR.TYPE(0)),IFERROR(IF(OFFSET(A318,-5,0)&gt;0,OFFSET(A318,-5,0)+0.001,ERROR.TYPE(0)),IFERROR(IF(OFFSET(A318,-6,0)&gt;0,OFFSET(A318,-6,0)+0.001,ERROR.TYPE(0)),IFERROR(IF(OFFSET(A318,-7,0)&gt;0,OFFSET(A318,-7,0)+0.001,ERROR.TYPE(0)),IFERROR(IF(OFFSET(A318,-8,0)&gt;0,OFFSET(A318,-8,0)+0.001,ERROR.TYPE(0)),IFERROR(IF(OFFSET(A318,-9,0)&gt;0,OFFSET(A318,-9,0)+0.001,ERROR.TYPE(0)),IFERROR(IF(OFFSET(A318,-10,0)&gt;0,OFFSET(A318,-10,0)+0.001,ERROR.TYPE(0)),ERROR.TYPE(0)))))))))))</f>
        <v>2.2139999999999764</v>
      </c>
      <c r="B318" s="657" t="s">
        <v>2103</v>
      </c>
      <c r="C318" s="646">
        <v>1</v>
      </c>
      <c r="D318" s="646" t="s">
        <v>141</v>
      </c>
      <c r="E318" s="649">
        <f>Elec_Est!E9760</f>
        <v>76.86</v>
      </c>
      <c r="F318" s="1125">
        <f>IFERROR($C318*E318,E318)</f>
        <v>76.86</v>
      </c>
    </row>
    <row r="319" spans="1:6" s="631" customFormat="1">
      <c r="A319" s="643">
        <f ca="1">IFERROR(IF(OFFSET(A319,-1,0)&gt;0,OFFSET(A319,-1,0)+0.001,ERROR.TYPE(0)),IFERROR(IF(OFFSET(A319,-2,0)&gt;0,OFFSET(A319,-2,0)+0.001,ERROR.TYPE(0)),IFERROR(IF(OFFSET(A319,-3,0)&gt;0,OFFSET(A319,-3,0)+0.001,ERROR.TYPE(0)),IFERROR(IF(OFFSET(A319,-4,0)&gt;0,OFFSET(A319,-4,0)+0.001,ERROR.TYPE(0)),IFERROR(IF(OFFSET(A319,-5,0)&gt;0,OFFSET(A319,-5,0)+0.001,ERROR.TYPE(0)),IFERROR(IF(OFFSET(A319,-6,0)&gt;0,OFFSET(A319,-6,0)+0.001,ERROR.TYPE(0)),IFERROR(IF(OFFSET(A319,-7,0)&gt;0,OFFSET(A319,-7,0)+0.001,ERROR.TYPE(0)),IFERROR(IF(OFFSET(A319,-8,0)&gt;0,OFFSET(A319,-8,0)+0.001,ERROR.TYPE(0)),IFERROR(IF(OFFSET(A319,-9,0)&gt;0,OFFSET(A319,-9,0)+0.001,ERROR.TYPE(0)),IFERROR(IF(OFFSET(A319,-10,0)&gt;0,OFFSET(A319,-10,0)+0.001,ERROR.TYPE(0)),ERROR.TYPE(0)))))))))))</f>
        <v>2.2149999999999763</v>
      </c>
      <c r="B319" s="657" t="s">
        <v>2104</v>
      </c>
      <c r="C319" s="646">
        <v>1</v>
      </c>
      <c r="D319" s="646" t="s">
        <v>141</v>
      </c>
      <c r="E319" s="649">
        <f>Elec_Est!E9766</f>
        <v>77.849999999999994</v>
      </c>
      <c r="F319" s="1125">
        <f t="shared" ref="F319" si="70">IFERROR($C319*E319,E319)</f>
        <v>77.849999999999994</v>
      </c>
    </row>
    <row r="320" spans="1:6" s="631" customFormat="1">
      <c r="A320" s="643"/>
      <c r="B320" s="668" t="s">
        <v>379</v>
      </c>
      <c r="C320" s="669"/>
      <c r="D320" s="646"/>
      <c r="E320" s="670"/>
      <c r="F320" s="1125"/>
    </row>
    <row r="321" spans="1:6" s="631" customFormat="1">
      <c r="A321" s="643">
        <f ca="1">IFERROR(IF(OFFSET(A321,-1,0)&gt;0,OFFSET(A321,-1,0)+0.001,ERROR.TYPE(0)),IFERROR(IF(OFFSET(A321,-2,0)&gt;0,OFFSET(A321,-2,0)+0.001,ERROR.TYPE(0)),IFERROR(IF(OFFSET(A321,-3,0)&gt;0,OFFSET(A321,-3,0)+0.001,ERROR.TYPE(0)),IFERROR(IF(OFFSET(A321,-4,0)&gt;0,OFFSET(A321,-4,0)+0.001,ERROR.TYPE(0)),IFERROR(IF(OFFSET(A321,-5,0)&gt;0,OFFSET(A321,-5,0)+0.001,ERROR.TYPE(0)),IFERROR(IF(OFFSET(A321,-6,0)&gt;0,OFFSET(A321,-6,0)+0.001,ERROR.TYPE(0)),IFERROR(IF(OFFSET(A321,-7,0)&gt;0,OFFSET(A321,-7,0)+0.001,ERROR.TYPE(0)),IFERROR(IF(OFFSET(A321,-8,0)&gt;0,OFFSET(A321,-8,0)+0.001,ERROR.TYPE(0)),IFERROR(IF(OFFSET(A321,-9,0)&gt;0,OFFSET(A321,-9,0)+0.001,ERROR.TYPE(0)),IFERROR(IF(OFFSET(A321,-10,0)&gt;0,OFFSET(A321,-10,0)+0.001,ERROR.TYPE(0)),ERROR.TYPE(0)))))))))))</f>
        <v>2.2159999999999762</v>
      </c>
      <c r="B321" s="865" t="s">
        <v>2105</v>
      </c>
      <c r="C321" s="646">
        <v>1</v>
      </c>
      <c r="D321" s="680" t="s">
        <v>299</v>
      </c>
      <c r="E321" s="649">
        <f>Elec_Est!E9776</f>
        <v>492.69</v>
      </c>
      <c r="F321" s="1125">
        <f>IFERROR($C321*E321,E321)</f>
        <v>492.69</v>
      </c>
    </row>
    <row r="322" spans="1:6" s="631" customFormat="1" ht="27.6">
      <c r="A322" s="643">
        <f t="shared" ref="A322:A323" ca="1" si="71">IFERROR(IF(OFFSET(A322,-1,0,1,1)&gt;0,OFFSET(A322,-1,0,1,1)+0.001,ERROR.TYPE(0)),IFERROR(IF(OFFSET(A322,-2,0,1,1)&gt;0,OFFSET(A322,-2,0,1,1)+0.001,ERROR.TYPE(0)),IFERROR(IF(OFFSET(A322,-3,0,1,1)&gt;0,OFFSET(A322,-3,0,1,1)+0.001,ERROR.TYPE(0)),IFERROR(IF(OFFSET(A322,-4,0,1,1)&gt;0,OFFSET(A322,-4,0,1,1)+0.001,ERROR.TYPE(0)),IFERROR(IF(OFFSET(A322,-5,0,1,1)&gt;0,OFFSET(A322,-5,0,1,1)+0.001,ERROR.TYPE(0)),IFERROR(IF(OFFSET(A322,-6,0,1,1)&gt;0,OFFSET(A322,-6,0,1,1)+0.001,ERROR.TYPE(0)),IFERROR(IF(OFFSET(A322,-7,0,1,1)&gt;0,OFFSET(A322,-7,0,1,1)+0.001,ERROR.TYPE(0)),IFERROR(IF(OFFSET(A322,-8,0,1,1)&gt;0,OFFSET(A322,-8,0,1,1)+0.001,ERROR.TYPE(0)),IFERROR(IF(OFFSET(A322,-9,0,1,1)&gt;0,OFFSET(A322,-9,0,1,1)+0.001,ERROR.TYPE(0)),IFERROR(IF(OFFSET(A322,-10,0,1,1)&gt;0,OFFSET(A322,-10,0,1,1)+0.001,ERROR.TYPE(0)),ERROR.TYPE(0)))))))))))</f>
        <v>2.2169999999999761</v>
      </c>
      <c r="B322" s="657" t="s">
        <v>381</v>
      </c>
      <c r="C322" s="680">
        <v>1</v>
      </c>
      <c r="D322" s="680" t="s">
        <v>299</v>
      </c>
      <c r="E322" s="872">
        <f>Elec_Est!E9782</f>
        <v>985.38</v>
      </c>
      <c r="F322" s="1125">
        <f t="shared" ref="F322:F323" si="72">IFERROR($C322*E322,E322)</f>
        <v>985.38</v>
      </c>
    </row>
    <row r="323" spans="1:6" s="631" customFormat="1" ht="27.6">
      <c r="A323" s="643">
        <f t="shared" ca="1" si="71"/>
        <v>2.217999999999976</v>
      </c>
      <c r="B323" s="657" t="s">
        <v>382</v>
      </c>
      <c r="C323" s="680">
        <v>1</v>
      </c>
      <c r="D323" s="680" t="s">
        <v>383</v>
      </c>
      <c r="E323" s="872">
        <f>Elec_Est!E9788</f>
        <v>349.83</v>
      </c>
      <c r="F323" s="1125">
        <f t="shared" si="72"/>
        <v>349.83</v>
      </c>
    </row>
    <row r="324" spans="1:6" s="631" customFormat="1" ht="15" customHeight="1">
      <c r="A324" s="867"/>
      <c r="B324" s="639" t="s">
        <v>513</v>
      </c>
      <c r="C324" s="1456" t="s">
        <v>305</v>
      </c>
      <c r="D324" s="1457"/>
      <c r="E324" s="652"/>
      <c r="F324" s="1123">
        <f ca="1">SUM(F292:F323)</f>
        <v>5588.51</v>
      </c>
    </row>
    <row r="325" spans="1:6" s="631" customFormat="1">
      <c r="A325" s="873"/>
      <c r="B325" s="629"/>
      <c r="C325" s="661"/>
      <c r="D325" s="661"/>
      <c r="E325" s="662"/>
      <c r="F325" s="1127"/>
    </row>
    <row r="326" spans="1:6" s="631" customFormat="1">
      <c r="A326" s="867"/>
      <c r="B326" s="639" t="s">
        <v>2106</v>
      </c>
      <c r="C326" s="1456" t="s">
        <v>305</v>
      </c>
      <c r="D326" s="1457"/>
      <c r="E326" s="659"/>
      <c r="F326" s="1123">
        <f ca="1">F324+F287+F251+F211+F188+F135+F101+F63</f>
        <v>90522.44</v>
      </c>
    </row>
    <row r="327" spans="1:6">
      <c r="A327" s="874"/>
      <c r="B327" s="624"/>
      <c r="C327" s="682"/>
      <c r="D327" s="683"/>
      <c r="E327" s="684"/>
      <c r="F327" s="1131"/>
    </row>
    <row r="328" spans="1:6">
      <c r="A328" s="874"/>
      <c r="B328" s="624"/>
      <c r="C328" s="682"/>
      <c r="D328" s="683"/>
      <c r="E328" s="684"/>
      <c r="F328" s="1131"/>
    </row>
    <row r="329" spans="1:6" s="631" customFormat="1" ht="27.6">
      <c r="A329" s="1267" t="s">
        <v>143</v>
      </c>
      <c r="B329" s="1268" t="s">
        <v>198</v>
      </c>
      <c r="C329" s="1269" t="s">
        <v>199</v>
      </c>
      <c r="D329" s="1269" t="s">
        <v>200</v>
      </c>
      <c r="E329" s="1270" t="s">
        <v>294</v>
      </c>
      <c r="F329" s="1271" t="s">
        <v>295</v>
      </c>
    </row>
    <row r="330" spans="1:6" s="631" customFormat="1">
      <c r="A330" s="1272">
        <v>3</v>
      </c>
      <c r="B330" s="1350" t="s">
        <v>2107</v>
      </c>
      <c r="C330" s="1290"/>
      <c r="D330" s="1290"/>
      <c r="E330" s="1279"/>
      <c r="F330" s="1280"/>
    </row>
    <row r="331" spans="1:6" s="631" customFormat="1">
      <c r="A331" s="1284"/>
      <c r="B331" s="1351" t="s">
        <v>2108</v>
      </c>
      <c r="C331" s="1290"/>
      <c r="D331" s="1290"/>
      <c r="E331" s="1279"/>
      <c r="F331" s="1280"/>
    </row>
    <row r="332" spans="1:6" s="631" customFormat="1" ht="55.2">
      <c r="A332" s="1284">
        <f ca="1">IFERROR(IF(OFFSET(A332,-1,0)&gt;0,OFFSET(A332,-1,0)+0.001,ERROR.TYPE(0)),IFERROR(IF(OFFSET(A332,-2,0)&gt;0,OFFSET(A332,-2,0)+0.001,ERROR.TYPE(0)),IFERROR(IF(OFFSET(A332,-3,0)&gt;0,OFFSET(A332,-3,0)+0.001,ERROR.TYPE(0)),IFERROR(IF(OFFSET(A332,-4,0)&gt;0,OFFSET(A332,-4,0)+0.001,ERROR.TYPE(0)),IFERROR(IF(OFFSET(A332,-5,0)&gt;0,OFFSET(A332,-5,0)+0.001,ERROR.TYPE(0)),IFERROR(IF(OFFSET(A332,-6,0)&gt;0,OFFSET(A332,-6,0)+0.001,ERROR.TYPE(0)),IFERROR(IF(OFFSET(A332,-7,0)&gt;0,OFFSET(A332,-7,0)+0.001,ERROR.TYPE(0)),IFERROR(IF(OFFSET(A332,-8,0)&gt;0,OFFSET(A332,-8,0)+0.001,ERROR.TYPE(0)),IFERROR(IF(OFFSET(A332,-9,0)&gt;0,OFFSET(A332,-9,0)+0.001,ERROR.TYPE(0)),IFERROR(IF(OFFSET(A332,-10,0)&gt;0,OFFSET(A332,-10,0)+0.001,ERROR.TYPE(0)),ERROR.TYPE(0)))))))))))</f>
        <v>3.0009999999999999</v>
      </c>
      <c r="B332" s="1352" t="s">
        <v>4044</v>
      </c>
      <c r="C332" s="1290">
        <v>1</v>
      </c>
      <c r="D332" s="1290" t="s">
        <v>141</v>
      </c>
      <c r="E332" s="1279"/>
      <c r="F332" s="1280">
        <f>IFERROR($C332*E332,E332)</f>
        <v>0</v>
      </c>
    </row>
    <row r="333" spans="1:6" s="631" customFormat="1" ht="27.6">
      <c r="A333" s="1284">
        <f ca="1">IFERROR(IF(OFFSET(A333,-1,0)&gt;0,OFFSET(A333,-1,0)+0.001,ERROR.TYPE(0)),IFERROR(IF(OFFSET(A333,-2,0)&gt;0,OFFSET(A333,-2,0)+0.001,ERROR.TYPE(0)),IFERROR(IF(OFFSET(A333,-3,0)&gt;0,OFFSET(A333,-3,0)+0.001,ERROR.TYPE(0)),IFERROR(IF(OFFSET(A333,-4,0)&gt;0,OFFSET(A333,-4,0)+0.001,ERROR.TYPE(0)),IFERROR(IF(OFFSET(A333,-5,0)&gt;0,OFFSET(A333,-5,0)+0.001,ERROR.TYPE(0)),IFERROR(IF(OFFSET(A333,-6,0)&gt;0,OFFSET(A333,-6,0)+0.001,ERROR.TYPE(0)),IFERROR(IF(OFFSET(A333,-7,0)&gt;0,OFFSET(A333,-7,0)+0.001,ERROR.TYPE(0)),IFERROR(IF(OFFSET(A333,-8,0)&gt;0,OFFSET(A333,-8,0)+0.001,ERROR.TYPE(0)),IFERROR(IF(OFFSET(A333,-9,0)&gt;0,OFFSET(A333,-9,0)+0.001,ERROR.TYPE(0)),IFERROR(IF(OFFSET(A333,-10,0)&gt;0,OFFSET(A333,-10,0)+0.001,ERROR.TYPE(0)),ERROR.TYPE(0)))))))))))</f>
        <v>3.0019999999999998</v>
      </c>
      <c r="B333" s="1352" t="s">
        <v>2109</v>
      </c>
      <c r="C333" s="1290">
        <v>1</v>
      </c>
      <c r="D333" s="1290" t="s">
        <v>299</v>
      </c>
      <c r="E333" s="1279"/>
      <c r="F333" s="1280">
        <f>IFERROR($C333*E333,E333)</f>
        <v>0</v>
      </c>
    </row>
    <row r="334" spans="1:6" s="631" customFormat="1" ht="27.6">
      <c r="A334" s="1284">
        <f ca="1">IFERROR(IF(OFFSET(A334,-1,0)&gt;0,OFFSET(A334,-1,0)+0.001,ERROR.TYPE(0)),IFERROR(IF(OFFSET(A334,-2,0)&gt;0,OFFSET(A334,-2,0)+0.001,ERROR.TYPE(0)),IFERROR(IF(OFFSET(A334,-3,0)&gt;0,OFFSET(A334,-3,0)+0.001,ERROR.TYPE(0)),IFERROR(IF(OFFSET(A334,-4,0)&gt;0,OFFSET(A334,-4,0)+0.001,ERROR.TYPE(0)),IFERROR(IF(OFFSET(A334,-5,0)&gt;0,OFFSET(A334,-5,0)+0.001,ERROR.TYPE(0)),IFERROR(IF(OFFSET(A334,-6,0)&gt;0,OFFSET(A334,-6,0)+0.001,ERROR.TYPE(0)),IFERROR(IF(OFFSET(A334,-7,0)&gt;0,OFFSET(A334,-7,0)+0.001,ERROR.TYPE(0)),IFERROR(IF(OFFSET(A334,-8,0)&gt;0,OFFSET(A334,-8,0)+0.001,ERROR.TYPE(0)),IFERROR(IF(OFFSET(A334,-9,0)&gt;0,OFFSET(A334,-9,0)+0.001,ERROR.TYPE(0)),IFERROR(IF(OFFSET(A334,-10,0)&gt;0,OFFSET(A334,-10,0)+0.001,ERROR.TYPE(0)),ERROR.TYPE(0)))))))))))</f>
        <v>3.0029999999999997</v>
      </c>
      <c r="B334" s="1352" t="s">
        <v>2110</v>
      </c>
      <c r="C334" s="1290">
        <v>1</v>
      </c>
      <c r="D334" s="1290" t="s">
        <v>299</v>
      </c>
      <c r="E334" s="1279"/>
      <c r="F334" s="1280">
        <f>IFERROR($C334*E334,E334)</f>
        <v>0</v>
      </c>
    </row>
    <row r="335" spans="1:6" s="631" customFormat="1">
      <c r="A335" s="1284">
        <f ca="1">IFERROR(IF(OFFSET(A335,-1,0)&gt;0,OFFSET(A335,-1,0)+0.001,ERROR.TYPE(0)),IFERROR(IF(OFFSET(A335,-2,0)&gt;0,OFFSET(A335,-2,0)+0.001,ERROR.TYPE(0)),IFERROR(IF(OFFSET(A335,-3,0)&gt;0,OFFSET(A335,-3,0)+0.001,ERROR.TYPE(0)),IFERROR(IF(OFFSET(A335,-4,0)&gt;0,OFFSET(A335,-4,0)+0.001,ERROR.TYPE(0)),IFERROR(IF(OFFSET(A335,-5,0)&gt;0,OFFSET(A335,-5,0)+0.001,ERROR.TYPE(0)),IFERROR(IF(OFFSET(A335,-6,0)&gt;0,OFFSET(A335,-6,0)+0.001,ERROR.TYPE(0)),IFERROR(IF(OFFSET(A335,-7,0)&gt;0,OFFSET(A335,-7,0)+0.001,ERROR.TYPE(0)),IFERROR(IF(OFFSET(A335,-8,0)&gt;0,OFFSET(A335,-8,0)+0.001,ERROR.TYPE(0)),IFERROR(IF(OFFSET(A335,-9,0)&gt;0,OFFSET(A335,-9,0)+0.001,ERROR.TYPE(0)),IFERROR(IF(OFFSET(A335,-10,0)&gt;0,OFFSET(A335,-10,0)+0.001,ERROR.TYPE(0)),ERROR.TYPE(0)))))))))))</f>
        <v>3.0039999999999996</v>
      </c>
      <c r="B335" s="1353" t="s">
        <v>2111</v>
      </c>
      <c r="C335" s="1290">
        <v>1</v>
      </c>
      <c r="D335" s="1290" t="s">
        <v>141</v>
      </c>
      <c r="E335" s="1279"/>
      <c r="F335" s="1280">
        <f>IFERROR($C335*E335,E335)</f>
        <v>0</v>
      </c>
    </row>
    <row r="336" spans="1:6" s="631" customFormat="1">
      <c r="A336" s="1284" t="s">
        <v>4011</v>
      </c>
      <c r="B336" s="1353" t="s">
        <v>2112</v>
      </c>
      <c r="C336" s="1290">
        <v>1</v>
      </c>
      <c r="D336" s="1290" t="s">
        <v>141</v>
      </c>
      <c r="E336" s="1279"/>
      <c r="F336" s="1280">
        <f>IFERROR($C336*E336,E336)</f>
        <v>0</v>
      </c>
    </row>
    <row r="337" spans="1:6" s="631" customFormat="1" ht="47.4" customHeight="1">
      <c r="A337" s="1272"/>
      <c r="B337" s="1354" t="s">
        <v>2113</v>
      </c>
      <c r="C337" s="1290"/>
      <c r="D337" s="1290"/>
      <c r="E337" s="1279"/>
      <c r="F337" s="1280"/>
    </row>
    <row r="338" spans="1:6" s="631" customFormat="1">
      <c r="A338" s="1284">
        <f ca="1">IFERROR(IF(OFFSET(A338,-1,0)&gt;0,OFFSET(A338,-1,0)+0.001,ERROR.TYPE(0)),IFERROR(IF(OFFSET(A338,-2,0)&gt;0,OFFSET(A338,-2,0)+0.001,ERROR.TYPE(0)),IFERROR(IF(OFFSET(A338,-3,0)&gt;0,OFFSET(A338,-3,0)+0.001,ERROR.TYPE(0)),IFERROR(IF(OFFSET(A338,-4,0)&gt;0,OFFSET(A338,-4,0)+0.001,ERROR.TYPE(0)),IFERROR(IF(OFFSET(A338,-5,0)&gt;0,OFFSET(A338,-5,0)+0.001,ERROR.TYPE(0)),IFERROR(IF(OFFSET(A338,-6,0)&gt;0,OFFSET(A338,-6,0)+0.001,ERROR.TYPE(0)),IFERROR(IF(OFFSET(A338,-7,0)&gt;0,OFFSET(A338,-7,0)+0.001,ERROR.TYPE(0)),IFERROR(IF(OFFSET(A338,-8,0)&gt;0,OFFSET(A338,-8,0)+0.001,ERROR.TYPE(0)),IFERROR(IF(OFFSET(A338,-9,0)&gt;0,OFFSET(A338,-9,0)+0.001,ERROR.TYPE(0)),IFERROR(IF(OFFSET(A338,-10,0)&gt;0,OFFSET(A338,-10,0)+0.001,ERROR.TYPE(0)),ERROR.TYPE(0)))))))))))</f>
        <v>3.0049999999999994</v>
      </c>
      <c r="B338" s="1353" t="s">
        <v>2114</v>
      </c>
      <c r="C338" s="1290">
        <v>165</v>
      </c>
      <c r="D338" s="1290" t="s">
        <v>320</v>
      </c>
      <c r="E338" s="1279"/>
      <c r="F338" s="1280">
        <f>IFERROR($C338*E338,E338)</f>
        <v>0</v>
      </c>
    </row>
    <row r="339" spans="1:6" s="631" customFormat="1" ht="27.6">
      <c r="A339" s="1272"/>
      <c r="B339" s="1282" t="s">
        <v>2115</v>
      </c>
      <c r="C339" s="1290"/>
      <c r="D339" s="1290"/>
      <c r="E339" s="1279"/>
      <c r="F339" s="1280"/>
    </row>
    <row r="340" spans="1:6" s="631" customFormat="1">
      <c r="A340" s="1284">
        <f ca="1">IFERROR(IF(OFFSET(A340,-1,0)&gt;0,OFFSET(A340,-1,0)+0.001,ERROR.TYPE(0)),IFERROR(IF(OFFSET(A340,-2,0)&gt;0,OFFSET(A340,-2,0)+0.001,ERROR.TYPE(0)),IFERROR(IF(OFFSET(A340,-3,0)&gt;0,OFFSET(A340,-3,0)+0.001,ERROR.TYPE(0)),IFERROR(IF(OFFSET(A340,-4,0)&gt;0,OFFSET(A340,-4,0)+0.001,ERROR.TYPE(0)),IFERROR(IF(OFFSET(A340,-5,0)&gt;0,OFFSET(A340,-5,0)+0.001,ERROR.TYPE(0)),IFERROR(IF(OFFSET(A340,-6,0)&gt;0,OFFSET(A340,-6,0)+0.001,ERROR.TYPE(0)),IFERROR(IF(OFFSET(A340,-7,0)&gt;0,OFFSET(A340,-7,0)+0.001,ERROR.TYPE(0)),IFERROR(IF(OFFSET(A340,-8,0)&gt;0,OFFSET(A340,-8,0)+0.001,ERROR.TYPE(0)),IFERROR(IF(OFFSET(A340,-9,0)&gt;0,OFFSET(A340,-9,0)+0.001,ERROR.TYPE(0)),IFERROR(IF(OFFSET(A340,-10,0)&gt;0,OFFSET(A340,-10,0)+0.001,ERROR.TYPE(0)),ERROR.TYPE(0)))))))))))</f>
        <v>3.0059999999999993</v>
      </c>
      <c r="B340" s="1353" t="s">
        <v>2114</v>
      </c>
      <c r="C340" s="1290">
        <v>165</v>
      </c>
      <c r="D340" s="1290" t="s">
        <v>320</v>
      </c>
      <c r="E340" s="1279"/>
      <c r="F340" s="1280">
        <f>IFERROR($C340*E340,E340)</f>
        <v>0</v>
      </c>
    </row>
    <row r="341" spans="1:6" s="631" customFormat="1">
      <c r="A341" s="1284"/>
      <c r="B341" s="1351" t="s">
        <v>2116</v>
      </c>
      <c r="C341" s="1290"/>
      <c r="D341" s="1290"/>
      <c r="E341" s="1279"/>
      <c r="F341" s="1280"/>
    </row>
    <row r="342" spans="1:6" s="631" customFormat="1" ht="45.6" customHeight="1">
      <c r="A342" s="1272"/>
      <c r="B342" s="1354" t="s">
        <v>2113</v>
      </c>
      <c r="C342" s="1290"/>
      <c r="D342" s="1290"/>
      <c r="E342" s="1279"/>
      <c r="F342" s="1280"/>
    </row>
    <row r="343" spans="1:6" s="631" customFormat="1">
      <c r="A343" s="1284">
        <f ca="1">IFERROR(IF(OFFSET(A343,-1,0)&gt;0,OFFSET(A343,-1,0)+0.001,ERROR.TYPE(0)),IFERROR(IF(OFFSET(A343,-2,0)&gt;0,OFFSET(A343,-2,0)+0.001,ERROR.TYPE(0)),IFERROR(IF(OFFSET(A343,-3,0)&gt;0,OFFSET(A343,-3,0)+0.001,ERROR.TYPE(0)),IFERROR(IF(OFFSET(A343,-4,0)&gt;0,OFFSET(A343,-4,0)+0.001,ERROR.TYPE(0)),IFERROR(IF(OFFSET(A343,-5,0)&gt;0,OFFSET(A343,-5,0)+0.001,ERROR.TYPE(0)),IFERROR(IF(OFFSET(A343,-6,0)&gt;0,OFFSET(A343,-6,0)+0.001,ERROR.TYPE(0)),IFERROR(IF(OFFSET(A343,-7,0)&gt;0,OFFSET(A343,-7,0)+0.001,ERROR.TYPE(0)),IFERROR(IF(OFFSET(A343,-8,0)&gt;0,OFFSET(A343,-8,0)+0.001,ERROR.TYPE(0)),IFERROR(IF(OFFSET(A343,-9,0)&gt;0,OFFSET(A343,-9,0)+0.001,ERROR.TYPE(0)),IFERROR(IF(OFFSET(A343,-10,0)&gt;0,OFFSET(A343,-10,0)+0.001,ERROR.TYPE(0)),ERROR.TYPE(0)))))))))))</f>
        <v>3.0069999999999992</v>
      </c>
      <c r="B343" s="1353" t="s">
        <v>2114</v>
      </c>
      <c r="C343" s="1290">
        <v>145</v>
      </c>
      <c r="D343" s="1290" t="s">
        <v>320</v>
      </c>
      <c r="E343" s="1279"/>
      <c r="F343" s="1280">
        <f>IFERROR($C343*E343,E343)</f>
        <v>0</v>
      </c>
    </row>
    <row r="344" spans="1:6" s="631" customFormat="1" ht="27.6">
      <c r="A344" s="1272"/>
      <c r="B344" s="1282" t="s">
        <v>2115</v>
      </c>
      <c r="C344" s="1290"/>
      <c r="D344" s="1290"/>
      <c r="E344" s="1279"/>
      <c r="F344" s="1280"/>
    </row>
    <row r="345" spans="1:6" s="631" customFormat="1">
      <c r="A345" s="1284">
        <f ca="1">IFERROR(IF(OFFSET(A345,-1,0)&gt;0,OFFSET(A345,-1,0)+0.001,ERROR.TYPE(0)),IFERROR(IF(OFFSET(A345,-2,0)&gt;0,OFFSET(A345,-2,0)+0.001,ERROR.TYPE(0)),IFERROR(IF(OFFSET(A345,-3,0)&gt;0,OFFSET(A345,-3,0)+0.001,ERROR.TYPE(0)),IFERROR(IF(OFFSET(A345,-4,0)&gt;0,OFFSET(A345,-4,0)+0.001,ERROR.TYPE(0)),IFERROR(IF(OFFSET(A345,-5,0)&gt;0,OFFSET(A345,-5,0)+0.001,ERROR.TYPE(0)),IFERROR(IF(OFFSET(A345,-6,0)&gt;0,OFFSET(A345,-6,0)+0.001,ERROR.TYPE(0)),IFERROR(IF(OFFSET(A345,-7,0)&gt;0,OFFSET(A345,-7,0)+0.001,ERROR.TYPE(0)),IFERROR(IF(OFFSET(A345,-8,0)&gt;0,OFFSET(A345,-8,0)+0.001,ERROR.TYPE(0)),IFERROR(IF(OFFSET(A345,-9,0)&gt;0,OFFSET(A345,-9,0)+0.001,ERROR.TYPE(0)),IFERROR(IF(OFFSET(A345,-10,0)&gt;0,OFFSET(A345,-10,0)+0.001,ERROR.TYPE(0)),ERROR.TYPE(0)))))))))))</f>
        <v>3.0079999999999991</v>
      </c>
      <c r="B345" s="1353" t="s">
        <v>2114</v>
      </c>
      <c r="C345" s="1290">
        <v>145</v>
      </c>
      <c r="D345" s="1290" t="s">
        <v>320</v>
      </c>
      <c r="E345" s="1279"/>
      <c r="F345" s="1280">
        <f>IFERROR($C345*E345,E345)</f>
        <v>0</v>
      </c>
    </row>
    <row r="346" spans="1:6" s="631" customFormat="1">
      <c r="A346" s="1284"/>
      <c r="B346" s="1351" t="s">
        <v>2117</v>
      </c>
      <c r="C346" s="1290"/>
      <c r="D346" s="1290"/>
      <c r="E346" s="1279"/>
      <c r="F346" s="1280"/>
    </row>
    <row r="347" spans="1:6" s="631" customFormat="1" ht="55.2">
      <c r="A347" s="1284">
        <f t="shared" ref="A347:A409" ca="1" si="73">IFERROR(IF(OFFSET(A347,-1,0)&gt;0,OFFSET(A347,-1,0)+0.001,ERROR.TYPE(0)),IFERROR(IF(OFFSET(A347,-2,0)&gt;0,OFFSET(A347,-2,0)+0.001,ERROR.TYPE(0)),IFERROR(IF(OFFSET(A347,-3,0)&gt;0,OFFSET(A347,-3,0)+0.001,ERROR.TYPE(0)),IFERROR(IF(OFFSET(A347,-4,0)&gt;0,OFFSET(A347,-4,0)+0.001,ERROR.TYPE(0)),IFERROR(IF(OFFSET(A347,-5,0)&gt;0,OFFSET(A347,-5,0)+0.001,ERROR.TYPE(0)),IFERROR(IF(OFFSET(A347,-6,0)&gt;0,OFFSET(A347,-6,0)+0.001,ERROR.TYPE(0)),IFERROR(IF(OFFSET(A347,-7,0)&gt;0,OFFSET(A347,-7,0)+0.001,ERROR.TYPE(0)),IFERROR(IF(OFFSET(A347,-8,0)&gt;0,OFFSET(A347,-8,0)+0.001,ERROR.TYPE(0)),IFERROR(IF(OFFSET(A347,-9,0)&gt;0,OFFSET(A347,-9,0)+0.001,ERROR.TYPE(0)),IFERROR(IF(OFFSET(A347,-10,0)&gt;0,OFFSET(A347,-10,0)+0.001,ERROR.TYPE(0)),ERROR.TYPE(0)))))))))))</f>
        <v>3.008999999999999</v>
      </c>
      <c r="B347" s="1352" t="s">
        <v>4045</v>
      </c>
      <c r="C347" s="1290">
        <v>1</v>
      </c>
      <c r="D347" s="1290" t="s">
        <v>141</v>
      </c>
      <c r="E347" s="1279"/>
      <c r="F347" s="1280">
        <f t="shared" ref="F347" si="74">IFERROR($C347*E347,E347)</f>
        <v>0</v>
      </c>
    </row>
    <row r="348" spans="1:6" s="631" customFormat="1" ht="27.6">
      <c r="A348" s="1284">
        <f ca="1">IFERROR(IF(OFFSET(A348,-1,0)&gt;0,OFFSET(A348,-1,0)+0.001,ERROR.TYPE(0)),IFERROR(IF(OFFSET(A348,-2,0)&gt;0,OFFSET(A348,-2,0)+0.001,ERROR.TYPE(0)),IFERROR(IF(OFFSET(A348,-3,0)&gt;0,OFFSET(A348,-3,0)+0.001,ERROR.TYPE(0)),IFERROR(IF(OFFSET(A348,-4,0)&gt;0,OFFSET(A348,-4,0)+0.001,ERROR.TYPE(0)),IFERROR(IF(OFFSET(A348,-5,0)&gt;0,OFFSET(A348,-5,0)+0.001,ERROR.TYPE(0)),IFERROR(IF(OFFSET(A348,-6,0)&gt;0,OFFSET(A348,-6,0)+0.001,ERROR.TYPE(0)),IFERROR(IF(OFFSET(A348,-7,0)&gt;0,OFFSET(A348,-7,0)+0.001,ERROR.TYPE(0)),IFERROR(IF(OFFSET(A348,-8,0)&gt;0,OFFSET(A348,-8,0)+0.001,ERROR.TYPE(0)),IFERROR(IF(OFFSET(A348,-9,0)&gt;0,OFFSET(A348,-9,0)+0.001,ERROR.TYPE(0)),IFERROR(IF(OFFSET(A348,-10,0)&gt;0,OFFSET(A348,-10,0)+0.001,ERROR.TYPE(0)),ERROR.TYPE(0)))))))))))</f>
        <v>3.0099999999999989</v>
      </c>
      <c r="B348" s="1352" t="s">
        <v>2118</v>
      </c>
      <c r="C348" s="1290">
        <v>1</v>
      </c>
      <c r="D348" s="1290" t="s">
        <v>299</v>
      </c>
      <c r="E348" s="1279"/>
      <c r="F348" s="1280">
        <f>IFERROR($C348*E348,E348)</f>
        <v>0</v>
      </c>
    </row>
    <row r="349" spans="1:6" s="631" customFormat="1" ht="27.6">
      <c r="A349" s="1284">
        <f ca="1">IFERROR(IF(OFFSET(A349,-1,0)&gt;0,OFFSET(A349,-1,0)+0.001,ERROR.TYPE(0)),IFERROR(IF(OFFSET(A349,-2,0)&gt;0,OFFSET(A349,-2,0)+0.001,ERROR.TYPE(0)),IFERROR(IF(OFFSET(A349,-3,0)&gt;0,OFFSET(A349,-3,0)+0.001,ERROR.TYPE(0)),IFERROR(IF(OFFSET(A349,-4,0)&gt;0,OFFSET(A349,-4,0)+0.001,ERROR.TYPE(0)),IFERROR(IF(OFFSET(A349,-5,0)&gt;0,OFFSET(A349,-5,0)+0.001,ERROR.TYPE(0)),IFERROR(IF(OFFSET(A349,-6,0)&gt;0,OFFSET(A349,-6,0)+0.001,ERROR.TYPE(0)),IFERROR(IF(OFFSET(A349,-7,0)&gt;0,OFFSET(A349,-7,0)+0.001,ERROR.TYPE(0)),IFERROR(IF(OFFSET(A349,-8,0)&gt;0,OFFSET(A349,-8,0)+0.001,ERROR.TYPE(0)),IFERROR(IF(OFFSET(A349,-9,0)&gt;0,OFFSET(A349,-9,0)+0.001,ERROR.TYPE(0)),IFERROR(IF(OFFSET(A349,-10,0)&gt;0,OFFSET(A349,-10,0)+0.001,ERROR.TYPE(0)),ERROR.TYPE(0)))))))))))</f>
        <v>3.0109999999999988</v>
      </c>
      <c r="B349" s="1352" t="s">
        <v>2119</v>
      </c>
      <c r="C349" s="1290">
        <v>1</v>
      </c>
      <c r="D349" s="1290" t="s">
        <v>299</v>
      </c>
      <c r="E349" s="1279"/>
      <c r="F349" s="1280">
        <f>IFERROR($C349*E349,E349)</f>
        <v>0</v>
      </c>
    </row>
    <row r="350" spans="1:6" s="631" customFormat="1">
      <c r="A350" s="1284">
        <f ca="1">IFERROR(IF(OFFSET(A350,-1,0)&gt;0,OFFSET(A350,-1,0)+0.001,ERROR.TYPE(0)),IFERROR(IF(OFFSET(A350,-2,0)&gt;0,OFFSET(A350,-2,0)+0.001,ERROR.TYPE(0)),IFERROR(IF(OFFSET(A350,-3,0)&gt;0,OFFSET(A350,-3,0)+0.001,ERROR.TYPE(0)),IFERROR(IF(OFFSET(A350,-4,0)&gt;0,OFFSET(A350,-4,0)+0.001,ERROR.TYPE(0)),IFERROR(IF(OFFSET(A350,-5,0)&gt;0,OFFSET(A350,-5,0)+0.001,ERROR.TYPE(0)),IFERROR(IF(OFFSET(A350,-6,0)&gt;0,OFFSET(A350,-6,0)+0.001,ERROR.TYPE(0)),IFERROR(IF(OFFSET(A350,-7,0)&gt;0,OFFSET(A350,-7,0)+0.001,ERROR.TYPE(0)),IFERROR(IF(OFFSET(A350,-8,0)&gt;0,OFFSET(A350,-8,0)+0.001,ERROR.TYPE(0)),IFERROR(IF(OFFSET(A350,-9,0)&gt;0,OFFSET(A350,-9,0)+0.001,ERROR.TYPE(0)),IFERROR(IF(OFFSET(A350,-10,0)&gt;0,OFFSET(A350,-10,0)+0.001,ERROR.TYPE(0)),ERROR.TYPE(0)))))))))))</f>
        <v>3.0119999999999987</v>
      </c>
      <c r="B350" s="1353" t="s">
        <v>2120</v>
      </c>
      <c r="C350" s="1290">
        <v>3</v>
      </c>
      <c r="D350" s="1290" t="s">
        <v>141</v>
      </c>
      <c r="E350" s="1279"/>
      <c r="F350" s="1280">
        <f>IFERROR($C350*E350,E350)</f>
        <v>0</v>
      </c>
    </row>
    <row r="351" spans="1:6" s="631" customFormat="1">
      <c r="A351" s="1284">
        <f ca="1">IFERROR(IF(OFFSET(A351,-1,0)&gt;0,OFFSET(A351,-1,0)+0.001,ERROR.TYPE(0)),IFERROR(IF(OFFSET(A351,-2,0)&gt;0,OFFSET(A351,-2,0)+0.001,ERROR.TYPE(0)),IFERROR(IF(OFFSET(A351,-3,0)&gt;0,OFFSET(A351,-3,0)+0.001,ERROR.TYPE(0)),IFERROR(IF(OFFSET(A351,-4,0)&gt;0,OFFSET(A351,-4,0)+0.001,ERROR.TYPE(0)),IFERROR(IF(OFFSET(A351,-5,0)&gt;0,OFFSET(A351,-5,0)+0.001,ERROR.TYPE(0)),IFERROR(IF(OFFSET(A351,-6,0)&gt;0,OFFSET(A351,-6,0)+0.001,ERROR.TYPE(0)),IFERROR(IF(OFFSET(A351,-7,0)&gt;0,OFFSET(A351,-7,0)+0.001,ERROR.TYPE(0)),IFERROR(IF(OFFSET(A351,-8,0)&gt;0,OFFSET(A351,-8,0)+0.001,ERROR.TYPE(0)),IFERROR(IF(OFFSET(A351,-9,0)&gt;0,OFFSET(A351,-9,0)+0.001,ERROR.TYPE(0)),IFERROR(IF(OFFSET(A351,-10,0)&gt;0,OFFSET(A351,-10,0)+0.001,ERROR.TYPE(0)),ERROR.TYPE(0)))))))))))</f>
        <v>3.0129999999999986</v>
      </c>
      <c r="B351" s="1353" t="s">
        <v>2121</v>
      </c>
      <c r="C351" s="1290">
        <v>3</v>
      </c>
      <c r="D351" s="1290" t="s">
        <v>141</v>
      </c>
      <c r="E351" s="1279"/>
      <c r="F351" s="1280">
        <f>IFERROR($C351*E351,E351)</f>
        <v>0</v>
      </c>
    </row>
    <row r="352" spans="1:6" s="631" customFormat="1">
      <c r="A352" s="1284">
        <f ca="1">IFERROR(IF(OFFSET(A352,-1,0)&gt;0,OFFSET(A352,-1,0)+0.001,ERROR.TYPE(0)),IFERROR(IF(OFFSET(A352,-2,0)&gt;0,OFFSET(A352,-2,0)+0.001,ERROR.TYPE(0)),IFERROR(IF(OFFSET(A352,-3,0)&gt;0,OFFSET(A352,-3,0)+0.001,ERROR.TYPE(0)),IFERROR(IF(OFFSET(A352,-4,0)&gt;0,OFFSET(A352,-4,0)+0.001,ERROR.TYPE(0)),IFERROR(IF(OFFSET(A352,-5,0)&gt;0,OFFSET(A352,-5,0)+0.001,ERROR.TYPE(0)),IFERROR(IF(OFFSET(A352,-6,0)&gt;0,OFFSET(A352,-6,0)+0.001,ERROR.TYPE(0)),IFERROR(IF(OFFSET(A352,-7,0)&gt;0,OFFSET(A352,-7,0)+0.001,ERROR.TYPE(0)),IFERROR(IF(OFFSET(A352,-8,0)&gt;0,OFFSET(A352,-8,0)+0.001,ERROR.TYPE(0)),IFERROR(IF(OFFSET(A352,-9,0)&gt;0,OFFSET(A352,-9,0)+0.001,ERROR.TYPE(0)),IFERROR(IF(OFFSET(A352,-10,0)&gt;0,OFFSET(A352,-10,0)+0.001,ERROR.TYPE(0)),ERROR.TYPE(0)))))))))))</f>
        <v>3.0139999999999985</v>
      </c>
      <c r="B352" s="1353" t="s">
        <v>2122</v>
      </c>
      <c r="C352" s="1290">
        <v>1</v>
      </c>
      <c r="D352" s="1290" t="s">
        <v>141</v>
      </c>
      <c r="E352" s="1279"/>
      <c r="F352" s="1280">
        <f>IFERROR($C352*E352,E352)</f>
        <v>0</v>
      </c>
    </row>
    <row r="353" spans="1:6" s="631" customFormat="1" ht="46.95" customHeight="1">
      <c r="A353" s="1272"/>
      <c r="B353" s="1354" t="s">
        <v>2113</v>
      </c>
      <c r="C353" s="1290"/>
      <c r="D353" s="1290"/>
      <c r="E353" s="1279"/>
      <c r="F353" s="1280"/>
    </row>
    <row r="354" spans="1:6" s="631" customFormat="1">
      <c r="A354" s="1284">
        <f t="shared" ca="1" si="73"/>
        <v>3.0149999999999983</v>
      </c>
      <c r="B354" s="1353" t="s">
        <v>2123</v>
      </c>
      <c r="C354" s="1290">
        <v>60</v>
      </c>
      <c r="D354" s="1290" t="s">
        <v>320</v>
      </c>
      <c r="E354" s="1279"/>
      <c r="F354" s="1280">
        <f t="shared" ref="F354:F355" si="75">IFERROR($C354*E354,E354)</f>
        <v>0</v>
      </c>
    </row>
    <row r="355" spans="1:6" s="631" customFormat="1">
      <c r="A355" s="1284">
        <f t="shared" ca="1" si="73"/>
        <v>3.0159999999999982</v>
      </c>
      <c r="B355" s="1353" t="s">
        <v>2114</v>
      </c>
      <c r="C355" s="1290">
        <v>600</v>
      </c>
      <c r="D355" s="1290" t="s">
        <v>320</v>
      </c>
      <c r="E355" s="1279"/>
      <c r="F355" s="1280">
        <f t="shared" si="75"/>
        <v>0</v>
      </c>
    </row>
    <row r="356" spans="1:6" s="631" customFormat="1" ht="27.6">
      <c r="A356" s="1272"/>
      <c r="B356" s="1282" t="s">
        <v>2115</v>
      </c>
      <c r="C356" s="1290"/>
      <c r="D356" s="1290"/>
      <c r="E356" s="1279"/>
      <c r="F356" s="1280"/>
    </row>
    <row r="357" spans="1:6" s="631" customFormat="1">
      <c r="A357" s="1284">
        <f t="shared" ca="1" si="73"/>
        <v>3.0169999999999981</v>
      </c>
      <c r="B357" s="1353" t="s">
        <v>2123</v>
      </c>
      <c r="C357" s="1290">
        <v>60</v>
      </c>
      <c r="D357" s="1290" t="s">
        <v>320</v>
      </c>
      <c r="E357" s="1279"/>
      <c r="F357" s="1280">
        <f t="shared" ref="F357:F358" si="76">IFERROR($C357*E357,E357)</f>
        <v>0</v>
      </c>
    </row>
    <row r="358" spans="1:6" s="631" customFormat="1">
      <c r="A358" s="1284">
        <f t="shared" ca="1" si="73"/>
        <v>3.017999999999998</v>
      </c>
      <c r="B358" s="1353" t="s">
        <v>2114</v>
      </c>
      <c r="C358" s="1290">
        <v>600</v>
      </c>
      <c r="D358" s="1290" t="s">
        <v>320</v>
      </c>
      <c r="E358" s="1279"/>
      <c r="F358" s="1280">
        <f t="shared" si="76"/>
        <v>0</v>
      </c>
    </row>
    <row r="359" spans="1:6" s="631" customFormat="1">
      <c r="A359" s="1272"/>
      <c r="B359" s="1354" t="s">
        <v>2124</v>
      </c>
      <c r="C359" s="1290"/>
      <c r="D359" s="1290"/>
      <c r="E359" s="1279"/>
      <c r="F359" s="1280"/>
    </row>
    <row r="360" spans="1:6" s="631" customFormat="1">
      <c r="A360" s="1284"/>
      <c r="B360" s="1351" t="s">
        <v>343</v>
      </c>
      <c r="C360" s="1290"/>
      <c r="D360" s="1290"/>
      <c r="E360" s="1279"/>
      <c r="F360" s="1280"/>
    </row>
    <row r="361" spans="1:6" s="631" customFormat="1">
      <c r="A361" s="1284">
        <f t="shared" ca="1" si="73"/>
        <v>3.0189999999999979</v>
      </c>
      <c r="B361" s="1353" t="s">
        <v>2125</v>
      </c>
      <c r="C361" s="1290">
        <v>3</v>
      </c>
      <c r="D361" s="1290" t="s">
        <v>141</v>
      </c>
      <c r="E361" s="1279"/>
      <c r="F361" s="1280">
        <f t="shared" ref="F361:F366" si="77">IFERROR($C361*E361,E361)</f>
        <v>0</v>
      </c>
    </row>
    <row r="362" spans="1:6" s="631" customFormat="1">
      <c r="A362" s="1284">
        <f t="shared" ca="1" si="73"/>
        <v>3.0199999999999978</v>
      </c>
      <c r="B362" s="1353" t="s">
        <v>2126</v>
      </c>
      <c r="C362" s="1290">
        <v>7</v>
      </c>
      <c r="D362" s="1290" t="s">
        <v>141</v>
      </c>
      <c r="E362" s="1279"/>
      <c r="F362" s="1280">
        <f t="shared" si="77"/>
        <v>0</v>
      </c>
    </row>
    <row r="363" spans="1:6" s="631" customFormat="1">
      <c r="A363" s="1284">
        <f t="shared" ca="1" si="73"/>
        <v>3.0209999999999977</v>
      </c>
      <c r="B363" s="1353" t="s">
        <v>2127</v>
      </c>
      <c r="C363" s="1290">
        <v>7</v>
      </c>
      <c r="D363" s="1290" t="s">
        <v>141</v>
      </c>
      <c r="E363" s="1279"/>
      <c r="F363" s="1280">
        <f t="shared" si="77"/>
        <v>0</v>
      </c>
    </row>
    <row r="364" spans="1:6" s="631" customFormat="1">
      <c r="A364" s="1284">
        <f t="shared" ca="1" si="73"/>
        <v>3.0219999999999976</v>
      </c>
      <c r="B364" s="1353" t="s">
        <v>2128</v>
      </c>
      <c r="C364" s="1290">
        <v>7</v>
      </c>
      <c r="D364" s="1290" t="s">
        <v>141</v>
      </c>
      <c r="E364" s="1279"/>
      <c r="F364" s="1280">
        <f t="shared" si="77"/>
        <v>0</v>
      </c>
    </row>
    <row r="365" spans="1:6" s="631" customFormat="1">
      <c r="A365" s="1284">
        <f t="shared" ca="1" si="73"/>
        <v>3.0229999999999975</v>
      </c>
      <c r="B365" s="1353" t="s">
        <v>2129</v>
      </c>
      <c r="C365" s="1290">
        <v>7</v>
      </c>
      <c r="D365" s="1290" t="s">
        <v>141</v>
      </c>
      <c r="E365" s="1279"/>
      <c r="F365" s="1280">
        <f t="shared" si="77"/>
        <v>0</v>
      </c>
    </row>
    <row r="366" spans="1:6" s="631" customFormat="1">
      <c r="A366" s="1284">
        <f t="shared" ca="1" si="73"/>
        <v>3.0239999999999974</v>
      </c>
      <c r="B366" s="1353" t="s">
        <v>2130</v>
      </c>
      <c r="C366" s="1290">
        <v>14</v>
      </c>
      <c r="D366" s="1290" t="s">
        <v>141</v>
      </c>
      <c r="E366" s="1279"/>
      <c r="F366" s="1280">
        <f t="shared" si="77"/>
        <v>0</v>
      </c>
    </row>
    <row r="367" spans="1:6" s="631" customFormat="1">
      <c r="A367" s="1284">
        <f ca="1">IFERROR(IF(OFFSET(A367,-1,0)&gt;0,OFFSET(A367,-1,0)+0.001,ERROR.TYPE(0)),IFERROR(IF(OFFSET(A367,-2,0)&gt;0,OFFSET(A367,-2,0)+0.001,ERROR.TYPE(0)),IFERROR(IF(OFFSET(A367,-3,0)&gt;0,OFFSET(A367,-3,0)+0.001,ERROR.TYPE(0)),IFERROR(IF(OFFSET(A367,-4,0)&gt;0,OFFSET(A367,-4,0)+0.001,ERROR.TYPE(0)),IFERROR(IF(OFFSET(A367,-5,0)&gt;0,OFFSET(A367,-5,0)+0.001,ERROR.TYPE(0)),IFERROR(IF(OFFSET(A367,-6,0)&gt;0,OFFSET(A367,-6,0)+0.001,ERROR.TYPE(0)),IFERROR(IF(OFFSET(A367,-7,0)&gt;0,OFFSET(A367,-7,0)+0.001,ERROR.TYPE(0)),IFERROR(IF(OFFSET(A367,-8,0)&gt;0,OFFSET(A367,-8,0)+0.001,ERROR.TYPE(0)),IFERROR(IF(OFFSET(A367,-9,0)&gt;0,OFFSET(A367,-9,0)+0.001,ERROR.TYPE(0)),IFERROR(IF(OFFSET(A367,-10,0)&gt;0,OFFSET(A367,-10,0)+0.001,ERROR.TYPE(0)),ERROR.TYPE(0)))))))))))</f>
        <v>3.0249999999999972</v>
      </c>
      <c r="B367" s="1353" t="s">
        <v>2131</v>
      </c>
      <c r="C367" s="1290">
        <v>1</v>
      </c>
      <c r="D367" s="1290" t="s">
        <v>141</v>
      </c>
      <c r="E367" s="1279"/>
      <c r="F367" s="1280">
        <f>IFERROR($C367*E367,E367)</f>
        <v>0</v>
      </c>
    </row>
    <row r="368" spans="1:6" s="631" customFormat="1">
      <c r="A368" s="1284">
        <f ca="1">IFERROR(IF(OFFSET(A368,-1,0)&gt;0,OFFSET(A368,-1,0)+0.001,ERROR.TYPE(0)),IFERROR(IF(OFFSET(A368,-2,0)&gt;0,OFFSET(A368,-2,0)+0.001,ERROR.TYPE(0)),IFERROR(IF(OFFSET(A368,-3,0)&gt;0,OFFSET(A368,-3,0)+0.001,ERROR.TYPE(0)),IFERROR(IF(OFFSET(A368,-4,0)&gt;0,OFFSET(A368,-4,0)+0.001,ERROR.TYPE(0)),IFERROR(IF(OFFSET(A368,-5,0)&gt;0,OFFSET(A368,-5,0)+0.001,ERROR.TYPE(0)),IFERROR(IF(OFFSET(A368,-6,0)&gt;0,OFFSET(A368,-6,0)+0.001,ERROR.TYPE(0)),IFERROR(IF(OFFSET(A368,-7,0)&gt;0,OFFSET(A368,-7,0)+0.001,ERROR.TYPE(0)),IFERROR(IF(OFFSET(A368,-8,0)&gt;0,OFFSET(A368,-8,0)+0.001,ERROR.TYPE(0)),IFERROR(IF(OFFSET(A368,-9,0)&gt;0,OFFSET(A368,-9,0)+0.001,ERROR.TYPE(0)),IFERROR(IF(OFFSET(A368,-10,0)&gt;0,OFFSET(A368,-10,0)+0.001,ERROR.TYPE(0)),ERROR.TYPE(0)))))))))))</f>
        <v>3.0259999999999971</v>
      </c>
      <c r="B368" s="1353" t="s">
        <v>2132</v>
      </c>
      <c r="C368" s="1290">
        <v>1</v>
      </c>
      <c r="D368" s="1290" t="s">
        <v>141</v>
      </c>
      <c r="E368" s="1279"/>
      <c r="F368" s="1280">
        <f>IFERROR($C368*E368,E368)</f>
        <v>0</v>
      </c>
    </row>
    <row r="369" spans="1:6" s="631" customFormat="1" ht="15" customHeight="1">
      <c r="A369" s="1355"/>
      <c r="B369" s="1273" t="s">
        <v>551</v>
      </c>
      <c r="C369" s="1458" t="s">
        <v>305</v>
      </c>
      <c r="D369" s="1459"/>
      <c r="E369" s="1312"/>
      <c r="F369" s="1276">
        <f>SUM(F331:F368)</f>
        <v>0</v>
      </c>
    </row>
    <row r="370" spans="1:6" s="631" customFormat="1">
      <c r="A370" s="1356"/>
      <c r="B370" s="1357"/>
      <c r="C370" s="1315"/>
      <c r="D370" s="1315"/>
      <c r="E370" s="1358"/>
      <c r="F370" s="1359"/>
    </row>
    <row r="371" spans="1:6" s="631" customFormat="1">
      <c r="A371" s="1360"/>
      <c r="B371" s="1357"/>
      <c r="C371" s="1315"/>
      <c r="D371" s="1315"/>
      <c r="E371" s="1358"/>
      <c r="F371" s="1359"/>
    </row>
    <row r="372" spans="1:6" s="631" customFormat="1" ht="27.6">
      <c r="A372" s="1267" t="s">
        <v>143</v>
      </c>
      <c r="B372" s="1268" t="s">
        <v>198</v>
      </c>
      <c r="C372" s="1269" t="s">
        <v>199</v>
      </c>
      <c r="D372" s="1269" t="s">
        <v>200</v>
      </c>
      <c r="E372" s="1270" t="s">
        <v>294</v>
      </c>
      <c r="F372" s="1271" t="s">
        <v>295</v>
      </c>
    </row>
    <row r="373" spans="1:6" s="631" customFormat="1">
      <c r="A373" s="1284"/>
      <c r="B373" s="1351" t="s">
        <v>347</v>
      </c>
      <c r="C373" s="1290"/>
      <c r="D373" s="1290"/>
      <c r="E373" s="1279"/>
      <c r="F373" s="1280"/>
    </row>
    <row r="374" spans="1:6" s="631" customFormat="1">
      <c r="A374" s="1284">
        <f t="shared" ref="A374:A384" ca="1" si="78">IFERROR(IF(OFFSET(A374,-1,0)&gt;0,OFFSET(A374,-1,0)+0.001,ERROR.TYPE(0)),IFERROR(IF(OFFSET(A374,-2,0)&gt;0,OFFSET(A374,-2,0)+0.001,ERROR.TYPE(0)),IFERROR(IF(OFFSET(A374,-3,0)&gt;0,OFFSET(A374,-3,0)+0.001,ERROR.TYPE(0)),IFERROR(IF(OFFSET(A374,-4,0)&gt;0,OFFSET(A374,-4,0)+0.001,ERROR.TYPE(0)),IFERROR(IF(OFFSET(A374,-5,0)&gt;0,OFFSET(A374,-5,0)+0.001,ERROR.TYPE(0)),IFERROR(IF(OFFSET(A374,-6,0)&gt;0,OFFSET(A374,-6,0)+0.001,ERROR.TYPE(0)),IFERROR(IF(OFFSET(A374,-7,0)&gt;0,OFFSET(A374,-7,0)+0.001,ERROR.TYPE(0)),IFERROR(IF(OFFSET(A374,-8,0)&gt;0,OFFSET(A374,-8,0)+0.001,ERROR.TYPE(0)),IFERROR(IF(OFFSET(A374,-9,0)&gt;0,OFFSET(A374,-9,0)+0.001,ERROR.TYPE(0)),IFERROR(IF(OFFSET(A374,-10,0)&gt;0,OFFSET(A374,-10,0)+0.001,ERROR.TYPE(0)),ERROR.TYPE(0)))))))))))</f>
        <v>3.026999999999997</v>
      </c>
      <c r="B374" s="1353" t="s">
        <v>2125</v>
      </c>
      <c r="C374" s="1290">
        <v>5</v>
      </c>
      <c r="D374" s="1290" t="s">
        <v>141</v>
      </c>
      <c r="E374" s="1279"/>
      <c r="F374" s="1280">
        <f t="shared" ref="F374:F384" si="79">IFERROR($C374*E374,E374)</f>
        <v>0</v>
      </c>
    </row>
    <row r="375" spans="1:6" s="631" customFormat="1">
      <c r="A375" s="1284">
        <f t="shared" ca="1" si="78"/>
        <v>3.0279999999999969</v>
      </c>
      <c r="B375" s="1353" t="s">
        <v>2133</v>
      </c>
      <c r="C375" s="1290">
        <v>2</v>
      </c>
      <c r="D375" s="1290" t="s">
        <v>141</v>
      </c>
      <c r="E375" s="1279"/>
      <c r="F375" s="1280">
        <f t="shared" si="79"/>
        <v>0</v>
      </c>
    </row>
    <row r="376" spans="1:6" s="631" customFormat="1">
      <c r="A376" s="1284">
        <f t="shared" ca="1" si="78"/>
        <v>3.0289999999999968</v>
      </c>
      <c r="B376" s="1353" t="s">
        <v>2134</v>
      </c>
      <c r="C376" s="1290">
        <v>5</v>
      </c>
      <c r="D376" s="1290" t="s">
        <v>141</v>
      </c>
      <c r="E376" s="1279"/>
      <c r="F376" s="1280">
        <f t="shared" si="79"/>
        <v>0</v>
      </c>
    </row>
    <row r="377" spans="1:6" s="631" customFormat="1">
      <c r="A377" s="1284">
        <f t="shared" ca="1" si="78"/>
        <v>3.0299999999999967</v>
      </c>
      <c r="B377" s="1353" t="s">
        <v>2126</v>
      </c>
      <c r="C377" s="1290">
        <v>3</v>
      </c>
      <c r="D377" s="1290" t="s">
        <v>141</v>
      </c>
      <c r="E377" s="1279"/>
      <c r="F377" s="1280">
        <f t="shared" si="79"/>
        <v>0</v>
      </c>
    </row>
    <row r="378" spans="1:6" s="631" customFormat="1">
      <c r="A378" s="1284">
        <f t="shared" ca="1" si="78"/>
        <v>3.0309999999999966</v>
      </c>
      <c r="B378" s="1353" t="s">
        <v>2127</v>
      </c>
      <c r="C378" s="1290">
        <v>10</v>
      </c>
      <c r="D378" s="1290" t="s">
        <v>141</v>
      </c>
      <c r="E378" s="1279"/>
      <c r="F378" s="1280">
        <f t="shared" si="79"/>
        <v>0</v>
      </c>
    </row>
    <row r="379" spans="1:6" s="631" customFormat="1">
      <c r="A379" s="1284">
        <f t="shared" ca="1" si="78"/>
        <v>3.0319999999999965</v>
      </c>
      <c r="B379" s="1353" t="s">
        <v>2128</v>
      </c>
      <c r="C379" s="1290">
        <v>10</v>
      </c>
      <c r="D379" s="1290" t="s">
        <v>141</v>
      </c>
      <c r="E379" s="1279"/>
      <c r="F379" s="1280">
        <f t="shared" si="79"/>
        <v>0</v>
      </c>
    </row>
    <row r="380" spans="1:6" s="631" customFormat="1">
      <c r="A380" s="1284">
        <f t="shared" ca="1" si="78"/>
        <v>3.0329999999999964</v>
      </c>
      <c r="B380" s="1353" t="s">
        <v>2129</v>
      </c>
      <c r="C380" s="1290">
        <v>10</v>
      </c>
      <c r="D380" s="1290" t="s">
        <v>141</v>
      </c>
      <c r="E380" s="1279"/>
      <c r="F380" s="1280">
        <f t="shared" si="79"/>
        <v>0</v>
      </c>
    </row>
    <row r="381" spans="1:6" s="631" customFormat="1">
      <c r="A381" s="1284">
        <f t="shared" ca="1" si="78"/>
        <v>3.0339999999999963</v>
      </c>
      <c r="B381" s="1353" t="s">
        <v>2130</v>
      </c>
      <c r="C381" s="1290">
        <v>20</v>
      </c>
      <c r="D381" s="1290" t="s">
        <v>141</v>
      </c>
      <c r="E381" s="1279"/>
      <c r="F381" s="1280">
        <f t="shared" si="79"/>
        <v>0</v>
      </c>
    </row>
    <row r="382" spans="1:6" s="631" customFormat="1">
      <c r="A382" s="1284">
        <f t="shared" ca="1" si="78"/>
        <v>3.0349999999999961</v>
      </c>
      <c r="B382" s="1353" t="s">
        <v>2135</v>
      </c>
      <c r="C382" s="1290">
        <v>1</v>
      </c>
      <c r="D382" s="1290" t="s">
        <v>141</v>
      </c>
      <c r="E382" s="1279"/>
      <c r="F382" s="1280">
        <f t="shared" si="79"/>
        <v>0</v>
      </c>
    </row>
    <row r="383" spans="1:6" s="631" customFormat="1">
      <c r="A383" s="1284">
        <f t="shared" ca="1" si="78"/>
        <v>3.035999999999996</v>
      </c>
      <c r="B383" s="1353" t="s">
        <v>2131</v>
      </c>
      <c r="C383" s="1290">
        <v>1</v>
      </c>
      <c r="D383" s="1290" t="s">
        <v>141</v>
      </c>
      <c r="E383" s="1279"/>
      <c r="F383" s="1280">
        <f t="shared" si="79"/>
        <v>0</v>
      </c>
    </row>
    <row r="384" spans="1:6" s="631" customFormat="1">
      <c r="A384" s="1284">
        <f t="shared" ca="1" si="78"/>
        <v>3.0369999999999959</v>
      </c>
      <c r="B384" s="1353" t="s">
        <v>2132</v>
      </c>
      <c r="C384" s="1290">
        <v>1</v>
      </c>
      <c r="D384" s="1290" t="s">
        <v>141</v>
      </c>
      <c r="E384" s="1279"/>
      <c r="F384" s="1280">
        <f t="shared" si="79"/>
        <v>0</v>
      </c>
    </row>
    <row r="385" spans="1:6" s="631" customFormat="1">
      <c r="A385" s="1284"/>
      <c r="B385" s="1351" t="s">
        <v>362</v>
      </c>
      <c r="C385" s="1290"/>
      <c r="D385" s="1290"/>
      <c r="E385" s="1279"/>
      <c r="F385" s="1280"/>
    </row>
    <row r="386" spans="1:6" s="631" customFormat="1">
      <c r="A386" s="1284">
        <f t="shared" ca="1" si="73"/>
        <v>3.0379999999999958</v>
      </c>
      <c r="B386" s="1353" t="s">
        <v>2125</v>
      </c>
      <c r="C386" s="1290">
        <v>1</v>
      </c>
      <c r="D386" s="1290" t="s">
        <v>141</v>
      </c>
      <c r="E386" s="1279"/>
      <c r="F386" s="1280">
        <f t="shared" ref="F386:F392" si="80">IFERROR($C386*E386,E386)</f>
        <v>0</v>
      </c>
    </row>
    <row r="387" spans="1:6" s="631" customFormat="1">
      <c r="A387" s="1284">
        <f ca="1">IFERROR(IF(OFFSET(A387,-1,0)&gt;0,OFFSET(A387,-1,0)+0.001,ERROR.TYPE(0)),IFERROR(IF(OFFSET(A387,-2,0)&gt;0,OFFSET(A387,-2,0)+0.001,ERROR.TYPE(0)),IFERROR(IF(OFFSET(A387,-3,0)&gt;0,OFFSET(A387,-3,0)+0.001,ERROR.TYPE(0)),IFERROR(IF(OFFSET(A387,-4,0)&gt;0,OFFSET(A387,-4,0)+0.001,ERROR.TYPE(0)),IFERROR(IF(OFFSET(A387,-5,0)&gt;0,OFFSET(A387,-5,0)+0.001,ERROR.TYPE(0)),IFERROR(IF(OFFSET(A387,-6,0)&gt;0,OFFSET(A387,-6,0)+0.001,ERROR.TYPE(0)),IFERROR(IF(OFFSET(A387,-7,0)&gt;0,OFFSET(A387,-7,0)+0.001,ERROR.TYPE(0)),IFERROR(IF(OFFSET(A387,-8,0)&gt;0,OFFSET(A387,-8,0)+0.001,ERROR.TYPE(0)),IFERROR(IF(OFFSET(A387,-9,0)&gt;0,OFFSET(A387,-9,0)+0.001,ERROR.TYPE(0)),IFERROR(IF(OFFSET(A387,-10,0)&gt;0,OFFSET(A387,-10,0)+0.001,ERROR.TYPE(0)),ERROR.TYPE(0)))))))))))</f>
        <v>3.0389999999999957</v>
      </c>
      <c r="B387" s="1353" t="s">
        <v>2133</v>
      </c>
      <c r="C387" s="1290">
        <v>2</v>
      </c>
      <c r="D387" s="1290" t="s">
        <v>141</v>
      </c>
      <c r="E387" s="1279"/>
      <c r="F387" s="1280">
        <f>IFERROR($C387*E387,E387)</f>
        <v>0</v>
      </c>
    </row>
    <row r="388" spans="1:6" s="631" customFormat="1">
      <c r="A388" s="1284">
        <f t="shared" ca="1" si="73"/>
        <v>3.0399999999999956</v>
      </c>
      <c r="B388" s="1353" t="s">
        <v>2127</v>
      </c>
      <c r="C388" s="1290">
        <v>2</v>
      </c>
      <c r="D388" s="1290" t="s">
        <v>141</v>
      </c>
      <c r="E388" s="1279"/>
      <c r="F388" s="1280">
        <f t="shared" si="80"/>
        <v>0</v>
      </c>
    </row>
    <row r="389" spans="1:6" s="631" customFormat="1">
      <c r="A389" s="1284">
        <f t="shared" ca="1" si="73"/>
        <v>3.0409999999999955</v>
      </c>
      <c r="B389" s="1353" t="s">
        <v>2128</v>
      </c>
      <c r="C389" s="1290">
        <v>2</v>
      </c>
      <c r="D389" s="1290" t="s">
        <v>141</v>
      </c>
      <c r="E389" s="1279"/>
      <c r="F389" s="1280">
        <f t="shared" si="80"/>
        <v>0</v>
      </c>
    </row>
    <row r="390" spans="1:6" s="631" customFormat="1">
      <c r="A390" s="1284">
        <f t="shared" ca="1" si="73"/>
        <v>3.0419999999999954</v>
      </c>
      <c r="B390" s="1353" t="s">
        <v>2129</v>
      </c>
      <c r="C390" s="1290">
        <v>2</v>
      </c>
      <c r="D390" s="1290" t="s">
        <v>141</v>
      </c>
      <c r="E390" s="1279"/>
      <c r="F390" s="1280">
        <f t="shared" si="80"/>
        <v>0</v>
      </c>
    </row>
    <row r="391" spans="1:6" s="631" customFormat="1">
      <c r="A391" s="1284">
        <f t="shared" ca="1" si="73"/>
        <v>3.0429999999999953</v>
      </c>
      <c r="B391" s="1353" t="s">
        <v>2130</v>
      </c>
      <c r="C391" s="1290">
        <v>4</v>
      </c>
      <c r="D391" s="1290" t="s">
        <v>141</v>
      </c>
      <c r="E391" s="1279"/>
      <c r="F391" s="1280">
        <f t="shared" si="80"/>
        <v>0</v>
      </c>
    </row>
    <row r="392" spans="1:6" s="631" customFormat="1">
      <c r="A392" s="1284">
        <f t="shared" ca="1" si="73"/>
        <v>3.0439999999999952</v>
      </c>
      <c r="B392" s="1353" t="s">
        <v>2136</v>
      </c>
      <c r="C392" s="1290">
        <v>1</v>
      </c>
      <c r="D392" s="1290" t="s">
        <v>141</v>
      </c>
      <c r="E392" s="1279"/>
      <c r="F392" s="1280">
        <f t="shared" si="80"/>
        <v>0</v>
      </c>
    </row>
    <row r="393" spans="1:6" s="631" customFormat="1">
      <c r="A393" s="1284"/>
      <c r="B393" s="1351" t="s">
        <v>368</v>
      </c>
      <c r="C393" s="1290"/>
      <c r="D393" s="1290"/>
      <c r="E393" s="1279"/>
      <c r="F393" s="1280"/>
    </row>
    <row r="394" spans="1:6" s="631" customFormat="1">
      <c r="A394" s="1284">
        <f t="shared" ca="1" si="73"/>
        <v>3.044999999999995</v>
      </c>
      <c r="B394" s="1353" t="s">
        <v>2125</v>
      </c>
      <c r="C394" s="1290">
        <v>2</v>
      </c>
      <c r="D394" s="1290" t="s">
        <v>141</v>
      </c>
      <c r="E394" s="1279"/>
      <c r="F394" s="1280">
        <f t="shared" ref="F394:F400" si="81">IFERROR($C394*E394,E394)</f>
        <v>0</v>
      </c>
    </row>
    <row r="395" spans="1:6" s="631" customFormat="1">
      <c r="A395" s="1284">
        <f ca="1">IFERROR(IF(OFFSET(A395,-1,0)&gt;0,OFFSET(A395,-1,0)+0.001,ERROR.TYPE(0)),IFERROR(IF(OFFSET(A395,-2,0)&gt;0,OFFSET(A395,-2,0)+0.001,ERROR.TYPE(0)),IFERROR(IF(OFFSET(A395,-3,0)&gt;0,OFFSET(A395,-3,0)+0.001,ERROR.TYPE(0)),IFERROR(IF(OFFSET(A395,-4,0)&gt;0,OFFSET(A395,-4,0)+0.001,ERROR.TYPE(0)),IFERROR(IF(OFFSET(A395,-5,0)&gt;0,OFFSET(A395,-5,0)+0.001,ERROR.TYPE(0)),IFERROR(IF(OFFSET(A395,-6,0)&gt;0,OFFSET(A395,-6,0)+0.001,ERROR.TYPE(0)),IFERROR(IF(OFFSET(A395,-7,0)&gt;0,OFFSET(A395,-7,0)+0.001,ERROR.TYPE(0)),IFERROR(IF(OFFSET(A395,-8,0)&gt;0,OFFSET(A395,-8,0)+0.001,ERROR.TYPE(0)),IFERROR(IF(OFFSET(A395,-9,0)&gt;0,OFFSET(A395,-9,0)+0.001,ERROR.TYPE(0)),IFERROR(IF(OFFSET(A395,-10,0)&gt;0,OFFSET(A395,-10,0)+0.001,ERROR.TYPE(0)),ERROR.TYPE(0)))))))))))</f>
        <v>3.0459999999999949</v>
      </c>
      <c r="B395" s="1353" t="s">
        <v>2133</v>
      </c>
      <c r="C395" s="1290">
        <v>3</v>
      </c>
      <c r="D395" s="1290" t="s">
        <v>141</v>
      </c>
      <c r="E395" s="1279"/>
      <c r="F395" s="1280">
        <f>IFERROR($C395*E395,E395)</f>
        <v>0</v>
      </c>
    </row>
    <row r="396" spans="1:6" s="631" customFormat="1">
      <c r="A396" s="1284">
        <f t="shared" ca="1" si="73"/>
        <v>3.0469999999999948</v>
      </c>
      <c r="B396" s="1353" t="s">
        <v>2127</v>
      </c>
      <c r="C396" s="1290">
        <v>3</v>
      </c>
      <c r="D396" s="1290" t="s">
        <v>141</v>
      </c>
      <c r="E396" s="1279"/>
      <c r="F396" s="1280">
        <f t="shared" si="81"/>
        <v>0</v>
      </c>
    </row>
    <row r="397" spans="1:6" s="631" customFormat="1">
      <c r="A397" s="1284">
        <f t="shared" ca="1" si="73"/>
        <v>3.0479999999999947</v>
      </c>
      <c r="B397" s="1353" t="s">
        <v>2128</v>
      </c>
      <c r="C397" s="1290">
        <v>3</v>
      </c>
      <c r="D397" s="1290" t="s">
        <v>141</v>
      </c>
      <c r="E397" s="1279"/>
      <c r="F397" s="1280">
        <f t="shared" si="81"/>
        <v>0</v>
      </c>
    </row>
    <row r="398" spans="1:6" s="631" customFormat="1">
      <c r="A398" s="1284">
        <f t="shared" ca="1" si="73"/>
        <v>3.0489999999999946</v>
      </c>
      <c r="B398" s="1353" t="s">
        <v>2129</v>
      </c>
      <c r="C398" s="1290">
        <v>3</v>
      </c>
      <c r="D398" s="1290" t="s">
        <v>141</v>
      </c>
      <c r="E398" s="1279"/>
      <c r="F398" s="1280">
        <f t="shared" si="81"/>
        <v>0</v>
      </c>
    </row>
    <row r="399" spans="1:6" s="631" customFormat="1">
      <c r="A399" s="1284">
        <f t="shared" ca="1" si="73"/>
        <v>3.0499999999999945</v>
      </c>
      <c r="B399" s="1353" t="s">
        <v>2130</v>
      </c>
      <c r="C399" s="1290">
        <v>6</v>
      </c>
      <c r="D399" s="1290" t="s">
        <v>141</v>
      </c>
      <c r="E399" s="1279"/>
      <c r="F399" s="1280">
        <f t="shared" si="81"/>
        <v>0</v>
      </c>
    </row>
    <row r="400" spans="1:6" s="631" customFormat="1">
      <c r="A400" s="1284">
        <f t="shared" ca="1" si="73"/>
        <v>3.0509999999999944</v>
      </c>
      <c r="B400" s="1353" t="s">
        <v>2136</v>
      </c>
      <c r="C400" s="1290">
        <v>2</v>
      </c>
      <c r="D400" s="1290" t="s">
        <v>141</v>
      </c>
      <c r="E400" s="1279"/>
      <c r="F400" s="1280">
        <f t="shared" si="81"/>
        <v>0</v>
      </c>
    </row>
    <row r="401" spans="1:6" s="631" customFormat="1">
      <c r="A401" s="1284">
        <f ca="1">IFERROR(IF(OFFSET(A401,-1,0)&gt;0,OFFSET(A401,-1,0)+0.001,ERROR.TYPE(0)),IFERROR(IF(OFFSET(A401,-2,0)&gt;0,OFFSET(A401,-2,0)+0.001,ERROR.TYPE(0)),IFERROR(IF(OFFSET(A401,-3,0)&gt;0,OFFSET(A401,-3,0)+0.001,ERROR.TYPE(0)),IFERROR(IF(OFFSET(A401,-4,0)&gt;0,OFFSET(A401,-4,0)+0.001,ERROR.TYPE(0)),IFERROR(IF(OFFSET(A401,-5,0)&gt;0,OFFSET(A401,-5,0)+0.001,ERROR.TYPE(0)),IFERROR(IF(OFFSET(A401,-6,0)&gt;0,OFFSET(A401,-6,0)+0.001,ERROR.TYPE(0)),IFERROR(IF(OFFSET(A401,-7,0)&gt;0,OFFSET(A401,-7,0)+0.001,ERROR.TYPE(0)),IFERROR(IF(OFFSET(A401,-8,0)&gt;0,OFFSET(A401,-8,0)+0.001,ERROR.TYPE(0)),IFERROR(IF(OFFSET(A401,-9,0)&gt;0,OFFSET(A401,-9,0)+0.001,ERROR.TYPE(0)),IFERROR(IF(OFFSET(A401,-10,0)&gt;0,OFFSET(A401,-10,0)+0.001,ERROR.TYPE(0)),ERROR.TYPE(0)))))))))))</f>
        <v>3.0519999999999943</v>
      </c>
      <c r="B401" s="1353" t="s">
        <v>2137</v>
      </c>
      <c r="C401" s="1290">
        <v>1</v>
      </c>
      <c r="D401" s="1290" t="s">
        <v>141</v>
      </c>
      <c r="E401" s="1279"/>
      <c r="F401" s="1280">
        <f>IFERROR($C401*E401,E401)</f>
        <v>0</v>
      </c>
    </row>
    <row r="402" spans="1:6" s="631" customFormat="1">
      <c r="A402" s="1284"/>
      <c r="B402" s="1351" t="s">
        <v>371</v>
      </c>
      <c r="C402" s="1290"/>
      <c r="D402" s="1290"/>
      <c r="E402" s="1279"/>
      <c r="F402" s="1280"/>
    </row>
    <row r="403" spans="1:6" s="631" customFormat="1">
      <c r="A403" s="1284">
        <f t="shared" ca="1" si="73"/>
        <v>3.0529999999999942</v>
      </c>
      <c r="B403" s="1353" t="s">
        <v>2125</v>
      </c>
      <c r="C403" s="1290">
        <v>2</v>
      </c>
      <c r="D403" s="1290" t="s">
        <v>141</v>
      </c>
      <c r="E403" s="1279"/>
      <c r="F403" s="1280">
        <f t="shared" ref="F403:F409" si="82">IFERROR($C403*E403,E403)</f>
        <v>0</v>
      </c>
    </row>
    <row r="404" spans="1:6" s="631" customFormat="1">
      <c r="A404" s="1284">
        <f ca="1">IFERROR(IF(OFFSET(A404,-1,0)&gt;0,OFFSET(A404,-1,0)+0.001,ERROR.TYPE(0)),IFERROR(IF(OFFSET(A404,-2,0)&gt;0,OFFSET(A404,-2,0)+0.001,ERROR.TYPE(0)),IFERROR(IF(OFFSET(A404,-3,0)&gt;0,OFFSET(A404,-3,0)+0.001,ERROR.TYPE(0)),IFERROR(IF(OFFSET(A404,-4,0)&gt;0,OFFSET(A404,-4,0)+0.001,ERROR.TYPE(0)),IFERROR(IF(OFFSET(A404,-5,0)&gt;0,OFFSET(A404,-5,0)+0.001,ERROR.TYPE(0)),IFERROR(IF(OFFSET(A404,-6,0)&gt;0,OFFSET(A404,-6,0)+0.001,ERROR.TYPE(0)),IFERROR(IF(OFFSET(A404,-7,0)&gt;0,OFFSET(A404,-7,0)+0.001,ERROR.TYPE(0)),IFERROR(IF(OFFSET(A404,-8,0)&gt;0,OFFSET(A404,-8,0)+0.001,ERROR.TYPE(0)),IFERROR(IF(OFFSET(A404,-9,0)&gt;0,OFFSET(A404,-9,0)+0.001,ERROR.TYPE(0)),IFERROR(IF(OFFSET(A404,-10,0)&gt;0,OFFSET(A404,-10,0)+0.001,ERROR.TYPE(0)),ERROR.TYPE(0)))))))))))</f>
        <v>3.0539999999999941</v>
      </c>
      <c r="B404" s="1353" t="s">
        <v>2133</v>
      </c>
      <c r="C404" s="1290">
        <v>2</v>
      </c>
      <c r="D404" s="1290" t="s">
        <v>141</v>
      </c>
      <c r="E404" s="1279"/>
      <c r="F404" s="1280">
        <f>IFERROR($C404*E404,E404)</f>
        <v>0</v>
      </c>
    </row>
    <row r="405" spans="1:6" s="631" customFormat="1">
      <c r="A405" s="1284">
        <f t="shared" ca="1" si="73"/>
        <v>3.0549999999999939</v>
      </c>
      <c r="B405" s="1353" t="s">
        <v>2127</v>
      </c>
      <c r="C405" s="1290">
        <v>2</v>
      </c>
      <c r="D405" s="1290" t="s">
        <v>141</v>
      </c>
      <c r="E405" s="1279"/>
      <c r="F405" s="1280">
        <f t="shared" si="82"/>
        <v>0</v>
      </c>
    </row>
    <row r="406" spans="1:6" s="631" customFormat="1">
      <c r="A406" s="1284">
        <f t="shared" ca="1" si="73"/>
        <v>3.0559999999999938</v>
      </c>
      <c r="B406" s="1353" t="s">
        <v>2128</v>
      </c>
      <c r="C406" s="1290">
        <v>2</v>
      </c>
      <c r="D406" s="1290" t="s">
        <v>141</v>
      </c>
      <c r="E406" s="1279"/>
      <c r="F406" s="1280">
        <f t="shared" si="82"/>
        <v>0</v>
      </c>
    </row>
    <row r="407" spans="1:6" s="631" customFormat="1">
      <c r="A407" s="1284">
        <f t="shared" ca="1" si="73"/>
        <v>3.0569999999999937</v>
      </c>
      <c r="B407" s="1353" t="s">
        <v>2129</v>
      </c>
      <c r="C407" s="1290">
        <v>2</v>
      </c>
      <c r="D407" s="1290" t="s">
        <v>141</v>
      </c>
      <c r="E407" s="1279"/>
      <c r="F407" s="1280">
        <f t="shared" si="82"/>
        <v>0</v>
      </c>
    </row>
    <row r="408" spans="1:6" s="631" customFormat="1">
      <c r="A408" s="1284">
        <f t="shared" ca="1" si="73"/>
        <v>3.0579999999999936</v>
      </c>
      <c r="B408" s="1353" t="s">
        <v>2130</v>
      </c>
      <c r="C408" s="1290">
        <v>4</v>
      </c>
      <c r="D408" s="1290" t="s">
        <v>141</v>
      </c>
      <c r="E408" s="1279"/>
      <c r="F408" s="1280">
        <f t="shared" si="82"/>
        <v>0</v>
      </c>
    </row>
    <row r="409" spans="1:6" s="631" customFormat="1">
      <c r="A409" s="1284">
        <f t="shared" ca="1" si="73"/>
        <v>3.0589999999999935</v>
      </c>
      <c r="B409" s="1353" t="s">
        <v>2136</v>
      </c>
      <c r="C409" s="1290">
        <v>1</v>
      </c>
      <c r="D409" s="1290" t="s">
        <v>141</v>
      </c>
      <c r="E409" s="1279"/>
      <c r="F409" s="1280">
        <f t="shared" si="82"/>
        <v>0</v>
      </c>
    </row>
    <row r="410" spans="1:6" s="631" customFormat="1">
      <c r="A410" s="1284"/>
      <c r="B410" s="1288" t="s">
        <v>379</v>
      </c>
      <c r="C410" s="1289"/>
      <c r="D410" s="1290"/>
      <c r="E410" s="1291"/>
      <c r="F410" s="1280"/>
    </row>
    <row r="411" spans="1:6" s="631" customFormat="1" ht="27.6">
      <c r="A411" s="1284">
        <f ca="1">IFERROR(IF(OFFSET(A411,-1,0)&gt;0,OFFSET(A411,-1,0)+0.001,ERROR.TYPE(0)),IFERROR(IF(OFFSET(A411,-2,0)&gt;0,OFFSET(A411,-2,0)+0.001,ERROR.TYPE(0)),IFERROR(IF(OFFSET(A411,-3,0)&gt;0,OFFSET(A411,-3,0)+0.001,ERROR.TYPE(0)),IFERROR(IF(OFFSET(A411,-4,0)&gt;0,OFFSET(A411,-4,0)+0.001,ERROR.TYPE(0)),IFERROR(IF(OFFSET(A411,-5,0)&gt;0,OFFSET(A411,-5,0)+0.001,ERROR.TYPE(0)),IFERROR(IF(OFFSET(A411,-6,0)&gt;0,OFFSET(A411,-6,0)+0.001,ERROR.TYPE(0)),IFERROR(IF(OFFSET(A411,-7,0)&gt;0,OFFSET(A411,-7,0)+0.001,ERROR.TYPE(0)),IFERROR(IF(OFFSET(A411,-8,0)&gt;0,OFFSET(A411,-8,0)+0.001,ERROR.TYPE(0)),IFERROR(IF(OFFSET(A411,-9,0)&gt;0,OFFSET(A411,-9,0)+0.001,ERROR.TYPE(0)),IFERROR(IF(OFFSET(A411,-10,0)&gt;0,OFFSET(A411,-10,0)+0.001,ERROR.TYPE(0)),ERROR.TYPE(0)))))))))))</f>
        <v>3.0599999999999934</v>
      </c>
      <c r="B411" s="1353" t="s">
        <v>2138</v>
      </c>
      <c r="C411" s="1290">
        <v>1</v>
      </c>
      <c r="D411" s="1290" t="s">
        <v>2139</v>
      </c>
      <c r="E411" s="1279"/>
      <c r="F411" s="1280">
        <f>IFERROR($C411*E411,E411)</f>
        <v>0</v>
      </c>
    </row>
    <row r="412" spans="1:6" ht="151.94999999999999" customHeight="1">
      <c r="A412" s="1284">
        <f ca="1">IFERROR(IF(OFFSET(A412,-1,0)&gt;0,OFFSET(A412,-1,0)+0.001,ERROR.TYPE(0)),IFERROR(IF(OFFSET(A412,-2,0)&gt;0,OFFSET(A412,-2,0)+0.001,ERROR.TYPE(0)),IFERROR(IF(OFFSET(A412,-3,0)&gt;0,OFFSET(A412,-3,0)+0.001,ERROR.TYPE(0)),IFERROR(IF(OFFSET(A412,-4,0)&gt;0,OFFSET(A412,-4,0)+0.001,ERROR.TYPE(0)),IFERROR(IF(OFFSET(A412,-5,0)&gt;0,OFFSET(A412,-5,0)+0.001,ERROR.TYPE(0)),IFERROR(IF(OFFSET(A412,-6,0)&gt;0,OFFSET(A412,-6,0)+0.001,ERROR.TYPE(0)),IFERROR(IF(OFFSET(A412,-7,0)&gt;0,OFFSET(A412,-7,0)+0.001,ERROR.TYPE(0)),IFERROR(IF(OFFSET(A412,-8,0)&gt;0,OFFSET(A412,-8,0)+0.001,ERROR.TYPE(0)),IFERROR(IF(OFFSET(A412,-9,0)&gt;0,OFFSET(A412,-9,0)+0.001,ERROR.TYPE(0)),IFERROR(IF(OFFSET(A412,-10,0)&gt;0,OFFSET(A412,-10,0)+0.001,ERROR.TYPE(0)),ERROR.TYPE(0)))))))))))</f>
        <v>3.0609999999999933</v>
      </c>
      <c r="B412" s="1353" t="s">
        <v>2140</v>
      </c>
      <c r="C412" s="1290">
        <v>1</v>
      </c>
      <c r="D412" s="1290" t="s">
        <v>299</v>
      </c>
      <c r="E412" s="1279"/>
      <c r="F412" s="1280">
        <f>IFERROR($C412*E412,E412)</f>
        <v>0</v>
      </c>
    </row>
    <row r="413" spans="1:6" ht="27.6">
      <c r="A413" s="1284">
        <f ca="1">IFERROR(IF(OFFSET(A413,-1,0)&gt;0,OFFSET(A413,-1,0)+0.001,ERROR.TYPE(0)),IFERROR(IF(OFFSET(A413,-2,0)&gt;0,OFFSET(A413,-2,0)+0.001,ERROR.TYPE(0)),IFERROR(IF(OFFSET(A413,-3,0)&gt;0,OFFSET(A413,-3,0)+0.001,ERROR.TYPE(0)),IFERROR(IF(OFFSET(A413,-4,0)&gt;0,OFFSET(A413,-4,0)+0.001,ERROR.TYPE(0)),IFERROR(IF(OFFSET(A413,-5,0)&gt;0,OFFSET(A413,-5,0)+0.001,ERROR.TYPE(0)),IFERROR(IF(OFFSET(A413,-6,0)&gt;0,OFFSET(A413,-6,0)+0.001,ERROR.TYPE(0)),IFERROR(IF(OFFSET(A413,-7,0)&gt;0,OFFSET(A413,-7,0)+0.001,ERROR.TYPE(0)),IFERROR(IF(OFFSET(A413,-8,0)&gt;0,OFFSET(A413,-8,0)+0.001,ERROR.TYPE(0)),IFERROR(IF(OFFSET(A413,-9,0)&gt;0,OFFSET(A413,-9,0)+0.001,ERROR.TYPE(0)),IFERROR(IF(OFFSET(A413,-10,0)&gt;0,OFFSET(A413,-10,0)+0.001,ERROR.TYPE(0)),ERROR.TYPE(0)))))))))))</f>
        <v>3.0619999999999932</v>
      </c>
      <c r="B413" s="1353" t="s">
        <v>2141</v>
      </c>
      <c r="C413" s="1290">
        <v>1</v>
      </c>
      <c r="D413" s="1290" t="s">
        <v>299</v>
      </c>
      <c r="E413" s="1279"/>
      <c r="F413" s="1280">
        <f>IFERROR($C413*E413,E413)</f>
        <v>0</v>
      </c>
    </row>
    <row r="414" spans="1:6" ht="27.6">
      <c r="A414" s="1284">
        <f ca="1">IFERROR(IF(OFFSET(A414,-1,0)&gt;0,OFFSET(A414,-1,0)+0.001,ERROR.TYPE(0)),IFERROR(IF(OFFSET(A414,-2,0)&gt;0,OFFSET(A414,-2,0)+0.001,ERROR.TYPE(0)),IFERROR(IF(OFFSET(A414,-3,0)&gt;0,OFFSET(A414,-3,0)+0.001,ERROR.TYPE(0)),IFERROR(IF(OFFSET(A414,-4,0)&gt;0,OFFSET(A414,-4,0)+0.001,ERROR.TYPE(0)),IFERROR(IF(OFFSET(A414,-5,0)&gt;0,OFFSET(A414,-5,0)+0.001,ERROR.TYPE(0)),IFERROR(IF(OFFSET(A414,-6,0)&gt;0,OFFSET(A414,-6,0)+0.001,ERROR.TYPE(0)),IFERROR(IF(OFFSET(A414,-7,0)&gt;0,OFFSET(A414,-7,0)+0.001,ERROR.TYPE(0)),IFERROR(IF(OFFSET(A414,-8,0)&gt;0,OFFSET(A414,-8,0)+0.001,ERROR.TYPE(0)),IFERROR(IF(OFFSET(A414,-9,0)&gt;0,OFFSET(A414,-9,0)+0.001,ERROR.TYPE(0)),IFERROR(IF(OFFSET(A414,-10,0)&gt;0,OFFSET(A414,-10,0)+0.001,ERROR.TYPE(0)),ERROR.TYPE(0)))))))))))</f>
        <v>3.0629999999999931</v>
      </c>
      <c r="B414" s="1353" t="s">
        <v>2142</v>
      </c>
      <c r="C414" s="1290">
        <v>1</v>
      </c>
      <c r="D414" s="1290" t="s">
        <v>299</v>
      </c>
      <c r="E414" s="1279"/>
      <c r="F414" s="1280">
        <f>IFERROR($C414*E414,E414)</f>
        <v>0</v>
      </c>
    </row>
    <row r="415" spans="1:6" s="631" customFormat="1" ht="27.6">
      <c r="A415" s="1284">
        <f t="shared" ref="A415:A416" ca="1" si="83">IFERROR(IF(OFFSET(A415,-1,0,1,1)&gt;0,OFFSET(A415,-1,0,1,1)+0.001,ERROR.TYPE(0)),IFERROR(IF(OFFSET(A415,-2,0,1,1)&gt;0,OFFSET(A415,-2,0,1,1)+0.001,ERROR.TYPE(0)),IFERROR(IF(OFFSET(A415,-3,0,1,1)&gt;0,OFFSET(A415,-3,0,1,1)+0.001,ERROR.TYPE(0)),IFERROR(IF(OFFSET(A415,-4,0,1,1)&gt;0,OFFSET(A415,-4,0,1,1)+0.001,ERROR.TYPE(0)),IFERROR(IF(OFFSET(A415,-5,0,1,1)&gt;0,OFFSET(A415,-5,0,1,1)+0.001,ERROR.TYPE(0)),IFERROR(IF(OFFSET(A415,-6,0,1,1)&gt;0,OFFSET(A415,-6,0,1,1)+0.001,ERROR.TYPE(0)),IFERROR(IF(OFFSET(A415,-7,0,1,1)&gt;0,OFFSET(A415,-7,0,1,1)+0.001,ERROR.TYPE(0)),IFERROR(IF(OFFSET(A415,-8,0,1,1)&gt;0,OFFSET(A415,-8,0,1,1)+0.001,ERROR.TYPE(0)),IFERROR(IF(OFFSET(A415,-9,0,1,1)&gt;0,OFFSET(A415,-9,0,1,1)+0.001,ERROR.TYPE(0)),IFERROR(IF(OFFSET(A415,-10,0,1,1)&gt;0,OFFSET(A415,-10,0,1,1)+0.001,ERROR.TYPE(0)),ERROR.TYPE(0)))))))))))</f>
        <v>3.063999999999993</v>
      </c>
      <c r="B415" s="1353" t="s">
        <v>381</v>
      </c>
      <c r="C415" s="1311">
        <v>1</v>
      </c>
      <c r="D415" s="1311" t="s">
        <v>299</v>
      </c>
      <c r="E415" s="1279"/>
      <c r="F415" s="1280">
        <f t="shared" ref="F415:F416" si="84">IFERROR($C415*E415,E415)</f>
        <v>0</v>
      </c>
    </row>
    <row r="416" spans="1:6" s="631" customFormat="1" ht="27.6">
      <c r="A416" s="1284">
        <f t="shared" ca="1" si="83"/>
        <v>3.0649999999999928</v>
      </c>
      <c r="B416" s="1353" t="s">
        <v>382</v>
      </c>
      <c r="C416" s="1311">
        <v>1</v>
      </c>
      <c r="D416" s="1311" t="s">
        <v>383</v>
      </c>
      <c r="E416" s="1279"/>
      <c r="F416" s="1280">
        <f t="shared" si="84"/>
        <v>0</v>
      </c>
    </row>
    <row r="417" spans="1:6" s="631" customFormat="1" ht="15" customHeight="1">
      <c r="A417" s="1355"/>
      <c r="B417" s="1273" t="s">
        <v>597</v>
      </c>
      <c r="C417" s="1458" t="s">
        <v>305</v>
      </c>
      <c r="D417" s="1459"/>
      <c r="E417" s="1312"/>
      <c r="F417" s="1276">
        <f>SUM(F374:F416)</f>
        <v>0</v>
      </c>
    </row>
    <row r="418" spans="1:6" s="631" customFormat="1">
      <c r="A418" s="1361"/>
      <c r="B418" s="1301"/>
      <c r="C418" s="1314"/>
      <c r="D418" s="1314"/>
      <c r="E418" s="1316"/>
      <c r="F418" s="1317"/>
    </row>
    <row r="419" spans="1:6" s="631" customFormat="1">
      <c r="A419" s="1355"/>
      <c r="B419" s="1273" t="s">
        <v>2143</v>
      </c>
      <c r="C419" s="1458" t="s">
        <v>305</v>
      </c>
      <c r="D419" s="1459"/>
      <c r="E419" s="1318"/>
      <c r="F419" s="1276">
        <f>F417+F369</f>
        <v>0</v>
      </c>
    </row>
    <row r="420" spans="1:6">
      <c r="A420" s="1361"/>
      <c r="B420" s="1301"/>
      <c r="C420" s="1314"/>
      <c r="D420" s="1314"/>
      <c r="E420" s="1316"/>
      <c r="F420" s="1317"/>
    </row>
    <row r="421" spans="1:6">
      <c r="A421" s="1361"/>
      <c r="B421" s="1301"/>
      <c r="C421" s="1314"/>
      <c r="D421" s="1315"/>
      <c r="E421" s="1316"/>
      <c r="F421" s="1317"/>
    </row>
    <row r="422" spans="1:6" s="631" customFormat="1" ht="27.6">
      <c r="A422" s="1267" t="s">
        <v>143</v>
      </c>
      <c r="B422" s="1268" t="s">
        <v>198</v>
      </c>
      <c r="C422" s="1269" t="s">
        <v>199</v>
      </c>
      <c r="D422" s="1269" t="s">
        <v>200</v>
      </c>
      <c r="E422" s="1270" t="s">
        <v>294</v>
      </c>
      <c r="F422" s="1271" t="s">
        <v>295</v>
      </c>
    </row>
    <row r="423" spans="1:6" s="631" customFormat="1">
      <c r="A423" s="1272">
        <v>4</v>
      </c>
      <c r="B423" s="1350" t="s">
        <v>2144</v>
      </c>
      <c r="C423" s="1290"/>
      <c r="D423" s="1290"/>
      <c r="E423" s="1279"/>
      <c r="F423" s="1280"/>
    </row>
    <row r="424" spans="1:6">
      <c r="A424" s="1272"/>
      <c r="B424" s="1350" t="s">
        <v>2145</v>
      </c>
      <c r="C424" s="1290"/>
      <c r="D424" s="1290"/>
      <c r="E424" s="1279"/>
      <c r="F424" s="1280"/>
    </row>
    <row r="425" spans="1:6">
      <c r="A425" s="1284"/>
      <c r="B425" s="1362" t="s">
        <v>2146</v>
      </c>
      <c r="C425" s="1290"/>
      <c r="D425" s="1290"/>
      <c r="E425" s="1279"/>
      <c r="F425" s="1280"/>
    </row>
    <row r="426" spans="1:6" s="631" customFormat="1" ht="41.4">
      <c r="A426" s="1284">
        <f t="shared" ref="A426:A432" ca="1" si="85">IFERROR(IF(OFFSET(A426,-1,0)&gt;0,OFFSET(A426,-1,0)+0.001,ERROR.TYPE(0)),IFERROR(IF(OFFSET(A426,-2,0)&gt;0,OFFSET(A426,-2,0)+0.001,ERROR.TYPE(0)),IFERROR(IF(OFFSET(A426,-3,0)&gt;0,OFFSET(A426,-3,0)+0.001,ERROR.TYPE(0)),IFERROR(IF(OFFSET(A426,-4,0)&gt;0,OFFSET(A426,-4,0)+0.001,ERROR.TYPE(0)),IFERROR(IF(OFFSET(A426,-5,0)&gt;0,OFFSET(A426,-5,0)+0.001,ERROR.TYPE(0)),IFERROR(IF(OFFSET(A426,-6,0)&gt;0,OFFSET(A426,-6,0)+0.001,ERROR.TYPE(0)),IFERROR(IF(OFFSET(A426,-7,0)&gt;0,OFFSET(A426,-7,0)+0.001,ERROR.TYPE(0)),IFERROR(IF(OFFSET(A426,-8,0)&gt;0,OFFSET(A426,-8,0)+0.001,ERROR.TYPE(0)),IFERROR(IF(OFFSET(A426,-9,0)&gt;0,OFFSET(A426,-9,0)+0.001,ERROR.TYPE(0)),IFERROR(IF(OFFSET(A426,-10,0)&gt;0,OFFSET(A426,-10,0)+0.001,ERROR.TYPE(0)),ERROR.TYPE(0)))))))))))</f>
        <v>4.0010000000000003</v>
      </c>
      <c r="B426" s="1353" t="s">
        <v>2147</v>
      </c>
      <c r="C426" s="1290">
        <v>1</v>
      </c>
      <c r="D426" s="1290" t="s">
        <v>2139</v>
      </c>
      <c r="E426" s="1279"/>
      <c r="F426" s="1280">
        <f t="shared" ref="F426:F432" si="86">IFERROR($C426*E426,E426)</f>
        <v>0</v>
      </c>
    </row>
    <row r="427" spans="1:6" s="631" customFormat="1">
      <c r="A427" s="1284">
        <f t="shared" ca="1" si="85"/>
        <v>4.0020000000000007</v>
      </c>
      <c r="B427" s="1353" t="s">
        <v>2105</v>
      </c>
      <c r="C427" s="1290">
        <v>1</v>
      </c>
      <c r="D427" s="1290" t="s">
        <v>2139</v>
      </c>
      <c r="E427" s="1279"/>
      <c r="F427" s="1280">
        <f t="shared" si="86"/>
        <v>0</v>
      </c>
    </row>
    <row r="428" spans="1:6" s="631" customFormat="1" ht="27.6">
      <c r="A428" s="1284">
        <f t="shared" ca="1" si="85"/>
        <v>4.003000000000001</v>
      </c>
      <c r="B428" s="1305" t="s">
        <v>2148</v>
      </c>
      <c r="C428" s="1290">
        <v>1</v>
      </c>
      <c r="D428" s="1290" t="s">
        <v>2139</v>
      </c>
      <c r="E428" s="1279"/>
      <c r="F428" s="1280">
        <f t="shared" si="86"/>
        <v>0</v>
      </c>
    </row>
    <row r="429" spans="1:6" s="631" customFormat="1" ht="110.4">
      <c r="A429" s="1284">
        <f t="shared" ca="1" si="85"/>
        <v>4.0040000000000013</v>
      </c>
      <c r="B429" s="1353" t="s">
        <v>4046</v>
      </c>
      <c r="C429" s="1290">
        <v>1</v>
      </c>
      <c r="D429" s="1290" t="s">
        <v>2139</v>
      </c>
      <c r="E429" s="1279"/>
      <c r="F429" s="1280">
        <f t="shared" si="86"/>
        <v>0</v>
      </c>
    </row>
    <row r="430" spans="1:6" s="631" customFormat="1" ht="69">
      <c r="A430" s="1284">
        <f t="shared" ca="1" si="85"/>
        <v>4.0050000000000017</v>
      </c>
      <c r="B430" s="1353" t="s">
        <v>4047</v>
      </c>
      <c r="C430" s="1290">
        <v>1</v>
      </c>
      <c r="D430" s="1290" t="s">
        <v>2139</v>
      </c>
      <c r="E430" s="1279"/>
      <c r="F430" s="1280">
        <f t="shared" si="86"/>
        <v>0</v>
      </c>
    </row>
    <row r="431" spans="1:6" s="631" customFormat="1" ht="41.4">
      <c r="A431" s="1284">
        <f t="shared" ca="1" si="85"/>
        <v>4.006000000000002</v>
      </c>
      <c r="B431" s="1357" t="s">
        <v>2149</v>
      </c>
      <c r="C431" s="1290">
        <v>1</v>
      </c>
      <c r="D431" s="1290" t="s">
        <v>2139</v>
      </c>
      <c r="E431" s="1279"/>
      <c r="F431" s="1280">
        <f t="shared" si="86"/>
        <v>0</v>
      </c>
    </row>
    <row r="432" spans="1:6" s="631" customFormat="1" ht="27.6">
      <c r="A432" s="1284">
        <f t="shared" ca="1" si="85"/>
        <v>4.0070000000000023</v>
      </c>
      <c r="B432" s="1353" t="s">
        <v>2150</v>
      </c>
      <c r="C432" s="1290">
        <v>1</v>
      </c>
      <c r="D432" s="1290" t="s">
        <v>2139</v>
      </c>
      <c r="E432" s="1279"/>
      <c r="F432" s="1280">
        <f t="shared" si="86"/>
        <v>0</v>
      </c>
    </row>
    <row r="433" spans="1:6">
      <c r="A433" s="1284"/>
      <c r="B433" s="1362" t="s">
        <v>2151</v>
      </c>
      <c r="C433" s="1290"/>
      <c r="D433" s="1290"/>
      <c r="E433" s="1279"/>
      <c r="F433" s="1280"/>
    </row>
    <row r="434" spans="1:6" s="631" customFormat="1" ht="41.4">
      <c r="A434" s="1284">
        <f t="shared" ref="A434:A440" ca="1" si="87">IFERROR(IF(OFFSET(A434,-1,0)&gt;0,OFFSET(A434,-1,0)+0.001,ERROR.TYPE(0)),IFERROR(IF(OFFSET(A434,-2,0)&gt;0,OFFSET(A434,-2,0)+0.001,ERROR.TYPE(0)),IFERROR(IF(OFFSET(A434,-3,0)&gt;0,OFFSET(A434,-3,0)+0.001,ERROR.TYPE(0)),IFERROR(IF(OFFSET(A434,-4,0)&gt;0,OFFSET(A434,-4,0)+0.001,ERROR.TYPE(0)),IFERROR(IF(OFFSET(A434,-5,0)&gt;0,OFFSET(A434,-5,0)+0.001,ERROR.TYPE(0)),IFERROR(IF(OFFSET(A434,-6,0)&gt;0,OFFSET(A434,-6,0)+0.001,ERROR.TYPE(0)),IFERROR(IF(OFFSET(A434,-7,0)&gt;0,OFFSET(A434,-7,0)+0.001,ERROR.TYPE(0)),IFERROR(IF(OFFSET(A434,-8,0)&gt;0,OFFSET(A434,-8,0)+0.001,ERROR.TYPE(0)),IFERROR(IF(OFFSET(A434,-9,0)&gt;0,OFFSET(A434,-9,0)+0.001,ERROR.TYPE(0)),IFERROR(IF(OFFSET(A434,-10,0)&gt;0,OFFSET(A434,-10,0)+0.001,ERROR.TYPE(0)),ERROR.TYPE(0)))))))))))</f>
        <v>4.0080000000000027</v>
      </c>
      <c r="B434" s="1353" t="s">
        <v>2147</v>
      </c>
      <c r="C434" s="1290">
        <v>1</v>
      </c>
      <c r="D434" s="1290" t="s">
        <v>2139</v>
      </c>
      <c r="E434" s="1279"/>
      <c r="F434" s="1280">
        <f t="shared" ref="F434:F440" si="88">IFERROR($C434*E434,E434)</f>
        <v>0</v>
      </c>
    </row>
    <row r="435" spans="1:6" s="631" customFormat="1">
      <c r="A435" s="1284">
        <f t="shared" ca="1" si="87"/>
        <v>4.009000000000003</v>
      </c>
      <c r="B435" s="1353" t="s">
        <v>2105</v>
      </c>
      <c r="C435" s="1290">
        <v>1</v>
      </c>
      <c r="D435" s="1290" t="s">
        <v>2139</v>
      </c>
      <c r="E435" s="1279"/>
      <c r="F435" s="1280">
        <f t="shared" si="88"/>
        <v>0</v>
      </c>
    </row>
    <row r="436" spans="1:6" s="631" customFormat="1" ht="27.6">
      <c r="A436" s="1284">
        <f t="shared" ca="1" si="87"/>
        <v>4.0100000000000033</v>
      </c>
      <c r="B436" s="1305" t="s">
        <v>2148</v>
      </c>
      <c r="C436" s="1290">
        <v>1</v>
      </c>
      <c r="D436" s="1290" t="s">
        <v>2139</v>
      </c>
      <c r="E436" s="1279"/>
      <c r="F436" s="1280">
        <f t="shared" si="88"/>
        <v>0</v>
      </c>
    </row>
    <row r="437" spans="1:6" s="631" customFormat="1" ht="110.4">
      <c r="A437" s="1284">
        <f t="shared" ca="1" si="87"/>
        <v>4.0110000000000037</v>
      </c>
      <c r="B437" s="1353" t="s">
        <v>4048</v>
      </c>
      <c r="C437" s="1290">
        <v>1</v>
      </c>
      <c r="D437" s="1290" t="s">
        <v>2139</v>
      </c>
      <c r="E437" s="1279"/>
      <c r="F437" s="1280">
        <f t="shared" si="88"/>
        <v>0</v>
      </c>
    </row>
    <row r="438" spans="1:6" s="631" customFormat="1" ht="69">
      <c r="A438" s="1284">
        <f t="shared" ca="1" si="87"/>
        <v>4.012000000000004</v>
      </c>
      <c r="B438" s="1353" t="s">
        <v>4047</v>
      </c>
      <c r="C438" s="1290">
        <v>1</v>
      </c>
      <c r="D438" s="1290" t="s">
        <v>2139</v>
      </c>
      <c r="E438" s="1279"/>
      <c r="F438" s="1280">
        <f t="shared" si="88"/>
        <v>0</v>
      </c>
    </row>
    <row r="439" spans="1:6" s="631" customFormat="1" ht="41.4">
      <c r="A439" s="1284">
        <f t="shared" ca="1" si="87"/>
        <v>4.0130000000000043</v>
      </c>
      <c r="B439" s="1357" t="s">
        <v>2149</v>
      </c>
      <c r="C439" s="1290">
        <v>1</v>
      </c>
      <c r="D439" s="1290" t="s">
        <v>2139</v>
      </c>
      <c r="E439" s="1279"/>
      <c r="F439" s="1280">
        <f t="shared" si="88"/>
        <v>0</v>
      </c>
    </row>
    <row r="440" spans="1:6" s="631" customFormat="1" ht="27.6">
      <c r="A440" s="1284">
        <f t="shared" ca="1" si="87"/>
        <v>4.0140000000000047</v>
      </c>
      <c r="B440" s="1353" t="s">
        <v>2150</v>
      </c>
      <c r="C440" s="1290">
        <v>1</v>
      </c>
      <c r="D440" s="1290" t="s">
        <v>2139</v>
      </c>
      <c r="E440" s="1279"/>
      <c r="F440" s="1280">
        <f t="shared" si="88"/>
        <v>0</v>
      </c>
    </row>
    <row r="441" spans="1:6" s="631" customFormat="1" ht="15" customHeight="1">
      <c r="A441" s="1355"/>
      <c r="B441" s="1273" t="s">
        <v>634</v>
      </c>
      <c r="C441" s="1458" t="s">
        <v>305</v>
      </c>
      <c r="D441" s="1459"/>
      <c r="E441" s="1312"/>
      <c r="F441" s="1276">
        <f>SUM(F424:F440)</f>
        <v>0</v>
      </c>
    </row>
    <row r="442" spans="1:6" s="631" customFormat="1">
      <c r="A442" s="1356"/>
      <c r="B442" s="1357"/>
      <c r="C442" s="1315"/>
      <c r="D442" s="1315"/>
      <c r="E442" s="1358"/>
      <c r="F442" s="1359"/>
    </row>
    <row r="443" spans="1:6" s="631" customFormat="1">
      <c r="A443" s="1360"/>
      <c r="B443" s="1357"/>
      <c r="C443" s="1315"/>
      <c r="D443" s="1315"/>
      <c r="E443" s="1358"/>
      <c r="F443" s="1359"/>
    </row>
    <row r="444" spans="1:6" s="631" customFormat="1" ht="27.6">
      <c r="A444" s="1267" t="s">
        <v>143</v>
      </c>
      <c r="B444" s="1268" t="s">
        <v>198</v>
      </c>
      <c r="C444" s="1269" t="s">
        <v>199</v>
      </c>
      <c r="D444" s="1269" t="s">
        <v>200</v>
      </c>
      <c r="E444" s="1270" t="s">
        <v>294</v>
      </c>
      <c r="F444" s="1271" t="s">
        <v>295</v>
      </c>
    </row>
    <row r="445" spans="1:6">
      <c r="A445" s="1284"/>
      <c r="B445" s="1362" t="s">
        <v>2152</v>
      </c>
      <c r="C445" s="1290"/>
      <c r="D445" s="1290"/>
      <c r="E445" s="1279"/>
      <c r="F445" s="1280"/>
    </row>
    <row r="446" spans="1:6" s="631" customFormat="1" ht="41.4">
      <c r="A446" s="1284">
        <f t="shared" ref="A446:A452" ca="1" si="89">IFERROR(IF(OFFSET(A446,-1,0)&gt;0,OFFSET(A446,-1,0)+0.001,ERROR.TYPE(0)),IFERROR(IF(OFFSET(A446,-2,0)&gt;0,OFFSET(A446,-2,0)+0.001,ERROR.TYPE(0)),IFERROR(IF(OFFSET(A446,-3,0)&gt;0,OFFSET(A446,-3,0)+0.001,ERROR.TYPE(0)),IFERROR(IF(OFFSET(A446,-4,0)&gt;0,OFFSET(A446,-4,0)+0.001,ERROR.TYPE(0)),IFERROR(IF(OFFSET(A446,-5,0)&gt;0,OFFSET(A446,-5,0)+0.001,ERROR.TYPE(0)),IFERROR(IF(OFFSET(A446,-6,0)&gt;0,OFFSET(A446,-6,0)+0.001,ERROR.TYPE(0)),IFERROR(IF(OFFSET(A446,-7,0)&gt;0,OFFSET(A446,-7,0)+0.001,ERROR.TYPE(0)),IFERROR(IF(OFFSET(A446,-8,0)&gt;0,OFFSET(A446,-8,0)+0.001,ERROR.TYPE(0)),IFERROR(IF(OFFSET(A446,-9,0)&gt;0,OFFSET(A446,-9,0)+0.001,ERROR.TYPE(0)),IFERROR(IF(OFFSET(A446,-10,0)&gt;0,OFFSET(A446,-10,0)+0.001,ERROR.TYPE(0)),ERROR.TYPE(0)))))))))))</f>
        <v>4.015000000000005</v>
      </c>
      <c r="B446" s="1353" t="s">
        <v>2147</v>
      </c>
      <c r="C446" s="1290">
        <v>1</v>
      </c>
      <c r="D446" s="1290" t="s">
        <v>2139</v>
      </c>
      <c r="E446" s="1279"/>
      <c r="F446" s="1280">
        <f t="shared" ref="F446:F452" si="90">IFERROR($C446*E446,E446)</f>
        <v>0</v>
      </c>
    </row>
    <row r="447" spans="1:6" s="631" customFormat="1">
      <c r="A447" s="1284">
        <f t="shared" ca="1" si="89"/>
        <v>4.0160000000000053</v>
      </c>
      <c r="B447" s="1353" t="s">
        <v>2105</v>
      </c>
      <c r="C447" s="1290">
        <v>1</v>
      </c>
      <c r="D447" s="1290" t="s">
        <v>2139</v>
      </c>
      <c r="E447" s="1279"/>
      <c r="F447" s="1280">
        <f t="shared" si="90"/>
        <v>0</v>
      </c>
    </row>
    <row r="448" spans="1:6" s="631" customFormat="1" ht="27.6">
      <c r="A448" s="1284">
        <f t="shared" ca="1" si="89"/>
        <v>4.0170000000000057</v>
      </c>
      <c r="B448" s="1305" t="s">
        <v>2148</v>
      </c>
      <c r="C448" s="1290">
        <v>1</v>
      </c>
      <c r="D448" s="1290" t="s">
        <v>2139</v>
      </c>
      <c r="E448" s="1279"/>
      <c r="F448" s="1280">
        <f t="shared" si="90"/>
        <v>0</v>
      </c>
    </row>
    <row r="449" spans="1:6" s="631" customFormat="1" ht="110.4">
      <c r="A449" s="1284">
        <f t="shared" ca="1" si="89"/>
        <v>4.018000000000006</v>
      </c>
      <c r="B449" s="1353" t="s">
        <v>4049</v>
      </c>
      <c r="C449" s="1290">
        <v>1</v>
      </c>
      <c r="D449" s="1290" t="s">
        <v>2139</v>
      </c>
      <c r="E449" s="1279"/>
      <c r="F449" s="1280">
        <f t="shared" si="90"/>
        <v>0</v>
      </c>
    </row>
    <row r="450" spans="1:6" s="631" customFormat="1" ht="69">
      <c r="A450" s="1284">
        <f t="shared" ca="1" si="89"/>
        <v>4.0190000000000063</v>
      </c>
      <c r="B450" s="1353" t="s">
        <v>4047</v>
      </c>
      <c r="C450" s="1290">
        <v>1</v>
      </c>
      <c r="D450" s="1290" t="s">
        <v>2139</v>
      </c>
      <c r="E450" s="1279"/>
      <c r="F450" s="1280">
        <f t="shared" si="90"/>
        <v>0</v>
      </c>
    </row>
    <row r="451" spans="1:6" s="631" customFormat="1" ht="41.4">
      <c r="A451" s="1284">
        <f t="shared" ca="1" si="89"/>
        <v>4.0200000000000067</v>
      </c>
      <c r="B451" s="1357" t="s">
        <v>2149</v>
      </c>
      <c r="C451" s="1290">
        <v>1</v>
      </c>
      <c r="D451" s="1290" t="s">
        <v>2139</v>
      </c>
      <c r="E451" s="1279"/>
      <c r="F451" s="1280">
        <f t="shared" si="90"/>
        <v>0</v>
      </c>
    </row>
    <row r="452" spans="1:6" s="631" customFormat="1" ht="27.6">
      <c r="A452" s="1284">
        <f t="shared" ca="1" si="89"/>
        <v>4.021000000000007</v>
      </c>
      <c r="B452" s="1353" t="s">
        <v>2150</v>
      </c>
      <c r="C452" s="1290">
        <v>1</v>
      </c>
      <c r="D452" s="1290" t="s">
        <v>2139</v>
      </c>
      <c r="E452" s="1279"/>
      <c r="F452" s="1280">
        <f t="shared" si="90"/>
        <v>0</v>
      </c>
    </row>
    <row r="453" spans="1:6">
      <c r="A453" s="1284"/>
      <c r="B453" s="1362" t="s">
        <v>2153</v>
      </c>
      <c r="C453" s="1290"/>
      <c r="D453" s="1290"/>
      <c r="E453" s="1279"/>
      <c r="F453" s="1280"/>
    </row>
    <row r="454" spans="1:6" s="631" customFormat="1" ht="41.4">
      <c r="A454" s="1284">
        <f t="shared" ref="A454:A460" ca="1" si="91">IFERROR(IF(OFFSET(A454,-1,0)&gt;0,OFFSET(A454,-1,0)+0.001,ERROR.TYPE(0)),IFERROR(IF(OFFSET(A454,-2,0)&gt;0,OFFSET(A454,-2,0)+0.001,ERROR.TYPE(0)),IFERROR(IF(OFFSET(A454,-3,0)&gt;0,OFFSET(A454,-3,0)+0.001,ERROR.TYPE(0)),IFERROR(IF(OFFSET(A454,-4,0)&gt;0,OFFSET(A454,-4,0)+0.001,ERROR.TYPE(0)),IFERROR(IF(OFFSET(A454,-5,0)&gt;0,OFFSET(A454,-5,0)+0.001,ERROR.TYPE(0)),IFERROR(IF(OFFSET(A454,-6,0)&gt;0,OFFSET(A454,-6,0)+0.001,ERROR.TYPE(0)),IFERROR(IF(OFFSET(A454,-7,0)&gt;0,OFFSET(A454,-7,0)+0.001,ERROR.TYPE(0)),IFERROR(IF(OFFSET(A454,-8,0)&gt;0,OFFSET(A454,-8,0)+0.001,ERROR.TYPE(0)),IFERROR(IF(OFFSET(A454,-9,0)&gt;0,OFFSET(A454,-9,0)+0.001,ERROR.TYPE(0)),IFERROR(IF(OFFSET(A454,-10,0)&gt;0,OFFSET(A454,-10,0)+0.001,ERROR.TYPE(0)),ERROR.TYPE(0)))))))))))</f>
        <v>4.0220000000000073</v>
      </c>
      <c r="B454" s="1353" t="s">
        <v>2147</v>
      </c>
      <c r="C454" s="1290">
        <v>1</v>
      </c>
      <c r="D454" s="1290" t="s">
        <v>2139</v>
      </c>
      <c r="E454" s="1279"/>
      <c r="F454" s="1280">
        <f t="shared" ref="F454:F460" si="92">IFERROR($C454*E454,E454)</f>
        <v>0</v>
      </c>
    </row>
    <row r="455" spans="1:6" s="631" customFormat="1">
      <c r="A455" s="1284">
        <f t="shared" ca="1" si="91"/>
        <v>4.0230000000000077</v>
      </c>
      <c r="B455" s="1353" t="s">
        <v>2105</v>
      </c>
      <c r="C455" s="1290">
        <v>1</v>
      </c>
      <c r="D455" s="1290" t="s">
        <v>2139</v>
      </c>
      <c r="E455" s="1279"/>
      <c r="F455" s="1280">
        <f t="shared" si="92"/>
        <v>0</v>
      </c>
    </row>
    <row r="456" spans="1:6" s="631" customFormat="1" ht="27.6">
      <c r="A456" s="1284">
        <f t="shared" ca="1" si="91"/>
        <v>4.024000000000008</v>
      </c>
      <c r="B456" s="1305" t="s">
        <v>2148</v>
      </c>
      <c r="C456" s="1290">
        <v>1</v>
      </c>
      <c r="D456" s="1290" t="s">
        <v>2139</v>
      </c>
      <c r="E456" s="1279"/>
      <c r="F456" s="1280">
        <f t="shared" si="92"/>
        <v>0</v>
      </c>
    </row>
    <row r="457" spans="1:6" s="631" customFormat="1" ht="110.4">
      <c r="A457" s="1284">
        <f t="shared" ca="1" si="91"/>
        <v>4.0250000000000083</v>
      </c>
      <c r="B457" s="1353" t="s">
        <v>4050</v>
      </c>
      <c r="C457" s="1290">
        <v>1</v>
      </c>
      <c r="D457" s="1290" t="s">
        <v>2139</v>
      </c>
      <c r="E457" s="1279"/>
      <c r="F457" s="1280">
        <f t="shared" si="92"/>
        <v>0</v>
      </c>
    </row>
    <row r="458" spans="1:6" s="631" customFormat="1" ht="69">
      <c r="A458" s="1284">
        <f t="shared" ca="1" si="91"/>
        <v>4.0260000000000087</v>
      </c>
      <c r="B458" s="1353" t="s">
        <v>4047</v>
      </c>
      <c r="C458" s="1290">
        <v>1</v>
      </c>
      <c r="D458" s="1290" t="s">
        <v>2139</v>
      </c>
      <c r="E458" s="1279"/>
      <c r="F458" s="1280">
        <f t="shared" si="92"/>
        <v>0</v>
      </c>
    </row>
    <row r="459" spans="1:6" s="631" customFormat="1" ht="41.4">
      <c r="A459" s="1284">
        <f t="shared" ca="1" si="91"/>
        <v>4.027000000000009</v>
      </c>
      <c r="B459" s="1357" t="s">
        <v>2149</v>
      </c>
      <c r="C459" s="1290">
        <v>1</v>
      </c>
      <c r="D459" s="1290" t="s">
        <v>2139</v>
      </c>
      <c r="E459" s="1279"/>
      <c r="F459" s="1280">
        <f t="shared" si="92"/>
        <v>0</v>
      </c>
    </row>
    <row r="460" spans="1:6" s="631" customFormat="1" ht="27.6">
      <c r="A460" s="1284">
        <f t="shared" ca="1" si="91"/>
        <v>4.0280000000000094</v>
      </c>
      <c r="B460" s="1353" t="s">
        <v>2150</v>
      </c>
      <c r="C460" s="1290">
        <v>1</v>
      </c>
      <c r="D460" s="1290" t="s">
        <v>2139</v>
      </c>
      <c r="E460" s="1279"/>
      <c r="F460" s="1280">
        <f t="shared" si="92"/>
        <v>0</v>
      </c>
    </row>
    <row r="461" spans="1:6" s="631" customFormat="1" ht="15" customHeight="1">
      <c r="A461" s="1355"/>
      <c r="B461" s="1273" t="s">
        <v>676</v>
      </c>
      <c r="C461" s="1458" t="s">
        <v>305</v>
      </c>
      <c r="D461" s="1459"/>
      <c r="E461" s="1312"/>
      <c r="F461" s="1276">
        <f>SUM(F446:F460)</f>
        <v>0</v>
      </c>
    </row>
    <row r="462" spans="1:6" s="631" customFormat="1">
      <c r="A462" s="1356"/>
      <c r="B462" s="1357"/>
      <c r="C462" s="1315"/>
      <c r="D462" s="1315"/>
      <c r="E462" s="1358"/>
      <c r="F462" s="1359"/>
    </row>
    <row r="463" spans="1:6" s="631" customFormat="1">
      <c r="A463" s="1360"/>
      <c r="B463" s="1357"/>
      <c r="C463" s="1315"/>
      <c r="D463" s="1315"/>
      <c r="E463" s="1358"/>
      <c r="F463" s="1359"/>
    </row>
    <row r="464" spans="1:6" s="631" customFormat="1" ht="27.6">
      <c r="A464" s="1267" t="s">
        <v>143</v>
      </c>
      <c r="B464" s="1268" t="s">
        <v>198</v>
      </c>
      <c r="C464" s="1269" t="s">
        <v>199</v>
      </c>
      <c r="D464" s="1269" t="s">
        <v>200</v>
      </c>
      <c r="E464" s="1270" t="s">
        <v>294</v>
      </c>
      <c r="F464" s="1271" t="s">
        <v>295</v>
      </c>
    </row>
    <row r="465" spans="1:6">
      <c r="A465" s="1284"/>
      <c r="B465" s="1362" t="s">
        <v>2154</v>
      </c>
      <c r="C465" s="1290"/>
      <c r="D465" s="1290"/>
      <c r="E465" s="1279"/>
      <c r="F465" s="1280"/>
    </row>
    <row r="466" spans="1:6" s="631" customFormat="1" ht="41.4">
      <c r="A466" s="1284">
        <f t="shared" ref="A466:A472" ca="1" si="93">IFERROR(IF(OFFSET(A466,-1,0)&gt;0,OFFSET(A466,-1,0)+0.001,ERROR.TYPE(0)),IFERROR(IF(OFFSET(A466,-2,0)&gt;0,OFFSET(A466,-2,0)+0.001,ERROR.TYPE(0)),IFERROR(IF(OFFSET(A466,-3,0)&gt;0,OFFSET(A466,-3,0)+0.001,ERROR.TYPE(0)),IFERROR(IF(OFFSET(A466,-4,0)&gt;0,OFFSET(A466,-4,0)+0.001,ERROR.TYPE(0)),IFERROR(IF(OFFSET(A466,-5,0)&gt;0,OFFSET(A466,-5,0)+0.001,ERROR.TYPE(0)),IFERROR(IF(OFFSET(A466,-6,0)&gt;0,OFFSET(A466,-6,0)+0.001,ERROR.TYPE(0)),IFERROR(IF(OFFSET(A466,-7,0)&gt;0,OFFSET(A466,-7,0)+0.001,ERROR.TYPE(0)),IFERROR(IF(OFFSET(A466,-8,0)&gt;0,OFFSET(A466,-8,0)+0.001,ERROR.TYPE(0)),IFERROR(IF(OFFSET(A466,-9,0)&gt;0,OFFSET(A466,-9,0)+0.001,ERROR.TYPE(0)),IFERROR(IF(OFFSET(A466,-10,0)&gt;0,OFFSET(A466,-10,0)+0.001,ERROR.TYPE(0)),ERROR.TYPE(0)))))))))))</f>
        <v>4.0290000000000097</v>
      </c>
      <c r="B466" s="1353" t="s">
        <v>2147</v>
      </c>
      <c r="C466" s="1290">
        <v>1</v>
      </c>
      <c r="D466" s="1290" t="s">
        <v>2139</v>
      </c>
      <c r="E466" s="1279"/>
      <c r="F466" s="1280">
        <f t="shared" ref="F466:F472" si="94">IFERROR($C466*E466,E466)</f>
        <v>0</v>
      </c>
    </row>
    <row r="467" spans="1:6" s="631" customFormat="1">
      <c r="A467" s="1284">
        <f t="shared" ca="1" si="93"/>
        <v>4.03000000000001</v>
      </c>
      <c r="B467" s="1353" t="s">
        <v>2105</v>
      </c>
      <c r="C467" s="1290">
        <v>1</v>
      </c>
      <c r="D467" s="1290" t="s">
        <v>2139</v>
      </c>
      <c r="E467" s="1279"/>
      <c r="F467" s="1280">
        <f t="shared" si="94"/>
        <v>0</v>
      </c>
    </row>
    <row r="468" spans="1:6" s="631" customFormat="1" ht="27.6">
      <c r="A468" s="1284">
        <f t="shared" ca="1" si="93"/>
        <v>4.0310000000000104</v>
      </c>
      <c r="B468" s="1305" t="s">
        <v>2148</v>
      </c>
      <c r="C468" s="1290">
        <v>1</v>
      </c>
      <c r="D468" s="1290" t="s">
        <v>2139</v>
      </c>
      <c r="E468" s="1279"/>
      <c r="F468" s="1280">
        <f t="shared" si="94"/>
        <v>0</v>
      </c>
    </row>
    <row r="469" spans="1:6" s="631" customFormat="1" ht="110.4">
      <c r="A469" s="1284">
        <f t="shared" ca="1" si="93"/>
        <v>4.0320000000000107</v>
      </c>
      <c r="B469" s="1353" t="s">
        <v>4051</v>
      </c>
      <c r="C469" s="1290">
        <v>1</v>
      </c>
      <c r="D469" s="1290" t="s">
        <v>2139</v>
      </c>
      <c r="E469" s="1279"/>
      <c r="F469" s="1280">
        <f t="shared" si="94"/>
        <v>0</v>
      </c>
    </row>
    <row r="470" spans="1:6" s="631" customFormat="1" ht="69">
      <c r="A470" s="1284">
        <f t="shared" ca="1" si="93"/>
        <v>4.033000000000011</v>
      </c>
      <c r="B470" s="1353" t="s">
        <v>4047</v>
      </c>
      <c r="C470" s="1290">
        <v>1</v>
      </c>
      <c r="D470" s="1290" t="s">
        <v>2139</v>
      </c>
      <c r="E470" s="1279"/>
      <c r="F470" s="1280">
        <f t="shared" si="94"/>
        <v>0</v>
      </c>
    </row>
    <row r="471" spans="1:6" s="631" customFormat="1" ht="41.4">
      <c r="A471" s="1284">
        <f t="shared" ca="1" si="93"/>
        <v>4.0340000000000114</v>
      </c>
      <c r="B471" s="1357" t="s">
        <v>2149</v>
      </c>
      <c r="C471" s="1290">
        <v>1</v>
      </c>
      <c r="D471" s="1290" t="s">
        <v>2139</v>
      </c>
      <c r="E471" s="1279"/>
      <c r="F471" s="1280">
        <f t="shared" si="94"/>
        <v>0</v>
      </c>
    </row>
    <row r="472" spans="1:6" s="631" customFormat="1" ht="27.6">
      <c r="A472" s="1284">
        <f t="shared" ca="1" si="93"/>
        <v>4.0350000000000117</v>
      </c>
      <c r="B472" s="1353" t="s">
        <v>2150</v>
      </c>
      <c r="C472" s="1290">
        <v>1</v>
      </c>
      <c r="D472" s="1290" t="s">
        <v>2139</v>
      </c>
      <c r="E472" s="1279"/>
      <c r="F472" s="1280">
        <f t="shared" si="94"/>
        <v>0</v>
      </c>
    </row>
    <row r="473" spans="1:6">
      <c r="A473" s="1272"/>
      <c r="B473" s="1350" t="s">
        <v>2155</v>
      </c>
      <c r="C473" s="1290"/>
      <c r="D473" s="1290"/>
      <c r="E473" s="1279"/>
      <c r="F473" s="1280"/>
    </row>
    <row r="474" spans="1:6">
      <c r="A474" s="1284"/>
      <c r="B474" s="1362" t="s">
        <v>2156</v>
      </c>
      <c r="C474" s="1290"/>
      <c r="D474" s="1290"/>
      <c r="E474" s="1279"/>
      <c r="F474" s="1280"/>
    </row>
    <row r="475" spans="1:6" s="631" customFormat="1" ht="110.4">
      <c r="A475" s="1284">
        <f t="shared" ref="A475:A478" ca="1" si="95">IFERROR(IF(OFFSET(A475,-1,0)&gt;0,OFFSET(A475,-1,0)+0.001,ERROR.TYPE(0)),IFERROR(IF(OFFSET(A475,-2,0)&gt;0,OFFSET(A475,-2,0)+0.001,ERROR.TYPE(0)),IFERROR(IF(OFFSET(A475,-3,0)&gt;0,OFFSET(A475,-3,0)+0.001,ERROR.TYPE(0)),IFERROR(IF(OFFSET(A475,-4,0)&gt;0,OFFSET(A475,-4,0)+0.001,ERROR.TYPE(0)),IFERROR(IF(OFFSET(A475,-5,0)&gt;0,OFFSET(A475,-5,0)+0.001,ERROR.TYPE(0)),IFERROR(IF(OFFSET(A475,-6,0)&gt;0,OFFSET(A475,-6,0)+0.001,ERROR.TYPE(0)),IFERROR(IF(OFFSET(A475,-7,0)&gt;0,OFFSET(A475,-7,0)+0.001,ERROR.TYPE(0)),IFERROR(IF(OFFSET(A475,-8,0)&gt;0,OFFSET(A475,-8,0)+0.001,ERROR.TYPE(0)),IFERROR(IF(OFFSET(A475,-9,0)&gt;0,OFFSET(A475,-9,0)+0.001,ERROR.TYPE(0)),IFERROR(IF(OFFSET(A475,-10,0)&gt;0,OFFSET(A475,-10,0)+0.001,ERROR.TYPE(0)),ERROR.TYPE(0)))))))))))</f>
        <v>4.036000000000012</v>
      </c>
      <c r="B475" s="1353" t="s">
        <v>4052</v>
      </c>
      <c r="C475" s="1290">
        <v>1</v>
      </c>
      <c r="D475" s="1290" t="s">
        <v>2139</v>
      </c>
      <c r="E475" s="1279"/>
      <c r="F475" s="1280">
        <f t="shared" ref="F475:F478" si="96">IFERROR($C475*E475,E475)</f>
        <v>0</v>
      </c>
    </row>
    <row r="476" spans="1:6" s="631" customFormat="1" ht="69">
      <c r="A476" s="1284">
        <f t="shared" ca="1" si="95"/>
        <v>4.0370000000000124</v>
      </c>
      <c r="B476" s="1353" t="s">
        <v>4047</v>
      </c>
      <c r="C476" s="1290">
        <v>1</v>
      </c>
      <c r="D476" s="1290" t="s">
        <v>2139</v>
      </c>
      <c r="E476" s="1279"/>
      <c r="F476" s="1280">
        <f t="shared" si="96"/>
        <v>0</v>
      </c>
    </row>
    <row r="477" spans="1:6" s="631" customFormat="1" ht="41.4">
      <c r="A477" s="1284">
        <f t="shared" ca="1" si="95"/>
        <v>4.0380000000000127</v>
      </c>
      <c r="B477" s="1357" t="s">
        <v>2149</v>
      </c>
      <c r="C477" s="1290">
        <v>1</v>
      </c>
      <c r="D477" s="1290" t="s">
        <v>2139</v>
      </c>
      <c r="E477" s="1279"/>
      <c r="F477" s="1280">
        <f t="shared" si="96"/>
        <v>0</v>
      </c>
    </row>
    <row r="478" spans="1:6" s="631" customFormat="1" ht="27.6">
      <c r="A478" s="1284">
        <f t="shared" ca="1" si="95"/>
        <v>4.039000000000013</v>
      </c>
      <c r="B478" s="1353" t="s">
        <v>2150</v>
      </c>
      <c r="C478" s="1290">
        <v>1</v>
      </c>
      <c r="D478" s="1290" t="s">
        <v>2139</v>
      </c>
      <c r="E478" s="1279"/>
      <c r="F478" s="1280">
        <f t="shared" si="96"/>
        <v>0</v>
      </c>
    </row>
    <row r="479" spans="1:6" s="631" customFormat="1" ht="15" customHeight="1">
      <c r="A479" s="1355"/>
      <c r="B479" s="1273" t="s">
        <v>702</v>
      </c>
      <c r="C479" s="1458" t="s">
        <v>305</v>
      </c>
      <c r="D479" s="1459"/>
      <c r="E479" s="1312"/>
      <c r="F479" s="1276">
        <f>SUM(F466:F478)</f>
        <v>0</v>
      </c>
    </row>
    <row r="480" spans="1:6" s="631" customFormat="1">
      <c r="A480" s="1356"/>
      <c r="B480" s="1357"/>
      <c r="C480" s="1315"/>
      <c r="D480" s="1315"/>
      <c r="E480" s="1358"/>
      <c r="F480" s="1359"/>
    </row>
    <row r="481" spans="1:6" s="631" customFormat="1">
      <c r="A481" s="1360"/>
      <c r="B481" s="1357"/>
      <c r="C481" s="1315"/>
      <c r="D481" s="1315"/>
      <c r="E481" s="1358"/>
      <c r="F481" s="1359"/>
    </row>
    <row r="482" spans="1:6" s="631" customFormat="1" ht="27.6">
      <c r="A482" s="1267" t="s">
        <v>143</v>
      </c>
      <c r="B482" s="1268" t="s">
        <v>198</v>
      </c>
      <c r="C482" s="1269" t="s">
        <v>199</v>
      </c>
      <c r="D482" s="1269" t="s">
        <v>200</v>
      </c>
      <c r="E482" s="1270" t="s">
        <v>294</v>
      </c>
      <c r="F482" s="1271" t="s">
        <v>295</v>
      </c>
    </row>
    <row r="483" spans="1:6">
      <c r="A483" s="1272"/>
      <c r="B483" s="1350" t="s">
        <v>2157</v>
      </c>
      <c r="C483" s="1290"/>
      <c r="D483" s="1290"/>
      <c r="E483" s="1279"/>
      <c r="F483" s="1280"/>
    </row>
    <row r="484" spans="1:6">
      <c r="A484" s="1284"/>
      <c r="B484" s="1362" t="s">
        <v>2158</v>
      </c>
      <c r="C484" s="1290"/>
      <c r="D484" s="1290"/>
      <c r="E484" s="1279"/>
      <c r="F484" s="1280"/>
    </row>
    <row r="485" spans="1:6" s="631" customFormat="1" ht="41.4">
      <c r="A485" s="1284">
        <f t="shared" ref="A485:A491" ca="1" si="97">IFERROR(IF(OFFSET(A485,-1,0)&gt;0,OFFSET(A485,-1,0)+0.001,ERROR.TYPE(0)),IFERROR(IF(OFFSET(A485,-2,0)&gt;0,OFFSET(A485,-2,0)+0.001,ERROR.TYPE(0)),IFERROR(IF(OFFSET(A485,-3,0)&gt;0,OFFSET(A485,-3,0)+0.001,ERROR.TYPE(0)),IFERROR(IF(OFFSET(A485,-4,0)&gt;0,OFFSET(A485,-4,0)+0.001,ERROR.TYPE(0)),IFERROR(IF(OFFSET(A485,-5,0)&gt;0,OFFSET(A485,-5,0)+0.001,ERROR.TYPE(0)),IFERROR(IF(OFFSET(A485,-6,0)&gt;0,OFFSET(A485,-6,0)+0.001,ERROR.TYPE(0)),IFERROR(IF(OFFSET(A485,-7,0)&gt;0,OFFSET(A485,-7,0)+0.001,ERROR.TYPE(0)),IFERROR(IF(OFFSET(A485,-8,0)&gt;0,OFFSET(A485,-8,0)+0.001,ERROR.TYPE(0)),IFERROR(IF(OFFSET(A485,-9,0)&gt;0,OFFSET(A485,-9,0)+0.001,ERROR.TYPE(0)),IFERROR(IF(OFFSET(A485,-10,0)&gt;0,OFFSET(A485,-10,0)+0.001,ERROR.TYPE(0)),ERROR.TYPE(0)))))))))))</f>
        <v>4.0400000000000134</v>
      </c>
      <c r="B485" s="1353" t="s">
        <v>2147</v>
      </c>
      <c r="C485" s="1290">
        <v>1</v>
      </c>
      <c r="D485" s="1290" t="s">
        <v>2139</v>
      </c>
      <c r="E485" s="1279"/>
      <c r="F485" s="1280">
        <f t="shared" ref="F485:F491" si="98">IFERROR($C485*E485,E485)</f>
        <v>0</v>
      </c>
    </row>
    <row r="486" spans="1:6" s="631" customFormat="1">
      <c r="A486" s="1284">
        <f t="shared" ca="1" si="97"/>
        <v>4.0410000000000137</v>
      </c>
      <c r="B486" s="1353" t="s">
        <v>2105</v>
      </c>
      <c r="C486" s="1290">
        <v>1</v>
      </c>
      <c r="D486" s="1290" t="s">
        <v>2139</v>
      </c>
      <c r="E486" s="1279"/>
      <c r="F486" s="1280">
        <f t="shared" si="98"/>
        <v>0</v>
      </c>
    </row>
    <row r="487" spans="1:6" s="631" customFormat="1" ht="27.6">
      <c r="A487" s="1284">
        <f t="shared" ca="1" si="97"/>
        <v>4.042000000000014</v>
      </c>
      <c r="B487" s="1305" t="s">
        <v>2148</v>
      </c>
      <c r="C487" s="1290">
        <v>1</v>
      </c>
      <c r="D487" s="1290" t="s">
        <v>2139</v>
      </c>
      <c r="E487" s="1279"/>
      <c r="F487" s="1280">
        <f t="shared" si="98"/>
        <v>0</v>
      </c>
    </row>
    <row r="488" spans="1:6" s="631" customFormat="1" ht="110.4">
      <c r="A488" s="1284">
        <f t="shared" ca="1" si="97"/>
        <v>4.0430000000000144</v>
      </c>
      <c r="B488" s="1353" t="s">
        <v>4053</v>
      </c>
      <c r="C488" s="1290">
        <v>1</v>
      </c>
      <c r="D488" s="1290" t="s">
        <v>2139</v>
      </c>
      <c r="E488" s="1279"/>
      <c r="F488" s="1280">
        <f t="shared" si="98"/>
        <v>0</v>
      </c>
    </row>
    <row r="489" spans="1:6" s="631" customFormat="1" ht="69">
      <c r="A489" s="1284">
        <f t="shared" ca="1" si="97"/>
        <v>4.0440000000000147</v>
      </c>
      <c r="B489" s="1353" t="s">
        <v>4047</v>
      </c>
      <c r="C489" s="1290">
        <v>1</v>
      </c>
      <c r="D489" s="1290" t="s">
        <v>2139</v>
      </c>
      <c r="E489" s="1279"/>
      <c r="F489" s="1280">
        <f t="shared" si="98"/>
        <v>0</v>
      </c>
    </row>
    <row r="490" spans="1:6" s="631" customFormat="1" ht="41.4">
      <c r="A490" s="1284">
        <f t="shared" ca="1" si="97"/>
        <v>4.045000000000015</v>
      </c>
      <c r="B490" s="1357" t="s">
        <v>2149</v>
      </c>
      <c r="C490" s="1290">
        <v>1</v>
      </c>
      <c r="D490" s="1290" t="s">
        <v>2139</v>
      </c>
      <c r="E490" s="1279"/>
      <c r="F490" s="1280">
        <f t="shared" si="98"/>
        <v>0</v>
      </c>
    </row>
    <row r="491" spans="1:6" s="631" customFormat="1" ht="27.6">
      <c r="A491" s="1284">
        <f t="shared" ca="1" si="97"/>
        <v>4.0460000000000154</v>
      </c>
      <c r="B491" s="1353" t="s">
        <v>2150</v>
      </c>
      <c r="C491" s="1290">
        <v>1</v>
      </c>
      <c r="D491" s="1290" t="s">
        <v>2139</v>
      </c>
      <c r="E491" s="1279"/>
      <c r="F491" s="1280">
        <f t="shared" si="98"/>
        <v>0</v>
      </c>
    </row>
    <row r="492" spans="1:6">
      <c r="A492" s="1272"/>
      <c r="B492" s="1350" t="s">
        <v>2159</v>
      </c>
      <c r="C492" s="1290"/>
      <c r="D492" s="1290"/>
      <c r="E492" s="1279"/>
      <c r="F492" s="1280"/>
    </row>
    <row r="493" spans="1:6">
      <c r="A493" s="1284"/>
      <c r="B493" s="1362" t="s">
        <v>2160</v>
      </c>
      <c r="C493" s="1290"/>
      <c r="D493" s="1290"/>
      <c r="E493" s="1279"/>
      <c r="F493" s="1280"/>
    </row>
    <row r="494" spans="1:6" s="631" customFormat="1" ht="41.4">
      <c r="A494" s="1284">
        <f t="shared" ref="A494:A500" ca="1" si="99">IFERROR(IF(OFFSET(A494,-1,0)&gt;0,OFFSET(A494,-1,0)+0.001,ERROR.TYPE(0)),IFERROR(IF(OFFSET(A494,-2,0)&gt;0,OFFSET(A494,-2,0)+0.001,ERROR.TYPE(0)),IFERROR(IF(OFFSET(A494,-3,0)&gt;0,OFFSET(A494,-3,0)+0.001,ERROR.TYPE(0)),IFERROR(IF(OFFSET(A494,-4,0)&gt;0,OFFSET(A494,-4,0)+0.001,ERROR.TYPE(0)),IFERROR(IF(OFFSET(A494,-5,0)&gt;0,OFFSET(A494,-5,0)+0.001,ERROR.TYPE(0)),IFERROR(IF(OFFSET(A494,-6,0)&gt;0,OFFSET(A494,-6,0)+0.001,ERROR.TYPE(0)),IFERROR(IF(OFFSET(A494,-7,0)&gt;0,OFFSET(A494,-7,0)+0.001,ERROR.TYPE(0)),IFERROR(IF(OFFSET(A494,-8,0)&gt;0,OFFSET(A494,-8,0)+0.001,ERROR.TYPE(0)),IFERROR(IF(OFFSET(A494,-9,0)&gt;0,OFFSET(A494,-9,0)+0.001,ERROR.TYPE(0)),IFERROR(IF(OFFSET(A494,-10,0)&gt;0,OFFSET(A494,-10,0)+0.001,ERROR.TYPE(0)),ERROR.TYPE(0)))))))))))</f>
        <v>4.0470000000000157</v>
      </c>
      <c r="B494" s="1353" t="s">
        <v>2147</v>
      </c>
      <c r="C494" s="1290">
        <v>1</v>
      </c>
      <c r="D494" s="1290" t="s">
        <v>2139</v>
      </c>
      <c r="E494" s="1279"/>
      <c r="F494" s="1280">
        <f>IFERROR($C494*E494,E494)</f>
        <v>0</v>
      </c>
    </row>
    <row r="495" spans="1:6" s="631" customFormat="1">
      <c r="A495" s="1284">
        <f t="shared" ca="1" si="99"/>
        <v>4.048000000000016</v>
      </c>
      <c r="B495" s="1353" t="s">
        <v>2105</v>
      </c>
      <c r="C495" s="1290">
        <v>1</v>
      </c>
      <c r="D495" s="1290" t="s">
        <v>2139</v>
      </c>
      <c r="E495" s="1279"/>
      <c r="F495" s="1280">
        <f>IFERROR($C495*E495,E495)</f>
        <v>0</v>
      </c>
    </row>
    <row r="496" spans="1:6" s="631" customFormat="1" ht="27.6">
      <c r="A496" s="1284">
        <f t="shared" ca="1" si="99"/>
        <v>4.0490000000000164</v>
      </c>
      <c r="B496" s="1305" t="s">
        <v>2148</v>
      </c>
      <c r="C496" s="1290">
        <v>1</v>
      </c>
      <c r="D496" s="1290" t="s">
        <v>2139</v>
      </c>
      <c r="E496" s="1279"/>
      <c r="F496" s="1280">
        <f>IFERROR($C496*E496,E496)</f>
        <v>0</v>
      </c>
    </row>
    <row r="497" spans="1:6" s="631" customFormat="1" ht="138">
      <c r="A497" s="1319">
        <f t="shared" ca="1" si="99"/>
        <v>4.0500000000000167</v>
      </c>
      <c r="B497" s="1353" t="s">
        <v>4054</v>
      </c>
      <c r="C497" s="1363">
        <v>0</v>
      </c>
      <c r="D497" s="1290" t="s">
        <v>2139</v>
      </c>
      <c r="E497" s="1279"/>
      <c r="F497" s="1321" t="s">
        <v>3797</v>
      </c>
    </row>
    <row r="498" spans="1:6" s="631" customFormat="1" ht="69">
      <c r="A498" s="1319">
        <f t="shared" ca="1" si="99"/>
        <v>4.051000000000017</v>
      </c>
      <c r="B498" s="1353" t="s">
        <v>4047</v>
      </c>
      <c r="C498" s="1363">
        <v>0</v>
      </c>
      <c r="D498" s="1290" t="s">
        <v>2139</v>
      </c>
      <c r="E498" s="1279"/>
      <c r="F498" s="1321" t="s">
        <v>3797</v>
      </c>
    </row>
    <row r="499" spans="1:6" s="631" customFormat="1" ht="41.4">
      <c r="A499" s="1319">
        <f t="shared" ca="1" si="99"/>
        <v>4.0520000000000174</v>
      </c>
      <c r="B499" s="1357" t="s">
        <v>2149</v>
      </c>
      <c r="C499" s="1363">
        <v>0</v>
      </c>
      <c r="D499" s="1290" t="s">
        <v>2139</v>
      </c>
      <c r="E499" s="1279"/>
      <c r="F499" s="1321" t="s">
        <v>3797</v>
      </c>
    </row>
    <row r="500" spans="1:6" s="631" customFormat="1" ht="27.6">
      <c r="A500" s="1319">
        <f t="shared" ca="1" si="99"/>
        <v>4.0530000000000177</v>
      </c>
      <c r="B500" s="1353" t="s">
        <v>2150</v>
      </c>
      <c r="C500" s="1363">
        <v>0</v>
      </c>
      <c r="D500" s="1290" t="s">
        <v>2139</v>
      </c>
      <c r="E500" s="1279"/>
      <c r="F500" s="1321" t="s">
        <v>3797</v>
      </c>
    </row>
    <row r="501" spans="1:6" s="631" customFormat="1" ht="15" customHeight="1">
      <c r="A501" s="1355"/>
      <c r="B501" s="1273" t="s">
        <v>730</v>
      </c>
      <c r="C501" s="1458" t="s">
        <v>305</v>
      </c>
      <c r="D501" s="1459"/>
      <c r="E501" s="1312"/>
      <c r="F501" s="1276">
        <f>SUM(F483:F500)</f>
        <v>0</v>
      </c>
    </row>
    <row r="502" spans="1:6" s="631" customFormat="1">
      <c r="A502" s="1356"/>
      <c r="B502" s="1357"/>
      <c r="C502" s="1315"/>
      <c r="D502" s="1315"/>
      <c r="E502" s="1358"/>
      <c r="F502" s="1359"/>
    </row>
    <row r="503" spans="1:6" s="631" customFormat="1">
      <c r="A503" s="1360"/>
      <c r="B503" s="1357"/>
      <c r="C503" s="1315"/>
      <c r="D503" s="1315"/>
      <c r="E503" s="1358"/>
      <c r="F503" s="1359"/>
    </row>
    <row r="504" spans="1:6" s="631" customFormat="1" ht="27.6">
      <c r="A504" s="1267" t="s">
        <v>143</v>
      </c>
      <c r="B504" s="1268" t="s">
        <v>198</v>
      </c>
      <c r="C504" s="1269" t="s">
        <v>199</v>
      </c>
      <c r="D504" s="1269" t="s">
        <v>200</v>
      </c>
      <c r="E504" s="1270" t="s">
        <v>294</v>
      </c>
      <c r="F504" s="1271" t="s">
        <v>295</v>
      </c>
    </row>
    <row r="505" spans="1:6">
      <c r="A505" s="1284"/>
      <c r="B505" s="1362" t="s">
        <v>2161</v>
      </c>
      <c r="C505" s="1290"/>
      <c r="D505" s="1290"/>
      <c r="E505" s="1279"/>
      <c r="F505" s="1280"/>
    </row>
    <row r="506" spans="1:6" s="631" customFormat="1" ht="41.4">
      <c r="A506" s="1284">
        <f t="shared" ref="A506:A512" ca="1" si="100">IFERROR(IF(OFFSET(A506,-1,0)&gt;0,OFFSET(A506,-1,0)+0.001,ERROR.TYPE(0)),IFERROR(IF(OFFSET(A506,-2,0)&gt;0,OFFSET(A506,-2,0)+0.001,ERROR.TYPE(0)),IFERROR(IF(OFFSET(A506,-3,0)&gt;0,OFFSET(A506,-3,0)+0.001,ERROR.TYPE(0)),IFERROR(IF(OFFSET(A506,-4,0)&gt;0,OFFSET(A506,-4,0)+0.001,ERROR.TYPE(0)),IFERROR(IF(OFFSET(A506,-5,0)&gt;0,OFFSET(A506,-5,0)+0.001,ERROR.TYPE(0)),IFERROR(IF(OFFSET(A506,-6,0)&gt;0,OFFSET(A506,-6,0)+0.001,ERROR.TYPE(0)),IFERROR(IF(OFFSET(A506,-7,0)&gt;0,OFFSET(A506,-7,0)+0.001,ERROR.TYPE(0)),IFERROR(IF(OFFSET(A506,-8,0)&gt;0,OFFSET(A506,-8,0)+0.001,ERROR.TYPE(0)),IFERROR(IF(OFFSET(A506,-9,0)&gt;0,OFFSET(A506,-9,0)+0.001,ERROR.TYPE(0)),IFERROR(IF(OFFSET(A506,-10,0)&gt;0,OFFSET(A506,-10,0)+0.001,ERROR.TYPE(0)),ERROR.TYPE(0)))))))))))</f>
        <v>4.054000000000018</v>
      </c>
      <c r="B506" s="1353" t="s">
        <v>2147</v>
      </c>
      <c r="C506" s="1290">
        <v>1</v>
      </c>
      <c r="D506" s="1290" t="s">
        <v>2139</v>
      </c>
      <c r="E506" s="1279"/>
      <c r="F506" s="1280">
        <f>IFERROR($C506*E506,E506)</f>
        <v>0</v>
      </c>
    </row>
    <row r="507" spans="1:6" s="631" customFormat="1">
      <c r="A507" s="1284">
        <f t="shared" ca="1" si="100"/>
        <v>4.0550000000000184</v>
      </c>
      <c r="B507" s="1353" t="s">
        <v>2105</v>
      </c>
      <c r="C507" s="1290">
        <v>1</v>
      </c>
      <c r="D507" s="1290" t="s">
        <v>2139</v>
      </c>
      <c r="E507" s="1279"/>
      <c r="F507" s="1280">
        <f>IFERROR($C507*E507,E507)</f>
        <v>0</v>
      </c>
    </row>
    <row r="508" spans="1:6" s="631" customFormat="1" ht="27.6">
      <c r="A508" s="1284">
        <f t="shared" ca="1" si="100"/>
        <v>4.0560000000000187</v>
      </c>
      <c r="B508" s="1305" t="s">
        <v>2148</v>
      </c>
      <c r="C508" s="1290">
        <v>1</v>
      </c>
      <c r="D508" s="1290" t="s">
        <v>2139</v>
      </c>
      <c r="E508" s="1279"/>
      <c r="F508" s="1280">
        <f>IFERROR($C508*E508,E508)</f>
        <v>0</v>
      </c>
    </row>
    <row r="509" spans="1:6" s="631" customFormat="1" ht="138">
      <c r="A509" s="1284">
        <f t="shared" ca="1" si="100"/>
        <v>4.057000000000019</v>
      </c>
      <c r="B509" s="1353" t="s">
        <v>4055</v>
      </c>
      <c r="C509" s="1290">
        <v>1</v>
      </c>
      <c r="D509" s="1290" t="s">
        <v>2139</v>
      </c>
      <c r="E509" s="1279"/>
      <c r="F509" s="1280" t="s">
        <v>1016</v>
      </c>
    </row>
    <row r="510" spans="1:6" s="631" customFormat="1" ht="69">
      <c r="A510" s="1284">
        <f t="shared" ca="1" si="100"/>
        <v>4.0580000000000194</v>
      </c>
      <c r="B510" s="1353" t="s">
        <v>4047</v>
      </c>
      <c r="C510" s="1290">
        <v>1</v>
      </c>
      <c r="D510" s="1290" t="s">
        <v>2139</v>
      </c>
      <c r="E510" s="1279"/>
      <c r="F510" s="1280" t="s">
        <v>1016</v>
      </c>
    </row>
    <row r="511" spans="1:6" s="631" customFormat="1" ht="41.4">
      <c r="A511" s="1284">
        <f t="shared" ca="1" si="100"/>
        <v>4.0590000000000197</v>
      </c>
      <c r="B511" s="1357" t="s">
        <v>2149</v>
      </c>
      <c r="C511" s="1290">
        <v>1</v>
      </c>
      <c r="D511" s="1290" t="s">
        <v>2139</v>
      </c>
      <c r="E511" s="1279"/>
      <c r="F511" s="1280" t="s">
        <v>1016</v>
      </c>
    </row>
    <row r="512" spans="1:6" s="631" customFormat="1" ht="27.6">
      <c r="A512" s="1284">
        <f t="shared" ca="1" si="100"/>
        <v>4.06000000000002</v>
      </c>
      <c r="B512" s="1353" t="s">
        <v>2150</v>
      </c>
      <c r="C512" s="1290">
        <v>1</v>
      </c>
      <c r="D512" s="1290" t="s">
        <v>2139</v>
      </c>
      <c r="E512" s="1279"/>
      <c r="F512" s="1280" t="s">
        <v>1016</v>
      </c>
    </row>
    <row r="513" spans="1:6">
      <c r="A513" s="1284"/>
      <c r="B513" s="1362" t="s">
        <v>2162</v>
      </c>
      <c r="C513" s="1290"/>
      <c r="D513" s="1290"/>
      <c r="E513" s="1279"/>
      <c r="F513" s="1280"/>
    </row>
    <row r="514" spans="1:6" s="631" customFormat="1" ht="41.4">
      <c r="A514" s="1284">
        <f t="shared" ref="A514:A516" ca="1" si="101">IFERROR(IF(OFFSET(A514,-1,0)&gt;0,OFFSET(A514,-1,0)+0.001,ERROR.TYPE(0)),IFERROR(IF(OFFSET(A514,-2,0)&gt;0,OFFSET(A514,-2,0)+0.001,ERROR.TYPE(0)),IFERROR(IF(OFFSET(A514,-3,0)&gt;0,OFFSET(A514,-3,0)+0.001,ERROR.TYPE(0)),IFERROR(IF(OFFSET(A514,-4,0)&gt;0,OFFSET(A514,-4,0)+0.001,ERROR.TYPE(0)),IFERROR(IF(OFFSET(A514,-5,0)&gt;0,OFFSET(A514,-5,0)+0.001,ERROR.TYPE(0)),IFERROR(IF(OFFSET(A514,-6,0)&gt;0,OFFSET(A514,-6,0)+0.001,ERROR.TYPE(0)),IFERROR(IF(OFFSET(A514,-7,0)&gt;0,OFFSET(A514,-7,0)+0.001,ERROR.TYPE(0)),IFERROR(IF(OFFSET(A514,-8,0)&gt;0,OFFSET(A514,-8,0)+0.001,ERROR.TYPE(0)),IFERROR(IF(OFFSET(A514,-9,0)&gt;0,OFFSET(A514,-9,0)+0.001,ERROR.TYPE(0)),IFERROR(IF(OFFSET(A514,-10,0)&gt;0,OFFSET(A514,-10,0)+0.001,ERROR.TYPE(0)),ERROR.TYPE(0)))))))))))</f>
        <v>4.0610000000000204</v>
      </c>
      <c r="B514" s="1353" t="s">
        <v>2147</v>
      </c>
      <c r="C514" s="1290">
        <v>1</v>
      </c>
      <c r="D514" s="1290" t="s">
        <v>2139</v>
      </c>
      <c r="E514" s="1279"/>
      <c r="F514" s="1280">
        <f>IFERROR($C514*E514,E514)</f>
        <v>0</v>
      </c>
    </row>
    <row r="515" spans="1:6" s="631" customFormat="1">
      <c r="A515" s="1284">
        <f t="shared" ca="1" si="101"/>
        <v>4.0620000000000207</v>
      </c>
      <c r="B515" s="1353" t="s">
        <v>2105</v>
      </c>
      <c r="C515" s="1290">
        <v>1</v>
      </c>
      <c r="D515" s="1290" t="s">
        <v>2139</v>
      </c>
      <c r="E515" s="1279"/>
      <c r="F515" s="1280">
        <f>IFERROR($C515*E515,E515)</f>
        <v>0</v>
      </c>
    </row>
    <row r="516" spans="1:6" s="631" customFormat="1" ht="27.6">
      <c r="A516" s="1284">
        <f t="shared" ca="1" si="101"/>
        <v>4.063000000000021</v>
      </c>
      <c r="B516" s="1305" t="s">
        <v>2163</v>
      </c>
      <c r="C516" s="1290">
        <v>1</v>
      </c>
      <c r="D516" s="1290" t="s">
        <v>2139</v>
      </c>
      <c r="E516" s="1279"/>
      <c r="F516" s="1280">
        <f>IFERROR($C516*E516,E516)</f>
        <v>0</v>
      </c>
    </row>
    <row r="517" spans="1:6" s="631" customFormat="1">
      <c r="A517" s="1284"/>
      <c r="B517" s="1288" t="s">
        <v>379</v>
      </c>
      <c r="C517" s="1289"/>
      <c r="D517" s="1290"/>
      <c r="E517" s="1291"/>
      <c r="F517" s="1280"/>
    </row>
    <row r="518" spans="1:6" s="631" customFormat="1" ht="27.6">
      <c r="A518" s="1284">
        <f t="shared" ref="A518:A519" ca="1" si="102">IFERROR(IF(OFFSET(A518,-1,0,1,1)&gt;0,OFFSET(A518,-1,0,1,1)+0.001,ERROR.TYPE(0)),IFERROR(IF(OFFSET(A518,-2,0,1,1)&gt;0,OFFSET(A518,-2,0,1,1)+0.001,ERROR.TYPE(0)),IFERROR(IF(OFFSET(A518,-3,0,1,1)&gt;0,OFFSET(A518,-3,0,1,1)+0.001,ERROR.TYPE(0)),IFERROR(IF(OFFSET(A518,-4,0,1,1)&gt;0,OFFSET(A518,-4,0,1,1)+0.001,ERROR.TYPE(0)),IFERROR(IF(OFFSET(A518,-5,0,1,1)&gt;0,OFFSET(A518,-5,0,1,1)+0.001,ERROR.TYPE(0)),IFERROR(IF(OFFSET(A518,-6,0,1,1)&gt;0,OFFSET(A518,-6,0,1,1)+0.001,ERROR.TYPE(0)),IFERROR(IF(OFFSET(A518,-7,0,1,1)&gt;0,OFFSET(A518,-7,0,1,1)+0.001,ERROR.TYPE(0)),IFERROR(IF(OFFSET(A518,-8,0,1,1)&gt;0,OFFSET(A518,-8,0,1,1)+0.001,ERROR.TYPE(0)),IFERROR(IF(OFFSET(A518,-9,0,1,1)&gt;0,OFFSET(A518,-9,0,1,1)+0.001,ERROR.TYPE(0)),IFERROR(IF(OFFSET(A518,-10,0,1,1)&gt;0,OFFSET(A518,-10,0,1,1)+0.001,ERROR.TYPE(0)),ERROR.TYPE(0)))))))))))</f>
        <v>4.0640000000000214</v>
      </c>
      <c r="B518" s="1353" t="s">
        <v>381</v>
      </c>
      <c r="C518" s="1311">
        <v>1</v>
      </c>
      <c r="D518" s="1311" t="s">
        <v>299</v>
      </c>
      <c r="E518" s="1279"/>
      <c r="F518" s="1280">
        <f t="shared" ref="F518:F519" si="103">IFERROR($C518*E518,E518)</f>
        <v>0</v>
      </c>
    </row>
    <row r="519" spans="1:6" s="631" customFormat="1" ht="27.6">
      <c r="A519" s="1284">
        <f t="shared" ca="1" si="102"/>
        <v>4.0650000000000217</v>
      </c>
      <c r="B519" s="1353" t="s">
        <v>382</v>
      </c>
      <c r="C519" s="1311">
        <v>1</v>
      </c>
      <c r="D519" s="1311" t="s">
        <v>383</v>
      </c>
      <c r="E519" s="1279"/>
      <c r="F519" s="1280">
        <f t="shared" si="103"/>
        <v>0</v>
      </c>
    </row>
    <row r="520" spans="1:6" s="631" customFormat="1" ht="15" customHeight="1">
      <c r="A520" s="1355"/>
      <c r="B520" s="1273" t="s">
        <v>751</v>
      </c>
      <c r="C520" s="1458" t="s">
        <v>305</v>
      </c>
      <c r="D520" s="1459"/>
      <c r="E520" s="1312"/>
      <c r="F520" s="1276">
        <f>SUM(F506:F519)</f>
        <v>0</v>
      </c>
    </row>
    <row r="521" spans="1:6" s="631" customFormat="1">
      <c r="A521" s="1361"/>
      <c r="B521" s="1301"/>
      <c r="C521" s="1314"/>
      <c r="D521" s="1314"/>
      <c r="E521" s="1316"/>
      <c r="F521" s="1317"/>
    </row>
    <row r="522" spans="1:6" s="631" customFormat="1">
      <c r="A522" s="1355"/>
      <c r="B522" s="1273" t="s">
        <v>2164</v>
      </c>
      <c r="C522" s="1458" t="s">
        <v>305</v>
      </c>
      <c r="D522" s="1459"/>
      <c r="E522" s="1318"/>
      <c r="F522" s="1276">
        <f>F520+F501+F479+F461+F441</f>
        <v>0</v>
      </c>
    </row>
    <row r="523" spans="1:6">
      <c r="A523" s="874"/>
      <c r="B523" s="624"/>
      <c r="C523" s="682"/>
      <c r="D523" s="682"/>
      <c r="E523" s="684"/>
      <c r="F523" s="1131"/>
    </row>
    <row r="524" spans="1:6">
      <c r="A524" s="874"/>
      <c r="B524" s="624"/>
      <c r="C524" s="682"/>
      <c r="D524" s="683"/>
      <c r="E524" s="684"/>
      <c r="F524" s="1131"/>
    </row>
    <row r="525" spans="1:6" s="631" customFormat="1" ht="27.6">
      <c r="A525" s="634" t="s">
        <v>143</v>
      </c>
      <c r="B525" s="635" t="s">
        <v>198</v>
      </c>
      <c r="C525" s="636" t="s">
        <v>199</v>
      </c>
      <c r="D525" s="636" t="s">
        <v>200</v>
      </c>
      <c r="E525" s="637" t="s">
        <v>294</v>
      </c>
      <c r="F525" s="1122" t="s">
        <v>295</v>
      </c>
    </row>
    <row r="526" spans="1:6" s="631" customFormat="1">
      <c r="A526" s="638">
        <v>5</v>
      </c>
      <c r="B526" s="876" t="s">
        <v>2165</v>
      </c>
      <c r="C526" s="646"/>
      <c r="D526" s="646"/>
      <c r="E526" s="649"/>
      <c r="F526" s="1125"/>
    </row>
    <row r="527" spans="1:6" s="631" customFormat="1">
      <c r="A527" s="643"/>
      <c r="B527" s="714" t="s">
        <v>343</v>
      </c>
      <c r="C527" s="646"/>
      <c r="D527" s="646"/>
      <c r="E527" s="649"/>
      <c r="F527" s="1125"/>
    </row>
    <row r="528" spans="1:6" s="631" customFormat="1">
      <c r="A528" s="638"/>
      <c r="B528" s="672" t="s">
        <v>2166</v>
      </c>
      <c r="C528" s="646"/>
      <c r="D528" s="646"/>
      <c r="E528" s="649"/>
      <c r="F528" s="1125"/>
    </row>
    <row r="529" spans="1:6" s="631" customFormat="1">
      <c r="A529" s="638"/>
      <c r="B529" s="672" t="s">
        <v>2167</v>
      </c>
      <c r="C529" s="646"/>
      <c r="D529" s="646"/>
      <c r="E529" s="649"/>
      <c r="F529" s="1125"/>
    </row>
    <row r="530" spans="1:6" s="631" customFormat="1">
      <c r="A530" s="643">
        <f t="shared" ref="A530:A535" ca="1" si="104">IFERROR(IF(OFFSET(A530,-1,0)&gt;0,OFFSET(A530,-1,0)+0.001,ERROR.TYPE(0)),IFERROR(IF(OFFSET(A530,-2,0)&gt;0,OFFSET(A530,-2,0)+0.001,ERROR.TYPE(0)),IFERROR(IF(OFFSET(A530,-3,0)&gt;0,OFFSET(A530,-3,0)+0.001,ERROR.TYPE(0)),IFERROR(IF(OFFSET(A530,-4,0)&gt;0,OFFSET(A530,-4,0)+0.001,ERROR.TYPE(0)),IFERROR(IF(OFFSET(A530,-5,0)&gt;0,OFFSET(A530,-5,0)+0.001,ERROR.TYPE(0)),IFERROR(IF(OFFSET(A530,-6,0)&gt;0,OFFSET(A530,-6,0)+0.001,ERROR.TYPE(0)),IFERROR(IF(OFFSET(A530,-7,0)&gt;0,OFFSET(A530,-7,0)+0.001,ERROR.TYPE(0)),IFERROR(IF(OFFSET(A530,-8,0)&gt;0,OFFSET(A530,-8,0)+0.001,ERROR.TYPE(0)),IFERROR(IF(OFFSET(A530,-9,0)&gt;0,OFFSET(A530,-9,0)+0.001,ERROR.TYPE(0)),IFERROR(IF(OFFSET(A530,-10,0)&gt;0,OFFSET(A530,-10,0)+0.001,ERROR.TYPE(0)),ERROR.TYPE(0)))))))))))</f>
        <v>5.0010000000000003</v>
      </c>
      <c r="B530" s="648" t="s">
        <v>2168</v>
      </c>
      <c r="C530" s="646">
        <v>10</v>
      </c>
      <c r="D530" s="646" t="s">
        <v>141</v>
      </c>
      <c r="E530" s="649">
        <f>Elec_Est!E9824</f>
        <v>83.76</v>
      </c>
      <c r="F530" s="1125">
        <f t="shared" ref="F530:F535" si="105">IFERROR($C530*E530,E530)</f>
        <v>837.6</v>
      </c>
    </row>
    <row r="531" spans="1:6" s="631" customFormat="1">
      <c r="A531" s="643">
        <f t="shared" ca="1" si="104"/>
        <v>5.0020000000000007</v>
      </c>
      <c r="B531" s="648" t="s">
        <v>2169</v>
      </c>
      <c r="C531" s="646">
        <v>21</v>
      </c>
      <c r="D531" s="646" t="s">
        <v>141</v>
      </c>
      <c r="E531" s="649">
        <f>Elec_Est!E9830</f>
        <v>113.32</v>
      </c>
      <c r="F531" s="1125">
        <f t="shared" si="105"/>
        <v>2379.7199999999998</v>
      </c>
    </row>
    <row r="532" spans="1:6" s="631" customFormat="1">
      <c r="A532" s="638"/>
      <c r="B532" s="877" t="s">
        <v>4012</v>
      </c>
      <c r="C532" s="646"/>
      <c r="D532" s="646"/>
      <c r="E532" s="649"/>
      <c r="F532" s="1125"/>
    </row>
    <row r="533" spans="1:6" s="631" customFormat="1">
      <c r="A533" s="643">
        <f t="shared" ca="1" si="104"/>
        <v>5.003000000000001</v>
      </c>
      <c r="B533" s="648" t="s">
        <v>2168</v>
      </c>
      <c r="C533" s="646">
        <v>4</v>
      </c>
      <c r="D533" s="646" t="s">
        <v>141</v>
      </c>
      <c r="E533" s="649">
        <f>Elec_Est!E9840</f>
        <v>83.76</v>
      </c>
      <c r="F533" s="1125">
        <f t="shared" ref="F533:F534" si="106">IFERROR($C533*E533,E533)</f>
        <v>335.04</v>
      </c>
    </row>
    <row r="534" spans="1:6" s="631" customFormat="1">
      <c r="A534" s="1240">
        <f t="shared" ca="1" si="104"/>
        <v>5.0040000000000013</v>
      </c>
      <c r="B534" s="648" t="s">
        <v>2169</v>
      </c>
      <c r="C534" s="1242">
        <v>18</v>
      </c>
      <c r="D534" s="646" t="s">
        <v>141</v>
      </c>
      <c r="E534" s="649">
        <f>Elec_Est!E9846</f>
        <v>113.32</v>
      </c>
      <c r="F534" s="1125">
        <f t="shared" si="106"/>
        <v>2039.7599999999998</v>
      </c>
    </row>
    <row r="535" spans="1:6" s="631" customFormat="1">
      <c r="A535" s="643">
        <f t="shared" ca="1" si="104"/>
        <v>5.0050000000000017</v>
      </c>
      <c r="B535" s="648" t="s">
        <v>2171</v>
      </c>
      <c r="C535" s="646">
        <v>3</v>
      </c>
      <c r="D535" s="646" t="s">
        <v>141</v>
      </c>
      <c r="E535" s="649">
        <f>Elec_Est!E9852</f>
        <v>192.15</v>
      </c>
      <c r="F535" s="1125">
        <f t="shared" si="105"/>
        <v>576.45000000000005</v>
      </c>
    </row>
    <row r="536" spans="1:6" s="631" customFormat="1">
      <c r="A536" s="643"/>
      <c r="B536" s="714" t="s">
        <v>2172</v>
      </c>
      <c r="C536" s="646"/>
      <c r="D536" s="646"/>
      <c r="E536" s="649"/>
      <c r="F536" s="1125"/>
    </row>
    <row r="537" spans="1:6" s="631" customFormat="1">
      <c r="A537" s="643"/>
      <c r="B537" s="714" t="s">
        <v>347</v>
      </c>
      <c r="C537" s="646"/>
      <c r="D537" s="646"/>
      <c r="E537" s="649"/>
      <c r="F537" s="1125"/>
    </row>
    <row r="538" spans="1:6" s="631" customFormat="1">
      <c r="A538" s="638"/>
      <c r="B538" s="877" t="s">
        <v>2166</v>
      </c>
      <c r="C538" s="646"/>
      <c r="D538" s="646"/>
      <c r="E538" s="649"/>
      <c r="F538" s="1125"/>
    </row>
    <row r="539" spans="1:6" s="631" customFormat="1">
      <c r="A539" s="643">
        <f t="shared" ref="A539:A540" ca="1" si="107">IFERROR(IF(OFFSET(A539,-1,0)&gt;0,OFFSET(A539,-1,0)+0.001,ERROR.TYPE(0)),IFERROR(IF(OFFSET(A539,-2,0)&gt;0,OFFSET(A539,-2,0)+0.001,ERROR.TYPE(0)),IFERROR(IF(OFFSET(A539,-3,0)&gt;0,OFFSET(A539,-3,0)+0.001,ERROR.TYPE(0)),IFERROR(IF(OFFSET(A539,-4,0)&gt;0,OFFSET(A539,-4,0)+0.001,ERROR.TYPE(0)),IFERROR(IF(OFFSET(A539,-5,0)&gt;0,OFFSET(A539,-5,0)+0.001,ERROR.TYPE(0)),IFERROR(IF(OFFSET(A539,-6,0)&gt;0,OFFSET(A539,-6,0)+0.001,ERROR.TYPE(0)),IFERROR(IF(OFFSET(A539,-7,0)&gt;0,OFFSET(A539,-7,0)+0.001,ERROR.TYPE(0)),IFERROR(IF(OFFSET(A539,-8,0)&gt;0,OFFSET(A539,-8,0)+0.001,ERROR.TYPE(0)),IFERROR(IF(OFFSET(A539,-9,0)&gt;0,OFFSET(A539,-9,0)+0.001,ERROR.TYPE(0)),IFERROR(IF(OFFSET(A539,-10,0)&gt;0,OFFSET(A539,-10,0)+0.001,ERROR.TYPE(0)),ERROR.TYPE(0)))))))))))</f>
        <v>5.006000000000002</v>
      </c>
      <c r="B539" s="648" t="s">
        <v>2168</v>
      </c>
      <c r="C539" s="646">
        <v>6</v>
      </c>
      <c r="D539" s="646" t="s">
        <v>141</v>
      </c>
      <c r="E539" s="649">
        <f>Elec_Est!E9870</f>
        <v>83.76</v>
      </c>
      <c r="F539" s="1125">
        <f t="shared" ref="F539:F540" si="108">IFERROR($C539*E539,E539)</f>
        <v>502.56000000000006</v>
      </c>
    </row>
    <row r="540" spans="1:6" s="631" customFormat="1">
      <c r="A540" s="643">
        <f t="shared" ca="1" si="107"/>
        <v>5.0070000000000023</v>
      </c>
      <c r="B540" s="648" t="s">
        <v>2169</v>
      </c>
      <c r="C540" s="646">
        <v>7</v>
      </c>
      <c r="D540" s="646" t="s">
        <v>141</v>
      </c>
      <c r="E540" s="649">
        <f>Elec_Est!E9876</f>
        <v>123.17</v>
      </c>
      <c r="F540" s="1125">
        <f t="shared" si="108"/>
        <v>862.19</v>
      </c>
    </row>
    <row r="541" spans="1:6" s="631" customFormat="1">
      <c r="A541" s="643"/>
      <c r="B541" s="714" t="s">
        <v>362</v>
      </c>
      <c r="C541" s="646"/>
      <c r="D541" s="646"/>
      <c r="E541" s="649"/>
      <c r="F541" s="1125"/>
    </row>
    <row r="542" spans="1:6" s="631" customFormat="1">
      <c r="A542" s="638"/>
      <c r="B542" s="877" t="s">
        <v>2166</v>
      </c>
      <c r="C542" s="646"/>
      <c r="D542" s="646"/>
      <c r="E542" s="649"/>
      <c r="F542" s="1125"/>
    </row>
    <row r="543" spans="1:6" s="631" customFormat="1">
      <c r="A543" s="643">
        <f t="shared" ref="A543:A544" ca="1" si="109">IFERROR(IF(OFFSET(A543,-1,0)&gt;0,OFFSET(A543,-1,0)+0.001,ERROR.TYPE(0)),IFERROR(IF(OFFSET(A543,-2,0)&gt;0,OFFSET(A543,-2,0)+0.001,ERROR.TYPE(0)),IFERROR(IF(OFFSET(A543,-3,0)&gt;0,OFFSET(A543,-3,0)+0.001,ERROR.TYPE(0)),IFERROR(IF(OFFSET(A543,-4,0)&gt;0,OFFSET(A543,-4,0)+0.001,ERROR.TYPE(0)),IFERROR(IF(OFFSET(A543,-5,0)&gt;0,OFFSET(A543,-5,0)+0.001,ERROR.TYPE(0)),IFERROR(IF(OFFSET(A543,-6,0)&gt;0,OFFSET(A543,-6,0)+0.001,ERROR.TYPE(0)),IFERROR(IF(OFFSET(A543,-7,0)&gt;0,OFFSET(A543,-7,0)+0.001,ERROR.TYPE(0)),IFERROR(IF(OFFSET(A543,-8,0)&gt;0,OFFSET(A543,-8,0)+0.001,ERROR.TYPE(0)),IFERROR(IF(OFFSET(A543,-9,0)&gt;0,OFFSET(A543,-9,0)+0.001,ERROR.TYPE(0)),IFERROR(IF(OFFSET(A543,-10,0)&gt;0,OFFSET(A543,-10,0)+0.001,ERROR.TYPE(0)),ERROR.TYPE(0)))))))))))</f>
        <v>5.0080000000000027</v>
      </c>
      <c r="B543" s="648" t="s">
        <v>2168</v>
      </c>
      <c r="C543" s="646">
        <v>4</v>
      </c>
      <c r="D543" s="646" t="s">
        <v>141</v>
      </c>
      <c r="E543" s="649">
        <f>Elec_Est!E9890</f>
        <v>83.76</v>
      </c>
      <c r="F543" s="1125">
        <f>IFERROR($C543*E543,E543)</f>
        <v>335.04</v>
      </c>
    </row>
    <row r="544" spans="1:6" s="631" customFormat="1">
      <c r="A544" s="643">
        <f t="shared" ca="1" si="109"/>
        <v>5.009000000000003</v>
      </c>
      <c r="B544" s="648" t="s">
        <v>2171</v>
      </c>
      <c r="C544" s="646">
        <v>1</v>
      </c>
      <c r="D544" s="646" t="s">
        <v>141</v>
      </c>
      <c r="E544" s="649">
        <f>Elec_Est!E9896</f>
        <v>192.15</v>
      </c>
      <c r="F544" s="1125">
        <f>IFERROR($C544*E544,E544)</f>
        <v>192.15</v>
      </c>
    </row>
    <row r="545" spans="1:6" s="631" customFormat="1" ht="41.4">
      <c r="A545" s="643">
        <f ca="1">IFERROR(IF(OFFSET(A545,-1,0)&gt;0,OFFSET(A545,-1,0)+0.001,ERROR.TYPE(0)),IFERROR(IF(OFFSET(A545,-2,0)&gt;0,OFFSET(A545,-2,0)+0.001,ERROR.TYPE(0)),IFERROR(IF(OFFSET(A545,-3,0)&gt;0,OFFSET(A545,-3,0)+0.001,ERROR.TYPE(0)),IFERROR(IF(OFFSET(A545,-4,0)&gt;0,OFFSET(A545,-4,0)+0.001,ERROR.TYPE(0)),IFERROR(IF(OFFSET(A545,-5,0)&gt;0,OFFSET(A545,-5,0)+0.001,ERROR.TYPE(0)),IFERROR(IF(OFFSET(A545,-6,0)&gt;0,OFFSET(A545,-6,0)+0.001,ERROR.TYPE(0)),IFERROR(IF(OFFSET(A545,-7,0)&gt;0,OFFSET(A545,-7,0)+0.001,ERROR.TYPE(0)),IFERROR(IF(OFFSET(A545,-8,0)&gt;0,OFFSET(A545,-8,0)+0.001,ERROR.TYPE(0)),IFERROR(IF(OFFSET(A545,-9,0)&gt;0,OFFSET(A545,-9,0)+0.001,ERROR.TYPE(0)),IFERROR(IF(OFFSET(A545,-10,0)&gt;0,OFFSET(A545,-10,0)+0.001,ERROR.TYPE(0)),ERROR.TYPE(0)))))))))))</f>
        <v>5.0100000000000033</v>
      </c>
      <c r="B545" s="648" t="s">
        <v>2173</v>
      </c>
      <c r="C545" s="646">
        <v>2</v>
      </c>
      <c r="D545" s="646" t="s">
        <v>141</v>
      </c>
      <c r="E545" s="649">
        <f>Elec_Est!E9902</f>
        <v>793.23</v>
      </c>
      <c r="F545" s="1125">
        <f>IFERROR($C545*E545,E545)</f>
        <v>1586.46</v>
      </c>
    </row>
    <row r="546" spans="1:6" s="631" customFormat="1">
      <c r="A546" s="643"/>
      <c r="B546" s="714" t="s">
        <v>2174</v>
      </c>
      <c r="C546" s="646"/>
      <c r="D546" s="646"/>
      <c r="E546" s="649"/>
      <c r="F546" s="1125"/>
    </row>
    <row r="547" spans="1:6" s="631" customFormat="1">
      <c r="A547" s="643"/>
      <c r="B547" s="714" t="s">
        <v>368</v>
      </c>
      <c r="C547" s="646"/>
      <c r="D547" s="646"/>
      <c r="E547" s="649"/>
      <c r="F547" s="1125"/>
    </row>
    <row r="548" spans="1:6" s="631" customFormat="1">
      <c r="A548" s="638"/>
      <c r="B548" s="877" t="s">
        <v>2166</v>
      </c>
      <c r="C548" s="646"/>
      <c r="D548" s="646"/>
      <c r="E548" s="649"/>
      <c r="F548" s="1125"/>
    </row>
    <row r="549" spans="1:6" s="631" customFormat="1">
      <c r="A549" s="643">
        <f t="shared" ref="A549:A550" ca="1" si="110">IFERROR(IF(OFFSET(A549,-1,0)&gt;0,OFFSET(A549,-1,0)+0.001,ERROR.TYPE(0)),IFERROR(IF(OFFSET(A549,-2,0)&gt;0,OFFSET(A549,-2,0)+0.001,ERROR.TYPE(0)),IFERROR(IF(OFFSET(A549,-3,0)&gt;0,OFFSET(A549,-3,0)+0.001,ERROR.TYPE(0)),IFERROR(IF(OFFSET(A549,-4,0)&gt;0,OFFSET(A549,-4,0)+0.001,ERROR.TYPE(0)),IFERROR(IF(OFFSET(A549,-5,0)&gt;0,OFFSET(A549,-5,0)+0.001,ERROR.TYPE(0)),IFERROR(IF(OFFSET(A549,-6,0)&gt;0,OFFSET(A549,-6,0)+0.001,ERROR.TYPE(0)),IFERROR(IF(OFFSET(A549,-7,0)&gt;0,OFFSET(A549,-7,0)+0.001,ERROR.TYPE(0)),IFERROR(IF(OFFSET(A549,-8,0)&gt;0,OFFSET(A549,-8,0)+0.001,ERROR.TYPE(0)),IFERROR(IF(OFFSET(A549,-9,0)&gt;0,OFFSET(A549,-9,0)+0.001,ERROR.TYPE(0)),IFERROR(IF(OFFSET(A549,-10,0)&gt;0,OFFSET(A549,-10,0)+0.001,ERROR.TYPE(0)),ERROR.TYPE(0)))))))))))</f>
        <v>5.0110000000000037</v>
      </c>
      <c r="B549" s="648" t="s">
        <v>2168</v>
      </c>
      <c r="C549" s="646">
        <v>8</v>
      </c>
      <c r="D549" s="646" t="s">
        <v>141</v>
      </c>
      <c r="E549" s="649">
        <f>Elec_Est!E9920</f>
        <v>83.76</v>
      </c>
      <c r="F549" s="1125">
        <f>IFERROR($C549*E549,E549)</f>
        <v>670.08</v>
      </c>
    </row>
    <row r="550" spans="1:6" s="631" customFormat="1">
      <c r="A550" s="643">
        <f t="shared" ca="1" si="110"/>
        <v>5.012000000000004</v>
      </c>
      <c r="B550" s="648" t="s">
        <v>2175</v>
      </c>
      <c r="C550" s="646">
        <v>1</v>
      </c>
      <c r="D550" s="646" t="s">
        <v>141</v>
      </c>
      <c r="E550" s="649">
        <f>Elec_Est!E9926</f>
        <v>118.25</v>
      </c>
      <c r="F550" s="1125">
        <f>IFERROR($C550*E550,E550)</f>
        <v>118.25</v>
      </c>
    </row>
    <row r="551" spans="1:6" s="631" customFormat="1" ht="41.4">
      <c r="A551" s="643">
        <f ca="1">IFERROR(IF(OFFSET(A551,-1,0)&gt;0,OFFSET(A551,-1,0)+0.001,ERROR.TYPE(0)),IFERROR(IF(OFFSET(A551,-2,0)&gt;0,OFFSET(A551,-2,0)+0.001,ERROR.TYPE(0)),IFERROR(IF(OFFSET(A551,-3,0)&gt;0,OFFSET(A551,-3,0)+0.001,ERROR.TYPE(0)),IFERROR(IF(OFFSET(A551,-4,0)&gt;0,OFFSET(A551,-4,0)+0.001,ERROR.TYPE(0)),IFERROR(IF(OFFSET(A551,-5,0)&gt;0,OFFSET(A551,-5,0)+0.001,ERROR.TYPE(0)),IFERROR(IF(OFFSET(A551,-6,0)&gt;0,OFFSET(A551,-6,0)+0.001,ERROR.TYPE(0)),IFERROR(IF(OFFSET(A551,-7,0)&gt;0,OFFSET(A551,-7,0)+0.001,ERROR.TYPE(0)),IFERROR(IF(OFFSET(A551,-8,0)&gt;0,OFFSET(A551,-8,0)+0.001,ERROR.TYPE(0)),IFERROR(IF(OFFSET(A551,-9,0)&gt;0,OFFSET(A551,-9,0)+0.001,ERROR.TYPE(0)),IFERROR(IF(OFFSET(A551,-10,0)&gt;0,OFFSET(A551,-10,0)+0.001,ERROR.TYPE(0)),ERROR.TYPE(0)))))))))))</f>
        <v>5.0130000000000043</v>
      </c>
      <c r="B551" s="648" t="s">
        <v>2176</v>
      </c>
      <c r="C551" s="646">
        <v>1</v>
      </c>
      <c r="D551" s="646" t="s">
        <v>141</v>
      </c>
      <c r="E551" s="649">
        <f>Elec_Est!E9932</f>
        <v>561.66999999999996</v>
      </c>
      <c r="F551" s="1125">
        <f>IFERROR($C551*E551,E551)</f>
        <v>561.66999999999996</v>
      </c>
    </row>
    <row r="552" spans="1:6" s="631" customFormat="1">
      <c r="A552" s="643"/>
      <c r="B552" s="714" t="s">
        <v>2177</v>
      </c>
      <c r="C552" s="646"/>
      <c r="D552" s="646"/>
      <c r="E552" s="649"/>
      <c r="F552" s="1125"/>
    </row>
    <row r="553" spans="1:6" s="631" customFormat="1">
      <c r="A553" s="643"/>
      <c r="B553" s="714" t="s">
        <v>371</v>
      </c>
      <c r="C553" s="646"/>
      <c r="D553" s="646"/>
      <c r="E553" s="649"/>
      <c r="F553" s="1125"/>
    </row>
    <row r="554" spans="1:6" s="631" customFormat="1">
      <c r="A554" s="638"/>
      <c r="B554" s="877" t="s">
        <v>2166</v>
      </c>
      <c r="C554" s="646"/>
      <c r="D554" s="646"/>
      <c r="E554" s="649"/>
      <c r="F554" s="1125"/>
    </row>
    <row r="555" spans="1:6" s="631" customFormat="1">
      <c r="A555" s="643">
        <f t="shared" ref="A555:A556" ca="1" si="111">IFERROR(IF(OFFSET(A555,-1,0)&gt;0,OFFSET(A555,-1,0)+0.001,ERROR.TYPE(0)),IFERROR(IF(OFFSET(A555,-2,0)&gt;0,OFFSET(A555,-2,0)+0.001,ERROR.TYPE(0)),IFERROR(IF(OFFSET(A555,-3,0)&gt;0,OFFSET(A555,-3,0)+0.001,ERROR.TYPE(0)),IFERROR(IF(OFFSET(A555,-4,0)&gt;0,OFFSET(A555,-4,0)+0.001,ERROR.TYPE(0)),IFERROR(IF(OFFSET(A555,-5,0)&gt;0,OFFSET(A555,-5,0)+0.001,ERROR.TYPE(0)),IFERROR(IF(OFFSET(A555,-6,0)&gt;0,OFFSET(A555,-6,0)+0.001,ERROR.TYPE(0)),IFERROR(IF(OFFSET(A555,-7,0)&gt;0,OFFSET(A555,-7,0)+0.001,ERROR.TYPE(0)),IFERROR(IF(OFFSET(A555,-8,0)&gt;0,OFFSET(A555,-8,0)+0.001,ERROR.TYPE(0)),IFERROR(IF(OFFSET(A555,-9,0)&gt;0,OFFSET(A555,-9,0)+0.001,ERROR.TYPE(0)),IFERROR(IF(OFFSET(A555,-10,0)&gt;0,OFFSET(A555,-10,0)+0.001,ERROR.TYPE(0)),ERROR.TYPE(0)))))))))))</f>
        <v>5.0140000000000047</v>
      </c>
      <c r="B555" s="648" t="s">
        <v>2168</v>
      </c>
      <c r="C555" s="646">
        <v>5</v>
      </c>
      <c r="D555" s="646" t="s">
        <v>141</v>
      </c>
      <c r="E555" s="649">
        <f>Elec_Est!E9950</f>
        <v>83.76</v>
      </c>
      <c r="F555" s="1125">
        <f>IFERROR($C555*E555,E555)</f>
        <v>418.8</v>
      </c>
    </row>
    <row r="556" spans="1:6" s="631" customFormat="1">
      <c r="A556" s="643">
        <f t="shared" ca="1" si="111"/>
        <v>5.015000000000005</v>
      </c>
      <c r="B556" s="648" t="s">
        <v>2175</v>
      </c>
      <c r="C556" s="646">
        <v>1</v>
      </c>
      <c r="D556" s="646" t="s">
        <v>141</v>
      </c>
      <c r="E556" s="649">
        <f>Elec_Est!E9956</f>
        <v>118.25</v>
      </c>
      <c r="F556" s="1125">
        <f>IFERROR($C556*E556,E556)</f>
        <v>118.25</v>
      </c>
    </row>
    <row r="557" spans="1:6" s="631" customFormat="1">
      <c r="A557" s="643"/>
      <c r="B557" s="714" t="s">
        <v>2178</v>
      </c>
      <c r="C557" s="646"/>
      <c r="D557" s="646"/>
      <c r="E557" s="649"/>
      <c r="F557" s="1125"/>
    </row>
    <row r="558" spans="1:6" s="631" customFormat="1">
      <c r="A558" s="643"/>
      <c r="B558" s="714" t="s">
        <v>347</v>
      </c>
      <c r="C558" s="646"/>
      <c r="D558" s="646"/>
      <c r="E558" s="649"/>
      <c r="F558" s="1125"/>
    </row>
    <row r="559" spans="1:6" s="631" customFormat="1">
      <c r="A559" s="638"/>
      <c r="B559" s="877" t="s">
        <v>2166</v>
      </c>
      <c r="C559" s="646"/>
      <c r="D559" s="646"/>
      <c r="E559" s="649"/>
      <c r="F559" s="1125"/>
    </row>
    <row r="560" spans="1:6" s="631" customFormat="1">
      <c r="A560" s="643">
        <f t="shared" ref="A560:A570" ca="1" si="112">IFERROR(IF(OFFSET(A560,-1,0)&gt;0,OFFSET(A560,-1,0)+0.001,ERROR.TYPE(0)),IFERROR(IF(OFFSET(A560,-2,0)&gt;0,OFFSET(A560,-2,0)+0.001,ERROR.TYPE(0)),IFERROR(IF(OFFSET(A560,-3,0)&gt;0,OFFSET(A560,-3,0)+0.001,ERROR.TYPE(0)),IFERROR(IF(OFFSET(A560,-4,0)&gt;0,OFFSET(A560,-4,0)+0.001,ERROR.TYPE(0)),IFERROR(IF(OFFSET(A560,-5,0)&gt;0,OFFSET(A560,-5,0)+0.001,ERROR.TYPE(0)),IFERROR(IF(OFFSET(A560,-6,0)&gt;0,OFFSET(A560,-6,0)+0.001,ERROR.TYPE(0)),IFERROR(IF(OFFSET(A560,-7,0)&gt;0,OFFSET(A560,-7,0)+0.001,ERROR.TYPE(0)),IFERROR(IF(OFFSET(A560,-8,0)&gt;0,OFFSET(A560,-8,0)+0.001,ERROR.TYPE(0)),IFERROR(IF(OFFSET(A560,-9,0)&gt;0,OFFSET(A560,-9,0)+0.001,ERROR.TYPE(0)),IFERROR(IF(OFFSET(A560,-10,0)&gt;0,OFFSET(A560,-10,0)+0.001,ERROR.TYPE(0)),ERROR.TYPE(0)))))))))))</f>
        <v>5.0160000000000053</v>
      </c>
      <c r="B560" s="648" t="s">
        <v>2168</v>
      </c>
      <c r="C560" s="646">
        <v>3</v>
      </c>
      <c r="D560" s="646" t="s">
        <v>141</v>
      </c>
      <c r="E560" s="649">
        <f>Elec_Est!E9974</f>
        <v>83.76</v>
      </c>
      <c r="F560" s="1125">
        <f t="shared" ref="F560:F562" si="113">IFERROR($C560*E560,E560)</f>
        <v>251.28000000000003</v>
      </c>
    </row>
    <row r="561" spans="1:6" s="631" customFormat="1">
      <c r="A561" s="1243">
        <f t="shared" ca="1" si="112"/>
        <v>5.0170000000000057</v>
      </c>
      <c r="B561" s="648" t="s">
        <v>2169</v>
      </c>
      <c r="C561" s="1251">
        <v>69</v>
      </c>
      <c r="D561" s="646" t="s">
        <v>141</v>
      </c>
      <c r="E561" s="649">
        <f>Elec_Est!E9980</f>
        <v>123.17</v>
      </c>
      <c r="F561" s="1125">
        <f t="shared" si="113"/>
        <v>8498.73</v>
      </c>
    </row>
    <row r="562" spans="1:6" s="631" customFormat="1">
      <c r="A562" s="643">
        <f t="shared" ca="1" si="112"/>
        <v>5.018000000000006</v>
      </c>
      <c r="B562" s="648" t="s">
        <v>2171</v>
      </c>
      <c r="C562" s="646">
        <v>4</v>
      </c>
      <c r="D562" s="646" t="s">
        <v>141</v>
      </c>
      <c r="E562" s="649">
        <f>Elec_Est!E9986</f>
        <v>192.15</v>
      </c>
      <c r="F562" s="1125">
        <f t="shared" si="113"/>
        <v>768.6</v>
      </c>
    </row>
    <row r="563" spans="1:6" s="631" customFormat="1">
      <c r="A563" s="643"/>
      <c r="B563" s="714" t="s">
        <v>362</v>
      </c>
      <c r="C563" s="646"/>
      <c r="D563" s="646"/>
      <c r="E563" s="649"/>
      <c r="F563" s="1125"/>
    </row>
    <row r="564" spans="1:6" s="631" customFormat="1">
      <c r="A564" s="638"/>
      <c r="B564" s="877" t="s">
        <v>2166</v>
      </c>
      <c r="C564" s="646"/>
      <c r="D564" s="646"/>
      <c r="E564" s="649"/>
      <c r="F564" s="1125"/>
    </row>
    <row r="565" spans="1:6" s="631" customFormat="1">
      <c r="A565" s="643">
        <f t="shared" ca="1" si="112"/>
        <v>5.0190000000000063</v>
      </c>
      <c r="B565" s="648" t="s">
        <v>2168</v>
      </c>
      <c r="C565" s="646">
        <v>2</v>
      </c>
      <c r="D565" s="646" t="s">
        <v>141</v>
      </c>
      <c r="E565" s="649">
        <f>Elec_Est!E10000</f>
        <v>83.76</v>
      </c>
      <c r="F565" s="1125">
        <f t="shared" ref="F565:F566" si="114">IFERROR($C565*E565,E565)</f>
        <v>167.52</v>
      </c>
    </row>
    <row r="566" spans="1:6" s="631" customFormat="1">
      <c r="A566" s="643">
        <f t="shared" ca="1" si="112"/>
        <v>5.0200000000000067</v>
      </c>
      <c r="B566" s="648" t="s">
        <v>2175</v>
      </c>
      <c r="C566" s="646">
        <v>1</v>
      </c>
      <c r="D566" s="646" t="s">
        <v>141</v>
      </c>
      <c r="E566" s="649">
        <f>Elec_Est!E10006</f>
        <v>118.25</v>
      </c>
      <c r="F566" s="1125">
        <f t="shared" si="114"/>
        <v>118.25</v>
      </c>
    </row>
    <row r="567" spans="1:6" s="631" customFormat="1" ht="41.4">
      <c r="A567" s="643">
        <f ca="1">IFERROR(IF(OFFSET(A567,-1,0)&gt;0,OFFSET(A567,-1,0)+0.001,ERROR.TYPE(0)),IFERROR(IF(OFFSET(A567,-2,0)&gt;0,OFFSET(A567,-2,0)+0.001,ERROR.TYPE(0)),IFERROR(IF(OFFSET(A567,-3,0)&gt;0,OFFSET(A567,-3,0)+0.001,ERROR.TYPE(0)),IFERROR(IF(OFFSET(A567,-4,0)&gt;0,OFFSET(A567,-4,0)+0.001,ERROR.TYPE(0)),IFERROR(IF(OFFSET(A567,-5,0)&gt;0,OFFSET(A567,-5,0)+0.001,ERROR.TYPE(0)),IFERROR(IF(OFFSET(A567,-6,0)&gt;0,OFFSET(A567,-6,0)+0.001,ERROR.TYPE(0)),IFERROR(IF(OFFSET(A567,-7,0)&gt;0,OFFSET(A567,-7,0)+0.001,ERROR.TYPE(0)),IFERROR(IF(OFFSET(A567,-8,0)&gt;0,OFFSET(A567,-8,0)+0.001,ERROR.TYPE(0)),IFERROR(IF(OFFSET(A567,-9,0)&gt;0,OFFSET(A567,-9,0)+0.001,ERROR.TYPE(0)),IFERROR(IF(OFFSET(A567,-10,0)&gt;0,OFFSET(A567,-10,0)+0.001,ERROR.TYPE(0)),ERROR.TYPE(0)))))))))))</f>
        <v>5.021000000000007</v>
      </c>
      <c r="B567" s="648" t="s">
        <v>2179</v>
      </c>
      <c r="C567" s="646">
        <v>2</v>
      </c>
      <c r="D567" s="646" t="s">
        <v>141</v>
      </c>
      <c r="E567" s="649">
        <f>Elec_Est!E10012</f>
        <v>1724.42</v>
      </c>
      <c r="F567" s="1125">
        <f>IFERROR($C567*E567,E567)</f>
        <v>3448.84</v>
      </c>
    </row>
    <row r="568" spans="1:6" s="631" customFormat="1">
      <c r="A568" s="643"/>
      <c r="B568" s="714" t="s">
        <v>368</v>
      </c>
      <c r="C568" s="646"/>
      <c r="D568" s="646"/>
      <c r="E568" s="649"/>
      <c r="F568" s="1125"/>
    </row>
    <row r="569" spans="1:6" s="631" customFormat="1">
      <c r="A569" s="638"/>
      <c r="B569" s="877" t="s">
        <v>2166</v>
      </c>
      <c r="C569" s="646"/>
      <c r="D569" s="646"/>
      <c r="E569" s="649"/>
      <c r="F569" s="1125"/>
    </row>
    <row r="570" spans="1:6" s="631" customFormat="1">
      <c r="A570" s="643">
        <f t="shared" ca="1" si="112"/>
        <v>5.0220000000000073</v>
      </c>
      <c r="B570" s="648" t="s">
        <v>2169</v>
      </c>
      <c r="C570" s="646">
        <v>1</v>
      </c>
      <c r="D570" s="646" t="s">
        <v>141</v>
      </c>
      <c r="E570" s="649">
        <f>Elec_Est!E10026</f>
        <v>123.17</v>
      </c>
      <c r="F570" s="1125">
        <f t="shared" ref="F570" si="115">IFERROR($C570*E570,E570)</f>
        <v>123.17</v>
      </c>
    </row>
    <row r="571" spans="1:6" s="631" customFormat="1">
      <c r="A571" s="643"/>
      <c r="B571" s="668" t="s">
        <v>379</v>
      </c>
      <c r="C571" s="669"/>
      <c r="D571" s="646"/>
      <c r="E571" s="670"/>
      <c r="F571" s="1125"/>
    </row>
    <row r="572" spans="1:6" s="631" customFormat="1">
      <c r="A572" s="643">
        <f ca="1">IFERROR(IF(OFFSET(A572,-1,0)&gt;0,OFFSET(A572,-1,0)+0.001,ERROR.TYPE(0)),IFERROR(IF(OFFSET(A572,-2,0)&gt;0,OFFSET(A572,-2,0)+0.001,ERROR.TYPE(0)),IFERROR(IF(OFFSET(A572,-3,0)&gt;0,OFFSET(A572,-3,0)+0.001,ERROR.TYPE(0)),IFERROR(IF(OFFSET(A572,-4,0)&gt;0,OFFSET(A572,-4,0)+0.001,ERROR.TYPE(0)),IFERROR(IF(OFFSET(A572,-5,0)&gt;0,OFFSET(A572,-5,0)+0.001,ERROR.TYPE(0)),IFERROR(IF(OFFSET(A572,-6,0)&gt;0,OFFSET(A572,-6,0)+0.001,ERROR.TYPE(0)),IFERROR(IF(OFFSET(A572,-7,0)&gt;0,OFFSET(A572,-7,0)+0.001,ERROR.TYPE(0)),IFERROR(IF(OFFSET(A572,-8,0)&gt;0,OFFSET(A572,-8,0)+0.001,ERROR.TYPE(0)),IFERROR(IF(OFFSET(A572,-9,0)&gt;0,OFFSET(A572,-9,0)+0.001,ERROR.TYPE(0)),IFERROR(IF(OFFSET(A572,-10,0)&gt;0,OFFSET(A572,-10,0)+0.001,ERROR.TYPE(0)),ERROR.TYPE(0)))))))))))</f>
        <v>5.0230000000000077</v>
      </c>
      <c r="B572" s="648" t="s">
        <v>2180</v>
      </c>
      <c r="C572" s="646">
        <v>3</v>
      </c>
      <c r="D572" s="646" t="s">
        <v>141</v>
      </c>
      <c r="E572" s="649">
        <f>Elec_Est!E10036</f>
        <v>108.39</v>
      </c>
      <c r="F572" s="1125">
        <f>IFERROR($C572*E572,E572)</f>
        <v>325.17</v>
      </c>
    </row>
    <row r="573" spans="1:6" s="631" customFormat="1" ht="27.6">
      <c r="A573" s="643">
        <f t="shared" ref="A573:A574" ca="1" si="116">IFERROR(IF(OFFSET(A573,-1,0,1,1)&gt;0,OFFSET(A573,-1,0,1,1)+0.001,ERROR.TYPE(0)),IFERROR(IF(OFFSET(A573,-2,0,1,1)&gt;0,OFFSET(A573,-2,0,1,1)+0.001,ERROR.TYPE(0)),IFERROR(IF(OFFSET(A573,-3,0,1,1)&gt;0,OFFSET(A573,-3,0,1,1)+0.001,ERROR.TYPE(0)),IFERROR(IF(OFFSET(A573,-4,0,1,1)&gt;0,OFFSET(A573,-4,0,1,1)+0.001,ERROR.TYPE(0)),IFERROR(IF(OFFSET(A573,-5,0,1,1)&gt;0,OFFSET(A573,-5,0,1,1)+0.001,ERROR.TYPE(0)),IFERROR(IF(OFFSET(A573,-6,0,1,1)&gt;0,OFFSET(A573,-6,0,1,1)+0.001,ERROR.TYPE(0)),IFERROR(IF(OFFSET(A573,-7,0,1,1)&gt;0,OFFSET(A573,-7,0,1,1)+0.001,ERROR.TYPE(0)),IFERROR(IF(OFFSET(A573,-8,0,1,1)&gt;0,OFFSET(A573,-8,0,1,1)+0.001,ERROR.TYPE(0)),IFERROR(IF(OFFSET(A573,-9,0,1,1)&gt;0,OFFSET(A573,-9,0,1,1)+0.001,ERROR.TYPE(0)),IFERROR(IF(OFFSET(A573,-10,0,1,1)&gt;0,OFFSET(A573,-10,0,1,1)+0.001,ERROR.TYPE(0)),ERROR.TYPE(0)))))))))))</f>
        <v>5.024000000000008</v>
      </c>
      <c r="B573" s="657" t="s">
        <v>381</v>
      </c>
      <c r="C573" s="680">
        <v>1</v>
      </c>
      <c r="D573" s="680" t="s">
        <v>299</v>
      </c>
      <c r="E573" s="872">
        <f>Elec_Est!E10042</f>
        <v>788.31</v>
      </c>
      <c r="F573" s="1125">
        <f t="shared" ref="F573:F574" si="117">IFERROR($C573*E573,E573)</f>
        <v>788.31</v>
      </c>
    </row>
    <row r="574" spans="1:6" s="631" customFormat="1" ht="27.6">
      <c r="A574" s="643">
        <f t="shared" ca="1" si="116"/>
        <v>5.0250000000000083</v>
      </c>
      <c r="B574" s="657" t="s">
        <v>382</v>
      </c>
      <c r="C574" s="680">
        <v>1</v>
      </c>
      <c r="D574" s="680" t="s">
        <v>383</v>
      </c>
      <c r="E574" s="872">
        <f>Elec_Est!E10048</f>
        <v>349.83</v>
      </c>
      <c r="F574" s="1125">
        <f t="shared" si="117"/>
        <v>349.83</v>
      </c>
    </row>
    <row r="575" spans="1:6" s="631" customFormat="1" ht="15" customHeight="1">
      <c r="A575" s="867"/>
      <c r="B575" s="639" t="s">
        <v>789</v>
      </c>
      <c r="C575" s="1456" t="s">
        <v>305</v>
      </c>
      <c r="D575" s="1457"/>
      <c r="E575" s="652"/>
      <c r="F575" s="1123">
        <f>SUM(F527:F574)</f>
        <v>26373.719999999998</v>
      </c>
    </row>
    <row r="576" spans="1:6" s="631" customFormat="1">
      <c r="A576" s="873"/>
      <c r="B576" s="629"/>
      <c r="C576" s="661"/>
      <c r="D576" s="661"/>
      <c r="E576" s="662"/>
      <c r="F576" s="1127"/>
    </row>
    <row r="577" spans="1:6" s="631" customFormat="1">
      <c r="A577" s="867"/>
      <c r="B577" s="639" t="s">
        <v>2181</v>
      </c>
      <c r="C577" s="1456" t="s">
        <v>305</v>
      </c>
      <c r="D577" s="1457"/>
      <c r="E577" s="659"/>
      <c r="F577" s="1123">
        <f>F575</f>
        <v>26373.719999999998</v>
      </c>
    </row>
    <row r="578" spans="1:6">
      <c r="A578" s="874"/>
      <c r="B578" s="624"/>
      <c r="C578" s="682"/>
      <c r="D578" s="682"/>
      <c r="E578" s="684"/>
      <c r="F578" s="1131"/>
    </row>
    <row r="579" spans="1:6">
      <c r="A579" s="874"/>
      <c r="B579" s="624"/>
      <c r="C579" s="682"/>
      <c r="D579" s="683"/>
      <c r="E579" s="684"/>
      <c r="F579" s="1131"/>
    </row>
    <row r="580" spans="1:6" s="631" customFormat="1" ht="27.6">
      <c r="A580" s="634" t="s">
        <v>143</v>
      </c>
      <c r="B580" s="635" t="s">
        <v>198</v>
      </c>
      <c r="C580" s="636" t="s">
        <v>199</v>
      </c>
      <c r="D580" s="636" t="s">
        <v>200</v>
      </c>
      <c r="E580" s="637" t="s">
        <v>294</v>
      </c>
      <c r="F580" s="1122" t="s">
        <v>295</v>
      </c>
    </row>
    <row r="581" spans="1:6" s="631" customFormat="1">
      <c r="A581" s="638">
        <v>6</v>
      </c>
      <c r="B581" s="714" t="s">
        <v>2182</v>
      </c>
      <c r="C581" s="646"/>
      <c r="D581" s="646"/>
      <c r="E581" s="649"/>
      <c r="F581" s="1125"/>
    </row>
    <row r="582" spans="1:6" s="631" customFormat="1">
      <c r="A582" s="638"/>
      <c r="B582" s="878" t="s">
        <v>343</v>
      </c>
      <c r="C582" s="640"/>
      <c r="D582" s="640"/>
      <c r="E582" s="649"/>
      <c r="F582" s="1125"/>
    </row>
    <row r="583" spans="1:6" s="631" customFormat="1" ht="27.6">
      <c r="A583" s="643"/>
      <c r="B583" s="711" t="s">
        <v>2183</v>
      </c>
      <c r="C583" s="646"/>
      <c r="D583" s="646"/>
      <c r="E583" s="649"/>
      <c r="F583" s="1125"/>
    </row>
    <row r="584" spans="1:6" s="631" customFormat="1">
      <c r="A584" s="643">
        <f t="shared" ref="A584:A588" ca="1" si="118">IFERROR(IF(OFFSET(A584,-1,0)&gt;0,OFFSET(A584,-1,0)+0.001,ERROR.TYPE(0)),IFERROR(IF(OFFSET(A584,-2,0)&gt;0,OFFSET(A584,-2,0)+0.001,ERROR.TYPE(0)),IFERROR(IF(OFFSET(A584,-3,0)&gt;0,OFFSET(A584,-3,0)+0.001,ERROR.TYPE(0)),IFERROR(IF(OFFSET(A584,-4,0)&gt;0,OFFSET(A584,-4,0)+0.001,ERROR.TYPE(0)),IFERROR(IF(OFFSET(A584,-5,0)&gt;0,OFFSET(A584,-5,0)+0.001,ERROR.TYPE(0)),IFERROR(IF(OFFSET(A584,-6,0)&gt;0,OFFSET(A584,-6,0)+0.001,ERROR.TYPE(0)),IFERROR(IF(OFFSET(A584,-7,0)&gt;0,OFFSET(A584,-7,0)+0.001,ERROR.TYPE(0)),IFERROR(IF(OFFSET(A584,-8,0)&gt;0,OFFSET(A584,-8,0)+0.001,ERROR.TYPE(0)),IFERROR(IF(OFFSET(A584,-9,0)&gt;0,OFFSET(A584,-9,0)+0.001,ERROR.TYPE(0)),IFERROR(IF(OFFSET(A584,-10,0)&gt;0,OFFSET(A584,-10,0)+0.001,ERROR.TYPE(0)),ERROR.TYPE(0)))))))))))</f>
        <v>6.0010000000000003</v>
      </c>
      <c r="B584" s="678" t="s">
        <v>2184</v>
      </c>
      <c r="C584" s="646">
        <v>2</v>
      </c>
      <c r="D584" s="646" t="s">
        <v>329</v>
      </c>
      <c r="E584" s="649">
        <f ca="1">Elec_Est!E10080</f>
        <v>245.43</v>
      </c>
      <c r="F584" s="1125">
        <f t="shared" ref="F584" ca="1" si="119">IFERROR($C584*E584,E584)</f>
        <v>490.86</v>
      </c>
    </row>
    <row r="585" spans="1:6" s="631" customFormat="1" ht="41.4">
      <c r="A585" s="643"/>
      <c r="B585" s="711" t="s">
        <v>2185</v>
      </c>
      <c r="C585" s="646"/>
      <c r="D585" s="646"/>
      <c r="E585" s="649"/>
      <c r="F585" s="1125"/>
    </row>
    <row r="586" spans="1:6" s="631" customFormat="1">
      <c r="A586" s="643">
        <f t="shared" ca="1" si="118"/>
        <v>6.0020000000000007</v>
      </c>
      <c r="B586" s="678" t="s">
        <v>2184</v>
      </c>
      <c r="C586" s="646">
        <v>2</v>
      </c>
      <c r="D586" s="646" t="s">
        <v>329</v>
      </c>
      <c r="E586" s="649">
        <f>Elec_Est!E10091</f>
        <v>34.49</v>
      </c>
      <c r="F586" s="1125">
        <f t="shared" ref="F586" si="120">IFERROR($C586*E586,E586)</f>
        <v>68.98</v>
      </c>
    </row>
    <row r="587" spans="1:6" s="631" customFormat="1">
      <c r="A587" s="643"/>
      <c r="B587" s="711" t="s">
        <v>2186</v>
      </c>
      <c r="C587" s="646"/>
      <c r="D587" s="646"/>
      <c r="E587" s="649"/>
      <c r="F587" s="1125"/>
    </row>
    <row r="588" spans="1:6" s="631" customFormat="1">
      <c r="A588" s="643">
        <f t="shared" ca="1" si="118"/>
        <v>6.003000000000001</v>
      </c>
      <c r="B588" s="678" t="s">
        <v>2184</v>
      </c>
      <c r="C588" s="646">
        <v>2</v>
      </c>
      <c r="D588" s="646" t="s">
        <v>329</v>
      </c>
      <c r="E588" s="649">
        <f>Elec_Est!E10101</f>
        <v>211.86</v>
      </c>
      <c r="F588" s="1125">
        <f t="shared" ref="F588" si="121">IFERROR($C588*E588,E588)</f>
        <v>423.72</v>
      </c>
    </row>
    <row r="589" spans="1:6" s="631" customFormat="1">
      <c r="A589" s="638"/>
      <c r="B589" s="878" t="s">
        <v>347</v>
      </c>
      <c r="C589" s="640"/>
      <c r="D589" s="640"/>
      <c r="E589" s="649"/>
      <c r="F589" s="1125"/>
    </row>
    <row r="590" spans="1:6" s="631" customFormat="1" ht="27.6">
      <c r="A590" s="643"/>
      <c r="B590" s="711" t="s">
        <v>2183</v>
      </c>
      <c r="C590" s="646"/>
      <c r="D590" s="646"/>
      <c r="E590" s="649"/>
      <c r="F590" s="1125"/>
    </row>
    <row r="591" spans="1:6" s="631" customFormat="1">
      <c r="A591" s="643">
        <f t="shared" ref="A591" ca="1" si="122">IFERROR(IF(OFFSET(A591,-1,0)&gt;0,OFFSET(A591,-1,0)+0.001,ERROR.TYPE(0)),IFERROR(IF(OFFSET(A591,-2,0)&gt;0,OFFSET(A591,-2,0)+0.001,ERROR.TYPE(0)),IFERROR(IF(OFFSET(A591,-3,0)&gt;0,OFFSET(A591,-3,0)+0.001,ERROR.TYPE(0)),IFERROR(IF(OFFSET(A591,-4,0)&gt;0,OFFSET(A591,-4,0)+0.001,ERROR.TYPE(0)),IFERROR(IF(OFFSET(A591,-5,0)&gt;0,OFFSET(A591,-5,0)+0.001,ERROR.TYPE(0)),IFERROR(IF(OFFSET(A591,-6,0)&gt;0,OFFSET(A591,-6,0)+0.001,ERROR.TYPE(0)),IFERROR(IF(OFFSET(A591,-7,0)&gt;0,OFFSET(A591,-7,0)+0.001,ERROR.TYPE(0)),IFERROR(IF(OFFSET(A591,-8,0)&gt;0,OFFSET(A591,-8,0)+0.001,ERROR.TYPE(0)),IFERROR(IF(OFFSET(A591,-9,0)&gt;0,OFFSET(A591,-9,0)+0.001,ERROR.TYPE(0)),IFERROR(IF(OFFSET(A591,-10,0)&gt;0,OFFSET(A591,-10,0)+0.001,ERROR.TYPE(0)),ERROR.TYPE(0)))))))))))</f>
        <v>6.0040000000000013</v>
      </c>
      <c r="B591" s="678" t="s">
        <v>2184</v>
      </c>
      <c r="C591" s="646">
        <v>2</v>
      </c>
      <c r="D591" s="646" t="s">
        <v>329</v>
      </c>
      <c r="E591" s="649">
        <f ca="1">Elec_Est!E10115</f>
        <v>245.43</v>
      </c>
      <c r="F591" s="1125">
        <f t="shared" ref="F591" ca="1" si="123">IFERROR($C591*E591,E591)</f>
        <v>490.86</v>
      </c>
    </row>
    <row r="592" spans="1:6" s="631" customFormat="1" ht="41.4">
      <c r="A592" s="643"/>
      <c r="B592" s="711" t="s">
        <v>2187</v>
      </c>
      <c r="C592" s="646"/>
      <c r="D592" s="646"/>
      <c r="E592" s="649"/>
      <c r="F592" s="1125"/>
    </row>
    <row r="593" spans="1:6" s="631" customFormat="1">
      <c r="A593" s="643">
        <f t="shared" ref="A593:A843" ca="1" si="124">IFERROR(IF(OFFSET(A593,-1,0)&gt;0,OFFSET(A593,-1,0)+0.001,ERROR.TYPE(0)),IFERROR(IF(OFFSET(A593,-2,0)&gt;0,OFFSET(A593,-2,0)+0.001,ERROR.TYPE(0)),IFERROR(IF(OFFSET(A593,-3,0)&gt;0,OFFSET(A593,-3,0)+0.001,ERROR.TYPE(0)),IFERROR(IF(OFFSET(A593,-4,0)&gt;0,OFFSET(A593,-4,0)+0.001,ERROR.TYPE(0)),IFERROR(IF(OFFSET(A593,-5,0)&gt;0,OFFSET(A593,-5,0)+0.001,ERROR.TYPE(0)),IFERROR(IF(OFFSET(A593,-6,0)&gt;0,OFFSET(A593,-6,0)+0.001,ERROR.TYPE(0)),IFERROR(IF(OFFSET(A593,-7,0)&gt;0,OFFSET(A593,-7,0)+0.001,ERROR.TYPE(0)),IFERROR(IF(OFFSET(A593,-8,0)&gt;0,OFFSET(A593,-8,0)+0.001,ERROR.TYPE(0)),IFERROR(IF(OFFSET(A593,-9,0)&gt;0,OFFSET(A593,-9,0)+0.001,ERROR.TYPE(0)),IFERROR(IF(OFFSET(A593,-10,0)&gt;0,OFFSET(A593,-10,0)+0.001,ERROR.TYPE(0)),ERROR.TYPE(0)))))))))))</f>
        <v>6.0050000000000017</v>
      </c>
      <c r="B593" s="678" t="s">
        <v>2188</v>
      </c>
      <c r="C593" s="646">
        <v>2</v>
      </c>
      <c r="D593" s="646" t="s">
        <v>329</v>
      </c>
      <c r="E593" s="649">
        <f ca="1">Elec_Est!E10126</f>
        <v>36.97</v>
      </c>
      <c r="F593" s="1125">
        <f t="shared" ref="F593" ca="1" si="125">IFERROR($C593*E593,E593)</f>
        <v>73.94</v>
      </c>
    </row>
    <row r="594" spans="1:6" s="631" customFormat="1" ht="41.4">
      <c r="A594" s="643"/>
      <c r="B594" s="711" t="s">
        <v>2185</v>
      </c>
      <c r="C594" s="646"/>
      <c r="D594" s="646"/>
      <c r="E594" s="649"/>
      <c r="F594" s="1125"/>
    </row>
    <row r="595" spans="1:6" s="631" customFormat="1">
      <c r="A595" s="643">
        <f t="shared" ca="1" si="124"/>
        <v>6.006000000000002</v>
      </c>
      <c r="B595" s="678" t="s">
        <v>2188</v>
      </c>
      <c r="C595" s="646">
        <v>2</v>
      </c>
      <c r="D595" s="646" t="s">
        <v>329</v>
      </c>
      <c r="E595" s="649">
        <f>Elec_Est!E10137</f>
        <v>24.63</v>
      </c>
      <c r="F595" s="1125">
        <f t="shared" ref="F595:F596" si="126">IFERROR($C595*E595,E595)</f>
        <v>49.26</v>
      </c>
    </row>
    <row r="596" spans="1:6" s="631" customFormat="1">
      <c r="A596" s="643">
        <f t="shared" ca="1" si="124"/>
        <v>6.0070000000000023</v>
      </c>
      <c r="B596" s="678" t="s">
        <v>2184</v>
      </c>
      <c r="C596" s="646">
        <v>2</v>
      </c>
      <c r="D596" s="646" t="s">
        <v>329</v>
      </c>
      <c r="E596" s="649">
        <f>Elec_Est!E10143</f>
        <v>34.49</v>
      </c>
      <c r="F596" s="1125">
        <f t="shared" si="126"/>
        <v>68.98</v>
      </c>
    </row>
    <row r="597" spans="1:6" s="631" customFormat="1">
      <c r="A597" s="643"/>
      <c r="B597" s="711" t="s">
        <v>2186</v>
      </c>
      <c r="C597" s="646"/>
      <c r="D597" s="646"/>
      <c r="E597" s="649"/>
      <c r="F597" s="1125"/>
    </row>
    <row r="598" spans="1:6" s="631" customFormat="1">
      <c r="A598" s="643">
        <f t="shared" ca="1" si="124"/>
        <v>6.0080000000000027</v>
      </c>
      <c r="B598" s="678" t="s">
        <v>2188</v>
      </c>
      <c r="C598" s="646">
        <v>2</v>
      </c>
      <c r="D598" s="646" t="s">
        <v>329</v>
      </c>
      <c r="E598" s="649">
        <f>Elec_Est!E10153</f>
        <v>211.86</v>
      </c>
      <c r="F598" s="1125">
        <f t="shared" ref="F598:F599" si="127">IFERROR($C598*E598,E598)</f>
        <v>423.72</v>
      </c>
    </row>
    <row r="599" spans="1:6" s="631" customFormat="1">
      <c r="A599" s="643">
        <f t="shared" ca="1" si="124"/>
        <v>6.009000000000003</v>
      </c>
      <c r="B599" s="678" t="s">
        <v>2184</v>
      </c>
      <c r="C599" s="646">
        <v>2</v>
      </c>
      <c r="D599" s="646" t="s">
        <v>329</v>
      </c>
      <c r="E599" s="649">
        <f>Elec_Est!E10159</f>
        <v>211.86</v>
      </c>
      <c r="F599" s="1125">
        <f t="shared" si="127"/>
        <v>423.72</v>
      </c>
    </row>
    <row r="600" spans="1:6" s="631" customFormat="1">
      <c r="A600" s="638"/>
      <c r="B600" s="878" t="s">
        <v>362</v>
      </c>
      <c r="C600" s="640"/>
      <c r="D600" s="640"/>
      <c r="E600" s="649"/>
      <c r="F600" s="1125"/>
    </row>
    <row r="601" spans="1:6" s="631" customFormat="1" ht="41.4">
      <c r="A601" s="643"/>
      <c r="B601" s="711" t="s">
        <v>2187</v>
      </c>
      <c r="C601" s="646"/>
      <c r="D601" s="646"/>
      <c r="E601" s="649"/>
      <c r="F601" s="1125"/>
    </row>
    <row r="602" spans="1:6" s="631" customFormat="1">
      <c r="A602" s="643">
        <f ca="1">IFERROR(IF(OFFSET(A602,-1,0)&gt;0,OFFSET(A602,-1,0)+0.001,ERROR.TYPE(0)),IFERROR(IF(OFFSET(A602,-2,0)&gt;0,OFFSET(A602,-2,0)+0.001,ERROR.TYPE(0)),IFERROR(IF(OFFSET(A602,-3,0)&gt;0,OFFSET(A602,-3,0)+0.001,ERROR.TYPE(0)),IFERROR(IF(OFFSET(A602,-4,0)&gt;0,OFFSET(A602,-4,0)+0.001,ERROR.TYPE(0)),IFERROR(IF(OFFSET(A602,-5,0)&gt;0,OFFSET(A602,-5,0)+0.001,ERROR.TYPE(0)),IFERROR(IF(OFFSET(A602,-6,0)&gt;0,OFFSET(A602,-6,0)+0.001,ERROR.TYPE(0)),IFERROR(IF(OFFSET(A602,-7,0)&gt;0,OFFSET(A602,-7,0)+0.001,ERROR.TYPE(0)),IFERROR(IF(OFFSET(A602,-8,0)&gt;0,OFFSET(A602,-8,0)+0.001,ERROR.TYPE(0)),IFERROR(IF(OFFSET(A602,-9,0)&gt;0,OFFSET(A602,-9,0)+0.001,ERROR.TYPE(0)),IFERROR(IF(OFFSET(A602,-10,0)&gt;0,OFFSET(A602,-10,0)+0.001,ERROR.TYPE(0)),ERROR.TYPE(0)))))))))))</f>
        <v>6.0100000000000033</v>
      </c>
      <c r="B602" s="678" t="s">
        <v>2188</v>
      </c>
      <c r="C602" s="646">
        <v>4</v>
      </c>
      <c r="D602" s="646" t="s">
        <v>329</v>
      </c>
      <c r="E602" s="649">
        <f ca="1">Elec_Est!E10173</f>
        <v>36.97</v>
      </c>
      <c r="F602" s="1125">
        <f ca="1">IFERROR($C602*E602,E602)</f>
        <v>147.88</v>
      </c>
    </row>
    <row r="603" spans="1:6" s="631" customFormat="1">
      <c r="A603" s="643">
        <f t="shared" ca="1" si="124"/>
        <v>6.0110000000000037</v>
      </c>
      <c r="B603" s="678" t="s">
        <v>2189</v>
      </c>
      <c r="C603" s="646">
        <v>2</v>
      </c>
      <c r="D603" s="646" t="s">
        <v>329</v>
      </c>
      <c r="E603" s="649">
        <f ca="1">Elec_Est!E10180</f>
        <v>36.97</v>
      </c>
      <c r="F603" s="1125">
        <f t="shared" ref="F603" ca="1" si="128">IFERROR($C603*E603,E603)</f>
        <v>73.94</v>
      </c>
    </row>
    <row r="604" spans="1:6" s="631" customFormat="1" ht="41.4">
      <c r="A604" s="643"/>
      <c r="B604" s="711" t="s">
        <v>2185</v>
      </c>
      <c r="C604" s="646"/>
      <c r="D604" s="646"/>
      <c r="E604" s="649"/>
      <c r="F604" s="1125"/>
    </row>
    <row r="605" spans="1:6" s="631" customFormat="1">
      <c r="A605" s="643">
        <f t="shared" ca="1" si="124"/>
        <v>6.012000000000004</v>
      </c>
      <c r="B605" s="678" t="s">
        <v>2188</v>
      </c>
      <c r="C605" s="646">
        <v>4</v>
      </c>
      <c r="D605" s="646" t="s">
        <v>329</v>
      </c>
      <c r="E605" s="649">
        <f>Elec_Est!E10191</f>
        <v>24.63</v>
      </c>
      <c r="F605" s="1125">
        <f t="shared" ref="F605:F606" si="129">IFERROR($C605*E605,E605)</f>
        <v>98.52</v>
      </c>
    </row>
    <row r="606" spans="1:6" s="631" customFormat="1">
      <c r="A606" s="643">
        <f t="shared" ca="1" si="124"/>
        <v>6.0130000000000043</v>
      </c>
      <c r="B606" s="678" t="s">
        <v>2189</v>
      </c>
      <c r="C606" s="646">
        <v>2</v>
      </c>
      <c r="D606" s="646" t="s">
        <v>329</v>
      </c>
      <c r="E606" s="649">
        <f>Elec_Est!E10197</f>
        <v>24.63</v>
      </c>
      <c r="F606" s="1125">
        <f t="shared" si="129"/>
        <v>49.26</v>
      </c>
    </row>
    <row r="607" spans="1:6" s="631" customFormat="1">
      <c r="A607" s="643"/>
      <c r="B607" s="711" t="s">
        <v>2186</v>
      </c>
      <c r="C607" s="646"/>
      <c r="D607" s="646"/>
      <c r="E607" s="649"/>
      <c r="F607" s="1125"/>
    </row>
    <row r="608" spans="1:6" s="631" customFormat="1">
      <c r="A608" s="643">
        <f t="shared" ca="1" si="124"/>
        <v>6.0140000000000047</v>
      </c>
      <c r="B608" s="678" t="s">
        <v>2188</v>
      </c>
      <c r="C608" s="646">
        <v>4</v>
      </c>
      <c r="D608" s="646" t="s">
        <v>329</v>
      </c>
      <c r="E608" s="649">
        <f>Elec_Est!E10207</f>
        <v>211.86</v>
      </c>
      <c r="F608" s="1125">
        <f t="shared" ref="F608:F609" si="130">IFERROR($C608*E608,E608)</f>
        <v>847.44</v>
      </c>
    </row>
    <row r="609" spans="1:6" s="631" customFormat="1">
      <c r="A609" s="643">
        <f t="shared" ca="1" si="124"/>
        <v>6.015000000000005</v>
      </c>
      <c r="B609" s="678" t="s">
        <v>2189</v>
      </c>
      <c r="C609" s="646">
        <v>2</v>
      </c>
      <c r="D609" s="646" t="s">
        <v>329</v>
      </c>
      <c r="E609" s="649">
        <f>Elec_Est!E10213</f>
        <v>310.39999999999998</v>
      </c>
      <c r="F609" s="1125">
        <f t="shared" si="130"/>
        <v>620.79999999999995</v>
      </c>
    </row>
    <row r="610" spans="1:6" s="631" customFormat="1">
      <c r="A610" s="638"/>
      <c r="B610" s="878" t="s">
        <v>368</v>
      </c>
      <c r="C610" s="640"/>
      <c r="D610" s="640"/>
      <c r="E610" s="649"/>
      <c r="F610" s="1125"/>
    </row>
    <row r="611" spans="1:6" s="631" customFormat="1" ht="41.4">
      <c r="A611" s="643"/>
      <c r="B611" s="711" t="s">
        <v>2187</v>
      </c>
      <c r="C611" s="646"/>
      <c r="D611" s="646"/>
      <c r="E611" s="649"/>
      <c r="F611" s="1125"/>
    </row>
    <row r="612" spans="1:6" s="631" customFormat="1">
      <c r="A612" s="643">
        <f ca="1">IFERROR(IF(OFFSET(A612,-1,0)&gt;0,OFFSET(A612,-1,0)+0.001,ERROR.TYPE(0)),IFERROR(IF(OFFSET(A612,-2,0)&gt;0,OFFSET(A612,-2,0)+0.001,ERROR.TYPE(0)),IFERROR(IF(OFFSET(A612,-3,0)&gt;0,OFFSET(A612,-3,0)+0.001,ERROR.TYPE(0)),IFERROR(IF(OFFSET(A612,-4,0)&gt;0,OFFSET(A612,-4,0)+0.001,ERROR.TYPE(0)),IFERROR(IF(OFFSET(A612,-5,0)&gt;0,OFFSET(A612,-5,0)+0.001,ERROR.TYPE(0)),IFERROR(IF(OFFSET(A612,-6,0)&gt;0,OFFSET(A612,-6,0)+0.001,ERROR.TYPE(0)),IFERROR(IF(OFFSET(A612,-7,0)&gt;0,OFFSET(A612,-7,0)+0.001,ERROR.TYPE(0)),IFERROR(IF(OFFSET(A612,-8,0)&gt;0,OFFSET(A612,-8,0)+0.001,ERROR.TYPE(0)),IFERROR(IF(OFFSET(A612,-9,0)&gt;0,OFFSET(A612,-9,0)+0.001,ERROR.TYPE(0)),IFERROR(IF(OFFSET(A612,-10,0)&gt;0,OFFSET(A612,-10,0)+0.001,ERROR.TYPE(0)),ERROR.TYPE(0)))))))))))</f>
        <v>6.0160000000000053</v>
      </c>
      <c r="B612" s="678" t="s">
        <v>2188</v>
      </c>
      <c r="C612" s="646">
        <v>5</v>
      </c>
      <c r="D612" s="646" t="s">
        <v>329</v>
      </c>
      <c r="E612" s="649">
        <f ca="1">Elec_Est!E10227</f>
        <v>36.97</v>
      </c>
      <c r="F612" s="1125">
        <f ca="1">IFERROR($C612*E612,E612)</f>
        <v>184.85</v>
      </c>
    </row>
    <row r="613" spans="1:6" s="631" customFormat="1">
      <c r="A613" s="643">
        <f t="shared" ca="1" si="124"/>
        <v>6.0170000000000057</v>
      </c>
      <c r="B613" s="678" t="s">
        <v>2189</v>
      </c>
      <c r="C613" s="646">
        <v>1</v>
      </c>
      <c r="D613" s="646" t="s">
        <v>329</v>
      </c>
      <c r="E613" s="649">
        <f ca="1">Elec_Est!E10234</f>
        <v>36.97</v>
      </c>
      <c r="F613" s="1125">
        <f t="shared" ref="F613" ca="1" si="131">IFERROR($C613*E613,E613)</f>
        <v>36.97</v>
      </c>
    </row>
    <row r="614" spans="1:6" s="631" customFormat="1" ht="41.4">
      <c r="A614" s="643"/>
      <c r="B614" s="711" t="s">
        <v>2185</v>
      </c>
      <c r="C614" s="646"/>
      <c r="D614" s="646"/>
      <c r="E614" s="649"/>
      <c r="F614" s="1125"/>
    </row>
    <row r="615" spans="1:6" s="631" customFormat="1">
      <c r="A615" s="643">
        <f t="shared" ca="1" si="124"/>
        <v>6.018000000000006</v>
      </c>
      <c r="B615" s="678" t="s">
        <v>2188</v>
      </c>
      <c r="C615" s="646">
        <v>5</v>
      </c>
      <c r="D615" s="646" t="s">
        <v>329</v>
      </c>
      <c r="E615" s="649">
        <f>Elec_Est!E10245</f>
        <v>24.63</v>
      </c>
      <c r="F615" s="1125">
        <f t="shared" ref="F615:F616" si="132">IFERROR($C615*E615,E615)</f>
        <v>123.14999999999999</v>
      </c>
    </row>
    <row r="616" spans="1:6" s="631" customFormat="1">
      <c r="A616" s="643">
        <f t="shared" ca="1" si="124"/>
        <v>6.0190000000000063</v>
      </c>
      <c r="B616" s="678" t="s">
        <v>2189</v>
      </c>
      <c r="C616" s="646">
        <v>1</v>
      </c>
      <c r="D616" s="646" t="s">
        <v>329</v>
      </c>
      <c r="E616" s="649">
        <f>Elec_Est!E10251</f>
        <v>24.63</v>
      </c>
      <c r="F616" s="1125">
        <f t="shared" si="132"/>
        <v>24.63</v>
      </c>
    </row>
    <row r="617" spans="1:6" s="631" customFormat="1">
      <c r="A617" s="643"/>
      <c r="B617" s="711" t="s">
        <v>2186</v>
      </c>
      <c r="C617" s="646"/>
      <c r="D617" s="646"/>
      <c r="E617" s="649"/>
      <c r="F617" s="1125"/>
    </row>
    <row r="618" spans="1:6" s="631" customFormat="1">
      <c r="A618" s="643">
        <f t="shared" ca="1" si="124"/>
        <v>6.0200000000000067</v>
      </c>
      <c r="B618" s="678" t="s">
        <v>2188</v>
      </c>
      <c r="C618" s="646">
        <v>5</v>
      </c>
      <c r="D618" s="646" t="s">
        <v>329</v>
      </c>
      <c r="E618" s="649">
        <f>Elec_Est!E10261</f>
        <v>211.86</v>
      </c>
      <c r="F618" s="1125">
        <f t="shared" ref="F618:F619" si="133">IFERROR($C618*E618,E618)</f>
        <v>1059.3000000000002</v>
      </c>
    </row>
    <row r="619" spans="1:6" s="631" customFormat="1">
      <c r="A619" s="643">
        <f t="shared" ca="1" si="124"/>
        <v>6.021000000000007</v>
      </c>
      <c r="B619" s="678" t="s">
        <v>2189</v>
      </c>
      <c r="C619" s="646">
        <v>1</v>
      </c>
      <c r="D619" s="646" t="s">
        <v>329</v>
      </c>
      <c r="E619" s="649">
        <f>Elec_Est!E10267</f>
        <v>310.39999999999998</v>
      </c>
      <c r="F619" s="1125">
        <f t="shared" si="133"/>
        <v>310.39999999999998</v>
      </c>
    </row>
    <row r="620" spans="1:6" s="631" customFormat="1" ht="15" customHeight="1">
      <c r="A620" s="867"/>
      <c r="B620" s="639" t="s">
        <v>813</v>
      </c>
      <c r="C620" s="1456" t="s">
        <v>305</v>
      </c>
      <c r="D620" s="1457"/>
      <c r="E620" s="652"/>
      <c r="F620" s="1123">
        <f ca="1">SUM(F583:F619)</f>
        <v>6091.18</v>
      </c>
    </row>
    <row r="621" spans="1:6" s="631" customFormat="1">
      <c r="A621" s="868"/>
      <c r="B621" s="666"/>
      <c r="C621" s="654"/>
      <c r="D621" s="654"/>
      <c r="E621" s="655"/>
      <c r="F621" s="1126"/>
    </row>
    <row r="622" spans="1:6" s="631" customFormat="1">
      <c r="A622" s="653"/>
      <c r="B622" s="666"/>
      <c r="C622" s="654"/>
      <c r="D622" s="654"/>
      <c r="E622" s="655"/>
      <c r="F622" s="1126"/>
    </row>
    <row r="623" spans="1:6" s="631" customFormat="1" ht="27.6">
      <c r="A623" s="634" t="s">
        <v>143</v>
      </c>
      <c r="B623" s="635" t="s">
        <v>198</v>
      </c>
      <c r="C623" s="636" t="s">
        <v>199</v>
      </c>
      <c r="D623" s="636" t="s">
        <v>200</v>
      </c>
      <c r="E623" s="637" t="s">
        <v>294</v>
      </c>
      <c r="F623" s="1122" t="s">
        <v>295</v>
      </c>
    </row>
    <row r="624" spans="1:6" s="631" customFormat="1">
      <c r="A624" s="638"/>
      <c r="B624" s="878" t="s">
        <v>371</v>
      </c>
      <c r="C624" s="640"/>
      <c r="D624" s="640"/>
      <c r="E624" s="649"/>
      <c r="F624" s="1125"/>
    </row>
    <row r="625" spans="1:6" s="631" customFormat="1" ht="41.4">
      <c r="A625" s="643"/>
      <c r="B625" s="711" t="s">
        <v>2187</v>
      </c>
      <c r="C625" s="646"/>
      <c r="D625" s="646"/>
      <c r="E625" s="649"/>
      <c r="F625" s="1125"/>
    </row>
    <row r="626" spans="1:6" s="631" customFormat="1">
      <c r="A626" s="643">
        <f t="shared" ca="1" si="124"/>
        <v>6.0220000000000073</v>
      </c>
      <c r="B626" s="678" t="s">
        <v>2188</v>
      </c>
      <c r="C626" s="646">
        <v>1</v>
      </c>
      <c r="D626" s="646" t="s">
        <v>329</v>
      </c>
      <c r="E626" s="649">
        <f ca="1">Elec_Est!E10287</f>
        <v>36.97</v>
      </c>
      <c r="F626" s="1125">
        <f t="shared" ref="F626" ca="1" si="134">IFERROR($C626*E626,E626)</f>
        <v>36.97</v>
      </c>
    </row>
    <row r="627" spans="1:6" s="631" customFormat="1" ht="41.4">
      <c r="A627" s="643"/>
      <c r="B627" s="711" t="s">
        <v>2185</v>
      </c>
      <c r="C627" s="646"/>
      <c r="D627" s="646"/>
      <c r="E627" s="649"/>
      <c r="F627" s="1125"/>
    </row>
    <row r="628" spans="1:6" s="631" customFormat="1">
      <c r="A628" s="643">
        <f t="shared" ca="1" si="124"/>
        <v>6.0230000000000077</v>
      </c>
      <c r="B628" s="678" t="s">
        <v>2188</v>
      </c>
      <c r="C628" s="646">
        <v>1</v>
      </c>
      <c r="D628" s="646" t="s">
        <v>329</v>
      </c>
      <c r="E628" s="649">
        <f>Elec_Est!E10298</f>
        <v>24.63</v>
      </c>
      <c r="F628" s="1125">
        <f t="shared" ref="F628" si="135">IFERROR($C628*E628,E628)</f>
        <v>24.63</v>
      </c>
    </row>
    <row r="629" spans="1:6" s="631" customFormat="1">
      <c r="A629" s="643"/>
      <c r="B629" s="711" t="s">
        <v>2186</v>
      </c>
      <c r="C629" s="646"/>
      <c r="D629" s="646"/>
      <c r="E629" s="649"/>
      <c r="F629" s="1125"/>
    </row>
    <row r="630" spans="1:6" s="631" customFormat="1">
      <c r="A630" s="643">
        <f t="shared" ca="1" si="124"/>
        <v>6.024000000000008</v>
      </c>
      <c r="B630" s="678" t="s">
        <v>2188</v>
      </c>
      <c r="C630" s="646">
        <v>1</v>
      </c>
      <c r="D630" s="646" t="s">
        <v>329</v>
      </c>
      <c r="E630" s="649">
        <f>Elec_Est!E10308</f>
        <v>211.86</v>
      </c>
      <c r="F630" s="1125">
        <f t="shared" ref="F630" si="136">IFERROR($C630*E630,E630)</f>
        <v>211.86</v>
      </c>
    </row>
    <row r="631" spans="1:6" s="631" customFormat="1">
      <c r="A631" s="638"/>
      <c r="B631" s="878" t="s">
        <v>379</v>
      </c>
      <c r="C631" s="640"/>
      <c r="D631" s="640"/>
      <c r="E631" s="649"/>
      <c r="F631" s="1125"/>
    </row>
    <row r="632" spans="1:6" s="631" customFormat="1">
      <c r="A632" s="643"/>
      <c r="B632" s="711" t="s">
        <v>2186</v>
      </c>
      <c r="C632" s="646"/>
      <c r="D632" s="646"/>
      <c r="E632" s="649"/>
      <c r="F632" s="1125"/>
    </row>
    <row r="633" spans="1:6" s="631" customFormat="1" ht="27.6">
      <c r="A633" s="643">
        <f t="shared" ca="1" si="124"/>
        <v>6.0250000000000083</v>
      </c>
      <c r="B633" s="657" t="s">
        <v>2190</v>
      </c>
      <c r="C633" s="646">
        <v>1</v>
      </c>
      <c r="D633" s="646" t="s">
        <v>329</v>
      </c>
      <c r="E633" s="649">
        <f>Elec_Est!E10322</f>
        <v>739.04</v>
      </c>
      <c r="F633" s="1125">
        <f t="shared" ref="F633:F635" si="137">IFERROR($C633*E633,E633)</f>
        <v>739.04</v>
      </c>
    </row>
    <row r="634" spans="1:6" s="631" customFormat="1" ht="27.6">
      <c r="A634" s="643">
        <f t="shared" ca="1" si="124"/>
        <v>6.0260000000000087</v>
      </c>
      <c r="B634" s="657" t="s">
        <v>2191</v>
      </c>
      <c r="C634" s="646">
        <v>1</v>
      </c>
      <c r="D634" s="646" t="s">
        <v>329</v>
      </c>
      <c r="E634" s="649">
        <f>Elec_Est!E10328</f>
        <v>739.04</v>
      </c>
      <c r="F634" s="1125">
        <f t="shared" si="137"/>
        <v>739.04</v>
      </c>
    </row>
    <row r="635" spans="1:6" s="631" customFormat="1">
      <c r="A635" s="643">
        <f t="shared" ca="1" si="124"/>
        <v>6.027000000000009</v>
      </c>
      <c r="B635" s="657" t="s">
        <v>2192</v>
      </c>
      <c r="C635" s="646">
        <v>500</v>
      </c>
      <c r="D635" s="646" t="s">
        <v>329</v>
      </c>
      <c r="E635" s="649">
        <f>Elec_Est!E10334</f>
        <v>0.99</v>
      </c>
      <c r="F635" s="1125">
        <f t="shared" si="137"/>
        <v>495</v>
      </c>
    </row>
    <row r="636" spans="1:6" s="631" customFormat="1" ht="41.4">
      <c r="A636" s="643">
        <f ca="1">IFERROR(IF(OFFSET(A636,-1,0)&gt;0,OFFSET(A636,-1,0)+0.001,ERROR.TYPE(0)),IFERROR(IF(OFFSET(A636,-2,0)&gt;0,OFFSET(A636,-2,0)+0.001,ERROR.TYPE(0)),IFERROR(IF(OFFSET(A636,-3,0)&gt;0,OFFSET(A636,-3,0)+0.001,ERROR.TYPE(0)),IFERROR(IF(OFFSET(A636,-4,0)&gt;0,OFFSET(A636,-4,0)+0.001,ERROR.TYPE(0)),IFERROR(IF(OFFSET(A636,-5,0)&gt;0,OFFSET(A636,-5,0)+0.001,ERROR.TYPE(0)),IFERROR(IF(OFFSET(A636,-6,0)&gt;0,OFFSET(A636,-6,0)+0.001,ERROR.TYPE(0)),IFERROR(IF(OFFSET(A636,-7,0)&gt;0,OFFSET(A636,-7,0)+0.001,ERROR.TYPE(0)),IFERROR(IF(OFFSET(A636,-8,0)&gt;0,OFFSET(A636,-8,0)+0.001,ERROR.TYPE(0)),IFERROR(IF(OFFSET(A636,-9,0)&gt;0,OFFSET(A636,-9,0)+0.001,ERROR.TYPE(0)),IFERROR(IF(OFFSET(A636,-10,0)&gt;0,OFFSET(A636,-10,0)+0.001,ERROR.TYPE(0)),ERROR.TYPE(0)))))))))))</f>
        <v>6.0280000000000094</v>
      </c>
      <c r="B636" s="648" t="s">
        <v>2193</v>
      </c>
      <c r="C636" s="646">
        <v>2</v>
      </c>
      <c r="D636" s="646" t="s">
        <v>329</v>
      </c>
      <c r="E636" s="649">
        <f>Elec_Est!E10340</f>
        <v>180.04</v>
      </c>
      <c r="F636" s="1125">
        <f>IFERROR($C636*E636,E636)</f>
        <v>360.08</v>
      </c>
    </row>
    <row r="637" spans="1:6" s="631" customFormat="1" ht="41.4">
      <c r="A637" s="643">
        <f ca="1">IFERROR(IF(OFFSET(A637,-1,0)&gt;0,OFFSET(A637,-1,0)+0.001,ERROR.TYPE(0)),IFERROR(IF(OFFSET(A637,-2,0)&gt;0,OFFSET(A637,-2,0)+0.001,ERROR.TYPE(0)),IFERROR(IF(OFFSET(A637,-3,0)&gt;0,OFFSET(A637,-3,0)+0.001,ERROR.TYPE(0)),IFERROR(IF(OFFSET(A637,-4,0)&gt;0,OFFSET(A637,-4,0)+0.001,ERROR.TYPE(0)),IFERROR(IF(OFFSET(A637,-5,0)&gt;0,OFFSET(A637,-5,0)+0.001,ERROR.TYPE(0)),IFERROR(IF(OFFSET(A637,-6,0)&gt;0,OFFSET(A637,-6,0)+0.001,ERROR.TYPE(0)),IFERROR(IF(OFFSET(A637,-7,0)&gt;0,OFFSET(A637,-7,0)+0.001,ERROR.TYPE(0)),IFERROR(IF(OFFSET(A637,-8,0)&gt;0,OFFSET(A637,-8,0)+0.001,ERROR.TYPE(0)),IFERROR(IF(OFFSET(A637,-9,0)&gt;0,OFFSET(A637,-9,0)+0.001,ERROR.TYPE(0)),IFERROR(IF(OFFSET(A637,-10,0)&gt;0,OFFSET(A637,-10,0)+0.001,ERROR.TYPE(0)),ERROR.TYPE(0)))))))))))</f>
        <v>6.0290000000000097</v>
      </c>
      <c r="B637" s="648" t="s">
        <v>2194</v>
      </c>
      <c r="C637" s="646">
        <v>2</v>
      </c>
      <c r="D637" s="646" t="s">
        <v>329</v>
      </c>
      <c r="E637" s="649">
        <f>Elec_Est!E10346</f>
        <v>140.03</v>
      </c>
      <c r="F637" s="1125">
        <f>IFERROR($C637*E637,E637)</f>
        <v>280.06</v>
      </c>
    </row>
    <row r="638" spans="1:6" s="631" customFormat="1" ht="27.6">
      <c r="A638" s="643">
        <f t="shared" ref="A638:A639" ca="1" si="138">IFERROR(IF(OFFSET(A638,-1,0,1,1)&gt;0,OFFSET(A638,-1,0,1,1)+0.001,ERROR.TYPE(0)),IFERROR(IF(OFFSET(A638,-2,0,1,1)&gt;0,OFFSET(A638,-2,0,1,1)+0.001,ERROR.TYPE(0)),IFERROR(IF(OFFSET(A638,-3,0,1,1)&gt;0,OFFSET(A638,-3,0,1,1)+0.001,ERROR.TYPE(0)),IFERROR(IF(OFFSET(A638,-4,0,1,1)&gt;0,OFFSET(A638,-4,0,1,1)+0.001,ERROR.TYPE(0)),IFERROR(IF(OFFSET(A638,-5,0,1,1)&gt;0,OFFSET(A638,-5,0,1,1)+0.001,ERROR.TYPE(0)),IFERROR(IF(OFFSET(A638,-6,0,1,1)&gt;0,OFFSET(A638,-6,0,1,1)+0.001,ERROR.TYPE(0)),IFERROR(IF(OFFSET(A638,-7,0,1,1)&gt;0,OFFSET(A638,-7,0,1,1)+0.001,ERROR.TYPE(0)),IFERROR(IF(OFFSET(A638,-8,0,1,1)&gt;0,OFFSET(A638,-8,0,1,1)+0.001,ERROR.TYPE(0)),IFERROR(IF(OFFSET(A638,-9,0,1,1)&gt;0,OFFSET(A638,-9,0,1,1)+0.001,ERROR.TYPE(0)),IFERROR(IF(OFFSET(A638,-10,0,1,1)&gt;0,OFFSET(A638,-10,0,1,1)+0.001,ERROR.TYPE(0)),ERROR.TYPE(0)))))))))))</f>
        <v>6.03000000000001</v>
      </c>
      <c r="B638" s="657" t="s">
        <v>381</v>
      </c>
      <c r="C638" s="680">
        <v>1</v>
      </c>
      <c r="D638" s="680" t="s">
        <v>299</v>
      </c>
      <c r="E638" s="872">
        <f>Elec_Est!E10352</f>
        <v>985.38</v>
      </c>
      <c r="F638" s="1125">
        <f t="shared" ref="F638:F639" si="139">IFERROR($C638*E638,E638)</f>
        <v>985.38</v>
      </c>
    </row>
    <row r="639" spans="1:6" s="631" customFormat="1" ht="27.6">
      <c r="A639" s="643">
        <f t="shared" ca="1" si="138"/>
        <v>6.0310000000000104</v>
      </c>
      <c r="B639" s="657" t="s">
        <v>382</v>
      </c>
      <c r="C639" s="680">
        <v>1</v>
      </c>
      <c r="D639" s="680" t="s">
        <v>383</v>
      </c>
      <c r="E639" s="872">
        <f>Elec_Est!E10358</f>
        <v>349.83</v>
      </c>
      <c r="F639" s="1125">
        <f t="shared" si="139"/>
        <v>349.83</v>
      </c>
    </row>
    <row r="640" spans="1:6" s="631" customFormat="1" ht="15" customHeight="1">
      <c r="A640" s="867"/>
      <c r="B640" s="639" t="s">
        <v>827</v>
      </c>
      <c r="C640" s="1456" t="s">
        <v>305</v>
      </c>
      <c r="D640" s="1457"/>
      <c r="E640" s="652"/>
      <c r="F640" s="1123">
        <f ca="1">SUM(F625:F639)</f>
        <v>4221.8900000000003</v>
      </c>
    </row>
    <row r="641" spans="1:6" s="631" customFormat="1">
      <c r="A641" s="873"/>
      <c r="B641" s="629"/>
      <c r="C641" s="661"/>
      <c r="D641" s="661"/>
      <c r="E641" s="662"/>
      <c r="F641" s="1127"/>
    </row>
    <row r="642" spans="1:6" s="631" customFormat="1">
      <c r="A642" s="867"/>
      <c r="B642" s="639" t="s">
        <v>2195</v>
      </c>
      <c r="C642" s="1456" t="s">
        <v>305</v>
      </c>
      <c r="D642" s="1457"/>
      <c r="E642" s="659"/>
      <c r="F642" s="1123">
        <f ca="1">F640+F620</f>
        <v>10313.07</v>
      </c>
    </row>
    <row r="643" spans="1:6" s="631" customFormat="1">
      <c r="A643" s="873"/>
      <c r="B643" s="629"/>
      <c r="C643" s="661"/>
      <c r="D643" s="661"/>
      <c r="E643" s="662"/>
      <c r="F643" s="1127"/>
    </row>
    <row r="644" spans="1:6">
      <c r="A644" s="874"/>
      <c r="B644" s="624"/>
      <c r="C644" s="682"/>
      <c r="D644" s="683"/>
      <c r="E644" s="684"/>
      <c r="F644" s="1131"/>
    </row>
    <row r="645" spans="1:6" s="631" customFormat="1" ht="27.6">
      <c r="A645" s="634" t="s">
        <v>143</v>
      </c>
      <c r="B645" s="635" t="s">
        <v>198</v>
      </c>
      <c r="C645" s="636" t="s">
        <v>199</v>
      </c>
      <c r="D645" s="636" t="s">
        <v>200</v>
      </c>
      <c r="E645" s="637" t="s">
        <v>294</v>
      </c>
      <c r="F645" s="1122" t="s">
        <v>295</v>
      </c>
    </row>
    <row r="646" spans="1:6" s="631" customFormat="1">
      <c r="A646" s="638">
        <v>7</v>
      </c>
      <c r="B646" s="714" t="s">
        <v>2196</v>
      </c>
      <c r="C646" s="646"/>
      <c r="D646" s="646"/>
      <c r="E646" s="649"/>
      <c r="F646" s="1125"/>
    </row>
    <row r="647" spans="1:6">
      <c r="A647" s="875"/>
      <c r="B647" s="878" t="s">
        <v>347</v>
      </c>
      <c r="C647" s="879"/>
      <c r="D647" s="879"/>
      <c r="E647" s="869"/>
      <c r="F647" s="1256"/>
    </row>
    <row r="648" spans="1:6" s="631" customFormat="1" ht="27.6">
      <c r="A648" s="643"/>
      <c r="B648" s="711" t="s">
        <v>2183</v>
      </c>
      <c r="C648" s="646"/>
      <c r="D648" s="646"/>
      <c r="E648" s="649"/>
      <c r="F648" s="1125"/>
    </row>
    <row r="649" spans="1:6" s="631" customFormat="1">
      <c r="A649" s="643">
        <f t="shared" ca="1" si="124"/>
        <v>7.0010000000000003</v>
      </c>
      <c r="B649" s="678" t="s">
        <v>2197</v>
      </c>
      <c r="C649" s="646">
        <v>2</v>
      </c>
      <c r="D649" s="646" t="s">
        <v>329</v>
      </c>
      <c r="E649" s="649">
        <f>Elec_Est!E10390</f>
        <v>122.72</v>
      </c>
      <c r="F649" s="1125">
        <f t="shared" ref="F649" si="140">IFERROR($C649*E649,E649)</f>
        <v>245.44</v>
      </c>
    </row>
    <row r="650" spans="1:6" s="631" customFormat="1" ht="41.4">
      <c r="A650" s="643"/>
      <c r="B650" s="711" t="s">
        <v>2187</v>
      </c>
      <c r="C650" s="646"/>
      <c r="D650" s="646"/>
      <c r="E650" s="649"/>
      <c r="F650" s="1125"/>
    </row>
    <row r="651" spans="1:6" s="631" customFormat="1">
      <c r="A651" s="643">
        <f t="shared" ca="1" si="124"/>
        <v>7.0020000000000007</v>
      </c>
      <c r="B651" s="678" t="s">
        <v>2198</v>
      </c>
      <c r="C651" s="646">
        <v>1</v>
      </c>
      <c r="D651" s="646" t="s">
        <v>329</v>
      </c>
      <c r="E651" s="649">
        <f>Elec_Est!E10400</f>
        <v>40.01</v>
      </c>
      <c r="F651" s="1125">
        <f t="shared" ref="F651:F652" si="141">IFERROR($C651*E651,E651)</f>
        <v>40.01</v>
      </c>
    </row>
    <row r="652" spans="1:6" s="631" customFormat="1">
      <c r="A652" s="643">
        <f t="shared" ca="1" si="124"/>
        <v>7.003000000000001</v>
      </c>
      <c r="B652" s="678" t="s">
        <v>2199</v>
      </c>
      <c r="C652" s="646">
        <v>2</v>
      </c>
      <c r="D652" s="646" t="s">
        <v>329</v>
      </c>
      <c r="E652" s="649">
        <f>Elec_Est!E10406</f>
        <v>40.01</v>
      </c>
      <c r="F652" s="1125">
        <f t="shared" si="141"/>
        <v>80.02</v>
      </c>
    </row>
    <row r="653" spans="1:6" s="631" customFormat="1" ht="41.4">
      <c r="A653" s="643"/>
      <c r="B653" s="711" t="s">
        <v>2185</v>
      </c>
      <c r="C653" s="646"/>
      <c r="D653" s="646"/>
      <c r="E653" s="649"/>
      <c r="F653" s="1125"/>
    </row>
    <row r="654" spans="1:6" s="631" customFormat="1">
      <c r="A654" s="643">
        <f t="shared" ca="1" si="124"/>
        <v>7.0040000000000013</v>
      </c>
      <c r="B654" s="678" t="s">
        <v>2197</v>
      </c>
      <c r="C654" s="646">
        <v>2</v>
      </c>
      <c r="D654" s="646" t="s">
        <v>329</v>
      </c>
      <c r="E654" s="649">
        <f>Elec_Est!E10416</f>
        <v>34.49</v>
      </c>
      <c r="F654" s="1125">
        <f t="shared" ref="F654:F656" si="142">IFERROR($C654*E654,E654)</f>
        <v>68.98</v>
      </c>
    </row>
    <row r="655" spans="1:6" s="631" customFormat="1">
      <c r="A655" s="643">
        <f t="shared" ca="1" si="124"/>
        <v>7.0050000000000017</v>
      </c>
      <c r="B655" s="678" t="s">
        <v>2198</v>
      </c>
      <c r="C655" s="646">
        <v>1</v>
      </c>
      <c r="D655" s="646" t="s">
        <v>329</v>
      </c>
      <c r="E655" s="649">
        <f>Elec_Est!E10422</f>
        <v>24.63</v>
      </c>
      <c r="F655" s="1125">
        <f t="shared" si="142"/>
        <v>24.63</v>
      </c>
    </row>
    <row r="656" spans="1:6" s="631" customFormat="1">
      <c r="A656" s="643">
        <f t="shared" ca="1" si="124"/>
        <v>7.006000000000002</v>
      </c>
      <c r="B656" s="678" t="s">
        <v>2199</v>
      </c>
      <c r="C656" s="646">
        <v>2</v>
      </c>
      <c r="D656" s="646" t="s">
        <v>329</v>
      </c>
      <c r="E656" s="649">
        <f>Elec_Est!E10428</f>
        <v>24.63</v>
      </c>
      <c r="F656" s="1125">
        <f t="shared" si="142"/>
        <v>49.26</v>
      </c>
    </row>
    <row r="657" spans="1:6" s="631" customFormat="1">
      <c r="A657" s="643"/>
      <c r="B657" s="711" t="s">
        <v>2186</v>
      </c>
      <c r="C657" s="646"/>
      <c r="D657" s="646"/>
      <c r="E657" s="649"/>
      <c r="F657" s="1125"/>
    </row>
    <row r="658" spans="1:6" s="631" customFormat="1">
      <c r="A658" s="643">
        <f t="shared" ca="1" si="124"/>
        <v>7.0070000000000023</v>
      </c>
      <c r="B658" s="678" t="s">
        <v>2197</v>
      </c>
      <c r="C658" s="646">
        <v>2</v>
      </c>
      <c r="D658" s="646" t="s">
        <v>329</v>
      </c>
      <c r="E658" s="649">
        <f>Elec_Est!E10438</f>
        <v>317.29000000000002</v>
      </c>
      <c r="F658" s="1125">
        <f t="shared" ref="F658:F661" si="143">IFERROR($C658*E658,E658)</f>
        <v>634.58000000000004</v>
      </c>
    </row>
    <row r="659" spans="1:6" s="631" customFormat="1">
      <c r="A659" s="643">
        <f t="shared" ca="1" si="124"/>
        <v>7.0080000000000027</v>
      </c>
      <c r="B659" s="678" t="s">
        <v>2198</v>
      </c>
      <c r="C659" s="646">
        <v>1</v>
      </c>
      <c r="D659" s="646" t="s">
        <v>329</v>
      </c>
      <c r="E659" s="649">
        <f>Elec_Est!E10444</f>
        <v>317.29000000000002</v>
      </c>
      <c r="F659" s="1125">
        <f t="shared" si="143"/>
        <v>317.29000000000002</v>
      </c>
    </row>
    <row r="660" spans="1:6" s="631" customFormat="1">
      <c r="A660" s="643">
        <f t="shared" ca="1" si="124"/>
        <v>7.009000000000003</v>
      </c>
      <c r="B660" s="678" t="s">
        <v>2199</v>
      </c>
      <c r="C660" s="646">
        <v>1</v>
      </c>
      <c r="D660" s="646" t="s">
        <v>329</v>
      </c>
      <c r="E660" s="649">
        <f>Elec_Est!E10450</f>
        <v>295.61</v>
      </c>
      <c r="F660" s="1125">
        <f t="shared" si="143"/>
        <v>295.61</v>
      </c>
    </row>
    <row r="661" spans="1:6" s="631" customFormat="1">
      <c r="A661" s="643">
        <f t="shared" ca="1" si="124"/>
        <v>7.0100000000000033</v>
      </c>
      <c r="B661" s="678" t="s">
        <v>2200</v>
      </c>
      <c r="C661" s="646">
        <v>1</v>
      </c>
      <c r="D661" s="646" t="s">
        <v>329</v>
      </c>
      <c r="E661" s="649">
        <f>Elec_Est!E10456</f>
        <v>177.37</v>
      </c>
      <c r="F661" s="1125">
        <f t="shared" si="143"/>
        <v>177.37</v>
      </c>
    </row>
    <row r="662" spans="1:6">
      <c r="A662" s="875"/>
      <c r="B662" s="878" t="s">
        <v>362</v>
      </c>
      <c r="C662" s="879"/>
      <c r="D662" s="879"/>
      <c r="E662" s="869"/>
      <c r="F662" s="1256"/>
    </row>
    <row r="663" spans="1:6" s="631" customFormat="1" ht="41.4">
      <c r="A663" s="643"/>
      <c r="B663" s="711" t="s">
        <v>2187</v>
      </c>
      <c r="C663" s="646"/>
      <c r="D663" s="646"/>
      <c r="E663" s="649"/>
      <c r="F663" s="1125"/>
    </row>
    <row r="664" spans="1:6" s="631" customFormat="1">
      <c r="A664" s="643">
        <f t="shared" ca="1" si="124"/>
        <v>7.0110000000000037</v>
      </c>
      <c r="B664" s="678" t="s">
        <v>2199</v>
      </c>
      <c r="C664" s="646">
        <v>1</v>
      </c>
      <c r="D664" s="646" t="s">
        <v>329</v>
      </c>
      <c r="E664" s="649">
        <f>Elec_Est!E10470</f>
        <v>40.01</v>
      </c>
      <c r="F664" s="1125">
        <f t="shared" ref="F664" si="144">IFERROR($C664*E664,E664)</f>
        <v>40.01</v>
      </c>
    </row>
    <row r="665" spans="1:6" s="631" customFormat="1" ht="41.4">
      <c r="A665" s="643"/>
      <c r="B665" s="711" t="s">
        <v>2185</v>
      </c>
      <c r="C665" s="646"/>
      <c r="D665" s="646"/>
      <c r="E665" s="649"/>
      <c r="F665" s="1125"/>
    </row>
    <row r="666" spans="1:6" s="631" customFormat="1">
      <c r="A666" s="643">
        <f t="shared" ca="1" si="124"/>
        <v>7.012000000000004</v>
      </c>
      <c r="B666" s="678" t="s">
        <v>2199</v>
      </c>
      <c r="C666" s="646">
        <v>1</v>
      </c>
      <c r="D666" s="646" t="s">
        <v>329</v>
      </c>
      <c r="E666" s="649">
        <f>Elec_Est!E10480</f>
        <v>24.63</v>
      </c>
      <c r="F666" s="1125">
        <f t="shared" ref="F666" si="145">IFERROR($C666*E666,E666)</f>
        <v>24.63</v>
      </c>
    </row>
    <row r="667" spans="1:6" s="631" customFormat="1">
      <c r="A667" s="643"/>
      <c r="B667" s="711" t="s">
        <v>2186</v>
      </c>
      <c r="C667" s="646"/>
      <c r="D667" s="646"/>
      <c r="E667" s="649"/>
      <c r="F667" s="1125"/>
    </row>
    <row r="668" spans="1:6" s="631" customFormat="1">
      <c r="A668" s="643">
        <f t="shared" ca="1" si="124"/>
        <v>7.0130000000000043</v>
      </c>
      <c r="B668" s="678" t="s">
        <v>2200</v>
      </c>
      <c r="C668" s="646">
        <v>1</v>
      </c>
      <c r="D668" s="646" t="s">
        <v>329</v>
      </c>
      <c r="E668" s="649">
        <f>Elec_Est!E10490</f>
        <v>177.37</v>
      </c>
      <c r="F668" s="1125">
        <f t="shared" ref="F668" si="146">IFERROR($C668*E668,E668)</f>
        <v>177.37</v>
      </c>
    </row>
    <row r="669" spans="1:6" s="631" customFormat="1">
      <c r="A669" s="638"/>
      <c r="B669" s="878" t="s">
        <v>379</v>
      </c>
      <c r="C669" s="640"/>
      <c r="D669" s="640"/>
      <c r="E669" s="649"/>
      <c r="F669" s="1125"/>
    </row>
    <row r="670" spans="1:6" s="631" customFormat="1" ht="41.4">
      <c r="A670" s="643">
        <f ca="1">IFERROR(IF(OFFSET(A670,-1,0)&gt;0,OFFSET(A670,-1,0)+0.001,ERROR.TYPE(0)),IFERROR(IF(OFFSET(A670,-2,0)&gt;0,OFFSET(A670,-2,0)+0.001,ERROR.TYPE(0)),IFERROR(IF(OFFSET(A670,-3,0)&gt;0,OFFSET(A670,-3,0)+0.001,ERROR.TYPE(0)),IFERROR(IF(OFFSET(A670,-4,0)&gt;0,OFFSET(A670,-4,0)+0.001,ERROR.TYPE(0)),IFERROR(IF(OFFSET(A670,-5,0)&gt;0,OFFSET(A670,-5,0)+0.001,ERROR.TYPE(0)),IFERROR(IF(OFFSET(A670,-6,0)&gt;0,OFFSET(A670,-6,0)+0.001,ERROR.TYPE(0)),IFERROR(IF(OFFSET(A670,-7,0)&gt;0,OFFSET(A670,-7,0)+0.001,ERROR.TYPE(0)),IFERROR(IF(OFFSET(A670,-8,0)&gt;0,OFFSET(A670,-8,0)+0.001,ERROR.TYPE(0)),IFERROR(IF(OFFSET(A670,-9,0)&gt;0,OFFSET(A670,-9,0)+0.001,ERROR.TYPE(0)),IFERROR(IF(OFFSET(A670,-10,0)&gt;0,OFFSET(A670,-10,0)+0.001,ERROR.TYPE(0)),ERROR.TYPE(0)))))))))))</f>
        <v>7.0140000000000047</v>
      </c>
      <c r="B670" s="648" t="s">
        <v>2194</v>
      </c>
      <c r="C670" s="646">
        <v>2</v>
      </c>
      <c r="D670" s="646" t="s">
        <v>329</v>
      </c>
      <c r="E670" s="649">
        <f>Elec_Est!E10500</f>
        <v>120.03</v>
      </c>
      <c r="F670" s="1125">
        <f>IFERROR($C670*E670,E670)</f>
        <v>240.06</v>
      </c>
    </row>
    <row r="671" spans="1:6" s="631" customFormat="1" ht="27.6">
      <c r="A671" s="643">
        <f t="shared" ca="1" si="124"/>
        <v>7.015000000000005</v>
      </c>
      <c r="B671" s="657" t="s">
        <v>2201</v>
      </c>
      <c r="C671" s="646">
        <v>1</v>
      </c>
      <c r="D671" s="646" t="s">
        <v>329</v>
      </c>
      <c r="E671" s="649">
        <f>Elec_Est!E10506</f>
        <v>344.88</v>
      </c>
      <c r="F671" s="1125">
        <f t="shared" ref="F671:F673" si="147">IFERROR($C671*E671,E671)</f>
        <v>344.88</v>
      </c>
    </row>
    <row r="672" spans="1:6" s="631" customFormat="1" ht="27.6">
      <c r="A672" s="643">
        <f t="shared" ref="A672:A673" ca="1" si="148">IFERROR(IF(OFFSET(A672,-1,0,1,1)&gt;0,OFFSET(A672,-1,0,1,1)+0.001,ERROR.TYPE(0)),IFERROR(IF(OFFSET(A672,-2,0,1,1)&gt;0,OFFSET(A672,-2,0,1,1)+0.001,ERROR.TYPE(0)),IFERROR(IF(OFFSET(A672,-3,0,1,1)&gt;0,OFFSET(A672,-3,0,1,1)+0.001,ERROR.TYPE(0)),IFERROR(IF(OFFSET(A672,-4,0,1,1)&gt;0,OFFSET(A672,-4,0,1,1)+0.001,ERROR.TYPE(0)),IFERROR(IF(OFFSET(A672,-5,0,1,1)&gt;0,OFFSET(A672,-5,0,1,1)+0.001,ERROR.TYPE(0)),IFERROR(IF(OFFSET(A672,-6,0,1,1)&gt;0,OFFSET(A672,-6,0,1,1)+0.001,ERROR.TYPE(0)),IFERROR(IF(OFFSET(A672,-7,0,1,1)&gt;0,OFFSET(A672,-7,0,1,1)+0.001,ERROR.TYPE(0)),IFERROR(IF(OFFSET(A672,-8,0,1,1)&gt;0,OFFSET(A672,-8,0,1,1)+0.001,ERROR.TYPE(0)),IFERROR(IF(OFFSET(A672,-9,0,1,1)&gt;0,OFFSET(A672,-9,0,1,1)+0.001,ERROR.TYPE(0)),IFERROR(IF(OFFSET(A672,-10,0,1,1)&gt;0,OFFSET(A672,-10,0,1,1)+0.001,ERROR.TYPE(0)),ERROR.TYPE(0)))))))))))</f>
        <v>7.0160000000000053</v>
      </c>
      <c r="B672" s="657" t="s">
        <v>381</v>
      </c>
      <c r="C672" s="680">
        <v>1</v>
      </c>
      <c r="D672" s="680" t="s">
        <v>299</v>
      </c>
      <c r="E672" s="872">
        <f>Elec_Est!E10512</f>
        <v>492.69</v>
      </c>
      <c r="F672" s="1125">
        <f t="shared" si="147"/>
        <v>492.69</v>
      </c>
    </row>
    <row r="673" spans="1:6" s="631" customFormat="1" ht="27.6">
      <c r="A673" s="643">
        <f t="shared" ca="1" si="148"/>
        <v>7.0170000000000057</v>
      </c>
      <c r="B673" s="657" t="s">
        <v>382</v>
      </c>
      <c r="C673" s="680">
        <v>1</v>
      </c>
      <c r="D673" s="680" t="s">
        <v>383</v>
      </c>
      <c r="E673" s="872">
        <f>Elec_Est!E10518</f>
        <v>227.62</v>
      </c>
      <c r="F673" s="1125">
        <f t="shared" si="147"/>
        <v>227.62</v>
      </c>
    </row>
    <row r="674" spans="1:6" s="631" customFormat="1" ht="15" customHeight="1">
      <c r="A674" s="867"/>
      <c r="B674" s="639" t="s">
        <v>841</v>
      </c>
      <c r="C674" s="1456" t="s">
        <v>305</v>
      </c>
      <c r="D674" s="1457"/>
      <c r="E674" s="652"/>
      <c r="F674" s="1123">
        <f>SUM(F648:F673)</f>
        <v>3480.4500000000003</v>
      </c>
    </row>
    <row r="675" spans="1:6" s="631" customFormat="1">
      <c r="A675" s="873"/>
      <c r="B675" s="629"/>
      <c r="C675" s="661"/>
      <c r="D675" s="661"/>
      <c r="E675" s="662"/>
      <c r="F675" s="1127"/>
    </row>
    <row r="676" spans="1:6" s="631" customFormat="1">
      <c r="A676" s="867"/>
      <c r="B676" s="639" t="s">
        <v>2202</v>
      </c>
      <c r="C676" s="1456" t="s">
        <v>305</v>
      </c>
      <c r="D676" s="1457"/>
      <c r="E676" s="659"/>
      <c r="F676" s="1123">
        <f>F674</f>
        <v>3480.4500000000003</v>
      </c>
    </row>
    <row r="677" spans="1:6">
      <c r="A677" s="874"/>
      <c r="B677" s="624"/>
      <c r="C677" s="682"/>
      <c r="D677" s="682"/>
      <c r="E677" s="684"/>
      <c r="F677" s="1131"/>
    </row>
    <row r="678" spans="1:6">
      <c r="A678" s="874"/>
      <c r="B678" s="624"/>
      <c r="C678" s="682"/>
      <c r="D678" s="683"/>
      <c r="E678" s="684"/>
      <c r="F678" s="1131"/>
    </row>
    <row r="679" spans="1:6" s="631" customFormat="1" ht="27.6">
      <c r="A679" s="634" t="s">
        <v>143</v>
      </c>
      <c r="B679" s="635" t="s">
        <v>198</v>
      </c>
      <c r="C679" s="636" t="s">
        <v>199</v>
      </c>
      <c r="D679" s="636" t="s">
        <v>200</v>
      </c>
      <c r="E679" s="637" t="s">
        <v>294</v>
      </c>
      <c r="F679" s="1122" t="s">
        <v>295</v>
      </c>
    </row>
    <row r="680" spans="1:6" s="631" customFormat="1">
      <c r="A680" s="638">
        <v>8</v>
      </c>
      <c r="B680" s="876" t="s">
        <v>2203</v>
      </c>
      <c r="C680" s="646"/>
      <c r="D680" s="646"/>
      <c r="E680" s="649"/>
      <c r="F680" s="1125"/>
    </row>
    <row r="681" spans="1:6" s="631" customFormat="1">
      <c r="A681" s="638"/>
      <c r="B681" s="878" t="s">
        <v>2204</v>
      </c>
      <c r="C681" s="640"/>
      <c r="D681" s="640"/>
      <c r="E681" s="649"/>
      <c r="F681" s="1125"/>
    </row>
    <row r="682" spans="1:6" s="631" customFormat="1">
      <c r="A682" s="638"/>
      <c r="B682" s="878" t="s">
        <v>343</v>
      </c>
      <c r="C682" s="640"/>
      <c r="D682" s="640"/>
      <c r="E682" s="649"/>
      <c r="F682" s="1125"/>
    </row>
    <row r="683" spans="1:6" s="631" customFormat="1" ht="27.6">
      <c r="A683" s="643"/>
      <c r="B683" s="711" t="s">
        <v>2183</v>
      </c>
      <c r="C683" s="646"/>
      <c r="D683" s="646"/>
      <c r="E683" s="649"/>
      <c r="F683" s="1125"/>
    </row>
    <row r="684" spans="1:6" s="631" customFormat="1">
      <c r="A684" s="643">
        <f t="shared" ca="1" si="124"/>
        <v>8.0009999999999994</v>
      </c>
      <c r="B684" s="648" t="s">
        <v>2205</v>
      </c>
      <c r="C684" s="646">
        <v>3</v>
      </c>
      <c r="D684" s="646" t="s">
        <v>329</v>
      </c>
      <c r="E684" s="649">
        <f>Elec_Est!E10554</f>
        <v>39.270000000000003</v>
      </c>
      <c r="F684" s="1125">
        <f t="shared" ref="F684:F694" si="149">IFERROR($C684*E684,E684)</f>
        <v>117.81</v>
      </c>
    </row>
    <row r="685" spans="1:6" s="631" customFormat="1" ht="41.4">
      <c r="A685" s="643"/>
      <c r="B685" s="711" t="s">
        <v>2185</v>
      </c>
      <c r="C685" s="646"/>
      <c r="D685" s="646"/>
      <c r="E685" s="649"/>
      <c r="F685" s="1125"/>
    </row>
    <row r="686" spans="1:6" s="631" customFormat="1">
      <c r="A686" s="643">
        <f t="shared" ca="1" si="124"/>
        <v>8.0019999999999989</v>
      </c>
      <c r="B686" s="648" t="s">
        <v>2205</v>
      </c>
      <c r="C686" s="646">
        <v>3</v>
      </c>
      <c r="D686" s="646" t="s">
        <v>329</v>
      </c>
      <c r="E686" s="649">
        <f>Elec_Est!E10564</f>
        <v>29.56</v>
      </c>
      <c r="F686" s="1125">
        <f t="shared" ref="F686" si="150">IFERROR($C686*E686,E686)</f>
        <v>88.679999999999993</v>
      </c>
    </row>
    <row r="687" spans="1:6" s="631" customFormat="1">
      <c r="A687" s="643"/>
      <c r="B687" s="711" t="s">
        <v>2186</v>
      </c>
      <c r="C687" s="646"/>
      <c r="D687" s="646"/>
      <c r="E687" s="649"/>
      <c r="F687" s="1125"/>
    </row>
    <row r="688" spans="1:6" s="631" customFormat="1">
      <c r="A688" s="643">
        <f t="shared" ca="1" si="124"/>
        <v>8.0029999999999983</v>
      </c>
      <c r="B688" s="648" t="s">
        <v>2205</v>
      </c>
      <c r="C688" s="646">
        <v>3</v>
      </c>
      <c r="D688" s="646" t="s">
        <v>329</v>
      </c>
      <c r="E688" s="649">
        <f>Elec_Est!E10574</f>
        <v>44.34</v>
      </c>
      <c r="F688" s="1125">
        <f t="shared" ref="F688" si="151">IFERROR($C688*E688,E688)</f>
        <v>133.02000000000001</v>
      </c>
    </row>
    <row r="689" spans="1:6" s="631" customFormat="1">
      <c r="A689" s="638"/>
      <c r="B689" s="878" t="s">
        <v>347</v>
      </c>
      <c r="C689" s="640"/>
      <c r="D689" s="640"/>
      <c r="E689" s="649"/>
      <c r="F689" s="1125"/>
    </row>
    <row r="690" spans="1:6" s="631" customFormat="1" ht="41.4">
      <c r="A690" s="643"/>
      <c r="B690" s="711" t="s">
        <v>2187</v>
      </c>
      <c r="C690" s="646"/>
      <c r="D690" s="646"/>
      <c r="E690" s="649"/>
      <c r="F690" s="1125"/>
    </row>
    <row r="691" spans="1:6" s="631" customFormat="1">
      <c r="A691" s="643">
        <f t="shared" ca="1" si="124"/>
        <v>8.0039999999999978</v>
      </c>
      <c r="B691" s="648" t="s">
        <v>2205</v>
      </c>
      <c r="C691" s="646">
        <v>4</v>
      </c>
      <c r="D691" s="646" t="s">
        <v>329</v>
      </c>
      <c r="E691" s="649">
        <f>Elec_Est!E10588</f>
        <v>30.86</v>
      </c>
      <c r="F691" s="1125">
        <f t="shared" si="149"/>
        <v>123.44</v>
      </c>
    </row>
    <row r="692" spans="1:6" s="631" customFormat="1">
      <c r="A692" s="643">
        <f t="shared" ca="1" si="124"/>
        <v>8.0049999999999972</v>
      </c>
      <c r="B692" s="648" t="s">
        <v>2206</v>
      </c>
      <c r="C692" s="646">
        <v>1</v>
      </c>
      <c r="D692" s="646" t="s">
        <v>329</v>
      </c>
      <c r="E692" s="649">
        <f>Elec_Est!E10594</f>
        <v>18.52</v>
      </c>
      <c r="F692" s="1125">
        <f t="shared" si="149"/>
        <v>18.52</v>
      </c>
    </row>
    <row r="693" spans="1:6" s="631" customFormat="1">
      <c r="A693" s="643">
        <f t="shared" ca="1" si="124"/>
        <v>8.0059999999999967</v>
      </c>
      <c r="B693" s="648" t="s">
        <v>2207</v>
      </c>
      <c r="C693" s="646">
        <v>1</v>
      </c>
      <c r="D693" s="646" t="s">
        <v>329</v>
      </c>
      <c r="E693" s="649">
        <f>Elec_Est!E10600</f>
        <v>111.11</v>
      </c>
      <c r="F693" s="1125">
        <f t="shared" si="149"/>
        <v>111.11</v>
      </c>
    </row>
    <row r="694" spans="1:6" s="631" customFormat="1">
      <c r="A694" s="643">
        <f t="shared" ca="1" si="124"/>
        <v>8.0069999999999961</v>
      </c>
      <c r="B694" s="648" t="s">
        <v>2208</v>
      </c>
      <c r="C694" s="646">
        <v>1</v>
      </c>
      <c r="D694" s="646" t="s">
        <v>329</v>
      </c>
      <c r="E694" s="649">
        <f>Elec_Est!E10606</f>
        <v>67.900000000000006</v>
      </c>
      <c r="F694" s="1125">
        <f t="shared" si="149"/>
        <v>67.900000000000006</v>
      </c>
    </row>
    <row r="695" spans="1:6" s="631" customFormat="1" ht="41.4">
      <c r="A695" s="643"/>
      <c r="B695" s="711" t="s">
        <v>2185</v>
      </c>
      <c r="C695" s="646"/>
      <c r="D695" s="646"/>
      <c r="E695" s="649"/>
      <c r="F695" s="1125"/>
    </row>
    <row r="696" spans="1:6" s="631" customFormat="1">
      <c r="A696" s="643">
        <f t="shared" ca="1" si="124"/>
        <v>8.0079999999999956</v>
      </c>
      <c r="B696" s="648" t="s">
        <v>2205</v>
      </c>
      <c r="C696" s="646">
        <v>4</v>
      </c>
      <c r="D696" s="646" t="s">
        <v>329</v>
      </c>
      <c r="E696" s="649">
        <f>Elec_Est!E10616</f>
        <v>29.56</v>
      </c>
      <c r="F696" s="1125">
        <f t="shared" ref="F696:F699" si="152">IFERROR($C696*E696,E696)</f>
        <v>118.24</v>
      </c>
    </row>
    <row r="697" spans="1:6" s="631" customFormat="1">
      <c r="A697" s="643">
        <f t="shared" ca="1" si="124"/>
        <v>8.008999999999995</v>
      </c>
      <c r="B697" s="648" t="s">
        <v>2206</v>
      </c>
      <c r="C697" s="646">
        <v>1</v>
      </c>
      <c r="D697" s="646" t="s">
        <v>329</v>
      </c>
      <c r="E697" s="649">
        <f>Elec_Est!E10622</f>
        <v>29.56</v>
      </c>
      <c r="F697" s="1125">
        <f t="shared" si="152"/>
        <v>29.56</v>
      </c>
    </row>
    <row r="698" spans="1:6" s="631" customFormat="1">
      <c r="A698" s="643">
        <f t="shared" ca="1" si="124"/>
        <v>8.0099999999999945</v>
      </c>
      <c r="B698" s="648" t="s">
        <v>2207</v>
      </c>
      <c r="C698" s="646">
        <v>1</v>
      </c>
      <c r="D698" s="646" t="s">
        <v>329</v>
      </c>
      <c r="E698" s="649">
        <f>Elec_Est!E10628</f>
        <v>39.42</v>
      </c>
      <c r="F698" s="1125">
        <f t="shared" si="152"/>
        <v>39.42</v>
      </c>
    </row>
    <row r="699" spans="1:6" s="631" customFormat="1">
      <c r="A699" s="643">
        <f t="shared" ca="1" si="124"/>
        <v>8.0109999999999939</v>
      </c>
      <c r="B699" s="648" t="s">
        <v>2208</v>
      </c>
      <c r="C699" s="646">
        <v>1</v>
      </c>
      <c r="D699" s="646" t="s">
        <v>329</v>
      </c>
      <c r="E699" s="649">
        <f>Elec_Est!E10634</f>
        <v>29.56</v>
      </c>
      <c r="F699" s="1125">
        <f t="shared" si="152"/>
        <v>29.56</v>
      </c>
    </row>
    <row r="700" spans="1:6" s="631" customFormat="1">
      <c r="A700" s="643"/>
      <c r="B700" s="711" t="s">
        <v>2186</v>
      </c>
      <c r="C700" s="646"/>
      <c r="D700" s="646"/>
      <c r="E700" s="649"/>
      <c r="F700" s="1125"/>
    </row>
    <row r="701" spans="1:6" s="631" customFormat="1">
      <c r="A701" s="643">
        <f t="shared" ca="1" si="124"/>
        <v>8.0119999999999933</v>
      </c>
      <c r="B701" s="648" t="s">
        <v>2205</v>
      </c>
      <c r="C701" s="646">
        <v>4</v>
      </c>
      <c r="D701" s="646" t="s">
        <v>329</v>
      </c>
      <c r="E701" s="649">
        <f>Elec_Est!E10644</f>
        <v>44.34</v>
      </c>
      <c r="F701" s="1125">
        <f t="shared" ref="F701:F704" si="153">IFERROR($C701*E701,E701)</f>
        <v>177.36</v>
      </c>
    </row>
    <row r="702" spans="1:6" s="631" customFormat="1">
      <c r="A702" s="643">
        <f t="shared" ca="1" si="124"/>
        <v>8.0129999999999928</v>
      </c>
      <c r="B702" s="648" t="s">
        <v>2206</v>
      </c>
      <c r="C702" s="646">
        <v>1</v>
      </c>
      <c r="D702" s="646" t="s">
        <v>329</v>
      </c>
      <c r="E702" s="649">
        <f>Elec_Est!E10650</f>
        <v>31.53</v>
      </c>
      <c r="F702" s="1125">
        <f t="shared" si="153"/>
        <v>31.53</v>
      </c>
    </row>
    <row r="703" spans="1:6" s="631" customFormat="1">
      <c r="A703" s="643">
        <f t="shared" ca="1" si="124"/>
        <v>8.0139999999999922</v>
      </c>
      <c r="B703" s="648" t="s">
        <v>2207</v>
      </c>
      <c r="C703" s="646">
        <v>1</v>
      </c>
      <c r="D703" s="646" t="s">
        <v>329</v>
      </c>
      <c r="E703" s="649">
        <f>Elec_Est!E10656</f>
        <v>64.05</v>
      </c>
      <c r="F703" s="1125">
        <f t="shared" si="153"/>
        <v>64.05</v>
      </c>
    </row>
    <row r="704" spans="1:6" s="631" customFormat="1">
      <c r="A704" s="643">
        <f t="shared" ca="1" si="124"/>
        <v>8.0149999999999917</v>
      </c>
      <c r="B704" s="648" t="s">
        <v>2208</v>
      </c>
      <c r="C704" s="646">
        <v>1</v>
      </c>
      <c r="D704" s="646" t="s">
        <v>329</v>
      </c>
      <c r="E704" s="649">
        <f>Elec_Est!E10662</f>
        <v>142.88</v>
      </c>
      <c r="F704" s="1125">
        <f t="shared" si="153"/>
        <v>142.88</v>
      </c>
    </row>
    <row r="705" spans="1:6" s="631" customFormat="1">
      <c r="A705" s="638"/>
      <c r="B705" s="878" t="s">
        <v>362</v>
      </c>
      <c r="C705" s="640"/>
      <c r="D705" s="640"/>
      <c r="E705" s="649"/>
      <c r="F705" s="1125"/>
    </row>
    <row r="706" spans="1:6" s="631" customFormat="1" ht="41.4">
      <c r="A706" s="643"/>
      <c r="B706" s="711" t="s">
        <v>2187</v>
      </c>
      <c r="C706" s="646"/>
      <c r="D706" s="646"/>
      <c r="E706" s="649"/>
      <c r="F706" s="1125"/>
    </row>
    <row r="707" spans="1:6" s="631" customFormat="1">
      <c r="A707" s="643">
        <f t="shared" ca="1" si="124"/>
        <v>8.0159999999999911</v>
      </c>
      <c r="B707" s="648" t="s">
        <v>2205</v>
      </c>
      <c r="C707" s="646">
        <v>1</v>
      </c>
      <c r="D707" s="646" t="s">
        <v>329</v>
      </c>
      <c r="E707" s="649">
        <f>Elec_Est!E10676</f>
        <v>30.86</v>
      </c>
      <c r="F707" s="1125">
        <f t="shared" ref="F707:F709" si="154">IFERROR($C707*E707,E707)</f>
        <v>30.86</v>
      </c>
    </row>
    <row r="708" spans="1:6" s="631" customFormat="1">
      <c r="A708" s="643">
        <f t="shared" ca="1" si="124"/>
        <v>8.0169999999999906</v>
      </c>
      <c r="B708" s="648" t="s">
        <v>2206</v>
      </c>
      <c r="C708" s="646">
        <v>1</v>
      </c>
      <c r="D708" s="646" t="s">
        <v>329</v>
      </c>
      <c r="E708" s="649">
        <f>Elec_Est!E10682</f>
        <v>18.52</v>
      </c>
      <c r="F708" s="1125">
        <f t="shared" si="154"/>
        <v>18.52</v>
      </c>
    </row>
    <row r="709" spans="1:6" s="631" customFormat="1">
      <c r="A709" s="643">
        <f t="shared" ca="1" si="124"/>
        <v>8.01799999999999</v>
      </c>
      <c r="B709" s="648" t="s">
        <v>2083</v>
      </c>
      <c r="C709" s="646">
        <v>1</v>
      </c>
      <c r="D709" s="646" t="s">
        <v>329</v>
      </c>
      <c r="E709" s="649">
        <f>Elec_Est!E10688</f>
        <v>30.86</v>
      </c>
      <c r="F709" s="1125">
        <f t="shared" si="154"/>
        <v>30.86</v>
      </c>
    </row>
    <row r="710" spans="1:6" s="631" customFormat="1" ht="41.4">
      <c r="A710" s="643"/>
      <c r="B710" s="711" t="s">
        <v>2185</v>
      </c>
      <c r="C710" s="646"/>
      <c r="D710" s="646"/>
      <c r="E710" s="649"/>
      <c r="F710" s="1125"/>
    </row>
    <row r="711" spans="1:6" s="631" customFormat="1">
      <c r="A711" s="643">
        <f t="shared" ca="1" si="124"/>
        <v>8.0189999999999895</v>
      </c>
      <c r="B711" s="648" t="s">
        <v>2205</v>
      </c>
      <c r="C711" s="646">
        <v>1</v>
      </c>
      <c r="D711" s="646" t="s">
        <v>329</v>
      </c>
      <c r="E711" s="649">
        <f>Elec_Est!E10698</f>
        <v>29.56</v>
      </c>
      <c r="F711" s="1125">
        <f t="shared" ref="F711:F713" si="155">IFERROR($C711*E711,E711)</f>
        <v>29.56</v>
      </c>
    </row>
    <row r="712" spans="1:6" s="631" customFormat="1">
      <c r="A712" s="643">
        <f t="shared" ca="1" si="124"/>
        <v>8.0199999999999889</v>
      </c>
      <c r="B712" s="648" t="s">
        <v>2206</v>
      </c>
      <c r="C712" s="646">
        <v>1</v>
      </c>
      <c r="D712" s="646" t="s">
        <v>329</v>
      </c>
      <c r="E712" s="649">
        <f>Elec_Est!E10704</f>
        <v>29.56</v>
      </c>
      <c r="F712" s="1125">
        <f t="shared" si="155"/>
        <v>29.56</v>
      </c>
    </row>
    <row r="713" spans="1:6" s="631" customFormat="1">
      <c r="A713" s="643">
        <f t="shared" ca="1" si="124"/>
        <v>8.0209999999999884</v>
      </c>
      <c r="B713" s="648" t="s">
        <v>2083</v>
      </c>
      <c r="C713" s="646">
        <v>1</v>
      </c>
      <c r="D713" s="646" t="s">
        <v>329</v>
      </c>
      <c r="E713" s="649">
        <f>Elec_Est!E10710</f>
        <v>14.78</v>
      </c>
      <c r="F713" s="1125">
        <f t="shared" si="155"/>
        <v>14.78</v>
      </c>
    </row>
    <row r="714" spans="1:6" s="631" customFormat="1">
      <c r="A714" s="643"/>
      <c r="B714" s="711" t="s">
        <v>2186</v>
      </c>
      <c r="C714" s="646"/>
      <c r="D714" s="646"/>
      <c r="E714" s="649"/>
      <c r="F714" s="1125"/>
    </row>
    <row r="715" spans="1:6" s="631" customFormat="1">
      <c r="A715" s="643">
        <f t="shared" ca="1" si="124"/>
        <v>8.0219999999999878</v>
      </c>
      <c r="B715" s="648" t="s">
        <v>2205</v>
      </c>
      <c r="C715" s="646">
        <v>1</v>
      </c>
      <c r="D715" s="646" t="s">
        <v>329</v>
      </c>
      <c r="E715" s="649">
        <f>Elec_Est!E10720</f>
        <v>44.34</v>
      </c>
      <c r="F715" s="1125">
        <f t="shared" ref="F715:F718" si="156">IFERROR($C715*E715,E715)</f>
        <v>44.34</v>
      </c>
    </row>
    <row r="716" spans="1:6" s="631" customFormat="1">
      <c r="A716" s="643">
        <f t="shared" ca="1" si="124"/>
        <v>8.0229999999999873</v>
      </c>
      <c r="B716" s="648" t="s">
        <v>2206</v>
      </c>
      <c r="C716" s="646">
        <v>1</v>
      </c>
      <c r="D716" s="646" t="s">
        <v>329</v>
      </c>
      <c r="E716" s="649">
        <f>Elec_Est!E10726</f>
        <v>31.53</v>
      </c>
      <c r="F716" s="1125">
        <f t="shared" si="156"/>
        <v>31.53</v>
      </c>
    </row>
    <row r="717" spans="1:6" s="631" customFormat="1">
      <c r="A717" s="643">
        <f t="shared" ca="1" si="124"/>
        <v>8.0239999999999867</v>
      </c>
      <c r="B717" s="648" t="s">
        <v>2083</v>
      </c>
      <c r="C717" s="646">
        <v>1</v>
      </c>
      <c r="D717" s="646" t="s">
        <v>329</v>
      </c>
      <c r="E717" s="649">
        <f>Elec_Est!E10732</f>
        <v>147.81</v>
      </c>
      <c r="F717" s="1125">
        <f t="shared" si="156"/>
        <v>147.81</v>
      </c>
    </row>
    <row r="718" spans="1:6" s="631" customFormat="1">
      <c r="A718" s="643">
        <f t="shared" ca="1" si="124"/>
        <v>8.0249999999999861</v>
      </c>
      <c r="B718" s="678" t="s">
        <v>2209</v>
      </c>
      <c r="C718" s="646">
        <v>1</v>
      </c>
      <c r="D718" s="646" t="s">
        <v>329</v>
      </c>
      <c r="E718" s="649">
        <f>Elec_Est!E10738</f>
        <v>739.04</v>
      </c>
      <c r="F718" s="1125">
        <f t="shared" si="156"/>
        <v>739.04</v>
      </c>
    </row>
    <row r="719" spans="1:6" s="631" customFormat="1">
      <c r="A719" s="638"/>
      <c r="B719" s="878" t="s">
        <v>368</v>
      </c>
      <c r="C719" s="640"/>
      <c r="D719" s="640"/>
      <c r="E719" s="649"/>
      <c r="F719" s="1125"/>
    </row>
    <row r="720" spans="1:6" s="631" customFormat="1" ht="41.4">
      <c r="A720" s="643"/>
      <c r="B720" s="711" t="s">
        <v>2187</v>
      </c>
      <c r="C720" s="646"/>
      <c r="D720" s="646"/>
      <c r="E720" s="649"/>
      <c r="F720" s="1125"/>
    </row>
    <row r="721" spans="1:6" s="631" customFormat="1">
      <c r="A721" s="643">
        <f t="shared" ca="1" si="124"/>
        <v>8.0259999999999856</v>
      </c>
      <c r="B721" s="648" t="s">
        <v>2205</v>
      </c>
      <c r="C721" s="646">
        <v>2</v>
      </c>
      <c r="D721" s="646" t="s">
        <v>329</v>
      </c>
      <c r="E721" s="649">
        <f>Elec_Est!E10752</f>
        <v>30.86</v>
      </c>
      <c r="F721" s="1125">
        <f t="shared" ref="F721:F722" si="157">IFERROR($C721*E721,E721)</f>
        <v>61.72</v>
      </c>
    </row>
    <row r="722" spans="1:6" s="631" customFormat="1">
      <c r="A722" s="643">
        <f t="shared" ca="1" si="124"/>
        <v>8.026999999999985</v>
      </c>
      <c r="B722" s="648" t="s">
        <v>2206</v>
      </c>
      <c r="C722" s="646">
        <v>2</v>
      </c>
      <c r="D722" s="646" t="s">
        <v>329</v>
      </c>
      <c r="E722" s="649">
        <f>Elec_Est!E10758</f>
        <v>18.52</v>
      </c>
      <c r="F722" s="1125">
        <f t="shared" si="157"/>
        <v>37.04</v>
      </c>
    </row>
    <row r="723" spans="1:6" s="631" customFormat="1" ht="41.4">
      <c r="A723" s="643"/>
      <c r="B723" s="711" t="s">
        <v>2185</v>
      </c>
      <c r="C723" s="646"/>
      <c r="D723" s="646"/>
      <c r="E723" s="649"/>
      <c r="F723" s="1125"/>
    </row>
    <row r="724" spans="1:6" s="631" customFormat="1">
      <c r="A724" s="643">
        <f t="shared" ca="1" si="124"/>
        <v>8.0279999999999845</v>
      </c>
      <c r="B724" s="648" t="s">
        <v>2205</v>
      </c>
      <c r="C724" s="646">
        <v>2</v>
      </c>
      <c r="D724" s="646" t="s">
        <v>329</v>
      </c>
      <c r="E724" s="649">
        <f>Elec_Est!E10768</f>
        <v>29.56</v>
      </c>
      <c r="F724" s="1125">
        <f t="shared" ref="F724:F725" si="158">IFERROR($C724*E724,E724)</f>
        <v>59.12</v>
      </c>
    </row>
    <row r="725" spans="1:6" s="631" customFormat="1">
      <c r="A725" s="643">
        <f t="shared" ca="1" si="124"/>
        <v>8.0289999999999839</v>
      </c>
      <c r="B725" s="648" t="s">
        <v>2206</v>
      </c>
      <c r="C725" s="646">
        <v>2</v>
      </c>
      <c r="D725" s="646" t="s">
        <v>329</v>
      </c>
      <c r="E725" s="649">
        <f>Elec_Est!E10774</f>
        <v>29.56</v>
      </c>
      <c r="F725" s="1125">
        <f t="shared" si="158"/>
        <v>59.12</v>
      </c>
    </row>
    <row r="726" spans="1:6" s="631" customFormat="1">
      <c r="A726" s="643"/>
      <c r="B726" s="711" t="s">
        <v>2186</v>
      </c>
      <c r="C726" s="646"/>
      <c r="D726" s="646"/>
      <c r="E726" s="649"/>
      <c r="F726" s="1125"/>
    </row>
    <row r="727" spans="1:6" s="631" customFormat="1">
      <c r="A727" s="643">
        <f t="shared" ca="1" si="124"/>
        <v>8.0299999999999834</v>
      </c>
      <c r="B727" s="648" t="s">
        <v>2205</v>
      </c>
      <c r="C727" s="646">
        <v>2</v>
      </c>
      <c r="D727" s="646" t="s">
        <v>329</v>
      </c>
      <c r="E727" s="649">
        <f>Elec_Est!E10784</f>
        <v>44.34</v>
      </c>
      <c r="F727" s="1125">
        <f t="shared" ref="F727:F728" si="159">IFERROR($C727*E727,E727)</f>
        <v>88.68</v>
      </c>
    </row>
    <row r="728" spans="1:6" s="631" customFormat="1">
      <c r="A728" s="643">
        <f t="shared" ca="1" si="124"/>
        <v>8.0309999999999828</v>
      </c>
      <c r="B728" s="648" t="s">
        <v>2206</v>
      </c>
      <c r="C728" s="646">
        <v>2</v>
      </c>
      <c r="D728" s="646" t="s">
        <v>329</v>
      </c>
      <c r="E728" s="649">
        <f>Elec_Est!E10790</f>
        <v>31.53</v>
      </c>
      <c r="F728" s="1125">
        <f t="shared" si="159"/>
        <v>63.06</v>
      </c>
    </row>
    <row r="729" spans="1:6" s="631" customFormat="1" ht="15" customHeight="1">
      <c r="A729" s="867"/>
      <c r="B729" s="639" t="s">
        <v>848</v>
      </c>
      <c r="C729" s="1456" t="s">
        <v>305</v>
      </c>
      <c r="D729" s="1457"/>
      <c r="E729" s="652"/>
      <c r="F729" s="1123">
        <f>SUM(F682:F728)</f>
        <v>2778.6799999999989</v>
      </c>
    </row>
    <row r="730" spans="1:6" s="631" customFormat="1">
      <c r="A730" s="868"/>
      <c r="B730" s="666"/>
      <c r="C730" s="654"/>
      <c r="D730" s="654"/>
      <c r="E730" s="655"/>
      <c r="F730" s="1126"/>
    </row>
    <row r="731" spans="1:6" s="631" customFormat="1">
      <c r="A731" s="653"/>
      <c r="B731" s="666"/>
      <c r="C731" s="654"/>
      <c r="D731" s="654"/>
      <c r="E731" s="655"/>
      <c r="F731" s="1126"/>
    </row>
    <row r="732" spans="1:6" s="631" customFormat="1" ht="27.6">
      <c r="A732" s="634" t="s">
        <v>143</v>
      </c>
      <c r="B732" s="635" t="s">
        <v>198</v>
      </c>
      <c r="C732" s="636" t="s">
        <v>199</v>
      </c>
      <c r="D732" s="636" t="s">
        <v>200</v>
      </c>
      <c r="E732" s="637" t="s">
        <v>294</v>
      </c>
      <c r="F732" s="1122" t="s">
        <v>295</v>
      </c>
    </row>
    <row r="733" spans="1:6" s="631" customFormat="1">
      <c r="A733" s="638"/>
      <c r="B733" s="878" t="s">
        <v>371</v>
      </c>
      <c r="C733" s="640"/>
      <c r="D733" s="640"/>
      <c r="E733" s="649"/>
      <c r="F733" s="1125"/>
    </row>
    <row r="734" spans="1:6" s="631" customFormat="1" ht="41.4">
      <c r="A734" s="643"/>
      <c r="B734" s="711" t="s">
        <v>2187</v>
      </c>
      <c r="C734" s="646"/>
      <c r="D734" s="646"/>
      <c r="E734" s="649"/>
      <c r="F734" s="1125"/>
    </row>
    <row r="735" spans="1:6" s="631" customFormat="1">
      <c r="A735" s="643">
        <f t="shared" ca="1" si="124"/>
        <v>8.0319999999999823</v>
      </c>
      <c r="B735" s="648" t="s">
        <v>2205</v>
      </c>
      <c r="C735" s="646">
        <v>2</v>
      </c>
      <c r="D735" s="646" t="s">
        <v>329</v>
      </c>
      <c r="E735" s="649">
        <f>Elec_Est!E10810</f>
        <v>30.86</v>
      </c>
      <c r="F735" s="1125">
        <f t="shared" ref="F735:F736" si="160">IFERROR($C735*E735,E735)</f>
        <v>61.72</v>
      </c>
    </row>
    <row r="736" spans="1:6" s="631" customFormat="1">
      <c r="A736" s="643">
        <f t="shared" ca="1" si="124"/>
        <v>8.0329999999999817</v>
      </c>
      <c r="B736" s="648" t="s">
        <v>2206</v>
      </c>
      <c r="C736" s="646">
        <v>2</v>
      </c>
      <c r="D736" s="646" t="s">
        <v>329</v>
      </c>
      <c r="E736" s="649">
        <f>Elec_Est!E10816</f>
        <v>18.52</v>
      </c>
      <c r="F736" s="1125">
        <f t="shared" si="160"/>
        <v>37.04</v>
      </c>
    </row>
    <row r="737" spans="1:6" s="631" customFormat="1" ht="41.4">
      <c r="A737" s="643"/>
      <c r="B737" s="711" t="s">
        <v>2185</v>
      </c>
      <c r="C737" s="646"/>
      <c r="D737" s="646"/>
      <c r="E737" s="649"/>
      <c r="F737" s="1125"/>
    </row>
    <row r="738" spans="1:6" s="631" customFormat="1">
      <c r="A738" s="643">
        <f t="shared" ca="1" si="124"/>
        <v>8.0339999999999812</v>
      </c>
      <c r="B738" s="648" t="s">
        <v>2205</v>
      </c>
      <c r="C738" s="646">
        <v>2</v>
      </c>
      <c r="D738" s="646" t="s">
        <v>329</v>
      </c>
      <c r="E738" s="649">
        <f>Elec_Est!E10826</f>
        <v>29.56</v>
      </c>
      <c r="F738" s="1125">
        <f t="shared" ref="F738:F739" si="161">IFERROR($C738*E738,E738)</f>
        <v>59.12</v>
      </c>
    </row>
    <row r="739" spans="1:6" s="631" customFormat="1">
      <c r="A739" s="643">
        <f t="shared" ca="1" si="124"/>
        <v>8.0349999999999806</v>
      </c>
      <c r="B739" s="648" t="s">
        <v>2206</v>
      </c>
      <c r="C739" s="646">
        <v>2</v>
      </c>
      <c r="D739" s="646" t="s">
        <v>329</v>
      </c>
      <c r="E739" s="649">
        <f>Elec_Est!E10832</f>
        <v>29.56</v>
      </c>
      <c r="F739" s="1125">
        <f t="shared" si="161"/>
        <v>59.12</v>
      </c>
    </row>
    <row r="740" spans="1:6" s="631" customFormat="1">
      <c r="A740" s="643"/>
      <c r="B740" s="711" t="s">
        <v>2186</v>
      </c>
      <c r="C740" s="646"/>
      <c r="D740" s="646"/>
      <c r="E740" s="649"/>
      <c r="F740" s="1125"/>
    </row>
    <row r="741" spans="1:6" s="631" customFormat="1">
      <c r="A741" s="643">
        <f t="shared" ca="1" si="124"/>
        <v>8.03599999999998</v>
      </c>
      <c r="B741" s="648" t="s">
        <v>2205</v>
      </c>
      <c r="C741" s="646">
        <v>2</v>
      </c>
      <c r="D741" s="646" t="s">
        <v>329</v>
      </c>
      <c r="E741" s="649">
        <f>Elec_Est!E10842</f>
        <v>44.34</v>
      </c>
      <c r="F741" s="1125">
        <f t="shared" ref="F741:F742" si="162">IFERROR($C741*E741,E741)</f>
        <v>88.68</v>
      </c>
    </row>
    <row r="742" spans="1:6" s="631" customFormat="1">
      <c r="A742" s="643">
        <f t="shared" ca="1" si="124"/>
        <v>8.0369999999999795</v>
      </c>
      <c r="B742" s="648" t="s">
        <v>2206</v>
      </c>
      <c r="C742" s="646">
        <v>2</v>
      </c>
      <c r="D742" s="646" t="s">
        <v>329</v>
      </c>
      <c r="E742" s="649">
        <f>Elec_Est!E10848</f>
        <v>31.53</v>
      </c>
      <c r="F742" s="1125">
        <f t="shared" si="162"/>
        <v>63.06</v>
      </c>
    </row>
    <row r="743" spans="1:6" s="631" customFormat="1">
      <c r="A743" s="638"/>
      <c r="B743" s="878" t="s">
        <v>2210</v>
      </c>
      <c r="C743" s="640"/>
      <c r="D743" s="640"/>
      <c r="E743" s="649"/>
      <c r="F743" s="1125"/>
    </row>
    <row r="744" spans="1:6" s="631" customFormat="1">
      <c r="A744" s="638"/>
      <c r="B744" s="878" t="s">
        <v>347</v>
      </c>
      <c r="C744" s="640"/>
      <c r="D744" s="640"/>
      <c r="E744" s="649"/>
      <c r="F744" s="1125"/>
    </row>
    <row r="745" spans="1:6" s="631" customFormat="1" ht="27.6">
      <c r="A745" s="643"/>
      <c r="B745" s="711" t="s">
        <v>2183</v>
      </c>
      <c r="C745" s="646"/>
      <c r="D745" s="646"/>
      <c r="E745" s="649"/>
      <c r="F745" s="1125"/>
    </row>
    <row r="746" spans="1:6" s="631" customFormat="1">
      <c r="A746" s="643">
        <f t="shared" ca="1" si="124"/>
        <v>8.0379999999999789</v>
      </c>
      <c r="B746" s="648" t="s">
        <v>2207</v>
      </c>
      <c r="C746" s="646">
        <v>3</v>
      </c>
      <c r="D746" s="646" t="s">
        <v>329</v>
      </c>
      <c r="E746" s="649">
        <f>Elec_Est!E10866</f>
        <v>116.47</v>
      </c>
      <c r="F746" s="1125">
        <f t="shared" ref="F746" si="163">IFERROR($C746*E746,E746)</f>
        <v>349.40999999999997</v>
      </c>
    </row>
    <row r="747" spans="1:6" s="631" customFormat="1" ht="41.4">
      <c r="A747" s="643"/>
      <c r="B747" s="711" t="s">
        <v>2185</v>
      </c>
      <c r="C747" s="646"/>
      <c r="D747" s="646"/>
      <c r="E747" s="649"/>
      <c r="F747" s="1125"/>
    </row>
    <row r="748" spans="1:6" s="631" customFormat="1">
      <c r="A748" s="643">
        <f t="shared" ca="1" si="124"/>
        <v>8.0389999999999784</v>
      </c>
      <c r="B748" s="648" t="s">
        <v>2207</v>
      </c>
      <c r="C748" s="646">
        <v>3</v>
      </c>
      <c r="D748" s="646" t="s">
        <v>329</v>
      </c>
      <c r="E748" s="649">
        <f>Elec_Est!E10878</f>
        <v>39.42</v>
      </c>
      <c r="F748" s="1125">
        <f t="shared" ref="F748" si="164">IFERROR($C748*E748,E748)</f>
        <v>118.26</v>
      </c>
    </row>
    <row r="749" spans="1:6" s="631" customFormat="1">
      <c r="A749" s="643"/>
      <c r="B749" s="711" t="s">
        <v>2186</v>
      </c>
      <c r="C749" s="646"/>
      <c r="D749" s="646"/>
      <c r="E749" s="649"/>
      <c r="F749" s="1125"/>
    </row>
    <row r="750" spans="1:6" s="631" customFormat="1">
      <c r="A750" s="643">
        <f t="shared" ca="1" si="124"/>
        <v>8.0399999999999778</v>
      </c>
      <c r="B750" s="648" t="s">
        <v>2207</v>
      </c>
      <c r="C750" s="646">
        <v>3</v>
      </c>
      <c r="D750" s="646" t="s">
        <v>329</v>
      </c>
      <c r="E750" s="649">
        <f>Elec_Est!E10888</f>
        <v>64.05</v>
      </c>
      <c r="F750" s="1125">
        <f t="shared" ref="F750" si="165">IFERROR($C750*E750,E750)</f>
        <v>192.14999999999998</v>
      </c>
    </row>
    <row r="751" spans="1:6" s="631" customFormat="1">
      <c r="A751" s="638"/>
      <c r="B751" s="878" t="s">
        <v>362</v>
      </c>
      <c r="C751" s="640"/>
      <c r="D751" s="640"/>
      <c r="E751" s="649"/>
      <c r="F751" s="1125"/>
    </row>
    <row r="752" spans="1:6" s="631" customFormat="1" ht="41.4">
      <c r="A752" s="643"/>
      <c r="B752" s="711" t="s">
        <v>2187</v>
      </c>
      <c r="C752" s="646"/>
      <c r="D752" s="646"/>
      <c r="E752" s="649"/>
      <c r="F752" s="1125"/>
    </row>
    <row r="753" spans="1:6" s="631" customFormat="1">
      <c r="A753" s="643">
        <f t="shared" ca="1" si="124"/>
        <v>8.0409999999999773</v>
      </c>
      <c r="B753" s="648" t="s">
        <v>2205</v>
      </c>
      <c r="C753" s="646">
        <v>1</v>
      </c>
      <c r="D753" s="646" t="s">
        <v>329</v>
      </c>
      <c r="E753" s="649">
        <f>Elec_Est!E10902</f>
        <v>61.73</v>
      </c>
      <c r="F753" s="1125">
        <f t="shared" ref="F753:F755" si="166">IFERROR($C753*E753,E753)</f>
        <v>61.73</v>
      </c>
    </row>
    <row r="754" spans="1:6" s="631" customFormat="1">
      <c r="A754" s="643">
        <f t="shared" ca="1" si="124"/>
        <v>8.0419999999999767</v>
      </c>
      <c r="B754" s="648" t="s">
        <v>2208</v>
      </c>
      <c r="C754" s="646">
        <v>1</v>
      </c>
      <c r="D754" s="646" t="s">
        <v>329</v>
      </c>
      <c r="E754" s="649">
        <f>Elec_Est!E10908</f>
        <v>67.900000000000006</v>
      </c>
      <c r="F754" s="1125">
        <f t="shared" si="166"/>
        <v>67.900000000000006</v>
      </c>
    </row>
    <row r="755" spans="1:6" s="631" customFormat="1">
      <c r="A755" s="643">
        <f t="shared" ca="1" si="124"/>
        <v>8.0429999999999762</v>
      </c>
      <c r="B755" s="648" t="s">
        <v>2083</v>
      </c>
      <c r="C755" s="646">
        <v>1</v>
      </c>
      <c r="D755" s="646" t="s">
        <v>329</v>
      </c>
      <c r="E755" s="649">
        <f>Elec_Est!E10914</f>
        <v>30.86</v>
      </c>
      <c r="F755" s="1125">
        <f t="shared" si="166"/>
        <v>30.86</v>
      </c>
    </row>
    <row r="756" spans="1:6" s="631" customFormat="1" ht="41.4">
      <c r="A756" s="643"/>
      <c r="B756" s="711" t="s">
        <v>2185</v>
      </c>
      <c r="C756" s="646"/>
      <c r="D756" s="646"/>
      <c r="E756" s="649"/>
      <c r="F756" s="1125"/>
    </row>
    <row r="757" spans="1:6" s="631" customFormat="1">
      <c r="A757" s="643">
        <f t="shared" ca="1" si="124"/>
        <v>8.0439999999999756</v>
      </c>
      <c r="B757" s="648" t="s">
        <v>2205</v>
      </c>
      <c r="C757" s="646">
        <v>1</v>
      </c>
      <c r="D757" s="646" t="s">
        <v>329</v>
      </c>
      <c r="E757" s="649">
        <f>Elec_Est!E10924</f>
        <v>29.56</v>
      </c>
      <c r="F757" s="1125">
        <f t="shared" ref="F757:F759" si="167">IFERROR($C757*E757,E757)</f>
        <v>29.56</v>
      </c>
    </row>
    <row r="758" spans="1:6" s="631" customFormat="1">
      <c r="A758" s="643">
        <f t="shared" ca="1" si="124"/>
        <v>8.0449999999999751</v>
      </c>
      <c r="B758" s="648" t="s">
        <v>2208</v>
      </c>
      <c r="C758" s="646">
        <v>1</v>
      </c>
      <c r="D758" s="646" t="s">
        <v>329</v>
      </c>
      <c r="E758" s="649">
        <f>Elec_Est!E10930</f>
        <v>29.56</v>
      </c>
      <c r="F758" s="1125">
        <f t="shared" si="167"/>
        <v>29.56</v>
      </c>
    </row>
    <row r="759" spans="1:6" s="631" customFormat="1">
      <c r="A759" s="643">
        <f t="shared" ca="1" si="124"/>
        <v>8.0459999999999745</v>
      </c>
      <c r="B759" s="648" t="s">
        <v>2083</v>
      </c>
      <c r="C759" s="646">
        <v>1</v>
      </c>
      <c r="D759" s="646" t="s">
        <v>329</v>
      </c>
      <c r="E759" s="649">
        <f>Elec_Est!E10936</f>
        <v>14.78</v>
      </c>
      <c r="F759" s="1125">
        <f t="shared" si="167"/>
        <v>14.78</v>
      </c>
    </row>
    <row r="760" spans="1:6" s="631" customFormat="1">
      <c r="A760" s="643"/>
      <c r="B760" s="711" t="s">
        <v>2186</v>
      </c>
      <c r="C760" s="646"/>
      <c r="D760" s="646"/>
      <c r="E760" s="649"/>
      <c r="F760" s="1125"/>
    </row>
    <row r="761" spans="1:6" s="631" customFormat="1">
      <c r="A761" s="643">
        <f t="shared" ca="1" si="124"/>
        <v>8.046999999999974</v>
      </c>
      <c r="B761" s="648" t="s">
        <v>2205</v>
      </c>
      <c r="C761" s="646">
        <v>1</v>
      </c>
      <c r="D761" s="646" t="s">
        <v>329</v>
      </c>
      <c r="E761" s="649">
        <f>Elec_Est!E10946</f>
        <v>44.34</v>
      </c>
      <c r="F761" s="1125">
        <f t="shared" ref="F761:F764" si="168">IFERROR($C761*E761,E761)</f>
        <v>44.34</v>
      </c>
    </row>
    <row r="762" spans="1:6" s="631" customFormat="1">
      <c r="A762" s="643">
        <f t="shared" ca="1" si="124"/>
        <v>8.0479999999999734</v>
      </c>
      <c r="B762" s="648" t="s">
        <v>2208</v>
      </c>
      <c r="C762" s="646">
        <v>1</v>
      </c>
      <c r="D762" s="646" t="s">
        <v>329</v>
      </c>
      <c r="E762" s="649">
        <f>Elec_Est!E10952</f>
        <v>142.88</v>
      </c>
      <c r="F762" s="1125">
        <f t="shared" si="168"/>
        <v>142.88</v>
      </c>
    </row>
    <row r="763" spans="1:6" s="631" customFormat="1">
      <c r="A763" s="643">
        <f t="shared" ca="1" si="124"/>
        <v>8.0489999999999728</v>
      </c>
      <c r="B763" s="648" t="s">
        <v>2083</v>
      </c>
      <c r="C763" s="646">
        <v>1</v>
      </c>
      <c r="D763" s="646" t="s">
        <v>329</v>
      </c>
      <c r="E763" s="649">
        <f>Elec_Est!E10958</f>
        <v>147.81</v>
      </c>
      <c r="F763" s="1125">
        <f t="shared" si="168"/>
        <v>147.81</v>
      </c>
    </row>
    <row r="764" spans="1:6" s="631" customFormat="1">
      <c r="A764" s="643">
        <f t="shared" ca="1" si="124"/>
        <v>8.0499999999999723</v>
      </c>
      <c r="B764" s="678" t="s">
        <v>2209</v>
      </c>
      <c r="C764" s="646">
        <v>1</v>
      </c>
      <c r="D764" s="646" t="s">
        <v>329</v>
      </c>
      <c r="E764" s="649">
        <f>Elec_Est!E10964</f>
        <v>739.04</v>
      </c>
      <c r="F764" s="1125">
        <f t="shared" si="168"/>
        <v>739.04</v>
      </c>
    </row>
    <row r="765" spans="1:6" s="631" customFormat="1">
      <c r="A765" s="638"/>
      <c r="B765" s="878" t="s">
        <v>379</v>
      </c>
      <c r="C765" s="640"/>
      <c r="D765" s="640"/>
      <c r="E765" s="649"/>
      <c r="F765" s="1125"/>
    </row>
    <row r="766" spans="1:6" s="631" customFormat="1" ht="27.6">
      <c r="A766" s="643">
        <f t="shared" ref="A766:A767" ca="1" si="169">IFERROR(IF(OFFSET(A766,-1,0,1,1)&gt;0,OFFSET(A766,-1,0,1,1)+0.001,ERROR.TYPE(0)),IFERROR(IF(OFFSET(A766,-2,0,1,1)&gt;0,OFFSET(A766,-2,0,1,1)+0.001,ERROR.TYPE(0)),IFERROR(IF(OFFSET(A766,-3,0,1,1)&gt;0,OFFSET(A766,-3,0,1,1)+0.001,ERROR.TYPE(0)),IFERROR(IF(OFFSET(A766,-4,0,1,1)&gt;0,OFFSET(A766,-4,0,1,1)+0.001,ERROR.TYPE(0)),IFERROR(IF(OFFSET(A766,-5,0,1,1)&gt;0,OFFSET(A766,-5,0,1,1)+0.001,ERROR.TYPE(0)),IFERROR(IF(OFFSET(A766,-6,0,1,1)&gt;0,OFFSET(A766,-6,0,1,1)+0.001,ERROR.TYPE(0)),IFERROR(IF(OFFSET(A766,-7,0,1,1)&gt;0,OFFSET(A766,-7,0,1,1)+0.001,ERROR.TYPE(0)),IFERROR(IF(OFFSET(A766,-8,0,1,1)&gt;0,OFFSET(A766,-8,0,1,1)+0.001,ERROR.TYPE(0)),IFERROR(IF(OFFSET(A766,-9,0,1,1)&gt;0,OFFSET(A766,-9,0,1,1)+0.001,ERROR.TYPE(0)),IFERROR(IF(OFFSET(A766,-10,0,1,1)&gt;0,OFFSET(A766,-10,0,1,1)+0.001,ERROR.TYPE(0)),ERROR.TYPE(0)))))))))))</f>
        <v>8.0509999999999717</v>
      </c>
      <c r="B766" s="657" t="s">
        <v>381</v>
      </c>
      <c r="C766" s="680">
        <v>1</v>
      </c>
      <c r="D766" s="680" t="s">
        <v>299</v>
      </c>
      <c r="E766" s="872">
        <f>Elec_Est!E10974</f>
        <v>492.69</v>
      </c>
      <c r="F766" s="1125">
        <f t="shared" ref="F766:F767" si="170">IFERROR($C766*E766,E766)</f>
        <v>492.69</v>
      </c>
    </row>
    <row r="767" spans="1:6" s="631" customFormat="1" ht="27.6">
      <c r="A767" s="643">
        <f t="shared" ca="1" si="169"/>
        <v>8.0519999999999712</v>
      </c>
      <c r="B767" s="657" t="s">
        <v>382</v>
      </c>
      <c r="C767" s="680">
        <v>1</v>
      </c>
      <c r="D767" s="680" t="s">
        <v>383</v>
      </c>
      <c r="E767" s="872">
        <f>Elec_Est!E10980</f>
        <v>227.62</v>
      </c>
      <c r="F767" s="1125">
        <f t="shared" si="170"/>
        <v>227.62</v>
      </c>
    </row>
    <row r="768" spans="1:6" s="631" customFormat="1" ht="15" customHeight="1">
      <c r="A768" s="867"/>
      <c r="B768" s="639" t="s">
        <v>855</v>
      </c>
      <c r="C768" s="1456" t="s">
        <v>305</v>
      </c>
      <c r="D768" s="1457"/>
      <c r="E768" s="652"/>
      <c r="F768" s="1123">
        <f>SUM(F734:F767)</f>
        <v>3057.3299999999995</v>
      </c>
    </row>
    <row r="769" spans="1:6" s="631" customFormat="1">
      <c r="A769" s="873"/>
      <c r="B769" s="629"/>
      <c r="C769" s="661"/>
      <c r="D769" s="661"/>
      <c r="E769" s="662"/>
      <c r="F769" s="1127"/>
    </row>
    <row r="770" spans="1:6" s="631" customFormat="1">
      <c r="A770" s="867"/>
      <c r="B770" s="639" t="s">
        <v>2211</v>
      </c>
      <c r="C770" s="1456" t="s">
        <v>305</v>
      </c>
      <c r="D770" s="1457"/>
      <c r="E770" s="659"/>
      <c r="F770" s="1123">
        <f>F768+F729</f>
        <v>5836.0099999999984</v>
      </c>
    </row>
    <row r="771" spans="1:6">
      <c r="A771" s="874"/>
      <c r="B771" s="624"/>
      <c r="C771" s="682"/>
      <c r="D771" s="682"/>
      <c r="E771" s="684"/>
      <c r="F771" s="1131"/>
    </row>
    <row r="772" spans="1:6">
      <c r="A772" s="874"/>
      <c r="B772" s="624"/>
      <c r="C772" s="682"/>
      <c r="D772" s="683"/>
      <c r="E772" s="684"/>
      <c r="F772" s="1131"/>
    </row>
    <row r="773" spans="1:6" s="631" customFormat="1" ht="27.6">
      <c r="A773" s="634" t="s">
        <v>143</v>
      </c>
      <c r="B773" s="635" t="s">
        <v>198</v>
      </c>
      <c r="C773" s="636" t="s">
        <v>199</v>
      </c>
      <c r="D773" s="636" t="s">
        <v>200</v>
      </c>
      <c r="E773" s="637" t="s">
        <v>294</v>
      </c>
      <c r="F773" s="1122" t="s">
        <v>295</v>
      </c>
    </row>
    <row r="774" spans="1:6" s="631" customFormat="1">
      <c r="A774" s="638">
        <v>9</v>
      </c>
      <c r="B774" s="714" t="s">
        <v>2212</v>
      </c>
      <c r="C774" s="646"/>
      <c r="D774" s="646"/>
      <c r="E774" s="649"/>
      <c r="F774" s="1125"/>
    </row>
    <row r="775" spans="1:6" s="631" customFormat="1">
      <c r="A775" s="638"/>
      <c r="B775" s="878" t="s">
        <v>347</v>
      </c>
      <c r="C775" s="640"/>
      <c r="D775" s="640"/>
      <c r="E775" s="649"/>
      <c r="F775" s="1125"/>
    </row>
    <row r="776" spans="1:6" s="631" customFormat="1" ht="27.6">
      <c r="A776" s="643"/>
      <c r="B776" s="711" t="s">
        <v>2213</v>
      </c>
      <c r="C776" s="646"/>
      <c r="D776" s="646"/>
      <c r="E776" s="649"/>
      <c r="F776" s="1125"/>
    </row>
    <row r="777" spans="1:6" s="631" customFormat="1">
      <c r="A777" s="643">
        <f t="shared" ref="A777:A785" ca="1" si="171">IFERROR(IF(OFFSET(A777,-1,0)&gt;0,OFFSET(A777,-1,0)+0.001,ERROR.TYPE(0)),IFERROR(IF(OFFSET(A777,-2,0)&gt;0,OFFSET(A777,-2,0)+0.001,ERROR.TYPE(0)),IFERROR(IF(OFFSET(A777,-3,0)&gt;0,OFFSET(A777,-3,0)+0.001,ERROR.TYPE(0)),IFERROR(IF(OFFSET(A777,-4,0)&gt;0,OFFSET(A777,-4,0)+0.001,ERROR.TYPE(0)),IFERROR(IF(OFFSET(A777,-5,0)&gt;0,OFFSET(A777,-5,0)+0.001,ERROR.TYPE(0)),IFERROR(IF(OFFSET(A777,-6,0)&gt;0,OFFSET(A777,-6,0)+0.001,ERROR.TYPE(0)),IFERROR(IF(OFFSET(A777,-7,0)&gt;0,OFFSET(A777,-7,0)+0.001,ERROR.TYPE(0)),IFERROR(IF(OFFSET(A777,-8,0)&gt;0,OFFSET(A777,-8,0)+0.001,ERROR.TYPE(0)),IFERROR(IF(OFFSET(A777,-9,0)&gt;0,OFFSET(A777,-9,0)+0.001,ERROR.TYPE(0)),IFERROR(IF(OFFSET(A777,-10,0)&gt;0,OFFSET(A777,-10,0)+0.001,ERROR.TYPE(0)),ERROR.TYPE(0)))))))))))</f>
        <v>9.0009999999999994</v>
      </c>
      <c r="B777" s="678" t="s">
        <v>2214</v>
      </c>
      <c r="C777" s="646">
        <v>2</v>
      </c>
      <c r="D777" s="646" t="s">
        <v>329</v>
      </c>
      <c r="E777" s="649">
        <f ca="1">Elec_Est!E11012</f>
        <v>18.48</v>
      </c>
      <c r="F777" s="1125">
        <f t="shared" ref="F777:F780" ca="1" si="172">IFERROR($C777*E777,E777)</f>
        <v>36.96</v>
      </c>
    </row>
    <row r="778" spans="1:6" s="631" customFormat="1">
      <c r="A778" s="643">
        <f t="shared" ca="1" si="171"/>
        <v>9.0019999999999989</v>
      </c>
      <c r="B778" s="678" t="s">
        <v>2215</v>
      </c>
      <c r="C778" s="646">
        <v>2</v>
      </c>
      <c r="D778" s="646" t="s">
        <v>329</v>
      </c>
      <c r="E778" s="649">
        <f ca="1">Elec_Est!E11019</f>
        <v>18.48</v>
      </c>
      <c r="F778" s="1125">
        <f t="shared" ca="1" si="172"/>
        <v>36.96</v>
      </c>
    </row>
    <row r="779" spans="1:6" s="631" customFormat="1">
      <c r="A779" s="643">
        <f t="shared" ca="1" si="171"/>
        <v>9.0029999999999983</v>
      </c>
      <c r="B779" s="678" t="s">
        <v>2216</v>
      </c>
      <c r="C779" s="646">
        <v>2</v>
      </c>
      <c r="D779" s="646" t="s">
        <v>329</v>
      </c>
      <c r="E779" s="649">
        <f ca="1">Elec_Est!E11026</f>
        <v>18.48</v>
      </c>
      <c r="F779" s="1125">
        <f t="shared" ca="1" si="172"/>
        <v>36.96</v>
      </c>
    </row>
    <row r="780" spans="1:6" s="631" customFormat="1">
      <c r="A780" s="643">
        <f t="shared" ca="1" si="171"/>
        <v>9.0039999999999978</v>
      </c>
      <c r="B780" s="678" t="s">
        <v>2217</v>
      </c>
      <c r="C780" s="646">
        <v>2</v>
      </c>
      <c r="D780" s="646" t="s">
        <v>329</v>
      </c>
      <c r="E780" s="649">
        <f ca="1">Elec_Est!E11033</f>
        <v>18.48</v>
      </c>
      <c r="F780" s="1125">
        <f t="shared" ca="1" si="172"/>
        <v>36.96</v>
      </c>
    </row>
    <row r="781" spans="1:6" s="631" customFormat="1" ht="41.4">
      <c r="A781" s="643"/>
      <c r="B781" s="711" t="s">
        <v>2185</v>
      </c>
      <c r="C781" s="646"/>
      <c r="D781" s="646"/>
      <c r="E781" s="649"/>
      <c r="F781" s="1125"/>
    </row>
    <row r="782" spans="1:6" s="631" customFormat="1">
      <c r="A782" s="643">
        <f t="shared" ca="1" si="171"/>
        <v>9.0049999999999972</v>
      </c>
      <c r="B782" s="678" t="s">
        <v>2214</v>
      </c>
      <c r="C782" s="646">
        <v>2</v>
      </c>
      <c r="D782" s="646" t="s">
        <v>329</v>
      </c>
      <c r="E782" s="649">
        <f>Elec_Est!E11044</f>
        <v>14.78</v>
      </c>
      <c r="F782" s="1125">
        <f t="shared" ref="F782:F785" si="173">IFERROR($C782*E782,E782)</f>
        <v>29.56</v>
      </c>
    </row>
    <row r="783" spans="1:6" s="631" customFormat="1">
      <c r="A783" s="643">
        <f t="shared" ca="1" si="171"/>
        <v>9.0059999999999967</v>
      </c>
      <c r="B783" s="678" t="s">
        <v>2215</v>
      </c>
      <c r="C783" s="646">
        <v>2</v>
      </c>
      <c r="D783" s="646" t="s">
        <v>329</v>
      </c>
      <c r="E783" s="649">
        <f>Elec_Est!E11050</f>
        <v>14.78</v>
      </c>
      <c r="F783" s="1125">
        <f t="shared" si="173"/>
        <v>29.56</v>
      </c>
    </row>
    <row r="784" spans="1:6" s="631" customFormat="1">
      <c r="A784" s="643">
        <f t="shared" ca="1" si="171"/>
        <v>9.0069999999999961</v>
      </c>
      <c r="B784" s="678" t="s">
        <v>2216</v>
      </c>
      <c r="C784" s="646">
        <v>2</v>
      </c>
      <c r="D784" s="646" t="s">
        <v>329</v>
      </c>
      <c r="E784" s="649">
        <f>Elec_Est!E11056</f>
        <v>14.78</v>
      </c>
      <c r="F784" s="1125">
        <f t="shared" si="173"/>
        <v>29.56</v>
      </c>
    </row>
    <row r="785" spans="1:6" s="631" customFormat="1">
      <c r="A785" s="643">
        <f t="shared" ca="1" si="171"/>
        <v>9.0079999999999956</v>
      </c>
      <c r="B785" s="678" t="s">
        <v>2217</v>
      </c>
      <c r="C785" s="646">
        <v>2</v>
      </c>
      <c r="D785" s="646" t="s">
        <v>329</v>
      </c>
      <c r="E785" s="649">
        <f>Elec_Est!E11062</f>
        <v>14.78</v>
      </c>
      <c r="F785" s="1125">
        <f t="shared" si="173"/>
        <v>29.56</v>
      </c>
    </row>
    <row r="786" spans="1:6" s="631" customFormat="1">
      <c r="A786" s="643"/>
      <c r="B786" s="711" t="s">
        <v>2186</v>
      </c>
      <c r="C786" s="646"/>
      <c r="D786" s="646"/>
      <c r="E786" s="649"/>
      <c r="F786" s="1125"/>
    </row>
    <row r="787" spans="1:6" s="631" customFormat="1">
      <c r="A787" s="643">
        <f t="shared" ca="1" si="124"/>
        <v>9.008999999999995</v>
      </c>
      <c r="B787" s="678" t="s">
        <v>2218</v>
      </c>
      <c r="C787" s="646">
        <v>2</v>
      </c>
      <c r="D787" s="646" t="s">
        <v>329</v>
      </c>
      <c r="E787" s="649">
        <f>Elec_Est!E11072</f>
        <v>73.900000000000006</v>
      </c>
      <c r="F787" s="1125">
        <f t="shared" ref="F787:F790" si="174">IFERROR($C787*E787,E787)</f>
        <v>147.80000000000001</v>
      </c>
    </row>
    <row r="788" spans="1:6" s="631" customFormat="1">
      <c r="A788" s="643">
        <f t="shared" ca="1" si="124"/>
        <v>9.0099999999999945</v>
      </c>
      <c r="B788" s="678" t="s">
        <v>2219</v>
      </c>
      <c r="C788" s="646">
        <v>1</v>
      </c>
      <c r="D788" s="646" t="s">
        <v>329</v>
      </c>
      <c r="E788" s="649">
        <f>Elec_Est!E11078</f>
        <v>98.54</v>
      </c>
      <c r="F788" s="1125">
        <f t="shared" si="174"/>
        <v>98.54</v>
      </c>
    </row>
    <row r="789" spans="1:6" s="631" customFormat="1">
      <c r="A789" s="643">
        <f t="shared" ca="1" si="124"/>
        <v>9.0109999999999939</v>
      </c>
      <c r="B789" s="678" t="s">
        <v>2220</v>
      </c>
      <c r="C789" s="646">
        <v>2</v>
      </c>
      <c r="D789" s="646" t="s">
        <v>329</v>
      </c>
      <c r="E789" s="649">
        <f>Elec_Est!E11084</f>
        <v>73.900000000000006</v>
      </c>
      <c r="F789" s="1125">
        <f t="shared" si="174"/>
        <v>147.80000000000001</v>
      </c>
    </row>
    <row r="790" spans="1:6" s="631" customFormat="1">
      <c r="A790" s="643">
        <f t="shared" ca="1" si="124"/>
        <v>9.0119999999999933</v>
      </c>
      <c r="B790" s="678" t="s">
        <v>2221</v>
      </c>
      <c r="C790" s="646">
        <v>2</v>
      </c>
      <c r="D790" s="646" t="s">
        <v>329</v>
      </c>
      <c r="E790" s="649" t="str">
        <f>Elec_Est!Q11090</f>
        <v>Included</v>
      </c>
      <c r="F790" s="1125" t="str">
        <f t="shared" si="174"/>
        <v>Included</v>
      </c>
    </row>
    <row r="791" spans="1:6" s="631" customFormat="1">
      <c r="A791" s="643">
        <f ca="1">IFERROR(IF(OFFSET(A791,-1,0)&gt;0,OFFSET(A791,-1,0)+0.001,ERROR.TYPE(0)),IFERROR(IF(OFFSET(A791,-2,0)&gt;0,OFFSET(A791,-2,0)+0.001,ERROR.TYPE(0)),IFERROR(IF(OFFSET(A791,-3,0)&gt;0,OFFSET(A791,-3,0)+0.001,ERROR.TYPE(0)),IFERROR(IF(OFFSET(A791,-4,0)&gt;0,OFFSET(A791,-4,0)+0.001,ERROR.TYPE(0)),IFERROR(IF(OFFSET(A791,-5,0)&gt;0,OFFSET(A791,-5,0)+0.001,ERROR.TYPE(0)),IFERROR(IF(OFFSET(A791,-6,0)&gt;0,OFFSET(A791,-6,0)+0.001,ERROR.TYPE(0)),IFERROR(IF(OFFSET(A791,-7,0)&gt;0,OFFSET(A791,-7,0)+0.001,ERROR.TYPE(0)),IFERROR(IF(OFFSET(A791,-8,0)&gt;0,OFFSET(A791,-8,0)+0.001,ERROR.TYPE(0)),IFERROR(IF(OFFSET(A791,-9,0)&gt;0,OFFSET(A791,-9,0)+0.001,ERROR.TYPE(0)),IFERROR(IF(OFFSET(A791,-10,0)&gt;0,OFFSET(A791,-10,0)+0.001,ERROR.TYPE(0)),ERROR.TYPE(0)))))))))))</f>
        <v>9.0129999999999928</v>
      </c>
      <c r="B791" s="648" t="s">
        <v>2222</v>
      </c>
      <c r="C791" s="646">
        <v>1</v>
      </c>
      <c r="D791" s="646" t="s">
        <v>329</v>
      </c>
      <c r="E791" s="649">
        <f>Elec_Est!E11096</f>
        <v>739.04</v>
      </c>
      <c r="F791" s="1125">
        <f>IFERROR($C791*E791,E791)</f>
        <v>739.04</v>
      </c>
    </row>
    <row r="792" spans="1:6" s="631" customFormat="1">
      <c r="A792" s="638"/>
      <c r="B792" s="878" t="s">
        <v>362</v>
      </c>
      <c r="C792" s="640"/>
      <c r="D792" s="640"/>
      <c r="E792" s="649"/>
      <c r="F792" s="1125"/>
    </row>
    <row r="793" spans="1:6" s="631" customFormat="1" ht="27.6">
      <c r="A793" s="643"/>
      <c r="B793" s="711" t="s">
        <v>2213</v>
      </c>
      <c r="C793" s="646"/>
      <c r="D793" s="646"/>
      <c r="E793" s="649"/>
      <c r="F793" s="1125"/>
    </row>
    <row r="794" spans="1:6" s="631" customFormat="1">
      <c r="A794" s="643">
        <f t="shared" ref="A794:A802" ca="1" si="175">IFERROR(IF(OFFSET(A794,-1,0)&gt;0,OFFSET(A794,-1,0)+0.001,ERROR.TYPE(0)),IFERROR(IF(OFFSET(A794,-2,0)&gt;0,OFFSET(A794,-2,0)+0.001,ERROR.TYPE(0)),IFERROR(IF(OFFSET(A794,-3,0)&gt;0,OFFSET(A794,-3,0)+0.001,ERROR.TYPE(0)),IFERROR(IF(OFFSET(A794,-4,0)&gt;0,OFFSET(A794,-4,0)+0.001,ERROR.TYPE(0)),IFERROR(IF(OFFSET(A794,-5,0)&gt;0,OFFSET(A794,-5,0)+0.001,ERROR.TYPE(0)),IFERROR(IF(OFFSET(A794,-6,0)&gt;0,OFFSET(A794,-6,0)+0.001,ERROR.TYPE(0)),IFERROR(IF(OFFSET(A794,-7,0)&gt;0,OFFSET(A794,-7,0)+0.001,ERROR.TYPE(0)),IFERROR(IF(OFFSET(A794,-8,0)&gt;0,OFFSET(A794,-8,0)+0.001,ERROR.TYPE(0)),IFERROR(IF(OFFSET(A794,-9,0)&gt;0,OFFSET(A794,-9,0)+0.001,ERROR.TYPE(0)),IFERROR(IF(OFFSET(A794,-10,0)&gt;0,OFFSET(A794,-10,0)+0.001,ERROR.TYPE(0)),ERROR.TYPE(0)))))))))))</f>
        <v>9.0139999999999922</v>
      </c>
      <c r="B794" s="678" t="s">
        <v>2214</v>
      </c>
      <c r="C794" s="646">
        <v>2</v>
      </c>
      <c r="D794" s="646" t="s">
        <v>329</v>
      </c>
      <c r="E794" s="649">
        <f ca="1">Elec_Est!E11110</f>
        <v>18.48</v>
      </c>
      <c r="F794" s="1125">
        <f t="shared" ref="F794:F797" ca="1" si="176">IFERROR($C794*E794,E794)</f>
        <v>36.96</v>
      </c>
    </row>
    <row r="795" spans="1:6" s="631" customFormat="1">
      <c r="A795" s="643">
        <f t="shared" ca="1" si="175"/>
        <v>9.0149999999999917</v>
      </c>
      <c r="B795" s="678" t="s">
        <v>2215</v>
      </c>
      <c r="C795" s="646">
        <v>2</v>
      </c>
      <c r="D795" s="646" t="s">
        <v>329</v>
      </c>
      <c r="E795" s="649">
        <f ca="1">Elec_Est!E11117</f>
        <v>18.48</v>
      </c>
      <c r="F795" s="1125">
        <f t="shared" ca="1" si="176"/>
        <v>36.96</v>
      </c>
    </row>
    <row r="796" spans="1:6" s="631" customFormat="1">
      <c r="A796" s="643">
        <f t="shared" ca="1" si="175"/>
        <v>9.0159999999999911</v>
      </c>
      <c r="B796" s="678" t="s">
        <v>2216</v>
      </c>
      <c r="C796" s="646">
        <v>2</v>
      </c>
      <c r="D796" s="646" t="s">
        <v>329</v>
      </c>
      <c r="E796" s="649">
        <f ca="1">Elec_Est!E11124</f>
        <v>18.48</v>
      </c>
      <c r="F796" s="1125">
        <f t="shared" ca="1" si="176"/>
        <v>36.96</v>
      </c>
    </row>
    <row r="797" spans="1:6" s="631" customFormat="1">
      <c r="A797" s="643">
        <f t="shared" ca="1" si="175"/>
        <v>9.0169999999999906</v>
      </c>
      <c r="B797" s="678" t="s">
        <v>2217</v>
      </c>
      <c r="C797" s="646">
        <v>2</v>
      </c>
      <c r="D797" s="646" t="s">
        <v>329</v>
      </c>
      <c r="E797" s="649">
        <f ca="1">Elec_Est!E11131</f>
        <v>18.48</v>
      </c>
      <c r="F797" s="1125">
        <f t="shared" ca="1" si="176"/>
        <v>36.96</v>
      </c>
    </row>
    <row r="798" spans="1:6" s="631" customFormat="1" ht="41.4">
      <c r="A798" s="643"/>
      <c r="B798" s="711" t="s">
        <v>2185</v>
      </c>
      <c r="C798" s="646"/>
      <c r="D798" s="646"/>
      <c r="E798" s="649"/>
      <c r="F798" s="1125"/>
    </row>
    <row r="799" spans="1:6" s="631" customFormat="1">
      <c r="A799" s="643">
        <f t="shared" ca="1" si="175"/>
        <v>9.01799999999999</v>
      </c>
      <c r="B799" s="678" t="s">
        <v>2214</v>
      </c>
      <c r="C799" s="646">
        <v>2</v>
      </c>
      <c r="D799" s="646" t="s">
        <v>329</v>
      </c>
      <c r="E799" s="649">
        <f>Elec_Est!E11142</f>
        <v>14.78</v>
      </c>
      <c r="F799" s="1125">
        <f t="shared" ref="F799:F802" si="177">IFERROR($C799*E799,E799)</f>
        <v>29.56</v>
      </c>
    </row>
    <row r="800" spans="1:6" s="631" customFormat="1">
      <c r="A800" s="643">
        <f t="shared" ca="1" si="175"/>
        <v>9.0189999999999895</v>
      </c>
      <c r="B800" s="678" t="s">
        <v>2215</v>
      </c>
      <c r="C800" s="646">
        <v>2</v>
      </c>
      <c r="D800" s="646" t="s">
        <v>329</v>
      </c>
      <c r="E800" s="649">
        <f>Elec_Est!E11148</f>
        <v>14.78</v>
      </c>
      <c r="F800" s="1125">
        <f t="shared" si="177"/>
        <v>29.56</v>
      </c>
    </row>
    <row r="801" spans="1:6" s="631" customFormat="1">
      <c r="A801" s="643">
        <f t="shared" ca="1" si="175"/>
        <v>9.0199999999999889</v>
      </c>
      <c r="B801" s="678" t="s">
        <v>2216</v>
      </c>
      <c r="C801" s="646">
        <v>2</v>
      </c>
      <c r="D801" s="646" t="s">
        <v>329</v>
      </c>
      <c r="E801" s="649">
        <f>Elec_Est!E11154</f>
        <v>14.78</v>
      </c>
      <c r="F801" s="1125">
        <f t="shared" si="177"/>
        <v>29.56</v>
      </c>
    </row>
    <row r="802" spans="1:6" s="631" customFormat="1">
      <c r="A802" s="643">
        <f t="shared" ca="1" si="175"/>
        <v>9.0209999999999884</v>
      </c>
      <c r="B802" s="678" t="s">
        <v>2217</v>
      </c>
      <c r="C802" s="646">
        <v>2</v>
      </c>
      <c r="D802" s="646" t="s">
        <v>329</v>
      </c>
      <c r="E802" s="649">
        <f>Elec_Est!E11160</f>
        <v>14.78</v>
      </c>
      <c r="F802" s="1125">
        <f t="shared" si="177"/>
        <v>29.56</v>
      </c>
    </row>
    <row r="803" spans="1:6" s="631" customFormat="1">
      <c r="A803" s="643"/>
      <c r="B803" s="711" t="s">
        <v>2186</v>
      </c>
      <c r="C803" s="646"/>
      <c r="D803" s="646"/>
      <c r="E803" s="649"/>
      <c r="F803" s="1125"/>
    </row>
    <row r="804" spans="1:6" s="631" customFormat="1">
      <c r="A804" s="643">
        <f t="shared" ca="1" si="124"/>
        <v>9.0219999999999878</v>
      </c>
      <c r="B804" s="678" t="s">
        <v>2218</v>
      </c>
      <c r="C804" s="646">
        <v>2</v>
      </c>
      <c r="D804" s="646" t="s">
        <v>329</v>
      </c>
      <c r="E804" s="649">
        <f>Elec_Est!E11170</f>
        <v>73.900000000000006</v>
      </c>
      <c r="F804" s="1125">
        <f t="shared" ref="F804:F807" si="178">IFERROR($C804*E804,E804)</f>
        <v>147.80000000000001</v>
      </c>
    </row>
    <row r="805" spans="1:6" s="631" customFormat="1">
      <c r="A805" s="643">
        <f t="shared" ca="1" si="124"/>
        <v>9.0229999999999873</v>
      </c>
      <c r="B805" s="678" t="s">
        <v>2219</v>
      </c>
      <c r="C805" s="646">
        <v>1</v>
      </c>
      <c r="D805" s="646" t="s">
        <v>329</v>
      </c>
      <c r="E805" s="649">
        <f>Elec_Est!E11176</f>
        <v>98.54</v>
      </c>
      <c r="F805" s="1125">
        <f t="shared" si="178"/>
        <v>98.54</v>
      </c>
    </row>
    <row r="806" spans="1:6" s="631" customFormat="1">
      <c r="A806" s="643">
        <f t="shared" ca="1" si="124"/>
        <v>9.0239999999999867</v>
      </c>
      <c r="B806" s="678" t="s">
        <v>2220</v>
      </c>
      <c r="C806" s="646">
        <v>2</v>
      </c>
      <c r="D806" s="646" t="s">
        <v>329</v>
      </c>
      <c r="E806" s="649">
        <f>Elec_Est!E11182</f>
        <v>73.900000000000006</v>
      </c>
      <c r="F806" s="1125">
        <f t="shared" si="178"/>
        <v>147.80000000000001</v>
      </c>
    </row>
    <row r="807" spans="1:6" s="631" customFormat="1">
      <c r="A807" s="643">
        <f t="shared" ca="1" si="124"/>
        <v>9.0249999999999861</v>
      </c>
      <c r="B807" s="678" t="s">
        <v>2221</v>
      </c>
      <c r="C807" s="646">
        <v>2</v>
      </c>
      <c r="D807" s="646" t="s">
        <v>329</v>
      </c>
      <c r="E807" s="649" t="str">
        <f>Elec_Est!Q11188</f>
        <v xml:space="preserve">Included </v>
      </c>
      <c r="F807" s="1125" t="str">
        <f t="shared" si="178"/>
        <v xml:space="preserve">Included </v>
      </c>
    </row>
    <row r="808" spans="1:6" s="631" customFormat="1">
      <c r="A808" s="638"/>
      <c r="B808" s="878" t="s">
        <v>368</v>
      </c>
      <c r="C808" s="640"/>
      <c r="D808" s="640"/>
      <c r="E808" s="649"/>
      <c r="F808" s="1125"/>
    </row>
    <row r="809" spans="1:6" s="631" customFormat="1" ht="27.6">
      <c r="A809" s="643"/>
      <c r="B809" s="711" t="s">
        <v>2213</v>
      </c>
      <c r="C809" s="646"/>
      <c r="D809" s="646"/>
      <c r="E809" s="649"/>
      <c r="F809" s="1125"/>
    </row>
    <row r="810" spans="1:6" s="631" customFormat="1">
      <c r="A810" s="643">
        <f t="shared" ref="A810:A818" ca="1" si="179">IFERROR(IF(OFFSET(A810,-1,0)&gt;0,OFFSET(A810,-1,0)+0.001,ERROR.TYPE(0)),IFERROR(IF(OFFSET(A810,-2,0)&gt;0,OFFSET(A810,-2,0)+0.001,ERROR.TYPE(0)),IFERROR(IF(OFFSET(A810,-3,0)&gt;0,OFFSET(A810,-3,0)+0.001,ERROR.TYPE(0)),IFERROR(IF(OFFSET(A810,-4,0)&gt;0,OFFSET(A810,-4,0)+0.001,ERROR.TYPE(0)),IFERROR(IF(OFFSET(A810,-5,0)&gt;0,OFFSET(A810,-5,0)+0.001,ERROR.TYPE(0)),IFERROR(IF(OFFSET(A810,-6,0)&gt;0,OFFSET(A810,-6,0)+0.001,ERROR.TYPE(0)),IFERROR(IF(OFFSET(A810,-7,0)&gt;0,OFFSET(A810,-7,0)+0.001,ERROR.TYPE(0)),IFERROR(IF(OFFSET(A810,-8,0)&gt;0,OFFSET(A810,-8,0)+0.001,ERROR.TYPE(0)),IFERROR(IF(OFFSET(A810,-9,0)&gt;0,OFFSET(A810,-9,0)+0.001,ERROR.TYPE(0)),IFERROR(IF(OFFSET(A810,-10,0)&gt;0,OFFSET(A810,-10,0)+0.001,ERROR.TYPE(0)),ERROR.TYPE(0)))))))))))</f>
        <v>9.0259999999999856</v>
      </c>
      <c r="B810" s="678" t="s">
        <v>2214</v>
      </c>
      <c r="C810" s="646">
        <v>1</v>
      </c>
      <c r="D810" s="646" t="s">
        <v>329</v>
      </c>
      <c r="E810" s="649">
        <f ca="1">Elec_Est!E11202</f>
        <v>18.48</v>
      </c>
      <c r="F810" s="1125">
        <f t="shared" ref="F810:F813" ca="1" si="180">IFERROR($C810*E810,E810)</f>
        <v>18.48</v>
      </c>
    </row>
    <row r="811" spans="1:6" s="631" customFormat="1">
      <c r="A811" s="643">
        <f t="shared" ca="1" si="179"/>
        <v>9.026999999999985</v>
      </c>
      <c r="B811" s="678" t="s">
        <v>2215</v>
      </c>
      <c r="C811" s="646">
        <v>1</v>
      </c>
      <c r="D811" s="646" t="s">
        <v>329</v>
      </c>
      <c r="E811" s="649">
        <f ca="1">Elec_Est!E11209</f>
        <v>18.48</v>
      </c>
      <c r="F811" s="1125">
        <f t="shared" ca="1" si="180"/>
        <v>18.48</v>
      </c>
    </row>
    <row r="812" spans="1:6" s="631" customFormat="1">
      <c r="A812" s="643">
        <f t="shared" ca="1" si="179"/>
        <v>9.0279999999999845</v>
      </c>
      <c r="B812" s="678" t="s">
        <v>2216</v>
      </c>
      <c r="C812" s="646">
        <v>1</v>
      </c>
      <c r="D812" s="646" t="s">
        <v>329</v>
      </c>
      <c r="E812" s="649">
        <f ca="1">Elec_Est!E11216</f>
        <v>18.48</v>
      </c>
      <c r="F812" s="1125">
        <f t="shared" ca="1" si="180"/>
        <v>18.48</v>
      </c>
    </row>
    <row r="813" spans="1:6" s="631" customFormat="1">
      <c r="A813" s="643">
        <f t="shared" ca="1" si="179"/>
        <v>9.0289999999999839</v>
      </c>
      <c r="B813" s="678" t="s">
        <v>2217</v>
      </c>
      <c r="C813" s="646">
        <v>1</v>
      </c>
      <c r="D813" s="646" t="s">
        <v>329</v>
      </c>
      <c r="E813" s="649">
        <f ca="1">Elec_Est!E11223</f>
        <v>18.48</v>
      </c>
      <c r="F813" s="1125">
        <f t="shared" ca="1" si="180"/>
        <v>18.48</v>
      </c>
    </row>
    <row r="814" spans="1:6" s="631" customFormat="1" ht="41.4">
      <c r="A814" s="643"/>
      <c r="B814" s="711" t="s">
        <v>2185</v>
      </c>
      <c r="C814" s="646"/>
      <c r="D814" s="646"/>
      <c r="E814" s="649"/>
      <c r="F814" s="1125"/>
    </row>
    <row r="815" spans="1:6" s="631" customFormat="1">
      <c r="A815" s="643">
        <f t="shared" ca="1" si="179"/>
        <v>9.0299999999999834</v>
      </c>
      <c r="B815" s="678" t="s">
        <v>2214</v>
      </c>
      <c r="C815" s="646">
        <v>1</v>
      </c>
      <c r="D815" s="646" t="s">
        <v>329</v>
      </c>
      <c r="E815" s="649">
        <f>Elec_Est!E11234</f>
        <v>14.78</v>
      </c>
      <c r="F815" s="1125">
        <f t="shared" ref="F815:F818" si="181">IFERROR($C815*E815,E815)</f>
        <v>14.78</v>
      </c>
    </row>
    <row r="816" spans="1:6" s="631" customFormat="1">
      <c r="A816" s="643">
        <f t="shared" ca="1" si="179"/>
        <v>9.0309999999999828</v>
      </c>
      <c r="B816" s="678" t="s">
        <v>2215</v>
      </c>
      <c r="C816" s="646">
        <v>1</v>
      </c>
      <c r="D816" s="646" t="s">
        <v>329</v>
      </c>
      <c r="E816" s="649">
        <f>Elec_Est!E11240</f>
        <v>14.78</v>
      </c>
      <c r="F816" s="1125">
        <f t="shared" si="181"/>
        <v>14.78</v>
      </c>
    </row>
    <row r="817" spans="1:6" s="631" customFormat="1">
      <c r="A817" s="643">
        <f t="shared" ca="1" si="179"/>
        <v>9.0319999999999823</v>
      </c>
      <c r="B817" s="678" t="s">
        <v>2216</v>
      </c>
      <c r="C817" s="646">
        <v>1</v>
      </c>
      <c r="D817" s="646" t="s">
        <v>329</v>
      </c>
      <c r="E817" s="649">
        <f>Elec_Est!E11246</f>
        <v>14.78</v>
      </c>
      <c r="F817" s="1125">
        <f t="shared" si="181"/>
        <v>14.78</v>
      </c>
    </row>
    <row r="818" spans="1:6" s="631" customFormat="1">
      <c r="A818" s="643">
        <f t="shared" ca="1" si="179"/>
        <v>9.0329999999999817</v>
      </c>
      <c r="B818" s="678" t="s">
        <v>2217</v>
      </c>
      <c r="C818" s="646">
        <v>1</v>
      </c>
      <c r="D818" s="646" t="s">
        <v>329</v>
      </c>
      <c r="E818" s="649">
        <f>Elec_Est!E11252</f>
        <v>14.78</v>
      </c>
      <c r="F818" s="1125">
        <f t="shared" si="181"/>
        <v>14.78</v>
      </c>
    </row>
    <row r="819" spans="1:6" s="631" customFormat="1">
      <c r="A819" s="643"/>
      <c r="B819" s="711" t="s">
        <v>2186</v>
      </c>
      <c r="C819" s="646"/>
      <c r="D819" s="646"/>
      <c r="E819" s="649"/>
      <c r="F819" s="1125"/>
    </row>
    <row r="820" spans="1:6" s="631" customFormat="1">
      <c r="A820" s="643">
        <f t="shared" ca="1" si="124"/>
        <v>9.0339999999999812</v>
      </c>
      <c r="B820" s="678" t="s">
        <v>2218</v>
      </c>
      <c r="C820" s="646">
        <v>1</v>
      </c>
      <c r="D820" s="646" t="s">
        <v>329</v>
      </c>
      <c r="E820" s="649">
        <f>Elec_Est!E11262</f>
        <v>73.900000000000006</v>
      </c>
      <c r="F820" s="1125">
        <f t="shared" ref="F820:F822" si="182">IFERROR($C820*E820,E820)</f>
        <v>73.900000000000006</v>
      </c>
    </row>
    <row r="821" spans="1:6" s="631" customFormat="1">
      <c r="A821" s="643">
        <f t="shared" ca="1" si="124"/>
        <v>9.0349999999999806</v>
      </c>
      <c r="B821" s="678" t="s">
        <v>2219</v>
      </c>
      <c r="C821" s="646">
        <v>1</v>
      </c>
      <c r="D821" s="646" t="s">
        <v>329</v>
      </c>
      <c r="E821" s="649">
        <f>Elec_Est!E11268</f>
        <v>98.54</v>
      </c>
      <c r="F821" s="1125">
        <f t="shared" si="182"/>
        <v>98.54</v>
      </c>
    </row>
    <row r="822" spans="1:6" s="631" customFormat="1">
      <c r="A822" s="643">
        <f t="shared" ca="1" si="124"/>
        <v>9.03599999999998</v>
      </c>
      <c r="B822" s="678" t="s">
        <v>2220</v>
      </c>
      <c r="C822" s="646">
        <v>1</v>
      </c>
      <c r="D822" s="646" t="s">
        <v>329</v>
      </c>
      <c r="E822" s="649">
        <f>Elec_Est!E11274</f>
        <v>73.900000000000006</v>
      </c>
      <c r="F822" s="1125">
        <f t="shared" si="182"/>
        <v>73.900000000000006</v>
      </c>
    </row>
    <row r="823" spans="1:6" s="631" customFormat="1">
      <c r="A823" s="643">
        <f t="shared" ca="1" si="124"/>
        <v>9.0369999999999795</v>
      </c>
      <c r="B823" s="678" t="s">
        <v>2221</v>
      </c>
      <c r="C823" s="646">
        <v>1</v>
      </c>
      <c r="D823" s="646" t="s">
        <v>329</v>
      </c>
      <c r="E823" s="649" t="str">
        <f>Elec_Est!Q11280</f>
        <v>Included</v>
      </c>
      <c r="F823" s="1125"/>
    </row>
    <row r="824" spans="1:6" s="631" customFormat="1" ht="15" customHeight="1">
      <c r="A824" s="867"/>
      <c r="B824" s="639" t="s">
        <v>864</v>
      </c>
      <c r="C824" s="1456" t="s">
        <v>305</v>
      </c>
      <c r="D824" s="1457"/>
      <c r="E824" s="652"/>
      <c r="F824" s="1123">
        <f ca="1">SUM(F776:F823)</f>
        <v>2438.860000000001</v>
      </c>
    </row>
    <row r="825" spans="1:6" s="631" customFormat="1">
      <c r="A825" s="868"/>
      <c r="B825" s="666"/>
      <c r="C825" s="654"/>
      <c r="D825" s="654"/>
      <c r="E825" s="655"/>
      <c r="F825" s="1126"/>
    </row>
    <row r="826" spans="1:6" s="631" customFormat="1">
      <c r="A826" s="653"/>
      <c r="B826" s="666"/>
      <c r="C826" s="654"/>
      <c r="D826" s="654"/>
      <c r="E826" s="655"/>
      <c r="F826" s="1126"/>
    </row>
    <row r="827" spans="1:6" s="631" customFormat="1" ht="27.6">
      <c r="A827" s="634" t="s">
        <v>143</v>
      </c>
      <c r="B827" s="635" t="s">
        <v>198</v>
      </c>
      <c r="C827" s="636" t="s">
        <v>199</v>
      </c>
      <c r="D827" s="636" t="s">
        <v>200</v>
      </c>
      <c r="E827" s="637" t="s">
        <v>294</v>
      </c>
      <c r="F827" s="1122" t="s">
        <v>295</v>
      </c>
    </row>
    <row r="828" spans="1:6" s="631" customFormat="1">
      <c r="A828" s="638"/>
      <c r="B828" s="878" t="s">
        <v>371</v>
      </c>
      <c r="C828" s="640"/>
      <c r="D828" s="640"/>
      <c r="E828" s="649"/>
      <c r="F828" s="1125"/>
    </row>
    <row r="829" spans="1:6" s="631" customFormat="1" ht="27.6">
      <c r="A829" s="643"/>
      <c r="B829" s="711" t="s">
        <v>2213</v>
      </c>
      <c r="C829" s="646"/>
      <c r="D829" s="646"/>
      <c r="E829" s="649"/>
      <c r="F829" s="1125"/>
    </row>
    <row r="830" spans="1:6" s="631" customFormat="1">
      <c r="A830" s="643">
        <f t="shared" ref="A830:A838" ca="1" si="183">IFERROR(IF(OFFSET(A830,-1,0)&gt;0,OFFSET(A830,-1,0)+0.001,ERROR.TYPE(0)),IFERROR(IF(OFFSET(A830,-2,0)&gt;0,OFFSET(A830,-2,0)+0.001,ERROR.TYPE(0)),IFERROR(IF(OFFSET(A830,-3,0)&gt;0,OFFSET(A830,-3,0)+0.001,ERROR.TYPE(0)),IFERROR(IF(OFFSET(A830,-4,0)&gt;0,OFFSET(A830,-4,0)+0.001,ERROR.TYPE(0)),IFERROR(IF(OFFSET(A830,-5,0)&gt;0,OFFSET(A830,-5,0)+0.001,ERROR.TYPE(0)),IFERROR(IF(OFFSET(A830,-6,0)&gt;0,OFFSET(A830,-6,0)+0.001,ERROR.TYPE(0)),IFERROR(IF(OFFSET(A830,-7,0)&gt;0,OFFSET(A830,-7,0)+0.001,ERROR.TYPE(0)),IFERROR(IF(OFFSET(A830,-8,0)&gt;0,OFFSET(A830,-8,0)+0.001,ERROR.TYPE(0)),IFERROR(IF(OFFSET(A830,-9,0)&gt;0,OFFSET(A830,-9,0)+0.001,ERROR.TYPE(0)),IFERROR(IF(OFFSET(A830,-10,0)&gt;0,OFFSET(A830,-10,0)+0.001,ERROR.TYPE(0)),ERROR.TYPE(0)))))))))))</f>
        <v>9.0379999999999789</v>
      </c>
      <c r="B830" s="678" t="s">
        <v>2214</v>
      </c>
      <c r="C830" s="646">
        <v>1</v>
      </c>
      <c r="D830" s="646" t="s">
        <v>329</v>
      </c>
      <c r="E830" s="649">
        <f ca="1">Elec_Est!E11300</f>
        <v>18.48</v>
      </c>
      <c r="F830" s="1125">
        <f t="shared" ref="F830:F833" ca="1" si="184">IFERROR($C830*E830,E830)</f>
        <v>18.48</v>
      </c>
    </row>
    <row r="831" spans="1:6" s="631" customFormat="1">
      <c r="A831" s="643">
        <f t="shared" ca="1" si="183"/>
        <v>9.0389999999999784</v>
      </c>
      <c r="B831" s="678" t="s">
        <v>2215</v>
      </c>
      <c r="C831" s="646">
        <v>1</v>
      </c>
      <c r="D831" s="646" t="s">
        <v>329</v>
      </c>
      <c r="E831" s="649">
        <f ca="1">Elec_Est!E11307</f>
        <v>18.48</v>
      </c>
      <c r="F831" s="1125">
        <f t="shared" ca="1" si="184"/>
        <v>18.48</v>
      </c>
    </row>
    <row r="832" spans="1:6" s="631" customFormat="1">
      <c r="A832" s="643">
        <f t="shared" ca="1" si="183"/>
        <v>9.0399999999999778</v>
      </c>
      <c r="B832" s="678" t="s">
        <v>2216</v>
      </c>
      <c r="C832" s="646">
        <v>1</v>
      </c>
      <c r="D832" s="646" t="s">
        <v>329</v>
      </c>
      <c r="E832" s="649">
        <f ca="1">Elec_Est!E11314</f>
        <v>18.48</v>
      </c>
      <c r="F832" s="1125">
        <f t="shared" ca="1" si="184"/>
        <v>18.48</v>
      </c>
    </row>
    <row r="833" spans="1:6" s="631" customFormat="1">
      <c r="A833" s="643">
        <f t="shared" ca="1" si="183"/>
        <v>9.0409999999999773</v>
      </c>
      <c r="B833" s="678" t="s">
        <v>2217</v>
      </c>
      <c r="C833" s="646">
        <v>1</v>
      </c>
      <c r="D833" s="646" t="s">
        <v>329</v>
      </c>
      <c r="E833" s="649">
        <f ca="1">Elec_Est!E11321</f>
        <v>18.48</v>
      </c>
      <c r="F833" s="1125">
        <f t="shared" ca="1" si="184"/>
        <v>18.48</v>
      </c>
    </row>
    <row r="834" spans="1:6" s="631" customFormat="1" ht="41.4">
      <c r="A834" s="643"/>
      <c r="B834" s="711" t="s">
        <v>2185</v>
      </c>
      <c r="C834" s="646"/>
      <c r="D834" s="646"/>
      <c r="E834" s="649"/>
      <c r="F834" s="1125"/>
    </row>
    <row r="835" spans="1:6" s="631" customFormat="1">
      <c r="A835" s="643">
        <f t="shared" ca="1" si="183"/>
        <v>9.0419999999999767</v>
      </c>
      <c r="B835" s="678" t="s">
        <v>2214</v>
      </c>
      <c r="C835" s="646">
        <v>1</v>
      </c>
      <c r="D835" s="646" t="s">
        <v>329</v>
      </c>
      <c r="E835" s="649">
        <f>Elec_Est!E11332</f>
        <v>14.78</v>
      </c>
      <c r="F835" s="1125">
        <f t="shared" ref="F835:F838" si="185">IFERROR($C835*E835,E835)</f>
        <v>14.78</v>
      </c>
    </row>
    <row r="836" spans="1:6" s="631" customFormat="1">
      <c r="A836" s="643">
        <f t="shared" ca="1" si="183"/>
        <v>9.0429999999999762</v>
      </c>
      <c r="B836" s="678" t="s">
        <v>2215</v>
      </c>
      <c r="C836" s="646">
        <v>1</v>
      </c>
      <c r="D836" s="646" t="s">
        <v>329</v>
      </c>
      <c r="E836" s="649">
        <f>Elec_Est!E11338</f>
        <v>14.78</v>
      </c>
      <c r="F836" s="1125">
        <f t="shared" si="185"/>
        <v>14.78</v>
      </c>
    </row>
    <row r="837" spans="1:6" s="631" customFormat="1">
      <c r="A837" s="643">
        <f t="shared" ca="1" si="183"/>
        <v>9.0439999999999756</v>
      </c>
      <c r="B837" s="678" t="s">
        <v>2216</v>
      </c>
      <c r="C837" s="646">
        <v>1</v>
      </c>
      <c r="D837" s="646" t="s">
        <v>329</v>
      </c>
      <c r="E837" s="649">
        <f>Elec_Est!E11344</f>
        <v>14.78</v>
      </c>
      <c r="F837" s="1125">
        <f t="shared" si="185"/>
        <v>14.78</v>
      </c>
    </row>
    <row r="838" spans="1:6" s="631" customFormat="1">
      <c r="A838" s="643">
        <f t="shared" ca="1" si="183"/>
        <v>9.0449999999999751</v>
      </c>
      <c r="B838" s="678" t="s">
        <v>2217</v>
      </c>
      <c r="C838" s="646">
        <v>1</v>
      </c>
      <c r="D838" s="646" t="s">
        <v>329</v>
      </c>
      <c r="E838" s="649">
        <f>Elec_Est!E11350</f>
        <v>14.78</v>
      </c>
      <c r="F838" s="1125">
        <f t="shared" si="185"/>
        <v>14.78</v>
      </c>
    </row>
    <row r="839" spans="1:6" s="631" customFormat="1">
      <c r="A839" s="643"/>
      <c r="B839" s="711" t="s">
        <v>2186</v>
      </c>
      <c r="C839" s="646"/>
      <c r="D839" s="646"/>
      <c r="E839" s="649"/>
      <c r="F839" s="1125"/>
    </row>
    <row r="840" spans="1:6" s="631" customFormat="1">
      <c r="A840" s="643">
        <f t="shared" ca="1" si="124"/>
        <v>9.0459999999999745</v>
      </c>
      <c r="B840" s="678" t="s">
        <v>2218</v>
      </c>
      <c r="C840" s="646">
        <v>1</v>
      </c>
      <c r="D840" s="646" t="s">
        <v>329</v>
      </c>
      <c r="E840" s="649">
        <f>Elec_Est!E11360</f>
        <v>73.900000000000006</v>
      </c>
      <c r="F840" s="1125">
        <f t="shared" ref="F840:F843" si="186">IFERROR($C840*E840,E840)</f>
        <v>73.900000000000006</v>
      </c>
    </row>
    <row r="841" spans="1:6" s="631" customFormat="1">
      <c r="A841" s="643">
        <f t="shared" ca="1" si="124"/>
        <v>9.046999999999974</v>
      </c>
      <c r="B841" s="678" t="s">
        <v>2219</v>
      </c>
      <c r="C841" s="646">
        <v>1</v>
      </c>
      <c r="D841" s="646" t="s">
        <v>329</v>
      </c>
      <c r="E841" s="649">
        <f>Elec_Est!E11366</f>
        <v>98.54</v>
      </c>
      <c r="F841" s="1125">
        <f t="shared" si="186"/>
        <v>98.54</v>
      </c>
    </row>
    <row r="842" spans="1:6" s="631" customFormat="1">
      <c r="A842" s="643">
        <f t="shared" ca="1" si="124"/>
        <v>9.0479999999999734</v>
      </c>
      <c r="B842" s="678" t="s">
        <v>2220</v>
      </c>
      <c r="C842" s="646">
        <v>1</v>
      </c>
      <c r="D842" s="646" t="s">
        <v>329</v>
      </c>
      <c r="E842" s="649">
        <f>Elec_Est!E11372</f>
        <v>73.900000000000006</v>
      </c>
      <c r="F842" s="1125">
        <f t="shared" si="186"/>
        <v>73.900000000000006</v>
      </c>
    </row>
    <row r="843" spans="1:6" s="631" customFormat="1">
      <c r="A843" s="643">
        <f t="shared" ca="1" si="124"/>
        <v>9.0489999999999728</v>
      </c>
      <c r="B843" s="678" t="s">
        <v>2221</v>
      </c>
      <c r="C843" s="646">
        <v>1</v>
      </c>
      <c r="D843" s="646" t="s">
        <v>329</v>
      </c>
      <c r="E843" s="649" t="str">
        <f>Elec_Est!Q11378</f>
        <v>Included</v>
      </c>
      <c r="F843" s="1125" t="str">
        <f t="shared" si="186"/>
        <v>Included</v>
      </c>
    </row>
    <row r="844" spans="1:6" s="631" customFormat="1">
      <c r="A844" s="638"/>
      <c r="B844" s="878" t="s">
        <v>379</v>
      </c>
      <c r="C844" s="640"/>
      <c r="D844" s="640"/>
      <c r="E844" s="649"/>
      <c r="F844" s="1125"/>
    </row>
    <row r="845" spans="1:6" s="631" customFormat="1" ht="27.6">
      <c r="A845" s="643">
        <f t="shared" ref="A845:A846" ca="1" si="187">IFERROR(IF(OFFSET(A845,-1,0,1,1)&gt;0,OFFSET(A845,-1,0,1,1)+0.001,ERROR.TYPE(0)),IFERROR(IF(OFFSET(A845,-2,0,1,1)&gt;0,OFFSET(A845,-2,0,1,1)+0.001,ERROR.TYPE(0)),IFERROR(IF(OFFSET(A845,-3,0,1,1)&gt;0,OFFSET(A845,-3,0,1,1)+0.001,ERROR.TYPE(0)),IFERROR(IF(OFFSET(A845,-4,0,1,1)&gt;0,OFFSET(A845,-4,0,1,1)+0.001,ERROR.TYPE(0)),IFERROR(IF(OFFSET(A845,-5,0,1,1)&gt;0,OFFSET(A845,-5,0,1,1)+0.001,ERROR.TYPE(0)),IFERROR(IF(OFFSET(A845,-6,0,1,1)&gt;0,OFFSET(A845,-6,0,1,1)+0.001,ERROR.TYPE(0)),IFERROR(IF(OFFSET(A845,-7,0,1,1)&gt;0,OFFSET(A845,-7,0,1,1)+0.001,ERROR.TYPE(0)),IFERROR(IF(OFFSET(A845,-8,0,1,1)&gt;0,OFFSET(A845,-8,0,1,1)+0.001,ERROR.TYPE(0)),IFERROR(IF(OFFSET(A845,-9,0,1,1)&gt;0,OFFSET(A845,-9,0,1,1)+0.001,ERROR.TYPE(0)),IFERROR(IF(OFFSET(A845,-10,0,1,1)&gt;0,OFFSET(A845,-10,0,1,1)+0.001,ERROR.TYPE(0)),ERROR.TYPE(0)))))))))))</f>
        <v>9.0499999999999723</v>
      </c>
      <c r="B845" s="657" t="s">
        <v>381</v>
      </c>
      <c r="C845" s="680">
        <v>1</v>
      </c>
      <c r="D845" s="680" t="s">
        <v>299</v>
      </c>
      <c r="E845" s="872">
        <f>Elec_Est!E11388</f>
        <v>246.35</v>
      </c>
      <c r="F845" s="1125">
        <f t="shared" ref="F845:F846" si="188">IFERROR($C845*E845,E845)</f>
        <v>246.35</v>
      </c>
    </row>
    <row r="846" spans="1:6" s="631" customFormat="1" ht="27.6">
      <c r="A846" s="643">
        <f t="shared" ca="1" si="187"/>
        <v>9.0509999999999717</v>
      </c>
      <c r="B846" s="657" t="s">
        <v>382</v>
      </c>
      <c r="C846" s="680">
        <v>1</v>
      </c>
      <c r="D846" s="680" t="s">
        <v>383</v>
      </c>
      <c r="E846" s="872">
        <f>Elec_Est!E11394</f>
        <v>227.62</v>
      </c>
      <c r="F846" s="1125">
        <f t="shared" si="188"/>
        <v>227.62</v>
      </c>
    </row>
    <row r="847" spans="1:6" s="631" customFormat="1" ht="15" customHeight="1">
      <c r="A847" s="867"/>
      <c r="B847" s="639" t="s">
        <v>881</v>
      </c>
      <c r="C847" s="1456" t="s">
        <v>305</v>
      </c>
      <c r="D847" s="1457"/>
      <c r="E847" s="652"/>
      <c r="F847" s="1123">
        <f ca="1">SUM(F829:F846)</f>
        <v>853.35</v>
      </c>
    </row>
    <row r="848" spans="1:6" s="631" customFormat="1">
      <c r="A848" s="873"/>
      <c r="B848" s="629"/>
      <c r="C848" s="661"/>
      <c r="D848" s="661"/>
      <c r="E848" s="662"/>
      <c r="F848" s="1127"/>
    </row>
    <row r="849" spans="1:6" s="631" customFormat="1">
      <c r="A849" s="867"/>
      <c r="B849" s="639" t="s">
        <v>2223</v>
      </c>
      <c r="C849" s="1456" t="s">
        <v>305</v>
      </c>
      <c r="D849" s="1457"/>
      <c r="E849" s="659"/>
      <c r="F849" s="1123">
        <f ca="1">F847+F824</f>
        <v>3292.2100000000009</v>
      </c>
    </row>
    <row r="850" spans="1:6">
      <c r="A850" s="874"/>
      <c r="B850" s="624"/>
      <c r="C850" s="682"/>
      <c r="D850" s="682"/>
      <c r="E850" s="684"/>
      <c r="F850" s="1131"/>
    </row>
    <row r="851" spans="1:6">
      <c r="A851" s="874"/>
      <c r="B851" s="624"/>
      <c r="C851" s="682"/>
      <c r="D851" s="683"/>
      <c r="E851" s="684"/>
      <c r="F851" s="1131"/>
    </row>
    <row r="852" spans="1:6" s="631" customFormat="1" ht="27.6">
      <c r="A852" s="1267" t="s">
        <v>143</v>
      </c>
      <c r="B852" s="1268" t="s">
        <v>198</v>
      </c>
      <c r="C852" s="1269" t="s">
        <v>199</v>
      </c>
      <c r="D852" s="1269" t="s">
        <v>200</v>
      </c>
      <c r="E852" s="1270" t="s">
        <v>294</v>
      </c>
      <c r="F852" s="1271" t="s">
        <v>295</v>
      </c>
    </row>
    <row r="853" spans="1:6" s="631" customFormat="1">
      <c r="A853" s="1272">
        <v>10</v>
      </c>
      <c r="B853" s="1350" t="s">
        <v>2224</v>
      </c>
      <c r="C853" s="1290"/>
      <c r="D853" s="1290"/>
      <c r="E853" s="1279"/>
      <c r="F853" s="1280"/>
    </row>
    <row r="854" spans="1:6" s="631" customFormat="1" ht="41.4">
      <c r="A854" s="1284"/>
      <c r="B854" s="1268" t="s">
        <v>2225</v>
      </c>
      <c r="C854" s="1290"/>
      <c r="D854" s="1290"/>
      <c r="E854" s="1279"/>
      <c r="F854" s="1280"/>
    </row>
    <row r="855" spans="1:6" s="631" customFormat="1">
      <c r="A855" s="1272"/>
      <c r="B855" s="1354" t="s">
        <v>463</v>
      </c>
      <c r="C855" s="1290"/>
      <c r="D855" s="1290"/>
      <c r="E855" s="1279"/>
      <c r="F855" s="1280"/>
    </row>
    <row r="856" spans="1:6" s="631" customFormat="1" ht="257.25" customHeight="1">
      <c r="A856" s="1319">
        <f t="shared" ref="A856:A996" ca="1" si="189">IFERROR(IF(OFFSET(A856,-1,0)&gt;0,OFFSET(A856,-1,0)+0.001,ERROR.TYPE(0)),IFERROR(IF(OFFSET(A856,-2,0)&gt;0,OFFSET(A856,-2,0)+0.001,ERROR.TYPE(0)),IFERROR(IF(OFFSET(A856,-3,0)&gt;0,OFFSET(A856,-3,0)+0.001,ERROR.TYPE(0)),IFERROR(IF(OFFSET(A856,-4,0)&gt;0,OFFSET(A856,-4,0)+0.001,ERROR.TYPE(0)),IFERROR(IF(OFFSET(A856,-5,0)&gt;0,OFFSET(A856,-5,0)+0.001,ERROR.TYPE(0)),IFERROR(IF(OFFSET(A856,-6,0)&gt;0,OFFSET(A856,-6,0)+0.001,ERROR.TYPE(0)),IFERROR(IF(OFFSET(A856,-7,0)&gt;0,OFFSET(A856,-7,0)+0.001,ERROR.TYPE(0)),IFERROR(IF(OFFSET(A856,-8,0)&gt;0,OFFSET(A856,-8,0)+0.001,ERROR.TYPE(0)),IFERROR(IF(OFFSET(A856,-9,0)&gt;0,OFFSET(A856,-9,0)+0.001,ERROR.TYPE(0)),IFERROR(IF(OFFSET(A856,-10,0)&gt;0,OFFSET(A856,-10,0)+0.001,ERROR.TYPE(0)),ERROR.TYPE(0)))))))))))</f>
        <v>10.000999999999999</v>
      </c>
      <c r="B856" s="1352" t="s">
        <v>4056</v>
      </c>
      <c r="C856" s="1363">
        <v>0</v>
      </c>
      <c r="D856" s="1290" t="s">
        <v>141</v>
      </c>
      <c r="E856" s="1279"/>
      <c r="F856" s="1321" t="s">
        <v>3797</v>
      </c>
    </row>
    <row r="857" spans="1:6" s="1345" customFormat="1" ht="257.25" customHeight="1">
      <c r="A857" s="1319" t="s">
        <v>4013</v>
      </c>
      <c r="B857" s="1364" t="s">
        <v>4057</v>
      </c>
      <c r="C857" s="1365">
        <v>1</v>
      </c>
      <c r="D857" s="1365" t="s">
        <v>141</v>
      </c>
      <c r="E857" s="1366"/>
      <c r="F857" s="1367">
        <f t="shared" ref="F857:F858" si="190">IFERROR($C857*E857,E857)</f>
        <v>0</v>
      </c>
    </row>
    <row r="858" spans="1:6" s="631" customFormat="1" ht="27.6">
      <c r="A858" s="1284">
        <f t="shared" ca="1" si="189"/>
        <v>10.001999999999999</v>
      </c>
      <c r="B858" s="1352" t="s">
        <v>2226</v>
      </c>
      <c r="C858" s="1290">
        <v>1</v>
      </c>
      <c r="D858" s="1290" t="s">
        <v>299</v>
      </c>
      <c r="E858" s="1279"/>
      <c r="F858" s="1280">
        <f t="shared" si="190"/>
        <v>0</v>
      </c>
    </row>
    <row r="859" spans="1:6" s="631" customFormat="1" ht="27.6">
      <c r="A859" s="1284">
        <f ca="1">IFERROR(IF(OFFSET(A859,-1,0)&gt;0,OFFSET(A859,-1,0)+0.001,ERROR.TYPE(0)),IFERROR(IF(OFFSET(A859,-2,0)&gt;0,OFFSET(A859,-2,0)+0.001,ERROR.TYPE(0)),IFERROR(IF(OFFSET(A859,-3,0)&gt;0,OFFSET(A859,-3,0)+0.001,ERROR.TYPE(0)),IFERROR(IF(OFFSET(A859,-4,0)&gt;0,OFFSET(A859,-4,0)+0.001,ERROR.TYPE(0)),IFERROR(IF(OFFSET(A859,-5,0)&gt;0,OFFSET(A859,-5,0)+0.001,ERROR.TYPE(0)),IFERROR(IF(OFFSET(A859,-6,0)&gt;0,OFFSET(A859,-6,0)+0.001,ERROR.TYPE(0)),IFERROR(IF(OFFSET(A859,-7,0)&gt;0,OFFSET(A859,-7,0)+0.001,ERROR.TYPE(0)),IFERROR(IF(OFFSET(A859,-8,0)&gt;0,OFFSET(A859,-8,0)+0.001,ERROR.TYPE(0)),IFERROR(IF(OFFSET(A859,-9,0)&gt;0,OFFSET(A859,-9,0)+0.001,ERROR.TYPE(0)),IFERROR(IF(OFFSET(A859,-10,0)&gt;0,OFFSET(A859,-10,0)+0.001,ERROR.TYPE(0)),ERROR.TYPE(0)))))))))))</f>
        <v>10.002999999999998</v>
      </c>
      <c r="B859" s="1352" t="s">
        <v>2227</v>
      </c>
      <c r="C859" s="1290">
        <v>1</v>
      </c>
      <c r="D859" s="1290" t="s">
        <v>299</v>
      </c>
      <c r="E859" s="1279"/>
      <c r="F859" s="1280">
        <f>IFERROR($C859*E859,E859)</f>
        <v>0</v>
      </c>
    </row>
    <row r="860" spans="1:6" s="631" customFormat="1">
      <c r="A860" s="1284">
        <f t="shared" ca="1" si="189"/>
        <v>10.003999999999998</v>
      </c>
      <c r="B860" s="1352" t="s">
        <v>2228</v>
      </c>
      <c r="C860" s="1290">
        <v>1</v>
      </c>
      <c r="D860" s="1368" t="s">
        <v>329</v>
      </c>
      <c r="E860" s="1279"/>
      <c r="F860" s="1280">
        <f t="shared" ref="F860:F868" si="191">IFERROR($C860*E860,E860)</f>
        <v>0</v>
      </c>
    </row>
    <row r="861" spans="1:6" s="631" customFormat="1">
      <c r="A861" s="1284">
        <f ca="1">IFERROR(IF(OFFSET(A861,-1,0)&gt;0,OFFSET(A861,-1,0)+0.001,ERROR.TYPE(0)),IFERROR(IF(OFFSET(A861,-2,0)&gt;0,OFFSET(A861,-2,0)+0.001,ERROR.TYPE(0)),IFERROR(IF(OFFSET(A861,-3,0)&gt;0,OFFSET(A861,-3,0)+0.001,ERROR.TYPE(0)),IFERROR(IF(OFFSET(A861,-4,0)&gt;0,OFFSET(A861,-4,0)+0.001,ERROR.TYPE(0)),IFERROR(IF(OFFSET(A861,-5,0)&gt;0,OFFSET(A861,-5,0)+0.001,ERROR.TYPE(0)),IFERROR(IF(OFFSET(A861,-6,0)&gt;0,OFFSET(A861,-6,0)+0.001,ERROR.TYPE(0)),IFERROR(IF(OFFSET(A861,-7,0)&gt;0,OFFSET(A861,-7,0)+0.001,ERROR.TYPE(0)),IFERROR(IF(OFFSET(A861,-8,0)&gt;0,OFFSET(A861,-8,0)+0.001,ERROR.TYPE(0)),IFERROR(IF(OFFSET(A861,-9,0)&gt;0,OFFSET(A861,-9,0)+0.001,ERROR.TYPE(0)),IFERROR(IF(OFFSET(A861,-10,0)&gt;0,OFFSET(A861,-10,0)+0.001,ERROR.TYPE(0)),ERROR.TYPE(0)))))))))))</f>
        <v>10.004999999999997</v>
      </c>
      <c r="B861" s="1352" t="s">
        <v>2229</v>
      </c>
      <c r="C861" s="1290">
        <v>1</v>
      </c>
      <c r="D861" s="1368" t="s">
        <v>329</v>
      </c>
      <c r="E861" s="1279"/>
      <c r="F861" s="1280">
        <f>IFERROR($C861*E861,E861)</f>
        <v>0</v>
      </c>
    </row>
    <row r="862" spans="1:6" s="631" customFormat="1">
      <c r="A862" s="1284">
        <f ca="1">IFERROR(IF(OFFSET(A862,-1,0)&gt;0,OFFSET(A862,-1,0)+0.001,ERROR.TYPE(0)),IFERROR(IF(OFFSET(A862,-2,0)&gt;0,OFFSET(A862,-2,0)+0.001,ERROR.TYPE(0)),IFERROR(IF(OFFSET(A862,-3,0)&gt;0,OFFSET(A862,-3,0)+0.001,ERROR.TYPE(0)),IFERROR(IF(OFFSET(A862,-4,0)&gt;0,OFFSET(A862,-4,0)+0.001,ERROR.TYPE(0)),IFERROR(IF(OFFSET(A862,-5,0)&gt;0,OFFSET(A862,-5,0)+0.001,ERROR.TYPE(0)),IFERROR(IF(OFFSET(A862,-6,0)&gt;0,OFFSET(A862,-6,0)+0.001,ERROR.TYPE(0)),IFERROR(IF(OFFSET(A862,-7,0)&gt;0,OFFSET(A862,-7,0)+0.001,ERROR.TYPE(0)),IFERROR(IF(OFFSET(A862,-8,0)&gt;0,OFFSET(A862,-8,0)+0.001,ERROR.TYPE(0)),IFERROR(IF(OFFSET(A862,-9,0)&gt;0,OFFSET(A862,-9,0)+0.001,ERROR.TYPE(0)),IFERROR(IF(OFFSET(A862,-10,0)&gt;0,OFFSET(A862,-10,0)+0.001,ERROR.TYPE(0)),ERROR.TYPE(0)))))))))))</f>
        <v>10.005999999999997</v>
      </c>
      <c r="B862" s="1352" t="s">
        <v>2230</v>
      </c>
      <c r="C862" s="1290">
        <v>1</v>
      </c>
      <c r="D862" s="1368" t="s">
        <v>329</v>
      </c>
      <c r="E862" s="1279"/>
      <c r="F862" s="1280">
        <f>IFERROR($C862*E862,E862)</f>
        <v>0</v>
      </c>
    </row>
    <row r="863" spans="1:6" s="631" customFormat="1" ht="27.6">
      <c r="A863" s="1284">
        <f t="shared" ca="1" si="189"/>
        <v>10.006999999999996</v>
      </c>
      <c r="B863" s="1352" t="s">
        <v>2231</v>
      </c>
      <c r="C863" s="1290">
        <v>2</v>
      </c>
      <c r="D863" s="1368" t="s">
        <v>329</v>
      </c>
      <c r="E863" s="1279"/>
      <c r="F863" s="1280">
        <f t="shared" ref="F863:F865" si="192">IFERROR($C863*E863,E863)</f>
        <v>0</v>
      </c>
    </row>
    <row r="864" spans="1:6" s="631" customFormat="1">
      <c r="A864" s="1284">
        <f t="shared" ca="1" si="189"/>
        <v>10.007999999999996</v>
      </c>
      <c r="B864" s="1352" t="s">
        <v>2232</v>
      </c>
      <c r="C864" s="1290">
        <v>1</v>
      </c>
      <c r="D864" s="1368" t="s">
        <v>329</v>
      </c>
      <c r="E864" s="1279"/>
      <c r="F864" s="1280">
        <f t="shared" si="192"/>
        <v>0</v>
      </c>
    </row>
    <row r="865" spans="1:6" s="631" customFormat="1">
      <c r="A865" s="1284">
        <f t="shared" ca="1" si="189"/>
        <v>10.008999999999995</v>
      </c>
      <c r="B865" s="1352" t="s">
        <v>2233</v>
      </c>
      <c r="C865" s="1290">
        <v>1</v>
      </c>
      <c r="D865" s="1368" t="s">
        <v>329</v>
      </c>
      <c r="E865" s="1279"/>
      <c r="F865" s="1280">
        <f t="shared" si="192"/>
        <v>0</v>
      </c>
    </row>
    <row r="866" spans="1:6" s="631" customFormat="1">
      <c r="A866" s="1284">
        <f t="shared" ca="1" si="189"/>
        <v>10.009999999999994</v>
      </c>
      <c r="B866" s="1352" t="s">
        <v>2234</v>
      </c>
      <c r="C866" s="1290">
        <v>1</v>
      </c>
      <c r="D866" s="1290" t="s">
        <v>299</v>
      </c>
      <c r="E866" s="1279"/>
      <c r="F866" s="1280">
        <f t="shared" si="191"/>
        <v>0</v>
      </c>
    </row>
    <row r="867" spans="1:6" s="631" customFormat="1" ht="27.6">
      <c r="A867" s="1284">
        <f t="shared" ca="1" si="189"/>
        <v>10.010999999999994</v>
      </c>
      <c r="B867" s="1352" t="s">
        <v>2235</v>
      </c>
      <c r="C867" s="1290">
        <v>1</v>
      </c>
      <c r="D867" s="1368" t="s">
        <v>329</v>
      </c>
      <c r="E867" s="1279"/>
      <c r="F867" s="1280">
        <f t="shared" si="191"/>
        <v>0</v>
      </c>
    </row>
    <row r="868" spans="1:6" s="631" customFormat="1">
      <c r="A868" s="1284">
        <f t="shared" ca="1" si="189"/>
        <v>10.011999999999993</v>
      </c>
      <c r="B868" s="1352" t="s">
        <v>2236</v>
      </c>
      <c r="C868" s="1290">
        <v>1</v>
      </c>
      <c r="D868" s="1368" t="s">
        <v>299</v>
      </c>
      <c r="E868" s="1279"/>
      <c r="F868" s="1280">
        <f t="shared" si="191"/>
        <v>0</v>
      </c>
    </row>
    <row r="869" spans="1:6" s="631" customFormat="1">
      <c r="A869" s="1284"/>
      <c r="B869" s="1351" t="s">
        <v>343</v>
      </c>
      <c r="C869" s="1290"/>
      <c r="D869" s="1290"/>
      <c r="E869" s="1279"/>
      <c r="F869" s="1280"/>
    </row>
    <row r="870" spans="1:6" s="631" customFormat="1" ht="55.2">
      <c r="A870" s="1284">
        <f t="shared" ca="1" si="189"/>
        <v>10.012999999999993</v>
      </c>
      <c r="B870" s="1352" t="s">
        <v>2237</v>
      </c>
      <c r="C870" s="1290">
        <v>2</v>
      </c>
      <c r="D870" s="1368" t="s">
        <v>329</v>
      </c>
      <c r="E870" s="1279"/>
      <c r="F870" s="1280">
        <f t="shared" ref="F870:F871" si="193">IFERROR($C870*E870,E870)</f>
        <v>0</v>
      </c>
    </row>
    <row r="871" spans="1:6" s="631" customFormat="1">
      <c r="A871" s="1284">
        <f t="shared" ca="1" si="189"/>
        <v>10.013999999999992</v>
      </c>
      <c r="B871" s="1352" t="s">
        <v>2238</v>
      </c>
      <c r="C871" s="1290">
        <v>2</v>
      </c>
      <c r="D871" s="1368" t="s">
        <v>329</v>
      </c>
      <c r="E871" s="1279"/>
      <c r="F871" s="1280">
        <f t="shared" si="193"/>
        <v>0</v>
      </c>
    </row>
    <row r="872" spans="1:6" s="631" customFormat="1" ht="41.4">
      <c r="A872" s="1272"/>
      <c r="B872" s="1369" t="s">
        <v>2239</v>
      </c>
      <c r="C872" s="1290"/>
      <c r="D872" s="1290"/>
      <c r="E872" s="1279"/>
      <c r="F872" s="1280"/>
    </row>
    <row r="873" spans="1:6" s="1345" customFormat="1">
      <c r="A873" s="1319" t="s">
        <v>4014</v>
      </c>
      <c r="B873" s="1364" t="s">
        <v>4015</v>
      </c>
      <c r="C873" s="1363">
        <v>20</v>
      </c>
      <c r="D873" s="1370" t="s">
        <v>320</v>
      </c>
      <c r="E873" s="1366"/>
      <c r="F873" s="1367">
        <f t="shared" ref="F873:F874" si="194">IFERROR($C873*E873,E873)</f>
        <v>0</v>
      </c>
    </row>
    <row r="874" spans="1:6" s="631" customFormat="1">
      <c r="A874" s="1319">
        <f t="shared" ca="1" si="189"/>
        <v>10.014999999999992</v>
      </c>
      <c r="B874" s="1352" t="s">
        <v>2240</v>
      </c>
      <c r="C874" s="1363">
        <v>380</v>
      </c>
      <c r="D874" s="1290" t="s">
        <v>320</v>
      </c>
      <c r="E874" s="1279"/>
      <c r="F874" s="1280">
        <f t="shared" si="194"/>
        <v>0</v>
      </c>
    </row>
    <row r="875" spans="1:6" s="631" customFormat="1">
      <c r="A875" s="1284">
        <f ca="1">IFERROR(IF(OFFSET(A875,-1,0)&gt;0,OFFSET(A875,-1,0)+0.001,ERROR.TYPE(0)),IFERROR(IF(OFFSET(A875,-2,0)&gt;0,OFFSET(A875,-2,0)+0.001,ERROR.TYPE(0)),IFERROR(IF(OFFSET(A875,-3,0)&gt;0,OFFSET(A875,-3,0)+0.001,ERROR.TYPE(0)),IFERROR(IF(OFFSET(A875,-4,0)&gt;0,OFFSET(A875,-4,0)+0.001,ERROR.TYPE(0)),IFERROR(IF(OFFSET(A875,-5,0)&gt;0,OFFSET(A875,-5,0)+0.001,ERROR.TYPE(0)),IFERROR(IF(OFFSET(A875,-6,0)&gt;0,OFFSET(A875,-6,0)+0.001,ERROR.TYPE(0)),IFERROR(IF(OFFSET(A875,-7,0)&gt;0,OFFSET(A875,-7,0)+0.001,ERROR.TYPE(0)),IFERROR(IF(OFFSET(A875,-8,0)&gt;0,OFFSET(A875,-8,0)+0.001,ERROR.TYPE(0)),IFERROR(IF(OFFSET(A875,-9,0)&gt;0,OFFSET(A875,-9,0)+0.001,ERROR.TYPE(0)),IFERROR(IF(OFFSET(A875,-10,0)&gt;0,OFFSET(A875,-10,0)+0.001,ERROR.TYPE(0)),ERROR.TYPE(0)))))))))))</f>
        <v>10.015999999999991</v>
      </c>
      <c r="B875" s="1352" t="s">
        <v>2241</v>
      </c>
      <c r="C875" s="1290">
        <v>55</v>
      </c>
      <c r="D875" s="1290" t="s">
        <v>320</v>
      </c>
      <c r="E875" s="1279"/>
      <c r="F875" s="1280">
        <f>IFERROR($C875*E875,E875)</f>
        <v>0</v>
      </c>
    </row>
    <row r="876" spans="1:6" s="631" customFormat="1">
      <c r="A876" s="1284">
        <f ca="1">IFERROR(IF(OFFSET(A876,-1,0)&gt;0,OFFSET(A876,-1,0)+0.001,ERROR.TYPE(0)),IFERROR(IF(OFFSET(A876,-2,0)&gt;0,OFFSET(A876,-2,0)+0.001,ERROR.TYPE(0)),IFERROR(IF(OFFSET(A876,-3,0)&gt;0,OFFSET(A876,-3,0)+0.001,ERROR.TYPE(0)),IFERROR(IF(OFFSET(A876,-4,0)&gt;0,OFFSET(A876,-4,0)+0.001,ERROR.TYPE(0)),IFERROR(IF(OFFSET(A876,-5,0)&gt;0,OFFSET(A876,-5,0)+0.001,ERROR.TYPE(0)),IFERROR(IF(OFFSET(A876,-6,0)&gt;0,OFFSET(A876,-6,0)+0.001,ERROR.TYPE(0)),IFERROR(IF(OFFSET(A876,-7,0)&gt;0,OFFSET(A876,-7,0)+0.001,ERROR.TYPE(0)),IFERROR(IF(OFFSET(A876,-8,0)&gt;0,OFFSET(A876,-8,0)+0.001,ERROR.TYPE(0)),IFERROR(IF(OFFSET(A876,-9,0)&gt;0,OFFSET(A876,-9,0)+0.001,ERROR.TYPE(0)),IFERROR(IF(OFFSET(A876,-10,0)&gt;0,OFFSET(A876,-10,0)+0.001,ERROR.TYPE(0)),ERROR.TYPE(0)))))))))))</f>
        <v>10.016999999999991</v>
      </c>
      <c r="B876" s="1352" t="s">
        <v>2242</v>
      </c>
      <c r="C876" s="1290">
        <v>95</v>
      </c>
      <c r="D876" s="1290" t="s">
        <v>320</v>
      </c>
      <c r="E876" s="1279"/>
      <c r="F876" s="1280">
        <f>IFERROR($C876*E876,E876)</f>
        <v>0</v>
      </c>
    </row>
    <row r="877" spans="1:6" s="631" customFormat="1">
      <c r="A877" s="1284">
        <f ca="1">IFERROR(IF(OFFSET(A877,-1,0)&gt;0,OFFSET(A877,-1,0)+0.001,ERROR.TYPE(0)),IFERROR(IF(OFFSET(A877,-2,0)&gt;0,OFFSET(A877,-2,0)+0.001,ERROR.TYPE(0)),IFERROR(IF(OFFSET(A877,-3,0)&gt;0,OFFSET(A877,-3,0)+0.001,ERROR.TYPE(0)),IFERROR(IF(OFFSET(A877,-4,0)&gt;0,OFFSET(A877,-4,0)+0.001,ERROR.TYPE(0)),IFERROR(IF(OFFSET(A877,-5,0)&gt;0,OFFSET(A877,-5,0)+0.001,ERROR.TYPE(0)),IFERROR(IF(OFFSET(A877,-6,0)&gt;0,OFFSET(A877,-6,0)+0.001,ERROR.TYPE(0)),IFERROR(IF(OFFSET(A877,-7,0)&gt;0,OFFSET(A877,-7,0)+0.001,ERROR.TYPE(0)),IFERROR(IF(OFFSET(A877,-8,0)&gt;0,OFFSET(A877,-8,0)+0.001,ERROR.TYPE(0)),IFERROR(IF(OFFSET(A877,-9,0)&gt;0,OFFSET(A877,-9,0)+0.001,ERROR.TYPE(0)),IFERROR(IF(OFFSET(A877,-10,0)&gt;0,OFFSET(A877,-10,0)+0.001,ERROR.TYPE(0)),ERROR.TYPE(0)))))))))))</f>
        <v>10.01799999999999</v>
      </c>
      <c r="B877" s="1352" t="s">
        <v>2243</v>
      </c>
      <c r="C877" s="1290">
        <v>340</v>
      </c>
      <c r="D877" s="1290" t="s">
        <v>320</v>
      </c>
      <c r="E877" s="1279"/>
      <c r="F877" s="1280">
        <f>IFERROR($C877*E877,E877)</f>
        <v>0</v>
      </c>
    </row>
    <row r="878" spans="1:6" s="631" customFormat="1">
      <c r="A878" s="1284">
        <f t="shared" ca="1" si="189"/>
        <v>10.018999999999989</v>
      </c>
      <c r="B878" s="1352" t="s">
        <v>2244</v>
      </c>
      <c r="C878" s="1290">
        <v>560</v>
      </c>
      <c r="D878" s="1290" t="s">
        <v>320</v>
      </c>
      <c r="E878" s="1279"/>
      <c r="F878" s="1280">
        <f t="shared" ref="F878:F882" si="195">IFERROR($C878*E878,E878)</f>
        <v>0</v>
      </c>
    </row>
    <row r="879" spans="1:6" s="631" customFormat="1">
      <c r="A879" s="1284">
        <f ca="1">IFERROR(IF(OFFSET(A879,-1,0)&gt;0,OFFSET(A879,-1,0)+0.001,ERROR.TYPE(0)),IFERROR(IF(OFFSET(A879,-2,0)&gt;0,OFFSET(A879,-2,0)+0.001,ERROR.TYPE(0)),IFERROR(IF(OFFSET(A879,-3,0)&gt;0,OFFSET(A879,-3,0)+0.001,ERROR.TYPE(0)),IFERROR(IF(OFFSET(A879,-4,0)&gt;0,OFFSET(A879,-4,0)+0.001,ERROR.TYPE(0)),IFERROR(IF(OFFSET(A879,-5,0)&gt;0,OFFSET(A879,-5,0)+0.001,ERROR.TYPE(0)),IFERROR(IF(OFFSET(A879,-6,0)&gt;0,OFFSET(A879,-6,0)+0.001,ERROR.TYPE(0)),IFERROR(IF(OFFSET(A879,-7,0)&gt;0,OFFSET(A879,-7,0)+0.001,ERROR.TYPE(0)),IFERROR(IF(OFFSET(A879,-8,0)&gt;0,OFFSET(A879,-8,0)+0.001,ERROR.TYPE(0)),IFERROR(IF(OFFSET(A879,-9,0)&gt;0,OFFSET(A879,-9,0)+0.001,ERROR.TYPE(0)),IFERROR(IF(OFFSET(A879,-10,0)&gt;0,OFFSET(A879,-10,0)+0.001,ERROR.TYPE(0)),ERROR.TYPE(0)))))))))))</f>
        <v>10.019999999999989</v>
      </c>
      <c r="B879" s="1352" t="s">
        <v>2245</v>
      </c>
      <c r="C879" s="1290">
        <v>40</v>
      </c>
      <c r="D879" s="1368" t="s">
        <v>320</v>
      </c>
      <c r="E879" s="1279"/>
      <c r="F879" s="1280">
        <f>IFERROR($C879*E879,E879)</f>
        <v>0</v>
      </c>
    </row>
    <row r="880" spans="1:6" s="631" customFormat="1" ht="27.6">
      <c r="A880" s="1284">
        <f t="shared" ca="1" si="189"/>
        <v>10.020999999999988</v>
      </c>
      <c r="B880" s="1352" t="s">
        <v>2246</v>
      </c>
      <c r="C880" s="1290">
        <v>2</v>
      </c>
      <c r="D880" s="1290" t="s">
        <v>299</v>
      </c>
      <c r="E880" s="1279"/>
      <c r="F880" s="1280">
        <f t="shared" ref="F880" si="196">IFERROR($C880*E880,E880)</f>
        <v>0</v>
      </c>
    </row>
    <row r="881" spans="1:6" s="631" customFormat="1">
      <c r="A881" s="1284">
        <f t="shared" ca="1" si="189"/>
        <v>10.021999999999988</v>
      </c>
      <c r="B881" s="1352" t="s">
        <v>2247</v>
      </c>
      <c r="C881" s="1290">
        <v>1</v>
      </c>
      <c r="D881" s="1368" t="s">
        <v>299</v>
      </c>
      <c r="E881" s="1279"/>
      <c r="F881" s="1280">
        <f t="shared" si="195"/>
        <v>0</v>
      </c>
    </row>
    <row r="882" spans="1:6" s="631" customFormat="1" ht="15">
      <c r="A882" s="1284">
        <f t="shared" ca="1" si="189"/>
        <v>10.022999999999987</v>
      </c>
      <c r="B882" s="1352" t="s">
        <v>4058</v>
      </c>
      <c r="C882" s="1290">
        <v>402</v>
      </c>
      <c r="D882" s="1290" t="s">
        <v>141</v>
      </c>
      <c r="E882" s="1279"/>
      <c r="F882" s="1280">
        <f t="shared" si="195"/>
        <v>0</v>
      </c>
    </row>
    <row r="883" spans="1:6" s="631" customFormat="1">
      <c r="A883" s="1284"/>
      <c r="B883" s="1351" t="s">
        <v>2248</v>
      </c>
      <c r="C883" s="1290"/>
      <c r="D883" s="1290"/>
      <c r="E883" s="1279"/>
      <c r="F883" s="1280"/>
    </row>
    <row r="884" spans="1:6" s="631" customFormat="1" ht="55.2">
      <c r="A884" s="1284">
        <f t="shared" ca="1" si="189"/>
        <v>10.023999999999987</v>
      </c>
      <c r="B884" s="1352" t="s">
        <v>2237</v>
      </c>
      <c r="C884" s="1290">
        <v>2</v>
      </c>
      <c r="D884" s="1368" t="s">
        <v>329</v>
      </c>
      <c r="E884" s="1279"/>
      <c r="F884" s="1280">
        <f t="shared" ref="F884:F885" si="197">IFERROR($C884*E884,E884)</f>
        <v>0</v>
      </c>
    </row>
    <row r="885" spans="1:6" s="631" customFormat="1">
      <c r="A885" s="1284">
        <f t="shared" ca="1" si="189"/>
        <v>10.024999999999986</v>
      </c>
      <c r="B885" s="1352" t="s">
        <v>2238</v>
      </c>
      <c r="C885" s="1290">
        <v>2</v>
      </c>
      <c r="D885" s="1368" t="s">
        <v>329</v>
      </c>
      <c r="E885" s="1279"/>
      <c r="F885" s="1280">
        <f t="shared" si="197"/>
        <v>0</v>
      </c>
    </row>
    <row r="886" spans="1:6" s="631" customFormat="1" ht="41.4">
      <c r="A886" s="1272"/>
      <c r="B886" s="1369" t="s">
        <v>2239</v>
      </c>
      <c r="C886" s="1290"/>
      <c r="D886" s="1290"/>
      <c r="E886" s="1279"/>
      <c r="F886" s="1280"/>
    </row>
    <row r="887" spans="1:6" s="631" customFormat="1">
      <c r="A887" s="1284">
        <f t="shared" ca="1" si="189"/>
        <v>10.025999999999986</v>
      </c>
      <c r="B887" s="1352" t="s">
        <v>2240</v>
      </c>
      <c r="C887" s="1290">
        <v>110</v>
      </c>
      <c r="D887" s="1290" t="s">
        <v>320</v>
      </c>
      <c r="E887" s="1279"/>
      <c r="F887" s="1280">
        <f t="shared" ref="F887:F888" si="198">IFERROR($C887*E887,E887)</f>
        <v>0</v>
      </c>
    </row>
    <row r="888" spans="1:6" s="631" customFormat="1">
      <c r="A888" s="1284">
        <f t="shared" ca="1" si="189"/>
        <v>10.026999999999985</v>
      </c>
      <c r="B888" s="1352" t="s">
        <v>2249</v>
      </c>
      <c r="C888" s="1290">
        <v>125</v>
      </c>
      <c r="D888" s="1290" t="s">
        <v>320</v>
      </c>
      <c r="E888" s="1279"/>
      <c r="F888" s="1280">
        <f t="shared" si="198"/>
        <v>0</v>
      </c>
    </row>
    <row r="889" spans="1:6" s="631" customFormat="1">
      <c r="A889" s="1284">
        <f ca="1">IFERROR(IF(OFFSET(A889,-1,0)&gt;0,OFFSET(A889,-1,0)+0.001,ERROR.TYPE(0)),IFERROR(IF(OFFSET(A889,-2,0)&gt;0,OFFSET(A889,-2,0)+0.001,ERROR.TYPE(0)),IFERROR(IF(OFFSET(A889,-3,0)&gt;0,OFFSET(A889,-3,0)+0.001,ERROR.TYPE(0)),IFERROR(IF(OFFSET(A889,-4,0)&gt;0,OFFSET(A889,-4,0)+0.001,ERROR.TYPE(0)),IFERROR(IF(OFFSET(A889,-5,0)&gt;0,OFFSET(A889,-5,0)+0.001,ERROR.TYPE(0)),IFERROR(IF(OFFSET(A889,-6,0)&gt;0,OFFSET(A889,-6,0)+0.001,ERROR.TYPE(0)),IFERROR(IF(OFFSET(A889,-7,0)&gt;0,OFFSET(A889,-7,0)+0.001,ERROR.TYPE(0)),IFERROR(IF(OFFSET(A889,-8,0)&gt;0,OFFSET(A889,-8,0)+0.001,ERROR.TYPE(0)),IFERROR(IF(OFFSET(A889,-9,0)&gt;0,OFFSET(A889,-9,0)+0.001,ERROR.TYPE(0)),IFERROR(IF(OFFSET(A889,-10,0)&gt;0,OFFSET(A889,-10,0)+0.001,ERROR.TYPE(0)),ERROR.TYPE(0)))))))))))</f>
        <v>10.027999999999984</v>
      </c>
      <c r="B889" s="1352" t="s">
        <v>2250</v>
      </c>
      <c r="C889" s="1290">
        <v>50</v>
      </c>
      <c r="D889" s="1290" t="s">
        <v>320</v>
      </c>
      <c r="E889" s="1279"/>
      <c r="F889" s="1280">
        <f>IFERROR($C889*E889,E889)</f>
        <v>0</v>
      </c>
    </row>
    <row r="890" spans="1:6" s="631" customFormat="1">
      <c r="A890" s="1284">
        <f ca="1">IFERROR(IF(OFFSET(A890,-1,0)&gt;0,OFFSET(A890,-1,0)+0.001,ERROR.TYPE(0)),IFERROR(IF(OFFSET(A890,-2,0)&gt;0,OFFSET(A890,-2,0)+0.001,ERROR.TYPE(0)),IFERROR(IF(OFFSET(A890,-3,0)&gt;0,OFFSET(A890,-3,0)+0.001,ERROR.TYPE(0)),IFERROR(IF(OFFSET(A890,-4,0)&gt;0,OFFSET(A890,-4,0)+0.001,ERROR.TYPE(0)),IFERROR(IF(OFFSET(A890,-5,0)&gt;0,OFFSET(A890,-5,0)+0.001,ERROR.TYPE(0)),IFERROR(IF(OFFSET(A890,-6,0)&gt;0,OFFSET(A890,-6,0)+0.001,ERROR.TYPE(0)),IFERROR(IF(OFFSET(A890,-7,0)&gt;0,OFFSET(A890,-7,0)+0.001,ERROR.TYPE(0)),IFERROR(IF(OFFSET(A890,-8,0)&gt;0,OFFSET(A890,-8,0)+0.001,ERROR.TYPE(0)),IFERROR(IF(OFFSET(A890,-9,0)&gt;0,OFFSET(A890,-9,0)+0.001,ERROR.TYPE(0)),IFERROR(IF(OFFSET(A890,-10,0)&gt;0,OFFSET(A890,-10,0)+0.001,ERROR.TYPE(0)),ERROR.TYPE(0)))))))))))</f>
        <v>10.028999999999984</v>
      </c>
      <c r="B890" s="1352" t="s">
        <v>2241</v>
      </c>
      <c r="C890" s="1290">
        <v>135</v>
      </c>
      <c r="D890" s="1290" t="s">
        <v>320</v>
      </c>
      <c r="E890" s="1279"/>
      <c r="F890" s="1280">
        <f>IFERROR($C890*E890,E890)</f>
        <v>0</v>
      </c>
    </row>
    <row r="891" spans="1:6" s="631" customFormat="1">
      <c r="A891" s="1284">
        <f ca="1">IFERROR(IF(OFFSET(A891,-1,0)&gt;0,OFFSET(A891,-1,0)+0.001,ERROR.TYPE(0)),IFERROR(IF(OFFSET(A891,-2,0)&gt;0,OFFSET(A891,-2,0)+0.001,ERROR.TYPE(0)),IFERROR(IF(OFFSET(A891,-3,0)&gt;0,OFFSET(A891,-3,0)+0.001,ERROR.TYPE(0)),IFERROR(IF(OFFSET(A891,-4,0)&gt;0,OFFSET(A891,-4,0)+0.001,ERROR.TYPE(0)),IFERROR(IF(OFFSET(A891,-5,0)&gt;0,OFFSET(A891,-5,0)+0.001,ERROR.TYPE(0)),IFERROR(IF(OFFSET(A891,-6,0)&gt;0,OFFSET(A891,-6,0)+0.001,ERROR.TYPE(0)),IFERROR(IF(OFFSET(A891,-7,0)&gt;0,OFFSET(A891,-7,0)+0.001,ERROR.TYPE(0)),IFERROR(IF(OFFSET(A891,-8,0)&gt;0,OFFSET(A891,-8,0)+0.001,ERROR.TYPE(0)),IFERROR(IF(OFFSET(A891,-9,0)&gt;0,OFFSET(A891,-9,0)+0.001,ERROR.TYPE(0)),IFERROR(IF(OFFSET(A891,-10,0)&gt;0,OFFSET(A891,-10,0)+0.001,ERROR.TYPE(0)),ERROR.TYPE(0)))))))))))</f>
        <v>10.029999999999983</v>
      </c>
      <c r="B891" s="1352" t="s">
        <v>2242</v>
      </c>
      <c r="C891" s="1290">
        <v>220</v>
      </c>
      <c r="D891" s="1290" t="s">
        <v>320</v>
      </c>
      <c r="E891" s="1279"/>
      <c r="F891" s="1280">
        <f>IFERROR($C891*E891,E891)</f>
        <v>0</v>
      </c>
    </row>
    <row r="892" spans="1:6" s="631" customFormat="1">
      <c r="A892" s="1284">
        <f ca="1">IFERROR(IF(OFFSET(A892,-1,0)&gt;0,OFFSET(A892,-1,0)+0.001,ERROR.TYPE(0)),IFERROR(IF(OFFSET(A892,-2,0)&gt;0,OFFSET(A892,-2,0)+0.001,ERROR.TYPE(0)),IFERROR(IF(OFFSET(A892,-3,0)&gt;0,OFFSET(A892,-3,0)+0.001,ERROR.TYPE(0)),IFERROR(IF(OFFSET(A892,-4,0)&gt;0,OFFSET(A892,-4,0)+0.001,ERROR.TYPE(0)),IFERROR(IF(OFFSET(A892,-5,0)&gt;0,OFFSET(A892,-5,0)+0.001,ERROR.TYPE(0)),IFERROR(IF(OFFSET(A892,-6,0)&gt;0,OFFSET(A892,-6,0)+0.001,ERROR.TYPE(0)),IFERROR(IF(OFFSET(A892,-7,0)&gt;0,OFFSET(A892,-7,0)+0.001,ERROR.TYPE(0)),IFERROR(IF(OFFSET(A892,-8,0)&gt;0,OFFSET(A892,-8,0)+0.001,ERROR.TYPE(0)),IFERROR(IF(OFFSET(A892,-9,0)&gt;0,OFFSET(A892,-9,0)+0.001,ERROR.TYPE(0)),IFERROR(IF(OFFSET(A892,-10,0)&gt;0,OFFSET(A892,-10,0)+0.001,ERROR.TYPE(0)),ERROR.TYPE(0)))))))))))</f>
        <v>10.030999999999983</v>
      </c>
      <c r="B892" s="1352" t="s">
        <v>2243</v>
      </c>
      <c r="C892" s="1290">
        <v>255</v>
      </c>
      <c r="D892" s="1290" t="s">
        <v>320</v>
      </c>
      <c r="E892" s="1279"/>
      <c r="F892" s="1280">
        <f>IFERROR($C892*E892,E892)</f>
        <v>0</v>
      </c>
    </row>
    <row r="893" spans="1:6" s="631" customFormat="1">
      <c r="A893" s="1284">
        <f t="shared" ca="1" si="189"/>
        <v>10.031999999999982</v>
      </c>
      <c r="B893" s="1352" t="s">
        <v>2244</v>
      </c>
      <c r="C893" s="1290">
        <v>410</v>
      </c>
      <c r="D893" s="1290" t="s">
        <v>320</v>
      </c>
      <c r="E893" s="1279"/>
      <c r="F893" s="1280">
        <f t="shared" ref="F893" si="199">IFERROR($C893*E893,E893)</f>
        <v>0</v>
      </c>
    </row>
    <row r="894" spans="1:6" s="631" customFormat="1">
      <c r="A894" s="1284">
        <f ca="1">IFERROR(IF(OFFSET(A894,-1,0)&gt;0,OFFSET(A894,-1,0)+0.001,ERROR.TYPE(0)),IFERROR(IF(OFFSET(A894,-2,0)&gt;0,OFFSET(A894,-2,0)+0.001,ERROR.TYPE(0)),IFERROR(IF(OFFSET(A894,-3,0)&gt;0,OFFSET(A894,-3,0)+0.001,ERROR.TYPE(0)),IFERROR(IF(OFFSET(A894,-4,0)&gt;0,OFFSET(A894,-4,0)+0.001,ERROR.TYPE(0)),IFERROR(IF(OFFSET(A894,-5,0)&gt;0,OFFSET(A894,-5,0)+0.001,ERROR.TYPE(0)),IFERROR(IF(OFFSET(A894,-6,0)&gt;0,OFFSET(A894,-6,0)+0.001,ERROR.TYPE(0)),IFERROR(IF(OFFSET(A894,-7,0)&gt;0,OFFSET(A894,-7,0)+0.001,ERROR.TYPE(0)),IFERROR(IF(OFFSET(A894,-8,0)&gt;0,OFFSET(A894,-8,0)+0.001,ERROR.TYPE(0)),IFERROR(IF(OFFSET(A894,-9,0)&gt;0,OFFSET(A894,-9,0)+0.001,ERROR.TYPE(0)),IFERROR(IF(OFFSET(A894,-10,0)&gt;0,OFFSET(A894,-10,0)+0.001,ERROR.TYPE(0)),ERROR.TYPE(0)))))))))))</f>
        <v>10.032999999999982</v>
      </c>
      <c r="B894" s="1352" t="s">
        <v>2245</v>
      </c>
      <c r="C894" s="1290">
        <v>40</v>
      </c>
      <c r="D894" s="1368" t="s">
        <v>320</v>
      </c>
      <c r="E894" s="1279"/>
      <c r="F894" s="1280">
        <f>IFERROR($C894*E894,E894)</f>
        <v>0</v>
      </c>
    </row>
    <row r="895" spans="1:6" s="631" customFormat="1" ht="27.6">
      <c r="A895" s="1284">
        <f t="shared" ca="1" si="189"/>
        <v>10.033999999999981</v>
      </c>
      <c r="B895" s="1352" t="s">
        <v>2246</v>
      </c>
      <c r="C895" s="1290">
        <v>2</v>
      </c>
      <c r="D895" s="1290" t="s">
        <v>299</v>
      </c>
      <c r="E895" s="1279"/>
      <c r="F895" s="1280">
        <f t="shared" ref="F895:F897" si="200">IFERROR($C895*E895,E895)</f>
        <v>0</v>
      </c>
    </row>
    <row r="896" spans="1:6" s="631" customFormat="1">
      <c r="A896" s="1284">
        <f t="shared" ca="1" si="189"/>
        <v>10.034999999999981</v>
      </c>
      <c r="B896" s="1352" t="s">
        <v>2247</v>
      </c>
      <c r="C896" s="1290">
        <v>1</v>
      </c>
      <c r="D896" s="1368" t="s">
        <v>299</v>
      </c>
      <c r="E896" s="1279"/>
      <c r="F896" s="1280">
        <f t="shared" si="200"/>
        <v>0</v>
      </c>
    </row>
    <row r="897" spans="1:6" s="631" customFormat="1" ht="15">
      <c r="A897" s="1319">
        <f t="shared" ca="1" si="189"/>
        <v>10.03599999999998</v>
      </c>
      <c r="B897" s="1352" t="s">
        <v>4058</v>
      </c>
      <c r="C897" s="1363">
        <v>365</v>
      </c>
      <c r="D897" s="1290" t="s">
        <v>141</v>
      </c>
      <c r="E897" s="1279"/>
      <c r="F897" s="1280">
        <f t="shared" si="200"/>
        <v>0</v>
      </c>
    </row>
    <row r="898" spans="1:6" s="631" customFormat="1" ht="15" customHeight="1">
      <c r="A898" s="1355"/>
      <c r="B898" s="1273" t="s">
        <v>906</v>
      </c>
      <c r="C898" s="1458" t="s">
        <v>305</v>
      </c>
      <c r="D898" s="1459"/>
      <c r="E898" s="1312"/>
      <c r="F898" s="1276">
        <f>SUM(F855:F897)</f>
        <v>0</v>
      </c>
    </row>
    <row r="899" spans="1:6" s="631" customFormat="1">
      <c r="A899" s="1356"/>
      <c r="B899" s="1357"/>
      <c r="C899" s="1315"/>
      <c r="D899" s="1315"/>
      <c r="E899" s="1358"/>
      <c r="F899" s="1359"/>
    </row>
    <row r="900" spans="1:6" s="631" customFormat="1">
      <c r="A900" s="1360"/>
      <c r="B900" s="1357"/>
      <c r="C900" s="1315"/>
      <c r="D900" s="1315"/>
      <c r="E900" s="1358"/>
      <c r="F900" s="1359"/>
    </row>
    <row r="901" spans="1:6" s="631" customFormat="1" ht="27.6">
      <c r="A901" s="1267" t="s">
        <v>143</v>
      </c>
      <c r="B901" s="1268" t="s">
        <v>198</v>
      </c>
      <c r="C901" s="1269" t="s">
        <v>199</v>
      </c>
      <c r="D901" s="1269" t="s">
        <v>200</v>
      </c>
      <c r="E901" s="1270" t="s">
        <v>294</v>
      </c>
      <c r="F901" s="1271" t="s">
        <v>295</v>
      </c>
    </row>
    <row r="902" spans="1:6" s="631" customFormat="1">
      <c r="A902" s="1284"/>
      <c r="B902" s="1351" t="s">
        <v>2251</v>
      </c>
      <c r="C902" s="1290"/>
      <c r="D902" s="1290"/>
      <c r="E902" s="1279"/>
      <c r="F902" s="1280"/>
    </row>
    <row r="903" spans="1:6" s="631" customFormat="1" ht="55.2">
      <c r="A903" s="1284">
        <f t="shared" ca="1" si="189"/>
        <v>10.036999999999979</v>
      </c>
      <c r="B903" s="1352" t="s">
        <v>2237</v>
      </c>
      <c r="C903" s="1290">
        <v>1</v>
      </c>
      <c r="D903" s="1368" t="s">
        <v>329</v>
      </c>
      <c r="E903" s="1279"/>
      <c r="F903" s="1280">
        <f t="shared" ref="F903:F904" si="201">IFERROR($C903*E903,E903)</f>
        <v>0</v>
      </c>
    </row>
    <row r="904" spans="1:6" s="631" customFormat="1">
      <c r="A904" s="1284">
        <f t="shared" ca="1" si="189"/>
        <v>10.037999999999979</v>
      </c>
      <c r="B904" s="1352" t="s">
        <v>2238</v>
      </c>
      <c r="C904" s="1290">
        <v>1</v>
      </c>
      <c r="D904" s="1368" t="s">
        <v>329</v>
      </c>
      <c r="E904" s="1279"/>
      <c r="F904" s="1280">
        <f t="shared" si="201"/>
        <v>0</v>
      </c>
    </row>
    <row r="905" spans="1:6" s="631" customFormat="1">
      <c r="A905" s="1284">
        <f ca="1">IFERROR(IF(OFFSET(A905,-1,0)&gt;0,OFFSET(A905,-1,0)+0.001,ERROR.TYPE(0)),IFERROR(IF(OFFSET(A905,-2,0)&gt;0,OFFSET(A905,-2,0)+0.001,ERROR.TYPE(0)),IFERROR(IF(OFFSET(A905,-3,0)&gt;0,OFFSET(A905,-3,0)+0.001,ERROR.TYPE(0)),IFERROR(IF(OFFSET(A905,-4,0)&gt;0,OFFSET(A905,-4,0)+0.001,ERROR.TYPE(0)),IFERROR(IF(OFFSET(A905,-5,0)&gt;0,OFFSET(A905,-5,0)+0.001,ERROR.TYPE(0)),IFERROR(IF(OFFSET(A905,-6,0)&gt;0,OFFSET(A905,-6,0)+0.001,ERROR.TYPE(0)),IFERROR(IF(OFFSET(A905,-7,0)&gt;0,OFFSET(A905,-7,0)+0.001,ERROR.TYPE(0)),IFERROR(IF(OFFSET(A905,-8,0)&gt;0,OFFSET(A905,-8,0)+0.001,ERROR.TYPE(0)),IFERROR(IF(OFFSET(A905,-9,0)&gt;0,OFFSET(A905,-9,0)+0.001,ERROR.TYPE(0)),IFERROR(IF(OFFSET(A905,-10,0)&gt;0,OFFSET(A905,-10,0)+0.001,ERROR.TYPE(0)),ERROR.TYPE(0)))))))))))</f>
        <v>10.038999999999978</v>
      </c>
      <c r="B905" s="1352" t="s">
        <v>2245</v>
      </c>
      <c r="C905" s="1290">
        <v>20</v>
      </c>
      <c r="D905" s="1368" t="s">
        <v>320</v>
      </c>
      <c r="E905" s="1279"/>
      <c r="F905" s="1280">
        <f>IFERROR($C905*E905,E905)</f>
        <v>0</v>
      </c>
    </row>
    <row r="906" spans="1:6" s="631" customFormat="1" ht="27.6">
      <c r="A906" s="1284">
        <f ca="1">IFERROR(IF(OFFSET(A906,-1,0)&gt;0,OFFSET(A906,-1,0)+0.001,ERROR.TYPE(0)),IFERROR(IF(OFFSET(A906,-2,0)&gt;0,OFFSET(A906,-2,0)+0.001,ERROR.TYPE(0)),IFERROR(IF(OFFSET(A906,-3,0)&gt;0,OFFSET(A906,-3,0)+0.001,ERROR.TYPE(0)),IFERROR(IF(OFFSET(A906,-4,0)&gt;0,OFFSET(A906,-4,0)+0.001,ERROR.TYPE(0)),IFERROR(IF(OFFSET(A906,-5,0)&gt;0,OFFSET(A906,-5,0)+0.001,ERROR.TYPE(0)),IFERROR(IF(OFFSET(A906,-6,0)&gt;0,OFFSET(A906,-6,0)+0.001,ERROR.TYPE(0)),IFERROR(IF(OFFSET(A906,-7,0)&gt;0,OFFSET(A906,-7,0)+0.001,ERROR.TYPE(0)),IFERROR(IF(OFFSET(A906,-8,0)&gt;0,OFFSET(A906,-8,0)+0.001,ERROR.TYPE(0)),IFERROR(IF(OFFSET(A906,-9,0)&gt;0,OFFSET(A906,-9,0)+0.001,ERROR.TYPE(0)),IFERROR(IF(OFFSET(A906,-10,0)&gt;0,OFFSET(A906,-10,0)+0.001,ERROR.TYPE(0)),ERROR.TYPE(0)))))))))))</f>
        <v>10.039999999999978</v>
      </c>
      <c r="B906" s="1352" t="s">
        <v>2246</v>
      </c>
      <c r="C906" s="1290">
        <v>1</v>
      </c>
      <c r="D906" s="1290" t="s">
        <v>299</v>
      </c>
      <c r="E906" s="1279"/>
      <c r="F906" s="1280">
        <f>IFERROR($C906*E906,E906)</f>
        <v>0</v>
      </c>
    </row>
    <row r="907" spans="1:6" s="631" customFormat="1">
      <c r="A907" s="1284"/>
      <c r="B907" s="1371" t="s">
        <v>2252</v>
      </c>
      <c r="C907" s="1290"/>
      <c r="D907" s="1368"/>
      <c r="E907" s="1279"/>
      <c r="F907" s="1280"/>
    </row>
    <row r="908" spans="1:6" s="631" customFormat="1" ht="41.4">
      <c r="A908" s="1272"/>
      <c r="B908" s="1369" t="s">
        <v>2239</v>
      </c>
      <c r="C908" s="1290"/>
      <c r="D908" s="1290"/>
      <c r="E908" s="1279"/>
      <c r="F908" s="1280"/>
    </row>
    <row r="909" spans="1:6" s="631" customFormat="1">
      <c r="A909" s="1284">
        <f t="shared" ref="A909:A916" ca="1" si="202">IFERROR(IF(OFFSET(A909,-1,0)&gt;0,OFFSET(A909,-1,0)+0.001,ERROR.TYPE(0)),IFERROR(IF(OFFSET(A909,-2,0)&gt;0,OFFSET(A909,-2,0)+0.001,ERROR.TYPE(0)),IFERROR(IF(OFFSET(A909,-3,0)&gt;0,OFFSET(A909,-3,0)+0.001,ERROR.TYPE(0)),IFERROR(IF(OFFSET(A909,-4,0)&gt;0,OFFSET(A909,-4,0)+0.001,ERROR.TYPE(0)),IFERROR(IF(OFFSET(A909,-5,0)&gt;0,OFFSET(A909,-5,0)+0.001,ERROR.TYPE(0)),IFERROR(IF(OFFSET(A909,-6,0)&gt;0,OFFSET(A909,-6,0)+0.001,ERROR.TYPE(0)),IFERROR(IF(OFFSET(A909,-7,0)&gt;0,OFFSET(A909,-7,0)+0.001,ERROR.TYPE(0)),IFERROR(IF(OFFSET(A909,-8,0)&gt;0,OFFSET(A909,-8,0)+0.001,ERROR.TYPE(0)),IFERROR(IF(OFFSET(A909,-9,0)&gt;0,OFFSET(A909,-9,0)+0.001,ERROR.TYPE(0)),IFERROR(IF(OFFSET(A909,-10,0)&gt;0,OFFSET(A909,-10,0)+0.001,ERROR.TYPE(0)),ERROR.TYPE(0)))))))))))</f>
        <v>10.040999999999977</v>
      </c>
      <c r="B909" s="1352" t="s">
        <v>2249</v>
      </c>
      <c r="C909" s="1290">
        <v>30</v>
      </c>
      <c r="D909" s="1290" t="s">
        <v>320</v>
      </c>
      <c r="E909" s="1279"/>
      <c r="F909" s="1280">
        <f t="shared" ref="F909:F916" si="203">IFERROR($C909*E909,E909)</f>
        <v>0</v>
      </c>
    </row>
    <row r="910" spans="1:6" s="631" customFormat="1">
      <c r="A910" s="1284">
        <f t="shared" ca="1" si="202"/>
        <v>10.041999999999977</v>
      </c>
      <c r="B910" s="1352" t="s">
        <v>2250</v>
      </c>
      <c r="C910" s="1290">
        <v>5</v>
      </c>
      <c r="D910" s="1290" t="s">
        <v>320</v>
      </c>
      <c r="E910" s="1279"/>
      <c r="F910" s="1280">
        <f t="shared" si="203"/>
        <v>0</v>
      </c>
    </row>
    <row r="911" spans="1:6" s="631" customFormat="1">
      <c r="A911" s="1284">
        <f t="shared" ca="1" si="202"/>
        <v>10.042999999999976</v>
      </c>
      <c r="B911" s="1352" t="s">
        <v>2241</v>
      </c>
      <c r="C911" s="1290">
        <v>5</v>
      </c>
      <c r="D911" s="1290" t="s">
        <v>320</v>
      </c>
      <c r="E911" s="1279"/>
      <c r="F911" s="1280">
        <f t="shared" si="203"/>
        <v>0</v>
      </c>
    </row>
    <row r="912" spans="1:6" s="631" customFormat="1">
      <c r="A912" s="1284">
        <f t="shared" ca="1" si="202"/>
        <v>10.043999999999976</v>
      </c>
      <c r="B912" s="1352" t="s">
        <v>2242</v>
      </c>
      <c r="C912" s="1290">
        <v>5</v>
      </c>
      <c r="D912" s="1290" t="s">
        <v>320</v>
      </c>
      <c r="E912" s="1279"/>
      <c r="F912" s="1280">
        <f t="shared" si="203"/>
        <v>0</v>
      </c>
    </row>
    <row r="913" spans="1:6" s="631" customFormat="1">
      <c r="A913" s="1284">
        <f t="shared" ca="1" si="202"/>
        <v>10.044999999999975</v>
      </c>
      <c r="B913" s="1352" t="s">
        <v>2243</v>
      </c>
      <c r="C913" s="1290">
        <v>25</v>
      </c>
      <c r="D913" s="1290" t="s">
        <v>320</v>
      </c>
      <c r="E913" s="1279"/>
      <c r="F913" s="1280">
        <f t="shared" si="203"/>
        <v>0</v>
      </c>
    </row>
    <row r="914" spans="1:6" s="631" customFormat="1">
      <c r="A914" s="1284">
        <f t="shared" ca="1" si="202"/>
        <v>10.045999999999975</v>
      </c>
      <c r="B914" s="1352" t="s">
        <v>2244</v>
      </c>
      <c r="C914" s="1290">
        <v>45</v>
      </c>
      <c r="D914" s="1290" t="s">
        <v>320</v>
      </c>
      <c r="E914" s="1279"/>
      <c r="F914" s="1280">
        <f t="shared" si="203"/>
        <v>0</v>
      </c>
    </row>
    <row r="915" spans="1:6" s="631" customFormat="1">
      <c r="A915" s="1284">
        <f t="shared" ca="1" si="202"/>
        <v>10.046999999999974</v>
      </c>
      <c r="B915" s="1352" t="s">
        <v>2247</v>
      </c>
      <c r="C915" s="1290">
        <v>1</v>
      </c>
      <c r="D915" s="1368" t="s">
        <v>299</v>
      </c>
      <c r="E915" s="1279"/>
      <c r="F915" s="1280">
        <f t="shared" si="203"/>
        <v>0</v>
      </c>
    </row>
    <row r="916" spans="1:6" s="631" customFormat="1" ht="15">
      <c r="A916" s="1284">
        <f t="shared" ca="1" si="202"/>
        <v>10.047999999999973</v>
      </c>
      <c r="B916" s="1352" t="s">
        <v>4058</v>
      </c>
      <c r="C916" s="1290">
        <v>32</v>
      </c>
      <c r="D916" s="1290" t="s">
        <v>141</v>
      </c>
      <c r="E916" s="1279"/>
      <c r="F916" s="1280">
        <f t="shared" si="203"/>
        <v>0</v>
      </c>
    </row>
    <row r="917" spans="1:6" s="631" customFormat="1">
      <c r="A917" s="1284"/>
      <c r="B917" s="1371" t="s">
        <v>2253</v>
      </c>
      <c r="C917" s="1290"/>
      <c r="D917" s="1368"/>
      <c r="E917" s="1279"/>
      <c r="F917" s="1280"/>
    </row>
    <row r="918" spans="1:6" s="631" customFormat="1" ht="41.4">
      <c r="A918" s="1272"/>
      <c r="B918" s="1369" t="s">
        <v>2239</v>
      </c>
      <c r="C918" s="1290"/>
      <c r="D918" s="1290"/>
      <c r="E918" s="1279"/>
      <c r="F918" s="1280"/>
    </row>
    <row r="919" spans="1:6" s="631" customFormat="1">
      <c r="A919" s="1319">
        <f t="shared" ca="1" si="189"/>
        <v>10.048999999999973</v>
      </c>
      <c r="B919" s="1352" t="s">
        <v>2249</v>
      </c>
      <c r="C919" s="1363">
        <v>0</v>
      </c>
      <c r="D919" s="1290" t="s">
        <v>320</v>
      </c>
      <c r="E919" s="1279"/>
      <c r="F919" s="1321" t="s">
        <v>3797</v>
      </c>
    </row>
    <row r="920" spans="1:6" s="631" customFormat="1">
      <c r="A920" s="1319">
        <f ca="1">IFERROR(IF(OFFSET(A920,-1,0)&gt;0,OFFSET(A920,-1,0)+0.001,ERROR.TYPE(0)),IFERROR(IF(OFFSET(A920,-2,0)&gt;0,OFFSET(A920,-2,0)+0.001,ERROR.TYPE(0)),IFERROR(IF(OFFSET(A920,-3,0)&gt;0,OFFSET(A920,-3,0)+0.001,ERROR.TYPE(0)),IFERROR(IF(OFFSET(A920,-4,0)&gt;0,OFFSET(A920,-4,0)+0.001,ERROR.TYPE(0)),IFERROR(IF(OFFSET(A920,-5,0)&gt;0,OFFSET(A920,-5,0)+0.001,ERROR.TYPE(0)),IFERROR(IF(OFFSET(A920,-6,0)&gt;0,OFFSET(A920,-6,0)+0.001,ERROR.TYPE(0)),IFERROR(IF(OFFSET(A920,-7,0)&gt;0,OFFSET(A920,-7,0)+0.001,ERROR.TYPE(0)),IFERROR(IF(OFFSET(A920,-8,0)&gt;0,OFFSET(A920,-8,0)+0.001,ERROR.TYPE(0)),IFERROR(IF(OFFSET(A920,-9,0)&gt;0,OFFSET(A920,-9,0)+0.001,ERROR.TYPE(0)),IFERROR(IF(OFFSET(A920,-10,0)&gt;0,OFFSET(A920,-10,0)+0.001,ERROR.TYPE(0)),ERROR.TYPE(0)))))))))))</f>
        <v>10.049999999999972</v>
      </c>
      <c r="B920" s="1352" t="s">
        <v>2250</v>
      </c>
      <c r="C920" s="1363">
        <v>0</v>
      </c>
      <c r="D920" s="1290" t="s">
        <v>320</v>
      </c>
      <c r="E920" s="1279"/>
      <c r="F920" s="1321" t="s">
        <v>3797</v>
      </c>
    </row>
    <row r="921" spans="1:6" s="631" customFormat="1">
      <c r="A921" s="1319">
        <f ca="1">IFERROR(IF(OFFSET(A921,-1,0)&gt;0,OFFSET(A921,-1,0)+0.001,ERROR.TYPE(0)),IFERROR(IF(OFFSET(A921,-2,0)&gt;0,OFFSET(A921,-2,0)+0.001,ERROR.TYPE(0)),IFERROR(IF(OFFSET(A921,-3,0)&gt;0,OFFSET(A921,-3,0)+0.001,ERROR.TYPE(0)),IFERROR(IF(OFFSET(A921,-4,0)&gt;0,OFFSET(A921,-4,0)+0.001,ERROR.TYPE(0)),IFERROR(IF(OFFSET(A921,-5,0)&gt;0,OFFSET(A921,-5,0)+0.001,ERROR.TYPE(0)),IFERROR(IF(OFFSET(A921,-6,0)&gt;0,OFFSET(A921,-6,0)+0.001,ERROR.TYPE(0)),IFERROR(IF(OFFSET(A921,-7,0)&gt;0,OFFSET(A921,-7,0)+0.001,ERROR.TYPE(0)),IFERROR(IF(OFFSET(A921,-8,0)&gt;0,OFFSET(A921,-8,0)+0.001,ERROR.TYPE(0)),IFERROR(IF(OFFSET(A921,-9,0)&gt;0,OFFSET(A921,-9,0)+0.001,ERROR.TYPE(0)),IFERROR(IF(OFFSET(A921,-10,0)&gt;0,OFFSET(A921,-10,0)+0.001,ERROR.TYPE(0)),ERROR.TYPE(0)))))))))))</f>
        <v>10.050999999999972</v>
      </c>
      <c r="B921" s="1352" t="s">
        <v>2241</v>
      </c>
      <c r="C921" s="1363">
        <v>0</v>
      </c>
      <c r="D921" s="1290" t="s">
        <v>320</v>
      </c>
      <c r="E921" s="1279"/>
      <c r="F921" s="1321" t="s">
        <v>3797</v>
      </c>
    </row>
    <row r="922" spans="1:6" s="631" customFormat="1">
      <c r="A922" s="1319">
        <f ca="1">IFERROR(IF(OFFSET(A922,-1,0)&gt;0,OFFSET(A922,-1,0)+0.001,ERROR.TYPE(0)),IFERROR(IF(OFFSET(A922,-2,0)&gt;0,OFFSET(A922,-2,0)+0.001,ERROR.TYPE(0)),IFERROR(IF(OFFSET(A922,-3,0)&gt;0,OFFSET(A922,-3,0)+0.001,ERROR.TYPE(0)),IFERROR(IF(OFFSET(A922,-4,0)&gt;0,OFFSET(A922,-4,0)+0.001,ERROR.TYPE(0)),IFERROR(IF(OFFSET(A922,-5,0)&gt;0,OFFSET(A922,-5,0)+0.001,ERROR.TYPE(0)),IFERROR(IF(OFFSET(A922,-6,0)&gt;0,OFFSET(A922,-6,0)+0.001,ERROR.TYPE(0)),IFERROR(IF(OFFSET(A922,-7,0)&gt;0,OFFSET(A922,-7,0)+0.001,ERROR.TYPE(0)),IFERROR(IF(OFFSET(A922,-8,0)&gt;0,OFFSET(A922,-8,0)+0.001,ERROR.TYPE(0)),IFERROR(IF(OFFSET(A922,-9,0)&gt;0,OFFSET(A922,-9,0)+0.001,ERROR.TYPE(0)),IFERROR(IF(OFFSET(A922,-10,0)&gt;0,OFFSET(A922,-10,0)+0.001,ERROR.TYPE(0)),ERROR.TYPE(0)))))))))))</f>
        <v>10.051999999999971</v>
      </c>
      <c r="B922" s="1352" t="s">
        <v>2242</v>
      </c>
      <c r="C922" s="1363">
        <v>0</v>
      </c>
      <c r="D922" s="1290" t="s">
        <v>320</v>
      </c>
      <c r="E922" s="1279"/>
      <c r="F922" s="1321" t="s">
        <v>3797</v>
      </c>
    </row>
    <row r="923" spans="1:6" s="631" customFormat="1">
      <c r="A923" s="1319">
        <f ca="1">IFERROR(IF(OFFSET(A923,-1,0)&gt;0,OFFSET(A923,-1,0)+0.001,ERROR.TYPE(0)),IFERROR(IF(OFFSET(A923,-2,0)&gt;0,OFFSET(A923,-2,0)+0.001,ERROR.TYPE(0)),IFERROR(IF(OFFSET(A923,-3,0)&gt;0,OFFSET(A923,-3,0)+0.001,ERROR.TYPE(0)),IFERROR(IF(OFFSET(A923,-4,0)&gt;0,OFFSET(A923,-4,0)+0.001,ERROR.TYPE(0)),IFERROR(IF(OFFSET(A923,-5,0)&gt;0,OFFSET(A923,-5,0)+0.001,ERROR.TYPE(0)),IFERROR(IF(OFFSET(A923,-6,0)&gt;0,OFFSET(A923,-6,0)+0.001,ERROR.TYPE(0)),IFERROR(IF(OFFSET(A923,-7,0)&gt;0,OFFSET(A923,-7,0)+0.001,ERROR.TYPE(0)),IFERROR(IF(OFFSET(A923,-8,0)&gt;0,OFFSET(A923,-8,0)+0.001,ERROR.TYPE(0)),IFERROR(IF(OFFSET(A923,-9,0)&gt;0,OFFSET(A923,-9,0)+0.001,ERROR.TYPE(0)),IFERROR(IF(OFFSET(A923,-10,0)&gt;0,OFFSET(A923,-10,0)+0.001,ERROR.TYPE(0)),ERROR.TYPE(0)))))))))))</f>
        <v>10.052999999999971</v>
      </c>
      <c r="B923" s="1352" t="s">
        <v>2243</v>
      </c>
      <c r="C923" s="1363">
        <v>0</v>
      </c>
      <c r="D923" s="1290" t="s">
        <v>320</v>
      </c>
      <c r="E923" s="1279"/>
      <c r="F923" s="1321" t="s">
        <v>3797</v>
      </c>
    </row>
    <row r="924" spans="1:6" s="631" customFormat="1">
      <c r="A924" s="1319">
        <f t="shared" ca="1" si="189"/>
        <v>10.05399999999997</v>
      </c>
      <c r="B924" s="1352" t="s">
        <v>2244</v>
      </c>
      <c r="C924" s="1363">
        <v>0</v>
      </c>
      <c r="D924" s="1290" t="s">
        <v>320</v>
      </c>
      <c r="E924" s="1279"/>
      <c r="F924" s="1321" t="s">
        <v>3797</v>
      </c>
    </row>
    <row r="925" spans="1:6" s="631" customFormat="1">
      <c r="A925" s="1319">
        <f t="shared" ca="1" si="189"/>
        <v>10.05499999999997</v>
      </c>
      <c r="B925" s="1352" t="s">
        <v>2247</v>
      </c>
      <c r="C925" s="1363">
        <v>0</v>
      </c>
      <c r="D925" s="1368" t="s">
        <v>299</v>
      </c>
      <c r="E925" s="1279"/>
      <c r="F925" s="1321" t="s">
        <v>3797</v>
      </c>
    </row>
    <row r="926" spans="1:6" s="631" customFormat="1" ht="15">
      <c r="A926" s="1319">
        <f t="shared" ca="1" si="189"/>
        <v>10.055999999999969</v>
      </c>
      <c r="B926" s="1352" t="s">
        <v>4058</v>
      </c>
      <c r="C926" s="1363">
        <v>0</v>
      </c>
      <c r="D926" s="1290" t="s">
        <v>141</v>
      </c>
      <c r="E926" s="1279"/>
      <c r="F926" s="1321" t="s">
        <v>3797</v>
      </c>
    </row>
    <row r="927" spans="1:6">
      <c r="A927" s="1284"/>
      <c r="B927" s="1351" t="s">
        <v>2254</v>
      </c>
      <c r="C927" s="1290"/>
      <c r="D927" s="1290"/>
      <c r="E927" s="1279"/>
      <c r="F927" s="1280"/>
    </row>
    <row r="928" spans="1:6" s="631" customFormat="1" ht="55.2">
      <c r="A928" s="1319">
        <f t="shared" ca="1" si="189"/>
        <v>10.056999999999968</v>
      </c>
      <c r="B928" s="1352" t="s">
        <v>2237</v>
      </c>
      <c r="C928" s="1363">
        <v>0</v>
      </c>
      <c r="D928" s="1368" t="s">
        <v>329</v>
      </c>
      <c r="E928" s="1279"/>
      <c r="F928" s="1321" t="s">
        <v>3797</v>
      </c>
    </row>
    <row r="929" spans="1:6" s="631" customFormat="1">
      <c r="A929" s="1319">
        <f t="shared" ca="1" si="189"/>
        <v>10.057999999999968</v>
      </c>
      <c r="B929" s="1352" t="s">
        <v>2238</v>
      </c>
      <c r="C929" s="1363">
        <v>0</v>
      </c>
      <c r="D929" s="1368" t="s">
        <v>329</v>
      </c>
      <c r="E929" s="1279"/>
      <c r="F929" s="1321" t="s">
        <v>3797</v>
      </c>
    </row>
    <row r="930" spans="1:6" s="631" customFormat="1" ht="41.4">
      <c r="A930" s="1272"/>
      <c r="B930" s="1369" t="s">
        <v>2239</v>
      </c>
      <c r="C930" s="1290"/>
      <c r="D930" s="1290"/>
      <c r="E930" s="1279"/>
      <c r="F930" s="1280"/>
    </row>
    <row r="931" spans="1:6" s="631" customFormat="1">
      <c r="A931" s="1319">
        <f t="shared" ca="1" si="189"/>
        <v>10.058999999999967</v>
      </c>
      <c r="B931" s="1352" t="s">
        <v>2249</v>
      </c>
      <c r="C931" s="1363">
        <v>0</v>
      </c>
      <c r="D931" s="1290" t="s">
        <v>320</v>
      </c>
      <c r="E931" s="1279"/>
      <c r="F931" s="1321" t="s">
        <v>3797</v>
      </c>
    </row>
    <row r="932" spans="1:6" s="631" customFormat="1">
      <c r="A932" s="1319">
        <f t="shared" ca="1" si="189"/>
        <v>10.059999999999967</v>
      </c>
      <c r="B932" s="1352" t="s">
        <v>2255</v>
      </c>
      <c r="C932" s="1363">
        <v>0</v>
      </c>
      <c r="D932" s="1290" t="s">
        <v>320</v>
      </c>
      <c r="E932" s="1279"/>
      <c r="F932" s="1321" t="s">
        <v>3797</v>
      </c>
    </row>
    <row r="933" spans="1:6" s="631" customFormat="1">
      <c r="A933" s="1319">
        <f ca="1">IFERROR(IF(OFFSET(A933,-1,0)&gt;0,OFFSET(A933,-1,0)+0.001,ERROR.TYPE(0)),IFERROR(IF(OFFSET(A933,-2,0)&gt;0,OFFSET(A933,-2,0)+0.001,ERROR.TYPE(0)),IFERROR(IF(OFFSET(A933,-3,0)&gt;0,OFFSET(A933,-3,0)+0.001,ERROR.TYPE(0)),IFERROR(IF(OFFSET(A933,-4,0)&gt;0,OFFSET(A933,-4,0)+0.001,ERROR.TYPE(0)),IFERROR(IF(OFFSET(A933,-5,0)&gt;0,OFFSET(A933,-5,0)+0.001,ERROR.TYPE(0)),IFERROR(IF(OFFSET(A933,-6,0)&gt;0,OFFSET(A933,-6,0)+0.001,ERROR.TYPE(0)),IFERROR(IF(OFFSET(A933,-7,0)&gt;0,OFFSET(A933,-7,0)+0.001,ERROR.TYPE(0)),IFERROR(IF(OFFSET(A933,-8,0)&gt;0,OFFSET(A933,-8,0)+0.001,ERROR.TYPE(0)),IFERROR(IF(OFFSET(A933,-9,0)&gt;0,OFFSET(A933,-9,0)+0.001,ERROR.TYPE(0)),IFERROR(IF(OFFSET(A933,-10,0)&gt;0,OFFSET(A933,-10,0)+0.001,ERROR.TYPE(0)),ERROR.TYPE(0)))))))))))</f>
        <v>10.060999999999966</v>
      </c>
      <c r="B933" s="1352" t="s">
        <v>2241</v>
      </c>
      <c r="C933" s="1363">
        <v>0</v>
      </c>
      <c r="D933" s="1290" t="s">
        <v>320</v>
      </c>
      <c r="E933" s="1279"/>
      <c r="F933" s="1321" t="s">
        <v>3797</v>
      </c>
    </row>
    <row r="934" spans="1:6" s="631" customFormat="1">
      <c r="A934" s="1319">
        <f ca="1">IFERROR(IF(OFFSET(A934,-1,0)&gt;0,OFFSET(A934,-1,0)+0.001,ERROR.TYPE(0)),IFERROR(IF(OFFSET(A934,-2,0)&gt;0,OFFSET(A934,-2,0)+0.001,ERROR.TYPE(0)),IFERROR(IF(OFFSET(A934,-3,0)&gt;0,OFFSET(A934,-3,0)+0.001,ERROR.TYPE(0)),IFERROR(IF(OFFSET(A934,-4,0)&gt;0,OFFSET(A934,-4,0)+0.001,ERROR.TYPE(0)),IFERROR(IF(OFFSET(A934,-5,0)&gt;0,OFFSET(A934,-5,0)+0.001,ERROR.TYPE(0)),IFERROR(IF(OFFSET(A934,-6,0)&gt;0,OFFSET(A934,-6,0)+0.001,ERROR.TYPE(0)),IFERROR(IF(OFFSET(A934,-7,0)&gt;0,OFFSET(A934,-7,0)+0.001,ERROR.TYPE(0)),IFERROR(IF(OFFSET(A934,-8,0)&gt;0,OFFSET(A934,-8,0)+0.001,ERROR.TYPE(0)),IFERROR(IF(OFFSET(A934,-9,0)&gt;0,OFFSET(A934,-9,0)+0.001,ERROR.TYPE(0)),IFERROR(IF(OFFSET(A934,-10,0)&gt;0,OFFSET(A934,-10,0)+0.001,ERROR.TYPE(0)),ERROR.TYPE(0)))))))))))</f>
        <v>10.061999999999966</v>
      </c>
      <c r="B934" s="1352" t="s">
        <v>2242</v>
      </c>
      <c r="C934" s="1363">
        <v>0</v>
      </c>
      <c r="D934" s="1290" t="s">
        <v>320</v>
      </c>
      <c r="E934" s="1279"/>
      <c r="F934" s="1321" t="s">
        <v>3797</v>
      </c>
    </row>
    <row r="935" spans="1:6" s="631" customFormat="1">
      <c r="A935" s="1319">
        <f ca="1">IFERROR(IF(OFFSET(A935,-1,0)&gt;0,OFFSET(A935,-1,0)+0.001,ERROR.TYPE(0)),IFERROR(IF(OFFSET(A935,-2,0)&gt;0,OFFSET(A935,-2,0)+0.001,ERROR.TYPE(0)),IFERROR(IF(OFFSET(A935,-3,0)&gt;0,OFFSET(A935,-3,0)+0.001,ERROR.TYPE(0)),IFERROR(IF(OFFSET(A935,-4,0)&gt;0,OFFSET(A935,-4,0)+0.001,ERROR.TYPE(0)),IFERROR(IF(OFFSET(A935,-5,0)&gt;0,OFFSET(A935,-5,0)+0.001,ERROR.TYPE(0)),IFERROR(IF(OFFSET(A935,-6,0)&gt;0,OFFSET(A935,-6,0)+0.001,ERROR.TYPE(0)),IFERROR(IF(OFFSET(A935,-7,0)&gt;0,OFFSET(A935,-7,0)+0.001,ERROR.TYPE(0)),IFERROR(IF(OFFSET(A935,-8,0)&gt;0,OFFSET(A935,-8,0)+0.001,ERROR.TYPE(0)),IFERROR(IF(OFFSET(A935,-9,0)&gt;0,OFFSET(A935,-9,0)+0.001,ERROR.TYPE(0)),IFERROR(IF(OFFSET(A935,-10,0)&gt;0,OFFSET(A935,-10,0)+0.001,ERROR.TYPE(0)),ERROR.TYPE(0)))))))))))</f>
        <v>10.062999999999965</v>
      </c>
      <c r="B935" s="1352" t="s">
        <v>2243</v>
      </c>
      <c r="C935" s="1363">
        <v>0</v>
      </c>
      <c r="D935" s="1290" t="s">
        <v>320</v>
      </c>
      <c r="E935" s="1279"/>
      <c r="F935" s="1321" t="s">
        <v>3797</v>
      </c>
    </row>
    <row r="936" spans="1:6" s="631" customFormat="1">
      <c r="A936" s="1319">
        <f t="shared" ca="1" si="189"/>
        <v>10.063999999999965</v>
      </c>
      <c r="B936" s="1352" t="s">
        <v>2244</v>
      </c>
      <c r="C936" s="1363">
        <v>0</v>
      </c>
      <c r="D936" s="1290" t="s">
        <v>320</v>
      </c>
      <c r="E936" s="1279"/>
      <c r="F936" s="1321" t="s">
        <v>3797</v>
      </c>
    </row>
    <row r="937" spans="1:6" s="631" customFormat="1">
      <c r="A937" s="1319">
        <f ca="1">IFERROR(IF(OFFSET(A937,-1,0)&gt;0,OFFSET(A937,-1,0)+0.001,ERROR.TYPE(0)),IFERROR(IF(OFFSET(A937,-2,0)&gt;0,OFFSET(A937,-2,0)+0.001,ERROR.TYPE(0)),IFERROR(IF(OFFSET(A937,-3,0)&gt;0,OFFSET(A937,-3,0)+0.001,ERROR.TYPE(0)),IFERROR(IF(OFFSET(A937,-4,0)&gt;0,OFFSET(A937,-4,0)+0.001,ERROR.TYPE(0)),IFERROR(IF(OFFSET(A937,-5,0)&gt;0,OFFSET(A937,-5,0)+0.001,ERROR.TYPE(0)),IFERROR(IF(OFFSET(A937,-6,0)&gt;0,OFFSET(A937,-6,0)+0.001,ERROR.TYPE(0)),IFERROR(IF(OFFSET(A937,-7,0)&gt;0,OFFSET(A937,-7,0)+0.001,ERROR.TYPE(0)),IFERROR(IF(OFFSET(A937,-8,0)&gt;0,OFFSET(A937,-8,0)+0.001,ERROR.TYPE(0)),IFERROR(IF(OFFSET(A937,-9,0)&gt;0,OFFSET(A937,-9,0)+0.001,ERROR.TYPE(0)),IFERROR(IF(OFFSET(A937,-10,0)&gt;0,OFFSET(A937,-10,0)+0.001,ERROR.TYPE(0)),ERROR.TYPE(0)))))))))))</f>
        <v>10.064999999999964</v>
      </c>
      <c r="B937" s="1352" t="s">
        <v>2245</v>
      </c>
      <c r="C937" s="1363">
        <v>0</v>
      </c>
      <c r="D937" s="1368" t="s">
        <v>320</v>
      </c>
      <c r="E937" s="1279"/>
      <c r="F937" s="1321" t="s">
        <v>3797</v>
      </c>
    </row>
    <row r="938" spans="1:6" s="631" customFormat="1" ht="27.6">
      <c r="A938" s="1284">
        <f t="shared" ca="1" si="189"/>
        <v>10.065999999999963</v>
      </c>
      <c r="B938" s="1352" t="s">
        <v>2246</v>
      </c>
      <c r="C938" s="1363">
        <v>0</v>
      </c>
      <c r="D938" s="1290" t="s">
        <v>299</v>
      </c>
      <c r="E938" s="1279"/>
      <c r="F938" s="1321" t="s">
        <v>3797</v>
      </c>
    </row>
    <row r="939" spans="1:6" s="631" customFormat="1">
      <c r="A939" s="1319">
        <f t="shared" ca="1" si="189"/>
        <v>10.066999999999963</v>
      </c>
      <c r="B939" s="1352" t="s">
        <v>2247</v>
      </c>
      <c r="C939" s="1363">
        <v>0</v>
      </c>
      <c r="D939" s="1368" t="s">
        <v>299</v>
      </c>
      <c r="E939" s="1279"/>
      <c r="F939" s="1321" t="s">
        <v>3797</v>
      </c>
    </row>
    <row r="940" spans="1:6" s="631" customFormat="1" ht="15">
      <c r="A940" s="1319">
        <f t="shared" ca="1" si="189"/>
        <v>10.067999999999962</v>
      </c>
      <c r="B940" s="1352" t="s">
        <v>4059</v>
      </c>
      <c r="C940" s="1363">
        <v>0</v>
      </c>
      <c r="D940" s="1290" t="s">
        <v>141</v>
      </c>
      <c r="E940" s="1279"/>
      <c r="F940" s="1321" t="s">
        <v>3797</v>
      </c>
    </row>
    <row r="941" spans="1:6" s="1345" customFormat="1">
      <c r="A941" s="1319"/>
      <c r="B941" s="1372" t="s">
        <v>4016</v>
      </c>
      <c r="C941" s="1365"/>
      <c r="D941" s="1365"/>
      <c r="E941" s="1370"/>
      <c r="F941" s="1367"/>
    </row>
    <row r="942" spans="1:6" s="1345" customFormat="1" ht="27.6">
      <c r="A942" s="1319" t="s">
        <v>4017</v>
      </c>
      <c r="B942" s="1364" t="s">
        <v>2231</v>
      </c>
      <c r="C942" s="1365">
        <v>1</v>
      </c>
      <c r="D942" s="1370" t="s">
        <v>329</v>
      </c>
      <c r="E942" s="1370"/>
      <c r="F942" s="1367">
        <f>IFERROR($C942*E942,E942)</f>
        <v>0</v>
      </c>
    </row>
    <row r="943" spans="1:6" s="1345" customFormat="1">
      <c r="A943" s="1319"/>
      <c r="B943" s="1372" t="s">
        <v>4018</v>
      </c>
      <c r="C943" s="1365"/>
      <c r="D943" s="1365"/>
      <c r="E943" s="1370"/>
      <c r="F943" s="1367"/>
    </row>
    <row r="944" spans="1:6" s="1345" customFormat="1">
      <c r="A944" s="1319" t="s">
        <v>4019</v>
      </c>
      <c r="B944" s="1364" t="s">
        <v>2238</v>
      </c>
      <c r="C944" s="1365">
        <v>1</v>
      </c>
      <c r="D944" s="1370" t="s">
        <v>329</v>
      </c>
      <c r="E944" s="1370"/>
      <c r="F944" s="1367">
        <f t="shared" ref="F944:F970" si="204">IFERROR($C944*E944,E944)</f>
        <v>0</v>
      </c>
    </row>
    <row r="945" spans="1:6" s="1345" customFormat="1">
      <c r="A945" s="1319" t="s">
        <v>4020</v>
      </c>
      <c r="B945" s="1364" t="s">
        <v>2245</v>
      </c>
      <c r="C945" s="1365">
        <v>20</v>
      </c>
      <c r="D945" s="1370" t="s">
        <v>320</v>
      </c>
      <c r="E945" s="1370"/>
      <c r="F945" s="1367">
        <f t="shared" si="204"/>
        <v>0</v>
      </c>
    </row>
    <row r="946" spans="1:6" s="1345" customFormat="1" ht="41.4">
      <c r="A946" s="1319"/>
      <c r="B946" s="1373" t="s">
        <v>2239</v>
      </c>
      <c r="C946" s="1365"/>
      <c r="D946" s="1370"/>
      <c r="E946" s="1370"/>
      <c r="F946" s="1367"/>
    </row>
    <row r="947" spans="1:6" s="1345" customFormat="1">
      <c r="A947" s="1319" t="s">
        <v>4021</v>
      </c>
      <c r="B947" s="1364" t="s">
        <v>2240</v>
      </c>
      <c r="C947" s="1365">
        <v>60</v>
      </c>
      <c r="D947" s="1370" t="s">
        <v>320</v>
      </c>
      <c r="E947" s="1370"/>
      <c r="F947" s="1367">
        <f t="shared" si="204"/>
        <v>0</v>
      </c>
    </row>
    <row r="948" spans="1:6" s="1345" customFormat="1">
      <c r="A948" s="1319" t="s">
        <v>4022</v>
      </c>
      <c r="B948" s="1364" t="s">
        <v>2249</v>
      </c>
      <c r="C948" s="1365">
        <v>15</v>
      </c>
      <c r="D948" s="1370" t="s">
        <v>320</v>
      </c>
      <c r="E948" s="1370"/>
      <c r="F948" s="1367">
        <f t="shared" si="204"/>
        <v>0</v>
      </c>
    </row>
    <row r="949" spans="1:6" s="1345" customFormat="1">
      <c r="A949" s="1319" t="s">
        <v>4023</v>
      </c>
      <c r="B949" s="1364" t="s">
        <v>2255</v>
      </c>
      <c r="C949" s="1365">
        <v>5</v>
      </c>
      <c r="D949" s="1370" t="s">
        <v>320</v>
      </c>
      <c r="E949" s="1370"/>
      <c r="F949" s="1367">
        <f t="shared" si="204"/>
        <v>0</v>
      </c>
    </row>
    <row r="950" spans="1:6" s="1345" customFormat="1">
      <c r="A950" s="1319" t="s">
        <v>4024</v>
      </c>
      <c r="B950" s="1364" t="s">
        <v>2250</v>
      </c>
      <c r="C950" s="1365">
        <v>10</v>
      </c>
      <c r="D950" s="1370" t="s">
        <v>320</v>
      </c>
      <c r="E950" s="1370"/>
      <c r="F950" s="1367">
        <f t="shared" si="204"/>
        <v>0</v>
      </c>
    </row>
    <row r="951" spans="1:6" s="1345" customFormat="1">
      <c r="A951" s="1319" t="s">
        <v>4025</v>
      </c>
      <c r="B951" s="1364" t="s">
        <v>2241</v>
      </c>
      <c r="C951" s="1365">
        <v>10</v>
      </c>
      <c r="D951" s="1370" t="s">
        <v>320</v>
      </c>
      <c r="E951" s="1370"/>
      <c r="F951" s="1367">
        <f t="shared" si="204"/>
        <v>0</v>
      </c>
    </row>
    <row r="952" spans="1:6" s="1345" customFormat="1">
      <c r="A952" s="1319" t="s">
        <v>4026</v>
      </c>
      <c r="B952" s="1364" t="s">
        <v>2242</v>
      </c>
      <c r="C952" s="1365">
        <v>30</v>
      </c>
      <c r="D952" s="1370" t="s">
        <v>320</v>
      </c>
      <c r="E952" s="1370"/>
      <c r="F952" s="1367">
        <f t="shared" si="204"/>
        <v>0</v>
      </c>
    </row>
    <row r="953" spans="1:6" s="1345" customFormat="1">
      <c r="A953" s="1319" t="s">
        <v>4027</v>
      </c>
      <c r="B953" s="1364" t="s">
        <v>2243</v>
      </c>
      <c r="C953" s="1365">
        <v>60</v>
      </c>
      <c r="D953" s="1370" t="s">
        <v>320</v>
      </c>
      <c r="E953" s="1370"/>
      <c r="F953" s="1367"/>
    </row>
    <row r="954" spans="1:6" s="1345" customFormat="1">
      <c r="A954" s="1319" t="s">
        <v>4028</v>
      </c>
      <c r="B954" s="1364" t="s">
        <v>2244</v>
      </c>
      <c r="C954" s="1365">
        <v>75</v>
      </c>
      <c r="D954" s="1370" t="s">
        <v>320</v>
      </c>
      <c r="E954" s="1370"/>
      <c r="F954" s="1367">
        <f t="shared" si="204"/>
        <v>0</v>
      </c>
    </row>
    <row r="955" spans="1:6" s="1345" customFormat="1">
      <c r="A955" s="1319" t="s">
        <v>4029</v>
      </c>
      <c r="B955" s="1364" t="s">
        <v>2247</v>
      </c>
      <c r="C955" s="1365">
        <v>1</v>
      </c>
      <c r="D955" s="1370" t="s">
        <v>299</v>
      </c>
      <c r="E955" s="1370"/>
      <c r="F955" s="1367">
        <f t="shared" si="204"/>
        <v>0</v>
      </c>
    </row>
    <row r="956" spans="1:6" s="1345" customFormat="1">
      <c r="A956" s="1319" t="s">
        <v>4030</v>
      </c>
      <c r="B956" s="1364" t="s">
        <v>4060</v>
      </c>
      <c r="C956" s="1365">
        <v>90</v>
      </c>
      <c r="D956" s="1370" t="s">
        <v>141</v>
      </c>
      <c r="E956" s="1370"/>
      <c r="F956" s="1367">
        <f t="shared" si="204"/>
        <v>0</v>
      </c>
    </row>
    <row r="957" spans="1:6" s="1345" customFormat="1">
      <c r="A957" s="1319"/>
      <c r="B957" s="1372" t="s">
        <v>4031</v>
      </c>
      <c r="C957" s="1365"/>
      <c r="D957" s="1370"/>
      <c r="E957" s="1370"/>
      <c r="F957" s="1367"/>
    </row>
    <row r="958" spans="1:6" s="1345" customFormat="1">
      <c r="A958" s="1319" t="s">
        <v>4032</v>
      </c>
      <c r="B958" s="1364" t="s">
        <v>2238</v>
      </c>
      <c r="C958" s="1365">
        <v>1</v>
      </c>
      <c r="D958" s="1370" t="s">
        <v>329</v>
      </c>
      <c r="E958" s="1370"/>
      <c r="F958" s="1367">
        <f t="shared" si="204"/>
        <v>0</v>
      </c>
    </row>
    <row r="959" spans="1:6" s="1345" customFormat="1">
      <c r="A959" s="1319" t="s">
        <v>4033</v>
      </c>
      <c r="B959" s="1364" t="s">
        <v>2245</v>
      </c>
      <c r="C959" s="1365">
        <v>20</v>
      </c>
      <c r="D959" s="1370" t="s">
        <v>320</v>
      </c>
      <c r="E959" s="1370"/>
      <c r="F959" s="1367">
        <f t="shared" si="204"/>
        <v>0</v>
      </c>
    </row>
    <row r="960" spans="1:6" s="1345" customFormat="1" ht="41.4">
      <c r="A960" s="1319"/>
      <c r="B960" s="1373" t="s">
        <v>2239</v>
      </c>
      <c r="C960" s="1365"/>
      <c r="D960" s="1370"/>
      <c r="E960" s="1370"/>
      <c r="F960" s="1367"/>
    </row>
    <row r="961" spans="1:6" s="1345" customFormat="1">
      <c r="A961" s="1319" t="s">
        <v>4034</v>
      </c>
      <c r="B961" s="1364" t="s">
        <v>2240</v>
      </c>
      <c r="C961" s="1365">
        <v>60</v>
      </c>
      <c r="D961" s="1370" t="s">
        <v>320</v>
      </c>
      <c r="E961" s="1370"/>
      <c r="F961" s="1367">
        <f t="shared" si="204"/>
        <v>0</v>
      </c>
    </row>
    <row r="962" spans="1:6" s="1345" customFormat="1">
      <c r="A962" s="1319" t="s">
        <v>4035</v>
      </c>
      <c r="B962" s="1364" t="s">
        <v>2249</v>
      </c>
      <c r="C962" s="1365">
        <v>10</v>
      </c>
      <c r="D962" s="1370" t="s">
        <v>320</v>
      </c>
      <c r="E962" s="1370"/>
      <c r="F962" s="1367">
        <f t="shared" si="204"/>
        <v>0</v>
      </c>
    </row>
    <row r="963" spans="1:6" s="1345" customFormat="1">
      <c r="A963" s="1319" t="s">
        <v>4036</v>
      </c>
      <c r="B963" s="1364" t="s">
        <v>2255</v>
      </c>
      <c r="C963" s="1365">
        <v>5</v>
      </c>
      <c r="D963" s="1370" t="s">
        <v>320</v>
      </c>
      <c r="E963" s="1370"/>
      <c r="F963" s="1367">
        <f t="shared" si="204"/>
        <v>0</v>
      </c>
    </row>
    <row r="964" spans="1:6" s="1345" customFormat="1">
      <c r="A964" s="1319" t="s">
        <v>4037</v>
      </c>
      <c r="B964" s="1364" t="s">
        <v>2250</v>
      </c>
      <c r="C964" s="1365">
        <v>5</v>
      </c>
      <c r="D964" s="1370" t="s">
        <v>320</v>
      </c>
      <c r="E964" s="1370"/>
      <c r="F964" s="1367">
        <f t="shared" si="204"/>
        <v>0</v>
      </c>
    </row>
    <row r="965" spans="1:6" s="1345" customFormat="1">
      <c r="A965" s="1319" t="s">
        <v>4038</v>
      </c>
      <c r="B965" s="1364" t="s">
        <v>2241</v>
      </c>
      <c r="C965" s="1365">
        <v>5</v>
      </c>
      <c r="D965" s="1370" t="s">
        <v>320</v>
      </c>
      <c r="E965" s="1370"/>
      <c r="F965" s="1367">
        <f t="shared" si="204"/>
        <v>0</v>
      </c>
    </row>
    <row r="966" spans="1:6" s="1345" customFormat="1">
      <c r="A966" s="1319" t="s">
        <v>4039</v>
      </c>
      <c r="B966" s="1364" t="s">
        <v>2242</v>
      </c>
      <c r="C966" s="1365">
        <v>30</v>
      </c>
      <c r="D966" s="1370" t="s">
        <v>320</v>
      </c>
      <c r="E966" s="1370"/>
      <c r="F966" s="1367">
        <f t="shared" si="204"/>
        <v>0</v>
      </c>
    </row>
    <row r="967" spans="1:6" s="1345" customFormat="1">
      <c r="A967" s="1319" t="s">
        <v>4040</v>
      </c>
      <c r="B967" s="1364" t="s">
        <v>2243</v>
      </c>
      <c r="C967" s="1365">
        <v>60</v>
      </c>
      <c r="D967" s="1370" t="s">
        <v>320</v>
      </c>
      <c r="E967" s="1370"/>
      <c r="F967" s="1367"/>
    </row>
    <row r="968" spans="1:6" s="1345" customFormat="1">
      <c r="A968" s="1319" t="s">
        <v>4041</v>
      </c>
      <c r="B968" s="1364" t="s">
        <v>2244</v>
      </c>
      <c r="C968" s="1365">
        <v>75</v>
      </c>
      <c r="D968" s="1370" t="s">
        <v>320</v>
      </c>
      <c r="E968" s="1370"/>
      <c r="F968" s="1367">
        <f t="shared" si="204"/>
        <v>0</v>
      </c>
    </row>
    <row r="969" spans="1:6" s="1345" customFormat="1">
      <c r="A969" s="1319" t="s">
        <v>4042</v>
      </c>
      <c r="B969" s="1364" t="s">
        <v>2247</v>
      </c>
      <c r="C969" s="1365">
        <v>1</v>
      </c>
      <c r="D969" s="1370" t="s">
        <v>299</v>
      </c>
      <c r="E969" s="1370"/>
      <c r="F969" s="1367">
        <f t="shared" si="204"/>
        <v>0</v>
      </c>
    </row>
    <row r="970" spans="1:6" s="1345" customFormat="1">
      <c r="A970" s="1319" t="s">
        <v>4043</v>
      </c>
      <c r="B970" s="1364" t="s">
        <v>4061</v>
      </c>
      <c r="C970" s="1365">
        <v>80</v>
      </c>
      <c r="D970" s="1370" t="s">
        <v>141</v>
      </c>
      <c r="E970" s="1370"/>
      <c r="F970" s="1367">
        <f t="shared" si="204"/>
        <v>0</v>
      </c>
    </row>
    <row r="971" spans="1:6" s="1250" customFormat="1">
      <c r="A971" s="1319"/>
      <c r="B971" s="1374"/>
      <c r="C971" s="1363"/>
      <c r="D971" s="1363"/>
      <c r="E971" s="1366"/>
      <c r="F971" s="1375"/>
    </row>
    <row r="972" spans="1:6" s="631" customFormat="1" ht="15" customHeight="1">
      <c r="A972" s="1355"/>
      <c r="B972" s="1273" t="s">
        <v>931</v>
      </c>
      <c r="C972" s="1458" t="s">
        <v>305</v>
      </c>
      <c r="D972" s="1459"/>
      <c r="E972" s="1312"/>
      <c r="F972" s="1276">
        <f>SUM(F903:F971)</f>
        <v>0</v>
      </c>
    </row>
    <row r="973" spans="1:6" s="631" customFormat="1">
      <c r="A973" s="1356"/>
      <c r="B973" s="1357"/>
      <c r="C973" s="1315"/>
      <c r="D973" s="1315"/>
      <c r="E973" s="1358"/>
      <c r="F973" s="1359"/>
    </row>
    <row r="974" spans="1:6" s="631" customFormat="1">
      <c r="A974" s="1360"/>
      <c r="B974" s="1357"/>
      <c r="C974" s="1315"/>
      <c r="D974" s="1315"/>
      <c r="E974" s="1358"/>
      <c r="F974" s="1359"/>
    </row>
    <row r="975" spans="1:6" s="631" customFormat="1" ht="27.6">
      <c r="A975" s="1267" t="s">
        <v>143</v>
      </c>
      <c r="B975" s="1268" t="s">
        <v>198</v>
      </c>
      <c r="C975" s="1269" t="s">
        <v>199</v>
      </c>
      <c r="D975" s="1269" t="s">
        <v>200</v>
      </c>
      <c r="E975" s="1270" t="s">
        <v>294</v>
      </c>
      <c r="F975" s="1271" t="s">
        <v>295</v>
      </c>
    </row>
    <row r="976" spans="1:6" s="631" customFormat="1">
      <c r="A976" s="1284"/>
      <c r="B976" s="1351" t="s">
        <v>2256</v>
      </c>
      <c r="C976" s="1290"/>
      <c r="D976" s="1290"/>
      <c r="E976" s="1279"/>
      <c r="F976" s="1280"/>
    </row>
    <row r="977" spans="1:6" s="631" customFormat="1" ht="55.2">
      <c r="A977" s="1284">
        <v>10.069000000000001</v>
      </c>
      <c r="B977" s="1352" t="s">
        <v>2237</v>
      </c>
      <c r="C977" s="1290">
        <v>1</v>
      </c>
      <c r="D977" s="1368" t="s">
        <v>329</v>
      </c>
      <c r="E977" s="1279"/>
      <c r="F977" s="1280">
        <f>IFERROR($C977*E977,E977)</f>
        <v>0</v>
      </c>
    </row>
    <row r="978" spans="1:6" s="631" customFormat="1">
      <c r="A978" s="1284">
        <f ca="1">IFERROR(IF(OFFSET(A978,-1,0)&gt;0,OFFSET(A978,-1,0)+0.001,ERROR.TYPE(0)),IFERROR(IF(OFFSET(A978,-2,0)&gt;0,OFFSET(A978,-2,0)+0.001,ERROR.TYPE(0)),IFERROR(IF(OFFSET(A978,-3,0)&gt;0,OFFSET(A978,-3,0)+0.001,ERROR.TYPE(0)),IFERROR(IF(OFFSET(A978,-4,0)&gt;0,OFFSET(A978,-4,0)+0.001,ERROR.TYPE(0)),IFERROR(IF(OFFSET(A978,-5,0)&gt;0,OFFSET(A978,-5,0)+0.001,ERROR.TYPE(0)),IFERROR(IF(OFFSET(A978,-6,0)&gt;0,OFFSET(A978,-6,0)+0.001,ERROR.TYPE(0)),IFERROR(IF(OFFSET(A978,-7,0)&gt;0,OFFSET(A978,-7,0)+0.001,ERROR.TYPE(0)),IFERROR(IF(OFFSET(A978,-8,0)&gt;0,OFFSET(A978,-8,0)+0.001,ERROR.TYPE(0)),IFERROR(IF(OFFSET(A978,-9,0)&gt;0,OFFSET(A978,-9,0)+0.001,ERROR.TYPE(0)),IFERROR(IF(OFFSET(A978,-10,0)&gt;0,OFFSET(A978,-10,0)+0.001,ERROR.TYPE(0)),ERROR.TYPE(0)))))))))))</f>
        <v>10.07</v>
      </c>
      <c r="B978" s="1352" t="s">
        <v>2238</v>
      </c>
      <c r="C978" s="1290">
        <v>1</v>
      </c>
      <c r="D978" s="1368" t="s">
        <v>329</v>
      </c>
      <c r="E978" s="1279"/>
      <c r="F978" s="1280">
        <f>IFERROR($C978*E978,E978)</f>
        <v>0</v>
      </c>
    </row>
    <row r="979" spans="1:6" s="631" customFormat="1" ht="41.4">
      <c r="A979" s="1272"/>
      <c r="B979" s="1369" t="s">
        <v>2239</v>
      </c>
      <c r="C979" s="1290"/>
      <c r="D979" s="1290"/>
      <c r="E979" s="1279"/>
      <c r="F979" s="1280"/>
    </row>
    <row r="980" spans="1:6" s="631" customFormat="1">
      <c r="A980" s="1284">
        <f t="shared" ref="A980:A989" ca="1" si="205">IFERROR(IF(OFFSET(A980,-1,0)&gt;0,OFFSET(A980,-1,0)+0.001,ERROR.TYPE(0)),IFERROR(IF(OFFSET(A980,-2,0)&gt;0,OFFSET(A980,-2,0)+0.001,ERROR.TYPE(0)),IFERROR(IF(OFFSET(A980,-3,0)&gt;0,OFFSET(A980,-3,0)+0.001,ERROR.TYPE(0)),IFERROR(IF(OFFSET(A980,-4,0)&gt;0,OFFSET(A980,-4,0)+0.001,ERROR.TYPE(0)),IFERROR(IF(OFFSET(A980,-5,0)&gt;0,OFFSET(A980,-5,0)+0.001,ERROR.TYPE(0)),IFERROR(IF(OFFSET(A980,-6,0)&gt;0,OFFSET(A980,-6,0)+0.001,ERROR.TYPE(0)),IFERROR(IF(OFFSET(A980,-7,0)&gt;0,OFFSET(A980,-7,0)+0.001,ERROR.TYPE(0)),IFERROR(IF(OFFSET(A980,-8,0)&gt;0,OFFSET(A980,-8,0)+0.001,ERROR.TYPE(0)),IFERROR(IF(OFFSET(A980,-9,0)&gt;0,OFFSET(A980,-9,0)+0.001,ERROR.TYPE(0)),IFERROR(IF(OFFSET(A980,-10,0)&gt;0,OFFSET(A980,-10,0)+0.001,ERROR.TYPE(0)),ERROR.TYPE(0)))))))))))</f>
        <v>10.071</v>
      </c>
      <c r="B980" s="1352" t="s">
        <v>2249</v>
      </c>
      <c r="C980" s="1290">
        <v>85</v>
      </c>
      <c r="D980" s="1290" t="s">
        <v>320</v>
      </c>
      <c r="E980" s="1279"/>
      <c r="F980" s="1280">
        <f t="shared" ref="F980:F989" si="206">IFERROR($C980*E980,E980)</f>
        <v>0</v>
      </c>
    </row>
    <row r="981" spans="1:6" s="631" customFormat="1">
      <c r="A981" s="1284">
        <f t="shared" ca="1" si="205"/>
        <v>10.071999999999999</v>
      </c>
      <c r="B981" s="1352" t="s">
        <v>2255</v>
      </c>
      <c r="C981" s="1290">
        <v>140</v>
      </c>
      <c r="D981" s="1290" t="s">
        <v>320</v>
      </c>
      <c r="E981" s="1279"/>
      <c r="F981" s="1280">
        <f t="shared" si="206"/>
        <v>0</v>
      </c>
    </row>
    <row r="982" spans="1:6" s="631" customFormat="1">
      <c r="A982" s="1376">
        <f t="shared" ca="1" si="205"/>
        <v>10.072999999999999</v>
      </c>
      <c r="B982" s="1352" t="s">
        <v>2241</v>
      </c>
      <c r="C982" s="1377">
        <v>170</v>
      </c>
      <c r="D982" s="1290" t="s">
        <v>320</v>
      </c>
      <c r="E982" s="1279"/>
      <c r="F982" s="1280">
        <f t="shared" si="206"/>
        <v>0</v>
      </c>
    </row>
    <row r="983" spans="1:6" s="631" customFormat="1">
      <c r="A983" s="1376">
        <f t="shared" ca="1" si="205"/>
        <v>10.073999999999998</v>
      </c>
      <c r="B983" s="1352" t="s">
        <v>2242</v>
      </c>
      <c r="C983" s="1377">
        <v>220</v>
      </c>
      <c r="D983" s="1290" t="s">
        <v>320</v>
      </c>
      <c r="E983" s="1279"/>
      <c r="F983" s="1280">
        <f t="shared" si="206"/>
        <v>0</v>
      </c>
    </row>
    <row r="984" spans="1:6" s="631" customFormat="1">
      <c r="A984" s="1376">
        <f t="shared" ca="1" si="205"/>
        <v>10.074999999999998</v>
      </c>
      <c r="B984" s="1352" t="s">
        <v>2243</v>
      </c>
      <c r="C984" s="1377">
        <v>175</v>
      </c>
      <c r="D984" s="1290" t="s">
        <v>320</v>
      </c>
      <c r="E984" s="1279"/>
      <c r="F984" s="1280">
        <f t="shared" si="206"/>
        <v>0</v>
      </c>
    </row>
    <row r="985" spans="1:6" s="631" customFormat="1">
      <c r="A985" s="1376">
        <f t="shared" ca="1" si="205"/>
        <v>10.075999999999997</v>
      </c>
      <c r="B985" s="1352" t="s">
        <v>2244</v>
      </c>
      <c r="C985" s="1377">
        <v>225</v>
      </c>
      <c r="D985" s="1290" t="s">
        <v>320</v>
      </c>
      <c r="E985" s="1279"/>
      <c r="F985" s="1280">
        <f t="shared" si="206"/>
        <v>0</v>
      </c>
    </row>
    <row r="986" spans="1:6" s="631" customFormat="1">
      <c r="A986" s="1284">
        <f t="shared" ca="1" si="205"/>
        <v>10.076999999999996</v>
      </c>
      <c r="B986" s="1352" t="s">
        <v>2245</v>
      </c>
      <c r="C986" s="1290">
        <v>20</v>
      </c>
      <c r="D986" s="1368" t="s">
        <v>320</v>
      </c>
      <c r="E986" s="1279"/>
      <c r="F986" s="1280">
        <f t="shared" si="206"/>
        <v>0</v>
      </c>
    </row>
    <row r="987" spans="1:6" s="631" customFormat="1" ht="27.6">
      <c r="A987" s="1284">
        <f t="shared" ca="1" si="205"/>
        <v>10.077999999999996</v>
      </c>
      <c r="B987" s="1352" t="s">
        <v>2246</v>
      </c>
      <c r="C987" s="1290">
        <v>1</v>
      </c>
      <c r="D987" s="1290" t="s">
        <v>299</v>
      </c>
      <c r="E987" s="1279"/>
      <c r="F987" s="1280">
        <f t="shared" si="206"/>
        <v>0</v>
      </c>
    </row>
    <row r="988" spans="1:6" s="631" customFormat="1">
      <c r="A988" s="1284">
        <f t="shared" ca="1" si="205"/>
        <v>10.078999999999995</v>
      </c>
      <c r="B988" s="1352" t="s">
        <v>2247</v>
      </c>
      <c r="C988" s="1290">
        <v>1</v>
      </c>
      <c r="D988" s="1368" t="s">
        <v>299</v>
      </c>
      <c r="E988" s="1279"/>
      <c r="F988" s="1280">
        <f t="shared" si="206"/>
        <v>0</v>
      </c>
    </row>
    <row r="989" spans="1:6" s="631" customFormat="1" ht="15">
      <c r="A989" s="1376">
        <f t="shared" ca="1" si="205"/>
        <v>10.079999999999995</v>
      </c>
      <c r="B989" s="1352" t="s">
        <v>4059</v>
      </c>
      <c r="C989" s="1377">
        <v>543</v>
      </c>
      <c r="D989" s="1290" t="s">
        <v>141</v>
      </c>
      <c r="E989" s="1279"/>
      <c r="F989" s="1280">
        <f t="shared" si="206"/>
        <v>0</v>
      </c>
    </row>
    <row r="990" spans="1:6" s="631" customFormat="1">
      <c r="A990" s="1284"/>
      <c r="B990" s="1351" t="s">
        <v>2257</v>
      </c>
      <c r="C990" s="1290"/>
      <c r="D990" s="1290"/>
      <c r="E990" s="1279"/>
      <c r="F990" s="1280"/>
    </row>
    <row r="991" spans="1:6" s="631" customFormat="1">
      <c r="A991" s="1284">
        <f t="shared" ca="1" si="189"/>
        <v>10.080999999999994</v>
      </c>
      <c r="B991" s="1352" t="s">
        <v>2258</v>
      </c>
      <c r="C991" s="1290">
        <v>2</v>
      </c>
      <c r="D991" s="1368" t="s">
        <v>329</v>
      </c>
      <c r="E991" s="1279"/>
      <c r="F991" s="1280">
        <f t="shared" ref="F991:F992" si="207">IFERROR($C991*E991,E991)</f>
        <v>0</v>
      </c>
    </row>
    <row r="992" spans="1:6" s="631" customFormat="1">
      <c r="A992" s="1284">
        <f t="shared" ca="1" si="189"/>
        <v>10.081999999999994</v>
      </c>
      <c r="B992" s="1352" t="s">
        <v>2259</v>
      </c>
      <c r="C992" s="1290">
        <v>2</v>
      </c>
      <c r="D992" s="1368" t="s">
        <v>329</v>
      </c>
      <c r="E992" s="1279"/>
      <c r="F992" s="1280">
        <f t="shared" si="207"/>
        <v>0</v>
      </c>
    </row>
    <row r="993" spans="1:6" s="631" customFormat="1" ht="41.4">
      <c r="A993" s="1272"/>
      <c r="B993" s="1369" t="s">
        <v>2239</v>
      </c>
      <c r="C993" s="1290"/>
      <c r="D993" s="1290"/>
      <c r="E993" s="1279"/>
      <c r="F993" s="1280"/>
    </row>
    <row r="994" spans="1:6" s="631" customFormat="1">
      <c r="A994" s="1284">
        <f ca="1">IFERROR(IF(OFFSET(A994,-1,0)&gt;0,OFFSET(A994,-1,0)+0.001,ERROR.TYPE(0)),IFERROR(IF(OFFSET(A994,-2,0)&gt;0,OFFSET(A994,-2,0)+0.001,ERROR.TYPE(0)),IFERROR(IF(OFFSET(A994,-3,0)&gt;0,OFFSET(A994,-3,0)+0.001,ERROR.TYPE(0)),IFERROR(IF(OFFSET(A994,-4,0)&gt;0,OFFSET(A994,-4,0)+0.001,ERROR.TYPE(0)),IFERROR(IF(OFFSET(A994,-5,0)&gt;0,OFFSET(A994,-5,0)+0.001,ERROR.TYPE(0)),IFERROR(IF(OFFSET(A994,-6,0)&gt;0,OFFSET(A994,-6,0)+0.001,ERROR.TYPE(0)),IFERROR(IF(OFFSET(A994,-7,0)&gt;0,OFFSET(A994,-7,0)+0.001,ERROR.TYPE(0)),IFERROR(IF(OFFSET(A994,-8,0)&gt;0,OFFSET(A994,-8,0)+0.001,ERROR.TYPE(0)),IFERROR(IF(OFFSET(A994,-9,0)&gt;0,OFFSET(A994,-9,0)+0.001,ERROR.TYPE(0)),IFERROR(IF(OFFSET(A994,-10,0)&gt;0,OFFSET(A994,-10,0)+0.001,ERROR.TYPE(0)),ERROR.TYPE(0)))))))))))</f>
        <v>10.082999999999993</v>
      </c>
      <c r="B994" s="1352" t="s">
        <v>2240</v>
      </c>
      <c r="C994" s="1290">
        <v>50</v>
      </c>
      <c r="D994" s="1290" t="s">
        <v>320</v>
      </c>
      <c r="E994" s="1279"/>
      <c r="F994" s="1280">
        <f>IFERROR($C994*E994,E994)</f>
        <v>0</v>
      </c>
    </row>
    <row r="995" spans="1:6" s="631" customFormat="1">
      <c r="A995" s="1284">
        <f t="shared" ca="1" si="189"/>
        <v>10.083999999999993</v>
      </c>
      <c r="B995" s="1352" t="s">
        <v>2260</v>
      </c>
      <c r="C995" s="1290">
        <v>50</v>
      </c>
      <c r="D995" s="1290" t="s">
        <v>320</v>
      </c>
      <c r="E995" s="1279"/>
      <c r="F995" s="1280">
        <f t="shared" ref="F995:F996" si="208">IFERROR($C995*E995,E995)</f>
        <v>0</v>
      </c>
    </row>
    <row r="996" spans="1:6" s="631" customFormat="1">
      <c r="A996" s="1284">
        <f t="shared" ca="1" si="189"/>
        <v>10.084999999999992</v>
      </c>
      <c r="B996" s="1352" t="s">
        <v>2247</v>
      </c>
      <c r="C996" s="1290">
        <v>1</v>
      </c>
      <c r="D996" s="1368" t="s">
        <v>299</v>
      </c>
      <c r="E996" s="1279"/>
      <c r="F996" s="1280">
        <f t="shared" si="208"/>
        <v>0</v>
      </c>
    </row>
    <row r="997" spans="1:6" s="631" customFormat="1">
      <c r="A997" s="1284"/>
      <c r="B997" s="1288" t="s">
        <v>379</v>
      </c>
      <c r="C997" s="1289"/>
      <c r="D997" s="1290"/>
      <c r="E997" s="1291"/>
      <c r="F997" s="1280"/>
    </row>
    <row r="998" spans="1:6" s="631" customFormat="1" ht="27.6">
      <c r="A998" s="1284">
        <f t="shared" ref="A998:A1010" ca="1" si="209">IFERROR(IF(OFFSET(A998,-1,0,1,1)&gt;0,OFFSET(A998,-1,0,1,1)+0.001,ERROR.TYPE(0)),IFERROR(IF(OFFSET(A998,-2,0,1,1)&gt;0,OFFSET(A998,-2,0,1,1)+0.001,ERROR.TYPE(0)),IFERROR(IF(OFFSET(A998,-3,0,1,1)&gt;0,OFFSET(A998,-3,0,1,1)+0.001,ERROR.TYPE(0)),IFERROR(IF(OFFSET(A998,-4,0,1,1)&gt;0,OFFSET(A998,-4,0,1,1)+0.001,ERROR.TYPE(0)),IFERROR(IF(OFFSET(A998,-5,0,1,1)&gt;0,OFFSET(A998,-5,0,1,1)+0.001,ERROR.TYPE(0)),IFERROR(IF(OFFSET(A998,-6,0,1,1)&gt;0,OFFSET(A998,-6,0,1,1)+0.001,ERROR.TYPE(0)),IFERROR(IF(OFFSET(A998,-7,0,1,1)&gt;0,OFFSET(A998,-7,0,1,1)+0.001,ERROR.TYPE(0)),IFERROR(IF(OFFSET(A998,-8,0,1,1)&gt;0,OFFSET(A998,-8,0,1,1)+0.001,ERROR.TYPE(0)),IFERROR(IF(OFFSET(A998,-9,0,1,1)&gt;0,OFFSET(A998,-9,0,1,1)+0.001,ERROR.TYPE(0)),IFERROR(IF(OFFSET(A998,-10,0,1,1)&gt;0,OFFSET(A998,-10,0,1,1)+0.001,ERROR.TYPE(0)),ERROR.TYPE(0)))))))))))</f>
        <v>10.085999999999991</v>
      </c>
      <c r="B998" s="1378" t="s">
        <v>2261</v>
      </c>
      <c r="C998" s="1311">
        <v>1</v>
      </c>
      <c r="D998" s="1311" t="s">
        <v>299</v>
      </c>
      <c r="E998" s="1279"/>
      <c r="F998" s="1280">
        <f t="shared" ref="F998" si="210">IFERROR($C998*E998,E998)</f>
        <v>0</v>
      </c>
    </row>
    <row r="999" spans="1:6" s="631" customFormat="1">
      <c r="A999" s="1284"/>
      <c r="B999" s="1369" t="s">
        <v>2262</v>
      </c>
      <c r="C999" s="1311"/>
      <c r="D999" s="1311"/>
      <c r="E999" s="1379"/>
      <c r="F999" s="1280"/>
    </row>
    <row r="1000" spans="1:6" s="631" customFormat="1">
      <c r="A1000" s="1284">
        <f t="shared" ca="1" si="209"/>
        <v>10.086999999999991</v>
      </c>
      <c r="B1000" s="1380"/>
      <c r="C1000" s="1381"/>
      <c r="D1000" s="1381"/>
      <c r="E1000" s="1379"/>
      <c r="F1000" s="1280">
        <f t="shared" ref="F1000:F1010" si="211">IFERROR($C1000*E1000,E1000)</f>
        <v>0</v>
      </c>
    </row>
    <row r="1001" spans="1:6" s="631" customFormat="1">
      <c r="A1001" s="1284">
        <f t="shared" ca="1" si="209"/>
        <v>10.08799999999999</v>
      </c>
      <c r="B1001" s="1380"/>
      <c r="C1001" s="1381"/>
      <c r="D1001" s="1381"/>
      <c r="E1001" s="1379"/>
      <c r="F1001" s="1280">
        <f t="shared" si="211"/>
        <v>0</v>
      </c>
    </row>
    <row r="1002" spans="1:6" s="631" customFormat="1">
      <c r="A1002" s="1284">
        <f t="shared" ca="1" si="209"/>
        <v>10.08899999999999</v>
      </c>
      <c r="B1002" s="1380"/>
      <c r="C1002" s="1381"/>
      <c r="D1002" s="1381"/>
      <c r="E1002" s="1379"/>
      <c r="F1002" s="1280">
        <f t="shared" si="211"/>
        <v>0</v>
      </c>
    </row>
    <row r="1003" spans="1:6" s="631" customFormat="1">
      <c r="A1003" s="1284">
        <f t="shared" ca="1" si="209"/>
        <v>10.089999999999989</v>
      </c>
      <c r="B1003" s="1380"/>
      <c r="C1003" s="1381"/>
      <c r="D1003" s="1381"/>
      <c r="E1003" s="1379"/>
      <c r="F1003" s="1280">
        <f t="shared" si="211"/>
        <v>0</v>
      </c>
    </row>
    <row r="1004" spans="1:6" s="631" customFormat="1">
      <c r="A1004" s="1284">
        <f t="shared" ca="1" si="209"/>
        <v>10.090999999999989</v>
      </c>
      <c r="B1004" s="1380"/>
      <c r="C1004" s="1381"/>
      <c r="D1004" s="1381"/>
      <c r="E1004" s="1379"/>
      <c r="F1004" s="1280">
        <f t="shared" si="211"/>
        <v>0</v>
      </c>
    </row>
    <row r="1005" spans="1:6" s="631" customFormat="1">
      <c r="A1005" s="1284">
        <f t="shared" ca="1" si="209"/>
        <v>10.091999999999988</v>
      </c>
      <c r="B1005" s="1380"/>
      <c r="C1005" s="1381"/>
      <c r="D1005" s="1381"/>
      <c r="E1005" s="1379"/>
      <c r="F1005" s="1280">
        <f t="shared" si="211"/>
        <v>0</v>
      </c>
    </row>
    <row r="1006" spans="1:6" s="631" customFormat="1">
      <c r="A1006" s="1284">
        <f t="shared" ca="1" si="209"/>
        <v>10.092999999999988</v>
      </c>
      <c r="B1006" s="1380"/>
      <c r="C1006" s="1381"/>
      <c r="D1006" s="1381"/>
      <c r="E1006" s="1379"/>
      <c r="F1006" s="1280">
        <f t="shared" si="211"/>
        <v>0</v>
      </c>
    </row>
    <row r="1007" spans="1:6" s="631" customFormat="1">
      <c r="A1007" s="1284">
        <f t="shared" ca="1" si="209"/>
        <v>10.093999999999987</v>
      </c>
      <c r="B1007" s="1380"/>
      <c r="C1007" s="1381"/>
      <c r="D1007" s="1381"/>
      <c r="E1007" s="1379"/>
      <c r="F1007" s="1280">
        <f t="shared" si="211"/>
        <v>0</v>
      </c>
    </row>
    <row r="1008" spans="1:6" s="631" customFormat="1">
      <c r="A1008" s="1284">
        <f t="shared" ca="1" si="209"/>
        <v>10.094999999999986</v>
      </c>
      <c r="B1008" s="1380"/>
      <c r="C1008" s="1381"/>
      <c r="D1008" s="1381"/>
      <c r="E1008" s="1379"/>
      <c r="F1008" s="1280">
        <f t="shared" si="211"/>
        <v>0</v>
      </c>
    </row>
    <row r="1009" spans="1:6" s="631" customFormat="1" ht="27.6">
      <c r="A1009" s="1284">
        <f t="shared" ca="1" si="209"/>
        <v>10.095999999999986</v>
      </c>
      <c r="B1009" s="1353" t="s">
        <v>381</v>
      </c>
      <c r="C1009" s="1311">
        <v>1</v>
      </c>
      <c r="D1009" s="1311" t="s">
        <v>299</v>
      </c>
      <c r="E1009" s="1279"/>
      <c r="F1009" s="1280">
        <f t="shared" si="211"/>
        <v>0</v>
      </c>
    </row>
    <row r="1010" spans="1:6" s="631" customFormat="1" ht="27.6">
      <c r="A1010" s="1284">
        <f t="shared" ca="1" si="209"/>
        <v>10.096999999999985</v>
      </c>
      <c r="B1010" s="1353" t="s">
        <v>382</v>
      </c>
      <c r="C1010" s="1311">
        <v>1</v>
      </c>
      <c r="D1010" s="1311" t="s">
        <v>383</v>
      </c>
      <c r="E1010" s="1279"/>
      <c r="F1010" s="1280">
        <f t="shared" si="211"/>
        <v>0</v>
      </c>
    </row>
    <row r="1011" spans="1:6" s="631" customFormat="1" ht="15" customHeight="1">
      <c r="A1011" s="1355"/>
      <c r="B1011" s="1273" t="s">
        <v>937</v>
      </c>
      <c r="C1011" s="1458" t="s">
        <v>305</v>
      </c>
      <c r="D1011" s="1459"/>
      <c r="E1011" s="1312"/>
      <c r="F1011" s="1276">
        <f>SUM(F977:F1010)</f>
        <v>0</v>
      </c>
    </row>
    <row r="1012" spans="1:6" s="631" customFormat="1">
      <c r="A1012" s="1361"/>
      <c r="B1012" s="1301"/>
      <c r="C1012" s="1314"/>
      <c r="D1012" s="1314"/>
      <c r="E1012" s="1316"/>
      <c r="F1012" s="1317"/>
    </row>
    <row r="1013" spans="1:6" s="631" customFormat="1">
      <c r="A1013" s="1355"/>
      <c r="B1013" s="1273" t="s">
        <v>2263</v>
      </c>
      <c r="C1013" s="1458" t="s">
        <v>305</v>
      </c>
      <c r="D1013" s="1459"/>
      <c r="E1013" s="1318"/>
      <c r="F1013" s="1276">
        <f>F1011+F972+F898</f>
        <v>0</v>
      </c>
    </row>
    <row r="1014" spans="1:6">
      <c r="A1014" s="1361"/>
      <c r="B1014" s="1301"/>
      <c r="C1014" s="1314"/>
      <c r="D1014" s="1315"/>
      <c r="E1014" s="1316"/>
      <c r="F1014" s="1317"/>
    </row>
    <row r="1015" spans="1:6" s="713" customFormat="1" ht="14.7" customHeight="1">
      <c r="D1015" s="631"/>
    </row>
    <row r="1016" spans="1:6" s="713" customFormat="1" ht="27.6">
      <c r="A1016" s="634" t="s">
        <v>143</v>
      </c>
      <c r="B1016" s="635" t="s">
        <v>198</v>
      </c>
      <c r="C1016" s="636" t="s">
        <v>199</v>
      </c>
      <c r="D1016" s="636" t="s">
        <v>200</v>
      </c>
      <c r="E1016" s="637" t="s">
        <v>294</v>
      </c>
      <c r="F1016" s="1122" t="s">
        <v>1023</v>
      </c>
    </row>
    <row r="1017" spans="1:6" s="713" customFormat="1">
      <c r="A1017" s="638">
        <v>11</v>
      </c>
      <c r="B1017" s="714" t="s">
        <v>1037</v>
      </c>
      <c r="C1017" s="640"/>
      <c r="D1017" s="640"/>
      <c r="E1017" s="641"/>
      <c r="F1017" s="1128"/>
    </row>
    <row r="1018" spans="1:6" s="713" customFormat="1" ht="69">
      <c r="A1018" s="671">
        <f t="shared" ref="A1018:A1019" ca="1" si="212">IFERROR(IF(OFFSET(A1018,-1,0)&gt;0,OFFSET(A1018,-1,0)+0.001,ERROR.TYPE(0)),IFERROR(IF(OFFSET(A1018,-2,0)&gt;0,OFFSET(A1018,-2,0)+0.001,ERROR.TYPE(0)),IFERROR(IF(OFFSET(A1018,-3,0)&gt;0,OFFSET(A1018,-3,0)+0.001,ERROR.TYPE(0)),IFERROR(IF(OFFSET(A1018,-4,0)&gt;0,OFFSET(A1018,-4,0)+0.001,ERROR.TYPE(0)),IFERROR(IF(OFFSET(A1018,-5,0)&gt;0,OFFSET(A1018,-5,0)+0.001,ERROR.TYPE(0)),IFERROR(IF(OFFSET(A1018,-6,0)&gt;0,OFFSET(A1018,-6,0)+0.001,ERROR.TYPE(0)),IFERROR(IF(OFFSET(A1018,-7,0)&gt;0,OFFSET(A1018,-7,0)+0.001,ERROR.TYPE(0)),IFERROR(IF(OFFSET(A1018,-8,0)&gt;0,OFFSET(A1018,-8,0)+0.001,ERROR.TYPE(0)),IFERROR(IF(OFFSET(A1018,-9,0)&gt;0,OFFSET(A1018,-9,0)+0.001,ERROR.TYPE(0)),IFERROR(IF(OFFSET(A1018,-10,0)&gt;0,OFFSET(A1018,-10,0)+0.001,ERROR.TYPE(0)),ERROR.TYPE(0)))))))))))</f>
        <v>11.000999999999999</v>
      </c>
      <c r="B1018" s="657" t="s">
        <v>1038</v>
      </c>
      <c r="C1018" s="680">
        <v>1</v>
      </c>
      <c r="D1018" s="680" t="s">
        <v>299</v>
      </c>
      <c r="E1018" s="697">
        <f>Elec_Est!E11418</f>
        <v>953.5</v>
      </c>
      <c r="F1018" s="1125">
        <f t="shared" ref="F1018" si="213">IFERROR($C1018*E1018,E1018)</f>
        <v>953.5</v>
      </c>
    </row>
    <row r="1019" spans="1:6" s="713" customFormat="1" ht="41.4">
      <c r="A1019" s="671">
        <f t="shared" ca="1" si="212"/>
        <v>11.001999999999999</v>
      </c>
      <c r="B1019" s="657" t="s">
        <v>1039</v>
      </c>
      <c r="C1019" s="680">
        <v>1</v>
      </c>
      <c r="D1019" s="680" t="s">
        <v>299</v>
      </c>
      <c r="E1019" s="697" t="str">
        <f>Elec_Est!Q11434</f>
        <v>Refer to covering letter</v>
      </c>
      <c r="F1019" s="1125"/>
    </row>
    <row r="1020" spans="1:6" s="713" customFormat="1">
      <c r="A1020" s="671"/>
      <c r="B1020" s="715" t="s">
        <v>379</v>
      </c>
      <c r="C1020" s="646"/>
      <c r="D1020" s="646"/>
      <c r="E1020" s="649"/>
      <c r="F1020" s="650"/>
    </row>
    <row r="1021" spans="1:6" s="713" customFormat="1" ht="27.6">
      <c r="A1021" s="671">
        <f ca="1">IFERROR(IF(OFFSET(A1021,-1,0)&gt;0,OFFSET(A1021,-1,0)+0.001,ERROR.TYPE(0)),IFERROR(IF(OFFSET(A1021,-2,0)&gt;0,OFFSET(A1021,-2,0)+0.001,ERROR.TYPE(0)),IFERROR(IF(OFFSET(A1021,-3,0)&gt;0,OFFSET(A1021,-3,0)+0.001,ERROR.TYPE(0)),IFERROR(IF(OFFSET(A1021,-4,0)&gt;0,OFFSET(A1021,-4,0)+0.001,ERROR.TYPE(0)),IFERROR(IF(OFFSET(A1021,-5,0)&gt;0,OFFSET(A1021,-5,0)+0.001,ERROR.TYPE(0)),IFERROR(IF(OFFSET(A1021,-6,0)&gt;0,OFFSET(A1021,-6,0)+0.001,ERROR.TYPE(0)),IFERROR(IF(OFFSET(A1021,-7,0)&gt;0,OFFSET(A1021,-7,0)+0.001,ERROR.TYPE(0)),IFERROR(IF(OFFSET(A1021,-8,0)&gt;0,OFFSET(A1021,-8,0)+0.001,ERROR.TYPE(0)),IFERROR(IF(OFFSET(A1021,-9,0)&gt;0,OFFSET(A1021,-9,0)+0.001,ERROR.TYPE(0)),IFERROR(IF(OFFSET(A1021,-10,0)&gt;0,OFFSET(A1021,-10,0)+0.001,ERROR.TYPE(0)),ERROR.TYPE(0)))))))))))</f>
        <v>11.002999999999998</v>
      </c>
      <c r="B1021" s="648" t="s">
        <v>382</v>
      </c>
      <c r="C1021" s="646">
        <v>1</v>
      </c>
      <c r="D1021" s="646" t="s">
        <v>383</v>
      </c>
      <c r="E1021" s="697" t="str">
        <f>Elec_Est!Q11444</f>
        <v>Included</v>
      </c>
      <c r="F1021" s="1130" t="str">
        <f>IFERROR($C1021*E1021,E1021)</f>
        <v>Included</v>
      </c>
    </row>
    <row r="1022" spans="1:6" s="713" customFormat="1">
      <c r="A1022" s="638"/>
      <c r="B1022" s="639" t="s">
        <v>942</v>
      </c>
      <c r="C1022" s="1463" t="s">
        <v>305</v>
      </c>
      <c r="D1022" s="1464"/>
      <c r="E1022" s="716"/>
      <c r="F1022" s="642">
        <f>SUM(F1018:F1021)</f>
        <v>953.5</v>
      </c>
    </row>
    <row r="1023" spans="1:6" s="713" customFormat="1">
      <c r="A1023" s="660"/>
      <c r="B1023" s="629"/>
      <c r="C1023" s="661"/>
      <c r="D1023" s="654"/>
      <c r="E1023" s="662"/>
      <c r="F1023" s="717"/>
    </row>
    <row r="1024" spans="1:6" s="713" customFormat="1">
      <c r="A1024" s="638"/>
      <c r="B1024" s="718" t="s">
        <v>1041</v>
      </c>
      <c r="C1024" s="1463" t="s">
        <v>305</v>
      </c>
      <c r="D1024" s="1464"/>
      <c r="E1024" s="716"/>
      <c r="F1024" s="642">
        <f>F1022</f>
        <v>953.5</v>
      </c>
    </row>
    <row r="1025" spans="1:6">
      <c r="A1025" s="874"/>
      <c r="B1025" s="624"/>
      <c r="C1025" s="682"/>
      <c r="D1025" s="682"/>
      <c r="E1025" s="684"/>
      <c r="F1025" s="1131"/>
    </row>
    <row r="1026" spans="1:6" s="631" customFormat="1">
      <c r="A1026" s="862"/>
      <c r="C1026" s="628"/>
      <c r="D1026" s="628"/>
      <c r="E1026" s="633"/>
      <c r="F1026" s="630"/>
    </row>
    <row r="1027" spans="1:6" s="631" customFormat="1" ht="27.6">
      <c r="A1027" s="634" t="s">
        <v>143</v>
      </c>
      <c r="B1027" s="635" t="s">
        <v>198</v>
      </c>
      <c r="C1027" s="636" t="s">
        <v>199</v>
      </c>
      <c r="D1027" s="636" t="s">
        <v>200</v>
      </c>
      <c r="E1027" s="637" t="s">
        <v>294</v>
      </c>
      <c r="F1027" s="1122" t="s">
        <v>295</v>
      </c>
    </row>
    <row r="1028" spans="1:6" s="631" customFormat="1">
      <c r="A1028" s="638">
        <v>12</v>
      </c>
      <c r="B1028" s="863" t="s">
        <v>1042</v>
      </c>
      <c r="C1028" s="646"/>
      <c r="D1028" s="646"/>
      <c r="E1028" s="649"/>
      <c r="F1028" s="1125"/>
    </row>
    <row r="1029" spans="1:6" s="631" customFormat="1">
      <c r="A1029" s="643"/>
      <c r="B1029" s="1132" t="s">
        <v>1043</v>
      </c>
      <c r="C1029" s="676"/>
      <c r="D1029" s="676"/>
      <c r="E1029" s="677"/>
      <c r="F1029" s="1125"/>
    </row>
    <row r="1030" spans="1:6" s="631" customFormat="1">
      <c r="A1030" s="643">
        <f t="shared" ref="A1030:A1063" ca="1" si="214">IFERROR(IF(OFFSET(A1030,-1,0)&gt;0,OFFSET(A1030,-1,0)+0.001,ERROR.TYPE(0)),IFERROR(IF(OFFSET(A1030,-2,0)&gt;0,OFFSET(A1030,-2,0)+0.001,ERROR.TYPE(0)),IFERROR(IF(OFFSET(A1030,-3,0)&gt;0,OFFSET(A1030,-3,0)+0.001,ERROR.TYPE(0)),IFERROR(IF(OFFSET(A1030,-4,0)&gt;0,OFFSET(A1030,-4,0)+0.001,ERROR.TYPE(0)),IFERROR(IF(OFFSET(A1030,-5,0)&gt;0,OFFSET(A1030,-5,0)+0.001,ERROR.TYPE(0)),IFERROR(IF(OFFSET(A1030,-6,0)&gt;0,OFFSET(A1030,-6,0)+0.001,ERROR.TYPE(0)),IFERROR(IF(OFFSET(A1030,-7,0)&gt;0,OFFSET(A1030,-7,0)+0.001,ERROR.TYPE(0)),IFERROR(IF(OFFSET(A1030,-8,0)&gt;0,OFFSET(A1030,-8,0)+0.001,ERROR.TYPE(0)),IFERROR(IF(OFFSET(A1030,-9,0)&gt;0,OFFSET(A1030,-9,0)+0.001,ERROR.TYPE(0)),IFERROR(IF(OFFSET(A1030,-10,0)&gt;0,OFFSET(A1030,-10,0)+0.001,ERROR.TYPE(0)),ERROR.TYPE(0)))))))))))</f>
        <v>12.000999999999999</v>
      </c>
      <c r="B1030" s="651" t="s">
        <v>1044</v>
      </c>
      <c r="C1030" s="646">
        <v>1</v>
      </c>
      <c r="D1030" s="680" t="s">
        <v>1045</v>
      </c>
      <c r="E1030" s="649"/>
      <c r="F1030" s="1125" t="s">
        <v>1016</v>
      </c>
    </row>
    <row r="1031" spans="1:6" s="631" customFormat="1">
      <c r="A1031" s="643">
        <f t="shared" ca="1" si="214"/>
        <v>12.001999999999999</v>
      </c>
      <c r="B1031" s="651" t="s">
        <v>1046</v>
      </c>
      <c r="C1031" s="646">
        <v>1</v>
      </c>
      <c r="D1031" s="680" t="s">
        <v>1045</v>
      </c>
      <c r="E1031" s="649"/>
      <c r="F1031" s="1125" t="s">
        <v>1016</v>
      </c>
    </row>
    <row r="1032" spans="1:6" s="631" customFormat="1">
      <c r="A1032" s="643">
        <f t="shared" ca="1" si="214"/>
        <v>12.002999999999998</v>
      </c>
      <c r="B1032" s="651" t="s">
        <v>1047</v>
      </c>
      <c r="C1032" s="646">
        <v>1</v>
      </c>
      <c r="D1032" s="680" t="s">
        <v>1045</v>
      </c>
      <c r="E1032" s="649"/>
      <c r="F1032" s="1125" t="s">
        <v>1016</v>
      </c>
    </row>
    <row r="1033" spans="1:6" s="631" customFormat="1">
      <c r="A1033" s="643">
        <f t="shared" ca="1" si="214"/>
        <v>12.003999999999998</v>
      </c>
      <c r="B1033" s="651" t="s">
        <v>1048</v>
      </c>
      <c r="C1033" s="646">
        <v>1</v>
      </c>
      <c r="D1033" s="680" t="s">
        <v>1045</v>
      </c>
      <c r="E1033" s="649"/>
      <c r="F1033" s="1125" t="s">
        <v>1016</v>
      </c>
    </row>
    <row r="1034" spans="1:6" s="631" customFormat="1">
      <c r="A1034" s="643">
        <f t="shared" ca="1" si="214"/>
        <v>12.004999999999997</v>
      </c>
      <c r="B1034" s="651" t="s">
        <v>1049</v>
      </c>
      <c r="C1034" s="647">
        <v>1</v>
      </c>
      <c r="D1034" s="680" t="s">
        <v>1045</v>
      </c>
      <c r="E1034" s="649"/>
      <c r="F1034" s="1125" t="s">
        <v>1016</v>
      </c>
    </row>
    <row r="1035" spans="1:6" s="631" customFormat="1">
      <c r="A1035" s="643"/>
      <c r="B1035" s="1133" t="s">
        <v>1050</v>
      </c>
      <c r="C1035" s="727"/>
      <c r="D1035" s="727"/>
      <c r="E1035" s="649"/>
      <c r="F1035" s="1125"/>
    </row>
    <row r="1036" spans="1:6" s="631" customFormat="1">
      <c r="A1036" s="643">
        <f t="shared" ca="1" si="214"/>
        <v>12.005999999999997</v>
      </c>
      <c r="B1036" s="651" t="s">
        <v>1044</v>
      </c>
      <c r="C1036" s="646">
        <v>1</v>
      </c>
      <c r="D1036" s="680" t="s">
        <v>1045</v>
      </c>
      <c r="E1036" s="649"/>
      <c r="F1036" s="1125" t="s">
        <v>1016</v>
      </c>
    </row>
    <row r="1037" spans="1:6" s="631" customFormat="1">
      <c r="A1037" s="643">
        <f t="shared" ca="1" si="214"/>
        <v>12.006999999999996</v>
      </c>
      <c r="B1037" s="651" t="s">
        <v>1046</v>
      </c>
      <c r="C1037" s="646">
        <v>1</v>
      </c>
      <c r="D1037" s="680" t="s">
        <v>1045</v>
      </c>
      <c r="E1037" s="649"/>
      <c r="F1037" s="1125" t="s">
        <v>1016</v>
      </c>
    </row>
    <row r="1038" spans="1:6" s="631" customFormat="1">
      <c r="A1038" s="643">
        <f t="shared" ca="1" si="214"/>
        <v>12.007999999999996</v>
      </c>
      <c r="B1038" s="651" t="s">
        <v>1047</v>
      </c>
      <c r="C1038" s="646">
        <v>1</v>
      </c>
      <c r="D1038" s="680" t="s">
        <v>1045</v>
      </c>
      <c r="E1038" s="649"/>
      <c r="F1038" s="1125" t="s">
        <v>1016</v>
      </c>
    </row>
    <row r="1039" spans="1:6" s="631" customFormat="1">
      <c r="A1039" s="643">
        <f t="shared" ca="1" si="214"/>
        <v>12.008999999999995</v>
      </c>
      <c r="B1039" s="651" t="s">
        <v>1048</v>
      </c>
      <c r="C1039" s="646">
        <v>1</v>
      </c>
      <c r="D1039" s="680" t="s">
        <v>1045</v>
      </c>
      <c r="E1039" s="649"/>
      <c r="F1039" s="1125" t="s">
        <v>1016</v>
      </c>
    </row>
    <row r="1040" spans="1:6" s="631" customFormat="1">
      <c r="A1040" s="643">
        <f t="shared" ca="1" si="214"/>
        <v>12.009999999999994</v>
      </c>
      <c r="B1040" s="651" t="s">
        <v>1049</v>
      </c>
      <c r="C1040" s="647">
        <v>1</v>
      </c>
      <c r="D1040" s="680" t="s">
        <v>1045</v>
      </c>
      <c r="E1040" s="649"/>
      <c r="F1040" s="1125" t="s">
        <v>1016</v>
      </c>
    </row>
    <row r="1041" spans="1:6" s="631" customFormat="1">
      <c r="A1041" s="643">
        <f t="shared" ca="1" si="214"/>
        <v>12.010999999999994</v>
      </c>
      <c r="B1041" s="728"/>
      <c r="C1041" s="647"/>
      <c r="D1041" s="729"/>
      <c r="E1041" s="649"/>
      <c r="F1041" s="1125">
        <f t="shared" ref="F1041:F1063" si="215">IFERROR($C1041*E1041,E1041)</f>
        <v>0</v>
      </c>
    </row>
    <row r="1042" spans="1:6" s="631" customFormat="1">
      <c r="A1042" s="643">
        <f t="shared" ca="1" si="214"/>
        <v>12.011999999999993</v>
      </c>
      <c r="B1042" s="728"/>
      <c r="C1042" s="647"/>
      <c r="D1042" s="729"/>
      <c r="E1042" s="649"/>
      <c r="F1042" s="1125">
        <f t="shared" si="215"/>
        <v>0</v>
      </c>
    </row>
    <row r="1043" spans="1:6" s="631" customFormat="1">
      <c r="A1043" s="643">
        <f t="shared" ca="1" si="214"/>
        <v>12.012999999999993</v>
      </c>
      <c r="B1043" s="880"/>
      <c r="C1043" s="647"/>
      <c r="D1043" s="729"/>
      <c r="E1043" s="649"/>
      <c r="F1043" s="1125">
        <f t="shared" si="215"/>
        <v>0</v>
      </c>
    </row>
    <row r="1044" spans="1:6" s="631" customFormat="1">
      <c r="A1044" s="643">
        <f t="shared" ca="1" si="214"/>
        <v>12.013999999999992</v>
      </c>
      <c r="B1044" s="880"/>
      <c r="C1044" s="647"/>
      <c r="D1044" s="729"/>
      <c r="E1044" s="649"/>
      <c r="F1044" s="1125">
        <f t="shared" si="215"/>
        <v>0</v>
      </c>
    </row>
    <row r="1045" spans="1:6" s="631" customFormat="1">
      <c r="A1045" s="643">
        <f t="shared" ca="1" si="214"/>
        <v>12.014999999999992</v>
      </c>
      <c r="B1045" s="880"/>
      <c r="C1045" s="647"/>
      <c r="D1045" s="729"/>
      <c r="E1045" s="649"/>
      <c r="F1045" s="1125">
        <f t="shared" si="215"/>
        <v>0</v>
      </c>
    </row>
    <row r="1046" spans="1:6" s="631" customFormat="1">
      <c r="A1046" s="643">
        <f t="shared" ca="1" si="214"/>
        <v>12.015999999999991</v>
      </c>
      <c r="B1046" s="728"/>
      <c r="C1046" s="647"/>
      <c r="D1046" s="729"/>
      <c r="E1046" s="649"/>
      <c r="F1046" s="1125">
        <f t="shared" si="215"/>
        <v>0</v>
      </c>
    </row>
    <row r="1047" spans="1:6" s="631" customFormat="1">
      <c r="A1047" s="643">
        <f t="shared" ca="1" si="214"/>
        <v>12.016999999999991</v>
      </c>
      <c r="B1047" s="728"/>
      <c r="C1047" s="647"/>
      <c r="D1047" s="729"/>
      <c r="E1047" s="649"/>
      <c r="F1047" s="1125">
        <f t="shared" si="215"/>
        <v>0</v>
      </c>
    </row>
    <row r="1048" spans="1:6" s="631" customFormat="1">
      <c r="A1048" s="643">
        <f t="shared" ca="1" si="214"/>
        <v>12.01799999999999</v>
      </c>
      <c r="B1048" s="728"/>
      <c r="C1048" s="647"/>
      <c r="D1048" s="729"/>
      <c r="E1048" s="649"/>
      <c r="F1048" s="1125">
        <f t="shared" si="215"/>
        <v>0</v>
      </c>
    </row>
    <row r="1049" spans="1:6" s="631" customFormat="1">
      <c r="A1049" s="643">
        <f t="shared" ca="1" si="214"/>
        <v>12.018999999999989</v>
      </c>
      <c r="B1049" s="880"/>
      <c r="C1049" s="647"/>
      <c r="D1049" s="729"/>
      <c r="E1049" s="649"/>
      <c r="F1049" s="1125">
        <f t="shared" si="215"/>
        <v>0</v>
      </c>
    </row>
    <row r="1050" spans="1:6" s="631" customFormat="1">
      <c r="A1050" s="643">
        <f t="shared" ca="1" si="214"/>
        <v>12.019999999999989</v>
      </c>
      <c r="B1050" s="880"/>
      <c r="C1050" s="647"/>
      <c r="D1050" s="729"/>
      <c r="E1050" s="649"/>
      <c r="F1050" s="1125">
        <f t="shared" si="215"/>
        <v>0</v>
      </c>
    </row>
    <row r="1051" spans="1:6" s="631" customFormat="1">
      <c r="A1051" s="643">
        <f t="shared" ca="1" si="214"/>
        <v>12.020999999999988</v>
      </c>
      <c r="B1051" s="880"/>
      <c r="C1051" s="647"/>
      <c r="D1051" s="729"/>
      <c r="E1051" s="649"/>
      <c r="F1051" s="1125">
        <f t="shared" si="215"/>
        <v>0</v>
      </c>
    </row>
    <row r="1052" spans="1:6" s="631" customFormat="1">
      <c r="A1052" s="643">
        <f t="shared" ca="1" si="214"/>
        <v>12.021999999999988</v>
      </c>
      <c r="B1052" s="728"/>
      <c r="C1052" s="647"/>
      <c r="D1052" s="729"/>
      <c r="E1052" s="649"/>
      <c r="F1052" s="1125">
        <f t="shared" si="215"/>
        <v>0</v>
      </c>
    </row>
    <row r="1053" spans="1:6" s="631" customFormat="1">
      <c r="A1053" s="643">
        <f t="shared" ca="1" si="214"/>
        <v>12.022999999999987</v>
      </c>
      <c r="B1053" s="728"/>
      <c r="C1053" s="647"/>
      <c r="D1053" s="729"/>
      <c r="E1053" s="649"/>
      <c r="F1053" s="1125">
        <f t="shared" si="215"/>
        <v>0</v>
      </c>
    </row>
    <row r="1054" spans="1:6" s="631" customFormat="1">
      <c r="A1054" s="643">
        <f t="shared" ca="1" si="214"/>
        <v>12.023999999999987</v>
      </c>
      <c r="B1054" s="728"/>
      <c r="C1054" s="647"/>
      <c r="D1054" s="729"/>
      <c r="E1054" s="649"/>
      <c r="F1054" s="1125">
        <f t="shared" si="215"/>
        <v>0</v>
      </c>
    </row>
    <row r="1055" spans="1:6" s="631" customFormat="1">
      <c r="A1055" s="643">
        <f t="shared" ca="1" si="214"/>
        <v>12.024999999999986</v>
      </c>
      <c r="B1055" s="880"/>
      <c r="C1055" s="647"/>
      <c r="D1055" s="729"/>
      <c r="E1055" s="649"/>
      <c r="F1055" s="1125">
        <f t="shared" si="215"/>
        <v>0</v>
      </c>
    </row>
    <row r="1056" spans="1:6" s="631" customFormat="1">
      <c r="A1056" s="643">
        <f t="shared" ca="1" si="214"/>
        <v>12.025999999999986</v>
      </c>
      <c r="B1056" s="880"/>
      <c r="C1056" s="647"/>
      <c r="D1056" s="729"/>
      <c r="E1056" s="649"/>
      <c r="F1056" s="1125">
        <f t="shared" si="215"/>
        <v>0</v>
      </c>
    </row>
    <row r="1057" spans="1:6" s="631" customFormat="1">
      <c r="A1057" s="643">
        <f t="shared" ca="1" si="214"/>
        <v>12.026999999999985</v>
      </c>
      <c r="B1057" s="880"/>
      <c r="C1057" s="647"/>
      <c r="D1057" s="729"/>
      <c r="E1057" s="649"/>
      <c r="F1057" s="1125">
        <f t="shared" si="215"/>
        <v>0</v>
      </c>
    </row>
    <row r="1058" spans="1:6" s="631" customFormat="1">
      <c r="A1058" s="643">
        <f t="shared" ca="1" si="214"/>
        <v>12.027999999999984</v>
      </c>
      <c r="B1058" s="728"/>
      <c r="C1058" s="647"/>
      <c r="D1058" s="729"/>
      <c r="E1058" s="649"/>
      <c r="F1058" s="1125">
        <f t="shared" si="215"/>
        <v>0</v>
      </c>
    </row>
    <row r="1059" spans="1:6" s="631" customFormat="1">
      <c r="A1059" s="643">
        <f t="shared" ca="1" si="214"/>
        <v>12.028999999999984</v>
      </c>
      <c r="B1059" s="728"/>
      <c r="C1059" s="647"/>
      <c r="D1059" s="729"/>
      <c r="E1059" s="649"/>
      <c r="F1059" s="1125">
        <f t="shared" si="215"/>
        <v>0</v>
      </c>
    </row>
    <row r="1060" spans="1:6" s="631" customFormat="1">
      <c r="A1060" s="643">
        <f t="shared" ca="1" si="214"/>
        <v>12.029999999999983</v>
      </c>
      <c r="B1060" s="728"/>
      <c r="C1060" s="647"/>
      <c r="D1060" s="729"/>
      <c r="E1060" s="649"/>
      <c r="F1060" s="1125">
        <f t="shared" si="215"/>
        <v>0</v>
      </c>
    </row>
    <row r="1061" spans="1:6" s="631" customFormat="1">
      <c r="A1061" s="643">
        <f t="shared" ca="1" si="214"/>
        <v>12.030999999999983</v>
      </c>
      <c r="B1061" s="880"/>
      <c r="C1061" s="647"/>
      <c r="D1061" s="729"/>
      <c r="E1061" s="649"/>
      <c r="F1061" s="1125">
        <f t="shared" si="215"/>
        <v>0</v>
      </c>
    </row>
    <row r="1062" spans="1:6" s="631" customFormat="1">
      <c r="A1062" s="643">
        <f t="shared" ca="1" si="214"/>
        <v>12.031999999999982</v>
      </c>
      <c r="B1062" s="880"/>
      <c r="C1062" s="647"/>
      <c r="D1062" s="729"/>
      <c r="E1062" s="649"/>
      <c r="F1062" s="1125">
        <f t="shared" si="215"/>
        <v>0</v>
      </c>
    </row>
    <row r="1063" spans="1:6" s="631" customFormat="1">
      <c r="A1063" s="643">
        <f t="shared" ca="1" si="214"/>
        <v>12.032999999999982</v>
      </c>
      <c r="B1063" s="880"/>
      <c r="C1063" s="647"/>
      <c r="D1063" s="729"/>
      <c r="E1063" s="649"/>
      <c r="F1063" s="1125">
        <f t="shared" si="215"/>
        <v>0</v>
      </c>
    </row>
    <row r="1064" spans="1:6" s="631" customFormat="1" ht="15" customHeight="1">
      <c r="A1064" s="867"/>
      <c r="B1064" s="639" t="s">
        <v>966</v>
      </c>
      <c r="C1064" s="1456" t="s">
        <v>305</v>
      </c>
      <c r="D1064" s="1457"/>
      <c r="E1064" s="652"/>
      <c r="F1064" s="1123">
        <f>SUM(F1029:F1063)</f>
        <v>0</v>
      </c>
    </row>
    <row r="1065" spans="1:6" s="631" customFormat="1">
      <c r="A1065" s="862"/>
      <c r="C1065" s="628"/>
      <c r="D1065" s="628"/>
      <c r="E1065" s="633"/>
      <c r="F1065" s="630"/>
    </row>
    <row r="1066" spans="1:6" s="631" customFormat="1" ht="15" customHeight="1">
      <c r="A1066" s="867"/>
      <c r="B1066" s="639" t="s">
        <v>1052</v>
      </c>
      <c r="C1066" s="1456" t="s">
        <v>305</v>
      </c>
      <c r="D1066" s="1457"/>
      <c r="E1066" s="659"/>
      <c r="F1066" s="1123">
        <f>F1064</f>
        <v>0</v>
      </c>
    </row>
    <row r="1067" spans="1:6" s="631" customFormat="1">
      <c r="A1067" s="862"/>
      <c r="C1067" s="628"/>
      <c r="D1067" s="628"/>
      <c r="E1067" s="633"/>
      <c r="F1067" s="630"/>
    </row>
    <row r="1068" spans="1:6" s="631" customFormat="1">
      <c r="A1068" s="862"/>
      <c r="C1068" s="628"/>
      <c r="D1068" s="628"/>
      <c r="E1068" s="633"/>
      <c r="F1068" s="630"/>
    </row>
    <row r="1069" spans="1:6" s="631" customFormat="1">
      <c r="A1069" s="731"/>
      <c r="B1069" s="732" t="s">
        <v>1053</v>
      </c>
      <c r="C1069" s="733"/>
      <c r="D1069" s="734"/>
      <c r="E1069" s="735" t="s">
        <v>1054</v>
      </c>
      <c r="F1069" s="1134" t="s">
        <v>180</v>
      </c>
    </row>
    <row r="1070" spans="1:6" s="631" customFormat="1">
      <c r="A1070" s="703"/>
      <c r="B1070" s="629"/>
      <c r="C1070" s="661"/>
      <c r="D1070" s="661"/>
      <c r="E1070" s="662"/>
      <c r="F1070" s="736"/>
    </row>
    <row r="1071" spans="1:6" s="631" customFormat="1" ht="27.6">
      <c r="A1071" s="737"/>
      <c r="B1071" s="639"/>
      <c r="C1071" s="738"/>
      <c r="D1071" s="739"/>
      <c r="E1071" s="664" t="s">
        <v>1055</v>
      </c>
      <c r="F1071" s="664" t="s">
        <v>1055</v>
      </c>
    </row>
    <row r="1072" spans="1:6" s="631" customFormat="1">
      <c r="A1072" s="740"/>
      <c r="B1072" s="651" t="s">
        <v>304</v>
      </c>
      <c r="C1072" s="741"/>
      <c r="D1072" s="739"/>
      <c r="E1072" s="1130">
        <f>F12</f>
        <v>0</v>
      </c>
      <c r="F1072" s="1123"/>
    </row>
    <row r="1073" spans="1:7" s="631" customFormat="1">
      <c r="A1073" s="742"/>
      <c r="B1073" s="651" t="s">
        <v>314</v>
      </c>
      <c r="C1073" s="741"/>
      <c r="D1073" s="739"/>
      <c r="E1073" s="1130">
        <f>F24</f>
        <v>0</v>
      </c>
      <c r="F1073" s="1123"/>
    </row>
    <row r="1074" spans="1:7" s="631" customFormat="1">
      <c r="A1074" s="638">
        <v>1</v>
      </c>
      <c r="B1074" s="639" t="s">
        <v>315</v>
      </c>
      <c r="C1074" s="741"/>
      <c r="D1074" s="739"/>
      <c r="E1074" s="1130"/>
      <c r="F1074" s="1123">
        <f>SUM(E1072:E1073)</f>
        <v>0</v>
      </c>
    </row>
    <row r="1075" spans="1:7" s="631" customFormat="1">
      <c r="A1075" s="881"/>
      <c r="B1075" s="648" t="s">
        <v>361</v>
      </c>
      <c r="C1075" s="741"/>
      <c r="D1075" s="739"/>
      <c r="E1075" s="1130">
        <f ca="1">F63</f>
        <v>21604.920000000002</v>
      </c>
      <c r="F1075" s="1123"/>
      <c r="G1075" s="1382">
        <f ca="1">E1075-Elec_Est!F8352</f>
        <v>0</v>
      </c>
    </row>
    <row r="1076" spans="1:7" s="631" customFormat="1">
      <c r="A1076" s="882"/>
      <c r="B1076" s="648" t="s">
        <v>370</v>
      </c>
      <c r="C1076" s="741"/>
      <c r="D1076" s="739"/>
      <c r="E1076" s="1130">
        <f ca="1">F101</f>
        <v>17553.82</v>
      </c>
      <c r="F1076" s="1123"/>
      <c r="G1076" s="1383">
        <f ca="1">E1076-Elec_Est!F8564</f>
        <v>0</v>
      </c>
    </row>
    <row r="1077" spans="1:7" s="631" customFormat="1">
      <c r="A1077" s="882"/>
      <c r="B1077" s="648" t="s">
        <v>384</v>
      </c>
      <c r="C1077" s="741"/>
      <c r="D1077" s="739"/>
      <c r="E1077" s="1130">
        <f ca="1">F135</f>
        <v>7502.1200000000008</v>
      </c>
      <c r="F1077" s="1123"/>
      <c r="G1077" s="1382">
        <f ca="1">E1077-Elec_Est!F8750</f>
        <v>0</v>
      </c>
    </row>
    <row r="1078" spans="1:7" s="631" customFormat="1">
      <c r="A1078" s="882"/>
      <c r="B1078" s="648" t="s">
        <v>416</v>
      </c>
      <c r="C1078" s="741"/>
      <c r="D1078" s="739"/>
      <c r="E1078" s="1130">
        <f ca="1">F188</f>
        <v>21569.9</v>
      </c>
      <c r="F1078" s="1123"/>
      <c r="G1078" s="1382">
        <f ca="1">E1078-Elec_Est!F9070</f>
        <v>0</v>
      </c>
    </row>
    <row r="1079" spans="1:7" s="631" customFormat="1">
      <c r="A1079" s="882"/>
      <c r="B1079" s="648" t="s">
        <v>435</v>
      </c>
      <c r="C1079" s="741"/>
      <c r="D1079" s="739"/>
      <c r="E1079" s="1130">
        <f ca="1">F211</f>
        <v>1773.76</v>
      </c>
      <c r="F1079" s="1123"/>
      <c r="G1079" s="1382">
        <f ca="1">E1079-Elec_Est!F9187</f>
        <v>0</v>
      </c>
    </row>
    <row r="1080" spans="1:7" s="631" customFormat="1">
      <c r="A1080" s="882"/>
      <c r="B1080" s="648" t="s">
        <v>460</v>
      </c>
      <c r="C1080" s="741"/>
      <c r="D1080" s="739"/>
      <c r="E1080" s="1130">
        <f ca="1">F251</f>
        <v>9698.77</v>
      </c>
      <c r="F1080" s="1123"/>
    </row>
    <row r="1081" spans="1:7" s="631" customFormat="1">
      <c r="A1081" s="882"/>
      <c r="B1081" s="648" t="s">
        <v>490</v>
      </c>
      <c r="C1081" s="741"/>
      <c r="D1081" s="739"/>
      <c r="E1081" s="1130">
        <f ca="1">F287</f>
        <v>5230.6399999999994</v>
      </c>
      <c r="F1081" s="1123"/>
    </row>
    <row r="1082" spans="1:7" s="631" customFormat="1">
      <c r="A1082" s="882"/>
      <c r="B1082" s="648" t="s">
        <v>513</v>
      </c>
      <c r="C1082" s="741"/>
      <c r="D1082" s="739"/>
      <c r="E1082" s="1130">
        <f ca="1">F324</f>
        <v>5588.51</v>
      </c>
      <c r="F1082" s="1123"/>
    </row>
    <row r="1083" spans="1:7" s="631" customFormat="1">
      <c r="A1083" s="638">
        <v>2</v>
      </c>
      <c r="B1083" s="714" t="s">
        <v>2106</v>
      </c>
      <c r="C1083" s="741"/>
      <c r="D1083" s="739"/>
      <c r="E1083" s="1130"/>
      <c r="F1083" s="1123">
        <f ca="1">SUM(E1075:E1082)</f>
        <v>90522.44</v>
      </c>
    </row>
    <row r="1084" spans="1:7" s="631" customFormat="1">
      <c r="A1084" s="882"/>
      <c r="B1084" s="648" t="s">
        <v>551</v>
      </c>
      <c r="C1084" s="741"/>
      <c r="D1084" s="739"/>
      <c r="E1084" s="1130">
        <f>F369</f>
        <v>0</v>
      </c>
      <c r="F1084" s="1123"/>
    </row>
    <row r="1085" spans="1:7" s="631" customFormat="1">
      <c r="A1085" s="882"/>
      <c r="B1085" s="648" t="s">
        <v>597</v>
      </c>
      <c r="C1085" s="741"/>
      <c r="D1085" s="739"/>
      <c r="E1085" s="1130">
        <f>F417</f>
        <v>0</v>
      </c>
      <c r="F1085" s="1123"/>
    </row>
    <row r="1086" spans="1:7" s="631" customFormat="1">
      <c r="A1086" s="638">
        <v>3</v>
      </c>
      <c r="B1086" s="714" t="s">
        <v>2143</v>
      </c>
      <c r="C1086" s="741"/>
      <c r="D1086" s="739"/>
      <c r="E1086" s="1130"/>
      <c r="F1086" s="1123">
        <f>SUM(E1084:E1085)</f>
        <v>0</v>
      </c>
    </row>
    <row r="1087" spans="1:7" s="631" customFormat="1">
      <c r="A1087" s="882"/>
      <c r="B1087" s="648" t="s">
        <v>634</v>
      </c>
      <c r="C1087" s="741"/>
      <c r="D1087" s="739"/>
      <c r="E1087" s="1130">
        <f>F441</f>
        <v>0</v>
      </c>
      <c r="F1087" s="1123"/>
    </row>
    <row r="1088" spans="1:7" s="631" customFormat="1">
      <c r="A1088" s="882"/>
      <c r="B1088" s="648" t="s">
        <v>676</v>
      </c>
      <c r="C1088" s="741"/>
      <c r="D1088" s="739"/>
      <c r="E1088" s="1130">
        <f>F461</f>
        <v>0</v>
      </c>
      <c r="F1088" s="1123"/>
    </row>
    <row r="1089" spans="1:7" s="631" customFormat="1">
      <c r="A1089" s="882"/>
      <c r="B1089" s="648" t="s">
        <v>702</v>
      </c>
      <c r="C1089" s="741"/>
      <c r="D1089" s="739"/>
      <c r="E1089" s="1130">
        <f>F479</f>
        <v>0</v>
      </c>
      <c r="F1089" s="1123"/>
    </row>
    <row r="1090" spans="1:7" s="631" customFormat="1">
      <c r="A1090" s="882"/>
      <c r="B1090" s="648" t="s">
        <v>730</v>
      </c>
      <c r="C1090" s="741"/>
      <c r="D1090" s="739"/>
      <c r="E1090" s="1130">
        <f>F501</f>
        <v>0</v>
      </c>
      <c r="F1090" s="1123"/>
    </row>
    <row r="1091" spans="1:7" s="631" customFormat="1">
      <c r="A1091" s="882"/>
      <c r="B1091" s="648" t="s">
        <v>751</v>
      </c>
      <c r="C1091" s="741"/>
      <c r="D1091" s="739"/>
      <c r="E1091" s="1130">
        <f>F520</f>
        <v>0</v>
      </c>
      <c r="F1091" s="1123"/>
    </row>
    <row r="1092" spans="1:7" s="631" customFormat="1">
      <c r="A1092" s="638">
        <v>4</v>
      </c>
      <c r="B1092" s="714" t="s">
        <v>2264</v>
      </c>
      <c r="C1092" s="741"/>
      <c r="D1092" s="739"/>
      <c r="E1092" s="1130"/>
      <c r="F1092" s="1123">
        <f>SUM(E1087:E1091)</f>
        <v>0</v>
      </c>
    </row>
    <row r="1093" spans="1:7" s="631" customFormat="1">
      <c r="A1093" s="862"/>
      <c r="B1093" s="648" t="s">
        <v>789</v>
      </c>
      <c r="C1093" s="741"/>
      <c r="D1093" s="739"/>
      <c r="E1093" s="1130">
        <f>F575</f>
        <v>26373.719999999998</v>
      </c>
      <c r="F1093" s="1123"/>
      <c r="G1093" s="1382">
        <f>E1093-Elec_Est!F10057</f>
        <v>0</v>
      </c>
    </row>
    <row r="1094" spans="1:7" s="631" customFormat="1">
      <c r="A1094" s="638">
        <v>5</v>
      </c>
      <c r="B1094" s="714" t="s">
        <v>2265</v>
      </c>
      <c r="C1094" s="741"/>
      <c r="D1094" s="739"/>
      <c r="E1094" s="1130"/>
      <c r="F1094" s="1123">
        <f>E1093</f>
        <v>26373.719999999998</v>
      </c>
    </row>
    <row r="1095" spans="1:7" s="631" customFormat="1">
      <c r="A1095" s="862"/>
      <c r="B1095" s="648" t="s">
        <v>813</v>
      </c>
      <c r="C1095" s="741"/>
      <c r="D1095" s="739"/>
      <c r="E1095" s="1130">
        <f ca="1">F620</f>
        <v>6091.18</v>
      </c>
      <c r="F1095" s="1123"/>
      <c r="G1095" s="1382">
        <f ca="1">E1095-Elec_Est!F10274</f>
        <v>0</v>
      </c>
    </row>
    <row r="1096" spans="1:7" s="631" customFormat="1">
      <c r="A1096" s="862"/>
      <c r="B1096" s="648" t="s">
        <v>827</v>
      </c>
      <c r="C1096" s="741"/>
      <c r="D1096" s="739"/>
      <c r="E1096" s="1130">
        <f ca="1">F640</f>
        <v>4221.8900000000003</v>
      </c>
      <c r="F1096" s="1123"/>
      <c r="G1096" s="1382">
        <f ca="1">E1096-Elec_Est!F10367</f>
        <v>0</v>
      </c>
    </row>
    <row r="1097" spans="1:7" s="631" customFormat="1">
      <c r="A1097" s="638">
        <v>6</v>
      </c>
      <c r="B1097" s="714" t="s">
        <v>2195</v>
      </c>
      <c r="C1097" s="741"/>
      <c r="D1097" s="739"/>
      <c r="E1097" s="1130"/>
      <c r="F1097" s="1123">
        <f ca="1">SUM(E1095:E1096)</f>
        <v>10313.07</v>
      </c>
    </row>
    <row r="1098" spans="1:7" s="631" customFormat="1">
      <c r="A1098" s="862"/>
      <c r="B1098" s="648" t="s">
        <v>841</v>
      </c>
      <c r="C1098" s="741"/>
      <c r="D1098" s="739"/>
      <c r="E1098" s="1130">
        <f>F674</f>
        <v>3480.4500000000003</v>
      </c>
      <c r="F1098" s="1123"/>
      <c r="G1098" s="1382">
        <f>E1098-Elec_Est!F10527</f>
        <v>0</v>
      </c>
    </row>
    <row r="1099" spans="1:7" s="631" customFormat="1">
      <c r="A1099" s="638">
        <v>7</v>
      </c>
      <c r="B1099" s="714" t="s">
        <v>2202</v>
      </c>
      <c r="C1099" s="741"/>
      <c r="D1099" s="739"/>
      <c r="E1099" s="1130"/>
      <c r="F1099" s="1123">
        <f>E1098</f>
        <v>3480.4500000000003</v>
      </c>
    </row>
    <row r="1100" spans="1:7" s="631" customFormat="1">
      <c r="A1100" s="862"/>
      <c r="B1100" s="648" t="s">
        <v>848</v>
      </c>
      <c r="C1100" s="741"/>
      <c r="D1100" s="739"/>
      <c r="E1100" s="1130">
        <f>F729</f>
        <v>2778.6799999999989</v>
      </c>
      <c r="F1100" s="1123"/>
      <c r="G1100" s="1382">
        <f>E1100-Elec_Est!F10797</f>
        <v>0</v>
      </c>
    </row>
    <row r="1101" spans="1:7" s="631" customFormat="1">
      <c r="A1101" s="862"/>
      <c r="B1101" s="648" t="s">
        <v>855</v>
      </c>
      <c r="C1101" s="741"/>
      <c r="D1101" s="739"/>
      <c r="E1101" s="1130">
        <f>F768</f>
        <v>3057.3299999999995</v>
      </c>
      <c r="F1101" s="1123"/>
      <c r="G1101" s="1382">
        <f>E1101-Elec_Est!F10989</f>
        <v>0</v>
      </c>
    </row>
    <row r="1102" spans="1:7" s="631" customFormat="1">
      <c r="A1102" s="638">
        <v>8</v>
      </c>
      <c r="B1102" s="714" t="s">
        <v>2211</v>
      </c>
      <c r="C1102" s="741"/>
      <c r="D1102" s="739"/>
      <c r="E1102" s="1130"/>
      <c r="F1102" s="1123">
        <f>SUM(E1100:E1101)</f>
        <v>5836.0099999999984</v>
      </c>
    </row>
    <row r="1103" spans="1:7" s="631" customFormat="1">
      <c r="A1103" s="862"/>
      <c r="B1103" s="648" t="s">
        <v>864</v>
      </c>
      <c r="C1103" s="741"/>
      <c r="D1103" s="739"/>
      <c r="E1103" s="1130">
        <f ca="1">F824</f>
        <v>2438.860000000001</v>
      </c>
      <c r="F1103" s="1123"/>
      <c r="G1103" s="1382">
        <f ca="1">E1103-Elec_Est!F11287</f>
        <v>0</v>
      </c>
    </row>
    <row r="1104" spans="1:7" s="631" customFormat="1">
      <c r="A1104" s="862"/>
      <c r="B1104" s="648" t="s">
        <v>881</v>
      </c>
      <c r="C1104" s="741"/>
      <c r="D1104" s="739"/>
      <c r="E1104" s="1130">
        <f ca="1">F847</f>
        <v>853.35</v>
      </c>
      <c r="F1104" s="1123"/>
      <c r="G1104" s="1382">
        <f ca="1">E1104-Elec_Est!F11403</f>
        <v>0</v>
      </c>
    </row>
    <row r="1105" spans="1:7" s="631" customFormat="1">
      <c r="A1105" s="638">
        <v>9</v>
      </c>
      <c r="B1105" s="714" t="s">
        <v>2223</v>
      </c>
      <c r="C1105" s="741"/>
      <c r="D1105" s="739"/>
      <c r="E1105" s="1130"/>
      <c r="F1105" s="1123">
        <f ca="1">SUM(E1103:E1104)</f>
        <v>3292.2100000000009</v>
      </c>
    </row>
    <row r="1106" spans="1:7" s="631" customFormat="1">
      <c r="A1106" s="862"/>
      <c r="B1106" s="648" t="s">
        <v>906</v>
      </c>
      <c r="C1106" s="741"/>
      <c r="D1106" s="739"/>
      <c r="E1106" s="1130">
        <f>F898</f>
        <v>0</v>
      </c>
      <c r="F1106" s="1123"/>
    </row>
    <row r="1107" spans="1:7" s="631" customFormat="1">
      <c r="A1107" s="862"/>
      <c r="B1107" s="648" t="s">
        <v>931</v>
      </c>
      <c r="C1107" s="741"/>
      <c r="D1107" s="739"/>
      <c r="E1107" s="1130">
        <f>F972</f>
        <v>0</v>
      </c>
      <c r="F1107" s="1123"/>
    </row>
    <row r="1108" spans="1:7" s="631" customFormat="1">
      <c r="A1108" s="862"/>
      <c r="B1108" s="648" t="s">
        <v>937</v>
      </c>
      <c r="C1108" s="741"/>
      <c r="D1108" s="739"/>
      <c r="E1108" s="1130">
        <f>F1011</f>
        <v>0</v>
      </c>
      <c r="F1108" s="1123"/>
    </row>
    <row r="1109" spans="1:7" s="631" customFormat="1">
      <c r="A1109" s="638">
        <v>10</v>
      </c>
      <c r="B1109" s="714" t="s">
        <v>2263</v>
      </c>
      <c r="C1109" s="741"/>
      <c r="D1109" s="739"/>
      <c r="E1109" s="1130"/>
      <c r="F1109" s="1123">
        <f>SUM(E1106:E1108)</f>
        <v>0</v>
      </c>
    </row>
    <row r="1110" spans="1:7" s="631" customFormat="1">
      <c r="A1110" s="862"/>
      <c r="B1110" s="648" t="s">
        <v>942</v>
      </c>
      <c r="C1110" s="741"/>
      <c r="D1110" s="739"/>
      <c r="E1110" s="1130">
        <f>F1022</f>
        <v>953.5</v>
      </c>
      <c r="F1110" s="1123"/>
      <c r="G1110" s="1382">
        <f>E1110-Elec_Est!F11451</f>
        <v>0</v>
      </c>
    </row>
    <row r="1111" spans="1:7" s="631" customFormat="1">
      <c r="A1111" s="638">
        <v>11</v>
      </c>
      <c r="B1111" s="639" t="s">
        <v>1041</v>
      </c>
      <c r="C1111" s="741"/>
      <c r="D1111" s="739"/>
      <c r="E1111" s="1130"/>
      <c r="F1111" s="1123">
        <f>E1110</f>
        <v>953.5</v>
      </c>
    </row>
    <row r="1112" spans="1:7" s="631" customFormat="1">
      <c r="A1112" s="862"/>
      <c r="B1112" s="648" t="s">
        <v>966</v>
      </c>
      <c r="C1112" s="741"/>
      <c r="D1112" s="739"/>
      <c r="E1112" s="1130">
        <f>F1064</f>
        <v>0</v>
      </c>
      <c r="F1112" s="1123"/>
    </row>
    <row r="1113" spans="1:7" s="631" customFormat="1">
      <c r="A1113" s="638">
        <v>12</v>
      </c>
      <c r="B1113" s="714" t="s">
        <v>1052</v>
      </c>
      <c r="C1113" s="741"/>
      <c r="D1113" s="739"/>
      <c r="E1113" s="1130"/>
      <c r="F1113" s="1123">
        <f>E1112</f>
        <v>0</v>
      </c>
    </row>
    <row r="1114" spans="1:7" s="631" customFormat="1" ht="14.4" thickBot="1">
      <c r="A1114" s="862"/>
      <c r="B1114" s="721"/>
      <c r="C1114" s="628"/>
      <c r="D1114" s="628"/>
      <c r="E1114" s="1135"/>
      <c r="F1114" s="1127"/>
    </row>
    <row r="1115" spans="1:7" s="631" customFormat="1" ht="23.7" customHeight="1" thickBot="1">
      <c r="A1115" s="1136"/>
      <c r="B1115" s="743" t="s">
        <v>2266</v>
      </c>
      <c r="C1115" s="1460" t="s">
        <v>305</v>
      </c>
      <c r="D1115" s="1461"/>
      <c r="E1115" s="1137"/>
      <c r="F1115" s="1138">
        <f ca="1">IF(SUM(F1072:F1112)=0,0,SUM(F1072:F1113))</f>
        <v>140771.4</v>
      </c>
    </row>
    <row r="1116" spans="1:7">
      <c r="B1116" s="719"/>
      <c r="E1116" s="1346"/>
      <c r="F1116" s="1131"/>
    </row>
    <row r="1117" spans="1:7" ht="14.4">
      <c r="E1117" s="1238"/>
      <c r="F1117" s="1347"/>
    </row>
    <row r="1119" spans="1:7" ht="14.4" customHeight="1">
      <c r="B1119" s="1462"/>
      <c r="C1119" s="1462"/>
      <c r="D1119" s="1462"/>
      <c r="F1119" s="1348"/>
    </row>
    <row r="1120" spans="1:7">
      <c r="B1120" s="1462"/>
      <c r="C1120" s="1462"/>
      <c r="D1120" s="1462"/>
      <c r="F1120" s="1349"/>
    </row>
    <row r="1121" spans="6:6">
      <c r="F1121" s="1348"/>
    </row>
  </sheetData>
  <sheetProtection formatCells="0"/>
  <autoFilter ref="A1:A1121" xr:uid="{00000000-0001-0000-0200-000000000000}"/>
  <mergeCells count="45">
    <mergeCell ref="C1115:D1115"/>
    <mergeCell ref="B1119:D1119"/>
    <mergeCell ref="B1120:D1120"/>
    <mergeCell ref="C1011:D1011"/>
    <mergeCell ref="C1013:D1013"/>
    <mergeCell ref="C1022:D1022"/>
    <mergeCell ref="C1024:D1024"/>
    <mergeCell ref="C1064:D1064"/>
    <mergeCell ref="C1066:D1066"/>
    <mergeCell ref="C972:D972"/>
    <mergeCell ref="C640:D640"/>
    <mergeCell ref="C642:D642"/>
    <mergeCell ref="C674:D674"/>
    <mergeCell ref="C676:D676"/>
    <mergeCell ref="C729:D729"/>
    <mergeCell ref="C768:D768"/>
    <mergeCell ref="C770:D770"/>
    <mergeCell ref="C824:D824"/>
    <mergeCell ref="C847:D847"/>
    <mergeCell ref="C849:D849"/>
    <mergeCell ref="C898:D898"/>
    <mergeCell ref="C620:D620"/>
    <mergeCell ref="C369:D369"/>
    <mergeCell ref="C417:D417"/>
    <mergeCell ref="C419:D419"/>
    <mergeCell ref="C441:D441"/>
    <mergeCell ref="C461:D461"/>
    <mergeCell ref="C479:D479"/>
    <mergeCell ref="C501:D501"/>
    <mergeCell ref="C520:D520"/>
    <mergeCell ref="C522:D522"/>
    <mergeCell ref="C575:D575"/>
    <mergeCell ref="C577:D577"/>
    <mergeCell ref="C326:D326"/>
    <mergeCell ref="C12:D12"/>
    <mergeCell ref="C24:D24"/>
    <mergeCell ref="C26:D26"/>
    <mergeCell ref="C63:D63"/>
    <mergeCell ref="C101:D101"/>
    <mergeCell ref="C135:D135"/>
    <mergeCell ref="C188:D188"/>
    <mergeCell ref="C211:D211"/>
    <mergeCell ref="C251:D251"/>
    <mergeCell ref="C287:D287"/>
    <mergeCell ref="C324:D324"/>
  </mergeCells>
  <printOptions horizontalCentered="1"/>
  <pageMargins left="0.70866141732283472" right="0.70866141732283472" top="0.74803149606299213" bottom="0.55118110236220474" header="0.31496062992125984" footer="0.31496062992125984"/>
  <pageSetup paperSize="9" scale="47" orientation="portrait" horizontalDpi="300" verticalDpi="300" r:id="rId1"/>
  <headerFooter>
    <oddHeader>&amp;LQuintano Foods Ltd&amp;RELV, Fire &amp;&amp; Security BoQ</oddHeader>
    <oddFooter>&amp;LCAMILLERI &amp;&amp; CUSCHIERI Consulting Engineers&amp;R&amp;P</oddFooter>
  </headerFooter>
  <rowBreaks count="30" manualBreakCount="30">
    <brk id="13" max="16383" man="1"/>
    <brk id="27" max="16383" man="1"/>
    <brk id="64" max="16383" man="1"/>
    <brk id="102" max="16383" man="1"/>
    <brk id="136" max="16383" man="1"/>
    <brk id="189" max="16383" man="1"/>
    <brk id="212" max="16383" man="1"/>
    <brk id="252" max="16383" man="1"/>
    <brk id="288" max="16383" man="1"/>
    <brk id="327" max="5" man="1"/>
    <brk id="370" max="16383" man="1"/>
    <brk id="420" max="16383" man="1"/>
    <brk id="442" max="16383" man="1"/>
    <brk id="462" max="16383" man="1"/>
    <brk id="480" max="16383" man="1"/>
    <brk id="502" max="16383" man="1"/>
    <brk id="523" max="16383" man="1"/>
    <brk id="578" max="5" man="1"/>
    <brk id="621" max="16383" man="1"/>
    <brk id="643" max="16383" man="1"/>
    <brk id="677" max="16383" man="1"/>
    <brk id="730" max="16383" man="1"/>
    <brk id="771" max="16383" man="1"/>
    <brk id="825" max="5" man="1"/>
    <brk id="850" max="16383" man="1"/>
    <brk id="899" max="16383" man="1"/>
    <brk id="973" max="16383" man="1"/>
    <brk id="1014" max="16383" man="1"/>
    <brk id="1025" max="5" man="1"/>
    <brk id="106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indexed="52"/>
  </sheetPr>
  <dimension ref="A1:D23"/>
  <sheetViews>
    <sheetView workbookViewId="0"/>
  </sheetViews>
  <sheetFormatPr defaultRowHeight="13.2"/>
  <cols>
    <col min="1" max="1" width="7.109375" style="449"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454" t="s">
        <v>255</v>
      </c>
      <c r="C1" s="462" t="s">
        <v>267</v>
      </c>
      <c r="D1" s="280"/>
    </row>
    <row r="2" spans="1:4">
      <c r="C2" s="95" t="s">
        <v>206</v>
      </c>
    </row>
    <row r="3" spans="1:4">
      <c r="A3" s="128" t="s">
        <v>256</v>
      </c>
      <c r="C3" s="90" t="s">
        <v>161</v>
      </c>
    </row>
    <row r="4" spans="1:4">
      <c r="C4" s="93" t="s">
        <v>162</v>
      </c>
    </row>
    <row r="5" spans="1:4">
      <c r="A5" s="449" t="s">
        <v>258</v>
      </c>
      <c r="C5" s="91" t="s">
        <v>163</v>
      </c>
    </row>
    <row r="6" spans="1:4">
      <c r="A6" s="449">
        <v>1</v>
      </c>
      <c r="C6" s="92" t="s">
        <v>164</v>
      </c>
    </row>
    <row r="7" spans="1:4">
      <c r="A7" s="449">
        <v>2</v>
      </c>
      <c r="C7" s="94" t="s">
        <v>165</v>
      </c>
    </row>
    <row r="8" spans="1:4">
      <c r="C8" s="94" t="s">
        <v>166</v>
      </c>
    </row>
    <row r="9" spans="1:4">
      <c r="A9" s="449" t="s">
        <v>99</v>
      </c>
      <c r="C9" s="95" t="s">
        <v>167</v>
      </c>
    </row>
    <row r="10" spans="1:4">
      <c r="A10" s="449">
        <v>1</v>
      </c>
      <c r="C10" s="453"/>
    </row>
    <row r="11" spans="1:4">
      <c r="A11" s="449">
        <v>2</v>
      </c>
      <c r="C11" t="s">
        <v>202</v>
      </c>
    </row>
    <row r="12" spans="1:4">
      <c r="C12" s="450" t="s">
        <v>203</v>
      </c>
    </row>
    <row r="13" spans="1:4">
      <c r="A13" s="128" t="s">
        <v>257</v>
      </c>
      <c r="C13" s="451" t="s">
        <v>204</v>
      </c>
    </row>
    <row r="14" spans="1:4">
      <c r="C14" s="452" t="s">
        <v>205</v>
      </c>
    </row>
    <row r="15" spans="1:4">
      <c r="A15" s="449" t="s">
        <v>259</v>
      </c>
    </row>
    <row r="16" spans="1:4">
      <c r="A16" s="449">
        <v>1</v>
      </c>
    </row>
    <row r="17" spans="1:1">
      <c r="A17" s="449">
        <v>2</v>
      </c>
    </row>
    <row r="18" spans="1:1">
      <c r="A18" s="449">
        <v>3</v>
      </c>
    </row>
    <row r="20" spans="1:1">
      <c r="A20" s="449" t="s">
        <v>260</v>
      </c>
    </row>
    <row r="21" spans="1:1">
      <c r="A21" s="449">
        <v>1</v>
      </c>
    </row>
    <row r="22" spans="1:1">
      <c r="A22" s="449">
        <v>2</v>
      </c>
    </row>
    <row r="23" spans="1:1">
      <c r="A23" s="449">
        <v>3</v>
      </c>
    </row>
  </sheetData>
  <phoneticPr fontId="29"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3"/>
  </sheetPr>
  <dimension ref="A1:U58"/>
  <sheetViews>
    <sheetView workbookViewId="0">
      <selection activeCell="X31" sqref="X31"/>
    </sheetView>
  </sheetViews>
  <sheetFormatPr defaultColWidth="9.109375" defaultRowHeight="14.4"/>
  <cols>
    <col min="1" max="2" width="8" style="594" customWidth="1"/>
    <col min="3" max="3" width="3.88671875" style="594" hidden="1" customWidth="1"/>
    <col min="4" max="4" width="15.6640625" style="594" customWidth="1"/>
    <col min="5" max="6" width="12.6640625" style="594" customWidth="1"/>
    <col min="7" max="7" width="9.6640625" style="594" hidden="1" customWidth="1"/>
    <col min="8" max="8" width="7.6640625" style="594" hidden="1" customWidth="1"/>
    <col min="9" max="11" width="8.6640625" style="594" hidden="1" customWidth="1"/>
    <col min="12" max="12" width="6.6640625" style="594" hidden="1" customWidth="1"/>
    <col min="13" max="16" width="8.6640625" style="594" hidden="1" customWidth="1"/>
    <col min="17" max="17" width="12.88671875" style="594" customWidth="1"/>
    <col min="18" max="18" width="8.6640625" style="594" customWidth="1"/>
    <col min="19" max="19" width="10.109375" style="594" customWidth="1"/>
    <col min="20" max="20" width="8.33203125" style="594" customWidth="1"/>
    <col min="21" max="16384" width="9.109375" style="594"/>
  </cols>
  <sheetData>
    <row r="1" spans="1:21" s="592" customFormat="1">
      <c r="A1" s="1465" t="str">
        <f>IF(AND(UPPER(LEFT(TRIM($D$8),11))="01",UPPER(LEFT(TRIM($D$9),3))&lt;&gt;"ELM"),"PANTA RETAIL LTD.","PANTA CONTRACTING LIMITED")</f>
        <v>PANTA CONTRACTING LIMITED</v>
      </c>
      <c r="B1" s="1465"/>
      <c r="C1" s="1465"/>
      <c r="D1" s="1465"/>
      <c r="E1" s="1465"/>
      <c r="F1" s="1465"/>
      <c r="G1" s="1465"/>
      <c r="H1" s="1465"/>
      <c r="I1" s="1465"/>
      <c r="J1" s="1465"/>
      <c r="K1" s="1465"/>
      <c r="L1" s="1465"/>
      <c r="M1" s="1465"/>
      <c r="N1" s="1465"/>
      <c r="O1" s="1465"/>
      <c r="P1" s="1465"/>
      <c r="Q1" s="1465"/>
      <c r="R1" s="1465"/>
      <c r="S1" s="1465"/>
      <c r="T1" s="1465"/>
      <c r="U1" s="595"/>
    </row>
    <row r="2" spans="1:21" s="592" customFormat="1">
      <c r="A2" s="1466" t="str">
        <f>IF(UPPER(LEFT(TRIM($D$9),3))="ELM","ELEC-FOR-MECH INTERNAL QUOTATION","ELECTRICAL INTERNAL QUOTATION")</f>
        <v>ELECTRICAL INTERNAL QUOTATION</v>
      </c>
      <c r="B2" s="1466"/>
      <c r="C2" s="1466"/>
      <c r="D2" s="1466"/>
      <c r="E2" s="1466"/>
      <c r="F2" s="1466"/>
      <c r="G2" s="1466"/>
      <c r="H2" s="1466"/>
      <c r="I2" s="1466"/>
      <c r="J2" s="1466"/>
      <c r="K2" s="1466"/>
      <c r="L2" s="1466"/>
      <c r="M2" s="1466"/>
      <c r="N2" s="1466"/>
      <c r="O2" s="1466"/>
      <c r="P2" s="1466"/>
      <c r="Q2" s="1466"/>
      <c r="R2" s="1466"/>
      <c r="S2" s="1466"/>
      <c r="T2" s="1466"/>
    </row>
    <row r="3" spans="1:21" s="592" customFormat="1">
      <c r="B3" s="593"/>
      <c r="G3" s="594"/>
      <c r="H3" s="594"/>
      <c r="I3" s="594"/>
      <c r="J3" s="594"/>
    </row>
    <row r="4" spans="1:21" s="592" customFormat="1">
      <c r="A4" s="594"/>
      <c r="B4" s="594"/>
      <c r="C4" s="594"/>
      <c r="D4" s="594"/>
      <c r="E4" s="594"/>
      <c r="F4" s="594"/>
      <c r="G4" s="594"/>
      <c r="H4" s="594"/>
      <c r="I4" s="594"/>
      <c r="J4" s="594"/>
      <c r="K4" s="594"/>
      <c r="L4" s="594"/>
      <c r="M4" s="594"/>
      <c r="N4" s="594"/>
      <c r="O4" s="594"/>
      <c r="P4" s="594"/>
      <c r="Q4" s="594"/>
      <c r="R4" s="594"/>
      <c r="S4" s="594"/>
      <c r="T4" s="594"/>
    </row>
    <row r="5" spans="1:21" s="592" customFormat="1">
      <c r="B5" s="593" t="s">
        <v>234</v>
      </c>
      <c r="C5" s="594"/>
      <c r="D5" s="595" t="str">
        <f>IF(A2="Internal Quotation", "Mechanical Division","")</f>
        <v/>
      </c>
      <c r="E5" s="594"/>
      <c r="F5" s="594"/>
      <c r="G5" s="596"/>
      <c r="H5" s="596"/>
      <c r="I5" s="597"/>
      <c r="J5" s="597"/>
      <c r="K5" s="596"/>
      <c r="L5" s="596"/>
      <c r="M5" s="596"/>
      <c r="N5" s="596"/>
      <c r="O5" s="596"/>
      <c r="P5" s="596"/>
      <c r="Q5" s="594"/>
      <c r="R5" s="598" t="s">
        <v>189</v>
      </c>
      <c r="S5" s="599">
        <f ca="1">NOW()</f>
        <v>46114.371141087962</v>
      </c>
      <c r="T5" s="594"/>
    </row>
    <row r="6" spans="1:21" s="592" customFormat="1">
      <c r="A6" s="618"/>
      <c r="B6" s="618" t="s">
        <v>0</v>
      </c>
      <c r="C6" s="600" t="s">
        <v>235</v>
      </c>
      <c r="D6" s="592" t="str">
        <f>ML_Sum!D1</f>
        <v>Quintano Foods Ltd.</v>
      </c>
      <c r="G6" s="594"/>
      <c r="H6" s="594"/>
      <c r="I6" s="594"/>
      <c r="J6" s="594"/>
      <c r="R6" s="594"/>
      <c r="S6" s="594"/>
      <c r="T6" s="594"/>
    </row>
    <row r="7" spans="1:21" s="592" customFormat="1">
      <c r="A7" s="618"/>
      <c r="B7" s="618" t="s">
        <v>2</v>
      </c>
      <c r="C7" s="600" t="s">
        <v>236</v>
      </c>
      <c r="D7" s="592" t="str">
        <f>ML_Sum!D2</f>
        <v>Warehouse at tal-Handaq, Qormi</v>
      </c>
      <c r="G7" s="594"/>
      <c r="H7" s="594"/>
      <c r="I7" s="594"/>
      <c r="J7" s="594"/>
      <c r="R7" s="594"/>
      <c r="S7" s="594"/>
      <c r="T7" s="594"/>
    </row>
    <row r="8" spans="1:21" s="592" customFormat="1">
      <c r="A8" s="618"/>
      <c r="B8" s="618" t="s">
        <v>4</v>
      </c>
      <c r="C8" s="600" t="s">
        <v>237</v>
      </c>
      <c r="D8" s="592" t="str">
        <f>ML_Sum!D3</f>
        <v>Electrical and ELV installations (Rev A)</v>
      </c>
      <c r="G8" s="594"/>
      <c r="H8" s="594"/>
      <c r="I8" s="594"/>
      <c r="J8" s="594"/>
      <c r="R8" s="594"/>
      <c r="S8" s="594"/>
      <c r="T8" s="594"/>
    </row>
    <row r="9" spans="1:21" s="592" customFormat="1">
      <c r="A9" s="594"/>
      <c r="B9" s="593" t="s">
        <v>6</v>
      </c>
      <c r="C9" s="600" t="s">
        <v>238</v>
      </c>
      <c r="D9" s="592" t="str">
        <f>ML_Sum!D4</f>
        <v>EL25-0062A</v>
      </c>
      <c r="G9" s="594"/>
      <c r="H9" s="594"/>
      <c r="I9" s="594"/>
      <c r="J9" s="594"/>
    </row>
    <row r="10" spans="1:21" s="592" customFormat="1">
      <c r="A10" s="594"/>
      <c r="B10" s="598" t="s">
        <v>181</v>
      </c>
      <c r="C10" s="600" t="s">
        <v>239</v>
      </c>
      <c r="D10" s="592" t="str">
        <f>ML_Sum!D5</f>
        <v>Tender</v>
      </c>
      <c r="E10" s="594"/>
      <c r="F10" s="594"/>
      <c r="G10" s="594"/>
      <c r="H10" s="594"/>
      <c r="I10" s="594"/>
      <c r="J10" s="594"/>
      <c r="K10" s="594"/>
      <c r="L10" s="594"/>
      <c r="M10" s="594"/>
      <c r="N10" s="594"/>
      <c r="O10" s="594"/>
      <c r="P10" s="594"/>
      <c r="Q10" s="594"/>
      <c r="R10" s="594"/>
      <c r="S10" s="594"/>
      <c r="T10" s="594"/>
    </row>
    <row r="11" spans="1:21" s="592" customFormat="1">
      <c r="A11" s="594"/>
      <c r="B11" s="594"/>
      <c r="C11" s="596"/>
      <c r="D11" s="594"/>
      <c r="E11" s="594"/>
      <c r="F11" s="594"/>
      <c r="G11" s="594"/>
      <c r="H11" s="594"/>
      <c r="I11" s="594"/>
      <c r="J11" s="594"/>
      <c r="K11" s="594"/>
      <c r="L11" s="594"/>
      <c r="M11" s="594"/>
      <c r="N11" s="594"/>
      <c r="O11" s="594"/>
      <c r="P11" s="594"/>
      <c r="Q11" s="594"/>
      <c r="R11" s="594"/>
      <c r="S11" s="594"/>
      <c r="T11" s="594"/>
    </row>
    <row r="12" spans="1:21" s="592" customFormat="1">
      <c r="D12" s="594"/>
      <c r="E12" s="594"/>
      <c r="F12" s="594"/>
      <c r="G12" s="594"/>
      <c r="H12" s="594"/>
      <c r="I12" s="594"/>
      <c r="J12" s="594"/>
      <c r="K12" s="594"/>
      <c r="L12" s="594"/>
      <c r="M12" s="594"/>
      <c r="N12" s="594"/>
      <c r="O12" s="594"/>
      <c r="P12" s="594"/>
      <c r="Q12" s="594"/>
      <c r="R12" s="594"/>
      <c r="S12" s="594"/>
      <c r="T12" s="594"/>
    </row>
    <row r="13" spans="1:21" s="592" customFormat="1">
      <c r="A13" s="601"/>
      <c r="D13" s="594"/>
      <c r="E13" s="594"/>
      <c r="F13" s="594"/>
      <c r="G13" s="594"/>
      <c r="H13" s="594"/>
      <c r="I13" s="594"/>
      <c r="J13" s="594"/>
      <c r="K13" s="594"/>
      <c r="L13" s="594"/>
      <c r="M13" s="594"/>
      <c r="N13" s="594"/>
      <c r="O13" s="594"/>
      <c r="P13" s="594"/>
      <c r="Q13" s="594"/>
      <c r="R13" s="594"/>
      <c r="S13" s="594"/>
      <c r="T13" s="594"/>
    </row>
    <row r="14" spans="1:21" s="592" customFormat="1">
      <c r="G14" s="594"/>
      <c r="H14" s="594"/>
      <c r="I14" s="594"/>
      <c r="J14" s="594"/>
    </row>
    <row r="15" spans="1:21" s="592" customFormat="1">
      <c r="G15" s="594"/>
      <c r="H15" s="594"/>
      <c r="I15" s="594"/>
      <c r="J15" s="594"/>
    </row>
    <row r="16" spans="1:21" s="592" customFormat="1">
      <c r="G16" s="594"/>
      <c r="H16" s="594"/>
      <c r="I16" s="594"/>
      <c r="J16" s="594"/>
    </row>
    <row r="17" spans="1:20" s="592" customFormat="1">
      <c r="G17" s="594"/>
      <c r="H17" s="594"/>
      <c r="I17" s="594"/>
      <c r="J17" s="594"/>
    </row>
    <row r="18" spans="1:20" s="592" customFormat="1">
      <c r="G18" s="594"/>
      <c r="H18" s="594"/>
      <c r="I18" s="594"/>
      <c r="J18" s="594"/>
    </row>
    <row r="19" spans="1:20" s="592" customFormat="1">
      <c r="G19" s="594"/>
      <c r="H19" s="594"/>
      <c r="I19" s="594"/>
      <c r="J19" s="594"/>
    </row>
    <row r="20" spans="1:20" s="592" customFormat="1">
      <c r="G20" s="594"/>
      <c r="H20" s="594"/>
      <c r="I20" s="594"/>
      <c r="J20" s="594"/>
    </row>
    <row r="21" spans="1:20" s="592" customFormat="1">
      <c r="G21" s="594"/>
      <c r="H21" s="594"/>
      <c r="I21" s="594"/>
      <c r="J21" s="594"/>
    </row>
    <row r="22" spans="1:20" s="592" customFormat="1">
      <c r="A22" s="594"/>
      <c r="B22" s="594"/>
      <c r="C22" s="594"/>
      <c r="D22" s="602" t="s">
        <v>245</v>
      </c>
      <c r="E22" s="603">
        <f ca="1">ML_Sum!E35</f>
        <v>1478219.1303690616</v>
      </c>
      <c r="F22" s="600" t="str">
        <f>ML_Sum!D6</f>
        <v>VAT EXCL.</v>
      </c>
      <c r="G22" s="619" t="s">
        <v>190</v>
      </c>
      <c r="H22" s="619" t="s">
        <v>190</v>
      </c>
      <c r="I22" s="619" t="s">
        <v>190</v>
      </c>
      <c r="J22" s="619" t="s">
        <v>190</v>
      </c>
      <c r="K22" s="619" t="s">
        <v>190</v>
      </c>
      <c r="L22" s="619" t="s">
        <v>190</v>
      </c>
      <c r="M22" s="619" t="s">
        <v>190</v>
      </c>
      <c r="N22" s="619" t="s">
        <v>190</v>
      </c>
      <c r="O22" s="619" t="s">
        <v>190</v>
      </c>
      <c r="P22" s="619" t="s">
        <v>190</v>
      </c>
      <c r="Q22" s="620"/>
      <c r="R22" s="594"/>
      <c r="S22" s="594"/>
      <c r="T22" s="594"/>
    </row>
    <row r="23" spans="1:20" s="592" customFormat="1">
      <c r="A23" s="594"/>
      <c r="B23" s="594"/>
      <c r="C23" s="594"/>
      <c r="D23" s="621"/>
      <c r="E23" s="604"/>
      <c r="F23" s="604"/>
      <c r="G23" s="620"/>
      <c r="H23" s="620"/>
      <c r="I23" s="620"/>
      <c r="J23" s="620"/>
      <c r="K23" s="620"/>
      <c r="L23" s="620"/>
      <c r="M23" s="620"/>
      <c r="N23" s="620"/>
      <c r="O23" s="620"/>
      <c r="P23" s="620"/>
      <c r="Q23" s="620"/>
      <c r="S23" s="594"/>
    </row>
    <row r="24" spans="1:20" s="592" customFormat="1">
      <c r="A24" s="594"/>
      <c r="B24" s="594"/>
      <c r="C24" s="594"/>
      <c r="D24" s="605"/>
      <c r="E24" s="620"/>
      <c r="F24" s="620"/>
      <c r="G24" s="620"/>
      <c r="H24" s="620"/>
      <c r="I24" s="620"/>
      <c r="J24" s="620"/>
      <c r="K24" s="620"/>
      <c r="L24" s="620"/>
      <c r="M24" s="620"/>
      <c r="N24" s="620"/>
      <c r="O24" s="620"/>
      <c r="P24" s="620"/>
      <c r="Q24" s="620"/>
      <c r="S24" s="594"/>
    </row>
    <row r="25" spans="1:20" s="592" customFormat="1">
      <c r="A25" s="606"/>
      <c r="B25" s="607"/>
      <c r="C25" s="607"/>
      <c r="D25" s="594"/>
      <c r="E25" s="594"/>
      <c r="F25" s="594"/>
      <c r="G25" s="594"/>
      <c r="H25" s="594"/>
      <c r="I25" s="594"/>
      <c r="J25" s="594"/>
      <c r="K25" s="594"/>
      <c r="L25" s="594"/>
      <c r="M25" s="594"/>
      <c r="N25" s="594"/>
      <c r="O25" s="594"/>
      <c r="P25" s="594"/>
      <c r="Q25" s="594"/>
    </row>
    <row r="26" spans="1:20" s="592" customFormat="1">
      <c r="A26" s="595"/>
      <c r="G26" s="594"/>
      <c r="H26" s="594"/>
      <c r="I26" s="594"/>
      <c r="J26" s="594"/>
    </row>
    <row r="27" spans="1:20" s="592" customFormat="1">
      <c r="A27" s="595"/>
      <c r="G27" s="594"/>
      <c r="H27" s="594"/>
      <c r="I27" s="594"/>
      <c r="J27" s="594"/>
    </row>
    <row r="28" spans="1:20" s="592" customFormat="1">
      <c r="A28" s="595"/>
      <c r="G28" s="594"/>
      <c r="H28" s="594"/>
      <c r="I28" s="594"/>
      <c r="J28" s="594"/>
    </row>
    <row r="29" spans="1:20" s="592" customFormat="1">
      <c r="A29" s="595"/>
      <c r="G29" s="594"/>
      <c r="H29" s="594"/>
      <c r="I29" s="594"/>
      <c r="J29" s="594"/>
    </row>
    <row r="30" spans="1:20" s="592" customFormat="1">
      <c r="A30" s="595"/>
      <c r="G30" s="594"/>
      <c r="H30" s="594"/>
      <c r="I30" s="594"/>
      <c r="J30" s="594"/>
    </row>
    <row r="31" spans="1:20" s="592" customFormat="1">
      <c r="A31" s="595"/>
      <c r="G31" s="594"/>
      <c r="H31" s="594"/>
      <c r="I31" s="594"/>
      <c r="J31" s="594"/>
    </row>
    <row r="32" spans="1:20" s="592" customFormat="1">
      <c r="A32" s="595"/>
      <c r="G32" s="594"/>
      <c r="H32" s="594"/>
      <c r="I32" s="594"/>
      <c r="J32" s="594"/>
    </row>
    <row r="33" spans="1:20" s="592" customFormat="1">
      <c r="G33" s="594"/>
      <c r="H33" s="594"/>
      <c r="I33" s="594"/>
      <c r="J33" s="594"/>
    </row>
    <row r="34" spans="1:20" s="592" customFormat="1">
      <c r="A34" s="594"/>
      <c r="B34" s="594"/>
      <c r="C34" s="594"/>
      <c r="D34" s="594"/>
      <c r="E34" s="594"/>
      <c r="F34" s="594"/>
      <c r="G34" s="594"/>
      <c r="H34" s="594"/>
      <c r="I34" s="594"/>
      <c r="J34" s="594"/>
      <c r="K34" s="594"/>
      <c r="L34" s="594"/>
      <c r="M34" s="594"/>
      <c r="N34" s="594"/>
      <c r="O34" s="594"/>
      <c r="P34" s="594"/>
      <c r="Q34" s="594"/>
      <c r="R34" s="594"/>
      <c r="S34" s="594"/>
      <c r="T34" s="594"/>
    </row>
    <row r="35" spans="1:20" s="592" customFormat="1">
      <c r="A35" s="594"/>
      <c r="B35" s="594"/>
      <c r="C35" s="594"/>
      <c r="D35" s="594"/>
      <c r="E35" s="594"/>
      <c r="F35" s="594"/>
      <c r="G35" s="594"/>
      <c r="H35" s="594"/>
      <c r="I35" s="594"/>
      <c r="J35" s="594"/>
      <c r="K35" s="594"/>
      <c r="L35" s="594"/>
      <c r="M35" s="594"/>
      <c r="N35" s="594"/>
      <c r="O35" s="594"/>
      <c r="P35" s="594"/>
      <c r="Q35" s="594"/>
      <c r="R35" s="594"/>
      <c r="S35" s="594"/>
      <c r="T35" s="594"/>
    </row>
    <row r="36" spans="1:20" s="592" customFormat="1">
      <c r="A36" s="594"/>
      <c r="B36" s="594"/>
      <c r="C36" s="594"/>
      <c r="D36" s="594"/>
      <c r="E36" s="594"/>
      <c r="F36" s="594"/>
      <c r="G36" s="594"/>
      <c r="H36" s="594"/>
      <c r="I36" s="594"/>
      <c r="J36" s="594"/>
      <c r="K36" s="594"/>
      <c r="L36" s="594"/>
      <c r="M36" s="594"/>
      <c r="N36" s="594"/>
      <c r="O36" s="594"/>
      <c r="P36" s="594"/>
      <c r="Q36" s="594"/>
      <c r="R36" s="594"/>
      <c r="S36" s="594"/>
      <c r="T36" s="594"/>
    </row>
    <row r="37" spans="1:20" s="592" customFormat="1">
      <c r="G37" s="594"/>
      <c r="H37" s="594"/>
      <c r="I37" s="594"/>
      <c r="J37" s="594"/>
    </row>
    <row r="38" spans="1:20" s="592" customFormat="1">
      <c r="A38" s="601"/>
      <c r="B38" s="608"/>
      <c r="G38" s="594"/>
      <c r="H38" s="594"/>
      <c r="I38" s="594"/>
      <c r="J38" s="594"/>
    </row>
    <row r="39" spans="1:20" s="592" customFormat="1">
      <c r="A39" s="595"/>
      <c r="G39" s="594"/>
      <c r="H39" s="594"/>
      <c r="I39" s="594"/>
      <c r="J39" s="594"/>
    </row>
    <row r="40" spans="1:20" s="592" customFormat="1">
      <c r="A40" s="595"/>
      <c r="G40" s="594"/>
      <c r="H40" s="594"/>
      <c r="I40" s="594"/>
      <c r="J40" s="594"/>
    </row>
    <row r="41" spans="1:20" s="592" customFormat="1">
      <c r="A41" s="595"/>
      <c r="G41" s="594"/>
      <c r="H41" s="594"/>
      <c r="I41" s="594"/>
      <c r="J41" s="594"/>
    </row>
    <row r="42" spans="1:20" s="592" customFormat="1">
      <c r="A42" s="595"/>
      <c r="G42" s="594"/>
      <c r="H42" s="594"/>
      <c r="I42" s="594"/>
      <c r="J42" s="594"/>
    </row>
    <row r="43" spans="1:20" s="592" customFormat="1">
      <c r="A43" s="595"/>
      <c r="G43" s="594"/>
      <c r="H43" s="594"/>
      <c r="I43" s="594"/>
      <c r="J43" s="594"/>
    </row>
    <row r="44" spans="1:20" s="592" customFormat="1">
      <c r="A44" s="595"/>
      <c r="G44" s="594"/>
      <c r="H44" s="594"/>
      <c r="I44" s="594"/>
      <c r="J44" s="594"/>
    </row>
    <row r="45" spans="1:20" s="592" customFormat="1">
      <c r="A45" s="595"/>
      <c r="G45" s="594"/>
      <c r="H45" s="594"/>
      <c r="I45" s="594"/>
      <c r="J45" s="594"/>
    </row>
    <row r="46" spans="1:20" s="592" customFormat="1">
      <c r="A46" s="595"/>
      <c r="G46" s="594"/>
      <c r="H46" s="594"/>
      <c r="I46" s="594"/>
      <c r="J46" s="594"/>
    </row>
    <row r="47" spans="1:20" s="592" customFormat="1">
      <c r="A47" s="595"/>
      <c r="G47" s="594"/>
      <c r="H47" s="594"/>
      <c r="I47" s="594"/>
      <c r="J47" s="594"/>
    </row>
    <row r="48" spans="1:20" s="592" customFormat="1">
      <c r="G48" s="594"/>
      <c r="H48" s="594"/>
      <c r="I48" s="594"/>
      <c r="J48" s="594"/>
    </row>
    <row r="49" spans="1:19" s="592" customFormat="1">
      <c r="G49" s="594"/>
      <c r="H49" s="594"/>
      <c r="I49" s="594"/>
      <c r="J49" s="594"/>
    </row>
    <row r="50" spans="1:19" s="592" customFormat="1">
      <c r="A50" s="596"/>
      <c r="B50" s="596"/>
      <c r="C50" s="596"/>
      <c r="G50" s="594"/>
      <c r="H50" s="594"/>
      <c r="I50" s="594"/>
      <c r="J50" s="594"/>
      <c r="Q50" s="596"/>
      <c r="R50" s="596"/>
      <c r="S50" s="596"/>
    </row>
    <row r="51" spans="1:19" s="592" customFormat="1">
      <c r="A51" s="592" t="s">
        <v>132</v>
      </c>
      <c r="D51" s="609"/>
      <c r="G51" s="594"/>
      <c r="H51" s="594"/>
      <c r="I51" s="594"/>
      <c r="J51" s="594"/>
      <c r="Q51" s="592" t="s">
        <v>132</v>
      </c>
    </row>
    <row r="52" spans="1:19" s="592" customFormat="1">
      <c r="A52" s="592" t="s">
        <v>133</v>
      </c>
      <c r="G52" s="594"/>
      <c r="H52" s="594"/>
      <c r="I52" s="594"/>
      <c r="J52" s="594"/>
      <c r="Q52" s="592" t="s">
        <v>191</v>
      </c>
    </row>
    <row r="53" spans="1:19" s="592" customFormat="1" ht="15" thickBot="1">
      <c r="G53" s="594"/>
      <c r="H53" s="594"/>
      <c r="I53" s="594"/>
      <c r="J53" s="594"/>
    </row>
    <row r="54" spans="1:19" s="592" customFormat="1">
      <c r="G54" s="594"/>
      <c r="H54" s="594"/>
      <c r="I54" s="594"/>
      <c r="J54" s="594"/>
      <c r="Q54" s="610" t="s">
        <v>192</v>
      </c>
      <c r="R54" s="611"/>
    </row>
    <row r="55" spans="1:19" s="592" customFormat="1">
      <c r="G55" s="594"/>
      <c r="H55" s="594"/>
      <c r="I55" s="594"/>
      <c r="J55" s="594"/>
      <c r="Q55" s="612" t="s">
        <v>290</v>
      </c>
      <c r="R55" s="613"/>
    </row>
    <row r="56" spans="1:19" s="592" customFormat="1">
      <c r="G56" s="594"/>
      <c r="H56" s="594"/>
      <c r="I56" s="594"/>
      <c r="J56" s="594"/>
      <c r="Q56" s="612"/>
      <c r="R56" s="613"/>
    </row>
    <row r="57" spans="1:19" s="592" customFormat="1" ht="15" thickBot="1">
      <c r="A57" s="614"/>
      <c r="Q57" s="615" t="s">
        <v>193</v>
      </c>
      <c r="R57" s="616"/>
    </row>
    <row r="58" spans="1:19" s="592" customFormat="1">
      <c r="A58" s="622"/>
      <c r="B58" s="617"/>
      <c r="C58" s="617"/>
      <c r="D58" s="617"/>
      <c r="E58" s="617"/>
      <c r="F58" s="617"/>
    </row>
  </sheetData>
  <sheetProtection formatCells="0" formatColumns="0" formatRows="0" insertColumns="0" insertRows="0"/>
  <mergeCells count="2">
    <mergeCell ref="A1:T1"/>
    <mergeCell ref="A2:T2"/>
  </mergeCells>
  <conditionalFormatting sqref="A1:T1">
    <cfRule type="cellIs" dxfId="25" priority="3" stopIfTrue="1" operator="equal">
      <formula>"PANTA RETAIL LTD."</formula>
    </cfRule>
  </conditionalFormatting>
  <conditionalFormatting sqref="C6:C10 F22">
    <cfRule type="cellIs" dxfId="24" priority="1" stopIfTrue="1" operator="equal">
      <formula>"VAT INCLUDED"</formula>
    </cfRule>
    <cfRule type="cellIs" dxfId="23"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indexed="10"/>
  </sheetPr>
  <dimension ref="A1:AF176"/>
  <sheetViews>
    <sheetView topLeftCell="A8" zoomScaleNormal="100" workbookViewId="0">
      <selection activeCell="Q26" sqref="Q26"/>
    </sheetView>
  </sheetViews>
  <sheetFormatPr defaultColWidth="9.109375" defaultRowHeight="13.2"/>
  <cols>
    <col min="1" max="1" width="8.5546875" style="36" customWidth="1"/>
    <col min="2" max="2" width="14.109375" style="141" customWidth="1"/>
    <col min="3" max="3" width="6.6640625" style="36" hidden="1" customWidth="1"/>
    <col min="4" max="4" width="23.109375" style="36" customWidth="1"/>
    <col min="5" max="5" width="18.5546875" style="36" customWidth="1"/>
    <col min="6" max="6" width="18.88671875" style="36" customWidth="1"/>
    <col min="7" max="7" width="10" style="36" hidden="1" customWidth="1"/>
    <col min="8" max="14" width="8.6640625" style="36" hidden="1" customWidth="1"/>
    <col min="15" max="15" width="5.33203125" style="36" hidden="1" customWidth="1"/>
    <col min="16" max="16" width="7.6640625" style="36" hidden="1" customWidth="1"/>
    <col min="17" max="17" width="13.44140625" style="36" customWidth="1"/>
    <col min="18" max="18" width="11.33203125" style="36" customWidth="1"/>
    <col min="19" max="20" width="10.6640625" style="36" customWidth="1"/>
    <col min="21" max="21" width="8.6640625" style="36" customWidth="1"/>
    <col min="22" max="22" width="24.33203125" style="36" bestFit="1" customWidth="1"/>
    <col min="23" max="23" width="17.33203125" style="36" customWidth="1"/>
    <col min="24" max="24" width="13.44140625" style="36" customWidth="1"/>
    <col min="25" max="25" width="13.109375" style="36" customWidth="1"/>
    <col min="26" max="26" width="18.44140625" style="36" customWidth="1"/>
    <col min="27" max="27" width="11.88671875" style="36" customWidth="1"/>
    <col min="28" max="28" width="10.44140625" style="36" bestFit="1" customWidth="1"/>
    <col min="29" max="29" width="9.109375" style="36"/>
    <col min="30" max="30" width="13.44140625" style="36" customWidth="1"/>
    <col min="31" max="32" width="12.33203125" style="36" customWidth="1"/>
    <col min="33" max="16384" width="9.109375" style="36"/>
  </cols>
  <sheetData>
    <row r="1" spans="1:30" ht="19.5" customHeight="1">
      <c r="B1" s="468" t="s">
        <v>0</v>
      </c>
      <c r="C1" s="465">
        <v>1</v>
      </c>
      <c r="D1" s="1486" t="s">
        <v>3239</v>
      </c>
      <c r="E1" s="1487"/>
      <c r="G1" s="466" t="b">
        <v>1</v>
      </c>
      <c r="H1" s="466" t="b">
        <v>1</v>
      </c>
      <c r="I1" s="273">
        <v>1</v>
      </c>
      <c r="J1" s="274">
        <f t="shared" ref="J1:J10" si="0">$Q109</f>
        <v>1</v>
      </c>
      <c r="K1" s="274">
        <f t="shared" ref="K1:K10" si="1">$Q119</f>
        <v>1</v>
      </c>
      <c r="L1" s="274">
        <f t="shared" ref="L1:L10" si="2">$Q129</f>
        <v>1</v>
      </c>
      <c r="M1" s="274">
        <f t="shared" ref="M1:M10" si="3">$Q139</f>
        <v>1</v>
      </c>
      <c r="N1" s="274">
        <f t="shared" ref="N1:N9" si="4">$Q149</f>
        <v>1</v>
      </c>
      <c r="O1" s="274">
        <f t="shared" ref="O1:O6" si="5">$Q159</f>
        <v>1</v>
      </c>
      <c r="P1" s="11"/>
      <c r="Q1" s="432" t="str">
        <f>IF(C1=1,"€","Curr?")</f>
        <v>€</v>
      </c>
      <c r="R1" s="371" t="s">
        <v>224</v>
      </c>
      <c r="S1" s="455" t="str">
        <f>IF($S$39="PRINT","R","Do Not Print")</f>
        <v>R</v>
      </c>
      <c r="T1" s="482">
        <v>0.9</v>
      </c>
      <c r="V1" s="129">
        <f t="array" ref="V1">IF(OR(X1=AREAS),1,0)</f>
        <v>1</v>
      </c>
      <c r="W1" s="448" t="s">
        <v>186</v>
      </c>
      <c r="X1" s="130" t="s">
        <v>183</v>
      </c>
      <c r="Y1" s="130" t="s">
        <v>183</v>
      </c>
      <c r="Z1" s="130" t="s">
        <v>183</v>
      </c>
      <c r="AA1" s="130" t="s">
        <v>183</v>
      </c>
      <c r="AB1" s="130" t="s">
        <v>183</v>
      </c>
      <c r="AC1" s="130" t="s">
        <v>183</v>
      </c>
      <c r="AD1" s="130" t="s">
        <v>183</v>
      </c>
    </row>
    <row r="2" spans="1:30" ht="21.75" customHeight="1">
      <c r="A2" s="457"/>
      <c r="B2" s="468" t="s">
        <v>2</v>
      </c>
      <c r="C2" s="464">
        <f>IF($D$6="VAT INCLUDED",1.18,1)*(1-$Q2)*$C$1</f>
        <v>1</v>
      </c>
      <c r="D2" s="1486" t="s">
        <v>3240</v>
      </c>
      <c r="E2" s="1487"/>
      <c r="F2" s="364" t="s">
        <v>207</v>
      </c>
      <c r="G2" s="466" t="b">
        <v>1</v>
      </c>
      <c r="I2" s="273">
        <v>2</v>
      </c>
      <c r="J2" s="274">
        <f t="shared" si="0"/>
        <v>1</v>
      </c>
      <c r="K2" s="274">
        <f t="shared" si="1"/>
        <v>1</v>
      </c>
      <c r="L2" s="274">
        <f t="shared" si="2"/>
        <v>1</v>
      </c>
      <c r="M2" s="274">
        <f t="shared" si="3"/>
        <v>1</v>
      </c>
      <c r="N2" s="274">
        <f t="shared" si="4"/>
        <v>1</v>
      </c>
      <c r="O2" s="274">
        <f t="shared" si="5"/>
        <v>1</v>
      </c>
      <c r="P2" s="11"/>
      <c r="Q2" s="314"/>
      <c r="R2" s="329" t="str">
        <f>"A) " &amp; IF($S2=0,"",ROUND($S2,2) &amp; "-" &amp; ROUND($T2/$D$9,2))</f>
        <v>A) 1.23-1.23</v>
      </c>
      <c r="S2" s="1413">
        <f>1.2*1.02*1.006</f>
        <v>1.231344</v>
      </c>
      <c r="T2" s="305">
        <f>$S2*$D$9</f>
        <v>33.812706240000004</v>
      </c>
      <c r="U2" s="1484" t="s">
        <v>3759</v>
      </c>
      <c r="V2" s="1485"/>
      <c r="W2" s="1485"/>
      <c r="X2" s="130" t="s">
        <v>183</v>
      </c>
      <c r="Y2" s="130" t="s">
        <v>183</v>
      </c>
      <c r="Z2" s="130" t="s">
        <v>183</v>
      </c>
      <c r="AA2" s="130" t="s">
        <v>183</v>
      </c>
      <c r="AB2" s="130" t="s">
        <v>183</v>
      </c>
      <c r="AC2" s="130" t="s">
        <v>183</v>
      </c>
      <c r="AD2" s="130" t="s">
        <v>183</v>
      </c>
    </row>
    <row r="3" spans="1:30" ht="13.8">
      <c r="A3" s="458"/>
      <c r="B3" s="468" t="s">
        <v>4</v>
      </c>
      <c r="C3" s="464">
        <f t="shared" ref="C3:C12" si="6">IF($D$6="VAT INCLUDED",1.18,1)*(1-$Q3)*$C$1</f>
        <v>1</v>
      </c>
      <c r="D3" s="1486" t="s">
        <v>4075</v>
      </c>
      <c r="E3" s="1487"/>
      <c r="F3" s="1152" t="s">
        <v>3684</v>
      </c>
      <c r="G3" s="466" t="b">
        <v>1</v>
      </c>
      <c r="I3" s="273">
        <v>3</v>
      </c>
      <c r="J3" s="274">
        <f t="shared" si="0"/>
        <v>1</v>
      </c>
      <c r="K3" s="274">
        <f t="shared" si="1"/>
        <v>1</v>
      </c>
      <c r="L3" s="274">
        <f t="shared" si="2"/>
        <v>1</v>
      </c>
      <c r="M3" s="274">
        <f t="shared" si="3"/>
        <v>1</v>
      </c>
      <c r="N3" s="274">
        <f t="shared" si="4"/>
        <v>1</v>
      </c>
      <c r="O3" s="274">
        <f t="shared" si="5"/>
        <v>1</v>
      </c>
      <c r="P3" s="11"/>
      <c r="Q3" s="314"/>
      <c r="R3" s="330" t="str">
        <f>"B) " &amp; IF($S3=0,"",ROUND($S3,2) &amp; "-" &amp; ROUND($T3/$D$9,2))</f>
        <v>B) 1.13-1.13</v>
      </c>
      <c r="S3" s="1177">
        <f>1.1*1.02*1.006</f>
        <v>1.1287320000000001</v>
      </c>
      <c r="T3" s="305">
        <f t="shared" ref="T3:T4" si="7">$S3*$D$9</f>
        <v>30.994980720000004</v>
      </c>
      <c r="U3" s="1484"/>
      <c r="V3" s="1485"/>
      <c r="W3" s="1485"/>
      <c r="X3" s="130" t="s">
        <v>183</v>
      </c>
      <c r="Y3" s="130" t="s">
        <v>183</v>
      </c>
      <c r="Z3" s="130" t="s">
        <v>183</v>
      </c>
      <c r="AA3" s="130" t="s">
        <v>183</v>
      </c>
      <c r="AB3" s="130" t="s">
        <v>183</v>
      </c>
      <c r="AC3" s="130" t="s">
        <v>183</v>
      </c>
      <c r="AD3" s="130" t="s">
        <v>183</v>
      </c>
    </row>
    <row r="4" spans="1:30" ht="26.4">
      <c r="A4" s="459"/>
      <c r="B4" s="469" t="s">
        <v>266</v>
      </c>
      <c r="C4" s="385">
        <f t="shared" si="6"/>
        <v>1</v>
      </c>
      <c r="D4" s="13" t="s">
        <v>4076</v>
      </c>
      <c r="E4" s="291"/>
      <c r="F4" s="1152" t="s">
        <v>3506</v>
      </c>
      <c r="G4" s="466" t="b">
        <v>1</v>
      </c>
      <c r="I4" s="273">
        <v>4</v>
      </c>
      <c r="J4" s="274">
        <f t="shared" si="0"/>
        <v>1</v>
      </c>
      <c r="K4" s="274">
        <f t="shared" si="1"/>
        <v>1</v>
      </c>
      <c r="L4" s="274">
        <f t="shared" si="2"/>
        <v>1</v>
      </c>
      <c r="M4" s="274">
        <f t="shared" si="3"/>
        <v>1</v>
      </c>
      <c r="N4" s="274">
        <f t="shared" si="4"/>
        <v>1</v>
      </c>
      <c r="O4" s="274">
        <f t="shared" si="5"/>
        <v>1</v>
      </c>
      <c r="P4" s="11"/>
      <c r="Q4" s="314"/>
      <c r="R4" s="331" t="str">
        <f>"C) " &amp; IF($S4=0,"",ROUND($S4,2) &amp; "-" &amp; ROUND($T4/$D$9,2))</f>
        <v>C) 1.13-1.13</v>
      </c>
      <c r="S4" s="1177">
        <f>1.1*1.02*1.006</f>
        <v>1.1287320000000001</v>
      </c>
      <c r="T4" s="305">
        <f t="shared" si="7"/>
        <v>30.994980720000004</v>
      </c>
      <c r="U4" s="1484"/>
      <c r="V4" s="1485"/>
      <c r="W4" s="1485"/>
      <c r="X4" s="130" t="s">
        <v>183</v>
      </c>
      <c r="Y4" s="130" t="s">
        <v>183</v>
      </c>
      <c r="Z4" s="130" t="s">
        <v>183</v>
      </c>
      <c r="AA4" s="130" t="s">
        <v>183</v>
      </c>
      <c r="AB4" s="130" t="s">
        <v>183</v>
      </c>
      <c r="AC4" s="130" t="s">
        <v>183</v>
      </c>
      <c r="AD4" s="130" t="s">
        <v>183</v>
      </c>
    </row>
    <row r="5" spans="1:30" ht="13.8">
      <c r="A5" s="457"/>
      <c r="B5" s="470" t="s">
        <v>196</v>
      </c>
      <c r="C5" s="385">
        <f t="shared" si="6"/>
        <v>1</v>
      </c>
      <c r="D5" s="13" t="s">
        <v>3615</v>
      </c>
      <c r="E5" s="315"/>
      <c r="F5" s="1152" t="s">
        <v>3699</v>
      </c>
      <c r="G5" s="466" t="b">
        <v>1</v>
      </c>
      <c r="I5" s="273">
        <v>5</v>
      </c>
      <c r="J5" s="274">
        <f t="shared" si="0"/>
        <v>1</v>
      </c>
      <c r="K5" s="274">
        <f t="shared" si="1"/>
        <v>1</v>
      </c>
      <c r="L5" s="274">
        <f t="shared" si="2"/>
        <v>1</v>
      </c>
      <c r="M5" s="274">
        <f t="shared" si="3"/>
        <v>1</v>
      </c>
      <c r="N5" s="274">
        <f t="shared" si="4"/>
        <v>1</v>
      </c>
      <c r="O5" s="274">
        <f t="shared" si="5"/>
        <v>1</v>
      </c>
      <c r="P5" s="12"/>
      <c r="Q5" s="314"/>
      <c r="R5" s="332" t="str">
        <f>"D) " &amp; IF($S5=0,"",ROUND($S5,2) &amp; "-" &amp; ROUND($T5/$D$9,2))</f>
        <v>D) 1.23-1.94</v>
      </c>
      <c r="S5" s="1177">
        <f>1.2*1.02*1.006</f>
        <v>1.231344</v>
      </c>
      <c r="T5" s="305">
        <f>$S5*43.32</f>
        <v>53.34182208</v>
      </c>
      <c r="V5" s="138"/>
      <c r="W5" s="138"/>
      <c r="X5" s="130" t="s">
        <v>183</v>
      </c>
      <c r="Y5" s="130" t="s">
        <v>183</v>
      </c>
      <c r="Z5" s="130" t="s">
        <v>183</v>
      </c>
      <c r="AA5" s="130" t="s">
        <v>183</v>
      </c>
      <c r="AB5" s="130" t="s">
        <v>183</v>
      </c>
      <c r="AC5" s="130" t="s">
        <v>183</v>
      </c>
      <c r="AD5" s="130" t="s">
        <v>183</v>
      </c>
    </row>
    <row r="6" spans="1:30" ht="13.8">
      <c r="A6" s="459"/>
      <c r="B6" s="470" t="s">
        <v>262</v>
      </c>
      <c r="C6" s="385">
        <f t="shared" si="6"/>
        <v>1</v>
      </c>
      <c r="D6" s="386" t="s">
        <v>219</v>
      </c>
      <c r="E6"/>
      <c r="F6" s="1152" t="s">
        <v>3728</v>
      </c>
      <c r="G6" s="466" t="b">
        <v>1</v>
      </c>
      <c r="I6" s="273">
        <v>6</v>
      </c>
      <c r="J6" s="274">
        <f t="shared" si="0"/>
        <v>1</v>
      </c>
      <c r="K6" s="274">
        <f t="shared" si="1"/>
        <v>1</v>
      </c>
      <c r="L6" s="274">
        <f t="shared" si="2"/>
        <v>1</v>
      </c>
      <c r="M6" s="274">
        <f t="shared" si="3"/>
        <v>1</v>
      </c>
      <c r="N6" s="274">
        <f t="shared" si="4"/>
        <v>1</v>
      </c>
      <c r="O6" s="274">
        <f t="shared" si="5"/>
        <v>1</v>
      </c>
      <c r="P6" s="12"/>
      <c r="Q6" s="314"/>
      <c r="R6" s="333" t="str">
        <f>"E) " &amp; IF($S6=0,"",ROUND($S6,2) &amp; "-" &amp; ROUND($T6/$D$9,2))</f>
        <v>E) 1.23-2.37</v>
      </c>
      <c r="S6" s="1177">
        <f>1.2*1.02*1.006</f>
        <v>1.231344</v>
      </c>
      <c r="T6" s="305">
        <f>$S6*52.92</f>
        <v>65.162724480000008</v>
      </c>
      <c r="V6" s="138"/>
      <c r="W6" s="138"/>
      <c r="X6" s="130" t="s">
        <v>183</v>
      </c>
      <c r="Y6" s="130" t="s">
        <v>183</v>
      </c>
      <c r="Z6" s="130" t="s">
        <v>183</v>
      </c>
      <c r="AA6" s="130" t="s">
        <v>183</v>
      </c>
      <c r="AB6" s="130" t="s">
        <v>183</v>
      </c>
      <c r="AC6" s="130" t="s">
        <v>183</v>
      </c>
      <c r="AD6" s="130" t="s">
        <v>183</v>
      </c>
    </row>
    <row r="7" spans="1:30" ht="13.8">
      <c r="A7" s="459"/>
      <c r="B7" s="470" t="s">
        <v>12</v>
      </c>
      <c r="C7" s="385">
        <f t="shared" si="6"/>
        <v>1</v>
      </c>
      <c r="D7" s="14">
        <v>45694</v>
      </c>
      <c r="E7"/>
      <c r="F7" s="1152" t="s">
        <v>3734</v>
      </c>
      <c r="G7" s="466" t="b">
        <v>1</v>
      </c>
      <c r="I7" s="273">
        <v>7</v>
      </c>
      <c r="J7" s="274">
        <f t="shared" si="0"/>
        <v>1</v>
      </c>
      <c r="K7" s="274">
        <f t="shared" si="1"/>
        <v>1</v>
      </c>
      <c r="L7" s="274">
        <f t="shared" si="2"/>
        <v>1</v>
      </c>
      <c r="M7" s="274">
        <f t="shared" si="3"/>
        <v>1</v>
      </c>
      <c r="N7" s="274">
        <f t="shared" si="4"/>
        <v>1</v>
      </c>
      <c r="O7" s="274"/>
      <c r="P7" s="140"/>
      <c r="Q7" s="314"/>
      <c r="R7" s="334" t="str">
        <f>"F) " &amp; IF($S7=0,"",ROUND($S7,2) &amp; "-" &amp; ROUND($T7/$D$9,2))</f>
        <v>F) 1.23-1.23</v>
      </c>
      <c r="S7" s="1177">
        <f>1.2*1.02*1.006</f>
        <v>1.231344</v>
      </c>
      <c r="T7" s="305">
        <f>$S7*$D$9</f>
        <v>33.812706240000004</v>
      </c>
      <c r="V7" s="138"/>
      <c r="W7" s="138"/>
      <c r="X7" s="130" t="s">
        <v>183</v>
      </c>
      <c r="Y7" s="130" t="s">
        <v>183</v>
      </c>
      <c r="Z7" s="130" t="s">
        <v>183</v>
      </c>
      <c r="AA7" s="130" t="s">
        <v>183</v>
      </c>
      <c r="AB7" s="130" t="s">
        <v>183</v>
      </c>
      <c r="AC7" s="130" t="s">
        <v>183</v>
      </c>
      <c r="AD7" s="130" t="s">
        <v>183</v>
      </c>
    </row>
    <row r="8" spans="1:30" ht="26.4">
      <c r="A8" s="457"/>
      <c r="B8" s="470" t="s">
        <v>14</v>
      </c>
      <c r="C8" s="385">
        <f t="shared" si="6"/>
        <v>1</v>
      </c>
      <c r="D8" s="15" t="s">
        <v>3616</v>
      </c>
      <c r="E8"/>
      <c r="F8" s="1152" t="s">
        <v>3795</v>
      </c>
      <c r="G8" s="466" t="b">
        <v>1</v>
      </c>
      <c r="I8" s="273">
        <v>8</v>
      </c>
      <c r="J8" s="274">
        <f t="shared" si="0"/>
        <v>1</v>
      </c>
      <c r="K8" s="274">
        <f t="shared" si="1"/>
        <v>1</v>
      </c>
      <c r="L8" s="274">
        <f t="shared" si="2"/>
        <v>1</v>
      </c>
      <c r="M8" s="274">
        <f t="shared" si="3"/>
        <v>1</v>
      </c>
      <c r="N8" s="274">
        <f t="shared" si="4"/>
        <v>1</v>
      </c>
      <c r="O8" s="274"/>
      <c r="P8" s="16"/>
      <c r="Q8" s="314"/>
      <c r="R8" s="335" t="str">
        <f>"G) " &amp; IF($S8=0,"",ROUND($S8,2) &amp; "-" &amp; ROUND($T8/$D$9,2))</f>
        <v>G) 1.18-1.18</v>
      </c>
      <c r="S8" s="1177">
        <f>1.15*1.02*1.006</f>
        <v>1.1800379999999999</v>
      </c>
      <c r="T8" s="305">
        <f>$S8*$D$9</f>
        <v>32.403843479999999</v>
      </c>
      <c r="V8" s="138"/>
      <c r="W8" s="138"/>
      <c r="X8" s="130" t="s">
        <v>183</v>
      </c>
      <c r="Y8" s="130" t="s">
        <v>183</v>
      </c>
      <c r="Z8" s="130" t="s">
        <v>183</v>
      </c>
      <c r="AA8" s="130" t="s">
        <v>183</v>
      </c>
      <c r="AB8" s="130" t="s">
        <v>183</v>
      </c>
      <c r="AC8" s="130" t="s">
        <v>183</v>
      </c>
      <c r="AD8" s="130" t="s">
        <v>183</v>
      </c>
    </row>
    <row r="9" spans="1:30" ht="13.8">
      <c r="A9" s="459"/>
      <c r="B9" s="470" t="s">
        <v>263</v>
      </c>
      <c r="C9" s="385">
        <f t="shared" si="6"/>
        <v>1</v>
      </c>
      <c r="D9" s="589">
        <v>27.46</v>
      </c>
      <c r="E9" s="137" t="s">
        <v>3796</v>
      </c>
      <c r="F9" s="1152" t="s">
        <v>4125</v>
      </c>
      <c r="G9" s="466" t="b">
        <v>1</v>
      </c>
      <c r="I9" s="273">
        <v>9</v>
      </c>
      <c r="J9" s="274">
        <f t="shared" si="0"/>
        <v>1</v>
      </c>
      <c r="K9" s="274">
        <f t="shared" si="1"/>
        <v>1</v>
      </c>
      <c r="L9" s="274">
        <f t="shared" si="2"/>
        <v>1</v>
      </c>
      <c r="M9" s="274">
        <f t="shared" si="3"/>
        <v>1</v>
      </c>
      <c r="N9" s="274">
        <f t="shared" si="4"/>
        <v>1</v>
      </c>
      <c r="O9" s="274"/>
      <c r="P9" s="16"/>
      <c r="Q9" s="314"/>
      <c r="R9" s="336" t="str">
        <f>"H) " &amp; IF($S9=0,"",ROUND($S9,2) &amp; "-" &amp; ROUND($T9/$D$9,2))</f>
        <v>H) 1.18-1.18</v>
      </c>
      <c r="S9" s="1177">
        <f>1.15*1.02*1.006</f>
        <v>1.1800379999999999</v>
      </c>
      <c r="T9" s="305">
        <f>$S9*$D$9</f>
        <v>32.403843479999999</v>
      </c>
      <c r="V9" s="138"/>
      <c r="W9" s="138"/>
      <c r="X9" s="130" t="s">
        <v>183</v>
      </c>
      <c r="Y9" s="130" t="s">
        <v>183</v>
      </c>
      <c r="Z9" s="130" t="s">
        <v>183</v>
      </c>
      <c r="AA9" s="130" t="s">
        <v>183</v>
      </c>
      <c r="AB9" s="130" t="s">
        <v>183</v>
      </c>
      <c r="AC9" s="130" t="s">
        <v>183</v>
      </c>
      <c r="AD9" s="130" t="s">
        <v>183</v>
      </c>
    </row>
    <row r="10" spans="1:30" ht="13.8">
      <c r="A10" s="459"/>
      <c r="B10" s="471"/>
      <c r="C10" s="385">
        <f t="shared" si="6"/>
        <v>1</v>
      </c>
      <c r="E10" s="137"/>
      <c r="F10" s="1152" t="s">
        <v>4126</v>
      </c>
      <c r="G10" s="466" t="b">
        <v>1</v>
      </c>
      <c r="I10" s="273">
        <v>10</v>
      </c>
      <c r="J10" s="274">
        <f t="shared" si="0"/>
        <v>1</v>
      </c>
      <c r="K10" s="274">
        <f t="shared" si="1"/>
        <v>1</v>
      </c>
      <c r="L10" s="274">
        <f t="shared" si="2"/>
        <v>1</v>
      </c>
      <c r="M10" s="274">
        <f t="shared" si="3"/>
        <v>1</v>
      </c>
      <c r="N10" s="274">
        <f>$Q158</f>
        <v>1</v>
      </c>
      <c r="O10" s="274">
        <f>Q108</f>
        <v>1</v>
      </c>
      <c r="P10" s="16"/>
      <c r="Q10" s="314"/>
      <c r="R10" s="337" t="str">
        <f>" I) " &amp; IF($S10=0,"",ROUND($S10,2) &amp; "-" &amp; ROUND($T10/$D$9,2))</f>
        <v xml:space="preserve"> I) 1.18-1.18</v>
      </c>
      <c r="S10" s="1177">
        <f>1.15*1.02*1.006</f>
        <v>1.1800379999999999</v>
      </c>
      <c r="T10" s="305">
        <f>$S10*$D$9</f>
        <v>32.403843479999999</v>
      </c>
      <c r="V10" s="138"/>
      <c r="W10" s="138"/>
      <c r="X10" s="130" t="s">
        <v>183</v>
      </c>
      <c r="Y10" s="130" t="s">
        <v>183</v>
      </c>
      <c r="Z10" s="130" t="s">
        <v>183</v>
      </c>
      <c r="AA10" s="130" t="s">
        <v>183</v>
      </c>
      <c r="AB10" s="130" t="s">
        <v>183</v>
      </c>
      <c r="AC10" s="130" t="s">
        <v>183</v>
      </c>
      <c r="AD10" s="130" t="s">
        <v>183</v>
      </c>
    </row>
    <row r="11" spans="1:30" ht="13.8">
      <c r="A11" s="460"/>
      <c r="B11" s="472"/>
      <c r="C11" s="385">
        <f t="shared" si="6"/>
        <v>1</v>
      </c>
      <c r="D11"/>
      <c r="E11"/>
      <c r="F11" s="461"/>
      <c r="H11"/>
      <c r="I11" s="275"/>
      <c r="J11" s="275"/>
      <c r="K11" s="275"/>
      <c r="L11" s="275"/>
      <c r="M11" s="275"/>
      <c r="N11" s="275"/>
      <c r="O11" s="275"/>
      <c r="P11" s="136"/>
      <c r="Q11" s="314"/>
      <c r="R11" s="338" t="str">
        <f>"J) " &amp; IF($S11=0,"",ROUND($S11,2) &amp; "-" &amp; ROUND($T11/$D$9,2))</f>
        <v xml:space="preserve">J) </v>
      </c>
      <c r="S11" s="305"/>
      <c r="T11" s="305"/>
      <c r="X11" s="130" t="s">
        <v>183</v>
      </c>
      <c r="Y11" s="130" t="s">
        <v>183</v>
      </c>
      <c r="Z11" s="130" t="s">
        <v>183</v>
      </c>
      <c r="AA11" s="130" t="s">
        <v>183</v>
      </c>
      <c r="AB11" s="130" t="s">
        <v>183</v>
      </c>
      <c r="AC11" s="130" t="s">
        <v>183</v>
      </c>
      <c r="AD11" s="130" t="s">
        <v>183</v>
      </c>
    </row>
    <row r="12" spans="1:30" ht="12.75" customHeight="1" thickBot="1">
      <c r="A12" s="457"/>
      <c r="B12"/>
      <c r="C12" s="385">
        <f t="shared" si="6"/>
        <v>1</v>
      </c>
      <c r="D12" s="321"/>
      <c r="E12" s="322"/>
      <c r="F12" s="365"/>
      <c r="G12" s="290" t="s">
        <v>29</v>
      </c>
      <c r="H12" s="290" t="s">
        <v>29</v>
      </c>
      <c r="I12" s="290" t="s">
        <v>29</v>
      </c>
      <c r="J12" s="290" t="s">
        <v>29</v>
      </c>
      <c r="K12" s="290" t="s">
        <v>29</v>
      </c>
      <c r="L12" s="290" t="s">
        <v>29</v>
      </c>
      <c r="M12" s="290" t="s">
        <v>29</v>
      </c>
      <c r="N12" s="290" t="s">
        <v>29</v>
      </c>
      <c r="O12" s="290" t="s">
        <v>29</v>
      </c>
      <c r="P12" s="290" t="s">
        <v>29</v>
      </c>
      <c r="Q12" s="402"/>
      <c r="R12" s="369" t="s">
        <v>225</v>
      </c>
      <c r="S12" s="434" t="s">
        <v>31</v>
      </c>
      <c r="T12" s="435" t="s">
        <v>32</v>
      </c>
      <c r="X12" s="130" t="s">
        <v>183</v>
      </c>
      <c r="Y12" s="130" t="s">
        <v>183</v>
      </c>
      <c r="Z12" s="130" t="s">
        <v>183</v>
      </c>
      <c r="AA12" s="130" t="s">
        <v>183</v>
      </c>
      <c r="AB12" s="130" t="s">
        <v>183</v>
      </c>
      <c r="AC12" s="130" t="s">
        <v>183</v>
      </c>
      <c r="AD12" s="130" t="s">
        <v>183</v>
      </c>
    </row>
    <row r="13" spans="1:30" ht="17.25" customHeight="1" thickBot="1">
      <c r="A13" s="396"/>
      <c r="B13" s="397" t="s">
        <v>233</v>
      </c>
      <c r="C13" s="398"/>
      <c r="D13" s="399"/>
      <c r="E13" s="400"/>
      <c r="F13" s="401"/>
      <c r="G13" s="323" t="s">
        <v>215</v>
      </c>
      <c r="H13" s="324" t="s">
        <v>216</v>
      </c>
      <c r="I13" s="325" t="s">
        <v>21</v>
      </c>
      <c r="J13" s="325" t="s">
        <v>22</v>
      </c>
      <c r="K13" s="326" t="s">
        <v>23</v>
      </c>
      <c r="L13" s="323" t="s">
        <v>24</v>
      </c>
      <c r="M13" s="323" t="s">
        <v>25</v>
      </c>
      <c r="N13" s="324" t="s">
        <v>217</v>
      </c>
      <c r="O13" s="323" t="s">
        <v>27</v>
      </c>
      <c r="P13" s="327" t="s">
        <v>28</v>
      </c>
      <c r="Q13" s="394" t="s">
        <v>213</v>
      </c>
      <c r="R13" s="370" t="s">
        <v>226</v>
      </c>
      <c r="S13" s="436" t="s">
        <v>253</v>
      </c>
      <c r="T13" s="473">
        <f>SUM(Q108:Q164)/57</f>
        <v>1</v>
      </c>
      <c r="X13" s="130"/>
      <c r="Y13" s="130"/>
      <c r="Z13" s="130"/>
      <c r="AA13" s="130"/>
      <c r="AB13" s="130"/>
      <c r="AC13" s="130"/>
      <c r="AD13" s="130"/>
    </row>
    <row r="14" spans="1:30" ht="27.75" customHeight="1">
      <c r="A14" s="139"/>
      <c r="B14" s="1489" t="str">
        <f>IF($D$6&lt;&gt;"VAT EXCL.", "QUOTE ISSUED WITH                    VAT INCLUDED", "")</f>
        <v/>
      </c>
      <c r="C14" s="1489"/>
      <c r="D14" s="1489"/>
      <c r="E14" s="1489"/>
      <c r="F14" s="7"/>
      <c r="G14" s="7"/>
      <c r="H14" s="7"/>
      <c r="I14" s="7"/>
      <c r="J14" s="7"/>
      <c r="K14" s="7"/>
      <c r="L14" s="7"/>
      <c r="M14" s="7"/>
      <c r="N14" s="7"/>
      <c r="O14" s="7"/>
      <c r="P14" s="7"/>
      <c r="Q14" s="7"/>
      <c r="R14" s="142"/>
      <c r="S14"/>
      <c r="T14" s="143"/>
      <c r="X14" s="130" t="s">
        <v>183</v>
      </c>
      <c r="Y14" s="130" t="s">
        <v>183</v>
      </c>
      <c r="Z14" s="130" t="s">
        <v>183</v>
      </c>
      <c r="AA14" s="130" t="s">
        <v>183</v>
      </c>
      <c r="AB14" s="130" t="s">
        <v>183</v>
      </c>
      <c r="AC14" s="130" t="s">
        <v>183</v>
      </c>
      <c r="AD14" s="130" t="s">
        <v>183</v>
      </c>
    </row>
    <row r="15" spans="1:30" ht="14.25" customHeight="1">
      <c r="A15" s="313"/>
      <c r="B15" s="1489"/>
      <c r="C15" s="1489"/>
      <c r="D15" s="1489"/>
      <c r="E15" s="1489"/>
      <c r="F15" s="313"/>
      <c r="G15" s="313"/>
      <c r="H15" s="313"/>
      <c r="I15" s="313"/>
      <c r="J15" s="313"/>
      <c r="K15" s="313"/>
      <c r="L15" s="313"/>
      <c r="M15" s="313"/>
      <c r="N15" s="313"/>
      <c r="O15" s="313"/>
      <c r="P15" s="313"/>
      <c r="Q15" s="412">
        <f ca="1">(C72-F35)/C72</f>
        <v>0</v>
      </c>
      <c r="R15" s="300" t="s">
        <v>231</v>
      </c>
      <c r="S15" s="298"/>
      <c r="T15" s="299"/>
      <c r="X15" s="130" t="s">
        <v>183</v>
      </c>
      <c r="Y15" s="130" t="s">
        <v>183</v>
      </c>
      <c r="Z15" s="130" t="s">
        <v>183</v>
      </c>
      <c r="AA15" s="130" t="s">
        <v>183</v>
      </c>
      <c r="AB15" s="130" t="s">
        <v>183</v>
      </c>
      <c r="AC15" s="130" t="s">
        <v>183</v>
      </c>
      <c r="AD15" s="130" t="s">
        <v>183</v>
      </c>
    </row>
    <row r="16" spans="1:30" ht="13.5" customHeight="1">
      <c r="A16" s="139"/>
      <c r="B16" s="1488" t="str">
        <f>IF($W$1&lt;&gt;"BOQ", "DIFF SET TO " &amp; W1,"")</f>
        <v/>
      </c>
      <c r="C16" s="1488"/>
      <c r="D16" s="1488"/>
      <c r="E16" s="1488"/>
      <c r="F16" s="137"/>
      <c r="G16" s="137"/>
      <c r="H16" s="137"/>
      <c r="I16" s="137"/>
      <c r="J16" s="137"/>
      <c r="K16" s="137"/>
      <c r="L16" s="137"/>
      <c r="M16" s="137"/>
      <c r="N16" s="137"/>
      <c r="O16" s="137"/>
      <c r="P16" s="137"/>
      <c r="Q16" s="413">
        <f ca="1">(F35-E35)/F35</f>
        <v>9.6951899999999924E-2</v>
      </c>
      <c r="R16" s="306" t="s">
        <v>232</v>
      </c>
      <c r="S16" s="307"/>
      <c r="T16" s="308"/>
      <c r="X16" s="130" t="s">
        <v>183</v>
      </c>
      <c r="Y16" s="130" t="s">
        <v>183</v>
      </c>
      <c r="Z16" s="130" t="s">
        <v>183</v>
      </c>
      <c r="AA16" s="130" t="s">
        <v>183</v>
      </c>
      <c r="AB16" s="130" t="s">
        <v>183</v>
      </c>
      <c r="AC16" s="130" t="s">
        <v>183</v>
      </c>
      <c r="AD16" s="130" t="s">
        <v>183</v>
      </c>
    </row>
    <row r="17" spans="1:24" ht="13.5" customHeight="1">
      <c r="B17" s="1488"/>
      <c r="C17" s="1488"/>
      <c r="D17" s="1488"/>
      <c r="E17" s="1488"/>
      <c r="G17" s="8"/>
      <c r="H17" s="8"/>
      <c r="I17" s="8"/>
      <c r="J17" s="8"/>
      <c r="K17" s="8"/>
      <c r="L17" s="8"/>
      <c r="M17" s="8"/>
      <c r="N17" s="8"/>
      <c r="O17" s="8"/>
      <c r="P17" s="8"/>
      <c r="Q17" s="414">
        <f ca="1">F74</f>
        <v>9.6951899999999924E-2</v>
      </c>
      <c r="R17" s="309" t="s">
        <v>229</v>
      </c>
      <c r="S17" s="310"/>
      <c r="T17" s="353"/>
    </row>
    <row r="18" spans="1:24" ht="18.75" customHeight="1">
      <c r="A18" s="373"/>
      <c r="B18" s="1468" t="str">
        <f>IF(AND(G1,G2,G3,G4,G5,G6,G7,G8,G9,G10,H1)=TRUE, "", "CHECKLIST INCOMPLETE !" )</f>
        <v/>
      </c>
      <c r="C18" s="1468"/>
      <c r="D18" s="1468"/>
      <c r="E18" s="1468"/>
      <c r="F18" s="373"/>
      <c r="G18"/>
      <c r="H18"/>
      <c r="I18"/>
      <c r="J18"/>
      <c r="K18"/>
      <c r="L18"/>
      <c r="M18"/>
      <c r="N18"/>
      <c r="O18"/>
      <c r="P18"/>
      <c r="Q18" s="1480"/>
      <c r="R18" s="1480"/>
      <c r="S18" s="1480"/>
      <c r="T18" s="1480"/>
    </row>
    <row r="19" spans="1:24" ht="18" customHeight="1">
      <c r="B19" s="1481" t="str">
        <f ca="1">IF(ABS(SUM(A23:A32))&gt;100,"[Discy A-J] are high, Check it out."," ")</f>
        <v xml:space="preserve"> </v>
      </c>
      <c r="C19" s="1481"/>
      <c r="D19" s="1481"/>
      <c r="E19" s="1481"/>
      <c r="G19"/>
      <c r="H19"/>
      <c r="I19"/>
      <c r="J19"/>
      <c r="K19"/>
      <c r="L19"/>
      <c r="M19"/>
      <c r="N19"/>
      <c r="O19"/>
      <c r="P19"/>
      <c r="Q19" s="1432">
        <f ca="1">R83</f>
        <v>1.0825876831870451</v>
      </c>
      <c r="R19" s="309" t="s">
        <v>230</v>
      </c>
      <c r="S19" s="380"/>
      <c r="T19" s="381"/>
    </row>
    <row r="20" spans="1:24" ht="12.75" customHeight="1">
      <c r="A20" s="463"/>
      <c r="B20" s="463"/>
      <c r="C20" s="463"/>
      <c r="D20" s="463"/>
      <c r="E20" s="463"/>
      <c r="F20"/>
      <c r="G20"/>
      <c r="H20"/>
      <c r="I20"/>
      <c r="J20"/>
      <c r="K20"/>
      <c r="L20"/>
      <c r="M20"/>
      <c r="N20"/>
      <c r="O20"/>
      <c r="P20"/>
      <c r="Q20"/>
      <c r="R20"/>
      <c r="S20"/>
      <c r="T20"/>
    </row>
    <row r="21" spans="1:24" ht="13.8">
      <c r="A21"/>
      <c r="B21" s="145"/>
      <c r="C21" s="146"/>
      <c r="D21" s="301"/>
      <c r="E21" s="311" t="s">
        <v>209</v>
      </c>
      <c r="F21" s="292" t="s">
        <v>33</v>
      </c>
      <c r="G21" s="78"/>
      <c r="H21" s="78"/>
      <c r="I21" s="78"/>
      <c r="J21" s="78"/>
      <c r="K21" s="78"/>
      <c r="L21" s="78"/>
      <c r="M21" s="78"/>
      <c r="N21" s="78"/>
      <c r="O21" s="78"/>
      <c r="P21" s="78"/>
      <c r="Q21" s="302" t="s">
        <v>211</v>
      </c>
      <c r="R21" s="292" t="s">
        <v>34</v>
      </c>
      <c r="S21" s="78"/>
      <c r="T21" s="292" t="s">
        <v>35</v>
      </c>
      <c r="V21"/>
      <c r="W21"/>
      <c r="X21"/>
    </row>
    <row r="22" spans="1:24">
      <c r="A22" s="367" t="s">
        <v>220</v>
      </c>
      <c r="B22" s="328" t="s">
        <v>212</v>
      </c>
      <c r="C22"/>
      <c r="D22" s="301"/>
      <c r="E22" s="312" t="str">
        <f>"SELLING  " &amp; $Q$1</f>
        <v>SELLING  €</v>
      </c>
      <c r="F22" s="420" t="str">
        <f>$Q$1</f>
        <v>€</v>
      </c>
      <c r="G22" s="294" t="s">
        <v>276</v>
      </c>
      <c r="H22" s="511" t="s">
        <v>273</v>
      </c>
      <c r="I22" s="511" t="s">
        <v>274</v>
      </c>
      <c r="J22" s="512" t="s">
        <v>275</v>
      </c>
      <c r="K22" s="294"/>
      <c r="L22" s="294"/>
      <c r="M22" s="294"/>
      <c r="N22" s="294"/>
      <c r="O22" s="294"/>
      <c r="P22" s="294"/>
      <c r="Q22" s="303" t="s">
        <v>210</v>
      </c>
      <c r="R22" s="295" t="s">
        <v>247</v>
      </c>
      <c r="S22" s="294"/>
      <c r="T22" s="293" t="s">
        <v>248</v>
      </c>
      <c r="V22"/>
      <c r="W22"/>
      <c r="X22"/>
    </row>
    <row r="23" spans="1:24">
      <c r="A23" s="382">
        <f ca="1">IF($F23=0,"",($F23/$C2)-($R23*$S2+$T23*$T2))</f>
        <v>-2.791079840157181</v>
      </c>
      <c r="B23" s="329" t="str">
        <f ca="1">IF(F23=0,"",IF(R23=0,"A) "&amp;"---,    "&amp;ROUND(($F23/$C2-($R23*$S2))/$T23,2),IF(T23=0,"A) "&amp;ROUND(($F23/$C2)/$R23,2),"A) "&amp;ROUND(($F23/$C2-($T23*$T2))/$R23,2)&amp;", "
&amp;ROUND(($F23/$C2-($R23*$S2))/$T23,2))))</f>
        <v>A) 1.23, 33.81</v>
      </c>
      <c r="C23"/>
      <c r="D23" s="366" t="str">
        <f>IF($F2="","",$F2)</f>
        <v>Electrical</v>
      </c>
      <c r="E23" s="476">
        <f ca="1">F23*(1-Q23)</f>
        <v>593489.32495563757</v>
      </c>
      <c r="F23" s="475">
        <f ca="1">Elec_Est!F11462+Fire_Stopping_Est!F401</f>
        <v>657206.7700000006</v>
      </c>
      <c r="G23" s="281">
        <f>C2</f>
        <v>1</v>
      </c>
      <c r="H23" s="368">
        <f>$S2</f>
        <v>1.231344</v>
      </c>
      <c r="I23" s="368">
        <f>$T2</f>
        <v>33.812706240000004</v>
      </c>
      <c r="J23" s="281">
        <f>$D$9</f>
        <v>27.46</v>
      </c>
      <c r="K23" s="281"/>
      <c r="L23" s="281"/>
      <c r="M23" s="281"/>
      <c r="N23" s="281"/>
      <c r="O23" s="281"/>
      <c r="P23" s="281"/>
      <c r="Q23" s="1435">
        <v>9.6951899999999994E-2</v>
      </c>
      <c r="R23" s="475">
        <f ca="1">Elec_Est!R11462+Fire_Stopping_Est!R401</f>
        <v>349590.82009985991</v>
      </c>
      <c r="S23" s="281"/>
      <c r="T23" s="475">
        <f ca="1">Elec_Est!T11462+Fire_Stopping_Est!T401</f>
        <v>6705.8519565217384</v>
      </c>
      <c r="V23"/>
      <c r="W23"/>
      <c r="X23"/>
    </row>
    <row r="24" spans="1:24">
      <c r="A24" s="383">
        <f t="shared" ref="A24:A32" ca="1" si="8">IF($F24=0,"",($F24/$C3)-($R24*$S3+$T24*$T3))</f>
        <v>-0.31921065470669419</v>
      </c>
      <c r="B24" s="330" t="str">
        <f t="shared" ref="B24:B32" ca="1" si="9">IF(F24=0,"",IF(R24=0,"A) "&amp;"---,    "&amp;ROUND(($F24/$C3-($R24*$S3))/$T24,2),IF(T24=0,"A) "&amp;ROUND(($F24/$C3)/$R24,2),"A) "&amp;ROUND(($F24/$C3-($T24*$T3))/$R24,2)&amp;", "
&amp;ROUND(($F24/$C3-($R24*$S3))/$T24,2))))</f>
        <v>A) 1.13, 30.96</v>
      </c>
      <c r="C24"/>
      <c r="D24" s="366" t="str">
        <f t="shared" ref="D24:D32" si="10">IF($F3="","",$F3)</f>
        <v>ELV Installation (NAS Ltd)</v>
      </c>
      <c r="E24" s="476">
        <f t="shared" ref="E24:E32" ca="1" si="11">F24*(1-Q24)</f>
        <v>134683.05895531291</v>
      </c>
      <c r="F24" s="475">
        <f ca="1">Elec_Est!F11463+Fire_Stopping_Est!F402</f>
        <v>149142.72999999989</v>
      </c>
      <c r="G24" s="281">
        <f t="shared" ref="G24:G32" si="12">C3</f>
        <v>1</v>
      </c>
      <c r="H24" s="368">
        <f t="shared" ref="H24:H32" si="13">$S3</f>
        <v>1.1287320000000001</v>
      </c>
      <c r="I24" s="368">
        <f t="shared" ref="I24:I32" si="14">$T3</f>
        <v>30.994980720000004</v>
      </c>
      <c r="J24" s="281">
        <f t="shared" ref="J24:J32" si="15">$D$9</f>
        <v>27.46</v>
      </c>
      <c r="K24" s="281"/>
      <c r="L24" s="281"/>
      <c r="M24" s="281"/>
      <c r="N24" s="281"/>
      <c r="O24" s="281"/>
      <c r="P24" s="281"/>
      <c r="Q24" s="1435">
        <v>9.6951899999999994E-2</v>
      </c>
      <c r="R24" s="475">
        <f>Elec_Est!R11463+Fire_Stopping_Est!R402</f>
        <v>131910.84320000018</v>
      </c>
      <c r="S24" s="281"/>
      <c r="T24" s="475">
        <f>Elec_Est!T11463+Fire_Stopping_Est!T402</f>
        <v>8.1</v>
      </c>
      <c r="V24"/>
      <c r="W24"/>
      <c r="X24"/>
    </row>
    <row r="25" spans="1:24">
      <c r="A25" s="383">
        <f t="shared" ca="1" si="8"/>
        <v>1.7301422400123556</v>
      </c>
      <c r="B25" s="331" t="str">
        <f t="shared" ca="1" si="9"/>
        <v>A) 1.13</v>
      </c>
      <c r="C25"/>
      <c r="D25" s="366" t="str">
        <f t="shared" si="10"/>
        <v>Lightning Protection System (MCE Ltd)</v>
      </c>
      <c r="E25" s="476">
        <f t="shared" ca="1" si="11"/>
        <v>47155.040588484015</v>
      </c>
      <c r="F25" s="475">
        <f ca="1">Elec_Est!F11464+Fire_Stopping_Est!F403</f>
        <v>52217.640000000014</v>
      </c>
      <c r="G25" s="281">
        <f t="shared" si="12"/>
        <v>1</v>
      </c>
      <c r="H25" s="368">
        <f t="shared" si="13"/>
        <v>1.1287320000000001</v>
      </c>
      <c r="I25" s="368">
        <f t="shared" si="14"/>
        <v>30.994980720000004</v>
      </c>
      <c r="J25" s="281">
        <f t="shared" si="15"/>
        <v>27.46</v>
      </c>
      <c r="K25" s="281"/>
      <c r="L25" s="281"/>
      <c r="M25" s="281"/>
      <c r="N25" s="281"/>
      <c r="O25" s="281"/>
      <c r="P25" s="281"/>
      <c r="Q25" s="1435">
        <v>9.6951899999999994E-2</v>
      </c>
      <c r="R25" s="475">
        <f>Elec_Est!R11464+Fire_Stopping_Est!R403</f>
        <v>46260.68</v>
      </c>
      <c r="S25" s="281"/>
      <c r="T25" s="475">
        <f>Elec_Est!T11464+Fire_Stopping_Est!T403</f>
        <v>0</v>
      </c>
      <c r="V25"/>
      <c r="W25"/>
      <c r="X25"/>
    </row>
    <row r="26" spans="1:24">
      <c r="A26" s="383">
        <f t="shared" ca="1" si="8"/>
        <v>-6.8000319993188896E-3</v>
      </c>
      <c r="B26" s="332" t="str">
        <f t="shared" ca="1" si="9"/>
        <v>A) 1.23, 53.34</v>
      </c>
      <c r="C26"/>
      <c r="D26" s="366" t="str">
        <f t="shared" si="10"/>
        <v>Controls ECA</v>
      </c>
      <c r="E26" s="476">
        <f t="shared" ca="1" si="11"/>
        <v>3025.5091408730004</v>
      </c>
      <c r="F26" s="475">
        <f ca="1">Elec_Est!F11465+Fire_Stopping_Est!F404</f>
        <v>3350.3300000000004</v>
      </c>
      <c r="G26" s="281">
        <f t="shared" si="12"/>
        <v>1</v>
      </c>
      <c r="H26" s="368">
        <f t="shared" si="13"/>
        <v>1.231344</v>
      </c>
      <c r="I26" s="368">
        <f t="shared" si="14"/>
        <v>53.34182208</v>
      </c>
      <c r="J26" s="281">
        <f t="shared" si="15"/>
        <v>27.46</v>
      </c>
      <c r="K26" s="281"/>
      <c r="L26" s="281"/>
      <c r="M26" s="281"/>
      <c r="N26" s="281"/>
      <c r="O26" s="281"/>
      <c r="P26" s="281"/>
      <c r="Q26" s="1435">
        <v>9.6951899999999994E-2</v>
      </c>
      <c r="R26" s="475">
        <f>Elec_Est!R11465+Fire_Stopping_Est!R404</f>
        <v>2486.9499999999998</v>
      </c>
      <c r="S26" s="281"/>
      <c r="T26" s="475">
        <f>Elec_Est!T11465+Fire_Stopping_Est!T404</f>
        <v>5.4</v>
      </c>
      <c r="V26"/>
      <c r="W26"/>
      <c r="X26"/>
    </row>
    <row r="27" spans="1:24">
      <c r="A27" s="383">
        <f t="shared" si="8"/>
        <v>-4.2568320004647831E-3</v>
      </c>
      <c r="B27" s="333" t="str">
        <f t="shared" si="9"/>
        <v>A) ---,    65.16</v>
      </c>
      <c r="C27"/>
      <c r="D27" s="366" t="str">
        <f t="shared" si="10"/>
        <v xml:space="preserve">Testing and Commissiong </v>
      </c>
      <c r="E27" s="476">
        <f t="shared" si="11"/>
        <v>7997.0417848410007</v>
      </c>
      <c r="F27" s="475">
        <f>Elec_Est!F11466+Fire_Stopping_Est!F405</f>
        <v>8855.61</v>
      </c>
      <c r="G27" s="281">
        <f t="shared" si="12"/>
        <v>1</v>
      </c>
      <c r="H27" s="368">
        <f t="shared" si="13"/>
        <v>1.231344</v>
      </c>
      <c r="I27" s="368">
        <f t="shared" si="14"/>
        <v>65.162724480000008</v>
      </c>
      <c r="J27" s="281">
        <f t="shared" si="15"/>
        <v>27.46</v>
      </c>
      <c r="K27" s="281"/>
      <c r="L27" s="281"/>
      <c r="M27" s="281"/>
      <c r="N27" s="281"/>
      <c r="O27" s="281"/>
      <c r="P27" s="281"/>
      <c r="Q27" s="1435">
        <v>9.6951899999999994E-2</v>
      </c>
      <c r="R27" s="475">
        <f>Elec_Est!R11466+Fire_Stopping_Est!R405</f>
        <v>0</v>
      </c>
      <c r="S27" s="281"/>
      <c r="T27" s="475">
        <f>Elec_Est!T11466+Fire_Stopping_Est!T405</f>
        <v>135.9</v>
      </c>
      <c r="V27"/>
      <c r="W27"/>
      <c r="X27"/>
    </row>
    <row r="28" spans="1:24">
      <c r="A28" s="383">
        <f t="shared" si="8"/>
        <v>-3.5349040001165122E-2</v>
      </c>
      <c r="B28" s="334" t="str">
        <f t="shared" si="9"/>
        <v>A) 1.23, 33.81</v>
      </c>
      <c r="C28"/>
      <c r="D28" s="366" t="str">
        <f t="shared" si="10"/>
        <v>Fire Stopping rates</v>
      </c>
      <c r="E28" s="476">
        <f t="shared" si="11"/>
        <v>49942.984865689999</v>
      </c>
      <c r="F28" s="475">
        <f>Elec_Est!F11467+Fire_Stopping_Est!F406</f>
        <v>55304.899999999994</v>
      </c>
      <c r="G28" s="281">
        <f t="shared" si="12"/>
        <v>1</v>
      </c>
      <c r="H28" s="368">
        <f t="shared" si="13"/>
        <v>1.231344</v>
      </c>
      <c r="I28" s="368">
        <f t="shared" si="14"/>
        <v>33.812706240000004</v>
      </c>
      <c r="J28" s="281">
        <f t="shared" si="15"/>
        <v>27.46</v>
      </c>
      <c r="K28" s="281"/>
      <c r="L28" s="281"/>
      <c r="M28" s="281"/>
      <c r="N28" s="281"/>
      <c r="O28" s="281"/>
      <c r="P28" s="281"/>
      <c r="Q28" s="1435">
        <v>9.6951899999999994E-2</v>
      </c>
      <c r="R28" s="475">
        <f>Elec_Est!R11467+Fire_Stopping_Est!R406</f>
        <v>28788.399999999998</v>
      </c>
      <c r="S28" s="281"/>
      <c r="T28" s="475">
        <f>Elec_Est!T11467+Fire_Stopping_Est!T406</f>
        <v>587.25</v>
      </c>
      <c r="V28"/>
      <c r="W28"/>
      <c r="X28"/>
    </row>
    <row r="29" spans="1:24">
      <c r="A29" s="383">
        <f t="shared" si="8"/>
        <v>3.7939125904813409E-3</v>
      </c>
      <c r="B29" s="335" t="str">
        <f t="shared" si="9"/>
        <v>A) 1.18, 32.4</v>
      </c>
      <c r="C29"/>
      <c r="D29" s="366" t="str">
        <f t="shared" si="10"/>
        <v>Main Equipment (Gen Set / Main Switchboards)</v>
      </c>
      <c r="E29" s="476">
        <f t="shared" si="11"/>
        <v>258266.88014026004</v>
      </c>
      <c r="F29" s="475">
        <f>Elec_Est!F11468+Fire_Stopping_Est!F407</f>
        <v>285994.60000000003</v>
      </c>
      <c r="G29" s="281">
        <f t="shared" si="12"/>
        <v>1</v>
      </c>
      <c r="H29" s="368">
        <f t="shared" si="13"/>
        <v>1.1800379999999999</v>
      </c>
      <c r="I29" s="368">
        <f t="shared" si="14"/>
        <v>32.403843479999999</v>
      </c>
      <c r="J29" s="281">
        <f t="shared" si="15"/>
        <v>27.46</v>
      </c>
      <c r="K29" s="281"/>
      <c r="L29" s="281"/>
      <c r="M29" s="281"/>
      <c r="N29" s="281"/>
      <c r="O29" s="281"/>
      <c r="P29" s="281"/>
      <c r="Q29" s="1435">
        <v>9.6951899999999994E-2</v>
      </c>
      <c r="R29" s="475">
        <f>Elec_Est!R11468+Fire_Stopping_Est!R407</f>
        <v>236420.24</v>
      </c>
      <c r="S29" s="281"/>
      <c r="T29" s="475">
        <f>Elec_Est!T11468+Fire_Stopping_Est!T407</f>
        <v>216.32400000000001</v>
      </c>
      <c r="V29"/>
      <c r="W29"/>
      <c r="X29"/>
    </row>
    <row r="30" spans="1:24">
      <c r="A30" s="383">
        <f t="shared" si="8"/>
        <v>-1.9634287746157497E-2</v>
      </c>
      <c r="B30" s="336" t="str">
        <f t="shared" si="9"/>
        <v>A) 1.18, 32.4</v>
      </c>
      <c r="C30"/>
      <c r="D30" s="366" t="str">
        <f t="shared" si="10"/>
        <v>DBs and Changeover</v>
      </c>
      <c r="E30" s="476">
        <f t="shared" si="11"/>
        <v>64335.295898477991</v>
      </c>
      <c r="F30" s="475">
        <f>Elec_Est!F11469+Fire_Stopping_Est!F408</f>
        <v>71242.37999999999</v>
      </c>
      <c r="G30" s="281">
        <f t="shared" si="12"/>
        <v>1</v>
      </c>
      <c r="H30" s="368">
        <f t="shared" si="13"/>
        <v>1.1800379999999999</v>
      </c>
      <c r="I30" s="368">
        <f t="shared" si="14"/>
        <v>32.403843479999999</v>
      </c>
      <c r="J30" s="281">
        <f t="shared" si="15"/>
        <v>27.46</v>
      </c>
      <c r="K30" s="281"/>
      <c r="L30" s="281"/>
      <c r="M30" s="281"/>
      <c r="N30" s="281"/>
      <c r="O30" s="281"/>
      <c r="P30" s="281"/>
      <c r="Q30" s="1435">
        <v>9.6951899999999994E-2</v>
      </c>
      <c r="R30" s="475">
        <f>Elec_Est!R11469+Fire_Stopping_Est!R408</f>
        <v>50142.734000000004</v>
      </c>
      <c r="S30" s="281"/>
      <c r="T30" s="475">
        <f>Elec_Est!T11469+Fire_Stopping_Est!T408</f>
        <v>372.55049999999994</v>
      </c>
      <c r="V30"/>
      <c r="W30"/>
      <c r="X30"/>
    </row>
    <row r="31" spans="1:24">
      <c r="A31" s="383">
        <f t="shared" ca="1" si="8"/>
        <v>1.183645577984862</v>
      </c>
      <c r="B31" s="337" t="str">
        <f t="shared" ca="1" si="9"/>
        <v>A) 1.18, 32.41</v>
      </c>
      <c r="C31"/>
      <c r="D31" s="366" t="str">
        <f t="shared" si="10"/>
        <v>Armoured Cables</v>
      </c>
      <c r="E31" s="476">
        <f t="shared" ca="1" si="11"/>
        <v>319323.994039485</v>
      </c>
      <c r="F31" s="475">
        <f ca="1">Elec_Est!F11470+Fire_Stopping_Est!F409</f>
        <v>353606.85</v>
      </c>
      <c r="G31" s="281">
        <f t="shared" si="12"/>
        <v>1</v>
      </c>
      <c r="H31" s="368">
        <f t="shared" si="13"/>
        <v>1.1800379999999999</v>
      </c>
      <c r="I31" s="368">
        <f t="shared" si="14"/>
        <v>32.403843479999999</v>
      </c>
      <c r="J31" s="281">
        <f t="shared" si="15"/>
        <v>27.46</v>
      </c>
      <c r="K31" s="281"/>
      <c r="L31" s="281"/>
      <c r="M31" s="281"/>
      <c r="N31" s="281"/>
      <c r="O31" s="281"/>
      <c r="P31" s="281"/>
      <c r="Q31" s="1435">
        <v>9.6951899999999994E-2</v>
      </c>
      <c r="R31" s="475">
        <f ca="1">Elec_Est!R11470+Fire_Stopping_Est!R409</f>
        <v>280841.95</v>
      </c>
      <c r="S31" s="281"/>
      <c r="T31" s="475">
        <f ca="1">Elec_Est!T11470+Fire_Stopping_Est!T409</f>
        <v>685.1500000000002</v>
      </c>
      <c r="V31" s="588" t="s">
        <v>4118</v>
      </c>
      <c r="W31" s="1414">
        <v>1615942.7799999984</v>
      </c>
      <c r="X31"/>
    </row>
    <row r="32" spans="1:24">
      <c r="A32" s="384" t="str">
        <f t="shared" si="8"/>
        <v/>
      </c>
      <c r="B32" s="437" t="str">
        <f t="shared" si="9"/>
        <v/>
      </c>
      <c r="C32"/>
      <c r="D32" s="366" t="str">
        <f t="shared" si="10"/>
        <v/>
      </c>
      <c r="E32" s="476">
        <f t="shared" si="11"/>
        <v>0</v>
      </c>
      <c r="F32" s="475">
        <f>Elec_Est!F11471+Fire_Stopping_Est!F410</f>
        <v>0</v>
      </c>
      <c r="G32" s="281">
        <f t="shared" si="12"/>
        <v>1</v>
      </c>
      <c r="H32" s="368">
        <f t="shared" si="13"/>
        <v>0</v>
      </c>
      <c r="I32" s="368">
        <f t="shared" si="14"/>
        <v>0</v>
      </c>
      <c r="J32" s="281">
        <f t="shared" si="15"/>
        <v>27.46</v>
      </c>
      <c r="K32" s="281"/>
      <c r="L32" s="281"/>
      <c r="M32" s="281"/>
      <c r="N32" s="281"/>
      <c r="O32" s="281"/>
      <c r="P32" s="281"/>
      <c r="Q32" s="304"/>
      <c r="R32" s="475">
        <f>Elec_Est!R11471+Fire_Stopping_Est!R410</f>
        <v>0</v>
      </c>
      <c r="S32" s="281"/>
      <c r="T32" s="475">
        <f>Elec_Est!T11471+Fire_Stopping_Est!T410</f>
        <v>0</v>
      </c>
      <c r="V32"/>
      <c r="W32"/>
      <c r="X32"/>
    </row>
    <row r="33" spans="1:24">
      <c r="B33"/>
      <c r="C33" s="343" t="s">
        <v>218</v>
      </c>
      <c r="D33"/>
      <c r="E33"/>
      <c r="F33" s="342"/>
      <c r="G33" s="281"/>
      <c r="H33" s="281"/>
      <c r="I33" s="281"/>
      <c r="J33" s="281"/>
      <c r="K33" s="281"/>
      <c r="L33" s="281"/>
      <c r="M33" s="281"/>
      <c r="N33" s="281"/>
      <c r="O33" s="281"/>
      <c r="P33" s="281"/>
      <c r="R33" s="343"/>
      <c r="S33" s="281"/>
      <c r="T33" s="342"/>
      <c r="V33"/>
      <c r="W33"/>
      <c r="X33"/>
    </row>
    <row r="34" spans="1:24" ht="13.8" thickBot="1">
      <c r="B34" s="36"/>
      <c r="C34"/>
      <c r="R34" s="289"/>
      <c r="S34" s="289"/>
      <c r="T34" s="289"/>
      <c r="V34"/>
      <c r="W34"/>
      <c r="X34" t="s">
        <v>3743</v>
      </c>
    </row>
    <row r="35" spans="1:24">
      <c r="A35" s="438" t="s">
        <v>221</v>
      </c>
      <c r="B35" s="442">
        <f ca="1">Summary!E54</f>
        <v>1478219.1303690611</v>
      </c>
      <c r="E35" s="476">
        <f ca="1">SUM(E23:E32)</f>
        <v>1478219.1303690616</v>
      </c>
      <c r="F35" s="475">
        <f ca="1">SUM(F23:F32)</f>
        <v>1636921.8100000005</v>
      </c>
      <c r="G35" s="282"/>
      <c r="H35" s="282"/>
      <c r="I35" s="282"/>
      <c r="J35" s="282"/>
      <c r="K35" s="282"/>
      <c r="L35" s="282"/>
      <c r="M35" s="282"/>
      <c r="N35" s="282"/>
      <c r="O35" s="282"/>
      <c r="P35" s="282"/>
      <c r="Q35" s="283"/>
      <c r="R35" s="287">
        <f ca="1">SUM(R23:R32)</f>
        <v>1126442.6172998601</v>
      </c>
      <c r="S35" s="284"/>
      <c r="T35" s="287">
        <f ca="1">SUM(T23:T32)</f>
        <v>8716.5264565217385</v>
      </c>
      <c r="V35" s="1412">
        <f ca="1">W31-E35</f>
        <v>137723.64963093679</v>
      </c>
      <c r="W35"/>
      <c r="X35" s="535" t="s">
        <v>3735</v>
      </c>
    </row>
    <row r="36" spans="1:24" ht="14.4" thickBot="1">
      <c r="A36" s="439" t="str">
        <f xml:space="preserve"> IF(A39=0,"0.00",A39-(A38*A37))</f>
        <v>0.00</v>
      </c>
      <c r="B36" s="441" t="s">
        <v>254</v>
      </c>
      <c r="E36" s="510" t="str">
        <f>"ESTIM TOTAL (" &amp; $Q$1 &amp; ")"</f>
        <v>ESTIM TOTAL (€)</v>
      </c>
      <c r="G36" s="282"/>
      <c r="H36" s="282"/>
      <c r="I36" s="282"/>
      <c r="J36" s="282"/>
      <c r="K36" s="282"/>
      <c r="L36" s="282"/>
      <c r="M36" s="282"/>
      <c r="N36" s="282"/>
      <c r="O36" s="282"/>
      <c r="P36" s="282"/>
      <c r="Q36" s="283"/>
      <c r="V36"/>
      <c r="W36"/>
      <c r="X36" s="535" t="s">
        <v>3736</v>
      </c>
    </row>
    <row r="37" spans="1:24" ht="13.8">
      <c r="A37" s="375">
        <v>1.125</v>
      </c>
      <c r="B37" s="440" t="s">
        <v>243</v>
      </c>
      <c r="C37" s="263"/>
      <c r="D37"/>
      <c r="E37" s="379"/>
      <c r="G37"/>
      <c r="H37"/>
      <c r="I37"/>
      <c r="J37"/>
      <c r="K37"/>
      <c r="L37"/>
      <c r="M37"/>
      <c r="N37"/>
      <c r="O37"/>
      <c r="P37"/>
      <c r="Q37"/>
      <c r="R37" s="422">
        <f ca="1">R165</f>
        <v>1126454.5211892172</v>
      </c>
      <c r="S37" s="423" t="s">
        <v>214</v>
      </c>
      <c r="T37" s="421">
        <f ca="1">T165</f>
        <v>8703.3967254300478</v>
      </c>
      <c r="V37"/>
      <c r="W37"/>
      <c r="X37" s="535" t="s">
        <v>3737</v>
      </c>
    </row>
    <row r="38" spans="1:24">
      <c r="A38" s="377"/>
      <c r="B38" s="376" t="s">
        <v>241</v>
      </c>
      <c r="C38"/>
      <c r="D38" s="1433"/>
      <c r="F38" s="1434"/>
      <c r="G38"/>
      <c r="H38"/>
      <c r="I38"/>
      <c r="J38"/>
      <c r="K38"/>
      <c r="L38"/>
      <c r="M38"/>
      <c r="N38"/>
      <c r="O38"/>
      <c r="P38"/>
      <c r="Q38"/>
      <c r="R38"/>
      <c r="S38"/>
      <c r="T38"/>
      <c r="X38" s="588" t="s">
        <v>3738</v>
      </c>
    </row>
    <row r="39" spans="1:24">
      <c r="A39" s="378"/>
      <c r="B39" s="376" t="s">
        <v>242</v>
      </c>
      <c r="C39"/>
      <c r="D39"/>
      <c r="E39" s="1433"/>
      <c r="F39" s="1433"/>
      <c r="G39" s="262"/>
      <c r="H39" s="262"/>
      <c r="I39" s="262"/>
      <c r="J39" s="262"/>
      <c r="K39" s="262"/>
      <c r="L39" s="262"/>
      <c r="M39" s="262"/>
      <c r="N39" s="262"/>
      <c r="O39" s="262"/>
      <c r="P39" s="262"/>
      <c r="Q39" s="374" t="s">
        <v>222</v>
      </c>
      <c r="R39" s="424">
        <f ca="1">R37-R35</f>
        <v>11.903889357112348</v>
      </c>
      <c r="S39" s="456" t="s">
        <v>261</v>
      </c>
      <c r="T39" s="425">
        <f ca="1">T37-T35</f>
        <v>-13.129731091690701</v>
      </c>
      <c r="X39" s="36" t="s">
        <v>3739</v>
      </c>
    </row>
    <row r="40" spans="1:24" ht="14.25" customHeight="1">
      <c r="S40" s="467"/>
      <c r="X40" s="36" t="s">
        <v>3740</v>
      </c>
    </row>
    <row r="41" spans="1:24">
      <c r="B41" s="426" t="s">
        <v>244</v>
      </c>
      <c r="C41" s="427"/>
      <c r="D41" s="416">
        <v>45705</v>
      </c>
      <c r="E41" s="428">
        <v>2372471.2200000039</v>
      </c>
      <c r="F41" s="428">
        <v>2372471.2200000039</v>
      </c>
      <c r="G41" s="429"/>
      <c r="H41" s="429"/>
      <c r="I41" s="429"/>
      <c r="J41" s="429"/>
      <c r="K41" s="429"/>
      <c r="L41" s="429"/>
      <c r="M41" s="429"/>
      <c r="N41" s="429"/>
      <c r="O41" s="429"/>
      <c r="P41" s="429"/>
      <c r="Q41" s="430"/>
      <c r="R41" s="428">
        <v>1470470.4309999999</v>
      </c>
      <c r="S41" s="430"/>
      <c r="T41" s="428">
        <v>11882.590000000038</v>
      </c>
      <c r="V41" s="1196">
        <f ca="1">E41-E35</f>
        <v>894252.08963094233</v>
      </c>
      <c r="W41" s="588" t="s">
        <v>4113</v>
      </c>
      <c r="X41" s="588" t="s">
        <v>3744</v>
      </c>
    </row>
    <row r="42" spans="1:24" ht="13.8">
      <c r="B42" s="415"/>
      <c r="C42"/>
      <c r="D42" s="417"/>
      <c r="E42" s="344"/>
      <c r="F42" s="344"/>
      <c r="G42" s="344"/>
      <c r="H42" s="344"/>
      <c r="I42" s="344"/>
      <c r="J42" s="344"/>
      <c r="K42" s="344"/>
      <c r="L42" s="344"/>
      <c r="M42" s="344"/>
      <c r="N42" s="344"/>
      <c r="O42" s="344"/>
      <c r="P42" s="344"/>
      <c r="Q42" s="344"/>
      <c r="R42" s="344"/>
      <c r="S42" s="344"/>
      <c r="T42" s="344"/>
      <c r="X42" s="588" t="s">
        <v>3760</v>
      </c>
    </row>
    <row r="43" spans="1:24" ht="12.6" customHeight="1">
      <c r="B43" s="415"/>
      <c r="C43"/>
      <c r="D43" s="418" t="s">
        <v>7</v>
      </c>
      <c r="E43" s="344" t="s">
        <v>3772</v>
      </c>
      <c r="F43" s="1212">
        <v>250866.93000000669</v>
      </c>
      <c r="G43" s="1212"/>
      <c r="H43" s="1212"/>
      <c r="I43" s="1212"/>
      <c r="J43" s="1212"/>
      <c r="K43" s="1212"/>
      <c r="L43" s="1212"/>
      <c r="M43" s="1212"/>
      <c r="N43" s="1212"/>
      <c r="O43" s="1212"/>
      <c r="P43" s="1212"/>
      <c r="Q43" s="1212"/>
      <c r="R43" s="1212">
        <v>93653.822800000664</v>
      </c>
      <c r="S43" s="1212"/>
      <c r="T43" s="1212">
        <v>1121.2750000000178</v>
      </c>
      <c r="X43" s="588" t="s">
        <v>3745</v>
      </c>
    </row>
    <row r="44" spans="1:24" ht="12.6" customHeight="1">
      <c r="B44" s="264"/>
      <c r="C44" s="265"/>
      <c r="D44" s="265"/>
      <c r="E44" s="1210" t="s">
        <v>3773</v>
      </c>
      <c r="F44" s="1227">
        <v>399264.48000000371</v>
      </c>
      <c r="G44" s="1210"/>
      <c r="H44" s="1210"/>
      <c r="I44" s="1210"/>
      <c r="J44" s="1210"/>
      <c r="K44" s="1210"/>
      <c r="L44" s="1210"/>
      <c r="M44" s="1210"/>
      <c r="N44" s="1210"/>
      <c r="O44" s="1210"/>
      <c r="P44" s="1210"/>
      <c r="Q44" s="1210"/>
      <c r="R44" s="1211">
        <v>124598.7160499983</v>
      </c>
      <c r="S44" s="1210"/>
      <c r="T44" s="1211">
        <v>1621.8600000000279</v>
      </c>
      <c r="X44" s="588" t="s">
        <v>3755</v>
      </c>
    </row>
    <row r="45" spans="1:24" s="154" customFormat="1" ht="12.6" customHeight="1">
      <c r="A45" s="150"/>
      <c r="B45" s="151"/>
      <c r="C45" s="148"/>
      <c r="D45" s="148"/>
      <c r="E45" s="1385" t="s">
        <v>4065</v>
      </c>
      <c r="F45" s="1227">
        <f ca="1">F41-F35</f>
        <v>735549.41000000341</v>
      </c>
      <c r="R45" s="1211">
        <f ca="1">R41-R35</f>
        <v>344027.81370013976</v>
      </c>
      <c r="S45" s="1210"/>
      <c r="T45" s="1211">
        <f ca="1">T41-T35</f>
        <v>3166.0635434782998</v>
      </c>
      <c r="X45" s="588" t="s">
        <v>3756</v>
      </c>
    </row>
    <row r="46" spans="1:24" s="154" customFormat="1" ht="13.8">
      <c r="A46" s="372" t="s">
        <v>36</v>
      </c>
      <c r="C46" s="36"/>
      <c r="D46" s="426" t="s">
        <v>4130</v>
      </c>
      <c r="E46" s="428">
        <v>1478219.1303690616</v>
      </c>
      <c r="F46" s="428">
        <v>1636921.8100000005</v>
      </c>
      <c r="G46" s="429"/>
      <c r="H46" s="429"/>
      <c r="I46" s="429"/>
      <c r="J46" s="429"/>
      <c r="K46" s="429"/>
      <c r="L46" s="429"/>
      <c r="M46" s="429"/>
      <c r="N46" s="429"/>
      <c r="O46" s="429"/>
      <c r="P46" s="429"/>
      <c r="Q46" s="430"/>
      <c r="R46" s="428">
        <v>1126442.6172998603</v>
      </c>
      <c r="S46" s="430"/>
      <c r="T46" s="428">
        <v>8716.5264565217385</v>
      </c>
      <c r="X46" s="588" t="s">
        <v>3767</v>
      </c>
    </row>
    <row r="47" spans="1:24" s="154" customFormat="1" ht="14.25" customHeight="1" thickBot="1">
      <c r="A47" s="1479" t="s">
        <v>227</v>
      </c>
      <c r="B47" s="1479"/>
      <c r="C47" s="1479"/>
      <c r="D47" s="1479"/>
      <c r="E47" s="1479"/>
      <c r="F47" s="1479"/>
      <c r="G47" s="1479"/>
      <c r="H47" s="1479"/>
      <c r="I47" s="1479"/>
      <c r="J47" s="1479"/>
      <c r="K47" s="1479"/>
      <c r="L47" s="1479"/>
      <c r="M47" s="1479"/>
      <c r="N47" s="1479"/>
      <c r="O47" s="1479"/>
      <c r="P47" s="1479"/>
      <c r="Q47" s="1479"/>
      <c r="R47" s="1479"/>
      <c r="S47" s="1479"/>
      <c r="X47" s="588" t="s">
        <v>3757</v>
      </c>
    </row>
    <row r="48" spans="1:24" s="154" customFormat="1" ht="14.25" customHeight="1">
      <c r="A48" s="1479" t="s">
        <v>228</v>
      </c>
      <c r="B48" s="1479"/>
      <c r="C48" s="1479"/>
      <c r="D48" s="1479"/>
      <c r="E48" s="1479"/>
      <c r="F48" s="1479"/>
      <c r="G48" s="1479"/>
      <c r="H48" s="1479"/>
      <c r="I48" s="1479"/>
      <c r="J48" s="1479"/>
      <c r="K48" s="1479"/>
      <c r="L48" s="1479"/>
      <c r="M48" s="1479"/>
      <c r="N48" s="1479"/>
      <c r="O48" s="1479"/>
      <c r="P48" s="1479"/>
      <c r="Q48" s="1479"/>
      <c r="R48" s="1479"/>
      <c r="S48" s="1479"/>
      <c r="T48" s="36"/>
      <c r="V48" s="1482" t="s">
        <v>4137</v>
      </c>
      <c r="W48" s="1483"/>
      <c r="X48" s="588" t="s">
        <v>3761</v>
      </c>
    </row>
    <row r="49" spans="1:27" s="154" customFormat="1" ht="13.8">
      <c r="A49" s="36"/>
      <c r="B49" s="141"/>
      <c r="C49" s="36"/>
      <c r="D49" s="36"/>
      <c r="E49" s="36"/>
      <c r="F49" s="36"/>
      <c r="G49" s="36"/>
      <c r="H49" s="36"/>
      <c r="I49" s="36"/>
      <c r="J49" s="36"/>
      <c r="K49" s="36"/>
      <c r="L49" s="36"/>
      <c r="M49" s="36"/>
      <c r="N49" s="36"/>
      <c r="O49" s="36"/>
      <c r="P49" s="36"/>
      <c r="Q49" s="36"/>
      <c r="R49" s="36"/>
      <c r="S49" s="36"/>
      <c r="T49" s="36"/>
      <c r="V49" s="1437" t="s">
        <v>4131</v>
      </c>
      <c r="W49" s="1439">
        <v>341763.49</v>
      </c>
      <c r="X49" s="588" t="s">
        <v>3758</v>
      </c>
    </row>
    <row r="50" spans="1:27" s="154" customFormat="1" ht="13.5" customHeight="1">
      <c r="A50" s="137"/>
      <c r="B50" s="148"/>
      <c r="C50" s="137"/>
      <c r="D50" s="137"/>
      <c r="E50" s="137"/>
      <c r="F50" s="137"/>
      <c r="G50" s="137"/>
      <c r="H50" s="137"/>
      <c r="I50" s="137"/>
      <c r="J50" s="137"/>
      <c r="K50" s="137"/>
      <c r="L50" s="137"/>
      <c r="M50" s="137"/>
      <c r="N50" s="137"/>
      <c r="O50" s="137"/>
      <c r="P50" s="137"/>
      <c r="Q50" s="137"/>
      <c r="R50" s="137"/>
      <c r="S50" s="137"/>
      <c r="T50" s="137"/>
      <c r="V50" s="1437" t="s">
        <v>4132</v>
      </c>
      <c r="W50" s="1439">
        <v>471773.83</v>
      </c>
      <c r="X50" s="588" t="s">
        <v>3762</v>
      </c>
    </row>
    <row r="51" spans="1:27" s="154" customFormat="1" ht="13.5" customHeight="1" thickBot="1">
      <c r="A51" s="155" t="s">
        <v>37</v>
      </c>
      <c r="B51" s="156"/>
      <c r="C51" s="157"/>
      <c r="D51" s="157" t="str">
        <f>D8</f>
        <v>T.Sammut</v>
      </c>
      <c r="E51" s="137"/>
      <c r="F51" s="158"/>
      <c r="G51" s="159"/>
      <c r="H51" s="159"/>
      <c r="I51" s="159"/>
      <c r="J51" s="159"/>
      <c r="K51" s="159"/>
      <c r="L51" s="159"/>
      <c r="M51" s="137"/>
      <c r="N51" s="137"/>
      <c r="O51" s="137"/>
      <c r="P51" s="137"/>
      <c r="Q51" s="155" t="s">
        <v>38</v>
      </c>
      <c r="R51" s="157"/>
      <c r="S51" s="157"/>
      <c r="T51" s="157"/>
      <c r="V51" s="1437" t="s">
        <v>4133</v>
      </c>
      <c r="W51" s="1439">
        <v>797820.23</v>
      </c>
      <c r="X51" s="588" t="s">
        <v>3763</v>
      </c>
    </row>
    <row r="52" spans="1:27" s="154" customFormat="1" ht="13.5" customHeight="1" thickTop="1">
      <c r="A52" s="160"/>
      <c r="B52" s="148"/>
      <c r="C52" s="137"/>
      <c r="D52" s="137"/>
      <c r="E52" s="137"/>
      <c r="F52" s="137"/>
      <c r="G52" s="137"/>
      <c r="H52" s="137"/>
      <c r="I52" s="137"/>
      <c r="J52" s="137"/>
      <c r="K52" s="137"/>
      <c r="L52" s="137"/>
      <c r="M52" s="137"/>
      <c r="N52" s="137"/>
      <c r="O52" s="137"/>
      <c r="P52" s="137"/>
      <c r="Q52" s="160"/>
      <c r="R52" s="137"/>
      <c r="S52" s="137"/>
      <c r="T52" s="137"/>
      <c r="V52" s="1437" t="s">
        <v>4134</v>
      </c>
      <c r="W52" s="1439">
        <v>10422.92</v>
      </c>
      <c r="X52" s="588" t="s">
        <v>3766</v>
      </c>
    </row>
    <row r="53" spans="1:27" s="154" customFormat="1" ht="13.5" customHeight="1" thickBot="1">
      <c r="A53" s="161" t="s">
        <v>39</v>
      </c>
      <c r="B53" s="157"/>
      <c r="C53" s="157"/>
      <c r="D53" s="157"/>
      <c r="E53" s="137"/>
      <c r="F53" s="158"/>
      <c r="G53" s="159"/>
      <c r="H53" s="159"/>
      <c r="I53" s="159"/>
      <c r="J53" s="159"/>
      <c r="K53" s="159"/>
      <c r="L53" s="159"/>
      <c r="M53" s="137"/>
      <c r="N53" s="137"/>
      <c r="O53" s="137"/>
      <c r="P53" s="137"/>
      <c r="Q53" s="160" t="s">
        <v>40</v>
      </c>
      <c r="R53" s="137"/>
      <c r="S53" s="157"/>
      <c r="T53" s="157"/>
      <c r="V53" s="1438" t="s">
        <v>288</v>
      </c>
      <c r="W53" s="1440">
        <f>SUM(W49:W52)</f>
        <v>1621780.47</v>
      </c>
      <c r="X53" s="588" t="s">
        <v>3770</v>
      </c>
    </row>
    <row r="54" spans="1:27" s="154" customFormat="1" ht="13.5" customHeight="1" thickTop="1">
      <c r="A54" s="161"/>
      <c r="B54" s="148"/>
      <c r="C54" s="137"/>
      <c r="D54" s="137"/>
      <c r="E54" s="137"/>
      <c r="F54" s="158"/>
      <c r="G54" s="137"/>
      <c r="H54" s="137"/>
      <c r="I54" s="137"/>
      <c r="J54" s="137"/>
      <c r="K54" s="137"/>
      <c r="L54" s="137"/>
      <c r="M54" s="137"/>
      <c r="N54" s="137"/>
      <c r="O54" s="137"/>
      <c r="P54" s="137"/>
      <c r="Q54" s="160"/>
      <c r="R54" s="137"/>
      <c r="S54" s="137"/>
      <c r="T54" s="137"/>
    </row>
    <row r="55" spans="1:27" s="154" customFormat="1" ht="13.5" customHeight="1">
      <c r="A55" s="1478" t="s">
        <v>195</v>
      </c>
      <c r="B55" s="1478"/>
      <c r="C55" s="12"/>
      <c r="D55" s="361" t="str">
        <f ca="1" xml:space="preserve"> CELL("filename")</f>
        <v>https://d.docs.live.net/d8e42587b76b10ba/Documents/Visual Code Studio/Claude/BMS-Attribution-Model/projects/J01111_Brit_Hotel/[EL25_0662B_Brittania_Hotel_Elec_Revised_Estim_B.xlsx]Elec_Est</v>
      </c>
      <c r="E55" s="265"/>
      <c r="F55" s="362"/>
      <c r="G55" s="265"/>
      <c r="H55" s="265"/>
      <c r="I55" s="265"/>
      <c r="J55" s="265"/>
      <c r="K55" s="265"/>
      <c r="L55" s="265"/>
      <c r="M55" s="265"/>
      <c r="N55" s="265"/>
      <c r="O55" s="265"/>
      <c r="P55" s="265"/>
      <c r="Q55" s="363"/>
      <c r="R55" s="137"/>
      <c r="S55" s="137"/>
      <c r="T55" s="137"/>
    </row>
    <row r="56" spans="1:27" s="154" customFormat="1" ht="12.75" customHeight="1">
      <c r="A56" s="276"/>
      <c r="B56" s="276"/>
      <c r="C56" s="12"/>
      <c r="D56" s="13"/>
      <c r="E56" s="137"/>
      <c r="F56" s="158"/>
      <c r="G56" s="137"/>
      <c r="H56" s="137"/>
      <c r="I56" s="137"/>
      <c r="J56" s="137"/>
      <c r="K56" s="137"/>
      <c r="L56" s="137"/>
      <c r="M56" s="137"/>
      <c r="N56" s="137"/>
      <c r="O56" s="137"/>
      <c r="P56" s="137"/>
      <c r="Q56" s="160"/>
      <c r="R56" s="137"/>
      <c r="S56" s="137"/>
      <c r="T56" s="137"/>
    </row>
    <row r="57" spans="1:27" ht="21" customHeight="1">
      <c r="B57" s="1471" t="s">
        <v>41</v>
      </c>
      <c r="C57" s="1472"/>
      <c r="D57" s="1472"/>
      <c r="E57" s="1472"/>
      <c r="F57" s="1472"/>
      <c r="G57" s="1472"/>
      <c r="H57" s="1472"/>
      <c r="I57" s="1472"/>
      <c r="J57" s="1472"/>
      <c r="K57" s="1472"/>
      <c r="L57" s="1472"/>
      <c r="M57" s="1472"/>
      <c r="N57" s="1472"/>
      <c r="O57" s="1472"/>
      <c r="P57" s="1472"/>
      <c r="Q57" s="1472"/>
      <c r="R57" s="1472"/>
      <c r="S57" s="1472"/>
      <c r="T57" s="1473"/>
      <c r="X57" s="1210" t="s">
        <v>3774</v>
      </c>
      <c r="Y57" s="1210"/>
      <c r="Z57" s="1210"/>
      <c r="AA57" s="1210" t="s">
        <v>3775</v>
      </c>
    </row>
    <row r="58" spans="1:27" ht="18" customHeight="1">
      <c r="B58" s="1474" t="s">
        <v>42</v>
      </c>
      <c r="C58" s="1475"/>
      <c r="D58" s="1475"/>
      <c r="E58" s="1475"/>
      <c r="F58" s="1475"/>
      <c r="G58" s="1475"/>
      <c r="H58" s="1475"/>
      <c r="I58" s="1475"/>
      <c r="J58" s="1475"/>
      <c r="K58" s="1475"/>
      <c r="L58" s="1475"/>
      <c r="M58" s="1475"/>
      <c r="N58" s="1475"/>
      <c r="O58" s="1475"/>
      <c r="P58" s="1475"/>
      <c r="Q58" s="1475"/>
      <c r="R58" s="1475"/>
      <c r="S58" s="1476"/>
      <c r="T58" s="1477"/>
      <c r="X58" s="588" t="s">
        <v>3776</v>
      </c>
    </row>
    <row r="59" spans="1:27">
      <c r="B59" s="162"/>
      <c r="S59" s="163" t="s">
        <v>43</v>
      </c>
      <c r="T59" s="149"/>
      <c r="X59" s="588" t="s">
        <v>3783</v>
      </c>
    </row>
    <row r="60" spans="1:27">
      <c r="B60" s="162"/>
      <c r="D60" s="164" t="s">
        <v>44</v>
      </c>
      <c r="E60" s="266" t="str">
        <f>D1</f>
        <v>Quintano Foods Ltd.</v>
      </c>
      <c r="F60" s="267"/>
      <c r="G60" s="95"/>
      <c r="H60" s="95"/>
      <c r="I60" s="95"/>
      <c r="J60" s="95"/>
      <c r="K60" s="95"/>
      <c r="L60" s="95"/>
      <c r="M60" s="95"/>
      <c r="N60" s="95"/>
      <c r="O60" s="95"/>
      <c r="P60" s="95"/>
      <c r="Q60" s="268"/>
      <c r="R60" s="95"/>
      <c r="S60" s="163" t="s">
        <v>291</v>
      </c>
      <c r="T60" s="149"/>
      <c r="X60" s="588" t="s">
        <v>3788</v>
      </c>
    </row>
    <row r="61" spans="1:27">
      <c r="B61" s="162"/>
      <c r="D61" s="165" t="s">
        <v>45</v>
      </c>
      <c r="E61" s="266" t="str">
        <f>D2</f>
        <v>Warehouse at tal-Handaq, Qormi</v>
      </c>
      <c r="F61" s="267"/>
      <c r="G61" s="95"/>
      <c r="H61" s="95"/>
      <c r="I61" s="95"/>
      <c r="J61" s="95"/>
      <c r="K61" s="95"/>
      <c r="L61" s="95"/>
      <c r="M61" s="95"/>
      <c r="N61" s="95"/>
      <c r="O61" s="95"/>
      <c r="P61" s="95"/>
      <c r="Q61" s="268"/>
      <c r="R61" s="95"/>
      <c r="S61" s="163" t="s">
        <v>285</v>
      </c>
      <c r="T61" s="149"/>
      <c r="X61" s="588" t="s">
        <v>3786</v>
      </c>
    </row>
    <row r="62" spans="1:27">
      <c r="B62" s="162"/>
      <c r="D62" s="164" t="s">
        <v>46</v>
      </c>
      <c r="E62" s="266" t="str">
        <f>D3</f>
        <v>Electrical and ELV installations (Rev A)</v>
      </c>
      <c r="F62" s="267"/>
      <c r="G62" s="95"/>
      <c r="H62" s="95"/>
      <c r="I62" s="95"/>
      <c r="J62" s="95"/>
      <c r="K62" s="95"/>
      <c r="L62" s="95"/>
      <c r="M62" s="95"/>
      <c r="N62" s="95"/>
      <c r="O62" s="95"/>
      <c r="P62" s="95"/>
      <c r="Q62" s="268"/>
      <c r="R62" s="95"/>
      <c r="S62" s="163" t="s">
        <v>290</v>
      </c>
      <c r="T62" s="149"/>
      <c r="X62" s="36" t="s">
        <v>3787</v>
      </c>
    </row>
    <row r="63" spans="1:27">
      <c r="B63" s="162"/>
      <c r="D63" s="166" t="s">
        <v>49</v>
      </c>
      <c r="E63" s="266" t="str">
        <f>D4</f>
        <v>EL25-0062A</v>
      </c>
      <c r="F63" s="267"/>
      <c r="G63" s="95"/>
      <c r="H63" s="95"/>
      <c r="I63" s="95"/>
      <c r="J63" s="95"/>
      <c r="K63" s="95"/>
      <c r="L63" s="95"/>
      <c r="M63" s="95"/>
      <c r="N63" s="95"/>
      <c r="O63" s="95"/>
      <c r="P63" s="95"/>
      <c r="Q63" s="268"/>
      <c r="R63" s="95"/>
      <c r="S63" s="163"/>
      <c r="T63" s="149"/>
      <c r="X63" s="588" t="s">
        <v>3791</v>
      </c>
    </row>
    <row r="64" spans="1:27">
      <c r="B64" s="162"/>
      <c r="D64" s="166" t="s">
        <v>50</v>
      </c>
      <c r="E64" s="266" t="str">
        <f>D5</f>
        <v>Tender</v>
      </c>
      <c r="F64" s="267"/>
      <c r="G64" s="95"/>
      <c r="H64" s="95"/>
      <c r="I64" s="95"/>
      <c r="J64" s="95"/>
      <c r="K64" s="95"/>
      <c r="L64" s="95"/>
      <c r="M64" s="95"/>
      <c r="N64" s="95"/>
      <c r="O64" s="95"/>
      <c r="P64" s="95"/>
      <c r="Q64" s="268"/>
      <c r="R64" s="95"/>
      <c r="S64" s="163"/>
      <c r="T64" s="149"/>
      <c r="X64" s="588" t="s">
        <v>3789</v>
      </c>
    </row>
    <row r="65" spans="2:27">
      <c r="B65" s="162"/>
      <c r="S65" s="163" t="s">
        <v>48</v>
      </c>
      <c r="T65" s="149"/>
      <c r="X65" s="588" t="s">
        <v>3792</v>
      </c>
    </row>
    <row r="66" spans="2:27">
      <c r="B66" s="162"/>
      <c r="D66" s="166" t="s">
        <v>47</v>
      </c>
      <c r="E66" s="167"/>
      <c r="F66" s="167"/>
      <c r="G66" s="168"/>
      <c r="H66" s="168"/>
      <c r="I66" s="168"/>
      <c r="J66" s="168"/>
      <c r="K66" s="168"/>
      <c r="L66" s="168"/>
      <c r="M66" s="168"/>
      <c r="N66" s="168"/>
      <c r="O66" s="168"/>
      <c r="P66" s="168"/>
      <c r="S66" s="169"/>
      <c r="T66" s="170"/>
      <c r="X66" s="588" t="s">
        <v>3794</v>
      </c>
    </row>
    <row r="67" spans="2:27">
      <c r="B67" s="162"/>
      <c r="D67" s="166" t="s">
        <v>265</v>
      </c>
      <c r="E67" s="167"/>
      <c r="F67" s="167"/>
      <c r="G67" s="168"/>
      <c r="H67" s="168"/>
      <c r="I67" s="168"/>
      <c r="J67" s="168"/>
      <c r="K67" s="168"/>
      <c r="L67" s="168"/>
      <c r="M67" s="168"/>
      <c r="N67" s="168"/>
      <c r="O67" s="168"/>
      <c r="P67" s="168"/>
      <c r="S67" s="169"/>
      <c r="T67" s="170"/>
    </row>
    <row r="68" spans="2:27">
      <c r="B68" s="171"/>
      <c r="C68" s="58"/>
      <c r="D68" s="58"/>
      <c r="E68" s="58"/>
      <c r="F68" s="58"/>
      <c r="G68" s="58"/>
      <c r="H68" s="58"/>
      <c r="I68" s="58"/>
      <c r="J68" s="58"/>
      <c r="K68" s="58"/>
      <c r="L68" s="58"/>
      <c r="M68" s="58"/>
      <c r="N68" s="58"/>
      <c r="O68" s="58"/>
      <c r="P68" s="58"/>
      <c r="Q68" s="58"/>
      <c r="R68" s="58"/>
      <c r="S68" s="58"/>
      <c r="T68" s="172"/>
    </row>
    <row r="69" spans="2:27" ht="14.25" customHeight="1">
      <c r="B69" s="162"/>
      <c r="T69" s="170"/>
      <c r="X69" s="1210" t="s">
        <v>4074</v>
      </c>
      <c r="Y69" s="1210"/>
      <c r="Z69" s="1210"/>
      <c r="AA69" s="1210" t="s">
        <v>4073</v>
      </c>
    </row>
    <row r="70" spans="2:27" ht="15.6">
      <c r="B70" s="162"/>
      <c r="E70" s="173" t="s">
        <v>208</v>
      </c>
      <c r="F70" s="147"/>
      <c r="G70" s="147"/>
      <c r="H70" s="147"/>
      <c r="I70" s="147"/>
      <c r="J70" s="147"/>
      <c r="K70" s="147"/>
      <c r="L70" s="147"/>
      <c r="M70" s="147"/>
      <c r="N70" s="147"/>
      <c r="O70" s="147"/>
      <c r="P70" s="147"/>
      <c r="Q70" s="147"/>
      <c r="R70" s="147"/>
      <c r="S70" s="68"/>
      <c r="T70" s="170"/>
      <c r="X70" s="588" t="s">
        <v>4112</v>
      </c>
    </row>
    <row r="71" spans="2:27">
      <c r="B71" s="162"/>
      <c r="E71" s="175"/>
      <c r="F71" s="147"/>
      <c r="G71" s="147"/>
      <c r="H71" s="147"/>
      <c r="I71" s="147"/>
      <c r="J71" s="147"/>
      <c r="K71" s="147"/>
      <c r="L71" s="147"/>
      <c r="M71" s="147"/>
      <c r="N71" s="147"/>
      <c r="O71" s="147"/>
      <c r="P71" s="147"/>
      <c r="Q71" s="147"/>
      <c r="R71" s="147"/>
      <c r="S71" s="68"/>
      <c r="T71" s="170"/>
      <c r="X71" s="588"/>
    </row>
    <row r="72" spans="2:27">
      <c r="B72" s="296"/>
      <c r="C72" s="341">
        <f ca="1">IF($A$33="MIXED",F23/(1-Q2)+F24/(1-Q3)+F25/(1-Q4)+F26/(1-Q5)+F27/(1-Q6)+F28/(1-Q7)+F29/(1-Q8)+F30/(1-Q9)+F31/(1-Q10)+F32/(1-Q11)-SUM(A23:A32),   F23/(1-Q2)+F24/(1-Q3)+F25/(1-Q4)+F26/(1-Q5)+F27/(1-Q6)+F28/(1-Q7)+F29/(1-Q8)+F30/(1-Q9)+F31/(1-Q10)+F32/(1-Q11))</f>
        <v>1636921.8100000005</v>
      </c>
      <c r="E72" s="144" t="s">
        <v>251</v>
      </c>
      <c r="F72" s="403">
        <f ca="1">IF(D6="VAT INCLUDED",C72/($C$1*1.18),C72/$C$1)</f>
        <v>1636921.8100000005</v>
      </c>
      <c r="G72" s="147"/>
      <c r="H72" s="147"/>
      <c r="I72" s="147"/>
      <c r="J72" s="147"/>
      <c r="K72" s="147"/>
      <c r="L72" s="147"/>
      <c r="M72" s="147"/>
      <c r="N72" s="147"/>
      <c r="O72" s="147"/>
      <c r="P72" s="147"/>
      <c r="Q72" s="147"/>
      <c r="R72" s="147"/>
      <c r="S72" s="68"/>
      <c r="T72" s="170"/>
      <c r="X72" s="1210" t="s">
        <v>4114</v>
      </c>
      <c r="Y72" s="1210"/>
      <c r="Z72" s="1210"/>
      <c r="AA72" s="1210" t="s">
        <v>4115</v>
      </c>
    </row>
    <row r="73" spans="2:27">
      <c r="B73" s="162"/>
      <c r="F73" s="408"/>
      <c r="G73" s="147"/>
      <c r="H73" s="147"/>
      <c r="I73" s="147"/>
      <c r="J73" s="147"/>
      <c r="K73" s="147"/>
      <c r="L73" s="147"/>
      <c r="M73" s="147"/>
      <c r="N73" s="147"/>
      <c r="O73" s="147"/>
      <c r="P73" s="147"/>
      <c r="Q73" s="147"/>
      <c r="R73" s="147"/>
      <c r="S73" s="68"/>
      <c r="T73" s="170"/>
      <c r="X73" s="588" t="s">
        <v>4116</v>
      </c>
    </row>
    <row r="74" spans="2:27" ht="15" customHeight="1">
      <c r="B74" s="296"/>
      <c r="E74" s="411" t="s">
        <v>252</v>
      </c>
      <c r="F74" s="409">
        <f ca="1">(F72-F75)/F72</f>
        <v>9.6951899999999924E-2</v>
      </c>
      <c r="G74" s="176"/>
      <c r="H74" s="176"/>
      <c r="I74" s="176"/>
      <c r="J74" s="176"/>
      <c r="K74" s="176"/>
      <c r="L74" s="176"/>
      <c r="M74" s="176"/>
      <c r="N74" s="176"/>
      <c r="O74" s="176"/>
      <c r="P74" s="176"/>
      <c r="Q74" s="177"/>
      <c r="T74" s="170"/>
      <c r="V74" s="1158"/>
      <c r="X74" s="588" t="s">
        <v>4117</v>
      </c>
    </row>
    <row r="75" spans="2:27">
      <c r="B75" s="297"/>
      <c r="E75" s="165" t="s">
        <v>250</v>
      </c>
      <c r="F75" s="410">
        <f ca="1">IF(D6="VAT INCLUDED",E35/($C$1*1.18),E35/$C$1)</f>
        <v>1478219.1303690616</v>
      </c>
      <c r="T75" s="170"/>
      <c r="X75" s="588" t="s">
        <v>4122</v>
      </c>
    </row>
    <row r="76" spans="2:27" ht="14.25" customHeight="1">
      <c r="B76" s="162"/>
      <c r="E76" s="144"/>
      <c r="F76" s="269"/>
      <c r="R76" s="144"/>
      <c r="T76" s="170"/>
      <c r="X76" s="588" t="s">
        <v>4123</v>
      </c>
    </row>
    <row r="77" spans="2:27" ht="15.6">
      <c r="B77" s="178"/>
      <c r="C77" s="179"/>
      <c r="E77" s="180" t="s">
        <v>197</v>
      </c>
      <c r="F77" s="431">
        <f>$D$9</f>
        <v>27.46</v>
      </c>
      <c r="G77" s="181"/>
      <c r="H77" s="182"/>
      <c r="I77" s="183"/>
      <c r="J77" s="184"/>
      <c r="K77" s="184"/>
      <c r="L77" s="184"/>
      <c r="M77" s="184"/>
      <c r="N77" s="184"/>
      <c r="O77" s="184"/>
      <c r="P77" s="184"/>
      <c r="Q77" s="185"/>
      <c r="R77" s="144" t="s">
        <v>178</v>
      </c>
      <c r="S77" s="174"/>
      <c r="T77" s="170"/>
      <c r="X77" s="588" t="s">
        <v>4124</v>
      </c>
    </row>
    <row r="78" spans="2:27" ht="15.6">
      <c r="B78" s="178"/>
      <c r="C78" s="179"/>
      <c r="E78" s="186"/>
      <c r="F78" s="187"/>
      <c r="G78" s="188"/>
      <c r="H78" s="189"/>
      <c r="I78" s="190"/>
      <c r="J78" s="185"/>
      <c r="K78" s="185"/>
      <c r="L78" s="185"/>
      <c r="M78" s="185"/>
      <c r="N78" s="185"/>
      <c r="O78" s="185"/>
      <c r="P78" s="185"/>
      <c r="Q78" s="185"/>
      <c r="T78" s="170"/>
    </row>
    <row r="79" spans="2:27" ht="15.6">
      <c r="B79" s="178"/>
      <c r="C79" s="179"/>
      <c r="E79" s="186"/>
      <c r="F79" s="187"/>
      <c r="G79" s="188"/>
      <c r="H79" s="189"/>
      <c r="I79" s="190"/>
      <c r="J79" s="185"/>
      <c r="K79" s="185"/>
      <c r="L79" s="185"/>
      <c r="M79" s="185"/>
      <c r="N79" s="185"/>
      <c r="O79" s="185"/>
      <c r="P79" s="185"/>
      <c r="Q79" s="185"/>
      <c r="T79" s="170"/>
    </row>
    <row r="80" spans="2:27" ht="15">
      <c r="B80" s="178"/>
      <c r="C80" s="179"/>
      <c r="D80" s="191" t="s">
        <v>51</v>
      </c>
      <c r="E80" s="192" t="s">
        <v>68</v>
      </c>
      <c r="F80" s="193" t="s">
        <v>52</v>
      </c>
      <c r="G80" s="194"/>
      <c r="H80" s="194"/>
      <c r="I80" s="194"/>
      <c r="J80" s="194"/>
      <c r="K80" s="194"/>
      <c r="L80" s="194"/>
      <c r="M80" s="194"/>
      <c r="N80" s="194"/>
      <c r="O80" s="194"/>
      <c r="P80" s="194"/>
      <c r="Q80" s="194"/>
      <c r="R80" s="192" t="s">
        <v>240</v>
      </c>
      <c r="S80" s="195"/>
      <c r="T80" s="170"/>
    </row>
    <row r="81" spans="2:20" ht="13.8">
      <c r="B81" s="162"/>
      <c r="D81" s="196" t="s">
        <v>247</v>
      </c>
      <c r="E81" s="78" t="s">
        <v>249</v>
      </c>
      <c r="F81" s="197" t="s">
        <v>247</v>
      </c>
      <c r="R81" s="279"/>
      <c r="S81" s="170"/>
      <c r="T81" s="198"/>
    </row>
    <row r="82" spans="2:20">
      <c r="B82" s="162"/>
      <c r="D82" s="199"/>
      <c r="S82" s="200"/>
      <c r="T82" s="170"/>
    </row>
    <row r="83" spans="2:20">
      <c r="B83" s="162"/>
      <c r="D83" s="404">
        <f ca="1">R165</f>
        <v>1126454.5211892172</v>
      </c>
      <c r="E83" s="405">
        <f ca="1">T165</f>
        <v>8703.3967254300478</v>
      </c>
      <c r="F83" s="406">
        <f ca="1">R165+S165</f>
        <v>1365449.7952695263</v>
      </c>
      <c r="G83" s="407"/>
      <c r="H83" s="407"/>
      <c r="I83" s="407"/>
      <c r="J83" s="407"/>
      <c r="K83" s="407"/>
      <c r="L83" s="407"/>
      <c r="M83" s="407"/>
      <c r="N83" s="407"/>
      <c r="O83" s="407"/>
      <c r="P83" s="407"/>
      <c r="Q83" s="407"/>
      <c r="R83" s="1431">
        <f ca="1">IF(F83=0,0,F75/F83)</f>
        <v>1.0825876831870451</v>
      </c>
      <c r="S83" s="200"/>
      <c r="T83" s="170"/>
    </row>
    <row r="84" spans="2:20">
      <c r="B84" s="162"/>
      <c r="D84" s="1469" t="s">
        <v>179</v>
      </c>
      <c r="E84" s="1470"/>
      <c r="S84" s="170"/>
      <c r="T84" s="200"/>
    </row>
    <row r="85" spans="2:20" ht="15">
      <c r="B85" s="162"/>
      <c r="D85" s="201"/>
      <c r="E85" s="58"/>
      <c r="F85" s="58"/>
      <c r="G85" s="58"/>
      <c r="H85" s="202"/>
      <c r="I85" s="203"/>
      <c r="J85" s="58"/>
      <c r="K85" s="58"/>
      <c r="L85" s="58"/>
      <c r="M85" s="58"/>
      <c r="N85" s="58"/>
      <c r="O85" s="58"/>
      <c r="P85" s="58"/>
      <c r="Q85" s="58"/>
      <c r="R85" s="58"/>
      <c r="S85" s="172"/>
      <c r="T85" s="170"/>
    </row>
    <row r="86" spans="2:20" ht="15">
      <c r="B86" s="162"/>
      <c r="H86" s="204"/>
      <c r="I86" s="179"/>
      <c r="T86" s="170"/>
    </row>
    <row r="87" spans="2:20" ht="15">
      <c r="B87" s="162"/>
      <c r="H87" s="204"/>
      <c r="I87" s="179"/>
      <c r="R87" s="144" t="s">
        <v>53</v>
      </c>
      <c r="S87" s="205"/>
      <c r="T87" s="170"/>
    </row>
    <row r="88" spans="2:20" ht="15">
      <c r="B88" s="162"/>
      <c r="H88" s="204"/>
      <c r="I88" s="179"/>
      <c r="R88" s="144" t="s">
        <v>54</v>
      </c>
      <c r="S88" s="205"/>
      <c r="T88" s="170"/>
    </row>
    <row r="89" spans="2:20" ht="15">
      <c r="B89" s="162"/>
      <c r="H89" s="204"/>
      <c r="I89" s="179"/>
      <c r="R89" s="144"/>
      <c r="S89" s="206"/>
      <c r="T89" s="170"/>
    </row>
    <row r="90" spans="2:20" ht="15">
      <c r="B90" s="162"/>
      <c r="H90" s="204"/>
      <c r="I90" s="179"/>
      <c r="R90" s="144" t="s">
        <v>55</v>
      </c>
      <c r="S90" s="207"/>
      <c r="T90" s="170"/>
    </row>
    <row r="91" spans="2:20" ht="15">
      <c r="B91" s="162"/>
      <c r="I91" s="179"/>
      <c r="R91" s="144" t="s">
        <v>56</v>
      </c>
      <c r="S91" s="208"/>
      <c r="T91" s="170"/>
    </row>
    <row r="92" spans="2:20" ht="15">
      <c r="B92" s="162"/>
      <c r="I92" s="179"/>
      <c r="J92" s="209"/>
      <c r="K92" s="210"/>
      <c r="L92" s="210"/>
      <c r="M92" s="210"/>
      <c r="N92" s="210"/>
      <c r="O92" s="210"/>
      <c r="P92" s="210"/>
      <c r="Q92" s="210"/>
      <c r="R92" s="144" t="s">
        <v>57</v>
      </c>
      <c r="S92" s="208"/>
      <c r="T92" s="170"/>
    </row>
    <row r="93" spans="2:20" ht="15">
      <c r="B93" s="162"/>
      <c r="D93" s="211" t="s">
        <v>58</v>
      </c>
      <c r="G93" s="212"/>
      <c r="I93" s="179"/>
      <c r="J93" s="209"/>
      <c r="K93" s="210"/>
      <c r="L93" s="210"/>
      <c r="M93" s="210"/>
      <c r="N93" s="210"/>
      <c r="O93" s="210"/>
      <c r="P93" s="210"/>
      <c r="Q93" s="210"/>
      <c r="R93" s="144"/>
      <c r="T93" s="170"/>
    </row>
    <row r="94" spans="2:20" ht="15.6">
      <c r="B94" s="162"/>
      <c r="D94" s="213" t="s">
        <v>292</v>
      </c>
      <c r="G94" s="212"/>
      <c r="I94" s="179"/>
      <c r="J94" s="209"/>
      <c r="K94" s="210"/>
      <c r="L94" s="210"/>
      <c r="M94" s="210"/>
      <c r="N94" s="210"/>
      <c r="O94" s="210"/>
      <c r="P94" s="210"/>
      <c r="Q94" s="210"/>
      <c r="R94" s="144" t="s">
        <v>59</v>
      </c>
      <c r="S94" s="208"/>
      <c r="T94" s="170"/>
    </row>
    <row r="95" spans="2:20" ht="15">
      <c r="B95" s="162"/>
      <c r="D95" s="214">
        <f ca="1">NOW()</f>
        <v>46114.371141087962</v>
      </c>
      <c r="G95" s="212"/>
      <c r="I95" s="179"/>
      <c r="J95" s="209"/>
      <c r="K95" s="210"/>
      <c r="L95" s="210"/>
      <c r="M95" s="210"/>
      <c r="N95" s="210"/>
      <c r="O95" s="210"/>
      <c r="P95" s="210"/>
      <c r="Q95" s="210"/>
      <c r="R95" s="210"/>
      <c r="T95" s="170"/>
    </row>
    <row r="96" spans="2:20" s="219" customFormat="1" ht="15">
      <c r="B96" s="171"/>
      <c r="C96" s="58"/>
      <c r="D96" s="58"/>
      <c r="E96" s="58"/>
      <c r="F96" s="58"/>
      <c r="G96" s="58"/>
      <c r="H96" s="58"/>
      <c r="I96" s="203"/>
      <c r="J96" s="215"/>
      <c r="K96" s="216"/>
      <c r="L96" s="216"/>
      <c r="M96" s="216"/>
      <c r="N96" s="216"/>
      <c r="O96" s="216"/>
      <c r="P96" s="216"/>
      <c r="Q96" s="216"/>
      <c r="R96" s="216"/>
      <c r="S96" s="217"/>
      <c r="T96" s="218"/>
    </row>
    <row r="97" spans="1:32" s="219" customFormat="1" ht="12" customHeight="1">
      <c r="B97" s="141"/>
      <c r="C97" s="36"/>
      <c r="D97" s="36"/>
      <c r="E97" s="36"/>
      <c r="F97" s="36"/>
      <c r="G97" s="36"/>
      <c r="H97" s="179"/>
      <c r="I97" s="179"/>
      <c r="J97" s="209"/>
      <c r="K97" s="210"/>
      <c r="L97" s="210"/>
      <c r="M97" s="210"/>
      <c r="N97" s="210"/>
      <c r="O97" s="210"/>
      <c r="P97" s="210"/>
      <c r="Q97" s="210"/>
      <c r="R97" s="210"/>
      <c r="S97" s="154"/>
      <c r="T97" s="154"/>
    </row>
    <row r="98" spans="1:32" ht="21" customHeight="1">
      <c r="B98" s="220"/>
      <c r="C98" s="221"/>
      <c r="D98" s="221" t="s">
        <v>41</v>
      </c>
      <c r="E98" s="222"/>
      <c r="F98" s="222"/>
      <c r="G98" s="222"/>
      <c r="H98" s="223"/>
      <c r="I98" s="224"/>
      <c r="J98" s="225"/>
      <c r="K98" s="225"/>
      <c r="L98" s="225"/>
      <c r="M98" s="225"/>
      <c r="N98" s="225"/>
      <c r="O98" s="225"/>
      <c r="P98" s="225"/>
      <c r="Q98" s="225"/>
      <c r="R98" s="225"/>
      <c r="S98" s="226"/>
      <c r="T98" s="227"/>
    </row>
    <row r="99" spans="1:32" ht="15">
      <c r="B99" s="228"/>
      <c r="C99" s="229"/>
      <c r="D99" s="229" t="s">
        <v>60</v>
      </c>
      <c r="E99" s="230"/>
      <c r="F99" s="230"/>
      <c r="G99" s="230"/>
      <c r="H99" s="231"/>
      <c r="I99" s="202"/>
      <c r="J99" s="232"/>
      <c r="K99" s="232"/>
      <c r="L99" s="232"/>
      <c r="M99" s="232"/>
      <c r="N99" s="232"/>
      <c r="O99" s="232"/>
      <c r="P99" s="232"/>
      <c r="Q99" s="232"/>
      <c r="R99" s="232"/>
      <c r="S99" s="232"/>
      <c r="T99" s="233"/>
    </row>
    <row r="100" spans="1:32" ht="15">
      <c r="B100" s="234"/>
      <c r="C100" s="235"/>
      <c r="D100" s="236"/>
      <c r="E100" s="147"/>
      <c r="F100" s="147"/>
      <c r="G100" s="147"/>
      <c r="H100" s="212"/>
      <c r="I100" s="204"/>
      <c r="J100" s="237"/>
      <c r="K100" s="237"/>
      <c r="L100" s="237"/>
      <c r="M100" s="237"/>
      <c r="N100" s="237"/>
      <c r="O100" s="237"/>
      <c r="P100" s="237"/>
      <c r="Q100" s="237"/>
      <c r="R100" s="237"/>
      <c r="S100" s="237"/>
      <c r="T100" s="238"/>
    </row>
    <row r="101" spans="1:32" ht="15">
      <c r="B101" s="162"/>
      <c r="D101" s="239" t="s">
        <v>61</v>
      </c>
      <c r="E101" s="270" t="str">
        <f>E61</f>
        <v>Warehouse at tal-Handaq, Qormi</v>
      </c>
      <c r="F101" s="268"/>
      <c r="G101" s="271"/>
      <c r="H101" s="272"/>
      <c r="I101" s="272"/>
      <c r="J101" s="268"/>
      <c r="K101" s="268"/>
      <c r="L101" s="268"/>
      <c r="M101" s="268"/>
      <c r="N101" s="268"/>
      <c r="O101" s="268"/>
      <c r="P101" s="268"/>
      <c r="Q101" s="268"/>
      <c r="R101" s="268"/>
      <c r="S101" s="95"/>
      <c r="T101" s="170"/>
    </row>
    <row r="102" spans="1:32" ht="15">
      <c r="B102" s="162"/>
      <c r="D102" s="239" t="s">
        <v>62</v>
      </c>
      <c r="E102" s="270" t="str">
        <f>E62</f>
        <v>Electrical and ELV installations (Rev A)</v>
      </c>
      <c r="F102" s="268"/>
      <c r="G102" s="271"/>
      <c r="H102" s="272"/>
      <c r="I102" s="272"/>
      <c r="J102" s="268"/>
      <c r="K102" s="268"/>
      <c r="L102" s="268"/>
      <c r="M102" s="268"/>
      <c r="N102" s="268"/>
      <c r="O102" s="268"/>
      <c r="P102" s="268"/>
      <c r="Q102" s="268"/>
      <c r="R102" s="268"/>
      <c r="S102" s="95"/>
      <c r="T102" s="170"/>
    </row>
    <row r="103" spans="1:32" ht="15">
      <c r="B103" s="240"/>
      <c r="C103" s="241"/>
      <c r="D103" s="166" t="s">
        <v>50</v>
      </c>
      <c r="E103" s="270" t="str">
        <f>E64</f>
        <v>Tender</v>
      </c>
      <c r="F103" s="95"/>
      <c r="G103" s="95"/>
      <c r="H103" s="272"/>
      <c r="I103" s="272"/>
      <c r="J103" s="95"/>
      <c r="K103" s="95"/>
      <c r="L103" s="95"/>
      <c r="M103" s="95"/>
      <c r="N103" s="95"/>
      <c r="O103" s="95"/>
      <c r="P103" s="95"/>
      <c r="Q103" s="95"/>
      <c r="R103" s="95"/>
      <c r="S103" s="95"/>
      <c r="T103" s="170"/>
    </row>
    <row r="104" spans="1:32" ht="15">
      <c r="B104" s="240"/>
      <c r="C104" s="241"/>
      <c r="D104" s="242"/>
      <c r="F104" s="243"/>
      <c r="G104" s="139"/>
      <c r="H104" s="179"/>
      <c r="I104" s="179"/>
      <c r="T104" s="244"/>
    </row>
    <row r="105" spans="1:32">
      <c r="B105" s="245"/>
      <c r="C105" s="194"/>
      <c r="D105" s="194"/>
      <c r="E105" s="194"/>
      <c r="F105" s="246"/>
      <c r="G105" s="194"/>
      <c r="H105" s="194"/>
      <c r="I105" s="194"/>
      <c r="J105" s="194"/>
      <c r="K105" s="194"/>
      <c r="L105" s="194"/>
      <c r="M105" s="194"/>
      <c r="N105" s="194"/>
      <c r="O105" s="194"/>
      <c r="P105" s="194"/>
      <c r="Q105" s="246"/>
      <c r="R105" s="195"/>
      <c r="S105" s="195"/>
      <c r="T105" s="195"/>
    </row>
    <row r="106" spans="1:32">
      <c r="B106" s="162"/>
      <c r="D106" s="79" t="s">
        <v>63</v>
      </c>
      <c r="F106" s="389" t="s">
        <v>64</v>
      </c>
      <c r="G106" s="390"/>
      <c r="H106" s="391"/>
      <c r="I106" s="391"/>
      <c r="J106" s="391"/>
      <c r="K106" s="391"/>
      <c r="L106" s="391"/>
      <c r="M106" s="391"/>
      <c r="N106" s="391"/>
      <c r="O106" s="391"/>
      <c r="P106" s="392"/>
      <c r="Q106" s="389" t="s">
        <v>65</v>
      </c>
      <c r="R106" s="388" t="s">
        <v>66</v>
      </c>
      <c r="S106" s="388" t="s">
        <v>67</v>
      </c>
      <c r="T106" s="388" t="s">
        <v>68</v>
      </c>
    </row>
    <row r="107" spans="1:32" ht="13.8">
      <c r="B107" s="247"/>
      <c r="C107" s="248"/>
      <c r="D107" s="6"/>
      <c r="F107" s="389" t="s">
        <v>69</v>
      </c>
      <c r="G107" s="390"/>
      <c r="H107" s="391"/>
      <c r="I107" s="391"/>
      <c r="J107" s="391"/>
      <c r="K107" s="391"/>
      <c r="L107" s="391"/>
      <c r="M107" s="391"/>
      <c r="N107" s="391"/>
      <c r="O107" s="391"/>
      <c r="P107" s="393"/>
      <c r="Q107" s="389" t="s">
        <v>70</v>
      </c>
      <c r="R107" s="249" t="s">
        <v>247</v>
      </c>
      <c r="S107" s="419">
        <f>$D$9</f>
        <v>27.46</v>
      </c>
      <c r="T107" s="249" t="s">
        <v>249</v>
      </c>
    </row>
    <row r="108" spans="1:32">
      <c r="B108" s="474" t="s">
        <v>71</v>
      </c>
      <c r="C108" s="58"/>
      <c r="D108" s="340" t="s">
        <v>223</v>
      </c>
      <c r="E108" s="58"/>
      <c r="F108" s="250"/>
      <c r="P108" s="352" t="s">
        <v>27</v>
      </c>
      <c r="Q108" s="288">
        <v>1</v>
      </c>
      <c r="R108" s="172"/>
      <c r="S108" s="172"/>
      <c r="T108" s="172"/>
      <c r="Y108" s="1467" t="s">
        <v>3765</v>
      </c>
      <c r="Z108" s="1467"/>
      <c r="AA108" s="1467"/>
      <c r="AD108" s="1467" t="s">
        <v>3764</v>
      </c>
      <c r="AE108" s="1467"/>
      <c r="AF108" s="1467"/>
    </row>
    <row r="109" spans="1:32">
      <c r="A109" s="170"/>
      <c r="B109" s="479" t="s">
        <v>72</v>
      </c>
      <c r="C109" s="6" t="s">
        <v>73</v>
      </c>
      <c r="D109" s="36" t="s">
        <v>74</v>
      </c>
      <c r="E109" s="170"/>
      <c r="F109" s="360">
        <v>501</v>
      </c>
      <c r="G109" s="64"/>
      <c r="P109" s="350">
        <v>1</v>
      </c>
      <c r="Q109" s="251">
        <v>1</v>
      </c>
      <c r="R109" s="286">
        <f ca="1">Elec_Est!R11483+Fire_Stopping_Est!R422</f>
        <v>42863.204226479334</v>
      </c>
      <c r="S109" s="387">
        <f ca="1">T109*$D$9</f>
        <v>9080.3265456521749</v>
      </c>
      <c r="T109" s="286">
        <f ca="1">Elec_Est!T11483+Fire_Stopping_Est!T422</f>
        <v>330.67467391304353</v>
      </c>
      <c r="Y109" s="1207">
        <v>51220.259754430248</v>
      </c>
      <c r="Z109" s="1208">
        <v>18120.853999999999</v>
      </c>
      <c r="AA109" s="1207">
        <v>659.9</v>
      </c>
      <c r="AD109" s="1158">
        <f ca="1">Y109-R109</f>
        <v>8357.0555279509135</v>
      </c>
      <c r="AE109" s="1158">
        <f ca="1">Z109-S109</f>
        <v>9040.5274543478245</v>
      </c>
      <c r="AF109" s="1158">
        <f ca="1">AA109-T109</f>
        <v>329.22532608695644</v>
      </c>
    </row>
    <row r="110" spans="1:32" hidden="1">
      <c r="A110" s="170"/>
      <c r="B110" s="479">
        <v>2</v>
      </c>
      <c r="C110" s="6" t="s">
        <v>73</v>
      </c>
      <c r="D110" s="36" t="s">
        <v>75</v>
      </c>
      <c r="E110" s="170"/>
      <c r="F110" s="360">
        <v>505</v>
      </c>
      <c r="G110" s="64"/>
      <c r="P110" s="350">
        <v>1</v>
      </c>
      <c r="Q110" s="251">
        <v>1</v>
      </c>
      <c r="R110" s="286">
        <f>Elec_Est!R11484+Fire_Stopping_Est!R423</f>
        <v>0</v>
      </c>
      <c r="S110" s="387">
        <f t="shared" ref="S110:S164" si="16">T110*$D$9</f>
        <v>0</v>
      </c>
      <c r="T110" s="286">
        <f>Elec_Est!T11484+Fire_Stopping_Est!T423</f>
        <v>0</v>
      </c>
      <c r="Y110" s="1207">
        <v>0</v>
      </c>
      <c r="Z110" s="1208">
        <v>0</v>
      </c>
      <c r="AA110" s="1207">
        <v>0</v>
      </c>
      <c r="AD110" s="1158">
        <f t="shared" ref="AD110:AF164" si="17">Y110-R110</f>
        <v>0</v>
      </c>
      <c r="AE110" s="1158">
        <f t="shared" si="17"/>
        <v>0</v>
      </c>
      <c r="AF110" s="1158">
        <f t="shared" si="17"/>
        <v>0</v>
      </c>
    </row>
    <row r="111" spans="1:32">
      <c r="A111" s="170"/>
      <c r="B111" s="479">
        <v>3</v>
      </c>
      <c r="C111" s="6" t="s">
        <v>73</v>
      </c>
      <c r="D111" s="36" t="s">
        <v>76</v>
      </c>
      <c r="E111" s="170"/>
      <c r="F111" s="360">
        <v>510</v>
      </c>
      <c r="G111" s="64"/>
      <c r="P111" s="350">
        <v>2</v>
      </c>
      <c r="Q111" s="251">
        <v>1</v>
      </c>
      <c r="R111" s="286">
        <f ca="1">Elec_Est!R11485+Fire_Stopping_Est!R424</f>
        <v>222629.17222222223</v>
      </c>
      <c r="S111" s="387">
        <f t="shared" ca="1" si="16"/>
        <v>16762.270500000002</v>
      </c>
      <c r="T111" s="286">
        <f ca="1">Elec_Est!T11485+Fire_Stopping_Est!T424</f>
        <v>610.42500000000007</v>
      </c>
      <c r="V111" s="36">
        <v>4822.42</v>
      </c>
      <c r="X111" s="1158">
        <v>212970.15</v>
      </c>
      <c r="Y111" s="1207">
        <v>255857.78999999998</v>
      </c>
      <c r="Z111" s="1208">
        <v>19036.645</v>
      </c>
      <c r="AA111" s="1207">
        <v>693.25</v>
      </c>
      <c r="AD111" s="1158">
        <f t="shared" ca="1" si="17"/>
        <v>33228.617777777748</v>
      </c>
      <c r="AE111" s="1158">
        <f t="shared" ca="1" si="17"/>
        <v>2274.3744999999981</v>
      </c>
      <c r="AF111" s="1158">
        <f t="shared" ca="1" si="17"/>
        <v>82.824999999999932</v>
      </c>
    </row>
    <row r="112" spans="1:32" hidden="1">
      <c r="A112" s="170"/>
      <c r="B112" s="479">
        <v>4</v>
      </c>
      <c r="C112" s="6" t="s">
        <v>73</v>
      </c>
      <c r="D112" s="36" t="s">
        <v>77</v>
      </c>
      <c r="E112" s="170"/>
      <c r="F112" s="360">
        <v>511</v>
      </c>
      <c r="G112" s="64"/>
      <c r="P112" s="350">
        <v>2</v>
      </c>
      <c r="Q112" s="251">
        <v>1</v>
      </c>
      <c r="R112" s="286">
        <f>Elec_Est!R11486+Fire_Stopping_Est!R425</f>
        <v>0</v>
      </c>
      <c r="S112" s="387">
        <f t="shared" si="16"/>
        <v>0</v>
      </c>
      <c r="T112" s="286">
        <f>Elec_Est!T11486+Fire_Stopping_Est!T425</f>
        <v>0</v>
      </c>
      <c r="Y112" s="1207">
        <v>0</v>
      </c>
      <c r="Z112" s="1208">
        <v>0</v>
      </c>
      <c r="AA112" s="1207">
        <v>0</v>
      </c>
      <c r="AD112" s="1158">
        <f t="shared" si="17"/>
        <v>0</v>
      </c>
      <c r="AE112" s="1158">
        <f t="shared" si="17"/>
        <v>0</v>
      </c>
      <c r="AF112" s="1158">
        <f t="shared" si="17"/>
        <v>0</v>
      </c>
    </row>
    <row r="113" spans="1:32" hidden="1">
      <c r="A113" s="170"/>
      <c r="B113" s="479">
        <v>5</v>
      </c>
      <c r="C113" s="6" t="s">
        <v>73</v>
      </c>
      <c r="D113" s="36" t="s">
        <v>78</v>
      </c>
      <c r="E113" s="170"/>
      <c r="F113" s="360">
        <v>512</v>
      </c>
      <c r="G113" s="64"/>
      <c r="P113" s="350">
        <v>2</v>
      </c>
      <c r="Q113" s="251">
        <v>1</v>
      </c>
      <c r="R113" s="286">
        <f>Elec_Est!R11487+Fire_Stopping_Est!R426</f>
        <v>0</v>
      </c>
      <c r="S113" s="387">
        <f t="shared" si="16"/>
        <v>0</v>
      </c>
      <c r="T113" s="286">
        <f>Elec_Est!T11487+Fire_Stopping_Est!T426</f>
        <v>0</v>
      </c>
      <c r="Y113" s="1207">
        <v>0</v>
      </c>
      <c r="Z113" s="1208">
        <v>0</v>
      </c>
      <c r="AA113" s="1207">
        <v>0</v>
      </c>
      <c r="AD113" s="1158">
        <f t="shared" si="17"/>
        <v>0</v>
      </c>
      <c r="AE113" s="1158">
        <f t="shared" si="17"/>
        <v>0</v>
      </c>
      <c r="AF113" s="1158">
        <f t="shared" si="17"/>
        <v>0</v>
      </c>
    </row>
    <row r="114" spans="1:32">
      <c r="A114" s="170"/>
      <c r="B114" s="479">
        <v>6</v>
      </c>
      <c r="C114" s="6" t="s">
        <v>73</v>
      </c>
      <c r="D114" s="36" t="s">
        <v>79</v>
      </c>
      <c r="E114" s="170"/>
      <c r="F114" s="360">
        <v>520</v>
      </c>
      <c r="G114" s="64"/>
      <c r="P114" s="350">
        <v>1</v>
      </c>
      <c r="Q114" s="251">
        <v>1</v>
      </c>
      <c r="R114" s="286">
        <f>Elec_Est!R11488+Fire_Stopping_Est!R427</f>
        <v>709.99999999999989</v>
      </c>
      <c r="S114" s="387">
        <f t="shared" si="16"/>
        <v>1223.3430000000001</v>
      </c>
      <c r="T114" s="286">
        <f>Elec_Est!T11488+Fire_Stopping_Est!T427</f>
        <v>44.550000000000004</v>
      </c>
      <c r="Y114" s="1207">
        <v>709.99999999999989</v>
      </c>
      <c r="Z114" s="1208">
        <v>1359.27</v>
      </c>
      <c r="AA114" s="1207">
        <v>49.5</v>
      </c>
      <c r="AD114" s="1158">
        <f t="shared" si="17"/>
        <v>0</v>
      </c>
      <c r="AE114" s="1158">
        <f t="shared" si="17"/>
        <v>135.92699999999991</v>
      </c>
      <c r="AF114" s="1158">
        <f t="shared" si="17"/>
        <v>4.9499999999999957</v>
      </c>
    </row>
    <row r="115" spans="1:32" hidden="1">
      <c r="A115" s="170"/>
      <c r="B115" s="479">
        <v>7</v>
      </c>
      <c r="C115" s="6" t="s">
        <v>73</v>
      </c>
      <c r="D115" s="36" t="s">
        <v>80</v>
      </c>
      <c r="E115" s="170"/>
      <c r="F115" s="360">
        <v>530</v>
      </c>
      <c r="G115" s="64"/>
      <c r="P115" s="350">
        <v>2</v>
      </c>
      <c r="Q115" s="251">
        <v>1</v>
      </c>
      <c r="R115" s="286">
        <f>Elec_Est!R11489+Fire_Stopping_Est!R428</f>
        <v>0</v>
      </c>
      <c r="S115" s="387">
        <f t="shared" si="16"/>
        <v>0</v>
      </c>
      <c r="T115" s="286">
        <f>Elec_Est!T11489+Fire_Stopping_Est!T428</f>
        <v>0</v>
      </c>
      <c r="Y115" s="1207">
        <v>0</v>
      </c>
      <c r="Z115" s="1208">
        <v>0</v>
      </c>
      <c r="AA115" s="1207">
        <v>0</v>
      </c>
      <c r="AD115" s="1158">
        <f t="shared" si="17"/>
        <v>0</v>
      </c>
      <c r="AE115" s="1158">
        <f t="shared" si="17"/>
        <v>0</v>
      </c>
      <c r="AF115" s="1158">
        <f t="shared" si="17"/>
        <v>0</v>
      </c>
    </row>
    <row r="116" spans="1:32" hidden="1">
      <c r="A116" s="170"/>
      <c r="B116" s="479">
        <v>8</v>
      </c>
      <c r="C116" s="6" t="s">
        <v>73</v>
      </c>
      <c r="D116" s="36" t="s">
        <v>81</v>
      </c>
      <c r="E116" s="170"/>
      <c r="F116" s="360">
        <v>550</v>
      </c>
      <c r="G116" s="64"/>
      <c r="P116" s="350">
        <v>2</v>
      </c>
      <c r="Q116" s="251">
        <v>1</v>
      </c>
      <c r="R116" s="286">
        <f>Elec_Est!R11490+Fire_Stopping_Est!R429</f>
        <v>0</v>
      </c>
      <c r="S116" s="387">
        <f t="shared" si="16"/>
        <v>0</v>
      </c>
      <c r="T116" s="286">
        <f>Elec_Est!T11490+Fire_Stopping_Est!T429</f>
        <v>0</v>
      </c>
      <c r="Y116" s="1207">
        <v>0</v>
      </c>
      <c r="Z116" s="1208">
        <v>0</v>
      </c>
      <c r="AA116" s="1207">
        <v>0</v>
      </c>
      <c r="AD116" s="1158">
        <f t="shared" si="17"/>
        <v>0</v>
      </c>
      <c r="AE116" s="1158">
        <f t="shared" si="17"/>
        <v>0</v>
      </c>
      <c r="AF116" s="1158">
        <f t="shared" si="17"/>
        <v>0</v>
      </c>
    </row>
    <row r="117" spans="1:32">
      <c r="A117" s="170"/>
      <c r="B117" s="479">
        <v>9</v>
      </c>
      <c r="C117" s="6" t="s">
        <v>73</v>
      </c>
      <c r="D117" s="36" t="s">
        <v>82</v>
      </c>
      <c r="E117" s="170"/>
      <c r="F117" s="360">
        <v>570</v>
      </c>
      <c r="G117" s="64"/>
      <c r="P117" s="350">
        <v>2</v>
      </c>
      <c r="Q117" s="251">
        <v>1</v>
      </c>
      <c r="R117" s="286">
        <f>Elec_Est!R11491+Fire_Stopping_Est!R430</f>
        <v>4094.6299999999992</v>
      </c>
      <c r="S117" s="387">
        <f t="shared" si="16"/>
        <v>747.59850000000006</v>
      </c>
      <c r="T117" s="286">
        <f>Elec_Est!T11491+Fire_Stopping_Est!T430</f>
        <v>27.225000000000001</v>
      </c>
      <c r="Y117" s="1207">
        <v>5552.5000000000018</v>
      </c>
      <c r="Z117" s="1208">
        <v>995.42500000000007</v>
      </c>
      <c r="AA117" s="1207">
        <v>36.25</v>
      </c>
      <c r="AD117" s="1158">
        <f t="shared" si="17"/>
        <v>1457.8700000000026</v>
      </c>
      <c r="AE117" s="1158">
        <f t="shared" si="17"/>
        <v>247.82650000000001</v>
      </c>
      <c r="AF117" s="1158">
        <f t="shared" si="17"/>
        <v>9.0249999999999986</v>
      </c>
    </row>
    <row r="118" spans="1:32">
      <c r="A118" s="170"/>
      <c r="B118" s="479">
        <v>10</v>
      </c>
      <c r="C118" s="6" t="s">
        <v>73</v>
      </c>
      <c r="D118" s="36" t="s">
        <v>83</v>
      </c>
      <c r="E118" s="170"/>
      <c r="F118" s="360">
        <v>615</v>
      </c>
      <c r="G118" s="64"/>
      <c r="P118" s="350">
        <v>2</v>
      </c>
      <c r="Q118" s="251">
        <v>1</v>
      </c>
      <c r="R118" s="286">
        <f ca="1">Elec_Est!R11492+Fire_Stopping_Est!R431</f>
        <v>17360.588812119167</v>
      </c>
      <c r="S118" s="387">
        <f t="shared" ca="1" si="16"/>
        <v>25236.154621384307</v>
      </c>
      <c r="T118" s="286">
        <f ca="1">Elec_Est!T11492+Fire_Stopping_Est!T431</f>
        <v>919.01509910357993</v>
      </c>
      <c r="Y118" s="1207">
        <v>25084.24688734136</v>
      </c>
      <c r="Z118" s="1208">
        <v>38117.985766385784</v>
      </c>
      <c r="AA118" s="1207">
        <v>1388.1276681131021</v>
      </c>
      <c r="AD118" s="1158">
        <f t="shared" ca="1" si="17"/>
        <v>7723.6580752221926</v>
      </c>
      <c r="AE118" s="1158">
        <f t="shared" ca="1" si="17"/>
        <v>12881.831145001477</v>
      </c>
      <c r="AF118" s="1158">
        <f t="shared" ca="1" si="17"/>
        <v>469.11256900952219</v>
      </c>
    </row>
    <row r="119" spans="1:32">
      <c r="A119" s="170"/>
      <c r="B119" s="479" t="s">
        <v>84</v>
      </c>
      <c r="C119" s="6" t="s">
        <v>73</v>
      </c>
      <c r="D119" s="36" t="s">
        <v>85</v>
      </c>
      <c r="E119" s="170"/>
      <c r="F119" s="360">
        <v>616</v>
      </c>
      <c r="G119" s="64"/>
      <c r="P119" s="350">
        <v>2</v>
      </c>
      <c r="Q119" s="251">
        <v>1</v>
      </c>
      <c r="R119" s="286">
        <f ca="1">Elec_Est!R11493+Fire_Stopping_Est!R432</f>
        <v>364666.05013248575</v>
      </c>
      <c r="S119" s="387">
        <f t="shared" ca="1" si="16"/>
        <v>28436.321651687616</v>
      </c>
      <c r="T119" s="286">
        <f ca="1">Elec_Est!T11493+Fire_Stopping_Est!T432</f>
        <v>1035.5543208917559</v>
      </c>
      <c r="Y119" s="1207">
        <v>505427.04407614772</v>
      </c>
      <c r="Z119" s="1208">
        <v>40754.087525704985</v>
      </c>
      <c r="AA119" s="1207">
        <v>1484.1255471851778</v>
      </c>
      <c r="AD119" s="1158">
        <f t="shared" ca="1" si="17"/>
        <v>140760.99394366198</v>
      </c>
      <c r="AE119" s="1158">
        <f t="shared" ca="1" si="17"/>
        <v>12317.765874017368</v>
      </c>
      <c r="AF119" s="1158">
        <f t="shared" ca="1" si="17"/>
        <v>448.57122629342189</v>
      </c>
    </row>
    <row r="120" spans="1:32">
      <c r="A120" s="170"/>
      <c r="B120" s="479">
        <v>12</v>
      </c>
      <c r="C120" s="6" t="s">
        <v>73</v>
      </c>
      <c r="D120" s="36" t="s">
        <v>86</v>
      </c>
      <c r="E120" s="170"/>
      <c r="F120" s="360">
        <v>617</v>
      </c>
      <c r="G120" s="64"/>
      <c r="P120" s="350">
        <v>2</v>
      </c>
      <c r="Q120" s="251">
        <v>1</v>
      </c>
      <c r="R120" s="286">
        <f>Elec_Est!R11494+Fire_Stopping_Est!R433</f>
        <v>359.9</v>
      </c>
      <c r="S120" s="387">
        <f t="shared" si="16"/>
        <v>339.07608000000005</v>
      </c>
      <c r="T120" s="286">
        <f>Elec_Est!T11494+Fire_Stopping_Est!T433</f>
        <v>12.348000000000001</v>
      </c>
      <c r="Y120" s="1207">
        <v>360</v>
      </c>
      <c r="Z120" s="1208">
        <v>376.75120000000015</v>
      </c>
      <c r="AA120" s="1207">
        <v>13.720000000000004</v>
      </c>
      <c r="AD120" s="1158">
        <f t="shared" si="17"/>
        <v>0.10000000000002274</v>
      </c>
      <c r="AE120" s="1158">
        <f t="shared" si="17"/>
        <v>37.675120000000106</v>
      </c>
      <c r="AF120" s="1158">
        <f t="shared" si="17"/>
        <v>1.3720000000000034</v>
      </c>
    </row>
    <row r="121" spans="1:32">
      <c r="A121" s="170"/>
      <c r="B121" s="479">
        <v>13</v>
      </c>
      <c r="C121" s="6" t="s">
        <v>73</v>
      </c>
      <c r="D121" s="36" t="s">
        <v>87</v>
      </c>
      <c r="E121" s="170"/>
      <c r="F121" s="360">
        <v>620</v>
      </c>
      <c r="G121" s="64"/>
      <c r="P121" s="350">
        <v>2</v>
      </c>
      <c r="Q121" s="251">
        <v>1</v>
      </c>
      <c r="R121" s="286">
        <f ca="1">Elec_Est!R11495+Fire_Stopping_Est!R434</f>
        <v>6326.7219244022399</v>
      </c>
      <c r="S121" s="387">
        <f t="shared" ca="1" si="16"/>
        <v>8972.0539439257645</v>
      </c>
      <c r="T121" s="286">
        <f ca="1">Elec_Est!T11495+Fire_Stopping_Est!T434</f>
        <v>326.73175323837449</v>
      </c>
      <c r="Y121" s="1207">
        <v>7480.14</v>
      </c>
      <c r="Z121" s="1208">
        <v>11129.537999999999</v>
      </c>
      <c r="AA121" s="1207">
        <v>405.29999999999995</v>
      </c>
      <c r="AD121" s="1158">
        <f t="shared" ca="1" si="17"/>
        <v>1153.4180755977604</v>
      </c>
      <c r="AE121" s="1158">
        <f t="shared" ca="1" si="17"/>
        <v>2157.4840560742341</v>
      </c>
      <c r="AF121" s="1158">
        <f t="shared" ca="1" si="17"/>
        <v>78.56824676162546</v>
      </c>
    </row>
    <row r="122" spans="1:32">
      <c r="A122" s="170"/>
      <c r="B122" s="479">
        <v>14</v>
      </c>
      <c r="C122" s="6" t="s">
        <v>73</v>
      </c>
      <c r="D122" s="36" t="s">
        <v>88</v>
      </c>
      <c r="E122" s="170"/>
      <c r="F122" s="360">
        <v>650</v>
      </c>
      <c r="G122" s="64"/>
      <c r="P122" s="350">
        <v>1</v>
      </c>
      <c r="Q122" s="251">
        <v>1</v>
      </c>
      <c r="R122" s="286">
        <f ca="1">Elec_Est!R11496+Fire_Stopping_Est!R435</f>
        <v>10458.097796778466</v>
      </c>
      <c r="S122" s="387">
        <f t="shared" ca="1" si="16"/>
        <v>12951.371700000003</v>
      </c>
      <c r="T122" s="286">
        <f ca="1">Elec_Est!T11496+Fire_Stopping_Est!T435</f>
        <v>471.6450000000001</v>
      </c>
      <c r="Y122" s="1207">
        <v>11381.444458296561</v>
      </c>
      <c r="Z122" s="1208">
        <v>15976.228000000003</v>
      </c>
      <c r="AA122" s="1207">
        <v>581.80000000000007</v>
      </c>
      <c r="AD122" s="1158">
        <f t="shared" ca="1" si="17"/>
        <v>923.34666151809506</v>
      </c>
      <c r="AE122" s="1158">
        <f t="shared" ca="1" si="17"/>
        <v>3024.8562999999995</v>
      </c>
      <c r="AF122" s="1158">
        <f t="shared" ca="1" si="17"/>
        <v>110.15499999999997</v>
      </c>
    </row>
    <row r="123" spans="1:32" hidden="1">
      <c r="A123" s="170"/>
      <c r="B123" s="479">
        <v>15</v>
      </c>
      <c r="C123" s="6" t="s">
        <v>73</v>
      </c>
      <c r="D123" s="36" t="s">
        <v>89</v>
      </c>
      <c r="E123" s="170"/>
      <c r="F123" s="360">
        <v>651</v>
      </c>
      <c r="G123" s="64"/>
      <c r="P123" s="350">
        <v>1</v>
      </c>
      <c r="Q123" s="251">
        <v>1</v>
      </c>
      <c r="R123" s="286">
        <f>Elec_Est!R11497+Fire_Stopping_Est!R436</f>
        <v>0</v>
      </c>
      <c r="S123" s="387">
        <f t="shared" si="16"/>
        <v>0</v>
      </c>
      <c r="T123" s="286">
        <f>Elec_Est!T11497+Fire_Stopping_Est!T436</f>
        <v>0</v>
      </c>
      <c r="Y123" s="1207">
        <v>0</v>
      </c>
      <c r="Z123" s="1208">
        <v>0</v>
      </c>
      <c r="AA123" s="1207">
        <v>0</v>
      </c>
      <c r="AD123" s="1158">
        <f t="shared" si="17"/>
        <v>0</v>
      </c>
      <c r="AE123" s="1158">
        <f t="shared" si="17"/>
        <v>0</v>
      </c>
      <c r="AF123" s="1158">
        <f t="shared" si="17"/>
        <v>0</v>
      </c>
    </row>
    <row r="124" spans="1:32" hidden="1">
      <c r="A124" s="170"/>
      <c r="B124" s="479">
        <v>16</v>
      </c>
      <c r="C124" s="6" t="s">
        <v>73</v>
      </c>
      <c r="D124" s="36" t="s">
        <v>90</v>
      </c>
      <c r="E124" s="170"/>
      <c r="F124" s="360">
        <v>652</v>
      </c>
      <c r="G124" s="64"/>
      <c r="P124" s="350">
        <v>1</v>
      </c>
      <c r="Q124" s="251">
        <v>1</v>
      </c>
      <c r="R124" s="286">
        <f>Elec_Est!R11498+Fire_Stopping_Est!R437</f>
        <v>0</v>
      </c>
      <c r="S124" s="387">
        <f t="shared" si="16"/>
        <v>0</v>
      </c>
      <c r="T124" s="286">
        <f>Elec_Est!T11498+Fire_Stopping_Est!T437</f>
        <v>0</v>
      </c>
      <c r="Y124" s="1207">
        <v>0</v>
      </c>
      <c r="Z124" s="1208">
        <v>0</v>
      </c>
      <c r="AA124" s="1207">
        <v>0</v>
      </c>
      <c r="AD124" s="1158">
        <f t="shared" si="17"/>
        <v>0</v>
      </c>
      <c r="AE124" s="1158">
        <f t="shared" si="17"/>
        <v>0</v>
      </c>
      <c r="AF124" s="1158">
        <f t="shared" si="17"/>
        <v>0</v>
      </c>
    </row>
    <row r="125" spans="1:32" hidden="1">
      <c r="A125" s="170"/>
      <c r="B125" s="479">
        <v>17</v>
      </c>
      <c r="C125" s="6" t="s">
        <v>73</v>
      </c>
      <c r="D125" s="36" t="s">
        <v>91</v>
      </c>
      <c r="E125" s="170"/>
      <c r="F125" s="360">
        <v>654</v>
      </c>
      <c r="G125" s="64"/>
      <c r="P125" s="350">
        <v>1</v>
      </c>
      <c r="Q125" s="251">
        <v>1</v>
      </c>
      <c r="R125" s="286">
        <f>Elec_Est!R11499+Fire_Stopping_Est!R438</f>
        <v>0</v>
      </c>
      <c r="S125" s="387">
        <f t="shared" si="16"/>
        <v>0</v>
      </c>
      <c r="T125" s="286">
        <f>Elec_Est!T11499+Fire_Stopping_Est!T438</f>
        <v>0</v>
      </c>
      <c r="Y125" s="1207">
        <v>0</v>
      </c>
      <c r="Z125" s="1208">
        <v>0</v>
      </c>
      <c r="AA125" s="1207">
        <v>0</v>
      </c>
      <c r="AD125" s="1158">
        <f t="shared" si="17"/>
        <v>0</v>
      </c>
      <c r="AE125" s="1158">
        <f t="shared" si="17"/>
        <v>0</v>
      </c>
      <c r="AF125" s="1158">
        <f t="shared" si="17"/>
        <v>0</v>
      </c>
    </row>
    <row r="126" spans="1:32">
      <c r="A126" s="170"/>
      <c r="B126" s="479">
        <v>18</v>
      </c>
      <c r="C126" s="6" t="s">
        <v>73</v>
      </c>
      <c r="D126" s="36" t="s">
        <v>92</v>
      </c>
      <c r="E126" s="170"/>
      <c r="F126" s="360">
        <v>675</v>
      </c>
      <c r="G126" s="64"/>
      <c r="P126" s="350">
        <v>1</v>
      </c>
      <c r="Q126" s="251">
        <v>1</v>
      </c>
      <c r="R126" s="286">
        <f ca="1">Elec_Est!R11500+Fire_Stopping_Est!R439</f>
        <v>12301.490434782605</v>
      </c>
      <c r="S126" s="387">
        <f t="shared" ca="1" si="16"/>
        <v>15062.538286956522</v>
      </c>
      <c r="T126" s="286">
        <f ca="1">Elec_Est!T11500+Fire_Stopping_Est!T439</f>
        <v>548.52652173913043</v>
      </c>
      <c r="Y126" s="1207">
        <v>12741.059999999998</v>
      </c>
      <c r="Z126" s="1208">
        <v>18672.8</v>
      </c>
      <c r="AA126" s="1207">
        <v>680</v>
      </c>
      <c r="AD126" s="1158">
        <f t="shared" ca="1" si="17"/>
        <v>439.56956521739266</v>
      </c>
      <c r="AE126" s="1158">
        <f t="shared" ca="1" si="17"/>
        <v>3610.2617130434774</v>
      </c>
      <c r="AF126" s="1158">
        <f t="shared" ca="1" si="17"/>
        <v>131.47347826086957</v>
      </c>
    </row>
    <row r="127" spans="1:32" hidden="1">
      <c r="A127" s="170"/>
      <c r="B127" s="479">
        <v>19</v>
      </c>
      <c r="C127" s="6" t="s">
        <v>73</v>
      </c>
      <c r="D127" s="36" t="s">
        <v>93</v>
      </c>
      <c r="E127" s="170"/>
      <c r="F127" s="360">
        <v>676</v>
      </c>
      <c r="G127" s="64"/>
      <c r="P127" s="350">
        <v>1</v>
      </c>
      <c r="Q127" s="251">
        <v>1</v>
      </c>
      <c r="R127" s="286">
        <f>Elec_Est!R11501+Fire_Stopping_Est!R440</f>
        <v>0</v>
      </c>
      <c r="S127" s="387">
        <f t="shared" si="16"/>
        <v>0</v>
      </c>
      <c r="T127" s="286">
        <f>Elec_Est!T11501+Fire_Stopping_Est!T440</f>
        <v>0</v>
      </c>
      <c r="Y127" s="1207">
        <v>0</v>
      </c>
      <c r="Z127" s="1208">
        <v>0</v>
      </c>
      <c r="AA127" s="1207">
        <v>0</v>
      </c>
      <c r="AD127" s="1158">
        <f t="shared" si="17"/>
        <v>0</v>
      </c>
      <c r="AE127" s="1158">
        <f t="shared" si="17"/>
        <v>0</v>
      </c>
      <c r="AF127" s="1158">
        <f t="shared" si="17"/>
        <v>0</v>
      </c>
    </row>
    <row r="128" spans="1:32" hidden="1">
      <c r="A128" s="170"/>
      <c r="B128" s="479">
        <v>20</v>
      </c>
      <c r="C128" s="6" t="s">
        <v>73</v>
      </c>
      <c r="D128" s="36" t="s">
        <v>94</v>
      </c>
      <c r="E128" s="170"/>
      <c r="F128" s="360">
        <v>680</v>
      </c>
      <c r="G128" s="64"/>
      <c r="P128" s="350">
        <v>1</v>
      </c>
      <c r="Q128" s="251">
        <v>1</v>
      </c>
      <c r="R128" s="286">
        <f>Elec_Est!R11502+Fire_Stopping_Est!R441</f>
        <v>0</v>
      </c>
      <c r="S128" s="387">
        <f t="shared" si="16"/>
        <v>0</v>
      </c>
      <c r="T128" s="286">
        <f>Elec_Est!T11502+Fire_Stopping_Est!T441</f>
        <v>0</v>
      </c>
      <c r="Y128" s="1207">
        <v>0</v>
      </c>
      <c r="Z128" s="1208">
        <v>0</v>
      </c>
      <c r="AA128" s="1207">
        <v>0</v>
      </c>
      <c r="AD128" s="1158">
        <f t="shared" si="17"/>
        <v>0</v>
      </c>
      <c r="AE128" s="1158">
        <f t="shared" si="17"/>
        <v>0</v>
      </c>
      <c r="AF128" s="1158">
        <f t="shared" si="17"/>
        <v>0</v>
      </c>
    </row>
    <row r="129" spans="1:32" hidden="1">
      <c r="A129" s="170"/>
      <c r="B129" s="479" t="s">
        <v>95</v>
      </c>
      <c r="C129" s="6" t="s">
        <v>73</v>
      </c>
      <c r="D129" s="36" t="s">
        <v>96</v>
      </c>
      <c r="E129" s="170"/>
      <c r="F129" s="360">
        <v>681</v>
      </c>
      <c r="G129" s="64"/>
      <c r="P129" s="350">
        <v>1</v>
      </c>
      <c r="Q129" s="251">
        <v>1</v>
      </c>
      <c r="R129" s="286">
        <f>Elec_Est!R11503+Fire_Stopping_Est!R442</f>
        <v>0</v>
      </c>
      <c r="S129" s="387">
        <f t="shared" si="16"/>
        <v>0</v>
      </c>
      <c r="T129" s="286">
        <f>Elec_Est!T11503+Fire_Stopping_Est!T442</f>
        <v>0</v>
      </c>
      <c r="Y129" s="1207">
        <v>0</v>
      </c>
      <c r="Z129" s="1208">
        <v>0</v>
      </c>
      <c r="AA129" s="1207">
        <v>0</v>
      </c>
      <c r="AD129" s="1158">
        <f t="shared" si="17"/>
        <v>0</v>
      </c>
      <c r="AE129" s="1158">
        <f t="shared" si="17"/>
        <v>0</v>
      </c>
      <c r="AF129" s="1158">
        <f t="shared" si="17"/>
        <v>0</v>
      </c>
    </row>
    <row r="130" spans="1:32">
      <c r="A130" s="170"/>
      <c r="B130" s="479">
        <v>22</v>
      </c>
      <c r="C130" s="6" t="s">
        <v>73</v>
      </c>
      <c r="D130" s="36" t="s">
        <v>97</v>
      </c>
      <c r="E130" s="170"/>
      <c r="F130" s="360">
        <v>690</v>
      </c>
      <c r="G130" s="64"/>
      <c r="P130" s="350">
        <v>1</v>
      </c>
      <c r="Q130" s="251">
        <v>1</v>
      </c>
      <c r="R130" s="286">
        <f ca="1">Elec_Est!R11504+Fire_Stopping_Est!R443</f>
        <v>56253.685831558891</v>
      </c>
      <c r="S130" s="387">
        <f t="shared" ca="1" si="16"/>
        <v>52690.759104186742</v>
      </c>
      <c r="T130" s="286">
        <f ca="1">Elec_Est!T11504+Fire_Stopping_Est!T443</f>
        <v>1918.8186126797793</v>
      </c>
      <c r="Y130" s="1207">
        <v>89463.544213797548</v>
      </c>
      <c r="Z130" s="1208">
        <v>66475.191429228464</v>
      </c>
      <c r="AA130" s="1207">
        <v>2420.8008532129811</v>
      </c>
      <c r="AD130" s="1158">
        <f t="shared" ca="1" si="17"/>
        <v>33209.858382238657</v>
      </c>
      <c r="AE130" s="1158">
        <f t="shared" ca="1" si="17"/>
        <v>13784.432325041722</v>
      </c>
      <c r="AF130" s="1158">
        <f t="shared" ca="1" si="17"/>
        <v>501.98224053320178</v>
      </c>
    </row>
    <row r="131" spans="1:32">
      <c r="A131" s="170"/>
      <c r="B131" s="479">
        <v>23</v>
      </c>
      <c r="C131" s="6" t="s">
        <v>73</v>
      </c>
      <c r="D131" s="36" t="s">
        <v>98</v>
      </c>
      <c r="E131" s="170"/>
      <c r="F131" s="360">
        <v>700</v>
      </c>
      <c r="G131" s="64"/>
      <c r="P131" s="350">
        <v>1</v>
      </c>
      <c r="Q131" s="251">
        <v>1</v>
      </c>
      <c r="R131" s="286">
        <f ca="1">Elec_Est!R11505+Fire_Stopping_Est!R444</f>
        <v>8563.4639097744366</v>
      </c>
      <c r="S131" s="387">
        <f t="shared" ca="1" si="16"/>
        <v>16369.66538255639</v>
      </c>
      <c r="T131" s="286">
        <f ca="1">Elec_Est!T11505+Fire_Stopping_Est!T444</f>
        <v>596.12765413533828</v>
      </c>
      <c r="Y131" s="1207">
        <v>9941.6335526315797</v>
      </c>
      <c r="Z131" s="1208">
        <v>21289.278225657898</v>
      </c>
      <c r="AA131" s="1207">
        <v>775.28325657894743</v>
      </c>
      <c r="AD131" s="1158">
        <f t="shared" ca="1" si="17"/>
        <v>1378.1696428571431</v>
      </c>
      <c r="AE131" s="1158">
        <f t="shared" ca="1" si="17"/>
        <v>4919.6128431015077</v>
      </c>
      <c r="AF131" s="1158">
        <f t="shared" ca="1" si="17"/>
        <v>179.15560244360915</v>
      </c>
    </row>
    <row r="132" spans="1:32">
      <c r="A132" s="170"/>
      <c r="B132" s="479">
        <v>24</v>
      </c>
      <c r="C132" s="6" t="s">
        <v>73</v>
      </c>
      <c r="D132" s="36" t="s">
        <v>99</v>
      </c>
      <c r="E132" s="170"/>
      <c r="F132" s="360">
        <v>705</v>
      </c>
      <c r="G132" s="64"/>
      <c r="P132" s="350">
        <v>3</v>
      </c>
      <c r="Q132" s="251">
        <v>1</v>
      </c>
      <c r="R132" s="286">
        <f ca="1">Elec_Est!R11506+Fire_Stopping_Est!R445</f>
        <v>17670.365215165577</v>
      </c>
      <c r="S132" s="387">
        <f t="shared" ca="1" si="16"/>
        <v>8605.5890496786997</v>
      </c>
      <c r="T132" s="286">
        <f ca="1">Elec_Est!T11506+Fire_Stopping_Est!T445</f>
        <v>313.38634558189</v>
      </c>
      <c r="Y132" s="1207">
        <v>18124.669111269472</v>
      </c>
      <c r="Z132" s="1208">
        <v>9722.7678049373935</v>
      </c>
      <c r="AA132" s="1207">
        <v>354.07020411279655</v>
      </c>
      <c r="AD132" s="1158">
        <f t="shared" ca="1" si="17"/>
        <v>454.30389610389466</v>
      </c>
      <c r="AE132" s="1158">
        <f t="shared" ca="1" si="17"/>
        <v>1117.1787552586939</v>
      </c>
      <c r="AF132" s="1158">
        <f t="shared" ca="1" si="17"/>
        <v>40.683858530906548</v>
      </c>
    </row>
    <row r="133" spans="1:32" hidden="1">
      <c r="A133" s="170"/>
      <c r="B133" s="479">
        <v>25</v>
      </c>
      <c r="C133" s="6" t="s">
        <v>73</v>
      </c>
      <c r="D133" s="36" t="s">
        <v>100</v>
      </c>
      <c r="E133" s="170"/>
      <c r="F133" s="360">
        <v>706</v>
      </c>
      <c r="G133" s="64"/>
      <c r="P133" s="350">
        <v>3</v>
      </c>
      <c r="Q133" s="251">
        <v>1</v>
      </c>
      <c r="R133" s="286">
        <f>Elec_Est!R11507+Fire_Stopping_Est!R446</f>
        <v>0</v>
      </c>
      <c r="S133" s="387">
        <f t="shared" si="16"/>
        <v>0</v>
      </c>
      <c r="T133" s="286">
        <f>Elec_Est!T11507+Fire_Stopping_Est!T446</f>
        <v>0</v>
      </c>
      <c r="Y133" s="1207">
        <v>0</v>
      </c>
      <c r="Z133" s="1208">
        <v>0</v>
      </c>
      <c r="AA133" s="1207">
        <v>0</v>
      </c>
      <c r="AD133" s="1158">
        <f t="shared" si="17"/>
        <v>0</v>
      </c>
      <c r="AE133" s="1158">
        <f t="shared" si="17"/>
        <v>0</v>
      </c>
      <c r="AF133" s="1158">
        <f t="shared" si="17"/>
        <v>0</v>
      </c>
    </row>
    <row r="134" spans="1:32" hidden="1">
      <c r="A134" s="170"/>
      <c r="B134" s="479">
        <v>26</v>
      </c>
      <c r="C134" s="6" t="s">
        <v>73</v>
      </c>
      <c r="D134" s="36" t="s">
        <v>101</v>
      </c>
      <c r="E134" s="170"/>
      <c r="F134" s="360">
        <v>725</v>
      </c>
      <c r="G134" s="64"/>
      <c r="P134" s="350">
        <v>3</v>
      </c>
      <c r="Q134" s="251">
        <v>1</v>
      </c>
      <c r="R134" s="286">
        <f>Elec_Est!R11508+Fire_Stopping_Est!R447</f>
        <v>0</v>
      </c>
      <c r="S134" s="387">
        <f t="shared" si="16"/>
        <v>0</v>
      </c>
      <c r="T134" s="286">
        <f>Elec_Est!T11508+Fire_Stopping_Est!T447</f>
        <v>0</v>
      </c>
      <c r="Y134" s="1207">
        <v>0</v>
      </c>
      <c r="Z134" s="1208">
        <v>0</v>
      </c>
      <c r="AA134" s="1207">
        <v>0</v>
      </c>
      <c r="AD134" s="1158">
        <f t="shared" si="17"/>
        <v>0</v>
      </c>
      <c r="AE134" s="1158">
        <f t="shared" si="17"/>
        <v>0</v>
      </c>
      <c r="AF134" s="1158">
        <f t="shared" si="17"/>
        <v>0</v>
      </c>
    </row>
    <row r="135" spans="1:32">
      <c r="A135" s="170"/>
      <c r="B135" s="479">
        <v>27</v>
      </c>
      <c r="C135" s="6" t="s">
        <v>73</v>
      </c>
      <c r="D135" s="36" t="s">
        <v>102</v>
      </c>
      <c r="E135" s="170"/>
      <c r="F135" s="360">
        <v>726</v>
      </c>
      <c r="G135" s="64"/>
      <c r="P135" s="350">
        <v>3</v>
      </c>
      <c r="Q135" s="251">
        <v>1</v>
      </c>
      <c r="R135" s="286">
        <f>Elec_Est!R11509+Fire_Stopping_Est!R448</f>
        <v>29734.487999999998</v>
      </c>
      <c r="S135" s="387">
        <f t="shared" si="16"/>
        <v>17324.513999999999</v>
      </c>
      <c r="T135" s="286">
        <f>Elec_Est!T11509+Fire_Stopping_Est!T448</f>
        <v>630.9</v>
      </c>
      <c r="Y135" s="1207">
        <v>39692.22</v>
      </c>
      <c r="Z135" s="1208">
        <v>28915.38</v>
      </c>
      <c r="AA135" s="1207">
        <v>1053</v>
      </c>
      <c r="AD135" s="1158">
        <f t="shared" si="17"/>
        <v>9957.7320000000036</v>
      </c>
      <c r="AE135" s="1158">
        <f t="shared" si="17"/>
        <v>11590.866000000002</v>
      </c>
      <c r="AF135" s="1158">
        <f t="shared" si="17"/>
        <v>422.1</v>
      </c>
    </row>
    <row r="136" spans="1:32" hidden="1">
      <c r="A136" s="170"/>
      <c r="B136" s="479">
        <v>28</v>
      </c>
      <c r="C136" s="6" t="s">
        <v>73</v>
      </c>
      <c r="D136" s="36" t="s">
        <v>103</v>
      </c>
      <c r="E136" s="170"/>
      <c r="F136" s="360">
        <v>750</v>
      </c>
      <c r="G136" s="64"/>
      <c r="P136" s="350">
        <v>3</v>
      </c>
      <c r="Q136" s="251">
        <v>1</v>
      </c>
      <c r="R136" s="286">
        <f>Elec_Est!R11510+Fire_Stopping_Est!R449</f>
        <v>0</v>
      </c>
      <c r="S136" s="387">
        <f t="shared" si="16"/>
        <v>0</v>
      </c>
      <c r="T136" s="286">
        <f>Elec_Est!T11510+Fire_Stopping_Est!T449</f>
        <v>0</v>
      </c>
      <c r="Y136" s="1207">
        <v>0</v>
      </c>
      <c r="Z136" s="1208">
        <v>0</v>
      </c>
      <c r="AA136" s="1207">
        <v>0</v>
      </c>
      <c r="AD136" s="1158">
        <f t="shared" si="17"/>
        <v>0</v>
      </c>
      <c r="AE136" s="1158">
        <f t="shared" si="17"/>
        <v>0</v>
      </c>
      <c r="AF136" s="1158">
        <f t="shared" si="17"/>
        <v>0</v>
      </c>
    </row>
    <row r="137" spans="1:32" hidden="1">
      <c r="A137" s="170"/>
      <c r="B137" s="479">
        <v>29</v>
      </c>
      <c r="C137" s="6" t="s">
        <v>73</v>
      </c>
      <c r="D137" s="36" t="s">
        <v>104</v>
      </c>
      <c r="E137" s="170"/>
      <c r="F137" s="360">
        <v>751</v>
      </c>
      <c r="G137" s="64"/>
      <c r="P137" s="350">
        <v>3</v>
      </c>
      <c r="Q137" s="251">
        <v>1</v>
      </c>
      <c r="R137" s="286">
        <f>Elec_Est!R11511+Fire_Stopping_Est!R450</f>
        <v>0</v>
      </c>
      <c r="S137" s="387">
        <f t="shared" si="16"/>
        <v>0</v>
      </c>
      <c r="T137" s="286">
        <f>Elec_Est!T11511+Fire_Stopping_Est!T450</f>
        <v>0</v>
      </c>
      <c r="Y137" s="1207">
        <v>0</v>
      </c>
      <c r="Z137" s="1208">
        <v>0</v>
      </c>
      <c r="AA137" s="1207">
        <v>0</v>
      </c>
      <c r="AD137" s="1158">
        <f t="shared" si="17"/>
        <v>0</v>
      </c>
      <c r="AE137" s="1158">
        <f t="shared" si="17"/>
        <v>0</v>
      </c>
      <c r="AF137" s="1158">
        <f t="shared" si="17"/>
        <v>0</v>
      </c>
    </row>
    <row r="138" spans="1:32" hidden="1">
      <c r="A138" s="170"/>
      <c r="B138" s="479">
        <v>30</v>
      </c>
      <c r="C138" s="6" t="s">
        <v>73</v>
      </c>
      <c r="D138" s="36" t="s">
        <v>105</v>
      </c>
      <c r="E138" s="170"/>
      <c r="F138" s="360">
        <v>752</v>
      </c>
      <c r="G138" s="64"/>
      <c r="P138" s="350">
        <v>3</v>
      </c>
      <c r="Q138" s="251">
        <v>1</v>
      </c>
      <c r="R138" s="286">
        <f>Elec_Est!R11512+Fire_Stopping_Est!R451</f>
        <v>0</v>
      </c>
      <c r="S138" s="387">
        <f t="shared" si="16"/>
        <v>0</v>
      </c>
      <c r="T138" s="286">
        <f>Elec_Est!T11512+Fire_Stopping_Est!T451</f>
        <v>0</v>
      </c>
      <c r="Y138" s="1207">
        <v>0</v>
      </c>
      <c r="Z138" s="1208">
        <v>0</v>
      </c>
      <c r="AA138" s="1207">
        <v>0</v>
      </c>
      <c r="AD138" s="1158">
        <f t="shared" si="17"/>
        <v>0</v>
      </c>
      <c r="AE138" s="1158">
        <f t="shared" si="17"/>
        <v>0</v>
      </c>
      <c r="AF138" s="1158">
        <f t="shared" si="17"/>
        <v>0</v>
      </c>
    </row>
    <row r="139" spans="1:32" hidden="1">
      <c r="A139" s="170"/>
      <c r="B139" s="479" t="s">
        <v>106</v>
      </c>
      <c r="C139" s="6" t="s">
        <v>73</v>
      </c>
      <c r="D139" s="588" t="s">
        <v>284</v>
      </c>
      <c r="E139" s="170"/>
      <c r="F139" s="360">
        <v>753</v>
      </c>
      <c r="G139" s="64"/>
      <c r="P139" s="350">
        <v>3</v>
      </c>
      <c r="Q139" s="251">
        <v>1</v>
      </c>
      <c r="R139" s="286">
        <f>Elec_Est!R11513+Fire_Stopping_Est!R452</f>
        <v>0</v>
      </c>
      <c r="S139" s="387">
        <f t="shared" si="16"/>
        <v>0</v>
      </c>
      <c r="T139" s="286">
        <f>Elec_Est!T11513+Fire_Stopping_Est!T452</f>
        <v>0</v>
      </c>
      <c r="Y139" s="1207">
        <v>0</v>
      </c>
      <c r="Z139" s="1208">
        <v>0</v>
      </c>
      <c r="AA139" s="1207">
        <v>0</v>
      </c>
      <c r="AD139" s="1158">
        <f t="shared" si="17"/>
        <v>0</v>
      </c>
      <c r="AE139" s="1158">
        <f t="shared" si="17"/>
        <v>0</v>
      </c>
      <c r="AF139" s="1158">
        <f t="shared" si="17"/>
        <v>0</v>
      </c>
    </row>
    <row r="140" spans="1:32" hidden="1">
      <c r="A140" s="170"/>
      <c r="B140" s="479">
        <v>32</v>
      </c>
      <c r="C140" s="6" t="s">
        <v>73</v>
      </c>
      <c r="D140" s="36" t="s">
        <v>107</v>
      </c>
      <c r="E140" s="170"/>
      <c r="F140" s="360">
        <v>770</v>
      </c>
      <c r="G140" s="64"/>
      <c r="P140" s="350">
        <v>3</v>
      </c>
      <c r="Q140" s="251">
        <v>1</v>
      </c>
      <c r="R140" s="286">
        <f>Elec_Est!R11514+Fire_Stopping_Est!R453</f>
        <v>0</v>
      </c>
      <c r="S140" s="387">
        <f t="shared" si="16"/>
        <v>0</v>
      </c>
      <c r="T140" s="286">
        <f>Elec_Est!T11514+Fire_Stopping_Est!T453</f>
        <v>0</v>
      </c>
      <c r="Y140" s="1207">
        <v>0</v>
      </c>
      <c r="Z140" s="1208">
        <v>0</v>
      </c>
      <c r="AA140" s="1207">
        <v>0</v>
      </c>
      <c r="AD140" s="1158">
        <f t="shared" si="17"/>
        <v>0</v>
      </c>
      <c r="AE140" s="1158">
        <f t="shared" si="17"/>
        <v>0</v>
      </c>
      <c r="AF140" s="1158">
        <f t="shared" si="17"/>
        <v>0</v>
      </c>
    </row>
    <row r="141" spans="1:32" hidden="1">
      <c r="A141" s="170"/>
      <c r="B141" s="479">
        <v>33</v>
      </c>
      <c r="C141" s="6" t="s">
        <v>73</v>
      </c>
      <c r="D141" s="36" t="s">
        <v>108</v>
      </c>
      <c r="E141" s="170"/>
      <c r="F141" s="360">
        <v>790</v>
      </c>
      <c r="G141" s="64"/>
      <c r="P141" s="350">
        <v>3</v>
      </c>
      <c r="Q141" s="251">
        <v>1</v>
      </c>
      <c r="R141" s="286">
        <f>Elec_Est!R11515+Fire_Stopping_Est!R454</f>
        <v>0</v>
      </c>
      <c r="S141" s="387">
        <f t="shared" si="16"/>
        <v>0</v>
      </c>
      <c r="T141" s="286">
        <f>Elec_Est!T11515+Fire_Stopping_Est!T454</f>
        <v>0</v>
      </c>
      <c r="Y141" s="1207">
        <v>0</v>
      </c>
      <c r="Z141" s="1208">
        <v>0</v>
      </c>
      <c r="AA141" s="1207">
        <v>0</v>
      </c>
      <c r="AD141" s="1158">
        <f t="shared" si="17"/>
        <v>0</v>
      </c>
      <c r="AE141" s="1158">
        <f t="shared" si="17"/>
        <v>0</v>
      </c>
      <c r="AF141" s="1158">
        <f t="shared" si="17"/>
        <v>0</v>
      </c>
    </row>
    <row r="142" spans="1:32" hidden="1">
      <c r="A142" s="170"/>
      <c r="B142" s="479">
        <v>34</v>
      </c>
      <c r="C142" s="6" t="s">
        <v>73</v>
      </c>
      <c r="D142" s="36" t="s">
        <v>109</v>
      </c>
      <c r="E142" s="170"/>
      <c r="F142" s="360">
        <v>791</v>
      </c>
      <c r="G142" s="64"/>
      <c r="P142" s="350">
        <v>3</v>
      </c>
      <c r="Q142" s="251">
        <v>1</v>
      </c>
      <c r="R142" s="286">
        <f>Elec_Est!R11516+Fire_Stopping_Est!R455</f>
        <v>0</v>
      </c>
      <c r="S142" s="387">
        <f t="shared" si="16"/>
        <v>0</v>
      </c>
      <c r="T142" s="286">
        <f>Elec_Est!T11516+Fire_Stopping_Est!T455</f>
        <v>0</v>
      </c>
      <c r="Y142" s="1207">
        <v>0</v>
      </c>
      <c r="Z142" s="1208">
        <v>0</v>
      </c>
      <c r="AA142" s="1207">
        <v>0</v>
      </c>
      <c r="AD142" s="1158">
        <f t="shared" si="17"/>
        <v>0</v>
      </c>
      <c r="AE142" s="1158">
        <f t="shared" si="17"/>
        <v>0</v>
      </c>
      <c r="AF142" s="1158">
        <f t="shared" si="17"/>
        <v>0</v>
      </c>
    </row>
    <row r="143" spans="1:32">
      <c r="A143" s="170"/>
      <c r="B143" s="479">
        <v>35</v>
      </c>
      <c r="C143" s="6" t="s">
        <v>73</v>
      </c>
      <c r="D143" s="36" t="s">
        <v>110</v>
      </c>
      <c r="E143" s="170"/>
      <c r="F143" s="360">
        <v>810</v>
      </c>
      <c r="G143" s="64"/>
      <c r="P143" s="350">
        <v>3</v>
      </c>
      <c r="Q143" s="251">
        <v>1</v>
      </c>
      <c r="R143" s="286">
        <f>Elec_Est!R11517+Fire_Stopping_Est!R456</f>
        <v>1650</v>
      </c>
      <c r="S143" s="387">
        <f t="shared" si="16"/>
        <v>98.856000000000009</v>
      </c>
      <c r="T143" s="286">
        <f>Elec_Est!T11517+Fire_Stopping_Est!T456</f>
        <v>3.6</v>
      </c>
      <c r="Y143" s="1207">
        <v>1650</v>
      </c>
      <c r="Z143" s="1208">
        <v>109.84</v>
      </c>
      <c r="AA143" s="1207">
        <v>4</v>
      </c>
      <c r="AD143" s="1158">
        <f t="shared" si="17"/>
        <v>0</v>
      </c>
      <c r="AE143" s="1158">
        <f t="shared" si="17"/>
        <v>10.983999999999995</v>
      </c>
      <c r="AF143" s="1158">
        <f t="shared" si="17"/>
        <v>0.39999999999999991</v>
      </c>
    </row>
    <row r="144" spans="1:32" hidden="1">
      <c r="A144" s="170"/>
      <c r="B144" s="479">
        <v>36</v>
      </c>
      <c r="C144" s="6" t="s">
        <v>73</v>
      </c>
      <c r="D144" s="36" t="s">
        <v>111</v>
      </c>
      <c r="E144" s="170"/>
      <c r="F144" s="360">
        <v>815</v>
      </c>
      <c r="G144" s="64"/>
      <c r="P144" s="350">
        <v>3</v>
      </c>
      <c r="Q144" s="251">
        <v>1</v>
      </c>
      <c r="R144" s="286">
        <f>Elec_Est!R11518+Fire_Stopping_Est!R457</f>
        <v>0</v>
      </c>
      <c r="S144" s="387">
        <f t="shared" si="16"/>
        <v>0</v>
      </c>
      <c r="T144" s="286">
        <f>Elec_Est!T11518+Fire_Stopping_Est!T457</f>
        <v>0</v>
      </c>
      <c r="Y144" s="1207">
        <v>0</v>
      </c>
      <c r="Z144" s="1208">
        <v>0</v>
      </c>
      <c r="AA144" s="1207">
        <v>0</v>
      </c>
      <c r="AD144" s="1158">
        <f t="shared" si="17"/>
        <v>0</v>
      </c>
      <c r="AE144" s="1158">
        <f t="shared" si="17"/>
        <v>0</v>
      </c>
      <c r="AF144" s="1158">
        <f t="shared" si="17"/>
        <v>0</v>
      </c>
    </row>
    <row r="145" spans="1:32" hidden="1">
      <c r="A145" s="170"/>
      <c r="B145" s="479">
        <v>37</v>
      </c>
      <c r="C145" s="6" t="s">
        <v>73</v>
      </c>
      <c r="D145" s="36" t="s">
        <v>112</v>
      </c>
      <c r="E145" s="170"/>
      <c r="F145" s="360">
        <v>820</v>
      </c>
      <c r="G145" s="64"/>
      <c r="P145" s="350">
        <v>2</v>
      </c>
      <c r="Q145" s="251">
        <v>1</v>
      </c>
      <c r="R145" s="286">
        <f>Elec_Est!R11519+Fire_Stopping_Est!R458</f>
        <v>0</v>
      </c>
      <c r="S145" s="387">
        <f t="shared" si="16"/>
        <v>0</v>
      </c>
      <c r="T145" s="286">
        <f>Elec_Est!T11519+Fire_Stopping_Est!T458</f>
        <v>0</v>
      </c>
      <c r="Y145" s="1207">
        <v>0</v>
      </c>
      <c r="Z145" s="1208">
        <v>0</v>
      </c>
      <c r="AA145" s="1207">
        <v>0</v>
      </c>
      <c r="AD145" s="1158">
        <f t="shared" si="17"/>
        <v>0</v>
      </c>
      <c r="AE145" s="1158">
        <f t="shared" si="17"/>
        <v>0</v>
      </c>
      <c r="AF145" s="1158">
        <f t="shared" si="17"/>
        <v>0</v>
      </c>
    </row>
    <row r="146" spans="1:32">
      <c r="A146" s="170"/>
      <c r="B146" s="479">
        <v>38</v>
      </c>
      <c r="C146" s="6" t="s">
        <v>73</v>
      </c>
      <c r="D146" s="36" t="s">
        <v>113</v>
      </c>
      <c r="E146" s="170"/>
      <c r="F146" s="360">
        <v>821</v>
      </c>
      <c r="G146" s="64"/>
      <c r="P146" s="350">
        <v>3</v>
      </c>
      <c r="Q146" s="251">
        <v>1</v>
      </c>
      <c r="R146" s="286">
        <f>Elec_Est!R11520+Fire_Stopping_Est!R459</f>
        <v>380</v>
      </c>
      <c r="S146" s="387">
        <f t="shared" si="16"/>
        <v>54.370800000000017</v>
      </c>
      <c r="T146" s="286">
        <f>Elec_Est!T11520+Fire_Stopping_Est!T459</f>
        <v>1.9800000000000004</v>
      </c>
      <c r="Y146" s="1207">
        <v>380</v>
      </c>
      <c r="Z146" s="1208">
        <v>60.412000000000006</v>
      </c>
      <c r="AA146" s="1207">
        <v>2.2000000000000002</v>
      </c>
      <c r="AD146" s="1158">
        <f t="shared" si="17"/>
        <v>0</v>
      </c>
      <c r="AE146" s="1158">
        <f t="shared" si="17"/>
        <v>6.0411999999999892</v>
      </c>
      <c r="AF146" s="1158">
        <f t="shared" si="17"/>
        <v>0.21999999999999975</v>
      </c>
    </row>
    <row r="147" spans="1:32">
      <c r="A147" s="170"/>
      <c r="B147" s="479">
        <v>39</v>
      </c>
      <c r="C147" s="6" t="s">
        <v>73</v>
      </c>
      <c r="D147" s="36" t="s">
        <v>114</v>
      </c>
      <c r="E147" s="170"/>
      <c r="F147" s="360">
        <v>835</v>
      </c>
      <c r="G147" s="64"/>
      <c r="P147" s="350">
        <v>3</v>
      </c>
      <c r="Q147" s="251">
        <v>1</v>
      </c>
      <c r="R147" s="286">
        <f ca="1">Elec_Est!R11521+Fire_Stopping_Est!R460</f>
        <v>45769.903968216837</v>
      </c>
      <c r="S147" s="387">
        <f t="shared" ca="1" si="16"/>
        <v>11452.467600000002</v>
      </c>
      <c r="T147" s="286">
        <f ca="1">Elec_Est!T11521+Fire_Stopping_Est!T460</f>
        <v>417.06000000000006</v>
      </c>
      <c r="Y147" s="1207">
        <v>24917.740000000005</v>
      </c>
      <c r="Z147" s="1208">
        <v>12711.234</v>
      </c>
      <c r="AA147" s="1207">
        <v>462.9</v>
      </c>
      <c r="AD147" s="1158">
        <f t="shared" ca="1" si="17"/>
        <v>-20852.163968216832</v>
      </c>
      <c r="AE147" s="1158">
        <f t="shared" ca="1" si="17"/>
        <v>1258.7663999999986</v>
      </c>
      <c r="AF147" s="1158">
        <f t="shared" ca="1" si="17"/>
        <v>45.839999999999918</v>
      </c>
    </row>
    <row r="148" spans="1:32">
      <c r="A148" s="170"/>
      <c r="B148" s="479">
        <v>40</v>
      </c>
      <c r="C148" s="6" t="s">
        <v>73</v>
      </c>
      <c r="D148" s="36" t="s">
        <v>115</v>
      </c>
      <c r="E148" s="170"/>
      <c r="F148" s="360">
        <v>845</v>
      </c>
      <c r="G148" s="64"/>
      <c r="P148" s="350">
        <v>2</v>
      </c>
      <c r="Q148" s="251">
        <v>1</v>
      </c>
      <c r="R148" s="286">
        <f ca="1">Elec_Est!R11522+Fire_Stopping_Est!R461</f>
        <v>73226.920742901872</v>
      </c>
      <c r="S148" s="387">
        <f t="shared" ca="1" si="16"/>
        <v>0</v>
      </c>
      <c r="T148" s="286">
        <f ca="1">Elec_Est!T11522+Fire_Stopping_Est!T461</f>
        <v>0</v>
      </c>
      <c r="Y148" s="1207">
        <v>146791.60668974422</v>
      </c>
      <c r="Z148" s="1208">
        <v>0</v>
      </c>
      <c r="AA148" s="1207">
        <v>0</v>
      </c>
      <c r="AD148" s="1158">
        <f t="shared" ca="1" si="17"/>
        <v>73564.68594684235</v>
      </c>
      <c r="AE148" s="1158">
        <f t="shared" ca="1" si="17"/>
        <v>0</v>
      </c>
      <c r="AF148" s="1158">
        <f t="shared" ca="1" si="17"/>
        <v>0</v>
      </c>
    </row>
    <row r="149" spans="1:32" hidden="1">
      <c r="A149" s="170"/>
      <c r="B149" s="479" t="s">
        <v>116</v>
      </c>
      <c r="C149" s="6" t="s">
        <v>73</v>
      </c>
      <c r="D149" s="36" t="s">
        <v>117</v>
      </c>
      <c r="E149" s="170"/>
      <c r="F149" s="360">
        <v>855</v>
      </c>
      <c r="G149" s="64"/>
      <c r="P149" s="350">
        <v>3</v>
      </c>
      <c r="Q149" s="251">
        <v>1</v>
      </c>
      <c r="R149" s="286">
        <f>Elec_Est!R11523+Fire_Stopping_Est!R462</f>
        <v>0</v>
      </c>
      <c r="S149" s="387">
        <f t="shared" si="16"/>
        <v>0</v>
      </c>
      <c r="T149" s="286">
        <f>Elec_Est!T11523+Fire_Stopping_Est!T462</f>
        <v>0</v>
      </c>
      <c r="Y149" s="1207">
        <v>0</v>
      </c>
      <c r="Z149" s="1208">
        <v>0</v>
      </c>
      <c r="AA149" s="1207">
        <v>0</v>
      </c>
      <c r="AD149" s="1158">
        <f t="shared" si="17"/>
        <v>0</v>
      </c>
      <c r="AE149" s="1158">
        <f t="shared" si="17"/>
        <v>0</v>
      </c>
      <c r="AF149" s="1158">
        <f t="shared" si="17"/>
        <v>0</v>
      </c>
    </row>
    <row r="150" spans="1:32" hidden="1">
      <c r="A150" s="170"/>
      <c r="B150" s="479">
        <v>42</v>
      </c>
      <c r="C150" s="6" t="s">
        <v>73</v>
      </c>
      <c r="D150" s="36" t="s">
        <v>118</v>
      </c>
      <c r="E150" s="170"/>
      <c r="F150" s="360">
        <v>856</v>
      </c>
      <c r="G150" s="64"/>
      <c r="P150" s="350">
        <v>3</v>
      </c>
      <c r="Q150" s="251">
        <v>1</v>
      </c>
      <c r="R150" s="286">
        <f>Elec_Est!R11524+Fire_Stopping_Est!R463</f>
        <v>0</v>
      </c>
      <c r="S150" s="387">
        <f t="shared" si="16"/>
        <v>0</v>
      </c>
      <c r="T150" s="286">
        <f>Elec_Est!T11524+Fire_Stopping_Est!T463</f>
        <v>0</v>
      </c>
      <c r="Y150" s="1207">
        <v>0</v>
      </c>
      <c r="Z150" s="1208">
        <v>0</v>
      </c>
      <c r="AA150" s="1207">
        <v>0</v>
      </c>
      <c r="AD150" s="1158">
        <f t="shared" si="17"/>
        <v>0</v>
      </c>
      <c r="AE150" s="1158">
        <f t="shared" si="17"/>
        <v>0</v>
      </c>
      <c r="AF150" s="1158">
        <f t="shared" si="17"/>
        <v>0</v>
      </c>
    </row>
    <row r="151" spans="1:32">
      <c r="A151" s="170"/>
      <c r="B151" s="479">
        <v>43</v>
      </c>
      <c r="C151" s="6" t="s">
        <v>73</v>
      </c>
      <c r="D151" s="36" t="s">
        <v>264</v>
      </c>
      <c r="E151" s="170"/>
      <c r="F151" s="360">
        <v>857</v>
      </c>
      <c r="G151" s="64"/>
      <c r="P151" s="350">
        <v>4</v>
      </c>
      <c r="Q151" s="251">
        <v>1</v>
      </c>
      <c r="R151" s="286">
        <f>Elec_Est!R11525+Fire_Stopping_Est!R464</f>
        <v>13860.000000000002</v>
      </c>
      <c r="S151" s="387">
        <f t="shared" si="16"/>
        <v>222.42599999999999</v>
      </c>
      <c r="T151" s="286">
        <f>Elec_Est!T11525+Fire_Stopping_Est!T464</f>
        <v>8.1</v>
      </c>
      <c r="Y151" s="1207">
        <v>11563</v>
      </c>
      <c r="Z151" s="1208">
        <v>2196.8000000000002</v>
      </c>
      <c r="AA151" s="1207">
        <v>80</v>
      </c>
      <c r="AD151" s="1158">
        <f t="shared" si="17"/>
        <v>-2297.0000000000018</v>
      </c>
      <c r="AE151" s="1158">
        <f t="shared" si="17"/>
        <v>1974.3740000000003</v>
      </c>
      <c r="AF151" s="1158">
        <f t="shared" si="17"/>
        <v>71.900000000000006</v>
      </c>
    </row>
    <row r="152" spans="1:32" hidden="1">
      <c r="A152" s="170"/>
      <c r="B152" s="479">
        <v>44</v>
      </c>
      <c r="C152" s="6" t="s">
        <v>73</v>
      </c>
      <c r="D152" s="36" t="s">
        <v>119</v>
      </c>
      <c r="E152" s="170"/>
      <c r="F152" s="360">
        <v>858</v>
      </c>
      <c r="G152" s="64"/>
      <c r="P152" s="350">
        <v>3</v>
      </c>
      <c r="Q152" s="251">
        <v>1</v>
      </c>
      <c r="R152" s="286">
        <f>Elec_Est!R11526+Fire_Stopping_Est!R465</f>
        <v>0</v>
      </c>
      <c r="S152" s="387">
        <f t="shared" si="16"/>
        <v>0</v>
      </c>
      <c r="T152" s="286">
        <f>Elec_Est!T11526+Fire_Stopping_Est!T465</f>
        <v>0</v>
      </c>
      <c r="Y152" s="1207">
        <v>0</v>
      </c>
      <c r="Z152" s="1208">
        <v>0</v>
      </c>
      <c r="AA152" s="1207">
        <v>0</v>
      </c>
      <c r="AD152" s="1158">
        <f t="shared" si="17"/>
        <v>0</v>
      </c>
      <c r="AE152" s="1158">
        <f t="shared" si="17"/>
        <v>0</v>
      </c>
      <c r="AF152" s="1158">
        <f t="shared" si="17"/>
        <v>0</v>
      </c>
    </row>
    <row r="153" spans="1:32" hidden="1">
      <c r="A153" s="170"/>
      <c r="B153" s="479">
        <v>45</v>
      </c>
      <c r="C153" s="6" t="s">
        <v>73</v>
      </c>
      <c r="D153" s="36" t="s">
        <v>120</v>
      </c>
      <c r="E153" s="170"/>
      <c r="F153" s="360">
        <v>865</v>
      </c>
      <c r="G153" s="64"/>
      <c r="P153" s="350">
        <v>3</v>
      </c>
      <c r="Q153" s="251">
        <v>1</v>
      </c>
      <c r="R153" s="286">
        <f>Elec_Est!R11527+Fire_Stopping_Est!R466</f>
        <v>0</v>
      </c>
      <c r="S153" s="387">
        <f t="shared" si="16"/>
        <v>0</v>
      </c>
      <c r="T153" s="286">
        <f>Elec_Est!T11527+Fire_Stopping_Est!T466</f>
        <v>0</v>
      </c>
      <c r="Y153" s="1207">
        <v>0</v>
      </c>
      <c r="Z153" s="1208">
        <v>0</v>
      </c>
      <c r="AA153" s="1207">
        <v>0</v>
      </c>
      <c r="AD153" s="1158">
        <f t="shared" si="17"/>
        <v>0</v>
      </c>
      <c r="AE153" s="1158">
        <f t="shared" si="17"/>
        <v>0</v>
      </c>
      <c r="AF153" s="1158">
        <f t="shared" si="17"/>
        <v>0</v>
      </c>
    </row>
    <row r="154" spans="1:32" hidden="1">
      <c r="A154" s="170"/>
      <c r="B154" s="479">
        <v>46</v>
      </c>
      <c r="C154" s="6" t="s">
        <v>73</v>
      </c>
      <c r="D154" s="36" t="s">
        <v>121</v>
      </c>
      <c r="E154" s="170"/>
      <c r="F154" s="360">
        <v>870</v>
      </c>
      <c r="G154" s="64"/>
      <c r="P154" s="350">
        <v>4</v>
      </c>
      <c r="Q154" s="251">
        <v>1</v>
      </c>
      <c r="R154" s="286">
        <f>Elec_Est!R11528+Fire_Stopping_Est!R467</f>
        <v>0</v>
      </c>
      <c r="S154" s="387">
        <f t="shared" si="16"/>
        <v>0</v>
      </c>
      <c r="T154" s="286">
        <f>Elec_Est!T11528+Fire_Stopping_Est!T467</f>
        <v>0</v>
      </c>
      <c r="Y154" s="1207">
        <v>0</v>
      </c>
      <c r="Z154" s="1208">
        <v>0</v>
      </c>
      <c r="AA154" s="1207">
        <v>0</v>
      </c>
      <c r="AD154" s="1158">
        <f t="shared" si="17"/>
        <v>0</v>
      </c>
      <c r="AE154" s="1158">
        <f t="shared" si="17"/>
        <v>0</v>
      </c>
      <c r="AF154" s="1158">
        <f t="shared" si="17"/>
        <v>0</v>
      </c>
    </row>
    <row r="155" spans="1:32">
      <c r="A155" s="170"/>
      <c r="B155" s="479">
        <v>47</v>
      </c>
      <c r="C155" s="6" t="s">
        <v>73</v>
      </c>
      <c r="D155" s="36" t="s">
        <v>122</v>
      </c>
      <c r="E155" s="170"/>
      <c r="F155" s="360">
        <v>875</v>
      </c>
      <c r="G155" s="64"/>
      <c r="P155" s="350">
        <v>1</v>
      </c>
      <c r="Q155" s="251">
        <v>1</v>
      </c>
      <c r="R155" s="286">
        <f ca="1">Elec_Est!R11529+Fire_Stopping_Est!R468</f>
        <v>7255.3582064005986</v>
      </c>
      <c r="S155" s="387">
        <f t="shared" ca="1" si="16"/>
        <v>448.43553000000003</v>
      </c>
      <c r="T155" s="286">
        <f ca="1">Elec_Est!T11529+Fire_Stopping_Est!T468</f>
        <v>16.330500000000001</v>
      </c>
      <c r="Y155" s="1207">
        <v>7702.7649104113689</v>
      </c>
      <c r="Z155" s="1208">
        <v>521.60270000000003</v>
      </c>
      <c r="AA155" s="1207">
        <v>18.995000000000001</v>
      </c>
      <c r="AD155" s="1158">
        <f t="shared" ca="1" si="17"/>
        <v>447.40670401077023</v>
      </c>
      <c r="AE155" s="1158">
        <f t="shared" ca="1" si="17"/>
        <v>73.167169999999999</v>
      </c>
      <c r="AF155" s="1158">
        <f t="shared" ca="1" si="17"/>
        <v>2.6645000000000003</v>
      </c>
    </row>
    <row r="156" spans="1:32">
      <c r="A156" s="170"/>
      <c r="B156" s="479">
        <v>48</v>
      </c>
      <c r="C156" s="6" t="s">
        <v>73</v>
      </c>
      <c r="D156" s="36" t="s">
        <v>123</v>
      </c>
      <c r="E156" s="170"/>
      <c r="F156" s="360">
        <v>880</v>
      </c>
      <c r="G156" s="64"/>
      <c r="P156" s="350">
        <v>3</v>
      </c>
      <c r="Q156" s="251">
        <v>1</v>
      </c>
      <c r="R156" s="286">
        <f>Elec_Est!R11530+Fire_Stopping_Est!R469</f>
        <v>7244.4740000000083</v>
      </c>
      <c r="S156" s="387">
        <f t="shared" si="16"/>
        <v>1649.6595000000002</v>
      </c>
      <c r="T156" s="286">
        <f>Elec_Est!T11530+Fire_Stopping_Est!T469</f>
        <v>60.075000000000003</v>
      </c>
      <c r="Y156" s="1207">
        <v>7244.4740000000083</v>
      </c>
      <c r="Z156" s="1208">
        <v>1832.9550000000002</v>
      </c>
      <c r="AA156" s="1207">
        <v>66.75</v>
      </c>
      <c r="AD156" s="1158">
        <f t="shared" si="17"/>
        <v>0</v>
      </c>
      <c r="AE156" s="1158">
        <f t="shared" si="17"/>
        <v>183.29549999999995</v>
      </c>
      <c r="AF156" s="1158">
        <f t="shared" si="17"/>
        <v>6.6749999999999972</v>
      </c>
    </row>
    <row r="157" spans="1:32" hidden="1">
      <c r="A157" s="170"/>
      <c r="B157" s="479">
        <v>49</v>
      </c>
      <c r="C157" s="6" t="s">
        <v>73</v>
      </c>
      <c r="D157" s="36" t="s">
        <v>124</v>
      </c>
      <c r="E157" s="170"/>
      <c r="F157" s="360">
        <v>885</v>
      </c>
      <c r="G157" s="64"/>
      <c r="P157" s="350">
        <v>4</v>
      </c>
      <c r="Q157" s="251">
        <v>1</v>
      </c>
      <c r="R157" s="286">
        <f>Elec_Est!R11531+Fire_Stopping_Est!R470</f>
        <v>0</v>
      </c>
      <c r="S157" s="387">
        <f t="shared" si="16"/>
        <v>0</v>
      </c>
      <c r="T157" s="286">
        <f>Elec_Est!T11531+Fire_Stopping_Est!T470</f>
        <v>0</v>
      </c>
      <c r="Y157" s="1207">
        <v>0</v>
      </c>
      <c r="Z157" s="1208">
        <v>0</v>
      </c>
      <c r="AA157" s="1207">
        <v>0</v>
      </c>
      <c r="AD157" s="1158">
        <f t="shared" si="17"/>
        <v>0</v>
      </c>
      <c r="AE157" s="1158">
        <f t="shared" si="17"/>
        <v>0</v>
      </c>
      <c r="AF157" s="1158">
        <f t="shared" si="17"/>
        <v>0</v>
      </c>
    </row>
    <row r="158" spans="1:32">
      <c r="A158" s="170"/>
      <c r="B158" s="479">
        <v>50</v>
      </c>
      <c r="C158" s="6" t="s">
        <v>73</v>
      </c>
      <c r="D158" s="36" t="s">
        <v>68</v>
      </c>
      <c r="E158" s="170"/>
      <c r="F158" s="360">
        <v>900</v>
      </c>
      <c r="G158" s="64"/>
      <c r="P158" s="350">
        <v>3</v>
      </c>
      <c r="Q158" s="251">
        <v>1</v>
      </c>
      <c r="R158" s="286">
        <f ca="1">Elec_Est!R11532+Fire_Stopping_Est!R471</f>
        <v>0</v>
      </c>
      <c r="S158" s="387">
        <f t="shared" ca="1" si="16"/>
        <v>5756.2542842809362</v>
      </c>
      <c r="T158" s="286">
        <f ca="1">Elec_Est!T11532+Fire_Stopping_Est!T471</f>
        <v>209.62324414715718</v>
      </c>
      <c r="Y158" s="1207">
        <v>0</v>
      </c>
      <c r="Z158" s="1208">
        <v>10613.404799331105</v>
      </c>
      <c r="AA158" s="1207">
        <v>386.50418060200673</v>
      </c>
      <c r="AD158" s="1158">
        <f t="shared" ca="1" si="17"/>
        <v>0</v>
      </c>
      <c r="AE158" s="1158">
        <f t="shared" ca="1" si="17"/>
        <v>4857.1505150501689</v>
      </c>
      <c r="AF158" s="1158">
        <f t="shared" ca="1" si="17"/>
        <v>176.88093645484955</v>
      </c>
    </row>
    <row r="159" spans="1:32" hidden="1">
      <c r="A159" s="170"/>
      <c r="B159" s="479" t="s">
        <v>125</v>
      </c>
      <c r="C159" s="6" t="s">
        <v>73</v>
      </c>
      <c r="D159" s="36" t="s">
        <v>126</v>
      </c>
      <c r="E159" s="170"/>
      <c r="F159" s="360">
        <v>901</v>
      </c>
      <c r="G159" s="64"/>
      <c r="P159" s="350">
        <v>1</v>
      </c>
      <c r="Q159" s="251">
        <v>1</v>
      </c>
      <c r="R159" s="286">
        <f>Elec_Est!R11533+Fire_Stopping_Est!R472</f>
        <v>0</v>
      </c>
      <c r="S159" s="387">
        <f t="shared" si="16"/>
        <v>0</v>
      </c>
      <c r="T159" s="286">
        <f>Elec_Est!T11533+Fire_Stopping_Est!T472</f>
        <v>0</v>
      </c>
      <c r="Y159" s="1207">
        <v>0</v>
      </c>
      <c r="Z159" s="1208">
        <v>0</v>
      </c>
      <c r="AA159" s="1207">
        <v>0</v>
      </c>
      <c r="AD159" s="1158">
        <f t="shared" si="17"/>
        <v>0</v>
      </c>
      <c r="AE159" s="1158">
        <f t="shared" si="17"/>
        <v>0</v>
      </c>
      <c r="AF159" s="1158">
        <f t="shared" si="17"/>
        <v>0</v>
      </c>
    </row>
    <row r="160" spans="1:32">
      <c r="A160" s="170"/>
      <c r="B160" s="479">
        <v>52</v>
      </c>
      <c r="C160" s="6" t="s">
        <v>73</v>
      </c>
      <c r="D160" s="36" t="s">
        <v>127</v>
      </c>
      <c r="E160" s="170"/>
      <c r="F160" s="360">
        <v>902</v>
      </c>
      <c r="G160" s="64"/>
      <c r="P160" s="350">
        <v>3</v>
      </c>
      <c r="Q160" s="251">
        <v>1</v>
      </c>
      <c r="R160" s="286">
        <f>Elec_Est!R11534+Fire_Stopping_Est!R473</f>
        <v>0</v>
      </c>
      <c r="S160" s="387">
        <f t="shared" si="16"/>
        <v>3731.8140000000003</v>
      </c>
      <c r="T160" s="286">
        <f>Elec_Est!T11534+Fire_Stopping_Est!T473</f>
        <v>135.9</v>
      </c>
      <c r="Y160" s="1207">
        <v>0</v>
      </c>
      <c r="Z160" s="1208">
        <v>4146.46</v>
      </c>
      <c r="AA160" s="1207">
        <v>151</v>
      </c>
      <c r="AD160" s="1158">
        <f t="shared" si="17"/>
        <v>0</v>
      </c>
      <c r="AE160" s="1158">
        <f t="shared" si="17"/>
        <v>414.64599999999973</v>
      </c>
      <c r="AF160" s="1158">
        <f t="shared" si="17"/>
        <v>15.099999999999994</v>
      </c>
    </row>
    <row r="161" spans="1:32">
      <c r="A161" s="170"/>
      <c r="B161" s="479">
        <v>53</v>
      </c>
      <c r="C161" s="6" t="s">
        <v>73</v>
      </c>
      <c r="D161" s="68" t="s">
        <v>128</v>
      </c>
      <c r="E161" s="170"/>
      <c r="F161" s="360">
        <v>960</v>
      </c>
      <c r="G161" s="64"/>
      <c r="P161" s="350">
        <v>4</v>
      </c>
      <c r="Q161" s="251">
        <v>1</v>
      </c>
      <c r="R161" s="286">
        <f>Elec_Est!R11535+Fire_Stopping_Est!R474</f>
        <v>166831.52320000032</v>
      </c>
      <c r="S161" s="387">
        <f t="shared" si="16"/>
        <v>988.56000000000006</v>
      </c>
      <c r="T161" s="286">
        <f>Elec_Est!T11535+Fire_Stopping_Est!T474</f>
        <v>36</v>
      </c>
      <c r="Y161" s="1207">
        <v>195230.18</v>
      </c>
      <c r="Z161" s="1208">
        <v>1098.4000000000001</v>
      </c>
      <c r="AA161" s="1207">
        <v>40</v>
      </c>
      <c r="AD161" s="1158">
        <f t="shared" si="17"/>
        <v>28398.656799999677</v>
      </c>
      <c r="AE161" s="1158">
        <f t="shared" si="17"/>
        <v>109.84000000000003</v>
      </c>
      <c r="AF161" s="1158">
        <f t="shared" si="17"/>
        <v>4</v>
      </c>
    </row>
    <row r="162" spans="1:32" hidden="1">
      <c r="A162" s="170"/>
      <c r="B162" s="479">
        <v>54</v>
      </c>
      <c r="C162" s="6" t="s">
        <v>73</v>
      </c>
      <c r="D162" s="68" t="s">
        <v>129</v>
      </c>
      <c r="E162" s="170"/>
      <c r="F162" s="360">
        <v>961</v>
      </c>
      <c r="G162" s="64"/>
      <c r="P162" s="350">
        <v>3</v>
      </c>
      <c r="Q162" s="251">
        <v>1</v>
      </c>
      <c r="R162" s="286">
        <f>Elec_Est!R11536+Fire_Stopping_Est!R475</f>
        <v>0</v>
      </c>
      <c r="S162" s="387">
        <f t="shared" si="16"/>
        <v>0</v>
      </c>
      <c r="T162" s="286">
        <f>Elec_Est!T11536+Fire_Stopping_Est!T475</f>
        <v>0</v>
      </c>
      <c r="Y162" s="1207">
        <v>0</v>
      </c>
      <c r="Z162" s="1208">
        <v>0</v>
      </c>
      <c r="AA162" s="1207">
        <v>0</v>
      </c>
      <c r="AD162" s="1158">
        <f t="shared" si="17"/>
        <v>0</v>
      </c>
      <c r="AE162" s="1158">
        <f t="shared" si="17"/>
        <v>0</v>
      </c>
      <c r="AF162" s="1158">
        <f t="shared" si="17"/>
        <v>0</v>
      </c>
    </row>
    <row r="163" spans="1:32">
      <c r="A163" s="170"/>
      <c r="B163" s="479">
        <v>55</v>
      </c>
      <c r="C163" s="6" t="s">
        <v>73</v>
      </c>
      <c r="D163" s="68" t="s">
        <v>130</v>
      </c>
      <c r="E163" s="170"/>
      <c r="F163" s="360">
        <v>962</v>
      </c>
      <c r="G163" s="64"/>
      <c r="P163" s="350">
        <v>1</v>
      </c>
      <c r="Q163" s="251">
        <v>1</v>
      </c>
      <c r="R163" s="286">
        <f ca="1">Elec_Est!R11537+Fire_Stopping_Est!R476</f>
        <v>16244.482565928982</v>
      </c>
      <c r="S163" s="387">
        <f t="shared" ca="1" si="16"/>
        <v>790.84800000000007</v>
      </c>
      <c r="T163" s="286">
        <f ca="1">Elec_Est!T11537+Fire_Stopping_Est!T476</f>
        <v>28.8</v>
      </c>
      <c r="Y163" s="1207">
        <v>41954.931526425222</v>
      </c>
      <c r="Z163" s="1208">
        <v>1757.44</v>
      </c>
      <c r="AA163" s="1207">
        <v>64</v>
      </c>
      <c r="AD163" s="1158">
        <f t="shared" ca="1" si="17"/>
        <v>25710.44896049624</v>
      </c>
      <c r="AE163" s="1158">
        <f t="shared" ca="1" si="17"/>
        <v>966.59199999999998</v>
      </c>
      <c r="AF163" s="1158">
        <f t="shared" ca="1" si="17"/>
        <v>35.200000000000003</v>
      </c>
    </row>
    <row r="164" spans="1:32" hidden="1">
      <c r="A164" s="170"/>
      <c r="B164" s="479">
        <v>56</v>
      </c>
      <c r="C164" s="6" t="s">
        <v>73</v>
      </c>
      <c r="D164" s="252" t="s">
        <v>131</v>
      </c>
      <c r="E164" s="170"/>
      <c r="F164" s="360">
        <v>970</v>
      </c>
      <c r="G164" s="253"/>
      <c r="H164" s="58"/>
      <c r="I164" s="58"/>
      <c r="J164" s="254"/>
      <c r="K164" s="254"/>
      <c r="L164" s="254"/>
      <c r="M164" s="254"/>
      <c r="N164" s="254"/>
      <c r="O164" s="254"/>
      <c r="P164" s="351">
        <v>4</v>
      </c>
      <c r="Q164" s="255">
        <v>1</v>
      </c>
      <c r="R164" s="286">
        <f>Elec_Est!R11538+Fire_Stopping_Est!R477</f>
        <v>0</v>
      </c>
      <c r="S164" s="387">
        <f t="shared" si="16"/>
        <v>0</v>
      </c>
      <c r="T164" s="286">
        <f>Elec_Est!T11538+Fire_Stopping_Est!T477</f>
        <v>0</v>
      </c>
      <c r="Y164" s="1207">
        <v>0</v>
      </c>
      <c r="Z164" s="1208">
        <v>0</v>
      </c>
      <c r="AA164" s="1207">
        <v>0</v>
      </c>
      <c r="AD164" s="1158">
        <f t="shared" si="17"/>
        <v>0</v>
      </c>
    </row>
    <row r="165" spans="1:32" ht="13.8" thickBot="1">
      <c r="A165" s="170"/>
      <c r="B165" s="359"/>
      <c r="C165" s="256"/>
      <c r="D165" s="257" t="s">
        <v>180</v>
      </c>
      <c r="E165" s="258"/>
      <c r="F165" s="86"/>
      <c r="G165" s="73"/>
      <c r="H165" s="73"/>
      <c r="I165" s="73"/>
      <c r="J165" s="259"/>
      <c r="K165" s="259"/>
      <c r="L165" s="259"/>
      <c r="M165" s="259"/>
      <c r="N165" s="259"/>
      <c r="O165" s="259"/>
      <c r="P165" s="259"/>
      <c r="Q165" s="260"/>
      <c r="R165" s="285">
        <f ca="1">SUM(R109:R164)</f>
        <v>1126454.5211892172</v>
      </c>
      <c r="S165" s="285">
        <f ca="1">SUM(S109:S164)</f>
        <v>238995.27408030917</v>
      </c>
      <c r="T165" s="285">
        <f ca="1">SUM(T109:T164)</f>
        <v>8703.3967254300478</v>
      </c>
      <c r="Y165" s="1209">
        <v>1470471.2491804953</v>
      </c>
      <c r="Z165" s="1209">
        <v>325990.75045124569</v>
      </c>
      <c r="AA165" s="1209">
        <v>11871.476709805014</v>
      </c>
      <c r="AD165" s="285">
        <f ca="1">SUM(AD109:AD164)</f>
        <v>344016.72799127793</v>
      </c>
      <c r="AE165" s="285">
        <f t="shared" ref="AE165:AF165" ca="1" si="18">SUM(AE109:AE164)</f>
        <v>86995.476370936449</v>
      </c>
      <c r="AF165" s="285">
        <f t="shared" ca="1" si="18"/>
        <v>3168.0799843749619</v>
      </c>
    </row>
    <row r="166" spans="1:32" ht="14.4" thickTop="1">
      <c r="A166" s="63"/>
      <c r="B166" s="348"/>
      <c r="C166" s="6" t="s">
        <v>73</v>
      </c>
      <c r="D166" s="79"/>
      <c r="F166" s="80" t="s">
        <v>152</v>
      </c>
      <c r="G166" s="81"/>
      <c r="H166" s="36">
        <v>1</v>
      </c>
      <c r="O166" s="65"/>
      <c r="R166" s="356">
        <f ca="1">SUMIF($P109:$P164,1,R109:R164)</f>
        <v>154649.7829717033</v>
      </c>
      <c r="T166" s="354">
        <f ca="1">SUMIF($P109:$P164,1,T109:T164)</f>
        <v>3955.4729624672918</v>
      </c>
      <c r="U166" s="36">
        <f ca="1">T166/T170</f>
        <v>0.45447462493694901</v>
      </c>
      <c r="V166" s="320"/>
      <c r="W166" s="320"/>
      <c r="X166" s="320"/>
      <c r="Y166" s="320"/>
      <c r="Z166" s="320"/>
      <c r="AA166" s="320"/>
      <c r="AB166" s="320"/>
    </row>
    <row r="167" spans="1:32" ht="13.8">
      <c r="A167" s="63"/>
      <c r="B167" s="196"/>
      <c r="C167" s="6" t="s">
        <v>73</v>
      </c>
      <c r="D167" s="79"/>
      <c r="F167" s="80" t="s">
        <v>153</v>
      </c>
      <c r="G167" s="81"/>
      <c r="H167" s="36">
        <v>2</v>
      </c>
      <c r="O167" s="65"/>
      <c r="R167" s="356">
        <f ca="1">SUMIF($P109:$P164,2,R109:R164)</f>
        <v>688663.98383413139</v>
      </c>
      <c r="T167" s="355">
        <f ca="1">SUMIF($P109:$P164,2,T109:T164)</f>
        <v>2931.29917323371</v>
      </c>
      <c r="U167" s="36">
        <f ca="1">T167/T170</f>
        <v>0.33679944344819807</v>
      </c>
      <c r="V167" s="320"/>
      <c r="W167" s="320"/>
      <c r="X167" s="320"/>
      <c r="Y167" s="320"/>
      <c r="Z167" s="320"/>
      <c r="AA167" s="320"/>
      <c r="AB167" s="320"/>
    </row>
    <row r="168" spans="1:32" ht="13.8">
      <c r="A168" s="63"/>
      <c r="B168" s="196"/>
      <c r="C168" s="6" t="s">
        <v>73</v>
      </c>
      <c r="D168" s="79"/>
      <c r="F168" s="80" t="s">
        <v>154</v>
      </c>
      <c r="G168" s="81"/>
      <c r="H168" s="36">
        <v>2</v>
      </c>
      <c r="O168" s="65"/>
      <c r="R168" s="356">
        <f ca="1">SUMIF($P109:$P164,3,R109:R164)</f>
        <v>102449.23118338241</v>
      </c>
      <c r="T168" s="355">
        <f ca="1">SUMIF($P109:$P164,3,T109:T164)</f>
        <v>1772.5245897290474</v>
      </c>
      <c r="U168" s="36">
        <f ca="1">T168/T170</f>
        <v>0.2036589443923647</v>
      </c>
      <c r="V168" s="320"/>
      <c r="W168" s="320"/>
      <c r="X168" s="320"/>
      <c r="Y168" s="320"/>
      <c r="Z168" s="320"/>
      <c r="AA168" s="320"/>
      <c r="AB168" s="320"/>
    </row>
    <row r="169" spans="1:32" ht="13.8">
      <c r="A169" s="63"/>
      <c r="B169" s="196"/>
      <c r="C169" s="6" t="s">
        <v>73</v>
      </c>
      <c r="D169" s="79"/>
      <c r="F169" s="80" t="s">
        <v>155</v>
      </c>
      <c r="G169" s="81"/>
      <c r="H169" s="36">
        <v>3</v>
      </c>
      <c r="O169" s="65"/>
      <c r="R169" s="356">
        <f>SUMIF($P109:$P164,4,R109:R164)</f>
        <v>180691.52320000032</v>
      </c>
      <c r="T169" s="355">
        <f>SUMIF($P109:$P164,4,T109:T164)</f>
        <v>44.1</v>
      </c>
      <c r="V169" s="320"/>
      <c r="W169" s="320"/>
      <c r="X169" s="320"/>
      <c r="Y169" s="320"/>
      <c r="Z169" s="320"/>
      <c r="AA169" s="320"/>
      <c r="AB169" s="320"/>
    </row>
    <row r="170" spans="1:32" ht="14.4" thickBot="1">
      <c r="A170" s="63"/>
      <c r="B170" s="349"/>
      <c r="C170" s="71" t="s">
        <v>73</v>
      </c>
      <c r="D170" s="83"/>
      <c r="E170" s="73"/>
      <c r="F170" s="84" t="s">
        <v>156</v>
      </c>
      <c r="G170" s="85"/>
      <c r="H170" s="86"/>
      <c r="I170" s="86"/>
      <c r="J170" s="86"/>
      <c r="K170" s="86"/>
      <c r="L170" s="86"/>
      <c r="M170" s="86"/>
      <c r="N170" s="86"/>
      <c r="O170" s="87"/>
      <c r="P170" s="86"/>
      <c r="Q170" s="86"/>
      <c r="R170" s="357">
        <f ca="1">SUM(R166:R169)</f>
        <v>1126454.5211892175</v>
      </c>
      <c r="S170" s="89"/>
      <c r="T170" s="358">
        <f ca="1">SUM(T166:T169)</f>
        <v>8703.3967254300496</v>
      </c>
      <c r="V170" s="320"/>
      <c r="W170" s="320"/>
      <c r="X170" s="320"/>
      <c r="Y170" s="320"/>
      <c r="Z170" s="320"/>
      <c r="AA170" s="320"/>
      <c r="AB170" s="320"/>
    </row>
    <row r="171" spans="1:32" ht="14.4" thickTop="1">
      <c r="B171" s="36"/>
      <c r="E171" s="152"/>
      <c r="F171" s="153"/>
      <c r="G171" s="137"/>
      <c r="H171" s="137"/>
      <c r="I171" s="137"/>
      <c r="J171" s="137"/>
      <c r="K171" s="137"/>
      <c r="L171" s="137"/>
      <c r="M171" s="137"/>
      <c r="N171" s="137"/>
      <c r="O171" s="137"/>
      <c r="P171" s="137"/>
      <c r="Q171" s="153"/>
      <c r="R171" s="153"/>
      <c r="S171" s="153"/>
      <c r="T171" s="153"/>
    </row>
    <row r="172" spans="1:32">
      <c r="C172" s="34"/>
      <c r="D172" s="34"/>
      <c r="E172" s="34"/>
      <c r="F172" s="34"/>
      <c r="G172" s="34"/>
      <c r="J172" s="34"/>
      <c r="K172" s="34"/>
      <c r="L172" s="34"/>
      <c r="M172" s="34"/>
      <c r="N172" s="34"/>
      <c r="O172" s="34"/>
      <c r="P172" s="34"/>
      <c r="Q172" s="34"/>
      <c r="R172" s="34"/>
      <c r="S172" s="34"/>
      <c r="T172" s="34"/>
    </row>
    <row r="173" spans="1:32">
      <c r="D173" s="36" t="s">
        <v>58</v>
      </c>
      <c r="E173" s="10"/>
      <c r="F173" s="147"/>
      <c r="G173" s="2"/>
      <c r="S173" s="33"/>
      <c r="T173" s="33"/>
    </row>
    <row r="174" spans="1:32" ht="15.6">
      <c r="D174" s="213" t="s">
        <v>292</v>
      </c>
    </row>
    <row r="175" spans="1:32">
      <c r="D175" s="261">
        <f ca="1">D95</f>
        <v>46114.371141087962</v>
      </c>
    </row>
    <row r="176" spans="1:32">
      <c r="A176" s="34"/>
    </row>
  </sheetData>
  <sheetProtection formatCells="0" formatColumns="0" formatRows="0" insertHyperlinks="0"/>
  <mergeCells count="18">
    <mergeCell ref="U2:W4"/>
    <mergeCell ref="D1:E1"/>
    <mergeCell ref="D2:E2"/>
    <mergeCell ref="D3:E3"/>
    <mergeCell ref="B16:E17"/>
    <mergeCell ref="B14:E15"/>
    <mergeCell ref="AD108:AF108"/>
    <mergeCell ref="Y108:AA108"/>
    <mergeCell ref="B18:E18"/>
    <mergeCell ref="D84:E84"/>
    <mergeCell ref="B57:T57"/>
    <mergeCell ref="B58:T58"/>
    <mergeCell ref="A55:B55"/>
    <mergeCell ref="A48:S48"/>
    <mergeCell ref="Q18:T18"/>
    <mergeCell ref="A47:S47"/>
    <mergeCell ref="B19:E19"/>
    <mergeCell ref="V48:W48"/>
  </mergeCells>
  <phoneticPr fontId="29" type="noConversion"/>
  <conditionalFormatting sqref="B11">
    <cfRule type="cellIs" dxfId="22" priority="17" stopIfTrue="1" operator="equal">
      <formula>"CHECKLIST IS INCOMPLETE !"</formula>
    </cfRule>
    <cfRule type="cellIs" dxfId="21" priority="18" stopIfTrue="1" operator="equal">
      <formula>"CHECKLIST OK"</formula>
    </cfRule>
  </conditionalFormatting>
  <conditionalFormatting sqref="B14">
    <cfRule type="cellIs" dxfId="20" priority="9" stopIfTrue="1" operator="equal">
      <formula>"QUOTE ISSUED WITH                    VAT INCLUDED"</formula>
    </cfRule>
    <cfRule type="cellIs" dxfId="19" priority="10" stopIfTrue="1" operator="notEqual">
      <formula>"QUOTE ISSUED WITH                    VAT INCLUDED"</formula>
    </cfRule>
  </conditionalFormatting>
  <conditionalFormatting sqref="B35">
    <cfRule type="cellIs" dxfId="18" priority="21" stopIfTrue="1" operator="notEqual">
      <formula>ROUND($E$35,2)</formula>
    </cfRule>
  </conditionalFormatting>
  <conditionalFormatting sqref="B18:E18">
    <cfRule type="cellIs" dxfId="17" priority="19" stopIfTrue="1" operator="equal">
      <formula>"CHECKLIST INCOMPLETE !"</formula>
    </cfRule>
  </conditionalFormatting>
  <conditionalFormatting sqref="D6 E37">
    <cfRule type="cellIs" dxfId="16" priority="3" stopIfTrue="1" operator="equal">
      <formula>"VAT INCLUDED"</formula>
    </cfRule>
    <cfRule type="cellIs" dxfId="15" priority="4" stopIfTrue="1" operator="equal">
      <formula>"VAT EXCL."</formula>
    </cfRule>
  </conditionalFormatting>
  <conditionalFormatting sqref="E24:E32">
    <cfRule type="cellIs" dxfId="14" priority="20" stopIfTrue="1" operator="equal">
      <formula>0</formula>
    </cfRule>
  </conditionalFormatting>
  <conditionalFormatting sqref="E36">
    <cfRule type="cellIs" dxfId="13" priority="12" stopIfTrue="1" operator="equal">
      <formula>"Final Sell Curr?"</formula>
    </cfRule>
  </conditionalFormatting>
  <conditionalFormatting sqref="F11">
    <cfRule type="cellIs" dxfId="12" priority="16" stopIfTrue="1" operator="equal">
      <formula>"CHECKLIST IS STILL INCOMPLETE"</formula>
    </cfRule>
  </conditionalFormatting>
  <conditionalFormatting sqref="Q1">
    <cfRule type="cellIs" dxfId="11" priority="11" stopIfTrue="1" operator="notEqual">
      <formula>"€"</formula>
    </cfRule>
  </conditionalFormatting>
  <conditionalFormatting sqref="Q2:Q12">
    <cfRule type="cellIs" dxfId="10" priority="5" stopIfTrue="1" operator="greaterThan">
      <formula>0</formula>
    </cfRule>
    <cfRule type="cellIs" dxfId="9" priority="6" stopIfTrue="1" operator="equal">
      <formula>0</formula>
    </cfRule>
  </conditionalFormatting>
  <conditionalFormatting sqref="Q23:Q32">
    <cfRule type="cellIs" dxfId="8" priority="1" stopIfTrue="1" operator="greaterThan">
      <formula>0</formula>
    </cfRule>
    <cfRule type="cellIs" dxfId="7" priority="2" stopIfTrue="1" operator="equal">
      <formula>0</formula>
    </cfRule>
  </conditionalFormatting>
  <conditionalFormatting sqref="S1">
    <cfRule type="cellIs" dxfId="6" priority="14" stopIfTrue="1" operator="notEqual">
      <formula>"R"</formula>
    </cfRule>
    <cfRule type="cellIs" dxfId="5" priority="15" stopIfTrue="1" operator="equal">
      <formula>"R"</formula>
    </cfRule>
  </conditionalFormatting>
  <conditionalFormatting sqref="S39">
    <cfRule type="cellIs" dxfId="4" priority="13" stopIfTrue="1" operator="notEqual">
      <formula>"PRINT"</formula>
    </cfRule>
  </conditionalFormatting>
  <conditionalFormatting sqref="S2:T11">
    <cfRule type="cellIs" dxfId="3" priority="7" stopIfTrue="1" operator="greaterThan">
      <formula>0</formula>
    </cfRule>
    <cfRule type="cellIs" dxfId="2" priority="8" stopIfTrue="1" operator="equal">
      <formula>0</formula>
    </cfRule>
  </conditionalFormatting>
  <dataValidations xWindow="275" yWindow="522" count="8">
    <dataValidation type="list" allowBlank="1" showInputMessage="1" showErrorMessage="1" sqref="D8" xr:uid="{00000000-0002-0000-0300-000000000000}">
      <formula1>"K.Asciak,G.Grima,M.Scicluna,M.Falzon,M.Vella,T.Sammut,R.Farrugia,A.Montebello,A.Vella,J.Gatt,J.Grech,S.James,K.Galea,F.Vella"</formula1>
    </dataValidation>
    <dataValidation type="list" allowBlank="1" showInputMessage="1" showErrorMessage="1" sqref="D6" xr:uid="{00000000-0002-0000-0300-000001000000}">
      <formula1>"VAT EXCL., VAT INCLUDED, VAT IN MARKUPS"</formula1>
    </dataValidation>
    <dataValidation type="list" allowBlank="1" showInputMessage="1" showErrorMessage="1" sqref="W1" xr:uid="{00000000-0002-0000-0300-000002000000}">
      <formula1>"BOQ,TDWG,ACT,DIF_TD,DIF_A"</formula1>
    </dataValidation>
    <dataValidation type="textLength" showInputMessage="1" showErrorMessage="1" sqref="S1" xr:uid="{00000000-0002-0000-03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300-000004000000}">
      <formula1>"PRINT,Test for 0.00,"</formula1>
    </dataValidation>
    <dataValidation type="list" allowBlank="1" showInputMessage="1" showErrorMessage="1" sqref="A33" xr:uid="{00000000-0002-0000-0300-000005000000}">
      <formula1>"MIXED, ,"</formula1>
    </dataValidation>
    <dataValidation type="list" allowBlank="1" showInputMessage="1" showErrorMessage="1" sqref="Q1" xr:uid="{00000000-0002-0000-03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 sqref="D9" xr:uid="{00000000-0002-0000-0300-000007000000}">
      <formula1>"24.50,23.95,22.96,23.02,23.52,22.42,21.57,24.39,23.36,27.46,23.23,24.10,23.75,26.30,not used"</formula1>
    </dataValidation>
  </dataValidations>
  <pageMargins left="0.19685039370078741" right="0.15748031496062992" top="0.19685039370078741" bottom="0.35433070866141736" header="0.19685039370078741" footer="0.15748031496062992"/>
  <pageSetup paperSize="9" scale="95"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259080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3</xdr:row>
                    <xdr:rowOff>45720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121920</xdr:colOff>
                    <xdr:row>3</xdr:row>
                    <xdr:rowOff>220980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3</xdr:row>
                    <xdr:rowOff>297180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68580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259080</xdr:colOff>
                    <xdr:row>6</xdr:row>
                    <xdr:rowOff>160020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144780</xdr:rowOff>
                  </from>
                  <to>
                    <xdr:col>1</xdr:col>
                    <xdr:colOff>236220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106680</xdr:rowOff>
                  </from>
                  <to>
                    <xdr:col>1</xdr:col>
                    <xdr:colOff>68580</xdr:colOff>
                    <xdr:row>7</xdr:row>
                    <xdr:rowOff>335280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182880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8</xdr:row>
                    <xdr:rowOff>297180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indexed="14"/>
  </sheetPr>
  <dimension ref="A1:IV1137"/>
  <sheetViews>
    <sheetView topLeftCell="A953" workbookViewId="0">
      <selection activeCell="F983" sqref="F983:F984"/>
    </sheetView>
  </sheetViews>
  <sheetFormatPr defaultColWidth="9.109375" defaultRowHeight="13.2"/>
  <cols>
    <col min="1" max="1" width="10" style="36" customWidth="1"/>
    <col min="2" max="2" width="9.33203125" style="36" customWidth="1"/>
    <col min="3" max="3" width="11" style="36" hidden="1" customWidth="1"/>
    <col min="4" max="4" width="25.44140625" style="36" customWidth="1"/>
    <col min="5" max="5" width="23.33203125" style="36" customWidth="1"/>
    <col min="6" max="6" width="30.10937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5" style="588" customWidth="1"/>
    <col min="18" max="20" width="15" style="36" customWidth="1"/>
    <col min="21" max="21" width="4.88671875" style="36" customWidth="1"/>
    <col min="22" max="22" width="6.109375" style="36" customWidth="1"/>
    <col min="23" max="23" width="4.33203125" style="36" customWidth="1"/>
    <col min="24" max="24" width="5.6640625" style="36" customWidth="1"/>
    <col min="25" max="25" width="4.33203125" style="36" customWidth="1"/>
    <col min="26" max="26" width="7.6640625" style="36" customWidth="1"/>
    <col min="27" max="28" width="4.33203125" style="36" customWidth="1"/>
    <col min="29" max="29" width="4" style="36" customWidth="1"/>
    <col min="30" max="30" width="28.6640625" style="36" customWidth="1"/>
    <col min="31" max="16384" width="9.109375" style="36"/>
  </cols>
  <sheetData>
    <row r="1" spans="1:31" s="32" customFormat="1" ht="13.8">
      <c r="A1" s="483"/>
      <c r="B1" s="484" t="s">
        <v>0</v>
      </c>
      <c r="C1" s="485">
        <f>ML_Sum!$C1</f>
        <v>1</v>
      </c>
      <c r="D1" s="486" t="str">
        <f>ML_Sum!$D1</f>
        <v>Quintano Foods Ltd.</v>
      </c>
      <c r="E1" s="487"/>
      <c r="F1" s="488">
        <f>ML_Sum!$F1</f>
        <v>0</v>
      </c>
      <c r="G1" s="489"/>
      <c r="H1"/>
      <c r="I1" s="273">
        <v>1</v>
      </c>
      <c r="J1" s="274">
        <f>ML_Sum!$J1</f>
        <v>1</v>
      </c>
      <c r="K1" s="274">
        <f>ML_Sum!$K1</f>
        <v>1</v>
      </c>
      <c r="L1" s="274">
        <f>ML_Sum!$L1</f>
        <v>1</v>
      </c>
      <c r="M1" s="274">
        <f>ML_Sum!$M1</f>
        <v>1</v>
      </c>
      <c r="N1" s="274">
        <f>ML_Sum!$N1</f>
        <v>1</v>
      </c>
      <c r="O1" s="274">
        <f>ML_Sum!$O1</f>
        <v>1</v>
      </c>
      <c r="P1"/>
      <c r="Q1" s="1064" t="str">
        <f>ML_Sum!$Q1</f>
        <v>€</v>
      </c>
      <c r="R1" s="277" t="s">
        <v>1</v>
      </c>
      <c r="S1" s="339" t="str">
        <f>ML_Sum!$S1</f>
        <v>R</v>
      </c>
      <c r="T1" s="17">
        <f>ML_Sum!$T1</f>
        <v>0.9</v>
      </c>
      <c r="U1" s="197" t="str">
        <f>ML_Sum!W1</f>
        <v>BOQ</v>
      </c>
      <c r="V1" s="131" t="s">
        <v>194</v>
      </c>
      <c r="W1" s="132" t="s">
        <v>184</v>
      </c>
      <c r="X1" s="133" t="s">
        <v>185</v>
      </c>
      <c r="Y1" s="134" t="s">
        <v>186</v>
      </c>
      <c r="Z1" s="135" t="s">
        <v>182</v>
      </c>
      <c r="AA1" s="135" t="s">
        <v>187</v>
      </c>
      <c r="AB1" s="132" t="s">
        <v>188</v>
      </c>
      <c r="AD1" s="488">
        <v>0</v>
      </c>
    </row>
    <row r="2" spans="1:31" s="32" customFormat="1" ht="13.8">
      <c r="A2" s="483"/>
      <c r="B2" s="484" t="s">
        <v>2</v>
      </c>
      <c r="C2" s="485">
        <f>ML_Sum!$C2</f>
        <v>1</v>
      </c>
      <c r="D2" s="486" t="str">
        <f>ML_Sum!$D2</f>
        <v>Warehouse at tal-Handaq, Qormi</v>
      </c>
      <c r="E2" s="490"/>
      <c r="F2" s="488" t="str">
        <f>ML_Sum!$F2</f>
        <v>Electrical</v>
      </c>
      <c r="G2" s="489"/>
      <c r="H2"/>
      <c r="I2" s="273">
        <v>2</v>
      </c>
      <c r="J2" s="274">
        <f>ML_Sum!$J2</f>
        <v>1</v>
      </c>
      <c r="K2" s="274">
        <f>ML_Sum!$K2</f>
        <v>1</v>
      </c>
      <c r="L2" s="274">
        <f>ML_Sum!$L2</f>
        <v>1</v>
      </c>
      <c r="M2" s="274">
        <f>ML_Sum!$M2</f>
        <v>1</v>
      </c>
      <c r="N2" s="274">
        <f>ML_Sum!$N2</f>
        <v>1</v>
      </c>
      <c r="O2" s="274">
        <f>ML_Sum!$O2</f>
        <v>1</v>
      </c>
      <c r="P2"/>
      <c r="Q2" s="1065">
        <f>ML_Sum!$Q2</f>
        <v>0</v>
      </c>
      <c r="R2" s="18" t="s">
        <v>3</v>
      </c>
      <c r="S2" s="346">
        <f>ML_Sum!$S2</f>
        <v>1.231344</v>
      </c>
      <c r="T2" s="347">
        <f>ML_Sum!$T2</f>
        <v>33.812706240000004</v>
      </c>
      <c r="V2" s="319"/>
      <c r="W2" s="319"/>
      <c r="X2" s="319"/>
      <c r="Y2" s="319"/>
      <c r="Z2" s="319"/>
      <c r="AA2" s="319"/>
      <c r="AB2" s="319"/>
      <c r="AD2" s="488" t="s">
        <v>207</v>
      </c>
    </row>
    <row r="3" spans="1:31" s="32" customFormat="1" ht="13.8">
      <c r="A3" s="491"/>
      <c r="B3" s="492" t="s">
        <v>4</v>
      </c>
      <c r="C3" s="485">
        <f>ML_Sum!$C3</f>
        <v>1</v>
      </c>
      <c r="D3" s="486" t="str">
        <f>ML_Sum!$D3</f>
        <v>Electrical and ELV installations (Rev A)</v>
      </c>
      <c r="E3" s="491"/>
      <c r="F3" s="488" t="str">
        <f>ML_Sum!$F3</f>
        <v>ELV Installation (NAS Ltd)</v>
      </c>
      <c r="G3" s="493"/>
      <c r="H3"/>
      <c r="I3" s="273">
        <v>3</v>
      </c>
      <c r="J3" s="274">
        <f>ML_Sum!$J3</f>
        <v>1</v>
      </c>
      <c r="K3" s="274">
        <f>ML_Sum!$K3</f>
        <v>1</v>
      </c>
      <c r="L3" s="274">
        <f>ML_Sum!$L3</f>
        <v>1</v>
      </c>
      <c r="M3" s="274">
        <f>ML_Sum!$M3</f>
        <v>1</v>
      </c>
      <c r="N3" s="274">
        <f>ML_Sum!$N3</f>
        <v>1</v>
      </c>
      <c r="O3" s="274">
        <f>ML_Sum!$O3</f>
        <v>1</v>
      </c>
      <c r="P3"/>
      <c r="Q3" s="1065">
        <f>ML_Sum!$Q3</f>
        <v>0</v>
      </c>
      <c r="R3" s="19" t="s">
        <v>5</v>
      </c>
      <c r="S3" s="346">
        <f>ML_Sum!$S3</f>
        <v>1.1287320000000001</v>
      </c>
      <c r="T3" s="347">
        <f>ML_Sum!$T3</f>
        <v>30.994980720000004</v>
      </c>
      <c r="V3" s="319"/>
      <c r="W3" s="319"/>
      <c r="X3" s="319"/>
      <c r="Y3" s="319"/>
      <c r="Z3" s="319"/>
      <c r="AA3" s="319"/>
      <c r="AB3" s="319"/>
      <c r="AD3" s="488" t="s">
        <v>3684</v>
      </c>
      <c r="AE3" s="316"/>
    </row>
    <row r="4" spans="1:31" s="32" customFormat="1" ht="13.8">
      <c r="A4" s="494"/>
      <c r="B4" s="484" t="s">
        <v>6</v>
      </c>
      <c r="C4" s="485">
        <f>ML_Sum!$C4</f>
        <v>1</v>
      </c>
      <c r="D4" s="486" t="str">
        <f>ML_Sum!$D4</f>
        <v>EL25-0062A</v>
      </c>
      <c r="E4" s="491"/>
      <c r="F4" s="488" t="str">
        <f>ML_Sum!$F4</f>
        <v>Lightning Protection System (MCE Ltd)</v>
      </c>
      <c r="G4" s="493"/>
      <c r="H4"/>
      <c r="I4" s="273">
        <v>4</v>
      </c>
      <c r="J4" s="274">
        <f>ML_Sum!$J4</f>
        <v>1</v>
      </c>
      <c r="K4" s="274">
        <f>ML_Sum!$K4</f>
        <v>1</v>
      </c>
      <c r="L4" s="274">
        <f>ML_Sum!$L4</f>
        <v>1</v>
      </c>
      <c r="M4" s="274">
        <f>ML_Sum!$M4</f>
        <v>1</v>
      </c>
      <c r="N4" s="274">
        <f>ML_Sum!$N4</f>
        <v>1</v>
      </c>
      <c r="O4" s="274">
        <f>ML_Sum!$O4</f>
        <v>1</v>
      </c>
      <c r="P4"/>
      <c r="Q4" s="1065">
        <f>ML_Sum!$Q4</f>
        <v>0</v>
      </c>
      <c r="R4" s="20" t="s">
        <v>8</v>
      </c>
      <c r="S4" s="346">
        <f>ML_Sum!$S4</f>
        <v>1.1287320000000001</v>
      </c>
      <c r="T4" s="347">
        <f>ML_Sum!$T4</f>
        <v>30.994980720000004</v>
      </c>
      <c r="V4" s="319"/>
      <c r="W4" s="319"/>
      <c r="X4" s="319"/>
      <c r="Y4" s="319"/>
      <c r="Z4" s="319"/>
      <c r="AA4" s="319"/>
      <c r="AB4" s="319"/>
      <c r="AD4" s="488" t="s">
        <v>3506</v>
      </c>
      <c r="AE4" s="317"/>
    </row>
    <row r="5" spans="1:31" s="32" customFormat="1" ht="13.8">
      <c r="A5" s="494"/>
      <c r="B5" s="484" t="s">
        <v>196</v>
      </c>
      <c r="C5" s="485">
        <f>ML_Sum!$C5</f>
        <v>1</v>
      </c>
      <c r="D5" s="486" t="str">
        <f>ML_Sum!$D5</f>
        <v>Tender</v>
      </c>
      <c r="E5" s="491"/>
      <c r="F5" s="488" t="str">
        <f>ML_Sum!$F5</f>
        <v>Controls ECA</v>
      </c>
      <c r="G5" s="495"/>
      <c r="H5"/>
      <c r="I5" s="273">
        <v>5</v>
      </c>
      <c r="J5" s="274">
        <f>ML_Sum!$J5</f>
        <v>1</v>
      </c>
      <c r="K5" s="274">
        <f>ML_Sum!$K5</f>
        <v>1</v>
      </c>
      <c r="L5" s="274">
        <f>ML_Sum!$L5</f>
        <v>1</v>
      </c>
      <c r="M5" s="274">
        <f>ML_Sum!$M5</f>
        <v>1</v>
      </c>
      <c r="N5" s="274">
        <f>ML_Sum!$N5</f>
        <v>1</v>
      </c>
      <c r="O5" s="274">
        <f>ML_Sum!$O5</f>
        <v>1</v>
      </c>
      <c r="P5"/>
      <c r="Q5" s="1065">
        <f>ML_Sum!$Q5</f>
        <v>0</v>
      </c>
      <c r="R5" s="21" t="s">
        <v>10</v>
      </c>
      <c r="S5" s="346">
        <f>ML_Sum!$S5</f>
        <v>1.231344</v>
      </c>
      <c r="T5" s="347">
        <f>ML_Sum!$T5</f>
        <v>53.34182208</v>
      </c>
      <c r="V5" s="319"/>
      <c r="W5" s="319"/>
      <c r="X5" s="319"/>
      <c r="Y5" s="319"/>
      <c r="Z5" s="319"/>
      <c r="AA5" s="319"/>
      <c r="AB5" s="319"/>
      <c r="AD5" s="488" t="s">
        <v>3699</v>
      </c>
      <c r="AE5" s="317"/>
    </row>
    <row r="6" spans="1:31" s="32" customFormat="1" ht="13.8">
      <c r="A6"/>
      <c r="B6" s="492" t="s">
        <v>9</v>
      </c>
      <c r="C6" s="485">
        <f>ML_Sum!$C6</f>
        <v>1</v>
      </c>
      <c r="D6" s="486" t="str">
        <f>ML_Sum!$D6</f>
        <v>VAT EXCL.</v>
      </c>
      <c r="E6"/>
      <c r="F6" s="488" t="str">
        <f>ML_Sum!$F6</f>
        <v xml:space="preserve">Testing and Commissiong </v>
      </c>
      <c r="G6" s="495"/>
      <c r="H6"/>
      <c r="I6" s="273">
        <v>6</v>
      </c>
      <c r="J6" s="274">
        <f>ML_Sum!$J6</f>
        <v>1</v>
      </c>
      <c r="K6" s="274">
        <f>ML_Sum!$K6</f>
        <v>1</v>
      </c>
      <c r="L6" s="274">
        <f>ML_Sum!$L6</f>
        <v>1</v>
      </c>
      <c r="M6" s="274">
        <f>ML_Sum!$M6</f>
        <v>1</v>
      </c>
      <c r="N6" s="274">
        <f>ML_Sum!$N6</f>
        <v>1</v>
      </c>
      <c r="O6" s="274">
        <f>ML_Sum!$O6</f>
        <v>1</v>
      </c>
      <c r="P6"/>
      <c r="Q6" s="1065">
        <f>ML_Sum!$Q6</f>
        <v>0</v>
      </c>
      <c r="R6" s="22" t="s">
        <v>11</v>
      </c>
      <c r="S6" s="346">
        <f>ML_Sum!$S6</f>
        <v>1.231344</v>
      </c>
      <c r="T6" s="347">
        <f>ML_Sum!$T6</f>
        <v>65.162724480000008</v>
      </c>
      <c r="V6" s="319"/>
      <c r="W6" s="319"/>
      <c r="X6" s="319"/>
      <c r="Y6" s="319"/>
      <c r="Z6" s="319"/>
      <c r="AA6" s="319"/>
      <c r="AB6" s="319"/>
      <c r="AD6" s="488" t="s">
        <v>3728</v>
      </c>
      <c r="AE6"/>
    </row>
    <row r="7" spans="1:31" s="32" customFormat="1" ht="13.8">
      <c r="A7" s="483"/>
      <c r="B7" s="492" t="s">
        <v>12</v>
      </c>
      <c r="C7" s="485">
        <f>ML_Sum!$C7</f>
        <v>1</v>
      </c>
      <c r="D7" s="496">
        <v>39364</v>
      </c>
      <c r="E7" s="497"/>
      <c r="F7" s="488" t="str">
        <f>ML_Sum!$F7</f>
        <v>Fire Stopping rates</v>
      </c>
      <c r="G7" s="498"/>
      <c r="H7"/>
      <c r="I7" s="273">
        <v>7</v>
      </c>
      <c r="J7" s="274">
        <f>ML_Sum!$J7</f>
        <v>1</v>
      </c>
      <c r="K7" s="274">
        <f>ML_Sum!$K7</f>
        <v>1</v>
      </c>
      <c r="L7" s="274">
        <f>ML_Sum!$L7</f>
        <v>1</v>
      </c>
      <c r="M7" s="274">
        <f>ML_Sum!$M7</f>
        <v>1</v>
      </c>
      <c r="N7" s="274">
        <f>ML_Sum!$N7</f>
        <v>1</v>
      </c>
      <c r="O7" s="274">
        <f>ML_Sum!$O7</f>
        <v>0</v>
      </c>
      <c r="P7"/>
      <c r="Q7" s="1065">
        <f>ML_Sum!$Q7</f>
        <v>0</v>
      </c>
      <c r="R7" s="23" t="s">
        <v>13</v>
      </c>
      <c r="S7" s="346">
        <f>ML_Sum!$S7</f>
        <v>1.231344</v>
      </c>
      <c r="T7" s="347">
        <f>ML_Sum!$T7</f>
        <v>33.812706240000004</v>
      </c>
      <c r="V7" s="319"/>
      <c r="W7" s="319"/>
      <c r="X7" s="319"/>
      <c r="Y7" s="319"/>
      <c r="Z7" s="319"/>
      <c r="AA7" s="319"/>
      <c r="AB7" s="319"/>
      <c r="AD7" s="488" t="s">
        <v>3734</v>
      </c>
    </row>
    <row r="8" spans="1:31" s="32" customFormat="1" ht="13.8">
      <c r="A8" s="494"/>
      <c r="B8" s="492" t="s">
        <v>14</v>
      </c>
      <c r="C8" s="485">
        <f>ML_Sum!$C8</f>
        <v>1</v>
      </c>
      <c r="D8" s="486" t="str">
        <f>ML_Sum!$D8</f>
        <v>T.Sammut</v>
      </c>
      <c r="E8" s="491"/>
      <c r="F8" s="488" t="str">
        <f>ML_Sum!$F8</f>
        <v>Main Equipment (Gen Set / Main Switchboards)</v>
      </c>
      <c r="G8" s="499"/>
      <c r="H8"/>
      <c r="I8" s="273">
        <v>8</v>
      </c>
      <c r="J8" s="274">
        <f>ML_Sum!$J8</f>
        <v>1</v>
      </c>
      <c r="K8" s="274">
        <f>ML_Sum!$K8</f>
        <v>1</v>
      </c>
      <c r="L8" s="274">
        <f>ML_Sum!$L8</f>
        <v>1</v>
      </c>
      <c r="M8" s="274">
        <f>ML_Sum!$M8</f>
        <v>1</v>
      </c>
      <c r="N8" s="274">
        <f>ML_Sum!$N8</f>
        <v>1</v>
      </c>
      <c r="O8" s="274">
        <f>ML_Sum!$O8</f>
        <v>0</v>
      </c>
      <c r="P8"/>
      <c r="Q8" s="1065">
        <f>ML_Sum!$Q8</f>
        <v>0</v>
      </c>
      <c r="R8" s="24" t="s">
        <v>15</v>
      </c>
      <c r="S8" s="346">
        <f>ML_Sum!$S8</f>
        <v>1.1800379999999999</v>
      </c>
      <c r="T8" s="347">
        <f>ML_Sum!$T8</f>
        <v>32.403843479999999</v>
      </c>
      <c r="V8" s="319"/>
      <c r="W8" s="319"/>
      <c r="X8" s="319"/>
      <c r="Y8" s="319"/>
      <c r="Z8" s="319"/>
      <c r="AA8" s="319"/>
      <c r="AB8" s="319"/>
      <c r="AD8" s="488">
        <v>0</v>
      </c>
      <c r="AE8" s="317"/>
    </row>
    <row r="9" spans="1:31" s="32" customFormat="1" ht="13.8">
      <c r="A9" s="494"/>
      <c r="B9" s="492" t="s">
        <v>283</v>
      </c>
      <c r="C9" s="485">
        <f>ML_Sum!$C9</f>
        <v>1</v>
      </c>
      <c r="D9" s="486">
        <f>ML_Sum!$D9</f>
        <v>27.46</v>
      </c>
      <c r="E9" s="491"/>
      <c r="F9" s="488" t="str">
        <f>ML_Sum!$F9</f>
        <v>DBs and Changeover</v>
      </c>
      <c r="G9" s="499"/>
      <c r="H9"/>
      <c r="I9" s="273">
        <v>9</v>
      </c>
      <c r="J9" s="274">
        <f>ML_Sum!$J9</f>
        <v>1</v>
      </c>
      <c r="K9" s="274">
        <f>ML_Sum!$K9</f>
        <v>1</v>
      </c>
      <c r="L9" s="274">
        <f>ML_Sum!$L9</f>
        <v>1</v>
      </c>
      <c r="M9" s="274">
        <f>ML_Sum!$M9</f>
        <v>1</v>
      </c>
      <c r="N9" s="274">
        <f>ML_Sum!$N9</f>
        <v>1</v>
      </c>
      <c r="O9" s="274">
        <f>ML_Sum!$O9</f>
        <v>0</v>
      </c>
      <c r="P9"/>
      <c r="Q9" s="1065">
        <f>ML_Sum!$Q9</f>
        <v>0</v>
      </c>
      <c r="R9" s="25" t="s">
        <v>16</v>
      </c>
      <c r="S9" s="346">
        <f>ML_Sum!$S9</f>
        <v>1.1800379999999999</v>
      </c>
      <c r="T9" s="347">
        <f>ML_Sum!$T9</f>
        <v>32.403843479999999</v>
      </c>
      <c r="V9" s="319"/>
      <c r="W9" s="319"/>
      <c r="X9" s="319"/>
      <c r="Y9" s="319"/>
      <c r="Z9" s="319"/>
      <c r="AA9" s="319"/>
      <c r="AB9" s="319"/>
      <c r="AD9" s="488">
        <v>0</v>
      </c>
      <c r="AE9" s="317"/>
    </row>
    <row r="10" spans="1:31" s="32" customFormat="1" ht="13.8">
      <c r="A10" s="494"/>
      <c r="B10" s="483"/>
      <c r="C10" s="485">
        <f>ML_Sum!$C10</f>
        <v>1</v>
      </c>
      <c r="D10" s="483"/>
      <c r="E10" s="491"/>
      <c r="F10" s="488" t="str">
        <f>ML_Sum!$F10</f>
        <v>Armoured Cables</v>
      </c>
      <c r="G10" s="499"/>
      <c r="H10"/>
      <c r="I10" s="273">
        <v>10</v>
      </c>
      <c r="J10" s="274">
        <f>ML_Sum!$J10</f>
        <v>1</v>
      </c>
      <c r="K10" s="274">
        <f>ML_Sum!$K10</f>
        <v>1</v>
      </c>
      <c r="L10" s="274">
        <f>ML_Sum!$L10</f>
        <v>1</v>
      </c>
      <c r="M10" s="274">
        <f>ML_Sum!$M10</f>
        <v>1</v>
      </c>
      <c r="N10" s="274">
        <f>ML_Sum!$N10</f>
        <v>1</v>
      </c>
      <c r="O10" s="274">
        <f>ML_Sum!$O10</f>
        <v>1</v>
      </c>
      <c r="P10"/>
      <c r="Q10" s="1065">
        <f>ML_Sum!$Q10</f>
        <v>0</v>
      </c>
      <c r="R10" s="26" t="s">
        <v>17</v>
      </c>
      <c r="S10" s="346">
        <f>ML_Sum!$S10</f>
        <v>1.1800379999999999</v>
      </c>
      <c r="T10" s="347">
        <f>ML_Sum!$T10</f>
        <v>32.403843479999999</v>
      </c>
      <c r="V10" s="319"/>
      <c r="W10" s="319"/>
      <c r="X10" s="319"/>
      <c r="Y10" s="319"/>
      <c r="Z10" s="319"/>
      <c r="AA10" s="319"/>
      <c r="AB10" s="319"/>
      <c r="AD10" s="488">
        <v>0</v>
      </c>
      <c r="AE10" s="317"/>
    </row>
    <row r="11" spans="1:31" s="32" customFormat="1" ht="13.8">
      <c r="A11" s="494"/>
      <c r="B11" s="483"/>
      <c r="C11" s="485">
        <f>ML_Sum!$C11</f>
        <v>1</v>
      </c>
      <c r="D11" s="483"/>
      <c r="E11" s="491"/>
      <c r="F11" s="488">
        <f>ML_Sum!$F11</f>
        <v>0</v>
      </c>
      <c r="G11" s="499"/>
      <c r="H11" s="499"/>
      <c r="I11" s="483"/>
      <c r="J11" s="483"/>
      <c r="K11" s="483"/>
      <c r="L11" s="483"/>
      <c r="M11" s="483"/>
      <c r="N11" s="483"/>
      <c r="O11" s="483"/>
      <c r="P11" s="499"/>
      <c r="Q11" s="1065">
        <f>ML_Sum!$Q11</f>
        <v>0</v>
      </c>
      <c r="R11" s="27" t="s">
        <v>18</v>
      </c>
      <c r="S11" s="346">
        <f>ML_Sum!$S11</f>
        <v>0</v>
      </c>
      <c r="T11" s="347">
        <f>ML_Sum!$T11</f>
        <v>0</v>
      </c>
      <c r="V11" s="319"/>
      <c r="W11" s="319"/>
      <c r="X11" s="319"/>
      <c r="Y11" s="319"/>
      <c r="Z11" s="319"/>
      <c r="AA11" s="319"/>
      <c r="AB11" s="319"/>
      <c r="AD11" s="488">
        <v>0</v>
      </c>
      <c r="AE11" s="317"/>
    </row>
    <row r="12" spans="1:31" s="32" customFormat="1" ht="13.8">
      <c r="A12" s="494"/>
      <c r="B12" s="483"/>
      <c r="C12" s="485">
        <f>ML_Sum!$C12</f>
        <v>1</v>
      </c>
      <c r="D12" s="483"/>
      <c r="E12" s="491"/>
      <c r="F12" s="488">
        <f>ML_Sum!$F12</f>
        <v>0</v>
      </c>
      <c r="G12" s="499"/>
      <c r="H12" s="499"/>
      <c r="I12" s="483"/>
      <c r="J12" s="483"/>
      <c r="K12" s="483"/>
      <c r="L12" s="483"/>
      <c r="M12" s="483"/>
      <c r="N12" s="483"/>
      <c r="O12" s="483"/>
      <c r="P12" s="499"/>
      <c r="Q12" s="1065">
        <f>ML_Sum!$Q12</f>
        <v>0</v>
      </c>
      <c r="R12" s="395" t="s">
        <v>218</v>
      </c>
      <c r="S12" s="346" t="str">
        <f>ML_Sum!$S12</f>
        <v>MAT MU</v>
      </c>
      <c r="T12" s="347" t="str">
        <f>ML_Sum!$T12</f>
        <v>LAB RATE</v>
      </c>
      <c r="V12" s="319"/>
      <c r="W12" s="319"/>
      <c r="X12" s="319"/>
      <c r="Y12" s="319"/>
      <c r="Z12" s="319"/>
      <c r="AA12" s="319"/>
      <c r="AB12" s="319"/>
      <c r="AD12" s="488">
        <v>0</v>
      </c>
      <c r="AE12" s="317"/>
    </row>
    <row r="13" spans="1:31" s="32" customFormat="1" ht="14.4" thickBot="1">
      <c r="A13" s="500"/>
      <c r="B13" s="501"/>
      <c r="C13" s="502"/>
      <c r="D13" s="503"/>
      <c r="E13" s="504"/>
      <c r="F13" s="505"/>
      <c r="G13" s="506" t="s">
        <v>19</v>
      </c>
      <c r="H13" s="506" t="s">
        <v>20</v>
      </c>
      <c r="I13" s="506" t="s">
        <v>21</v>
      </c>
      <c r="J13" s="506" t="s">
        <v>22</v>
      </c>
      <c r="K13" s="506" t="s">
        <v>23</v>
      </c>
      <c r="L13" s="506" t="s">
        <v>24</v>
      </c>
      <c r="M13" s="506" t="s">
        <v>25</v>
      </c>
      <c r="N13" s="506" t="s">
        <v>26</v>
      </c>
      <c r="O13" s="506" t="s">
        <v>27</v>
      </c>
      <c r="P13" s="506" t="s">
        <v>28</v>
      </c>
      <c r="Q13" s="1066" t="s">
        <v>213</v>
      </c>
      <c r="R13" s="29" t="s">
        <v>30</v>
      </c>
      <c r="S13" s="30" t="s">
        <v>31</v>
      </c>
      <c r="T13" s="31" t="s">
        <v>32</v>
      </c>
      <c r="V13" s="319"/>
      <c r="W13" s="319"/>
      <c r="X13" s="319"/>
      <c r="Y13" s="319"/>
      <c r="Z13" s="319"/>
      <c r="AA13" s="319"/>
      <c r="AB13" s="319"/>
      <c r="AD13" s="505"/>
      <c r="AE13" s="318"/>
    </row>
    <row r="14" spans="1:31" customFormat="1">
      <c r="Q14" s="535"/>
    </row>
    <row r="15" spans="1:31">
      <c r="A15" s="33"/>
      <c r="B15" s="33"/>
      <c r="C15" s="33" t="s">
        <v>135</v>
      </c>
      <c r="D15" s="37" t="s">
        <v>136</v>
      </c>
      <c r="E15" s="33"/>
      <c r="F15" s="33"/>
      <c r="G15" s="33"/>
      <c r="H15" s="33"/>
      <c r="I15" s="33"/>
      <c r="J15" s="33"/>
      <c r="K15" s="33"/>
      <c r="L15" s="33"/>
      <c r="M15" s="33"/>
      <c r="N15" s="33"/>
      <c r="O15" s="35"/>
      <c r="P15" s="33"/>
      <c r="Q15" s="51"/>
      <c r="R15" s="33"/>
      <c r="S15" s="33"/>
      <c r="T15" s="33"/>
      <c r="AD15" s="51"/>
    </row>
    <row r="16" spans="1:31">
      <c r="A16" s="33"/>
      <c r="B16" s="33"/>
      <c r="C16" s="33"/>
      <c r="D16" s="37" t="s">
        <v>137</v>
      </c>
      <c r="E16" s="33"/>
      <c r="F16" s="33"/>
      <c r="G16" s="33"/>
      <c r="H16" s="33"/>
      <c r="I16" s="33"/>
      <c r="J16" s="33"/>
      <c r="K16" s="33"/>
      <c r="L16" s="33"/>
      <c r="M16" s="33"/>
      <c r="N16" s="33"/>
      <c r="O16" s="35"/>
      <c r="P16" s="33"/>
      <c r="Q16" s="51"/>
      <c r="R16" s="33"/>
      <c r="S16" s="38"/>
      <c r="T16" s="38"/>
      <c r="AD16" s="51"/>
    </row>
    <row r="17" spans="1:30" ht="13.8" thickBot="1">
      <c r="A17" s="39"/>
      <c r="B17" s="34"/>
      <c r="C17" s="34"/>
      <c r="D17" s="34"/>
      <c r="E17" s="34"/>
      <c r="F17" s="34"/>
      <c r="G17" s="34"/>
      <c r="H17" s="34"/>
      <c r="I17" s="34"/>
      <c r="J17" s="34"/>
      <c r="K17" s="34"/>
      <c r="L17" s="34"/>
      <c r="M17" s="34"/>
      <c r="N17" s="34"/>
      <c r="O17" s="40"/>
      <c r="P17" s="34"/>
      <c r="Q17" s="34"/>
      <c r="R17" s="34"/>
      <c r="S17" s="34"/>
      <c r="T17" s="34"/>
      <c r="AD17" s="34"/>
    </row>
    <row r="18" spans="1:30" s="520" customFormat="1" ht="12" thickTop="1">
      <c r="A18" s="51"/>
      <c r="B18" s="51"/>
      <c r="C18" s="51"/>
      <c r="D18" s="51"/>
      <c r="E18" s="51"/>
      <c r="F18" s="51"/>
      <c r="G18" s="51"/>
      <c r="H18" s="51"/>
      <c r="I18" s="51"/>
      <c r="J18" s="51"/>
      <c r="K18" s="51"/>
      <c r="L18" s="51"/>
      <c r="M18" s="51"/>
      <c r="N18" s="51"/>
      <c r="O18" s="52"/>
      <c r="P18" s="51"/>
      <c r="Q18" s="42" t="s">
        <v>168</v>
      </c>
      <c r="R18" s="51"/>
      <c r="S18" s="13"/>
      <c r="T18" s="51"/>
      <c r="AD18" s="51"/>
    </row>
    <row r="19" spans="1:30" s="520" customFormat="1" ht="12" customHeight="1" thickBot="1">
      <c r="A19" s="927">
        <f>(1.5*2)+2.5+5.5+5.5+3.5+3.5+4.5+2.5+2.5+5</f>
        <v>38</v>
      </c>
      <c r="B19" s="928">
        <f ca="1">Elec_Est!B11547</f>
        <v>225</v>
      </c>
      <c r="C19" s="929"/>
      <c r="D19" s="930" t="s">
        <v>3233</v>
      </c>
      <c r="E19" s="931"/>
      <c r="F19" s="1213" t="s">
        <v>3793</v>
      </c>
      <c r="G19" s="752"/>
      <c r="H19" s="752"/>
      <c r="I19" s="932"/>
      <c r="J19" s="752"/>
      <c r="K19" s="929" t="s">
        <v>169</v>
      </c>
      <c r="L19" s="933" t="s">
        <v>169</v>
      </c>
      <c r="M19" s="933"/>
      <c r="N19" s="933"/>
      <c r="O19" s="933"/>
      <c r="P19" s="933"/>
      <c r="Q19" s="934">
        <f ca="1">B19/A19</f>
        <v>5.9210526315789478</v>
      </c>
      <c r="R19" s="935">
        <f ca="1">IF($B19=0,0,IF($S$1="R",ROUND(R28/$B19,2),R28/$B19))</f>
        <v>18.48</v>
      </c>
      <c r="S19" s="936"/>
      <c r="T19" s="935">
        <f ca="1">IF($B19=0,0,IF($S$1="R",ROUND(T28/$B19,2),T28/$B19))</f>
        <v>1.34</v>
      </c>
      <c r="AD19" s="931"/>
    </row>
    <row r="20" spans="1:30" s="520" customFormat="1" ht="13.8" thickTop="1">
      <c r="A20" s="748"/>
      <c r="B20" s="3"/>
      <c r="C20" s="3"/>
      <c r="D20" s="106" t="s">
        <v>170</v>
      </c>
      <c r="E20" s="3"/>
      <c r="F20" s="1090" t="s">
        <v>3301</v>
      </c>
      <c r="G20" s="3"/>
      <c r="H20" s="3"/>
      <c r="I20" s="3"/>
      <c r="J20" s="3"/>
      <c r="K20" s="3"/>
      <c r="L20" s="3"/>
      <c r="M20" s="3"/>
      <c r="N20" s="3"/>
      <c r="O20" s="107"/>
      <c r="P20" s="3"/>
      <c r="Q20" s="3"/>
      <c r="R20" s="3"/>
      <c r="S20" s="3"/>
      <c r="T20" s="3"/>
      <c r="AD20" s="1090" t="s">
        <v>3301</v>
      </c>
    </row>
    <row r="21" spans="1:30" s="901" customFormat="1">
      <c r="A21" s="1056">
        <f ca="1">$Q$19 *(40+40+18+44)</f>
        <v>840.78947368421063</v>
      </c>
      <c r="B21" s="901" t="s">
        <v>320</v>
      </c>
      <c r="D21" s="901" t="s">
        <v>3209</v>
      </c>
      <c r="F21" s="901" t="s">
        <v>3237</v>
      </c>
      <c r="G21" s="941" t="s">
        <v>3210</v>
      </c>
      <c r="H21" s="942">
        <v>700</v>
      </c>
      <c r="I21" s="901" t="s">
        <v>3008</v>
      </c>
      <c r="J21" s="901" t="s">
        <v>2953</v>
      </c>
      <c r="O21" s="943">
        <v>1</v>
      </c>
      <c r="P21" s="944">
        <v>42213</v>
      </c>
      <c r="Q21" s="945">
        <v>1.8</v>
      </c>
      <c r="R21" s="946">
        <f t="shared" ref="R21:R26" ca="1" si="0">$A21*Q21</f>
        <v>1513.4210526315792</v>
      </c>
      <c r="S21" s="945">
        <v>0.13</v>
      </c>
      <c r="T21" s="947">
        <f t="shared" ref="T21:T26" ca="1" si="1">$A21*S21*$T$1</f>
        <v>98.372368421052641</v>
      </c>
      <c r="AD21" s="901" t="s">
        <v>3237</v>
      </c>
    </row>
    <row r="22" spans="1:30" s="901" customFormat="1">
      <c r="A22" s="1057">
        <f ca="1">$Q$19 *((402+455+425+420))</f>
        <v>10077.631578947368</v>
      </c>
      <c r="B22" s="901" t="s">
        <v>320</v>
      </c>
      <c r="D22" s="901" t="s">
        <v>2954</v>
      </c>
      <c r="E22" s="901" t="s">
        <v>3211</v>
      </c>
      <c r="F22" s="901" t="s">
        <v>3299</v>
      </c>
      <c r="G22" s="941" t="s">
        <v>2955</v>
      </c>
      <c r="H22" s="942">
        <v>615</v>
      </c>
      <c r="I22" s="901" t="s">
        <v>2272</v>
      </c>
      <c r="K22" s="901" t="s">
        <v>2956</v>
      </c>
      <c r="O22" s="943">
        <v>2</v>
      </c>
      <c r="P22" s="944">
        <v>38988</v>
      </c>
      <c r="Q22" s="1194">
        <f>0.2*0.95</f>
        <v>0.19</v>
      </c>
      <c r="R22" s="946">
        <f t="shared" ca="1" si="0"/>
        <v>1914.75</v>
      </c>
      <c r="S22" s="945">
        <v>1.4999999999999999E-2</v>
      </c>
      <c r="T22" s="947">
        <f t="shared" ca="1" si="1"/>
        <v>136.04802631578949</v>
      </c>
      <c r="AD22" s="901" t="s">
        <v>3299</v>
      </c>
    </row>
    <row r="23" spans="1:30" s="901" customFormat="1">
      <c r="A23" s="1056">
        <f ca="1">$Q$19 *(4+4+12+12+8+8+8)</f>
        <v>331.5789473684211</v>
      </c>
      <c r="B23" s="901" t="s">
        <v>141</v>
      </c>
      <c r="D23" s="901" t="s">
        <v>3212</v>
      </c>
      <c r="G23" s="941" t="s">
        <v>3213</v>
      </c>
      <c r="H23" s="942">
        <v>705</v>
      </c>
      <c r="I23" s="901" t="s">
        <v>2607</v>
      </c>
      <c r="J23" s="901" t="s">
        <v>3214</v>
      </c>
      <c r="O23" s="943">
        <v>3</v>
      </c>
      <c r="P23" s="944">
        <v>39128</v>
      </c>
      <c r="Q23" s="945">
        <v>0.93</v>
      </c>
      <c r="R23" s="946">
        <f t="shared" ca="1" si="0"/>
        <v>308.36842105263162</v>
      </c>
      <c r="S23" s="945">
        <v>0.17</v>
      </c>
      <c r="T23" s="947">
        <f t="shared" ca="1" si="1"/>
        <v>50.731578947368433</v>
      </c>
    </row>
    <row r="24" spans="1:30" s="901" customFormat="1">
      <c r="A24" s="1056">
        <f ca="1">$Q$19 *(4+4+12+12+8+8+8)</f>
        <v>331.5789473684211</v>
      </c>
      <c r="B24" s="901" t="s">
        <v>320</v>
      </c>
      <c r="D24" s="901" t="s">
        <v>3098</v>
      </c>
      <c r="G24" s="941" t="s">
        <v>3099</v>
      </c>
      <c r="H24" s="942">
        <v>616</v>
      </c>
      <c r="I24" s="901" t="s">
        <v>2272</v>
      </c>
      <c r="J24" s="901" t="s">
        <v>3100</v>
      </c>
      <c r="K24" s="901" t="s">
        <v>3101</v>
      </c>
      <c r="O24" s="943">
        <v>2</v>
      </c>
      <c r="P24" s="944">
        <v>40767</v>
      </c>
      <c r="Q24" s="945">
        <v>1.1000000000000001</v>
      </c>
      <c r="R24" s="946">
        <f t="shared" ca="1" si="0"/>
        <v>364.73684210526324</v>
      </c>
      <c r="S24" s="945">
        <v>2.5000000000000001E-2</v>
      </c>
      <c r="T24" s="947">
        <f t="shared" ca="1" si="1"/>
        <v>7.4605263157894752</v>
      </c>
    </row>
    <row r="25" spans="1:30" s="901" customFormat="1">
      <c r="A25" s="1056">
        <f ca="1">$Q$19 *(5)</f>
        <v>29.60526315789474</v>
      </c>
      <c r="B25" s="901" t="s">
        <v>141</v>
      </c>
      <c r="D25" s="901" t="s">
        <v>3269</v>
      </c>
      <c r="E25" s="901" t="s">
        <v>3424</v>
      </c>
      <c r="F25" s="1054" t="s">
        <v>3427</v>
      </c>
      <c r="G25" s="941" t="s">
        <v>3270</v>
      </c>
      <c r="H25" s="942">
        <v>705</v>
      </c>
      <c r="I25" s="901" t="s">
        <v>2979</v>
      </c>
      <c r="J25" s="901" t="s">
        <v>3271</v>
      </c>
      <c r="O25" s="943">
        <v>3</v>
      </c>
      <c r="P25" s="944">
        <v>34669</v>
      </c>
      <c r="Q25" s="945">
        <v>1.06</v>
      </c>
      <c r="R25" s="946">
        <f t="shared" ca="1" si="0"/>
        <v>31.381578947368425</v>
      </c>
      <c r="S25" s="945">
        <v>0.17</v>
      </c>
      <c r="T25" s="947">
        <f t="shared" ca="1" si="1"/>
        <v>4.5296052631578956</v>
      </c>
      <c r="AD25" s="1054" t="s">
        <v>3427</v>
      </c>
    </row>
    <row r="26" spans="1:30" s="901" customFormat="1">
      <c r="A26" s="1056">
        <f ca="1">$Q$19 *(4)</f>
        <v>23.684210526315791</v>
      </c>
      <c r="B26" s="901" t="s">
        <v>141</v>
      </c>
      <c r="D26" s="901" t="s">
        <v>3272</v>
      </c>
      <c r="E26" s="901" t="s">
        <v>3424</v>
      </c>
      <c r="F26" s="1054" t="s">
        <v>3428</v>
      </c>
      <c r="G26" s="941" t="s">
        <v>3273</v>
      </c>
      <c r="H26" s="942">
        <v>705</v>
      </c>
      <c r="I26" s="901" t="s">
        <v>2979</v>
      </c>
      <c r="J26" s="901" t="s">
        <v>3274</v>
      </c>
      <c r="O26" s="943">
        <v>3</v>
      </c>
      <c r="P26" s="944">
        <v>34669</v>
      </c>
      <c r="Q26" s="945">
        <v>1.1000000000000001</v>
      </c>
      <c r="R26" s="946">
        <f t="shared" ca="1" si="0"/>
        <v>26.052631578947373</v>
      </c>
      <c r="S26" s="945">
        <v>0.17</v>
      </c>
      <c r="T26" s="947">
        <f t="shared" ca="1" si="1"/>
        <v>3.6236842105263167</v>
      </c>
      <c r="AD26" s="1054" t="s">
        <v>3428</v>
      </c>
    </row>
    <row r="27" spans="1:30" s="520" customFormat="1">
      <c r="A27" s="758"/>
      <c r="B27" s="3"/>
      <c r="C27" s="758" t="s">
        <v>171</v>
      </c>
      <c r="D27" s="3"/>
      <c r="E27" s="758"/>
      <c r="F27" s="753"/>
      <c r="G27" s="758"/>
      <c r="H27" s="758"/>
      <c r="I27" s="519"/>
      <c r="J27" s="758"/>
      <c r="K27" s="758"/>
      <c r="L27" s="758"/>
      <c r="M27" s="758"/>
      <c r="N27" s="758"/>
      <c r="O27" s="758"/>
      <c r="P27" s="758"/>
      <c r="Q27" s="519"/>
      <c r="R27" s="917">
        <f t="shared" ref="R27" si="2">$A27*Q27</f>
        <v>0</v>
      </c>
      <c r="S27" s="519"/>
      <c r="T27" s="760">
        <f t="shared" ref="T27" si="3">$A27*S27*$T$1</f>
        <v>0</v>
      </c>
      <c r="AD27" s="753"/>
    </row>
    <row r="28" spans="1:30" s="520" customFormat="1" ht="12.6" thickBot="1">
      <c r="A28" s="761" t="s">
        <v>145</v>
      </c>
      <c r="B28" s="762">
        <f>(R27+T27)</f>
        <v>0</v>
      </c>
      <c r="C28" s="763"/>
      <c r="D28" s="937" t="s">
        <v>172</v>
      </c>
      <c r="E28" s="477">
        <f ca="1">IF($B19=0,0,ROUND(ROUND(($R28*$S$2+($T28*$T$2))/$B19, 2)*$C$2,2))</f>
        <v>67.959999999999994</v>
      </c>
      <c r="F28" s="478">
        <f ca="1">ROUND($B19*$E28,2)</f>
        <v>15291</v>
      </c>
      <c r="G28" s="763"/>
      <c r="H28" s="763"/>
      <c r="I28" s="765"/>
      <c r="J28" s="763"/>
      <c r="K28" s="938" t="s">
        <v>143</v>
      </c>
      <c r="L28" s="766" t="s">
        <v>143</v>
      </c>
      <c r="M28" s="766"/>
      <c r="N28" s="766"/>
      <c r="O28" s="766"/>
      <c r="P28" s="766"/>
      <c r="Q28" s="938"/>
      <c r="R28" s="939">
        <f ca="1">SUM(R20:R27)</f>
        <v>4158.71052631579</v>
      </c>
      <c r="S28" s="940"/>
      <c r="T28" s="939">
        <f ca="1">SUM(T20:T27)</f>
        <v>300.76578947368432</v>
      </c>
      <c r="U28" s="531"/>
      <c r="V28" s="531"/>
      <c r="W28" s="531"/>
      <c r="X28" s="531"/>
      <c r="Y28" s="531"/>
      <c r="Z28" s="531"/>
      <c r="AA28" s="531"/>
      <c r="AB28" s="531"/>
      <c r="AD28" s="478">
        <v>17104.5</v>
      </c>
    </row>
    <row r="29" spans="1:30" s="520" customFormat="1" ht="12" thickTop="1">
      <c r="A29" s="51"/>
      <c r="B29" s="51"/>
      <c r="C29" s="51"/>
      <c r="D29" s="51"/>
      <c r="E29" s="51"/>
      <c r="F29" s="51"/>
      <c r="G29" s="51"/>
      <c r="H29" s="51"/>
      <c r="I29" s="51"/>
      <c r="J29" s="51"/>
      <c r="K29" s="51"/>
      <c r="L29" s="51"/>
      <c r="M29" s="51"/>
      <c r="N29" s="51"/>
      <c r="O29" s="52"/>
      <c r="P29" s="51"/>
      <c r="Q29" s="42" t="s">
        <v>168</v>
      </c>
      <c r="R29" s="51"/>
      <c r="S29" s="13"/>
      <c r="T29" s="51"/>
      <c r="AD29" s="51"/>
    </row>
    <row r="30" spans="1:30" s="520" customFormat="1" ht="12" customHeight="1" thickBot="1">
      <c r="A30" s="927">
        <v>5</v>
      </c>
      <c r="B30" s="928">
        <f ca="1">Elec_Est!B11548</f>
        <v>22</v>
      </c>
      <c r="C30" s="929"/>
      <c r="D30" s="930" t="s">
        <v>3234</v>
      </c>
      <c r="E30" s="931"/>
      <c r="F30" s="1213" t="s">
        <v>3793</v>
      </c>
      <c r="G30" s="752"/>
      <c r="H30" s="752"/>
      <c r="I30" s="932"/>
      <c r="J30" s="752"/>
      <c r="K30" s="929" t="s">
        <v>169</v>
      </c>
      <c r="L30" s="933" t="s">
        <v>169</v>
      </c>
      <c r="M30" s="933"/>
      <c r="N30" s="933"/>
      <c r="O30" s="933"/>
      <c r="P30" s="933"/>
      <c r="Q30" s="934">
        <f ca="1">B30/A30</f>
        <v>4.4000000000000004</v>
      </c>
      <c r="R30" s="935">
        <f ca="1">IF($B30=0,0,IF($S$1="R",ROUND(R37/$B30,2),R37/$B30))</f>
        <v>12.85</v>
      </c>
      <c r="S30" s="936"/>
      <c r="T30" s="935">
        <f ca="1">IF($B30=0,0,IF($S$1="R",ROUND(T37/$B30,2),T37/$B30))</f>
        <v>0.92</v>
      </c>
      <c r="AD30" s="931"/>
    </row>
    <row r="31" spans="1:30" s="520" customFormat="1" ht="13.8" thickTop="1">
      <c r="A31" s="748"/>
      <c r="B31" s="3"/>
      <c r="C31" s="3"/>
      <c r="D31" s="106" t="s">
        <v>170</v>
      </c>
      <c r="E31" s="3"/>
      <c r="F31" s="1090" t="s">
        <v>3301</v>
      </c>
      <c r="G31" s="3"/>
      <c r="H31" s="3"/>
      <c r="I31" s="3"/>
      <c r="J31" s="3"/>
      <c r="K31" s="3"/>
      <c r="L31" s="3"/>
      <c r="M31" s="3"/>
      <c r="N31" s="3"/>
      <c r="O31" s="107"/>
      <c r="P31" s="3"/>
      <c r="Q31" s="3"/>
      <c r="R31" s="3"/>
      <c r="S31" s="3"/>
      <c r="T31" s="3"/>
      <c r="AD31" s="1090" t="s">
        <v>3301</v>
      </c>
    </row>
    <row r="32" spans="1:30" s="901" customFormat="1">
      <c r="A32" s="1056">
        <f ca="1">$Q$30 *(5*2)</f>
        <v>44</v>
      </c>
      <c r="B32" s="901" t="s">
        <v>320</v>
      </c>
      <c r="D32" s="901" t="s">
        <v>3209</v>
      </c>
      <c r="F32" s="901" t="s">
        <v>3237</v>
      </c>
      <c r="G32" s="941" t="s">
        <v>3210</v>
      </c>
      <c r="H32" s="942">
        <v>700</v>
      </c>
      <c r="I32" s="901" t="s">
        <v>3008</v>
      </c>
      <c r="J32" s="901" t="s">
        <v>2953</v>
      </c>
      <c r="O32" s="943">
        <v>1</v>
      </c>
      <c r="P32" s="944">
        <v>42213</v>
      </c>
      <c r="Q32" s="945">
        <v>1.8</v>
      </c>
      <c r="R32" s="946">
        <f ca="1">$A32*Q32</f>
        <v>79.2</v>
      </c>
      <c r="S32" s="945">
        <v>0.13</v>
      </c>
      <c r="T32" s="947">
        <f ca="1">$A32*S32*$T$1</f>
        <v>5.1480000000000006</v>
      </c>
      <c r="AD32" s="901" t="s">
        <v>3237</v>
      </c>
    </row>
    <row r="33" spans="1:30" s="901" customFormat="1">
      <c r="A33" s="1057">
        <f ca="1">$Q$30 *(190)</f>
        <v>836.00000000000011</v>
      </c>
      <c r="B33" s="901" t="s">
        <v>320</v>
      </c>
      <c r="D33" s="901" t="s">
        <v>2954</v>
      </c>
      <c r="E33" s="901" t="s">
        <v>3211</v>
      </c>
      <c r="F33" s="901" t="s">
        <v>3299</v>
      </c>
      <c r="G33" s="941" t="s">
        <v>2955</v>
      </c>
      <c r="H33" s="942">
        <v>615</v>
      </c>
      <c r="I33" s="901" t="s">
        <v>2272</v>
      </c>
      <c r="K33" s="901" t="s">
        <v>2956</v>
      </c>
      <c r="O33" s="943">
        <v>2</v>
      </c>
      <c r="P33" s="944">
        <v>38988</v>
      </c>
      <c r="Q33" s="1194">
        <f>0.2*0.95</f>
        <v>0.19</v>
      </c>
      <c r="R33" s="946">
        <f ca="1">$A33*Q33</f>
        <v>158.84000000000003</v>
      </c>
      <c r="S33" s="945">
        <v>1.4999999999999999E-2</v>
      </c>
      <c r="T33" s="947">
        <f ca="1">$A33*S33*$T$1</f>
        <v>11.286000000000001</v>
      </c>
      <c r="AD33" s="901" t="s">
        <v>3299</v>
      </c>
    </row>
    <row r="34" spans="1:30" s="901" customFormat="1">
      <c r="A34" s="1056">
        <f ca="1">$Q$30 *(5)</f>
        <v>22</v>
      </c>
      <c r="B34" s="901" t="s">
        <v>141</v>
      </c>
      <c r="D34" s="901" t="s">
        <v>3212</v>
      </c>
      <c r="G34" s="941" t="s">
        <v>3213</v>
      </c>
      <c r="H34" s="942">
        <v>705</v>
      </c>
      <c r="I34" s="901" t="s">
        <v>2607</v>
      </c>
      <c r="J34" s="901" t="s">
        <v>3214</v>
      </c>
      <c r="O34" s="943">
        <v>3</v>
      </c>
      <c r="P34" s="944">
        <v>39128</v>
      </c>
      <c r="Q34" s="945">
        <v>0.93</v>
      </c>
      <c r="R34" s="946">
        <f ca="1">$A34*Q34</f>
        <v>20.46</v>
      </c>
      <c r="S34" s="945">
        <v>0.17</v>
      </c>
      <c r="T34" s="947">
        <f ca="1">$A34*S34*$T$1</f>
        <v>3.3660000000000001</v>
      </c>
    </row>
    <row r="35" spans="1:30" s="901" customFormat="1">
      <c r="A35" s="1056">
        <f ca="1">$Q$30 *(5)</f>
        <v>22</v>
      </c>
      <c r="B35" s="901" t="s">
        <v>320</v>
      </c>
      <c r="D35" s="901" t="s">
        <v>3098</v>
      </c>
      <c r="G35" s="941" t="s">
        <v>3099</v>
      </c>
      <c r="H35" s="942">
        <v>616</v>
      </c>
      <c r="I35" s="901" t="s">
        <v>2272</v>
      </c>
      <c r="J35" s="901" t="s">
        <v>3100</v>
      </c>
      <c r="K35" s="901" t="s">
        <v>3101</v>
      </c>
      <c r="O35" s="943">
        <v>2</v>
      </c>
      <c r="P35" s="944">
        <v>40767</v>
      </c>
      <c r="Q35" s="945">
        <v>1.1000000000000001</v>
      </c>
      <c r="R35" s="946">
        <f ca="1">$A35*Q35</f>
        <v>24.200000000000003</v>
      </c>
      <c r="S35" s="945">
        <v>2.5000000000000001E-2</v>
      </c>
      <c r="T35" s="947">
        <f ca="1">$A35*S35*$T$1</f>
        <v>0.49500000000000005</v>
      </c>
    </row>
    <row r="36" spans="1:30" s="520" customFormat="1">
      <c r="A36" s="758"/>
      <c r="B36" s="3"/>
      <c r="C36" s="758" t="s">
        <v>171</v>
      </c>
      <c r="D36" s="3"/>
      <c r="E36" s="758"/>
      <c r="F36" s="753"/>
      <c r="G36" s="758"/>
      <c r="H36" s="758"/>
      <c r="I36" s="519"/>
      <c r="J36" s="758"/>
      <c r="K36" s="758"/>
      <c r="L36" s="758"/>
      <c r="M36" s="758"/>
      <c r="N36" s="758"/>
      <c r="O36" s="758"/>
      <c r="P36" s="758"/>
      <c r="Q36" s="519"/>
      <c r="R36" s="917">
        <f t="shared" ref="R36" si="4">$A36*Q36</f>
        <v>0</v>
      </c>
      <c r="S36" s="519"/>
      <c r="T36" s="760">
        <f t="shared" ref="T36" si="5">$A36*S36*$T$1</f>
        <v>0</v>
      </c>
      <c r="AD36" s="753"/>
    </row>
    <row r="37" spans="1:30" s="520" customFormat="1" ht="12.6" thickBot="1">
      <c r="A37" s="761" t="s">
        <v>145</v>
      </c>
      <c r="B37" s="762">
        <f>(R36+T36)</f>
        <v>0</v>
      </c>
      <c r="C37" s="763"/>
      <c r="D37" s="937" t="s">
        <v>172</v>
      </c>
      <c r="E37" s="477">
        <f ca="1">IF($B30=0,0,ROUND(ROUND(($R37*$S$2+($T37*$T$2))/$B30, 2)*$C$2,2))</f>
        <v>47.01</v>
      </c>
      <c r="F37" s="478">
        <f ca="1">ROUND($B30*$E37,2)</f>
        <v>1034.22</v>
      </c>
      <c r="G37" s="763"/>
      <c r="H37" s="763"/>
      <c r="I37" s="765"/>
      <c r="J37" s="763"/>
      <c r="K37" s="938" t="s">
        <v>143</v>
      </c>
      <c r="L37" s="766" t="s">
        <v>143</v>
      </c>
      <c r="M37" s="766"/>
      <c r="N37" s="766"/>
      <c r="O37" s="766"/>
      <c r="P37" s="766"/>
      <c r="Q37" s="938"/>
      <c r="R37" s="939">
        <f ca="1">SUM(R31:R36)</f>
        <v>282.7</v>
      </c>
      <c r="S37" s="940"/>
      <c r="T37" s="939">
        <f ca="1">SUM(T31:T36)</f>
        <v>20.295000000000002</v>
      </c>
      <c r="U37" s="531"/>
      <c r="V37" s="531"/>
      <c r="W37" s="531"/>
      <c r="X37" s="531"/>
      <c r="Y37" s="531"/>
      <c r="Z37" s="531"/>
      <c r="AA37" s="531"/>
      <c r="AB37" s="531"/>
      <c r="AD37" s="478">
        <v>1156.76</v>
      </c>
    </row>
    <row r="38" spans="1:30" s="520" customFormat="1" ht="12" thickTop="1">
      <c r="A38" s="51"/>
      <c r="B38" s="51"/>
      <c r="C38" s="51"/>
      <c r="D38" s="51"/>
      <c r="E38" s="51"/>
      <c r="F38" s="51"/>
      <c r="G38" s="51"/>
      <c r="H38" s="51"/>
      <c r="I38" s="51"/>
      <c r="J38" s="51"/>
      <c r="K38" s="51"/>
      <c r="L38" s="51"/>
      <c r="M38" s="51"/>
      <c r="N38" s="51"/>
      <c r="O38" s="52"/>
      <c r="P38" s="51"/>
      <c r="Q38" s="42" t="s">
        <v>168</v>
      </c>
      <c r="R38" s="51"/>
      <c r="S38" s="13"/>
      <c r="T38" s="51"/>
      <c r="AD38" s="51"/>
    </row>
    <row r="39" spans="1:30" s="520" customFormat="1" ht="12" customHeight="1" thickBot="1">
      <c r="A39" s="927">
        <f>5+4+7+15+10+5+3</f>
        <v>49</v>
      </c>
      <c r="B39" s="928">
        <f ca="1">Elec_Est!B11549</f>
        <v>315</v>
      </c>
      <c r="C39" s="929"/>
      <c r="D39" s="930" t="s">
        <v>3235</v>
      </c>
      <c r="E39" s="931"/>
      <c r="F39" s="1213" t="s">
        <v>3778</v>
      </c>
      <c r="G39" s="752"/>
      <c r="H39" s="752"/>
      <c r="I39" s="932"/>
      <c r="J39" s="752"/>
      <c r="K39" s="929" t="s">
        <v>169</v>
      </c>
      <c r="L39" s="933" t="s">
        <v>169</v>
      </c>
      <c r="M39" s="933"/>
      <c r="N39" s="933"/>
      <c r="O39" s="933"/>
      <c r="P39" s="933"/>
      <c r="Q39" s="934">
        <f ca="1">B39/A39</f>
        <v>6.4285714285714288</v>
      </c>
      <c r="R39" s="935">
        <f ca="1">IF($B39=0,0,IF($S$1="R",ROUND(R44/$B39,2),R44/$B39))</f>
        <v>18.920000000000002</v>
      </c>
      <c r="S39" s="936"/>
      <c r="T39" s="935">
        <f ca="1">IF($B39=0,0,IF($S$1="R",ROUND(T44/$B39,2),T44/$B39))</f>
        <v>0.89</v>
      </c>
      <c r="AD39" s="931"/>
    </row>
    <row r="40" spans="1:30" s="520" customFormat="1" ht="13.8" thickTop="1">
      <c r="A40" s="748"/>
      <c r="B40" s="3"/>
      <c r="C40" s="3"/>
      <c r="D40" s="106" t="s">
        <v>170</v>
      </c>
      <c r="E40" s="3"/>
      <c r="F40" s="1090" t="s">
        <v>3301</v>
      </c>
      <c r="G40" s="3"/>
      <c r="H40" s="3"/>
      <c r="I40" s="3"/>
      <c r="J40" s="3"/>
      <c r="K40" s="3"/>
      <c r="L40" s="3"/>
      <c r="M40" s="3"/>
      <c r="N40" s="3"/>
      <c r="O40" s="107"/>
      <c r="P40" s="3"/>
      <c r="Q40" s="3"/>
      <c r="R40" s="3"/>
      <c r="S40" s="3"/>
      <c r="T40" s="3"/>
      <c r="AD40" s="1090" t="s">
        <v>3301</v>
      </c>
    </row>
    <row r="41" spans="1:30" s="901" customFormat="1">
      <c r="A41" s="1057">
        <f ca="1">$Q$39 *(22+29+55+30+30+18)</f>
        <v>1182.8571428571429</v>
      </c>
      <c r="B41" s="901" t="s">
        <v>320</v>
      </c>
      <c r="D41" s="901" t="s">
        <v>3209</v>
      </c>
      <c r="F41" s="901" t="s">
        <v>3237</v>
      </c>
      <c r="G41" s="941" t="s">
        <v>3210</v>
      </c>
      <c r="H41" s="942">
        <v>700</v>
      </c>
      <c r="I41" s="901" t="s">
        <v>3008</v>
      </c>
      <c r="J41" s="901" t="s">
        <v>2953</v>
      </c>
      <c r="O41" s="943">
        <v>1</v>
      </c>
      <c r="P41" s="944">
        <v>42213</v>
      </c>
      <c r="Q41" s="945">
        <v>1.8</v>
      </c>
      <c r="R41" s="946">
        <f ca="1">$A41*Q41</f>
        <v>2129.1428571428573</v>
      </c>
      <c r="S41" s="945">
        <v>0.13</v>
      </c>
      <c r="T41" s="947">
        <f ca="1">$A41*S41*$T$1</f>
        <v>138.39428571428573</v>
      </c>
      <c r="AD41" s="901" t="s">
        <v>3237</v>
      </c>
    </row>
    <row r="42" spans="1:30" s="901" customFormat="1">
      <c r="A42" s="1057">
        <f ca="1">$Q$39 *((105+195+520+230+105+75))</f>
        <v>7907.1428571428578</v>
      </c>
      <c r="B42" s="901" t="s">
        <v>320</v>
      </c>
      <c r="D42" s="901" t="s">
        <v>3215</v>
      </c>
      <c r="E42" s="901" t="s">
        <v>3211</v>
      </c>
      <c r="F42" s="901" t="s">
        <v>3299</v>
      </c>
      <c r="G42" s="941" t="s">
        <v>3216</v>
      </c>
      <c r="H42" s="942">
        <v>615</v>
      </c>
      <c r="I42" s="901" t="s">
        <v>2272</v>
      </c>
      <c r="K42" s="901" t="s">
        <v>3181</v>
      </c>
      <c r="O42" s="943">
        <v>2</v>
      </c>
      <c r="P42" s="944">
        <v>38988</v>
      </c>
      <c r="Q42" s="1194">
        <f>0.51*0.95</f>
        <v>0.48449999999999999</v>
      </c>
      <c r="R42" s="946">
        <f ca="1">$A42*Q42</f>
        <v>3831.0107142857146</v>
      </c>
      <c r="S42" s="945">
        <v>0.02</v>
      </c>
      <c r="T42" s="947">
        <f ca="1">$A42*S42*$T$1</f>
        <v>142.32857142857145</v>
      </c>
      <c r="AD42" s="901" t="s">
        <v>3299</v>
      </c>
    </row>
    <row r="43" spans="1:30" s="520" customFormat="1">
      <c r="A43" s="758"/>
      <c r="B43" s="3"/>
      <c r="C43" s="758" t="s">
        <v>171</v>
      </c>
      <c r="D43" s="3"/>
      <c r="E43" s="758"/>
      <c r="F43" s="753"/>
      <c r="G43" s="758"/>
      <c r="H43" s="758"/>
      <c r="I43" s="519"/>
      <c r="J43" s="758"/>
      <c r="K43" s="758"/>
      <c r="L43" s="758"/>
      <c r="M43" s="758"/>
      <c r="N43" s="758"/>
      <c r="O43" s="758"/>
      <c r="P43" s="758"/>
      <c r="Q43" s="519"/>
      <c r="R43" s="917">
        <f t="shared" ref="R43" si="6">$A43*Q43</f>
        <v>0</v>
      </c>
      <c r="S43" s="519"/>
      <c r="T43" s="760">
        <f t="shared" ref="T43" si="7">$A43*S43*$T$1</f>
        <v>0</v>
      </c>
      <c r="AD43" s="753"/>
    </row>
    <row r="44" spans="1:30" s="520" customFormat="1" ht="12.6" thickBot="1">
      <c r="A44" s="761" t="s">
        <v>145</v>
      </c>
      <c r="B44" s="762">
        <f>(R43+T43)</f>
        <v>0</v>
      </c>
      <c r="C44" s="763"/>
      <c r="D44" s="937" t="s">
        <v>172</v>
      </c>
      <c r="E44" s="477">
        <f ca="1">IF($B39=0,0,ROUND(ROUND(($R44*$S$2+($T44*$T$2))/$B39, 2)*$C$2,2))</f>
        <v>53.43</v>
      </c>
      <c r="F44" s="478">
        <f ca="1">ROUND($B39*$E44,2)</f>
        <v>16830.45</v>
      </c>
      <c r="G44" s="763"/>
      <c r="H44" s="763"/>
      <c r="I44" s="765"/>
      <c r="J44" s="763"/>
      <c r="K44" s="938" t="s">
        <v>143</v>
      </c>
      <c r="L44" s="766" t="s">
        <v>143</v>
      </c>
      <c r="M44" s="766"/>
      <c r="N44" s="766"/>
      <c r="O44" s="766"/>
      <c r="P44" s="766"/>
      <c r="Q44" s="938"/>
      <c r="R44" s="939">
        <f ca="1">SUM(R40:R43)</f>
        <v>5960.1535714285719</v>
      </c>
      <c r="S44" s="940"/>
      <c r="T44" s="939">
        <f ca="1">SUM(T40:T43)</f>
        <v>280.72285714285715</v>
      </c>
      <c r="U44" s="531"/>
      <c r="V44" s="531"/>
      <c r="W44" s="531"/>
      <c r="X44" s="531"/>
      <c r="Y44" s="531"/>
      <c r="Z44" s="531"/>
      <c r="AA44" s="531"/>
      <c r="AB44" s="531"/>
      <c r="AD44" s="478">
        <v>19722.150000000001</v>
      </c>
    </row>
    <row r="45" spans="1:30" s="520" customFormat="1" ht="12" thickTop="1">
      <c r="A45" s="51"/>
      <c r="B45" s="51"/>
      <c r="C45" s="51"/>
      <c r="D45" s="51"/>
      <c r="E45" s="51"/>
      <c r="F45" s="51"/>
      <c r="G45" s="51"/>
      <c r="H45" s="51"/>
      <c r="I45" s="51"/>
      <c r="J45" s="51"/>
      <c r="K45" s="51"/>
      <c r="L45" s="51"/>
      <c r="M45" s="51"/>
      <c r="N45" s="51"/>
      <c r="O45" s="52"/>
      <c r="P45" s="51"/>
      <c r="Q45" s="42" t="s">
        <v>168</v>
      </c>
      <c r="R45" s="51"/>
      <c r="S45" s="13"/>
      <c r="T45" s="51"/>
      <c r="AD45" s="51"/>
    </row>
    <row r="46" spans="1:30" s="520" customFormat="1" ht="12" customHeight="1" thickBot="1">
      <c r="A46" s="927">
        <f>8+8.5+5.5+3+3+7.5</f>
        <v>35.5</v>
      </c>
      <c r="B46" s="928">
        <f ca="1">Elec_Est!B11550</f>
        <v>208.5</v>
      </c>
      <c r="C46" s="929"/>
      <c r="D46" s="930" t="s">
        <v>3236</v>
      </c>
      <c r="E46" s="931"/>
      <c r="F46" s="1213" t="s">
        <v>3777</v>
      </c>
      <c r="G46" s="752"/>
      <c r="H46" s="752"/>
      <c r="I46" s="932"/>
      <c r="J46" s="752"/>
      <c r="K46" s="929" t="s">
        <v>169</v>
      </c>
      <c r="L46" s="933" t="s">
        <v>169</v>
      </c>
      <c r="M46" s="933"/>
      <c r="N46" s="933"/>
      <c r="O46" s="933"/>
      <c r="P46" s="933"/>
      <c r="Q46" s="934">
        <f ca="1">B46/A46</f>
        <v>5.873239436619718</v>
      </c>
      <c r="R46" s="935">
        <f ca="1">IF($B46=0,0,IF($S$1="R",ROUND(R54/$B46,2),R54/$B46))</f>
        <v>46.61</v>
      </c>
      <c r="S46" s="936"/>
      <c r="T46" s="935">
        <f ca="1">IF($B46=0,0,IF($S$1="R",ROUND(T54/$B46,2),T54/$B46))</f>
        <v>2.98</v>
      </c>
      <c r="AD46" s="931"/>
    </row>
    <row r="47" spans="1:30" s="520" customFormat="1" ht="13.8" thickTop="1">
      <c r="A47" s="1387">
        <f ca="1">$Q$46 *(A48/B46)</f>
        <v>62.206705018845454</v>
      </c>
      <c r="B47" s="3"/>
      <c r="C47" s="3"/>
      <c r="D47" s="106" t="s">
        <v>170</v>
      </c>
      <c r="E47" s="3"/>
      <c r="F47" s="1090"/>
      <c r="G47" s="3"/>
      <c r="H47" s="3"/>
      <c r="I47" s="3"/>
      <c r="J47" s="3"/>
      <c r="K47" s="3"/>
      <c r="L47" s="3"/>
      <c r="M47" s="3"/>
      <c r="N47" s="3"/>
      <c r="O47" s="107"/>
      <c r="P47" s="3"/>
      <c r="Q47" s="3"/>
      <c r="R47" s="3"/>
      <c r="S47" s="3"/>
      <c r="T47" s="3"/>
      <c r="AD47" s="1090"/>
    </row>
    <row r="48" spans="1:30" s="901" customFormat="1">
      <c r="A48" s="1056">
        <f ca="1">$Q$46 *(103+107+30+43+93)</f>
        <v>2208.3380281690138</v>
      </c>
      <c r="B48" s="901" t="s">
        <v>320</v>
      </c>
      <c r="D48" s="901" t="s">
        <v>2951</v>
      </c>
      <c r="G48" s="941" t="s">
        <v>2952</v>
      </c>
      <c r="H48" s="942">
        <v>690</v>
      </c>
      <c r="I48" s="901" t="s">
        <v>2946</v>
      </c>
      <c r="J48" s="901" t="s">
        <v>2953</v>
      </c>
      <c r="O48" s="943">
        <v>1</v>
      </c>
      <c r="P48" s="944">
        <v>34669</v>
      </c>
      <c r="Q48" s="1197">
        <v>3.03</v>
      </c>
      <c r="R48" s="946">
        <f ca="1">$A48*Q48</f>
        <v>6691.2642253521117</v>
      </c>
      <c r="S48" s="945">
        <v>0.2</v>
      </c>
      <c r="T48" s="947">
        <f ca="1">$A48*S48*$T$1</f>
        <v>397.50084507042254</v>
      </c>
    </row>
    <row r="49" spans="1:30" s="901" customFormat="1">
      <c r="A49" s="1057">
        <f ca="1">$Q$46 *((545+440+245+240+490))</f>
        <v>11511.549295774646</v>
      </c>
      <c r="B49" s="901" t="s">
        <v>320</v>
      </c>
      <c r="D49" s="901" t="s">
        <v>2954</v>
      </c>
      <c r="E49" s="901" t="s">
        <v>3211</v>
      </c>
      <c r="F49" s="901" t="s">
        <v>3299</v>
      </c>
      <c r="G49" s="941" t="s">
        <v>2955</v>
      </c>
      <c r="H49" s="942">
        <v>615</v>
      </c>
      <c r="I49" s="901" t="s">
        <v>2272</v>
      </c>
      <c r="K49" s="901" t="s">
        <v>2956</v>
      </c>
      <c r="O49" s="943">
        <v>2</v>
      </c>
      <c r="P49" s="944">
        <v>38988</v>
      </c>
      <c r="Q49" s="1194">
        <f>0.2*0.95</f>
        <v>0.19</v>
      </c>
      <c r="R49" s="946">
        <f ca="1">$A49*Q49</f>
        <v>2187.1943661971827</v>
      </c>
      <c r="S49" s="945">
        <v>1.4999999999999999E-2</v>
      </c>
      <c r="T49" s="947">
        <f ca="1">$A49*S49*$T$1</f>
        <v>155.40591549295772</v>
      </c>
      <c r="AD49" s="901" t="s">
        <v>3299</v>
      </c>
    </row>
    <row r="50" spans="1:30" s="901" customFormat="1">
      <c r="A50" s="1056">
        <f ca="1">$Q$46 *(3)</f>
        <v>17.619718309859152</v>
      </c>
      <c r="B50" s="901" t="s">
        <v>141</v>
      </c>
      <c r="D50" s="901" t="s">
        <v>3027</v>
      </c>
      <c r="E50" s="901" t="s">
        <v>3424</v>
      </c>
      <c r="F50" s="121" t="s">
        <v>3426</v>
      </c>
      <c r="G50" s="941" t="s">
        <v>3028</v>
      </c>
      <c r="H50" s="942">
        <v>705</v>
      </c>
      <c r="I50" s="901" t="s">
        <v>3029</v>
      </c>
      <c r="J50" s="901" t="s">
        <v>3030</v>
      </c>
      <c r="O50" s="943">
        <v>3</v>
      </c>
      <c r="P50" s="944">
        <v>38278</v>
      </c>
      <c r="Q50" s="945">
        <v>4.3</v>
      </c>
      <c r="R50" s="946">
        <f ca="1">$A50*Q50</f>
        <v>75.764788732394351</v>
      </c>
      <c r="S50" s="945">
        <v>0.17</v>
      </c>
      <c r="T50" s="947">
        <f ca="1">$A50*S50*$T$1</f>
        <v>2.6958169014084503</v>
      </c>
      <c r="AD50" s="121" t="s">
        <v>3426</v>
      </c>
    </row>
    <row r="51" spans="1:30" s="901" customFormat="1">
      <c r="A51" s="1056">
        <f ca="1">$Q$46 *(15+16+9+10+14)</f>
        <v>375.88732394366195</v>
      </c>
      <c r="B51" s="901" t="s">
        <v>141</v>
      </c>
      <c r="D51" s="901" t="s">
        <v>3212</v>
      </c>
      <c r="G51" s="941" t="s">
        <v>3213</v>
      </c>
      <c r="H51" s="942">
        <v>705</v>
      </c>
      <c r="I51" s="901" t="s">
        <v>2607</v>
      </c>
      <c r="J51" s="901" t="s">
        <v>3214</v>
      </c>
      <c r="O51" s="943">
        <v>3</v>
      </c>
      <c r="P51" s="944">
        <v>39128</v>
      </c>
      <c r="Q51" s="945">
        <v>0.93</v>
      </c>
      <c r="R51" s="946">
        <f ca="1">$A51*Q51</f>
        <v>349.57521126760565</v>
      </c>
      <c r="S51" s="945">
        <v>0.17</v>
      </c>
      <c r="T51" s="947">
        <f ca="1">$A51*S51*$T$1</f>
        <v>57.510760563380281</v>
      </c>
    </row>
    <row r="52" spans="1:30" s="901" customFormat="1">
      <c r="A52" s="1056">
        <f ca="1">$Q$46 *(15+16+9+10+14)</f>
        <v>375.88732394366195</v>
      </c>
      <c r="B52" s="901" t="s">
        <v>320</v>
      </c>
      <c r="D52" s="901" t="s">
        <v>3098</v>
      </c>
      <c r="G52" s="941" t="s">
        <v>3099</v>
      </c>
      <c r="H52" s="942">
        <v>616</v>
      </c>
      <c r="I52" s="901" t="s">
        <v>2272</v>
      </c>
      <c r="J52" s="901" t="s">
        <v>3100</v>
      </c>
      <c r="K52" s="901" t="s">
        <v>3101</v>
      </c>
      <c r="O52" s="943">
        <v>2</v>
      </c>
      <c r="P52" s="944">
        <v>40767</v>
      </c>
      <c r="Q52" s="945">
        <v>1.1000000000000001</v>
      </c>
      <c r="R52" s="946">
        <f ca="1">$A52*Q52</f>
        <v>413.47605633802817</v>
      </c>
      <c r="S52" s="945">
        <v>2.5000000000000001E-2</v>
      </c>
      <c r="T52" s="947">
        <f ca="1">$A52*S52*$T$1</f>
        <v>8.4574647887323948</v>
      </c>
    </row>
    <row r="53" spans="1:30" s="520" customFormat="1">
      <c r="A53" s="758"/>
      <c r="B53" s="3"/>
      <c r="C53" s="758" t="s">
        <v>171</v>
      </c>
      <c r="D53" s="3"/>
      <c r="E53" s="758"/>
      <c r="F53" s="753"/>
      <c r="G53" s="758"/>
      <c r="H53" s="758"/>
      <c r="I53" s="519"/>
      <c r="J53" s="758"/>
      <c r="K53" s="758"/>
      <c r="L53" s="758"/>
      <c r="M53" s="758"/>
      <c r="N53" s="758"/>
      <c r="O53" s="758"/>
      <c r="P53" s="758"/>
      <c r="Q53" s="519"/>
      <c r="R53" s="917">
        <f t="shared" ref="R53" si="8">$A53*Q53</f>
        <v>0</v>
      </c>
      <c r="S53" s="519"/>
      <c r="T53" s="760">
        <f t="shared" ref="T53" si="9">$A53*S53*$T$1</f>
        <v>0</v>
      </c>
      <c r="AD53" s="753"/>
    </row>
    <row r="54" spans="1:30" s="520" customFormat="1" ht="12.6" thickBot="1">
      <c r="A54" s="761" t="s">
        <v>145</v>
      </c>
      <c r="B54" s="762">
        <f>(R53+T53)</f>
        <v>0</v>
      </c>
      <c r="C54" s="763"/>
      <c r="D54" s="937" t="s">
        <v>172</v>
      </c>
      <c r="E54" s="477">
        <f ca="1">IF($B46=0,0,ROUND(ROUND(($R54*$S$2+($T54*$T$2))/$B46, 2)*$C$2,2))</f>
        <v>158.19</v>
      </c>
      <c r="F54" s="478">
        <f ca="1">ROUND($B46*$E54,2)</f>
        <v>32982.620000000003</v>
      </c>
      <c r="G54" s="763"/>
      <c r="H54" s="763"/>
      <c r="I54" s="765"/>
      <c r="J54" s="763"/>
      <c r="K54" s="938" t="s">
        <v>143</v>
      </c>
      <c r="L54" s="766" t="s">
        <v>143</v>
      </c>
      <c r="M54" s="766"/>
      <c r="N54" s="766"/>
      <c r="O54" s="766"/>
      <c r="P54" s="766"/>
      <c r="Q54" s="938"/>
      <c r="R54" s="939">
        <f ca="1">SUM(R47:R53)</f>
        <v>9717.2746478873214</v>
      </c>
      <c r="S54" s="940"/>
      <c r="T54" s="939">
        <f ca="1">SUM(T47:T53)</f>
        <v>621.57080281690128</v>
      </c>
      <c r="U54" s="531"/>
      <c r="V54" s="531"/>
      <c r="W54" s="531"/>
      <c r="X54" s="531"/>
      <c r="Y54" s="531"/>
      <c r="Z54" s="531"/>
      <c r="AA54" s="531"/>
      <c r="AB54" s="531"/>
      <c r="AD54" s="478">
        <v>34608.92</v>
      </c>
    </row>
    <row r="55" spans="1:30" s="520" customFormat="1" ht="12" thickTop="1">
      <c r="A55" s="51"/>
      <c r="B55" s="51"/>
      <c r="C55" s="51"/>
      <c r="D55" s="51"/>
      <c r="E55" s="51"/>
      <c r="F55" s="51"/>
      <c r="G55" s="51"/>
      <c r="H55" s="51"/>
      <c r="I55" s="51"/>
      <c r="J55" s="51"/>
      <c r="K55" s="51"/>
      <c r="L55" s="51"/>
      <c r="M55" s="51"/>
      <c r="N55" s="51"/>
      <c r="O55" s="52"/>
      <c r="P55" s="51"/>
      <c r="Q55" s="42" t="s">
        <v>168</v>
      </c>
      <c r="R55" s="51"/>
      <c r="S55" s="13"/>
      <c r="T55" s="51"/>
      <c r="AD55" s="51"/>
    </row>
    <row r="56" spans="1:30" s="520" customFormat="1" ht="12" customHeight="1" thickBot="1">
      <c r="A56" s="927">
        <f>7+7+7+7</f>
        <v>28</v>
      </c>
      <c r="B56" s="928">
        <f ca="1">Elec_Est!B11551</f>
        <v>43</v>
      </c>
      <c r="C56" s="929"/>
      <c r="D56" s="930" t="s">
        <v>3508</v>
      </c>
      <c r="E56" s="931"/>
      <c r="F56" s="1213" t="s">
        <v>3777</v>
      </c>
      <c r="G56" s="752"/>
      <c r="H56" s="752"/>
      <c r="I56" s="932"/>
      <c r="J56" s="752"/>
      <c r="K56" s="929" t="s">
        <v>169</v>
      </c>
      <c r="L56" s="933" t="s">
        <v>169</v>
      </c>
      <c r="M56" s="933"/>
      <c r="N56" s="933"/>
      <c r="O56" s="933"/>
      <c r="P56" s="933"/>
      <c r="Q56" s="934">
        <f ca="1">B56/A56</f>
        <v>1.5357142857142858</v>
      </c>
      <c r="R56" s="935">
        <f ca="1">IF($B56=0,0,IF($S$1="R",ROUND(R77/$B56,2),R77/$B56))</f>
        <v>67.52</v>
      </c>
      <c r="S56" s="936"/>
      <c r="T56" s="935">
        <f ca="1">IF($B56=0,0,IF($S$1="R",ROUND(T77/$B56,2),T77/$B56))</f>
        <v>4.1900000000000004</v>
      </c>
      <c r="AD56" s="931"/>
    </row>
    <row r="57" spans="1:30" s="520" customFormat="1" ht="13.8" thickTop="1">
      <c r="A57" s="1387">
        <f ca="1">$Q$56 *(A71/B56)</f>
        <v>13.218112244897961</v>
      </c>
      <c r="B57" s="3"/>
      <c r="C57" s="3"/>
      <c r="D57" s="106" t="s">
        <v>170</v>
      </c>
      <c r="E57" s="3"/>
      <c r="F57" s="1090"/>
      <c r="G57" s="3"/>
      <c r="H57" s="3"/>
      <c r="I57" s="3"/>
      <c r="J57" s="3"/>
      <c r="K57" s="3"/>
      <c r="L57" s="3"/>
      <c r="M57" s="3"/>
      <c r="N57" s="3"/>
      <c r="O57" s="107"/>
      <c r="P57" s="3"/>
      <c r="Q57" s="3"/>
      <c r="R57" s="3"/>
      <c r="S57" s="3"/>
      <c r="T57" s="3"/>
      <c r="AD57" s="1090"/>
    </row>
    <row r="58" spans="1:30" s="520" customFormat="1">
      <c r="A58" s="748"/>
      <c r="B58" s="3"/>
      <c r="C58" s="3"/>
      <c r="D58" s="1206" t="s">
        <v>3752</v>
      </c>
      <c r="E58" s="1206" t="s">
        <v>3753</v>
      </c>
      <c r="F58" s="1090"/>
      <c r="G58" s="3"/>
      <c r="H58" s="3"/>
      <c r="I58" s="3"/>
      <c r="J58" s="3"/>
      <c r="K58" s="3"/>
      <c r="L58" s="3"/>
      <c r="M58" s="3"/>
      <c r="N58" s="3"/>
      <c r="O58" s="107"/>
      <c r="P58" s="3"/>
      <c r="Q58" s="3"/>
      <c r="R58" s="3"/>
      <c r="S58" s="3"/>
      <c r="T58" s="3"/>
      <c r="AD58" s="1090"/>
    </row>
    <row r="59" spans="1:30" s="901" customFormat="1">
      <c r="A59" s="1056">
        <f ca="1">$Q$56 *(120)</f>
        <v>184.28571428571431</v>
      </c>
      <c r="B59" s="901" t="s">
        <v>320</v>
      </c>
      <c r="C59" s="3"/>
      <c r="D59" s="901" t="s">
        <v>2951</v>
      </c>
      <c r="G59" s="941" t="s">
        <v>2952</v>
      </c>
      <c r="H59" s="942">
        <v>690</v>
      </c>
      <c r="I59" s="901" t="s">
        <v>2946</v>
      </c>
      <c r="J59" s="901" t="s">
        <v>2953</v>
      </c>
      <c r="O59" s="943">
        <v>1</v>
      </c>
      <c r="P59" s="944">
        <v>34669</v>
      </c>
      <c r="Q59" s="1197">
        <v>3.03</v>
      </c>
      <c r="R59" s="946">
        <f ca="1">$A59*Q59</f>
        <v>558.38571428571436</v>
      </c>
      <c r="S59" s="945">
        <v>0.2</v>
      </c>
      <c r="T59" s="947">
        <f ca="1">$A59*S59*$T$1</f>
        <v>33.171428571428578</v>
      </c>
    </row>
    <row r="60" spans="1:30" s="901" customFormat="1">
      <c r="A60" s="1057">
        <f ca="1">$Q$56 *((150*3))</f>
        <v>691.07142857142867</v>
      </c>
      <c r="B60" s="901" t="s">
        <v>320</v>
      </c>
      <c r="C60" s="3"/>
      <c r="D60" s="901" t="s">
        <v>2954</v>
      </c>
      <c r="E60" s="901" t="s">
        <v>3211</v>
      </c>
      <c r="F60" s="901" t="s">
        <v>3299</v>
      </c>
      <c r="G60" s="941" t="s">
        <v>2955</v>
      </c>
      <c r="H60" s="942">
        <v>615</v>
      </c>
      <c r="I60" s="901" t="s">
        <v>2272</v>
      </c>
      <c r="K60" s="901" t="s">
        <v>2956</v>
      </c>
      <c r="O60" s="943">
        <v>2</v>
      </c>
      <c r="P60" s="944">
        <v>38988</v>
      </c>
      <c r="Q60" s="1194">
        <f>0.2*0.95</f>
        <v>0.19</v>
      </c>
      <c r="R60" s="946">
        <f ca="1">$A60*Q60</f>
        <v>131.30357142857144</v>
      </c>
      <c r="S60" s="945">
        <v>1.4999999999999999E-2</v>
      </c>
      <c r="T60" s="947">
        <f ca="1">$A60*S60*$T$1</f>
        <v>9.3294642857142858</v>
      </c>
      <c r="AD60" s="901" t="s">
        <v>3299</v>
      </c>
    </row>
    <row r="61" spans="1:30" s="901" customFormat="1">
      <c r="A61" s="1056">
        <f ca="1">$Q$56 *(1)</f>
        <v>1.5357142857142858</v>
      </c>
      <c r="B61" s="901" t="s">
        <v>141</v>
      </c>
      <c r="C61" s="3"/>
      <c r="D61" s="901" t="s">
        <v>3027</v>
      </c>
      <c r="E61" s="901" t="s">
        <v>3424</v>
      </c>
      <c r="F61" s="121" t="s">
        <v>3426</v>
      </c>
      <c r="G61" s="941" t="s">
        <v>3028</v>
      </c>
      <c r="H61" s="942">
        <v>705</v>
      </c>
      <c r="I61" s="901" t="s">
        <v>3029</v>
      </c>
      <c r="J61" s="901" t="s">
        <v>3030</v>
      </c>
      <c r="O61" s="943">
        <v>3</v>
      </c>
      <c r="P61" s="944">
        <v>38278</v>
      </c>
      <c r="Q61" s="945">
        <v>4.3</v>
      </c>
      <c r="R61" s="946">
        <f ca="1">$A61*Q61</f>
        <v>6.6035714285714286</v>
      </c>
      <c r="S61" s="945">
        <v>0.17</v>
      </c>
      <c r="T61" s="947">
        <f ca="1">$A61*S61*$T$1</f>
        <v>0.23496428571428576</v>
      </c>
      <c r="AD61" s="121" t="s">
        <v>3426</v>
      </c>
    </row>
    <row r="62" spans="1:30" s="901" customFormat="1">
      <c r="A62" s="1056">
        <f ca="1">$Q$56 *(7)</f>
        <v>10.75</v>
      </c>
      <c r="B62" s="901" t="s">
        <v>141</v>
      </c>
      <c r="C62" s="3"/>
      <c r="D62" s="901" t="s">
        <v>3212</v>
      </c>
      <c r="G62" s="941" t="s">
        <v>3213</v>
      </c>
      <c r="H62" s="942">
        <v>705</v>
      </c>
      <c r="I62" s="901" t="s">
        <v>2607</v>
      </c>
      <c r="J62" s="901" t="s">
        <v>3214</v>
      </c>
      <c r="O62" s="943">
        <v>3</v>
      </c>
      <c r="P62" s="944">
        <v>39128</v>
      </c>
      <c r="Q62" s="945">
        <v>0.93</v>
      </c>
      <c r="R62" s="946">
        <f ca="1">$A62*Q62</f>
        <v>9.9975000000000005</v>
      </c>
      <c r="S62" s="945">
        <v>0.17</v>
      </c>
      <c r="T62" s="947">
        <f ca="1">$A62*S62*$T$1</f>
        <v>1.6447500000000002</v>
      </c>
    </row>
    <row r="63" spans="1:30" s="901" customFormat="1">
      <c r="A63" s="1056">
        <f ca="1">$Q$56 *(7)</f>
        <v>10.75</v>
      </c>
      <c r="B63" s="901" t="s">
        <v>320</v>
      </c>
      <c r="C63" s="3"/>
      <c r="D63" s="901" t="s">
        <v>3098</v>
      </c>
      <c r="G63" s="941" t="s">
        <v>3099</v>
      </c>
      <c r="H63" s="942">
        <v>616</v>
      </c>
      <c r="I63" s="901" t="s">
        <v>2272</v>
      </c>
      <c r="J63" s="901" t="s">
        <v>3100</v>
      </c>
      <c r="K63" s="901" t="s">
        <v>3101</v>
      </c>
      <c r="O63" s="943">
        <v>2</v>
      </c>
      <c r="P63" s="944">
        <v>40767</v>
      </c>
      <c r="Q63" s="945">
        <v>1.1000000000000001</v>
      </c>
      <c r="R63" s="946">
        <f ca="1">$A63*Q63</f>
        <v>11.825000000000001</v>
      </c>
      <c r="S63" s="945">
        <v>2.5000000000000001E-2</v>
      </c>
      <c r="T63" s="947">
        <f ca="1">$A63*S63*$T$1</f>
        <v>0.24187500000000001</v>
      </c>
    </row>
    <row r="64" spans="1:30" s="520" customFormat="1">
      <c r="A64" s="748"/>
      <c r="B64" s="3"/>
      <c r="C64" s="3"/>
      <c r="D64" s="1206" t="s">
        <v>3754</v>
      </c>
      <c r="E64" s="1206" t="s">
        <v>3753</v>
      </c>
      <c r="F64" s="1090"/>
      <c r="G64" s="3"/>
      <c r="H64" s="3"/>
      <c r="I64" s="3"/>
      <c r="J64" s="3"/>
      <c r="K64" s="3"/>
      <c r="L64" s="3"/>
      <c r="M64" s="3"/>
      <c r="N64" s="3"/>
      <c r="O64" s="107"/>
      <c r="P64" s="3"/>
      <c r="Q64" s="3"/>
      <c r="R64" s="3"/>
      <c r="S64" s="3"/>
      <c r="T64" s="3"/>
      <c r="AD64" s="1090"/>
    </row>
    <row r="65" spans="1:30" s="901" customFormat="1">
      <c r="A65" s="1056">
        <f ca="1">$Q$56 *(130)</f>
        <v>199.64285714285717</v>
      </c>
      <c r="B65" s="901" t="s">
        <v>320</v>
      </c>
      <c r="C65" s="3"/>
      <c r="D65" s="901" t="s">
        <v>2951</v>
      </c>
      <c r="G65" s="941" t="s">
        <v>2952</v>
      </c>
      <c r="H65" s="942">
        <v>690</v>
      </c>
      <c r="I65" s="901" t="s">
        <v>2946</v>
      </c>
      <c r="J65" s="901" t="s">
        <v>2953</v>
      </c>
      <c r="O65" s="943">
        <v>1</v>
      </c>
      <c r="P65" s="944">
        <v>34669</v>
      </c>
      <c r="Q65" s="1197">
        <v>3.03</v>
      </c>
      <c r="R65" s="946">
        <f ca="1">$A65*Q65</f>
        <v>604.9178571428572</v>
      </c>
      <c r="S65" s="945">
        <v>0.2</v>
      </c>
      <c r="T65" s="947">
        <f ca="1">$A65*S65*$T$1</f>
        <v>35.935714285714297</v>
      </c>
    </row>
    <row r="66" spans="1:30" s="901" customFormat="1">
      <c r="A66" s="1057">
        <f ca="1">$Q$56 *((150*3))</f>
        <v>691.07142857142867</v>
      </c>
      <c r="B66" s="901" t="s">
        <v>320</v>
      </c>
      <c r="C66" s="3"/>
      <c r="D66" s="901" t="s">
        <v>2954</v>
      </c>
      <c r="E66" s="901" t="s">
        <v>3211</v>
      </c>
      <c r="F66" s="901" t="s">
        <v>3299</v>
      </c>
      <c r="G66" s="941" t="s">
        <v>2955</v>
      </c>
      <c r="H66" s="942">
        <v>615</v>
      </c>
      <c r="I66" s="901" t="s">
        <v>2272</v>
      </c>
      <c r="K66" s="901" t="s">
        <v>2956</v>
      </c>
      <c r="O66" s="943">
        <v>2</v>
      </c>
      <c r="P66" s="944">
        <v>38988</v>
      </c>
      <c r="Q66" s="1194">
        <f>0.2*0.95</f>
        <v>0.19</v>
      </c>
      <c r="R66" s="946">
        <f ca="1">$A66*Q66</f>
        <v>131.30357142857144</v>
      </c>
      <c r="S66" s="945">
        <v>1.4999999999999999E-2</v>
      </c>
      <c r="T66" s="947">
        <f ca="1">$A66*S66*$T$1</f>
        <v>9.3294642857142858</v>
      </c>
      <c r="AD66" s="901" t="s">
        <v>3299</v>
      </c>
    </row>
    <row r="67" spans="1:30" s="901" customFormat="1">
      <c r="A67" s="1056">
        <f ca="1">$Q$56 *(1)</f>
        <v>1.5357142857142858</v>
      </c>
      <c r="B67" s="901" t="s">
        <v>141</v>
      </c>
      <c r="C67" s="3"/>
      <c r="D67" s="901" t="s">
        <v>3027</v>
      </c>
      <c r="E67" s="901" t="s">
        <v>3424</v>
      </c>
      <c r="F67" s="121" t="s">
        <v>3426</v>
      </c>
      <c r="G67" s="941" t="s">
        <v>3028</v>
      </c>
      <c r="H67" s="942">
        <v>705</v>
      </c>
      <c r="I67" s="901" t="s">
        <v>3029</v>
      </c>
      <c r="J67" s="901" t="s">
        <v>3030</v>
      </c>
      <c r="O67" s="943">
        <v>3</v>
      </c>
      <c r="P67" s="944">
        <v>38278</v>
      </c>
      <c r="Q67" s="945">
        <v>4.3</v>
      </c>
      <c r="R67" s="946">
        <f ca="1">$A67*Q67</f>
        <v>6.6035714285714286</v>
      </c>
      <c r="S67" s="945">
        <v>0.17</v>
      </c>
      <c r="T67" s="947">
        <f ca="1">$A67*S67*$T$1</f>
        <v>0.23496428571428576</v>
      </c>
      <c r="AD67" s="121" t="s">
        <v>3426</v>
      </c>
    </row>
    <row r="68" spans="1:30" s="901" customFormat="1">
      <c r="A68" s="1056">
        <f ca="1">$Q$56 *(7)</f>
        <v>10.75</v>
      </c>
      <c r="B68" s="901" t="s">
        <v>141</v>
      </c>
      <c r="C68" s="3"/>
      <c r="D68" s="901" t="s">
        <v>3212</v>
      </c>
      <c r="G68" s="941" t="s">
        <v>3213</v>
      </c>
      <c r="H68" s="942">
        <v>705</v>
      </c>
      <c r="I68" s="901" t="s">
        <v>2607</v>
      </c>
      <c r="J68" s="901" t="s">
        <v>3214</v>
      </c>
      <c r="O68" s="943">
        <v>3</v>
      </c>
      <c r="P68" s="944">
        <v>39128</v>
      </c>
      <c r="Q68" s="945">
        <v>0.93</v>
      </c>
      <c r="R68" s="946">
        <f ca="1">$A68*Q68</f>
        <v>9.9975000000000005</v>
      </c>
      <c r="S68" s="945">
        <v>0.17</v>
      </c>
      <c r="T68" s="947">
        <f ca="1">$A68*S68*$T$1</f>
        <v>1.6447500000000002</v>
      </c>
    </row>
    <row r="69" spans="1:30" s="901" customFormat="1">
      <c r="A69" s="1056">
        <f ca="1">$Q$56 *(7)</f>
        <v>10.75</v>
      </c>
      <c r="B69" s="901" t="s">
        <v>320</v>
      </c>
      <c r="C69" s="3"/>
      <c r="D69" s="901" t="s">
        <v>3098</v>
      </c>
      <c r="G69" s="941" t="s">
        <v>3099</v>
      </c>
      <c r="H69" s="942">
        <v>616</v>
      </c>
      <c r="I69" s="901" t="s">
        <v>2272</v>
      </c>
      <c r="J69" s="901" t="s">
        <v>3100</v>
      </c>
      <c r="K69" s="901" t="s">
        <v>3101</v>
      </c>
      <c r="O69" s="943">
        <v>2</v>
      </c>
      <c r="P69" s="944">
        <v>40767</v>
      </c>
      <c r="Q69" s="945">
        <v>1.1000000000000001</v>
      </c>
      <c r="R69" s="946">
        <f ca="1">$A69*Q69</f>
        <v>11.825000000000001</v>
      </c>
      <c r="S69" s="945">
        <v>2.5000000000000001E-2</v>
      </c>
      <c r="T69" s="947">
        <f ca="1">$A69*S69*$T$1</f>
        <v>0.24187500000000001</v>
      </c>
    </row>
    <row r="70" spans="1:30" s="520" customFormat="1">
      <c r="A70" s="748"/>
      <c r="B70" s="3"/>
      <c r="C70" s="3"/>
      <c r="D70" s="106"/>
      <c r="E70" s="3"/>
      <c r="F70" s="1090"/>
      <c r="G70" s="3"/>
      <c r="H70" s="3"/>
      <c r="I70" s="3"/>
      <c r="J70" s="3"/>
      <c r="K70" s="3"/>
      <c r="L70" s="3"/>
      <c r="M70" s="3"/>
      <c r="N70" s="3"/>
      <c r="O70" s="107"/>
      <c r="P70" s="3"/>
      <c r="Q70" s="3"/>
      <c r="R70" s="3"/>
      <c r="S70" s="3"/>
      <c r="T70" s="3"/>
      <c r="AD70" s="1090"/>
    </row>
    <row r="71" spans="1:30" s="901" customFormat="1">
      <c r="A71" s="1056">
        <f ca="1">$Q$56 *(150+91)</f>
        <v>370.10714285714289</v>
      </c>
      <c r="B71" s="901" t="s">
        <v>320</v>
      </c>
      <c r="C71" s="3"/>
      <c r="D71" s="901" t="s">
        <v>2951</v>
      </c>
      <c r="G71" s="941" t="s">
        <v>2952</v>
      </c>
      <c r="H71" s="942">
        <v>690</v>
      </c>
      <c r="I71" s="901" t="s">
        <v>2946</v>
      </c>
      <c r="J71" s="901" t="s">
        <v>2953</v>
      </c>
      <c r="O71" s="943">
        <v>1</v>
      </c>
      <c r="P71" s="944">
        <v>34669</v>
      </c>
      <c r="Q71" s="1197">
        <v>3.03</v>
      </c>
      <c r="R71" s="946">
        <f ca="1">$A71*Q71</f>
        <v>1121.4246428571428</v>
      </c>
      <c r="S71" s="945">
        <v>0.2</v>
      </c>
      <c r="T71" s="947">
        <f ca="1">$A71*S71*$T$1</f>
        <v>66.619285714285724</v>
      </c>
    </row>
    <row r="72" spans="1:30" s="901" customFormat="1">
      <c r="A72" s="1057">
        <f ca="1">$Q$56 *((490+340))</f>
        <v>1274.6428571428571</v>
      </c>
      <c r="B72" s="901" t="s">
        <v>320</v>
      </c>
      <c r="C72" s="3"/>
      <c r="D72" s="901" t="s">
        <v>2954</v>
      </c>
      <c r="E72" s="901" t="s">
        <v>3211</v>
      </c>
      <c r="F72" s="901" t="s">
        <v>3299</v>
      </c>
      <c r="G72" s="941" t="s">
        <v>2955</v>
      </c>
      <c r="H72" s="942">
        <v>615</v>
      </c>
      <c r="I72" s="901" t="s">
        <v>2272</v>
      </c>
      <c r="K72" s="901" t="s">
        <v>2956</v>
      </c>
      <c r="O72" s="943">
        <v>2</v>
      </c>
      <c r="P72" s="944">
        <v>38988</v>
      </c>
      <c r="Q72" s="1194">
        <f>0.2*0.95</f>
        <v>0.19</v>
      </c>
      <c r="R72" s="946">
        <f ca="1">$A72*Q72</f>
        <v>242.18214285714285</v>
      </c>
      <c r="S72" s="945">
        <v>1.4999999999999999E-2</v>
      </c>
      <c r="T72" s="947">
        <f ca="1">$A72*S72*$T$1</f>
        <v>17.207678571428573</v>
      </c>
      <c r="AD72" s="901" t="s">
        <v>3299</v>
      </c>
    </row>
    <row r="73" spans="1:30" s="901" customFormat="1">
      <c r="A73" s="1056">
        <f ca="1">$Q$56 *(1+1)</f>
        <v>3.0714285714285716</v>
      </c>
      <c r="B73" s="901" t="s">
        <v>141</v>
      </c>
      <c r="C73" s="3"/>
      <c r="D73" s="901" t="s">
        <v>3027</v>
      </c>
      <c r="E73" s="901" t="s">
        <v>3424</v>
      </c>
      <c r="F73" s="121" t="s">
        <v>3426</v>
      </c>
      <c r="G73" s="941" t="s">
        <v>3028</v>
      </c>
      <c r="H73" s="942">
        <v>705</v>
      </c>
      <c r="I73" s="901" t="s">
        <v>3029</v>
      </c>
      <c r="J73" s="901" t="s">
        <v>3030</v>
      </c>
      <c r="O73" s="943">
        <v>3</v>
      </c>
      <c r="P73" s="944">
        <v>38278</v>
      </c>
      <c r="Q73" s="945">
        <v>4.3</v>
      </c>
      <c r="R73" s="946">
        <f ca="1">$A73*Q73</f>
        <v>13.207142857142857</v>
      </c>
      <c r="S73" s="945">
        <v>0.17</v>
      </c>
      <c r="T73" s="947">
        <f ca="1">$A73*S73*$T$1</f>
        <v>0.46992857142857153</v>
      </c>
      <c r="AD73" s="121" t="s">
        <v>3426</v>
      </c>
    </row>
    <row r="74" spans="1:30" s="901" customFormat="1">
      <c r="A74" s="1056">
        <f ca="1">$Q$56 *(7+7)</f>
        <v>21.5</v>
      </c>
      <c r="B74" s="901" t="s">
        <v>141</v>
      </c>
      <c r="C74" s="3"/>
      <c r="D74" s="901" t="s">
        <v>3212</v>
      </c>
      <c r="G74" s="941" t="s">
        <v>3213</v>
      </c>
      <c r="H74" s="942">
        <v>705</v>
      </c>
      <c r="I74" s="901" t="s">
        <v>2607</v>
      </c>
      <c r="J74" s="901" t="s">
        <v>3214</v>
      </c>
      <c r="O74" s="943">
        <v>3</v>
      </c>
      <c r="P74" s="944">
        <v>39128</v>
      </c>
      <c r="Q74" s="945">
        <v>0.93</v>
      </c>
      <c r="R74" s="946">
        <f ca="1">$A74*Q74</f>
        <v>19.995000000000001</v>
      </c>
      <c r="S74" s="945">
        <v>0.17</v>
      </c>
      <c r="T74" s="947">
        <f ca="1">$A74*S74*$T$1</f>
        <v>3.2895000000000003</v>
      </c>
    </row>
    <row r="75" spans="1:30" s="901" customFormat="1">
      <c r="A75" s="1056">
        <f ca="1">$Q$56 *(7+7)</f>
        <v>21.5</v>
      </c>
      <c r="B75" s="901" t="s">
        <v>320</v>
      </c>
      <c r="C75" s="3"/>
      <c r="D75" s="901" t="s">
        <v>3098</v>
      </c>
      <c r="G75" s="941" t="s">
        <v>3099</v>
      </c>
      <c r="H75" s="942">
        <v>616</v>
      </c>
      <c r="I75" s="901" t="s">
        <v>2272</v>
      </c>
      <c r="J75" s="901" t="s">
        <v>3100</v>
      </c>
      <c r="K75" s="901" t="s">
        <v>3101</v>
      </c>
      <c r="O75" s="943">
        <v>2</v>
      </c>
      <c r="P75" s="944">
        <v>40767</v>
      </c>
      <c r="Q75" s="945">
        <v>1.1000000000000001</v>
      </c>
      <c r="R75" s="946">
        <f ca="1">$A75*Q75</f>
        <v>23.650000000000002</v>
      </c>
      <c r="S75" s="945">
        <v>2.5000000000000001E-2</v>
      </c>
      <c r="T75" s="947">
        <f ca="1">$A75*S75*$T$1</f>
        <v>0.48375000000000001</v>
      </c>
    </row>
    <row r="76" spans="1:30" s="520" customFormat="1">
      <c r="A76" s="758"/>
      <c r="B76" s="3"/>
      <c r="C76" s="758" t="s">
        <v>171</v>
      </c>
      <c r="D76" s="3"/>
      <c r="E76" s="758"/>
      <c r="F76" s="753"/>
      <c r="G76" s="758"/>
      <c r="H76" s="758"/>
      <c r="I76" s="519"/>
      <c r="J76" s="758"/>
      <c r="K76" s="758"/>
      <c r="L76" s="758"/>
      <c r="M76" s="758"/>
      <c r="N76" s="758"/>
      <c r="O76" s="758"/>
      <c r="P76" s="758"/>
      <c r="Q76" s="519"/>
      <c r="R76" s="917">
        <f t="shared" ref="R76" si="10">$A76*Q76</f>
        <v>0</v>
      </c>
      <c r="S76" s="519"/>
      <c r="T76" s="760">
        <f t="shared" ref="T76" si="11">$A76*S76*$T$1</f>
        <v>0</v>
      </c>
      <c r="AD76" s="753"/>
    </row>
    <row r="77" spans="1:30" s="520" customFormat="1" ht="12.6" thickBot="1">
      <c r="A77" s="761" t="s">
        <v>145</v>
      </c>
      <c r="B77" s="762">
        <f>(R76+T76)</f>
        <v>0</v>
      </c>
      <c r="C77" s="763"/>
      <c r="D77" s="937" t="s">
        <v>172</v>
      </c>
      <c r="E77" s="477">
        <f ca="1">IF($B56=0,0,ROUND(ROUND(($R77*$S$2+($T77*$T$2))/$B56, 2)*$C$2,2))</f>
        <v>224.74</v>
      </c>
      <c r="F77" s="478">
        <f ca="1">ROUND($B56*$E77,2)</f>
        <v>9663.82</v>
      </c>
      <c r="G77" s="763"/>
      <c r="H77" s="763"/>
      <c r="I77" s="765"/>
      <c r="J77" s="763"/>
      <c r="K77" s="938" t="s">
        <v>143</v>
      </c>
      <c r="L77" s="766" t="s">
        <v>143</v>
      </c>
      <c r="M77" s="766"/>
      <c r="N77" s="766"/>
      <c r="O77" s="766"/>
      <c r="P77" s="766"/>
      <c r="Q77" s="938"/>
      <c r="R77" s="939">
        <f ca="1">SUM(R57:R76)</f>
        <v>2903.2217857142859</v>
      </c>
      <c r="S77" s="940"/>
      <c r="T77" s="939">
        <f ca="1">SUM(T57:T76)</f>
        <v>180.07939285714286</v>
      </c>
      <c r="U77" s="531"/>
      <c r="V77" s="531"/>
      <c r="W77" s="531"/>
      <c r="X77" s="531"/>
      <c r="Y77" s="531"/>
      <c r="Z77" s="531"/>
      <c r="AA77" s="531"/>
      <c r="AB77" s="531"/>
      <c r="AD77" s="478">
        <v>8289.06</v>
      </c>
    </row>
    <row r="78" spans="1:30" s="520" customFormat="1" ht="12" thickTop="1">
      <c r="A78" s="51"/>
      <c r="B78" s="51"/>
      <c r="C78" s="51"/>
      <c r="D78" s="51"/>
      <c r="E78" s="51"/>
      <c r="F78" s="51"/>
      <c r="G78" s="51"/>
      <c r="H78" s="51"/>
      <c r="I78" s="51"/>
      <c r="J78" s="51"/>
      <c r="K78" s="51"/>
      <c r="L78" s="51"/>
      <c r="M78" s="51"/>
      <c r="N78" s="51"/>
      <c r="O78" s="52"/>
      <c r="P78" s="51"/>
      <c r="Q78" s="42" t="s">
        <v>168</v>
      </c>
      <c r="R78" s="51"/>
      <c r="S78" s="13"/>
      <c r="T78" s="51"/>
      <c r="AD78" s="51"/>
    </row>
    <row r="79" spans="1:30" s="520" customFormat="1" ht="12" customHeight="1" thickBot="1">
      <c r="A79" s="927">
        <f>8.5*4+6.5*2</f>
        <v>47</v>
      </c>
      <c r="B79" s="928">
        <f ca="1">Elec_Est!B11552</f>
        <v>77</v>
      </c>
      <c r="C79" s="929"/>
      <c r="D79" s="930" t="s">
        <v>3509</v>
      </c>
      <c r="E79" s="931"/>
      <c r="F79" s="1213" t="s">
        <v>3778</v>
      </c>
      <c r="G79" s="752"/>
      <c r="H79" s="752"/>
      <c r="I79" s="932"/>
      <c r="J79" s="752"/>
      <c r="K79" s="929" t="s">
        <v>169</v>
      </c>
      <c r="L79" s="933" t="s">
        <v>169</v>
      </c>
      <c r="M79" s="933"/>
      <c r="N79" s="933"/>
      <c r="O79" s="933"/>
      <c r="P79" s="933"/>
      <c r="Q79" s="934">
        <f ca="1">B79/A79</f>
        <v>1.6382978723404256</v>
      </c>
      <c r="R79" s="935">
        <f ca="1">IF($B79=0,0,IF($S$1="R",ROUND(R89/$B79,2),R89/$B79))</f>
        <v>57.28</v>
      </c>
      <c r="S79" s="936"/>
      <c r="T79" s="935">
        <f ca="1">IF($B79=0,0,IF($S$1="R",ROUND(T89/$B79,2),T89/$B79))</f>
        <v>2.36</v>
      </c>
      <c r="AD79" s="931"/>
    </row>
    <row r="80" spans="1:30" s="520" customFormat="1" ht="13.8" thickTop="1">
      <c r="A80" s="1387">
        <f ca="1">$Q$79 *(A81/B79)</f>
        <v>13.629244001810775</v>
      </c>
      <c r="B80" s="3"/>
      <c r="C80" s="3"/>
      <c r="D80" s="106" t="s">
        <v>170</v>
      </c>
      <c r="E80" s="3"/>
      <c r="F80" s="3"/>
      <c r="G80" s="3"/>
      <c r="H80" s="3"/>
      <c r="I80" s="3"/>
      <c r="J80" s="3"/>
      <c r="K80" s="3"/>
      <c r="L80" s="3"/>
      <c r="M80" s="3"/>
      <c r="N80" s="3"/>
      <c r="O80" s="107"/>
      <c r="P80" s="3"/>
      <c r="Q80" s="3"/>
      <c r="R80" s="3"/>
      <c r="S80" s="3"/>
      <c r="T80" s="3"/>
      <c r="AD80" s="3"/>
    </row>
    <row r="81" spans="1:30" s="901" customFormat="1">
      <c r="A81" s="1056">
        <f ca="1">$Q$79 *(65+72+82+92+40+40)</f>
        <v>640.57446808510645</v>
      </c>
      <c r="B81" s="901" t="s">
        <v>320</v>
      </c>
      <c r="D81" s="901" t="s">
        <v>2951</v>
      </c>
      <c r="G81" s="941" t="s">
        <v>2952</v>
      </c>
      <c r="H81" s="942">
        <v>690</v>
      </c>
      <c r="I81" s="901" t="s">
        <v>2946</v>
      </c>
      <c r="J81" s="901" t="s">
        <v>2953</v>
      </c>
      <c r="O81" s="943">
        <v>1</v>
      </c>
      <c r="P81" s="944">
        <v>34669</v>
      </c>
      <c r="Q81" s="1197">
        <v>3.03</v>
      </c>
      <c r="R81" s="946">
        <f t="shared" ref="R81:R86" ca="1" si="12">$A81*Q81</f>
        <v>1940.9406382978725</v>
      </c>
      <c r="S81" s="945">
        <v>0.2</v>
      </c>
      <c r="T81" s="947">
        <f t="shared" ref="T81:T86" ca="1" si="13">$A81*S81*$T$1</f>
        <v>115.30340425531917</v>
      </c>
    </row>
    <row r="82" spans="1:30" s="901" customFormat="1">
      <c r="A82" s="1057">
        <f ca="1">$Q$79 *((314+324+334+344+243+308))</f>
        <v>3058.7021276595747</v>
      </c>
      <c r="B82" s="901" t="s">
        <v>320</v>
      </c>
      <c r="D82" s="901" t="s">
        <v>2954</v>
      </c>
      <c r="E82" s="901" t="s">
        <v>3211</v>
      </c>
      <c r="F82" s="901" t="s">
        <v>3299</v>
      </c>
      <c r="G82" s="941" t="s">
        <v>2955</v>
      </c>
      <c r="H82" s="942">
        <v>615</v>
      </c>
      <c r="I82" s="901" t="s">
        <v>2272</v>
      </c>
      <c r="K82" s="901" t="s">
        <v>2956</v>
      </c>
      <c r="O82" s="943">
        <v>2</v>
      </c>
      <c r="P82" s="944">
        <v>38988</v>
      </c>
      <c r="Q82" s="1194">
        <f>0.2*0.95</f>
        <v>0.19</v>
      </c>
      <c r="R82" s="946">
        <f t="shared" ca="1" si="12"/>
        <v>581.15340425531917</v>
      </c>
      <c r="S82" s="945">
        <v>1.4999999999999999E-2</v>
      </c>
      <c r="T82" s="947">
        <f t="shared" ca="1" si="13"/>
        <v>41.292478723404258</v>
      </c>
      <c r="AD82" s="901" t="s">
        <v>3299</v>
      </c>
    </row>
    <row r="83" spans="1:30" s="901" customFormat="1">
      <c r="A83" s="1056">
        <f ca="1">$Q$79 *(16*4+12*2)</f>
        <v>144.17021276595744</v>
      </c>
      <c r="B83" s="901" t="s">
        <v>141</v>
      </c>
      <c r="D83" s="901" t="s">
        <v>3212</v>
      </c>
      <c r="G83" s="941" t="s">
        <v>3213</v>
      </c>
      <c r="H83" s="942">
        <v>705</v>
      </c>
      <c r="I83" s="901" t="s">
        <v>2607</v>
      </c>
      <c r="J83" s="901" t="s">
        <v>3214</v>
      </c>
      <c r="O83" s="943">
        <v>3</v>
      </c>
      <c r="P83" s="944">
        <v>39128</v>
      </c>
      <c r="Q83" s="945">
        <v>0.93</v>
      </c>
      <c r="R83" s="946">
        <f t="shared" ca="1" si="12"/>
        <v>134.07829787234044</v>
      </c>
      <c r="S83" s="945">
        <v>0.17</v>
      </c>
      <c r="T83" s="947">
        <f t="shared" ca="1" si="13"/>
        <v>22.058042553191491</v>
      </c>
    </row>
    <row r="84" spans="1:30" s="901" customFormat="1">
      <c r="A84" s="1056">
        <f ca="1">$Q$79 *(16*4+12*2)</f>
        <v>144.17021276595744</v>
      </c>
      <c r="B84" s="901" t="s">
        <v>320</v>
      </c>
      <c r="D84" s="901" t="s">
        <v>3098</v>
      </c>
      <c r="G84" s="941" t="s">
        <v>3099</v>
      </c>
      <c r="H84" s="942">
        <v>616</v>
      </c>
      <c r="I84" s="901" t="s">
        <v>2272</v>
      </c>
      <c r="J84" s="901" t="s">
        <v>3100</v>
      </c>
      <c r="K84" s="901" t="s">
        <v>3101</v>
      </c>
      <c r="O84" s="943">
        <v>2</v>
      </c>
      <c r="P84" s="944">
        <v>40767</v>
      </c>
      <c r="Q84" s="945">
        <v>1.1000000000000001</v>
      </c>
      <c r="R84" s="946">
        <f t="shared" ca="1" si="12"/>
        <v>158.58723404255321</v>
      </c>
      <c r="S84" s="945">
        <v>2.5000000000000001E-2</v>
      </c>
      <c r="T84" s="947">
        <f t="shared" ca="1" si="13"/>
        <v>3.2438297872340427</v>
      </c>
    </row>
    <row r="85" spans="1:30" s="901" customFormat="1">
      <c r="A85" s="1056">
        <f ca="1">$Q$79 *(1/1.64)</f>
        <v>0.99896211728074724</v>
      </c>
      <c r="B85" s="1084" t="s">
        <v>863</v>
      </c>
      <c r="C85" s="1084"/>
      <c r="D85" s="1084" t="s">
        <v>2752</v>
      </c>
      <c r="E85" s="1084"/>
      <c r="F85" s="1084" t="s">
        <v>3326</v>
      </c>
      <c r="G85" s="1091" t="s">
        <v>2754</v>
      </c>
      <c r="H85" s="1092">
        <v>962</v>
      </c>
      <c r="I85" s="1084" t="s">
        <v>2596</v>
      </c>
      <c r="J85" s="1084"/>
      <c r="K85" s="1084"/>
      <c r="L85" s="1084"/>
      <c r="M85" s="1084"/>
      <c r="N85" s="1084"/>
      <c r="O85" s="1093">
        <v>2</v>
      </c>
      <c r="P85" s="1094">
        <v>38129</v>
      </c>
      <c r="Q85" s="1205">
        <f>0.41 *(1 *(215/8*120))</f>
        <v>1322.25</v>
      </c>
      <c r="R85" s="1096">
        <f t="shared" ca="1" si="12"/>
        <v>1320.877659574468</v>
      </c>
      <c r="S85" s="1095"/>
      <c r="T85" s="1097">
        <f t="shared" ca="1" si="13"/>
        <v>0</v>
      </c>
      <c r="AD85" s="1084" t="s">
        <v>3326</v>
      </c>
    </row>
    <row r="86" spans="1:30" s="901" customFormat="1">
      <c r="A86" s="1056">
        <f ca="1">$Q$79 *(1/1.64)</f>
        <v>0.99896211728074724</v>
      </c>
      <c r="B86" s="901" t="s">
        <v>2755</v>
      </c>
      <c r="D86" s="901" t="s">
        <v>3325</v>
      </c>
      <c r="F86" s="901" t="s">
        <v>3666</v>
      </c>
      <c r="G86" s="941" t="s">
        <v>3324</v>
      </c>
      <c r="H86" s="942">
        <v>845</v>
      </c>
      <c r="I86" s="901" t="s">
        <v>2607</v>
      </c>
      <c r="O86" s="943">
        <v>3</v>
      </c>
      <c r="P86" s="944">
        <v>39713</v>
      </c>
      <c r="Q86" s="1205">
        <f>0.41 *(215/8*25)</f>
        <v>275.46875</v>
      </c>
      <c r="R86" s="946">
        <f t="shared" ca="1" si="12"/>
        <v>275.18284574468083</v>
      </c>
      <c r="S86" s="945"/>
      <c r="T86" s="947">
        <f t="shared" ca="1" si="13"/>
        <v>0</v>
      </c>
      <c r="AD86" s="901" t="s">
        <v>3666</v>
      </c>
    </row>
    <row r="87" spans="1:30" s="520" customFormat="1">
      <c r="A87" s="748"/>
      <c r="B87" s="3"/>
      <c r="C87" s="3"/>
      <c r="D87" s="1062" t="s">
        <v>3316</v>
      </c>
      <c r="E87" s="3"/>
      <c r="F87" s="3"/>
      <c r="G87" s="3"/>
      <c r="H87" s="3"/>
      <c r="I87" s="3"/>
      <c r="J87" s="3"/>
      <c r="K87" s="3"/>
      <c r="L87" s="3"/>
      <c r="M87" s="3"/>
      <c r="N87" s="3"/>
      <c r="O87" s="107"/>
      <c r="P87" s="3"/>
      <c r="Q87" s="3"/>
      <c r="R87" s="3"/>
      <c r="S87" s="3"/>
      <c r="T87" s="3"/>
      <c r="AD87" s="3"/>
    </row>
    <row r="88" spans="1:30" s="520" customFormat="1">
      <c r="A88" s="758"/>
      <c r="B88" s="3"/>
      <c r="C88" s="758" t="s">
        <v>171</v>
      </c>
      <c r="D88" s="3"/>
      <c r="E88" s="758"/>
      <c r="F88" s="753"/>
      <c r="G88" s="758"/>
      <c r="H88" s="758"/>
      <c r="I88" s="519"/>
      <c r="J88" s="758"/>
      <c r="K88" s="758"/>
      <c r="L88" s="758"/>
      <c r="M88" s="758"/>
      <c r="N88" s="758"/>
      <c r="O88" s="758"/>
      <c r="P88" s="758"/>
      <c r="Q88" s="519"/>
      <c r="R88" s="917">
        <f t="shared" ref="R88" si="14">$A88*Q88</f>
        <v>0</v>
      </c>
      <c r="S88" s="519"/>
      <c r="T88" s="760">
        <f t="shared" ref="T88" si="15">$A88*S88*$T$1</f>
        <v>0</v>
      </c>
      <c r="AD88" s="753"/>
    </row>
    <row r="89" spans="1:30" s="520" customFormat="1" ht="12.6" thickBot="1">
      <c r="A89" s="761" t="s">
        <v>145</v>
      </c>
      <c r="B89" s="762">
        <f>(R88+T88)</f>
        <v>0</v>
      </c>
      <c r="C89" s="763"/>
      <c r="D89" s="937" t="s">
        <v>172</v>
      </c>
      <c r="E89" s="477">
        <f ca="1">IF($B79=0,0,ROUND(ROUND(($R89*$S$2+($T89*$T$2))/$B79, 2)*$C$2,2))</f>
        <v>150.41</v>
      </c>
      <c r="F89" s="478">
        <f ca="1">ROUND($B79*$E89,2)</f>
        <v>11581.57</v>
      </c>
      <c r="G89" s="763"/>
      <c r="H89" s="763"/>
      <c r="I89" s="765"/>
      <c r="J89" s="763"/>
      <c r="K89" s="938" t="s">
        <v>143</v>
      </c>
      <c r="L89" s="766" t="s">
        <v>143</v>
      </c>
      <c r="M89" s="766"/>
      <c r="N89" s="766"/>
      <c r="O89" s="766"/>
      <c r="P89" s="766"/>
      <c r="Q89" s="938"/>
      <c r="R89" s="939">
        <f ca="1">SUM(R80:R88)</f>
        <v>4410.8200797872341</v>
      </c>
      <c r="S89" s="940"/>
      <c r="T89" s="939">
        <f ca="1">SUM(T80:T88)</f>
        <v>181.89775531914893</v>
      </c>
      <c r="U89" s="531"/>
      <c r="V89" s="531"/>
      <c r="W89" s="531"/>
      <c r="X89" s="531"/>
      <c r="Y89" s="531"/>
      <c r="Z89" s="531"/>
      <c r="AA89" s="531"/>
      <c r="AB89" s="531"/>
      <c r="AD89" s="478">
        <v>16396.38</v>
      </c>
    </row>
    <row r="90" spans="1:30" s="520" customFormat="1" ht="12" thickTop="1">
      <c r="A90" s="51"/>
      <c r="B90" s="51"/>
      <c r="C90" s="51"/>
      <c r="D90" s="51"/>
      <c r="E90" s="51"/>
      <c r="F90" s="51"/>
      <c r="G90" s="51"/>
      <c r="H90" s="51"/>
      <c r="I90" s="51"/>
      <c r="J90" s="51"/>
      <c r="K90" s="51"/>
      <c r="L90" s="51"/>
      <c r="M90" s="51"/>
      <c r="N90" s="51"/>
      <c r="O90" s="52"/>
      <c r="P90" s="51"/>
      <c r="Q90" s="42" t="s">
        <v>168</v>
      </c>
      <c r="R90" s="51"/>
      <c r="S90" s="13"/>
      <c r="T90" s="51"/>
      <c r="AD90" s="51"/>
    </row>
    <row r="91" spans="1:30" s="520" customFormat="1" ht="12" customHeight="1" thickBot="1">
      <c r="A91" s="927">
        <v>140</v>
      </c>
      <c r="B91" s="928">
        <f ca="1">Elec_Est!B11553</f>
        <v>140</v>
      </c>
      <c r="C91" s="929"/>
      <c r="D91" s="930" t="s">
        <v>3510</v>
      </c>
      <c r="E91" s="931"/>
      <c r="F91" s="931"/>
      <c r="G91" s="752"/>
      <c r="H91" s="752"/>
      <c r="I91" s="932"/>
      <c r="J91" s="752"/>
      <c r="K91" s="929" t="s">
        <v>169</v>
      </c>
      <c r="L91" s="933" t="s">
        <v>169</v>
      </c>
      <c r="M91" s="933"/>
      <c r="N91" s="933"/>
      <c r="O91" s="933"/>
      <c r="P91" s="933"/>
      <c r="Q91" s="934">
        <f ca="1">B91/A91</f>
        <v>1</v>
      </c>
      <c r="R91" s="935">
        <f ca="1">IF($B91=0,0,IF($S$1="R",ROUND(R101/$B91,2),R101/$B91))</f>
        <v>28.4</v>
      </c>
      <c r="S91" s="936"/>
      <c r="T91" s="935">
        <f ca="1">IF($B91=0,0,IF($S$1="R",ROUND(T101/$B91,2),T101/$B91))</f>
        <v>1.04</v>
      </c>
      <c r="AD91" s="931"/>
    </row>
    <row r="92" spans="1:30" s="520" customFormat="1" ht="13.8" thickTop="1">
      <c r="A92" s="748"/>
      <c r="B92" s="3"/>
      <c r="C92" s="3"/>
      <c r="D92" s="106" t="s">
        <v>170</v>
      </c>
      <c r="E92" s="3"/>
      <c r="F92" s="3"/>
      <c r="G92" s="3"/>
      <c r="H92" s="3"/>
      <c r="I92" s="3"/>
      <c r="J92" s="3"/>
      <c r="K92" s="3"/>
      <c r="L92" s="3"/>
      <c r="M92" s="3"/>
      <c r="N92" s="3"/>
      <c r="O92" s="107"/>
      <c r="P92" s="3"/>
      <c r="Q92" s="3"/>
      <c r="R92" s="3"/>
      <c r="S92" s="3"/>
      <c r="T92" s="3"/>
      <c r="AD92" s="3"/>
    </row>
    <row r="93" spans="1:30" s="520" customFormat="1">
      <c r="A93" s="748"/>
      <c r="B93" s="3"/>
      <c r="C93" s="3"/>
      <c r="D93" s="1062" t="s">
        <v>3217</v>
      </c>
      <c r="E93" s="3"/>
      <c r="F93" s="3"/>
      <c r="G93" s="3"/>
      <c r="H93" s="3"/>
      <c r="I93" s="3"/>
      <c r="J93" s="3"/>
      <c r="K93" s="3"/>
      <c r="L93" s="3"/>
      <c r="M93" s="3"/>
      <c r="N93" s="3"/>
      <c r="O93" s="107"/>
      <c r="P93" s="3"/>
      <c r="Q93" s="3"/>
      <c r="R93" s="3"/>
      <c r="S93" s="3"/>
      <c r="T93" s="3"/>
      <c r="AD93" s="3"/>
    </row>
    <row r="94" spans="1:30" s="901" customFormat="1">
      <c r="A94" s="1057">
        <f ca="1">$Q$91 *(9*9*2)</f>
        <v>162</v>
      </c>
      <c r="B94" s="901" t="s">
        <v>141</v>
      </c>
      <c r="D94" s="901" t="s">
        <v>3218</v>
      </c>
      <c r="F94" s="901" t="s">
        <v>3422</v>
      </c>
      <c r="G94" s="941" t="s">
        <v>3219</v>
      </c>
      <c r="H94" s="942">
        <v>501</v>
      </c>
      <c r="I94" s="901" t="s">
        <v>3121</v>
      </c>
      <c r="J94" s="901" t="s">
        <v>3220</v>
      </c>
      <c r="K94" s="901" t="s">
        <v>3221</v>
      </c>
      <c r="O94" s="943">
        <v>1</v>
      </c>
      <c r="P94" s="944">
        <v>38302</v>
      </c>
      <c r="Q94" s="1197">
        <v>5</v>
      </c>
      <c r="R94" s="946">
        <f t="shared" ref="R94:R96" ca="1" si="16">$A94*Q94</f>
        <v>810</v>
      </c>
      <c r="S94" s="945"/>
      <c r="T94" s="947">
        <f t="shared" ref="T94:T96" ca="1" si="17">$A94*S94*$T$1</f>
        <v>0</v>
      </c>
      <c r="AD94" s="901" t="s">
        <v>3422</v>
      </c>
    </row>
    <row r="95" spans="1:30" s="901" customFormat="1">
      <c r="A95" s="1057">
        <f ca="1">$Q$91 *(9*45*2)</f>
        <v>810</v>
      </c>
      <c r="B95" s="901" t="s">
        <v>320</v>
      </c>
      <c r="D95" s="901" t="s">
        <v>3138</v>
      </c>
      <c r="E95" s="901" t="s">
        <v>3124</v>
      </c>
      <c r="F95" s="901" t="s">
        <v>3318</v>
      </c>
      <c r="G95" s="941" t="s">
        <v>3222</v>
      </c>
      <c r="H95" s="942">
        <v>501</v>
      </c>
      <c r="I95" s="901" t="s">
        <v>3121</v>
      </c>
      <c r="J95" s="901" t="s">
        <v>3140</v>
      </c>
      <c r="K95" s="901" t="s">
        <v>3141</v>
      </c>
      <c r="O95" s="943">
        <v>1</v>
      </c>
      <c r="P95" s="944">
        <v>36175</v>
      </c>
      <c r="Q95" s="945">
        <f>ROUNDUP(2.07*1.145,2)</f>
        <v>2.38</v>
      </c>
      <c r="R95" s="946">
        <f t="shared" ca="1" si="16"/>
        <v>1927.8</v>
      </c>
      <c r="S95" s="1205">
        <v>0.2</v>
      </c>
      <c r="T95" s="947">
        <f t="shared" ca="1" si="17"/>
        <v>145.80000000000001</v>
      </c>
      <c r="X95" s="901">
        <v>0.25</v>
      </c>
      <c r="AD95" s="901" t="s">
        <v>3318</v>
      </c>
    </row>
    <row r="96" spans="1:30" s="901" customFormat="1">
      <c r="A96" s="1057">
        <f ca="1">$Q$91 *(9*2*2)</f>
        <v>36</v>
      </c>
      <c r="B96" s="901" t="s">
        <v>141</v>
      </c>
      <c r="D96" s="901" t="s">
        <v>3146</v>
      </c>
      <c r="G96" s="941" t="s">
        <v>3147</v>
      </c>
      <c r="H96" s="942">
        <v>501</v>
      </c>
      <c r="I96" s="901" t="s">
        <v>2607</v>
      </c>
      <c r="K96" s="901" t="s">
        <v>3148</v>
      </c>
      <c r="O96" s="943">
        <v>1</v>
      </c>
      <c r="P96" s="944"/>
      <c r="Q96" s="945">
        <v>0.35</v>
      </c>
      <c r="R96" s="946">
        <f t="shared" ca="1" si="16"/>
        <v>12.6</v>
      </c>
      <c r="S96" s="945"/>
      <c r="T96" s="947">
        <f t="shared" ca="1" si="17"/>
        <v>0</v>
      </c>
    </row>
    <row r="97" spans="1:30" s="901" customFormat="1">
      <c r="A97" s="1057">
        <f ca="1">$Q$91 *(9*9)</f>
        <v>81</v>
      </c>
      <c r="B97" s="901" t="s">
        <v>141</v>
      </c>
      <c r="D97" s="901" t="s">
        <v>3302</v>
      </c>
      <c r="F97" s="901" t="s">
        <v>3275</v>
      </c>
      <c r="G97" s="941" t="s">
        <v>3132</v>
      </c>
      <c r="H97" s="942">
        <v>900</v>
      </c>
      <c r="I97" s="901" t="s">
        <v>2596</v>
      </c>
      <c r="O97" s="943">
        <v>1</v>
      </c>
      <c r="P97" s="944"/>
      <c r="Q97" s="1063"/>
      <c r="R97" s="946">
        <f ca="1">$A97*Q97</f>
        <v>0</v>
      </c>
      <c r="S97" s="945"/>
      <c r="T97" s="947">
        <f ca="1">$A97*S97*$T$1</f>
        <v>0</v>
      </c>
      <c r="U97" s="901" t="s">
        <v>2764</v>
      </c>
      <c r="AD97" s="901" t="s">
        <v>3275</v>
      </c>
    </row>
    <row r="98" spans="1:30" s="901" customFormat="1">
      <c r="A98" s="1098">
        <f ca="1">$Q$91 *(1)</f>
        <v>1</v>
      </c>
      <c r="B98" s="1084" t="s">
        <v>863</v>
      </c>
      <c r="C98" s="1084"/>
      <c r="D98" s="1084" t="s">
        <v>2752</v>
      </c>
      <c r="E98" s="1084"/>
      <c r="F98" s="1084" t="s">
        <v>3326</v>
      </c>
      <c r="G98" s="1091" t="s">
        <v>2754</v>
      </c>
      <c r="H98" s="1092">
        <v>962</v>
      </c>
      <c r="I98" s="1084" t="s">
        <v>2596</v>
      </c>
      <c r="J98" s="1084"/>
      <c r="K98" s="1084"/>
      <c r="L98" s="1084"/>
      <c r="M98" s="1084"/>
      <c r="N98" s="1084"/>
      <c r="O98" s="1093">
        <v>2</v>
      </c>
      <c r="P98" s="1094">
        <v>38129</v>
      </c>
      <c r="Q98" s="1205">
        <f>0.41 *(1 *(165/8*120))</f>
        <v>1014.7499999999999</v>
      </c>
      <c r="R98" s="1096">
        <f ca="1">$A98*Q98</f>
        <v>1014.7499999999999</v>
      </c>
      <c r="S98" s="1095"/>
      <c r="T98" s="1097">
        <f ca="1">$A98*S98*$T$1</f>
        <v>0</v>
      </c>
      <c r="AD98" s="1084" t="s">
        <v>3326</v>
      </c>
    </row>
    <row r="99" spans="1:30" s="901" customFormat="1">
      <c r="A99" s="1098">
        <f ca="1">$Q$91 *(1)</f>
        <v>1</v>
      </c>
      <c r="B99" s="901" t="s">
        <v>2755</v>
      </c>
      <c r="D99" s="901" t="s">
        <v>3325</v>
      </c>
      <c r="F99" s="901" t="s">
        <v>3666</v>
      </c>
      <c r="G99" s="941" t="s">
        <v>3324</v>
      </c>
      <c r="H99" s="942">
        <v>845</v>
      </c>
      <c r="I99" s="901" t="s">
        <v>2607</v>
      </c>
      <c r="O99" s="943">
        <v>3</v>
      </c>
      <c r="P99" s="944">
        <v>39713</v>
      </c>
      <c r="Q99" s="1205">
        <f>0.41 *(165/8*25)</f>
        <v>211.40625</v>
      </c>
      <c r="R99" s="946">
        <f ca="1">$A99*Q99</f>
        <v>211.40625</v>
      </c>
      <c r="S99" s="945"/>
      <c r="T99" s="947">
        <f ca="1">$A99*S99*$T$1</f>
        <v>0</v>
      </c>
      <c r="AD99" s="901" t="s">
        <v>3666</v>
      </c>
    </row>
    <row r="100" spans="1:30" s="520" customFormat="1">
      <c r="A100" s="758"/>
      <c r="B100" s="3"/>
      <c r="C100" s="758" t="s">
        <v>171</v>
      </c>
      <c r="D100" s="3"/>
      <c r="E100" s="758"/>
      <c r="F100" s="753"/>
      <c r="G100" s="758"/>
      <c r="H100" s="758"/>
      <c r="I100" s="519"/>
      <c r="J100" s="758"/>
      <c r="K100" s="758"/>
      <c r="L100" s="758"/>
      <c r="M100" s="758"/>
      <c r="N100" s="758"/>
      <c r="O100" s="758"/>
      <c r="P100" s="758"/>
      <c r="Q100" s="519"/>
      <c r="R100" s="917">
        <f t="shared" ref="R100" si="18">$A100*Q100</f>
        <v>0</v>
      </c>
      <c r="S100" s="519"/>
      <c r="T100" s="760">
        <f t="shared" ref="T100" si="19">$A100*S100*$T$1</f>
        <v>0</v>
      </c>
      <c r="AD100" s="753"/>
    </row>
    <row r="101" spans="1:30" s="520" customFormat="1" ht="12.6" thickBot="1">
      <c r="A101" s="761" t="s">
        <v>145</v>
      </c>
      <c r="B101" s="762">
        <f>(R100+T100)</f>
        <v>0</v>
      </c>
      <c r="C101" s="763"/>
      <c r="D101" s="937" t="s">
        <v>172</v>
      </c>
      <c r="E101" s="477">
        <f ca="1">IF($B91=0,0,ROUND(ROUND(($R101*$S$2+($T101*$T$2))/$B91, 2)*$C$2,2))</f>
        <v>70.19</v>
      </c>
      <c r="F101" s="478">
        <f ca="1">ROUND($B91*$E101,2)</f>
        <v>9826.6</v>
      </c>
      <c r="G101" s="763"/>
      <c r="H101" s="763"/>
      <c r="I101" s="765"/>
      <c r="J101" s="763"/>
      <c r="K101" s="938" t="s">
        <v>143</v>
      </c>
      <c r="L101" s="766" t="s">
        <v>143</v>
      </c>
      <c r="M101" s="766"/>
      <c r="N101" s="766"/>
      <c r="O101" s="766"/>
      <c r="P101" s="766"/>
      <c r="Q101" s="938"/>
      <c r="R101" s="939">
        <f ca="1">SUM(R92:R100)</f>
        <v>3976.5562500000001</v>
      </c>
      <c r="S101" s="940"/>
      <c r="T101" s="939">
        <f ca="1">SUM(T92:T100)</f>
        <v>145.80000000000001</v>
      </c>
      <c r="U101" s="531"/>
      <c r="V101" s="531"/>
      <c r="W101" s="531"/>
      <c r="X101" s="531"/>
      <c r="Y101" s="531"/>
      <c r="Z101" s="531"/>
      <c r="AA101" s="531"/>
      <c r="AB101" s="531"/>
      <c r="AD101" s="478">
        <v>13069</v>
      </c>
    </row>
    <row r="102" spans="1:30" s="520" customFormat="1" ht="12" thickTop="1">
      <c r="A102" s="51"/>
      <c r="B102" s="51"/>
      <c r="C102" s="51"/>
      <c r="D102" s="51"/>
      <c r="E102" s="51"/>
      <c r="F102" s="51"/>
      <c r="G102" s="51"/>
      <c r="H102" s="51"/>
      <c r="I102" s="51"/>
      <c r="J102" s="51"/>
      <c r="K102" s="51"/>
      <c r="L102" s="51"/>
      <c r="M102" s="51"/>
      <c r="N102" s="51"/>
      <c r="O102" s="52"/>
      <c r="P102" s="51"/>
      <c r="Q102" s="42" t="s">
        <v>168</v>
      </c>
      <c r="R102" s="51"/>
      <c r="S102" s="13"/>
      <c r="T102" s="51"/>
      <c r="AD102" s="51"/>
    </row>
    <row r="103" spans="1:30" s="520" customFormat="1" ht="12" customHeight="1" thickBot="1">
      <c r="A103" s="927">
        <v>9</v>
      </c>
      <c r="B103" s="928">
        <f ca="1">Elec_Est!B11554</f>
        <v>65</v>
      </c>
      <c r="C103" s="929"/>
      <c r="D103" s="930" t="s">
        <v>3511</v>
      </c>
      <c r="E103" s="931"/>
      <c r="F103" s="1213" t="s">
        <v>3793</v>
      </c>
      <c r="G103" s="752"/>
      <c r="H103" s="752"/>
      <c r="I103" s="932"/>
      <c r="J103" s="752"/>
      <c r="K103" s="929" t="s">
        <v>169</v>
      </c>
      <c r="L103" s="933" t="s">
        <v>169</v>
      </c>
      <c r="M103" s="933"/>
      <c r="N103" s="933"/>
      <c r="O103" s="933"/>
      <c r="P103" s="933"/>
      <c r="Q103" s="934">
        <f ca="1">B103/A103</f>
        <v>7.2222222222222223</v>
      </c>
      <c r="R103" s="935">
        <f ca="1">IF($B103=0,0,IF($S$1="R",ROUND(R110/$B103,2),R110/$B103))</f>
        <v>44.58</v>
      </c>
      <c r="S103" s="936"/>
      <c r="T103" s="935">
        <f ca="1">IF($B103=0,0,IF($S$1="R",ROUND(T110/$B103,2),T110/$B103))</f>
        <v>2.87</v>
      </c>
      <c r="AD103" s="931"/>
    </row>
    <row r="104" spans="1:30" s="520" customFormat="1" ht="13.8" thickTop="1">
      <c r="A104" s="748"/>
      <c r="B104" s="3"/>
      <c r="C104" s="3"/>
      <c r="D104" s="106" t="s">
        <v>170</v>
      </c>
      <c r="E104" s="3"/>
      <c r="F104" s="1090" t="s">
        <v>3301</v>
      </c>
      <c r="G104" s="3"/>
      <c r="H104" s="3"/>
      <c r="I104" s="3"/>
      <c r="J104" s="3"/>
      <c r="K104" s="3"/>
      <c r="L104" s="3"/>
      <c r="M104" s="3"/>
      <c r="N104" s="3"/>
      <c r="O104" s="107"/>
      <c r="P104" s="3"/>
      <c r="Q104" s="3"/>
      <c r="R104" s="3"/>
      <c r="S104" s="3"/>
      <c r="T104" s="3"/>
      <c r="AD104" s="1090" t="s">
        <v>3301</v>
      </c>
    </row>
    <row r="105" spans="1:30" s="901" customFormat="1">
      <c r="A105" s="1056">
        <f ca="1">$Q$103 *(85)</f>
        <v>613.88888888888891</v>
      </c>
      <c r="B105" s="901" t="s">
        <v>320</v>
      </c>
      <c r="D105" s="901" t="s">
        <v>2951</v>
      </c>
      <c r="G105" s="941" t="s">
        <v>2952</v>
      </c>
      <c r="H105" s="942">
        <v>690</v>
      </c>
      <c r="I105" s="901" t="s">
        <v>2946</v>
      </c>
      <c r="J105" s="901" t="s">
        <v>2953</v>
      </c>
      <c r="O105" s="943">
        <v>1</v>
      </c>
      <c r="P105" s="944">
        <v>34669</v>
      </c>
      <c r="Q105" s="1197">
        <v>3.03</v>
      </c>
      <c r="R105" s="946">
        <f ca="1">$A105*Q105</f>
        <v>1860.0833333333333</v>
      </c>
      <c r="S105" s="945">
        <v>0.2</v>
      </c>
      <c r="T105" s="947">
        <f ca="1">$A105*S105*$T$1</f>
        <v>110.50000000000001</v>
      </c>
    </row>
    <row r="106" spans="1:30" s="901" customFormat="1">
      <c r="A106" s="1057">
        <f ca="1">$Q$103 *((660))</f>
        <v>4766.666666666667</v>
      </c>
      <c r="B106" s="901" t="s">
        <v>320</v>
      </c>
      <c r="D106" s="901" t="s">
        <v>2954</v>
      </c>
      <c r="E106" s="901" t="s">
        <v>3211</v>
      </c>
      <c r="F106" s="901" t="s">
        <v>3299</v>
      </c>
      <c r="G106" s="941" t="s">
        <v>2955</v>
      </c>
      <c r="H106" s="942">
        <v>615</v>
      </c>
      <c r="I106" s="901" t="s">
        <v>2272</v>
      </c>
      <c r="K106" s="901" t="s">
        <v>2956</v>
      </c>
      <c r="O106" s="943">
        <v>2</v>
      </c>
      <c r="P106" s="944">
        <v>38988</v>
      </c>
      <c r="Q106" s="1194">
        <f>0.2*0.95</f>
        <v>0.19</v>
      </c>
      <c r="R106" s="946">
        <f ca="1">$A106*Q106</f>
        <v>905.66666666666674</v>
      </c>
      <c r="S106" s="945">
        <v>1.4999999999999999E-2</v>
      </c>
      <c r="T106" s="947">
        <f ca="1">$A106*S106*$T$1</f>
        <v>64.350000000000009</v>
      </c>
      <c r="AD106" s="901" t="s">
        <v>3299</v>
      </c>
    </row>
    <row r="107" spans="1:30" s="901" customFormat="1">
      <c r="A107" s="1056">
        <f ca="1">$Q$103 *(9)</f>
        <v>65</v>
      </c>
      <c r="B107" s="901" t="s">
        <v>141</v>
      </c>
      <c r="D107" s="901" t="s">
        <v>3212</v>
      </c>
      <c r="G107" s="941" t="s">
        <v>3213</v>
      </c>
      <c r="H107" s="942">
        <v>705</v>
      </c>
      <c r="I107" s="901" t="s">
        <v>2607</v>
      </c>
      <c r="J107" s="901" t="s">
        <v>3214</v>
      </c>
      <c r="O107" s="943">
        <v>3</v>
      </c>
      <c r="P107" s="944">
        <v>39128</v>
      </c>
      <c r="Q107" s="945">
        <v>0.93</v>
      </c>
      <c r="R107" s="946">
        <f ca="1">$A107*Q107</f>
        <v>60.45</v>
      </c>
      <c r="S107" s="945">
        <v>0.17</v>
      </c>
      <c r="T107" s="947">
        <f ca="1">$A107*S107*$T$1</f>
        <v>9.9450000000000003</v>
      </c>
    </row>
    <row r="108" spans="1:30" s="901" customFormat="1">
      <c r="A108" s="1056">
        <f ca="1">$Q$103 *(9)</f>
        <v>65</v>
      </c>
      <c r="B108" s="901" t="s">
        <v>320</v>
      </c>
      <c r="D108" s="901" t="s">
        <v>3098</v>
      </c>
      <c r="G108" s="941" t="s">
        <v>3099</v>
      </c>
      <c r="H108" s="942">
        <v>616</v>
      </c>
      <c r="I108" s="901" t="s">
        <v>2272</v>
      </c>
      <c r="J108" s="901" t="s">
        <v>3100</v>
      </c>
      <c r="K108" s="901" t="s">
        <v>3101</v>
      </c>
      <c r="O108" s="943">
        <v>2</v>
      </c>
      <c r="P108" s="944">
        <v>40767</v>
      </c>
      <c r="Q108" s="945">
        <v>1.1000000000000001</v>
      </c>
      <c r="R108" s="946">
        <f ca="1">$A108*Q108</f>
        <v>71.5</v>
      </c>
      <c r="S108" s="945">
        <v>2.5000000000000001E-2</v>
      </c>
      <c r="T108" s="947">
        <f ca="1">$A108*S108*$T$1</f>
        <v>1.4625000000000001</v>
      </c>
    </row>
    <row r="109" spans="1:30" s="520" customFormat="1">
      <c r="A109" s="758"/>
      <c r="B109" s="3"/>
      <c r="C109" s="758" t="s">
        <v>171</v>
      </c>
      <c r="D109" s="3"/>
      <c r="E109" s="758"/>
      <c r="F109" s="753"/>
      <c r="G109" s="758"/>
      <c r="H109" s="758"/>
      <c r="I109" s="519"/>
      <c r="J109" s="758"/>
      <c r="K109" s="758"/>
      <c r="L109" s="758"/>
      <c r="M109" s="758"/>
      <c r="N109" s="758"/>
      <c r="O109" s="758"/>
      <c r="P109" s="758"/>
      <c r="Q109" s="519"/>
      <c r="R109" s="917">
        <f t="shared" ref="R109" si="20">$A109*Q109</f>
        <v>0</v>
      </c>
      <c r="S109" s="519"/>
      <c r="T109" s="760">
        <f t="shared" ref="T109" si="21">$A109*S109*$T$1</f>
        <v>0</v>
      </c>
      <c r="AD109" s="753"/>
    </row>
    <row r="110" spans="1:30" s="520" customFormat="1" ht="12.6" thickBot="1">
      <c r="A110" s="761" t="s">
        <v>145</v>
      </c>
      <c r="B110" s="762">
        <f>(R109+T109)</f>
        <v>0</v>
      </c>
      <c r="C110" s="763"/>
      <c r="D110" s="937" t="s">
        <v>172</v>
      </c>
      <c r="E110" s="477">
        <f ca="1">IF($B103=0,0,ROUND(ROUND(($R110*$S$2+($T110*$T$2))/$B103, 2)*$C$2,2))</f>
        <v>151.78</v>
      </c>
      <c r="F110" s="478">
        <f ca="1">ROUND($B103*$E110,2)</f>
        <v>9865.7000000000007</v>
      </c>
      <c r="G110" s="763"/>
      <c r="H110" s="763"/>
      <c r="I110" s="765"/>
      <c r="J110" s="763"/>
      <c r="K110" s="938" t="s">
        <v>143</v>
      </c>
      <c r="L110" s="766" t="s">
        <v>143</v>
      </c>
      <c r="M110" s="766"/>
      <c r="N110" s="766"/>
      <c r="O110" s="766"/>
      <c r="P110" s="766"/>
      <c r="Q110" s="938"/>
      <c r="R110" s="939">
        <f ca="1">SUM(R104:R109)</f>
        <v>2897.7</v>
      </c>
      <c r="S110" s="940"/>
      <c r="T110" s="939">
        <f ca="1">SUM(T104:T109)</f>
        <v>186.25750000000002</v>
      </c>
      <c r="U110" s="531"/>
      <c r="V110" s="531"/>
      <c r="W110" s="531"/>
      <c r="X110" s="531"/>
      <c r="Y110" s="531"/>
      <c r="Z110" s="531"/>
      <c r="AA110" s="531"/>
      <c r="AB110" s="531"/>
      <c r="AD110" s="478">
        <v>11005.8</v>
      </c>
    </row>
    <row r="111" spans="1:30" s="520" customFormat="1" ht="12" thickTop="1">
      <c r="A111" s="51"/>
      <c r="B111" s="51"/>
      <c r="C111" s="51"/>
      <c r="D111" s="51"/>
      <c r="E111" s="51"/>
      <c r="F111" s="51"/>
      <c r="G111" s="51"/>
      <c r="H111" s="51"/>
      <c r="I111" s="51"/>
      <c r="J111" s="51"/>
      <c r="K111" s="51"/>
      <c r="L111" s="51"/>
      <c r="M111" s="51"/>
      <c r="N111" s="51"/>
      <c r="O111" s="52"/>
      <c r="P111" s="51"/>
      <c r="Q111" s="42" t="s">
        <v>168</v>
      </c>
      <c r="R111" s="51"/>
      <c r="S111" s="13"/>
      <c r="T111" s="51"/>
      <c r="AD111" s="51"/>
    </row>
    <row r="112" spans="1:30" s="520" customFormat="1" ht="12" customHeight="1" thickBot="1">
      <c r="A112" s="927">
        <f>4+5+5+4+6</f>
        <v>24</v>
      </c>
      <c r="B112" s="928">
        <f ca="1">Elec_Est!B11555</f>
        <v>58</v>
      </c>
      <c r="C112" s="929"/>
      <c r="D112" s="930" t="s">
        <v>3512</v>
      </c>
      <c r="E112" s="931"/>
      <c r="F112" s="1213" t="s">
        <v>3793</v>
      </c>
      <c r="G112" s="752"/>
      <c r="H112" s="752"/>
      <c r="I112" s="932"/>
      <c r="J112" s="752"/>
      <c r="K112" s="929" t="s">
        <v>169</v>
      </c>
      <c r="L112" s="933" t="s">
        <v>169</v>
      </c>
      <c r="M112" s="933"/>
      <c r="N112" s="933"/>
      <c r="O112" s="933"/>
      <c r="P112" s="933"/>
      <c r="Q112" s="934">
        <f ca="1">B112/A112</f>
        <v>2.4166666666666665</v>
      </c>
      <c r="R112" s="935">
        <f ca="1">IF($B112=0,0,IF($S$1="R",ROUND(R118/$B112,2),R118/$B112))</f>
        <v>64.069999999999993</v>
      </c>
      <c r="S112" s="936"/>
      <c r="T112" s="935">
        <f ca="1">IF($B112=0,0,IF($S$1="R",ROUND(T118/$B112,2),T118/$B112))</f>
        <v>3.02</v>
      </c>
      <c r="AD112" s="931"/>
    </row>
    <row r="113" spans="1:30" s="520" customFormat="1" ht="13.8" thickTop="1">
      <c r="A113" s="1387">
        <f ca="1">$Q$112 *((A114+A115)/B112)</f>
        <v>20.84375</v>
      </c>
      <c r="B113" s="3"/>
      <c r="C113" s="3"/>
      <c r="D113" s="106" t="s">
        <v>170</v>
      </c>
      <c r="E113" s="3"/>
      <c r="F113" s="1090"/>
      <c r="G113" s="3"/>
      <c r="H113" s="3"/>
      <c r="I113" s="3"/>
      <c r="J113" s="3"/>
      <c r="K113" s="3"/>
      <c r="L113" s="3"/>
      <c r="M113" s="3"/>
      <c r="N113" s="3"/>
      <c r="O113" s="107"/>
      <c r="P113" s="3"/>
      <c r="Q113" s="3"/>
      <c r="R113" s="3"/>
      <c r="S113" s="3"/>
      <c r="T113" s="3"/>
      <c r="AD113" s="1090"/>
    </row>
    <row r="114" spans="1:30" s="901" customFormat="1">
      <c r="A114" s="1057">
        <f ca="1">$Q$112 *(30+15+5+13+15)</f>
        <v>188.5</v>
      </c>
      <c r="B114" s="901" t="s">
        <v>320</v>
      </c>
      <c r="D114" s="901" t="s">
        <v>2944</v>
      </c>
      <c r="G114" s="941" t="s">
        <v>2945</v>
      </c>
      <c r="H114" s="942">
        <v>690</v>
      </c>
      <c r="I114" s="901" t="s">
        <v>2946</v>
      </c>
      <c r="J114" s="901" t="s">
        <v>2947</v>
      </c>
      <c r="O114" s="943">
        <v>1</v>
      </c>
      <c r="P114" s="944">
        <v>34669</v>
      </c>
      <c r="Q114" s="1197">
        <v>3.8</v>
      </c>
      <c r="R114" s="946">
        <f ca="1">$A114*Q114</f>
        <v>716.3</v>
      </c>
      <c r="S114" s="945">
        <v>0.25</v>
      </c>
      <c r="T114" s="947">
        <f ca="1">$A114*S114*$T$1</f>
        <v>42.412500000000001</v>
      </c>
    </row>
    <row r="115" spans="1:30" s="901" customFormat="1">
      <c r="A115" s="1056">
        <f ca="1">$Q$112 *(58+20+26+25)</f>
        <v>311.75</v>
      </c>
      <c r="B115" s="901" t="s">
        <v>320</v>
      </c>
      <c r="D115" s="901" t="s">
        <v>2951</v>
      </c>
      <c r="G115" s="941" t="s">
        <v>2952</v>
      </c>
      <c r="H115" s="942">
        <v>690</v>
      </c>
      <c r="I115" s="901" t="s">
        <v>2946</v>
      </c>
      <c r="J115" s="901" t="s">
        <v>2953</v>
      </c>
      <c r="O115" s="943">
        <v>1</v>
      </c>
      <c r="P115" s="944">
        <v>34669</v>
      </c>
      <c r="Q115" s="1197">
        <v>3.03</v>
      </c>
      <c r="R115" s="946">
        <f ca="1">$A115*Q115</f>
        <v>944.60249999999996</v>
      </c>
      <c r="S115" s="945">
        <v>0.2</v>
      </c>
      <c r="T115" s="947">
        <f ca="1">$A115*S115*$T$1</f>
        <v>56.115000000000002</v>
      </c>
    </row>
    <row r="116" spans="1:30" s="901" customFormat="1">
      <c r="A116" s="1056">
        <f ca="1">$Q$112 *((360+390+360+420+225))</f>
        <v>4241.25</v>
      </c>
      <c r="B116" s="901" t="s">
        <v>320</v>
      </c>
      <c r="D116" s="901" t="s">
        <v>3215</v>
      </c>
      <c r="E116" s="901" t="s">
        <v>3211</v>
      </c>
      <c r="F116" s="901" t="s">
        <v>3299</v>
      </c>
      <c r="G116" s="941" t="s">
        <v>3216</v>
      </c>
      <c r="H116" s="942">
        <v>615</v>
      </c>
      <c r="I116" s="901" t="s">
        <v>2272</v>
      </c>
      <c r="K116" s="901" t="s">
        <v>3181</v>
      </c>
      <c r="O116" s="943">
        <v>2</v>
      </c>
      <c r="P116" s="944">
        <v>38988</v>
      </c>
      <c r="Q116" s="1194">
        <f>0.51*0.95</f>
        <v>0.48449999999999999</v>
      </c>
      <c r="R116" s="946">
        <f ca="1">$A116*Q116</f>
        <v>2054.8856249999999</v>
      </c>
      <c r="S116" s="945">
        <v>0.02</v>
      </c>
      <c r="T116" s="947">
        <f ca="1">$A116*S116*$T$1</f>
        <v>76.342500000000001</v>
      </c>
      <c r="AD116" s="901" t="s">
        <v>3299</v>
      </c>
    </row>
    <row r="117" spans="1:30" s="520" customFormat="1">
      <c r="A117" s="758"/>
      <c r="B117" s="3"/>
      <c r="C117" s="758" t="s">
        <v>171</v>
      </c>
      <c r="D117" s="3"/>
      <c r="E117" s="758"/>
      <c r="F117" s="753"/>
      <c r="G117" s="758"/>
      <c r="H117" s="758"/>
      <c r="I117" s="519"/>
      <c r="J117" s="758"/>
      <c r="K117" s="758"/>
      <c r="L117" s="758"/>
      <c r="M117" s="758"/>
      <c r="N117" s="758"/>
      <c r="O117" s="758"/>
      <c r="P117" s="758"/>
      <c r="Q117" s="519"/>
      <c r="R117" s="917">
        <f t="shared" ref="R117" si="22">$A117*Q117</f>
        <v>0</v>
      </c>
      <c r="S117" s="519"/>
      <c r="T117" s="760">
        <f t="shared" ref="T117" si="23">$A117*S117*$T$1</f>
        <v>0</v>
      </c>
      <c r="AD117" s="753"/>
    </row>
    <row r="118" spans="1:30" s="520" customFormat="1" ht="12.6" thickBot="1">
      <c r="A118" s="761" t="s">
        <v>145</v>
      </c>
      <c r="B118" s="762">
        <f>(R117+T117)</f>
        <v>0</v>
      </c>
      <c r="C118" s="763"/>
      <c r="D118" s="937" t="s">
        <v>172</v>
      </c>
      <c r="E118" s="477">
        <f ca="1">IF($B112=0,0,ROUND(ROUND(($R118*$S$2+($T118*$T$2))/$B112, 2)*$C$2,2))</f>
        <v>180.83</v>
      </c>
      <c r="F118" s="478">
        <f ca="1">ROUND($B112*$E118,2)</f>
        <v>10488.14</v>
      </c>
      <c r="G118" s="763"/>
      <c r="H118" s="763"/>
      <c r="I118" s="765"/>
      <c r="J118" s="763"/>
      <c r="K118" s="938" t="s">
        <v>143</v>
      </c>
      <c r="L118" s="766" t="s">
        <v>143</v>
      </c>
      <c r="M118" s="766"/>
      <c r="N118" s="766"/>
      <c r="O118" s="766"/>
      <c r="P118" s="766"/>
      <c r="Q118" s="938"/>
      <c r="R118" s="939">
        <f ca="1">SUM(R113:R117)</f>
        <v>3715.788125</v>
      </c>
      <c r="S118" s="940"/>
      <c r="T118" s="939">
        <f ca="1">SUM(T113:T117)</f>
        <v>174.87</v>
      </c>
      <c r="U118" s="531"/>
      <c r="V118" s="531"/>
      <c r="W118" s="531"/>
      <c r="X118" s="531"/>
      <c r="Y118" s="531"/>
      <c r="Z118" s="531"/>
      <c r="AA118" s="531"/>
      <c r="AB118" s="531"/>
      <c r="AD118" s="478">
        <v>14412.24</v>
      </c>
    </row>
    <row r="119" spans="1:30" s="520" customFormat="1" ht="12" thickTop="1">
      <c r="A119" s="51"/>
      <c r="B119" s="51"/>
      <c r="C119" s="51"/>
      <c r="D119" s="51"/>
      <c r="E119" s="51"/>
      <c r="F119" s="51"/>
      <c r="G119" s="51"/>
      <c r="H119" s="51"/>
      <c r="I119" s="51"/>
      <c r="J119" s="51"/>
      <c r="K119" s="51"/>
      <c r="L119" s="51"/>
      <c r="M119" s="51"/>
      <c r="N119" s="51"/>
      <c r="O119" s="52"/>
      <c r="P119" s="51"/>
      <c r="Q119" s="42" t="s">
        <v>168</v>
      </c>
      <c r="R119" s="51"/>
      <c r="S119" s="13"/>
      <c r="T119" s="51"/>
      <c r="AD119" s="51"/>
    </row>
    <row r="120" spans="1:30" s="520" customFormat="1" ht="12" customHeight="1" thickBot="1">
      <c r="A120" s="927">
        <v>6</v>
      </c>
      <c r="B120" s="928">
        <f ca="1">Elec_Est!B11556</f>
        <v>14</v>
      </c>
      <c r="C120" s="929"/>
      <c r="D120" s="930" t="s">
        <v>3513</v>
      </c>
      <c r="E120" s="931"/>
      <c r="F120" s="1213" t="s">
        <v>3793</v>
      </c>
      <c r="G120" s="752"/>
      <c r="H120" s="752"/>
      <c r="I120" s="932"/>
      <c r="J120" s="752"/>
      <c r="K120" s="929" t="s">
        <v>169</v>
      </c>
      <c r="L120" s="933" t="s">
        <v>169</v>
      </c>
      <c r="M120" s="933"/>
      <c r="N120" s="933"/>
      <c r="O120" s="933"/>
      <c r="P120" s="933"/>
      <c r="Q120" s="934">
        <f ca="1">B120/A120</f>
        <v>2.3333333333333335</v>
      </c>
      <c r="R120" s="935">
        <f ca="1">IF($B120=0,0,IF($S$1="R",ROUND(R125/$B120,2),R125/$B120))</f>
        <v>467.96</v>
      </c>
      <c r="S120" s="936"/>
      <c r="T120" s="935">
        <f ca="1">IF($B120=0,0,IF($S$1="R",ROUND(T125/$B120,2),T125/$B120))</f>
        <v>4.99</v>
      </c>
      <c r="AD120" s="931"/>
    </row>
    <row r="121" spans="1:30" s="520" customFormat="1" ht="13.8" thickTop="1">
      <c r="A121" s="748"/>
      <c r="B121" s="3"/>
      <c r="C121" s="3"/>
      <c r="D121" s="106" t="s">
        <v>170</v>
      </c>
      <c r="E121" s="3"/>
      <c r="F121" s="1090"/>
      <c r="G121" s="3"/>
      <c r="H121" s="3"/>
      <c r="I121" s="3"/>
      <c r="J121" s="3"/>
      <c r="K121" s="3"/>
      <c r="L121" s="3"/>
      <c r="M121" s="3"/>
      <c r="N121" s="3"/>
      <c r="O121" s="107"/>
      <c r="P121" s="3"/>
      <c r="Q121" s="3"/>
      <c r="R121" s="3"/>
      <c r="S121" s="3"/>
      <c r="T121" s="3"/>
      <c r="AD121" s="1090"/>
    </row>
    <row r="122" spans="1:30" s="901" customFormat="1" ht="11.4">
      <c r="A122" s="1089">
        <f ca="1">$Q$120 *(15+15+18+18+16+17)</f>
        <v>231.00000000000003</v>
      </c>
      <c r="B122" s="901" t="s">
        <v>320</v>
      </c>
      <c r="D122" s="901" t="s">
        <v>2944</v>
      </c>
      <c r="G122" s="941" t="s">
        <v>2945</v>
      </c>
      <c r="H122" s="942">
        <v>690</v>
      </c>
      <c r="I122" s="901" t="s">
        <v>2946</v>
      </c>
      <c r="J122" s="901" t="s">
        <v>2947</v>
      </c>
      <c r="O122" s="943">
        <v>1</v>
      </c>
      <c r="P122" s="944">
        <v>34669</v>
      </c>
      <c r="Q122" s="1197">
        <v>3.8</v>
      </c>
      <c r="R122" s="946">
        <f ca="1">$A122*Q122</f>
        <v>877.80000000000007</v>
      </c>
      <c r="S122" s="945">
        <v>0.25</v>
      </c>
      <c r="T122" s="947">
        <f ca="1">$A122*S122*$T$1</f>
        <v>51.975000000000009</v>
      </c>
    </row>
    <row r="123" spans="1:30" s="901" customFormat="1" ht="11.4">
      <c r="A123" s="1089">
        <f ca="1">$Q$120 *(77+77+45+47+18+19)</f>
        <v>660.33333333333337</v>
      </c>
      <c r="B123" s="901" t="s">
        <v>320</v>
      </c>
      <c r="D123" s="901" t="s">
        <v>2711</v>
      </c>
      <c r="F123" s="901" t="s">
        <v>3242</v>
      </c>
      <c r="G123" s="941" t="s">
        <v>2712</v>
      </c>
      <c r="H123" s="942">
        <v>616</v>
      </c>
      <c r="I123" s="901" t="s">
        <v>2272</v>
      </c>
      <c r="J123" s="901" t="s">
        <v>2702</v>
      </c>
      <c r="K123" s="901" t="s">
        <v>2713</v>
      </c>
      <c r="O123" s="943">
        <v>2</v>
      </c>
      <c r="P123" s="944"/>
      <c r="Q123" s="1195">
        <f>8.95*0.96</f>
        <v>8.5919999999999987</v>
      </c>
      <c r="R123" s="946">
        <f ca="1">$A123*Q123</f>
        <v>5673.5839999999998</v>
      </c>
      <c r="S123" s="945">
        <v>0.03</v>
      </c>
      <c r="T123" s="947">
        <f ca="1">$A123*S123*$T$1</f>
        <v>17.829000000000001</v>
      </c>
      <c r="V123" s="945">
        <v>8.9499999999999993</v>
      </c>
      <c r="AD123" s="901" t="s">
        <v>3242</v>
      </c>
    </row>
    <row r="124" spans="1:30" s="520" customFormat="1">
      <c r="A124" s="758"/>
      <c r="B124" s="3"/>
      <c r="C124" s="758" t="s">
        <v>171</v>
      </c>
      <c r="D124" s="3"/>
      <c r="E124" s="758"/>
      <c r="F124" s="753"/>
      <c r="G124" s="758"/>
      <c r="H124" s="758"/>
      <c r="I124" s="519"/>
      <c r="J124" s="758"/>
      <c r="K124" s="758"/>
      <c r="L124" s="758"/>
      <c r="M124" s="758"/>
      <c r="N124" s="758"/>
      <c r="O124" s="758"/>
      <c r="P124" s="758"/>
      <c r="Q124" s="519"/>
      <c r="R124" s="917">
        <f t="shared" ref="R124" si="24">$A124*Q124</f>
        <v>0</v>
      </c>
      <c r="S124" s="519"/>
      <c r="T124" s="760">
        <f t="shared" ref="T124" si="25">$A124*S124*$T$1</f>
        <v>0</v>
      </c>
      <c r="AD124" s="753"/>
    </row>
    <row r="125" spans="1:30" s="520" customFormat="1" ht="12.6" thickBot="1">
      <c r="A125" s="761" t="s">
        <v>145</v>
      </c>
      <c r="B125" s="762">
        <f>(R124+T124)</f>
        <v>0</v>
      </c>
      <c r="C125" s="763"/>
      <c r="D125" s="937" t="s">
        <v>172</v>
      </c>
      <c r="E125" s="477">
        <f ca="1">IF($B120=0,0,ROUND(ROUND(($R125*$S$2+($T125*$T$2))/$B120, 2)*$C$2,2))</f>
        <v>744.8</v>
      </c>
      <c r="F125" s="478">
        <f ca="1">ROUND($B120*$E125,2)</f>
        <v>10427.200000000001</v>
      </c>
      <c r="G125" s="763"/>
      <c r="H125" s="763"/>
      <c r="I125" s="765"/>
      <c r="J125" s="763"/>
      <c r="K125" s="938" t="s">
        <v>143</v>
      </c>
      <c r="L125" s="766" t="s">
        <v>143</v>
      </c>
      <c r="M125" s="766"/>
      <c r="N125" s="766"/>
      <c r="O125" s="766"/>
      <c r="P125" s="766"/>
      <c r="Q125" s="938"/>
      <c r="R125" s="939">
        <f ca="1">SUM(R121:R124)</f>
        <v>6551.384</v>
      </c>
      <c r="S125" s="940"/>
      <c r="T125" s="939">
        <f ca="1">SUM(T121:T124)</f>
        <v>69.804000000000002</v>
      </c>
      <c r="U125" s="531"/>
      <c r="V125" s="531"/>
      <c r="W125" s="531"/>
      <c r="X125" s="531"/>
      <c r="Y125" s="531"/>
      <c r="Z125" s="531"/>
      <c r="AA125" s="531"/>
      <c r="AB125" s="531"/>
      <c r="AD125" s="478">
        <v>11438.14</v>
      </c>
    </row>
    <row r="126" spans="1:30" s="520" customFormat="1" ht="12" thickTop="1">
      <c r="A126" s="51"/>
      <c r="B126" s="51"/>
      <c r="C126" s="51"/>
      <c r="D126" s="51"/>
      <c r="E126" s="51"/>
      <c r="F126" s="51"/>
      <c r="G126" s="51"/>
      <c r="H126" s="51"/>
      <c r="I126" s="51"/>
      <c r="J126" s="51"/>
      <c r="K126" s="51"/>
      <c r="L126" s="51"/>
      <c r="M126" s="51"/>
      <c r="N126" s="51"/>
      <c r="O126" s="52"/>
      <c r="P126" s="51"/>
      <c r="Q126" s="42" t="s">
        <v>168</v>
      </c>
      <c r="R126" s="51"/>
      <c r="S126" s="13"/>
      <c r="T126" s="51"/>
      <c r="AD126" s="51"/>
    </row>
    <row r="127" spans="1:30" s="520" customFormat="1" ht="12" customHeight="1" thickBot="1">
      <c r="A127" s="927">
        <v>3</v>
      </c>
      <c r="B127" s="928">
        <f ca="1">Elec_Est!B11557</f>
        <v>5</v>
      </c>
      <c r="C127" s="929"/>
      <c r="D127" s="930" t="s">
        <v>3514</v>
      </c>
      <c r="E127" s="931"/>
      <c r="F127" s="1213" t="s">
        <v>3778</v>
      </c>
      <c r="G127" s="752"/>
      <c r="H127" s="752"/>
      <c r="I127" s="932"/>
      <c r="J127" s="752"/>
      <c r="K127" s="929" t="s">
        <v>169</v>
      </c>
      <c r="L127" s="933" t="s">
        <v>169</v>
      </c>
      <c r="M127" s="933"/>
      <c r="N127" s="933"/>
      <c r="O127" s="933"/>
      <c r="P127" s="933"/>
      <c r="Q127" s="934">
        <f ca="1">B127/A127</f>
        <v>1.6666666666666667</v>
      </c>
      <c r="R127" s="935">
        <f ca="1">IF($B127=0,0,IF($S$1="R",ROUND(R132/$B127,2),R132/$B127))</f>
        <v>117.03</v>
      </c>
      <c r="S127" s="936"/>
      <c r="T127" s="935">
        <f ca="1">IF($B127=0,0,IF($S$1="R",ROUND(T132/$B127,2),T132/$B127))</f>
        <v>0.99</v>
      </c>
      <c r="AD127" s="931"/>
    </row>
    <row r="128" spans="1:30" s="520" customFormat="1" ht="13.8" thickTop="1">
      <c r="A128" s="748"/>
      <c r="B128" s="3"/>
      <c r="C128" s="3"/>
      <c r="D128" s="106" t="s">
        <v>170</v>
      </c>
      <c r="E128" s="3"/>
      <c r="F128" s="1090"/>
      <c r="G128" s="3"/>
      <c r="H128" s="3"/>
      <c r="I128" s="3"/>
      <c r="J128" s="3"/>
      <c r="K128" s="3"/>
      <c r="L128" s="3"/>
      <c r="M128" s="3"/>
      <c r="N128" s="3"/>
      <c r="O128" s="107"/>
      <c r="P128" s="3"/>
      <c r="Q128" s="3"/>
      <c r="R128" s="3"/>
      <c r="S128" s="3"/>
      <c r="T128" s="3"/>
      <c r="AD128" s="1090"/>
    </row>
    <row r="129" spans="1:32" s="901" customFormat="1" ht="11.4">
      <c r="A129" s="1089">
        <f ca="1">$Q$127 *(3+3+6)</f>
        <v>20</v>
      </c>
      <c r="B129" s="901" t="s">
        <v>320</v>
      </c>
      <c r="D129" s="901" t="s">
        <v>3006</v>
      </c>
      <c r="F129" s="901" t="s">
        <v>3237</v>
      </c>
      <c r="G129" s="941" t="s">
        <v>3007</v>
      </c>
      <c r="H129" s="942">
        <v>700</v>
      </c>
      <c r="I129" s="901" t="s">
        <v>3008</v>
      </c>
      <c r="J129" s="901" t="s">
        <v>2947</v>
      </c>
      <c r="O129" s="943">
        <v>1</v>
      </c>
      <c r="P129" s="944">
        <v>42213</v>
      </c>
      <c r="Q129" s="945">
        <v>2.0499999999999998</v>
      </c>
      <c r="R129" s="946">
        <f ca="1">$A129*Q129</f>
        <v>41</v>
      </c>
      <c r="S129" s="945">
        <v>0.18</v>
      </c>
      <c r="T129" s="947">
        <f ca="1">$A129*S129*$T$1</f>
        <v>3.2399999999999998</v>
      </c>
      <c r="AD129" s="901" t="s">
        <v>3237</v>
      </c>
    </row>
    <row r="130" spans="1:32" s="901" customFormat="1" ht="11.4">
      <c r="A130" s="1089">
        <f ca="1">$Q$127 *(8+8+22)</f>
        <v>63.333333333333336</v>
      </c>
      <c r="B130" s="901" t="s">
        <v>320</v>
      </c>
      <c r="D130" s="901" t="s">
        <v>2711</v>
      </c>
      <c r="F130" s="901" t="s">
        <v>3242</v>
      </c>
      <c r="G130" s="941" t="s">
        <v>2712</v>
      </c>
      <c r="H130" s="942">
        <v>616</v>
      </c>
      <c r="I130" s="901" t="s">
        <v>2272</v>
      </c>
      <c r="J130" s="901" t="s">
        <v>2702</v>
      </c>
      <c r="K130" s="901" t="s">
        <v>2713</v>
      </c>
      <c r="O130" s="943">
        <v>2</v>
      </c>
      <c r="P130" s="944"/>
      <c r="Q130" s="1195">
        <f>8.95*0.96</f>
        <v>8.5919999999999987</v>
      </c>
      <c r="R130" s="946">
        <f ca="1">$A130*Q130</f>
        <v>544.16</v>
      </c>
      <c r="S130" s="945">
        <v>0.03</v>
      </c>
      <c r="T130" s="947">
        <f ca="1">$A130*S130*$T$1</f>
        <v>1.71</v>
      </c>
      <c r="V130" s="945">
        <v>8.9499999999999993</v>
      </c>
      <c r="AD130" s="901" t="s">
        <v>3242</v>
      </c>
    </row>
    <row r="131" spans="1:32" s="520" customFormat="1">
      <c r="A131" s="758"/>
      <c r="B131" s="3"/>
      <c r="C131" s="758" t="s">
        <v>171</v>
      </c>
      <c r="D131" s="3"/>
      <c r="E131" s="758"/>
      <c r="F131" s="753"/>
      <c r="G131" s="758"/>
      <c r="H131" s="758"/>
      <c r="I131" s="519"/>
      <c r="J131" s="758"/>
      <c r="K131" s="758"/>
      <c r="L131" s="758"/>
      <c r="M131" s="758"/>
      <c r="N131" s="758"/>
      <c r="O131" s="758"/>
      <c r="P131" s="758"/>
      <c r="Q131" s="519"/>
      <c r="R131" s="917">
        <f t="shared" ref="R131" si="26">$A131*Q131</f>
        <v>0</v>
      </c>
      <c r="S131" s="519"/>
      <c r="T131" s="760">
        <f t="shared" ref="T131" si="27">$A131*S131*$T$1</f>
        <v>0</v>
      </c>
      <c r="AD131" s="753"/>
    </row>
    <row r="132" spans="1:32" s="520" customFormat="1" ht="12.6" thickBot="1">
      <c r="A132" s="761" t="s">
        <v>145</v>
      </c>
      <c r="B132" s="762">
        <f>(R131+T131)</f>
        <v>0</v>
      </c>
      <c r="C132" s="763"/>
      <c r="D132" s="937" t="s">
        <v>172</v>
      </c>
      <c r="E132" s="477">
        <f ca="1">IF($B127=0,0,ROUND(ROUND(($R132*$S$2+($T132*$T$2))/$B127, 2)*$C$2,2))</f>
        <v>177.58</v>
      </c>
      <c r="F132" s="478">
        <f ca="1">ROUND($B127*$E132,2)</f>
        <v>887.9</v>
      </c>
      <c r="G132" s="763"/>
      <c r="H132" s="763"/>
      <c r="I132" s="765"/>
      <c r="J132" s="763"/>
      <c r="K132" s="938" t="s">
        <v>143</v>
      </c>
      <c r="L132" s="766" t="s">
        <v>143</v>
      </c>
      <c r="M132" s="766"/>
      <c r="N132" s="766"/>
      <c r="O132" s="766"/>
      <c r="P132" s="766"/>
      <c r="Q132" s="938"/>
      <c r="R132" s="939">
        <f ca="1">SUM(R128:R131)</f>
        <v>585.16</v>
      </c>
      <c r="S132" s="940"/>
      <c r="T132" s="939">
        <f ca="1">SUM(T128:T131)</f>
        <v>4.9499999999999993</v>
      </c>
      <c r="U132" s="531"/>
      <c r="V132" s="531"/>
      <c r="W132" s="531"/>
      <c r="X132" s="531"/>
      <c r="Y132" s="531"/>
      <c r="Z132" s="531"/>
      <c r="AA132" s="531"/>
      <c r="AB132" s="531"/>
      <c r="AD132" s="478">
        <v>1641.95</v>
      </c>
    </row>
    <row r="133" spans="1:32" s="520" customFormat="1" ht="12" thickTop="1">
      <c r="A133" s="51"/>
      <c r="B133" s="51"/>
      <c r="C133" s="51"/>
      <c r="D133" s="51"/>
      <c r="E133" s="51"/>
      <c r="F133" s="51"/>
      <c r="G133" s="51"/>
      <c r="H133" s="51"/>
      <c r="I133" s="51"/>
      <c r="J133" s="51"/>
      <c r="K133" s="51"/>
      <c r="L133" s="51"/>
      <c r="M133" s="51"/>
      <c r="N133" s="51"/>
      <c r="O133" s="52"/>
      <c r="P133" s="51"/>
      <c r="Q133" s="42" t="s">
        <v>168</v>
      </c>
      <c r="R133" s="51"/>
      <c r="S133" s="13"/>
      <c r="T133" s="51"/>
      <c r="AD133" s="51"/>
    </row>
    <row r="134" spans="1:32" s="520" customFormat="1" ht="12" customHeight="1" thickBot="1">
      <c r="A134" s="927">
        <f>1+4+1+1+1</f>
        <v>8</v>
      </c>
      <c r="B134" s="928">
        <f ca="1">Elec_Est!B11558</f>
        <v>45</v>
      </c>
      <c r="C134" s="929"/>
      <c r="D134" s="930" t="s">
        <v>3515</v>
      </c>
      <c r="E134" s="931"/>
      <c r="F134" s="1213" t="s">
        <v>3778</v>
      </c>
      <c r="G134" s="752"/>
      <c r="H134" s="752"/>
      <c r="I134" s="932"/>
      <c r="J134" s="752"/>
      <c r="K134" s="929" t="s">
        <v>169</v>
      </c>
      <c r="L134" s="933" t="s">
        <v>169</v>
      </c>
      <c r="M134" s="933"/>
      <c r="N134" s="933"/>
      <c r="O134" s="933"/>
      <c r="P134" s="933"/>
      <c r="Q134" s="934">
        <f ca="1">B134/A134</f>
        <v>5.625</v>
      </c>
      <c r="R134" s="935">
        <f ca="1">IF($B134=0,0,IF($S$1="R",ROUND(R139/$B134,2),R139/$B134))</f>
        <v>74.42</v>
      </c>
      <c r="S134" s="936"/>
      <c r="T134" s="935">
        <f ca="1">IF($B134=0,0,IF($S$1="R",ROUND(T139/$B134,2),T139/$B134))</f>
        <v>3.46</v>
      </c>
      <c r="AD134" s="931"/>
    </row>
    <row r="135" spans="1:32" s="520" customFormat="1" ht="13.8" thickTop="1">
      <c r="A135" s="1387">
        <f ca="1">$Q$134 *(A136/B134)</f>
        <v>57.65625</v>
      </c>
      <c r="B135" s="3"/>
      <c r="C135" s="3"/>
      <c r="D135" s="106" t="s">
        <v>170</v>
      </c>
      <c r="E135" s="3"/>
      <c r="F135" s="1090"/>
      <c r="G135" s="3"/>
      <c r="H135" s="3"/>
      <c r="I135" s="3"/>
      <c r="J135" s="3"/>
      <c r="K135" s="3"/>
      <c r="L135" s="3"/>
      <c r="M135" s="3"/>
      <c r="N135" s="3"/>
      <c r="O135" s="107"/>
      <c r="P135" s="3"/>
      <c r="Q135" s="3"/>
      <c r="R135" s="3"/>
      <c r="S135" s="3"/>
      <c r="T135" s="3"/>
      <c r="AD135" s="1090"/>
    </row>
    <row r="136" spans="1:32" s="901" customFormat="1" ht="11.4">
      <c r="A136" s="1089">
        <f ca="1">$Q$134 *(18+15+13+27+9)</f>
        <v>461.25</v>
      </c>
      <c r="B136" s="901" t="s">
        <v>320</v>
      </c>
      <c r="D136" s="901" t="s">
        <v>2951</v>
      </c>
      <c r="G136" s="941" t="s">
        <v>2952</v>
      </c>
      <c r="H136" s="942">
        <v>690</v>
      </c>
      <c r="I136" s="901" t="s">
        <v>2946</v>
      </c>
      <c r="J136" s="901" t="s">
        <v>2953</v>
      </c>
      <c r="O136" s="943">
        <v>1</v>
      </c>
      <c r="P136" s="944">
        <v>34669</v>
      </c>
      <c r="Q136" s="1197">
        <v>3.03</v>
      </c>
      <c r="R136" s="946">
        <f ca="1">$A136*Q136</f>
        <v>1397.5874999999999</v>
      </c>
      <c r="S136" s="945">
        <v>0.2</v>
      </c>
      <c r="T136" s="947">
        <f ca="1">$A136*S136*$T$1</f>
        <v>83.025000000000006</v>
      </c>
    </row>
    <row r="137" spans="1:32" s="901" customFormat="1" ht="11.4">
      <c r="A137" s="1089">
        <f ca="1">$Q$134 *((225+250+40+81+120))</f>
        <v>4027.5</v>
      </c>
      <c r="B137" s="901" t="s">
        <v>320</v>
      </c>
      <c r="D137" s="901" t="s">
        <v>3215</v>
      </c>
      <c r="E137" s="901" t="s">
        <v>3211</v>
      </c>
      <c r="F137" s="901" t="s">
        <v>3299</v>
      </c>
      <c r="G137" s="941" t="s">
        <v>3216</v>
      </c>
      <c r="H137" s="942">
        <v>615</v>
      </c>
      <c r="I137" s="901" t="s">
        <v>2272</v>
      </c>
      <c r="K137" s="901" t="s">
        <v>3181</v>
      </c>
      <c r="O137" s="943">
        <v>2</v>
      </c>
      <c r="P137" s="944">
        <v>38988</v>
      </c>
      <c r="Q137" s="1194">
        <f>0.51*0.95</f>
        <v>0.48449999999999999</v>
      </c>
      <c r="R137" s="946">
        <f ca="1">$A137*Q137</f>
        <v>1951.32375</v>
      </c>
      <c r="S137" s="945">
        <v>0.02</v>
      </c>
      <c r="T137" s="947">
        <f ca="1">$A137*S137*$T$1</f>
        <v>72.495000000000005</v>
      </c>
      <c r="AD137" s="901" t="s">
        <v>3299</v>
      </c>
    </row>
    <row r="138" spans="1:32" s="520" customFormat="1">
      <c r="A138" s="758"/>
      <c r="B138" s="3"/>
      <c r="C138" s="758" t="s">
        <v>171</v>
      </c>
      <c r="D138" s="3"/>
      <c r="E138" s="758"/>
      <c r="F138" s="753"/>
      <c r="G138" s="758"/>
      <c r="H138" s="758"/>
      <c r="I138" s="519"/>
      <c r="J138" s="758"/>
      <c r="K138" s="758"/>
      <c r="L138" s="758"/>
      <c r="M138" s="758"/>
      <c r="N138" s="758"/>
      <c r="O138" s="758"/>
      <c r="P138" s="758"/>
      <c r="Q138" s="519"/>
      <c r="R138" s="917">
        <f t="shared" ref="R138" si="28">$A138*Q138</f>
        <v>0</v>
      </c>
      <c r="S138" s="519"/>
      <c r="T138" s="760">
        <f t="shared" ref="T138" si="29">$A138*S138*$T$1</f>
        <v>0</v>
      </c>
      <c r="AD138" s="753"/>
    </row>
    <row r="139" spans="1:32" s="520" customFormat="1" ht="12.6" thickBot="1">
      <c r="A139" s="761" t="s">
        <v>145</v>
      </c>
      <c r="B139" s="762">
        <f>(R138+T138)</f>
        <v>0</v>
      </c>
      <c r="C139" s="763"/>
      <c r="D139" s="937" t="s">
        <v>172</v>
      </c>
      <c r="E139" s="477">
        <f ca="1">IF($B134=0,0,ROUND(ROUND(($R139*$S$2+($T139*$T$2))/$B134, 2)*$C$2,2))</f>
        <v>208.49</v>
      </c>
      <c r="F139" s="478">
        <f ca="1">ROUND($B134*$E139,2)</f>
        <v>9382.0499999999993</v>
      </c>
      <c r="G139" s="763"/>
      <c r="H139" s="763"/>
      <c r="I139" s="765"/>
      <c r="J139" s="763"/>
      <c r="K139" s="938" t="s">
        <v>143</v>
      </c>
      <c r="L139" s="766" t="s">
        <v>143</v>
      </c>
      <c r="M139" s="766"/>
      <c r="N139" s="766"/>
      <c r="O139" s="766"/>
      <c r="P139" s="766"/>
      <c r="Q139" s="938"/>
      <c r="R139" s="939">
        <f ca="1">SUM(R135:R138)</f>
        <v>3348.9112500000001</v>
      </c>
      <c r="S139" s="940"/>
      <c r="T139" s="939">
        <f ca="1">SUM(T135:T138)</f>
        <v>155.52000000000001</v>
      </c>
      <c r="U139" s="531"/>
      <c r="V139" s="531"/>
      <c r="W139" s="531"/>
      <c r="X139" s="531"/>
      <c r="Y139" s="531"/>
      <c r="Z139" s="531"/>
      <c r="AA139" s="531"/>
      <c r="AB139" s="531"/>
      <c r="AD139" s="478">
        <v>22286.25</v>
      </c>
    </row>
    <row r="140" spans="1:32" s="520" customFormat="1" ht="12" thickTop="1">
      <c r="A140" s="51"/>
      <c r="B140" s="51"/>
      <c r="C140" s="51"/>
      <c r="D140" s="51"/>
      <c r="E140" s="51"/>
      <c r="F140" s="51"/>
      <c r="G140" s="51"/>
      <c r="H140" s="51"/>
      <c r="I140" s="51"/>
      <c r="J140" s="51"/>
      <c r="K140" s="51"/>
      <c r="L140" s="51"/>
      <c r="M140" s="51"/>
      <c r="N140" s="51"/>
      <c r="O140" s="52"/>
      <c r="P140" s="51"/>
      <c r="Q140" s="42" t="s">
        <v>168</v>
      </c>
      <c r="R140" s="51"/>
      <c r="S140" s="13"/>
      <c r="T140" s="51"/>
      <c r="AD140" s="51"/>
    </row>
    <row r="141" spans="1:32" s="520" customFormat="1" ht="12" customHeight="1" thickBot="1">
      <c r="A141" s="927">
        <v>12</v>
      </c>
      <c r="B141" s="928">
        <f ca="1">Elec_Est!B11559</f>
        <v>12</v>
      </c>
      <c r="C141" s="929"/>
      <c r="D141" s="930" t="s">
        <v>3516</v>
      </c>
      <c r="E141" s="931"/>
      <c r="F141" s="1213" t="s">
        <v>3778</v>
      </c>
      <c r="G141" s="752"/>
      <c r="H141" s="752"/>
      <c r="I141" s="932"/>
      <c r="J141" s="752"/>
      <c r="K141" s="929" t="s">
        <v>169</v>
      </c>
      <c r="L141" s="933" t="s">
        <v>169</v>
      </c>
      <c r="M141" s="933"/>
      <c r="N141" s="933"/>
      <c r="O141" s="933"/>
      <c r="P141" s="933"/>
      <c r="Q141" s="934">
        <f ca="1">B141/A141</f>
        <v>1</v>
      </c>
      <c r="R141" s="935">
        <f ca="1">IF($B141=0,0,IF($S$1="R",ROUND(R154/$B141,2),R154/$B141))</f>
        <v>571.5</v>
      </c>
      <c r="S141" s="936"/>
      <c r="T141" s="935">
        <f ca="1">IF($B141=0,0,IF($S$1="R",ROUND(T154/$B141,2),T154/$B141))</f>
        <v>5.33</v>
      </c>
      <c r="AD141" s="931"/>
      <c r="AF141" s="927">
        <v>5</v>
      </c>
    </row>
    <row r="142" spans="1:32" s="520" customFormat="1" ht="13.8" thickTop="1">
      <c r="A142" s="748"/>
      <c r="B142" s="3"/>
      <c r="C142" s="3"/>
      <c r="D142" s="106" t="s">
        <v>170</v>
      </c>
      <c r="E142" s="3"/>
      <c r="F142" s="3"/>
      <c r="G142" s="3"/>
      <c r="H142" s="3"/>
      <c r="I142" s="3"/>
      <c r="J142" s="3"/>
      <c r="K142" s="3"/>
      <c r="L142" s="3"/>
      <c r="M142" s="3"/>
      <c r="N142" s="3"/>
      <c r="O142" s="107"/>
      <c r="P142" s="3"/>
      <c r="Q142" s="3"/>
      <c r="R142" s="3"/>
      <c r="S142" s="3"/>
      <c r="T142" s="3"/>
      <c r="AD142" s="3"/>
      <c r="AF142" s="748"/>
    </row>
    <row r="143" spans="1:32" s="901" customFormat="1">
      <c r="A143" s="1056">
        <f ca="1">$Q$141 *(12+22+14+22+8+6+4+7+35+20)</f>
        <v>150</v>
      </c>
      <c r="B143" s="901" t="s">
        <v>320</v>
      </c>
      <c r="D143" s="901" t="s">
        <v>3244</v>
      </c>
      <c r="G143" s="941" t="s">
        <v>3245</v>
      </c>
      <c r="H143" s="942">
        <v>690</v>
      </c>
      <c r="I143" s="901" t="s">
        <v>2607</v>
      </c>
      <c r="J143" s="901" t="s">
        <v>2953</v>
      </c>
      <c r="O143" s="943">
        <v>1</v>
      </c>
      <c r="P143" s="944">
        <v>38134</v>
      </c>
      <c r="Q143" s="945">
        <f>(ROUNDUP(44.35/3*1.112,2))</f>
        <v>16.440000000000001</v>
      </c>
      <c r="R143" s="946">
        <f t="shared" ref="R143:R152" ca="1" si="30">$A143*Q143</f>
        <v>2466</v>
      </c>
      <c r="S143" s="1193">
        <v>0.2</v>
      </c>
      <c r="T143" s="947">
        <f t="shared" ref="T143:T152" ca="1" si="31">$A143*S143*$T$1</f>
        <v>27</v>
      </c>
      <c r="AF143" s="1056">
        <f ca="1">$Q$141 *(12+11+14+22+8)</f>
        <v>67</v>
      </c>
    </row>
    <row r="144" spans="1:32" s="901" customFormat="1">
      <c r="A144" s="1056">
        <f ca="1">$Q$141 *(12)</f>
        <v>12</v>
      </c>
      <c r="B144" s="901" t="s">
        <v>141</v>
      </c>
      <c r="D144" s="901" t="s">
        <v>3259</v>
      </c>
      <c r="G144" s="941" t="s">
        <v>3243</v>
      </c>
      <c r="H144" s="942">
        <v>690</v>
      </c>
      <c r="I144" s="901" t="s">
        <v>2946</v>
      </c>
      <c r="J144" s="901" t="s">
        <v>2953</v>
      </c>
      <c r="O144" s="943">
        <v>1</v>
      </c>
      <c r="P144" s="944">
        <v>34669</v>
      </c>
      <c r="Q144" s="945">
        <f>(ROUNDUP(40.79*1.112,2))</f>
        <v>45.36</v>
      </c>
      <c r="R144" s="946">
        <f t="shared" ca="1" si="30"/>
        <v>544.31999999999994</v>
      </c>
      <c r="S144" s="945"/>
      <c r="T144" s="947">
        <f t="shared" ca="1" si="31"/>
        <v>0</v>
      </c>
      <c r="AF144" s="1056">
        <f ca="1">$Q$141 *(5)</f>
        <v>5</v>
      </c>
    </row>
    <row r="145" spans="1:32" s="901" customFormat="1">
      <c r="A145" s="1056">
        <f ca="1">$Q$141 *(12)</f>
        <v>12</v>
      </c>
      <c r="B145" s="901" t="s">
        <v>141</v>
      </c>
      <c r="D145" s="901" t="s">
        <v>3292</v>
      </c>
      <c r="F145" s="901" t="s">
        <v>3293</v>
      </c>
      <c r="G145" s="941" t="s">
        <v>3243</v>
      </c>
      <c r="H145" s="942">
        <v>690</v>
      </c>
      <c r="I145" s="901" t="s">
        <v>2946</v>
      </c>
      <c r="J145" s="901" t="s">
        <v>2953</v>
      </c>
      <c r="O145" s="943">
        <v>1</v>
      </c>
      <c r="P145" s="944">
        <v>34669</v>
      </c>
      <c r="Q145" s="945">
        <f>(ROUNDUP(36.62*1.112,2))</f>
        <v>40.729999999999997</v>
      </c>
      <c r="R145" s="946">
        <f t="shared" ca="1" si="30"/>
        <v>488.76</v>
      </c>
      <c r="S145" s="945"/>
      <c r="T145" s="947">
        <f t="shared" ca="1" si="31"/>
        <v>0</v>
      </c>
      <c r="AD145" s="901" t="s">
        <v>3293</v>
      </c>
      <c r="AF145" s="1056">
        <f ca="1">$Q$141 *(5)</f>
        <v>5</v>
      </c>
    </row>
    <row r="146" spans="1:32" s="901" customFormat="1">
      <c r="A146" s="1056">
        <f ca="1">$Q$141 *(24)</f>
        <v>24</v>
      </c>
      <c r="B146" s="901" t="s">
        <v>141</v>
      </c>
      <c r="D146" s="901" t="s">
        <v>3246</v>
      </c>
      <c r="G146" s="941" t="s">
        <v>3247</v>
      </c>
      <c r="H146" s="942">
        <v>690</v>
      </c>
      <c r="I146" s="901" t="s">
        <v>2607</v>
      </c>
      <c r="J146" s="901" t="s">
        <v>2953</v>
      </c>
      <c r="O146" s="943">
        <v>1</v>
      </c>
      <c r="P146" s="944">
        <v>38162</v>
      </c>
      <c r="Q146" s="945">
        <f>(ROUNDUP(7.8*1.112,2))</f>
        <v>8.68</v>
      </c>
      <c r="R146" s="946">
        <f t="shared" ca="1" si="30"/>
        <v>208.32</v>
      </c>
      <c r="S146" s="945"/>
      <c r="T146" s="947">
        <f t="shared" ca="1" si="31"/>
        <v>0</v>
      </c>
      <c r="AF146" s="1056">
        <f ca="1">$Q$141 *(10)</f>
        <v>10</v>
      </c>
    </row>
    <row r="147" spans="1:32" s="901" customFormat="1">
      <c r="A147" s="1056">
        <f ca="1">$Q$141 *((12+22+14+22+8+6+4+7+35+20)/3+24*2)</f>
        <v>98</v>
      </c>
      <c r="B147" s="901" t="s">
        <v>141</v>
      </c>
      <c r="D147" s="901" t="s">
        <v>3285</v>
      </c>
      <c r="G147" s="941" t="s">
        <v>3247</v>
      </c>
      <c r="H147" s="942">
        <v>690</v>
      </c>
      <c r="I147" s="901" t="s">
        <v>2607</v>
      </c>
      <c r="J147" s="901" t="s">
        <v>2953</v>
      </c>
      <c r="O147" s="943">
        <v>1</v>
      </c>
      <c r="P147" s="944">
        <v>38162</v>
      </c>
      <c r="Q147" s="945">
        <f>(ROUNDUP(5.7*1.112,2))</f>
        <v>6.34</v>
      </c>
      <c r="R147" s="946">
        <f t="shared" ca="1" si="30"/>
        <v>621.31999999999994</v>
      </c>
      <c r="S147" s="945"/>
      <c r="T147" s="947">
        <f t="shared" ca="1" si="31"/>
        <v>0</v>
      </c>
      <c r="AF147" s="1056">
        <f ca="1">$Q$141 *((12+11+14+22+8)/3+10*2+10)</f>
        <v>52.333333333333329</v>
      </c>
    </row>
    <row r="148" spans="1:32" s="901" customFormat="1">
      <c r="A148" s="1056">
        <f ca="1">$Q$141 *((12+22+14+22+8+6+4+7+35+20)/1.5)</f>
        <v>100</v>
      </c>
      <c r="B148" s="901" t="s">
        <v>141</v>
      </c>
      <c r="D148" s="901" t="s">
        <v>3248</v>
      </c>
      <c r="G148" s="941" t="s">
        <v>3249</v>
      </c>
      <c r="H148" s="942">
        <v>690</v>
      </c>
      <c r="I148" s="901" t="s">
        <v>2607</v>
      </c>
      <c r="J148" s="901" t="s">
        <v>2953</v>
      </c>
      <c r="O148" s="943">
        <v>1</v>
      </c>
      <c r="P148" s="944">
        <v>38136</v>
      </c>
      <c r="Q148" s="945">
        <f>(ROUNDUP(10.65*1.112,2))</f>
        <v>11.85</v>
      </c>
      <c r="R148" s="946">
        <f t="shared" ca="1" si="30"/>
        <v>1185</v>
      </c>
      <c r="S148" s="945"/>
      <c r="T148" s="947">
        <f t="shared" ca="1" si="31"/>
        <v>0</v>
      </c>
      <c r="AF148" s="1056">
        <f ca="1">$Q$141 *((12+11+14+22+8)/1.5)</f>
        <v>44.666666666666664</v>
      </c>
    </row>
    <row r="149" spans="1:32" s="901" customFormat="1">
      <c r="A149" s="1056">
        <f ca="1">$Q$141 *(12*2)</f>
        <v>24</v>
      </c>
      <c r="B149" s="901" t="s">
        <v>141</v>
      </c>
      <c r="D149" s="901" t="s">
        <v>3252</v>
      </c>
      <c r="G149" s="941" t="s">
        <v>3249</v>
      </c>
      <c r="H149" s="942">
        <v>690</v>
      </c>
      <c r="I149" s="901" t="s">
        <v>2607</v>
      </c>
      <c r="J149" s="901" t="s">
        <v>2953</v>
      </c>
      <c r="O149" s="943">
        <v>1</v>
      </c>
      <c r="P149" s="944">
        <v>38136</v>
      </c>
      <c r="Q149" s="945">
        <f>(ROUNDUP(35.1*1.112/3,2))</f>
        <v>13.02</v>
      </c>
      <c r="R149" s="946">
        <f t="shared" ca="1" si="30"/>
        <v>312.48</v>
      </c>
      <c r="S149" s="945"/>
      <c r="T149" s="947">
        <f t="shared" ca="1" si="31"/>
        <v>0</v>
      </c>
      <c r="AF149" s="1056">
        <f ca="1">$Q$141 *(5*2)</f>
        <v>10</v>
      </c>
    </row>
    <row r="150" spans="1:32" s="901" customFormat="1">
      <c r="A150" s="1056">
        <f ca="1">$Q$141 *(12*2)</f>
        <v>24</v>
      </c>
      <c r="B150" s="901" t="s">
        <v>141</v>
      </c>
      <c r="D150" s="901" t="s">
        <v>3298</v>
      </c>
      <c r="G150" s="941" t="s">
        <v>3249</v>
      </c>
      <c r="H150" s="942">
        <v>690</v>
      </c>
      <c r="I150" s="901" t="s">
        <v>2607</v>
      </c>
      <c r="J150" s="901" t="s">
        <v>2953</v>
      </c>
      <c r="O150" s="943">
        <v>1</v>
      </c>
      <c r="P150" s="944">
        <v>38136</v>
      </c>
      <c r="Q150" s="945">
        <f>ROUNDUP(1.24*1.112/3,2)</f>
        <v>0.46</v>
      </c>
      <c r="R150" s="946">
        <f t="shared" ca="1" si="30"/>
        <v>11.040000000000001</v>
      </c>
      <c r="S150" s="945"/>
      <c r="T150" s="947">
        <f t="shared" ca="1" si="31"/>
        <v>0</v>
      </c>
      <c r="AF150" s="1056">
        <f ca="1">$Q$141 *(5*2)</f>
        <v>10</v>
      </c>
    </row>
    <row r="151" spans="1:32" s="901" customFormat="1">
      <c r="A151" s="1056">
        <f ca="1">$Q$141 *((12+22+14+22+8+6+4+7+35+20)/1.5)</f>
        <v>100</v>
      </c>
      <c r="B151" s="901" t="s">
        <v>141</v>
      </c>
      <c r="D151" s="901" t="s">
        <v>3250</v>
      </c>
      <c r="G151" s="941" t="s">
        <v>3251</v>
      </c>
      <c r="H151" s="942">
        <v>690</v>
      </c>
      <c r="I151" s="901" t="s">
        <v>2607</v>
      </c>
      <c r="O151" s="943">
        <v>1</v>
      </c>
      <c r="P151" s="944">
        <v>38136</v>
      </c>
      <c r="Q151" s="945">
        <f>1.1 *(ROUNDUP(10.92/50*1.112,2))</f>
        <v>0.27500000000000002</v>
      </c>
      <c r="R151" s="946">
        <f t="shared" ca="1" si="30"/>
        <v>27.500000000000004</v>
      </c>
      <c r="S151" s="945"/>
      <c r="T151" s="947">
        <f t="shared" ca="1" si="31"/>
        <v>0</v>
      </c>
      <c r="AF151" s="1056">
        <f ca="1">$Q$141 *(12+11+14+22+8)</f>
        <v>67</v>
      </c>
    </row>
    <row r="152" spans="1:32" s="901" customFormat="1" ht="11.4">
      <c r="A152" s="1089">
        <f ca="1">$Q$141 *((360+330+125+180+190+175+150+95+270+175))</f>
        <v>2050</v>
      </c>
      <c r="B152" s="901" t="s">
        <v>320</v>
      </c>
      <c r="D152" s="901" t="s">
        <v>3215</v>
      </c>
      <c r="E152" s="901" t="s">
        <v>3211</v>
      </c>
      <c r="F152" s="901" t="s">
        <v>3299</v>
      </c>
      <c r="G152" s="941" t="s">
        <v>3216</v>
      </c>
      <c r="H152" s="942">
        <v>615</v>
      </c>
      <c r="I152" s="901" t="s">
        <v>2272</v>
      </c>
      <c r="K152" s="901" t="s">
        <v>3181</v>
      </c>
      <c r="O152" s="943">
        <v>2</v>
      </c>
      <c r="P152" s="944">
        <v>38988</v>
      </c>
      <c r="Q152" s="1194">
        <f>0.51*0.95</f>
        <v>0.48449999999999999</v>
      </c>
      <c r="R152" s="946">
        <f t="shared" ca="1" si="30"/>
        <v>993.22500000000002</v>
      </c>
      <c r="S152" s="945">
        <v>0.02</v>
      </c>
      <c r="T152" s="947">
        <f t="shared" ca="1" si="31"/>
        <v>36.9</v>
      </c>
      <c r="AD152" s="901" t="s">
        <v>3299</v>
      </c>
      <c r="AF152" s="1089">
        <f ca="1">$Q$141 *((360+260+125+180+190))</f>
        <v>1115</v>
      </c>
    </row>
    <row r="153" spans="1:32" s="520" customFormat="1">
      <c r="A153" s="758"/>
      <c r="B153" s="3"/>
      <c r="C153" s="758" t="s">
        <v>171</v>
      </c>
      <c r="D153" s="3"/>
      <c r="E153" s="758"/>
      <c r="F153" s="753"/>
      <c r="G153" s="758"/>
      <c r="H153" s="758"/>
      <c r="I153" s="519"/>
      <c r="J153" s="758"/>
      <c r="K153" s="758"/>
      <c r="L153" s="758"/>
      <c r="M153" s="758"/>
      <c r="N153" s="758"/>
      <c r="O153" s="758"/>
      <c r="P153" s="758"/>
      <c r="Q153" s="519"/>
      <c r="R153" s="917">
        <f t="shared" ref="R153" si="32">$A153*Q153</f>
        <v>0</v>
      </c>
      <c r="S153" s="519"/>
      <c r="T153" s="760">
        <f t="shared" ref="T153" si="33">$A153*S153*$T$1</f>
        <v>0</v>
      </c>
      <c r="AD153" s="753"/>
    </row>
    <row r="154" spans="1:32" s="520" customFormat="1" ht="12.6" thickBot="1">
      <c r="A154" s="761" t="s">
        <v>145</v>
      </c>
      <c r="B154" s="762">
        <f>(R153+T153)</f>
        <v>0</v>
      </c>
      <c r="C154" s="763"/>
      <c r="D154" s="937" t="s">
        <v>172</v>
      </c>
      <c r="E154" s="477">
        <f ca="1">IF($B141=0,0,ROUND(ROUND(($R154*$S$2+($T154*$T$2))/$B141, 2)*$C$2,2))</f>
        <v>883.76</v>
      </c>
      <c r="F154" s="478">
        <f ca="1">ROUND($B141*$E154,2)</f>
        <v>10605.12</v>
      </c>
      <c r="G154" s="763"/>
      <c r="H154" s="763"/>
      <c r="I154" s="765"/>
      <c r="J154" s="763"/>
      <c r="K154" s="938" t="s">
        <v>143</v>
      </c>
      <c r="L154" s="766" t="s">
        <v>143</v>
      </c>
      <c r="M154" s="766"/>
      <c r="N154" s="766"/>
      <c r="O154" s="766"/>
      <c r="P154" s="766"/>
      <c r="Q154" s="938"/>
      <c r="R154" s="939">
        <f ca="1">SUM(R142:R153)</f>
        <v>6857.9650000000011</v>
      </c>
      <c r="S154" s="940"/>
      <c r="T154" s="939">
        <f ca="1">SUM(T142:T153)</f>
        <v>63.9</v>
      </c>
      <c r="U154" s="531"/>
      <c r="V154" s="531"/>
      <c r="W154" s="531"/>
      <c r="X154" s="531"/>
      <c r="Y154" s="531"/>
      <c r="Z154" s="1225">
        <f ca="1">AD154-F154</f>
        <v>2181.119999999999</v>
      </c>
      <c r="AA154" s="531"/>
      <c r="AB154" s="531"/>
      <c r="AD154" s="478">
        <v>12786.24</v>
      </c>
    </row>
    <row r="155" spans="1:32" s="520" customFormat="1" ht="12" thickTop="1">
      <c r="A155" s="51"/>
      <c r="B155" s="51"/>
      <c r="C155" s="51"/>
      <c r="D155" s="51"/>
      <c r="E155" s="51"/>
      <c r="F155" s="51"/>
      <c r="G155" s="51"/>
      <c r="H155" s="51"/>
      <c r="I155" s="51"/>
      <c r="J155" s="51"/>
      <c r="K155" s="51"/>
      <c r="L155" s="51"/>
      <c r="M155" s="51"/>
      <c r="N155" s="51"/>
      <c r="O155" s="52"/>
      <c r="P155" s="51"/>
      <c r="Q155" s="42" t="s">
        <v>168</v>
      </c>
      <c r="R155" s="51"/>
      <c r="S155" s="13"/>
      <c r="T155" s="51"/>
      <c r="AD155" s="51"/>
    </row>
    <row r="156" spans="1:32" s="520" customFormat="1" ht="12" customHeight="1" thickBot="1">
      <c r="A156" s="927">
        <v>1</v>
      </c>
      <c r="B156" s="928">
        <f ca="1">Elec_Est!B11560</f>
        <v>16</v>
      </c>
      <c r="C156" s="929"/>
      <c r="D156" s="930" t="s">
        <v>3517</v>
      </c>
      <c r="E156" s="931"/>
      <c r="F156" s="931"/>
      <c r="G156" s="752"/>
      <c r="H156" s="752"/>
      <c r="I156" s="932"/>
      <c r="J156" s="752"/>
      <c r="K156" s="929" t="s">
        <v>169</v>
      </c>
      <c r="L156" s="933" t="s">
        <v>169</v>
      </c>
      <c r="M156" s="933"/>
      <c r="N156" s="933"/>
      <c r="O156" s="933"/>
      <c r="P156" s="933"/>
      <c r="Q156" s="934">
        <f ca="1">B156/A156</f>
        <v>16</v>
      </c>
      <c r="R156" s="935">
        <f ca="1">IF($B156=0,0,IF($S$1="R",ROUND(R163/$B156,2),R163/$B156))</f>
        <v>31.26</v>
      </c>
      <c r="S156" s="936"/>
      <c r="T156" s="935">
        <f ca="1">IF($B156=0,0,IF($S$1="R",ROUND(T163/$B156,2),T163/$B156))</f>
        <v>0.27</v>
      </c>
      <c r="AD156" s="931"/>
    </row>
    <row r="157" spans="1:32" s="520" customFormat="1" ht="13.8" thickTop="1">
      <c r="A157" s="748"/>
      <c r="B157" s="3"/>
      <c r="C157" s="3"/>
      <c r="D157" s="106" t="s">
        <v>170</v>
      </c>
      <c r="E157" s="3"/>
      <c r="F157" s="3"/>
      <c r="G157" s="3"/>
      <c r="H157" s="3"/>
      <c r="I157" s="3"/>
      <c r="J157" s="3"/>
      <c r="K157" s="3"/>
      <c r="L157" s="3"/>
      <c r="M157" s="3"/>
      <c r="N157" s="3"/>
      <c r="O157" s="107"/>
      <c r="P157" s="3"/>
      <c r="Q157" s="3"/>
      <c r="R157" s="3"/>
      <c r="S157" s="3"/>
      <c r="T157" s="3"/>
      <c r="AD157" s="3"/>
    </row>
    <row r="158" spans="1:32" s="901" customFormat="1">
      <c r="A158" s="1056">
        <f ca="1">$Q$156 *(1)</f>
        <v>16</v>
      </c>
      <c r="B158" s="901" t="s">
        <v>141</v>
      </c>
      <c r="D158" s="901" t="s">
        <v>2856</v>
      </c>
      <c r="E158" s="901" t="s">
        <v>3424</v>
      </c>
      <c r="F158" s="1054" t="s">
        <v>3425</v>
      </c>
      <c r="G158" s="941" t="s">
        <v>2850</v>
      </c>
      <c r="H158" s="942">
        <v>705</v>
      </c>
      <c r="I158" s="901" t="s">
        <v>2851</v>
      </c>
      <c r="J158" s="901" t="s">
        <v>2852</v>
      </c>
      <c r="O158" s="943">
        <v>3</v>
      </c>
      <c r="P158" s="944">
        <v>38047</v>
      </c>
      <c r="Q158" s="945">
        <v>26.1</v>
      </c>
      <c r="R158" s="946">
        <f ca="1">$A158*Q158</f>
        <v>417.6</v>
      </c>
      <c r="S158" s="945">
        <v>0.25</v>
      </c>
      <c r="T158" s="947">
        <f ca="1">$A158*S158*$T$1</f>
        <v>3.6</v>
      </c>
      <c r="AD158" s="1054" t="s">
        <v>3425</v>
      </c>
    </row>
    <row r="159" spans="1:32" s="901" customFormat="1">
      <c r="A159" s="1057">
        <f ca="1">$Q$156 *(4)</f>
        <v>64</v>
      </c>
      <c r="B159" s="901" t="s">
        <v>141</v>
      </c>
      <c r="D159" s="901" t="s">
        <v>2739</v>
      </c>
      <c r="G159" s="941" t="s">
        <v>2740</v>
      </c>
      <c r="H159" s="942">
        <v>875</v>
      </c>
      <c r="I159" s="901" t="s">
        <v>2607</v>
      </c>
      <c r="K159" s="901" t="s">
        <v>2741</v>
      </c>
      <c r="O159" s="943">
        <v>1</v>
      </c>
      <c r="P159" s="944">
        <v>34669</v>
      </c>
      <c r="Q159" s="945">
        <v>0.02</v>
      </c>
      <c r="R159" s="946">
        <f ca="1">$A159*Q159</f>
        <v>1.28</v>
      </c>
      <c r="S159" s="945"/>
      <c r="T159" s="947">
        <f ca="1">$A159*S159*$T$1</f>
        <v>0</v>
      </c>
    </row>
    <row r="160" spans="1:32" s="901" customFormat="1">
      <c r="A160" s="1057">
        <f ca="1">$Q$156 *(4)</f>
        <v>64</v>
      </c>
      <c r="B160" s="901" t="s">
        <v>141</v>
      </c>
      <c r="D160" s="901" t="s">
        <v>2742</v>
      </c>
      <c r="G160" s="941" t="s">
        <v>2743</v>
      </c>
      <c r="H160" s="942">
        <v>875</v>
      </c>
      <c r="I160" s="901" t="s">
        <v>2607</v>
      </c>
      <c r="K160" s="901" t="s">
        <v>2744</v>
      </c>
      <c r="O160" s="943">
        <v>1</v>
      </c>
      <c r="P160" s="944">
        <v>34669</v>
      </c>
      <c r="Q160" s="945">
        <v>0.02</v>
      </c>
      <c r="R160" s="946">
        <f ca="1">$A160*Q160</f>
        <v>1.28</v>
      </c>
      <c r="S160" s="945"/>
      <c r="T160" s="947">
        <f ca="1">$A160*S160*$T$1</f>
        <v>0</v>
      </c>
    </row>
    <row r="161" spans="1:30" s="901" customFormat="1">
      <c r="A161" s="1057">
        <f ca="1">$Q$156 *(1)</f>
        <v>16</v>
      </c>
      <c r="B161" s="901" t="s">
        <v>141</v>
      </c>
      <c r="D161" s="901" t="s">
        <v>2745</v>
      </c>
      <c r="G161" s="941" t="s">
        <v>2746</v>
      </c>
      <c r="H161" s="942">
        <v>875</v>
      </c>
      <c r="I161" s="901" t="s">
        <v>2607</v>
      </c>
      <c r="K161" s="901" t="s">
        <v>2747</v>
      </c>
      <c r="O161" s="943">
        <v>3</v>
      </c>
      <c r="P161" s="944">
        <v>34820</v>
      </c>
      <c r="Q161" s="945">
        <v>5</v>
      </c>
      <c r="R161" s="946">
        <f ca="1">$A161*Q161</f>
        <v>80</v>
      </c>
      <c r="S161" s="945">
        <v>0.05</v>
      </c>
      <c r="T161" s="947">
        <f ca="1">$A161*S161*$T$1</f>
        <v>0.72000000000000008</v>
      </c>
    </row>
    <row r="162" spans="1:30" s="520" customFormat="1">
      <c r="A162" s="758"/>
      <c r="B162" s="3"/>
      <c r="C162" s="758" t="s">
        <v>171</v>
      </c>
      <c r="D162" s="3"/>
      <c r="E162" s="758"/>
      <c r="F162" s="753"/>
      <c r="G162" s="758"/>
      <c r="H162" s="758"/>
      <c r="I162" s="519"/>
      <c r="J162" s="758"/>
      <c r="K162" s="758"/>
      <c r="L162" s="758"/>
      <c r="M162" s="758"/>
      <c r="N162" s="758"/>
      <c r="O162" s="758"/>
      <c r="P162" s="758"/>
      <c r="Q162" s="519"/>
      <c r="R162" s="917">
        <f>$A162*Q162</f>
        <v>0</v>
      </c>
      <c r="S162" s="519"/>
      <c r="T162" s="760">
        <f>$A162*S162*$T$1</f>
        <v>0</v>
      </c>
      <c r="AD162" s="753"/>
    </row>
    <row r="163" spans="1:30" s="520" customFormat="1" ht="12.6" thickBot="1">
      <c r="A163" s="761" t="s">
        <v>145</v>
      </c>
      <c r="B163" s="762">
        <f>(R162+T162)</f>
        <v>0</v>
      </c>
      <c r="C163" s="763"/>
      <c r="D163" s="937" t="s">
        <v>172</v>
      </c>
      <c r="E163" s="477">
        <f ca="1">IF($B156=0,0,ROUND(ROUND(($R163*$S$2+($T163*$T$2))/$B156, 2)*$C$2,2))</f>
        <v>47.62</v>
      </c>
      <c r="F163" s="478">
        <f ca="1">ROUND($B156*$E163,2)</f>
        <v>761.92</v>
      </c>
      <c r="G163" s="763"/>
      <c r="H163" s="763"/>
      <c r="I163" s="765"/>
      <c r="J163" s="763"/>
      <c r="K163" s="938" t="s">
        <v>143</v>
      </c>
      <c r="L163" s="766" t="s">
        <v>143</v>
      </c>
      <c r="M163" s="766"/>
      <c r="N163" s="766"/>
      <c r="O163" s="766"/>
      <c r="P163" s="766"/>
      <c r="Q163" s="938"/>
      <c r="R163" s="939">
        <f ca="1">SUM(R157:R162)</f>
        <v>500.15999999999997</v>
      </c>
      <c r="S163" s="940"/>
      <c r="T163" s="939">
        <f ca="1">SUM(T157:T162)</f>
        <v>4.32</v>
      </c>
      <c r="U163" s="531"/>
      <c r="V163" s="531"/>
      <c r="W163" s="531"/>
      <c r="X163" s="531"/>
      <c r="Y163" s="531"/>
      <c r="Z163" s="531"/>
      <c r="AA163" s="531"/>
      <c r="AB163" s="531"/>
      <c r="AD163" s="478">
        <v>810.56</v>
      </c>
    </row>
    <row r="164" spans="1:30" s="520" customFormat="1" ht="12" thickTop="1">
      <c r="A164" s="51"/>
      <c r="B164" s="51"/>
      <c r="C164" s="51"/>
      <c r="D164" s="51"/>
      <c r="E164" s="51"/>
      <c r="F164" s="51"/>
      <c r="G164" s="51"/>
      <c r="H164" s="51"/>
      <c r="I164" s="51"/>
      <c r="J164" s="51"/>
      <c r="K164" s="51"/>
      <c r="L164" s="51"/>
      <c r="M164" s="51"/>
      <c r="N164" s="51"/>
      <c r="O164" s="52"/>
      <c r="P164" s="51"/>
      <c r="Q164" s="42" t="s">
        <v>168</v>
      </c>
      <c r="R164" s="51"/>
      <c r="S164" s="13"/>
      <c r="T164" s="51"/>
      <c r="AD164" s="51"/>
    </row>
    <row r="165" spans="1:30" s="520" customFormat="1" ht="12" customHeight="1" thickBot="1">
      <c r="A165" s="927">
        <v>1</v>
      </c>
      <c r="B165" s="928">
        <f ca="1">Elec_Est!B11561</f>
        <v>20</v>
      </c>
      <c r="C165" s="929"/>
      <c r="D165" s="930" t="s">
        <v>3518</v>
      </c>
      <c r="E165" s="931"/>
      <c r="F165" s="931"/>
      <c r="G165" s="752"/>
      <c r="H165" s="752"/>
      <c r="I165" s="932"/>
      <c r="J165" s="752"/>
      <c r="K165" s="929" t="s">
        <v>169</v>
      </c>
      <c r="L165" s="933" t="s">
        <v>169</v>
      </c>
      <c r="M165" s="933"/>
      <c r="N165" s="933"/>
      <c r="O165" s="933"/>
      <c r="P165" s="933"/>
      <c r="Q165" s="934">
        <f ca="1">B165/A165</f>
        <v>20</v>
      </c>
      <c r="R165" s="935">
        <f ca="1">IF($B165=0,0,IF($S$1="R",ROUND(R172/$B165,2),R172/$B165))</f>
        <v>31.26</v>
      </c>
      <c r="S165" s="936"/>
      <c r="T165" s="935">
        <f ca="1">IF($B165=0,0,IF($S$1="R",ROUND(T172/$B165,2),T172/$B165))</f>
        <v>0.27</v>
      </c>
      <c r="AD165" s="931"/>
    </row>
    <row r="166" spans="1:30" s="520" customFormat="1" ht="13.8" thickTop="1">
      <c r="A166" s="748"/>
      <c r="B166" s="3"/>
      <c r="C166" s="3"/>
      <c r="D166" s="106" t="s">
        <v>170</v>
      </c>
      <c r="E166" s="3"/>
      <c r="F166" s="3"/>
      <c r="G166" s="3"/>
      <c r="H166" s="3"/>
      <c r="I166" s="3"/>
      <c r="J166" s="3"/>
      <c r="K166" s="3"/>
      <c r="L166" s="3"/>
      <c r="M166" s="3"/>
      <c r="N166" s="3"/>
      <c r="O166" s="107"/>
      <c r="P166" s="3"/>
      <c r="Q166" s="3"/>
      <c r="R166" s="3"/>
      <c r="S166" s="3"/>
      <c r="T166" s="3"/>
      <c r="AD166" s="3"/>
    </row>
    <row r="167" spans="1:30" s="901" customFormat="1">
      <c r="A167" s="1056">
        <f ca="1">$Q$165 *(1)</f>
        <v>20</v>
      </c>
      <c r="B167" s="901" t="s">
        <v>141</v>
      </c>
      <c r="D167" s="901" t="s">
        <v>2853</v>
      </c>
      <c r="E167" s="901" t="s">
        <v>3424</v>
      </c>
      <c r="F167" s="1054" t="s">
        <v>3425</v>
      </c>
      <c r="G167" s="941" t="s">
        <v>2850</v>
      </c>
      <c r="H167" s="942">
        <v>705</v>
      </c>
      <c r="I167" s="901" t="s">
        <v>2851</v>
      </c>
      <c r="J167" s="901" t="s">
        <v>2852</v>
      </c>
      <c r="O167" s="943">
        <v>3</v>
      </c>
      <c r="P167" s="944">
        <v>38047</v>
      </c>
      <c r="Q167" s="945">
        <v>26.1</v>
      </c>
      <c r="R167" s="946">
        <f ca="1">$A167*Q167</f>
        <v>522</v>
      </c>
      <c r="S167" s="945">
        <v>0.25</v>
      </c>
      <c r="T167" s="947">
        <f ca="1">$A167*S167*$T$1</f>
        <v>4.5</v>
      </c>
      <c r="AD167" s="1054" t="s">
        <v>3425</v>
      </c>
    </row>
    <row r="168" spans="1:30" s="901" customFormat="1">
      <c r="A168" s="1057">
        <f ca="1">$Q$165 *(4)</f>
        <v>80</v>
      </c>
      <c r="B168" s="901" t="s">
        <v>141</v>
      </c>
      <c r="D168" s="901" t="s">
        <v>2739</v>
      </c>
      <c r="G168" s="941" t="s">
        <v>2740</v>
      </c>
      <c r="H168" s="942">
        <v>875</v>
      </c>
      <c r="I168" s="901" t="s">
        <v>2607</v>
      </c>
      <c r="K168" s="901" t="s">
        <v>2741</v>
      </c>
      <c r="O168" s="943">
        <v>1</v>
      </c>
      <c r="P168" s="944">
        <v>34669</v>
      </c>
      <c r="Q168" s="945">
        <v>0.02</v>
      </c>
      <c r="R168" s="946">
        <f ca="1">$A168*Q168</f>
        <v>1.6</v>
      </c>
      <c r="S168" s="945"/>
      <c r="T168" s="947">
        <f ca="1">$A168*S168*$T$1</f>
        <v>0</v>
      </c>
    </row>
    <row r="169" spans="1:30" s="901" customFormat="1">
      <c r="A169" s="1057">
        <f ca="1">$Q$165 *(4)</f>
        <v>80</v>
      </c>
      <c r="B169" s="901" t="s">
        <v>141</v>
      </c>
      <c r="D169" s="901" t="s">
        <v>2742</v>
      </c>
      <c r="G169" s="941" t="s">
        <v>2743</v>
      </c>
      <c r="H169" s="942">
        <v>875</v>
      </c>
      <c r="I169" s="901" t="s">
        <v>2607</v>
      </c>
      <c r="K169" s="901" t="s">
        <v>2744</v>
      </c>
      <c r="O169" s="943">
        <v>1</v>
      </c>
      <c r="P169" s="944">
        <v>34669</v>
      </c>
      <c r="Q169" s="945">
        <v>0.02</v>
      </c>
      <c r="R169" s="946">
        <f ca="1">$A169*Q169</f>
        <v>1.6</v>
      </c>
      <c r="S169" s="945"/>
      <c r="T169" s="947">
        <f ca="1">$A169*S169*$T$1</f>
        <v>0</v>
      </c>
    </row>
    <row r="170" spans="1:30" s="901" customFormat="1">
      <c r="A170" s="1057">
        <f ca="1">$Q$165 *(1)</f>
        <v>20</v>
      </c>
      <c r="B170" s="901" t="s">
        <v>141</v>
      </c>
      <c r="D170" s="901" t="s">
        <v>2745</v>
      </c>
      <c r="G170" s="941" t="s">
        <v>2746</v>
      </c>
      <c r="H170" s="942">
        <v>875</v>
      </c>
      <c r="I170" s="901" t="s">
        <v>2607</v>
      </c>
      <c r="K170" s="901" t="s">
        <v>2747</v>
      </c>
      <c r="O170" s="943">
        <v>3</v>
      </c>
      <c r="P170" s="944">
        <v>34820</v>
      </c>
      <c r="Q170" s="945">
        <v>5</v>
      </c>
      <c r="R170" s="946">
        <f ca="1">$A170*Q170</f>
        <v>100</v>
      </c>
      <c r="S170" s="945">
        <v>0.05</v>
      </c>
      <c r="T170" s="947">
        <f ca="1">$A170*S170*$T$1</f>
        <v>0.9</v>
      </c>
    </row>
    <row r="171" spans="1:30" s="520" customFormat="1">
      <c r="A171" s="758"/>
      <c r="B171" s="3"/>
      <c r="C171" s="758" t="s">
        <v>171</v>
      </c>
      <c r="D171" s="3"/>
      <c r="E171" s="758"/>
      <c r="F171" s="753"/>
      <c r="G171" s="758"/>
      <c r="H171" s="758"/>
      <c r="I171" s="519"/>
      <c r="J171" s="758"/>
      <c r="K171" s="758"/>
      <c r="L171" s="758"/>
      <c r="M171" s="758"/>
      <c r="N171" s="758"/>
      <c r="O171" s="758"/>
      <c r="P171" s="758"/>
      <c r="Q171" s="519"/>
      <c r="R171" s="917">
        <f>$A171*Q171</f>
        <v>0</v>
      </c>
      <c r="S171" s="519"/>
      <c r="T171" s="760">
        <f>$A171*S171*$T$1</f>
        <v>0</v>
      </c>
      <c r="AD171" s="753"/>
    </row>
    <row r="172" spans="1:30" s="520" customFormat="1" ht="12.6" thickBot="1">
      <c r="A172" s="761" t="s">
        <v>145</v>
      </c>
      <c r="B172" s="762">
        <f>(R171+T171)</f>
        <v>0</v>
      </c>
      <c r="C172" s="763"/>
      <c r="D172" s="937" t="s">
        <v>172</v>
      </c>
      <c r="E172" s="477">
        <f ca="1">IF($B165=0,0,ROUND(ROUND(($R172*$S$2+($T172*$T$2))/$B165, 2)*$C$2,2))</f>
        <v>47.62</v>
      </c>
      <c r="F172" s="478">
        <f ca="1">ROUND($B165*$E172,2)</f>
        <v>952.4</v>
      </c>
      <c r="G172" s="763"/>
      <c r="H172" s="763"/>
      <c r="I172" s="765"/>
      <c r="J172" s="763"/>
      <c r="K172" s="938" t="s">
        <v>143</v>
      </c>
      <c r="L172" s="766" t="s">
        <v>143</v>
      </c>
      <c r="M172" s="766"/>
      <c r="N172" s="766"/>
      <c r="O172" s="766"/>
      <c r="P172" s="766"/>
      <c r="Q172" s="938"/>
      <c r="R172" s="939">
        <f ca="1">SUM(R166:R171)</f>
        <v>625.20000000000005</v>
      </c>
      <c r="S172" s="940"/>
      <c r="T172" s="939">
        <f ca="1">SUM(T166:T171)</f>
        <v>5.4</v>
      </c>
      <c r="U172" s="531"/>
      <c r="V172" s="531"/>
      <c r="W172" s="531"/>
      <c r="X172" s="531"/>
      <c r="Y172" s="531"/>
      <c r="Z172" s="531"/>
      <c r="AA172" s="531"/>
      <c r="AB172" s="531"/>
      <c r="AD172" s="478">
        <v>1013.2</v>
      </c>
    </row>
    <row r="173" spans="1:30" s="520" customFormat="1" ht="12" thickTop="1">
      <c r="A173" s="51"/>
      <c r="B173" s="51"/>
      <c r="C173" s="51"/>
      <c r="D173" s="51"/>
      <c r="E173" s="51"/>
      <c r="F173" s="51"/>
      <c r="G173" s="51"/>
      <c r="H173" s="51"/>
      <c r="I173" s="51"/>
      <c r="J173" s="51"/>
      <c r="K173" s="51"/>
      <c r="L173" s="51"/>
      <c r="M173" s="51"/>
      <c r="N173" s="51"/>
      <c r="O173" s="52"/>
      <c r="P173" s="51"/>
      <c r="Q173" s="42" t="s">
        <v>168</v>
      </c>
      <c r="R173" s="51"/>
      <c r="S173" s="13"/>
      <c r="T173" s="51"/>
      <c r="AD173" s="51"/>
    </row>
    <row r="174" spans="1:30" s="520" customFormat="1" ht="12" customHeight="1" thickBot="1">
      <c r="A174" s="927">
        <v>1</v>
      </c>
      <c r="B174" s="928">
        <f ca="1">Elec_Est!B11562</f>
        <v>29</v>
      </c>
      <c r="C174" s="929"/>
      <c r="D174" s="930" t="s">
        <v>3519</v>
      </c>
      <c r="E174" s="931"/>
      <c r="F174" s="931"/>
      <c r="G174" s="752"/>
      <c r="H174" s="752"/>
      <c r="I174" s="932"/>
      <c r="J174" s="752"/>
      <c r="K174" s="929" t="s">
        <v>169</v>
      </c>
      <c r="L174" s="933" t="s">
        <v>169</v>
      </c>
      <c r="M174" s="933"/>
      <c r="N174" s="933"/>
      <c r="O174" s="933"/>
      <c r="P174" s="933"/>
      <c r="Q174" s="934">
        <f ca="1">B174/A174</f>
        <v>29</v>
      </c>
      <c r="R174" s="935">
        <f ca="1">IF($B174=0,0,IF($S$1="R",ROUND(R181/$B174,2),R181/$B174))</f>
        <v>35.159999999999997</v>
      </c>
      <c r="S174" s="936"/>
      <c r="T174" s="935">
        <f ca="1">IF($B174=0,0,IF($S$1="R",ROUND(T181/$B174,2),T181/$B174))</f>
        <v>0.32</v>
      </c>
      <c r="AD174" s="931"/>
    </row>
    <row r="175" spans="1:30" s="520" customFormat="1" ht="13.8" thickTop="1">
      <c r="A175" s="748"/>
      <c r="B175" s="3"/>
      <c r="C175" s="3"/>
      <c r="D175" s="106" t="s">
        <v>170</v>
      </c>
      <c r="E175" s="3"/>
      <c r="F175" s="3"/>
      <c r="G175" s="3"/>
      <c r="H175" s="3"/>
      <c r="I175" s="3"/>
      <c r="J175" s="3"/>
      <c r="K175" s="3"/>
      <c r="L175" s="3"/>
      <c r="M175" s="3"/>
      <c r="N175" s="3"/>
      <c r="O175" s="107"/>
      <c r="P175" s="3"/>
      <c r="Q175" s="3"/>
      <c r="R175" s="3"/>
      <c r="S175" s="3"/>
      <c r="T175" s="3"/>
      <c r="AD175" s="3"/>
    </row>
    <row r="176" spans="1:30" s="901" customFormat="1">
      <c r="A176" s="1056">
        <f ca="1">$Q$174 *(1)</f>
        <v>29</v>
      </c>
      <c r="B176" s="901" t="s">
        <v>141</v>
      </c>
      <c r="D176" s="901" t="s">
        <v>2854</v>
      </c>
      <c r="E176" s="901" t="s">
        <v>3424</v>
      </c>
      <c r="F176" s="1054" t="s">
        <v>3425</v>
      </c>
      <c r="G176" s="941" t="s">
        <v>2850</v>
      </c>
      <c r="H176" s="942">
        <v>705</v>
      </c>
      <c r="I176" s="901" t="s">
        <v>2851</v>
      </c>
      <c r="J176" s="901" t="s">
        <v>2852</v>
      </c>
      <c r="O176" s="943">
        <v>3</v>
      </c>
      <c r="P176" s="944">
        <v>38047</v>
      </c>
      <c r="Q176" s="945">
        <v>30</v>
      </c>
      <c r="R176" s="946">
        <f ca="1">$A176*Q176</f>
        <v>870</v>
      </c>
      <c r="S176" s="945">
        <v>0.3</v>
      </c>
      <c r="T176" s="947">
        <f ca="1">$A176*S176*$T$1</f>
        <v>7.8299999999999992</v>
      </c>
      <c r="AD176" s="1054" t="s">
        <v>3425</v>
      </c>
    </row>
    <row r="177" spans="1:30" s="901" customFormat="1">
      <c r="A177" s="1057">
        <f ca="1">$Q$174 *(4)</f>
        <v>116</v>
      </c>
      <c r="B177" s="901" t="s">
        <v>141</v>
      </c>
      <c r="D177" s="901" t="s">
        <v>2739</v>
      </c>
      <c r="G177" s="941" t="s">
        <v>2740</v>
      </c>
      <c r="H177" s="942">
        <v>875</v>
      </c>
      <c r="I177" s="901" t="s">
        <v>2607</v>
      </c>
      <c r="K177" s="901" t="s">
        <v>2741</v>
      </c>
      <c r="O177" s="943">
        <v>1</v>
      </c>
      <c r="P177" s="944">
        <v>34669</v>
      </c>
      <c r="Q177" s="945">
        <v>0.02</v>
      </c>
      <c r="R177" s="946">
        <f ca="1">$A177*Q177</f>
        <v>2.3199999999999998</v>
      </c>
      <c r="S177" s="945"/>
      <c r="T177" s="947">
        <f ca="1">$A177*S177*$T$1</f>
        <v>0</v>
      </c>
    </row>
    <row r="178" spans="1:30" s="901" customFormat="1">
      <c r="A178" s="1057">
        <f ca="1">$Q$174 *(4)</f>
        <v>116</v>
      </c>
      <c r="B178" s="901" t="s">
        <v>141</v>
      </c>
      <c r="D178" s="901" t="s">
        <v>2742</v>
      </c>
      <c r="G178" s="941" t="s">
        <v>2743</v>
      </c>
      <c r="H178" s="942">
        <v>875</v>
      </c>
      <c r="I178" s="901" t="s">
        <v>2607</v>
      </c>
      <c r="K178" s="901" t="s">
        <v>2744</v>
      </c>
      <c r="O178" s="943">
        <v>1</v>
      </c>
      <c r="P178" s="944">
        <v>34669</v>
      </c>
      <c r="Q178" s="945">
        <v>0.02</v>
      </c>
      <c r="R178" s="946">
        <f ca="1">$A178*Q178</f>
        <v>2.3199999999999998</v>
      </c>
      <c r="S178" s="945"/>
      <c r="T178" s="947">
        <f ca="1">$A178*S178*$T$1</f>
        <v>0</v>
      </c>
    </row>
    <row r="179" spans="1:30" s="901" customFormat="1">
      <c r="A179" s="1057">
        <f ca="1">$Q$174 *(1)</f>
        <v>29</v>
      </c>
      <c r="B179" s="901" t="s">
        <v>141</v>
      </c>
      <c r="D179" s="901" t="s">
        <v>2745</v>
      </c>
      <c r="G179" s="941" t="s">
        <v>2746</v>
      </c>
      <c r="H179" s="942">
        <v>875</v>
      </c>
      <c r="I179" s="901" t="s">
        <v>2607</v>
      </c>
      <c r="K179" s="901" t="s">
        <v>2747</v>
      </c>
      <c r="O179" s="943">
        <v>3</v>
      </c>
      <c r="P179" s="944">
        <v>34820</v>
      </c>
      <c r="Q179" s="945">
        <v>5</v>
      </c>
      <c r="R179" s="946">
        <f ca="1">$A179*Q179</f>
        <v>145</v>
      </c>
      <c r="S179" s="945">
        <v>0.05</v>
      </c>
      <c r="T179" s="947">
        <f ca="1">$A179*S179*$T$1</f>
        <v>1.3050000000000002</v>
      </c>
    </row>
    <row r="180" spans="1:30" s="520" customFormat="1">
      <c r="A180" s="758"/>
      <c r="B180" s="3"/>
      <c r="C180" s="758" t="s">
        <v>171</v>
      </c>
      <c r="D180" s="3"/>
      <c r="E180" s="758"/>
      <c r="F180" s="753"/>
      <c r="G180" s="758"/>
      <c r="H180" s="758"/>
      <c r="I180" s="519"/>
      <c r="J180" s="758"/>
      <c r="K180" s="758"/>
      <c r="L180" s="758"/>
      <c r="M180" s="758"/>
      <c r="N180" s="758"/>
      <c r="O180" s="758"/>
      <c r="P180" s="758"/>
      <c r="Q180" s="519"/>
      <c r="R180" s="917">
        <f>$A180*Q180</f>
        <v>0</v>
      </c>
      <c r="S180" s="519"/>
      <c r="T180" s="760">
        <f>$A180*S180*$T$1</f>
        <v>0</v>
      </c>
      <c r="AD180" s="753"/>
    </row>
    <row r="181" spans="1:30" s="520" customFormat="1" ht="12.6" thickBot="1">
      <c r="A181" s="761" t="s">
        <v>145</v>
      </c>
      <c r="B181" s="762">
        <f>(R180+T180)</f>
        <v>0</v>
      </c>
      <c r="C181" s="763"/>
      <c r="D181" s="937" t="s">
        <v>172</v>
      </c>
      <c r="E181" s="477">
        <f ca="1">IF($B174=0,0,ROUND(ROUND(($R181*$S$2+($T181*$T$2))/$B174, 2)*$C$2,2))</f>
        <v>53.95</v>
      </c>
      <c r="F181" s="478">
        <f ca="1">ROUND($B174*$E181,2)</f>
        <v>1564.55</v>
      </c>
      <c r="G181" s="763"/>
      <c r="H181" s="763"/>
      <c r="I181" s="765"/>
      <c r="J181" s="763"/>
      <c r="K181" s="938" t="s">
        <v>143</v>
      </c>
      <c r="L181" s="766" t="s">
        <v>143</v>
      </c>
      <c r="M181" s="766"/>
      <c r="N181" s="766"/>
      <c r="O181" s="766"/>
      <c r="P181" s="766"/>
      <c r="Q181" s="938"/>
      <c r="R181" s="939">
        <f ca="1">SUM(R175:R180)</f>
        <v>1019.6400000000001</v>
      </c>
      <c r="S181" s="940"/>
      <c r="T181" s="939">
        <f ca="1">SUM(T175:T180)</f>
        <v>9.1349999999999998</v>
      </c>
      <c r="U181" s="531"/>
      <c r="V181" s="531"/>
      <c r="W181" s="531"/>
      <c r="X181" s="531"/>
      <c r="Y181" s="531"/>
      <c r="Z181" s="531"/>
      <c r="AA181" s="531"/>
      <c r="AB181" s="531"/>
      <c r="AD181" s="478">
        <v>2297.1999999999998</v>
      </c>
    </row>
    <row r="182" spans="1:30" s="520" customFormat="1" ht="12" thickTop="1">
      <c r="A182" s="51"/>
      <c r="B182" s="51"/>
      <c r="C182" s="51"/>
      <c r="D182" s="51"/>
      <c r="E182" s="51"/>
      <c r="F182" s="51"/>
      <c r="G182" s="51"/>
      <c r="H182" s="51"/>
      <c r="I182" s="51"/>
      <c r="J182" s="51"/>
      <c r="K182" s="51"/>
      <c r="L182" s="51"/>
      <c r="M182" s="51"/>
      <c r="N182" s="51"/>
      <c r="O182" s="52"/>
      <c r="P182" s="51"/>
      <c r="Q182" s="42" t="s">
        <v>168</v>
      </c>
      <c r="R182" s="51"/>
      <c r="S182" s="13"/>
      <c r="T182" s="51"/>
      <c r="AD182" s="51"/>
    </row>
    <row r="183" spans="1:30" s="520" customFormat="1" ht="12" customHeight="1" thickBot="1">
      <c r="A183" s="927">
        <v>1</v>
      </c>
      <c r="B183" s="928">
        <f ca="1">Elec_Est!B11563</f>
        <v>20</v>
      </c>
      <c r="C183" s="929"/>
      <c r="D183" s="930" t="s">
        <v>3520</v>
      </c>
      <c r="E183" s="931"/>
      <c r="F183" s="931"/>
      <c r="G183" s="752"/>
      <c r="H183" s="752"/>
      <c r="I183" s="932"/>
      <c r="J183" s="752"/>
      <c r="K183" s="929" t="s">
        <v>169</v>
      </c>
      <c r="L183" s="933" t="s">
        <v>169</v>
      </c>
      <c r="M183" s="933"/>
      <c r="N183" s="933"/>
      <c r="O183" s="933"/>
      <c r="P183" s="933"/>
      <c r="Q183" s="934">
        <f ca="1">B183/A183</f>
        <v>20</v>
      </c>
      <c r="R183" s="935">
        <f ca="1">IF($B183=0,0,IF($S$1="R",ROUND(R190/$B183,2),R190/$B183))</f>
        <v>36.159999999999997</v>
      </c>
      <c r="S183" s="936"/>
      <c r="T183" s="935">
        <f ca="1">IF($B183=0,0,IF($S$1="R",ROUND(T190/$B183,2),T190/$B183))</f>
        <v>0.32</v>
      </c>
      <c r="AD183" s="931"/>
    </row>
    <row r="184" spans="1:30" s="520" customFormat="1" ht="13.8" thickTop="1">
      <c r="A184" s="748"/>
      <c r="B184" s="3"/>
      <c r="C184" s="3"/>
      <c r="D184" s="106" t="s">
        <v>170</v>
      </c>
      <c r="E184" s="3"/>
      <c r="F184" s="3"/>
      <c r="G184" s="3"/>
      <c r="H184" s="3"/>
      <c r="I184" s="3"/>
      <c r="J184" s="3"/>
      <c r="K184" s="3"/>
      <c r="L184" s="3"/>
      <c r="M184" s="3"/>
      <c r="N184" s="3"/>
      <c r="O184" s="107"/>
      <c r="P184" s="3"/>
      <c r="Q184" s="3"/>
      <c r="R184" s="3"/>
      <c r="S184" s="3"/>
      <c r="T184" s="3"/>
      <c r="AD184" s="3"/>
    </row>
    <row r="185" spans="1:30" s="901" customFormat="1">
      <c r="A185" s="1056">
        <f ca="1">$Q$183 *(1)</f>
        <v>20</v>
      </c>
      <c r="B185" s="901" t="s">
        <v>141</v>
      </c>
      <c r="D185" s="901" t="s">
        <v>2855</v>
      </c>
      <c r="E185" s="901" t="s">
        <v>3424</v>
      </c>
      <c r="F185" s="1054" t="s">
        <v>3425</v>
      </c>
      <c r="G185" s="941" t="s">
        <v>2850</v>
      </c>
      <c r="H185" s="942">
        <v>705</v>
      </c>
      <c r="I185" s="901" t="s">
        <v>2851</v>
      </c>
      <c r="J185" s="901" t="s">
        <v>2852</v>
      </c>
      <c r="O185" s="943">
        <v>3</v>
      </c>
      <c r="P185" s="944">
        <v>38047</v>
      </c>
      <c r="Q185" s="945">
        <v>31</v>
      </c>
      <c r="R185" s="946">
        <f ca="1">$A185*Q185</f>
        <v>620</v>
      </c>
      <c r="S185" s="945">
        <v>0.3</v>
      </c>
      <c r="T185" s="947">
        <f ca="1">$A185*S185*$T$1</f>
        <v>5.4</v>
      </c>
      <c r="AD185" s="1054" t="s">
        <v>3425</v>
      </c>
    </row>
    <row r="186" spans="1:30" s="901" customFormat="1">
      <c r="A186" s="1057">
        <f ca="1">$Q$183 *(4)</f>
        <v>80</v>
      </c>
      <c r="B186" s="901" t="s">
        <v>141</v>
      </c>
      <c r="D186" s="901" t="s">
        <v>2739</v>
      </c>
      <c r="G186" s="941" t="s">
        <v>2740</v>
      </c>
      <c r="H186" s="942">
        <v>875</v>
      </c>
      <c r="I186" s="901" t="s">
        <v>2607</v>
      </c>
      <c r="K186" s="901" t="s">
        <v>2741</v>
      </c>
      <c r="O186" s="943">
        <v>1</v>
      </c>
      <c r="P186" s="944">
        <v>34669</v>
      </c>
      <c r="Q186" s="945">
        <v>0.02</v>
      </c>
      <c r="R186" s="946">
        <f ca="1">$A186*Q186</f>
        <v>1.6</v>
      </c>
      <c r="S186" s="945"/>
      <c r="T186" s="947">
        <f ca="1">$A186*S186*$T$1</f>
        <v>0</v>
      </c>
    </row>
    <row r="187" spans="1:30" s="901" customFormat="1">
      <c r="A187" s="1057">
        <f ca="1">$Q$183 *(4)</f>
        <v>80</v>
      </c>
      <c r="B187" s="901" t="s">
        <v>141</v>
      </c>
      <c r="D187" s="901" t="s">
        <v>2742</v>
      </c>
      <c r="G187" s="941" t="s">
        <v>2743</v>
      </c>
      <c r="H187" s="942">
        <v>875</v>
      </c>
      <c r="I187" s="901" t="s">
        <v>2607</v>
      </c>
      <c r="K187" s="901" t="s">
        <v>2744</v>
      </c>
      <c r="O187" s="943">
        <v>1</v>
      </c>
      <c r="P187" s="944">
        <v>34669</v>
      </c>
      <c r="Q187" s="945">
        <v>0.02</v>
      </c>
      <c r="R187" s="946">
        <f ca="1">$A187*Q187</f>
        <v>1.6</v>
      </c>
      <c r="S187" s="945"/>
      <c r="T187" s="947">
        <f ca="1">$A187*S187*$T$1</f>
        <v>0</v>
      </c>
    </row>
    <row r="188" spans="1:30" s="901" customFormat="1">
      <c r="A188" s="1057">
        <f ca="1">$Q$183 *(1)</f>
        <v>20</v>
      </c>
      <c r="B188" s="901" t="s">
        <v>141</v>
      </c>
      <c r="D188" s="901" t="s">
        <v>2745</v>
      </c>
      <c r="G188" s="941" t="s">
        <v>2746</v>
      </c>
      <c r="H188" s="942">
        <v>875</v>
      </c>
      <c r="I188" s="901" t="s">
        <v>2607</v>
      </c>
      <c r="K188" s="901" t="s">
        <v>2747</v>
      </c>
      <c r="O188" s="943">
        <v>3</v>
      </c>
      <c r="P188" s="944">
        <v>34820</v>
      </c>
      <c r="Q188" s="945">
        <v>5</v>
      </c>
      <c r="R188" s="946">
        <f ca="1">$A188*Q188</f>
        <v>100</v>
      </c>
      <c r="S188" s="945">
        <v>0.05</v>
      </c>
      <c r="T188" s="947">
        <f ca="1">$A188*S188*$T$1</f>
        <v>0.9</v>
      </c>
    </row>
    <row r="189" spans="1:30" s="520" customFormat="1">
      <c r="A189" s="758"/>
      <c r="B189" s="3"/>
      <c r="C189" s="758" t="s">
        <v>171</v>
      </c>
      <c r="D189" s="3"/>
      <c r="E189" s="758"/>
      <c r="F189" s="753"/>
      <c r="G189" s="758"/>
      <c r="H189" s="758"/>
      <c r="I189" s="519"/>
      <c r="J189" s="758"/>
      <c r="K189" s="758"/>
      <c r="L189" s="758"/>
      <c r="M189" s="758"/>
      <c r="N189" s="758"/>
      <c r="O189" s="758"/>
      <c r="P189" s="758"/>
      <c r="Q189" s="519"/>
      <c r="R189" s="917">
        <f>$A189*Q189</f>
        <v>0</v>
      </c>
      <c r="S189" s="519"/>
      <c r="T189" s="760">
        <f>$A189*S189*$T$1</f>
        <v>0</v>
      </c>
      <c r="AD189" s="753"/>
    </row>
    <row r="190" spans="1:30" s="520" customFormat="1" ht="12.6" thickBot="1">
      <c r="A190" s="761" t="s">
        <v>145</v>
      </c>
      <c r="B190" s="762">
        <f>(R189+T189)</f>
        <v>0</v>
      </c>
      <c r="C190" s="763"/>
      <c r="D190" s="937" t="s">
        <v>172</v>
      </c>
      <c r="E190" s="477">
        <f ca="1">IF($B183=0,0,ROUND(ROUND(($R190*$S$2+($T190*$T$2))/$B183, 2)*$C$2,2))</f>
        <v>55.18</v>
      </c>
      <c r="F190" s="478">
        <f ca="1">ROUND($B183*$E190,2)</f>
        <v>1103.5999999999999</v>
      </c>
      <c r="G190" s="763"/>
      <c r="H190" s="763"/>
      <c r="I190" s="765"/>
      <c r="J190" s="763"/>
      <c r="K190" s="938" t="s">
        <v>143</v>
      </c>
      <c r="L190" s="766" t="s">
        <v>143</v>
      </c>
      <c r="M190" s="766"/>
      <c r="N190" s="766"/>
      <c r="O190" s="766"/>
      <c r="P190" s="766"/>
      <c r="Q190" s="938"/>
      <c r="R190" s="939">
        <f ca="1">SUM(R184:R189)</f>
        <v>723.2</v>
      </c>
      <c r="S190" s="940"/>
      <c r="T190" s="939">
        <f ca="1">SUM(T184:T189)</f>
        <v>6.3000000000000007</v>
      </c>
      <c r="U190" s="531"/>
      <c r="V190" s="531"/>
      <c r="W190" s="531"/>
      <c r="X190" s="531"/>
      <c r="Y190" s="531"/>
      <c r="Z190" s="531"/>
      <c r="AA190" s="531"/>
      <c r="AB190" s="531"/>
      <c r="AD190" s="478">
        <v>1174.2</v>
      </c>
    </row>
    <row r="191" spans="1:30" s="520" customFormat="1" ht="12" thickTop="1">
      <c r="A191" s="51"/>
      <c r="B191" s="51"/>
      <c r="C191" s="51"/>
      <c r="D191" s="51"/>
      <c r="E191" s="51"/>
      <c r="F191" s="51"/>
      <c r="G191" s="51"/>
      <c r="H191" s="51"/>
      <c r="I191" s="51"/>
      <c r="J191" s="51"/>
      <c r="K191" s="51"/>
      <c r="L191" s="51"/>
      <c r="M191" s="51"/>
      <c r="N191" s="51"/>
      <c r="O191" s="52"/>
      <c r="P191" s="51"/>
      <c r="Q191" s="42" t="s">
        <v>168</v>
      </c>
      <c r="R191" s="51"/>
      <c r="S191" s="13"/>
      <c r="T191" s="51"/>
      <c r="AD191" s="51"/>
    </row>
    <row r="192" spans="1:30" s="520" customFormat="1" ht="12" customHeight="1" thickBot="1">
      <c r="A192" s="927">
        <v>3</v>
      </c>
      <c r="B192" s="928">
        <f ca="1">Elec_Est!B11564</f>
        <v>34</v>
      </c>
      <c r="C192" s="929"/>
      <c r="D192" s="930" t="s">
        <v>3521</v>
      </c>
      <c r="E192" s="931"/>
      <c r="F192" s="931"/>
      <c r="G192" s="752"/>
      <c r="H192" s="752"/>
      <c r="I192" s="932"/>
      <c r="J192" s="752"/>
      <c r="K192" s="929" t="s">
        <v>169</v>
      </c>
      <c r="L192" s="933" t="s">
        <v>169</v>
      </c>
      <c r="M192" s="933"/>
      <c r="N192" s="933"/>
      <c r="O192" s="933"/>
      <c r="P192" s="933"/>
      <c r="Q192" s="934">
        <f ca="1">B192/A192</f>
        <v>11.333333333333334</v>
      </c>
      <c r="R192" s="935">
        <f ca="1">IF($B192=0,0,IF($S$1="R",ROUND(R199/$B192,2),R199/$B192))</f>
        <v>25.62</v>
      </c>
      <c r="S192" s="936"/>
      <c r="T192" s="935">
        <f ca="1">IF($B192=0,0,IF($S$1="R",ROUND(T199/$B192,2),T199/$B192))</f>
        <v>0.5</v>
      </c>
      <c r="AD192" s="931"/>
    </row>
    <row r="193" spans="1:30" s="520" customFormat="1" ht="13.8" thickTop="1">
      <c r="A193" s="748"/>
      <c r="B193" s="3"/>
      <c r="C193" s="3"/>
      <c r="D193" s="106" t="s">
        <v>170</v>
      </c>
      <c r="E193" s="3"/>
      <c r="F193" s="3"/>
      <c r="G193" s="3"/>
      <c r="H193" s="3"/>
      <c r="I193" s="3"/>
      <c r="J193" s="3"/>
      <c r="K193" s="3"/>
      <c r="L193" s="3"/>
      <c r="M193" s="3"/>
      <c r="N193" s="3"/>
      <c r="O193" s="107"/>
      <c r="P193" s="3"/>
      <c r="Q193" s="3"/>
      <c r="R193" s="3"/>
      <c r="S193" s="3"/>
      <c r="T193" s="3"/>
      <c r="AD193" s="3"/>
    </row>
    <row r="194" spans="1:30" s="901" customFormat="1">
      <c r="A194" s="1057">
        <f ca="1">$Q$192 *(3)</f>
        <v>34</v>
      </c>
      <c r="B194" s="901" t="s">
        <v>141</v>
      </c>
      <c r="D194" s="901" t="s">
        <v>2751</v>
      </c>
      <c r="F194" s="901" t="s">
        <v>3424</v>
      </c>
      <c r="G194" s="941" t="s">
        <v>2749</v>
      </c>
      <c r="H194" s="942">
        <v>510</v>
      </c>
      <c r="I194" s="901" t="s">
        <v>2736</v>
      </c>
      <c r="J194" s="901" t="s">
        <v>2750</v>
      </c>
      <c r="K194" s="901" t="s">
        <v>2738</v>
      </c>
      <c r="O194" s="943">
        <v>2</v>
      </c>
      <c r="P194" s="944">
        <v>36880</v>
      </c>
      <c r="Q194" s="945">
        <v>20.46</v>
      </c>
      <c r="R194" s="946">
        <f t="shared" ref="R194:R198" ca="1" si="34">$A194*Q194</f>
        <v>695.64</v>
      </c>
      <c r="S194" s="945">
        <v>0.5</v>
      </c>
      <c r="T194" s="947">
        <f t="shared" ref="T194:T198" ca="1" si="35">$A194*S194*$T$1</f>
        <v>15.3</v>
      </c>
      <c r="AD194" s="901" t="s">
        <v>3424</v>
      </c>
    </row>
    <row r="195" spans="1:30" s="901" customFormat="1">
      <c r="A195" s="1056">
        <f ca="1">$Q$192 *(12)</f>
        <v>136</v>
      </c>
      <c r="B195" s="901" t="s">
        <v>141</v>
      </c>
      <c r="D195" s="901" t="s">
        <v>2739</v>
      </c>
      <c r="G195" s="941" t="s">
        <v>2740</v>
      </c>
      <c r="H195" s="942">
        <v>875</v>
      </c>
      <c r="I195" s="901" t="s">
        <v>2607</v>
      </c>
      <c r="K195" s="901" t="s">
        <v>2741</v>
      </c>
      <c r="O195" s="943">
        <v>1</v>
      </c>
      <c r="P195" s="944">
        <v>34669</v>
      </c>
      <c r="Q195" s="945">
        <v>0.02</v>
      </c>
      <c r="R195" s="946">
        <f t="shared" ca="1" si="34"/>
        <v>2.72</v>
      </c>
      <c r="S195" s="945"/>
      <c r="T195" s="947">
        <f t="shared" ca="1" si="35"/>
        <v>0</v>
      </c>
    </row>
    <row r="196" spans="1:30" s="901" customFormat="1">
      <c r="A196" s="1056">
        <f ca="1">$Q$192 *(12)</f>
        <v>136</v>
      </c>
      <c r="B196" s="901" t="s">
        <v>141</v>
      </c>
      <c r="D196" s="901" t="s">
        <v>2742</v>
      </c>
      <c r="G196" s="941" t="s">
        <v>2743</v>
      </c>
      <c r="H196" s="942">
        <v>875</v>
      </c>
      <c r="I196" s="901" t="s">
        <v>2607</v>
      </c>
      <c r="K196" s="901" t="s">
        <v>2744</v>
      </c>
      <c r="O196" s="943">
        <v>1</v>
      </c>
      <c r="P196" s="944">
        <v>34669</v>
      </c>
      <c r="Q196" s="945">
        <v>0.02</v>
      </c>
      <c r="R196" s="946">
        <f t="shared" ca="1" si="34"/>
        <v>2.72</v>
      </c>
      <c r="S196" s="945"/>
      <c r="T196" s="947">
        <f t="shared" ca="1" si="35"/>
        <v>0</v>
      </c>
    </row>
    <row r="197" spans="1:30" s="901" customFormat="1">
      <c r="A197" s="1056">
        <f ca="1">$Q$192 *(3)</f>
        <v>34</v>
      </c>
      <c r="B197" s="901" t="s">
        <v>141</v>
      </c>
      <c r="D197" s="901" t="s">
        <v>2745</v>
      </c>
      <c r="G197" s="941" t="s">
        <v>2746</v>
      </c>
      <c r="H197" s="942">
        <v>875</v>
      </c>
      <c r="I197" s="901" t="s">
        <v>2607</v>
      </c>
      <c r="K197" s="901" t="s">
        <v>2747</v>
      </c>
      <c r="O197" s="943">
        <v>3</v>
      </c>
      <c r="P197" s="944">
        <v>34820</v>
      </c>
      <c r="Q197" s="945">
        <v>5</v>
      </c>
      <c r="R197" s="946">
        <f t="shared" ca="1" si="34"/>
        <v>170</v>
      </c>
      <c r="S197" s="945">
        <v>0.05</v>
      </c>
      <c r="T197" s="947">
        <f t="shared" ca="1" si="35"/>
        <v>1.5300000000000002</v>
      </c>
    </row>
    <row r="198" spans="1:30" s="520" customFormat="1">
      <c r="A198" s="758"/>
      <c r="B198" s="3"/>
      <c r="C198" s="758" t="s">
        <v>171</v>
      </c>
      <c r="D198" s="3"/>
      <c r="E198" s="758"/>
      <c r="F198" s="753"/>
      <c r="G198" s="758"/>
      <c r="H198" s="758"/>
      <c r="I198" s="519"/>
      <c r="J198" s="758"/>
      <c r="K198" s="758"/>
      <c r="L198" s="758"/>
      <c r="M198" s="758"/>
      <c r="N198" s="758"/>
      <c r="O198" s="758"/>
      <c r="P198" s="758"/>
      <c r="Q198" s="519"/>
      <c r="R198" s="917">
        <f t="shared" si="34"/>
        <v>0</v>
      </c>
      <c r="S198" s="519"/>
      <c r="T198" s="760">
        <f t="shared" si="35"/>
        <v>0</v>
      </c>
      <c r="AD198" s="753"/>
    </row>
    <row r="199" spans="1:30" s="520" customFormat="1" ht="12.6" thickBot="1">
      <c r="A199" s="761" t="s">
        <v>145</v>
      </c>
      <c r="B199" s="762">
        <f>(R198+T198)</f>
        <v>0</v>
      </c>
      <c r="C199" s="763"/>
      <c r="D199" s="937" t="s">
        <v>172</v>
      </c>
      <c r="E199" s="477">
        <f ca="1">IF($B192=0,0,ROUND(ROUND(($R199*$S$2+($T199*$T$2))/$B192, 2)*$C$2,2))</f>
        <v>48.28</v>
      </c>
      <c r="F199" s="478">
        <f ca="1">ROUND($B192*$E199,2)</f>
        <v>1641.52</v>
      </c>
      <c r="G199" s="763"/>
      <c r="H199" s="763"/>
      <c r="I199" s="765"/>
      <c r="J199" s="763"/>
      <c r="K199" s="938" t="s">
        <v>143</v>
      </c>
      <c r="L199" s="766" t="s">
        <v>143</v>
      </c>
      <c r="M199" s="766"/>
      <c r="N199" s="766"/>
      <c r="O199" s="766"/>
      <c r="P199" s="766"/>
      <c r="Q199" s="938"/>
      <c r="R199" s="939">
        <f ca="1">SUM(R193:R198)</f>
        <v>871.08</v>
      </c>
      <c r="S199" s="940"/>
      <c r="T199" s="939">
        <f ca="1">SUM(T193:T198)</f>
        <v>16.830000000000002</v>
      </c>
      <c r="U199" s="531"/>
      <c r="V199" s="531"/>
      <c r="W199" s="531"/>
      <c r="X199" s="531"/>
      <c r="Y199" s="531"/>
      <c r="Z199" s="531"/>
      <c r="AA199" s="531"/>
      <c r="AB199" s="531"/>
      <c r="AD199" s="478">
        <v>1514.67</v>
      </c>
    </row>
    <row r="200" spans="1:30" s="520" customFormat="1" ht="12" thickTop="1">
      <c r="A200" s="51"/>
      <c r="B200" s="51"/>
      <c r="C200" s="51"/>
      <c r="D200" s="51"/>
      <c r="E200" s="51"/>
      <c r="F200" s="51"/>
      <c r="G200" s="51"/>
      <c r="H200" s="51"/>
      <c r="I200" s="51"/>
      <c r="J200" s="51"/>
      <c r="K200" s="51"/>
      <c r="L200" s="51"/>
      <c r="M200" s="51"/>
      <c r="N200" s="51"/>
      <c r="O200" s="52"/>
      <c r="P200" s="51"/>
      <c r="Q200" s="42" t="s">
        <v>168</v>
      </c>
      <c r="R200" s="51"/>
      <c r="S200" s="13"/>
      <c r="T200" s="51"/>
      <c r="AD200" s="51"/>
    </row>
    <row r="201" spans="1:30" s="520" customFormat="1" ht="12" customHeight="1" thickBot="1">
      <c r="A201" s="927">
        <v>2</v>
      </c>
      <c r="B201" s="928">
        <f ca="1">Elec_Est!B11565</f>
        <v>1</v>
      </c>
      <c r="C201" s="929"/>
      <c r="D201" s="930" t="s">
        <v>3522</v>
      </c>
      <c r="E201" s="931"/>
      <c r="F201" s="931"/>
      <c r="G201" s="752"/>
      <c r="H201" s="752"/>
      <c r="I201" s="932"/>
      <c r="J201" s="752"/>
      <c r="K201" s="929" t="s">
        <v>169</v>
      </c>
      <c r="L201" s="933" t="s">
        <v>169</v>
      </c>
      <c r="M201" s="933"/>
      <c r="N201" s="933"/>
      <c r="O201" s="933"/>
      <c r="P201" s="933"/>
      <c r="Q201" s="934">
        <f ca="1">B201/A201</f>
        <v>0.5</v>
      </c>
      <c r="R201" s="935">
        <f ca="1">IF($B201=0,0,IF($S$1="R",ROUND(R208/$B201,2),R208/$B201))</f>
        <v>25.68</v>
      </c>
      <c r="S201" s="936"/>
      <c r="T201" s="935">
        <f ca="1">IF($B201=0,0,IF($S$1="R",ROUND(T208/$B201,2),T208/$B201))</f>
        <v>0.5</v>
      </c>
      <c r="AD201" s="931"/>
    </row>
    <row r="202" spans="1:30" s="520" customFormat="1" ht="13.8" thickTop="1">
      <c r="A202" s="748"/>
      <c r="B202" s="3"/>
      <c r="C202" s="3"/>
      <c r="D202" s="106" t="s">
        <v>170</v>
      </c>
      <c r="E202" s="3"/>
      <c r="F202" s="3"/>
      <c r="G202" s="3"/>
      <c r="H202" s="3"/>
      <c r="I202" s="3"/>
      <c r="J202" s="3"/>
      <c r="K202" s="3"/>
      <c r="L202" s="3"/>
      <c r="M202" s="3"/>
      <c r="N202" s="3"/>
      <c r="O202" s="107"/>
      <c r="P202" s="3"/>
      <c r="Q202" s="3"/>
      <c r="R202" s="3"/>
      <c r="S202" s="3"/>
      <c r="T202" s="3"/>
      <c r="AD202" s="3"/>
    </row>
    <row r="203" spans="1:30" s="901" customFormat="1">
      <c r="A203" s="1057">
        <f ca="1">$Q$201 *(2)</f>
        <v>1</v>
      </c>
      <c r="B203" s="901" t="s">
        <v>141</v>
      </c>
      <c r="D203" s="901" t="s">
        <v>2846</v>
      </c>
      <c r="F203" s="901" t="s">
        <v>3424</v>
      </c>
      <c r="G203" s="941" t="s">
        <v>2843</v>
      </c>
      <c r="H203" s="942">
        <v>510</v>
      </c>
      <c r="I203" s="901" t="s">
        <v>2736</v>
      </c>
      <c r="J203" s="901" t="s">
        <v>2844</v>
      </c>
      <c r="K203" s="901" t="s">
        <v>2845</v>
      </c>
      <c r="O203" s="943">
        <v>2</v>
      </c>
      <c r="P203" s="944">
        <v>36880</v>
      </c>
      <c r="Q203" s="945">
        <v>20.52</v>
      </c>
      <c r="R203" s="946">
        <f ca="1">$A203*Q203</f>
        <v>20.52</v>
      </c>
      <c r="S203" s="945">
        <v>0.5</v>
      </c>
      <c r="T203" s="947">
        <f ca="1">$A203*S203*$T$1</f>
        <v>0.45</v>
      </c>
      <c r="AD203" s="901" t="s">
        <v>3424</v>
      </c>
    </row>
    <row r="204" spans="1:30" s="901" customFormat="1">
      <c r="A204" s="1056">
        <f ca="1">$Q$201 *(8)</f>
        <v>4</v>
      </c>
      <c r="B204" s="901" t="s">
        <v>141</v>
      </c>
      <c r="D204" s="901" t="s">
        <v>2739</v>
      </c>
      <c r="G204" s="941" t="s">
        <v>2740</v>
      </c>
      <c r="H204" s="942">
        <v>875</v>
      </c>
      <c r="I204" s="901" t="s">
        <v>2607</v>
      </c>
      <c r="K204" s="901" t="s">
        <v>2741</v>
      </c>
      <c r="O204" s="943">
        <v>1</v>
      </c>
      <c r="P204" s="944">
        <v>34669</v>
      </c>
      <c r="Q204" s="945">
        <v>0.02</v>
      </c>
      <c r="R204" s="946">
        <f ca="1">$A204*Q204</f>
        <v>0.08</v>
      </c>
      <c r="S204" s="945"/>
      <c r="T204" s="947">
        <f ca="1">$A204*S204*$T$1</f>
        <v>0</v>
      </c>
    </row>
    <row r="205" spans="1:30" s="901" customFormat="1">
      <c r="A205" s="1056">
        <f ca="1">$Q$201 *(8)</f>
        <v>4</v>
      </c>
      <c r="B205" s="901" t="s">
        <v>141</v>
      </c>
      <c r="D205" s="901" t="s">
        <v>2742</v>
      </c>
      <c r="G205" s="941" t="s">
        <v>2743</v>
      </c>
      <c r="H205" s="942">
        <v>875</v>
      </c>
      <c r="I205" s="901" t="s">
        <v>2607</v>
      </c>
      <c r="K205" s="901" t="s">
        <v>2744</v>
      </c>
      <c r="O205" s="943">
        <v>1</v>
      </c>
      <c r="P205" s="944">
        <v>34669</v>
      </c>
      <c r="Q205" s="945">
        <v>0.02</v>
      </c>
      <c r="R205" s="946">
        <f ca="1">$A205*Q205</f>
        <v>0.08</v>
      </c>
      <c r="S205" s="945"/>
      <c r="T205" s="947">
        <f ca="1">$A205*S205*$T$1</f>
        <v>0</v>
      </c>
    </row>
    <row r="206" spans="1:30" s="901" customFormat="1">
      <c r="A206" s="1056">
        <f ca="1">$Q$201 *(2)</f>
        <v>1</v>
      </c>
      <c r="B206" s="901" t="s">
        <v>141</v>
      </c>
      <c r="D206" s="901" t="s">
        <v>2745</v>
      </c>
      <c r="G206" s="941" t="s">
        <v>2746</v>
      </c>
      <c r="H206" s="942">
        <v>875</v>
      </c>
      <c r="I206" s="901" t="s">
        <v>2607</v>
      </c>
      <c r="K206" s="901" t="s">
        <v>2747</v>
      </c>
      <c r="O206" s="943">
        <v>3</v>
      </c>
      <c r="P206" s="944">
        <v>34820</v>
      </c>
      <c r="Q206" s="945">
        <v>5</v>
      </c>
      <c r="R206" s="946">
        <f ca="1">$A206*Q206</f>
        <v>5</v>
      </c>
      <c r="S206" s="945">
        <v>0.05</v>
      </c>
      <c r="T206" s="947">
        <f ca="1">$A206*S206*$T$1</f>
        <v>4.5000000000000005E-2</v>
      </c>
    </row>
    <row r="207" spans="1:30" s="520" customFormat="1">
      <c r="A207" s="758"/>
      <c r="B207" s="3"/>
      <c r="C207" s="758" t="s">
        <v>171</v>
      </c>
      <c r="D207" s="3"/>
      <c r="E207" s="758"/>
      <c r="F207" s="753"/>
      <c r="G207" s="758"/>
      <c r="H207" s="758"/>
      <c r="I207" s="519"/>
      <c r="J207" s="758"/>
      <c r="K207" s="758"/>
      <c r="L207" s="758"/>
      <c r="M207" s="758"/>
      <c r="N207" s="758"/>
      <c r="O207" s="758"/>
      <c r="P207" s="758"/>
      <c r="Q207" s="519"/>
      <c r="R207" s="917">
        <f>$A207*Q207</f>
        <v>0</v>
      </c>
      <c r="S207" s="519"/>
      <c r="T207" s="760">
        <f>$A207*S207*$T$1</f>
        <v>0</v>
      </c>
      <c r="AD207" s="753"/>
    </row>
    <row r="208" spans="1:30" s="520" customFormat="1" ht="12.6" thickBot="1">
      <c r="A208" s="761" t="s">
        <v>145</v>
      </c>
      <c r="B208" s="762">
        <f>(R207+T207)</f>
        <v>0</v>
      </c>
      <c r="C208" s="763"/>
      <c r="D208" s="937" t="s">
        <v>172</v>
      </c>
      <c r="E208" s="477">
        <f ca="1">IF($B201=0,0,ROUND(ROUND(($R208*$S$2+($T208*$T$2))/$B201, 2)*$C$2,2))</f>
        <v>48.36</v>
      </c>
      <c r="F208" s="478">
        <f ca="1">ROUND($B201*$E208,2)</f>
        <v>48.36</v>
      </c>
      <c r="G208" s="763"/>
      <c r="H208" s="763"/>
      <c r="I208" s="765"/>
      <c r="J208" s="763"/>
      <c r="K208" s="938" t="s">
        <v>143</v>
      </c>
      <c r="L208" s="766" t="s">
        <v>143</v>
      </c>
      <c r="M208" s="766"/>
      <c r="N208" s="766"/>
      <c r="O208" s="766"/>
      <c r="P208" s="766"/>
      <c r="Q208" s="938"/>
      <c r="R208" s="939">
        <f ca="1">SUM(R202:R207)</f>
        <v>25.679999999999996</v>
      </c>
      <c r="S208" s="940"/>
      <c r="T208" s="939">
        <f ca="1">SUM(T202:T207)</f>
        <v>0.495</v>
      </c>
      <c r="U208" s="531"/>
      <c r="V208" s="531"/>
      <c r="W208" s="531"/>
      <c r="X208" s="531"/>
      <c r="Y208" s="531"/>
      <c r="Z208" s="531"/>
      <c r="AA208" s="531"/>
      <c r="AB208" s="531"/>
      <c r="AD208" s="478">
        <v>52.31</v>
      </c>
    </row>
    <row r="209" spans="1:30" s="520" customFormat="1" ht="12" thickTop="1">
      <c r="A209" s="51"/>
      <c r="B209" s="51"/>
      <c r="C209" s="51"/>
      <c r="D209" s="51"/>
      <c r="E209" s="51"/>
      <c r="F209" s="51"/>
      <c r="G209" s="51"/>
      <c r="H209" s="51"/>
      <c r="I209" s="51"/>
      <c r="J209" s="51"/>
      <c r="K209" s="51"/>
      <c r="L209" s="51"/>
      <c r="M209" s="51"/>
      <c r="N209" s="51"/>
      <c r="O209" s="52"/>
      <c r="P209" s="51"/>
      <c r="Q209" s="42" t="s">
        <v>168</v>
      </c>
      <c r="R209" s="51"/>
      <c r="S209" s="13"/>
      <c r="T209" s="51"/>
      <c r="AD209" s="51"/>
    </row>
    <row r="210" spans="1:30" s="520" customFormat="1" ht="12" customHeight="1" thickBot="1">
      <c r="A210" s="927">
        <v>2</v>
      </c>
      <c r="B210" s="928">
        <f ca="1">Elec_Est!B11566</f>
        <v>15</v>
      </c>
      <c r="C210" s="929"/>
      <c r="D210" s="930" t="s">
        <v>3523</v>
      </c>
      <c r="E210" s="931"/>
      <c r="F210" s="931"/>
      <c r="G210" s="752"/>
      <c r="H210" s="752"/>
      <c r="I210" s="932"/>
      <c r="J210" s="752"/>
      <c r="K210" s="929" t="s">
        <v>169</v>
      </c>
      <c r="L210" s="933" t="s">
        <v>169</v>
      </c>
      <c r="M210" s="933"/>
      <c r="N210" s="933"/>
      <c r="O210" s="933"/>
      <c r="P210" s="933"/>
      <c r="Q210" s="934">
        <f ca="1">B210/A210</f>
        <v>7.5</v>
      </c>
      <c r="R210" s="935">
        <f ca="1">IF($B210=0,0,IF($S$1="R",ROUND(R217/$B210,2),R217/$B210))</f>
        <v>27.16</v>
      </c>
      <c r="S210" s="936"/>
      <c r="T210" s="935">
        <f ca="1">IF($B210=0,0,IF($S$1="R",ROUND(T217/$B210,2),T217/$B210))</f>
        <v>0.72</v>
      </c>
      <c r="AD210" s="931"/>
    </row>
    <row r="211" spans="1:30" s="520" customFormat="1" ht="13.8" thickTop="1">
      <c r="A211" s="748"/>
      <c r="B211" s="3"/>
      <c r="C211" s="3"/>
      <c r="D211" s="106" t="s">
        <v>170</v>
      </c>
      <c r="E211" s="3"/>
      <c r="F211" s="3"/>
      <c r="G211" s="3"/>
      <c r="H211" s="3"/>
      <c r="I211" s="3"/>
      <c r="J211" s="3"/>
      <c r="K211" s="3"/>
      <c r="L211" s="3"/>
      <c r="M211" s="3"/>
      <c r="N211" s="3"/>
      <c r="O211" s="107"/>
      <c r="P211" s="3"/>
      <c r="Q211" s="3"/>
      <c r="R211" s="3"/>
      <c r="S211" s="3"/>
      <c r="T211" s="3"/>
      <c r="AD211" s="3"/>
    </row>
    <row r="212" spans="1:30" s="901" customFormat="1">
      <c r="A212" s="1057">
        <f ca="1">$Q$210 *(2)</f>
        <v>15</v>
      </c>
      <c r="B212" s="901" t="s">
        <v>141</v>
      </c>
      <c r="D212" s="901" t="s">
        <v>2847</v>
      </c>
      <c r="F212" s="901" t="s">
        <v>3424</v>
      </c>
      <c r="G212" s="941" t="s">
        <v>2848</v>
      </c>
      <c r="H212" s="942">
        <v>510</v>
      </c>
      <c r="I212" s="901" t="s">
        <v>2736</v>
      </c>
      <c r="J212" s="901" t="s">
        <v>2849</v>
      </c>
      <c r="K212" s="901" t="s">
        <v>2738</v>
      </c>
      <c r="O212" s="943">
        <v>2</v>
      </c>
      <c r="P212" s="944">
        <v>36880</v>
      </c>
      <c r="Q212" s="945">
        <v>22</v>
      </c>
      <c r="R212" s="946">
        <f ca="1">$A212*Q212</f>
        <v>330</v>
      </c>
      <c r="S212" s="945">
        <v>0.75</v>
      </c>
      <c r="T212" s="947">
        <f ca="1">$A212*S212*$T$1</f>
        <v>10.125</v>
      </c>
      <c r="AD212" s="901" t="s">
        <v>3424</v>
      </c>
    </row>
    <row r="213" spans="1:30" s="901" customFormat="1">
      <c r="A213" s="1056">
        <f ca="1">$Q$210 *(8)</f>
        <v>60</v>
      </c>
      <c r="B213" s="901" t="s">
        <v>141</v>
      </c>
      <c r="D213" s="901" t="s">
        <v>2739</v>
      </c>
      <c r="G213" s="941" t="s">
        <v>2740</v>
      </c>
      <c r="H213" s="942">
        <v>875</v>
      </c>
      <c r="I213" s="901" t="s">
        <v>2607</v>
      </c>
      <c r="K213" s="901" t="s">
        <v>2741</v>
      </c>
      <c r="O213" s="943">
        <v>1</v>
      </c>
      <c r="P213" s="944">
        <v>34669</v>
      </c>
      <c r="Q213" s="945">
        <v>0.02</v>
      </c>
      <c r="R213" s="946">
        <f ca="1">$A213*Q213</f>
        <v>1.2</v>
      </c>
      <c r="S213" s="945"/>
      <c r="T213" s="947">
        <f ca="1">$A213*S213*$T$1</f>
        <v>0</v>
      </c>
    </row>
    <row r="214" spans="1:30" s="901" customFormat="1">
      <c r="A214" s="1056">
        <f ca="1">$Q$210 *(8)</f>
        <v>60</v>
      </c>
      <c r="B214" s="901" t="s">
        <v>141</v>
      </c>
      <c r="D214" s="901" t="s">
        <v>2742</v>
      </c>
      <c r="G214" s="941" t="s">
        <v>2743</v>
      </c>
      <c r="H214" s="942">
        <v>875</v>
      </c>
      <c r="I214" s="901" t="s">
        <v>2607</v>
      </c>
      <c r="K214" s="901" t="s">
        <v>2744</v>
      </c>
      <c r="O214" s="943">
        <v>1</v>
      </c>
      <c r="P214" s="944">
        <v>34669</v>
      </c>
      <c r="Q214" s="945">
        <v>0.02</v>
      </c>
      <c r="R214" s="946">
        <f ca="1">$A214*Q214</f>
        <v>1.2</v>
      </c>
      <c r="S214" s="945"/>
      <c r="T214" s="947">
        <f ca="1">$A214*S214*$T$1</f>
        <v>0</v>
      </c>
    </row>
    <row r="215" spans="1:30" s="901" customFormat="1">
      <c r="A215" s="1056">
        <f ca="1">$Q$210 *(2)</f>
        <v>15</v>
      </c>
      <c r="B215" s="901" t="s">
        <v>141</v>
      </c>
      <c r="D215" s="901" t="s">
        <v>2745</v>
      </c>
      <c r="G215" s="941" t="s">
        <v>2746</v>
      </c>
      <c r="H215" s="942">
        <v>875</v>
      </c>
      <c r="I215" s="901" t="s">
        <v>2607</v>
      </c>
      <c r="K215" s="901" t="s">
        <v>2747</v>
      </c>
      <c r="O215" s="943">
        <v>3</v>
      </c>
      <c r="P215" s="944">
        <v>34820</v>
      </c>
      <c r="Q215" s="945">
        <v>5</v>
      </c>
      <c r="R215" s="946">
        <f ca="1">$A215*Q215</f>
        <v>75</v>
      </c>
      <c r="S215" s="945">
        <v>0.05</v>
      </c>
      <c r="T215" s="947">
        <f ca="1">$A215*S215*$T$1</f>
        <v>0.67500000000000004</v>
      </c>
    </row>
    <row r="216" spans="1:30" s="520" customFormat="1">
      <c r="A216" s="758"/>
      <c r="B216" s="3"/>
      <c r="C216" s="758" t="s">
        <v>171</v>
      </c>
      <c r="D216" s="3"/>
      <c r="E216" s="758"/>
      <c r="F216" s="753"/>
      <c r="G216" s="758"/>
      <c r="H216" s="758"/>
      <c r="I216" s="519"/>
      <c r="J216" s="758"/>
      <c r="K216" s="758"/>
      <c r="L216" s="758"/>
      <c r="M216" s="758"/>
      <c r="N216" s="758"/>
      <c r="O216" s="758"/>
      <c r="P216" s="758"/>
      <c r="Q216" s="519"/>
      <c r="R216" s="917">
        <f>$A216*Q216</f>
        <v>0</v>
      </c>
      <c r="S216" s="519"/>
      <c r="T216" s="760">
        <f>$A216*S216*$T$1</f>
        <v>0</v>
      </c>
      <c r="AD216" s="753"/>
    </row>
    <row r="217" spans="1:30" s="520" customFormat="1" ht="12.6" thickBot="1">
      <c r="A217" s="761" t="s">
        <v>145</v>
      </c>
      <c r="B217" s="762">
        <f>(R216+T216)</f>
        <v>0</v>
      </c>
      <c r="C217" s="763"/>
      <c r="D217" s="937" t="s">
        <v>172</v>
      </c>
      <c r="E217" s="477">
        <f ca="1">IF($B210=0,0,ROUND(ROUND(($R217*$S$2+($T217*$T$2))/$B210, 2)*$C$2,2))</f>
        <v>57.79</v>
      </c>
      <c r="F217" s="478">
        <f ca="1">ROUND($B210*$E217,2)</f>
        <v>866.85</v>
      </c>
      <c r="G217" s="763"/>
      <c r="H217" s="763"/>
      <c r="I217" s="765"/>
      <c r="J217" s="763"/>
      <c r="K217" s="938" t="s">
        <v>143</v>
      </c>
      <c r="L217" s="766" t="s">
        <v>143</v>
      </c>
      <c r="M217" s="766"/>
      <c r="N217" s="766"/>
      <c r="O217" s="766"/>
      <c r="P217" s="766"/>
      <c r="Q217" s="938"/>
      <c r="R217" s="939">
        <f ca="1">SUM(R211:R216)</f>
        <v>407.4</v>
      </c>
      <c r="S217" s="940"/>
      <c r="T217" s="939">
        <f ca="1">SUM(T211:T216)</f>
        <v>10.8</v>
      </c>
      <c r="U217" s="531"/>
      <c r="V217" s="531"/>
      <c r="W217" s="531"/>
      <c r="X217" s="531"/>
      <c r="Y217" s="531"/>
      <c r="Z217" s="531"/>
      <c r="AA217" s="531"/>
      <c r="AB217" s="531"/>
      <c r="AD217" s="478">
        <v>819.13</v>
      </c>
    </row>
    <row r="218" spans="1:30" s="520" customFormat="1" ht="12" thickTop="1">
      <c r="A218" s="51"/>
      <c r="B218" s="51"/>
      <c r="C218" s="51"/>
      <c r="D218" s="51"/>
      <c r="E218" s="51"/>
      <c r="F218" s="51"/>
      <c r="G218" s="51"/>
      <c r="H218" s="51"/>
      <c r="I218" s="51"/>
      <c r="J218" s="51"/>
      <c r="K218" s="51"/>
      <c r="L218" s="51"/>
      <c r="M218" s="51"/>
      <c r="N218" s="51"/>
      <c r="O218" s="52"/>
      <c r="P218" s="51"/>
      <c r="Q218" s="42" t="s">
        <v>168</v>
      </c>
      <c r="R218" s="51"/>
      <c r="S218" s="13"/>
      <c r="T218" s="51"/>
      <c r="AD218" s="51"/>
    </row>
    <row r="219" spans="1:30" s="520" customFormat="1" ht="12" customHeight="1" thickBot="1">
      <c r="A219" s="927">
        <v>2</v>
      </c>
      <c r="B219" s="928">
        <f ca="1">Elec_Est!B11567</f>
        <v>10</v>
      </c>
      <c r="C219" s="929"/>
      <c r="D219" s="930" t="s">
        <v>3524</v>
      </c>
      <c r="E219" s="931"/>
      <c r="F219" s="931"/>
      <c r="G219" s="752"/>
      <c r="H219" s="752"/>
      <c r="I219" s="932"/>
      <c r="J219" s="752"/>
      <c r="K219" s="929" t="s">
        <v>169</v>
      </c>
      <c r="L219" s="933" t="s">
        <v>169</v>
      </c>
      <c r="M219" s="933"/>
      <c r="N219" s="933"/>
      <c r="O219" s="933"/>
      <c r="P219" s="933"/>
      <c r="Q219" s="934">
        <f ca="1">B219/A219</f>
        <v>5</v>
      </c>
      <c r="R219" s="935">
        <f ca="1">IF($B219=0,0,IF($S$1="R",ROUND(R226/$B219,2),R226/$B219))</f>
        <v>59.16</v>
      </c>
      <c r="S219" s="936"/>
      <c r="T219" s="935">
        <f ca="1">IF($B219=0,0,IF($S$1="R",ROUND(T226/$B219,2),T226/$B219))</f>
        <v>0.95</v>
      </c>
      <c r="AD219" s="931"/>
    </row>
    <row r="220" spans="1:30" s="520" customFormat="1" ht="13.8" thickTop="1">
      <c r="A220" s="748"/>
      <c r="B220" s="3"/>
      <c r="C220" s="3"/>
      <c r="D220" s="106" t="s">
        <v>170</v>
      </c>
      <c r="E220" s="3"/>
      <c r="F220" s="3"/>
      <c r="G220" s="3"/>
      <c r="H220" s="3"/>
      <c r="I220" s="3"/>
      <c r="J220" s="3"/>
      <c r="K220" s="3"/>
      <c r="L220" s="3"/>
      <c r="M220" s="3"/>
      <c r="N220" s="3"/>
      <c r="O220" s="107"/>
      <c r="P220" s="3"/>
      <c r="Q220" s="3"/>
      <c r="R220" s="3"/>
      <c r="S220" s="3"/>
      <c r="T220" s="3"/>
      <c r="AD220" s="3"/>
    </row>
    <row r="221" spans="1:30" s="901" customFormat="1">
      <c r="A221" s="1057">
        <f ca="1">$Q$219 *(2)</f>
        <v>10</v>
      </c>
      <c r="B221" s="901" t="s">
        <v>141</v>
      </c>
      <c r="D221" s="901" t="s">
        <v>2748</v>
      </c>
      <c r="F221" s="901" t="s">
        <v>3424</v>
      </c>
      <c r="G221" s="941" t="s">
        <v>2735</v>
      </c>
      <c r="H221" s="942">
        <v>510</v>
      </c>
      <c r="I221" s="901" t="s">
        <v>2736</v>
      </c>
      <c r="J221" s="901" t="s">
        <v>2737</v>
      </c>
      <c r="K221" s="901" t="s">
        <v>2738</v>
      </c>
      <c r="O221" s="943">
        <v>2</v>
      </c>
      <c r="P221" s="944">
        <v>36880</v>
      </c>
      <c r="Q221" s="945">
        <v>54</v>
      </c>
      <c r="R221" s="946">
        <f ca="1">$A221*Q221</f>
        <v>540</v>
      </c>
      <c r="S221" s="945">
        <v>1</v>
      </c>
      <c r="T221" s="947">
        <f ca="1">$A221*S221*$T$1</f>
        <v>9</v>
      </c>
      <c r="AD221" s="901" t="s">
        <v>3424</v>
      </c>
    </row>
    <row r="222" spans="1:30" s="901" customFormat="1">
      <c r="A222" s="1056">
        <f ca="1">$Q$219 *(8)</f>
        <v>40</v>
      </c>
      <c r="B222" s="901" t="s">
        <v>141</v>
      </c>
      <c r="D222" s="901" t="s">
        <v>2739</v>
      </c>
      <c r="G222" s="941" t="s">
        <v>2740</v>
      </c>
      <c r="H222" s="942">
        <v>875</v>
      </c>
      <c r="I222" s="901" t="s">
        <v>2607</v>
      </c>
      <c r="K222" s="901" t="s">
        <v>2741</v>
      </c>
      <c r="O222" s="943">
        <v>1</v>
      </c>
      <c r="P222" s="944">
        <v>34669</v>
      </c>
      <c r="Q222" s="945">
        <v>0.02</v>
      </c>
      <c r="R222" s="946">
        <f ca="1">$A222*Q222</f>
        <v>0.8</v>
      </c>
      <c r="S222" s="945"/>
      <c r="T222" s="947">
        <f ca="1">$A222*S222*$T$1</f>
        <v>0</v>
      </c>
    </row>
    <row r="223" spans="1:30" s="901" customFormat="1">
      <c r="A223" s="1056">
        <f ca="1">$Q$219 *(8)</f>
        <v>40</v>
      </c>
      <c r="B223" s="901" t="s">
        <v>141</v>
      </c>
      <c r="D223" s="901" t="s">
        <v>2742</v>
      </c>
      <c r="G223" s="941" t="s">
        <v>2743</v>
      </c>
      <c r="H223" s="942">
        <v>875</v>
      </c>
      <c r="I223" s="901" t="s">
        <v>2607</v>
      </c>
      <c r="K223" s="901" t="s">
        <v>2744</v>
      </c>
      <c r="O223" s="943">
        <v>1</v>
      </c>
      <c r="P223" s="944">
        <v>34669</v>
      </c>
      <c r="Q223" s="945">
        <v>0.02</v>
      </c>
      <c r="R223" s="946">
        <f ca="1">$A223*Q223</f>
        <v>0.8</v>
      </c>
      <c r="S223" s="945"/>
      <c r="T223" s="947">
        <f ca="1">$A223*S223*$T$1</f>
        <v>0</v>
      </c>
    </row>
    <row r="224" spans="1:30" s="901" customFormat="1">
      <c r="A224" s="1056">
        <f ca="1">$Q$219 *(2)</f>
        <v>10</v>
      </c>
      <c r="B224" s="901" t="s">
        <v>141</v>
      </c>
      <c r="D224" s="901" t="s">
        <v>2745</v>
      </c>
      <c r="G224" s="941" t="s">
        <v>2746</v>
      </c>
      <c r="H224" s="942">
        <v>875</v>
      </c>
      <c r="I224" s="901" t="s">
        <v>2607</v>
      </c>
      <c r="K224" s="901" t="s">
        <v>2747</v>
      </c>
      <c r="O224" s="943">
        <v>3</v>
      </c>
      <c r="P224" s="944">
        <v>34820</v>
      </c>
      <c r="Q224" s="945">
        <v>5</v>
      </c>
      <c r="R224" s="946">
        <f ca="1">$A224*Q224</f>
        <v>50</v>
      </c>
      <c r="S224" s="945">
        <v>0.05</v>
      </c>
      <c r="T224" s="947">
        <f ca="1">$A224*S224*$T$1</f>
        <v>0.45</v>
      </c>
    </row>
    <row r="225" spans="1:30" s="520" customFormat="1">
      <c r="A225" s="758"/>
      <c r="B225" s="3"/>
      <c r="C225" s="758" t="s">
        <v>171</v>
      </c>
      <c r="D225" s="3"/>
      <c r="E225" s="758"/>
      <c r="F225" s="753"/>
      <c r="G225" s="758"/>
      <c r="H225" s="758"/>
      <c r="I225" s="519"/>
      <c r="J225" s="758"/>
      <c r="K225" s="758"/>
      <c r="L225" s="758"/>
      <c r="M225" s="758"/>
      <c r="N225" s="758"/>
      <c r="O225" s="758"/>
      <c r="P225" s="758"/>
      <c r="Q225" s="519"/>
      <c r="R225" s="917">
        <f>$A225*Q225</f>
        <v>0</v>
      </c>
      <c r="S225" s="519"/>
      <c r="T225" s="760">
        <f>$A225*S225*$T$1</f>
        <v>0</v>
      </c>
      <c r="AD225" s="753"/>
    </row>
    <row r="226" spans="1:30" s="520" customFormat="1" ht="12.6" thickBot="1">
      <c r="A226" s="761" t="s">
        <v>145</v>
      </c>
      <c r="B226" s="762">
        <f>(R225+T225)</f>
        <v>0</v>
      </c>
      <c r="C226" s="763"/>
      <c r="D226" s="937" t="s">
        <v>172</v>
      </c>
      <c r="E226" s="477">
        <f ca="1">IF($B219=0,0,ROUND(ROUND(($R226*$S$2+($T226*$T$2))/$B219, 2)*$C$2,2))</f>
        <v>104.8</v>
      </c>
      <c r="F226" s="478">
        <f ca="1">ROUND($B219*$E226,2)</f>
        <v>1048</v>
      </c>
      <c r="G226" s="763"/>
      <c r="H226" s="763"/>
      <c r="I226" s="765"/>
      <c r="J226" s="763"/>
      <c r="K226" s="938" t="s">
        <v>143</v>
      </c>
      <c r="L226" s="766" t="s">
        <v>143</v>
      </c>
      <c r="M226" s="766"/>
      <c r="N226" s="766"/>
      <c r="O226" s="766"/>
      <c r="P226" s="766"/>
      <c r="Q226" s="938"/>
      <c r="R226" s="939">
        <f ca="1">SUM(R220:R225)</f>
        <v>591.59999999999991</v>
      </c>
      <c r="S226" s="940"/>
      <c r="T226" s="939">
        <f ca="1">SUM(T220:T225)</f>
        <v>9.4499999999999993</v>
      </c>
      <c r="U226" s="531"/>
      <c r="V226" s="531"/>
      <c r="W226" s="531"/>
      <c r="X226" s="531"/>
      <c r="Y226" s="531"/>
      <c r="Z226" s="531"/>
      <c r="AA226" s="531"/>
      <c r="AB226" s="531"/>
      <c r="AD226" s="478">
        <v>1580.04</v>
      </c>
    </row>
    <row r="227" spans="1:30" s="520" customFormat="1" ht="12" thickTop="1">
      <c r="A227" s="51"/>
      <c r="B227" s="51"/>
      <c r="C227" s="51"/>
      <c r="D227" s="51"/>
      <c r="E227" s="51"/>
      <c r="F227" s="51"/>
      <c r="G227" s="51"/>
      <c r="H227" s="51"/>
      <c r="I227" s="51"/>
      <c r="J227" s="51"/>
      <c r="K227" s="51"/>
      <c r="L227" s="51"/>
      <c r="M227" s="51"/>
      <c r="N227" s="51"/>
      <c r="O227" s="52"/>
      <c r="P227" s="51"/>
      <c r="Q227" s="42" t="s">
        <v>168</v>
      </c>
      <c r="R227" s="51"/>
      <c r="S227" s="13"/>
      <c r="T227" s="51"/>
      <c r="AD227" s="51"/>
    </row>
    <row r="228" spans="1:30" s="520" customFormat="1" ht="12" customHeight="1" thickBot="1">
      <c r="A228" s="927">
        <v>6</v>
      </c>
      <c r="B228" s="928">
        <f ca="1">Elec_Est!B11568</f>
        <v>1</v>
      </c>
      <c r="C228" s="929"/>
      <c r="D228" s="930" t="s">
        <v>3525</v>
      </c>
      <c r="E228" s="931"/>
      <c r="F228" s="931"/>
      <c r="G228" s="752"/>
      <c r="H228" s="752"/>
      <c r="I228" s="932"/>
      <c r="J228" s="752"/>
      <c r="K228" s="929" t="s">
        <v>169</v>
      </c>
      <c r="L228" s="933" t="s">
        <v>169</v>
      </c>
      <c r="M228" s="933"/>
      <c r="N228" s="933"/>
      <c r="O228" s="933"/>
      <c r="P228" s="933"/>
      <c r="Q228" s="934">
        <f ca="1">B228/A228</f>
        <v>0.16666666666666666</v>
      </c>
      <c r="R228" s="935">
        <f ca="1">IF($B228=0,0,IF($S$1="R",ROUND(R235/$B228,2),R235/$B228))</f>
        <v>59.16</v>
      </c>
      <c r="S228" s="936"/>
      <c r="T228" s="935">
        <f ca="1">IF($B228=0,0,IF($S$1="R",ROUND(T235/$B228,2),T235/$B228))</f>
        <v>0.95</v>
      </c>
      <c r="AD228" s="931"/>
    </row>
    <row r="229" spans="1:30" s="520" customFormat="1" ht="13.8" thickTop="1">
      <c r="A229" s="748"/>
      <c r="B229" s="3"/>
      <c r="C229" s="3"/>
      <c r="D229" s="106" t="s">
        <v>170</v>
      </c>
      <c r="E229" s="3"/>
      <c r="F229" s="3"/>
      <c r="G229" s="3"/>
      <c r="H229" s="3"/>
      <c r="I229" s="3"/>
      <c r="J229" s="3"/>
      <c r="K229" s="3"/>
      <c r="L229" s="3"/>
      <c r="M229" s="3"/>
      <c r="N229" s="3"/>
      <c r="O229" s="107"/>
      <c r="P229" s="3"/>
      <c r="Q229" s="3"/>
      <c r="R229" s="3"/>
      <c r="S229" s="3"/>
      <c r="T229" s="3"/>
      <c r="AD229" s="3"/>
    </row>
    <row r="230" spans="1:30" s="901" customFormat="1">
      <c r="A230" s="1057">
        <f ca="1">$Q$228 *(6)</f>
        <v>1</v>
      </c>
      <c r="B230" s="901" t="s">
        <v>141</v>
      </c>
      <c r="D230" s="901" t="s">
        <v>2734</v>
      </c>
      <c r="F230" s="901" t="s">
        <v>3424</v>
      </c>
      <c r="G230" s="941" t="s">
        <v>2735</v>
      </c>
      <c r="H230" s="942">
        <v>510</v>
      </c>
      <c r="I230" s="901" t="s">
        <v>2736</v>
      </c>
      <c r="J230" s="901" t="s">
        <v>2737</v>
      </c>
      <c r="K230" s="901" t="s">
        <v>2738</v>
      </c>
      <c r="O230" s="943">
        <v>2</v>
      </c>
      <c r="P230" s="944">
        <v>36880</v>
      </c>
      <c r="Q230" s="945">
        <v>54</v>
      </c>
      <c r="R230" s="946">
        <f ca="1">$A230*Q230</f>
        <v>54</v>
      </c>
      <c r="S230" s="945">
        <v>1</v>
      </c>
      <c r="T230" s="947">
        <f ca="1">$A230*S230*$T$1</f>
        <v>0.9</v>
      </c>
      <c r="AD230" s="901" t="s">
        <v>3424</v>
      </c>
    </row>
    <row r="231" spans="1:30" s="901" customFormat="1">
      <c r="A231" s="1056">
        <f ca="1">$Q$228 *(24)</f>
        <v>4</v>
      </c>
      <c r="B231" s="901" t="s">
        <v>141</v>
      </c>
      <c r="D231" s="901" t="s">
        <v>2739</v>
      </c>
      <c r="G231" s="941" t="s">
        <v>2740</v>
      </c>
      <c r="H231" s="942">
        <v>875</v>
      </c>
      <c r="I231" s="901" t="s">
        <v>2607</v>
      </c>
      <c r="K231" s="901" t="s">
        <v>2741</v>
      </c>
      <c r="O231" s="943">
        <v>1</v>
      </c>
      <c r="P231" s="944">
        <v>34669</v>
      </c>
      <c r="Q231" s="945">
        <v>0.02</v>
      </c>
      <c r="R231" s="946">
        <f ca="1">$A231*Q231</f>
        <v>0.08</v>
      </c>
      <c r="S231" s="945"/>
      <c r="T231" s="947">
        <f ca="1">$A231*S231*$T$1</f>
        <v>0</v>
      </c>
    </row>
    <row r="232" spans="1:30" s="901" customFormat="1">
      <c r="A232" s="1056">
        <f ca="1">$Q$228 *(24)</f>
        <v>4</v>
      </c>
      <c r="B232" s="901" t="s">
        <v>141</v>
      </c>
      <c r="D232" s="901" t="s">
        <v>2742</v>
      </c>
      <c r="G232" s="941" t="s">
        <v>2743</v>
      </c>
      <c r="H232" s="942">
        <v>875</v>
      </c>
      <c r="I232" s="901" t="s">
        <v>2607</v>
      </c>
      <c r="K232" s="901" t="s">
        <v>2744</v>
      </c>
      <c r="O232" s="943">
        <v>1</v>
      </c>
      <c r="P232" s="944">
        <v>34669</v>
      </c>
      <c r="Q232" s="945">
        <v>0.02</v>
      </c>
      <c r="R232" s="946">
        <f ca="1">$A232*Q232</f>
        <v>0.08</v>
      </c>
      <c r="S232" s="945"/>
      <c r="T232" s="947">
        <f ca="1">$A232*S232*$T$1</f>
        <v>0</v>
      </c>
    </row>
    <row r="233" spans="1:30" s="901" customFormat="1">
      <c r="A233" s="1056">
        <f ca="1">$Q$228 *(6)</f>
        <v>1</v>
      </c>
      <c r="B233" s="901" t="s">
        <v>141</v>
      </c>
      <c r="D233" s="901" t="s">
        <v>2745</v>
      </c>
      <c r="G233" s="941" t="s">
        <v>2746</v>
      </c>
      <c r="H233" s="942">
        <v>875</v>
      </c>
      <c r="I233" s="901" t="s">
        <v>2607</v>
      </c>
      <c r="K233" s="901" t="s">
        <v>2747</v>
      </c>
      <c r="O233" s="943">
        <v>3</v>
      </c>
      <c r="P233" s="944">
        <v>34820</v>
      </c>
      <c r="Q233" s="945">
        <v>5</v>
      </c>
      <c r="R233" s="946">
        <f ca="1">$A233*Q233</f>
        <v>5</v>
      </c>
      <c r="S233" s="945">
        <v>0.05</v>
      </c>
      <c r="T233" s="947">
        <f ca="1">$A233*S233*$T$1</f>
        <v>4.5000000000000005E-2</v>
      </c>
    </row>
    <row r="234" spans="1:30" s="520" customFormat="1">
      <c r="A234" s="758"/>
      <c r="B234" s="3"/>
      <c r="C234" s="758" t="s">
        <v>171</v>
      </c>
      <c r="D234" s="3"/>
      <c r="E234" s="758"/>
      <c r="F234" s="753"/>
      <c r="G234" s="758"/>
      <c r="H234" s="758"/>
      <c r="I234" s="519"/>
      <c r="J234" s="758"/>
      <c r="K234" s="758"/>
      <c r="L234" s="758"/>
      <c r="M234" s="758"/>
      <c r="N234" s="758"/>
      <c r="O234" s="758"/>
      <c r="P234" s="758"/>
      <c r="Q234" s="519"/>
      <c r="R234" s="917">
        <f>$A234*Q234</f>
        <v>0</v>
      </c>
      <c r="S234" s="519"/>
      <c r="T234" s="760">
        <f>$A234*S234*$T$1</f>
        <v>0</v>
      </c>
      <c r="AD234" s="753"/>
    </row>
    <row r="235" spans="1:30" s="520" customFormat="1" ht="12.6" thickBot="1">
      <c r="A235" s="761" t="s">
        <v>145</v>
      </c>
      <c r="B235" s="762">
        <f>(R234+T234)</f>
        <v>0</v>
      </c>
      <c r="C235" s="763"/>
      <c r="D235" s="937" t="s">
        <v>172</v>
      </c>
      <c r="E235" s="477">
        <f ca="1">IF($B228=0,0,ROUND(ROUND(($R235*$S$2+($T235*$T$2))/$B228, 2)*$C$2,2))</f>
        <v>104.8</v>
      </c>
      <c r="F235" s="478">
        <f ca="1">ROUND($B228*$E235,2)</f>
        <v>104.8</v>
      </c>
      <c r="G235" s="763"/>
      <c r="H235" s="763"/>
      <c r="I235" s="765"/>
      <c r="J235" s="763"/>
      <c r="K235" s="938" t="s">
        <v>143</v>
      </c>
      <c r="L235" s="766" t="s">
        <v>143</v>
      </c>
      <c r="M235" s="766"/>
      <c r="N235" s="766"/>
      <c r="O235" s="766"/>
      <c r="P235" s="766"/>
      <c r="Q235" s="938"/>
      <c r="R235" s="939">
        <f ca="1">SUM(R229:R234)</f>
        <v>59.16</v>
      </c>
      <c r="S235" s="940"/>
      <c r="T235" s="939">
        <f ca="1">SUM(T229:T234)</f>
        <v>0.94500000000000006</v>
      </c>
      <c r="U235" s="531"/>
      <c r="V235" s="531"/>
      <c r="W235" s="531"/>
      <c r="X235" s="531"/>
      <c r="Y235" s="531"/>
      <c r="Z235" s="531"/>
      <c r="AA235" s="531"/>
      <c r="AB235" s="531"/>
      <c r="AD235" s="478">
        <v>112.86</v>
      </c>
    </row>
    <row r="236" spans="1:30" s="1" customFormat="1" ht="12" thickTop="1">
      <c r="A236" s="33"/>
      <c r="B236" s="33"/>
      <c r="C236" s="33"/>
      <c r="D236" s="33"/>
      <c r="E236" s="33"/>
      <c r="F236" s="33"/>
      <c r="G236" s="33"/>
      <c r="H236" s="33"/>
      <c r="I236" s="33"/>
      <c r="J236" s="33"/>
      <c r="K236" s="33"/>
      <c r="L236" s="33"/>
      <c r="M236" s="33"/>
      <c r="N236" s="33"/>
      <c r="O236" s="35"/>
      <c r="P236" s="33"/>
      <c r="Q236" s="42" t="s">
        <v>168</v>
      </c>
      <c r="R236" s="33"/>
      <c r="S236" s="13"/>
      <c r="T236" s="33"/>
      <c r="AD236" s="51"/>
    </row>
    <row r="237" spans="1:30" s="1" customFormat="1" ht="12.6" thickBot="1">
      <c r="A237" s="96">
        <v>100</v>
      </c>
      <c r="B237" s="97">
        <f ca="1">Elec_Est!B11569</f>
        <v>100</v>
      </c>
      <c r="C237" s="98"/>
      <c r="D237" s="99" t="s">
        <v>3526</v>
      </c>
      <c r="E237" s="100"/>
      <c r="F237" s="100"/>
      <c r="G237" s="101"/>
      <c r="H237" s="101"/>
      <c r="I237" s="102"/>
      <c r="J237" s="101"/>
      <c r="K237" s="103" t="s">
        <v>169</v>
      </c>
      <c r="L237" s="104" t="s">
        <v>169</v>
      </c>
      <c r="M237" s="104"/>
      <c r="N237" s="104"/>
      <c r="O237" s="104"/>
      <c r="P237" s="104"/>
      <c r="Q237" s="934">
        <f ca="1">B237/A237</f>
        <v>1</v>
      </c>
      <c r="R237" s="1155">
        <f ca="1">IF($B237=0,0,IF($S$1="R",ROUND(R247/$B237,2),R247/$B237))</f>
        <v>294.27999999999997</v>
      </c>
      <c r="S237" s="105"/>
      <c r="T237" s="1155">
        <f ca="1">IF($B237=0,0,IF($S$1="R",ROUND(T247/$B237,2),T247/$B237))</f>
        <v>0.65</v>
      </c>
      <c r="AD237" s="931"/>
    </row>
    <row r="238" spans="1:30" s="1" customFormat="1" ht="13.8" thickTop="1">
      <c r="A238" s="43"/>
      <c r="B238" s="3"/>
      <c r="C238" s="3"/>
      <c r="D238" s="106" t="s">
        <v>170</v>
      </c>
      <c r="E238" s="3"/>
      <c r="F238" s="3"/>
      <c r="G238" s="3"/>
      <c r="H238" s="3"/>
      <c r="I238" s="3"/>
      <c r="J238" s="3"/>
      <c r="K238" s="3"/>
      <c r="L238" s="3"/>
      <c r="M238" s="3"/>
      <c r="N238" s="3"/>
      <c r="O238" s="107"/>
      <c r="P238" s="3"/>
      <c r="Q238" s="3"/>
      <c r="R238" s="3"/>
      <c r="S238" s="3"/>
      <c r="T238" s="3"/>
      <c r="AD238" s="3"/>
    </row>
    <row r="239" spans="1:30" s="901" customFormat="1">
      <c r="A239" s="1057">
        <f ca="1">$Q$237 *(100)</f>
        <v>100</v>
      </c>
      <c r="B239" s="901" t="s">
        <v>320</v>
      </c>
      <c r="D239" s="901" t="s">
        <v>2857</v>
      </c>
      <c r="E239" s="1047" t="s">
        <v>2732</v>
      </c>
      <c r="F239" s="1418" t="s">
        <v>3277</v>
      </c>
      <c r="G239" s="941" t="s">
        <v>2615</v>
      </c>
      <c r="H239" s="942">
        <v>616</v>
      </c>
      <c r="I239" s="901" t="s">
        <v>2272</v>
      </c>
      <c r="J239" s="901" t="s">
        <v>2616</v>
      </c>
      <c r="O239" s="943">
        <v>2</v>
      </c>
      <c r="P239" s="944">
        <v>40767</v>
      </c>
      <c r="Q239" s="1417">
        <v>285.91000000000003</v>
      </c>
      <c r="R239" s="946">
        <f t="shared" ref="R239:R245" ca="1" si="36">$A239*Q239</f>
        <v>28591.000000000004</v>
      </c>
      <c r="S239" s="1193">
        <f>0.9 *(0.34)</f>
        <v>0.30600000000000005</v>
      </c>
      <c r="T239" s="947">
        <f t="shared" ref="T239:T245" ca="1" si="37">$A239*S239*$T$1</f>
        <v>27.540000000000006</v>
      </c>
      <c r="AD239" s="1054" t="s">
        <v>3276</v>
      </c>
    </row>
    <row r="240" spans="1:30" s="901" customFormat="1">
      <c r="A240" s="1057">
        <f ca="1">$Q$237 *(100)</f>
        <v>100</v>
      </c>
      <c r="B240" s="901" t="s">
        <v>320</v>
      </c>
      <c r="D240" s="901" t="s">
        <v>2858</v>
      </c>
      <c r="F240" s="901" t="s">
        <v>3300</v>
      </c>
      <c r="G240" s="941" t="s">
        <v>2859</v>
      </c>
      <c r="H240" s="942">
        <v>615</v>
      </c>
      <c r="I240" s="901" t="s">
        <v>2272</v>
      </c>
      <c r="K240" s="901" t="s">
        <v>2860</v>
      </c>
      <c r="O240" s="943">
        <v>2</v>
      </c>
      <c r="P240" s="944"/>
      <c r="Q240" s="1063"/>
      <c r="R240" s="946">
        <f t="shared" ca="1" si="36"/>
        <v>0</v>
      </c>
      <c r="S240" s="945">
        <v>0.16</v>
      </c>
      <c r="T240" s="947">
        <f t="shared" ca="1" si="37"/>
        <v>14.4</v>
      </c>
      <c r="U240" s="901" t="s">
        <v>2764</v>
      </c>
      <c r="AD240" s="901" t="s">
        <v>3300</v>
      </c>
    </row>
    <row r="241" spans="1:30" s="901" customFormat="1">
      <c r="A241" s="1057">
        <f ca="1">$Q$237 *(100)</f>
        <v>100</v>
      </c>
      <c r="B241" s="901" t="s">
        <v>141</v>
      </c>
      <c r="D241" s="901" t="s">
        <v>2605</v>
      </c>
      <c r="G241" s="941" t="s">
        <v>2606</v>
      </c>
      <c r="H241" s="942">
        <v>875</v>
      </c>
      <c r="I241" s="901" t="s">
        <v>2607</v>
      </c>
      <c r="K241" s="901" t="s">
        <v>2608</v>
      </c>
      <c r="O241" s="943">
        <v>1</v>
      </c>
      <c r="P241" s="944">
        <v>34669</v>
      </c>
      <c r="Q241" s="945">
        <v>0.05</v>
      </c>
      <c r="R241" s="946">
        <f t="shared" ca="1" si="36"/>
        <v>5</v>
      </c>
      <c r="S241" s="945"/>
      <c r="T241" s="947">
        <f t="shared" ca="1" si="37"/>
        <v>0</v>
      </c>
    </row>
    <row r="242" spans="1:30" s="901" customFormat="1">
      <c r="A242" s="1057">
        <f ca="1">$Q$237 *(8)</f>
        <v>8</v>
      </c>
      <c r="B242" s="901" t="s">
        <v>141</v>
      </c>
      <c r="D242" s="901" t="s">
        <v>2617</v>
      </c>
      <c r="G242" s="941" t="s">
        <v>2618</v>
      </c>
      <c r="H242" s="942">
        <v>620</v>
      </c>
      <c r="I242" s="901" t="s">
        <v>2611</v>
      </c>
      <c r="O242" s="943">
        <v>2</v>
      </c>
      <c r="P242" s="944">
        <v>35431</v>
      </c>
      <c r="Q242" s="945">
        <v>77.64</v>
      </c>
      <c r="R242" s="946">
        <f t="shared" ca="1" si="36"/>
        <v>621.12</v>
      </c>
      <c r="S242" s="945">
        <v>1.5</v>
      </c>
      <c r="T242" s="947">
        <f t="shared" ca="1" si="37"/>
        <v>10.8</v>
      </c>
    </row>
    <row r="243" spans="1:30" s="901" customFormat="1">
      <c r="A243" s="1057">
        <f ca="1">$Q$237 *(8)</f>
        <v>8</v>
      </c>
      <c r="B243" s="901" t="s">
        <v>141</v>
      </c>
      <c r="D243" s="901" t="s">
        <v>3662</v>
      </c>
      <c r="G243" s="941" t="s">
        <v>3663</v>
      </c>
      <c r="H243" s="942">
        <v>620</v>
      </c>
      <c r="I243" s="901" t="s">
        <v>2611</v>
      </c>
      <c r="O243" s="943">
        <v>2</v>
      </c>
      <c r="P243" s="944">
        <v>35431</v>
      </c>
      <c r="Q243" s="945">
        <v>9.99</v>
      </c>
      <c r="R243" s="946">
        <f ca="1">$A243*Q243</f>
        <v>79.92</v>
      </c>
      <c r="S243" s="945">
        <v>0.4</v>
      </c>
      <c r="T243" s="947">
        <f ca="1">$A243*S243*$T$1</f>
        <v>2.8800000000000003</v>
      </c>
    </row>
    <row r="244" spans="1:30" s="901" customFormat="1">
      <c r="A244" s="1057">
        <f ca="1">$Q$237 *(8)</f>
        <v>8</v>
      </c>
      <c r="B244" s="901" t="s">
        <v>320</v>
      </c>
      <c r="D244" s="901" t="s">
        <v>2653</v>
      </c>
      <c r="G244" s="941" t="s">
        <v>2654</v>
      </c>
      <c r="H244" s="942">
        <v>620</v>
      </c>
      <c r="I244" s="901" t="s">
        <v>2607</v>
      </c>
      <c r="O244" s="943">
        <v>2</v>
      </c>
      <c r="P244" s="944">
        <v>38148</v>
      </c>
      <c r="Q244" s="945">
        <v>1.5</v>
      </c>
      <c r="R244" s="946">
        <f t="shared" ca="1" si="36"/>
        <v>12</v>
      </c>
      <c r="S244" s="945">
        <v>0.08</v>
      </c>
      <c r="T244" s="947">
        <f t="shared" ca="1" si="37"/>
        <v>0.57600000000000007</v>
      </c>
    </row>
    <row r="245" spans="1:30" s="901" customFormat="1">
      <c r="A245" s="1057">
        <f ca="1">$Q$237 *(40)</f>
        <v>40</v>
      </c>
      <c r="B245" s="901" t="s">
        <v>141</v>
      </c>
      <c r="D245" s="901" t="s">
        <v>2619</v>
      </c>
      <c r="G245" s="941" t="s">
        <v>2620</v>
      </c>
      <c r="H245" s="942">
        <v>620</v>
      </c>
      <c r="I245" s="901" t="s">
        <v>2614</v>
      </c>
      <c r="O245" s="943">
        <v>2</v>
      </c>
      <c r="P245" s="944">
        <v>34669</v>
      </c>
      <c r="Q245" s="945">
        <v>2.98</v>
      </c>
      <c r="R245" s="946">
        <f t="shared" ca="1" si="36"/>
        <v>119.2</v>
      </c>
      <c r="S245" s="945">
        <v>0.24</v>
      </c>
      <c r="T245" s="947">
        <f t="shared" ca="1" si="37"/>
        <v>8.64</v>
      </c>
    </row>
    <row r="246" spans="1:30" s="1" customFormat="1">
      <c r="A246" s="4"/>
      <c r="B246" s="3"/>
      <c r="C246" s="4" t="s">
        <v>171</v>
      </c>
      <c r="D246" s="3"/>
      <c r="E246" s="4"/>
      <c r="F246" s="2"/>
      <c r="G246" s="4"/>
      <c r="H246" s="4"/>
      <c r="I246" s="5"/>
      <c r="J246" s="4"/>
      <c r="K246" s="4"/>
      <c r="L246" s="4"/>
      <c r="M246" s="4"/>
      <c r="N246" s="4"/>
      <c r="O246" s="4"/>
      <c r="P246" s="4"/>
      <c r="Q246" s="1067"/>
      <c r="R246" s="108">
        <f>$A246*Q246</f>
        <v>0</v>
      </c>
      <c r="S246" s="5"/>
      <c r="T246" s="109">
        <f>$A246*S246*$T$1</f>
        <v>0</v>
      </c>
      <c r="AD246" s="753"/>
    </row>
    <row r="247" spans="1:30" s="1" customFormat="1" ht="12.6" thickBot="1">
      <c r="A247" s="44" t="s">
        <v>145</v>
      </c>
      <c r="B247" s="45">
        <f ca="1">(R247+T247)-SUM(R238:R246,T238:T246)</f>
        <v>0</v>
      </c>
      <c r="C247" s="46"/>
      <c r="D247" s="110" t="s">
        <v>172</v>
      </c>
      <c r="E247" s="477">
        <f ca="1">IF($B237=0,0,ROUND(ROUND(($R247*$S$2+($T247*$T$2))/$B237, 2)*$C$2,2))</f>
        <v>384.29</v>
      </c>
      <c r="F247" s="478">
        <f ca="1">ROUND($B237*$E247,2)</f>
        <v>38429</v>
      </c>
      <c r="G247" s="46"/>
      <c r="H247" s="46"/>
      <c r="I247" s="47"/>
      <c r="J247" s="46"/>
      <c r="K247" s="111" t="s">
        <v>143</v>
      </c>
      <c r="L247" s="112" t="s">
        <v>143</v>
      </c>
      <c r="M247" s="112"/>
      <c r="N247" s="112"/>
      <c r="O247" s="112"/>
      <c r="P247" s="112"/>
      <c r="Q247" s="113"/>
      <c r="R247" s="114">
        <f ca="1">SUM(R238:R246)</f>
        <v>29428.240000000002</v>
      </c>
      <c r="S247" s="115"/>
      <c r="T247" s="114">
        <f ca="1">SUM(T238:T246)</f>
        <v>64.836000000000013</v>
      </c>
      <c r="U247" s="433"/>
      <c r="V247" s="433"/>
      <c r="W247" s="433"/>
      <c r="X247" s="433"/>
      <c r="Y247" s="433"/>
      <c r="Z247" s="433"/>
      <c r="AA247" s="433"/>
      <c r="AB247" s="433"/>
      <c r="AD247" s="478">
        <v>40838</v>
      </c>
    </row>
    <row r="248" spans="1:30" s="520" customFormat="1" ht="12" thickTop="1">
      <c r="A248" s="51"/>
      <c r="B248" s="51"/>
      <c r="C248" s="51"/>
      <c r="D248" s="51"/>
      <c r="E248" s="51"/>
      <c r="F248" s="51"/>
      <c r="G248" s="51"/>
      <c r="H248" s="51"/>
      <c r="I248" s="51"/>
      <c r="J248" s="51"/>
      <c r="K248" s="51"/>
      <c r="L248" s="51"/>
      <c r="M248" s="51"/>
      <c r="N248" s="51"/>
      <c r="O248" s="52"/>
      <c r="P248" s="51"/>
      <c r="Q248" s="42" t="s">
        <v>168</v>
      </c>
      <c r="R248" s="51"/>
      <c r="S248" s="13"/>
      <c r="T248" s="51"/>
      <c r="AD248" s="51"/>
    </row>
    <row r="249" spans="1:30" s="520" customFormat="1" ht="12" customHeight="1" thickBot="1">
      <c r="A249" s="927">
        <v>810</v>
      </c>
      <c r="B249" s="928">
        <f ca="1">Elec_Est!B11570</f>
        <v>300</v>
      </c>
      <c r="C249" s="929"/>
      <c r="D249" s="930" t="s">
        <v>3527</v>
      </c>
      <c r="E249" s="931"/>
      <c r="F249" s="931"/>
      <c r="G249" s="752"/>
      <c r="H249" s="752"/>
      <c r="I249" s="932"/>
      <c r="J249" s="752"/>
      <c r="K249" s="929" t="s">
        <v>169</v>
      </c>
      <c r="L249" s="933" t="s">
        <v>169</v>
      </c>
      <c r="M249" s="933"/>
      <c r="N249" s="933"/>
      <c r="O249" s="933"/>
      <c r="P249" s="933"/>
      <c r="Q249" s="934">
        <f ca="1">B249/A249</f>
        <v>0.37037037037037035</v>
      </c>
      <c r="R249" s="935">
        <f ca="1">IF($B249=0,0,IF($S$1="R",ROUND(R259/$B249,2),R259/$B249))</f>
        <v>209.82</v>
      </c>
      <c r="S249" s="936"/>
      <c r="T249" s="935">
        <f ca="1">IF($B249=0,0,IF($S$1="R",ROUND(T259/$B249,2),T259/$B249))</f>
        <v>0.43</v>
      </c>
      <c r="AD249" s="931"/>
    </row>
    <row r="250" spans="1:30" s="520" customFormat="1" ht="13.8" thickTop="1">
      <c r="A250" s="748"/>
      <c r="B250" s="3"/>
      <c r="C250" s="3"/>
      <c r="D250" s="106" t="s">
        <v>170</v>
      </c>
      <c r="E250" s="3"/>
      <c r="F250" s="3"/>
      <c r="G250" s="3"/>
      <c r="H250" s="3"/>
      <c r="I250" s="3"/>
      <c r="J250" s="3"/>
      <c r="K250" s="3"/>
      <c r="L250" s="3"/>
      <c r="M250" s="3"/>
      <c r="N250" s="3"/>
      <c r="O250" s="107"/>
      <c r="P250" s="3"/>
      <c r="Q250" s="3"/>
      <c r="R250" s="3"/>
      <c r="S250" s="3"/>
      <c r="T250" s="3"/>
      <c r="AD250" s="3"/>
    </row>
    <row r="251" spans="1:30" s="901" customFormat="1">
      <c r="A251" s="1057">
        <f ca="1">$Q$249 *(810)</f>
        <v>300</v>
      </c>
      <c r="B251" s="901" t="s">
        <v>320</v>
      </c>
      <c r="D251" s="901" t="s">
        <v>2602</v>
      </c>
      <c r="E251" s="1047" t="s">
        <v>2732</v>
      </c>
      <c r="F251" s="1418" t="s">
        <v>3277</v>
      </c>
      <c r="G251" s="941" t="s">
        <v>2603</v>
      </c>
      <c r="H251" s="942">
        <v>616</v>
      </c>
      <c r="I251" s="901" t="s">
        <v>2272</v>
      </c>
      <c r="J251" s="901" t="s">
        <v>2604</v>
      </c>
      <c r="O251" s="943">
        <v>2</v>
      </c>
      <c r="P251" s="944">
        <v>40767</v>
      </c>
      <c r="Q251" s="1417">
        <v>207.54</v>
      </c>
      <c r="R251" s="946">
        <f t="shared" ref="R251:R257" ca="1" si="38">$A251*Q251</f>
        <v>62262</v>
      </c>
      <c r="S251" s="1193">
        <f>0.9 *(0.3)</f>
        <v>0.27</v>
      </c>
      <c r="T251" s="947">
        <f t="shared" ref="T251:T257" ca="1" si="39">$A251*S251*$T$1</f>
        <v>72.900000000000006</v>
      </c>
      <c r="AD251" s="1054" t="s">
        <v>3276</v>
      </c>
    </row>
    <row r="252" spans="1:30" s="901" customFormat="1">
      <c r="A252" s="1057">
        <f ca="1">$Q$249 *(810)</f>
        <v>300</v>
      </c>
      <c r="B252" s="901" t="s">
        <v>320</v>
      </c>
      <c r="D252" s="901" t="s">
        <v>2861</v>
      </c>
      <c r="F252" s="901" t="s">
        <v>3300</v>
      </c>
      <c r="G252" s="941" t="s">
        <v>2862</v>
      </c>
      <c r="H252" s="942">
        <v>615</v>
      </c>
      <c r="I252" s="901" t="s">
        <v>2272</v>
      </c>
      <c r="K252" s="901" t="s">
        <v>2863</v>
      </c>
      <c r="O252" s="943">
        <v>2</v>
      </c>
      <c r="P252" s="944">
        <v>38988</v>
      </c>
      <c r="Q252" s="1063"/>
      <c r="R252" s="946">
        <f t="shared" ca="1" si="38"/>
        <v>0</v>
      </c>
      <c r="S252" s="945">
        <v>0.14000000000000001</v>
      </c>
      <c r="T252" s="947">
        <f t="shared" ca="1" si="39"/>
        <v>37.800000000000004</v>
      </c>
      <c r="U252" s="901" t="s">
        <v>2764</v>
      </c>
      <c r="AD252" s="901" t="s">
        <v>3300</v>
      </c>
    </row>
    <row r="253" spans="1:30" s="901" customFormat="1">
      <c r="A253" s="1057">
        <f ca="1">$Q$249 *(810)</f>
        <v>300</v>
      </c>
      <c r="B253" s="901" t="s">
        <v>141</v>
      </c>
      <c r="D253" s="901" t="s">
        <v>2605</v>
      </c>
      <c r="G253" s="941" t="s">
        <v>2606</v>
      </c>
      <c r="H253" s="942">
        <v>875</v>
      </c>
      <c r="I253" s="901" t="s">
        <v>2607</v>
      </c>
      <c r="K253" s="901" t="s">
        <v>2608</v>
      </c>
      <c r="O253" s="943">
        <v>1</v>
      </c>
      <c r="P253" s="944">
        <v>34669</v>
      </c>
      <c r="Q253" s="945">
        <v>0.05</v>
      </c>
      <c r="R253" s="946">
        <f t="shared" ca="1" si="38"/>
        <v>15</v>
      </c>
      <c r="S253" s="945"/>
      <c r="T253" s="947">
        <f t="shared" ca="1" si="39"/>
        <v>0</v>
      </c>
    </row>
    <row r="254" spans="1:30" s="901" customFormat="1">
      <c r="A254" s="1057">
        <f ca="1">$Q$249 *(20)</f>
        <v>7.4074074074074066</v>
      </c>
      <c r="B254" s="901" t="s">
        <v>141</v>
      </c>
      <c r="D254" s="901" t="s">
        <v>2609</v>
      </c>
      <c r="G254" s="941" t="s">
        <v>2610</v>
      </c>
      <c r="H254" s="942">
        <v>620</v>
      </c>
      <c r="I254" s="901" t="s">
        <v>2611</v>
      </c>
      <c r="O254" s="943">
        <v>2</v>
      </c>
      <c r="P254" s="944">
        <v>35431</v>
      </c>
      <c r="Q254" s="945">
        <v>68.62</v>
      </c>
      <c r="R254" s="946">
        <f t="shared" ca="1" si="38"/>
        <v>508.29629629629625</v>
      </c>
      <c r="S254" s="945">
        <v>1.25</v>
      </c>
      <c r="T254" s="947">
        <f t="shared" ca="1" si="39"/>
        <v>8.3333333333333321</v>
      </c>
    </row>
    <row r="255" spans="1:30" s="901" customFormat="1">
      <c r="A255" s="1057">
        <f ca="1">$Q$249 *(20)</f>
        <v>7.4074074074074066</v>
      </c>
      <c r="B255" s="901" t="s">
        <v>141</v>
      </c>
      <c r="D255" s="901" t="s">
        <v>3662</v>
      </c>
      <c r="G255" s="941" t="s">
        <v>3663</v>
      </c>
      <c r="H255" s="942">
        <v>620</v>
      </c>
      <c r="I255" s="901" t="s">
        <v>2611</v>
      </c>
      <c r="O255" s="943">
        <v>2</v>
      </c>
      <c r="P255" s="944">
        <v>35431</v>
      </c>
      <c r="Q255" s="945">
        <v>9.99</v>
      </c>
      <c r="R255" s="946">
        <f ca="1">$A255*Q255</f>
        <v>74</v>
      </c>
      <c r="S255" s="945">
        <v>0.4</v>
      </c>
      <c r="T255" s="947">
        <f ca="1">$A255*S255*$T$1</f>
        <v>2.6666666666666665</v>
      </c>
    </row>
    <row r="256" spans="1:30" s="901" customFormat="1">
      <c r="A256" s="1057">
        <f ca="1">$Q$249 *(20)</f>
        <v>7.4074074074074066</v>
      </c>
      <c r="B256" s="901" t="s">
        <v>320</v>
      </c>
      <c r="D256" s="901" t="s">
        <v>2653</v>
      </c>
      <c r="G256" s="941" t="s">
        <v>2654</v>
      </c>
      <c r="H256" s="942">
        <v>620</v>
      </c>
      <c r="I256" s="901" t="s">
        <v>2607</v>
      </c>
      <c r="O256" s="943">
        <v>2</v>
      </c>
      <c r="P256" s="944">
        <v>38148</v>
      </c>
      <c r="Q256" s="945">
        <v>1.5</v>
      </c>
      <c r="R256" s="946">
        <f t="shared" ca="1" si="38"/>
        <v>11.111111111111111</v>
      </c>
      <c r="S256" s="945">
        <v>0.08</v>
      </c>
      <c r="T256" s="947">
        <f t="shared" ca="1" si="39"/>
        <v>0.53333333333333333</v>
      </c>
    </row>
    <row r="257" spans="1:30" s="901" customFormat="1">
      <c r="A257" s="1057">
        <f ca="1">$Q$249 *(100)</f>
        <v>37.037037037037038</v>
      </c>
      <c r="B257" s="901" t="s">
        <v>141</v>
      </c>
      <c r="D257" s="901" t="s">
        <v>2612</v>
      </c>
      <c r="G257" s="941" t="s">
        <v>2613</v>
      </c>
      <c r="H257" s="942">
        <v>620</v>
      </c>
      <c r="I257" s="901" t="s">
        <v>2614</v>
      </c>
      <c r="O257" s="943">
        <v>2</v>
      </c>
      <c r="P257" s="944">
        <v>34669</v>
      </c>
      <c r="Q257" s="945">
        <v>2.0699999999999998</v>
      </c>
      <c r="R257" s="946">
        <f t="shared" ca="1" si="38"/>
        <v>76.666666666666657</v>
      </c>
      <c r="S257" s="945">
        <v>0.2</v>
      </c>
      <c r="T257" s="947">
        <f t="shared" ca="1" si="39"/>
        <v>6.6666666666666679</v>
      </c>
    </row>
    <row r="258" spans="1:30" s="520" customFormat="1">
      <c r="A258" s="758"/>
      <c r="B258" s="3"/>
      <c r="C258" s="758" t="s">
        <v>171</v>
      </c>
      <c r="D258" s="3"/>
      <c r="E258" s="758"/>
      <c r="F258" s="753"/>
      <c r="G258" s="758"/>
      <c r="H258" s="758"/>
      <c r="I258" s="519"/>
      <c r="J258" s="758"/>
      <c r="K258" s="758"/>
      <c r="L258" s="758"/>
      <c r="M258" s="758"/>
      <c r="N258" s="758"/>
      <c r="O258" s="758"/>
      <c r="P258" s="758"/>
      <c r="Q258" s="519"/>
      <c r="R258" s="917">
        <f>$A258*Q258</f>
        <v>0</v>
      </c>
      <c r="S258" s="519"/>
      <c r="T258" s="760">
        <f>$A258*S258*$T$1</f>
        <v>0</v>
      </c>
      <c r="AD258" s="753"/>
    </row>
    <row r="259" spans="1:30" s="520" customFormat="1" ht="12.6" thickBot="1">
      <c r="A259" s="761" t="s">
        <v>145</v>
      </c>
      <c r="B259" s="762">
        <f>(R258+T258)</f>
        <v>0</v>
      </c>
      <c r="C259" s="763"/>
      <c r="D259" s="937" t="s">
        <v>172</v>
      </c>
      <c r="E259" s="477">
        <f ca="1">IF($B249=0,0,ROUND(ROUND(($R259*$S$2+($T259*$T$2))/$B249, 2)*$C$2,2))</f>
        <v>272.89</v>
      </c>
      <c r="F259" s="478">
        <f ca="1">ROUND($B249*$E259,2)</f>
        <v>81867</v>
      </c>
      <c r="G259" s="763"/>
      <c r="H259" s="763"/>
      <c r="I259" s="765"/>
      <c r="J259" s="763"/>
      <c r="K259" s="938" t="s">
        <v>143</v>
      </c>
      <c r="L259" s="766" t="s">
        <v>143</v>
      </c>
      <c r="M259" s="766"/>
      <c r="N259" s="766"/>
      <c r="O259" s="766"/>
      <c r="P259" s="766"/>
      <c r="Q259" s="938"/>
      <c r="R259" s="939">
        <f ca="1">SUM(R250:R258)</f>
        <v>62947.074074074073</v>
      </c>
      <c r="S259" s="940"/>
      <c r="T259" s="939">
        <f ca="1">SUM(T250:T258)</f>
        <v>128.9</v>
      </c>
      <c r="U259" s="531"/>
      <c r="V259" s="531"/>
      <c r="W259" s="531"/>
      <c r="X259" s="531"/>
      <c r="Y259" s="531"/>
      <c r="Z259" s="531"/>
      <c r="AA259" s="531"/>
      <c r="AB259" s="531"/>
      <c r="AD259" s="478">
        <v>250646.39999999999</v>
      </c>
    </row>
    <row r="260" spans="1:30" s="520" customFormat="1" ht="12" thickTop="1">
      <c r="A260" s="51"/>
      <c r="B260" s="51"/>
      <c r="C260" s="51"/>
      <c r="D260" s="51"/>
      <c r="E260" s="51"/>
      <c r="F260" s="51"/>
      <c r="G260" s="51"/>
      <c r="H260" s="51"/>
      <c r="I260" s="51"/>
      <c r="J260" s="51"/>
      <c r="K260" s="51"/>
      <c r="L260" s="51"/>
      <c r="M260" s="51"/>
      <c r="N260" s="51"/>
      <c r="O260" s="52"/>
      <c r="P260" s="51"/>
      <c r="Q260" s="42" t="s">
        <v>168</v>
      </c>
      <c r="R260" s="51"/>
      <c r="S260" s="13"/>
      <c r="T260" s="51"/>
      <c r="AD260" s="51"/>
    </row>
    <row r="261" spans="1:30" s="520" customFormat="1" ht="12" customHeight="1" thickBot="1">
      <c r="A261" s="927">
        <v>330</v>
      </c>
      <c r="B261" s="928">
        <f ca="1">Elec_Est!B11571</f>
        <v>330</v>
      </c>
      <c r="C261" s="929"/>
      <c r="D261" s="930" t="s">
        <v>3528</v>
      </c>
      <c r="E261" s="931"/>
      <c r="F261" s="931"/>
      <c r="G261" s="752"/>
      <c r="H261" s="752"/>
      <c r="I261" s="932"/>
      <c r="J261" s="752"/>
      <c r="K261" s="929" t="s">
        <v>169</v>
      </c>
      <c r="L261" s="933" t="s">
        <v>169</v>
      </c>
      <c r="M261" s="933"/>
      <c r="N261" s="933"/>
      <c r="O261" s="933"/>
      <c r="P261" s="933"/>
      <c r="Q261" s="934">
        <f ca="1">B261/A261</f>
        <v>1</v>
      </c>
      <c r="R261" s="935">
        <f ca="1">IF($B261=0,0,IF($S$1="R",ROUND(R269/$B261,2),R269/$B261))</f>
        <v>118.99</v>
      </c>
      <c r="S261" s="936"/>
      <c r="T261" s="935">
        <f ca="1">IF($B261=0,0,IF($S$1="R",ROUND(T269/$B261,2),T269/$B261))</f>
        <v>0.24</v>
      </c>
      <c r="AD261" s="931"/>
    </row>
    <row r="262" spans="1:30" s="520" customFormat="1" ht="13.8" thickTop="1">
      <c r="A262" s="748"/>
      <c r="B262" s="3"/>
      <c r="C262" s="3"/>
      <c r="D262" s="106" t="s">
        <v>170</v>
      </c>
      <c r="E262" s="3"/>
      <c r="F262" s="3"/>
      <c r="G262" s="3"/>
      <c r="H262" s="3"/>
      <c r="I262" s="3"/>
      <c r="J262" s="3"/>
      <c r="K262" s="3"/>
      <c r="L262" s="3"/>
      <c r="M262" s="3"/>
      <c r="N262" s="3"/>
      <c r="O262" s="107"/>
      <c r="P262" s="3"/>
      <c r="Q262" s="3"/>
      <c r="R262" s="3"/>
      <c r="S262" s="3"/>
      <c r="T262" s="3"/>
      <c r="AD262" s="3"/>
    </row>
    <row r="263" spans="1:30" s="901" customFormat="1">
      <c r="A263" s="1057">
        <f ca="1">$Q$261 *(330)</f>
        <v>330</v>
      </c>
      <c r="B263" s="901" t="s">
        <v>320</v>
      </c>
      <c r="D263" s="901" t="s">
        <v>3281</v>
      </c>
      <c r="F263" s="1054" t="s">
        <v>3277</v>
      </c>
      <c r="G263" s="941" t="s">
        <v>2621</v>
      </c>
      <c r="H263" s="942">
        <v>616</v>
      </c>
      <c r="I263" s="901" t="s">
        <v>2272</v>
      </c>
      <c r="J263" s="901" t="s">
        <v>2622</v>
      </c>
      <c r="O263" s="943">
        <v>2</v>
      </c>
      <c r="P263" s="944">
        <v>40767</v>
      </c>
      <c r="Q263" s="1194">
        <f>122.75*0.96</f>
        <v>117.83999999999999</v>
      </c>
      <c r="R263" s="946">
        <f t="shared" ref="R263:R268" ca="1" si="40">$A263*Q263</f>
        <v>38887.199999999997</v>
      </c>
      <c r="S263" s="1193">
        <f>0.9 *(0.26)</f>
        <v>0.23400000000000001</v>
      </c>
      <c r="T263" s="947">
        <f t="shared" ref="T263:T268" ca="1" si="41">$A263*S263*$T$1</f>
        <v>69.498000000000005</v>
      </c>
      <c r="AD263" s="1054" t="s">
        <v>3277</v>
      </c>
    </row>
    <row r="264" spans="1:30" s="901" customFormat="1">
      <c r="A264" s="1057">
        <f ca="1">$Q$261 *(330)</f>
        <v>330</v>
      </c>
      <c r="B264" s="901" t="s">
        <v>141</v>
      </c>
      <c r="D264" s="901" t="s">
        <v>2605</v>
      </c>
      <c r="G264" s="941" t="s">
        <v>2606</v>
      </c>
      <c r="H264" s="942">
        <v>875</v>
      </c>
      <c r="I264" s="901" t="s">
        <v>2607</v>
      </c>
      <c r="K264" s="901" t="s">
        <v>2608</v>
      </c>
      <c r="O264" s="943">
        <v>1</v>
      </c>
      <c r="P264" s="944">
        <v>34669</v>
      </c>
      <c r="Q264" s="945">
        <v>0.05</v>
      </c>
      <c r="R264" s="946">
        <f t="shared" ca="1" si="40"/>
        <v>16.5</v>
      </c>
      <c r="S264" s="945"/>
      <c r="T264" s="947">
        <f t="shared" ca="1" si="41"/>
        <v>0</v>
      </c>
    </row>
    <row r="265" spans="1:30" s="901" customFormat="1">
      <c r="A265" s="1057">
        <f ca="1">$Q$261 *(6)</f>
        <v>6</v>
      </c>
      <c r="B265" s="901" t="s">
        <v>141</v>
      </c>
      <c r="D265" s="901" t="s">
        <v>2623</v>
      </c>
      <c r="G265" s="941" t="s">
        <v>2624</v>
      </c>
      <c r="H265" s="942">
        <v>620</v>
      </c>
      <c r="I265" s="901" t="s">
        <v>2611</v>
      </c>
      <c r="O265" s="943">
        <v>2</v>
      </c>
      <c r="P265" s="944">
        <v>35431</v>
      </c>
      <c r="Q265" s="945">
        <v>51.5</v>
      </c>
      <c r="R265" s="946">
        <f t="shared" ca="1" si="40"/>
        <v>309</v>
      </c>
      <c r="S265" s="945">
        <v>1.1000000000000001</v>
      </c>
      <c r="T265" s="947">
        <f t="shared" ca="1" si="41"/>
        <v>5.94</v>
      </c>
    </row>
    <row r="266" spans="1:30" s="901" customFormat="1">
      <c r="A266" s="1057">
        <f ca="1">$Q$261 *(6)</f>
        <v>6</v>
      </c>
      <c r="B266" s="901" t="s">
        <v>320</v>
      </c>
      <c r="D266" s="901" t="s">
        <v>2653</v>
      </c>
      <c r="G266" s="941" t="s">
        <v>2654</v>
      </c>
      <c r="H266" s="942">
        <v>620</v>
      </c>
      <c r="I266" s="901" t="s">
        <v>2607</v>
      </c>
      <c r="O266" s="943">
        <v>2</v>
      </c>
      <c r="P266" s="944">
        <v>38148</v>
      </c>
      <c r="Q266" s="945">
        <v>1.5</v>
      </c>
      <c r="R266" s="946">
        <f t="shared" ca="1" si="40"/>
        <v>9</v>
      </c>
      <c r="S266" s="945">
        <v>0.08</v>
      </c>
      <c r="T266" s="947">
        <f t="shared" ca="1" si="41"/>
        <v>0.432</v>
      </c>
    </row>
    <row r="267" spans="1:30" s="901" customFormat="1">
      <c r="A267" s="1057">
        <f ca="1">$Q$261 *(30)</f>
        <v>30</v>
      </c>
      <c r="B267" s="901" t="s">
        <v>141</v>
      </c>
      <c r="D267" s="901" t="s">
        <v>2625</v>
      </c>
      <c r="G267" s="941" t="s">
        <v>2626</v>
      </c>
      <c r="H267" s="942">
        <v>620</v>
      </c>
      <c r="I267" s="901" t="s">
        <v>2614</v>
      </c>
      <c r="O267" s="943">
        <v>2</v>
      </c>
      <c r="P267" s="944">
        <v>34669</v>
      </c>
      <c r="Q267" s="945">
        <v>1.51</v>
      </c>
      <c r="R267" s="946">
        <f t="shared" ca="1" si="40"/>
        <v>45.3</v>
      </c>
      <c r="S267" s="945">
        <v>0.17</v>
      </c>
      <c r="T267" s="947">
        <f t="shared" ca="1" si="41"/>
        <v>4.5900000000000007</v>
      </c>
    </row>
    <row r="268" spans="1:30" s="520" customFormat="1">
      <c r="A268" s="758"/>
      <c r="B268" s="3"/>
      <c r="C268" s="758" t="s">
        <v>171</v>
      </c>
      <c r="D268" s="3"/>
      <c r="E268" s="758"/>
      <c r="F268" s="753"/>
      <c r="G268" s="758"/>
      <c r="H268" s="758"/>
      <c r="I268" s="519"/>
      <c r="J268" s="758"/>
      <c r="K268" s="758"/>
      <c r="L268" s="758"/>
      <c r="M268" s="758"/>
      <c r="N268" s="758"/>
      <c r="O268" s="758"/>
      <c r="P268" s="758"/>
      <c r="Q268" s="519"/>
      <c r="R268" s="917">
        <f t="shared" si="40"/>
        <v>0</v>
      </c>
      <c r="S268" s="519"/>
      <c r="T268" s="760">
        <f t="shared" si="41"/>
        <v>0</v>
      </c>
      <c r="AD268" s="753"/>
    </row>
    <row r="269" spans="1:30" s="520" customFormat="1" ht="12.6" thickBot="1">
      <c r="A269" s="761" t="s">
        <v>145</v>
      </c>
      <c r="B269" s="762">
        <f>(R268+T268)</f>
        <v>0</v>
      </c>
      <c r="C269" s="763"/>
      <c r="D269" s="937" t="s">
        <v>172</v>
      </c>
      <c r="E269" s="477">
        <f ca="1">IF($B261=0,0,ROUND(ROUND(($R269*$S$2+($T269*$T$2))/$B261, 2)*$C$2,2))</f>
        <v>154.76</v>
      </c>
      <c r="F269" s="478">
        <f ca="1">ROUND($B261*$E269,2)</f>
        <v>51070.8</v>
      </c>
      <c r="G269" s="763"/>
      <c r="H269" s="763"/>
      <c r="I269" s="765"/>
      <c r="J269" s="763"/>
      <c r="K269" s="938" t="s">
        <v>143</v>
      </c>
      <c r="L269" s="766" t="s">
        <v>143</v>
      </c>
      <c r="M269" s="766"/>
      <c r="N269" s="766"/>
      <c r="O269" s="766"/>
      <c r="P269" s="766"/>
      <c r="Q269" s="938"/>
      <c r="R269" s="939">
        <f ca="1">SUM(R262:R268)</f>
        <v>39267</v>
      </c>
      <c r="S269" s="940"/>
      <c r="T269" s="939">
        <f ca="1">SUM(T262:T268)</f>
        <v>80.460000000000008</v>
      </c>
      <c r="U269" s="531"/>
      <c r="V269" s="531"/>
      <c r="W269" s="531"/>
      <c r="X269" s="531"/>
      <c r="Y269" s="531"/>
      <c r="Z269" s="531"/>
      <c r="AA269" s="531"/>
      <c r="AB269" s="531"/>
      <c r="AD269" s="478">
        <v>53816.4</v>
      </c>
    </row>
    <row r="270" spans="1:30" s="520" customFormat="1" ht="12" thickTop="1">
      <c r="A270" s="51"/>
      <c r="B270" s="51"/>
      <c r="C270" s="51"/>
      <c r="D270" s="51"/>
      <c r="E270" s="51"/>
      <c r="F270" s="51"/>
      <c r="G270" s="51"/>
      <c r="H270" s="51"/>
      <c r="I270" s="51"/>
      <c r="J270" s="51"/>
      <c r="K270" s="51"/>
      <c r="L270" s="51"/>
      <c r="M270" s="51"/>
      <c r="N270" s="51"/>
      <c r="O270" s="52"/>
      <c r="P270" s="51"/>
      <c r="Q270" s="42" t="s">
        <v>168</v>
      </c>
      <c r="R270" s="51"/>
      <c r="S270" s="13"/>
      <c r="T270" s="51"/>
      <c r="AD270" s="51"/>
    </row>
    <row r="271" spans="1:30" s="520" customFormat="1" ht="12" customHeight="1" thickBot="1">
      <c r="A271" s="927">
        <v>155</v>
      </c>
      <c r="B271" s="928">
        <f ca="1">Elec_Est!B11572</f>
        <v>155</v>
      </c>
      <c r="C271" s="929"/>
      <c r="D271" s="930" t="s">
        <v>3529</v>
      </c>
      <c r="E271" s="931"/>
      <c r="F271" s="931"/>
      <c r="G271" s="752"/>
      <c r="H271" s="752"/>
      <c r="I271" s="932"/>
      <c r="J271" s="752"/>
      <c r="K271" s="929" t="s">
        <v>169</v>
      </c>
      <c r="L271" s="933" t="s">
        <v>169</v>
      </c>
      <c r="M271" s="933"/>
      <c r="N271" s="933"/>
      <c r="O271" s="933"/>
      <c r="P271" s="933"/>
      <c r="Q271" s="934">
        <f ca="1">B271/A271</f>
        <v>1</v>
      </c>
      <c r="R271" s="935">
        <f ca="1">IF($B271=0,0,IF($S$1="R",ROUND(R279/$B271,2),R279/$B271))</f>
        <v>95.08</v>
      </c>
      <c r="S271" s="936"/>
      <c r="T271" s="935">
        <f ca="1">IF($B271=0,0,IF($S$1="R",ROUND(T279/$B271,2),T279/$B271))</f>
        <v>0.21</v>
      </c>
      <c r="AD271" s="931"/>
    </row>
    <row r="272" spans="1:30" s="520" customFormat="1" ht="13.8" thickTop="1">
      <c r="A272" s="748"/>
      <c r="B272" s="3"/>
      <c r="C272" s="3"/>
      <c r="D272" s="106" t="s">
        <v>170</v>
      </c>
      <c r="E272" s="3"/>
      <c r="F272" s="3"/>
      <c r="G272" s="3"/>
      <c r="H272" s="3"/>
      <c r="I272" s="3"/>
      <c r="J272" s="3"/>
      <c r="K272" s="3"/>
      <c r="L272" s="3"/>
      <c r="M272" s="3"/>
      <c r="N272" s="3"/>
      <c r="O272" s="107"/>
      <c r="P272" s="3"/>
      <c r="Q272" s="3"/>
      <c r="R272" s="3"/>
      <c r="S272" s="3"/>
      <c r="T272" s="3"/>
      <c r="AD272" s="3"/>
    </row>
    <row r="273" spans="1:30" s="901" customFormat="1">
      <c r="A273" s="1057">
        <f ca="1">$Q$271 *(155)</f>
        <v>155</v>
      </c>
      <c r="B273" s="901" t="s">
        <v>320</v>
      </c>
      <c r="D273" s="901" t="s">
        <v>3282</v>
      </c>
      <c r="F273" s="1054" t="s">
        <v>3277</v>
      </c>
      <c r="G273" s="941" t="s">
        <v>2627</v>
      </c>
      <c r="H273" s="942">
        <v>616</v>
      </c>
      <c r="I273" s="901" t="s">
        <v>2272</v>
      </c>
      <c r="J273" s="901" t="s">
        <v>2628</v>
      </c>
      <c r="O273" s="943">
        <v>2</v>
      </c>
      <c r="P273" s="944">
        <v>40767</v>
      </c>
      <c r="Q273" s="1194">
        <f>98.24*0.96</f>
        <v>94.310399999999987</v>
      </c>
      <c r="R273" s="946">
        <f t="shared" ref="R273:R278" ca="1" si="42">$A273*Q273</f>
        <v>14618.111999999997</v>
      </c>
      <c r="S273" s="1193">
        <f>0.9 *(0.24)</f>
        <v>0.216</v>
      </c>
      <c r="T273" s="947">
        <f t="shared" ref="T273:T278" ca="1" si="43">$A273*S273*$T$1</f>
        <v>30.131999999999998</v>
      </c>
      <c r="AD273" s="1054" t="s">
        <v>3277</v>
      </c>
    </row>
    <row r="274" spans="1:30" s="901" customFormat="1">
      <c r="A274" s="1057">
        <f ca="1">$Q$271 *(155)</f>
        <v>155</v>
      </c>
      <c r="B274" s="901" t="s">
        <v>141</v>
      </c>
      <c r="D274" s="901" t="s">
        <v>2605</v>
      </c>
      <c r="G274" s="941" t="s">
        <v>2606</v>
      </c>
      <c r="H274" s="942">
        <v>875</v>
      </c>
      <c r="I274" s="901" t="s">
        <v>2607</v>
      </c>
      <c r="K274" s="901" t="s">
        <v>2608</v>
      </c>
      <c r="O274" s="943">
        <v>1</v>
      </c>
      <c r="P274" s="944">
        <v>34669</v>
      </c>
      <c r="Q274" s="945">
        <v>0.05</v>
      </c>
      <c r="R274" s="946">
        <f t="shared" ca="1" si="42"/>
        <v>7.75</v>
      </c>
      <c r="S274" s="945"/>
      <c r="T274" s="947">
        <f t="shared" ca="1" si="43"/>
        <v>0</v>
      </c>
    </row>
    <row r="275" spans="1:30" s="901" customFormat="1">
      <c r="A275" s="1057">
        <f ca="1">$Q$271 *(2)</f>
        <v>2</v>
      </c>
      <c r="B275" s="901" t="s">
        <v>141</v>
      </c>
      <c r="D275" s="901" t="s">
        <v>2629</v>
      </c>
      <c r="G275" s="941" t="s">
        <v>2630</v>
      </c>
      <c r="H275" s="942">
        <v>620</v>
      </c>
      <c r="I275" s="901" t="s">
        <v>2611</v>
      </c>
      <c r="O275" s="943">
        <v>2</v>
      </c>
      <c r="P275" s="944">
        <v>35431</v>
      </c>
      <c r="Q275" s="945">
        <v>50.22</v>
      </c>
      <c r="R275" s="946">
        <f t="shared" ca="1" si="42"/>
        <v>100.44</v>
      </c>
      <c r="S275" s="945">
        <v>0.9</v>
      </c>
      <c r="T275" s="947">
        <f t="shared" ca="1" si="43"/>
        <v>1.62</v>
      </c>
    </row>
    <row r="276" spans="1:30" s="901" customFormat="1">
      <c r="A276" s="1057">
        <f ca="1">$Q$271 *(2)</f>
        <v>2</v>
      </c>
      <c r="B276" s="901" t="s">
        <v>320</v>
      </c>
      <c r="D276" s="901" t="s">
        <v>2653</v>
      </c>
      <c r="G276" s="941" t="s">
        <v>2654</v>
      </c>
      <c r="H276" s="942">
        <v>620</v>
      </c>
      <c r="I276" s="901" t="s">
        <v>2607</v>
      </c>
      <c r="O276" s="943">
        <v>2</v>
      </c>
      <c r="P276" s="944">
        <v>38148</v>
      </c>
      <c r="Q276" s="945">
        <v>1.5</v>
      </c>
      <c r="R276" s="946">
        <f t="shared" ca="1" si="42"/>
        <v>3</v>
      </c>
      <c r="S276" s="945">
        <v>0.08</v>
      </c>
      <c r="T276" s="947">
        <f t="shared" ca="1" si="43"/>
        <v>0.14400000000000002</v>
      </c>
    </row>
    <row r="277" spans="1:30" s="901" customFormat="1">
      <c r="A277" s="1057">
        <f ca="1">$Q$271 *(10)</f>
        <v>10</v>
      </c>
      <c r="B277" s="901" t="s">
        <v>141</v>
      </c>
      <c r="D277" s="901" t="s">
        <v>2631</v>
      </c>
      <c r="G277" s="941" t="s">
        <v>2632</v>
      </c>
      <c r="H277" s="942">
        <v>620</v>
      </c>
      <c r="I277" s="901" t="s">
        <v>2614</v>
      </c>
      <c r="O277" s="943">
        <v>2</v>
      </c>
      <c r="P277" s="944">
        <v>34669</v>
      </c>
      <c r="Q277" s="945">
        <v>0.84</v>
      </c>
      <c r="R277" s="946">
        <f t="shared" ca="1" si="42"/>
        <v>8.4</v>
      </c>
      <c r="S277" s="945">
        <v>0.15</v>
      </c>
      <c r="T277" s="947">
        <f t="shared" ca="1" si="43"/>
        <v>1.35</v>
      </c>
    </row>
    <row r="278" spans="1:30" s="520" customFormat="1">
      <c r="A278" s="758"/>
      <c r="B278" s="3"/>
      <c r="C278" s="758" t="s">
        <v>171</v>
      </c>
      <c r="D278" s="3"/>
      <c r="E278" s="758"/>
      <c r="F278" s="753"/>
      <c r="G278" s="758"/>
      <c r="H278" s="758"/>
      <c r="I278" s="519"/>
      <c r="J278" s="758"/>
      <c r="K278" s="758"/>
      <c r="L278" s="758"/>
      <c r="M278" s="758"/>
      <c r="N278" s="758"/>
      <c r="O278" s="758"/>
      <c r="P278" s="758"/>
      <c r="Q278" s="519"/>
      <c r="R278" s="917">
        <f t="shared" si="42"/>
        <v>0</v>
      </c>
      <c r="S278" s="519"/>
      <c r="T278" s="760">
        <f t="shared" si="43"/>
        <v>0</v>
      </c>
      <c r="AD278" s="753"/>
    </row>
    <row r="279" spans="1:30" s="520" customFormat="1" ht="12.6" thickBot="1">
      <c r="A279" s="761" t="s">
        <v>145</v>
      </c>
      <c r="B279" s="762">
        <f>(R278+T278)</f>
        <v>0</v>
      </c>
      <c r="C279" s="763"/>
      <c r="D279" s="937" t="s">
        <v>172</v>
      </c>
      <c r="E279" s="477">
        <f ca="1">IF($B271=0,0,ROUND(ROUND(($R279*$S$2+($T279*$T$2))/$B271, 2)*$C$2,2))</f>
        <v>124.33</v>
      </c>
      <c r="F279" s="478">
        <f ca="1">ROUND($B271*$E279,2)</f>
        <v>19271.150000000001</v>
      </c>
      <c r="G279" s="763"/>
      <c r="H279" s="763"/>
      <c r="I279" s="765"/>
      <c r="J279" s="763"/>
      <c r="K279" s="938" t="s">
        <v>143</v>
      </c>
      <c r="L279" s="766" t="s">
        <v>143</v>
      </c>
      <c r="M279" s="766"/>
      <c r="N279" s="766"/>
      <c r="O279" s="766"/>
      <c r="P279" s="766"/>
      <c r="Q279" s="938"/>
      <c r="R279" s="939">
        <f ca="1">SUM(R272:R278)</f>
        <v>14737.701999999997</v>
      </c>
      <c r="S279" s="940"/>
      <c r="T279" s="939">
        <f ca="1">SUM(T272:T278)</f>
        <v>33.245999999999995</v>
      </c>
      <c r="U279" s="531"/>
      <c r="V279" s="531"/>
      <c r="W279" s="531"/>
      <c r="X279" s="531"/>
      <c r="Y279" s="531"/>
      <c r="Z279" s="531"/>
      <c r="AA279" s="531"/>
      <c r="AB279" s="531"/>
      <c r="AD279" s="478">
        <v>20336</v>
      </c>
    </row>
    <row r="280" spans="1:30" s="520" customFormat="1" ht="12" thickTop="1">
      <c r="A280" s="51"/>
      <c r="B280" s="51"/>
      <c r="C280" s="51"/>
      <c r="D280" s="51"/>
      <c r="E280" s="51"/>
      <c r="F280" s="51"/>
      <c r="G280" s="51"/>
      <c r="H280" s="51"/>
      <c r="I280" s="51"/>
      <c r="J280" s="51"/>
      <c r="K280" s="51"/>
      <c r="L280" s="51"/>
      <c r="M280" s="51"/>
      <c r="N280" s="51"/>
      <c r="O280" s="52"/>
      <c r="P280" s="51"/>
      <c r="Q280" s="42" t="s">
        <v>168</v>
      </c>
      <c r="R280" s="51"/>
      <c r="S280" s="13"/>
      <c r="T280" s="51"/>
      <c r="AD280" s="51"/>
    </row>
    <row r="281" spans="1:30" s="520" customFormat="1" ht="12" customHeight="1" thickBot="1">
      <c r="A281" s="927">
        <v>495</v>
      </c>
      <c r="B281" s="928">
        <f ca="1">Elec_Est!B11573</f>
        <v>445</v>
      </c>
      <c r="C281" s="929"/>
      <c r="D281" s="930" t="s">
        <v>3530</v>
      </c>
      <c r="E281" s="931"/>
      <c r="F281" s="931"/>
      <c r="G281" s="752"/>
      <c r="H281" s="752"/>
      <c r="I281" s="932"/>
      <c r="J281" s="752"/>
      <c r="K281" s="929" t="s">
        <v>169</v>
      </c>
      <c r="L281" s="933" t="s">
        <v>169</v>
      </c>
      <c r="M281" s="933"/>
      <c r="N281" s="933"/>
      <c r="O281" s="933"/>
      <c r="P281" s="933"/>
      <c r="Q281" s="934">
        <f ca="1">B281/A281</f>
        <v>0.89898989898989901</v>
      </c>
      <c r="R281" s="935">
        <f ca="1">IF($B281=0,0,IF($S$1="R",ROUND(R291/$B281,2),R291/$B281))</f>
        <v>104.63</v>
      </c>
      <c r="S281" s="936"/>
      <c r="T281" s="935">
        <f ca="1">IF($B281=0,0,IF($S$1="R",ROUND(T291/$B281,2),T291/$B281))</f>
        <v>0.31</v>
      </c>
      <c r="AD281" s="931"/>
    </row>
    <row r="282" spans="1:30" s="520" customFormat="1" ht="13.8" thickTop="1">
      <c r="A282" s="748"/>
      <c r="B282" s="3"/>
      <c r="C282" s="3"/>
      <c r="D282" s="106" t="s">
        <v>170</v>
      </c>
      <c r="E282" s="3"/>
      <c r="F282" s="3"/>
      <c r="G282" s="3"/>
      <c r="H282" s="3"/>
      <c r="I282" s="3"/>
      <c r="J282" s="3"/>
      <c r="K282" s="3"/>
      <c r="L282" s="3"/>
      <c r="M282" s="3"/>
      <c r="N282" s="3"/>
      <c r="O282" s="107"/>
      <c r="P282" s="3"/>
      <c r="Q282" s="3"/>
      <c r="R282" s="3"/>
      <c r="S282" s="3"/>
      <c r="T282" s="3"/>
      <c r="AD282" s="3"/>
    </row>
    <row r="283" spans="1:30" s="901" customFormat="1">
      <c r="A283" s="1057">
        <f ca="1">$Q$281 *(495)</f>
        <v>445</v>
      </c>
      <c r="B283" s="901" t="s">
        <v>320</v>
      </c>
      <c r="D283" s="901" t="s">
        <v>2633</v>
      </c>
      <c r="E283" s="1047" t="s">
        <v>2732</v>
      </c>
      <c r="F283" s="1054" t="s">
        <v>3277</v>
      </c>
      <c r="G283" s="941" t="s">
        <v>2634</v>
      </c>
      <c r="H283" s="942">
        <v>616</v>
      </c>
      <c r="I283" s="901" t="s">
        <v>2272</v>
      </c>
      <c r="J283" s="901" t="s">
        <v>2635</v>
      </c>
      <c r="O283" s="943">
        <v>2</v>
      </c>
      <c r="P283" s="944">
        <v>40767</v>
      </c>
      <c r="Q283" s="1194">
        <f>107.76*0.96</f>
        <v>103.4496</v>
      </c>
      <c r="R283" s="946">
        <f t="shared" ref="R283:R289" ca="1" si="44">$A283*Q283</f>
        <v>46035.072</v>
      </c>
      <c r="S283" s="1193">
        <f>0.9 *(0.22)</f>
        <v>0.19800000000000001</v>
      </c>
      <c r="T283" s="947">
        <f t="shared" ref="T283:T289" ca="1" si="45">$A283*S283*$T$1</f>
        <v>79.299000000000007</v>
      </c>
      <c r="AD283" s="1054" t="s">
        <v>3277</v>
      </c>
    </row>
    <row r="284" spans="1:30" s="901" customFormat="1">
      <c r="A284" s="1057">
        <f ca="1">$Q$281 *(495)</f>
        <v>445</v>
      </c>
      <c r="B284" s="901" t="s">
        <v>320</v>
      </c>
      <c r="D284" s="901" t="s">
        <v>2864</v>
      </c>
      <c r="F284" s="901" t="s">
        <v>3300</v>
      </c>
      <c r="G284" s="941" t="s">
        <v>2865</v>
      </c>
      <c r="H284" s="942">
        <v>615</v>
      </c>
      <c r="I284" s="901" t="s">
        <v>2272</v>
      </c>
      <c r="K284" s="901" t="s">
        <v>2866</v>
      </c>
      <c r="O284" s="943">
        <v>2</v>
      </c>
      <c r="P284" s="944">
        <v>38988</v>
      </c>
      <c r="Q284" s="1063"/>
      <c r="R284" s="946">
        <f t="shared" ca="1" si="44"/>
        <v>0</v>
      </c>
      <c r="S284" s="945">
        <v>0.09</v>
      </c>
      <c r="T284" s="947">
        <f t="shared" ca="1" si="45"/>
        <v>36.045000000000002</v>
      </c>
      <c r="U284" s="901" t="s">
        <v>2764</v>
      </c>
      <c r="AD284" s="901" t="s">
        <v>3300</v>
      </c>
    </row>
    <row r="285" spans="1:30" s="901" customFormat="1">
      <c r="A285" s="1057">
        <f ca="1">$Q$281 *(495)</f>
        <v>445</v>
      </c>
      <c r="B285" s="901" t="s">
        <v>141</v>
      </c>
      <c r="D285" s="901" t="s">
        <v>2605</v>
      </c>
      <c r="G285" s="941" t="s">
        <v>2606</v>
      </c>
      <c r="H285" s="942">
        <v>875</v>
      </c>
      <c r="I285" s="901" t="s">
        <v>2607</v>
      </c>
      <c r="K285" s="901" t="s">
        <v>2608</v>
      </c>
      <c r="O285" s="943">
        <v>1</v>
      </c>
      <c r="P285" s="944">
        <v>34669</v>
      </c>
      <c r="Q285" s="945">
        <v>0.05</v>
      </c>
      <c r="R285" s="946">
        <f t="shared" ca="1" si="44"/>
        <v>22.25</v>
      </c>
      <c r="S285" s="945"/>
      <c r="T285" s="947">
        <f t="shared" ca="1" si="45"/>
        <v>0</v>
      </c>
    </row>
    <row r="286" spans="1:30" s="901" customFormat="1">
      <c r="A286" s="1057">
        <f ca="1">$Q$281 *(14)</f>
        <v>12.585858585858587</v>
      </c>
      <c r="B286" s="901" t="s">
        <v>141</v>
      </c>
      <c r="D286" s="901" t="s">
        <v>2643</v>
      </c>
      <c r="G286" s="941" t="s">
        <v>2644</v>
      </c>
      <c r="H286" s="942">
        <v>620</v>
      </c>
      <c r="I286" s="901" t="s">
        <v>2611</v>
      </c>
      <c r="O286" s="943">
        <v>2</v>
      </c>
      <c r="P286" s="944">
        <v>35431</v>
      </c>
      <c r="Q286" s="945">
        <v>28.3</v>
      </c>
      <c r="R286" s="946">
        <f t="shared" ca="1" si="44"/>
        <v>356.17979797979802</v>
      </c>
      <c r="S286" s="945">
        <v>0.8</v>
      </c>
      <c r="T286" s="947">
        <f t="shared" ca="1" si="45"/>
        <v>9.0618181818181824</v>
      </c>
    </row>
    <row r="287" spans="1:30" s="901" customFormat="1">
      <c r="A287" s="1057">
        <f ca="1">$Q$281 *(14)</f>
        <v>12.585858585858587</v>
      </c>
      <c r="B287" s="901" t="s">
        <v>141</v>
      </c>
      <c r="D287" s="901" t="s">
        <v>3664</v>
      </c>
      <c r="G287" s="941" t="s">
        <v>3665</v>
      </c>
      <c r="H287" s="942">
        <v>620</v>
      </c>
      <c r="I287" s="901" t="s">
        <v>2611</v>
      </c>
      <c r="O287" s="943">
        <v>2</v>
      </c>
      <c r="P287" s="944">
        <v>35431</v>
      </c>
      <c r="Q287" s="1161">
        <v>6.57</v>
      </c>
      <c r="R287" s="946">
        <f ca="1">$A287*Q287</f>
        <v>82.689090909090922</v>
      </c>
      <c r="S287" s="945">
        <v>0.3</v>
      </c>
      <c r="T287" s="947">
        <f ca="1">$A287*S287*$T$1</f>
        <v>3.3981818181818184</v>
      </c>
    </row>
    <row r="288" spans="1:30" s="901" customFormat="1">
      <c r="A288" s="1057">
        <f ca="1">$Q$281 *(14)</f>
        <v>12.585858585858587</v>
      </c>
      <c r="B288" s="901" t="s">
        <v>320</v>
      </c>
      <c r="D288" s="901" t="s">
        <v>2653</v>
      </c>
      <c r="G288" s="941" t="s">
        <v>2654</v>
      </c>
      <c r="H288" s="942">
        <v>620</v>
      </c>
      <c r="I288" s="901" t="s">
        <v>2607</v>
      </c>
      <c r="O288" s="943">
        <v>2</v>
      </c>
      <c r="P288" s="944">
        <v>38148</v>
      </c>
      <c r="Q288" s="945">
        <v>1.5</v>
      </c>
      <c r="R288" s="946">
        <f t="shared" ca="1" si="44"/>
        <v>18.878787878787879</v>
      </c>
      <c r="S288" s="945">
        <v>0.08</v>
      </c>
      <c r="T288" s="947">
        <f t="shared" ca="1" si="45"/>
        <v>0.9061818181818182</v>
      </c>
    </row>
    <row r="289" spans="1:30" s="901" customFormat="1">
      <c r="A289" s="1057">
        <f ca="1">$Q$281 *(70)</f>
        <v>62.929292929292927</v>
      </c>
      <c r="B289" s="901" t="s">
        <v>141</v>
      </c>
      <c r="D289" s="901" t="s">
        <v>2645</v>
      </c>
      <c r="G289" s="941" t="s">
        <v>2646</v>
      </c>
      <c r="H289" s="942">
        <v>620</v>
      </c>
      <c r="I289" s="901" t="s">
        <v>2614</v>
      </c>
      <c r="O289" s="943">
        <v>2</v>
      </c>
      <c r="P289" s="944">
        <v>34669</v>
      </c>
      <c r="Q289" s="945">
        <v>0.7</v>
      </c>
      <c r="R289" s="946">
        <f t="shared" ca="1" si="44"/>
        <v>44.050505050505045</v>
      </c>
      <c r="S289" s="945">
        <v>0.13</v>
      </c>
      <c r="T289" s="947">
        <f t="shared" ca="1" si="45"/>
        <v>7.3627272727272732</v>
      </c>
    </row>
    <row r="290" spans="1:30" s="520" customFormat="1">
      <c r="A290" s="758"/>
      <c r="B290" s="3"/>
      <c r="C290" s="758" t="s">
        <v>171</v>
      </c>
      <c r="D290" s="3"/>
      <c r="E290" s="758"/>
      <c r="F290" s="753"/>
      <c r="G290" s="758"/>
      <c r="H290" s="758"/>
      <c r="I290" s="519"/>
      <c r="J290" s="758"/>
      <c r="K290" s="758"/>
      <c r="L290" s="758"/>
      <c r="M290" s="758"/>
      <c r="N290" s="758"/>
      <c r="O290" s="758"/>
      <c r="P290" s="758"/>
      <c r="Q290" s="519"/>
      <c r="R290" s="917">
        <f>$A290*Q290</f>
        <v>0</v>
      </c>
      <c r="S290" s="519"/>
      <c r="T290" s="760">
        <f>$A290*S290*$T$1</f>
        <v>0</v>
      </c>
      <c r="AD290" s="753"/>
    </row>
    <row r="291" spans="1:30" s="520" customFormat="1" ht="12.6" thickBot="1">
      <c r="A291" s="761" t="s">
        <v>145</v>
      </c>
      <c r="B291" s="762">
        <f>(R290+T290)</f>
        <v>0</v>
      </c>
      <c r="C291" s="763"/>
      <c r="D291" s="937" t="s">
        <v>172</v>
      </c>
      <c r="E291" s="477">
        <f ca="1">IF($B281=0,0,ROUND(ROUND(($R291*$S$2+($T291*$T$2))/$B281, 2)*$C$2,2))</f>
        <v>139.16999999999999</v>
      </c>
      <c r="F291" s="478">
        <f ca="1">ROUND($B281*$E291,2)</f>
        <v>61930.65</v>
      </c>
      <c r="G291" s="763"/>
      <c r="H291" s="763"/>
      <c r="I291" s="765"/>
      <c r="J291" s="763"/>
      <c r="K291" s="938" t="s">
        <v>143</v>
      </c>
      <c r="L291" s="766" t="s">
        <v>143</v>
      </c>
      <c r="M291" s="766"/>
      <c r="N291" s="766"/>
      <c r="O291" s="766"/>
      <c r="P291" s="766"/>
      <c r="Q291" s="938"/>
      <c r="R291" s="939">
        <f ca="1">SUM(R282:R290)</f>
        <v>46559.12018181818</v>
      </c>
      <c r="S291" s="940"/>
      <c r="T291" s="939">
        <f ca="1">SUM(T282:T290)</f>
        <v>136.07290909090909</v>
      </c>
      <c r="U291" s="531"/>
      <c r="V291" s="531"/>
      <c r="W291" s="531"/>
      <c r="X291" s="531"/>
      <c r="Y291" s="531"/>
      <c r="Z291" s="531"/>
      <c r="AA291" s="531"/>
      <c r="AB291" s="531"/>
      <c r="AD291" s="478">
        <v>72735.3</v>
      </c>
    </row>
    <row r="292" spans="1:30" s="520" customFormat="1" ht="12" thickTop="1">
      <c r="A292" s="51"/>
      <c r="B292" s="51"/>
      <c r="C292" s="51"/>
      <c r="D292" s="51"/>
      <c r="E292" s="51"/>
      <c r="F292" s="51"/>
      <c r="G292" s="51"/>
      <c r="H292" s="51"/>
      <c r="I292" s="51"/>
      <c r="J292" s="51"/>
      <c r="K292" s="51"/>
      <c r="L292" s="51"/>
      <c r="M292" s="51"/>
      <c r="N292" s="51"/>
      <c r="O292" s="52"/>
      <c r="P292" s="51"/>
      <c r="Q292" s="42" t="s">
        <v>168</v>
      </c>
      <c r="R292" s="51"/>
      <c r="S292" s="13"/>
      <c r="T292" s="51"/>
      <c r="AD292" s="51"/>
    </row>
    <row r="293" spans="1:30" s="520" customFormat="1" ht="12" customHeight="1" thickBot="1">
      <c r="A293" s="927">
        <v>15</v>
      </c>
      <c r="B293" s="928">
        <f ca="1">Elec_Est!B11574</f>
        <v>15</v>
      </c>
      <c r="C293" s="929"/>
      <c r="D293" s="930" t="s">
        <v>3531</v>
      </c>
      <c r="E293" s="931"/>
      <c r="F293" s="931"/>
      <c r="G293" s="752"/>
      <c r="H293" s="752"/>
      <c r="I293" s="932"/>
      <c r="J293" s="752"/>
      <c r="K293" s="929" t="s">
        <v>169</v>
      </c>
      <c r="L293" s="933" t="s">
        <v>169</v>
      </c>
      <c r="M293" s="933"/>
      <c r="N293" s="933"/>
      <c r="O293" s="933"/>
      <c r="P293" s="933"/>
      <c r="Q293" s="934">
        <f ca="1">B293/A293</f>
        <v>1</v>
      </c>
      <c r="R293" s="935">
        <f ca="1">IF($B293=0,0,IF($S$1="R",ROUND(R301/$B293,2),R301/$B293))</f>
        <v>81.650000000000006</v>
      </c>
      <c r="S293" s="936"/>
      <c r="T293" s="935">
        <f ca="1">IF($B293=0,0,IF($S$1="R",ROUND(T301/$B293,2),T301/$B293))</f>
        <v>0.36</v>
      </c>
      <c r="AD293" s="931"/>
    </row>
    <row r="294" spans="1:30" s="520" customFormat="1" ht="13.8" thickTop="1">
      <c r="A294" s="748"/>
      <c r="B294" s="3"/>
      <c r="C294" s="3"/>
      <c r="D294" s="106" t="s">
        <v>170</v>
      </c>
      <c r="E294" s="3"/>
      <c r="F294" s="3"/>
      <c r="G294" s="3"/>
      <c r="H294" s="3"/>
      <c r="I294" s="3"/>
      <c r="J294" s="3"/>
      <c r="K294" s="3"/>
      <c r="L294" s="3"/>
      <c r="M294" s="3"/>
      <c r="N294" s="3"/>
      <c r="O294" s="107"/>
      <c r="P294" s="3"/>
      <c r="Q294" s="3"/>
      <c r="R294" s="3"/>
      <c r="S294" s="3"/>
      <c r="T294" s="3"/>
      <c r="AD294" s="3"/>
    </row>
    <row r="295" spans="1:30" s="901" customFormat="1">
      <c r="A295" s="1057">
        <f ca="1">$Q$293 *(15)</f>
        <v>15</v>
      </c>
      <c r="B295" s="901" t="s">
        <v>320</v>
      </c>
      <c r="D295" s="901" t="s">
        <v>3278</v>
      </c>
      <c r="F295" s="1054" t="s">
        <v>3277</v>
      </c>
      <c r="G295" s="941" t="s">
        <v>2634</v>
      </c>
      <c r="H295" s="942">
        <v>616</v>
      </c>
      <c r="I295" s="901" t="s">
        <v>2272</v>
      </c>
      <c r="J295" s="901" t="s">
        <v>2635</v>
      </c>
      <c r="O295" s="943">
        <v>2</v>
      </c>
      <c r="P295" s="944">
        <v>40767</v>
      </c>
      <c r="Q295" s="1194">
        <f>80.38*0.96</f>
        <v>77.1648</v>
      </c>
      <c r="R295" s="946">
        <f t="shared" ref="R295:R300" ca="1" si="46">$A295*Q295</f>
        <v>1157.472</v>
      </c>
      <c r="S295" s="1193">
        <f>0.9 *(0.22)</f>
        <v>0.19800000000000001</v>
      </c>
      <c r="T295" s="947">
        <f t="shared" ref="T295:T300" ca="1" si="47">$A295*S295*$T$1</f>
        <v>2.673</v>
      </c>
      <c r="AD295" s="1054" t="s">
        <v>3277</v>
      </c>
    </row>
    <row r="296" spans="1:30" s="901" customFormat="1">
      <c r="A296" s="1057">
        <f ca="1">$Q$293 *(15)</f>
        <v>15</v>
      </c>
      <c r="B296" s="901" t="s">
        <v>141</v>
      </c>
      <c r="D296" s="901" t="s">
        <v>2605</v>
      </c>
      <c r="G296" s="941" t="s">
        <v>2606</v>
      </c>
      <c r="H296" s="942">
        <v>875</v>
      </c>
      <c r="I296" s="901" t="s">
        <v>2607</v>
      </c>
      <c r="K296" s="901" t="s">
        <v>2608</v>
      </c>
      <c r="O296" s="943">
        <v>1</v>
      </c>
      <c r="P296" s="944">
        <v>34669</v>
      </c>
      <c r="Q296" s="945">
        <v>0.05</v>
      </c>
      <c r="R296" s="946">
        <f t="shared" ca="1" si="46"/>
        <v>0.75</v>
      </c>
      <c r="S296" s="945"/>
      <c r="T296" s="947">
        <f t="shared" ca="1" si="47"/>
        <v>0</v>
      </c>
    </row>
    <row r="297" spans="1:30" s="901" customFormat="1">
      <c r="A297" s="1057">
        <f ca="1">$Q$293 *(2)</f>
        <v>2</v>
      </c>
      <c r="B297" s="901" t="s">
        <v>141</v>
      </c>
      <c r="D297" s="901" t="s">
        <v>2643</v>
      </c>
      <c r="G297" s="941" t="s">
        <v>2644</v>
      </c>
      <c r="H297" s="942">
        <v>620</v>
      </c>
      <c r="I297" s="901" t="s">
        <v>2611</v>
      </c>
      <c r="O297" s="943">
        <v>2</v>
      </c>
      <c r="P297" s="944">
        <v>35431</v>
      </c>
      <c r="Q297" s="945">
        <v>28.3</v>
      </c>
      <c r="R297" s="946">
        <f t="shared" ca="1" si="46"/>
        <v>56.6</v>
      </c>
      <c r="S297" s="945">
        <v>0.8</v>
      </c>
      <c r="T297" s="947">
        <f t="shared" ca="1" si="47"/>
        <v>1.4400000000000002</v>
      </c>
    </row>
    <row r="298" spans="1:30" s="901" customFormat="1">
      <c r="A298" s="1057">
        <f ca="1">$Q$293 *(2)</f>
        <v>2</v>
      </c>
      <c r="B298" s="901" t="s">
        <v>320</v>
      </c>
      <c r="D298" s="901" t="s">
        <v>2653</v>
      </c>
      <c r="G298" s="941" t="s">
        <v>2654</v>
      </c>
      <c r="H298" s="942">
        <v>620</v>
      </c>
      <c r="I298" s="901" t="s">
        <v>2607</v>
      </c>
      <c r="O298" s="943">
        <v>2</v>
      </c>
      <c r="P298" s="944">
        <v>38148</v>
      </c>
      <c r="Q298" s="945">
        <v>1.5</v>
      </c>
      <c r="R298" s="946">
        <f t="shared" ca="1" si="46"/>
        <v>3</v>
      </c>
      <c r="S298" s="945">
        <v>0.08</v>
      </c>
      <c r="T298" s="947">
        <f t="shared" ca="1" si="47"/>
        <v>0.14400000000000002</v>
      </c>
    </row>
    <row r="299" spans="1:30" s="901" customFormat="1">
      <c r="A299" s="1057">
        <f ca="1">$Q$293 *(10)</f>
        <v>10</v>
      </c>
      <c r="B299" s="901" t="s">
        <v>141</v>
      </c>
      <c r="D299" s="901" t="s">
        <v>2645</v>
      </c>
      <c r="G299" s="941" t="s">
        <v>2646</v>
      </c>
      <c r="H299" s="942">
        <v>620</v>
      </c>
      <c r="I299" s="901" t="s">
        <v>2614</v>
      </c>
      <c r="O299" s="943">
        <v>2</v>
      </c>
      <c r="P299" s="944">
        <v>34669</v>
      </c>
      <c r="Q299" s="945">
        <v>0.7</v>
      </c>
      <c r="R299" s="946">
        <f t="shared" ca="1" si="46"/>
        <v>7</v>
      </c>
      <c r="S299" s="945">
        <v>0.13</v>
      </c>
      <c r="T299" s="947">
        <f t="shared" ca="1" si="47"/>
        <v>1.1700000000000002</v>
      </c>
    </row>
    <row r="300" spans="1:30" s="520" customFormat="1">
      <c r="A300" s="758"/>
      <c r="B300" s="3"/>
      <c r="C300" s="758" t="s">
        <v>171</v>
      </c>
      <c r="D300" s="3"/>
      <c r="E300" s="758"/>
      <c r="F300" s="753"/>
      <c r="G300" s="758"/>
      <c r="H300" s="758"/>
      <c r="I300" s="519"/>
      <c r="J300" s="758"/>
      <c r="K300" s="758"/>
      <c r="L300" s="758"/>
      <c r="M300" s="758"/>
      <c r="N300" s="758"/>
      <c r="O300" s="758"/>
      <c r="P300" s="758"/>
      <c r="Q300" s="519"/>
      <c r="R300" s="917">
        <f t="shared" si="46"/>
        <v>0</v>
      </c>
      <c r="S300" s="519"/>
      <c r="T300" s="760">
        <f t="shared" si="47"/>
        <v>0</v>
      </c>
      <c r="AD300" s="753"/>
    </row>
    <row r="301" spans="1:30" s="520" customFormat="1" ht="12.6" thickBot="1">
      <c r="A301" s="761" t="s">
        <v>145</v>
      </c>
      <c r="B301" s="762">
        <f>(R300+T300)</f>
        <v>0</v>
      </c>
      <c r="C301" s="763"/>
      <c r="D301" s="937" t="s">
        <v>172</v>
      </c>
      <c r="E301" s="477">
        <f ca="1">IF($B293=0,0,ROUND(ROUND(($R301*$S$2+($T301*$T$2))/$B293, 2)*$C$2,2))</f>
        <v>112.78</v>
      </c>
      <c r="F301" s="478">
        <f ca="1">ROUND($B293*$E301,2)</f>
        <v>1691.7</v>
      </c>
      <c r="G301" s="763"/>
      <c r="H301" s="763"/>
      <c r="I301" s="765"/>
      <c r="J301" s="763"/>
      <c r="K301" s="938" t="s">
        <v>143</v>
      </c>
      <c r="L301" s="766" t="s">
        <v>143</v>
      </c>
      <c r="M301" s="766"/>
      <c r="N301" s="766"/>
      <c r="O301" s="766"/>
      <c r="P301" s="766"/>
      <c r="Q301" s="938"/>
      <c r="R301" s="939">
        <f ca="1">SUM(R294:R300)</f>
        <v>1224.8219999999999</v>
      </c>
      <c r="S301" s="940"/>
      <c r="T301" s="939">
        <f ca="1">SUM(T294:T300)</f>
        <v>5.4270000000000005</v>
      </c>
      <c r="U301" s="531"/>
      <c r="V301" s="531"/>
      <c r="W301" s="531"/>
      <c r="X301" s="531"/>
      <c r="Y301" s="531"/>
      <c r="Z301" s="531"/>
      <c r="AA301" s="531"/>
      <c r="AB301" s="531"/>
      <c r="AD301" s="478">
        <v>1795.05</v>
      </c>
    </row>
    <row r="302" spans="1:30" s="520" customFormat="1" ht="12" thickTop="1">
      <c r="A302" s="51"/>
      <c r="B302" s="51"/>
      <c r="C302" s="51"/>
      <c r="D302" s="51"/>
      <c r="E302" s="51"/>
      <c r="F302" s="51"/>
      <c r="G302" s="51"/>
      <c r="H302" s="51"/>
      <c r="I302" s="51"/>
      <c r="J302" s="51"/>
      <c r="K302" s="51"/>
      <c r="L302" s="51"/>
      <c r="M302" s="51"/>
      <c r="N302" s="51"/>
      <c r="O302" s="52"/>
      <c r="P302" s="51"/>
      <c r="Q302" s="42" t="s">
        <v>168</v>
      </c>
      <c r="R302" s="51"/>
      <c r="S302" s="13"/>
      <c r="T302" s="51"/>
      <c r="AD302" s="51"/>
    </row>
    <row r="303" spans="1:30" s="520" customFormat="1" ht="12" customHeight="1" thickBot="1">
      <c r="A303" s="927">
        <v>290</v>
      </c>
      <c r="B303" s="928">
        <f ca="1">Elec_Est!B11575</f>
        <v>290</v>
      </c>
      <c r="C303" s="929"/>
      <c r="D303" s="930" t="s">
        <v>3532</v>
      </c>
      <c r="E303" s="931"/>
      <c r="F303" s="931"/>
      <c r="G303" s="752"/>
      <c r="H303" s="752"/>
      <c r="I303" s="932"/>
      <c r="J303" s="752"/>
      <c r="K303" s="929" t="s">
        <v>169</v>
      </c>
      <c r="L303" s="933" t="s">
        <v>169</v>
      </c>
      <c r="M303" s="933"/>
      <c r="N303" s="933"/>
      <c r="O303" s="933"/>
      <c r="P303" s="933"/>
      <c r="Q303" s="934">
        <f ca="1">B303/A303</f>
        <v>1</v>
      </c>
      <c r="R303" s="935">
        <f ca="1">IF($B303=0,0,IF($S$1="R",ROUND(R313/$B303,2),R313/$B303))</f>
        <v>84.03</v>
      </c>
      <c r="S303" s="936"/>
      <c r="T303" s="935">
        <f ca="1">IF($B303=0,0,IF($S$1="R",ROUND(T313/$B303,2),T313/$B303))</f>
        <v>0.27</v>
      </c>
      <c r="AD303" s="931"/>
    </row>
    <row r="304" spans="1:30" s="520" customFormat="1" ht="13.8" thickTop="1">
      <c r="A304" s="748"/>
      <c r="B304" s="3"/>
      <c r="C304" s="3"/>
      <c r="D304" s="106" t="s">
        <v>170</v>
      </c>
      <c r="E304" s="3"/>
      <c r="F304" s="3"/>
      <c r="G304" s="3"/>
      <c r="H304" s="3"/>
      <c r="I304" s="3"/>
      <c r="J304" s="3"/>
      <c r="K304" s="3"/>
      <c r="L304" s="3"/>
      <c r="M304" s="3"/>
      <c r="N304" s="3"/>
      <c r="O304" s="107"/>
      <c r="P304" s="3"/>
      <c r="Q304" s="3"/>
      <c r="R304" s="3"/>
      <c r="S304" s="3"/>
      <c r="T304" s="3"/>
      <c r="AD304" s="3"/>
    </row>
    <row r="305" spans="1:30" s="901" customFormat="1">
      <c r="A305" s="1057">
        <f ca="1">$Q$303 *(290)</f>
        <v>290</v>
      </c>
      <c r="B305" s="901" t="s">
        <v>320</v>
      </c>
      <c r="D305" s="901" t="s">
        <v>2636</v>
      </c>
      <c r="E305" s="1047" t="s">
        <v>2732</v>
      </c>
      <c r="F305" s="1054" t="s">
        <v>3277</v>
      </c>
      <c r="G305" s="941" t="s">
        <v>2637</v>
      </c>
      <c r="H305" s="942">
        <v>616</v>
      </c>
      <c r="I305" s="901" t="s">
        <v>2272</v>
      </c>
      <c r="J305" s="901" t="s">
        <v>2638</v>
      </c>
      <c r="O305" s="943">
        <v>2</v>
      </c>
      <c r="P305" s="944">
        <v>40767</v>
      </c>
      <c r="Q305" s="1194">
        <f>86.42*0.96</f>
        <v>82.963200000000001</v>
      </c>
      <c r="R305" s="946">
        <f t="shared" ref="R305:R311" ca="1" si="48">$A305*Q305</f>
        <v>24059.328000000001</v>
      </c>
      <c r="S305" s="1193">
        <f>0.9 *(0.2)</f>
        <v>0.18000000000000002</v>
      </c>
      <c r="T305" s="947">
        <f t="shared" ref="T305:T311" ca="1" si="49">$A305*S305*$T$1</f>
        <v>46.980000000000004</v>
      </c>
      <c r="AD305" s="1054" t="s">
        <v>3277</v>
      </c>
    </row>
    <row r="306" spans="1:30" s="901" customFormat="1">
      <c r="A306" s="1057">
        <f ca="1">$Q$303 *(290)</f>
        <v>290</v>
      </c>
      <c r="B306" s="901" t="s">
        <v>320</v>
      </c>
      <c r="D306" s="901" t="s">
        <v>2867</v>
      </c>
      <c r="F306" s="901" t="s">
        <v>3300</v>
      </c>
      <c r="G306" s="941" t="s">
        <v>2868</v>
      </c>
      <c r="H306" s="942">
        <v>615</v>
      </c>
      <c r="I306" s="901" t="s">
        <v>2272</v>
      </c>
      <c r="K306" s="901" t="s">
        <v>2869</v>
      </c>
      <c r="O306" s="943">
        <v>2</v>
      </c>
      <c r="P306" s="944">
        <v>38988</v>
      </c>
      <c r="Q306" s="1063"/>
      <c r="R306" s="946">
        <f t="shared" ca="1" si="48"/>
        <v>0</v>
      </c>
      <c r="S306" s="945">
        <v>0.08</v>
      </c>
      <c r="T306" s="947">
        <f t="shared" ca="1" si="49"/>
        <v>20.88</v>
      </c>
      <c r="U306" s="901" t="s">
        <v>2764</v>
      </c>
      <c r="AD306" s="901" t="s">
        <v>3300</v>
      </c>
    </row>
    <row r="307" spans="1:30" s="901" customFormat="1">
      <c r="A307" s="1057">
        <f ca="1">$Q$303 *(290)</f>
        <v>290</v>
      </c>
      <c r="B307" s="901" t="s">
        <v>141</v>
      </c>
      <c r="D307" s="901" t="s">
        <v>2605</v>
      </c>
      <c r="G307" s="941" t="s">
        <v>2606</v>
      </c>
      <c r="H307" s="942">
        <v>875</v>
      </c>
      <c r="I307" s="901" t="s">
        <v>2607</v>
      </c>
      <c r="K307" s="901" t="s">
        <v>2608</v>
      </c>
      <c r="O307" s="943">
        <v>1</v>
      </c>
      <c r="P307" s="944">
        <v>34669</v>
      </c>
      <c r="Q307" s="945">
        <v>0.05</v>
      </c>
      <c r="R307" s="946">
        <f t="shared" ca="1" si="48"/>
        <v>14.5</v>
      </c>
      <c r="S307" s="945"/>
      <c r="T307" s="947">
        <f t="shared" ca="1" si="49"/>
        <v>0</v>
      </c>
    </row>
    <row r="308" spans="1:30" s="901" customFormat="1">
      <c r="A308" s="1057">
        <f ca="1">$Q$303 *(8)</f>
        <v>8</v>
      </c>
      <c r="B308" s="901" t="s">
        <v>141</v>
      </c>
      <c r="D308" s="901" t="s">
        <v>2639</v>
      </c>
      <c r="G308" s="941" t="s">
        <v>2640</v>
      </c>
      <c r="H308" s="942">
        <v>620</v>
      </c>
      <c r="I308" s="901" t="s">
        <v>2611</v>
      </c>
      <c r="O308" s="943">
        <v>2</v>
      </c>
      <c r="P308" s="944">
        <v>35431</v>
      </c>
      <c r="Q308" s="945">
        <v>25.46</v>
      </c>
      <c r="R308" s="946">
        <f t="shared" ca="1" si="48"/>
        <v>203.68</v>
      </c>
      <c r="S308" s="945">
        <v>0.70000000000000007</v>
      </c>
      <c r="T308" s="947">
        <f t="shared" ca="1" si="49"/>
        <v>5.0400000000000009</v>
      </c>
    </row>
    <row r="309" spans="1:30" s="901" customFormat="1">
      <c r="A309" s="1057">
        <f ca="1">$Q$303 *(8)</f>
        <v>8</v>
      </c>
      <c r="B309" s="901" t="s">
        <v>141</v>
      </c>
      <c r="D309" s="901" t="s">
        <v>3664</v>
      </c>
      <c r="G309" s="941" t="s">
        <v>3665</v>
      </c>
      <c r="H309" s="942">
        <v>620</v>
      </c>
      <c r="I309" s="901" t="s">
        <v>2611</v>
      </c>
      <c r="O309" s="943">
        <v>2</v>
      </c>
      <c r="P309" s="944">
        <v>35431</v>
      </c>
      <c r="Q309" s="1161">
        <v>6.57</v>
      </c>
      <c r="R309" s="946">
        <f ca="1">$A309*Q309</f>
        <v>52.56</v>
      </c>
      <c r="S309" s="945">
        <v>0.3</v>
      </c>
      <c r="T309" s="947">
        <f ca="1">$A309*S309*$T$1</f>
        <v>2.16</v>
      </c>
    </row>
    <row r="310" spans="1:30" s="901" customFormat="1">
      <c r="A310" s="1057">
        <f ca="1">$Q$303 *(8)</f>
        <v>8</v>
      </c>
      <c r="B310" s="901" t="s">
        <v>320</v>
      </c>
      <c r="D310" s="901" t="s">
        <v>2653</v>
      </c>
      <c r="G310" s="941" t="s">
        <v>2654</v>
      </c>
      <c r="H310" s="942">
        <v>620</v>
      </c>
      <c r="I310" s="901" t="s">
        <v>2607</v>
      </c>
      <c r="O310" s="943">
        <v>2</v>
      </c>
      <c r="P310" s="944">
        <v>38148</v>
      </c>
      <c r="Q310" s="945">
        <v>1.5</v>
      </c>
      <c r="R310" s="946">
        <f t="shared" ca="1" si="48"/>
        <v>12</v>
      </c>
      <c r="S310" s="945">
        <v>0.08</v>
      </c>
      <c r="T310" s="947">
        <f t="shared" ca="1" si="49"/>
        <v>0.57600000000000007</v>
      </c>
    </row>
    <row r="311" spans="1:30" s="901" customFormat="1">
      <c r="A311" s="1057">
        <f ca="1">$Q$303 *(40)</f>
        <v>40</v>
      </c>
      <c r="B311" s="901" t="s">
        <v>141</v>
      </c>
      <c r="D311" s="901" t="s">
        <v>2641</v>
      </c>
      <c r="G311" s="941" t="s">
        <v>2642</v>
      </c>
      <c r="H311" s="942">
        <v>620</v>
      </c>
      <c r="I311" s="901" t="s">
        <v>2614</v>
      </c>
      <c r="O311" s="943">
        <v>2</v>
      </c>
      <c r="P311" s="944">
        <v>34669</v>
      </c>
      <c r="Q311" s="945">
        <v>0.63</v>
      </c>
      <c r="R311" s="946">
        <f t="shared" ca="1" si="48"/>
        <v>25.2</v>
      </c>
      <c r="S311" s="945">
        <v>0.11</v>
      </c>
      <c r="T311" s="947">
        <f t="shared" ca="1" si="49"/>
        <v>3.9600000000000004</v>
      </c>
    </row>
    <row r="312" spans="1:30" s="520" customFormat="1">
      <c r="A312" s="758"/>
      <c r="B312" s="3"/>
      <c r="C312" s="758" t="s">
        <v>171</v>
      </c>
      <c r="D312" s="3"/>
      <c r="E312" s="758"/>
      <c r="F312" s="753"/>
      <c r="G312" s="758"/>
      <c r="H312" s="758"/>
      <c r="I312" s="519"/>
      <c r="J312" s="758"/>
      <c r="K312" s="758"/>
      <c r="L312" s="758"/>
      <c r="M312" s="758"/>
      <c r="N312" s="758"/>
      <c r="O312" s="758"/>
      <c r="P312" s="758"/>
      <c r="Q312" s="519"/>
      <c r="R312" s="917">
        <f>$A312*Q312</f>
        <v>0</v>
      </c>
      <c r="S312" s="519"/>
      <c r="T312" s="760">
        <f>$A312*S312*$T$1</f>
        <v>0</v>
      </c>
      <c r="AD312" s="753"/>
    </row>
    <row r="313" spans="1:30" s="520" customFormat="1" ht="12.6" thickBot="1">
      <c r="A313" s="761" t="s">
        <v>145</v>
      </c>
      <c r="B313" s="762">
        <f>(R312+T312)</f>
        <v>0</v>
      </c>
      <c r="C313" s="763"/>
      <c r="D313" s="937" t="s">
        <v>172</v>
      </c>
      <c r="E313" s="477">
        <f ca="1">IF($B303=0,0,ROUND(ROUND(($R313*$S$2+($T313*$T$2))/$B303, 2)*$C$2,2))</f>
        <v>112.74</v>
      </c>
      <c r="F313" s="478">
        <f ca="1">ROUND($B303*$E313,2)</f>
        <v>32694.6</v>
      </c>
      <c r="G313" s="763"/>
      <c r="H313" s="763"/>
      <c r="I313" s="765"/>
      <c r="J313" s="763"/>
      <c r="K313" s="938" t="s">
        <v>143</v>
      </c>
      <c r="L313" s="766" t="s">
        <v>143</v>
      </c>
      <c r="M313" s="766"/>
      <c r="N313" s="766"/>
      <c r="O313" s="766"/>
      <c r="P313" s="766"/>
      <c r="Q313" s="938"/>
      <c r="R313" s="939">
        <f ca="1">SUM(R304:R312)</f>
        <v>24367.268000000004</v>
      </c>
      <c r="S313" s="940"/>
      <c r="T313" s="939">
        <f ca="1">SUM(T304:T312)</f>
        <v>79.595999999999989</v>
      </c>
      <c r="U313" s="531"/>
      <c r="V313" s="531"/>
      <c r="W313" s="531"/>
      <c r="X313" s="531"/>
      <c r="Y313" s="531"/>
      <c r="Z313" s="531"/>
      <c r="AA313" s="531"/>
      <c r="AB313" s="531"/>
      <c r="AD313" s="478">
        <v>34573.800000000003</v>
      </c>
    </row>
    <row r="314" spans="1:30" s="520" customFormat="1" ht="12" thickTop="1">
      <c r="A314" s="51"/>
      <c r="B314" s="51"/>
      <c r="C314" s="51"/>
      <c r="D314" s="51"/>
      <c r="E314" s="51"/>
      <c r="F314" s="51"/>
      <c r="G314" s="51"/>
      <c r="H314" s="51"/>
      <c r="I314" s="51"/>
      <c r="J314" s="51"/>
      <c r="K314" s="51"/>
      <c r="L314" s="51"/>
      <c r="M314" s="51"/>
      <c r="N314" s="51"/>
      <c r="O314" s="52"/>
      <c r="P314" s="51"/>
      <c r="Q314" s="42" t="s">
        <v>168</v>
      </c>
      <c r="R314" s="51"/>
      <c r="S314" s="13"/>
      <c r="T314" s="51"/>
      <c r="AD314" s="51"/>
    </row>
    <row r="315" spans="1:30" s="520" customFormat="1" ht="12" customHeight="1" thickBot="1">
      <c r="A315" s="927">
        <v>290</v>
      </c>
      <c r="B315" s="928">
        <f ca="1">Elec_Est!B11576</f>
        <v>290</v>
      </c>
      <c r="C315" s="929"/>
      <c r="D315" s="930" t="s">
        <v>3533</v>
      </c>
      <c r="E315" s="931"/>
      <c r="F315" s="931"/>
      <c r="G315" s="752"/>
      <c r="H315" s="752"/>
      <c r="I315" s="932"/>
      <c r="J315" s="752"/>
      <c r="K315" s="929" t="s">
        <v>169</v>
      </c>
      <c r="L315" s="933" t="s">
        <v>169</v>
      </c>
      <c r="M315" s="933"/>
      <c r="N315" s="933"/>
      <c r="O315" s="933"/>
      <c r="P315" s="933"/>
      <c r="Q315" s="934">
        <f ca="1">B315/A315</f>
        <v>1</v>
      </c>
      <c r="R315" s="935">
        <f ca="1">IF($B315=0,0,IF($S$1="R",ROUND(R323/$B315,2),R323/$B315))</f>
        <v>62.48</v>
      </c>
      <c r="S315" s="936"/>
      <c r="T315" s="935">
        <f ca="1">IF($B315=0,0,IF($S$1="R",ROUND(T323/$B315,2),T323/$B315))</f>
        <v>0.19</v>
      </c>
      <c r="AD315" s="931"/>
    </row>
    <row r="316" spans="1:30" s="520" customFormat="1" ht="13.8" thickTop="1">
      <c r="A316" s="748"/>
      <c r="B316" s="3"/>
      <c r="C316" s="3"/>
      <c r="D316" s="106" t="s">
        <v>170</v>
      </c>
      <c r="E316" s="3"/>
      <c r="F316" s="3"/>
      <c r="G316" s="3"/>
      <c r="H316" s="3"/>
      <c r="I316" s="3"/>
      <c r="J316" s="3"/>
      <c r="K316" s="3"/>
      <c r="L316" s="3"/>
      <c r="M316" s="3"/>
      <c r="N316" s="3"/>
      <c r="O316" s="107"/>
      <c r="P316" s="3"/>
      <c r="Q316" s="3"/>
      <c r="R316" s="3"/>
      <c r="S316" s="3"/>
      <c r="T316" s="3"/>
      <c r="AD316" s="3"/>
    </row>
    <row r="317" spans="1:30" s="901" customFormat="1">
      <c r="A317" s="1057">
        <f ca="1">$Q$315 *(290)</f>
        <v>290</v>
      </c>
      <c r="B317" s="901" t="s">
        <v>320</v>
      </c>
      <c r="D317" s="901" t="s">
        <v>3283</v>
      </c>
      <c r="F317" s="1054" t="s">
        <v>3211</v>
      </c>
      <c r="G317" s="941" t="s">
        <v>2637</v>
      </c>
      <c r="H317" s="942">
        <v>616</v>
      </c>
      <c r="I317" s="901" t="s">
        <v>2272</v>
      </c>
      <c r="J317" s="901" t="s">
        <v>2638</v>
      </c>
      <c r="O317" s="943">
        <v>2</v>
      </c>
      <c r="P317" s="944">
        <v>40767</v>
      </c>
      <c r="Q317" s="1194">
        <f>64.38*0.96</f>
        <v>61.804799999999993</v>
      </c>
      <c r="R317" s="946">
        <f t="shared" ref="R317:R322" ca="1" si="50">$A317*Q317</f>
        <v>17923.391999999996</v>
      </c>
      <c r="S317" s="1193">
        <f>0.9 *(0.2)</f>
        <v>0.18000000000000002</v>
      </c>
      <c r="T317" s="947">
        <f t="shared" ref="T317:T322" ca="1" si="51">$A317*S317*$T$1</f>
        <v>46.980000000000004</v>
      </c>
      <c r="AD317" s="1054" t="s">
        <v>3211</v>
      </c>
    </row>
    <row r="318" spans="1:30" s="901" customFormat="1">
      <c r="A318" s="1057">
        <f ca="1">$Q$315 *(290)</f>
        <v>290</v>
      </c>
      <c r="B318" s="901" t="s">
        <v>141</v>
      </c>
      <c r="D318" s="901" t="s">
        <v>2605</v>
      </c>
      <c r="G318" s="941" t="s">
        <v>2606</v>
      </c>
      <c r="H318" s="942">
        <v>875</v>
      </c>
      <c r="I318" s="901" t="s">
        <v>2607</v>
      </c>
      <c r="K318" s="901" t="s">
        <v>2608</v>
      </c>
      <c r="O318" s="943">
        <v>1</v>
      </c>
      <c r="P318" s="944">
        <v>34669</v>
      </c>
      <c r="Q318" s="945">
        <v>0.05</v>
      </c>
      <c r="R318" s="946">
        <f t="shared" ca="1" si="50"/>
        <v>14.5</v>
      </c>
      <c r="S318" s="945"/>
      <c r="T318" s="947">
        <f t="shared" ca="1" si="51"/>
        <v>0</v>
      </c>
    </row>
    <row r="319" spans="1:30" s="901" customFormat="1">
      <c r="A319" s="1057">
        <f ca="1">$Q$315 *(6)</f>
        <v>6</v>
      </c>
      <c r="B319" s="901" t="s">
        <v>141</v>
      </c>
      <c r="D319" s="901" t="s">
        <v>2639</v>
      </c>
      <c r="G319" s="941" t="s">
        <v>2640</v>
      </c>
      <c r="H319" s="942">
        <v>620</v>
      </c>
      <c r="I319" s="901" t="s">
        <v>2611</v>
      </c>
      <c r="O319" s="943">
        <v>2</v>
      </c>
      <c r="P319" s="944">
        <v>35431</v>
      </c>
      <c r="Q319" s="945">
        <v>25.46</v>
      </c>
      <c r="R319" s="946">
        <f t="shared" ca="1" si="50"/>
        <v>152.76</v>
      </c>
      <c r="S319" s="945">
        <v>0.70000000000000007</v>
      </c>
      <c r="T319" s="947">
        <f t="shared" ca="1" si="51"/>
        <v>3.7800000000000002</v>
      </c>
    </row>
    <row r="320" spans="1:30" s="901" customFormat="1">
      <c r="A320" s="1057">
        <f ca="1">$Q$315 *(6)</f>
        <v>6</v>
      </c>
      <c r="B320" s="901" t="s">
        <v>320</v>
      </c>
      <c r="D320" s="901" t="s">
        <v>2653</v>
      </c>
      <c r="G320" s="941" t="s">
        <v>2654</v>
      </c>
      <c r="H320" s="942">
        <v>620</v>
      </c>
      <c r="I320" s="901" t="s">
        <v>2607</v>
      </c>
      <c r="O320" s="943">
        <v>2</v>
      </c>
      <c r="P320" s="944">
        <v>38148</v>
      </c>
      <c r="Q320" s="945">
        <v>1.5</v>
      </c>
      <c r="R320" s="946">
        <f t="shared" ca="1" si="50"/>
        <v>9</v>
      </c>
      <c r="S320" s="945">
        <v>0.08</v>
      </c>
      <c r="T320" s="947">
        <f t="shared" ca="1" si="51"/>
        <v>0.432</v>
      </c>
    </row>
    <row r="321" spans="1:30" s="901" customFormat="1">
      <c r="A321" s="1057">
        <f ca="1">$Q$315 *(30)</f>
        <v>30</v>
      </c>
      <c r="B321" s="901" t="s">
        <v>141</v>
      </c>
      <c r="D321" s="901" t="s">
        <v>2641</v>
      </c>
      <c r="G321" s="941" t="s">
        <v>2642</v>
      </c>
      <c r="H321" s="942">
        <v>620</v>
      </c>
      <c r="I321" s="901" t="s">
        <v>2614</v>
      </c>
      <c r="O321" s="943">
        <v>2</v>
      </c>
      <c r="P321" s="944">
        <v>34669</v>
      </c>
      <c r="Q321" s="945">
        <v>0.63</v>
      </c>
      <c r="R321" s="946">
        <f t="shared" ca="1" si="50"/>
        <v>18.899999999999999</v>
      </c>
      <c r="S321" s="945">
        <v>0.11</v>
      </c>
      <c r="T321" s="947">
        <f t="shared" ca="1" si="51"/>
        <v>2.9699999999999998</v>
      </c>
    </row>
    <row r="322" spans="1:30" s="520" customFormat="1">
      <c r="A322" s="758"/>
      <c r="B322" s="3"/>
      <c r="C322" s="758" t="s">
        <v>171</v>
      </c>
      <c r="D322" s="3"/>
      <c r="E322" s="758"/>
      <c r="F322" s="753"/>
      <c r="G322" s="758"/>
      <c r="H322" s="758"/>
      <c r="I322" s="519"/>
      <c r="J322" s="758"/>
      <c r="K322" s="758"/>
      <c r="L322" s="758"/>
      <c r="M322" s="758"/>
      <c r="N322" s="758"/>
      <c r="O322" s="758"/>
      <c r="P322" s="758"/>
      <c r="Q322" s="519"/>
      <c r="R322" s="917">
        <f t="shared" si="50"/>
        <v>0</v>
      </c>
      <c r="S322" s="519"/>
      <c r="T322" s="760">
        <f t="shared" si="51"/>
        <v>0</v>
      </c>
      <c r="AD322" s="753"/>
    </row>
    <row r="323" spans="1:30" s="520" customFormat="1" ht="12.6" thickBot="1">
      <c r="A323" s="761" t="s">
        <v>145</v>
      </c>
      <c r="B323" s="762">
        <f>(R322+T322)</f>
        <v>0</v>
      </c>
      <c r="C323" s="763"/>
      <c r="D323" s="937" t="s">
        <v>172</v>
      </c>
      <c r="E323" s="477">
        <f ca="1">IF($B315=0,0,ROUND(ROUND(($R323*$S$2+($T323*$T$2))/$B315, 2)*$C$2,2))</f>
        <v>83.25</v>
      </c>
      <c r="F323" s="478">
        <f ca="1">ROUND($B315*$E323,2)</f>
        <v>24142.5</v>
      </c>
      <c r="G323" s="763"/>
      <c r="H323" s="763"/>
      <c r="I323" s="765"/>
      <c r="J323" s="763"/>
      <c r="K323" s="938" t="s">
        <v>143</v>
      </c>
      <c r="L323" s="766" t="s">
        <v>143</v>
      </c>
      <c r="M323" s="766"/>
      <c r="N323" s="766"/>
      <c r="O323" s="766"/>
      <c r="P323" s="766"/>
      <c r="Q323" s="938"/>
      <c r="R323" s="939">
        <f ca="1">SUM(R316:R322)</f>
        <v>18118.551999999996</v>
      </c>
      <c r="S323" s="940"/>
      <c r="T323" s="939">
        <f ca="1">SUM(T316:T322)</f>
        <v>54.162000000000006</v>
      </c>
      <c r="U323" s="531"/>
      <c r="V323" s="531"/>
      <c r="W323" s="531"/>
      <c r="X323" s="531"/>
      <c r="Y323" s="531"/>
      <c r="Z323" s="531"/>
      <c r="AA323" s="531"/>
      <c r="AB323" s="531"/>
      <c r="AD323" s="478">
        <v>25563.5</v>
      </c>
    </row>
    <row r="324" spans="1:30" s="520" customFormat="1" ht="12" thickTop="1">
      <c r="A324" s="51"/>
      <c r="B324" s="51"/>
      <c r="C324" s="51"/>
      <c r="D324" s="51"/>
      <c r="E324" s="51"/>
      <c r="F324" s="51"/>
      <c r="G324" s="51"/>
      <c r="H324" s="51"/>
      <c r="I324" s="51"/>
      <c r="J324" s="51"/>
      <c r="K324" s="51"/>
      <c r="L324" s="51"/>
      <c r="M324" s="51"/>
      <c r="N324" s="51"/>
      <c r="O324" s="52"/>
      <c r="P324" s="51"/>
      <c r="Q324" s="42" t="s">
        <v>168</v>
      </c>
      <c r="R324" s="51"/>
      <c r="S324" s="13"/>
      <c r="T324" s="51"/>
      <c r="AD324" s="51"/>
    </row>
    <row r="325" spans="1:30" s="520" customFormat="1" ht="12" customHeight="1" thickBot="1">
      <c r="A325" s="927">
        <v>155</v>
      </c>
      <c r="B325" s="928">
        <f ca="1">Elec_Est!B11577</f>
        <v>155</v>
      </c>
      <c r="C325" s="929"/>
      <c r="D325" s="930" t="s">
        <v>3534</v>
      </c>
      <c r="E325" s="931"/>
      <c r="F325" s="931"/>
      <c r="G325" s="752"/>
      <c r="H325" s="752"/>
      <c r="I325" s="932"/>
      <c r="J325" s="752"/>
      <c r="K325" s="929" t="s">
        <v>169</v>
      </c>
      <c r="L325" s="933" t="s">
        <v>169</v>
      </c>
      <c r="M325" s="933"/>
      <c r="N325" s="933"/>
      <c r="O325" s="933"/>
      <c r="P325" s="933"/>
      <c r="Q325" s="934">
        <f ca="1">B325/A325</f>
        <v>1</v>
      </c>
      <c r="R325" s="935">
        <f ca="1">IF($B325=0,0,IF($S$1="R",ROUND(R333/$B325,2),R333/$B325))</f>
        <v>74.819999999999993</v>
      </c>
      <c r="S325" s="936"/>
      <c r="T325" s="935">
        <f ca="1">IF($B325=0,0,IF($S$1="R",ROUND(T333/$B325,2),T333/$B325))</f>
        <v>0.16</v>
      </c>
      <c r="AD325" s="931"/>
    </row>
    <row r="326" spans="1:30" s="520" customFormat="1" ht="13.8" thickTop="1">
      <c r="A326" s="748"/>
      <c r="B326" s="3"/>
      <c r="C326" s="3"/>
      <c r="D326" s="106" t="s">
        <v>170</v>
      </c>
      <c r="E326" s="3"/>
      <c r="F326" s="3"/>
      <c r="G326" s="3"/>
      <c r="H326" s="3"/>
      <c r="I326" s="3"/>
      <c r="J326" s="3"/>
      <c r="K326" s="3"/>
      <c r="L326" s="3"/>
      <c r="M326" s="3"/>
      <c r="N326" s="3"/>
      <c r="O326" s="107"/>
      <c r="P326" s="3"/>
      <c r="Q326" s="3"/>
      <c r="R326" s="3"/>
      <c r="S326" s="3"/>
      <c r="T326" s="3"/>
      <c r="AD326" s="3"/>
    </row>
    <row r="327" spans="1:30" s="901" customFormat="1">
      <c r="A327" s="1057">
        <f ca="1">$Q$325 *(155)</f>
        <v>155</v>
      </c>
      <c r="B327" s="901" t="s">
        <v>320</v>
      </c>
      <c r="D327" s="901" t="s">
        <v>3279</v>
      </c>
      <c r="E327" s="1047" t="s">
        <v>2732</v>
      </c>
      <c r="F327" s="1054" t="s">
        <v>3277</v>
      </c>
      <c r="G327" s="941" t="s">
        <v>2647</v>
      </c>
      <c r="H327" s="942">
        <v>616</v>
      </c>
      <c r="I327" s="901" t="s">
        <v>2272</v>
      </c>
      <c r="J327" s="901" t="s">
        <v>2648</v>
      </c>
      <c r="O327" s="943">
        <v>2</v>
      </c>
      <c r="P327" s="944">
        <v>40767</v>
      </c>
      <c r="Q327" s="1194">
        <f>77.58*0.96</f>
        <v>74.476799999999997</v>
      </c>
      <c r="R327" s="946">
        <f t="shared" ref="R327:R332" ca="1" si="52">$A327*Q327</f>
        <v>11543.904</v>
      </c>
      <c r="S327" s="1193">
        <f>0.9 *(0.18)</f>
        <v>0.16200000000000001</v>
      </c>
      <c r="T327" s="947">
        <f t="shared" ref="T327:T332" ca="1" si="53">$A327*S327*$T$1</f>
        <v>22.599</v>
      </c>
      <c r="AD327" s="1054" t="s">
        <v>3277</v>
      </c>
    </row>
    <row r="328" spans="1:30" s="901" customFormat="1">
      <c r="A328" s="1057">
        <f ca="1">$Q$325 *(155)</f>
        <v>155</v>
      </c>
      <c r="B328" s="901" t="s">
        <v>141</v>
      </c>
      <c r="D328" s="901" t="s">
        <v>2605</v>
      </c>
      <c r="G328" s="941" t="s">
        <v>2606</v>
      </c>
      <c r="H328" s="942">
        <v>875</v>
      </c>
      <c r="I328" s="901" t="s">
        <v>2607</v>
      </c>
      <c r="K328" s="901" t="s">
        <v>2608</v>
      </c>
      <c r="O328" s="943">
        <v>1</v>
      </c>
      <c r="P328" s="944">
        <v>34669</v>
      </c>
      <c r="Q328" s="945">
        <v>0.05</v>
      </c>
      <c r="R328" s="946">
        <f t="shared" ca="1" si="52"/>
        <v>7.75</v>
      </c>
      <c r="S328" s="945"/>
      <c r="T328" s="947">
        <f t="shared" ca="1" si="53"/>
        <v>0</v>
      </c>
    </row>
    <row r="329" spans="1:30" s="901" customFormat="1">
      <c r="A329" s="1057">
        <f ca="1">$Q$325 *(2)</f>
        <v>2</v>
      </c>
      <c r="B329" s="901" t="s">
        <v>141</v>
      </c>
      <c r="D329" s="901" t="s">
        <v>2649</v>
      </c>
      <c r="G329" s="941" t="s">
        <v>2650</v>
      </c>
      <c r="H329" s="942">
        <v>620</v>
      </c>
      <c r="I329" s="901" t="s">
        <v>2611</v>
      </c>
      <c r="O329" s="943">
        <v>2</v>
      </c>
      <c r="P329" s="944">
        <v>35431</v>
      </c>
      <c r="Q329" s="945">
        <v>19.079999999999998</v>
      </c>
      <c r="R329" s="946">
        <f t="shared" ca="1" si="52"/>
        <v>38.159999999999997</v>
      </c>
      <c r="S329" s="945">
        <v>0.6</v>
      </c>
      <c r="T329" s="947">
        <f t="shared" ca="1" si="53"/>
        <v>1.08</v>
      </c>
    </row>
    <row r="330" spans="1:30" s="901" customFormat="1">
      <c r="A330" s="1057">
        <f ca="1">$Q$325 *(2)</f>
        <v>2</v>
      </c>
      <c r="B330" s="901" t="s">
        <v>320</v>
      </c>
      <c r="D330" s="901" t="s">
        <v>2653</v>
      </c>
      <c r="G330" s="941" t="s">
        <v>2654</v>
      </c>
      <c r="H330" s="942">
        <v>620</v>
      </c>
      <c r="I330" s="901" t="s">
        <v>2607</v>
      </c>
      <c r="O330" s="943">
        <v>2</v>
      </c>
      <c r="P330" s="944">
        <v>38148</v>
      </c>
      <c r="Q330" s="945">
        <v>1.5</v>
      </c>
      <c r="R330" s="946">
        <f t="shared" ca="1" si="52"/>
        <v>3</v>
      </c>
      <c r="S330" s="945">
        <v>0.08</v>
      </c>
      <c r="T330" s="947">
        <f t="shared" ca="1" si="53"/>
        <v>0.14400000000000002</v>
      </c>
    </row>
    <row r="331" spans="1:30" s="901" customFormat="1">
      <c r="A331" s="1057">
        <f ca="1">$Q$325 *(10)</f>
        <v>10</v>
      </c>
      <c r="B331" s="901" t="s">
        <v>141</v>
      </c>
      <c r="D331" s="901" t="s">
        <v>2651</v>
      </c>
      <c r="G331" s="941" t="s">
        <v>2652</v>
      </c>
      <c r="H331" s="942">
        <v>620</v>
      </c>
      <c r="I331" s="901" t="s">
        <v>2614</v>
      </c>
      <c r="O331" s="943">
        <v>2</v>
      </c>
      <c r="P331" s="944">
        <v>34669</v>
      </c>
      <c r="Q331" s="945">
        <v>0.47</v>
      </c>
      <c r="R331" s="946">
        <f t="shared" ca="1" si="52"/>
        <v>4.6999999999999993</v>
      </c>
      <c r="S331" s="945">
        <v>0.1</v>
      </c>
      <c r="T331" s="947">
        <f t="shared" ca="1" si="53"/>
        <v>0.9</v>
      </c>
    </row>
    <row r="332" spans="1:30" s="520" customFormat="1">
      <c r="A332" s="758"/>
      <c r="B332" s="3"/>
      <c r="C332" s="758" t="s">
        <v>171</v>
      </c>
      <c r="D332" s="3"/>
      <c r="E332" s="758"/>
      <c r="F332" s="753"/>
      <c r="G332" s="758"/>
      <c r="H332" s="758"/>
      <c r="I332" s="519"/>
      <c r="J332" s="758"/>
      <c r="K332" s="758"/>
      <c r="L332" s="758"/>
      <c r="M332" s="758"/>
      <c r="N332" s="758"/>
      <c r="O332" s="758"/>
      <c r="P332" s="758"/>
      <c r="Q332" s="519"/>
      <c r="R332" s="917">
        <f t="shared" si="52"/>
        <v>0</v>
      </c>
      <c r="S332" s="519"/>
      <c r="T332" s="760">
        <f t="shared" si="53"/>
        <v>0</v>
      </c>
      <c r="AD332" s="753"/>
    </row>
    <row r="333" spans="1:30" s="520" customFormat="1" ht="12.6" thickBot="1">
      <c r="A333" s="761" t="s">
        <v>145</v>
      </c>
      <c r="B333" s="762">
        <f>(R332+T332)</f>
        <v>0</v>
      </c>
      <c r="C333" s="763"/>
      <c r="D333" s="937" t="s">
        <v>172</v>
      </c>
      <c r="E333" s="477">
        <f ca="1">IF($B325=0,0,ROUND(ROUND(($R333*$S$2+($T333*$T$2))/$B325, 2)*$C$2,2))</f>
        <v>97.53</v>
      </c>
      <c r="F333" s="478">
        <f ca="1">ROUND($B325*$E333,2)</f>
        <v>15117.15</v>
      </c>
      <c r="G333" s="763"/>
      <c r="H333" s="763"/>
      <c r="I333" s="765"/>
      <c r="J333" s="763"/>
      <c r="K333" s="938" t="s">
        <v>143</v>
      </c>
      <c r="L333" s="766" t="s">
        <v>143</v>
      </c>
      <c r="M333" s="766"/>
      <c r="N333" s="766"/>
      <c r="O333" s="766"/>
      <c r="P333" s="766"/>
      <c r="Q333" s="938"/>
      <c r="R333" s="939">
        <f ca="1">SUM(R326:R332)</f>
        <v>11597.514000000001</v>
      </c>
      <c r="S333" s="940"/>
      <c r="T333" s="939">
        <f ca="1">SUM(T326:T332)</f>
        <v>24.722999999999999</v>
      </c>
      <c r="U333" s="531"/>
      <c r="V333" s="531"/>
      <c r="W333" s="531"/>
      <c r="X333" s="531"/>
      <c r="Y333" s="531"/>
      <c r="Z333" s="531"/>
      <c r="AA333" s="531"/>
      <c r="AB333" s="531"/>
      <c r="AD333" s="478">
        <v>15941.75</v>
      </c>
    </row>
    <row r="334" spans="1:30" s="520" customFormat="1" ht="12" thickTop="1">
      <c r="A334" s="51"/>
      <c r="B334" s="51"/>
      <c r="C334" s="51"/>
      <c r="D334" s="51"/>
      <c r="E334" s="51"/>
      <c r="F334" s="51"/>
      <c r="G334" s="51"/>
      <c r="H334" s="51"/>
      <c r="I334" s="51"/>
      <c r="J334" s="51"/>
      <c r="K334" s="51"/>
      <c r="L334" s="51"/>
      <c r="M334" s="51"/>
      <c r="N334" s="51"/>
      <c r="O334" s="52"/>
      <c r="P334" s="51"/>
      <c r="Q334" s="42" t="s">
        <v>168</v>
      </c>
      <c r="R334" s="51"/>
      <c r="S334" s="13"/>
      <c r="T334" s="51"/>
      <c r="AD334" s="51"/>
    </row>
    <row r="335" spans="1:30" s="520" customFormat="1" ht="12" customHeight="1" thickBot="1">
      <c r="A335" s="927">
        <v>480</v>
      </c>
      <c r="B335" s="928">
        <f ca="1">Elec_Est!B11578</f>
        <v>365</v>
      </c>
      <c r="C335" s="929"/>
      <c r="D335" s="930" t="s">
        <v>3535</v>
      </c>
      <c r="E335" s="931"/>
      <c r="F335" s="931"/>
      <c r="G335" s="752"/>
      <c r="H335" s="752"/>
      <c r="I335" s="932"/>
      <c r="J335" s="752"/>
      <c r="K335" s="929" t="s">
        <v>169</v>
      </c>
      <c r="L335" s="933" t="s">
        <v>169</v>
      </c>
      <c r="M335" s="933"/>
      <c r="N335" s="933"/>
      <c r="O335" s="933"/>
      <c r="P335" s="933"/>
      <c r="Q335" s="934">
        <f ca="1">B335/A335</f>
        <v>0.76041666666666663</v>
      </c>
      <c r="R335" s="935">
        <f ca="1">IF($B335=0,0,IF($S$1="R",ROUND(R343/$B335,2),R343/$B335))</f>
        <v>59.5</v>
      </c>
      <c r="S335" s="936"/>
      <c r="T335" s="935">
        <f ca="1">IF($B335=0,0,IF($S$1="R",ROUND(T343/$B335,2),T343/$B335))</f>
        <v>0.15</v>
      </c>
      <c r="AD335" s="931"/>
    </row>
    <row r="336" spans="1:30" s="520" customFormat="1" ht="13.8" thickTop="1">
      <c r="A336" s="748"/>
      <c r="B336" s="3"/>
      <c r="C336" s="3"/>
      <c r="D336" s="106" t="s">
        <v>170</v>
      </c>
      <c r="E336" s="3"/>
      <c r="F336" s="3"/>
      <c r="G336" s="3"/>
      <c r="H336" s="3"/>
      <c r="I336" s="3"/>
      <c r="J336" s="3"/>
      <c r="K336" s="3"/>
      <c r="L336" s="3"/>
      <c r="M336" s="3"/>
      <c r="N336" s="3"/>
      <c r="O336" s="107"/>
      <c r="P336" s="3"/>
      <c r="Q336" s="3"/>
      <c r="R336" s="3"/>
      <c r="S336" s="3"/>
      <c r="T336" s="3"/>
      <c r="AD336" s="3"/>
    </row>
    <row r="337" spans="1:30" s="901" customFormat="1">
      <c r="A337" s="1057">
        <f ca="1">$Q$335 *(480)</f>
        <v>365</v>
      </c>
      <c r="B337" s="901" t="s">
        <v>320</v>
      </c>
      <c r="D337" s="901" t="s">
        <v>3280</v>
      </c>
      <c r="E337" s="1047" t="s">
        <v>2732</v>
      </c>
      <c r="F337" s="1054" t="s">
        <v>3277</v>
      </c>
      <c r="G337" s="941" t="s">
        <v>2655</v>
      </c>
      <c r="H337" s="942">
        <v>616</v>
      </c>
      <c r="I337" s="901" t="s">
        <v>2272</v>
      </c>
      <c r="J337" s="901" t="s">
        <v>2656</v>
      </c>
      <c r="O337" s="943">
        <v>2</v>
      </c>
      <c r="P337" s="944">
        <v>40767</v>
      </c>
      <c r="Q337" s="1194">
        <f>61.55*0.96</f>
        <v>59.087999999999994</v>
      </c>
      <c r="R337" s="946">
        <f t="shared" ref="R337:R342" ca="1" si="54">$A337*Q337</f>
        <v>21567.119999999999</v>
      </c>
      <c r="S337" s="1193">
        <f>0.9 *(0.16)</f>
        <v>0.14400000000000002</v>
      </c>
      <c r="T337" s="947">
        <f t="shared" ref="T337:T342" ca="1" si="55">$A337*S337*$T$1</f>
        <v>47.304000000000009</v>
      </c>
      <c r="AD337" s="1054" t="s">
        <v>3277</v>
      </c>
    </row>
    <row r="338" spans="1:30" s="901" customFormat="1">
      <c r="A338" s="1057">
        <f ca="1">$Q$335 *(480)</f>
        <v>365</v>
      </c>
      <c r="B338" s="901" t="s">
        <v>141</v>
      </c>
      <c r="D338" s="901" t="s">
        <v>2605</v>
      </c>
      <c r="G338" s="941" t="s">
        <v>2606</v>
      </c>
      <c r="H338" s="942">
        <v>875</v>
      </c>
      <c r="I338" s="901" t="s">
        <v>2607</v>
      </c>
      <c r="K338" s="901" t="s">
        <v>2608</v>
      </c>
      <c r="O338" s="943">
        <v>1</v>
      </c>
      <c r="P338" s="944">
        <v>34669</v>
      </c>
      <c r="Q338" s="945">
        <v>0.05</v>
      </c>
      <c r="R338" s="946">
        <f t="shared" ca="1" si="54"/>
        <v>18.25</v>
      </c>
      <c r="S338" s="945"/>
      <c r="T338" s="947">
        <f t="shared" ca="1" si="55"/>
        <v>0</v>
      </c>
    </row>
    <row r="339" spans="1:30" s="901" customFormat="1">
      <c r="A339" s="1057">
        <f ca="1">$Q$335 *(8)</f>
        <v>6.083333333333333</v>
      </c>
      <c r="B339" s="901" t="s">
        <v>141</v>
      </c>
      <c r="D339" s="901" t="s">
        <v>2649</v>
      </c>
      <c r="G339" s="941" t="s">
        <v>2650</v>
      </c>
      <c r="H339" s="942">
        <v>620</v>
      </c>
      <c r="I339" s="901" t="s">
        <v>2611</v>
      </c>
      <c r="O339" s="943">
        <v>2</v>
      </c>
      <c r="P339" s="944">
        <v>35431</v>
      </c>
      <c r="Q339" s="945">
        <v>19.079999999999998</v>
      </c>
      <c r="R339" s="946">
        <f t="shared" ca="1" si="54"/>
        <v>116.06999999999998</v>
      </c>
      <c r="S339" s="945">
        <v>0.6</v>
      </c>
      <c r="T339" s="947">
        <f t="shared" ca="1" si="55"/>
        <v>3.2849999999999997</v>
      </c>
    </row>
    <row r="340" spans="1:30" s="901" customFormat="1">
      <c r="A340" s="1057">
        <f ca="1">$Q$335 *(8)</f>
        <v>6.083333333333333</v>
      </c>
      <c r="B340" s="901" t="s">
        <v>320</v>
      </c>
      <c r="D340" s="901" t="s">
        <v>2653</v>
      </c>
      <c r="G340" s="941" t="s">
        <v>2654</v>
      </c>
      <c r="H340" s="942">
        <v>620</v>
      </c>
      <c r="I340" s="901" t="s">
        <v>2607</v>
      </c>
      <c r="O340" s="943">
        <v>2</v>
      </c>
      <c r="P340" s="944">
        <v>38148</v>
      </c>
      <c r="Q340" s="945">
        <v>1.5</v>
      </c>
      <c r="R340" s="946">
        <f t="shared" ca="1" si="54"/>
        <v>9.125</v>
      </c>
      <c r="S340" s="945">
        <v>0.08</v>
      </c>
      <c r="T340" s="947">
        <f t="shared" ca="1" si="55"/>
        <v>0.438</v>
      </c>
    </row>
    <row r="341" spans="1:30" s="901" customFormat="1">
      <c r="A341" s="1057">
        <f ca="1">$Q$335 *(40)</f>
        <v>30.416666666666664</v>
      </c>
      <c r="B341" s="901" t="s">
        <v>141</v>
      </c>
      <c r="D341" s="901" t="s">
        <v>2657</v>
      </c>
      <c r="G341" s="941" t="s">
        <v>2658</v>
      </c>
      <c r="H341" s="942">
        <v>620</v>
      </c>
      <c r="I341" s="901" t="s">
        <v>2614</v>
      </c>
      <c r="O341" s="943">
        <v>2</v>
      </c>
      <c r="P341" s="944">
        <v>34669</v>
      </c>
      <c r="Q341" s="945">
        <v>0.28000000000000003</v>
      </c>
      <c r="R341" s="946">
        <f t="shared" ca="1" si="54"/>
        <v>8.5166666666666675</v>
      </c>
      <c r="S341" s="945">
        <v>0.1</v>
      </c>
      <c r="T341" s="947">
        <f t="shared" ca="1" si="55"/>
        <v>2.7374999999999998</v>
      </c>
    </row>
    <row r="342" spans="1:30" s="520" customFormat="1">
      <c r="A342" s="758"/>
      <c r="B342" s="3"/>
      <c r="C342" s="758" t="s">
        <v>171</v>
      </c>
      <c r="D342" s="3"/>
      <c r="E342" s="758"/>
      <c r="F342" s="753"/>
      <c r="G342" s="758"/>
      <c r="H342" s="758"/>
      <c r="I342" s="519"/>
      <c r="J342" s="758"/>
      <c r="K342" s="758"/>
      <c r="L342" s="758"/>
      <c r="M342" s="758"/>
      <c r="N342" s="758"/>
      <c r="O342" s="758"/>
      <c r="P342" s="758"/>
      <c r="Q342" s="519"/>
      <c r="R342" s="917">
        <f t="shared" si="54"/>
        <v>0</v>
      </c>
      <c r="S342" s="519"/>
      <c r="T342" s="760">
        <f t="shared" si="55"/>
        <v>0</v>
      </c>
      <c r="AD342" s="753"/>
    </row>
    <row r="343" spans="1:30" s="520" customFormat="1" ht="12.6" thickBot="1">
      <c r="A343" s="761" t="s">
        <v>145</v>
      </c>
      <c r="B343" s="762">
        <f>(R342+T342)</f>
        <v>0</v>
      </c>
      <c r="C343" s="763"/>
      <c r="D343" s="937" t="s">
        <v>172</v>
      </c>
      <c r="E343" s="477">
        <f ca="1">IF($B335=0,0,ROUND(ROUND(($R343*$S$2+($T343*$T$2))/$B335, 2)*$C$2,2))</f>
        <v>78.25</v>
      </c>
      <c r="F343" s="478">
        <f ca="1">ROUND($B335*$E343,2)</f>
        <v>28561.25</v>
      </c>
      <c r="G343" s="763"/>
      <c r="H343" s="763"/>
      <c r="I343" s="765"/>
      <c r="J343" s="763"/>
      <c r="K343" s="938" t="s">
        <v>143</v>
      </c>
      <c r="L343" s="766" t="s">
        <v>143</v>
      </c>
      <c r="M343" s="766"/>
      <c r="N343" s="766"/>
      <c r="O343" s="766"/>
      <c r="P343" s="766"/>
      <c r="Q343" s="938"/>
      <c r="R343" s="939">
        <f ca="1">SUM(R336:R342)</f>
        <v>21719.081666666665</v>
      </c>
      <c r="S343" s="940"/>
      <c r="T343" s="939">
        <f ca="1">SUM(T336:T342)</f>
        <v>53.764500000000005</v>
      </c>
      <c r="U343" s="531"/>
      <c r="V343" s="531"/>
      <c r="W343" s="531"/>
      <c r="X343" s="531"/>
      <c r="Y343" s="531"/>
      <c r="Z343" s="531"/>
      <c r="AA343" s="531"/>
      <c r="AB343" s="531"/>
      <c r="AD343" s="478">
        <v>39672</v>
      </c>
    </row>
    <row r="344" spans="1:30" s="520" customFormat="1" ht="12" thickTop="1">
      <c r="A344" s="51"/>
      <c r="B344" s="51"/>
      <c r="C344" s="51"/>
      <c r="D344" s="51"/>
      <c r="E344" s="51"/>
      <c r="F344" s="51"/>
      <c r="G344" s="51"/>
      <c r="H344" s="51"/>
      <c r="I344" s="51"/>
      <c r="J344" s="51"/>
      <c r="K344" s="51"/>
      <c r="L344" s="51"/>
      <c r="M344" s="51"/>
      <c r="N344" s="51"/>
      <c r="O344" s="52"/>
      <c r="P344" s="51"/>
      <c r="Q344" s="42" t="s">
        <v>168</v>
      </c>
      <c r="R344" s="51"/>
      <c r="S344" s="13"/>
      <c r="T344" s="51"/>
      <c r="AD344" s="51"/>
    </row>
    <row r="345" spans="1:30" s="520" customFormat="1" ht="12" customHeight="1" thickBot="1">
      <c r="A345" s="927">
        <v>60</v>
      </c>
      <c r="B345" s="928">
        <f ca="1">Elec_Est!B11579</f>
        <v>150</v>
      </c>
      <c r="C345" s="929"/>
      <c r="D345" s="930" t="s">
        <v>3536</v>
      </c>
      <c r="E345" s="931"/>
      <c r="F345" s="931"/>
      <c r="G345" s="752"/>
      <c r="H345" s="752"/>
      <c r="I345" s="932"/>
      <c r="J345" s="752"/>
      <c r="K345" s="929" t="s">
        <v>169</v>
      </c>
      <c r="L345" s="933" t="s">
        <v>169</v>
      </c>
      <c r="M345" s="933"/>
      <c r="N345" s="933"/>
      <c r="O345" s="933"/>
      <c r="P345" s="933"/>
      <c r="Q345" s="934">
        <f ca="1">B345/A345</f>
        <v>2.5</v>
      </c>
      <c r="R345" s="935">
        <f ca="1">IF($B345=0,0,IF($S$1="R",ROUND(R353/$B345,2),R353/$B345))</f>
        <v>38.57</v>
      </c>
      <c r="S345" s="936"/>
      <c r="T345" s="935">
        <f ca="1">IF($B345=0,0,IF($S$1="R",ROUND(T353/$B345,2),T353/$B345))</f>
        <v>0.24</v>
      </c>
      <c r="AD345" s="931"/>
    </row>
    <row r="346" spans="1:30" s="520" customFormat="1" ht="13.8" thickTop="1">
      <c r="A346" s="748"/>
      <c r="B346" s="3"/>
      <c r="C346" s="3"/>
      <c r="D346" s="106" t="s">
        <v>170</v>
      </c>
      <c r="E346" s="3"/>
      <c r="F346" s="3"/>
      <c r="G346" s="3"/>
      <c r="H346" s="3"/>
      <c r="I346" s="3"/>
      <c r="J346" s="3"/>
      <c r="K346" s="3"/>
      <c r="L346" s="3"/>
      <c r="M346" s="3"/>
      <c r="N346" s="3"/>
      <c r="O346" s="107"/>
      <c r="P346" s="3"/>
      <c r="Q346" s="3"/>
      <c r="R346" s="3"/>
      <c r="S346" s="3"/>
      <c r="T346" s="3"/>
      <c r="AD346" s="3"/>
    </row>
    <row r="347" spans="1:30" s="901" customFormat="1">
      <c r="A347" s="1057">
        <f ca="1">$Q$345 *(60)</f>
        <v>150</v>
      </c>
      <c r="B347" s="901" t="s">
        <v>320</v>
      </c>
      <c r="D347" s="901" t="s">
        <v>3284</v>
      </c>
      <c r="E347" s="1047" t="s">
        <v>2732</v>
      </c>
      <c r="F347" s="1054" t="s">
        <v>3277</v>
      </c>
      <c r="G347" s="941" t="s">
        <v>2659</v>
      </c>
      <c r="H347" s="942">
        <v>616</v>
      </c>
      <c r="I347" s="901" t="s">
        <v>2272</v>
      </c>
      <c r="J347" s="901" t="s">
        <v>2660</v>
      </c>
      <c r="O347" s="943">
        <v>2</v>
      </c>
      <c r="P347" s="944">
        <v>40767</v>
      </c>
      <c r="Q347" s="1194">
        <f>38.2*0.96</f>
        <v>36.672000000000004</v>
      </c>
      <c r="R347" s="946">
        <f t="shared" ref="R347:R352" ca="1" si="56">$A347*Q347</f>
        <v>5500.8</v>
      </c>
      <c r="S347" s="1193">
        <f>0.9 *(0.14)</f>
        <v>0.12600000000000003</v>
      </c>
      <c r="T347" s="947">
        <f t="shared" ref="T347:T352" ca="1" si="57">$A347*S347*$T$1</f>
        <v>17.010000000000005</v>
      </c>
      <c r="AD347" s="1054" t="s">
        <v>3277</v>
      </c>
    </row>
    <row r="348" spans="1:30" s="901" customFormat="1">
      <c r="A348" s="1057">
        <f ca="1">$Q$345 *(60)</f>
        <v>150</v>
      </c>
      <c r="B348" s="901" t="s">
        <v>141</v>
      </c>
      <c r="D348" s="901" t="s">
        <v>2605</v>
      </c>
      <c r="G348" s="941" t="s">
        <v>2606</v>
      </c>
      <c r="H348" s="942">
        <v>875</v>
      </c>
      <c r="I348" s="901" t="s">
        <v>2607</v>
      </c>
      <c r="K348" s="901" t="s">
        <v>2608</v>
      </c>
      <c r="O348" s="943">
        <v>1</v>
      </c>
      <c r="P348" s="944">
        <v>34669</v>
      </c>
      <c r="Q348" s="945">
        <v>0.05</v>
      </c>
      <c r="R348" s="946">
        <f t="shared" ca="1" si="56"/>
        <v>7.5</v>
      </c>
      <c r="S348" s="945"/>
      <c r="T348" s="947">
        <f t="shared" ca="1" si="57"/>
        <v>0</v>
      </c>
    </row>
    <row r="349" spans="1:30" s="901" customFormat="1">
      <c r="A349" s="1057">
        <f ca="1">$Q$345 *(8)</f>
        <v>20</v>
      </c>
      <c r="B349" s="901" t="s">
        <v>141</v>
      </c>
      <c r="D349" s="901" t="s">
        <v>2661</v>
      </c>
      <c r="G349" s="941" t="s">
        <v>2662</v>
      </c>
      <c r="H349" s="942">
        <v>620</v>
      </c>
      <c r="I349" s="901" t="s">
        <v>2611</v>
      </c>
      <c r="O349" s="943">
        <v>2</v>
      </c>
      <c r="P349" s="944">
        <v>35431</v>
      </c>
      <c r="Q349" s="945">
        <v>11.32</v>
      </c>
      <c r="R349" s="946">
        <f t="shared" ca="1" si="56"/>
        <v>226.4</v>
      </c>
      <c r="S349" s="945">
        <v>0.5</v>
      </c>
      <c r="T349" s="947">
        <f t="shared" ca="1" si="57"/>
        <v>9</v>
      </c>
    </row>
    <row r="350" spans="1:30" s="901" customFormat="1">
      <c r="A350" s="1057">
        <f ca="1">$Q$345 *(8)</f>
        <v>20</v>
      </c>
      <c r="B350" s="901" t="s">
        <v>320</v>
      </c>
      <c r="D350" s="901" t="s">
        <v>2653</v>
      </c>
      <c r="G350" s="941" t="s">
        <v>2654</v>
      </c>
      <c r="H350" s="942">
        <v>620</v>
      </c>
      <c r="I350" s="901" t="s">
        <v>2607</v>
      </c>
      <c r="O350" s="943">
        <v>2</v>
      </c>
      <c r="P350" s="944">
        <v>38148</v>
      </c>
      <c r="Q350" s="945">
        <v>1.5</v>
      </c>
      <c r="R350" s="946">
        <f t="shared" ca="1" si="56"/>
        <v>30</v>
      </c>
      <c r="S350" s="945">
        <v>0.08</v>
      </c>
      <c r="T350" s="947">
        <f t="shared" ca="1" si="57"/>
        <v>1.4400000000000002</v>
      </c>
    </row>
    <row r="351" spans="1:30" s="901" customFormat="1">
      <c r="A351" s="1057">
        <f ca="1">$Q$345 *(40)</f>
        <v>100</v>
      </c>
      <c r="B351" s="901" t="s">
        <v>141</v>
      </c>
      <c r="D351" s="901" t="s">
        <v>2663</v>
      </c>
      <c r="G351" s="941" t="s">
        <v>2664</v>
      </c>
      <c r="H351" s="942">
        <v>620</v>
      </c>
      <c r="I351" s="901" t="s">
        <v>2614</v>
      </c>
      <c r="O351" s="943">
        <v>2</v>
      </c>
      <c r="P351" s="944">
        <v>34669</v>
      </c>
      <c r="Q351" s="945">
        <v>0.21</v>
      </c>
      <c r="R351" s="946">
        <f t="shared" ca="1" si="56"/>
        <v>21</v>
      </c>
      <c r="S351" s="945">
        <v>0.09</v>
      </c>
      <c r="T351" s="947">
        <f t="shared" ca="1" si="57"/>
        <v>8.1</v>
      </c>
    </row>
    <row r="352" spans="1:30" s="520" customFormat="1">
      <c r="A352" s="758"/>
      <c r="B352" s="3"/>
      <c r="C352" s="758" t="s">
        <v>171</v>
      </c>
      <c r="D352" s="3"/>
      <c r="E352" s="758"/>
      <c r="F352" s="753"/>
      <c r="G352" s="758"/>
      <c r="H352" s="758"/>
      <c r="I352" s="519"/>
      <c r="J352" s="758"/>
      <c r="K352" s="758"/>
      <c r="L352" s="758"/>
      <c r="M352" s="758"/>
      <c r="N352" s="758"/>
      <c r="O352" s="758"/>
      <c r="P352" s="758"/>
      <c r="Q352" s="519"/>
      <c r="R352" s="917">
        <f t="shared" si="56"/>
        <v>0</v>
      </c>
      <c r="S352" s="519"/>
      <c r="T352" s="760">
        <f t="shared" si="57"/>
        <v>0</v>
      </c>
      <c r="AD352" s="753"/>
    </row>
    <row r="353" spans="1:30" s="520" customFormat="1" ht="12.6" thickBot="1">
      <c r="A353" s="761" t="s">
        <v>145</v>
      </c>
      <c r="B353" s="762">
        <f>(R352+T352)</f>
        <v>0</v>
      </c>
      <c r="C353" s="763"/>
      <c r="D353" s="937" t="s">
        <v>172</v>
      </c>
      <c r="E353" s="477">
        <f ca="1">IF($B345=0,0,ROUND(ROUND(($R353*$S$2+($T353*$T$2))/$B345, 2)*$C$2,2))</f>
        <v>55.51</v>
      </c>
      <c r="F353" s="478">
        <f ca="1">ROUND($B345*$E353,2)</f>
        <v>8326.5</v>
      </c>
      <c r="G353" s="763"/>
      <c r="H353" s="763"/>
      <c r="I353" s="765"/>
      <c r="J353" s="763"/>
      <c r="K353" s="938" t="s">
        <v>143</v>
      </c>
      <c r="L353" s="766" t="s">
        <v>143</v>
      </c>
      <c r="M353" s="766"/>
      <c r="N353" s="766"/>
      <c r="O353" s="766"/>
      <c r="P353" s="766"/>
      <c r="Q353" s="938"/>
      <c r="R353" s="939">
        <f ca="1">SUM(R346:R352)</f>
        <v>5785.7</v>
      </c>
      <c r="S353" s="940"/>
      <c r="T353" s="939">
        <f ca="1">SUM(T346:T352)</f>
        <v>35.550000000000004</v>
      </c>
      <c r="U353" s="531"/>
      <c r="V353" s="531"/>
      <c r="W353" s="531"/>
      <c r="X353" s="531"/>
      <c r="Y353" s="531"/>
      <c r="Z353" s="531"/>
      <c r="AA353" s="531"/>
      <c r="AB353" s="531"/>
      <c r="AD353" s="478">
        <v>3554.4</v>
      </c>
    </row>
    <row r="354" spans="1:30" s="520" customFormat="1" ht="12" thickTop="1">
      <c r="A354" s="51"/>
      <c r="B354" s="51"/>
      <c r="C354" s="51"/>
      <c r="D354" s="51"/>
      <c r="E354" s="51"/>
      <c r="F354" s="51"/>
      <c r="G354" s="51"/>
      <c r="H354" s="51"/>
      <c r="I354" s="51"/>
      <c r="J354" s="51"/>
      <c r="K354" s="51"/>
      <c r="L354" s="51"/>
      <c r="M354" s="51"/>
      <c r="N354" s="51"/>
      <c r="O354" s="52"/>
      <c r="P354" s="51"/>
      <c r="Q354" s="42" t="s">
        <v>168</v>
      </c>
      <c r="R354" s="51"/>
      <c r="S354" s="13"/>
      <c r="T354" s="51"/>
      <c r="AD354" s="51"/>
    </row>
    <row r="355" spans="1:30" s="520" customFormat="1" ht="12" customHeight="1" thickBot="1">
      <c r="A355" s="927">
        <v>290</v>
      </c>
      <c r="B355" s="928">
        <f ca="1">Elec_Est!B11580</f>
        <v>290</v>
      </c>
      <c r="C355" s="929"/>
      <c r="D355" s="930" t="s">
        <v>3537</v>
      </c>
      <c r="E355" s="931"/>
      <c r="F355" s="931"/>
      <c r="G355" s="752"/>
      <c r="H355" s="752"/>
      <c r="I355" s="932"/>
      <c r="J355" s="752"/>
      <c r="K355" s="929" t="s">
        <v>169</v>
      </c>
      <c r="L355" s="933" t="s">
        <v>169</v>
      </c>
      <c r="M355" s="933"/>
      <c r="N355" s="933"/>
      <c r="O355" s="933"/>
      <c r="P355" s="933"/>
      <c r="Q355" s="934">
        <f ca="1">B355/A355</f>
        <v>1</v>
      </c>
      <c r="R355" s="935">
        <f ca="1">IF($B355=0,0,IF($S$1="R",ROUND(R363/$B355,2),R363/$B355))</f>
        <v>23.51</v>
      </c>
      <c r="S355" s="936"/>
      <c r="T355" s="935">
        <f ca="1">IF($B355=0,0,IF($S$1="R",ROUND(T363/$B355,2),T363/$B355))</f>
        <v>0.16</v>
      </c>
      <c r="AD355" s="931"/>
    </row>
    <row r="356" spans="1:30" s="520" customFormat="1" ht="13.8" thickTop="1">
      <c r="A356" s="748"/>
      <c r="B356" s="3"/>
      <c r="C356" s="3"/>
      <c r="D356" s="106" t="s">
        <v>170</v>
      </c>
      <c r="E356" s="3"/>
      <c r="F356" s="3"/>
      <c r="G356" s="3"/>
      <c r="H356" s="3"/>
      <c r="I356" s="3"/>
      <c r="J356" s="3"/>
      <c r="K356" s="3"/>
      <c r="L356" s="3"/>
      <c r="M356" s="3"/>
      <c r="N356" s="3"/>
      <c r="O356" s="107"/>
      <c r="P356" s="3"/>
      <c r="Q356" s="3"/>
      <c r="R356" s="3"/>
      <c r="S356" s="3"/>
      <c r="T356" s="3"/>
      <c r="AD356" s="3"/>
    </row>
    <row r="357" spans="1:30" s="901" customFormat="1">
      <c r="A357" s="1057">
        <f ca="1">$Q$355 *(290)</f>
        <v>290</v>
      </c>
      <c r="B357" s="901" t="s">
        <v>320</v>
      </c>
      <c r="D357" s="901" t="s">
        <v>3284</v>
      </c>
      <c r="F357" s="1054" t="s">
        <v>3211</v>
      </c>
      <c r="G357" s="941" t="s">
        <v>2659</v>
      </c>
      <c r="H357" s="942">
        <v>616</v>
      </c>
      <c r="I357" s="901" t="s">
        <v>2272</v>
      </c>
      <c r="J357" s="901" t="s">
        <v>2660</v>
      </c>
      <c r="O357" s="943">
        <v>2</v>
      </c>
      <c r="P357" s="944">
        <v>40767</v>
      </c>
      <c r="Q357" s="1194">
        <f>23.64*0.96</f>
        <v>22.694399999999998</v>
      </c>
      <c r="R357" s="946">
        <f t="shared" ref="R357:R362" ca="1" si="58">$A357*Q357</f>
        <v>6581.3759999999993</v>
      </c>
      <c r="S357" s="1193">
        <f>0.9 *(0.14)</f>
        <v>0.12600000000000003</v>
      </c>
      <c r="T357" s="947">
        <f t="shared" ref="T357:T362" ca="1" si="59">$A357*S357*$T$1</f>
        <v>32.88600000000001</v>
      </c>
      <c r="AD357" s="1054" t="s">
        <v>3211</v>
      </c>
    </row>
    <row r="358" spans="1:30" s="901" customFormat="1">
      <c r="A358" s="1057">
        <f ca="1">$Q$355 *(290)</f>
        <v>290</v>
      </c>
      <c r="B358" s="901" t="s">
        <v>141</v>
      </c>
      <c r="D358" s="901" t="s">
        <v>2605</v>
      </c>
      <c r="G358" s="941" t="s">
        <v>2606</v>
      </c>
      <c r="H358" s="942">
        <v>875</v>
      </c>
      <c r="I358" s="901" t="s">
        <v>2607</v>
      </c>
      <c r="K358" s="901" t="s">
        <v>2608</v>
      </c>
      <c r="O358" s="943">
        <v>1</v>
      </c>
      <c r="P358" s="944">
        <v>34669</v>
      </c>
      <c r="Q358" s="945">
        <v>0.05</v>
      </c>
      <c r="R358" s="946">
        <f t="shared" ca="1" si="58"/>
        <v>14.5</v>
      </c>
      <c r="S358" s="945"/>
      <c r="T358" s="947">
        <f t="shared" ca="1" si="59"/>
        <v>0</v>
      </c>
    </row>
    <row r="359" spans="1:30" s="901" customFormat="1">
      <c r="A359" s="1057">
        <f ca="1">$Q$355 *(16)</f>
        <v>16</v>
      </c>
      <c r="B359" s="901" t="s">
        <v>141</v>
      </c>
      <c r="D359" s="901" t="s">
        <v>2661</v>
      </c>
      <c r="G359" s="941" t="s">
        <v>2662</v>
      </c>
      <c r="H359" s="942">
        <v>620</v>
      </c>
      <c r="I359" s="901" t="s">
        <v>2611</v>
      </c>
      <c r="O359" s="943">
        <v>2</v>
      </c>
      <c r="P359" s="944">
        <v>35431</v>
      </c>
      <c r="Q359" s="945">
        <v>11.32</v>
      </c>
      <c r="R359" s="946">
        <f t="shared" ca="1" si="58"/>
        <v>181.12</v>
      </c>
      <c r="S359" s="945">
        <v>0.5</v>
      </c>
      <c r="T359" s="947">
        <f t="shared" ca="1" si="59"/>
        <v>7.2</v>
      </c>
    </row>
    <row r="360" spans="1:30" s="901" customFormat="1">
      <c r="A360" s="1057">
        <f ca="1">$Q$355 *(16)</f>
        <v>16</v>
      </c>
      <c r="B360" s="901" t="s">
        <v>320</v>
      </c>
      <c r="D360" s="901" t="s">
        <v>2653</v>
      </c>
      <c r="G360" s="941" t="s">
        <v>2654</v>
      </c>
      <c r="H360" s="942">
        <v>620</v>
      </c>
      <c r="I360" s="901" t="s">
        <v>2607</v>
      </c>
      <c r="O360" s="943">
        <v>2</v>
      </c>
      <c r="P360" s="944">
        <v>38148</v>
      </c>
      <c r="Q360" s="945">
        <v>1.5</v>
      </c>
      <c r="R360" s="946">
        <f t="shared" ca="1" si="58"/>
        <v>24</v>
      </c>
      <c r="S360" s="945">
        <v>0.08</v>
      </c>
      <c r="T360" s="947">
        <f t="shared" ca="1" si="59"/>
        <v>1.1520000000000001</v>
      </c>
    </row>
    <row r="361" spans="1:30" s="901" customFormat="1">
      <c r="A361" s="1057">
        <f ca="1">$Q$355 *(80)</f>
        <v>80</v>
      </c>
      <c r="B361" s="901" t="s">
        <v>141</v>
      </c>
      <c r="D361" s="901" t="s">
        <v>2663</v>
      </c>
      <c r="G361" s="941" t="s">
        <v>2664</v>
      </c>
      <c r="H361" s="942">
        <v>620</v>
      </c>
      <c r="I361" s="901" t="s">
        <v>2614</v>
      </c>
      <c r="O361" s="943">
        <v>2</v>
      </c>
      <c r="P361" s="944">
        <v>34669</v>
      </c>
      <c r="Q361" s="945">
        <v>0.21</v>
      </c>
      <c r="R361" s="946">
        <f t="shared" ca="1" si="58"/>
        <v>16.8</v>
      </c>
      <c r="S361" s="945">
        <v>0.09</v>
      </c>
      <c r="T361" s="947">
        <f t="shared" ca="1" si="59"/>
        <v>6.4799999999999995</v>
      </c>
    </row>
    <row r="362" spans="1:30" s="520" customFormat="1">
      <c r="A362" s="758"/>
      <c r="B362" s="3"/>
      <c r="C362" s="758" t="s">
        <v>171</v>
      </c>
      <c r="D362" s="3"/>
      <c r="E362" s="758"/>
      <c r="F362" s="753"/>
      <c r="G362" s="758"/>
      <c r="H362" s="758"/>
      <c r="I362" s="519"/>
      <c r="J362" s="758"/>
      <c r="K362" s="758"/>
      <c r="L362" s="758"/>
      <c r="M362" s="758"/>
      <c r="N362" s="758"/>
      <c r="O362" s="758"/>
      <c r="P362" s="758"/>
      <c r="Q362" s="519"/>
      <c r="R362" s="917">
        <f t="shared" si="58"/>
        <v>0</v>
      </c>
      <c r="S362" s="519"/>
      <c r="T362" s="760">
        <f t="shared" si="59"/>
        <v>0</v>
      </c>
      <c r="AD362" s="753"/>
    </row>
    <row r="363" spans="1:30" s="520" customFormat="1" ht="12.6" thickBot="1">
      <c r="A363" s="761" t="s">
        <v>145</v>
      </c>
      <c r="B363" s="762">
        <f>(R362+T362)</f>
        <v>0</v>
      </c>
      <c r="C363" s="763"/>
      <c r="D363" s="937" t="s">
        <v>172</v>
      </c>
      <c r="E363" s="477">
        <f ca="1">IF($B355=0,0,ROUND(ROUND(($R363*$S$2+($T363*$T$2))/$B355, 2)*$C$2,2))</f>
        <v>34.51</v>
      </c>
      <c r="F363" s="478">
        <f ca="1">ROUND($B355*$E363,2)</f>
        <v>10007.9</v>
      </c>
      <c r="G363" s="763"/>
      <c r="H363" s="763"/>
      <c r="I363" s="765"/>
      <c r="J363" s="763"/>
      <c r="K363" s="938" t="s">
        <v>143</v>
      </c>
      <c r="L363" s="766" t="s">
        <v>143</v>
      </c>
      <c r="M363" s="766"/>
      <c r="N363" s="766"/>
      <c r="O363" s="766"/>
      <c r="P363" s="766"/>
      <c r="Q363" s="938"/>
      <c r="R363" s="939">
        <f ca="1">SUM(R356:R362)</f>
        <v>6817.7959999999994</v>
      </c>
      <c r="S363" s="940"/>
      <c r="T363" s="939">
        <f ca="1">SUM(T356:T362)</f>
        <v>47.718000000000011</v>
      </c>
      <c r="U363" s="531"/>
      <c r="V363" s="531"/>
      <c r="W363" s="531"/>
      <c r="X363" s="531"/>
      <c r="Y363" s="531"/>
      <c r="Z363" s="531"/>
      <c r="AA363" s="531"/>
      <c r="AB363" s="531"/>
      <c r="AD363" s="478">
        <v>10756.1</v>
      </c>
    </row>
    <row r="364" spans="1:30" s="520" customFormat="1" ht="12" thickTop="1">
      <c r="A364" s="51"/>
      <c r="B364" s="51"/>
      <c r="C364" s="51"/>
      <c r="D364" s="51"/>
      <c r="E364" s="51"/>
      <c r="F364" s="51"/>
      <c r="G364" s="51"/>
      <c r="H364" s="51"/>
      <c r="I364" s="51"/>
      <c r="J364" s="51"/>
      <c r="K364" s="51"/>
      <c r="L364" s="51"/>
      <c r="M364" s="51"/>
      <c r="N364" s="51"/>
      <c r="O364" s="52"/>
      <c r="P364" s="51"/>
      <c r="Q364" s="42" t="s">
        <v>168</v>
      </c>
      <c r="R364" s="51"/>
      <c r="S364" s="13"/>
      <c r="T364" s="51"/>
      <c r="AD364" s="51"/>
    </row>
    <row r="365" spans="1:30" s="520" customFormat="1" ht="12" customHeight="1" thickBot="1">
      <c r="A365" s="927">
        <v>295</v>
      </c>
      <c r="B365" s="928">
        <f ca="1">Elec_Est!B11581</f>
        <v>295</v>
      </c>
      <c r="C365" s="929"/>
      <c r="D365" s="930" t="s">
        <v>3538</v>
      </c>
      <c r="E365" s="931"/>
      <c r="F365" s="931"/>
      <c r="G365" s="752"/>
      <c r="H365" s="752"/>
      <c r="I365" s="932"/>
      <c r="J365" s="752"/>
      <c r="K365" s="929" t="s">
        <v>169</v>
      </c>
      <c r="L365" s="933" t="s">
        <v>169</v>
      </c>
      <c r="M365" s="933"/>
      <c r="N365" s="933"/>
      <c r="O365" s="933"/>
      <c r="P365" s="933"/>
      <c r="Q365" s="934">
        <f ca="1">B365/A365</f>
        <v>1</v>
      </c>
      <c r="R365" s="935">
        <f ca="1">IF($B365=0,0,IF($S$1="R",ROUND(R373/$B365,2),R373/$B365))</f>
        <v>28.7</v>
      </c>
      <c r="S365" s="936"/>
      <c r="T365" s="935">
        <f ca="1">IF($B365=0,0,IF($S$1="R",ROUND(T373/$B365,2),T373/$B365))</f>
        <v>0.11</v>
      </c>
      <c r="AD365" s="931"/>
    </row>
    <row r="366" spans="1:30" s="520" customFormat="1" ht="13.8" thickTop="1">
      <c r="A366" s="748"/>
      <c r="B366" s="3"/>
      <c r="C366" s="3"/>
      <c r="D366" s="106" t="s">
        <v>170</v>
      </c>
      <c r="E366" s="3"/>
      <c r="F366" s="3"/>
      <c r="G366" s="3"/>
      <c r="H366" s="3"/>
      <c r="I366" s="3"/>
      <c r="J366" s="3"/>
      <c r="K366" s="3"/>
      <c r="L366" s="3"/>
      <c r="M366" s="3"/>
      <c r="N366" s="3"/>
      <c r="O366" s="107"/>
      <c r="P366" s="3"/>
      <c r="Q366" s="3"/>
      <c r="R366" s="3"/>
      <c r="S366" s="3"/>
      <c r="T366" s="3"/>
      <c r="AD366" s="3"/>
    </row>
    <row r="367" spans="1:30" s="901" customFormat="1">
      <c r="A367" s="1057">
        <f ca="1">$Q$365 *(295)</f>
        <v>295</v>
      </c>
      <c r="B367" s="901" t="s">
        <v>320</v>
      </c>
      <c r="D367" s="901" t="s">
        <v>2665</v>
      </c>
      <c r="E367" s="1047" t="s">
        <v>2732</v>
      </c>
      <c r="F367" s="1054" t="s">
        <v>3277</v>
      </c>
      <c r="G367" s="941" t="s">
        <v>2666</v>
      </c>
      <c r="H367" s="942">
        <v>616</v>
      </c>
      <c r="I367" s="901" t="s">
        <v>2607</v>
      </c>
      <c r="J367" s="901" t="s">
        <v>2667</v>
      </c>
      <c r="O367" s="943">
        <v>2</v>
      </c>
      <c r="P367" s="944">
        <v>40767</v>
      </c>
      <c r="Q367" s="1194">
        <f>29.55*0.96</f>
        <v>28.367999999999999</v>
      </c>
      <c r="R367" s="946">
        <f t="shared" ref="R367:R372" ca="1" si="60">$A367*Q367</f>
        <v>8368.56</v>
      </c>
      <c r="S367" s="1193">
        <f>0.9 *(0.12)</f>
        <v>0.108</v>
      </c>
      <c r="T367" s="947">
        <f t="shared" ref="T367:T372" ca="1" si="61">$A367*S367*$T$1</f>
        <v>28.673999999999999</v>
      </c>
      <c r="AD367" s="1054" t="s">
        <v>3277</v>
      </c>
    </row>
    <row r="368" spans="1:30" s="901" customFormat="1">
      <c r="A368" s="1057">
        <f ca="1">$Q$365 *(295)</f>
        <v>295</v>
      </c>
      <c r="B368" s="901" t="s">
        <v>141</v>
      </c>
      <c r="D368" s="901" t="s">
        <v>2605</v>
      </c>
      <c r="G368" s="941" t="s">
        <v>2606</v>
      </c>
      <c r="H368" s="942">
        <v>875</v>
      </c>
      <c r="I368" s="901" t="s">
        <v>2607</v>
      </c>
      <c r="K368" s="901" t="s">
        <v>2608</v>
      </c>
      <c r="O368" s="943">
        <v>1</v>
      </c>
      <c r="P368" s="944">
        <v>34669</v>
      </c>
      <c r="Q368" s="945">
        <v>0.05</v>
      </c>
      <c r="R368" s="946">
        <f t="shared" ca="1" si="60"/>
        <v>14.75</v>
      </c>
      <c r="S368" s="945"/>
      <c r="T368" s="947">
        <f t="shared" ca="1" si="61"/>
        <v>0</v>
      </c>
    </row>
    <row r="369" spans="1:30" s="901" customFormat="1">
      <c r="A369" s="1057">
        <f ca="1">$Q$365 *(6)</f>
        <v>6</v>
      </c>
      <c r="B369" s="901" t="s">
        <v>141</v>
      </c>
      <c r="D369" s="901" t="s">
        <v>2661</v>
      </c>
      <c r="G369" s="941" t="s">
        <v>2662</v>
      </c>
      <c r="H369" s="942">
        <v>620</v>
      </c>
      <c r="I369" s="901" t="s">
        <v>2611</v>
      </c>
      <c r="O369" s="943">
        <v>2</v>
      </c>
      <c r="P369" s="944">
        <v>35431</v>
      </c>
      <c r="Q369" s="945">
        <v>11.32</v>
      </c>
      <c r="R369" s="946">
        <f t="shared" ca="1" si="60"/>
        <v>67.92</v>
      </c>
      <c r="S369" s="945">
        <v>0.5</v>
      </c>
      <c r="T369" s="947">
        <f t="shared" ca="1" si="61"/>
        <v>2.7</v>
      </c>
    </row>
    <row r="370" spans="1:30" s="901" customFormat="1">
      <c r="A370" s="1057">
        <f ca="1">$Q$365 *(6)</f>
        <v>6</v>
      </c>
      <c r="B370" s="901" t="s">
        <v>320</v>
      </c>
      <c r="D370" s="901" t="s">
        <v>2653</v>
      </c>
      <c r="G370" s="941" t="s">
        <v>2654</v>
      </c>
      <c r="H370" s="942">
        <v>620</v>
      </c>
      <c r="I370" s="901" t="s">
        <v>2607</v>
      </c>
      <c r="O370" s="943">
        <v>2</v>
      </c>
      <c r="P370" s="944">
        <v>38148</v>
      </c>
      <c r="Q370" s="945">
        <v>1.5</v>
      </c>
      <c r="R370" s="946">
        <f t="shared" ca="1" si="60"/>
        <v>9</v>
      </c>
      <c r="S370" s="945">
        <v>0.08</v>
      </c>
      <c r="T370" s="947">
        <f t="shared" ca="1" si="61"/>
        <v>0.432</v>
      </c>
    </row>
    <row r="371" spans="1:30" s="901" customFormat="1">
      <c r="A371" s="1057">
        <f ca="1">$Q$365 *(30)</f>
        <v>30</v>
      </c>
      <c r="B371" s="901" t="s">
        <v>141</v>
      </c>
      <c r="D371" s="901" t="s">
        <v>2668</v>
      </c>
      <c r="G371" s="941" t="s">
        <v>2669</v>
      </c>
      <c r="H371" s="942">
        <v>620</v>
      </c>
      <c r="I371" s="901" t="s">
        <v>2614</v>
      </c>
      <c r="O371" s="943">
        <v>2</v>
      </c>
      <c r="P371" s="944">
        <v>34669</v>
      </c>
      <c r="Q371" s="945">
        <v>0.16</v>
      </c>
      <c r="R371" s="946">
        <f t="shared" ca="1" si="60"/>
        <v>4.8</v>
      </c>
      <c r="S371" s="945">
        <v>7.0000000000000007E-2</v>
      </c>
      <c r="T371" s="947">
        <f t="shared" ca="1" si="61"/>
        <v>1.8900000000000001</v>
      </c>
    </row>
    <row r="372" spans="1:30" s="520" customFormat="1">
      <c r="A372" s="758"/>
      <c r="B372" s="3"/>
      <c r="C372" s="758" t="s">
        <v>171</v>
      </c>
      <c r="D372" s="3"/>
      <c r="E372" s="758"/>
      <c r="F372" s="753"/>
      <c r="G372" s="758"/>
      <c r="H372" s="758"/>
      <c r="I372" s="519"/>
      <c r="J372" s="758"/>
      <c r="K372" s="758"/>
      <c r="L372" s="758"/>
      <c r="M372" s="758"/>
      <c r="N372" s="758"/>
      <c r="O372" s="758"/>
      <c r="P372" s="758"/>
      <c r="Q372" s="519"/>
      <c r="R372" s="917">
        <f t="shared" si="60"/>
        <v>0</v>
      </c>
      <c r="S372" s="519"/>
      <c r="T372" s="760">
        <f t="shared" si="61"/>
        <v>0</v>
      </c>
      <c r="AD372" s="753"/>
    </row>
    <row r="373" spans="1:30" s="520" customFormat="1" ht="12.6" thickBot="1">
      <c r="A373" s="761" t="s">
        <v>145</v>
      </c>
      <c r="B373" s="762">
        <f>(R372+T372)</f>
        <v>0</v>
      </c>
      <c r="C373" s="763"/>
      <c r="D373" s="937" t="s">
        <v>172</v>
      </c>
      <c r="E373" s="477">
        <f ca="1">IF($B365=0,0,ROUND(ROUND(($R373*$S$2+($T373*$T$2))/$B365, 2)*$C$2,2))</f>
        <v>39.200000000000003</v>
      </c>
      <c r="F373" s="478">
        <f ca="1">ROUND($B365*$E373,2)</f>
        <v>11564</v>
      </c>
      <c r="G373" s="763"/>
      <c r="H373" s="763"/>
      <c r="I373" s="765"/>
      <c r="J373" s="763"/>
      <c r="K373" s="938" t="s">
        <v>143</v>
      </c>
      <c r="L373" s="766" t="s">
        <v>143</v>
      </c>
      <c r="M373" s="766"/>
      <c r="N373" s="766"/>
      <c r="O373" s="766"/>
      <c r="P373" s="766"/>
      <c r="Q373" s="938"/>
      <c r="R373" s="939">
        <f ca="1">SUM(R366:R372)</f>
        <v>8465.0299999999988</v>
      </c>
      <c r="S373" s="940"/>
      <c r="T373" s="939">
        <f ca="1">SUM(T366:T372)</f>
        <v>33.695999999999998</v>
      </c>
      <c r="U373" s="531"/>
      <c r="V373" s="531"/>
      <c r="W373" s="531"/>
      <c r="X373" s="531"/>
      <c r="Y373" s="531"/>
      <c r="Z373" s="531"/>
      <c r="AA373" s="531"/>
      <c r="AB373" s="531"/>
      <c r="AD373" s="478">
        <v>12301.5</v>
      </c>
    </row>
    <row r="374" spans="1:30" s="520" customFormat="1" ht="12" thickTop="1">
      <c r="A374" s="51"/>
      <c r="B374" s="51"/>
      <c r="C374" s="51"/>
      <c r="D374" s="51"/>
      <c r="E374" s="51"/>
      <c r="F374" s="51"/>
      <c r="G374" s="51"/>
      <c r="H374" s="51"/>
      <c r="I374" s="51"/>
      <c r="J374" s="51"/>
      <c r="K374" s="51"/>
      <c r="L374" s="51"/>
      <c r="M374" s="51"/>
      <c r="N374" s="51"/>
      <c r="O374" s="52"/>
      <c r="P374" s="51"/>
      <c r="Q374" s="42" t="s">
        <v>168</v>
      </c>
      <c r="R374" s="51"/>
      <c r="S374" s="13"/>
      <c r="T374" s="51"/>
      <c r="AD374" s="51"/>
    </row>
    <row r="375" spans="1:30" s="520" customFormat="1" ht="12" customHeight="1" thickBot="1">
      <c r="A375" s="927">
        <v>60</v>
      </c>
      <c r="B375" s="928">
        <f ca="1">Elec_Est!B11582</f>
        <v>60</v>
      </c>
      <c r="C375" s="929"/>
      <c r="D375" s="930" t="s">
        <v>3539</v>
      </c>
      <c r="E375" s="931"/>
      <c r="F375" s="931"/>
      <c r="G375" s="752"/>
      <c r="H375" s="752"/>
      <c r="I375" s="932"/>
      <c r="J375" s="752"/>
      <c r="K375" s="929" t="s">
        <v>169</v>
      </c>
      <c r="L375" s="933" t="s">
        <v>169</v>
      </c>
      <c r="M375" s="933"/>
      <c r="N375" s="933"/>
      <c r="O375" s="933"/>
      <c r="P375" s="933"/>
      <c r="Q375" s="934">
        <f ca="1">B375/A375</f>
        <v>1</v>
      </c>
      <c r="R375" s="935">
        <f ca="1">IF($B375=0,0,IF($S$1="R",ROUND(R383/$B375,2),R383/$B375))</f>
        <v>20.65</v>
      </c>
      <c r="S375" s="936"/>
      <c r="T375" s="935">
        <f ca="1">IF($B375=0,0,IF($S$1="R",ROUND(T383/$B375,2),T383/$B375))</f>
        <v>0.32</v>
      </c>
      <c r="AD375" s="931"/>
    </row>
    <row r="376" spans="1:30" s="520" customFormat="1" ht="13.8" thickTop="1">
      <c r="A376" s="748"/>
      <c r="B376" s="3"/>
      <c r="C376" s="3"/>
      <c r="D376" s="106" t="s">
        <v>170</v>
      </c>
      <c r="E376" s="3"/>
      <c r="F376" s="3"/>
      <c r="G376" s="3"/>
      <c r="H376" s="3"/>
      <c r="I376" s="3"/>
      <c r="J376" s="3"/>
      <c r="K376" s="3"/>
      <c r="L376" s="3"/>
      <c r="M376" s="3"/>
      <c r="N376" s="3"/>
      <c r="O376" s="107"/>
      <c r="P376" s="3"/>
      <c r="Q376" s="3"/>
      <c r="R376" s="3"/>
      <c r="S376" s="3"/>
      <c r="T376" s="3"/>
      <c r="AD376" s="3"/>
    </row>
    <row r="377" spans="1:30" s="901" customFormat="1">
      <c r="A377" s="1057">
        <f ca="1">$Q$375 *(60)</f>
        <v>60</v>
      </c>
      <c r="B377" s="901" t="s">
        <v>320</v>
      </c>
      <c r="D377" s="901" t="s">
        <v>2665</v>
      </c>
      <c r="F377" s="1054" t="s">
        <v>3211</v>
      </c>
      <c r="G377" s="941" t="s">
        <v>2666</v>
      </c>
      <c r="H377" s="942">
        <v>616</v>
      </c>
      <c r="I377" s="901" t="s">
        <v>2607</v>
      </c>
      <c r="J377" s="901" t="s">
        <v>2667</v>
      </c>
      <c r="O377" s="943">
        <v>2</v>
      </c>
      <c r="P377" s="944">
        <v>40767</v>
      </c>
      <c r="Q377" s="1194">
        <f>17.68*0.96</f>
        <v>16.972799999999999</v>
      </c>
      <c r="R377" s="946">
        <f t="shared" ref="R377:R382" ca="1" si="62">$A377*Q377</f>
        <v>1018.3679999999999</v>
      </c>
      <c r="S377" s="1193">
        <f>0.9 *(0.12)</f>
        <v>0.108</v>
      </c>
      <c r="T377" s="947">
        <f t="shared" ref="T377:T382" ca="1" si="63">$A377*S377*$T$1</f>
        <v>5.8319999999999999</v>
      </c>
      <c r="AD377" s="1054" t="s">
        <v>3211</v>
      </c>
    </row>
    <row r="378" spans="1:30" s="901" customFormat="1">
      <c r="A378" s="1057">
        <f ca="1">$Q$375 *(60)</f>
        <v>60</v>
      </c>
      <c r="B378" s="901" t="s">
        <v>141</v>
      </c>
      <c r="D378" s="901" t="s">
        <v>2605</v>
      </c>
      <c r="G378" s="941" t="s">
        <v>2606</v>
      </c>
      <c r="H378" s="942">
        <v>875</v>
      </c>
      <c r="I378" s="901" t="s">
        <v>2607</v>
      </c>
      <c r="K378" s="901" t="s">
        <v>2608</v>
      </c>
      <c r="O378" s="943">
        <v>1</v>
      </c>
      <c r="P378" s="944">
        <v>34669</v>
      </c>
      <c r="Q378" s="945">
        <v>0.05</v>
      </c>
      <c r="R378" s="946">
        <f t="shared" ca="1" si="62"/>
        <v>3</v>
      </c>
      <c r="S378" s="945"/>
      <c r="T378" s="947">
        <f t="shared" ca="1" si="63"/>
        <v>0</v>
      </c>
    </row>
    <row r="379" spans="1:30" s="901" customFormat="1">
      <c r="A379" s="1057">
        <f ca="1">$Q$375 *(16)</f>
        <v>16</v>
      </c>
      <c r="B379" s="901" t="s">
        <v>141</v>
      </c>
      <c r="D379" s="901" t="s">
        <v>2661</v>
      </c>
      <c r="G379" s="941" t="s">
        <v>2662</v>
      </c>
      <c r="H379" s="942">
        <v>620</v>
      </c>
      <c r="I379" s="901" t="s">
        <v>2611</v>
      </c>
      <c r="O379" s="943">
        <v>2</v>
      </c>
      <c r="P379" s="944">
        <v>35431</v>
      </c>
      <c r="Q379" s="945">
        <v>11.32</v>
      </c>
      <c r="R379" s="946">
        <f t="shared" ca="1" si="62"/>
        <v>181.12</v>
      </c>
      <c r="S379" s="945">
        <v>0.5</v>
      </c>
      <c r="T379" s="947">
        <f t="shared" ca="1" si="63"/>
        <v>7.2</v>
      </c>
    </row>
    <row r="380" spans="1:30" s="901" customFormat="1">
      <c r="A380" s="1057">
        <f ca="1">$Q$375 *(16)</f>
        <v>16</v>
      </c>
      <c r="B380" s="901" t="s">
        <v>320</v>
      </c>
      <c r="D380" s="901" t="s">
        <v>2653</v>
      </c>
      <c r="G380" s="941" t="s">
        <v>2654</v>
      </c>
      <c r="H380" s="942">
        <v>620</v>
      </c>
      <c r="I380" s="901" t="s">
        <v>2607</v>
      </c>
      <c r="O380" s="943">
        <v>2</v>
      </c>
      <c r="P380" s="944">
        <v>38148</v>
      </c>
      <c r="Q380" s="945">
        <v>1.5</v>
      </c>
      <c r="R380" s="946">
        <f t="shared" ca="1" si="62"/>
        <v>24</v>
      </c>
      <c r="S380" s="945">
        <v>0.08</v>
      </c>
      <c r="T380" s="947">
        <f t="shared" ca="1" si="63"/>
        <v>1.1520000000000001</v>
      </c>
    </row>
    <row r="381" spans="1:30" s="901" customFormat="1">
      <c r="A381" s="1057">
        <f ca="1">$Q$375 *(16*5)</f>
        <v>80</v>
      </c>
      <c r="B381" s="901" t="s">
        <v>141</v>
      </c>
      <c r="D381" s="901" t="s">
        <v>2668</v>
      </c>
      <c r="G381" s="941" t="s">
        <v>2669</v>
      </c>
      <c r="H381" s="942">
        <v>620</v>
      </c>
      <c r="I381" s="901" t="s">
        <v>2614</v>
      </c>
      <c r="O381" s="943">
        <v>2</v>
      </c>
      <c r="P381" s="944">
        <v>34669</v>
      </c>
      <c r="Q381" s="945">
        <v>0.16</v>
      </c>
      <c r="R381" s="946">
        <f t="shared" ca="1" si="62"/>
        <v>12.8</v>
      </c>
      <c r="S381" s="945">
        <v>7.0000000000000007E-2</v>
      </c>
      <c r="T381" s="947">
        <f t="shared" ca="1" si="63"/>
        <v>5.0400000000000009</v>
      </c>
    </row>
    <row r="382" spans="1:30" s="520" customFormat="1">
      <c r="A382" s="758"/>
      <c r="B382" s="3"/>
      <c r="C382" s="758" t="s">
        <v>171</v>
      </c>
      <c r="D382" s="3"/>
      <c r="E382" s="758"/>
      <c r="F382" s="753"/>
      <c r="G382" s="758"/>
      <c r="H382" s="758"/>
      <c r="I382" s="519"/>
      <c r="J382" s="758"/>
      <c r="K382" s="758"/>
      <c r="L382" s="758"/>
      <c r="M382" s="758"/>
      <c r="N382" s="758"/>
      <c r="O382" s="758"/>
      <c r="P382" s="758"/>
      <c r="Q382" s="519"/>
      <c r="R382" s="917">
        <f t="shared" si="62"/>
        <v>0</v>
      </c>
      <c r="S382" s="519"/>
      <c r="T382" s="760">
        <f t="shared" si="63"/>
        <v>0</v>
      </c>
      <c r="AD382" s="753"/>
    </row>
    <row r="383" spans="1:30" s="520" customFormat="1" ht="12.6" thickBot="1">
      <c r="A383" s="761" t="s">
        <v>145</v>
      </c>
      <c r="B383" s="762">
        <f>(R382+T382)</f>
        <v>0</v>
      </c>
      <c r="C383" s="763"/>
      <c r="D383" s="937" t="s">
        <v>172</v>
      </c>
      <c r="E383" s="477">
        <f ca="1">IF($B375=0,0,ROUND(ROUND(($R383*$S$2+($T383*$T$2))/$B375, 2)*$C$2,2))</f>
        <v>36.270000000000003</v>
      </c>
      <c r="F383" s="478">
        <f ca="1">ROUND($B375*$E383,2)</f>
        <v>2176.1999999999998</v>
      </c>
      <c r="G383" s="763"/>
      <c r="H383" s="763"/>
      <c r="I383" s="765"/>
      <c r="J383" s="763"/>
      <c r="K383" s="938" t="s">
        <v>143</v>
      </c>
      <c r="L383" s="766" t="s">
        <v>143</v>
      </c>
      <c r="M383" s="766"/>
      <c r="N383" s="766"/>
      <c r="O383" s="766"/>
      <c r="P383" s="766"/>
      <c r="Q383" s="938"/>
      <c r="R383" s="939">
        <f ca="1">SUM(R376:R382)</f>
        <v>1239.2879999999998</v>
      </c>
      <c r="S383" s="940"/>
      <c r="T383" s="939">
        <f ca="1">SUM(T376:T382)</f>
        <v>19.224000000000004</v>
      </c>
      <c r="U383" s="531"/>
      <c r="V383" s="531"/>
      <c r="W383" s="531"/>
      <c r="X383" s="531"/>
      <c r="Y383" s="531"/>
      <c r="Z383" s="531"/>
      <c r="AA383" s="531"/>
      <c r="AB383" s="531"/>
      <c r="AD383" s="478">
        <v>2367</v>
      </c>
    </row>
    <row r="384" spans="1:30" s="520" customFormat="1" ht="12" thickTop="1">
      <c r="A384" s="51"/>
      <c r="B384" s="51"/>
      <c r="C384" s="51"/>
      <c r="D384" s="51"/>
      <c r="E384" s="51"/>
      <c r="F384" s="51"/>
      <c r="G384" s="51"/>
      <c r="H384" s="51"/>
      <c r="I384" s="51"/>
      <c r="J384" s="51"/>
      <c r="K384" s="51"/>
      <c r="L384" s="51"/>
      <c r="M384" s="51"/>
      <c r="N384" s="51"/>
      <c r="O384" s="52"/>
      <c r="P384" s="51"/>
      <c r="Q384" s="42" t="s">
        <v>168</v>
      </c>
      <c r="R384" s="51"/>
      <c r="S384" s="13"/>
      <c r="T384" s="51"/>
      <c r="AD384" s="51"/>
    </row>
    <row r="385" spans="1:30" s="520" customFormat="1" ht="12" customHeight="1" thickBot="1">
      <c r="A385" s="927">
        <v>465</v>
      </c>
      <c r="B385" s="928">
        <f ca="1">Elec_Est!B11583</f>
        <v>575</v>
      </c>
      <c r="C385" s="929"/>
      <c r="D385" s="930" t="s">
        <v>3540</v>
      </c>
      <c r="E385" s="931"/>
      <c r="F385" s="931"/>
      <c r="G385" s="752"/>
      <c r="H385" s="752"/>
      <c r="I385" s="932"/>
      <c r="J385" s="752"/>
      <c r="K385" s="929" t="s">
        <v>169</v>
      </c>
      <c r="L385" s="933" t="s">
        <v>169</v>
      </c>
      <c r="M385" s="933"/>
      <c r="N385" s="933"/>
      <c r="O385" s="933"/>
      <c r="P385" s="933"/>
      <c r="Q385" s="934">
        <f ca="1">B385/A385</f>
        <v>1.2365591397849462</v>
      </c>
      <c r="R385" s="935">
        <f ca="1">IF($B385=0,0,IF($S$1="R",ROUND(R393/$B385,2),R393/$B385))</f>
        <v>25.6</v>
      </c>
      <c r="S385" s="936"/>
      <c r="T385" s="935">
        <f ca="1">IF($B385=0,0,IF($S$1="R",ROUND(T393/$B385,2),T393/$B385))</f>
        <v>0.11</v>
      </c>
      <c r="AD385" s="931"/>
    </row>
    <row r="386" spans="1:30" s="520" customFormat="1" ht="13.8" thickTop="1">
      <c r="A386" s="748"/>
      <c r="B386" s="3"/>
      <c r="C386" s="3"/>
      <c r="D386" s="106" t="s">
        <v>170</v>
      </c>
      <c r="E386" s="3"/>
      <c r="F386" s="3"/>
      <c r="G386" s="3"/>
      <c r="H386" s="3"/>
      <c r="I386" s="3"/>
      <c r="J386" s="3"/>
      <c r="K386" s="3"/>
      <c r="L386" s="3"/>
      <c r="M386" s="3"/>
      <c r="N386" s="3"/>
      <c r="O386" s="107"/>
      <c r="P386" s="3"/>
      <c r="Q386" s="3"/>
      <c r="R386" s="3"/>
      <c r="S386" s="3"/>
      <c r="T386" s="3"/>
      <c r="AD386" s="3"/>
    </row>
    <row r="387" spans="1:30" s="901" customFormat="1">
      <c r="A387" s="1057">
        <f ca="1">$Q$385 *(465)</f>
        <v>575</v>
      </c>
      <c r="B387" s="901" t="s">
        <v>320</v>
      </c>
      <c r="D387" s="901" t="s">
        <v>2670</v>
      </c>
      <c r="E387" s="1047" t="s">
        <v>2732</v>
      </c>
      <c r="F387" s="1054" t="s">
        <v>3277</v>
      </c>
      <c r="G387" s="941" t="s">
        <v>2671</v>
      </c>
      <c r="H387" s="942">
        <v>616</v>
      </c>
      <c r="I387" s="901" t="s">
        <v>2607</v>
      </c>
      <c r="J387" s="901" t="s">
        <v>2672</v>
      </c>
      <c r="O387" s="943">
        <v>2</v>
      </c>
      <c r="P387" s="944">
        <v>38371</v>
      </c>
      <c r="Q387" s="1194">
        <f>26.22*0.96</f>
        <v>25.171199999999999</v>
      </c>
      <c r="R387" s="946">
        <f t="shared" ref="R387:R392" ca="1" si="64">$A387*Q387</f>
        <v>14473.439999999999</v>
      </c>
      <c r="S387" s="1193">
        <f>0.9 *(0.1)</f>
        <v>9.0000000000000011E-2</v>
      </c>
      <c r="T387" s="947">
        <f t="shared" ref="T387:T392" ca="1" si="65">$A387*S387*$T$1</f>
        <v>46.57500000000001</v>
      </c>
      <c r="AD387" s="1054" t="s">
        <v>3277</v>
      </c>
    </row>
    <row r="388" spans="1:30" s="901" customFormat="1">
      <c r="A388" s="1057">
        <f ca="1">$Q$385 *(465)</f>
        <v>575</v>
      </c>
      <c r="B388" s="901" t="s">
        <v>141</v>
      </c>
      <c r="D388" s="901" t="s">
        <v>2605</v>
      </c>
      <c r="G388" s="941" t="s">
        <v>2606</v>
      </c>
      <c r="H388" s="942">
        <v>875</v>
      </c>
      <c r="I388" s="901" t="s">
        <v>2607</v>
      </c>
      <c r="K388" s="901" t="s">
        <v>2608</v>
      </c>
      <c r="O388" s="943">
        <v>1</v>
      </c>
      <c r="P388" s="944">
        <v>34669</v>
      </c>
      <c r="Q388" s="945">
        <v>0.05</v>
      </c>
      <c r="R388" s="946">
        <f t="shared" ca="1" si="64"/>
        <v>28.75</v>
      </c>
      <c r="S388" s="945"/>
      <c r="T388" s="947">
        <f t="shared" ca="1" si="65"/>
        <v>0</v>
      </c>
    </row>
    <row r="389" spans="1:30" s="901" customFormat="1">
      <c r="A389" s="1057">
        <f ca="1">$Q$385 *(18)</f>
        <v>22.258064516129032</v>
      </c>
      <c r="B389" s="901" t="s">
        <v>141</v>
      </c>
      <c r="D389" s="901" t="s">
        <v>2673</v>
      </c>
      <c r="G389" s="941" t="s">
        <v>2674</v>
      </c>
      <c r="H389" s="942">
        <v>620</v>
      </c>
      <c r="I389" s="901" t="s">
        <v>2611</v>
      </c>
      <c r="O389" s="943">
        <v>2</v>
      </c>
      <c r="P389" s="944">
        <v>35431</v>
      </c>
      <c r="Q389" s="945">
        <v>7.66</v>
      </c>
      <c r="R389" s="946">
        <f t="shared" ca="1" si="64"/>
        <v>170.49677419354839</v>
      </c>
      <c r="S389" s="945">
        <v>0.4</v>
      </c>
      <c r="T389" s="947">
        <f t="shared" ca="1" si="65"/>
        <v>8.0129032258064523</v>
      </c>
    </row>
    <row r="390" spans="1:30" s="901" customFormat="1">
      <c r="A390" s="1057">
        <f ca="1">$Q$385 *(18)</f>
        <v>22.258064516129032</v>
      </c>
      <c r="B390" s="901" t="s">
        <v>320</v>
      </c>
      <c r="D390" s="901" t="s">
        <v>2653</v>
      </c>
      <c r="G390" s="941" t="s">
        <v>2654</v>
      </c>
      <c r="H390" s="942">
        <v>620</v>
      </c>
      <c r="I390" s="901" t="s">
        <v>2607</v>
      </c>
      <c r="O390" s="943">
        <v>2</v>
      </c>
      <c r="P390" s="944">
        <v>38148</v>
      </c>
      <c r="Q390" s="945">
        <v>1.5</v>
      </c>
      <c r="R390" s="946">
        <f t="shared" ca="1" si="64"/>
        <v>33.387096774193552</v>
      </c>
      <c r="S390" s="945">
        <v>0.08</v>
      </c>
      <c r="T390" s="947">
        <f t="shared" ca="1" si="65"/>
        <v>1.6025806451612905</v>
      </c>
    </row>
    <row r="391" spans="1:30" s="901" customFormat="1">
      <c r="A391" s="1057">
        <f ca="1">$Q$385 *(18*5)</f>
        <v>111.29032258064517</v>
      </c>
      <c r="B391" s="901" t="s">
        <v>141</v>
      </c>
      <c r="D391" s="901" t="s">
        <v>2675</v>
      </c>
      <c r="G391" s="941" t="s">
        <v>2676</v>
      </c>
      <c r="H391" s="942">
        <v>620</v>
      </c>
      <c r="I391" s="901" t="s">
        <v>2614</v>
      </c>
      <c r="O391" s="943">
        <v>2</v>
      </c>
      <c r="P391" s="944">
        <v>34669</v>
      </c>
      <c r="Q391" s="945">
        <v>0.14000000000000001</v>
      </c>
      <c r="R391" s="946">
        <f t="shared" ca="1" si="64"/>
        <v>15.580645161290326</v>
      </c>
      <c r="S391" s="945">
        <v>0.06</v>
      </c>
      <c r="T391" s="947">
        <f t="shared" ca="1" si="65"/>
        <v>6.0096774193548388</v>
      </c>
    </row>
    <row r="392" spans="1:30" s="520" customFormat="1">
      <c r="A392" s="758"/>
      <c r="B392" s="3"/>
      <c r="C392" s="758" t="s">
        <v>171</v>
      </c>
      <c r="D392" s="3"/>
      <c r="E392" s="758"/>
      <c r="F392" s="753"/>
      <c r="G392" s="758"/>
      <c r="H392" s="758"/>
      <c r="I392" s="519"/>
      <c r="J392" s="758"/>
      <c r="K392" s="758"/>
      <c r="L392" s="758"/>
      <c r="M392" s="758"/>
      <c r="N392" s="758"/>
      <c r="O392" s="758"/>
      <c r="P392" s="758"/>
      <c r="Q392" s="519"/>
      <c r="R392" s="917">
        <f t="shared" si="64"/>
        <v>0</v>
      </c>
      <c r="S392" s="519"/>
      <c r="T392" s="760">
        <f t="shared" si="65"/>
        <v>0</v>
      </c>
      <c r="AD392" s="753"/>
    </row>
    <row r="393" spans="1:30" s="520" customFormat="1" ht="12.6" thickBot="1">
      <c r="A393" s="761" t="s">
        <v>145</v>
      </c>
      <c r="B393" s="762">
        <f>(R392+T392)</f>
        <v>0</v>
      </c>
      <c r="C393" s="763"/>
      <c r="D393" s="937" t="s">
        <v>172</v>
      </c>
      <c r="E393" s="477">
        <f ca="1">IF($B385=0,0,ROUND(ROUND(($R393*$S$2+($T393*$T$2))/$B385, 2)*$C$2,2))</f>
        <v>35.18</v>
      </c>
      <c r="F393" s="478">
        <f ca="1">ROUND($B385*$E393,2)</f>
        <v>20228.5</v>
      </c>
      <c r="G393" s="763"/>
      <c r="H393" s="763"/>
      <c r="I393" s="765"/>
      <c r="J393" s="763"/>
      <c r="K393" s="938" t="s">
        <v>143</v>
      </c>
      <c r="L393" s="766" t="s">
        <v>143</v>
      </c>
      <c r="M393" s="766"/>
      <c r="N393" s="766"/>
      <c r="O393" s="766"/>
      <c r="P393" s="766"/>
      <c r="Q393" s="938"/>
      <c r="R393" s="939">
        <f ca="1">SUM(R386:R392)</f>
        <v>14721.654516129031</v>
      </c>
      <c r="S393" s="940"/>
      <c r="T393" s="939">
        <f ca="1">SUM(T386:T392)</f>
        <v>62.20016129032259</v>
      </c>
      <c r="U393" s="531"/>
      <c r="V393" s="531"/>
      <c r="W393" s="531"/>
      <c r="X393" s="531"/>
      <c r="Y393" s="531"/>
      <c r="Z393" s="531"/>
      <c r="AA393" s="531"/>
      <c r="AB393" s="531"/>
      <c r="AD393" s="478">
        <v>17404.95</v>
      </c>
    </row>
    <row r="394" spans="1:30" s="520" customFormat="1" ht="12" thickTop="1">
      <c r="A394" s="51"/>
      <c r="B394" s="51"/>
      <c r="C394" s="51"/>
      <c r="D394" s="51"/>
      <c r="E394" s="51"/>
      <c r="F394" s="51"/>
      <c r="G394" s="51"/>
      <c r="H394" s="51"/>
      <c r="I394" s="51"/>
      <c r="J394" s="51"/>
      <c r="K394" s="51"/>
      <c r="L394" s="51"/>
      <c r="M394" s="51"/>
      <c r="N394" s="51"/>
      <c r="O394" s="52"/>
      <c r="P394" s="51"/>
      <c r="Q394" s="42" t="s">
        <v>168</v>
      </c>
      <c r="R394" s="51"/>
      <c r="S394" s="13"/>
      <c r="T394" s="51"/>
      <c r="AD394" s="51"/>
    </row>
    <row r="395" spans="1:30" s="520" customFormat="1" ht="12" customHeight="1" thickBot="1">
      <c r="A395" s="927">
        <v>190</v>
      </c>
      <c r="B395" s="928">
        <f ca="1">Elec_Est!B11584</f>
        <v>190</v>
      </c>
      <c r="C395" s="929"/>
      <c r="D395" s="930" t="s">
        <v>3541</v>
      </c>
      <c r="E395" s="931"/>
      <c r="F395" s="931"/>
      <c r="G395" s="752"/>
      <c r="H395" s="752"/>
      <c r="I395" s="932"/>
      <c r="J395" s="752"/>
      <c r="K395" s="929" t="s">
        <v>169</v>
      </c>
      <c r="L395" s="933" t="s">
        <v>169</v>
      </c>
      <c r="M395" s="933"/>
      <c r="N395" s="933"/>
      <c r="O395" s="933"/>
      <c r="P395" s="933"/>
      <c r="Q395" s="934">
        <f ca="1">B395/A395</f>
        <v>1</v>
      </c>
      <c r="R395" s="935">
        <f ca="1">IF($B395=0,0,IF($S$1="R",ROUND(R403/$B395,2),R403/$B395))</f>
        <v>12.05</v>
      </c>
      <c r="S395" s="936"/>
      <c r="T395" s="935">
        <f ca="1">IF($B395=0,0,IF($S$1="R",ROUND(T403/$B395,2),T403/$B395))</f>
        <v>0.1</v>
      </c>
      <c r="AD395" s="931"/>
    </row>
    <row r="396" spans="1:30" s="520" customFormat="1" ht="13.8" thickTop="1">
      <c r="A396" s="748"/>
      <c r="B396" s="3"/>
      <c r="C396" s="3"/>
      <c r="D396" s="106" t="s">
        <v>170</v>
      </c>
      <c r="E396" s="3"/>
      <c r="F396" s="3"/>
      <c r="G396" s="3"/>
      <c r="H396" s="3"/>
      <c r="I396" s="3"/>
      <c r="J396" s="3"/>
      <c r="K396" s="3"/>
      <c r="L396" s="3"/>
      <c r="M396" s="3"/>
      <c r="N396" s="3"/>
      <c r="O396" s="107"/>
      <c r="P396" s="3"/>
      <c r="Q396" s="3"/>
      <c r="R396" s="3"/>
      <c r="S396" s="3"/>
      <c r="T396" s="3"/>
      <c r="AD396" s="3"/>
    </row>
    <row r="397" spans="1:30" s="901" customFormat="1">
      <c r="A397" s="1057">
        <f ca="1">$Q$395 *(190)</f>
        <v>190</v>
      </c>
      <c r="B397" s="901" t="s">
        <v>320</v>
      </c>
      <c r="D397" s="901" t="s">
        <v>2670</v>
      </c>
      <c r="F397" s="1054" t="s">
        <v>3277</v>
      </c>
      <c r="G397" s="941" t="s">
        <v>2671</v>
      </c>
      <c r="H397" s="942">
        <v>616</v>
      </c>
      <c r="I397" s="901" t="s">
        <v>2607</v>
      </c>
      <c r="J397" s="901" t="s">
        <v>2672</v>
      </c>
      <c r="O397" s="943">
        <v>2</v>
      </c>
      <c r="P397" s="944">
        <v>38371</v>
      </c>
      <c r="Q397" s="1194">
        <f>12.18*0.96</f>
        <v>11.6928</v>
      </c>
      <c r="R397" s="946">
        <f t="shared" ref="R397:R402" ca="1" si="66">$A397*Q397</f>
        <v>2221.6320000000001</v>
      </c>
      <c r="S397" s="1193">
        <f>0.9 *(0.1)</f>
        <v>9.0000000000000011E-2</v>
      </c>
      <c r="T397" s="947">
        <f t="shared" ref="T397:T402" ca="1" si="67">$A397*S397*$T$1</f>
        <v>15.390000000000002</v>
      </c>
      <c r="AD397" s="1054" t="s">
        <v>3277</v>
      </c>
    </row>
    <row r="398" spans="1:30" s="901" customFormat="1">
      <c r="A398" s="1057">
        <f ca="1">$Q$395 *(190)</f>
        <v>190</v>
      </c>
      <c r="B398" s="901" t="s">
        <v>141</v>
      </c>
      <c r="D398" s="901" t="s">
        <v>2605</v>
      </c>
      <c r="G398" s="941" t="s">
        <v>2606</v>
      </c>
      <c r="H398" s="942">
        <v>875</v>
      </c>
      <c r="I398" s="901" t="s">
        <v>2607</v>
      </c>
      <c r="K398" s="901" t="s">
        <v>2608</v>
      </c>
      <c r="O398" s="943">
        <v>1</v>
      </c>
      <c r="P398" s="944">
        <v>34669</v>
      </c>
      <c r="Q398" s="945">
        <v>0.05</v>
      </c>
      <c r="R398" s="946">
        <f t="shared" ca="1" si="66"/>
        <v>9.5</v>
      </c>
      <c r="S398" s="945"/>
      <c r="T398" s="947">
        <f t="shared" ca="1" si="67"/>
        <v>0</v>
      </c>
    </row>
    <row r="399" spans="1:30" s="901" customFormat="1">
      <c r="A399" s="1057">
        <f ca="1">$Q$395 *(6)</f>
        <v>6</v>
      </c>
      <c r="B399" s="901" t="s">
        <v>141</v>
      </c>
      <c r="D399" s="901" t="s">
        <v>2673</v>
      </c>
      <c r="G399" s="941" t="s">
        <v>2674</v>
      </c>
      <c r="H399" s="942">
        <v>620</v>
      </c>
      <c r="I399" s="901" t="s">
        <v>2611</v>
      </c>
      <c r="O399" s="943">
        <v>2</v>
      </c>
      <c r="P399" s="944">
        <v>35431</v>
      </c>
      <c r="Q399" s="945">
        <v>7.66</v>
      </c>
      <c r="R399" s="946">
        <f t="shared" ca="1" si="66"/>
        <v>45.96</v>
      </c>
      <c r="S399" s="945">
        <v>0.4</v>
      </c>
      <c r="T399" s="947">
        <f t="shared" ca="1" si="67"/>
        <v>2.1600000000000006</v>
      </c>
    </row>
    <row r="400" spans="1:30" s="901" customFormat="1">
      <c r="A400" s="1057">
        <f ca="1">$Q$395 *(6)</f>
        <v>6</v>
      </c>
      <c r="B400" s="901" t="s">
        <v>320</v>
      </c>
      <c r="D400" s="901" t="s">
        <v>2653</v>
      </c>
      <c r="G400" s="941" t="s">
        <v>2654</v>
      </c>
      <c r="H400" s="942">
        <v>620</v>
      </c>
      <c r="I400" s="901" t="s">
        <v>2607</v>
      </c>
      <c r="O400" s="943">
        <v>2</v>
      </c>
      <c r="P400" s="944">
        <v>38148</v>
      </c>
      <c r="Q400" s="945">
        <v>1.5</v>
      </c>
      <c r="R400" s="946">
        <f t="shared" ca="1" si="66"/>
        <v>9</v>
      </c>
      <c r="S400" s="945">
        <v>0.08</v>
      </c>
      <c r="T400" s="947">
        <f t="shared" ca="1" si="67"/>
        <v>0.432</v>
      </c>
    </row>
    <row r="401" spans="1:30" s="901" customFormat="1">
      <c r="A401" s="1057">
        <f ca="1">$Q$395 *(4*5)</f>
        <v>20</v>
      </c>
      <c r="B401" s="901" t="s">
        <v>141</v>
      </c>
      <c r="D401" s="901" t="s">
        <v>2675</v>
      </c>
      <c r="G401" s="941" t="s">
        <v>2676</v>
      </c>
      <c r="H401" s="942">
        <v>620</v>
      </c>
      <c r="I401" s="901" t="s">
        <v>2614</v>
      </c>
      <c r="O401" s="943">
        <v>2</v>
      </c>
      <c r="P401" s="944">
        <v>34669</v>
      </c>
      <c r="Q401" s="945">
        <v>0.14000000000000001</v>
      </c>
      <c r="R401" s="946">
        <f t="shared" ca="1" si="66"/>
        <v>2.8000000000000003</v>
      </c>
      <c r="S401" s="945">
        <v>0.06</v>
      </c>
      <c r="T401" s="947">
        <f t="shared" ca="1" si="67"/>
        <v>1.08</v>
      </c>
    </row>
    <row r="402" spans="1:30" s="520" customFormat="1">
      <c r="A402" s="758"/>
      <c r="B402" s="3"/>
      <c r="C402" s="758" t="s">
        <v>171</v>
      </c>
      <c r="D402" s="3"/>
      <c r="E402" s="758"/>
      <c r="F402" s="753"/>
      <c r="G402" s="758"/>
      <c r="H402" s="758"/>
      <c r="I402" s="519"/>
      <c r="J402" s="758"/>
      <c r="K402" s="758"/>
      <c r="L402" s="758"/>
      <c r="M402" s="758"/>
      <c r="N402" s="758"/>
      <c r="O402" s="758"/>
      <c r="P402" s="758"/>
      <c r="Q402" s="519"/>
      <c r="R402" s="917">
        <f t="shared" si="66"/>
        <v>0</v>
      </c>
      <c r="S402" s="519"/>
      <c r="T402" s="760">
        <f t="shared" si="67"/>
        <v>0</v>
      </c>
      <c r="AD402" s="753"/>
    </row>
    <row r="403" spans="1:30" s="520" customFormat="1" ht="12.6" thickBot="1">
      <c r="A403" s="761" t="s">
        <v>145</v>
      </c>
      <c r="B403" s="762">
        <f>(R402+T402)</f>
        <v>0</v>
      </c>
      <c r="C403" s="763"/>
      <c r="D403" s="937" t="s">
        <v>172</v>
      </c>
      <c r="E403" s="477">
        <f ca="1">IF($B395=0,0,ROUND(ROUND(($R403*$S$2+($T403*$T$2))/$B395, 2)*$C$2,2))</f>
        <v>18.23</v>
      </c>
      <c r="F403" s="478">
        <f ca="1">ROUND($B395*$E403,2)</f>
        <v>3463.7</v>
      </c>
      <c r="G403" s="763"/>
      <c r="H403" s="763"/>
      <c r="I403" s="765"/>
      <c r="J403" s="763"/>
      <c r="K403" s="938" t="s">
        <v>143</v>
      </c>
      <c r="L403" s="766" t="s">
        <v>143</v>
      </c>
      <c r="M403" s="766"/>
      <c r="N403" s="766"/>
      <c r="O403" s="766"/>
      <c r="P403" s="766"/>
      <c r="Q403" s="938"/>
      <c r="R403" s="939">
        <f ca="1">SUM(R396:R402)</f>
        <v>2288.8920000000003</v>
      </c>
      <c r="S403" s="940"/>
      <c r="T403" s="939">
        <f ca="1">SUM(T396:T402)</f>
        <v>19.062000000000005</v>
      </c>
      <c r="U403" s="531"/>
      <c r="V403" s="531"/>
      <c r="W403" s="531"/>
      <c r="X403" s="531"/>
      <c r="Y403" s="531"/>
      <c r="Z403" s="531"/>
      <c r="AA403" s="531"/>
      <c r="AB403" s="531"/>
      <c r="AD403" s="478">
        <v>3748.7</v>
      </c>
    </row>
    <row r="404" spans="1:30" s="520" customFormat="1" ht="12" thickTop="1">
      <c r="A404" s="51"/>
      <c r="B404" s="51"/>
      <c r="C404" s="51"/>
      <c r="D404" s="51"/>
      <c r="E404" s="51"/>
      <c r="F404" s="51"/>
      <c r="G404" s="51"/>
      <c r="H404" s="51"/>
      <c r="I404" s="51"/>
      <c r="J404" s="51"/>
      <c r="K404" s="51"/>
      <c r="L404" s="51"/>
      <c r="M404" s="51"/>
      <c r="N404" s="51"/>
      <c r="O404" s="52"/>
      <c r="P404" s="51"/>
      <c r="Q404" s="42" t="s">
        <v>168</v>
      </c>
      <c r="R404" s="51"/>
      <c r="S404" s="13"/>
      <c r="T404" s="51"/>
      <c r="AD404" s="51"/>
    </row>
    <row r="405" spans="1:30" s="520" customFormat="1" ht="12" customHeight="1" thickBot="1">
      <c r="A405" s="927">
        <v>240</v>
      </c>
      <c r="B405" s="928">
        <f ca="1">Elec_Est!B11585</f>
        <v>240</v>
      </c>
      <c r="C405" s="929"/>
      <c r="D405" s="930" t="s">
        <v>3542</v>
      </c>
      <c r="E405" s="931"/>
      <c r="F405" s="931"/>
      <c r="G405" s="752"/>
      <c r="H405" s="752"/>
      <c r="I405" s="932"/>
      <c r="J405" s="752"/>
      <c r="K405" s="929" t="s">
        <v>169</v>
      </c>
      <c r="L405" s="933" t="s">
        <v>169</v>
      </c>
      <c r="M405" s="933"/>
      <c r="N405" s="933"/>
      <c r="O405" s="933"/>
      <c r="P405" s="933"/>
      <c r="Q405" s="934">
        <f ca="1">B405/A405</f>
        <v>1</v>
      </c>
      <c r="R405" s="935">
        <f ca="1">IF($B405=0,0,IF($S$1="R",ROUND(R415/$B405,2),R415/$B405))</f>
        <v>20.53</v>
      </c>
      <c r="S405" s="936"/>
      <c r="T405" s="935">
        <f ca="1">IF($B405=0,0,IF($S$1="R",ROUND(T415/$B405,2),T415/$B405))</f>
        <v>0.09</v>
      </c>
      <c r="AD405" s="931"/>
    </row>
    <row r="406" spans="1:30" s="520" customFormat="1" ht="13.8" thickTop="1">
      <c r="A406" s="748"/>
      <c r="B406" s="3"/>
      <c r="C406" s="3"/>
      <c r="D406" s="106" t="s">
        <v>170</v>
      </c>
      <c r="E406" s="1047" t="s">
        <v>3710</v>
      </c>
      <c r="F406" s="3"/>
      <c r="G406" s="3"/>
      <c r="H406" s="3"/>
      <c r="I406" s="3"/>
      <c r="J406" s="3"/>
      <c r="K406" s="3"/>
      <c r="L406" s="3"/>
      <c r="M406" s="3"/>
      <c r="N406" s="3"/>
      <c r="O406" s="107"/>
      <c r="P406" s="3"/>
      <c r="Q406" s="3"/>
      <c r="R406" s="3"/>
      <c r="S406" s="3"/>
      <c r="T406" s="3"/>
      <c r="AD406" s="3"/>
    </row>
    <row r="407" spans="1:30" s="901" customFormat="1">
      <c r="A407" s="1057">
        <f ca="1">$Q$405 *(240)</f>
        <v>240</v>
      </c>
      <c r="B407" s="901" t="s">
        <v>320</v>
      </c>
      <c r="D407" s="901" t="s">
        <v>2677</v>
      </c>
      <c r="E407" s="1047" t="s">
        <v>2732</v>
      </c>
      <c r="F407" s="1054" t="s">
        <v>3277</v>
      </c>
      <c r="G407" s="941" t="s">
        <v>2678</v>
      </c>
      <c r="H407" s="942">
        <v>616</v>
      </c>
      <c r="I407" s="901" t="s">
        <v>2607</v>
      </c>
      <c r="J407" s="901" t="s">
        <v>2679</v>
      </c>
      <c r="O407" s="943">
        <v>2</v>
      </c>
      <c r="P407" s="944">
        <v>38371</v>
      </c>
      <c r="Q407" s="1194">
        <f>20.11*0.96</f>
        <v>19.305599999999998</v>
      </c>
      <c r="R407" s="946">
        <f t="shared" ref="R407:R414" ca="1" si="68">$A407*Q407</f>
        <v>4633.3439999999991</v>
      </c>
      <c r="S407" s="1193">
        <f>0.9 *(0.09)</f>
        <v>8.1000000000000003E-2</v>
      </c>
      <c r="T407" s="947">
        <f t="shared" ref="T407:T414" ca="1" si="69">$A407*S407*$T$1</f>
        <v>17.496000000000002</v>
      </c>
      <c r="AD407" s="1054" t="s">
        <v>3277</v>
      </c>
    </row>
    <row r="408" spans="1:30" s="901" customFormat="1">
      <c r="A408" s="1057">
        <f ca="1">$Q$405 *(240)</f>
        <v>240</v>
      </c>
      <c r="B408" s="901" t="s">
        <v>141</v>
      </c>
      <c r="D408" s="901" t="s">
        <v>2605</v>
      </c>
      <c r="G408" s="941" t="s">
        <v>2606</v>
      </c>
      <c r="H408" s="942">
        <v>875</v>
      </c>
      <c r="I408" s="901" t="s">
        <v>2607</v>
      </c>
      <c r="K408" s="901" t="s">
        <v>2608</v>
      </c>
      <c r="O408" s="943">
        <v>1</v>
      </c>
      <c r="P408" s="944">
        <v>34669</v>
      </c>
      <c r="Q408" s="945">
        <v>0.05</v>
      </c>
      <c r="R408" s="946">
        <f t="shared" ca="1" si="68"/>
        <v>12</v>
      </c>
      <c r="S408" s="945"/>
      <c r="T408" s="947">
        <f t="shared" ca="1" si="69"/>
        <v>0</v>
      </c>
    </row>
    <row r="409" spans="1:30" s="901" customFormat="1">
      <c r="A409" s="1057">
        <f ca="1">$Q$405 *(6)</f>
        <v>6</v>
      </c>
      <c r="B409" s="901" t="s">
        <v>141</v>
      </c>
      <c r="D409" s="901" t="s">
        <v>2673</v>
      </c>
      <c r="G409" s="941" t="s">
        <v>2674</v>
      </c>
      <c r="H409" s="942">
        <v>620</v>
      </c>
      <c r="I409" s="901" t="s">
        <v>2611</v>
      </c>
      <c r="O409" s="943">
        <v>2</v>
      </c>
      <c r="P409" s="944">
        <v>35431</v>
      </c>
      <c r="Q409" s="945">
        <v>7.66</v>
      </c>
      <c r="R409" s="946">
        <f t="shared" ca="1" si="68"/>
        <v>45.96</v>
      </c>
      <c r="S409" s="945">
        <v>0.4</v>
      </c>
      <c r="T409" s="947">
        <f t="shared" ca="1" si="69"/>
        <v>2.1600000000000006</v>
      </c>
    </row>
    <row r="410" spans="1:30" s="901" customFormat="1">
      <c r="A410" s="1057">
        <f ca="1">$Q$405 *(6)</f>
        <v>6</v>
      </c>
      <c r="B410" s="901" t="s">
        <v>320</v>
      </c>
      <c r="D410" s="901" t="s">
        <v>2653</v>
      </c>
      <c r="G410" s="941" t="s">
        <v>2654</v>
      </c>
      <c r="H410" s="942">
        <v>620</v>
      </c>
      <c r="I410" s="901" t="s">
        <v>2607</v>
      </c>
      <c r="O410" s="943">
        <v>2</v>
      </c>
      <c r="P410" s="944">
        <v>38148</v>
      </c>
      <c r="Q410" s="945">
        <v>1.5</v>
      </c>
      <c r="R410" s="946">
        <f t="shared" ca="1" si="68"/>
        <v>9</v>
      </c>
      <c r="S410" s="945">
        <v>0.08</v>
      </c>
      <c r="T410" s="947">
        <f t="shared" ca="1" si="69"/>
        <v>0.432</v>
      </c>
    </row>
    <row r="411" spans="1:30" s="901" customFormat="1">
      <c r="A411" s="1057">
        <f ca="1">$Q$405 *(30)</f>
        <v>30</v>
      </c>
      <c r="B411" s="901" t="s">
        <v>141</v>
      </c>
      <c r="D411" s="901" t="s">
        <v>2680</v>
      </c>
      <c r="G411" s="941" t="s">
        <v>2681</v>
      </c>
      <c r="H411" s="942">
        <v>620</v>
      </c>
      <c r="I411" s="901" t="s">
        <v>2614</v>
      </c>
      <c r="O411" s="943">
        <v>2</v>
      </c>
      <c r="P411" s="944">
        <v>34669</v>
      </c>
      <c r="Q411" s="945">
        <v>0.14000000000000001</v>
      </c>
      <c r="R411" s="946">
        <f t="shared" ca="1" si="68"/>
        <v>4.2</v>
      </c>
      <c r="S411" s="945">
        <v>0.06</v>
      </c>
      <c r="T411" s="947">
        <f t="shared" ca="1" si="69"/>
        <v>1.6199999999999999</v>
      </c>
    </row>
    <row r="412" spans="1:30" s="901" customFormat="1">
      <c r="A412" s="1057">
        <f ca="1">$Q$405 *(1)</f>
        <v>1</v>
      </c>
      <c r="B412" s="1084" t="s">
        <v>863</v>
      </c>
      <c r="C412" s="1084"/>
      <c r="D412" s="1084" t="s">
        <v>2752</v>
      </c>
      <c r="E412" s="1084"/>
      <c r="F412" s="1084" t="s">
        <v>3326</v>
      </c>
      <c r="G412" s="1091" t="s">
        <v>2754</v>
      </c>
      <c r="H412" s="1092">
        <v>962</v>
      </c>
      <c r="I412" s="1084" t="s">
        <v>2596</v>
      </c>
      <c r="J412" s="1084"/>
      <c r="K412" s="1084"/>
      <c r="L412" s="1084"/>
      <c r="M412" s="1084"/>
      <c r="N412" s="1084"/>
      <c r="O412" s="1093">
        <v>2</v>
      </c>
      <c r="P412" s="1094">
        <v>38129</v>
      </c>
      <c r="Q412" s="945">
        <f>0.41 *(1 *(30/8*120))</f>
        <v>184.5</v>
      </c>
      <c r="R412" s="1096">
        <f ca="1">$A412*Q412</f>
        <v>184.5</v>
      </c>
      <c r="S412" s="1095"/>
      <c r="T412" s="1097">
        <f ca="1">$A412*S412*$T$1</f>
        <v>0</v>
      </c>
      <c r="AD412" s="1084" t="s">
        <v>3326</v>
      </c>
    </row>
    <row r="413" spans="1:30" s="901" customFormat="1">
      <c r="A413" s="1057">
        <f ca="1">$Q$405 *(1)</f>
        <v>1</v>
      </c>
      <c r="B413" s="901" t="s">
        <v>2755</v>
      </c>
      <c r="D413" s="901" t="s">
        <v>3325</v>
      </c>
      <c r="F413" s="901" t="s">
        <v>3666</v>
      </c>
      <c r="G413" s="941" t="s">
        <v>3324</v>
      </c>
      <c r="H413" s="942">
        <v>845</v>
      </c>
      <c r="I413" s="901" t="s">
        <v>2607</v>
      </c>
      <c r="O413" s="943">
        <v>3</v>
      </c>
      <c r="P413" s="944">
        <v>39713</v>
      </c>
      <c r="Q413" s="945">
        <f>0.41 *(30/8*25)</f>
        <v>38.4375</v>
      </c>
      <c r="R413" s="946">
        <f ca="1">$A413*Q413</f>
        <v>38.4375</v>
      </c>
      <c r="S413" s="945"/>
      <c r="T413" s="947">
        <f ca="1">$A413*S413*$T$1</f>
        <v>0</v>
      </c>
      <c r="AD413" s="901" t="s">
        <v>3666</v>
      </c>
    </row>
    <row r="414" spans="1:30" s="520" customFormat="1">
      <c r="A414" s="758"/>
      <c r="B414" s="3"/>
      <c r="C414" s="758" t="s">
        <v>171</v>
      </c>
      <c r="D414" s="3"/>
      <c r="E414" s="758"/>
      <c r="F414" s="753"/>
      <c r="G414" s="758"/>
      <c r="H414" s="758"/>
      <c r="I414" s="519"/>
      <c r="J414" s="758"/>
      <c r="K414" s="758"/>
      <c r="L414" s="758"/>
      <c r="M414" s="758"/>
      <c r="N414" s="758"/>
      <c r="O414" s="758"/>
      <c r="P414" s="758"/>
      <c r="Q414" s="519"/>
      <c r="R414" s="917">
        <f t="shared" si="68"/>
        <v>0</v>
      </c>
      <c r="S414" s="519"/>
      <c r="T414" s="760">
        <f t="shared" si="69"/>
        <v>0</v>
      </c>
      <c r="AD414" s="753"/>
    </row>
    <row r="415" spans="1:30" s="520" customFormat="1" ht="12.6" thickBot="1">
      <c r="A415" s="761" t="s">
        <v>145</v>
      </c>
      <c r="B415" s="762">
        <f>(R414+T414)</f>
        <v>0</v>
      </c>
      <c r="C415" s="763"/>
      <c r="D415" s="937" t="s">
        <v>172</v>
      </c>
      <c r="E415" s="477">
        <f ca="1">IF($B405=0,0,ROUND(ROUND(($R415*$S$2+($T415*$T$2))/$B405, 2)*$C$2,2))</f>
        <v>28.34</v>
      </c>
      <c r="F415" s="478">
        <f ca="1">ROUND($B405*$E415,2)</f>
        <v>6801.6</v>
      </c>
      <c r="G415" s="763"/>
      <c r="H415" s="763"/>
      <c r="I415" s="765"/>
      <c r="J415" s="763"/>
      <c r="K415" s="938" t="s">
        <v>143</v>
      </c>
      <c r="L415" s="766" t="s">
        <v>143</v>
      </c>
      <c r="M415" s="766"/>
      <c r="N415" s="766"/>
      <c r="O415" s="766"/>
      <c r="P415" s="766"/>
      <c r="Q415" s="938"/>
      <c r="R415" s="939">
        <f ca="1">SUM(R406:R414)</f>
        <v>4927.441499999999</v>
      </c>
      <c r="S415" s="940"/>
      <c r="T415" s="939">
        <f ca="1">SUM(T406:T414)</f>
        <v>21.708000000000002</v>
      </c>
      <c r="U415" s="531"/>
      <c r="V415" s="531"/>
      <c r="W415" s="531"/>
      <c r="X415" s="531"/>
      <c r="Y415" s="531"/>
      <c r="Z415" s="531"/>
      <c r="AA415" s="531"/>
      <c r="AB415" s="531"/>
      <c r="AD415" s="478">
        <v>7658.4</v>
      </c>
    </row>
    <row r="416" spans="1:30" s="520" customFormat="1" ht="12" thickTop="1">
      <c r="A416" s="51"/>
      <c r="B416" s="51"/>
      <c r="C416" s="51"/>
      <c r="D416" s="51"/>
      <c r="E416" s="51"/>
      <c r="F416" s="51"/>
      <c r="G416" s="51"/>
      <c r="H416" s="51"/>
      <c r="I416" s="51"/>
      <c r="J416" s="51"/>
      <c r="K416" s="51"/>
      <c r="L416" s="51"/>
      <c r="M416" s="51"/>
      <c r="N416" s="51"/>
      <c r="O416" s="52"/>
      <c r="P416" s="51"/>
      <c r="Q416" s="42" t="s">
        <v>168</v>
      </c>
      <c r="R416" s="51"/>
      <c r="S416" s="13"/>
      <c r="T416" s="51"/>
      <c r="AD416" s="51"/>
    </row>
    <row r="417" spans="1:30" s="520" customFormat="1" ht="12" customHeight="1" thickBot="1">
      <c r="A417" s="927">
        <v>200</v>
      </c>
      <c r="B417" s="928">
        <f ca="1">Elec_Est!B11586</f>
        <v>200</v>
      </c>
      <c r="C417" s="929"/>
      <c r="D417" s="930" t="s">
        <v>3543</v>
      </c>
      <c r="E417" s="931"/>
      <c r="F417" s="931"/>
      <c r="G417" s="752"/>
      <c r="H417" s="752"/>
      <c r="I417" s="932"/>
      <c r="J417" s="752"/>
      <c r="K417" s="929" t="s">
        <v>169</v>
      </c>
      <c r="L417" s="933" t="s">
        <v>169</v>
      </c>
      <c r="M417" s="933"/>
      <c r="N417" s="933"/>
      <c r="O417" s="933"/>
      <c r="P417" s="933"/>
      <c r="Q417" s="934">
        <f ca="1">B417/A417</f>
        <v>1</v>
      </c>
      <c r="R417" s="935">
        <f ca="1">IF($B417=0,0,IF($S$1="R",ROUND(R425/$B417,2),R425/$B417))</f>
        <v>8.6</v>
      </c>
      <c r="S417" s="936"/>
      <c r="T417" s="935">
        <f ca="1">IF($B417=0,0,IF($S$1="R",ROUND(T425/$B417,2),T425/$B417))</f>
        <v>0.12</v>
      </c>
      <c r="AD417" s="931"/>
    </row>
    <row r="418" spans="1:30" s="520" customFormat="1" ht="13.8" thickTop="1">
      <c r="A418" s="748"/>
      <c r="B418" s="3"/>
      <c r="C418" s="3"/>
      <c r="D418" s="106" t="s">
        <v>170</v>
      </c>
      <c r="E418" s="3"/>
      <c r="F418" s="3"/>
      <c r="G418" s="3"/>
      <c r="H418" s="3"/>
      <c r="I418" s="3"/>
      <c r="J418" s="3"/>
      <c r="K418" s="3"/>
      <c r="L418" s="3"/>
      <c r="M418" s="3"/>
      <c r="N418" s="3"/>
      <c r="O418" s="107"/>
      <c r="P418" s="3"/>
      <c r="Q418" s="3"/>
      <c r="R418" s="3"/>
      <c r="S418" s="3"/>
      <c r="T418" s="3"/>
      <c r="AD418" s="3"/>
    </row>
    <row r="419" spans="1:30" s="901" customFormat="1">
      <c r="A419" s="1057">
        <f ca="1">$Q$417 *(200)</f>
        <v>200</v>
      </c>
      <c r="B419" s="901" t="s">
        <v>320</v>
      </c>
      <c r="D419" s="901" t="s">
        <v>2677</v>
      </c>
      <c r="F419" s="1054" t="s">
        <v>3277</v>
      </c>
      <c r="G419" s="941" t="s">
        <v>2678</v>
      </c>
      <c r="H419" s="942">
        <v>616</v>
      </c>
      <c r="I419" s="901" t="s">
        <v>2607</v>
      </c>
      <c r="J419" s="901" t="s">
        <v>2679</v>
      </c>
      <c r="O419" s="943">
        <v>2</v>
      </c>
      <c r="P419" s="944">
        <v>38371</v>
      </c>
      <c r="Q419" s="1194">
        <f>8.29*0.96</f>
        <v>7.9583999999999993</v>
      </c>
      <c r="R419" s="946">
        <f t="shared" ref="R419:R424" ca="1" si="70">$A419*Q419</f>
        <v>1591.6799999999998</v>
      </c>
      <c r="S419" s="1193">
        <f>0.9 *(0.09)</f>
        <v>8.1000000000000003E-2</v>
      </c>
      <c r="T419" s="947">
        <f t="shared" ref="T419:T424" ca="1" si="71">$A419*S419*$T$1</f>
        <v>14.58</v>
      </c>
      <c r="AD419" s="1054" t="s">
        <v>3277</v>
      </c>
    </row>
    <row r="420" spans="1:30" s="901" customFormat="1">
      <c r="A420" s="1057">
        <f ca="1">$Q$417 *(200)</f>
        <v>200</v>
      </c>
      <c r="B420" s="901" t="s">
        <v>141</v>
      </c>
      <c r="D420" s="901" t="s">
        <v>2605</v>
      </c>
      <c r="G420" s="941" t="s">
        <v>2606</v>
      </c>
      <c r="H420" s="942">
        <v>875</v>
      </c>
      <c r="I420" s="901" t="s">
        <v>2607</v>
      </c>
      <c r="K420" s="901" t="s">
        <v>2608</v>
      </c>
      <c r="O420" s="943">
        <v>1</v>
      </c>
      <c r="P420" s="944">
        <v>34669</v>
      </c>
      <c r="Q420" s="945">
        <v>0.05</v>
      </c>
      <c r="R420" s="946">
        <f t="shared" ca="1" si="70"/>
        <v>10</v>
      </c>
      <c r="S420" s="945"/>
      <c r="T420" s="947">
        <f t="shared" ca="1" si="71"/>
        <v>0</v>
      </c>
    </row>
    <row r="421" spans="1:30" s="901" customFormat="1">
      <c r="A421" s="1057">
        <f ca="1">$Q$417 *(12)</f>
        <v>12</v>
      </c>
      <c r="B421" s="901" t="s">
        <v>141</v>
      </c>
      <c r="D421" s="901" t="s">
        <v>2673</v>
      </c>
      <c r="G421" s="941" t="s">
        <v>2674</v>
      </c>
      <c r="H421" s="942">
        <v>620</v>
      </c>
      <c r="I421" s="901" t="s">
        <v>2611</v>
      </c>
      <c r="O421" s="943">
        <v>2</v>
      </c>
      <c r="P421" s="944">
        <v>35431</v>
      </c>
      <c r="Q421" s="945">
        <v>7.66</v>
      </c>
      <c r="R421" s="946">
        <f t="shared" ca="1" si="70"/>
        <v>91.92</v>
      </c>
      <c r="S421" s="945">
        <v>0.4</v>
      </c>
      <c r="T421" s="947">
        <f t="shared" ca="1" si="71"/>
        <v>4.3200000000000012</v>
      </c>
    </row>
    <row r="422" spans="1:30" s="901" customFormat="1">
      <c r="A422" s="1057">
        <f ca="1">$Q$417 *(12)</f>
        <v>12</v>
      </c>
      <c r="B422" s="901" t="s">
        <v>320</v>
      </c>
      <c r="D422" s="901" t="s">
        <v>2653</v>
      </c>
      <c r="G422" s="941" t="s">
        <v>2654</v>
      </c>
      <c r="H422" s="942">
        <v>620</v>
      </c>
      <c r="I422" s="901" t="s">
        <v>2607</v>
      </c>
      <c r="O422" s="943">
        <v>2</v>
      </c>
      <c r="P422" s="944">
        <v>38148</v>
      </c>
      <c r="Q422" s="945">
        <v>1.5</v>
      </c>
      <c r="R422" s="946">
        <f t="shared" ca="1" si="70"/>
        <v>18</v>
      </c>
      <c r="S422" s="945">
        <v>0.08</v>
      </c>
      <c r="T422" s="947">
        <f t="shared" ca="1" si="71"/>
        <v>0.86399999999999999</v>
      </c>
    </row>
    <row r="423" spans="1:30" s="901" customFormat="1">
      <c r="A423" s="1057">
        <f ca="1">$Q$417 *(60)</f>
        <v>60</v>
      </c>
      <c r="B423" s="901" t="s">
        <v>141</v>
      </c>
      <c r="D423" s="901" t="s">
        <v>2680</v>
      </c>
      <c r="G423" s="941" t="s">
        <v>2681</v>
      </c>
      <c r="H423" s="942">
        <v>620</v>
      </c>
      <c r="I423" s="901" t="s">
        <v>2614</v>
      </c>
      <c r="O423" s="943">
        <v>2</v>
      </c>
      <c r="P423" s="944">
        <v>34669</v>
      </c>
      <c r="Q423" s="945">
        <v>0.14000000000000001</v>
      </c>
      <c r="R423" s="946">
        <f t="shared" ca="1" si="70"/>
        <v>8.4</v>
      </c>
      <c r="S423" s="945">
        <v>0.06</v>
      </c>
      <c r="T423" s="947">
        <f t="shared" ca="1" si="71"/>
        <v>3.2399999999999998</v>
      </c>
    </row>
    <row r="424" spans="1:30" s="520" customFormat="1">
      <c r="A424" s="758"/>
      <c r="B424" s="3"/>
      <c r="C424" s="758" t="s">
        <v>171</v>
      </c>
      <c r="D424" s="3"/>
      <c r="E424" s="758"/>
      <c r="F424" s="753"/>
      <c r="G424" s="758"/>
      <c r="H424" s="758"/>
      <c r="I424" s="519"/>
      <c r="J424" s="758"/>
      <c r="K424" s="758"/>
      <c r="L424" s="758"/>
      <c r="M424" s="758"/>
      <c r="N424" s="758"/>
      <c r="O424" s="758"/>
      <c r="P424" s="758"/>
      <c r="Q424" s="519"/>
      <c r="R424" s="917">
        <f t="shared" si="70"/>
        <v>0</v>
      </c>
      <c r="S424" s="519"/>
      <c r="T424" s="760">
        <f t="shared" si="71"/>
        <v>0</v>
      </c>
      <c r="AD424" s="753"/>
    </row>
    <row r="425" spans="1:30" s="520" customFormat="1" ht="12.6" thickBot="1">
      <c r="A425" s="761" t="s">
        <v>145</v>
      </c>
      <c r="B425" s="762">
        <f>(R424+T424)</f>
        <v>0</v>
      </c>
      <c r="C425" s="763"/>
      <c r="D425" s="937" t="s">
        <v>172</v>
      </c>
      <c r="E425" s="477">
        <f ca="1">IF($B417=0,0,ROUND(ROUND(($R425*$S$2+($T425*$T$2))/$B417, 2)*$C$2,2))</f>
        <v>14.48</v>
      </c>
      <c r="F425" s="478">
        <f ca="1">ROUND($B417*$E425,2)</f>
        <v>2896</v>
      </c>
      <c r="G425" s="763"/>
      <c r="H425" s="763"/>
      <c r="I425" s="765"/>
      <c r="J425" s="763"/>
      <c r="K425" s="938" t="s">
        <v>143</v>
      </c>
      <c r="L425" s="766" t="s">
        <v>143</v>
      </c>
      <c r="M425" s="766"/>
      <c r="N425" s="766"/>
      <c r="O425" s="766"/>
      <c r="P425" s="766"/>
      <c r="Q425" s="938"/>
      <c r="R425" s="939">
        <f ca="1">SUM(R418:R424)</f>
        <v>1720</v>
      </c>
      <c r="S425" s="940"/>
      <c r="T425" s="939">
        <f ca="1">SUM(T418:T424)</f>
        <v>23.004000000000001</v>
      </c>
      <c r="U425" s="531"/>
      <c r="V425" s="531"/>
      <c r="W425" s="531"/>
      <c r="X425" s="531"/>
      <c r="Y425" s="531"/>
      <c r="Z425" s="531"/>
      <c r="AA425" s="531"/>
      <c r="AB425" s="531"/>
      <c r="AD425" s="478">
        <v>3170</v>
      </c>
    </row>
    <row r="426" spans="1:30" s="520" customFormat="1" ht="12" thickTop="1">
      <c r="A426" s="51"/>
      <c r="B426" s="51"/>
      <c r="C426" s="51"/>
      <c r="D426" s="51"/>
      <c r="E426" s="51"/>
      <c r="F426" s="51"/>
      <c r="G426" s="51"/>
      <c r="H426" s="51"/>
      <c r="I426" s="51"/>
      <c r="J426" s="51"/>
      <c r="K426" s="51"/>
      <c r="L426" s="51"/>
      <c r="M426" s="51"/>
      <c r="N426" s="51"/>
      <c r="O426" s="52"/>
      <c r="P426" s="51"/>
      <c r="Q426" s="42" t="s">
        <v>168</v>
      </c>
      <c r="R426" s="51"/>
      <c r="S426" s="13"/>
      <c r="T426" s="51"/>
      <c r="AD426" s="51"/>
    </row>
    <row r="427" spans="1:30" s="520" customFormat="1" ht="12" customHeight="1" thickBot="1">
      <c r="A427" s="927">
        <v>5</v>
      </c>
      <c r="B427" s="928">
        <f ca="1">Elec_Est!B11587</f>
        <v>5</v>
      </c>
      <c r="C427" s="929"/>
      <c r="D427" s="930" t="s">
        <v>3544</v>
      </c>
      <c r="E427" s="931"/>
      <c r="F427" s="931"/>
      <c r="G427" s="752"/>
      <c r="H427" s="752"/>
      <c r="I427" s="932"/>
      <c r="J427" s="752"/>
      <c r="K427" s="929" t="s">
        <v>169</v>
      </c>
      <c r="L427" s="933" t="s">
        <v>169</v>
      </c>
      <c r="M427" s="933"/>
      <c r="N427" s="933"/>
      <c r="O427" s="933"/>
      <c r="P427" s="933"/>
      <c r="Q427" s="934">
        <f ca="1">B427/A427</f>
        <v>1</v>
      </c>
      <c r="R427" s="935">
        <f ca="1">IF($B427=0,0,IF($S$1="R",ROUND(R435/$B427,2),R435/$B427))</f>
        <v>6.74</v>
      </c>
      <c r="S427" s="936"/>
      <c r="T427" s="935">
        <f ca="1">IF($B427=0,0,IF($S$1="R",ROUND(T435/$B427,2),T435/$B427))</f>
        <v>0.23</v>
      </c>
      <c r="AD427" s="931"/>
    </row>
    <row r="428" spans="1:30" s="520" customFormat="1" ht="13.8" thickTop="1">
      <c r="A428" s="748"/>
      <c r="B428" s="3"/>
      <c r="C428" s="3"/>
      <c r="D428" s="106" t="s">
        <v>170</v>
      </c>
      <c r="E428" s="3"/>
      <c r="F428" s="3"/>
      <c r="G428" s="3"/>
      <c r="H428" s="3"/>
      <c r="I428" s="3"/>
      <c r="J428" s="3"/>
      <c r="K428" s="3"/>
      <c r="L428" s="3"/>
      <c r="M428" s="3"/>
      <c r="N428" s="3"/>
      <c r="O428" s="107"/>
      <c r="P428" s="3"/>
      <c r="Q428" s="3"/>
      <c r="R428" s="3"/>
      <c r="S428" s="3"/>
      <c r="T428" s="3"/>
      <c r="AD428" s="3"/>
    </row>
    <row r="429" spans="1:30" s="901" customFormat="1">
      <c r="A429" s="1057">
        <f ca="1">$Q$427 *(5)</f>
        <v>5</v>
      </c>
      <c r="B429" s="901" t="s">
        <v>320</v>
      </c>
      <c r="D429" s="901" t="s">
        <v>2682</v>
      </c>
      <c r="F429" s="1054" t="s">
        <v>3211</v>
      </c>
      <c r="G429" s="941" t="s">
        <v>2683</v>
      </c>
      <c r="H429" s="942">
        <v>616</v>
      </c>
      <c r="I429" s="901" t="s">
        <v>2272</v>
      </c>
      <c r="J429" s="901" t="s">
        <v>2679</v>
      </c>
      <c r="K429" s="901" t="s">
        <v>2684</v>
      </c>
      <c r="O429" s="943">
        <v>2</v>
      </c>
      <c r="P429" s="944"/>
      <c r="Q429" s="1194">
        <f>4.67*0.96</f>
        <v>4.4832000000000001</v>
      </c>
      <c r="R429" s="946">
        <f t="shared" ref="R429:R434" ca="1" si="72">$A429*Q429</f>
        <v>22.416</v>
      </c>
      <c r="S429" s="1193">
        <f>0.9 *(0.08)</f>
        <v>7.2000000000000008E-2</v>
      </c>
      <c r="T429" s="947">
        <f t="shared" ref="T429:T434" ca="1" si="73">$A429*S429*$T$1</f>
        <v>0.32400000000000007</v>
      </c>
      <c r="AD429" s="1054" t="s">
        <v>3211</v>
      </c>
    </row>
    <row r="430" spans="1:30" s="901" customFormat="1">
      <c r="A430" s="1057">
        <f ca="1">$Q$427 *(5)</f>
        <v>5</v>
      </c>
      <c r="B430" s="901" t="s">
        <v>141</v>
      </c>
      <c r="D430" s="901" t="s">
        <v>2605</v>
      </c>
      <c r="G430" s="941" t="s">
        <v>2606</v>
      </c>
      <c r="H430" s="942">
        <v>875</v>
      </c>
      <c r="I430" s="901" t="s">
        <v>2607</v>
      </c>
      <c r="K430" s="901" t="s">
        <v>2608</v>
      </c>
      <c r="O430" s="943">
        <v>1</v>
      </c>
      <c r="P430" s="944">
        <v>34669</v>
      </c>
      <c r="Q430" s="945">
        <v>0.05</v>
      </c>
      <c r="R430" s="946">
        <f t="shared" ca="1" si="72"/>
        <v>0.25</v>
      </c>
      <c r="S430" s="945"/>
      <c r="T430" s="947">
        <f t="shared" ca="1" si="73"/>
        <v>0</v>
      </c>
    </row>
    <row r="431" spans="1:30" s="901" customFormat="1">
      <c r="A431" s="1057">
        <f ca="1">$Q$427 *(2)</f>
        <v>2</v>
      </c>
      <c r="B431" s="901" t="s">
        <v>141</v>
      </c>
      <c r="D431" s="901" t="s">
        <v>2685</v>
      </c>
      <c r="G431" s="941" t="s">
        <v>2686</v>
      </c>
      <c r="H431" s="942">
        <v>620</v>
      </c>
      <c r="I431" s="901" t="s">
        <v>2611</v>
      </c>
      <c r="O431" s="943">
        <v>2</v>
      </c>
      <c r="P431" s="944">
        <v>35431</v>
      </c>
      <c r="Q431" s="945">
        <v>3.59</v>
      </c>
      <c r="R431" s="946">
        <f t="shared" ca="1" si="72"/>
        <v>7.18</v>
      </c>
      <c r="S431" s="945">
        <v>0.2</v>
      </c>
      <c r="T431" s="947">
        <f t="shared" ca="1" si="73"/>
        <v>0.36000000000000004</v>
      </c>
    </row>
    <row r="432" spans="1:30" s="901" customFormat="1">
      <c r="A432" s="1057">
        <f ca="1">$Q$427 *(2)</f>
        <v>2</v>
      </c>
      <c r="B432" s="901" t="s">
        <v>320</v>
      </c>
      <c r="D432" s="901" t="s">
        <v>2653</v>
      </c>
      <c r="G432" s="941" t="s">
        <v>2654</v>
      </c>
      <c r="H432" s="942">
        <v>620</v>
      </c>
      <c r="I432" s="901" t="s">
        <v>2607</v>
      </c>
      <c r="O432" s="943">
        <v>2</v>
      </c>
      <c r="P432" s="944">
        <v>38148</v>
      </c>
      <c r="Q432" s="945">
        <v>1.5</v>
      </c>
      <c r="R432" s="946">
        <f t="shared" ca="1" si="72"/>
        <v>3</v>
      </c>
      <c r="S432" s="945">
        <v>0.08</v>
      </c>
      <c r="T432" s="947">
        <f t="shared" ca="1" si="73"/>
        <v>0.14400000000000002</v>
      </c>
    </row>
    <row r="433" spans="1:30" s="901" customFormat="1">
      <c r="A433" s="1057">
        <f ca="1">$Q$427 *(6)</f>
        <v>6</v>
      </c>
      <c r="B433" s="901" t="s">
        <v>141</v>
      </c>
      <c r="D433" s="901" t="s">
        <v>2680</v>
      </c>
      <c r="G433" s="941" t="s">
        <v>2681</v>
      </c>
      <c r="H433" s="942">
        <v>620</v>
      </c>
      <c r="I433" s="901" t="s">
        <v>2614</v>
      </c>
      <c r="O433" s="943">
        <v>2</v>
      </c>
      <c r="P433" s="944">
        <v>34669</v>
      </c>
      <c r="Q433" s="945">
        <v>0.14000000000000001</v>
      </c>
      <c r="R433" s="946">
        <f t="shared" ca="1" si="72"/>
        <v>0.84000000000000008</v>
      </c>
      <c r="S433" s="945">
        <v>0.06</v>
      </c>
      <c r="T433" s="947">
        <f t="shared" ca="1" si="73"/>
        <v>0.32400000000000001</v>
      </c>
    </row>
    <row r="434" spans="1:30" s="520" customFormat="1">
      <c r="A434" s="758"/>
      <c r="B434" s="3"/>
      <c r="C434" s="758" t="s">
        <v>171</v>
      </c>
      <c r="D434" s="3"/>
      <c r="E434" s="758"/>
      <c r="F434" s="753"/>
      <c r="G434" s="758"/>
      <c r="H434" s="758"/>
      <c r="I434" s="519"/>
      <c r="J434" s="758"/>
      <c r="K434" s="758"/>
      <c r="L434" s="758"/>
      <c r="M434" s="758"/>
      <c r="N434" s="758"/>
      <c r="O434" s="758"/>
      <c r="P434" s="758"/>
      <c r="Q434" s="519"/>
      <c r="R434" s="917">
        <f t="shared" si="72"/>
        <v>0</v>
      </c>
      <c r="S434" s="519"/>
      <c r="T434" s="760">
        <f t="shared" si="73"/>
        <v>0</v>
      </c>
      <c r="AD434" s="753"/>
    </row>
    <row r="435" spans="1:30" s="520" customFormat="1" ht="12.6" thickBot="1">
      <c r="A435" s="761" t="s">
        <v>145</v>
      </c>
      <c r="B435" s="762">
        <f>(R434+T434)</f>
        <v>0</v>
      </c>
      <c r="C435" s="763"/>
      <c r="D435" s="937" t="s">
        <v>172</v>
      </c>
      <c r="E435" s="477">
        <f ca="1">IF($B427=0,0,ROUND(ROUND(($R435*$S$2+($T435*$T$2))/$B427, 2)*$C$2,2))</f>
        <v>16.09</v>
      </c>
      <c r="F435" s="478">
        <f ca="1">ROUND($B427*$E435,2)</f>
        <v>80.45</v>
      </c>
      <c r="G435" s="763"/>
      <c r="H435" s="763"/>
      <c r="I435" s="765"/>
      <c r="J435" s="763"/>
      <c r="K435" s="938" t="s">
        <v>143</v>
      </c>
      <c r="L435" s="766" t="s">
        <v>143</v>
      </c>
      <c r="M435" s="766"/>
      <c r="N435" s="766"/>
      <c r="O435" s="766"/>
      <c r="P435" s="766"/>
      <c r="Q435" s="938"/>
      <c r="R435" s="939">
        <f ca="1">SUM(R428:R434)</f>
        <v>33.686000000000007</v>
      </c>
      <c r="S435" s="940"/>
      <c r="T435" s="939">
        <f ca="1">SUM(T428:T434)</f>
        <v>1.1520000000000001</v>
      </c>
      <c r="U435" s="531"/>
      <c r="V435" s="531"/>
      <c r="W435" s="531"/>
      <c r="X435" s="531"/>
      <c r="Y435" s="531"/>
      <c r="Z435" s="531"/>
      <c r="AA435" s="531"/>
      <c r="AB435" s="531"/>
      <c r="AD435" s="478">
        <v>89.7</v>
      </c>
    </row>
    <row r="436" spans="1:30" s="520" customFormat="1" ht="12" thickTop="1">
      <c r="A436" s="51"/>
      <c r="B436" s="51"/>
      <c r="C436" s="51"/>
      <c r="D436" s="51"/>
      <c r="E436" s="51"/>
      <c r="F436" s="51"/>
      <c r="G436" s="51"/>
      <c r="H436" s="51"/>
      <c r="I436" s="51"/>
      <c r="J436" s="51"/>
      <c r="K436" s="51"/>
      <c r="L436" s="51"/>
      <c r="M436" s="51"/>
      <c r="N436" s="51"/>
      <c r="O436" s="52"/>
      <c r="P436" s="51"/>
      <c r="Q436" s="42" t="s">
        <v>168</v>
      </c>
      <c r="R436" s="51"/>
      <c r="S436" s="13"/>
      <c r="T436" s="51"/>
      <c r="AD436" s="51"/>
    </row>
    <row r="437" spans="1:30" s="520" customFormat="1" ht="12" customHeight="1" thickBot="1">
      <c r="A437" s="927">
        <v>2625</v>
      </c>
      <c r="B437" s="928">
        <f ca="1">Elec_Est!B11588</f>
        <v>1810</v>
      </c>
      <c r="C437" s="929"/>
      <c r="D437" s="930" t="s">
        <v>3545</v>
      </c>
      <c r="E437" s="931"/>
      <c r="F437" s="931"/>
      <c r="G437" s="752"/>
      <c r="H437" s="752"/>
      <c r="I437" s="932"/>
      <c r="J437" s="752"/>
      <c r="K437" s="929" t="s">
        <v>169</v>
      </c>
      <c r="L437" s="933" t="s">
        <v>169</v>
      </c>
      <c r="M437" s="933"/>
      <c r="N437" s="933"/>
      <c r="O437" s="933"/>
      <c r="P437" s="933"/>
      <c r="Q437" s="934">
        <f ca="1">B437/A437</f>
        <v>0.68952380952380954</v>
      </c>
      <c r="R437" s="935">
        <f ca="1">IF($B437=0,0,IF($S$1="R",ROUND(R446/$B437,2),R446/$B437))</f>
        <v>5.61</v>
      </c>
      <c r="S437" s="936"/>
      <c r="T437" s="935">
        <f ca="1">IF($B437=0,0,IF($S$1="R",ROUND(T446/$B437,2),T446/$B437))</f>
        <v>0.09</v>
      </c>
      <c r="AD437" s="931"/>
    </row>
    <row r="438" spans="1:30" s="520" customFormat="1" ht="13.8" thickTop="1">
      <c r="A438" s="748"/>
      <c r="B438" s="3"/>
      <c r="C438" s="3"/>
      <c r="D438" s="106" t="s">
        <v>170</v>
      </c>
      <c r="E438" s="3"/>
      <c r="F438" s="3"/>
      <c r="G438" s="3"/>
      <c r="H438" s="3"/>
      <c r="I438" s="3"/>
      <c r="J438" s="3"/>
      <c r="K438" s="3"/>
      <c r="L438" s="3"/>
      <c r="M438" s="3"/>
      <c r="N438" s="3"/>
      <c r="O438" s="107"/>
      <c r="P438" s="3"/>
      <c r="Q438" s="3"/>
      <c r="R438" s="3"/>
      <c r="S438" s="3"/>
      <c r="T438" s="3"/>
      <c r="AD438" s="3"/>
    </row>
    <row r="439" spans="1:30" s="901" customFormat="1">
      <c r="A439" s="1057">
        <f ca="1">$Q$437 *(2625)</f>
        <v>1810</v>
      </c>
      <c r="B439" s="901" t="s">
        <v>320</v>
      </c>
      <c r="D439" s="901" t="s">
        <v>2687</v>
      </c>
      <c r="F439" s="1054" t="s">
        <v>3277</v>
      </c>
      <c r="G439" s="941" t="s">
        <v>2688</v>
      </c>
      <c r="H439" s="942">
        <v>616</v>
      </c>
      <c r="I439" s="901" t="s">
        <v>2689</v>
      </c>
      <c r="J439" s="901" t="s">
        <v>2690</v>
      </c>
      <c r="O439" s="943">
        <v>2</v>
      </c>
      <c r="P439" s="944">
        <v>40767</v>
      </c>
      <c r="Q439" s="1194">
        <f>5.49*0.96</f>
        <v>5.2704000000000004</v>
      </c>
      <c r="R439" s="946">
        <f t="shared" ref="R439:R445" ca="1" si="74">$A439*Q439</f>
        <v>9539.4240000000009</v>
      </c>
      <c r="S439" s="1193">
        <f>0.9 *(0.08)</f>
        <v>7.2000000000000008E-2</v>
      </c>
      <c r="T439" s="947">
        <f t="shared" ref="T439:T445" ca="1" si="75">$A439*S439*$T$1</f>
        <v>117.28800000000003</v>
      </c>
      <c r="AD439" s="1054" t="s">
        <v>3277</v>
      </c>
    </row>
    <row r="440" spans="1:30" s="901" customFormat="1">
      <c r="A440" s="1057">
        <f ca="1">$Q$437 *(2625)</f>
        <v>1810</v>
      </c>
      <c r="B440" s="901" t="s">
        <v>141</v>
      </c>
      <c r="D440" s="901" t="s">
        <v>2605</v>
      </c>
      <c r="G440" s="941" t="s">
        <v>2606</v>
      </c>
      <c r="H440" s="942">
        <v>875</v>
      </c>
      <c r="I440" s="901" t="s">
        <v>2607</v>
      </c>
      <c r="K440" s="901" t="s">
        <v>2608</v>
      </c>
      <c r="O440" s="943">
        <v>1</v>
      </c>
      <c r="P440" s="944">
        <v>34669</v>
      </c>
      <c r="Q440" s="945">
        <v>0.05</v>
      </c>
      <c r="R440" s="946">
        <f t="shared" ca="1" si="74"/>
        <v>90.5</v>
      </c>
      <c r="S440" s="945"/>
      <c r="T440" s="947">
        <f t="shared" ca="1" si="75"/>
        <v>0</v>
      </c>
    </row>
    <row r="441" spans="1:30" s="901" customFormat="1">
      <c r="A441" s="1057">
        <f ca="1">$Q$437 *(114)</f>
        <v>78.605714285714285</v>
      </c>
      <c r="B441" s="901" t="s">
        <v>141</v>
      </c>
      <c r="D441" s="901" t="s">
        <v>2691</v>
      </c>
      <c r="G441" s="941" t="s">
        <v>2692</v>
      </c>
      <c r="H441" s="942">
        <v>620</v>
      </c>
      <c r="I441" s="901" t="s">
        <v>2611</v>
      </c>
      <c r="O441" s="943">
        <v>2</v>
      </c>
      <c r="P441" s="944">
        <v>35431</v>
      </c>
      <c r="Q441" s="945">
        <v>4.71</v>
      </c>
      <c r="R441" s="946">
        <f t="shared" ca="1" si="74"/>
        <v>370.23291428571429</v>
      </c>
      <c r="S441" s="945">
        <v>0.35000000000000003</v>
      </c>
      <c r="T441" s="947">
        <f t="shared" ca="1" si="75"/>
        <v>24.760800000000003</v>
      </c>
    </row>
    <row r="442" spans="1:30" s="901" customFormat="1">
      <c r="A442" s="1057">
        <f ca="1">$Q$437 *(114)</f>
        <v>78.605714285714285</v>
      </c>
      <c r="B442" s="901" t="s">
        <v>320</v>
      </c>
      <c r="D442" s="901" t="s">
        <v>2653</v>
      </c>
      <c r="G442" s="941" t="s">
        <v>2654</v>
      </c>
      <c r="H442" s="942">
        <v>620</v>
      </c>
      <c r="I442" s="901" t="s">
        <v>2607</v>
      </c>
      <c r="O442" s="943">
        <v>2</v>
      </c>
      <c r="P442" s="944">
        <v>38148</v>
      </c>
      <c r="Q442" s="945">
        <v>1.5</v>
      </c>
      <c r="R442" s="946">
        <f t="shared" ca="1" si="74"/>
        <v>117.90857142857143</v>
      </c>
      <c r="S442" s="945">
        <v>0.08</v>
      </c>
      <c r="T442" s="947">
        <f t="shared" ca="1" si="75"/>
        <v>5.659611428571429</v>
      </c>
    </row>
    <row r="443" spans="1:30" s="901" customFormat="1">
      <c r="A443" s="1057">
        <f ca="1">$Q$437 *(570)</f>
        <v>393.02857142857141</v>
      </c>
      <c r="B443" s="901" t="s">
        <v>141</v>
      </c>
      <c r="D443" s="901" t="s">
        <v>2693</v>
      </c>
      <c r="G443" s="941" t="s">
        <v>2694</v>
      </c>
      <c r="H443" s="942">
        <v>620</v>
      </c>
      <c r="I443" s="901" t="s">
        <v>2614</v>
      </c>
      <c r="O443" s="943">
        <v>2</v>
      </c>
      <c r="P443" s="944">
        <v>34669</v>
      </c>
      <c r="Q443" s="945">
        <v>7.0000000000000007E-2</v>
      </c>
      <c r="R443" s="946">
        <f t="shared" ca="1" si="74"/>
        <v>27.512</v>
      </c>
      <c r="S443" s="945">
        <v>0.03</v>
      </c>
      <c r="T443" s="947">
        <f t="shared" ca="1" si="75"/>
        <v>10.611771428571428</v>
      </c>
    </row>
    <row r="444" spans="1:30" s="901" customFormat="1" ht="11.4">
      <c r="D444" s="1062" t="s">
        <v>3768</v>
      </c>
      <c r="G444" s="941"/>
      <c r="H444" s="942"/>
      <c r="O444" s="943"/>
      <c r="P444" s="944"/>
      <c r="Q444" s="945"/>
      <c r="R444" s="946"/>
      <c r="S444" s="945"/>
      <c r="T444" s="947"/>
    </row>
    <row r="445" spans="1:30" s="520" customFormat="1">
      <c r="A445" s="758"/>
      <c r="B445" s="3"/>
      <c r="C445" s="758" t="s">
        <v>171</v>
      </c>
      <c r="D445" s="3"/>
      <c r="E445" s="758"/>
      <c r="F445" s="753"/>
      <c r="G445" s="758"/>
      <c r="H445" s="758"/>
      <c r="I445" s="519"/>
      <c r="J445" s="758"/>
      <c r="K445" s="758"/>
      <c r="L445" s="758"/>
      <c r="M445" s="758"/>
      <c r="N445" s="758"/>
      <c r="O445" s="758"/>
      <c r="P445" s="758"/>
      <c r="Q445" s="519"/>
      <c r="R445" s="917">
        <f t="shared" si="74"/>
        <v>0</v>
      </c>
      <c r="S445" s="519"/>
      <c r="T445" s="760">
        <f t="shared" si="75"/>
        <v>0</v>
      </c>
      <c r="AD445" s="753"/>
    </row>
    <row r="446" spans="1:30" s="520" customFormat="1" ht="12.6" thickBot="1">
      <c r="A446" s="761" t="s">
        <v>145</v>
      </c>
      <c r="B446" s="762">
        <f>(R445+T445)</f>
        <v>0</v>
      </c>
      <c r="C446" s="763"/>
      <c r="D446" s="937" t="s">
        <v>172</v>
      </c>
      <c r="E446" s="477">
        <f ca="1">IF($B437=0,0,ROUND(ROUND(($R446*$S$2+($T446*$T$2))/$B437, 2)*$C$2,2))</f>
        <v>9.86</v>
      </c>
      <c r="F446" s="478">
        <f ca="1">ROUND($B437*$E446,2)</f>
        <v>17846.599999999999</v>
      </c>
      <c r="G446" s="763"/>
      <c r="H446" s="763"/>
      <c r="I446" s="765"/>
      <c r="J446" s="763"/>
      <c r="K446" s="938" t="s">
        <v>143</v>
      </c>
      <c r="L446" s="766" t="s">
        <v>143</v>
      </c>
      <c r="M446" s="766"/>
      <c r="N446" s="766"/>
      <c r="O446" s="766"/>
      <c r="P446" s="766"/>
      <c r="Q446" s="938"/>
      <c r="R446" s="939">
        <f ca="1">SUM(R438:R445)</f>
        <v>10145.577485714288</v>
      </c>
      <c r="S446" s="940"/>
      <c r="T446" s="939">
        <f ca="1">SUM(T438:T445)</f>
        <v>158.32018285714287</v>
      </c>
      <c r="U446" s="531"/>
      <c r="V446" s="531"/>
      <c r="W446" s="531"/>
      <c r="X446" s="531"/>
      <c r="Y446" s="531"/>
      <c r="Z446" s="531"/>
      <c r="AA446" s="531"/>
      <c r="AB446" s="531"/>
      <c r="AD446" s="478">
        <v>28586.25</v>
      </c>
    </row>
    <row r="447" spans="1:30" s="520" customFormat="1" ht="12" thickTop="1">
      <c r="A447" s="51"/>
      <c r="B447" s="51"/>
      <c r="C447" s="51"/>
      <c r="D447" s="51"/>
      <c r="E447" s="51"/>
      <c r="F447" s="51"/>
      <c r="G447" s="51"/>
      <c r="H447" s="51"/>
      <c r="I447" s="51"/>
      <c r="J447" s="51"/>
      <c r="K447" s="51"/>
      <c r="L447" s="51"/>
      <c r="M447" s="51"/>
      <c r="N447" s="51"/>
      <c r="O447" s="52"/>
      <c r="P447" s="51"/>
      <c r="Q447" s="42" t="s">
        <v>168</v>
      </c>
      <c r="R447" s="51"/>
      <c r="S447" s="13"/>
      <c r="T447" s="51"/>
      <c r="AD447" s="51"/>
    </row>
    <row r="448" spans="1:30" s="520" customFormat="1" ht="12" customHeight="1" thickBot="1">
      <c r="A448" s="927">
        <v>20</v>
      </c>
      <c r="B448" s="928">
        <f ca="1">Elec_Est!B11589</f>
        <v>20</v>
      </c>
      <c r="C448" s="929"/>
      <c r="D448" s="930" t="s">
        <v>3546</v>
      </c>
      <c r="E448" s="931"/>
      <c r="F448" s="931"/>
      <c r="G448" s="752"/>
      <c r="H448" s="752"/>
      <c r="I448" s="932"/>
      <c r="J448" s="752"/>
      <c r="K448" s="929" t="s">
        <v>169</v>
      </c>
      <c r="L448" s="933" t="s">
        <v>169</v>
      </c>
      <c r="M448" s="933"/>
      <c r="N448" s="933"/>
      <c r="O448" s="933"/>
      <c r="P448" s="933"/>
      <c r="Q448" s="934">
        <f ca="1">B448/A448</f>
        <v>1</v>
      </c>
      <c r="R448" s="935">
        <f ca="1">IF($B448=0,0,IF($S$1="R",ROUND(R456/$B448,2),R456/$B448))</f>
        <v>4.83</v>
      </c>
      <c r="S448" s="936"/>
      <c r="T448" s="935">
        <f ca="1">IF($B448=0,0,IF($S$1="R",ROUND(T456/$B448,2),T456/$B448))</f>
        <v>0.17</v>
      </c>
      <c r="AD448" s="931"/>
    </row>
    <row r="449" spans="1:30" s="520" customFormat="1" ht="13.8" thickTop="1">
      <c r="A449" s="748"/>
      <c r="B449" s="3"/>
      <c r="C449" s="3"/>
      <c r="D449" s="106" t="s">
        <v>170</v>
      </c>
      <c r="E449" s="3"/>
      <c r="F449" s="3"/>
      <c r="G449" s="3"/>
      <c r="H449" s="3"/>
      <c r="I449" s="3"/>
      <c r="J449" s="3"/>
      <c r="K449" s="3"/>
      <c r="L449" s="3"/>
      <c r="M449" s="3"/>
      <c r="N449" s="3"/>
      <c r="O449" s="107"/>
      <c r="P449" s="3"/>
      <c r="Q449" s="3"/>
      <c r="R449" s="3"/>
      <c r="S449" s="3"/>
      <c r="T449" s="3"/>
      <c r="AD449" s="3"/>
    </row>
    <row r="450" spans="1:30" s="901" customFormat="1">
      <c r="A450" s="1057">
        <f ca="1">$Q$448 *(20)</f>
        <v>20</v>
      </c>
      <c r="B450" s="901" t="s">
        <v>320</v>
      </c>
      <c r="D450" s="901" t="s">
        <v>2695</v>
      </c>
      <c r="F450" s="1054" t="s">
        <v>3211</v>
      </c>
      <c r="G450" s="941" t="s">
        <v>2696</v>
      </c>
      <c r="H450" s="942">
        <v>616</v>
      </c>
      <c r="I450" s="901" t="s">
        <v>2607</v>
      </c>
      <c r="J450" s="901" t="s">
        <v>2690</v>
      </c>
      <c r="K450" s="901" t="s">
        <v>2697</v>
      </c>
      <c r="O450" s="943">
        <v>2</v>
      </c>
      <c r="P450" s="944">
        <v>39583</v>
      </c>
      <c r="Q450" s="1194">
        <f>2.78*0.96</f>
        <v>2.6687999999999996</v>
      </c>
      <c r="R450" s="946">
        <f t="shared" ref="R450:R455" ca="1" si="76">$A450*Q450</f>
        <v>53.375999999999991</v>
      </c>
      <c r="S450" s="1193">
        <f>0.9 *(0.05)</f>
        <v>4.5000000000000005E-2</v>
      </c>
      <c r="T450" s="947">
        <f t="shared" ref="T450:T455" ca="1" si="77">$A450*S450*$T$1</f>
        <v>0.81000000000000016</v>
      </c>
      <c r="AD450" s="1054" t="s">
        <v>3211</v>
      </c>
    </row>
    <row r="451" spans="1:30" s="901" customFormat="1">
      <c r="A451" s="1057">
        <f ca="1">$Q$448 *(20)</f>
        <v>20</v>
      </c>
      <c r="B451" s="901" t="s">
        <v>141</v>
      </c>
      <c r="D451" s="901" t="s">
        <v>2605</v>
      </c>
      <c r="G451" s="941" t="s">
        <v>2606</v>
      </c>
      <c r="H451" s="942">
        <v>875</v>
      </c>
      <c r="I451" s="901" t="s">
        <v>2607</v>
      </c>
      <c r="K451" s="901" t="s">
        <v>2608</v>
      </c>
      <c r="O451" s="943">
        <v>1</v>
      </c>
      <c r="P451" s="944">
        <v>34669</v>
      </c>
      <c r="Q451" s="945">
        <v>0.05</v>
      </c>
      <c r="R451" s="946">
        <f t="shared" ca="1" si="76"/>
        <v>1</v>
      </c>
      <c r="S451" s="945"/>
      <c r="T451" s="947">
        <f t="shared" ca="1" si="77"/>
        <v>0</v>
      </c>
    </row>
    <row r="452" spans="1:30" s="901" customFormat="1">
      <c r="A452" s="1057">
        <f ca="1">$Q$448 *(8)</f>
        <v>8</v>
      </c>
      <c r="B452" s="901" t="s">
        <v>141</v>
      </c>
      <c r="D452" s="901" t="s">
        <v>2698</v>
      </c>
      <c r="G452" s="941" t="s">
        <v>2699</v>
      </c>
      <c r="H452" s="942">
        <v>620</v>
      </c>
      <c r="I452" s="901" t="s">
        <v>2611</v>
      </c>
      <c r="O452" s="943">
        <v>2</v>
      </c>
      <c r="P452" s="944">
        <v>35431</v>
      </c>
      <c r="Q452" s="945">
        <v>3.56</v>
      </c>
      <c r="R452" s="946">
        <f t="shared" ca="1" si="76"/>
        <v>28.48</v>
      </c>
      <c r="S452" s="945">
        <v>0.2</v>
      </c>
      <c r="T452" s="947">
        <f t="shared" ca="1" si="77"/>
        <v>1.4400000000000002</v>
      </c>
    </row>
    <row r="453" spans="1:30" s="901" customFormat="1">
      <c r="A453" s="1057">
        <f ca="1">$Q$448 *(8)</f>
        <v>8</v>
      </c>
      <c r="B453" s="901" t="s">
        <v>320</v>
      </c>
      <c r="D453" s="901" t="s">
        <v>2653</v>
      </c>
      <c r="G453" s="941" t="s">
        <v>2654</v>
      </c>
      <c r="H453" s="942">
        <v>620</v>
      </c>
      <c r="I453" s="901" t="s">
        <v>2607</v>
      </c>
      <c r="O453" s="943">
        <v>2</v>
      </c>
      <c r="P453" s="944">
        <v>38148</v>
      </c>
      <c r="Q453" s="945">
        <v>1.5</v>
      </c>
      <c r="R453" s="946">
        <f t="shared" ca="1" si="76"/>
        <v>12</v>
      </c>
      <c r="S453" s="945">
        <v>0.08</v>
      </c>
      <c r="T453" s="947">
        <f t="shared" ca="1" si="77"/>
        <v>0.57600000000000007</v>
      </c>
    </row>
    <row r="454" spans="1:30" s="901" customFormat="1">
      <c r="A454" s="1057">
        <f ca="1">$Q$448 *(24)</f>
        <v>24</v>
      </c>
      <c r="B454" s="901" t="s">
        <v>141</v>
      </c>
      <c r="D454" s="901" t="s">
        <v>2693</v>
      </c>
      <c r="G454" s="941" t="s">
        <v>2694</v>
      </c>
      <c r="H454" s="942">
        <v>620</v>
      </c>
      <c r="I454" s="901" t="s">
        <v>2614</v>
      </c>
      <c r="O454" s="943">
        <v>2</v>
      </c>
      <c r="P454" s="944">
        <v>34669</v>
      </c>
      <c r="Q454" s="945">
        <v>7.0000000000000007E-2</v>
      </c>
      <c r="R454" s="946">
        <f t="shared" ca="1" si="76"/>
        <v>1.6800000000000002</v>
      </c>
      <c r="S454" s="945">
        <v>0.03</v>
      </c>
      <c r="T454" s="947">
        <f t="shared" ca="1" si="77"/>
        <v>0.64800000000000002</v>
      </c>
    </row>
    <row r="455" spans="1:30" s="520" customFormat="1">
      <c r="A455" s="758"/>
      <c r="B455" s="3"/>
      <c r="C455" s="758" t="s">
        <v>171</v>
      </c>
      <c r="D455" s="3"/>
      <c r="E455" s="758"/>
      <c r="F455" s="753"/>
      <c r="G455" s="758"/>
      <c r="H455" s="758"/>
      <c r="I455" s="519"/>
      <c r="J455" s="758"/>
      <c r="K455" s="758"/>
      <c r="L455" s="758"/>
      <c r="M455" s="758"/>
      <c r="N455" s="758"/>
      <c r="O455" s="758"/>
      <c r="P455" s="758"/>
      <c r="Q455" s="519"/>
      <c r="R455" s="917">
        <f t="shared" si="76"/>
        <v>0</v>
      </c>
      <c r="S455" s="519"/>
      <c r="T455" s="760">
        <f t="shared" si="77"/>
        <v>0</v>
      </c>
      <c r="AD455" s="753"/>
    </row>
    <row r="456" spans="1:30" s="520" customFormat="1" ht="12.6" thickBot="1">
      <c r="A456" s="761" t="s">
        <v>145</v>
      </c>
      <c r="B456" s="762">
        <f>(R455+T455)</f>
        <v>0</v>
      </c>
      <c r="C456" s="763"/>
      <c r="D456" s="937" t="s">
        <v>172</v>
      </c>
      <c r="E456" s="477">
        <f ca="1">IF($B448=0,0,ROUND(ROUND(($R456*$S$2+($T456*$T$2))/$B448, 2)*$C$2,2))</f>
        <v>11.82</v>
      </c>
      <c r="F456" s="478">
        <f ca="1">ROUND($B448*$E456,2)</f>
        <v>236.4</v>
      </c>
      <c r="G456" s="763"/>
      <c r="H456" s="763"/>
      <c r="I456" s="765"/>
      <c r="J456" s="763"/>
      <c r="K456" s="938" t="s">
        <v>143</v>
      </c>
      <c r="L456" s="766" t="s">
        <v>143</v>
      </c>
      <c r="M456" s="766"/>
      <c r="N456" s="766"/>
      <c r="O456" s="766"/>
      <c r="P456" s="766"/>
      <c r="Q456" s="938"/>
      <c r="R456" s="939">
        <f ca="1">SUM(R449:R455)</f>
        <v>96.536000000000001</v>
      </c>
      <c r="S456" s="940"/>
      <c r="T456" s="939">
        <f ca="1">SUM(T449:T455)</f>
        <v>3.4740000000000006</v>
      </c>
      <c r="U456" s="531"/>
      <c r="V456" s="531"/>
      <c r="W456" s="531"/>
      <c r="X456" s="531"/>
      <c r="Y456" s="531"/>
      <c r="Z456" s="531"/>
      <c r="AA456" s="531"/>
      <c r="AB456" s="531"/>
      <c r="AD456" s="478">
        <v>263.2</v>
      </c>
    </row>
    <row r="457" spans="1:30" s="520" customFormat="1" ht="12" thickTop="1">
      <c r="A457" s="51"/>
      <c r="B457" s="51"/>
      <c r="C457" s="51"/>
      <c r="D457" s="51"/>
      <c r="E457" s="51"/>
      <c r="F457" s="51"/>
      <c r="G457" s="51"/>
      <c r="H457" s="51"/>
      <c r="I457" s="51"/>
      <c r="J457" s="51"/>
      <c r="K457" s="51"/>
      <c r="L457" s="51"/>
      <c r="M457" s="51"/>
      <c r="N457" s="51"/>
      <c r="O457" s="52"/>
      <c r="P457" s="51"/>
      <c r="Q457" s="42" t="s">
        <v>168</v>
      </c>
      <c r="R457" s="51"/>
      <c r="S457" s="13"/>
      <c r="T457" s="51"/>
      <c r="AD457" s="51"/>
    </row>
    <row r="458" spans="1:30" s="520" customFormat="1" ht="12" customHeight="1" thickBot="1">
      <c r="A458" s="927">
        <v>150</v>
      </c>
      <c r="B458" s="928">
        <f ca="1">Elec_Est!B11590</f>
        <v>150</v>
      </c>
      <c r="C458" s="929"/>
      <c r="D458" s="930" t="s">
        <v>3547</v>
      </c>
      <c r="E458" s="931"/>
      <c r="F458" s="931"/>
      <c r="G458" s="752"/>
      <c r="H458" s="752"/>
      <c r="I458" s="932"/>
      <c r="J458" s="752"/>
      <c r="K458" s="929" t="s">
        <v>169</v>
      </c>
      <c r="L458" s="933" t="s">
        <v>169</v>
      </c>
      <c r="M458" s="933"/>
      <c r="N458" s="933"/>
      <c r="O458" s="933"/>
      <c r="P458" s="933"/>
      <c r="Q458" s="934">
        <f ca="1">B458/A458</f>
        <v>1</v>
      </c>
      <c r="R458" s="935">
        <f ca="1">IF($B458=0,0,IF($S$1="R",ROUND(R466/$B458,2),R466/$B458))</f>
        <v>11.05</v>
      </c>
      <c r="S458" s="936"/>
      <c r="T458" s="935">
        <f ca="1">IF($B458=0,0,IF($S$1="R",ROUND(T466/$B458,2),T466/$B458))</f>
        <v>0.08</v>
      </c>
      <c r="AD458" s="931"/>
    </row>
    <row r="459" spans="1:30" s="520" customFormat="1" ht="13.8" thickTop="1">
      <c r="A459" s="748"/>
      <c r="B459" s="3"/>
      <c r="C459" s="3"/>
      <c r="D459" s="106" t="s">
        <v>170</v>
      </c>
      <c r="E459" s="3"/>
      <c r="F459" s="3"/>
      <c r="G459" s="3"/>
      <c r="H459" s="3"/>
      <c r="I459" s="3"/>
      <c r="J459" s="3"/>
      <c r="K459" s="3"/>
      <c r="L459" s="3"/>
      <c r="M459" s="3"/>
      <c r="N459" s="3"/>
      <c r="O459" s="107"/>
      <c r="P459" s="3"/>
      <c r="Q459" s="3"/>
      <c r="R459" s="3"/>
      <c r="S459" s="3"/>
      <c r="T459" s="3"/>
      <c r="AD459" s="3"/>
    </row>
    <row r="460" spans="1:30" s="901" customFormat="1">
      <c r="A460" s="1057">
        <f ca="1">$Q$458 *(150)</f>
        <v>150</v>
      </c>
      <c r="B460" s="901" t="s">
        <v>320</v>
      </c>
      <c r="D460" s="901" t="s">
        <v>2700</v>
      </c>
      <c r="E460" s="1047" t="s">
        <v>2732</v>
      </c>
      <c r="F460" s="1054" t="s">
        <v>3277</v>
      </c>
      <c r="G460" s="941" t="s">
        <v>2701</v>
      </c>
      <c r="H460" s="942">
        <v>616</v>
      </c>
      <c r="I460" s="901" t="s">
        <v>2607</v>
      </c>
      <c r="J460" s="901" t="s">
        <v>2702</v>
      </c>
      <c r="K460" s="901" t="s">
        <v>2703</v>
      </c>
      <c r="O460" s="943">
        <v>2</v>
      </c>
      <c r="P460" s="944">
        <v>38371</v>
      </c>
      <c r="Q460" s="1194">
        <f>11.19*0.96</f>
        <v>10.7424</v>
      </c>
      <c r="R460" s="946">
        <f t="shared" ref="R460:R465" ca="1" si="78">$A460*Q460</f>
        <v>1611.36</v>
      </c>
      <c r="S460" s="1193">
        <f>0.9 *(0.07)</f>
        <v>6.3000000000000014E-2</v>
      </c>
      <c r="T460" s="947">
        <f t="shared" ref="T460:T465" ca="1" si="79">$A460*S460*$T$1</f>
        <v>8.5050000000000026</v>
      </c>
      <c r="AD460" s="1054" t="s">
        <v>3277</v>
      </c>
    </row>
    <row r="461" spans="1:30" s="901" customFormat="1">
      <c r="A461" s="1057">
        <f ca="1">$Q$458 *(150)</f>
        <v>150</v>
      </c>
      <c r="B461" s="901" t="s">
        <v>141</v>
      </c>
      <c r="D461" s="901" t="s">
        <v>2605</v>
      </c>
      <c r="G461" s="941" t="s">
        <v>2606</v>
      </c>
      <c r="H461" s="942">
        <v>875</v>
      </c>
      <c r="I461" s="901" t="s">
        <v>2607</v>
      </c>
      <c r="K461" s="901" t="s">
        <v>2608</v>
      </c>
      <c r="O461" s="943">
        <v>1</v>
      </c>
      <c r="P461" s="944">
        <v>34669</v>
      </c>
      <c r="Q461" s="945">
        <v>0.05</v>
      </c>
      <c r="R461" s="946">
        <f t="shared" ca="1" si="78"/>
        <v>7.5</v>
      </c>
      <c r="S461" s="945"/>
      <c r="T461" s="947">
        <f t="shared" ca="1" si="79"/>
        <v>0</v>
      </c>
    </row>
    <row r="462" spans="1:30" s="901" customFormat="1">
      <c r="A462" s="1057">
        <f ca="1">$Q$458 *(6)</f>
        <v>6</v>
      </c>
      <c r="B462" s="901" t="s">
        <v>141</v>
      </c>
      <c r="D462" s="901" t="s">
        <v>2691</v>
      </c>
      <c r="G462" s="941" t="s">
        <v>2692</v>
      </c>
      <c r="H462" s="942">
        <v>620</v>
      </c>
      <c r="I462" s="901" t="s">
        <v>2611</v>
      </c>
      <c r="O462" s="943">
        <v>2</v>
      </c>
      <c r="P462" s="944">
        <v>35431</v>
      </c>
      <c r="Q462" s="945">
        <v>4.71</v>
      </c>
      <c r="R462" s="946">
        <f t="shared" ca="1" si="78"/>
        <v>28.259999999999998</v>
      </c>
      <c r="S462" s="945">
        <v>0.35000000000000003</v>
      </c>
      <c r="T462" s="947">
        <f t="shared" ca="1" si="79"/>
        <v>1.8900000000000001</v>
      </c>
    </row>
    <row r="463" spans="1:30" s="901" customFormat="1">
      <c r="A463" s="1057">
        <f ca="1">$Q$458 *(6)</f>
        <v>6</v>
      </c>
      <c r="B463" s="901" t="s">
        <v>320</v>
      </c>
      <c r="D463" s="901" t="s">
        <v>2653</v>
      </c>
      <c r="G463" s="941" t="s">
        <v>2654</v>
      </c>
      <c r="H463" s="942">
        <v>620</v>
      </c>
      <c r="I463" s="901" t="s">
        <v>2607</v>
      </c>
      <c r="O463" s="943">
        <v>2</v>
      </c>
      <c r="P463" s="944">
        <v>38148</v>
      </c>
      <c r="Q463" s="945">
        <v>1.5</v>
      </c>
      <c r="R463" s="946">
        <f t="shared" ca="1" si="78"/>
        <v>9</v>
      </c>
      <c r="S463" s="945">
        <v>0.08</v>
      </c>
      <c r="T463" s="947">
        <f t="shared" ca="1" si="79"/>
        <v>0.432</v>
      </c>
    </row>
    <row r="464" spans="1:30" s="901" customFormat="1">
      <c r="A464" s="1057">
        <f ca="1">$Q$458 *(30)</f>
        <v>30</v>
      </c>
      <c r="B464" s="901" t="s">
        <v>141</v>
      </c>
      <c r="D464" s="901" t="s">
        <v>2704</v>
      </c>
      <c r="G464" s="941" t="s">
        <v>2705</v>
      </c>
      <c r="H464" s="942">
        <v>620</v>
      </c>
      <c r="I464" s="901" t="s">
        <v>2614</v>
      </c>
      <c r="O464" s="943">
        <v>2</v>
      </c>
      <c r="P464" s="944">
        <v>34669</v>
      </c>
      <c r="Q464" s="945">
        <v>0.05</v>
      </c>
      <c r="R464" s="946">
        <f t="shared" ca="1" si="78"/>
        <v>1.5</v>
      </c>
      <c r="S464" s="945">
        <v>0.02</v>
      </c>
      <c r="T464" s="947">
        <f t="shared" ca="1" si="79"/>
        <v>0.54</v>
      </c>
    </row>
    <row r="465" spans="1:30" s="520" customFormat="1">
      <c r="A465" s="758"/>
      <c r="B465" s="3"/>
      <c r="C465" s="758" t="s">
        <v>171</v>
      </c>
      <c r="D465" s="3"/>
      <c r="E465" s="758"/>
      <c r="F465" s="753"/>
      <c r="G465" s="758"/>
      <c r="H465" s="758"/>
      <c r="I465" s="519"/>
      <c r="J465" s="758"/>
      <c r="K465" s="758"/>
      <c r="L465" s="758"/>
      <c r="M465" s="758"/>
      <c r="N465" s="758"/>
      <c r="O465" s="758"/>
      <c r="P465" s="758"/>
      <c r="Q465" s="519"/>
      <c r="R465" s="917">
        <f t="shared" si="78"/>
        <v>0</v>
      </c>
      <c r="S465" s="519"/>
      <c r="T465" s="760">
        <f t="shared" si="79"/>
        <v>0</v>
      </c>
      <c r="AD465" s="753"/>
    </row>
    <row r="466" spans="1:30" s="520" customFormat="1" ht="12.6" thickBot="1">
      <c r="A466" s="761" t="s">
        <v>145</v>
      </c>
      <c r="B466" s="762">
        <f>(R465+T465)</f>
        <v>0</v>
      </c>
      <c r="C466" s="763"/>
      <c r="D466" s="937" t="s">
        <v>172</v>
      </c>
      <c r="E466" s="477">
        <f ca="1">IF($B458=0,0,ROUND(ROUND(($R466*$S$2+($T466*$T$2))/$B458, 2)*$C$2,2))</f>
        <v>16.170000000000002</v>
      </c>
      <c r="F466" s="478">
        <f ca="1">ROUND($B458*$E466,2)</f>
        <v>2425.5</v>
      </c>
      <c r="G466" s="763"/>
      <c r="H466" s="763"/>
      <c r="I466" s="765"/>
      <c r="J466" s="763"/>
      <c r="K466" s="938" t="s">
        <v>143</v>
      </c>
      <c r="L466" s="766" t="s">
        <v>143</v>
      </c>
      <c r="M466" s="766"/>
      <c r="N466" s="766"/>
      <c r="O466" s="766"/>
      <c r="P466" s="766"/>
      <c r="Q466" s="938"/>
      <c r="R466" s="939">
        <f ca="1">SUM(R459:R465)</f>
        <v>1657.62</v>
      </c>
      <c r="S466" s="940"/>
      <c r="T466" s="939">
        <f ca="1">SUM(T459:T465)</f>
        <v>11.367000000000004</v>
      </c>
      <c r="U466" s="531"/>
      <c r="V466" s="531"/>
      <c r="W466" s="531"/>
      <c r="X466" s="531"/>
      <c r="Y466" s="531"/>
      <c r="Z466" s="531"/>
      <c r="AA466" s="531"/>
      <c r="AB466" s="531"/>
      <c r="AD466" s="478">
        <v>2608.5</v>
      </c>
    </row>
    <row r="467" spans="1:30" s="520" customFormat="1" ht="12" thickTop="1">
      <c r="A467" s="51"/>
      <c r="B467" s="51"/>
      <c r="C467" s="51"/>
      <c r="D467" s="51"/>
      <c r="E467" s="51"/>
      <c r="F467" s="51"/>
      <c r="G467" s="51"/>
      <c r="H467" s="51"/>
      <c r="I467" s="51"/>
      <c r="J467" s="51"/>
      <c r="K467" s="51"/>
      <c r="L467" s="51"/>
      <c r="M467" s="51"/>
      <c r="N467" s="51"/>
      <c r="O467" s="52"/>
      <c r="P467" s="51"/>
      <c r="Q467" s="42" t="s">
        <v>168</v>
      </c>
      <c r="R467" s="51"/>
      <c r="S467" s="13"/>
      <c r="T467" s="51"/>
      <c r="AD467" s="51"/>
    </row>
    <row r="468" spans="1:30" s="520" customFormat="1" ht="12" customHeight="1" thickBot="1">
      <c r="A468" s="927">
        <v>240</v>
      </c>
      <c r="B468" s="928">
        <f ca="1">Elec_Est!B11591</f>
        <v>280</v>
      </c>
      <c r="C468" s="929"/>
      <c r="D468" s="930" t="s">
        <v>3548</v>
      </c>
      <c r="E468" s="931"/>
      <c r="F468" s="931"/>
      <c r="G468" s="752"/>
      <c r="H468" s="752"/>
      <c r="I468" s="932"/>
      <c r="J468" s="752"/>
      <c r="K468" s="929" t="s">
        <v>169</v>
      </c>
      <c r="L468" s="933" t="s">
        <v>169</v>
      </c>
      <c r="M468" s="933"/>
      <c r="N468" s="933"/>
      <c r="O468" s="933"/>
      <c r="P468" s="933"/>
      <c r="Q468" s="934">
        <f ca="1">B468/A468</f>
        <v>1.1666666666666667</v>
      </c>
      <c r="R468" s="935">
        <f ca="1">IF($B468=0,0,IF($S$1="R",ROUND(R476/$B468,2),R476/$B468))</f>
        <v>4.17</v>
      </c>
      <c r="S468" s="936"/>
      <c r="T468" s="935">
        <f ca="1">IF($B468=0,0,IF($S$1="R",ROUND(T476/$B468,2),T476/$B468))</f>
        <v>0.09</v>
      </c>
      <c r="AD468" s="931"/>
    </row>
    <row r="469" spans="1:30" s="520" customFormat="1" ht="13.8" thickTop="1">
      <c r="A469" s="748"/>
      <c r="B469" s="3"/>
      <c r="C469" s="3"/>
      <c r="D469" s="106" t="s">
        <v>170</v>
      </c>
      <c r="E469" s="3"/>
      <c r="F469" s="3"/>
      <c r="G469" s="3"/>
      <c r="H469" s="3"/>
      <c r="I469" s="3"/>
      <c r="J469" s="3"/>
      <c r="K469" s="3"/>
      <c r="L469" s="3"/>
      <c r="M469" s="3"/>
      <c r="N469" s="3"/>
      <c r="O469" s="107"/>
      <c r="P469" s="3"/>
      <c r="Q469" s="3"/>
      <c r="R469" s="3"/>
      <c r="S469" s="3"/>
      <c r="T469" s="3"/>
      <c r="AD469" s="3"/>
    </row>
    <row r="470" spans="1:30" s="901" customFormat="1">
      <c r="A470" s="1057">
        <f ca="1">$Q$468 *(240)</f>
        <v>280</v>
      </c>
      <c r="B470" s="901" t="s">
        <v>320</v>
      </c>
      <c r="D470" s="901" t="s">
        <v>2700</v>
      </c>
      <c r="F470" s="1054" t="s">
        <v>3277</v>
      </c>
      <c r="G470" s="941" t="s">
        <v>2701</v>
      </c>
      <c r="H470" s="942">
        <v>616</v>
      </c>
      <c r="I470" s="901" t="s">
        <v>2607</v>
      </c>
      <c r="J470" s="901" t="s">
        <v>2702</v>
      </c>
      <c r="K470" s="901" t="s">
        <v>2703</v>
      </c>
      <c r="O470" s="943">
        <v>2</v>
      </c>
      <c r="P470" s="944">
        <v>38371</v>
      </c>
      <c r="Q470" s="1194">
        <f>3.79*0.96</f>
        <v>3.6383999999999999</v>
      </c>
      <c r="R470" s="946">
        <f t="shared" ref="R470:R475" ca="1" si="80">$A470*Q470</f>
        <v>1018.752</v>
      </c>
      <c r="S470" s="1193">
        <f>0.9 *(0.07)</f>
        <v>6.3000000000000014E-2</v>
      </c>
      <c r="T470" s="947">
        <f t="shared" ref="T470:T475" ca="1" si="81">$A470*S470*$T$1</f>
        <v>15.876000000000005</v>
      </c>
      <c r="AD470" s="1054" t="s">
        <v>3277</v>
      </c>
    </row>
    <row r="471" spans="1:30" s="901" customFormat="1">
      <c r="A471" s="1057">
        <f ca="1">$Q$468 *(240)</f>
        <v>280</v>
      </c>
      <c r="B471" s="901" t="s">
        <v>141</v>
      </c>
      <c r="D471" s="901" t="s">
        <v>2605</v>
      </c>
      <c r="G471" s="941" t="s">
        <v>2606</v>
      </c>
      <c r="H471" s="942">
        <v>875</v>
      </c>
      <c r="I471" s="901" t="s">
        <v>2607</v>
      </c>
      <c r="K471" s="901" t="s">
        <v>2608</v>
      </c>
      <c r="O471" s="943">
        <v>1</v>
      </c>
      <c r="P471" s="944">
        <v>34669</v>
      </c>
      <c r="Q471" s="945">
        <v>0.05</v>
      </c>
      <c r="R471" s="946">
        <f t="shared" ca="1" si="80"/>
        <v>14</v>
      </c>
      <c r="S471" s="945"/>
      <c r="T471" s="947">
        <f t="shared" ca="1" si="81"/>
        <v>0</v>
      </c>
    </row>
    <row r="472" spans="1:30" s="901" customFormat="1">
      <c r="A472" s="1057">
        <f ca="1">$Q$468 *(18)</f>
        <v>21</v>
      </c>
      <c r="B472" s="901" t="s">
        <v>141</v>
      </c>
      <c r="D472" s="901" t="s">
        <v>2691</v>
      </c>
      <c r="G472" s="941" t="s">
        <v>2692</v>
      </c>
      <c r="H472" s="942">
        <v>620</v>
      </c>
      <c r="I472" s="901" t="s">
        <v>2611</v>
      </c>
      <c r="O472" s="943">
        <v>2</v>
      </c>
      <c r="P472" s="944">
        <v>35431</v>
      </c>
      <c r="Q472" s="945">
        <v>4.71</v>
      </c>
      <c r="R472" s="946">
        <f t="shared" ca="1" si="80"/>
        <v>98.91</v>
      </c>
      <c r="S472" s="945">
        <v>0.35000000000000003</v>
      </c>
      <c r="T472" s="947">
        <f t="shared" ca="1" si="81"/>
        <v>6.6150000000000002</v>
      </c>
    </row>
    <row r="473" spans="1:30" s="901" customFormat="1">
      <c r="A473" s="1057">
        <f ca="1">$Q$468 *(18)</f>
        <v>21</v>
      </c>
      <c r="B473" s="901" t="s">
        <v>320</v>
      </c>
      <c r="D473" s="901" t="s">
        <v>2653</v>
      </c>
      <c r="G473" s="941" t="s">
        <v>2654</v>
      </c>
      <c r="H473" s="942">
        <v>620</v>
      </c>
      <c r="I473" s="901" t="s">
        <v>2607</v>
      </c>
      <c r="O473" s="943">
        <v>2</v>
      </c>
      <c r="P473" s="944">
        <v>38148</v>
      </c>
      <c r="Q473" s="945">
        <v>1.5</v>
      </c>
      <c r="R473" s="946">
        <f t="shared" ca="1" si="80"/>
        <v>31.5</v>
      </c>
      <c r="S473" s="945">
        <v>0.08</v>
      </c>
      <c r="T473" s="947">
        <f t="shared" ca="1" si="81"/>
        <v>1.512</v>
      </c>
    </row>
    <row r="474" spans="1:30" s="901" customFormat="1">
      <c r="A474" s="1057">
        <f ca="1">$Q$468 *(18*5)</f>
        <v>105</v>
      </c>
      <c r="B474" s="901" t="s">
        <v>141</v>
      </c>
      <c r="D474" s="901" t="s">
        <v>2704</v>
      </c>
      <c r="G474" s="941" t="s">
        <v>2705</v>
      </c>
      <c r="H474" s="942">
        <v>620</v>
      </c>
      <c r="I474" s="901" t="s">
        <v>2614</v>
      </c>
      <c r="O474" s="943">
        <v>2</v>
      </c>
      <c r="P474" s="944">
        <v>34669</v>
      </c>
      <c r="Q474" s="945">
        <v>0.05</v>
      </c>
      <c r="R474" s="946">
        <f t="shared" ca="1" si="80"/>
        <v>5.25</v>
      </c>
      <c r="S474" s="945">
        <v>0.02</v>
      </c>
      <c r="T474" s="947">
        <f t="shared" ca="1" si="81"/>
        <v>1.8900000000000001</v>
      </c>
    </row>
    <row r="475" spans="1:30" s="520" customFormat="1">
      <c r="A475" s="758"/>
      <c r="B475" s="3"/>
      <c r="C475" s="758" t="s">
        <v>171</v>
      </c>
      <c r="D475" s="3"/>
      <c r="E475" s="758"/>
      <c r="F475" s="753"/>
      <c r="G475" s="758"/>
      <c r="H475" s="758"/>
      <c r="I475" s="519"/>
      <c r="J475" s="758"/>
      <c r="K475" s="758"/>
      <c r="L475" s="758"/>
      <c r="M475" s="758"/>
      <c r="N475" s="758"/>
      <c r="O475" s="758"/>
      <c r="P475" s="758"/>
      <c r="Q475" s="519"/>
      <c r="R475" s="917">
        <f t="shared" si="80"/>
        <v>0</v>
      </c>
      <c r="S475" s="519"/>
      <c r="T475" s="760">
        <f t="shared" si="81"/>
        <v>0</v>
      </c>
      <c r="AD475" s="753"/>
    </row>
    <row r="476" spans="1:30" s="520" customFormat="1" ht="12.6" thickBot="1">
      <c r="A476" s="761" t="s">
        <v>145</v>
      </c>
      <c r="B476" s="762">
        <f>(R475+T475)</f>
        <v>0</v>
      </c>
      <c r="C476" s="763"/>
      <c r="D476" s="937" t="s">
        <v>172</v>
      </c>
      <c r="E476" s="477">
        <f ca="1">IF($B468=0,0,ROUND(ROUND(($R476*$S$2+($T476*$T$2))/$B468, 2)*$C$2,2))</f>
        <v>8.27</v>
      </c>
      <c r="F476" s="478">
        <f ca="1">ROUND($B468*$E476,2)</f>
        <v>2315.6</v>
      </c>
      <c r="G476" s="763"/>
      <c r="H476" s="763"/>
      <c r="I476" s="765"/>
      <c r="J476" s="763"/>
      <c r="K476" s="938" t="s">
        <v>143</v>
      </c>
      <c r="L476" s="766" t="s">
        <v>143</v>
      </c>
      <c r="M476" s="766"/>
      <c r="N476" s="766"/>
      <c r="O476" s="766"/>
      <c r="P476" s="766"/>
      <c r="Q476" s="938"/>
      <c r="R476" s="939">
        <f ca="1">SUM(R469:R475)</f>
        <v>1168.412</v>
      </c>
      <c r="S476" s="940"/>
      <c r="T476" s="939">
        <f ca="1">SUM(T469:T475)</f>
        <v>25.893000000000008</v>
      </c>
      <c r="U476" s="531"/>
      <c r="V476" s="531"/>
      <c r="W476" s="531"/>
      <c r="X476" s="531"/>
      <c r="Y476" s="531"/>
      <c r="Z476" s="531"/>
      <c r="AA476" s="531"/>
      <c r="AB476" s="531"/>
      <c r="AD476" s="478">
        <v>2212.8000000000002</v>
      </c>
    </row>
    <row r="477" spans="1:30" s="520" customFormat="1" ht="12" thickTop="1">
      <c r="A477" s="51"/>
      <c r="B477" s="51"/>
      <c r="C477" s="51"/>
      <c r="D477" s="51"/>
      <c r="E477" s="51"/>
      <c r="F477" s="51"/>
      <c r="G477" s="51"/>
      <c r="H477" s="51"/>
      <c r="I477" s="51"/>
      <c r="J477" s="51"/>
      <c r="K477" s="51"/>
      <c r="L477" s="51"/>
      <c r="M477" s="51"/>
      <c r="N477" s="51"/>
      <c r="O477" s="52"/>
      <c r="P477" s="51"/>
      <c r="Q477" s="42" t="s">
        <v>168</v>
      </c>
      <c r="R477" s="51"/>
      <c r="S477" s="13"/>
      <c r="T477" s="51"/>
      <c r="AD477" s="51"/>
    </row>
    <row r="478" spans="1:30" s="520" customFormat="1" ht="12" customHeight="1" thickBot="1">
      <c r="A478" s="927">
        <v>865</v>
      </c>
      <c r="B478" s="928">
        <f ca="1">Elec_Est!B11592</f>
        <v>865</v>
      </c>
      <c r="C478" s="929"/>
      <c r="D478" s="930" t="s">
        <v>3549</v>
      </c>
      <c r="E478" s="931"/>
      <c r="F478" s="931"/>
      <c r="G478" s="752"/>
      <c r="H478" s="752"/>
      <c r="I478" s="932"/>
      <c r="J478" s="752"/>
      <c r="K478" s="929" t="s">
        <v>169</v>
      </c>
      <c r="L478" s="933" t="s">
        <v>169</v>
      </c>
      <c r="M478" s="933"/>
      <c r="N478" s="933"/>
      <c r="O478" s="933"/>
      <c r="P478" s="933"/>
      <c r="Q478" s="934">
        <f ca="1">B478/A478</f>
        <v>1</v>
      </c>
      <c r="R478" s="935">
        <f ca="1">IF($B478=0,0,IF($S$1="R",ROUND(R486/$B478,2),R486/$B478))</f>
        <v>2.65</v>
      </c>
      <c r="S478" s="936"/>
      <c r="T478" s="935">
        <f ca="1">IF($B478=0,0,IF($S$1="R",ROUND(T486/$B478,2),T486/$B478))</f>
        <v>7.0000000000000007E-2</v>
      </c>
      <c r="AD478" s="931"/>
    </row>
    <row r="479" spans="1:30" s="520" customFormat="1" ht="13.8" thickTop="1">
      <c r="A479" s="748"/>
      <c r="B479" s="3"/>
      <c r="C479" s="3"/>
      <c r="D479" s="106" t="s">
        <v>170</v>
      </c>
      <c r="E479" s="3"/>
      <c r="F479" s="3"/>
      <c r="G479" s="3"/>
      <c r="H479" s="3"/>
      <c r="I479" s="3"/>
      <c r="J479" s="3"/>
      <c r="K479" s="3"/>
      <c r="L479" s="3"/>
      <c r="M479" s="3"/>
      <c r="N479" s="3"/>
      <c r="O479" s="107"/>
      <c r="P479" s="3"/>
      <c r="Q479" s="3"/>
      <c r="R479" s="3"/>
      <c r="S479" s="3"/>
      <c r="T479" s="3"/>
      <c r="AD479" s="3"/>
    </row>
    <row r="480" spans="1:30" s="901" customFormat="1">
      <c r="A480" s="1057">
        <f ca="1">$Q$478 *(865)</f>
        <v>865</v>
      </c>
      <c r="B480" s="901" t="s">
        <v>320</v>
      </c>
      <c r="D480" s="901" t="s">
        <v>2706</v>
      </c>
      <c r="F480" s="1054" t="s">
        <v>3277</v>
      </c>
      <c r="G480" s="941" t="s">
        <v>2707</v>
      </c>
      <c r="H480" s="942">
        <v>616</v>
      </c>
      <c r="I480" s="901" t="s">
        <v>2272</v>
      </c>
      <c r="J480" s="901" t="s">
        <v>2702</v>
      </c>
      <c r="K480" s="901" t="s">
        <v>2708</v>
      </c>
      <c r="O480" s="943">
        <v>2</v>
      </c>
      <c r="P480" s="944"/>
      <c r="Q480" s="1194">
        <f>2.39*0.96</f>
        <v>2.2944</v>
      </c>
      <c r="R480" s="946">
        <f t="shared" ref="R480:R485" ca="1" si="82">$A480*Q480</f>
        <v>1984.6559999999999</v>
      </c>
      <c r="S480" s="1193">
        <f>0.9 *(0.06)</f>
        <v>5.3999999999999999E-2</v>
      </c>
      <c r="T480" s="947">
        <f t="shared" ref="T480:T485" ca="1" si="83">$A480*S480*$T$1</f>
        <v>42.039000000000001</v>
      </c>
      <c r="AD480" s="1054" t="s">
        <v>3277</v>
      </c>
    </row>
    <row r="481" spans="1:30" s="901" customFormat="1">
      <c r="A481" s="1057">
        <f ca="1">$Q$478 *(865)</f>
        <v>865</v>
      </c>
      <c r="B481" s="901" t="s">
        <v>141</v>
      </c>
      <c r="D481" s="901" t="s">
        <v>2605</v>
      </c>
      <c r="G481" s="941" t="s">
        <v>2606</v>
      </c>
      <c r="H481" s="942">
        <v>875</v>
      </c>
      <c r="I481" s="901" t="s">
        <v>2607</v>
      </c>
      <c r="K481" s="901" t="s">
        <v>2608</v>
      </c>
      <c r="O481" s="943">
        <v>1</v>
      </c>
      <c r="P481" s="944">
        <v>34669</v>
      </c>
      <c r="Q481" s="945">
        <v>0.05</v>
      </c>
      <c r="R481" s="946">
        <f t="shared" ca="1" si="82"/>
        <v>43.25</v>
      </c>
      <c r="S481" s="945"/>
      <c r="T481" s="947">
        <f t="shared" ca="1" si="83"/>
        <v>0</v>
      </c>
    </row>
    <row r="482" spans="1:30" s="901" customFormat="1">
      <c r="A482" s="1057">
        <f ca="1">$Q$478 *(42)</f>
        <v>42</v>
      </c>
      <c r="B482" s="901" t="s">
        <v>141</v>
      </c>
      <c r="D482" s="901" t="s">
        <v>2691</v>
      </c>
      <c r="G482" s="941" t="s">
        <v>2692</v>
      </c>
      <c r="H482" s="942">
        <v>620</v>
      </c>
      <c r="I482" s="901" t="s">
        <v>2611</v>
      </c>
      <c r="O482" s="943">
        <v>2</v>
      </c>
      <c r="P482" s="944">
        <v>35431</v>
      </c>
      <c r="Q482" s="945">
        <v>4.71</v>
      </c>
      <c r="R482" s="946">
        <f t="shared" ca="1" si="82"/>
        <v>197.82</v>
      </c>
      <c r="S482" s="945">
        <v>0.35000000000000003</v>
      </c>
      <c r="T482" s="947">
        <f t="shared" ca="1" si="83"/>
        <v>13.23</v>
      </c>
    </row>
    <row r="483" spans="1:30" s="901" customFormat="1">
      <c r="A483" s="1057">
        <f ca="1">$Q$478 *(42)</f>
        <v>42</v>
      </c>
      <c r="B483" s="901" t="s">
        <v>320</v>
      </c>
      <c r="D483" s="901" t="s">
        <v>2653</v>
      </c>
      <c r="G483" s="941" t="s">
        <v>2654</v>
      </c>
      <c r="H483" s="942">
        <v>620</v>
      </c>
      <c r="I483" s="901" t="s">
        <v>2607</v>
      </c>
      <c r="O483" s="943">
        <v>2</v>
      </c>
      <c r="P483" s="944">
        <v>38148</v>
      </c>
      <c r="Q483" s="945">
        <v>1.5</v>
      </c>
      <c r="R483" s="946">
        <f t="shared" ca="1" si="82"/>
        <v>63</v>
      </c>
      <c r="S483" s="945">
        <v>0.08</v>
      </c>
      <c r="T483" s="947">
        <f t="shared" ca="1" si="83"/>
        <v>3.024</v>
      </c>
    </row>
    <row r="484" spans="1:30" s="901" customFormat="1">
      <c r="A484" s="1057">
        <f ca="1">$Q$478 *(42*3)</f>
        <v>126</v>
      </c>
      <c r="B484" s="901" t="s">
        <v>141</v>
      </c>
      <c r="D484" s="901" t="s">
        <v>2704</v>
      </c>
      <c r="G484" s="941" t="s">
        <v>2705</v>
      </c>
      <c r="H484" s="942">
        <v>620</v>
      </c>
      <c r="I484" s="901" t="s">
        <v>2614</v>
      </c>
      <c r="O484" s="943">
        <v>2</v>
      </c>
      <c r="P484" s="944">
        <v>34669</v>
      </c>
      <c r="Q484" s="945">
        <v>0.05</v>
      </c>
      <c r="R484" s="946">
        <f t="shared" ca="1" si="82"/>
        <v>6.3000000000000007</v>
      </c>
      <c r="S484" s="945">
        <v>0.02</v>
      </c>
      <c r="T484" s="947">
        <f t="shared" ca="1" si="83"/>
        <v>2.2680000000000002</v>
      </c>
    </row>
    <row r="485" spans="1:30" s="520" customFormat="1">
      <c r="A485" s="758"/>
      <c r="B485" s="3"/>
      <c r="C485" s="758" t="s">
        <v>171</v>
      </c>
      <c r="D485" s="3"/>
      <c r="E485" s="758"/>
      <c r="F485" s="753"/>
      <c r="G485" s="758"/>
      <c r="H485" s="758"/>
      <c r="I485" s="519"/>
      <c r="J485" s="758"/>
      <c r="K485" s="758"/>
      <c r="L485" s="758"/>
      <c r="M485" s="758"/>
      <c r="N485" s="758"/>
      <c r="O485" s="758"/>
      <c r="P485" s="758"/>
      <c r="Q485" s="519"/>
      <c r="R485" s="917">
        <f t="shared" si="82"/>
        <v>0</v>
      </c>
      <c r="S485" s="519"/>
      <c r="T485" s="760">
        <f t="shared" si="83"/>
        <v>0</v>
      </c>
      <c r="AD485" s="753"/>
    </row>
    <row r="486" spans="1:30" s="520" customFormat="1" ht="12.6" thickBot="1">
      <c r="A486" s="761" t="s">
        <v>145</v>
      </c>
      <c r="B486" s="762">
        <f>(R485+T485)</f>
        <v>0</v>
      </c>
      <c r="C486" s="763"/>
      <c r="D486" s="937" t="s">
        <v>172</v>
      </c>
      <c r="E486" s="477">
        <f ca="1">IF($B478=0,0,ROUND(ROUND(($R486*$S$2+($T486*$T$2))/$B478, 2)*$C$2,2))</f>
        <v>5.63</v>
      </c>
      <c r="F486" s="478">
        <f ca="1">ROUND($B478*$E486,2)</f>
        <v>4869.95</v>
      </c>
      <c r="G486" s="763"/>
      <c r="H486" s="763"/>
      <c r="I486" s="765"/>
      <c r="J486" s="763"/>
      <c r="K486" s="938" t="s">
        <v>143</v>
      </c>
      <c r="L486" s="766" t="s">
        <v>143</v>
      </c>
      <c r="M486" s="766"/>
      <c r="N486" s="766"/>
      <c r="O486" s="766"/>
      <c r="P486" s="766"/>
      <c r="Q486" s="938"/>
      <c r="R486" s="939">
        <f ca="1">SUM(R479:R485)</f>
        <v>2295.0260000000003</v>
      </c>
      <c r="S486" s="940"/>
      <c r="T486" s="939">
        <f ca="1">SUM(T479:T485)</f>
        <v>60.561000000000007</v>
      </c>
      <c r="U486" s="531"/>
      <c r="V486" s="531"/>
      <c r="W486" s="531"/>
      <c r="X486" s="531"/>
      <c r="Y486" s="531"/>
      <c r="Z486" s="531"/>
      <c r="AA486" s="531"/>
      <c r="AB486" s="531"/>
      <c r="AD486" s="478">
        <v>5492.75</v>
      </c>
    </row>
    <row r="487" spans="1:30" s="520" customFormat="1" ht="12" thickTop="1">
      <c r="A487" s="51"/>
      <c r="B487" s="51"/>
      <c r="C487" s="51"/>
      <c r="D487" s="51"/>
      <c r="E487" s="51"/>
      <c r="F487" s="51"/>
      <c r="G487" s="51"/>
      <c r="H487" s="51"/>
      <c r="I487" s="51"/>
      <c r="J487" s="51"/>
      <c r="K487" s="51"/>
      <c r="L487" s="51"/>
      <c r="M487" s="51"/>
      <c r="N487" s="51"/>
      <c r="O487" s="52"/>
      <c r="P487" s="51"/>
      <c r="Q487" s="42" t="s">
        <v>168</v>
      </c>
      <c r="R487" s="51"/>
      <c r="S487" s="13"/>
      <c r="T487" s="51"/>
      <c r="AD487" s="51"/>
    </row>
    <row r="488" spans="1:30" s="520" customFormat="1" ht="12" customHeight="1" thickBot="1">
      <c r="A488" s="927">
        <v>675</v>
      </c>
      <c r="B488" s="928">
        <f ca="1">Elec_Est!B11593</f>
        <v>675</v>
      </c>
      <c r="C488" s="929"/>
      <c r="D488" s="930" t="s">
        <v>3550</v>
      </c>
      <c r="E488" s="931"/>
      <c r="F488" s="931"/>
      <c r="G488" s="752"/>
      <c r="H488" s="752"/>
      <c r="I488" s="932"/>
      <c r="J488" s="752"/>
      <c r="K488" s="929" t="s">
        <v>169</v>
      </c>
      <c r="L488" s="933" t="s">
        <v>169</v>
      </c>
      <c r="M488" s="933"/>
      <c r="N488" s="933"/>
      <c r="O488" s="933"/>
      <c r="P488" s="933"/>
      <c r="Q488" s="934">
        <f ca="1">B488/A488</f>
        <v>1</v>
      </c>
      <c r="R488" s="935">
        <f ca="1">IF($B488=0,0,IF($S$1="R",ROUND(R496/$B488,2),R496/$B488))</f>
        <v>11.03</v>
      </c>
      <c r="S488" s="936"/>
      <c r="T488" s="935">
        <f ca="1">IF($B488=0,0,IF($S$1="R",ROUND(T496/$B488,2),T496/$B488))</f>
        <v>7.0000000000000007E-2</v>
      </c>
      <c r="AD488" s="931"/>
    </row>
    <row r="489" spans="1:30" s="520" customFormat="1" ht="13.8" thickTop="1">
      <c r="A489" s="748"/>
      <c r="B489" s="3"/>
      <c r="C489" s="3"/>
      <c r="D489" s="106" t="s">
        <v>170</v>
      </c>
      <c r="E489" s="3"/>
      <c r="F489" s="3"/>
      <c r="G489" s="3"/>
      <c r="H489" s="3"/>
      <c r="I489" s="3"/>
      <c r="J489" s="3"/>
      <c r="K489" s="3"/>
      <c r="L489" s="3"/>
      <c r="M489" s="3"/>
      <c r="N489" s="3"/>
      <c r="O489" s="107"/>
      <c r="P489" s="3"/>
      <c r="Q489" s="3"/>
      <c r="R489" s="3"/>
      <c r="S489" s="3"/>
      <c r="T489" s="3"/>
      <c r="AD489" s="3"/>
    </row>
    <row r="490" spans="1:30" s="901" customFormat="1">
      <c r="A490" s="1057">
        <f ca="1">$Q$488 *(675)</f>
        <v>675</v>
      </c>
      <c r="B490" s="901" t="s">
        <v>320</v>
      </c>
      <c r="D490" s="901" t="s">
        <v>2714</v>
      </c>
      <c r="E490" s="1047" t="s">
        <v>2732</v>
      </c>
      <c r="F490" s="1054" t="s">
        <v>3277</v>
      </c>
      <c r="G490" s="941" t="s">
        <v>2715</v>
      </c>
      <c r="H490" s="942">
        <v>616</v>
      </c>
      <c r="I490" s="901" t="s">
        <v>2607</v>
      </c>
      <c r="J490" s="901" t="s">
        <v>2716</v>
      </c>
      <c r="O490" s="943">
        <v>2</v>
      </c>
      <c r="P490" s="944">
        <v>38301</v>
      </c>
      <c r="Q490" s="1194">
        <f>11.19*0.96</f>
        <v>10.7424</v>
      </c>
      <c r="R490" s="946">
        <f t="shared" ref="R490:R495" ca="1" si="84">$A490*Q490</f>
        <v>7251.12</v>
      </c>
      <c r="S490" s="1193">
        <f>0.9 *(0.06)</f>
        <v>5.3999999999999999E-2</v>
      </c>
      <c r="T490" s="947">
        <f t="shared" ref="T490:T495" ca="1" si="85">$A490*S490*$T$1</f>
        <v>32.805000000000007</v>
      </c>
      <c r="AD490" s="1054" t="s">
        <v>3277</v>
      </c>
    </row>
    <row r="491" spans="1:30" s="901" customFormat="1">
      <c r="A491" s="1057">
        <f ca="1">$Q$488 *(675)</f>
        <v>675</v>
      </c>
      <c r="B491" s="901" t="s">
        <v>141</v>
      </c>
      <c r="D491" s="901" t="s">
        <v>2605</v>
      </c>
      <c r="G491" s="941" t="s">
        <v>2606</v>
      </c>
      <c r="H491" s="942">
        <v>875</v>
      </c>
      <c r="I491" s="901" t="s">
        <v>2607</v>
      </c>
      <c r="K491" s="901" t="s">
        <v>2608</v>
      </c>
      <c r="O491" s="943">
        <v>1</v>
      </c>
      <c r="P491" s="944">
        <v>34669</v>
      </c>
      <c r="Q491" s="945">
        <v>0.05</v>
      </c>
      <c r="R491" s="946">
        <f t="shared" ca="1" si="84"/>
        <v>33.75</v>
      </c>
      <c r="S491" s="945"/>
      <c r="T491" s="947">
        <f t="shared" ca="1" si="85"/>
        <v>0</v>
      </c>
    </row>
    <row r="492" spans="1:30" s="901" customFormat="1">
      <c r="A492" s="1057">
        <f ca="1">$Q$488 *(54-24)</f>
        <v>30</v>
      </c>
      <c r="B492" s="901" t="s">
        <v>141</v>
      </c>
      <c r="D492" s="901" t="s">
        <v>2709</v>
      </c>
      <c r="G492" s="941" t="s">
        <v>2710</v>
      </c>
      <c r="H492" s="942">
        <v>620</v>
      </c>
      <c r="I492" s="901" t="s">
        <v>2611</v>
      </c>
      <c r="O492" s="943">
        <v>2</v>
      </c>
      <c r="P492" s="944">
        <v>35431</v>
      </c>
      <c r="Q492" s="945">
        <v>3.56</v>
      </c>
      <c r="R492" s="946">
        <f t="shared" ca="1" si="84"/>
        <v>106.8</v>
      </c>
      <c r="S492" s="945">
        <v>0.3</v>
      </c>
      <c r="T492" s="947">
        <f t="shared" ca="1" si="85"/>
        <v>8.1</v>
      </c>
    </row>
    <row r="493" spans="1:30" s="901" customFormat="1">
      <c r="A493" s="1057">
        <f ca="1">$Q$488 *(54-24)</f>
        <v>30</v>
      </c>
      <c r="B493" s="901" t="s">
        <v>320</v>
      </c>
      <c r="D493" s="901" t="s">
        <v>2653</v>
      </c>
      <c r="G493" s="941" t="s">
        <v>2654</v>
      </c>
      <c r="H493" s="942">
        <v>620</v>
      </c>
      <c r="I493" s="901" t="s">
        <v>2607</v>
      </c>
      <c r="O493" s="943">
        <v>2</v>
      </c>
      <c r="P493" s="944">
        <v>38148</v>
      </c>
      <c r="Q493" s="945">
        <v>1.5</v>
      </c>
      <c r="R493" s="946">
        <f t="shared" ca="1" si="84"/>
        <v>45</v>
      </c>
      <c r="S493" s="945">
        <v>0.08</v>
      </c>
      <c r="T493" s="947">
        <f t="shared" ca="1" si="85"/>
        <v>2.16</v>
      </c>
    </row>
    <row r="494" spans="1:30" s="901" customFormat="1">
      <c r="A494" s="1057">
        <f ca="1">$Q$488 *((54-24)*5)</f>
        <v>150</v>
      </c>
      <c r="B494" s="901" t="s">
        <v>141</v>
      </c>
      <c r="D494" s="901" t="s">
        <v>2717</v>
      </c>
      <c r="G494" s="941" t="s">
        <v>2718</v>
      </c>
      <c r="H494" s="942">
        <v>620</v>
      </c>
      <c r="I494" s="901" t="s">
        <v>2614</v>
      </c>
      <c r="O494" s="943">
        <v>2</v>
      </c>
      <c r="P494" s="944">
        <v>34669</v>
      </c>
      <c r="Q494" s="945">
        <v>0.05</v>
      </c>
      <c r="R494" s="946">
        <f t="shared" ca="1" si="84"/>
        <v>7.5</v>
      </c>
      <c r="S494" s="945">
        <v>0.02</v>
      </c>
      <c r="T494" s="947">
        <f t="shared" ca="1" si="85"/>
        <v>2.7</v>
      </c>
    </row>
    <row r="495" spans="1:30" s="520" customFormat="1">
      <c r="A495" s="758"/>
      <c r="B495" s="3"/>
      <c r="C495" s="758" t="s">
        <v>171</v>
      </c>
      <c r="D495" s="3"/>
      <c r="E495" s="758"/>
      <c r="F495" s="753"/>
      <c r="G495" s="758"/>
      <c r="H495" s="758"/>
      <c r="I495" s="519"/>
      <c r="J495" s="758"/>
      <c r="K495" s="758"/>
      <c r="L495" s="758"/>
      <c r="M495" s="758"/>
      <c r="N495" s="758"/>
      <c r="O495" s="758"/>
      <c r="P495" s="758"/>
      <c r="Q495" s="519"/>
      <c r="R495" s="917">
        <f t="shared" si="84"/>
        <v>0</v>
      </c>
      <c r="S495" s="519"/>
      <c r="T495" s="760">
        <f t="shared" si="85"/>
        <v>0</v>
      </c>
      <c r="AD495" s="753"/>
    </row>
    <row r="496" spans="1:30" s="520" customFormat="1" ht="12.6" thickBot="1">
      <c r="A496" s="761" t="s">
        <v>145</v>
      </c>
      <c r="B496" s="762">
        <f>(R495+T495)</f>
        <v>0</v>
      </c>
      <c r="C496" s="763"/>
      <c r="D496" s="937" t="s">
        <v>172</v>
      </c>
      <c r="E496" s="477">
        <f ca="1">IF($B488=0,0,ROUND(ROUND(($R496*$S$2+($T496*$T$2))/$B488, 2)*$C$2,2))</f>
        <v>15.87</v>
      </c>
      <c r="F496" s="478">
        <f ca="1">ROUND($B488*$E496,2)</f>
        <v>10712.25</v>
      </c>
      <c r="G496" s="763"/>
      <c r="H496" s="763"/>
      <c r="I496" s="765"/>
      <c r="J496" s="763"/>
      <c r="K496" s="938" t="s">
        <v>143</v>
      </c>
      <c r="L496" s="766" t="s">
        <v>143</v>
      </c>
      <c r="M496" s="766"/>
      <c r="N496" s="766"/>
      <c r="O496" s="766"/>
      <c r="P496" s="766"/>
      <c r="Q496" s="938"/>
      <c r="R496" s="939">
        <f ca="1">SUM(R489:R495)</f>
        <v>7444.17</v>
      </c>
      <c r="S496" s="940"/>
      <c r="T496" s="939">
        <f ca="1">SUM(T489:T495)</f>
        <v>45.765000000000015</v>
      </c>
      <c r="U496" s="531"/>
      <c r="V496" s="531"/>
      <c r="W496" s="531"/>
      <c r="X496" s="531"/>
      <c r="Y496" s="531"/>
      <c r="Z496" s="531"/>
      <c r="AA496" s="531"/>
      <c r="AB496" s="531"/>
      <c r="AD496" s="478">
        <v>11481.75</v>
      </c>
    </row>
    <row r="497" spans="1:30" s="520" customFormat="1" ht="12" thickTop="1">
      <c r="A497" s="51"/>
      <c r="B497" s="51"/>
      <c r="C497" s="51"/>
      <c r="D497" s="51"/>
      <c r="E497" s="51"/>
      <c r="F497" s="51"/>
      <c r="G497" s="51"/>
      <c r="H497" s="51"/>
      <c r="I497" s="51"/>
      <c r="J497" s="51"/>
      <c r="K497" s="51"/>
      <c r="L497" s="51"/>
      <c r="M497" s="51"/>
      <c r="N497" s="51"/>
      <c r="O497" s="52"/>
      <c r="P497" s="51"/>
      <c r="Q497" s="42" t="s">
        <v>168</v>
      </c>
      <c r="R497" s="51"/>
      <c r="S497" s="13"/>
      <c r="T497" s="51"/>
      <c r="AD497" s="51"/>
    </row>
    <row r="498" spans="1:30" s="520" customFormat="1" ht="12" customHeight="1" thickBot="1">
      <c r="A498" s="927">
        <v>795</v>
      </c>
      <c r="B498" s="928">
        <f ca="1">Elec_Est!B11594</f>
        <v>795</v>
      </c>
      <c r="C498" s="929"/>
      <c r="D498" s="930" t="s">
        <v>3714</v>
      </c>
      <c r="E498" s="931"/>
      <c r="F498" s="931"/>
      <c r="G498" s="752"/>
      <c r="H498" s="752"/>
      <c r="I498" s="932"/>
      <c r="J498" s="752"/>
      <c r="K498" s="929" t="s">
        <v>169</v>
      </c>
      <c r="L498" s="933" t="s">
        <v>169</v>
      </c>
      <c r="M498" s="933"/>
      <c r="N498" s="933"/>
      <c r="O498" s="933"/>
      <c r="P498" s="933"/>
      <c r="Q498" s="934">
        <f ca="1">B498/A498</f>
        <v>1</v>
      </c>
      <c r="R498" s="935">
        <f ca="1">IF($B498=0,0,IF($S$1="R",ROUND(R508/$B498,2),R508/$B498))</f>
        <v>11.51</v>
      </c>
      <c r="S498" s="936"/>
      <c r="T498" s="935">
        <f ca="1">IF($B498=0,0,IF($S$1="R",ROUND(T508/$B498,2),T508/$B498))</f>
        <v>0.06</v>
      </c>
      <c r="AD498" s="931"/>
    </row>
    <row r="499" spans="1:30" s="520" customFormat="1" ht="13.8" thickTop="1">
      <c r="A499" s="748"/>
      <c r="B499" s="3"/>
      <c r="C499" s="3"/>
      <c r="D499" s="106" t="s">
        <v>170</v>
      </c>
      <c r="E499" s="1047" t="s">
        <v>3715</v>
      </c>
      <c r="F499" s="3"/>
      <c r="G499" s="3"/>
      <c r="H499" s="3"/>
      <c r="I499" s="3"/>
      <c r="J499" s="3"/>
      <c r="K499" s="3"/>
      <c r="L499" s="3"/>
      <c r="M499" s="3"/>
      <c r="N499" s="3"/>
      <c r="O499" s="107"/>
      <c r="P499" s="3"/>
      <c r="Q499" s="3"/>
      <c r="R499" s="3"/>
      <c r="S499" s="3"/>
      <c r="T499" s="3"/>
      <c r="AD499" s="3"/>
    </row>
    <row r="500" spans="1:30" s="901" customFormat="1">
      <c r="A500" s="1057">
        <f ca="1">$Q$498 *(795)</f>
        <v>795</v>
      </c>
      <c r="B500" s="901" t="s">
        <v>320</v>
      </c>
      <c r="D500" s="901" t="s">
        <v>2714</v>
      </c>
      <c r="E500" s="1047" t="s">
        <v>2732</v>
      </c>
      <c r="F500" s="1054" t="s">
        <v>3277</v>
      </c>
      <c r="G500" s="941" t="s">
        <v>2715</v>
      </c>
      <c r="H500" s="942">
        <v>616</v>
      </c>
      <c r="I500" s="901" t="s">
        <v>2607</v>
      </c>
      <c r="J500" s="901" t="s">
        <v>2716</v>
      </c>
      <c r="O500" s="943">
        <v>2</v>
      </c>
      <c r="P500" s="944">
        <v>38301</v>
      </c>
      <c r="Q500" s="1194">
        <f>11.19*0.96</f>
        <v>10.7424</v>
      </c>
      <c r="R500" s="946">
        <f t="shared" ref="R500:R507" ca="1" si="86">$A500*Q500</f>
        <v>8540.2080000000005</v>
      </c>
      <c r="S500" s="1193">
        <f>0.9 *(0.06)</f>
        <v>5.3999999999999999E-2</v>
      </c>
      <c r="T500" s="947">
        <f t="shared" ref="T500:T507" ca="1" si="87">$A500*S500*$T$1</f>
        <v>38.637</v>
      </c>
      <c r="AD500" s="1054" t="s">
        <v>3277</v>
      </c>
    </row>
    <row r="501" spans="1:30" s="901" customFormat="1">
      <c r="A501" s="1057">
        <f ca="1">$Q$498 *(795)</f>
        <v>795</v>
      </c>
      <c r="B501" s="901" t="s">
        <v>141</v>
      </c>
      <c r="D501" s="901" t="s">
        <v>2605</v>
      </c>
      <c r="G501" s="941" t="s">
        <v>2606</v>
      </c>
      <c r="H501" s="942">
        <v>875</v>
      </c>
      <c r="I501" s="901" t="s">
        <v>2607</v>
      </c>
      <c r="K501" s="901" t="s">
        <v>2608</v>
      </c>
      <c r="O501" s="943">
        <v>1</v>
      </c>
      <c r="P501" s="944">
        <v>34669</v>
      </c>
      <c r="Q501" s="945">
        <v>0.05</v>
      </c>
      <c r="R501" s="946">
        <f t="shared" ca="1" si="86"/>
        <v>39.75</v>
      </c>
      <c r="S501" s="945"/>
      <c r="T501" s="947">
        <f t="shared" ca="1" si="87"/>
        <v>0</v>
      </c>
    </row>
    <row r="502" spans="1:30" s="901" customFormat="1">
      <c r="A502" s="1057">
        <f ca="1">$Q$498 *(24)</f>
        <v>24</v>
      </c>
      <c r="B502" s="901" t="s">
        <v>141</v>
      </c>
      <c r="D502" s="901" t="s">
        <v>2709</v>
      </c>
      <c r="G502" s="941" t="s">
        <v>2710</v>
      </c>
      <c r="H502" s="942">
        <v>620</v>
      </c>
      <c r="I502" s="901" t="s">
        <v>2611</v>
      </c>
      <c r="O502" s="943">
        <v>2</v>
      </c>
      <c r="P502" s="944">
        <v>35431</v>
      </c>
      <c r="Q502" s="945">
        <v>3.56</v>
      </c>
      <c r="R502" s="946">
        <f t="shared" ca="1" si="86"/>
        <v>85.44</v>
      </c>
      <c r="S502" s="945">
        <v>0.3</v>
      </c>
      <c r="T502" s="947">
        <f t="shared" ca="1" si="87"/>
        <v>6.4799999999999995</v>
      </c>
    </row>
    <row r="503" spans="1:30" s="901" customFormat="1">
      <c r="A503" s="1057">
        <f ca="1">$Q$498 *(24)</f>
        <v>24</v>
      </c>
      <c r="B503" s="901" t="s">
        <v>320</v>
      </c>
      <c r="D503" s="901" t="s">
        <v>2653</v>
      </c>
      <c r="G503" s="941" t="s">
        <v>2654</v>
      </c>
      <c r="H503" s="942">
        <v>620</v>
      </c>
      <c r="I503" s="901" t="s">
        <v>2607</v>
      </c>
      <c r="O503" s="943">
        <v>2</v>
      </c>
      <c r="P503" s="944">
        <v>38148</v>
      </c>
      <c r="Q503" s="945">
        <v>1.5</v>
      </c>
      <c r="R503" s="946">
        <f t="shared" ca="1" si="86"/>
        <v>36</v>
      </c>
      <c r="S503" s="945">
        <v>0.08</v>
      </c>
      <c r="T503" s="947">
        <f t="shared" ca="1" si="87"/>
        <v>1.728</v>
      </c>
    </row>
    <row r="504" spans="1:30" s="901" customFormat="1">
      <c r="A504" s="1057">
        <f ca="1">$Q$498 *(24*5)</f>
        <v>120</v>
      </c>
      <c r="B504" s="901" t="s">
        <v>141</v>
      </c>
      <c r="D504" s="901" t="s">
        <v>2717</v>
      </c>
      <c r="G504" s="941" t="s">
        <v>2718</v>
      </c>
      <c r="H504" s="942">
        <v>620</v>
      </c>
      <c r="I504" s="901" t="s">
        <v>2614</v>
      </c>
      <c r="O504" s="943">
        <v>2</v>
      </c>
      <c r="P504" s="944">
        <v>34669</v>
      </c>
      <c r="Q504" s="945">
        <v>0.05</v>
      </c>
      <c r="R504" s="946">
        <f t="shared" ca="1" si="86"/>
        <v>6</v>
      </c>
      <c r="S504" s="945">
        <v>0.02</v>
      </c>
      <c r="T504" s="947">
        <f t="shared" ca="1" si="87"/>
        <v>2.16</v>
      </c>
    </row>
    <row r="505" spans="1:30" s="901" customFormat="1">
      <c r="A505" s="1057">
        <f ca="1">$Q$498 *(1)</f>
        <v>1</v>
      </c>
      <c r="B505" s="1084" t="s">
        <v>863</v>
      </c>
      <c r="C505" s="1084"/>
      <c r="D505" s="1084" t="s">
        <v>2752</v>
      </c>
      <c r="E505" s="1084"/>
      <c r="F505" s="1084" t="s">
        <v>3326</v>
      </c>
      <c r="G505" s="1091" t="s">
        <v>2754</v>
      </c>
      <c r="H505" s="1092">
        <v>962</v>
      </c>
      <c r="I505" s="1084" t="s">
        <v>2596</v>
      </c>
      <c r="J505" s="1084"/>
      <c r="K505" s="1084"/>
      <c r="L505" s="1084"/>
      <c r="M505" s="1084"/>
      <c r="N505" s="1084"/>
      <c r="O505" s="1093">
        <v>2</v>
      </c>
      <c r="P505" s="1094">
        <v>38129</v>
      </c>
      <c r="Q505" s="945">
        <f>0.41 *(1 *(60/8*120))</f>
        <v>369</v>
      </c>
      <c r="R505" s="1096">
        <f ca="1">$A505*Q505</f>
        <v>369</v>
      </c>
      <c r="S505" s="1095"/>
      <c r="T505" s="1097">
        <f ca="1">$A505*S505*$T$1</f>
        <v>0</v>
      </c>
      <c r="AD505" s="1084" t="s">
        <v>3326</v>
      </c>
    </row>
    <row r="506" spans="1:30" s="901" customFormat="1">
      <c r="A506" s="1057">
        <f ca="1">$Q$498 *(1)</f>
        <v>1</v>
      </c>
      <c r="B506" s="901" t="s">
        <v>2755</v>
      </c>
      <c r="D506" s="901" t="s">
        <v>3325</v>
      </c>
      <c r="F506" s="901" t="s">
        <v>3666</v>
      </c>
      <c r="G506" s="941" t="s">
        <v>3324</v>
      </c>
      <c r="H506" s="942">
        <v>845</v>
      </c>
      <c r="I506" s="901" t="s">
        <v>2607</v>
      </c>
      <c r="O506" s="943">
        <v>3</v>
      </c>
      <c r="P506" s="944">
        <v>39713</v>
      </c>
      <c r="Q506" s="945">
        <f>0.41 *(60/8*25)</f>
        <v>76.875</v>
      </c>
      <c r="R506" s="946">
        <f ca="1">$A506*Q506</f>
        <v>76.875</v>
      </c>
      <c r="S506" s="945"/>
      <c r="T506" s="947">
        <f ca="1">$A506*S506*$T$1</f>
        <v>0</v>
      </c>
      <c r="AD506" s="901" t="s">
        <v>3666</v>
      </c>
    </row>
    <row r="507" spans="1:30" s="520" customFormat="1">
      <c r="A507" s="758"/>
      <c r="B507" s="3"/>
      <c r="C507" s="758" t="s">
        <v>171</v>
      </c>
      <c r="D507" s="3"/>
      <c r="E507" s="758"/>
      <c r="F507" s="753"/>
      <c r="G507" s="758"/>
      <c r="H507" s="758"/>
      <c r="I507" s="519"/>
      <c r="J507" s="758"/>
      <c r="K507" s="758"/>
      <c r="L507" s="758"/>
      <c r="M507" s="758"/>
      <c r="N507" s="758"/>
      <c r="O507" s="758"/>
      <c r="P507" s="758"/>
      <c r="Q507" s="519"/>
      <c r="R507" s="917">
        <f t="shared" si="86"/>
        <v>0</v>
      </c>
      <c r="S507" s="519"/>
      <c r="T507" s="760">
        <f t="shared" si="87"/>
        <v>0</v>
      </c>
      <c r="AD507" s="753"/>
    </row>
    <row r="508" spans="1:30" s="520" customFormat="1" ht="12.6" thickBot="1">
      <c r="A508" s="761" t="s">
        <v>145</v>
      </c>
      <c r="B508" s="762">
        <f>(R507+T507)</f>
        <v>0</v>
      </c>
      <c r="C508" s="763"/>
      <c r="D508" s="937" t="s">
        <v>172</v>
      </c>
      <c r="E508" s="477">
        <f ca="1">IF($B498=0,0,ROUND(ROUND(($R508*$S$2+($T508*$T$2))/$B498, 2)*$C$2,2))</f>
        <v>16.260000000000002</v>
      </c>
      <c r="F508" s="478">
        <f ca="1">ROUND($B498*$E508,2)</f>
        <v>12926.7</v>
      </c>
      <c r="G508" s="763"/>
      <c r="H508" s="763"/>
      <c r="I508" s="765"/>
      <c r="J508" s="763"/>
      <c r="K508" s="938" t="s">
        <v>143</v>
      </c>
      <c r="L508" s="766" t="s">
        <v>143</v>
      </c>
      <c r="M508" s="766"/>
      <c r="N508" s="766"/>
      <c r="O508" s="766"/>
      <c r="P508" s="766"/>
      <c r="Q508" s="938"/>
      <c r="R508" s="939">
        <f ca="1">SUM(R499:R507)</f>
        <v>9153.273000000001</v>
      </c>
      <c r="S508" s="940"/>
      <c r="T508" s="939">
        <f ca="1">SUM(T499:T507)</f>
        <v>49.004999999999995</v>
      </c>
      <c r="U508" s="531"/>
      <c r="V508" s="531"/>
      <c r="W508" s="531"/>
      <c r="X508" s="531"/>
      <c r="Y508" s="531"/>
      <c r="Z508" s="531"/>
      <c r="AA508" s="531"/>
      <c r="AB508" s="531"/>
      <c r="AD508" s="478">
        <v>14651.85</v>
      </c>
    </row>
    <row r="509" spans="1:30" s="520" customFormat="1" ht="12" thickTop="1">
      <c r="A509" s="51"/>
      <c r="B509" s="51"/>
      <c r="C509" s="51"/>
      <c r="D509" s="51"/>
      <c r="E509" s="51"/>
      <c r="F509" s="51"/>
      <c r="G509" s="51"/>
      <c r="H509" s="51"/>
      <c r="I509" s="51"/>
      <c r="J509" s="51"/>
      <c r="K509" s="51"/>
      <c r="L509" s="51"/>
      <c r="M509" s="51"/>
      <c r="N509" s="51"/>
      <c r="O509" s="52"/>
      <c r="P509" s="51"/>
      <c r="Q509" s="42" t="s">
        <v>168</v>
      </c>
      <c r="R509" s="51"/>
      <c r="S509" s="13"/>
      <c r="T509" s="51"/>
      <c r="AD509" s="51"/>
    </row>
    <row r="510" spans="1:30" s="520" customFormat="1" ht="12" customHeight="1" thickBot="1">
      <c r="A510" s="927">
        <v>745</v>
      </c>
      <c r="B510" s="928">
        <f ca="1">Elec_Est!B11595</f>
        <v>745</v>
      </c>
      <c r="C510" s="929"/>
      <c r="D510" s="930" t="s">
        <v>3551</v>
      </c>
      <c r="E510" s="931"/>
      <c r="F510" s="931"/>
      <c r="G510" s="752"/>
      <c r="H510" s="752"/>
      <c r="I510" s="932"/>
      <c r="J510" s="752"/>
      <c r="K510" s="929" t="s">
        <v>169</v>
      </c>
      <c r="L510" s="933" t="s">
        <v>169</v>
      </c>
      <c r="M510" s="933"/>
      <c r="N510" s="933"/>
      <c r="O510" s="933"/>
      <c r="P510" s="933"/>
      <c r="Q510" s="934">
        <f ca="1">B510/A510</f>
        <v>1</v>
      </c>
      <c r="R510" s="935">
        <f ca="1">IF($B510=0,0,IF($S$1="R",ROUND(R518/$B510,2),R518/$B510))</f>
        <v>2.89</v>
      </c>
      <c r="S510" s="936"/>
      <c r="T510" s="935">
        <f ca="1">IF($B510=0,0,IF($S$1="R",ROUND(T518/$B510,2),T518/$B510))</f>
        <v>7.0000000000000007E-2</v>
      </c>
      <c r="AD510" s="931"/>
    </row>
    <row r="511" spans="1:30" s="520" customFormat="1" ht="13.8" thickTop="1">
      <c r="A511" s="748"/>
      <c r="B511" s="3"/>
      <c r="C511" s="3"/>
      <c r="D511" s="106" t="s">
        <v>170</v>
      </c>
      <c r="E511" s="3"/>
      <c r="F511" s="3"/>
      <c r="G511" s="3"/>
      <c r="H511" s="3"/>
      <c r="I511" s="3"/>
      <c r="J511" s="3"/>
      <c r="K511" s="3"/>
      <c r="L511" s="3"/>
      <c r="M511" s="3"/>
      <c r="N511" s="3"/>
      <c r="O511" s="107"/>
      <c r="P511" s="3"/>
      <c r="Q511" s="3"/>
      <c r="R511" s="3"/>
      <c r="S511" s="3"/>
      <c r="T511" s="3"/>
      <c r="AD511" s="3"/>
    </row>
    <row r="512" spans="1:30" s="901" customFormat="1">
      <c r="A512" s="1057">
        <f ca="1">$Q$510 *(745)</f>
        <v>745</v>
      </c>
      <c r="B512" s="901" t="s">
        <v>320</v>
      </c>
      <c r="D512" s="901" t="s">
        <v>2714</v>
      </c>
      <c r="F512" s="1054" t="s">
        <v>3277</v>
      </c>
      <c r="G512" s="941" t="s">
        <v>2715</v>
      </c>
      <c r="H512" s="942">
        <v>616</v>
      </c>
      <c r="I512" s="901" t="s">
        <v>2607</v>
      </c>
      <c r="J512" s="901" t="s">
        <v>2716</v>
      </c>
      <c r="O512" s="943">
        <v>2</v>
      </c>
      <c r="P512" s="944">
        <v>38301</v>
      </c>
      <c r="Q512" s="1194">
        <f>2.74*0.96</f>
        <v>2.6304000000000003</v>
      </c>
      <c r="R512" s="946">
        <f t="shared" ref="R512:R517" ca="1" si="88">$A512*Q512</f>
        <v>1959.6480000000001</v>
      </c>
      <c r="S512" s="1193">
        <f>0.9 *(0.06)</f>
        <v>5.3999999999999999E-2</v>
      </c>
      <c r="T512" s="947">
        <f t="shared" ref="T512:T517" ca="1" si="89">$A512*S512*$T$1</f>
        <v>36.207000000000001</v>
      </c>
      <c r="AD512" s="1054" t="s">
        <v>3277</v>
      </c>
    </row>
    <row r="513" spans="1:30" s="901" customFormat="1">
      <c r="A513" s="1057">
        <f ca="1">$Q$510 *(745)</f>
        <v>745</v>
      </c>
      <c r="B513" s="901" t="s">
        <v>141</v>
      </c>
      <c r="D513" s="901" t="s">
        <v>2605</v>
      </c>
      <c r="G513" s="941" t="s">
        <v>2606</v>
      </c>
      <c r="H513" s="942">
        <v>875</v>
      </c>
      <c r="I513" s="901" t="s">
        <v>2607</v>
      </c>
      <c r="K513" s="901" t="s">
        <v>2608</v>
      </c>
      <c r="O513" s="943">
        <v>1</v>
      </c>
      <c r="P513" s="944">
        <v>34669</v>
      </c>
      <c r="Q513" s="945">
        <v>0.05</v>
      </c>
      <c r="R513" s="946">
        <f t="shared" ca="1" si="88"/>
        <v>37.25</v>
      </c>
      <c r="S513" s="945"/>
      <c r="T513" s="947">
        <f t="shared" ca="1" si="89"/>
        <v>0</v>
      </c>
    </row>
    <row r="514" spans="1:30" s="901" customFormat="1">
      <c r="A514" s="1057">
        <f ca="1">$Q$510 *(42-12)</f>
        <v>30</v>
      </c>
      <c r="B514" s="901" t="s">
        <v>141</v>
      </c>
      <c r="D514" s="901" t="s">
        <v>2709</v>
      </c>
      <c r="G514" s="941" t="s">
        <v>2710</v>
      </c>
      <c r="H514" s="942">
        <v>620</v>
      </c>
      <c r="I514" s="901" t="s">
        <v>2611</v>
      </c>
      <c r="O514" s="943">
        <v>2</v>
      </c>
      <c r="P514" s="944">
        <v>35431</v>
      </c>
      <c r="Q514" s="945">
        <v>3.56</v>
      </c>
      <c r="R514" s="946">
        <f t="shared" ca="1" si="88"/>
        <v>106.8</v>
      </c>
      <c r="S514" s="945">
        <v>0.3</v>
      </c>
      <c r="T514" s="947">
        <f t="shared" ca="1" si="89"/>
        <v>8.1</v>
      </c>
    </row>
    <row r="515" spans="1:30" s="901" customFormat="1">
      <c r="A515" s="1057">
        <f ca="1">$Q$510 *(42-12)</f>
        <v>30</v>
      </c>
      <c r="B515" s="901" t="s">
        <v>320</v>
      </c>
      <c r="D515" s="901" t="s">
        <v>2653</v>
      </c>
      <c r="G515" s="941" t="s">
        <v>2654</v>
      </c>
      <c r="H515" s="942">
        <v>620</v>
      </c>
      <c r="I515" s="901" t="s">
        <v>2607</v>
      </c>
      <c r="O515" s="943">
        <v>2</v>
      </c>
      <c r="P515" s="944">
        <v>38148</v>
      </c>
      <c r="Q515" s="945">
        <v>1.5</v>
      </c>
      <c r="R515" s="946">
        <f t="shared" ca="1" si="88"/>
        <v>45</v>
      </c>
      <c r="S515" s="945">
        <v>0.08</v>
      </c>
      <c r="T515" s="947">
        <f t="shared" ca="1" si="89"/>
        <v>2.16</v>
      </c>
    </row>
    <row r="516" spans="1:30" s="901" customFormat="1">
      <c r="A516" s="1057">
        <f ca="1">$Q$510 *((42-12)*5)</f>
        <v>150</v>
      </c>
      <c r="B516" s="901" t="s">
        <v>141</v>
      </c>
      <c r="D516" s="901" t="s">
        <v>2717</v>
      </c>
      <c r="G516" s="941" t="s">
        <v>2718</v>
      </c>
      <c r="H516" s="942">
        <v>620</v>
      </c>
      <c r="I516" s="901" t="s">
        <v>2614</v>
      </c>
      <c r="O516" s="943">
        <v>2</v>
      </c>
      <c r="P516" s="944">
        <v>34669</v>
      </c>
      <c r="Q516" s="945">
        <v>0.05</v>
      </c>
      <c r="R516" s="946">
        <f t="shared" ca="1" si="88"/>
        <v>7.5</v>
      </c>
      <c r="S516" s="945">
        <v>0.02</v>
      </c>
      <c r="T516" s="947">
        <f t="shared" ca="1" si="89"/>
        <v>2.7</v>
      </c>
    </row>
    <row r="517" spans="1:30" s="520" customFormat="1">
      <c r="A517" s="758"/>
      <c r="B517" s="3"/>
      <c r="C517" s="758" t="s">
        <v>171</v>
      </c>
      <c r="D517" s="3"/>
      <c r="E517" s="758"/>
      <c r="F517" s="753"/>
      <c r="G517" s="758"/>
      <c r="H517" s="758"/>
      <c r="I517" s="519"/>
      <c r="J517" s="758"/>
      <c r="K517" s="758"/>
      <c r="L517" s="758"/>
      <c r="M517" s="758"/>
      <c r="N517" s="758"/>
      <c r="O517" s="758"/>
      <c r="P517" s="758"/>
      <c r="Q517" s="519"/>
      <c r="R517" s="917">
        <f t="shared" si="88"/>
        <v>0</v>
      </c>
      <c r="S517" s="519"/>
      <c r="T517" s="760">
        <f t="shared" si="89"/>
        <v>0</v>
      </c>
      <c r="AD517" s="753"/>
    </row>
    <row r="518" spans="1:30" s="520" customFormat="1" ht="12.6" thickBot="1">
      <c r="A518" s="761" t="s">
        <v>145</v>
      </c>
      <c r="B518" s="762">
        <f>(R517+T517)</f>
        <v>0</v>
      </c>
      <c r="C518" s="763"/>
      <c r="D518" s="937" t="s">
        <v>172</v>
      </c>
      <c r="E518" s="477">
        <f ca="1">IF($B510=0,0,ROUND(ROUND(($R518*$S$2+($T518*$T$2))/$B510, 2)*$C$2,2))</f>
        <v>5.8</v>
      </c>
      <c r="F518" s="478">
        <f ca="1">ROUND($B510*$E518,2)</f>
        <v>4321</v>
      </c>
      <c r="G518" s="763"/>
      <c r="H518" s="763"/>
      <c r="I518" s="765"/>
      <c r="J518" s="763"/>
      <c r="K518" s="938" t="s">
        <v>143</v>
      </c>
      <c r="L518" s="766" t="s">
        <v>143</v>
      </c>
      <c r="M518" s="766"/>
      <c r="N518" s="766"/>
      <c r="O518" s="766"/>
      <c r="P518" s="766"/>
      <c r="Q518" s="938"/>
      <c r="R518" s="939">
        <f ca="1">SUM(R511:R517)</f>
        <v>2156.1980000000003</v>
      </c>
      <c r="S518" s="940"/>
      <c r="T518" s="939">
        <f ca="1">SUM(T511:T517)</f>
        <v>49.167000000000002</v>
      </c>
      <c r="U518" s="531"/>
      <c r="V518" s="531"/>
      <c r="W518" s="531"/>
      <c r="X518" s="531"/>
      <c r="Y518" s="531"/>
      <c r="Z518" s="531"/>
      <c r="AA518" s="531"/>
      <c r="AB518" s="531"/>
      <c r="AD518" s="478">
        <v>4849.95</v>
      </c>
    </row>
    <row r="519" spans="1:30" s="520" customFormat="1" ht="12" thickTop="1">
      <c r="A519" s="51"/>
      <c r="B519" s="51"/>
      <c r="C519" s="51"/>
      <c r="D519" s="51"/>
      <c r="E519" s="51"/>
      <c r="F519" s="51"/>
      <c r="G519" s="51"/>
      <c r="H519" s="51"/>
      <c r="I519" s="51"/>
      <c r="J519" s="51"/>
      <c r="K519" s="51"/>
      <c r="L519" s="51"/>
      <c r="M519" s="51"/>
      <c r="N519" s="51"/>
      <c r="O519" s="52"/>
      <c r="P519" s="51"/>
      <c r="Q519" s="42" t="s">
        <v>168</v>
      </c>
      <c r="R519" s="51"/>
      <c r="S519" s="13"/>
      <c r="T519" s="51"/>
      <c r="AD519" s="51"/>
    </row>
    <row r="520" spans="1:30" s="520" customFormat="1" ht="12" customHeight="1" thickBot="1">
      <c r="A520" s="927">
        <v>470</v>
      </c>
      <c r="B520" s="928">
        <f ca="1">Elec_Est!B11596</f>
        <v>470</v>
      </c>
      <c r="C520" s="929"/>
      <c r="D520" s="930" t="s">
        <v>3552</v>
      </c>
      <c r="E520" s="931"/>
      <c r="F520" s="931"/>
      <c r="G520" s="752"/>
      <c r="H520" s="752"/>
      <c r="I520" s="932"/>
      <c r="J520" s="752"/>
      <c r="K520" s="929" t="s">
        <v>169</v>
      </c>
      <c r="L520" s="933" t="s">
        <v>169</v>
      </c>
      <c r="M520" s="933"/>
      <c r="N520" s="933"/>
      <c r="O520" s="933"/>
      <c r="P520" s="933"/>
      <c r="Q520" s="934">
        <f ca="1">B520/A520</f>
        <v>1</v>
      </c>
      <c r="R520" s="935">
        <f ca="1">IF($B520=0,0,IF($S$1="R",ROUND(R539/$B520,2),R539/$B520))</f>
        <v>2.82</v>
      </c>
      <c r="S520" s="936"/>
      <c r="T520" s="935">
        <f ca="1">IF($B520=0,0,IF($S$1="R",ROUND(T539/$B520,2),T539/$B520))</f>
        <v>0.06</v>
      </c>
      <c r="AD520" s="931"/>
    </row>
    <row r="521" spans="1:30" s="520" customFormat="1" ht="13.8" thickTop="1">
      <c r="A521" s="748"/>
      <c r="B521" s="3"/>
      <c r="C521" s="3"/>
      <c r="D521" s="106" t="s">
        <v>170</v>
      </c>
      <c r="E521" s="3"/>
      <c r="F521" s="3"/>
      <c r="G521" s="3"/>
      <c r="H521" s="3"/>
      <c r="I521" s="3"/>
      <c r="J521" s="3"/>
      <c r="K521" s="3"/>
      <c r="L521" s="3"/>
      <c r="M521" s="3"/>
      <c r="N521" s="3"/>
      <c r="O521" s="107"/>
      <c r="P521" s="3"/>
      <c r="Q521" s="3"/>
      <c r="R521" s="3"/>
      <c r="S521" s="3"/>
      <c r="T521" s="3"/>
      <c r="AD521" s="3"/>
    </row>
    <row r="522" spans="1:30" s="901" customFormat="1">
      <c r="A522" s="1057">
        <f ca="1">$Q$520 *(470)</f>
        <v>470</v>
      </c>
      <c r="B522" s="901" t="s">
        <v>320</v>
      </c>
      <c r="D522" s="901" t="s">
        <v>2714</v>
      </c>
      <c r="F522" s="1054" t="s">
        <v>3277</v>
      </c>
      <c r="G522" s="941" t="s">
        <v>2715</v>
      </c>
      <c r="H522" s="942">
        <v>616</v>
      </c>
      <c r="I522" s="901" t="s">
        <v>2607</v>
      </c>
      <c r="J522" s="901" t="s">
        <v>2716</v>
      </c>
      <c r="O522" s="943">
        <v>2</v>
      </c>
      <c r="P522" s="944">
        <v>38301</v>
      </c>
      <c r="Q522" s="1194">
        <f>2.74*0.96</f>
        <v>2.6304000000000003</v>
      </c>
      <c r="R522" s="946">
        <f t="shared" ref="R522:R526" ca="1" si="90">$A522*Q522</f>
        <v>1236.2880000000002</v>
      </c>
      <c r="S522" s="1193">
        <f>0.9 *(0.06)</f>
        <v>5.3999999999999999E-2</v>
      </c>
      <c r="T522" s="947">
        <f t="shared" ref="T522:T526" ca="1" si="91">$A522*S522*$T$1</f>
        <v>22.841999999999999</v>
      </c>
      <c r="AD522" s="1054" t="s">
        <v>3277</v>
      </c>
    </row>
    <row r="523" spans="1:30" s="901" customFormat="1">
      <c r="A523" s="1057">
        <f ca="1">$Q$520 *(470)</f>
        <v>470</v>
      </c>
      <c r="B523" s="901" t="s">
        <v>141</v>
      </c>
      <c r="D523" s="901" t="s">
        <v>2605</v>
      </c>
      <c r="G523" s="941" t="s">
        <v>2606</v>
      </c>
      <c r="H523" s="942">
        <v>875</v>
      </c>
      <c r="I523" s="901" t="s">
        <v>2607</v>
      </c>
      <c r="K523" s="901" t="s">
        <v>2608</v>
      </c>
      <c r="O523" s="943">
        <v>1</v>
      </c>
      <c r="P523" s="944">
        <v>34669</v>
      </c>
      <c r="Q523" s="945">
        <v>0.05</v>
      </c>
      <c r="R523" s="946">
        <f t="shared" ca="1" si="90"/>
        <v>23.5</v>
      </c>
      <c r="S523" s="945"/>
      <c r="T523" s="947">
        <f t="shared" ca="1" si="91"/>
        <v>0</v>
      </c>
    </row>
    <row r="524" spans="1:30" s="901" customFormat="1">
      <c r="A524" s="1057">
        <f ca="1">$Q$520 *(12)</f>
        <v>12</v>
      </c>
      <c r="B524" s="901" t="s">
        <v>141</v>
      </c>
      <c r="D524" s="901" t="s">
        <v>2709</v>
      </c>
      <c r="G524" s="941" t="s">
        <v>2710</v>
      </c>
      <c r="H524" s="942">
        <v>620</v>
      </c>
      <c r="I524" s="901" t="s">
        <v>2611</v>
      </c>
      <c r="O524" s="943">
        <v>2</v>
      </c>
      <c r="P524" s="944">
        <v>35431</v>
      </c>
      <c r="Q524" s="945">
        <v>3.56</v>
      </c>
      <c r="R524" s="946">
        <f t="shared" ca="1" si="90"/>
        <v>42.72</v>
      </c>
      <c r="S524" s="945">
        <v>0.3</v>
      </c>
      <c r="T524" s="947">
        <f t="shared" ca="1" si="91"/>
        <v>3.2399999999999998</v>
      </c>
    </row>
    <row r="525" spans="1:30" s="901" customFormat="1">
      <c r="A525" s="1057">
        <f ca="1">$Q$520 *(12)</f>
        <v>12</v>
      </c>
      <c r="B525" s="901" t="s">
        <v>320</v>
      </c>
      <c r="D525" s="901" t="s">
        <v>2653</v>
      </c>
      <c r="G525" s="941" t="s">
        <v>2654</v>
      </c>
      <c r="H525" s="942">
        <v>620</v>
      </c>
      <c r="I525" s="901" t="s">
        <v>2607</v>
      </c>
      <c r="O525" s="943">
        <v>2</v>
      </c>
      <c r="P525" s="944">
        <v>38148</v>
      </c>
      <c r="Q525" s="945">
        <v>1.5</v>
      </c>
      <c r="R525" s="946">
        <f t="shared" ca="1" si="90"/>
        <v>18</v>
      </c>
      <c r="S525" s="945">
        <v>0.08</v>
      </c>
      <c r="T525" s="947">
        <f t="shared" ca="1" si="91"/>
        <v>0.86399999999999999</v>
      </c>
    </row>
    <row r="526" spans="1:30" s="901" customFormat="1">
      <c r="A526" s="1057">
        <f ca="1">$Q$520 *(12*5)</f>
        <v>60</v>
      </c>
      <c r="B526" s="901" t="s">
        <v>141</v>
      </c>
      <c r="D526" s="901" t="s">
        <v>2717</v>
      </c>
      <c r="G526" s="941" t="s">
        <v>2718</v>
      </c>
      <c r="H526" s="942">
        <v>620</v>
      </c>
      <c r="I526" s="901" t="s">
        <v>2614</v>
      </c>
      <c r="O526" s="943">
        <v>2</v>
      </c>
      <c r="P526" s="944">
        <v>34669</v>
      </c>
      <c r="Q526" s="945">
        <v>0.05</v>
      </c>
      <c r="R526" s="946">
        <f t="shared" ca="1" si="90"/>
        <v>3</v>
      </c>
      <c r="S526" s="945">
        <v>0.02</v>
      </c>
      <c r="T526" s="947">
        <f t="shared" ca="1" si="91"/>
        <v>1.08</v>
      </c>
    </row>
    <row r="527" spans="1:30" s="901" customFormat="1" ht="11.4">
      <c r="A527" s="758"/>
      <c r="D527" s="1088" t="s">
        <v>3260</v>
      </c>
      <c r="G527" s="941"/>
      <c r="H527" s="942"/>
      <c r="O527" s="943"/>
      <c r="P527" s="944"/>
      <c r="Q527" s="945"/>
      <c r="R527" s="946"/>
      <c r="S527" s="945"/>
      <c r="T527" s="947"/>
    </row>
    <row r="528" spans="1:30" s="901" customFormat="1">
      <c r="A528" s="1056">
        <v>0</v>
      </c>
      <c r="B528" s="901" t="s">
        <v>320</v>
      </c>
      <c r="C528" s="1056">
        <f ca="1">$Q$520 *(6 *(25))</f>
        <v>150</v>
      </c>
      <c r="D528" s="901" t="s">
        <v>3255</v>
      </c>
      <c r="G528" s="941" t="s">
        <v>3245</v>
      </c>
      <c r="H528" s="942">
        <v>690</v>
      </c>
      <c r="I528" s="901" t="s">
        <v>2607</v>
      </c>
      <c r="J528" s="901" t="s">
        <v>2953</v>
      </c>
      <c r="O528" s="943">
        <v>1</v>
      </c>
      <c r="P528" s="944">
        <v>38134</v>
      </c>
      <c r="Q528" s="945">
        <f>1.1 *(ROUNDUP(51.45/3*1.112,2))</f>
        <v>20.988000000000003</v>
      </c>
      <c r="R528" s="946">
        <f t="shared" ref="R528:R535" si="92">$A528*Q528</f>
        <v>0</v>
      </c>
      <c r="S528" s="1193">
        <v>0.25</v>
      </c>
      <c r="T528" s="947">
        <f t="shared" ref="T528:T535" si="93">$A528*S528*$T$1</f>
        <v>0</v>
      </c>
    </row>
    <row r="529" spans="1:30" s="901" customFormat="1">
      <c r="A529" s="1056">
        <v>0</v>
      </c>
      <c r="B529" s="901" t="s">
        <v>141</v>
      </c>
      <c r="C529" s="1056">
        <f ca="1">$Q$520 *(6*2)</f>
        <v>12</v>
      </c>
      <c r="D529" s="901" t="s">
        <v>3256</v>
      </c>
      <c r="G529" s="941" t="s">
        <v>3247</v>
      </c>
      <c r="H529" s="942">
        <v>690</v>
      </c>
      <c r="I529" s="901" t="s">
        <v>2607</v>
      </c>
      <c r="J529" s="901" t="s">
        <v>2953</v>
      </c>
      <c r="O529" s="943">
        <v>1</v>
      </c>
      <c r="P529" s="944">
        <v>38162</v>
      </c>
      <c r="Q529" s="945">
        <f>1.1 *(ROUNDUP(10.36*1.112,2))</f>
        <v>12.683</v>
      </c>
      <c r="R529" s="946">
        <f t="shared" si="92"/>
        <v>0</v>
      </c>
      <c r="S529" s="945"/>
      <c r="T529" s="947">
        <f t="shared" si="93"/>
        <v>0</v>
      </c>
    </row>
    <row r="530" spans="1:30" s="901" customFormat="1">
      <c r="A530" s="1056">
        <v>0</v>
      </c>
      <c r="B530" s="901" t="s">
        <v>141</v>
      </c>
      <c r="C530" s="1056">
        <f ca="1">$Q$520 *(150/3+6*4*2)</f>
        <v>98</v>
      </c>
      <c r="D530" s="901" t="s">
        <v>3268</v>
      </c>
      <c r="G530" s="941" t="s">
        <v>3247</v>
      </c>
      <c r="H530" s="942">
        <v>690</v>
      </c>
      <c r="I530" s="901" t="s">
        <v>2607</v>
      </c>
      <c r="J530" s="901" t="s">
        <v>2953</v>
      </c>
      <c r="O530" s="943">
        <v>1</v>
      </c>
      <c r="P530" s="944">
        <v>38162</v>
      </c>
      <c r="Q530" s="945">
        <f>1.1 *(ROUNDUP(7.79*1.112,2))</f>
        <v>9.5370000000000008</v>
      </c>
      <c r="R530" s="946">
        <f t="shared" si="92"/>
        <v>0</v>
      </c>
      <c r="S530" s="945"/>
      <c r="T530" s="947">
        <f t="shared" si="93"/>
        <v>0</v>
      </c>
    </row>
    <row r="531" spans="1:30" s="901" customFormat="1">
      <c r="A531" s="1056">
        <v>0</v>
      </c>
      <c r="B531" s="901" t="s">
        <v>141</v>
      </c>
      <c r="C531" s="1056">
        <f ca="1">$Q$520 *(6 *(25))</f>
        <v>150</v>
      </c>
      <c r="D531" s="901" t="s">
        <v>3257</v>
      </c>
      <c r="G531" s="941" t="s">
        <v>3249</v>
      </c>
      <c r="H531" s="942">
        <v>690</v>
      </c>
      <c r="I531" s="901" t="s">
        <v>2607</v>
      </c>
      <c r="J531" s="901" t="s">
        <v>2953</v>
      </c>
      <c r="O531" s="943">
        <v>1</v>
      </c>
      <c r="P531" s="944">
        <v>38136</v>
      </c>
      <c r="Q531" s="945">
        <f>1.1 *(ROUNDUP(11.81*1.112,2))</f>
        <v>14.454000000000002</v>
      </c>
      <c r="R531" s="946">
        <f t="shared" si="92"/>
        <v>0</v>
      </c>
      <c r="S531" s="945"/>
      <c r="T531" s="947">
        <f t="shared" si="93"/>
        <v>0</v>
      </c>
    </row>
    <row r="532" spans="1:30" s="901" customFormat="1">
      <c r="A532" s="1056">
        <v>0</v>
      </c>
      <c r="B532" s="901" t="s">
        <v>141</v>
      </c>
      <c r="C532" s="1056">
        <f ca="1">$Q$520 *(6*4 *(1))</f>
        <v>24</v>
      </c>
      <c r="D532" s="901" t="s">
        <v>3258</v>
      </c>
      <c r="F532" s="901" t="s">
        <v>3291</v>
      </c>
      <c r="G532" s="941" t="s">
        <v>3249</v>
      </c>
      <c r="H532" s="942">
        <v>690</v>
      </c>
      <c r="I532" s="901" t="s">
        <v>2607</v>
      </c>
      <c r="J532" s="901" t="s">
        <v>2953</v>
      </c>
      <c r="O532" s="943">
        <v>1</v>
      </c>
      <c r="P532" s="944">
        <v>38136</v>
      </c>
      <c r="Q532" s="945">
        <f>1.1 *(ROUNDUP(39.5*1.112,2))</f>
        <v>48.323</v>
      </c>
      <c r="R532" s="946">
        <f t="shared" si="92"/>
        <v>0</v>
      </c>
      <c r="S532" s="945"/>
      <c r="T532" s="947">
        <f t="shared" si="93"/>
        <v>0</v>
      </c>
      <c r="AD532" s="901" t="s">
        <v>3291</v>
      </c>
    </row>
    <row r="533" spans="1:30" s="901" customFormat="1">
      <c r="A533" s="1056">
        <v>0</v>
      </c>
      <c r="B533" s="901" t="s">
        <v>141</v>
      </c>
      <c r="C533" s="1056">
        <f ca="1">$Q$520 *(6)</f>
        <v>6</v>
      </c>
      <c r="D533" s="901" t="s">
        <v>3294</v>
      </c>
      <c r="F533" s="901" t="s">
        <v>3291</v>
      </c>
      <c r="G533" s="941" t="s">
        <v>3249</v>
      </c>
      <c r="H533" s="942">
        <v>690</v>
      </c>
      <c r="I533" s="901" t="s">
        <v>2607</v>
      </c>
      <c r="J533" s="901" t="s">
        <v>2953</v>
      </c>
      <c r="O533" s="943">
        <v>1</v>
      </c>
      <c r="P533" s="944">
        <v>38136</v>
      </c>
      <c r="Q533" s="945">
        <f>1.1 *(ROUNDUP(14.6*1.112,2))</f>
        <v>17.864000000000004</v>
      </c>
      <c r="R533" s="946">
        <f t="shared" si="92"/>
        <v>0</v>
      </c>
      <c r="S533" s="945"/>
      <c r="T533" s="947">
        <f t="shared" si="93"/>
        <v>0</v>
      </c>
      <c r="AD533" s="901" t="s">
        <v>3291</v>
      </c>
    </row>
    <row r="534" spans="1:30" s="901" customFormat="1">
      <c r="A534" s="1056">
        <v>0</v>
      </c>
      <c r="B534" s="901" t="s">
        <v>141</v>
      </c>
      <c r="C534" s="1056">
        <f ca="1">$Q$520 *(6*2)</f>
        <v>12</v>
      </c>
      <c r="D534" s="901" t="s">
        <v>3297</v>
      </c>
      <c r="G534" s="941" t="s">
        <v>3249</v>
      </c>
      <c r="H534" s="942">
        <v>690</v>
      </c>
      <c r="I534" s="901" t="s">
        <v>2607</v>
      </c>
      <c r="J534" s="901" t="s">
        <v>2953</v>
      </c>
      <c r="O534" s="943">
        <v>1</v>
      </c>
      <c r="P534" s="944">
        <v>38136</v>
      </c>
      <c r="Q534" s="945">
        <f>1.1 *(ROUNDUP(1.74*1.112,2))</f>
        <v>2.1339999999999999</v>
      </c>
      <c r="R534" s="946">
        <f t="shared" si="92"/>
        <v>0</v>
      </c>
      <c r="S534" s="945"/>
      <c r="T534" s="947">
        <f t="shared" si="93"/>
        <v>0</v>
      </c>
    </row>
    <row r="535" spans="1:30" s="901" customFormat="1">
      <c r="A535" s="1056">
        <v>0</v>
      </c>
      <c r="B535" s="901" t="s">
        <v>141</v>
      </c>
      <c r="C535" s="1056">
        <f ca="1">$Q$520 *(6 *(25))</f>
        <v>150</v>
      </c>
      <c r="D535" s="901" t="s">
        <v>3250</v>
      </c>
      <c r="G535" s="941" t="s">
        <v>3251</v>
      </c>
      <c r="H535" s="942">
        <v>690</v>
      </c>
      <c r="I535" s="901" t="s">
        <v>2607</v>
      </c>
      <c r="O535" s="943">
        <v>1</v>
      </c>
      <c r="P535" s="944">
        <v>38136</v>
      </c>
      <c r="Q535" s="945">
        <f>1.1 *(ROUNDUP(10.92/50*1.112,2))</f>
        <v>0.27500000000000002</v>
      </c>
      <c r="R535" s="946">
        <f t="shared" si="92"/>
        <v>0</v>
      </c>
      <c r="S535" s="945"/>
      <c r="T535" s="947">
        <f t="shared" si="93"/>
        <v>0</v>
      </c>
    </row>
    <row r="536" spans="1:30" s="901" customFormat="1">
      <c r="A536" s="1057">
        <v>0</v>
      </c>
      <c r="B536" s="1084" t="s">
        <v>863</v>
      </c>
      <c r="C536" s="1057">
        <f ca="1">$Q$520 *(1)</f>
        <v>1</v>
      </c>
      <c r="D536" s="1084" t="s">
        <v>2752</v>
      </c>
      <c r="E536" s="1084"/>
      <c r="F536" s="1084" t="s">
        <v>3326</v>
      </c>
      <c r="G536" s="1091" t="s">
        <v>2754</v>
      </c>
      <c r="H536" s="1092">
        <v>962</v>
      </c>
      <c r="I536" s="1084" t="s">
        <v>2596</v>
      </c>
      <c r="J536" s="1084"/>
      <c r="K536" s="1084"/>
      <c r="L536" s="1084"/>
      <c r="M536" s="1084"/>
      <c r="N536" s="1084"/>
      <c r="O536" s="1093">
        <v>2</v>
      </c>
      <c r="P536" s="1094">
        <v>38129</v>
      </c>
      <c r="Q536" s="1205">
        <f>0.41 *(1 *(33/8*120))</f>
        <v>202.95</v>
      </c>
      <c r="R536" s="1096">
        <f>$A536*Q536</f>
        <v>0</v>
      </c>
      <c r="S536" s="1095"/>
      <c r="T536" s="1097">
        <f>$A536*S536*$T$1</f>
        <v>0</v>
      </c>
      <c r="AD536" s="1084" t="s">
        <v>3326</v>
      </c>
    </row>
    <row r="537" spans="1:30" s="901" customFormat="1">
      <c r="A537" s="1057">
        <v>0</v>
      </c>
      <c r="B537" s="901" t="s">
        <v>2755</v>
      </c>
      <c r="C537" s="1057">
        <f ca="1">$Q$520 *(1)</f>
        <v>1</v>
      </c>
      <c r="D537" s="901" t="s">
        <v>3325</v>
      </c>
      <c r="F537" s="901" t="s">
        <v>3666</v>
      </c>
      <c r="G537" s="941" t="s">
        <v>3324</v>
      </c>
      <c r="H537" s="942">
        <v>845</v>
      </c>
      <c r="I537" s="901" t="s">
        <v>2607</v>
      </c>
      <c r="O537" s="943">
        <v>3</v>
      </c>
      <c r="P537" s="944">
        <v>39713</v>
      </c>
      <c r="Q537" s="1205">
        <f>0.41 *(33/8*25)</f>
        <v>42.28125</v>
      </c>
      <c r="R537" s="946">
        <f>$A537*Q537</f>
        <v>0</v>
      </c>
      <c r="S537" s="945"/>
      <c r="T537" s="947">
        <f>$A537*S537*$T$1</f>
        <v>0</v>
      </c>
      <c r="AD537" s="901" t="s">
        <v>3666</v>
      </c>
    </row>
    <row r="538" spans="1:30" s="520" customFormat="1">
      <c r="A538" s="758"/>
      <c r="B538" s="3"/>
      <c r="C538" s="758" t="s">
        <v>171</v>
      </c>
      <c r="D538" s="3"/>
      <c r="E538" s="758"/>
      <c r="F538" s="753"/>
      <c r="G538" s="758"/>
      <c r="H538" s="758"/>
      <c r="I538" s="519"/>
      <c r="J538" s="758"/>
      <c r="K538" s="758"/>
      <c r="L538" s="758"/>
      <c r="M538" s="758"/>
      <c r="N538" s="758"/>
      <c r="O538" s="758"/>
      <c r="P538" s="758"/>
      <c r="Q538" s="519"/>
      <c r="R538" s="917">
        <f t="shared" ref="R538" si="94">$A538*Q538</f>
        <v>0</v>
      </c>
      <c r="S538" s="519"/>
      <c r="T538" s="760">
        <f t="shared" ref="T538" si="95">$A538*S538*$T$1</f>
        <v>0</v>
      </c>
      <c r="AD538" s="753"/>
    </row>
    <row r="539" spans="1:30" s="520" customFormat="1" ht="12.6" thickBot="1">
      <c r="A539" s="761" t="s">
        <v>145</v>
      </c>
      <c r="B539" s="762">
        <f>(R538+T538)</f>
        <v>0</v>
      </c>
      <c r="C539" s="763"/>
      <c r="D539" s="937" t="s">
        <v>172</v>
      </c>
      <c r="E539" s="477">
        <f ca="1">IF($B520=0,0,ROUND(ROUND(($R539*$S$2+($T539*$T$2))/$B520, 2)*$C$2,2))</f>
        <v>5.48</v>
      </c>
      <c r="F539" s="478">
        <f ca="1">ROUND($B520*$E539,2)</f>
        <v>2575.6</v>
      </c>
      <c r="G539" s="763"/>
      <c r="H539" s="763"/>
      <c r="I539" s="765"/>
      <c r="J539" s="763"/>
      <c r="K539" s="938" t="s">
        <v>143</v>
      </c>
      <c r="L539" s="766" t="s">
        <v>143</v>
      </c>
      <c r="M539" s="766"/>
      <c r="N539" s="766"/>
      <c r="O539" s="766"/>
      <c r="P539" s="766"/>
      <c r="Q539" s="938"/>
      <c r="R539" s="939">
        <f ca="1">SUM(R521:R538)</f>
        <v>1323.5080000000003</v>
      </c>
      <c r="S539" s="940"/>
      <c r="T539" s="939">
        <f ca="1">SUM(T521:T538)</f>
        <v>28.025999999999996</v>
      </c>
      <c r="U539" s="531"/>
      <c r="V539" s="531"/>
      <c r="W539" s="531"/>
      <c r="X539" s="531"/>
      <c r="Y539" s="531"/>
      <c r="Z539" s="531"/>
      <c r="AA539" s="531"/>
      <c r="AB539" s="531"/>
      <c r="AD539" s="478">
        <v>2895.2</v>
      </c>
    </row>
    <row r="540" spans="1:30" s="520" customFormat="1" ht="13.8" thickTop="1">
      <c r="A540" s="51"/>
      <c r="B540" s="51"/>
      <c r="C540" s="3"/>
      <c r="D540" s="3"/>
      <c r="E540" s="51"/>
      <c r="F540" s="51"/>
      <c r="G540" s="51"/>
      <c r="H540" s="51"/>
      <c r="I540" s="51"/>
      <c r="J540" s="51"/>
      <c r="K540" s="51" t="s">
        <v>134</v>
      </c>
      <c r="L540" s="51"/>
      <c r="M540" s="51"/>
      <c r="N540" s="51"/>
      <c r="O540" s="52"/>
      <c r="P540" s="51"/>
      <c r="Q540" s="51"/>
      <c r="R540" s="51"/>
      <c r="S540" s="51"/>
      <c r="T540" s="51"/>
      <c r="AD540" s="51"/>
    </row>
    <row r="541" spans="1:30" s="520" customFormat="1" ht="12">
      <c r="A541" s="51"/>
      <c r="B541" s="51"/>
      <c r="C541" s="51" t="s">
        <v>135</v>
      </c>
      <c r="D541" s="37" t="s">
        <v>136</v>
      </c>
      <c r="E541" s="51"/>
      <c r="F541" s="51"/>
      <c r="G541" s="51"/>
      <c r="H541" s="51"/>
      <c r="I541" s="51"/>
      <c r="J541" s="51"/>
      <c r="K541" s="51"/>
      <c r="L541" s="51"/>
      <c r="M541" s="51"/>
      <c r="N541" s="51"/>
      <c r="O541" s="52"/>
      <c r="P541" s="51"/>
      <c r="Q541" s="51"/>
      <c r="R541" s="51"/>
      <c r="S541" s="51"/>
      <c r="T541" s="51"/>
      <c r="AD541" s="51"/>
    </row>
    <row r="542" spans="1:30" s="520" customFormat="1" ht="12">
      <c r="A542" s="51"/>
      <c r="B542" s="51"/>
      <c r="C542" s="51"/>
      <c r="D542" s="37" t="s">
        <v>3096</v>
      </c>
      <c r="E542" s="51"/>
      <c r="F542" s="51"/>
      <c r="G542" s="51"/>
      <c r="H542" s="51"/>
      <c r="I542" s="51"/>
      <c r="J542" s="51"/>
      <c r="K542" s="51"/>
      <c r="L542" s="51"/>
      <c r="M542" s="51"/>
      <c r="N542" s="51"/>
      <c r="O542" s="52"/>
      <c r="P542" s="51"/>
      <c r="Q542" s="51"/>
      <c r="R542" s="51"/>
      <c r="S542" s="38"/>
      <c r="T542" s="38"/>
      <c r="AD542" s="51"/>
    </row>
    <row r="543" spans="1:30" s="3" customFormat="1" ht="13.8" thickBot="1">
      <c r="A543" s="531"/>
      <c r="O543" s="107"/>
    </row>
    <row r="544" spans="1:30" s="520" customFormat="1" ht="12" thickTop="1">
      <c r="A544" s="51"/>
      <c r="B544" s="51"/>
      <c r="C544" s="51"/>
      <c r="D544" s="51"/>
      <c r="E544" s="51"/>
      <c r="F544" s="51"/>
      <c r="G544" s="51"/>
      <c r="H544" s="51"/>
      <c r="I544" s="51"/>
      <c r="J544" s="51"/>
      <c r="K544" s="51"/>
      <c r="L544" s="51"/>
      <c r="M544" s="51"/>
      <c r="N544" s="51"/>
      <c r="O544" s="52"/>
      <c r="P544" s="51"/>
      <c r="Q544" s="42" t="s">
        <v>168</v>
      </c>
      <c r="R544" s="51"/>
      <c r="S544" s="13"/>
      <c r="T544" s="51"/>
      <c r="AD544" s="51"/>
    </row>
    <row r="545" spans="1:30" s="520" customFormat="1" ht="12" customHeight="1" thickBot="1">
      <c r="A545" s="927">
        <v>1</v>
      </c>
      <c r="B545" s="928">
        <f ca="1">Elec_Est!B11597</f>
        <v>60</v>
      </c>
      <c r="C545" s="929"/>
      <c r="D545" s="930" t="s">
        <v>3553</v>
      </c>
      <c r="E545" s="931"/>
      <c r="F545" s="931"/>
      <c r="G545" s="752"/>
      <c r="H545" s="752"/>
      <c r="I545" s="932"/>
      <c r="J545" s="752"/>
      <c r="K545" s="929" t="s">
        <v>169</v>
      </c>
      <c r="L545" s="933" t="s">
        <v>169</v>
      </c>
      <c r="M545" s="933"/>
      <c r="N545" s="933"/>
      <c r="O545" s="933"/>
      <c r="P545" s="933"/>
      <c r="Q545" s="934">
        <f ca="1">B545/A545</f>
        <v>60</v>
      </c>
      <c r="R545" s="935">
        <f ca="1">IF($B545=0,0,IF($S$1="R",ROUND(R550/$B545,2),R550/$B545))</f>
        <v>1.1000000000000001</v>
      </c>
      <c r="S545" s="936"/>
      <c r="T545" s="935">
        <f ca="1">IF($B545=0,0,IF($S$1="R",ROUND(T550/$B545,2),T550/$B545))</f>
        <v>0.47</v>
      </c>
      <c r="AD545" s="931"/>
    </row>
    <row r="546" spans="1:30" s="520" customFormat="1" ht="13.8" thickTop="1">
      <c r="A546" s="748"/>
      <c r="B546" s="3"/>
      <c r="C546" s="3"/>
      <c r="D546" s="106" t="s">
        <v>170</v>
      </c>
      <c r="E546" s="3"/>
      <c r="F546" s="3"/>
      <c r="G546" s="3"/>
      <c r="H546" s="3"/>
      <c r="I546" s="3"/>
      <c r="J546" s="3"/>
      <c r="K546" s="3"/>
      <c r="L546" s="3"/>
      <c r="M546" s="3"/>
      <c r="N546" s="3"/>
      <c r="O546" s="107"/>
      <c r="P546" s="3"/>
      <c r="Q546" s="3"/>
      <c r="R546" s="3"/>
      <c r="S546" s="3"/>
      <c r="T546" s="3"/>
      <c r="AD546" s="3"/>
    </row>
    <row r="547" spans="1:30" s="901" customFormat="1">
      <c r="A547" s="1056">
        <f ca="1">$Q$545 *(1)</f>
        <v>60</v>
      </c>
      <c r="B547" s="901" t="s">
        <v>141</v>
      </c>
      <c r="D547" s="901" t="s">
        <v>3066</v>
      </c>
      <c r="E547" s="1054" t="s">
        <v>3097</v>
      </c>
      <c r="F547" s="1054" t="s">
        <v>3108</v>
      </c>
      <c r="G547" s="941" t="s">
        <v>3067</v>
      </c>
      <c r="H547" s="942">
        <v>835</v>
      </c>
      <c r="I547" s="901" t="s">
        <v>2607</v>
      </c>
      <c r="O547" s="943">
        <v>3</v>
      </c>
      <c r="P547" s="944"/>
      <c r="Q547" s="1063"/>
      <c r="R547" s="946">
        <f ca="1">$A547*Q547</f>
        <v>0</v>
      </c>
      <c r="S547" s="945">
        <v>0.5</v>
      </c>
      <c r="T547" s="947">
        <f ca="1">$A547*S547*$T$1</f>
        <v>27</v>
      </c>
      <c r="U547" s="901" t="s">
        <v>2764</v>
      </c>
      <c r="AD547" s="1054" t="s">
        <v>3108</v>
      </c>
    </row>
    <row r="548" spans="1:30" s="901" customFormat="1">
      <c r="A548" s="1057">
        <f ca="1">$Q$545 *(1)</f>
        <v>60</v>
      </c>
      <c r="B548" s="901" t="s">
        <v>320</v>
      </c>
      <c r="D548" s="901" t="s">
        <v>3098</v>
      </c>
      <c r="G548" s="941" t="s">
        <v>3099</v>
      </c>
      <c r="H548" s="942">
        <v>616</v>
      </c>
      <c r="I548" s="901" t="s">
        <v>2272</v>
      </c>
      <c r="J548" s="901" t="s">
        <v>3100</v>
      </c>
      <c r="K548" s="901" t="s">
        <v>3101</v>
      </c>
      <c r="O548" s="943">
        <v>2</v>
      </c>
      <c r="P548" s="944">
        <v>40767</v>
      </c>
      <c r="Q548" s="945">
        <v>1.1000000000000001</v>
      </c>
      <c r="R548" s="946">
        <f ca="1">$A548*Q548</f>
        <v>66</v>
      </c>
      <c r="S548" s="945">
        <v>2.5000000000000001E-2</v>
      </c>
      <c r="T548" s="947">
        <f ca="1">$A548*S548*$T$1</f>
        <v>1.35</v>
      </c>
    </row>
    <row r="549" spans="1:30" s="520" customFormat="1">
      <c r="A549" s="758"/>
      <c r="B549" s="3"/>
      <c r="C549" s="758" t="s">
        <v>171</v>
      </c>
      <c r="D549" s="3"/>
      <c r="E549" s="758"/>
      <c r="F549" s="753"/>
      <c r="G549" s="758"/>
      <c r="H549" s="758"/>
      <c r="I549" s="519"/>
      <c r="J549" s="758"/>
      <c r="K549" s="758"/>
      <c r="L549" s="758"/>
      <c r="M549" s="758"/>
      <c r="N549" s="758"/>
      <c r="O549" s="758"/>
      <c r="P549" s="758"/>
      <c r="Q549" s="519"/>
      <c r="R549" s="917">
        <f t="shared" ref="R549" si="96">$A549*Q549</f>
        <v>0</v>
      </c>
      <c r="S549" s="519"/>
      <c r="T549" s="760">
        <f t="shared" ref="T549" si="97">$A549*S549*$T$1</f>
        <v>0</v>
      </c>
      <c r="AD549" s="753"/>
    </row>
    <row r="550" spans="1:30" s="520" customFormat="1" ht="12.6" thickBot="1">
      <c r="A550" s="761" t="s">
        <v>145</v>
      </c>
      <c r="B550" s="762">
        <f>(R549+T549)</f>
        <v>0</v>
      </c>
      <c r="C550" s="763"/>
      <c r="D550" s="937" t="s">
        <v>172</v>
      </c>
      <c r="E550" s="477">
        <f ca="1">IF($B545=0,0,ROUND(ROUND(($R550*$S$2+($T550*$T$2))/$B545, 2)*$C$2,2))</f>
        <v>17.329999999999998</v>
      </c>
      <c r="F550" s="478">
        <f ca="1">ROUND($B545*$E550,2)</f>
        <v>1039.8</v>
      </c>
      <c r="G550" s="763"/>
      <c r="H550" s="763"/>
      <c r="I550" s="765"/>
      <c r="J550" s="763"/>
      <c r="K550" s="938" t="s">
        <v>143</v>
      </c>
      <c r="L550" s="766" t="s">
        <v>143</v>
      </c>
      <c r="M550" s="766"/>
      <c r="N550" s="766"/>
      <c r="O550" s="766"/>
      <c r="P550" s="766"/>
      <c r="Q550" s="938"/>
      <c r="R550" s="939">
        <f ca="1">SUM(R546:R549)</f>
        <v>66</v>
      </c>
      <c r="S550" s="940"/>
      <c r="T550" s="939">
        <f ca="1">SUM(T546:T549)</f>
        <v>28.35</v>
      </c>
      <c r="U550" s="531"/>
      <c r="V550" s="531"/>
      <c r="W550" s="531"/>
      <c r="X550" s="531"/>
      <c r="Y550" s="531"/>
      <c r="Z550" s="531"/>
      <c r="AA550" s="531"/>
      <c r="AB550" s="531"/>
      <c r="AD550" s="478">
        <v>1194</v>
      </c>
    </row>
    <row r="551" spans="1:30" s="520" customFormat="1" ht="12" thickTop="1">
      <c r="A551" s="51"/>
      <c r="B551" s="51"/>
      <c r="C551" s="51"/>
      <c r="D551" s="51"/>
      <c r="E551" s="51"/>
      <c r="F551" s="51"/>
      <c r="G551" s="51"/>
      <c r="H551" s="51"/>
      <c r="I551" s="51"/>
      <c r="J551" s="51"/>
      <c r="K551" s="51"/>
      <c r="L551" s="51"/>
      <c r="M551" s="51"/>
      <c r="N551" s="51"/>
      <c r="O551" s="52"/>
      <c r="P551" s="51"/>
      <c r="Q551" s="42" t="s">
        <v>168</v>
      </c>
      <c r="R551" s="51"/>
      <c r="S551" s="13"/>
      <c r="T551" s="51"/>
      <c r="AD551" s="51"/>
    </row>
    <row r="552" spans="1:30" s="520" customFormat="1" ht="12" customHeight="1" thickBot="1">
      <c r="A552" s="927">
        <v>1</v>
      </c>
      <c r="B552" s="928">
        <f ca="1">Elec_Est!B11598</f>
        <v>25</v>
      </c>
      <c r="C552" s="929"/>
      <c r="D552" s="930" t="s">
        <v>3554</v>
      </c>
      <c r="E552" s="931"/>
      <c r="F552" s="931"/>
      <c r="G552" s="752"/>
      <c r="H552" s="752"/>
      <c r="I552" s="932"/>
      <c r="J552" s="752"/>
      <c r="K552" s="929" t="s">
        <v>169</v>
      </c>
      <c r="L552" s="933" t="s">
        <v>169</v>
      </c>
      <c r="M552" s="933"/>
      <c r="N552" s="933"/>
      <c r="O552" s="933"/>
      <c r="P552" s="933"/>
      <c r="Q552" s="934">
        <f ca="1">B552/A552</f>
        <v>25</v>
      </c>
      <c r="R552" s="935">
        <f ca="1">IF($B552=0,0,IF($S$1="R",ROUND(R557/$B552,2),R557/$B552))</f>
        <v>1.5</v>
      </c>
      <c r="S552" s="936"/>
      <c r="T552" s="935">
        <f ca="1">IF($B552=0,0,IF($S$1="R",ROUND(T557/$B552,2),T557/$B552))</f>
        <v>0.47</v>
      </c>
      <c r="AD552" s="931"/>
    </row>
    <row r="553" spans="1:30" s="520" customFormat="1" ht="13.8" thickTop="1">
      <c r="A553" s="748"/>
      <c r="B553" s="3"/>
      <c r="C553" s="3"/>
      <c r="D553" s="106" t="s">
        <v>170</v>
      </c>
      <c r="E553" s="3"/>
      <c r="F553" s="3"/>
      <c r="G553" s="3"/>
      <c r="H553" s="3"/>
      <c r="I553" s="3"/>
      <c r="J553" s="3"/>
      <c r="K553" s="3"/>
      <c r="L553" s="3"/>
      <c r="M553" s="3"/>
      <c r="N553" s="3"/>
      <c r="O553" s="107"/>
      <c r="P553" s="3"/>
      <c r="Q553" s="3"/>
      <c r="R553" s="3"/>
      <c r="S553" s="3"/>
      <c r="T553" s="3"/>
      <c r="AD553" s="3"/>
    </row>
    <row r="554" spans="1:30" s="901" customFormat="1">
      <c r="A554" s="1056">
        <f ca="1">$Q$552 *(1)</f>
        <v>25</v>
      </c>
      <c r="B554" s="901" t="s">
        <v>141</v>
      </c>
      <c r="D554" s="901" t="s">
        <v>3066</v>
      </c>
      <c r="E554" s="1054" t="s">
        <v>3097</v>
      </c>
      <c r="F554" s="1054" t="s">
        <v>3116</v>
      </c>
      <c r="G554" s="941" t="s">
        <v>3067</v>
      </c>
      <c r="H554" s="942">
        <v>835</v>
      </c>
      <c r="I554" s="901" t="s">
        <v>2607</v>
      </c>
      <c r="O554" s="943">
        <v>3</v>
      </c>
      <c r="P554" s="944"/>
      <c r="Q554" s="1063"/>
      <c r="R554" s="946">
        <f ca="1">$A554*Q554</f>
        <v>0</v>
      </c>
      <c r="S554" s="945">
        <v>0.5</v>
      </c>
      <c r="T554" s="947">
        <f ca="1">$A554*S554*$T$1</f>
        <v>11.25</v>
      </c>
      <c r="U554" s="901" t="s">
        <v>2764</v>
      </c>
      <c r="AD554" s="1054" t="s">
        <v>3116</v>
      </c>
    </row>
    <row r="555" spans="1:30" s="901" customFormat="1">
      <c r="A555" s="1057">
        <f ca="1">$Q$552 *(1)</f>
        <v>25</v>
      </c>
      <c r="B555" s="901" t="s">
        <v>320</v>
      </c>
      <c r="D555" s="901" t="s">
        <v>3109</v>
      </c>
      <c r="G555" s="941" t="s">
        <v>3099</v>
      </c>
      <c r="H555" s="942">
        <v>616</v>
      </c>
      <c r="I555" s="901" t="s">
        <v>2272</v>
      </c>
      <c r="J555" s="901" t="s">
        <v>3100</v>
      </c>
      <c r="K555" s="901" t="s">
        <v>3101</v>
      </c>
      <c r="O555" s="943">
        <v>2</v>
      </c>
      <c r="P555" s="944">
        <v>40767</v>
      </c>
      <c r="Q555" s="945">
        <v>1.5</v>
      </c>
      <c r="R555" s="946">
        <f ca="1">$A555*Q555</f>
        <v>37.5</v>
      </c>
      <c r="S555" s="945">
        <v>2.5000000000000001E-2</v>
      </c>
      <c r="T555" s="947">
        <f ca="1">$A555*S555*$T$1</f>
        <v>0.5625</v>
      </c>
    </row>
    <row r="556" spans="1:30" s="520" customFormat="1">
      <c r="A556" s="758"/>
      <c r="B556" s="3"/>
      <c r="C556" s="758" t="s">
        <v>171</v>
      </c>
      <c r="D556" s="3"/>
      <c r="E556" s="758"/>
      <c r="F556" s="753"/>
      <c r="G556" s="758"/>
      <c r="H556" s="758"/>
      <c r="I556" s="519"/>
      <c r="J556" s="758"/>
      <c r="K556" s="758"/>
      <c r="L556" s="758"/>
      <c r="M556" s="758"/>
      <c r="N556" s="758"/>
      <c r="O556" s="758"/>
      <c r="P556" s="758"/>
      <c r="Q556" s="519"/>
      <c r="R556" s="917">
        <f t="shared" ref="R556" si="98">$A556*Q556</f>
        <v>0</v>
      </c>
      <c r="S556" s="519"/>
      <c r="T556" s="760">
        <f t="shared" ref="T556" si="99">$A556*S556*$T$1</f>
        <v>0</v>
      </c>
      <c r="AD556" s="753"/>
    </row>
    <row r="557" spans="1:30" s="520" customFormat="1" ht="12.6" thickBot="1">
      <c r="A557" s="761" t="s">
        <v>145</v>
      </c>
      <c r="B557" s="762">
        <f>(R556+T556)</f>
        <v>0</v>
      </c>
      <c r="C557" s="763"/>
      <c r="D557" s="937" t="s">
        <v>172</v>
      </c>
      <c r="E557" s="477">
        <f ca="1">IF($B552=0,0,ROUND(ROUND(($R557*$S$2+($T557*$T$2))/$B552, 2)*$C$2,2))</f>
        <v>17.82</v>
      </c>
      <c r="F557" s="478">
        <f ca="1">ROUND($B552*$E557,2)</f>
        <v>445.5</v>
      </c>
      <c r="G557" s="763"/>
      <c r="H557" s="763"/>
      <c r="I557" s="765"/>
      <c r="J557" s="763"/>
      <c r="K557" s="938" t="s">
        <v>143</v>
      </c>
      <c r="L557" s="766" t="s">
        <v>143</v>
      </c>
      <c r="M557" s="766"/>
      <c r="N557" s="766"/>
      <c r="O557" s="766"/>
      <c r="P557" s="766"/>
      <c r="Q557" s="938"/>
      <c r="R557" s="939">
        <f ca="1">SUM(R553:R556)</f>
        <v>37.5</v>
      </c>
      <c r="S557" s="940"/>
      <c r="T557" s="939">
        <f ca="1">SUM(T553:T556)</f>
        <v>11.8125</v>
      </c>
      <c r="U557" s="531"/>
      <c r="V557" s="531"/>
      <c r="W557" s="531"/>
      <c r="X557" s="531"/>
      <c r="Y557" s="531"/>
      <c r="Z557" s="531"/>
      <c r="AA557" s="531"/>
      <c r="AB557" s="531"/>
      <c r="AD557" s="478">
        <v>510.5</v>
      </c>
    </row>
    <row r="558" spans="1:30" s="520" customFormat="1" ht="12" thickTop="1">
      <c r="A558" s="51"/>
      <c r="B558" s="51"/>
      <c r="C558" s="51"/>
      <c r="D558" s="51"/>
      <c r="E558" s="51"/>
      <c r="F558" s="51"/>
      <c r="G558" s="51"/>
      <c r="H558" s="51"/>
      <c r="I558" s="51"/>
      <c r="J558" s="51"/>
      <c r="K558" s="51"/>
      <c r="L558" s="51"/>
      <c r="M558" s="51"/>
      <c r="N558" s="51"/>
      <c r="O558" s="52"/>
      <c r="P558" s="51"/>
      <c r="Q558" s="42" t="s">
        <v>168</v>
      </c>
      <c r="R558" s="51"/>
      <c r="S558" s="13"/>
      <c r="T558" s="51"/>
      <c r="AD558" s="51"/>
    </row>
    <row r="559" spans="1:30" s="520" customFormat="1" ht="12" customHeight="1" thickBot="1">
      <c r="A559" s="927">
        <v>1</v>
      </c>
      <c r="B559" s="928">
        <f ca="1">Elec_Est!B11599</f>
        <v>169</v>
      </c>
      <c r="C559" s="929"/>
      <c r="D559" s="930" t="s">
        <v>3555</v>
      </c>
      <c r="E559" s="931"/>
      <c r="F559" s="931"/>
      <c r="G559" s="752"/>
      <c r="H559" s="752"/>
      <c r="I559" s="932"/>
      <c r="J559" s="752"/>
      <c r="K559" s="929" t="s">
        <v>169</v>
      </c>
      <c r="L559" s="933" t="s">
        <v>169</v>
      </c>
      <c r="M559" s="933"/>
      <c r="N559" s="933"/>
      <c r="O559" s="933"/>
      <c r="P559" s="933"/>
      <c r="Q559" s="934">
        <f ca="1">B559/A559</f>
        <v>169</v>
      </c>
      <c r="R559" s="935">
        <f ca="1">IF($B559=0,0,IF($S$1="R",ROUND(R566/$B559,2),R566/$B559))</f>
        <v>1.18</v>
      </c>
      <c r="S559" s="936"/>
      <c r="T559" s="935">
        <f ca="1">IF($B559=0,0,IF($S$1="R",ROUND(T566/$B559,2),T566/$B559))</f>
        <v>0.47</v>
      </c>
      <c r="AD559" s="931"/>
    </row>
    <row r="560" spans="1:30" s="520" customFormat="1" ht="13.8" thickTop="1">
      <c r="A560" s="748"/>
      <c r="B560" s="3"/>
      <c r="C560" s="3"/>
      <c r="D560" s="106" t="s">
        <v>170</v>
      </c>
      <c r="E560" s="3"/>
      <c r="F560" s="3"/>
      <c r="G560" s="3"/>
      <c r="H560" s="3"/>
      <c r="I560" s="3"/>
      <c r="J560" s="3"/>
      <c r="K560" s="3"/>
      <c r="L560" s="3"/>
      <c r="M560" s="3"/>
      <c r="N560" s="3"/>
      <c r="O560" s="107"/>
      <c r="P560" s="3"/>
      <c r="Q560" s="3"/>
      <c r="R560" s="3"/>
      <c r="S560" s="3"/>
      <c r="T560" s="3"/>
      <c r="AD560" s="3"/>
    </row>
    <row r="561" spans="1:30" s="901" customFormat="1">
      <c r="A561" s="1056">
        <f ca="1">$Q$559 *(1)</f>
        <v>169</v>
      </c>
      <c r="B561" s="901" t="s">
        <v>141</v>
      </c>
      <c r="D561" s="901" t="s">
        <v>3066</v>
      </c>
      <c r="E561" s="1054" t="s">
        <v>3097</v>
      </c>
      <c r="F561" s="1054" t="s">
        <v>3110</v>
      </c>
      <c r="G561" s="941" t="s">
        <v>3067</v>
      </c>
      <c r="H561" s="942">
        <v>835</v>
      </c>
      <c r="I561" s="901" t="s">
        <v>2607</v>
      </c>
      <c r="O561" s="943">
        <v>3</v>
      </c>
      <c r="P561" s="944"/>
      <c r="Q561" s="1063"/>
      <c r="R561" s="946">
        <f ca="1">$A561*Q561</f>
        <v>0</v>
      </c>
      <c r="S561" s="945">
        <v>0.5</v>
      </c>
      <c r="T561" s="947">
        <f ca="1">$A561*S561*$T$1</f>
        <v>76.05</v>
      </c>
      <c r="U561" s="901" t="s">
        <v>2764</v>
      </c>
      <c r="AD561" s="1054" t="s">
        <v>3110</v>
      </c>
    </row>
    <row r="562" spans="1:30" s="901" customFormat="1">
      <c r="A562" s="1057">
        <f ca="1">$Q$559 *(1)</f>
        <v>169</v>
      </c>
      <c r="B562" s="901" t="s">
        <v>320</v>
      </c>
      <c r="D562" s="901" t="s">
        <v>3098</v>
      </c>
      <c r="G562" s="941" t="s">
        <v>3099</v>
      </c>
      <c r="H562" s="942">
        <v>616</v>
      </c>
      <c r="I562" s="901" t="s">
        <v>2272</v>
      </c>
      <c r="J562" s="901" t="s">
        <v>3100</v>
      </c>
      <c r="K562" s="901" t="s">
        <v>3101</v>
      </c>
      <c r="O562" s="943">
        <v>2</v>
      </c>
      <c r="P562" s="944">
        <v>40767</v>
      </c>
      <c r="Q562" s="945">
        <v>1.1000000000000001</v>
      </c>
      <c r="R562" s="946">
        <f ca="1">$A562*Q562</f>
        <v>185.9</v>
      </c>
      <c r="S562" s="945">
        <v>2.5000000000000001E-2</v>
      </c>
      <c r="T562" s="947">
        <f ca="1">$A562*S562*$T$1</f>
        <v>3.8025000000000007</v>
      </c>
    </row>
    <row r="563" spans="1:30" s="901" customFormat="1">
      <c r="A563" s="1057">
        <f ca="1">$Q$559 *(2)</f>
        <v>338</v>
      </c>
      <c r="B563" s="901" t="s">
        <v>141</v>
      </c>
      <c r="D563" s="901" t="s">
        <v>2739</v>
      </c>
      <c r="G563" s="941" t="s">
        <v>2740</v>
      </c>
      <c r="H563" s="942">
        <v>875</v>
      </c>
      <c r="I563" s="901" t="s">
        <v>2607</v>
      </c>
      <c r="K563" s="901" t="s">
        <v>2741</v>
      </c>
      <c r="O563" s="943">
        <v>1</v>
      </c>
      <c r="P563" s="944">
        <v>34669</v>
      </c>
      <c r="Q563" s="945">
        <v>0.02</v>
      </c>
      <c r="R563" s="946">
        <f ca="1">$A563*Q563</f>
        <v>6.76</v>
      </c>
      <c r="S563" s="945"/>
      <c r="T563" s="947">
        <f ca="1">$A563*S563*$T$1</f>
        <v>0</v>
      </c>
    </row>
    <row r="564" spans="1:30" s="901" customFormat="1">
      <c r="A564" s="1057">
        <f ca="1">$Q$559 *(2)</f>
        <v>338</v>
      </c>
      <c r="B564" s="901" t="s">
        <v>141</v>
      </c>
      <c r="D564" s="901" t="s">
        <v>2742</v>
      </c>
      <c r="G564" s="941" t="s">
        <v>2743</v>
      </c>
      <c r="H564" s="942">
        <v>875</v>
      </c>
      <c r="I564" s="901" t="s">
        <v>2607</v>
      </c>
      <c r="K564" s="901" t="s">
        <v>2744</v>
      </c>
      <c r="O564" s="943">
        <v>1</v>
      </c>
      <c r="P564" s="944">
        <v>34669</v>
      </c>
      <c r="Q564" s="945">
        <v>0.02</v>
      </c>
      <c r="R564" s="946">
        <f ca="1">$A564*Q564</f>
        <v>6.76</v>
      </c>
      <c r="S564" s="945"/>
      <c r="T564" s="947">
        <f ca="1">$A564*S564*$T$1</f>
        <v>0</v>
      </c>
    </row>
    <row r="565" spans="1:30" s="520" customFormat="1">
      <c r="A565" s="758"/>
      <c r="B565" s="3"/>
      <c r="C565" s="758" t="s">
        <v>171</v>
      </c>
      <c r="D565" s="3"/>
      <c r="E565" s="758"/>
      <c r="F565" s="753"/>
      <c r="G565" s="758"/>
      <c r="H565" s="758"/>
      <c r="I565" s="519"/>
      <c r="J565" s="758"/>
      <c r="K565" s="758"/>
      <c r="L565" s="758"/>
      <c r="M565" s="758"/>
      <c r="N565" s="758"/>
      <c r="O565" s="758"/>
      <c r="P565" s="758"/>
      <c r="Q565" s="519"/>
      <c r="R565" s="917">
        <f t="shared" ref="R565" si="100">$A565*Q565</f>
        <v>0</v>
      </c>
      <c r="S565" s="519"/>
      <c r="T565" s="760">
        <f t="shared" ref="T565" si="101">$A565*S565*$T$1</f>
        <v>0</v>
      </c>
      <c r="AD565" s="753"/>
    </row>
    <row r="566" spans="1:30" s="520" customFormat="1" ht="12.6" thickBot="1">
      <c r="A566" s="761" t="s">
        <v>145</v>
      </c>
      <c r="B566" s="762">
        <f>(R565+T565)</f>
        <v>0</v>
      </c>
      <c r="C566" s="763"/>
      <c r="D566" s="937" t="s">
        <v>172</v>
      </c>
      <c r="E566" s="477">
        <f ca="1">IF($B559=0,0,ROUND(ROUND(($R566*$S$2+($T566*$T$2))/$B559, 2)*$C$2,2))</f>
        <v>17.43</v>
      </c>
      <c r="F566" s="478">
        <f ca="1">ROUND($B559*$E566,2)</f>
        <v>2945.67</v>
      </c>
      <c r="G566" s="763"/>
      <c r="H566" s="763"/>
      <c r="I566" s="765"/>
      <c r="J566" s="763"/>
      <c r="K566" s="938" t="s">
        <v>143</v>
      </c>
      <c r="L566" s="766" t="s">
        <v>143</v>
      </c>
      <c r="M566" s="766"/>
      <c r="N566" s="766"/>
      <c r="O566" s="766"/>
      <c r="P566" s="766"/>
      <c r="Q566" s="938"/>
      <c r="R566" s="939">
        <f ca="1">SUM(R560:R565)</f>
        <v>199.42</v>
      </c>
      <c r="S566" s="940"/>
      <c r="T566" s="939">
        <f ca="1">SUM(T560:T565)</f>
        <v>79.852499999999992</v>
      </c>
      <c r="U566" s="531"/>
      <c r="V566" s="531"/>
      <c r="W566" s="531"/>
      <c r="X566" s="531"/>
      <c r="Y566" s="531"/>
      <c r="Z566" s="531"/>
      <c r="AA566" s="531"/>
      <c r="AB566" s="531"/>
      <c r="AD566" s="478">
        <v>3380</v>
      </c>
    </row>
    <row r="567" spans="1:30" s="520" customFormat="1" ht="12" thickTop="1">
      <c r="A567" s="51"/>
      <c r="B567" s="51"/>
      <c r="C567" s="51"/>
      <c r="D567" s="51"/>
      <c r="E567" s="51"/>
      <c r="F567" s="51"/>
      <c r="G567" s="51"/>
      <c r="H567" s="51"/>
      <c r="I567" s="51"/>
      <c r="J567" s="51"/>
      <c r="K567" s="51"/>
      <c r="L567" s="51"/>
      <c r="M567" s="51"/>
      <c r="N567" s="51"/>
      <c r="O567" s="52"/>
      <c r="P567" s="51"/>
      <c r="Q567" s="42" t="s">
        <v>168</v>
      </c>
      <c r="R567" s="51"/>
      <c r="S567" s="13"/>
      <c r="T567" s="51"/>
      <c r="AD567" s="51"/>
    </row>
    <row r="568" spans="1:30" s="520" customFormat="1" ht="12" customHeight="1" thickBot="1">
      <c r="A568" s="927">
        <v>1</v>
      </c>
      <c r="B568" s="928">
        <f ca="1">Elec_Est!B11600</f>
        <v>103</v>
      </c>
      <c r="C568" s="929"/>
      <c r="D568" s="930" t="s">
        <v>3556</v>
      </c>
      <c r="E568" s="931"/>
      <c r="F568" s="931"/>
      <c r="G568" s="752"/>
      <c r="H568" s="752"/>
      <c r="I568" s="932"/>
      <c r="J568" s="752"/>
      <c r="K568" s="929" t="s">
        <v>169</v>
      </c>
      <c r="L568" s="933" t="s">
        <v>169</v>
      </c>
      <c r="M568" s="933"/>
      <c r="N568" s="933"/>
      <c r="O568" s="933"/>
      <c r="P568" s="933"/>
      <c r="Q568" s="934">
        <f ca="1">B568/A568</f>
        <v>103</v>
      </c>
      <c r="R568" s="935">
        <f ca="1">IF($B568=0,0,IF($S$1="R",ROUND(R575/$B568,2),R575/$B568))</f>
        <v>1.58</v>
      </c>
      <c r="S568" s="936"/>
      <c r="T568" s="935">
        <f ca="1">IF($B568=0,0,IF($S$1="R",ROUND(T575/$B568,2),T575/$B568))</f>
        <v>0.47</v>
      </c>
      <c r="AD568" s="931"/>
    </row>
    <row r="569" spans="1:30" s="520" customFormat="1" ht="13.8" thickTop="1">
      <c r="A569" s="748"/>
      <c r="B569" s="3"/>
      <c r="C569" s="3"/>
      <c r="D569" s="106" t="s">
        <v>170</v>
      </c>
      <c r="E569" s="3"/>
      <c r="F569" s="3"/>
      <c r="G569" s="3"/>
      <c r="H569" s="3"/>
      <c r="I569" s="3"/>
      <c r="J569" s="3"/>
      <c r="K569" s="3"/>
      <c r="L569" s="3"/>
      <c r="M569" s="3"/>
      <c r="N569" s="3"/>
      <c r="O569" s="107"/>
      <c r="P569" s="3"/>
      <c r="Q569" s="3"/>
      <c r="R569" s="3"/>
      <c r="S569" s="3"/>
      <c r="T569" s="3"/>
      <c r="AD569" s="3"/>
    </row>
    <row r="570" spans="1:30" s="901" customFormat="1">
      <c r="A570" s="1056">
        <f ca="1">$Q$568 *(1)</f>
        <v>103</v>
      </c>
      <c r="B570" s="901" t="s">
        <v>141</v>
      </c>
      <c r="D570" s="901" t="s">
        <v>3066</v>
      </c>
      <c r="E570" s="1054" t="s">
        <v>3097</v>
      </c>
      <c r="F570" s="1054" t="s">
        <v>3111</v>
      </c>
      <c r="G570" s="941" t="s">
        <v>3067</v>
      </c>
      <c r="H570" s="942">
        <v>835</v>
      </c>
      <c r="I570" s="901" t="s">
        <v>2607</v>
      </c>
      <c r="O570" s="943">
        <v>3</v>
      </c>
      <c r="P570" s="944"/>
      <c r="Q570" s="1063"/>
      <c r="R570" s="946">
        <f ca="1">$A570*Q570</f>
        <v>0</v>
      </c>
      <c r="S570" s="945">
        <v>0.5</v>
      </c>
      <c r="T570" s="947">
        <f ca="1">$A570*S570*$T$1</f>
        <v>46.35</v>
      </c>
      <c r="U570" s="901" t="s">
        <v>2764</v>
      </c>
      <c r="AD570" s="1054" t="s">
        <v>3111</v>
      </c>
    </row>
    <row r="571" spans="1:30" s="901" customFormat="1">
      <c r="A571" s="1057">
        <f ca="1">$Q$568 *(1)</f>
        <v>103</v>
      </c>
      <c r="B571" s="901" t="s">
        <v>320</v>
      </c>
      <c r="D571" s="901" t="s">
        <v>3109</v>
      </c>
      <c r="G571" s="941" t="s">
        <v>3099</v>
      </c>
      <c r="H571" s="942">
        <v>616</v>
      </c>
      <c r="I571" s="901" t="s">
        <v>2272</v>
      </c>
      <c r="J571" s="901" t="s">
        <v>3100</v>
      </c>
      <c r="K571" s="901" t="s">
        <v>3101</v>
      </c>
      <c r="O571" s="943">
        <v>2</v>
      </c>
      <c r="P571" s="944">
        <v>40767</v>
      </c>
      <c r="Q571" s="945">
        <v>1.5</v>
      </c>
      <c r="R571" s="946">
        <f ca="1">$A571*Q571</f>
        <v>154.5</v>
      </c>
      <c r="S571" s="945">
        <v>2.5000000000000001E-2</v>
      </c>
      <c r="T571" s="947">
        <f ca="1">$A571*S571*$T$1</f>
        <v>2.3175000000000003</v>
      </c>
    </row>
    <row r="572" spans="1:30" s="901" customFormat="1">
      <c r="A572" s="1057">
        <f ca="1">$Q$568 *(2)</f>
        <v>206</v>
      </c>
      <c r="B572" s="901" t="s">
        <v>141</v>
      </c>
      <c r="D572" s="901" t="s">
        <v>2739</v>
      </c>
      <c r="G572" s="941" t="s">
        <v>2740</v>
      </c>
      <c r="H572" s="942">
        <v>875</v>
      </c>
      <c r="I572" s="901" t="s">
        <v>2607</v>
      </c>
      <c r="K572" s="901" t="s">
        <v>2741</v>
      </c>
      <c r="O572" s="943">
        <v>1</v>
      </c>
      <c r="P572" s="944">
        <v>34669</v>
      </c>
      <c r="Q572" s="945">
        <v>0.02</v>
      </c>
      <c r="R572" s="946">
        <f ca="1">$A572*Q572</f>
        <v>4.12</v>
      </c>
      <c r="S572" s="945"/>
      <c r="T572" s="947">
        <f ca="1">$A572*S572*$T$1</f>
        <v>0</v>
      </c>
    </row>
    <row r="573" spans="1:30" s="901" customFormat="1">
      <c r="A573" s="1057">
        <f ca="1">$Q$568 *(2)</f>
        <v>206</v>
      </c>
      <c r="B573" s="901" t="s">
        <v>141</v>
      </c>
      <c r="D573" s="901" t="s">
        <v>2742</v>
      </c>
      <c r="G573" s="941" t="s">
        <v>2743</v>
      </c>
      <c r="H573" s="942">
        <v>875</v>
      </c>
      <c r="I573" s="901" t="s">
        <v>2607</v>
      </c>
      <c r="K573" s="901" t="s">
        <v>2744</v>
      </c>
      <c r="O573" s="943">
        <v>1</v>
      </c>
      <c r="P573" s="944">
        <v>34669</v>
      </c>
      <c r="Q573" s="945">
        <v>0.02</v>
      </c>
      <c r="R573" s="946">
        <f ca="1">$A573*Q573</f>
        <v>4.12</v>
      </c>
      <c r="S573" s="945"/>
      <c r="T573" s="947">
        <f ca="1">$A573*S573*$T$1</f>
        <v>0</v>
      </c>
    </row>
    <row r="574" spans="1:30" s="520" customFormat="1">
      <c r="A574" s="758"/>
      <c r="B574" s="3"/>
      <c r="C574" s="758" t="s">
        <v>171</v>
      </c>
      <c r="D574" s="3"/>
      <c r="E574" s="758"/>
      <c r="F574" s="753"/>
      <c r="G574" s="758"/>
      <c r="H574" s="758"/>
      <c r="I574" s="519"/>
      <c r="J574" s="758"/>
      <c r="K574" s="758"/>
      <c r="L574" s="758"/>
      <c r="M574" s="758"/>
      <c r="N574" s="758"/>
      <c r="O574" s="758"/>
      <c r="P574" s="758"/>
      <c r="Q574" s="519"/>
      <c r="R574" s="917">
        <f t="shared" ref="R574" si="102">$A574*Q574</f>
        <v>0</v>
      </c>
      <c r="S574" s="519"/>
      <c r="T574" s="760">
        <f t="shared" ref="T574" si="103">$A574*S574*$T$1</f>
        <v>0</v>
      </c>
      <c r="AD574" s="753"/>
    </row>
    <row r="575" spans="1:30" s="520" customFormat="1" ht="12.6" thickBot="1">
      <c r="A575" s="761" t="s">
        <v>145</v>
      </c>
      <c r="B575" s="762">
        <f>(R574+T574)</f>
        <v>0</v>
      </c>
      <c r="C575" s="763"/>
      <c r="D575" s="937" t="s">
        <v>172</v>
      </c>
      <c r="E575" s="477">
        <f ca="1">IF($B568=0,0,ROUND(ROUND(($R575*$S$2+($T575*$T$2))/$B568, 2)*$C$2,2))</f>
        <v>17.920000000000002</v>
      </c>
      <c r="F575" s="478">
        <f ca="1">ROUND($B568*$E575,2)</f>
        <v>1845.76</v>
      </c>
      <c r="G575" s="763"/>
      <c r="H575" s="763"/>
      <c r="I575" s="765"/>
      <c r="J575" s="763"/>
      <c r="K575" s="938" t="s">
        <v>143</v>
      </c>
      <c r="L575" s="766" t="s">
        <v>143</v>
      </c>
      <c r="M575" s="766"/>
      <c r="N575" s="766"/>
      <c r="O575" s="766"/>
      <c r="P575" s="766"/>
      <c r="Q575" s="938"/>
      <c r="R575" s="939">
        <f ca="1">SUM(R569:R574)</f>
        <v>162.74</v>
      </c>
      <c r="S575" s="940"/>
      <c r="T575" s="939">
        <f ca="1">SUM(T569:T574)</f>
        <v>48.667500000000004</v>
      </c>
      <c r="U575" s="531"/>
      <c r="V575" s="531"/>
      <c r="W575" s="531"/>
      <c r="X575" s="531"/>
      <c r="Y575" s="531"/>
      <c r="Z575" s="531"/>
      <c r="AA575" s="531"/>
      <c r="AB575" s="531"/>
      <c r="AD575" s="478">
        <v>2113.56</v>
      </c>
    </row>
    <row r="576" spans="1:30" s="520" customFormat="1" ht="12" thickTop="1">
      <c r="A576" s="51"/>
      <c r="B576" s="51"/>
      <c r="C576" s="51"/>
      <c r="D576" s="51"/>
      <c r="E576" s="51"/>
      <c r="F576" s="51"/>
      <c r="G576" s="51"/>
      <c r="H576" s="51"/>
      <c r="I576" s="51"/>
      <c r="J576" s="51"/>
      <c r="K576" s="51"/>
      <c r="L576" s="51"/>
      <c r="M576" s="51"/>
      <c r="N576" s="51"/>
      <c r="O576" s="52"/>
      <c r="P576" s="51"/>
      <c r="Q576" s="42" t="s">
        <v>168</v>
      </c>
      <c r="R576" s="51"/>
      <c r="S576" s="13"/>
      <c r="T576" s="51"/>
      <c r="AD576" s="51"/>
    </row>
    <row r="577" spans="1:30" s="520" customFormat="1" ht="12" customHeight="1" thickBot="1">
      <c r="A577" s="927">
        <v>1</v>
      </c>
      <c r="B577" s="928">
        <f ca="1">Elec_Est!B11601</f>
        <v>6</v>
      </c>
      <c r="C577" s="929"/>
      <c r="D577" s="930" t="s">
        <v>3557</v>
      </c>
      <c r="E577" s="931"/>
      <c r="F577" s="931"/>
      <c r="G577" s="752"/>
      <c r="H577" s="752"/>
      <c r="I577" s="932"/>
      <c r="J577" s="752"/>
      <c r="K577" s="929" t="s">
        <v>169</v>
      </c>
      <c r="L577" s="933" t="s">
        <v>169</v>
      </c>
      <c r="M577" s="933"/>
      <c r="N577" s="933"/>
      <c r="O577" s="933"/>
      <c r="P577" s="933"/>
      <c r="Q577" s="934">
        <f ca="1">B577/A577</f>
        <v>6</v>
      </c>
      <c r="R577" s="935">
        <f ca="1">IF($B577=0,0,IF($S$1="R",ROUND(R584/$B577,2),R584/$B577))</f>
        <v>1.58</v>
      </c>
      <c r="S577" s="936"/>
      <c r="T577" s="935">
        <f ca="1">IF($B577=0,0,IF($S$1="R",ROUND(T584/$B577,2),T584/$B577))</f>
        <v>0.47</v>
      </c>
      <c r="AD577" s="931"/>
    </row>
    <row r="578" spans="1:30" s="520" customFormat="1" ht="13.8" thickTop="1">
      <c r="A578" s="748"/>
      <c r="B578" s="3"/>
      <c r="C578" s="3"/>
      <c r="D578" s="106" t="s">
        <v>170</v>
      </c>
      <c r="E578" s="3"/>
      <c r="F578" s="3"/>
      <c r="G578" s="3"/>
      <c r="H578" s="3"/>
      <c r="I578" s="3"/>
      <c r="J578" s="3"/>
      <c r="K578" s="3"/>
      <c r="L578" s="3"/>
      <c r="M578" s="3"/>
      <c r="N578" s="3"/>
      <c r="O578" s="107"/>
      <c r="P578" s="3"/>
      <c r="Q578" s="3"/>
      <c r="R578" s="3"/>
      <c r="S578" s="3"/>
      <c r="T578" s="3"/>
      <c r="AD578" s="3"/>
    </row>
    <row r="579" spans="1:30" s="901" customFormat="1">
      <c r="A579" s="1056">
        <f ca="1">$Q$577 *(1)</f>
        <v>6</v>
      </c>
      <c r="B579" s="901" t="s">
        <v>141</v>
      </c>
      <c r="D579" s="901" t="s">
        <v>3066</v>
      </c>
      <c r="E579" s="1054" t="s">
        <v>3097</v>
      </c>
      <c r="F579" s="1054" t="s">
        <v>3112</v>
      </c>
      <c r="G579" s="941" t="s">
        <v>3067</v>
      </c>
      <c r="H579" s="942">
        <v>835</v>
      </c>
      <c r="I579" s="901" t="s">
        <v>2607</v>
      </c>
      <c r="O579" s="943">
        <v>3</v>
      </c>
      <c r="P579" s="944"/>
      <c r="Q579" s="1063"/>
      <c r="R579" s="946">
        <f ca="1">$A579*Q579</f>
        <v>0</v>
      </c>
      <c r="S579" s="945">
        <v>0.5</v>
      </c>
      <c r="T579" s="947">
        <f ca="1">$A579*S579*$T$1</f>
        <v>2.7</v>
      </c>
      <c r="U579" s="901" t="s">
        <v>2764</v>
      </c>
      <c r="AD579" s="1054" t="s">
        <v>3112</v>
      </c>
    </row>
    <row r="580" spans="1:30" s="901" customFormat="1">
      <c r="A580" s="1057">
        <f ca="1">$Q$577 *(1)</f>
        <v>6</v>
      </c>
      <c r="B580" s="901" t="s">
        <v>320</v>
      </c>
      <c r="D580" s="901" t="s">
        <v>3109</v>
      </c>
      <c r="G580" s="941" t="s">
        <v>3099</v>
      </c>
      <c r="H580" s="942">
        <v>616</v>
      </c>
      <c r="I580" s="901" t="s">
        <v>2272</v>
      </c>
      <c r="J580" s="901" t="s">
        <v>3100</v>
      </c>
      <c r="K580" s="901" t="s">
        <v>3101</v>
      </c>
      <c r="O580" s="943">
        <v>2</v>
      </c>
      <c r="P580" s="944">
        <v>40767</v>
      </c>
      <c r="Q580" s="945">
        <v>1.5</v>
      </c>
      <c r="R580" s="946">
        <f ca="1">$A580*Q580</f>
        <v>9</v>
      </c>
      <c r="S580" s="945">
        <v>2.5000000000000001E-2</v>
      </c>
      <c r="T580" s="947">
        <f ca="1">$A580*S580*$T$1</f>
        <v>0.13500000000000004</v>
      </c>
    </row>
    <row r="581" spans="1:30" s="901" customFormat="1">
      <c r="A581" s="1057">
        <f ca="1">$Q$577 *(2)</f>
        <v>12</v>
      </c>
      <c r="B581" s="901" t="s">
        <v>141</v>
      </c>
      <c r="D581" s="901" t="s">
        <v>2739</v>
      </c>
      <c r="G581" s="941" t="s">
        <v>2740</v>
      </c>
      <c r="H581" s="942">
        <v>875</v>
      </c>
      <c r="I581" s="901" t="s">
        <v>2607</v>
      </c>
      <c r="K581" s="901" t="s">
        <v>2741</v>
      </c>
      <c r="O581" s="943">
        <v>1</v>
      </c>
      <c r="P581" s="944">
        <v>34669</v>
      </c>
      <c r="Q581" s="945">
        <v>0.02</v>
      </c>
      <c r="R581" s="946">
        <f ca="1">$A581*Q581</f>
        <v>0.24</v>
      </c>
      <c r="S581" s="945"/>
      <c r="T581" s="947">
        <f ca="1">$A581*S581*$T$1</f>
        <v>0</v>
      </c>
    </row>
    <row r="582" spans="1:30" s="901" customFormat="1">
      <c r="A582" s="1057">
        <f ca="1">$Q$577 *(2)</f>
        <v>12</v>
      </c>
      <c r="B582" s="901" t="s">
        <v>141</v>
      </c>
      <c r="D582" s="901" t="s">
        <v>2742</v>
      </c>
      <c r="G582" s="941" t="s">
        <v>2743</v>
      </c>
      <c r="H582" s="942">
        <v>875</v>
      </c>
      <c r="I582" s="901" t="s">
        <v>2607</v>
      </c>
      <c r="K582" s="901" t="s">
        <v>2744</v>
      </c>
      <c r="O582" s="943">
        <v>1</v>
      </c>
      <c r="P582" s="944">
        <v>34669</v>
      </c>
      <c r="Q582" s="945">
        <v>0.02</v>
      </c>
      <c r="R582" s="946">
        <f ca="1">$A582*Q582</f>
        <v>0.24</v>
      </c>
      <c r="S582" s="945"/>
      <c r="T582" s="947">
        <f ca="1">$A582*S582*$T$1</f>
        <v>0</v>
      </c>
    </row>
    <row r="583" spans="1:30" s="520" customFormat="1">
      <c r="A583" s="758"/>
      <c r="B583" s="3"/>
      <c r="C583" s="758" t="s">
        <v>171</v>
      </c>
      <c r="D583" s="3"/>
      <c r="E583" s="758"/>
      <c r="F583" s="753"/>
      <c r="G583" s="758"/>
      <c r="H583" s="758"/>
      <c r="I583" s="519"/>
      <c r="J583" s="758"/>
      <c r="K583" s="758"/>
      <c r="L583" s="758"/>
      <c r="M583" s="758"/>
      <c r="N583" s="758"/>
      <c r="O583" s="758"/>
      <c r="P583" s="758"/>
      <c r="Q583" s="519"/>
      <c r="R583" s="917">
        <f t="shared" ref="R583" si="104">$A583*Q583</f>
        <v>0</v>
      </c>
      <c r="S583" s="519"/>
      <c r="T583" s="760">
        <f t="shared" ref="T583" si="105">$A583*S583*$T$1</f>
        <v>0</v>
      </c>
      <c r="AD583" s="753"/>
    </row>
    <row r="584" spans="1:30" s="520" customFormat="1" ht="12.6" thickBot="1">
      <c r="A584" s="761" t="s">
        <v>145</v>
      </c>
      <c r="B584" s="762">
        <f>(R583+T583)</f>
        <v>0</v>
      </c>
      <c r="C584" s="763"/>
      <c r="D584" s="937" t="s">
        <v>172</v>
      </c>
      <c r="E584" s="477">
        <f ca="1">IF($B577=0,0,ROUND(ROUND(($R584*$S$2+($T584*$T$2))/$B577, 2)*$C$2,2))</f>
        <v>17.920000000000002</v>
      </c>
      <c r="F584" s="478">
        <f ca="1">ROUND($B577*$E584,2)</f>
        <v>107.52</v>
      </c>
      <c r="G584" s="763"/>
      <c r="H584" s="763"/>
      <c r="I584" s="765"/>
      <c r="J584" s="763"/>
      <c r="K584" s="938" t="s">
        <v>143</v>
      </c>
      <c r="L584" s="766" t="s">
        <v>143</v>
      </c>
      <c r="M584" s="766"/>
      <c r="N584" s="766"/>
      <c r="O584" s="766"/>
      <c r="P584" s="766"/>
      <c r="Q584" s="938"/>
      <c r="R584" s="939">
        <f ca="1">SUM(R578:R583)</f>
        <v>9.48</v>
      </c>
      <c r="S584" s="940"/>
      <c r="T584" s="939">
        <f ca="1">SUM(T578:T583)</f>
        <v>2.8350000000000004</v>
      </c>
      <c r="U584" s="531"/>
      <c r="V584" s="531"/>
      <c r="W584" s="531"/>
      <c r="X584" s="531"/>
      <c r="Y584" s="531"/>
      <c r="Z584" s="531"/>
      <c r="AA584" s="531"/>
      <c r="AB584" s="531"/>
      <c r="AD584" s="478">
        <v>123.12</v>
      </c>
    </row>
    <row r="585" spans="1:30" s="520" customFormat="1" ht="12" thickTop="1">
      <c r="A585" s="51"/>
      <c r="B585" s="51"/>
      <c r="C585" s="51"/>
      <c r="D585" s="51"/>
      <c r="E585" s="51"/>
      <c r="F585" s="51"/>
      <c r="G585" s="51"/>
      <c r="H585" s="51"/>
      <c r="I585" s="51"/>
      <c r="J585" s="51"/>
      <c r="K585" s="51"/>
      <c r="L585" s="51"/>
      <c r="M585" s="51"/>
      <c r="N585" s="51"/>
      <c r="O585" s="52"/>
      <c r="P585" s="51"/>
      <c r="Q585" s="42" t="s">
        <v>168</v>
      </c>
      <c r="R585" s="51"/>
      <c r="S585" s="13"/>
      <c r="T585" s="51"/>
      <c r="AD585" s="51"/>
    </row>
    <row r="586" spans="1:30" s="520" customFormat="1" ht="12" customHeight="1" thickBot="1">
      <c r="A586" s="927">
        <v>1</v>
      </c>
      <c r="B586" s="928">
        <f ca="1">Elec_Est!B11602</f>
        <v>50</v>
      </c>
      <c r="C586" s="929"/>
      <c r="D586" s="930" t="s">
        <v>3558</v>
      </c>
      <c r="E586" s="931"/>
      <c r="F586" s="931"/>
      <c r="G586" s="752"/>
      <c r="H586" s="752"/>
      <c r="I586" s="932"/>
      <c r="J586" s="752"/>
      <c r="K586" s="929" t="s">
        <v>169</v>
      </c>
      <c r="L586" s="933" t="s">
        <v>169</v>
      </c>
      <c r="M586" s="933"/>
      <c r="N586" s="933"/>
      <c r="O586" s="933"/>
      <c r="P586" s="933"/>
      <c r="Q586" s="934">
        <f ca="1">B586/A586</f>
        <v>50</v>
      </c>
      <c r="R586" s="935">
        <f ca="1">IF($B586=0,0,IF($S$1="R",ROUND(R593/$B586,2),R593/$B586))</f>
        <v>1.18</v>
      </c>
      <c r="S586" s="936"/>
      <c r="T586" s="935">
        <f ca="1">IF($B586=0,0,IF($S$1="R",ROUND(T593/$B586,2),T593/$B586))</f>
        <v>0.47</v>
      </c>
      <c r="AD586" s="931"/>
    </row>
    <row r="587" spans="1:30" s="520" customFormat="1" ht="13.8" thickTop="1">
      <c r="A587" s="748"/>
      <c r="B587" s="3"/>
      <c r="C587" s="3"/>
      <c r="D587" s="106" t="s">
        <v>170</v>
      </c>
      <c r="E587" s="3"/>
      <c r="F587" s="3"/>
      <c r="G587" s="3"/>
      <c r="H587" s="3"/>
      <c r="I587" s="3"/>
      <c r="J587" s="3"/>
      <c r="K587" s="3"/>
      <c r="L587" s="3"/>
      <c r="M587" s="3"/>
      <c r="N587" s="3"/>
      <c r="O587" s="107"/>
      <c r="P587" s="3"/>
      <c r="Q587" s="3"/>
      <c r="R587" s="3"/>
      <c r="S587" s="3"/>
      <c r="T587" s="3"/>
      <c r="AD587" s="3"/>
    </row>
    <row r="588" spans="1:30" s="901" customFormat="1">
      <c r="A588" s="1056">
        <f ca="1">$Q$586 *(1)</f>
        <v>50</v>
      </c>
      <c r="B588" s="901" t="s">
        <v>141</v>
      </c>
      <c r="D588" s="901" t="s">
        <v>3066</v>
      </c>
      <c r="E588" s="1054" t="s">
        <v>3097</v>
      </c>
      <c r="F588" s="1054" t="s">
        <v>3113</v>
      </c>
      <c r="G588" s="941" t="s">
        <v>3067</v>
      </c>
      <c r="H588" s="942">
        <v>835</v>
      </c>
      <c r="I588" s="901" t="s">
        <v>2607</v>
      </c>
      <c r="O588" s="943">
        <v>3</v>
      </c>
      <c r="P588" s="944"/>
      <c r="Q588" s="1063"/>
      <c r="R588" s="946">
        <f ca="1">$A588*Q588</f>
        <v>0</v>
      </c>
      <c r="S588" s="945">
        <v>0.5</v>
      </c>
      <c r="T588" s="947">
        <f ca="1">$A588*S588*$T$1</f>
        <v>22.5</v>
      </c>
      <c r="U588" s="901" t="s">
        <v>2764</v>
      </c>
      <c r="AD588" s="1054" t="s">
        <v>3113</v>
      </c>
    </row>
    <row r="589" spans="1:30" s="901" customFormat="1">
      <c r="A589" s="1057">
        <f ca="1">$Q$586 *(1)</f>
        <v>50</v>
      </c>
      <c r="B589" s="901" t="s">
        <v>320</v>
      </c>
      <c r="D589" s="901" t="s">
        <v>3098</v>
      </c>
      <c r="G589" s="941" t="s">
        <v>3099</v>
      </c>
      <c r="H589" s="942">
        <v>616</v>
      </c>
      <c r="I589" s="901" t="s">
        <v>2272</v>
      </c>
      <c r="J589" s="901" t="s">
        <v>3100</v>
      </c>
      <c r="K589" s="901" t="s">
        <v>3101</v>
      </c>
      <c r="O589" s="943">
        <v>2</v>
      </c>
      <c r="P589" s="944">
        <v>40767</v>
      </c>
      <c r="Q589" s="945">
        <v>1.1000000000000001</v>
      </c>
      <c r="R589" s="946">
        <f ca="1">$A589*Q589</f>
        <v>55.000000000000007</v>
      </c>
      <c r="S589" s="945">
        <v>2.5000000000000001E-2</v>
      </c>
      <c r="T589" s="947">
        <f ca="1">$A589*S589*$T$1</f>
        <v>1.125</v>
      </c>
    </row>
    <row r="590" spans="1:30" s="901" customFormat="1">
      <c r="A590" s="1057">
        <f ca="1">$Q$586 *(2)</f>
        <v>100</v>
      </c>
      <c r="B590" s="901" t="s">
        <v>141</v>
      </c>
      <c r="D590" s="901" t="s">
        <v>2739</v>
      </c>
      <c r="G590" s="941" t="s">
        <v>2740</v>
      </c>
      <c r="H590" s="942">
        <v>875</v>
      </c>
      <c r="I590" s="901" t="s">
        <v>2607</v>
      </c>
      <c r="K590" s="901" t="s">
        <v>2741</v>
      </c>
      <c r="O590" s="943">
        <v>1</v>
      </c>
      <c r="P590" s="944">
        <v>34669</v>
      </c>
      <c r="Q590" s="945">
        <v>0.02</v>
      </c>
      <c r="R590" s="946">
        <f ca="1">$A590*Q590</f>
        <v>2</v>
      </c>
      <c r="S590" s="945"/>
      <c r="T590" s="947">
        <f ca="1">$A590*S590*$T$1</f>
        <v>0</v>
      </c>
    </row>
    <row r="591" spans="1:30" s="901" customFormat="1">
      <c r="A591" s="1057">
        <f ca="1">$Q$586 *(2)</f>
        <v>100</v>
      </c>
      <c r="B591" s="901" t="s">
        <v>141</v>
      </c>
      <c r="D591" s="901" t="s">
        <v>2742</v>
      </c>
      <c r="G591" s="941" t="s">
        <v>2743</v>
      </c>
      <c r="H591" s="942">
        <v>875</v>
      </c>
      <c r="I591" s="901" t="s">
        <v>2607</v>
      </c>
      <c r="K591" s="901" t="s">
        <v>2744</v>
      </c>
      <c r="O591" s="943">
        <v>1</v>
      </c>
      <c r="P591" s="944">
        <v>34669</v>
      </c>
      <c r="Q591" s="945">
        <v>0.02</v>
      </c>
      <c r="R591" s="946">
        <f ca="1">$A591*Q591</f>
        <v>2</v>
      </c>
      <c r="S591" s="945"/>
      <c r="T591" s="947">
        <f ca="1">$A591*S591*$T$1</f>
        <v>0</v>
      </c>
    </row>
    <row r="592" spans="1:30" s="520" customFormat="1">
      <c r="A592" s="758"/>
      <c r="B592" s="3"/>
      <c r="C592" s="758" t="s">
        <v>171</v>
      </c>
      <c r="D592" s="3"/>
      <c r="E592" s="758"/>
      <c r="F592" s="753"/>
      <c r="G592" s="758"/>
      <c r="H592" s="758"/>
      <c r="I592" s="519"/>
      <c r="J592" s="758"/>
      <c r="K592" s="758"/>
      <c r="L592" s="758"/>
      <c r="M592" s="758"/>
      <c r="N592" s="758"/>
      <c r="O592" s="758"/>
      <c r="P592" s="758"/>
      <c r="Q592" s="519"/>
      <c r="R592" s="917">
        <f t="shared" ref="R592" si="106">$A592*Q592</f>
        <v>0</v>
      </c>
      <c r="S592" s="519"/>
      <c r="T592" s="760">
        <f t="shared" ref="T592" si="107">$A592*S592*$T$1</f>
        <v>0</v>
      </c>
      <c r="AD592" s="753"/>
    </row>
    <row r="593" spans="1:30" s="520" customFormat="1" ht="12.6" thickBot="1">
      <c r="A593" s="761" t="s">
        <v>145</v>
      </c>
      <c r="B593" s="762">
        <f>(R592+T592)</f>
        <v>0</v>
      </c>
      <c r="C593" s="763"/>
      <c r="D593" s="937" t="s">
        <v>172</v>
      </c>
      <c r="E593" s="477">
        <f ca="1">IF($B586=0,0,ROUND(ROUND(($R593*$S$2+($T593*$T$2))/$B586, 2)*$C$2,2))</f>
        <v>17.43</v>
      </c>
      <c r="F593" s="478">
        <f ca="1">ROUND($B586*$E593,2)</f>
        <v>871.5</v>
      </c>
      <c r="G593" s="763"/>
      <c r="H593" s="763"/>
      <c r="I593" s="765"/>
      <c r="J593" s="763"/>
      <c r="K593" s="938" t="s">
        <v>143</v>
      </c>
      <c r="L593" s="766" t="s">
        <v>143</v>
      </c>
      <c r="M593" s="766"/>
      <c r="N593" s="766"/>
      <c r="O593" s="766"/>
      <c r="P593" s="766"/>
      <c r="Q593" s="938"/>
      <c r="R593" s="939">
        <f ca="1">SUM(R587:R592)</f>
        <v>59.000000000000007</v>
      </c>
      <c r="S593" s="940"/>
      <c r="T593" s="939">
        <f ca="1">SUM(T587:T592)</f>
        <v>23.625</v>
      </c>
      <c r="U593" s="531"/>
      <c r="V593" s="531"/>
      <c r="W593" s="531"/>
      <c r="X593" s="531"/>
      <c r="Y593" s="531"/>
      <c r="Z593" s="531"/>
      <c r="AA593" s="531"/>
      <c r="AB593" s="531"/>
      <c r="AD593" s="478">
        <v>1000</v>
      </c>
    </row>
    <row r="594" spans="1:30" s="520" customFormat="1" ht="12" thickTop="1">
      <c r="A594" s="51"/>
      <c r="B594" s="51"/>
      <c r="C594" s="51"/>
      <c r="D594" s="51"/>
      <c r="E594" s="51"/>
      <c r="F594" s="51"/>
      <c r="G594" s="51"/>
      <c r="H594" s="51"/>
      <c r="I594" s="51"/>
      <c r="J594" s="51"/>
      <c r="K594" s="51"/>
      <c r="L594" s="51"/>
      <c r="M594" s="51"/>
      <c r="N594" s="51"/>
      <c r="O594" s="52"/>
      <c r="P594" s="51"/>
      <c r="Q594" s="42" t="s">
        <v>168</v>
      </c>
      <c r="R594" s="51"/>
      <c r="S594" s="13"/>
      <c r="T594" s="51"/>
      <c r="AD594" s="51"/>
    </row>
    <row r="595" spans="1:30" s="520" customFormat="1" ht="12" customHeight="1" thickBot="1">
      <c r="A595" s="927">
        <v>1</v>
      </c>
      <c r="B595" s="928">
        <f ca="1">Elec_Est!B11603</f>
        <v>51</v>
      </c>
      <c r="C595" s="929"/>
      <c r="D595" s="930" t="s">
        <v>3559</v>
      </c>
      <c r="E595" s="931"/>
      <c r="F595" s="931"/>
      <c r="G595" s="752"/>
      <c r="H595" s="752"/>
      <c r="I595" s="932"/>
      <c r="J595" s="752"/>
      <c r="K595" s="929" t="s">
        <v>169</v>
      </c>
      <c r="L595" s="933" t="s">
        <v>169</v>
      </c>
      <c r="M595" s="933"/>
      <c r="N595" s="933"/>
      <c r="O595" s="933"/>
      <c r="P595" s="933"/>
      <c r="Q595" s="934">
        <f ca="1">B595/A595</f>
        <v>51</v>
      </c>
      <c r="R595" s="935">
        <f ca="1">IF($B595=0,0,IF($S$1="R",ROUND(R602/$B595,2),R602/$B595))</f>
        <v>1.18</v>
      </c>
      <c r="S595" s="936"/>
      <c r="T595" s="935">
        <f ca="1">IF($B595=0,0,IF($S$1="R",ROUND(T602/$B595,2),T602/$B595))</f>
        <v>0.47</v>
      </c>
      <c r="AD595" s="931"/>
    </row>
    <row r="596" spans="1:30" s="520" customFormat="1" ht="13.8" thickTop="1">
      <c r="A596" s="748"/>
      <c r="B596" s="3"/>
      <c r="C596" s="3"/>
      <c r="D596" s="106" t="s">
        <v>170</v>
      </c>
      <c r="E596" s="3"/>
      <c r="F596" s="3"/>
      <c r="G596" s="3"/>
      <c r="H596" s="3"/>
      <c r="I596" s="3"/>
      <c r="J596" s="3"/>
      <c r="K596" s="3"/>
      <c r="L596" s="3"/>
      <c r="M596" s="3"/>
      <c r="N596" s="3"/>
      <c r="O596" s="107"/>
      <c r="P596" s="3"/>
      <c r="Q596" s="3"/>
      <c r="R596" s="3"/>
      <c r="S596" s="3"/>
      <c r="T596" s="3"/>
      <c r="AD596" s="3"/>
    </row>
    <row r="597" spans="1:30" s="901" customFormat="1">
      <c r="A597" s="1056">
        <f ca="1">$Q$595 *(1)</f>
        <v>51</v>
      </c>
      <c r="B597" s="901" t="s">
        <v>141</v>
      </c>
      <c r="D597" s="901" t="s">
        <v>3066</v>
      </c>
      <c r="E597" s="1054" t="s">
        <v>3097</v>
      </c>
      <c r="F597" s="1054" t="s">
        <v>3082</v>
      </c>
      <c r="G597" s="941" t="s">
        <v>3067</v>
      </c>
      <c r="H597" s="942">
        <v>835</v>
      </c>
      <c r="I597" s="901" t="s">
        <v>2607</v>
      </c>
      <c r="O597" s="943">
        <v>3</v>
      </c>
      <c r="P597" s="944"/>
      <c r="Q597" s="1063"/>
      <c r="R597" s="946">
        <f ca="1">$A597*Q597</f>
        <v>0</v>
      </c>
      <c r="S597" s="945">
        <v>0.5</v>
      </c>
      <c r="T597" s="947">
        <f ca="1">$A597*S597*$T$1</f>
        <v>22.95</v>
      </c>
      <c r="U597" s="901" t="s">
        <v>2764</v>
      </c>
      <c r="AD597" s="1054" t="s">
        <v>3082</v>
      </c>
    </row>
    <row r="598" spans="1:30" s="901" customFormat="1">
      <c r="A598" s="1057">
        <f ca="1">$Q$595 *(1)</f>
        <v>51</v>
      </c>
      <c r="B598" s="901" t="s">
        <v>320</v>
      </c>
      <c r="D598" s="901" t="s">
        <v>3098</v>
      </c>
      <c r="G598" s="941" t="s">
        <v>3099</v>
      </c>
      <c r="H598" s="942">
        <v>616</v>
      </c>
      <c r="I598" s="901" t="s">
        <v>2272</v>
      </c>
      <c r="J598" s="901" t="s">
        <v>3100</v>
      </c>
      <c r="K598" s="901" t="s">
        <v>3101</v>
      </c>
      <c r="O598" s="943">
        <v>2</v>
      </c>
      <c r="P598" s="944">
        <v>40767</v>
      </c>
      <c r="Q598" s="945">
        <v>1.1000000000000001</v>
      </c>
      <c r="R598" s="946">
        <f ca="1">$A598*Q598</f>
        <v>56.1</v>
      </c>
      <c r="S598" s="945">
        <v>2.5000000000000001E-2</v>
      </c>
      <c r="T598" s="947">
        <f ca="1">$A598*S598*$T$1</f>
        <v>1.1475000000000002</v>
      </c>
    </row>
    <row r="599" spans="1:30" s="901" customFormat="1">
      <c r="A599" s="1056">
        <f ca="1">$Q$595 *(2)</f>
        <v>102</v>
      </c>
      <c r="B599" s="901" t="s">
        <v>141</v>
      </c>
      <c r="D599" s="901" t="s">
        <v>2739</v>
      </c>
      <c r="G599" s="941" t="s">
        <v>2740</v>
      </c>
      <c r="H599" s="942">
        <v>875</v>
      </c>
      <c r="I599" s="901" t="s">
        <v>2607</v>
      </c>
      <c r="K599" s="901" t="s">
        <v>2741</v>
      </c>
      <c r="O599" s="943">
        <v>1</v>
      </c>
      <c r="P599" s="944">
        <v>34669</v>
      </c>
      <c r="Q599" s="945">
        <v>0.02</v>
      </c>
      <c r="R599" s="946">
        <f ca="1">$A599*Q599</f>
        <v>2.04</v>
      </c>
      <c r="S599" s="945"/>
      <c r="T599" s="947">
        <f ca="1">$A599*S599*$T$1</f>
        <v>0</v>
      </c>
    </row>
    <row r="600" spans="1:30" s="901" customFormat="1">
      <c r="A600" s="1056">
        <f ca="1">$Q$595 *(2)</f>
        <v>102</v>
      </c>
      <c r="B600" s="901" t="s">
        <v>141</v>
      </c>
      <c r="D600" s="901" t="s">
        <v>2742</v>
      </c>
      <c r="G600" s="941" t="s">
        <v>2743</v>
      </c>
      <c r="H600" s="942">
        <v>875</v>
      </c>
      <c r="I600" s="901" t="s">
        <v>2607</v>
      </c>
      <c r="K600" s="901" t="s">
        <v>2744</v>
      </c>
      <c r="O600" s="943">
        <v>1</v>
      </c>
      <c r="P600" s="944">
        <v>34669</v>
      </c>
      <c r="Q600" s="945">
        <v>0.02</v>
      </c>
      <c r="R600" s="946">
        <f ca="1">$A600*Q600</f>
        <v>2.04</v>
      </c>
      <c r="S600" s="945"/>
      <c r="T600" s="947">
        <f ca="1">$A600*S600*$T$1</f>
        <v>0</v>
      </c>
    </row>
    <row r="601" spans="1:30" s="520" customFormat="1">
      <c r="A601" s="758"/>
      <c r="B601" s="3"/>
      <c r="C601" s="758" t="s">
        <v>171</v>
      </c>
      <c r="D601" s="3"/>
      <c r="E601" s="758"/>
      <c r="F601" s="753"/>
      <c r="G601" s="758"/>
      <c r="H601" s="758"/>
      <c r="I601" s="519"/>
      <c r="J601" s="758"/>
      <c r="K601" s="758"/>
      <c r="L601" s="758"/>
      <c r="M601" s="758"/>
      <c r="N601" s="758"/>
      <c r="O601" s="758"/>
      <c r="P601" s="758"/>
      <c r="Q601" s="519"/>
      <c r="R601" s="917">
        <f t="shared" ref="R601" si="108">$A601*Q601</f>
        <v>0</v>
      </c>
      <c r="S601" s="519"/>
      <c r="T601" s="760">
        <f t="shared" ref="T601" si="109">$A601*S601*$T$1</f>
        <v>0</v>
      </c>
      <c r="AD601" s="753"/>
    </row>
    <row r="602" spans="1:30" s="520" customFormat="1" ht="12.6" thickBot="1">
      <c r="A602" s="761" t="s">
        <v>145</v>
      </c>
      <c r="B602" s="762">
        <f>(R601+T601)</f>
        <v>0</v>
      </c>
      <c r="C602" s="763"/>
      <c r="D602" s="937" t="s">
        <v>172</v>
      </c>
      <c r="E602" s="477">
        <f ca="1">IF($B595=0,0,ROUND(ROUND(($R602*$S$2+($T602*$T$2))/$B595, 2)*$C$2,2))</f>
        <v>17.43</v>
      </c>
      <c r="F602" s="478">
        <f ca="1">ROUND($B595*$E602,2)</f>
        <v>888.93</v>
      </c>
      <c r="G602" s="763"/>
      <c r="H602" s="763"/>
      <c r="I602" s="765"/>
      <c r="J602" s="763"/>
      <c r="K602" s="938" t="s">
        <v>143</v>
      </c>
      <c r="L602" s="766" t="s">
        <v>143</v>
      </c>
      <c r="M602" s="766"/>
      <c r="N602" s="766"/>
      <c r="O602" s="766"/>
      <c r="P602" s="766"/>
      <c r="Q602" s="938"/>
      <c r="R602" s="939">
        <f ca="1">SUM(R596:R601)</f>
        <v>60.18</v>
      </c>
      <c r="S602" s="940"/>
      <c r="T602" s="939">
        <f ca="1">SUM(T596:T601)</f>
        <v>24.0975</v>
      </c>
      <c r="U602" s="531"/>
      <c r="V602" s="531"/>
      <c r="W602" s="531"/>
      <c r="X602" s="531"/>
      <c r="Y602" s="531"/>
      <c r="Z602" s="531"/>
      <c r="AA602" s="531"/>
      <c r="AB602" s="531"/>
      <c r="AD602" s="478">
        <v>1020</v>
      </c>
    </row>
    <row r="603" spans="1:30" s="520" customFormat="1" ht="12" thickTop="1">
      <c r="A603" s="51"/>
      <c r="B603" s="51"/>
      <c r="C603" s="51"/>
      <c r="D603" s="51"/>
      <c r="E603" s="51"/>
      <c r="F603" s="51"/>
      <c r="G603" s="51"/>
      <c r="H603" s="51"/>
      <c r="I603" s="51"/>
      <c r="J603" s="51"/>
      <c r="K603" s="51"/>
      <c r="L603" s="51"/>
      <c r="M603" s="51"/>
      <c r="N603" s="51"/>
      <c r="O603" s="52"/>
      <c r="P603" s="51"/>
      <c r="Q603" s="42" t="s">
        <v>168</v>
      </c>
      <c r="R603" s="51"/>
      <c r="S603" s="13"/>
      <c r="T603" s="51"/>
      <c r="AD603" s="51"/>
    </row>
    <row r="604" spans="1:30" s="520" customFormat="1" ht="12" customHeight="1" thickBot="1">
      <c r="A604" s="927">
        <v>1</v>
      </c>
      <c r="B604" s="928">
        <f ca="1">Elec_Est!B11604</f>
        <v>1</v>
      </c>
      <c r="C604" s="929"/>
      <c r="D604" s="930" t="s">
        <v>3560</v>
      </c>
      <c r="E604" s="931"/>
      <c r="F604" s="931"/>
      <c r="G604" s="752"/>
      <c r="H604" s="752"/>
      <c r="I604" s="932"/>
      <c r="J604" s="752"/>
      <c r="K604" s="929" t="s">
        <v>169</v>
      </c>
      <c r="L604" s="933" t="s">
        <v>169</v>
      </c>
      <c r="M604" s="933"/>
      <c r="N604" s="933"/>
      <c r="O604" s="933"/>
      <c r="P604" s="933"/>
      <c r="Q604" s="934">
        <f ca="1">B604/A604</f>
        <v>1</v>
      </c>
      <c r="R604" s="935">
        <f ca="1">IF($B604=0,0,IF($S$1="R",ROUND(R611/$B604,2),R611/$B604))</f>
        <v>1.18</v>
      </c>
      <c r="S604" s="936"/>
      <c r="T604" s="935">
        <f ca="1">IF($B604=0,0,IF($S$1="R",ROUND(T611/$B604,2),T611/$B604))</f>
        <v>0.47</v>
      </c>
      <c r="AD604" s="931"/>
    </row>
    <row r="605" spans="1:30" s="520" customFormat="1" ht="13.8" thickTop="1">
      <c r="A605" s="748"/>
      <c r="B605" s="3"/>
      <c r="C605" s="3"/>
      <c r="D605" s="106" t="s">
        <v>170</v>
      </c>
      <c r="E605" s="3"/>
      <c r="F605" s="3"/>
      <c r="G605" s="3"/>
      <c r="H605" s="3"/>
      <c r="I605" s="3"/>
      <c r="J605" s="3"/>
      <c r="K605" s="3"/>
      <c r="L605" s="3"/>
      <c r="M605" s="3"/>
      <c r="N605" s="3"/>
      <c r="O605" s="107"/>
      <c r="P605" s="3"/>
      <c r="Q605" s="3"/>
      <c r="R605" s="3"/>
      <c r="S605" s="3"/>
      <c r="T605" s="3"/>
      <c r="AD605" s="3"/>
    </row>
    <row r="606" spans="1:30" s="901" customFormat="1">
      <c r="A606" s="1056">
        <f ca="1">$Q$604 *(1)</f>
        <v>1</v>
      </c>
      <c r="B606" s="901" t="s">
        <v>141</v>
      </c>
      <c r="D606" s="901" t="s">
        <v>3066</v>
      </c>
      <c r="E606" s="1054" t="s">
        <v>3097</v>
      </c>
      <c r="F606" s="1054" t="s">
        <v>3091</v>
      </c>
      <c r="G606" s="941" t="s">
        <v>3067</v>
      </c>
      <c r="H606" s="942">
        <v>835</v>
      </c>
      <c r="I606" s="901" t="s">
        <v>2607</v>
      </c>
      <c r="O606" s="943">
        <v>3</v>
      </c>
      <c r="P606" s="944"/>
      <c r="Q606" s="1063"/>
      <c r="R606" s="946">
        <f ca="1">$A606*Q606</f>
        <v>0</v>
      </c>
      <c r="S606" s="945">
        <v>0.5</v>
      </c>
      <c r="T606" s="947">
        <f ca="1">$A606*S606*$T$1</f>
        <v>0.45</v>
      </c>
      <c r="U606" s="901" t="s">
        <v>2764</v>
      </c>
      <c r="AD606" s="1054" t="s">
        <v>3091</v>
      </c>
    </row>
    <row r="607" spans="1:30" s="901" customFormat="1">
      <c r="A607" s="1057">
        <f ca="1">$Q$604 *(1)</f>
        <v>1</v>
      </c>
      <c r="B607" s="901" t="s">
        <v>320</v>
      </c>
      <c r="D607" s="901" t="s">
        <v>3098</v>
      </c>
      <c r="G607" s="941" t="s">
        <v>3099</v>
      </c>
      <c r="H607" s="942">
        <v>616</v>
      </c>
      <c r="I607" s="901" t="s">
        <v>2272</v>
      </c>
      <c r="J607" s="901" t="s">
        <v>3100</v>
      </c>
      <c r="K607" s="901" t="s">
        <v>3101</v>
      </c>
      <c r="O607" s="943">
        <v>2</v>
      </c>
      <c r="P607" s="944">
        <v>40767</v>
      </c>
      <c r="Q607" s="945">
        <v>1.1000000000000001</v>
      </c>
      <c r="R607" s="946">
        <f ca="1">$A607*Q607</f>
        <v>1.1000000000000001</v>
      </c>
      <c r="S607" s="945">
        <v>2.5000000000000001E-2</v>
      </c>
      <c r="T607" s="947">
        <f ca="1">$A607*S607*$T$1</f>
        <v>2.2500000000000003E-2</v>
      </c>
    </row>
    <row r="608" spans="1:30" s="901" customFormat="1">
      <c r="A608" s="1056">
        <f ca="1">$Q$604 *(2)</f>
        <v>2</v>
      </c>
      <c r="B608" s="901" t="s">
        <v>141</v>
      </c>
      <c r="D608" s="901" t="s">
        <v>2739</v>
      </c>
      <c r="G608" s="941" t="s">
        <v>2740</v>
      </c>
      <c r="H608" s="942">
        <v>875</v>
      </c>
      <c r="I608" s="901" t="s">
        <v>2607</v>
      </c>
      <c r="K608" s="901" t="s">
        <v>2741</v>
      </c>
      <c r="O608" s="943">
        <v>1</v>
      </c>
      <c r="P608" s="944">
        <v>34669</v>
      </c>
      <c r="Q608" s="945">
        <v>0.02</v>
      </c>
      <c r="R608" s="946">
        <f ca="1">$A608*Q608</f>
        <v>0.04</v>
      </c>
      <c r="S608" s="945"/>
      <c r="T608" s="947">
        <f ca="1">$A608*S608*$T$1</f>
        <v>0</v>
      </c>
    </row>
    <row r="609" spans="1:30" s="901" customFormat="1">
      <c r="A609" s="1056">
        <f ca="1">$Q$604 *(2)</f>
        <v>2</v>
      </c>
      <c r="B609" s="901" t="s">
        <v>141</v>
      </c>
      <c r="D609" s="901" t="s">
        <v>2742</v>
      </c>
      <c r="G609" s="941" t="s">
        <v>2743</v>
      </c>
      <c r="H609" s="942">
        <v>875</v>
      </c>
      <c r="I609" s="901" t="s">
        <v>2607</v>
      </c>
      <c r="K609" s="901" t="s">
        <v>2744</v>
      </c>
      <c r="O609" s="943">
        <v>1</v>
      </c>
      <c r="P609" s="944">
        <v>34669</v>
      </c>
      <c r="Q609" s="945">
        <v>0.02</v>
      </c>
      <c r="R609" s="946">
        <f ca="1">$A609*Q609</f>
        <v>0.04</v>
      </c>
      <c r="S609" s="945"/>
      <c r="T609" s="947">
        <f ca="1">$A609*S609*$T$1</f>
        <v>0</v>
      </c>
    </row>
    <row r="610" spans="1:30" s="520" customFormat="1">
      <c r="A610" s="758"/>
      <c r="B610" s="3"/>
      <c r="C610" s="758" t="s">
        <v>171</v>
      </c>
      <c r="D610" s="3"/>
      <c r="E610" s="758"/>
      <c r="F610" s="753"/>
      <c r="G610" s="758"/>
      <c r="H610" s="758"/>
      <c r="I610" s="519"/>
      <c r="J610" s="758"/>
      <c r="K610" s="758"/>
      <c r="L610" s="758"/>
      <c r="M610" s="758"/>
      <c r="N610" s="758"/>
      <c r="O610" s="758"/>
      <c r="P610" s="758"/>
      <c r="Q610" s="519"/>
      <c r="R610" s="917">
        <f t="shared" ref="R610" si="110">$A610*Q610</f>
        <v>0</v>
      </c>
      <c r="S610" s="519"/>
      <c r="T610" s="760">
        <f t="shared" ref="T610" si="111">$A610*S610*$T$1</f>
        <v>0</v>
      </c>
      <c r="AD610" s="753"/>
    </row>
    <row r="611" spans="1:30" s="520" customFormat="1" ht="12.6" thickBot="1">
      <c r="A611" s="761" t="s">
        <v>145</v>
      </c>
      <c r="B611" s="762">
        <f>(R610+T610)</f>
        <v>0</v>
      </c>
      <c r="C611" s="763"/>
      <c r="D611" s="937" t="s">
        <v>172</v>
      </c>
      <c r="E611" s="477">
        <f ca="1">IF($B604=0,0,ROUND(ROUND(($R611*$S$2+($T611*$T$2))/$B604, 2)*$C$2,2))</f>
        <v>17.43</v>
      </c>
      <c r="F611" s="478">
        <f ca="1">ROUND($B604*$E611,2)</f>
        <v>17.43</v>
      </c>
      <c r="G611" s="763"/>
      <c r="H611" s="763"/>
      <c r="I611" s="765"/>
      <c r="J611" s="763"/>
      <c r="K611" s="938" t="s">
        <v>143</v>
      </c>
      <c r="L611" s="766" t="s">
        <v>143</v>
      </c>
      <c r="M611" s="766"/>
      <c r="N611" s="766"/>
      <c r="O611" s="766"/>
      <c r="P611" s="766"/>
      <c r="Q611" s="938"/>
      <c r="R611" s="939">
        <f ca="1">SUM(R605:R610)</f>
        <v>1.1800000000000002</v>
      </c>
      <c r="S611" s="940"/>
      <c r="T611" s="939">
        <f ca="1">SUM(T605:T610)</f>
        <v>0.47250000000000003</v>
      </c>
      <c r="U611" s="531"/>
      <c r="V611" s="531"/>
      <c r="W611" s="531"/>
      <c r="X611" s="531"/>
      <c r="Y611" s="531"/>
      <c r="Z611" s="531"/>
      <c r="AA611" s="531"/>
      <c r="AB611" s="531"/>
      <c r="AD611" s="478">
        <v>20</v>
      </c>
    </row>
    <row r="612" spans="1:30" s="520" customFormat="1" ht="12" thickTop="1">
      <c r="A612" s="51"/>
      <c r="B612" s="51"/>
      <c r="C612" s="51"/>
      <c r="D612" s="51"/>
      <c r="E612" s="51"/>
      <c r="F612" s="51"/>
      <c r="G612" s="51"/>
      <c r="H612" s="51"/>
      <c r="I612" s="51"/>
      <c r="J612" s="51"/>
      <c r="K612" s="51"/>
      <c r="L612" s="51"/>
      <c r="M612" s="51"/>
      <c r="N612" s="51"/>
      <c r="O612" s="52"/>
      <c r="P612" s="51"/>
      <c r="Q612" s="42" t="s">
        <v>168</v>
      </c>
      <c r="R612" s="51"/>
      <c r="S612" s="13"/>
      <c r="T612" s="51"/>
      <c r="AD612" s="51"/>
    </row>
    <row r="613" spans="1:30" s="520" customFormat="1" ht="12" customHeight="1" thickBot="1">
      <c r="A613" s="927">
        <v>1</v>
      </c>
      <c r="B613" s="928">
        <f ca="1">Elec_Est!B11605</f>
        <v>2</v>
      </c>
      <c r="C613" s="929"/>
      <c r="D613" s="930" t="s">
        <v>3561</v>
      </c>
      <c r="E613" s="931"/>
      <c r="F613" s="931"/>
      <c r="G613" s="752"/>
      <c r="H613" s="752"/>
      <c r="I613" s="932"/>
      <c r="J613" s="752"/>
      <c r="K613" s="929" t="s">
        <v>169</v>
      </c>
      <c r="L613" s="933" t="s">
        <v>169</v>
      </c>
      <c r="M613" s="933"/>
      <c r="N613" s="933"/>
      <c r="O613" s="933"/>
      <c r="P613" s="933"/>
      <c r="Q613" s="934">
        <f ca="1">B613/A613</f>
        <v>2</v>
      </c>
      <c r="R613" s="935">
        <f ca="1">IF($B613=0,0,IF($S$1="R",ROUND(R620/$B613,2),R620/$B613))</f>
        <v>1.18</v>
      </c>
      <c r="S613" s="936"/>
      <c r="T613" s="935">
        <f ca="1">IF($B613=0,0,IF($S$1="R",ROUND(T620/$B613,2),T620/$B613))</f>
        <v>0.47</v>
      </c>
      <c r="AD613" s="931"/>
    </row>
    <row r="614" spans="1:30" s="520" customFormat="1" ht="13.8" thickTop="1">
      <c r="A614" s="748"/>
      <c r="B614" s="3"/>
      <c r="C614" s="3"/>
      <c r="D614" s="106" t="s">
        <v>170</v>
      </c>
      <c r="E614" s="3"/>
      <c r="F614" s="3"/>
      <c r="G614" s="3"/>
      <c r="H614" s="3"/>
      <c r="I614" s="3"/>
      <c r="J614" s="3"/>
      <c r="K614" s="3"/>
      <c r="L614" s="3"/>
      <c r="M614" s="3"/>
      <c r="N614" s="3"/>
      <c r="O614" s="107"/>
      <c r="P614" s="3"/>
      <c r="Q614" s="3"/>
      <c r="R614" s="3"/>
      <c r="S614" s="3"/>
      <c r="T614" s="3"/>
      <c r="AD614" s="3"/>
    </row>
    <row r="615" spans="1:30" s="901" customFormat="1">
      <c r="A615" s="1056">
        <f ca="1">$Q$613 *(1)</f>
        <v>2</v>
      </c>
      <c r="B615" s="901" t="s">
        <v>141</v>
      </c>
      <c r="D615" s="901" t="s">
        <v>3066</v>
      </c>
      <c r="E615" s="1054" t="s">
        <v>3097</v>
      </c>
      <c r="F615" s="1054" t="s">
        <v>3114</v>
      </c>
      <c r="G615" s="941" t="s">
        <v>3067</v>
      </c>
      <c r="H615" s="942">
        <v>835</v>
      </c>
      <c r="I615" s="901" t="s">
        <v>2607</v>
      </c>
      <c r="O615" s="943">
        <v>3</v>
      </c>
      <c r="P615" s="944"/>
      <c r="Q615" s="1063"/>
      <c r="R615" s="946">
        <f ca="1">$A615*Q615</f>
        <v>0</v>
      </c>
      <c r="S615" s="945">
        <v>0.5</v>
      </c>
      <c r="T615" s="947">
        <f ca="1">$A615*S615*$T$1</f>
        <v>0.9</v>
      </c>
      <c r="U615" s="901" t="s">
        <v>2764</v>
      </c>
      <c r="AD615" s="1054" t="s">
        <v>3114</v>
      </c>
    </row>
    <row r="616" spans="1:30" s="901" customFormat="1">
      <c r="A616" s="1057">
        <f ca="1">$Q$613 *(1)</f>
        <v>2</v>
      </c>
      <c r="B616" s="901" t="s">
        <v>320</v>
      </c>
      <c r="D616" s="901" t="s">
        <v>3098</v>
      </c>
      <c r="G616" s="941" t="s">
        <v>3099</v>
      </c>
      <c r="H616" s="942">
        <v>616</v>
      </c>
      <c r="I616" s="901" t="s">
        <v>2272</v>
      </c>
      <c r="J616" s="901" t="s">
        <v>3100</v>
      </c>
      <c r="K616" s="901" t="s">
        <v>3101</v>
      </c>
      <c r="O616" s="943">
        <v>2</v>
      </c>
      <c r="P616" s="944">
        <v>40767</v>
      </c>
      <c r="Q616" s="945">
        <v>1.1000000000000001</v>
      </c>
      <c r="R616" s="946">
        <f ca="1">$A616*Q616</f>
        <v>2.2000000000000002</v>
      </c>
      <c r="S616" s="945">
        <v>2.5000000000000001E-2</v>
      </c>
      <c r="T616" s="947">
        <f ca="1">$A616*S616*$T$1</f>
        <v>4.5000000000000005E-2</v>
      </c>
    </row>
    <row r="617" spans="1:30" s="901" customFormat="1">
      <c r="A617" s="1057">
        <f ca="1">$Q$613 *(2)</f>
        <v>4</v>
      </c>
      <c r="B617" s="901" t="s">
        <v>141</v>
      </c>
      <c r="D617" s="901" t="s">
        <v>2739</v>
      </c>
      <c r="G617" s="941" t="s">
        <v>2740</v>
      </c>
      <c r="H617" s="942">
        <v>875</v>
      </c>
      <c r="I617" s="901" t="s">
        <v>2607</v>
      </c>
      <c r="K617" s="901" t="s">
        <v>2741</v>
      </c>
      <c r="O617" s="943">
        <v>1</v>
      </c>
      <c r="P617" s="944">
        <v>34669</v>
      </c>
      <c r="Q617" s="945">
        <v>0.02</v>
      </c>
      <c r="R617" s="946">
        <f ca="1">$A617*Q617</f>
        <v>0.08</v>
      </c>
      <c r="S617" s="945"/>
      <c r="T617" s="947">
        <f ca="1">$A617*S617*$T$1</f>
        <v>0</v>
      </c>
    </row>
    <row r="618" spans="1:30" s="901" customFormat="1">
      <c r="A618" s="1057">
        <f ca="1">$Q$613 *(2)</f>
        <v>4</v>
      </c>
      <c r="B618" s="901" t="s">
        <v>141</v>
      </c>
      <c r="D618" s="901" t="s">
        <v>2742</v>
      </c>
      <c r="G618" s="941" t="s">
        <v>2743</v>
      </c>
      <c r="H618" s="942">
        <v>875</v>
      </c>
      <c r="I618" s="901" t="s">
        <v>2607</v>
      </c>
      <c r="K618" s="901" t="s">
        <v>2744</v>
      </c>
      <c r="O618" s="943">
        <v>1</v>
      </c>
      <c r="P618" s="944">
        <v>34669</v>
      </c>
      <c r="Q618" s="945">
        <v>0.02</v>
      </c>
      <c r="R618" s="946">
        <f ca="1">$A618*Q618</f>
        <v>0.08</v>
      </c>
      <c r="S618" s="945"/>
      <c r="T618" s="947">
        <f ca="1">$A618*S618*$T$1</f>
        <v>0</v>
      </c>
    </row>
    <row r="619" spans="1:30" s="520" customFormat="1">
      <c r="A619" s="758"/>
      <c r="B619" s="3"/>
      <c r="C619" s="758" t="s">
        <v>171</v>
      </c>
      <c r="D619" s="3"/>
      <c r="E619" s="758"/>
      <c r="F619" s="753"/>
      <c r="G619" s="758"/>
      <c r="H619" s="758"/>
      <c r="I619" s="519"/>
      <c r="J619" s="758"/>
      <c r="K619" s="758"/>
      <c r="L619" s="758"/>
      <c r="M619" s="758"/>
      <c r="N619" s="758"/>
      <c r="O619" s="758"/>
      <c r="P619" s="758"/>
      <c r="Q619" s="519"/>
      <c r="R619" s="917">
        <f t="shared" ref="R619" si="112">$A619*Q619</f>
        <v>0</v>
      </c>
      <c r="S619" s="519"/>
      <c r="T619" s="760">
        <f t="shared" ref="T619" si="113">$A619*S619*$T$1</f>
        <v>0</v>
      </c>
      <c r="AD619" s="753"/>
    </row>
    <row r="620" spans="1:30" s="520" customFormat="1" ht="12.6" thickBot="1">
      <c r="A620" s="761" t="s">
        <v>145</v>
      </c>
      <c r="B620" s="762">
        <f>(R619+T619)</f>
        <v>0</v>
      </c>
      <c r="C620" s="763"/>
      <c r="D620" s="937" t="s">
        <v>172</v>
      </c>
      <c r="E620" s="477">
        <f ca="1">IF($B613=0,0,ROUND(ROUND(($R620*$S$2+($T620*$T$2))/$B613, 2)*$C$2,2))</f>
        <v>17.43</v>
      </c>
      <c r="F620" s="478">
        <f ca="1">ROUND($B613*$E620,2)</f>
        <v>34.86</v>
      </c>
      <c r="G620" s="763"/>
      <c r="H620" s="763"/>
      <c r="I620" s="765"/>
      <c r="J620" s="763"/>
      <c r="K620" s="938" t="s">
        <v>143</v>
      </c>
      <c r="L620" s="766" t="s">
        <v>143</v>
      </c>
      <c r="M620" s="766"/>
      <c r="N620" s="766"/>
      <c r="O620" s="766"/>
      <c r="P620" s="766"/>
      <c r="Q620" s="938"/>
      <c r="R620" s="939">
        <f ca="1">SUM(R614:R619)</f>
        <v>2.3600000000000003</v>
      </c>
      <c r="S620" s="940"/>
      <c r="T620" s="939">
        <f ca="1">SUM(T614:T619)</f>
        <v>0.94500000000000006</v>
      </c>
      <c r="U620" s="531"/>
      <c r="V620" s="531"/>
      <c r="W620" s="531"/>
      <c r="X620" s="531"/>
      <c r="Y620" s="531"/>
      <c r="Z620" s="531"/>
      <c r="AA620" s="531"/>
      <c r="AB620" s="531"/>
      <c r="AD620" s="478">
        <v>40</v>
      </c>
    </row>
    <row r="621" spans="1:30" s="520" customFormat="1" ht="12" thickTop="1">
      <c r="A621" s="51"/>
      <c r="B621" s="51"/>
      <c r="C621" s="51"/>
      <c r="D621" s="51"/>
      <c r="E621" s="51"/>
      <c r="F621" s="51"/>
      <c r="G621" s="51"/>
      <c r="H621" s="51"/>
      <c r="I621" s="51"/>
      <c r="J621" s="51"/>
      <c r="K621" s="51"/>
      <c r="L621" s="51"/>
      <c r="M621" s="51"/>
      <c r="N621" s="51"/>
      <c r="O621" s="52"/>
      <c r="P621" s="51"/>
      <c r="Q621" s="42" t="s">
        <v>168</v>
      </c>
      <c r="R621" s="51"/>
      <c r="S621" s="13"/>
      <c r="T621" s="51"/>
      <c r="AD621" s="51"/>
    </row>
    <row r="622" spans="1:30" s="520" customFormat="1" ht="12" customHeight="1" thickBot="1">
      <c r="A622" s="927">
        <v>1</v>
      </c>
      <c r="B622" s="928">
        <f ca="1">Elec_Est!B11606</f>
        <v>12</v>
      </c>
      <c r="C622" s="929"/>
      <c r="D622" s="930" t="s">
        <v>3562</v>
      </c>
      <c r="E622" s="931"/>
      <c r="F622" s="931"/>
      <c r="G622" s="752"/>
      <c r="H622" s="752"/>
      <c r="I622" s="932"/>
      <c r="J622" s="752"/>
      <c r="K622" s="929" t="s">
        <v>169</v>
      </c>
      <c r="L622" s="933" t="s">
        <v>169</v>
      </c>
      <c r="M622" s="933"/>
      <c r="N622" s="933"/>
      <c r="O622" s="933"/>
      <c r="P622" s="933"/>
      <c r="Q622" s="934">
        <f ca="1">B622/A622</f>
        <v>12</v>
      </c>
      <c r="R622" s="935">
        <f ca="1">IF($B622=0,0,IF($S$1="R",ROUND(R629/$B622,2),R629/$B622))</f>
        <v>1.58</v>
      </c>
      <c r="S622" s="936"/>
      <c r="T622" s="935">
        <f ca="1">IF($B622=0,0,IF($S$1="R",ROUND(T629/$B622,2),T629/$B622))</f>
        <v>0.47</v>
      </c>
      <c r="AD622" s="931"/>
    </row>
    <row r="623" spans="1:30" s="520" customFormat="1" ht="13.8" thickTop="1">
      <c r="A623" s="748"/>
      <c r="B623" s="3"/>
      <c r="C623" s="3"/>
      <c r="D623" s="106" t="s">
        <v>170</v>
      </c>
      <c r="E623" s="3"/>
      <c r="F623" s="3"/>
      <c r="G623" s="3"/>
      <c r="H623" s="3"/>
      <c r="I623" s="3"/>
      <c r="J623" s="3"/>
      <c r="K623" s="3"/>
      <c r="L623" s="3"/>
      <c r="M623" s="3"/>
      <c r="N623" s="3"/>
      <c r="O623" s="107"/>
      <c r="P623" s="3"/>
      <c r="Q623" s="3"/>
      <c r="R623" s="3"/>
      <c r="S623" s="3"/>
      <c r="T623" s="3"/>
      <c r="AD623" s="3"/>
    </row>
    <row r="624" spans="1:30" s="901" customFormat="1">
      <c r="A624" s="1056">
        <f ca="1">$Q$622 *(1)</f>
        <v>12</v>
      </c>
      <c r="B624" s="901" t="s">
        <v>141</v>
      </c>
      <c r="D624" s="901" t="s">
        <v>3066</v>
      </c>
      <c r="E624" s="1054" t="s">
        <v>3097</v>
      </c>
      <c r="F624" s="1054" t="s">
        <v>3115</v>
      </c>
      <c r="G624" s="941" t="s">
        <v>3067</v>
      </c>
      <c r="H624" s="942">
        <v>835</v>
      </c>
      <c r="I624" s="901" t="s">
        <v>2607</v>
      </c>
      <c r="O624" s="943">
        <v>3</v>
      </c>
      <c r="P624" s="944"/>
      <c r="Q624" s="1063"/>
      <c r="R624" s="946">
        <f ca="1">$A624*Q624</f>
        <v>0</v>
      </c>
      <c r="S624" s="945">
        <v>0.5</v>
      </c>
      <c r="T624" s="947">
        <f ca="1">$A624*S624*$T$1</f>
        <v>5.4</v>
      </c>
      <c r="U624" s="901" t="s">
        <v>2764</v>
      </c>
      <c r="AD624" s="1054" t="s">
        <v>3115</v>
      </c>
    </row>
    <row r="625" spans="1:30" s="901" customFormat="1">
      <c r="A625" s="1057">
        <f ca="1">$Q$622 *(1)</f>
        <v>12</v>
      </c>
      <c r="B625" s="901" t="s">
        <v>320</v>
      </c>
      <c r="D625" s="901" t="s">
        <v>3109</v>
      </c>
      <c r="G625" s="941" t="s">
        <v>3099</v>
      </c>
      <c r="H625" s="942">
        <v>616</v>
      </c>
      <c r="I625" s="901" t="s">
        <v>2272</v>
      </c>
      <c r="J625" s="901" t="s">
        <v>3100</v>
      </c>
      <c r="K625" s="901" t="s">
        <v>3101</v>
      </c>
      <c r="O625" s="943">
        <v>2</v>
      </c>
      <c r="P625" s="944">
        <v>40767</v>
      </c>
      <c r="Q625" s="945">
        <v>1.5</v>
      </c>
      <c r="R625" s="946">
        <f ca="1">$A625*Q625</f>
        <v>18</v>
      </c>
      <c r="S625" s="945">
        <v>2.5000000000000001E-2</v>
      </c>
      <c r="T625" s="947">
        <f ca="1">$A625*S625*$T$1</f>
        <v>0.27000000000000007</v>
      </c>
    </row>
    <row r="626" spans="1:30" s="901" customFormat="1">
      <c r="A626" s="1057">
        <f ca="1">$Q$622 *(2)</f>
        <v>24</v>
      </c>
      <c r="B626" s="901" t="s">
        <v>141</v>
      </c>
      <c r="D626" s="901" t="s">
        <v>2739</v>
      </c>
      <c r="G626" s="941" t="s">
        <v>2740</v>
      </c>
      <c r="H626" s="942">
        <v>875</v>
      </c>
      <c r="I626" s="901" t="s">
        <v>2607</v>
      </c>
      <c r="K626" s="901" t="s">
        <v>2741</v>
      </c>
      <c r="O626" s="943">
        <v>1</v>
      </c>
      <c r="P626" s="944">
        <v>34669</v>
      </c>
      <c r="Q626" s="945">
        <v>0.02</v>
      </c>
      <c r="R626" s="946">
        <f ca="1">$A626*Q626</f>
        <v>0.48</v>
      </c>
      <c r="S626" s="945"/>
      <c r="T626" s="947">
        <f ca="1">$A626*S626*$T$1</f>
        <v>0</v>
      </c>
    </row>
    <row r="627" spans="1:30" s="901" customFormat="1">
      <c r="A627" s="1057">
        <f ca="1">$Q$622 *(2)</f>
        <v>24</v>
      </c>
      <c r="B627" s="901" t="s">
        <v>141</v>
      </c>
      <c r="D627" s="901" t="s">
        <v>2742</v>
      </c>
      <c r="G627" s="941" t="s">
        <v>2743</v>
      </c>
      <c r="H627" s="942">
        <v>875</v>
      </c>
      <c r="I627" s="901" t="s">
        <v>2607</v>
      </c>
      <c r="K627" s="901" t="s">
        <v>2744</v>
      </c>
      <c r="O627" s="943">
        <v>1</v>
      </c>
      <c r="P627" s="944">
        <v>34669</v>
      </c>
      <c r="Q627" s="945">
        <v>0.02</v>
      </c>
      <c r="R627" s="946">
        <f ca="1">$A627*Q627</f>
        <v>0.48</v>
      </c>
      <c r="S627" s="945"/>
      <c r="T627" s="947">
        <f ca="1">$A627*S627*$T$1</f>
        <v>0</v>
      </c>
    </row>
    <row r="628" spans="1:30" s="520" customFormat="1">
      <c r="A628" s="758"/>
      <c r="B628" s="3"/>
      <c r="C628" s="758" t="s">
        <v>171</v>
      </c>
      <c r="D628" s="3"/>
      <c r="E628" s="758"/>
      <c r="F628" s="753"/>
      <c r="G628" s="758"/>
      <c r="H628" s="758"/>
      <c r="I628" s="519"/>
      <c r="J628" s="758"/>
      <c r="K628" s="758"/>
      <c r="L628" s="758"/>
      <c r="M628" s="758"/>
      <c r="N628" s="758"/>
      <c r="O628" s="758"/>
      <c r="P628" s="758"/>
      <c r="Q628" s="519"/>
      <c r="R628" s="917">
        <f t="shared" ref="R628" si="114">$A628*Q628</f>
        <v>0</v>
      </c>
      <c r="S628" s="519"/>
      <c r="T628" s="760">
        <f t="shared" ref="T628" si="115">$A628*S628*$T$1</f>
        <v>0</v>
      </c>
      <c r="AD628" s="753"/>
    </row>
    <row r="629" spans="1:30" s="520" customFormat="1" ht="12.6" thickBot="1">
      <c r="A629" s="761" t="s">
        <v>145</v>
      </c>
      <c r="B629" s="762">
        <f>(R628+T628)</f>
        <v>0</v>
      </c>
      <c r="C629" s="763"/>
      <c r="D629" s="937" t="s">
        <v>172</v>
      </c>
      <c r="E629" s="477">
        <f ca="1">IF($B622=0,0,ROUND(ROUND(($R629*$S$2+($T629*$T$2))/$B622, 2)*$C$2,2))</f>
        <v>17.920000000000002</v>
      </c>
      <c r="F629" s="478">
        <f ca="1">ROUND($B622*$E629,2)</f>
        <v>215.04</v>
      </c>
      <c r="G629" s="763"/>
      <c r="H629" s="763"/>
      <c r="I629" s="765"/>
      <c r="J629" s="763"/>
      <c r="K629" s="938" t="s">
        <v>143</v>
      </c>
      <c r="L629" s="766" t="s">
        <v>143</v>
      </c>
      <c r="M629" s="766"/>
      <c r="N629" s="766"/>
      <c r="O629" s="766"/>
      <c r="P629" s="766"/>
      <c r="Q629" s="938"/>
      <c r="R629" s="939">
        <f ca="1">SUM(R623:R628)</f>
        <v>18.96</v>
      </c>
      <c r="S629" s="940"/>
      <c r="T629" s="939">
        <f ca="1">SUM(T623:T628)</f>
        <v>5.6700000000000008</v>
      </c>
      <c r="U629" s="531"/>
      <c r="V629" s="531"/>
      <c r="W629" s="531"/>
      <c r="X629" s="531"/>
      <c r="Y629" s="531"/>
      <c r="Z629" s="531"/>
      <c r="AA629" s="531"/>
      <c r="AB629" s="531"/>
      <c r="AD629" s="478">
        <v>246.24</v>
      </c>
    </row>
    <row r="630" spans="1:30" s="520" customFormat="1" ht="12" thickTop="1">
      <c r="A630" s="51"/>
      <c r="B630" s="51"/>
      <c r="C630" s="51"/>
      <c r="D630" s="51"/>
      <c r="E630" s="51"/>
      <c r="F630" s="51"/>
      <c r="G630" s="51"/>
      <c r="H630" s="51"/>
      <c r="I630" s="51"/>
      <c r="J630" s="51"/>
      <c r="K630" s="51"/>
      <c r="L630" s="51"/>
      <c r="M630" s="51"/>
      <c r="N630" s="51"/>
      <c r="O630" s="52"/>
      <c r="P630" s="51"/>
      <c r="Q630" s="42" t="s">
        <v>168</v>
      </c>
      <c r="R630" s="51"/>
      <c r="S630" s="13"/>
      <c r="T630" s="51"/>
      <c r="AD630" s="51"/>
    </row>
    <row r="631" spans="1:30" s="520" customFormat="1" ht="12" customHeight="1" thickBot="1">
      <c r="A631" s="927">
        <v>1</v>
      </c>
      <c r="B631" s="928">
        <f ca="1">Elec_Est!B11607</f>
        <v>17</v>
      </c>
      <c r="C631" s="929"/>
      <c r="D631" s="930" t="s">
        <v>3563</v>
      </c>
      <c r="E631" s="931"/>
      <c r="F631" s="931"/>
      <c r="G631" s="752"/>
      <c r="H631" s="752"/>
      <c r="I631" s="932"/>
      <c r="J631" s="752"/>
      <c r="K631" s="929" t="s">
        <v>169</v>
      </c>
      <c r="L631" s="933" t="s">
        <v>169</v>
      </c>
      <c r="M631" s="933"/>
      <c r="N631" s="933"/>
      <c r="O631" s="933"/>
      <c r="P631" s="933"/>
      <c r="Q631" s="934">
        <f ca="1">B631/A631</f>
        <v>17</v>
      </c>
      <c r="R631" s="935">
        <f ca="1">IF($B631=0,0,IF($S$1="R",ROUND(R638/$B631,2),R638/$B631))</f>
        <v>3.26</v>
      </c>
      <c r="S631" s="936"/>
      <c r="T631" s="935">
        <f ca="1">IF($B631=0,0,IF($S$1="R",ROUND(T638/$B631,2),T638/$B631))</f>
        <v>0.47</v>
      </c>
      <c r="AD631" s="931"/>
    </row>
    <row r="632" spans="1:30" s="520" customFormat="1" ht="13.8" thickTop="1">
      <c r="A632" s="748"/>
      <c r="B632" s="3"/>
      <c r="C632" s="3"/>
      <c r="D632" s="106" t="s">
        <v>170</v>
      </c>
      <c r="E632" s="3"/>
      <c r="F632" s="3"/>
      <c r="G632" s="3"/>
      <c r="H632" s="3"/>
      <c r="I632" s="3"/>
      <c r="J632" s="3"/>
      <c r="K632" s="3"/>
      <c r="L632" s="3"/>
      <c r="M632" s="3"/>
      <c r="N632" s="3"/>
      <c r="O632" s="107"/>
      <c r="P632" s="3"/>
      <c r="Q632" s="3"/>
      <c r="R632" s="3"/>
      <c r="S632" s="3"/>
      <c r="T632" s="3"/>
      <c r="AD632" s="3"/>
    </row>
    <row r="633" spans="1:30" s="901" customFormat="1">
      <c r="A633" s="1056">
        <f ca="1">$Q$631 *(1)</f>
        <v>17</v>
      </c>
      <c r="B633" s="901" t="s">
        <v>141</v>
      </c>
      <c r="D633" s="901" t="s">
        <v>3066</v>
      </c>
      <c r="E633" s="1054" t="s">
        <v>3097</v>
      </c>
      <c r="F633" s="1054" t="s">
        <v>3084</v>
      </c>
      <c r="G633" s="941" t="s">
        <v>3067</v>
      </c>
      <c r="H633" s="942">
        <v>835</v>
      </c>
      <c r="I633" s="901" t="s">
        <v>2607</v>
      </c>
      <c r="O633" s="943">
        <v>3</v>
      </c>
      <c r="P633" s="944"/>
      <c r="Q633" s="1063"/>
      <c r="R633" s="946">
        <f ca="1">$A633*Q633</f>
        <v>0</v>
      </c>
      <c r="S633" s="945">
        <v>0.5</v>
      </c>
      <c r="T633" s="947">
        <f ca="1">$A633*S633*$T$1</f>
        <v>7.65</v>
      </c>
      <c r="U633" s="901" t="s">
        <v>2764</v>
      </c>
      <c r="AD633" s="1054" t="s">
        <v>3084</v>
      </c>
    </row>
    <row r="634" spans="1:30" s="901" customFormat="1">
      <c r="A634" s="1057">
        <f ca="1">$Q$631 *(1)</f>
        <v>17</v>
      </c>
      <c r="B634" s="901" t="s">
        <v>320</v>
      </c>
      <c r="D634" s="901" t="s">
        <v>3098</v>
      </c>
      <c r="G634" s="941" t="s">
        <v>3099</v>
      </c>
      <c r="H634" s="942">
        <v>616</v>
      </c>
      <c r="I634" s="901" t="s">
        <v>2272</v>
      </c>
      <c r="J634" s="901" t="s">
        <v>3100</v>
      </c>
      <c r="K634" s="901" t="s">
        <v>3101</v>
      </c>
      <c r="O634" s="943">
        <v>2</v>
      </c>
      <c r="P634" s="944">
        <v>40767</v>
      </c>
      <c r="Q634" s="945">
        <v>1.1000000000000001</v>
      </c>
      <c r="R634" s="946">
        <f ca="1">$A634*Q634</f>
        <v>18.700000000000003</v>
      </c>
      <c r="S634" s="945">
        <v>2.5000000000000001E-2</v>
      </c>
      <c r="T634" s="947">
        <f ca="1">$A634*S634*$T$1</f>
        <v>0.38250000000000006</v>
      </c>
    </row>
    <row r="635" spans="1:30" s="901" customFormat="1">
      <c r="A635" s="1056">
        <f ca="1">$Q$631 *(2)</f>
        <v>34</v>
      </c>
      <c r="B635" s="901" t="s">
        <v>141</v>
      </c>
      <c r="D635" s="901" t="s">
        <v>3102</v>
      </c>
      <c r="G635" s="941" t="s">
        <v>3103</v>
      </c>
      <c r="H635" s="942">
        <v>875</v>
      </c>
      <c r="I635" s="901" t="s">
        <v>2607</v>
      </c>
      <c r="K635" s="901" t="s">
        <v>3104</v>
      </c>
      <c r="O635" s="943">
        <v>1</v>
      </c>
      <c r="P635" s="944">
        <v>34669</v>
      </c>
      <c r="Q635" s="945">
        <v>0.61</v>
      </c>
      <c r="R635" s="946">
        <f ca="1">$A635*Q635</f>
        <v>20.74</v>
      </c>
      <c r="S635" s="945"/>
      <c r="T635" s="947">
        <f ca="1">$A635*S635*$T$1</f>
        <v>0</v>
      </c>
    </row>
    <row r="636" spans="1:30" s="901" customFormat="1">
      <c r="A636" s="1056">
        <f ca="1">$Q$631 *(2)</f>
        <v>34</v>
      </c>
      <c r="B636" s="901" t="s">
        <v>141</v>
      </c>
      <c r="D636" s="901" t="s">
        <v>3105</v>
      </c>
      <c r="G636" s="941" t="s">
        <v>3106</v>
      </c>
      <c r="H636" s="942">
        <v>875</v>
      </c>
      <c r="I636" s="901" t="s">
        <v>2607</v>
      </c>
      <c r="K636" s="901" t="s">
        <v>3107</v>
      </c>
      <c r="O636" s="943">
        <v>1</v>
      </c>
      <c r="P636" s="944">
        <v>34669</v>
      </c>
      <c r="Q636" s="945">
        <v>0.47</v>
      </c>
      <c r="R636" s="946">
        <f ca="1">$A636*Q636</f>
        <v>15.979999999999999</v>
      </c>
      <c r="S636" s="945"/>
      <c r="T636" s="947">
        <f ca="1">$A636*S636*$T$1</f>
        <v>0</v>
      </c>
    </row>
    <row r="637" spans="1:30" s="520" customFormat="1">
      <c r="A637" s="758"/>
      <c r="B637" s="3"/>
      <c r="C637" s="758" t="s">
        <v>171</v>
      </c>
      <c r="D637" s="3"/>
      <c r="E637" s="758"/>
      <c r="F637" s="753"/>
      <c r="G637" s="758"/>
      <c r="H637" s="758"/>
      <c r="I637" s="519"/>
      <c r="J637" s="758"/>
      <c r="K637" s="758"/>
      <c r="L637" s="758"/>
      <c r="M637" s="758"/>
      <c r="N637" s="758"/>
      <c r="O637" s="758"/>
      <c r="P637" s="758"/>
      <c r="Q637" s="519"/>
      <c r="R637" s="917">
        <f t="shared" ref="R637" si="116">$A637*Q637</f>
        <v>0</v>
      </c>
      <c r="S637" s="519"/>
      <c r="T637" s="760">
        <f t="shared" ref="T637" si="117">$A637*S637*$T$1</f>
        <v>0</v>
      </c>
      <c r="AD637" s="753"/>
    </row>
    <row r="638" spans="1:30" s="520" customFormat="1" ht="12.6" thickBot="1">
      <c r="A638" s="761" t="s">
        <v>145</v>
      </c>
      <c r="B638" s="762">
        <f>(R637+T637)</f>
        <v>0</v>
      </c>
      <c r="C638" s="763"/>
      <c r="D638" s="937" t="s">
        <v>172</v>
      </c>
      <c r="E638" s="477">
        <f ca="1">IF($B631=0,0,ROUND(ROUND(($R638*$S$2+($T638*$T$2))/$B631, 2)*$C$2,2))</f>
        <v>19.989999999999998</v>
      </c>
      <c r="F638" s="478">
        <f ca="1">ROUND($B631*$E638,2)</f>
        <v>339.83</v>
      </c>
      <c r="G638" s="763"/>
      <c r="H638" s="763"/>
      <c r="I638" s="765"/>
      <c r="J638" s="763"/>
      <c r="K638" s="938" t="s">
        <v>143</v>
      </c>
      <c r="L638" s="766" t="s">
        <v>143</v>
      </c>
      <c r="M638" s="766"/>
      <c r="N638" s="766"/>
      <c r="O638" s="766"/>
      <c r="P638" s="766"/>
      <c r="Q638" s="938"/>
      <c r="R638" s="939">
        <f ca="1">SUM(R632:R637)</f>
        <v>55.419999999999995</v>
      </c>
      <c r="S638" s="940"/>
      <c r="T638" s="939">
        <f ca="1">SUM(T632:T637)</f>
        <v>8.0325000000000006</v>
      </c>
      <c r="U638" s="531"/>
      <c r="V638" s="531"/>
      <c r="W638" s="531"/>
      <c r="X638" s="531"/>
      <c r="Y638" s="531"/>
      <c r="Z638" s="531"/>
      <c r="AA638" s="531"/>
      <c r="AB638" s="531"/>
      <c r="AD638" s="478">
        <v>408.06</v>
      </c>
    </row>
    <row r="639" spans="1:30" s="520" customFormat="1" ht="12" thickTop="1">
      <c r="A639" s="51"/>
      <c r="B639" s="51"/>
      <c r="C639" s="51"/>
      <c r="D639" s="51"/>
      <c r="E639" s="51"/>
      <c r="F639" s="51"/>
      <c r="G639" s="51"/>
      <c r="H639" s="51"/>
      <c r="I639" s="51"/>
      <c r="J639" s="51"/>
      <c r="K639" s="51"/>
      <c r="L639" s="51"/>
      <c r="M639" s="51"/>
      <c r="N639" s="51"/>
      <c r="O639" s="52"/>
      <c r="P639" s="51"/>
      <c r="Q639" s="42" t="s">
        <v>168</v>
      </c>
      <c r="R639" s="51"/>
      <c r="S639" s="13"/>
      <c r="T639" s="51"/>
      <c r="AD639" s="51"/>
    </row>
    <row r="640" spans="1:30" s="520" customFormat="1" ht="12" customHeight="1" thickBot="1">
      <c r="A640" s="927">
        <v>1</v>
      </c>
      <c r="B640" s="928">
        <f ca="1">Elec_Est!B11608</f>
        <v>6</v>
      </c>
      <c r="C640" s="929"/>
      <c r="D640" s="930" t="s">
        <v>3564</v>
      </c>
      <c r="E640" s="931"/>
      <c r="F640" s="931"/>
      <c r="G640" s="752"/>
      <c r="H640" s="752"/>
      <c r="I640" s="932"/>
      <c r="J640" s="752"/>
      <c r="K640" s="929" t="s">
        <v>169</v>
      </c>
      <c r="L640" s="933" t="s">
        <v>169</v>
      </c>
      <c r="M640" s="933"/>
      <c r="N640" s="933"/>
      <c r="O640" s="933"/>
      <c r="P640" s="933"/>
      <c r="Q640" s="934">
        <f ca="1">B640/A640</f>
        <v>6</v>
      </c>
      <c r="R640" s="935">
        <f ca="1">IF($B640=0,0,IF($S$1="R",ROUND(R647/$B640,2),R647/$B640))</f>
        <v>3.26</v>
      </c>
      <c r="S640" s="936"/>
      <c r="T640" s="935">
        <f ca="1">IF($B640=0,0,IF($S$1="R",ROUND(T647/$B640,2),T647/$B640))</f>
        <v>0.47</v>
      </c>
      <c r="AD640" s="931"/>
    </row>
    <row r="641" spans="1:30" s="520" customFormat="1" ht="13.8" thickTop="1">
      <c r="A641" s="748"/>
      <c r="B641" s="3"/>
      <c r="C641" s="3"/>
      <c r="D641" s="106" t="s">
        <v>170</v>
      </c>
      <c r="E641" s="3"/>
      <c r="F641" s="3"/>
      <c r="G641" s="3"/>
      <c r="H641" s="3"/>
      <c r="I641" s="3"/>
      <c r="J641" s="3"/>
      <c r="K641" s="3"/>
      <c r="L641" s="3"/>
      <c r="M641" s="3"/>
      <c r="N641" s="3"/>
      <c r="O641" s="107"/>
      <c r="P641" s="3"/>
      <c r="Q641" s="3"/>
      <c r="R641" s="3"/>
      <c r="S641" s="3"/>
      <c r="T641" s="3"/>
      <c r="AD641" s="3"/>
    </row>
    <row r="642" spans="1:30" s="901" customFormat="1">
      <c r="A642" s="1056">
        <f ca="1">$Q$640 *(1)</f>
        <v>6</v>
      </c>
      <c r="B642" s="901" t="s">
        <v>141</v>
      </c>
      <c r="D642" s="901" t="s">
        <v>3066</v>
      </c>
      <c r="E642" s="1054" t="s">
        <v>3097</v>
      </c>
      <c r="F642" s="1054" t="s">
        <v>3085</v>
      </c>
      <c r="G642" s="941" t="s">
        <v>3067</v>
      </c>
      <c r="H642" s="942">
        <v>835</v>
      </c>
      <c r="I642" s="901" t="s">
        <v>2607</v>
      </c>
      <c r="O642" s="943">
        <v>3</v>
      </c>
      <c r="P642" s="944"/>
      <c r="Q642" s="1063"/>
      <c r="R642" s="946">
        <f ca="1">$A642*Q642</f>
        <v>0</v>
      </c>
      <c r="S642" s="945">
        <v>0.5</v>
      </c>
      <c r="T642" s="947">
        <f ca="1">$A642*S642*$T$1</f>
        <v>2.7</v>
      </c>
      <c r="U642" s="901" t="s">
        <v>2764</v>
      </c>
      <c r="AD642" s="1054" t="s">
        <v>3085</v>
      </c>
    </row>
    <row r="643" spans="1:30" s="901" customFormat="1">
      <c r="A643" s="1057">
        <f ca="1">$Q$640 *(1)</f>
        <v>6</v>
      </c>
      <c r="B643" s="901" t="s">
        <v>320</v>
      </c>
      <c r="D643" s="901" t="s">
        <v>3098</v>
      </c>
      <c r="G643" s="941" t="s">
        <v>3099</v>
      </c>
      <c r="H643" s="942">
        <v>616</v>
      </c>
      <c r="I643" s="901" t="s">
        <v>2272</v>
      </c>
      <c r="J643" s="901" t="s">
        <v>3100</v>
      </c>
      <c r="K643" s="901" t="s">
        <v>3101</v>
      </c>
      <c r="O643" s="943">
        <v>2</v>
      </c>
      <c r="P643" s="944">
        <v>40767</v>
      </c>
      <c r="Q643" s="945">
        <v>1.1000000000000001</v>
      </c>
      <c r="R643" s="946">
        <f ca="1">$A643*Q643</f>
        <v>6.6000000000000005</v>
      </c>
      <c r="S643" s="945">
        <v>2.5000000000000001E-2</v>
      </c>
      <c r="T643" s="947">
        <f ca="1">$A643*S643*$T$1</f>
        <v>0.13500000000000004</v>
      </c>
    </row>
    <row r="644" spans="1:30" s="901" customFormat="1">
      <c r="A644" s="1056">
        <f ca="1">$Q$640 *(2)</f>
        <v>12</v>
      </c>
      <c r="B644" s="901" t="s">
        <v>141</v>
      </c>
      <c r="D644" s="901" t="s">
        <v>3102</v>
      </c>
      <c r="G644" s="941" t="s">
        <v>3103</v>
      </c>
      <c r="H644" s="942">
        <v>875</v>
      </c>
      <c r="I644" s="901" t="s">
        <v>2607</v>
      </c>
      <c r="K644" s="901" t="s">
        <v>3104</v>
      </c>
      <c r="O644" s="943">
        <v>1</v>
      </c>
      <c r="P644" s="944">
        <v>34669</v>
      </c>
      <c r="Q644" s="945">
        <v>0.61</v>
      </c>
      <c r="R644" s="946">
        <f ca="1">$A644*Q644</f>
        <v>7.32</v>
      </c>
      <c r="S644" s="945"/>
      <c r="T644" s="947">
        <f ca="1">$A644*S644*$T$1</f>
        <v>0</v>
      </c>
    </row>
    <row r="645" spans="1:30" s="901" customFormat="1">
      <c r="A645" s="1056">
        <f ca="1">$Q$640 *(2)</f>
        <v>12</v>
      </c>
      <c r="B645" s="901" t="s">
        <v>141</v>
      </c>
      <c r="D645" s="901" t="s">
        <v>3105</v>
      </c>
      <c r="G645" s="941" t="s">
        <v>3106</v>
      </c>
      <c r="H645" s="942">
        <v>875</v>
      </c>
      <c r="I645" s="901" t="s">
        <v>2607</v>
      </c>
      <c r="K645" s="901" t="s">
        <v>3107</v>
      </c>
      <c r="O645" s="943">
        <v>1</v>
      </c>
      <c r="P645" s="944">
        <v>34669</v>
      </c>
      <c r="Q645" s="945">
        <v>0.47</v>
      </c>
      <c r="R645" s="946">
        <f ca="1">$A645*Q645</f>
        <v>5.64</v>
      </c>
      <c r="S645" s="945"/>
      <c r="T645" s="947">
        <f ca="1">$A645*S645*$T$1</f>
        <v>0</v>
      </c>
    </row>
    <row r="646" spans="1:30" s="520" customFormat="1">
      <c r="A646" s="758"/>
      <c r="B646" s="3"/>
      <c r="C646" s="758" t="s">
        <v>171</v>
      </c>
      <c r="D646" s="3"/>
      <c r="E646" s="758"/>
      <c r="F646" s="753"/>
      <c r="G646" s="758"/>
      <c r="H646" s="758"/>
      <c r="I646" s="519"/>
      <c r="J646" s="758"/>
      <c r="K646" s="758"/>
      <c r="L646" s="758"/>
      <c r="M646" s="758"/>
      <c r="N646" s="758"/>
      <c r="O646" s="758"/>
      <c r="P646" s="758"/>
      <c r="Q646" s="519"/>
      <c r="R646" s="917">
        <f t="shared" ref="R646" si="118">$A646*Q646</f>
        <v>0</v>
      </c>
      <c r="S646" s="519"/>
      <c r="T646" s="760">
        <f t="shared" ref="T646" si="119">$A646*S646*$T$1</f>
        <v>0</v>
      </c>
      <c r="AD646" s="753"/>
    </row>
    <row r="647" spans="1:30" s="520" customFormat="1" ht="12.6" thickBot="1">
      <c r="A647" s="761" t="s">
        <v>145</v>
      </c>
      <c r="B647" s="762">
        <f>(R646+T646)</f>
        <v>0</v>
      </c>
      <c r="C647" s="763"/>
      <c r="D647" s="937" t="s">
        <v>172</v>
      </c>
      <c r="E647" s="477">
        <f ca="1">IF($B640=0,0,ROUND(ROUND(($R647*$S$2+($T647*$T$2))/$B640, 2)*$C$2,2))</f>
        <v>19.989999999999998</v>
      </c>
      <c r="F647" s="478">
        <f ca="1">ROUND($B640*$E647,2)</f>
        <v>119.94</v>
      </c>
      <c r="G647" s="763"/>
      <c r="H647" s="763"/>
      <c r="I647" s="765"/>
      <c r="J647" s="763"/>
      <c r="K647" s="938" t="s">
        <v>143</v>
      </c>
      <c r="L647" s="766" t="s">
        <v>143</v>
      </c>
      <c r="M647" s="766"/>
      <c r="N647" s="766"/>
      <c r="O647" s="766"/>
      <c r="P647" s="766"/>
      <c r="Q647" s="938"/>
      <c r="R647" s="939">
        <f ca="1">SUM(R641:R646)</f>
        <v>19.560000000000002</v>
      </c>
      <c r="S647" s="940"/>
      <c r="T647" s="939">
        <f ca="1">SUM(T641:T646)</f>
        <v>2.8350000000000004</v>
      </c>
      <c r="U647" s="531"/>
      <c r="V647" s="531"/>
      <c r="W647" s="531"/>
      <c r="X647" s="531"/>
      <c r="Y647" s="531"/>
      <c r="Z647" s="531"/>
      <c r="AA647" s="531"/>
      <c r="AB647" s="531"/>
      <c r="AD647" s="478">
        <v>158.69</v>
      </c>
    </row>
    <row r="648" spans="1:30" s="520" customFormat="1" ht="12" thickTop="1">
      <c r="A648" s="51"/>
      <c r="B648" s="51"/>
      <c r="C648" s="51"/>
      <c r="D648" s="51"/>
      <c r="E648" s="51"/>
      <c r="F648" s="51"/>
      <c r="G648" s="51"/>
      <c r="H648" s="51"/>
      <c r="I648" s="51"/>
      <c r="J648" s="51"/>
      <c r="K648" s="51"/>
      <c r="L648" s="51"/>
      <c r="M648" s="51"/>
      <c r="N648" s="51"/>
      <c r="O648" s="52"/>
      <c r="P648" s="51"/>
      <c r="Q648" s="42" t="s">
        <v>168</v>
      </c>
      <c r="R648" s="51"/>
      <c r="S648" s="13"/>
      <c r="T648" s="51"/>
      <c r="AD648" s="51"/>
    </row>
    <row r="649" spans="1:30" s="520" customFormat="1" ht="12" customHeight="1" thickBot="1">
      <c r="A649" s="927">
        <v>1</v>
      </c>
      <c r="B649" s="928">
        <f ca="1">Elec_Est!B11609</f>
        <v>44</v>
      </c>
      <c r="C649" s="929"/>
      <c r="D649" s="930" t="s">
        <v>3565</v>
      </c>
      <c r="E649" s="931"/>
      <c r="F649" s="931"/>
      <c r="G649" s="752"/>
      <c r="H649" s="752"/>
      <c r="I649" s="932"/>
      <c r="J649" s="752"/>
      <c r="K649" s="929" t="s">
        <v>169</v>
      </c>
      <c r="L649" s="933" t="s">
        <v>169</v>
      </c>
      <c r="M649" s="933"/>
      <c r="N649" s="933"/>
      <c r="O649" s="933"/>
      <c r="P649" s="933"/>
      <c r="Q649" s="934">
        <f ca="1">B649/A649</f>
        <v>44</v>
      </c>
      <c r="R649" s="935">
        <f ca="1">IF($B649=0,0,IF($S$1="R",ROUND(R656/$B649,2),R656/$B649))</f>
        <v>3.26</v>
      </c>
      <c r="S649" s="936"/>
      <c r="T649" s="935">
        <f ca="1">IF($B649=0,0,IF($S$1="R",ROUND(T656/$B649,2),T656/$B649))</f>
        <v>0.47</v>
      </c>
      <c r="AD649" s="931"/>
    </row>
    <row r="650" spans="1:30" s="520" customFormat="1" ht="13.8" thickTop="1">
      <c r="A650" s="748"/>
      <c r="B650" s="3"/>
      <c r="C650" s="3"/>
      <c r="D650" s="106" t="s">
        <v>170</v>
      </c>
      <c r="E650" s="3"/>
      <c r="F650" s="3"/>
      <c r="G650" s="3"/>
      <c r="H650" s="3"/>
      <c r="I650" s="3"/>
      <c r="J650" s="3"/>
      <c r="K650" s="3"/>
      <c r="L650" s="3"/>
      <c r="M650" s="3"/>
      <c r="N650" s="3"/>
      <c r="O650" s="107"/>
      <c r="P650" s="3"/>
      <c r="Q650" s="3"/>
      <c r="R650" s="3"/>
      <c r="S650" s="3"/>
      <c r="T650" s="3"/>
      <c r="AD650" s="3"/>
    </row>
    <row r="651" spans="1:30" s="901" customFormat="1">
      <c r="A651" s="1056">
        <f ca="1">$Q$649 *(1)</f>
        <v>44</v>
      </c>
      <c r="B651" s="901" t="s">
        <v>141</v>
      </c>
      <c r="D651" s="901" t="s">
        <v>3066</v>
      </c>
      <c r="E651" s="1054" t="s">
        <v>3097</v>
      </c>
      <c r="F651" s="1054" t="s">
        <v>3086</v>
      </c>
      <c r="G651" s="941" t="s">
        <v>3067</v>
      </c>
      <c r="H651" s="942">
        <v>835</v>
      </c>
      <c r="I651" s="901" t="s">
        <v>2607</v>
      </c>
      <c r="O651" s="943">
        <v>3</v>
      </c>
      <c r="P651" s="944"/>
      <c r="Q651" s="1063"/>
      <c r="R651" s="946">
        <f ca="1">$A651*Q651</f>
        <v>0</v>
      </c>
      <c r="S651" s="945">
        <v>0.5</v>
      </c>
      <c r="T651" s="947">
        <f ca="1">$A651*S651*$T$1</f>
        <v>19.8</v>
      </c>
      <c r="U651" s="901" t="s">
        <v>2764</v>
      </c>
      <c r="AD651" s="1054" t="s">
        <v>3086</v>
      </c>
    </row>
    <row r="652" spans="1:30" s="901" customFormat="1">
      <c r="A652" s="1057">
        <f ca="1">$Q$649 *(1)</f>
        <v>44</v>
      </c>
      <c r="B652" s="901" t="s">
        <v>320</v>
      </c>
      <c r="D652" s="901" t="s">
        <v>3098</v>
      </c>
      <c r="G652" s="941" t="s">
        <v>3099</v>
      </c>
      <c r="H652" s="942">
        <v>616</v>
      </c>
      <c r="I652" s="901" t="s">
        <v>2272</v>
      </c>
      <c r="J652" s="901" t="s">
        <v>3100</v>
      </c>
      <c r="K652" s="901" t="s">
        <v>3101</v>
      </c>
      <c r="O652" s="943">
        <v>2</v>
      </c>
      <c r="P652" s="944">
        <v>40767</v>
      </c>
      <c r="Q652" s="945">
        <v>1.1000000000000001</v>
      </c>
      <c r="R652" s="946">
        <f ca="1">$A652*Q652</f>
        <v>48.400000000000006</v>
      </c>
      <c r="S652" s="945">
        <v>2.5000000000000001E-2</v>
      </c>
      <c r="T652" s="947">
        <f ca="1">$A652*S652*$T$1</f>
        <v>0.9900000000000001</v>
      </c>
    </row>
    <row r="653" spans="1:30" s="901" customFormat="1">
      <c r="A653" s="1056">
        <f ca="1">$Q$649 *(2)</f>
        <v>88</v>
      </c>
      <c r="B653" s="901" t="s">
        <v>141</v>
      </c>
      <c r="D653" s="901" t="s">
        <v>3102</v>
      </c>
      <c r="G653" s="941" t="s">
        <v>3103</v>
      </c>
      <c r="H653" s="942">
        <v>875</v>
      </c>
      <c r="I653" s="901" t="s">
        <v>2607</v>
      </c>
      <c r="K653" s="901" t="s">
        <v>3104</v>
      </c>
      <c r="O653" s="943">
        <v>1</v>
      </c>
      <c r="P653" s="944">
        <v>34669</v>
      </c>
      <c r="Q653" s="945">
        <v>0.61</v>
      </c>
      <c r="R653" s="946">
        <f ca="1">$A653*Q653</f>
        <v>53.68</v>
      </c>
      <c r="S653" s="945"/>
      <c r="T653" s="947">
        <f ca="1">$A653*S653*$T$1</f>
        <v>0</v>
      </c>
    </row>
    <row r="654" spans="1:30" s="901" customFormat="1">
      <c r="A654" s="1056">
        <f ca="1">$Q$649 *(2)</f>
        <v>88</v>
      </c>
      <c r="B654" s="901" t="s">
        <v>141</v>
      </c>
      <c r="D654" s="901" t="s">
        <v>3105</v>
      </c>
      <c r="G654" s="941" t="s">
        <v>3106</v>
      </c>
      <c r="H654" s="942">
        <v>875</v>
      </c>
      <c r="I654" s="901" t="s">
        <v>2607</v>
      </c>
      <c r="K654" s="901" t="s">
        <v>3107</v>
      </c>
      <c r="O654" s="943">
        <v>1</v>
      </c>
      <c r="P654" s="944">
        <v>34669</v>
      </c>
      <c r="Q654" s="945">
        <v>0.47</v>
      </c>
      <c r="R654" s="946">
        <f ca="1">$A654*Q654</f>
        <v>41.36</v>
      </c>
      <c r="S654" s="945"/>
      <c r="T654" s="947">
        <f ca="1">$A654*S654*$T$1</f>
        <v>0</v>
      </c>
    </row>
    <row r="655" spans="1:30" s="520" customFormat="1">
      <c r="A655" s="758"/>
      <c r="B655" s="3"/>
      <c r="C655" s="758" t="s">
        <v>171</v>
      </c>
      <c r="D655" s="3"/>
      <c r="E655" s="758"/>
      <c r="F655" s="753"/>
      <c r="G655" s="758"/>
      <c r="H655" s="758"/>
      <c r="I655" s="519"/>
      <c r="J655" s="758"/>
      <c r="K655" s="758"/>
      <c r="L655" s="758"/>
      <c r="M655" s="758"/>
      <c r="N655" s="758"/>
      <c r="O655" s="758"/>
      <c r="P655" s="758"/>
      <c r="Q655" s="519"/>
      <c r="R655" s="917">
        <f t="shared" ref="R655" si="120">$A655*Q655</f>
        <v>0</v>
      </c>
      <c r="S655" s="519"/>
      <c r="T655" s="760">
        <f t="shared" ref="T655" si="121">$A655*S655*$T$1</f>
        <v>0</v>
      </c>
      <c r="AD655" s="753"/>
    </row>
    <row r="656" spans="1:30" s="520" customFormat="1" ht="12.6" thickBot="1">
      <c r="A656" s="761" t="s">
        <v>145</v>
      </c>
      <c r="B656" s="762">
        <f>(R655+T655)</f>
        <v>0</v>
      </c>
      <c r="C656" s="763"/>
      <c r="D656" s="937" t="s">
        <v>172</v>
      </c>
      <c r="E656" s="477">
        <f ca="1">IF($B649=0,0,ROUND(ROUND(($R656*$S$2+($T656*$T$2))/$B649, 2)*$C$2,2))</f>
        <v>19.989999999999998</v>
      </c>
      <c r="F656" s="478">
        <f ca="1">ROUND($B649*$E656,2)</f>
        <v>879.56</v>
      </c>
      <c r="G656" s="763"/>
      <c r="H656" s="763"/>
      <c r="I656" s="765"/>
      <c r="J656" s="763"/>
      <c r="K656" s="938" t="s">
        <v>143</v>
      </c>
      <c r="L656" s="766" t="s">
        <v>143</v>
      </c>
      <c r="M656" s="766"/>
      <c r="N656" s="766"/>
      <c r="O656" s="766"/>
      <c r="P656" s="766"/>
      <c r="Q656" s="938"/>
      <c r="R656" s="939">
        <f ca="1">SUM(R650:R655)</f>
        <v>143.44</v>
      </c>
      <c r="S656" s="940"/>
      <c r="T656" s="939">
        <f ca="1">SUM(T650:T655)</f>
        <v>20.79</v>
      </c>
      <c r="U656" s="531"/>
      <c r="V656" s="531"/>
      <c r="W656" s="531"/>
      <c r="X656" s="531"/>
      <c r="Y656" s="531"/>
      <c r="Z656" s="531"/>
      <c r="AA656" s="531"/>
      <c r="AB656" s="531"/>
      <c r="AD656" s="478">
        <v>952.14</v>
      </c>
    </row>
    <row r="657" spans="1:30" s="520" customFormat="1" ht="12" thickTop="1">
      <c r="A657" s="51"/>
      <c r="B657" s="51"/>
      <c r="C657" s="51"/>
      <c r="D657" s="51"/>
      <c r="E657" s="51"/>
      <c r="F657" s="51"/>
      <c r="G657" s="51"/>
      <c r="H657" s="51"/>
      <c r="I657" s="51"/>
      <c r="J657" s="51"/>
      <c r="K657" s="51"/>
      <c r="L657" s="51"/>
      <c r="M657" s="51"/>
      <c r="N657" s="51"/>
      <c r="O657" s="52"/>
      <c r="P657" s="51"/>
      <c r="Q657" s="42" t="s">
        <v>168</v>
      </c>
      <c r="R657" s="51"/>
      <c r="S657" s="13"/>
      <c r="T657" s="51"/>
      <c r="AD657" s="51"/>
    </row>
    <row r="658" spans="1:30" s="520" customFormat="1" ht="12" customHeight="1" thickBot="1">
      <c r="A658" s="927">
        <v>1</v>
      </c>
      <c r="B658" s="928">
        <f ca="1">Elec_Est!B11610</f>
        <v>22</v>
      </c>
      <c r="C658" s="929"/>
      <c r="D658" s="930" t="s">
        <v>3566</v>
      </c>
      <c r="E658" s="931"/>
      <c r="F658" s="931"/>
      <c r="G658" s="752"/>
      <c r="H658" s="752"/>
      <c r="I658" s="932"/>
      <c r="J658" s="752"/>
      <c r="K658" s="929" t="s">
        <v>169</v>
      </c>
      <c r="L658" s="933" t="s">
        <v>169</v>
      </c>
      <c r="M658" s="933"/>
      <c r="N658" s="933"/>
      <c r="O658" s="933"/>
      <c r="P658" s="933"/>
      <c r="Q658" s="934">
        <f ca="1">B658/A658</f>
        <v>22</v>
      </c>
      <c r="R658" s="935">
        <f ca="1">IF($B658=0,0,IF($S$1="R",ROUND(R665/$B658,2),R665/$B658))</f>
        <v>3.26</v>
      </c>
      <c r="S658" s="936"/>
      <c r="T658" s="935">
        <f ca="1">IF($B658=0,0,IF($S$1="R",ROUND(T665/$B658,2),T665/$B658))</f>
        <v>0.47</v>
      </c>
      <c r="AD658" s="931"/>
    </row>
    <row r="659" spans="1:30" s="520" customFormat="1" ht="13.8" thickTop="1">
      <c r="A659" s="748"/>
      <c r="B659" s="3"/>
      <c r="C659" s="3"/>
      <c r="D659" s="106" t="s">
        <v>170</v>
      </c>
      <c r="E659" s="3"/>
      <c r="F659" s="3"/>
      <c r="G659" s="3"/>
      <c r="H659" s="3"/>
      <c r="I659" s="3"/>
      <c r="J659" s="3"/>
      <c r="K659" s="3"/>
      <c r="L659" s="3"/>
      <c r="M659" s="3"/>
      <c r="N659" s="3"/>
      <c r="O659" s="107"/>
      <c r="P659" s="3"/>
      <c r="Q659" s="3"/>
      <c r="R659" s="3"/>
      <c r="S659" s="3"/>
      <c r="T659" s="3"/>
      <c r="AD659" s="3"/>
    </row>
    <row r="660" spans="1:30" s="901" customFormat="1">
      <c r="A660" s="1056">
        <f ca="1">$Q$658 *(1)</f>
        <v>22</v>
      </c>
      <c r="B660" s="901" t="s">
        <v>141</v>
      </c>
      <c r="D660" s="901" t="s">
        <v>3066</v>
      </c>
      <c r="E660" s="1054" t="s">
        <v>3097</v>
      </c>
      <c r="F660" s="1054" t="s">
        <v>3086</v>
      </c>
      <c r="G660" s="941" t="s">
        <v>3067</v>
      </c>
      <c r="H660" s="942">
        <v>835</v>
      </c>
      <c r="I660" s="901" t="s">
        <v>2607</v>
      </c>
      <c r="O660" s="943">
        <v>3</v>
      </c>
      <c r="P660" s="944"/>
      <c r="Q660" s="1063"/>
      <c r="R660" s="946">
        <f ca="1">$A660*Q660</f>
        <v>0</v>
      </c>
      <c r="S660" s="945">
        <v>0.5</v>
      </c>
      <c r="T660" s="947">
        <f ca="1">$A660*S660*$T$1</f>
        <v>9.9</v>
      </c>
      <c r="U660" s="901" t="s">
        <v>2764</v>
      </c>
      <c r="AD660" s="1054" t="s">
        <v>3086</v>
      </c>
    </row>
    <row r="661" spans="1:30" s="901" customFormat="1">
      <c r="A661" s="1057">
        <f ca="1">$Q$658 *(1)</f>
        <v>22</v>
      </c>
      <c r="B661" s="901" t="s">
        <v>320</v>
      </c>
      <c r="D661" s="901" t="s">
        <v>3098</v>
      </c>
      <c r="G661" s="941" t="s">
        <v>3099</v>
      </c>
      <c r="H661" s="942">
        <v>616</v>
      </c>
      <c r="I661" s="901" t="s">
        <v>2272</v>
      </c>
      <c r="J661" s="901" t="s">
        <v>3100</v>
      </c>
      <c r="K661" s="901" t="s">
        <v>3101</v>
      </c>
      <c r="O661" s="943">
        <v>2</v>
      </c>
      <c r="P661" s="944">
        <v>40767</v>
      </c>
      <c r="Q661" s="945">
        <v>1.1000000000000001</v>
      </c>
      <c r="R661" s="946">
        <f ca="1">$A661*Q661</f>
        <v>24.200000000000003</v>
      </c>
      <c r="S661" s="945">
        <v>2.5000000000000001E-2</v>
      </c>
      <c r="T661" s="947">
        <f ca="1">$A661*S661*$T$1</f>
        <v>0.49500000000000005</v>
      </c>
    </row>
    <row r="662" spans="1:30" s="901" customFormat="1">
      <c r="A662" s="1056">
        <f ca="1">$Q$658 *(2)</f>
        <v>44</v>
      </c>
      <c r="B662" s="901" t="s">
        <v>141</v>
      </c>
      <c r="D662" s="901" t="s">
        <v>3102</v>
      </c>
      <c r="G662" s="941" t="s">
        <v>3103</v>
      </c>
      <c r="H662" s="942">
        <v>875</v>
      </c>
      <c r="I662" s="901" t="s">
        <v>2607</v>
      </c>
      <c r="K662" s="901" t="s">
        <v>3104</v>
      </c>
      <c r="O662" s="943">
        <v>1</v>
      </c>
      <c r="P662" s="944">
        <v>34669</v>
      </c>
      <c r="Q662" s="945">
        <v>0.61</v>
      </c>
      <c r="R662" s="946">
        <f ca="1">$A662*Q662</f>
        <v>26.84</v>
      </c>
      <c r="S662" s="945"/>
      <c r="T662" s="947">
        <f ca="1">$A662*S662*$T$1</f>
        <v>0</v>
      </c>
    </row>
    <row r="663" spans="1:30" s="901" customFormat="1">
      <c r="A663" s="1056">
        <f ca="1">$Q$658 *(2)</f>
        <v>44</v>
      </c>
      <c r="B663" s="901" t="s">
        <v>141</v>
      </c>
      <c r="D663" s="901" t="s">
        <v>3105</v>
      </c>
      <c r="G663" s="941" t="s">
        <v>3106</v>
      </c>
      <c r="H663" s="942">
        <v>875</v>
      </c>
      <c r="I663" s="901" t="s">
        <v>2607</v>
      </c>
      <c r="K663" s="901" t="s">
        <v>3107</v>
      </c>
      <c r="O663" s="943">
        <v>1</v>
      </c>
      <c r="P663" s="944">
        <v>34669</v>
      </c>
      <c r="Q663" s="945">
        <v>0.47</v>
      </c>
      <c r="R663" s="946">
        <f ca="1">$A663*Q663</f>
        <v>20.68</v>
      </c>
      <c r="S663" s="945"/>
      <c r="T663" s="947">
        <f ca="1">$A663*S663*$T$1</f>
        <v>0</v>
      </c>
    </row>
    <row r="664" spans="1:30" s="520" customFormat="1">
      <c r="A664" s="758"/>
      <c r="B664" s="3"/>
      <c r="C664" s="758" t="s">
        <v>171</v>
      </c>
      <c r="D664" s="3"/>
      <c r="E664" s="758"/>
      <c r="F664" s="753"/>
      <c r="G664" s="758"/>
      <c r="H664" s="758"/>
      <c r="I664" s="519"/>
      <c r="J664" s="758"/>
      <c r="K664" s="758"/>
      <c r="L664" s="758"/>
      <c r="M664" s="758"/>
      <c r="N664" s="758"/>
      <c r="O664" s="758"/>
      <c r="P664" s="758"/>
      <c r="Q664" s="519"/>
      <c r="R664" s="917">
        <f t="shared" ref="R664" si="122">$A664*Q664</f>
        <v>0</v>
      </c>
      <c r="S664" s="519"/>
      <c r="T664" s="760">
        <f t="shared" ref="T664" si="123">$A664*S664*$T$1</f>
        <v>0</v>
      </c>
      <c r="AD664" s="753"/>
    </row>
    <row r="665" spans="1:30" s="520" customFormat="1" ht="12.6" thickBot="1">
      <c r="A665" s="761" t="s">
        <v>145</v>
      </c>
      <c r="B665" s="762">
        <f>(R664+T664)</f>
        <v>0</v>
      </c>
      <c r="C665" s="763"/>
      <c r="D665" s="937" t="s">
        <v>172</v>
      </c>
      <c r="E665" s="477">
        <f ca="1">IF($B658=0,0,ROUND(ROUND(($R665*$S$2+($T665*$T$2))/$B658, 2)*$C$2,2))</f>
        <v>19.989999999999998</v>
      </c>
      <c r="F665" s="478">
        <f ca="1">ROUND($B658*$E665,2)</f>
        <v>439.78</v>
      </c>
      <c r="G665" s="763"/>
      <c r="H665" s="763"/>
      <c r="I665" s="765"/>
      <c r="J665" s="763"/>
      <c r="K665" s="938" t="s">
        <v>143</v>
      </c>
      <c r="L665" s="766" t="s">
        <v>143</v>
      </c>
      <c r="M665" s="766"/>
      <c r="N665" s="766"/>
      <c r="O665" s="766"/>
      <c r="P665" s="766"/>
      <c r="Q665" s="938"/>
      <c r="R665" s="939">
        <f ca="1">SUM(R659:R664)</f>
        <v>71.72</v>
      </c>
      <c r="S665" s="940"/>
      <c r="T665" s="939">
        <f ca="1">SUM(T659:T664)</f>
        <v>10.395</v>
      </c>
      <c r="U665" s="531"/>
      <c r="V665" s="531"/>
      <c r="W665" s="531"/>
      <c r="X665" s="531"/>
      <c r="Y665" s="531"/>
      <c r="Z665" s="531"/>
      <c r="AA665" s="531"/>
      <c r="AB665" s="531"/>
      <c r="AD665" s="478">
        <v>453.4</v>
      </c>
    </row>
    <row r="666" spans="1:30" s="520" customFormat="1" ht="12" thickTop="1">
      <c r="A666" s="51"/>
      <c r="B666" s="51"/>
      <c r="C666" s="51"/>
      <c r="D666" s="51"/>
      <c r="E666" s="51"/>
      <c r="F666" s="51"/>
      <c r="G666" s="51"/>
      <c r="H666" s="51"/>
      <c r="I666" s="51"/>
      <c r="J666" s="51"/>
      <c r="K666" s="51"/>
      <c r="L666" s="51"/>
      <c r="M666" s="51"/>
      <c r="N666" s="51"/>
      <c r="O666" s="52"/>
      <c r="P666" s="51"/>
      <c r="Q666" s="42" t="s">
        <v>168</v>
      </c>
      <c r="R666" s="51"/>
      <c r="S666" s="13"/>
      <c r="T666" s="51"/>
      <c r="AD666" s="51"/>
    </row>
    <row r="667" spans="1:30" s="520" customFormat="1" ht="12" customHeight="1" thickBot="1">
      <c r="A667" s="927">
        <v>1</v>
      </c>
      <c r="B667" s="928">
        <f ca="1">Elec_Est!B11611</f>
        <v>20</v>
      </c>
      <c r="C667" s="929"/>
      <c r="D667" s="930" t="s">
        <v>3567</v>
      </c>
      <c r="E667" s="931"/>
      <c r="F667" s="931"/>
      <c r="G667" s="752"/>
      <c r="H667" s="752"/>
      <c r="I667" s="932"/>
      <c r="J667" s="752"/>
      <c r="K667" s="929" t="s">
        <v>169</v>
      </c>
      <c r="L667" s="933" t="s">
        <v>169</v>
      </c>
      <c r="M667" s="933"/>
      <c r="N667" s="933"/>
      <c r="O667" s="933"/>
      <c r="P667" s="933"/>
      <c r="Q667" s="934">
        <f ca="1">B667/A667</f>
        <v>20</v>
      </c>
      <c r="R667" s="935">
        <f ca="1">IF($B667=0,0,IF($S$1="R",ROUND(R674/$B667,2),R674/$B667))</f>
        <v>4.4800000000000004</v>
      </c>
      <c r="S667" s="936"/>
      <c r="T667" s="935">
        <f ca="1">IF($B667=0,0,IF($S$1="R",ROUND(T674/$B667,2),T674/$B667))</f>
        <v>0.47</v>
      </c>
      <c r="AD667" s="931"/>
    </row>
    <row r="668" spans="1:30" s="520" customFormat="1" ht="13.8" thickTop="1">
      <c r="A668" s="748"/>
      <c r="B668" s="3"/>
      <c r="C668" s="3"/>
      <c r="D668" s="106" t="s">
        <v>170</v>
      </c>
      <c r="E668" s="3"/>
      <c r="F668" s="3"/>
      <c r="G668" s="3"/>
      <c r="H668" s="3"/>
      <c r="I668" s="3"/>
      <c r="J668" s="3"/>
      <c r="K668" s="3"/>
      <c r="L668" s="3"/>
      <c r="M668" s="3"/>
      <c r="N668" s="3"/>
      <c r="O668" s="107"/>
      <c r="P668" s="3"/>
      <c r="Q668" s="3"/>
      <c r="R668" s="3"/>
      <c r="S668" s="3"/>
      <c r="T668" s="3"/>
      <c r="AD668" s="3"/>
    </row>
    <row r="669" spans="1:30" s="901" customFormat="1">
      <c r="A669" s="1056">
        <f ca="1">$Q$667 *(1)</f>
        <v>20</v>
      </c>
      <c r="B669" s="901" t="s">
        <v>141</v>
      </c>
      <c r="D669" s="901" t="s">
        <v>3066</v>
      </c>
      <c r="E669" s="1054" t="s">
        <v>3097</v>
      </c>
      <c r="F669" s="1054" t="s">
        <v>3092</v>
      </c>
      <c r="G669" s="941" t="s">
        <v>3067</v>
      </c>
      <c r="H669" s="942">
        <v>835</v>
      </c>
      <c r="I669" s="901" t="s">
        <v>2607</v>
      </c>
      <c r="O669" s="943">
        <v>3</v>
      </c>
      <c r="P669" s="944"/>
      <c r="Q669" s="1063"/>
      <c r="R669" s="946">
        <f ca="1">$A669*Q669</f>
        <v>0</v>
      </c>
      <c r="S669" s="945">
        <v>0.5</v>
      </c>
      <c r="T669" s="947">
        <f ca="1">$A669*S669*$T$1</f>
        <v>9</v>
      </c>
      <c r="U669" s="901" t="s">
        <v>2764</v>
      </c>
      <c r="AD669" s="1054" t="s">
        <v>3092</v>
      </c>
    </row>
    <row r="670" spans="1:30" s="901" customFormat="1">
      <c r="A670" s="1057">
        <f ca="1">$Q$667 *(1)</f>
        <v>20</v>
      </c>
      <c r="B670" s="901" t="s">
        <v>320</v>
      </c>
      <c r="D670" s="901" t="s">
        <v>3098</v>
      </c>
      <c r="G670" s="941" t="s">
        <v>3099</v>
      </c>
      <c r="H670" s="942">
        <v>616</v>
      </c>
      <c r="I670" s="901" t="s">
        <v>2272</v>
      </c>
      <c r="J670" s="901" t="s">
        <v>3100</v>
      </c>
      <c r="K670" s="901" t="s">
        <v>3101</v>
      </c>
      <c r="O670" s="943">
        <v>2</v>
      </c>
      <c r="P670" s="944">
        <v>40767</v>
      </c>
      <c r="Q670" s="945">
        <v>1.1000000000000001</v>
      </c>
      <c r="R670" s="946">
        <f ca="1">$A670*Q670</f>
        <v>22</v>
      </c>
      <c r="S670" s="945">
        <v>2.5000000000000001E-2</v>
      </c>
      <c r="T670" s="947">
        <f ca="1">$A670*S670*$T$1</f>
        <v>0.45</v>
      </c>
    </row>
    <row r="671" spans="1:30" s="901" customFormat="1">
      <c r="A671" s="1056">
        <f ca="1">$Q$667 *(4)</f>
        <v>80</v>
      </c>
      <c r="B671" s="901" t="s">
        <v>141</v>
      </c>
      <c r="D671" s="901" t="s">
        <v>3102</v>
      </c>
      <c r="G671" s="941" t="s">
        <v>3103</v>
      </c>
      <c r="H671" s="942">
        <v>875</v>
      </c>
      <c r="I671" s="901" t="s">
        <v>2607</v>
      </c>
      <c r="K671" s="901" t="s">
        <v>3104</v>
      </c>
      <c r="O671" s="943">
        <v>1</v>
      </c>
      <c r="P671" s="944">
        <v>34669</v>
      </c>
      <c r="Q671" s="945">
        <v>0.61</v>
      </c>
      <c r="R671" s="946">
        <f ca="1">$A671*Q671</f>
        <v>48.8</v>
      </c>
      <c r="S671" s="945"/>
      <c r="T671" s="947">
        <f ca="1">$A671*S671*$T$1</f>
        <v>0</v>
      </c>
    </row>
    <row r="672" spans="1:30" s="901" customFormat="1">
      <c r="A672" s="1056">
        <f ca="1">$Q$667 *(2)</f>
        <v>40</v>
      </c>
      <c r="B672" s="901" t="s">
        <v>141</v>
      </c>
      <c r="D672" s="901" t="s">
        <v>3105</v>
      </c>
      <c r="G672" s="941" t="s">
        <v>3106</v>
      </c>
      <c r="H672" s="942">
        <v>875</v>
      </c>
      <c r="I672" s="901" t="s">
        <v>2607</v>
      </c>
      <c r="K672" s="901" t="s">
        <v>3107</v>
      </c>
      <c r="O672" s="943">
        <v>1</v>
      </c>
      <c r="P672" s="944">
        <v>34669</v>
      </c>
      <c r="Q672" s="945">
        <v>0.47</v>
      </c>
      <c r="R672" s="946">
        <f ca="1">$A672*Q672</f>
        <v>18.799999999999997</v>
      </c>
      <c r="S672" s="945"/>
      <c r="T672" s="947">
        <f ca="1">$A672*S672*$T$1</f>
        <v>0</v>
      </c>
    </row>
    <row r="673" spans="1:256" s="520" customFormat="1">
      <c r="A673" s="758"/>
      <c r="B673" s="3"/>
      <c r="C673" s="758" t="s">
        <v>171</v>
      </c>
      <c r="D673" s="3"/>
      <c r="E673" s="758"/>
      <c r="F673" s="753"/>
      <c r="G673" s="758"/>
      <c r="H673" s="758"/>
      <c r="I673" s="519"/>
      <c r="J673" s="758"/>
      <c r="K673" s="758"/>
      <c r="L673" s="758"/>
      <c r="M673" s="758"/>
      <c r="N673" s="758"/>
      <c r="O673" s="758"/>
      <c r="P673" s="758"/>
      <c r="Q673" s="519"/>
      <c r="R673" s="917">
        <f t="shared" ref="R673" si="124">$A673*Q673</f>
        <v>0</v>
      </c>
      <c r="S673" s="519"/>
      <c r="T673" s="760">
        <f t="shared" ref="T673" si="125">$A673*S673*$T$1</f>
        <v>0</v>
      </c>
      <c r="AD673" s="753"/>
    </row>
    <row r="674" spans="1:256" s="520" customFormat="1" ht="12.6" thickBot="1">
      <c r="A674" s="761" t="s">
        <v>145</v>
      </c>
      <c r="B674" s="762">
        <f>(R673+T673)</f>
        <v>0</v>
      </c>
      <c r="C674" s="763"/>
      <c r="D674" s="937" t="s">
        <v>172</v>
      </c>
      <c r="E674" s="477">
        <f ca="1">IF($B667=0,0,ROUND(ROUND(($R674*$S$2+($T674*$T$2))/$B667, 2)*$C$2,2))</f>
        <v>21.49</v>
      </c>
      <c r="F674" s="478">
        <f ca="1">ROUND($B667*$E674,2)</f>
        <v>429.8</v>
      </c>
      <c r="G674" s="763"/>
      <c r="H674" s="763"/>
      <c r="I674" s="765"/>
      <c r="J674" s="763"/>
      <c r="K674" s="938" t="s">
        <v>143</v>
      </c>
      <c r="L674" s="766" t="s">
        <v>143</v>
      </c>
      <c r="M674" s="766"/>
      <c r="N674" s="766"/>
      <c r="O674" s="766"/>
      <c r="P674" s="766"/>
      <c r="Q674" s="938"/>
      <c r="R674" s="939">
        <f ca="1">SUM(R668:R673)</f>
        <v>89.6</v>
      </c>
      <c r="S674" s="940"/>
      <c r="T674" s="939">
        <f ca="1">SUM(T668:T673)</f>
        <v>9.4499999999999993</v>
      </c>
      <c r="U674" s="531"/>
      <c r="V674" s="531"/>
      <c r="W674" s="531"/>
      <c r="X674" s="531"/>
      <c r="Y674" s="531"/>
      <c r="Z674" s="531"/>
      <c r="AA674" s="531"/>
      <c r="AB674" s="531"/>
      <c r="AD674" s="478">
        <v>484.8</v>
      </c>
    </row>
    <row r="675" spans="1:256" s="520" customFormat="1" ht="12" thickTop="1">
      <c r="A675" s="51"/>
      <c r="B675" s="51"/>
      <c r="C675" s="51"/>
      <c r="D675" s="51"/>
      <c r="E675" s="51"/>
      <c r="F675" s="51"/>
      <c r="G675" s="51"/>
      <c r="H675" s="51"/>
      <c r="I675" s="51"/>
      <c r="J675" s="51"/>
      <c r="K675" s="51"/>
      <c r="L675" s="51"/>
      <c r="M675" s="51"/>
      <c r="N675" s="51"/>
      <c r="O675" s="52"/>
      <c r="P675" s="51"/>
      <c r="Q675" s="42" t="s">
        <v>168</v>
      </c>
      <c r="R675" s="51"/>
      <c r="S675" s="13"/>
      <c r="T675" s="51"/>
      <c r="AD675" s="51"/>
    </row>
    <row r="676" spans="1:256" s="520" customFormat="1" ht="12" customHeight="1" thickBot="1">
      <c r="A676" s="927">
        <v>1</v>
      </c>
      <c r="B676" s="928">
        <f ca="1">Elec_Est!B11612</f>
        <v>108</v>
      </c>
      <c r="C676" s="929"/>
      <c r="D676" s="930" t="s">
        <v>3568</v>
      </c>
      <c r="E676" s="931"/>
      <c r="F676" s="931"/>
      <c r="G676" s="752"/>
      <c r="H676" s="752"/>
      <c r="I676" s="932"/>
      <c r="J676" s="752"/>
      <c r="K676" s="929" t="s">
        <v>169</v>
      </c>
      <c r="L676" s="933" t="s">
        <v>169</v>
      </c>
      <c r="M676" s="933"/>
      <c r="N676" s="933"/>
      <c r="O676" s="933"/>
      <c r="P676" s="933"/>
      <c r="Q676" s="934">
        <f ca="1">B676/A676</f>
        <v>108</v>
      </c>
      <c r="R676" s="935">
        <f ca="1">IF($B676=0,0,IF($S$1="R",ROUND(R686/$B676,2),R686/$B676))</f>
        <v>13.01</v>
      </c>
      <c r="S676" s="936"/>
      <c r="T676" s="935">
        <f ca="1">IF($B676=0,0,IF($S$1="R",ROUND(T686/$B676,2),T686/$B676))</f>
        <v>0.54</v>
      </c>
      <c r="AD676" s="931"/>
    </row>
    <row r="677" spans="1:256" s="520" customFormat="1" ht="13.8" thickTop="1">
      <c r="A677" s="748"/>
      <c r="B677" s="3"/>
      <c r="C677" s="3"/>
      <c r="D677" s="106" t="s">
        <v>170</v>
      </c>
      <c r="E677" s="1090" t="s">
        <v>3317</v>
      </c>
      <c r="F677" s="3"/>
      <c r="G677" s="3"/>
      <c r="H677" s="3"/>
      <c r="I677" s="3"/>
      <c r="J677" s="3"/>
      <c r="K677" s="3"/>
      <c r="L677" s="3"/>
      <c r="M677" s="3"/>
      <c r="N677" s="3"/>
      <c r="O677" s="107"/>
      <c r="P677" s="3"/>
      <c r="Q677" s="3"/>
      <c r="R677" s="3"/>
      <c r="S677" s="3"/>
      <c r="T677" s="3"/>
      <c r="AD677" s="3"/>
    </row>
    <row r="678" spans="1:256" s="901" customFormat="1">
      <c r="A678" s="1056">
        <f ca="1">$Q$676 *(1)</f>
        <v>108</v>
      </c>
      <c r="B678" s="901" t="s">
        <v>141</v>
      </c>
      <c r="D678" s="901" t="s">
        <v>3066</v>
      </c>
      <c r="E678" s="1054" t="s">
        <v>3097</v>
      </c>
      <c r="F678" s="1054" t="s">
        <v>3093</v>
      </c>
      <c r="G678" s="941" t="s">
        <v>3067</v>
      </c>
      <c r="H678" s="942">
        <v>835</v>
      </c>
      <c r="I678" s="901" t="s">
        <v>2607</v>
      </c>
      <c r="O678" s="943">
        <v>3</v>
      </c>
      <c r="P678" s="944"/>
      <c r="Q678" s="1063"/>
      <c r="R678" s="946">
        <f ca="1">$A678*Q678</f>
        <v>0</v>
      </c>
      <c r="S678" s="945">
        <v>0.55000000000000004</v>
      </c>
      <c r="T678" s="947">
        <f ca="1">$A678*S678*$T$1</f>
        <v>53.460000000000008</v>
      </c>
      <c r="U678" s="901" t="s">
        <v>2764</v>
      </c>
      <c r="AD678" s="1054" t="s">
        <v>3093</v>
      </c>
    </row>
    <row r="679" spans="1:256" s="901" customFormat="1">
      <c r="A679" s="1057">
        <f ca="1">$Q$676 *(2)</f>
        <v>216</v>
      </c>
      <c r="B679" s="901" t="s">
        <v>320</v>
      </c>
      <c r="D679" s="901" t="s">
        <v>3098</v>
      </c>
      <c r="G679" s="941" t="s">
        <v>3099</v>
      </c>
      <c r="H679" s="942">
        <v>616</v>
      </c>
      <c r="I679" s="901" t="s">
        <v>2272</v>
      </c>
      <c r="J679" s="901" t="s">
        <v>3100</v>
      </c>
      <c r="K679" s="901" t="s">
        <v>3101</v>
      </c>
      <c r="O679" s="943">
        <v>2</v>
      </c>
      <c r="P679" s="944">
        <v>40767</v>
      </c>
      <c r="Q679" s="945">
        <v>1.1000000000000001</v>
      </c>
      <c r="R679" s="946">
        <f ca="1">$A679*Q679</f>
        <v>237.60000000000002</v>
      </c>
      <c r="S679" s="945">
        <v>2.5000000000000001E-2</v>
      </c>
      <c r="T679" s="947">
        <f ca="1">$A679*S679*$T$1</f>
        <v>4.8600000000000003</v>
      </c>
    </row>
    <row r="680" spans="1:256" s="901" customFormat="1">
      <c r="A680" s="1057">
        <f ca="1">$Q$676 *(2)</f>
        <v>216</v>
      </c>
      <c r="B680" s="901" t="s">
        <v>141</v>
      </c>
      <c r="D680" s="901" t="s">
        <v>3227</v>
      </c>
      <c r="G680" s="941" t="s">
        <v>3228</v>
      </c>
      <c r="H680" s="942">
        <v>501</v>
      </c>
      <c r="I680" s="901" t="s">
        <v>3121</v>
      </c>
      <c r="J680" s="901" t="s">
        <v>3158</v>
      </c>
      <c r="K680" s="901" t="s">
        <v>3229</v>
      </c>
      <c r="O680" s="943">
        <v>1</v>
      </c>
      <c r="P680" s="944">
        <v>36175</v>
      </c>
      <c r="Q680" s="945">
        <v>0.77</v>
      </c>
      <c r="R680" s="946">
        <f ca="1">$A680*Q680</f>
        <v>166.32</v>
      </c>
      <c r="S680" s="945"/>
      <c r="T680" s="947">
        <f ca="1">$A680*S680*$T$1</f>
        <v>0</v>
      </c>
    </row>
    <row r="681" spans="1:256" s="520" customFormat="1" ht="12" customHeight="1">
      <c r="A681" s="1057">
        <f ca="1">$Q$676 *(4)</f>
        <v>432</v>
      </c>
      <c r="B681" s="1073" t="s">
        <v>320</v>
      </c>
      <c r="C681" s="1073"/>
      <c r="D681" s="897" t="s">
        <v>3123</v>
      </c>
      <c r="E681" s="901" t="s">
        <v>3124</v>
      </c>
      <c r="F681" s="1078"/>
      <c r="G681" s="941" t="s">
        <v>3125</v>
      </c>
      <c r="H681" s="942">
        <v>501</v>
      </c>
      <c r="I681" s="1079"/>
      <c r="J681" s="1079"/>
      <c r="K681" s="897" t="s">
        <v>7</v>
      </c>
      <c r="L681" s="1073"/>
      <c r="M681" s="1073"/>
      <c r="N681" s="1073"/>
      <c r="O681" s="1076">
        <v>1</v>
      </c>
      <c r="P681" s="1077">
        <v>36175</v>
      </c>
      <c r="Q681" s="945">
        <f>ROUNDUP(0.96*1.145,2)</f>
        <v>1.1000000000000001</v>
      </c>
      <c r="R681" s="898">
        <f t="shared" ref="R681:R682" ca="1" si="126">$A681*Q681</f>
        <v>475.20000000000005</v>
      </c>
      <c r="S681" s="1073"/>
      <c r="T681" s="899">
        <f t="shared" ref="T681:T682" ca="1" si="127">$A681*S681*$T$1</f>
        <v>0</v>
      </c>
      <c r="U681"/>
      <c r="X681"/>
      <c r="Y681"/>
      <c r="Z681"/>
      <c r="AB681" s="892"/>
      <c r="AC681" s="892"/>
      <c r="AD681" s="1078"/>
      <c r="AE681" s="892"/>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H681"/>
      <c r="EI681"/>
      <c r="EJ681"/>
      <c r="EK681"/>
      <c r="EL681"/>
      <c r="EM681"/>
      <c r="EN681"/>
      <c r="EO681"/>
      <c r="EP681"/>
      <c r="EQ681"/>
      <c r="ER681"/>
      <c r="ES681"/>
      <c r="ET681"/>
      <c r="EU681"/>
      <c r="EV681"/>
      <c r="EW681"/>
      <c r="EX681"/>
      <c r="EY681"/>
      <c r="EZ681"/>
      <c r="FA681"/>
      <c r="FB681"/>
      <c r="FC681"/>
      <c r="FD681"/>
      <c r="FE681"/>
      <c r="FF681"/>
      <c r="FG681"/>
      <c r="FH681"/>
      <c r="FI681"/>
      <c r="FJ681"/>
      <c r="FK681"/>
      <c r="FL681"/>
      <c r="FM681"/>
      <c r="FN681"/>
      <c r="FO681"/>
      <c r="FP681"/>
      <c r="FQ681"/>
      <c r="FR681"/>
      <c r="FS681"/>
      <c r="FT681"/>
      <c r="FU681"/>
      <c r="FV681"/>
      <c r="FW681"/>
      <c r="FX681"/>
      <c r="FY681"/>
      <c r="FZ681"/>
      <c r="GA681"/>
      <c r="GB681"/>
      <c r="GC681"/>
      <c r="GD681"/>
      <c r="GE681"/>
      <c r="GF681"/>
      <c r="GG681"/>
      <c r="GH681"/>
      <c r="GI681"/>
      <c r="GJ681"/>
      <c r="GK681"/>
      <c r="GL681"/>
      <c r="GM681"/>
      <c r="GN681"/>
      <c r="GO681"/>
      <c r="GP681"/>
      <c r="GQ681"/>
      <c r="GR681"/>
      <c r="GS681"/>
      <c r="GT681"/>
      <c r="GU681"/>
      <c r="GV681"/>
      <c r="GW681"/>
      <c r="GX681"/>
      <c r="GY681"/>
      <c r="GZ681"/>
      <c r="HA681"/>
      <c r="HB681"/>
      <c r="HC681"/>
      <c r="HD681"/>
      <c r="HE681"/>
      <c r="HF681"/>
      <c r="HG681"/>
      <c r="HH681"/>
      <c r="HI681"/>
      <c r="HJ681"/>
      <c r="HK681"/>
      <c r="HL681"/>
      <c r="HM681"/>
      <c r="HN681"/>
      <c r="HO681"/>
      <c r="HP681"/>
      <c r="HQ681"/>
      <c r="HR681"/>
      <c r="HS681"/>
      <c r="HT681"/>
      <c r="HU681"/>
      <c r="HV681"/>
      <c r="HW681"/>
      <c r="HX681"/>
      <c r="HY681"/>
      <c r="HZ681"/>
      <c r="IA681"/>
      <c r="IB681"/>
      <c r="IC681"/>
      <c r="ID681"/>
      <c r="IE681"/>
      <c r="IF681"/>
      <c r="IG681"/>
      <c r="IH681"/>
      <c r="II681"/>
      <c r="IJ681"/>
      <c r="IK681"/>
      <c r="IL681"/>
      <c r="IM681"/>
      <c r="IN681"/>
      <c r="IO681"/>
      <c r="IP681"/>
      <c r="IQ681"/>
      <c r="IR681"/>
      <c r="IS681"/>
      <c r="IT681"/>
      <c r="IU681"/>
      <c r="IV681"/>
    </row>
    <row r="682" spans="1:256" s="901" customFormat="1">
      <c r="A682" s="1057">
        <f ca="1">$Q$676 *(4)</f>
        <v>432</v>
      </c>
      <c r="B682" s="1073" t="s">
        <v>141</v>
      </c>
      <c r="C682" s="1073"/>
      <c r="D682" s="897" t="s">
        <v>3133</v>
      </c>
      <c r="E682" s="1074"/>
      <c r="F682" s="1078"/>
      <c r="G682" s="941" t="s">
        <v>3134</v>
      </c>
      <c r="H682" s="942">
        <v>501</v>
      </c>
      <c r="I682" s="1079"/>
      <c r="J682" s="1079"/>
      <c r="K682" s="897" t="s">
        <v>7</v>
      </c>
      <c r="L682" s="1073"/>
      <c r="M682" s="1073"/>
      <c r="N682" s="1073"/>
      <c r="O682" s="1076">
        <v>1</v>
      </c>
      <c r="P682" s="1077"/>
      <c r="Q682" s="897">
        <v>0.15</v>
      </c>
      <c r="R682" s="898">
        <f t="shared" ca="1" si="126"/>
        <v>64.8</v>
      </c>
      <c r="S682" s="1073"/>
      <c r="T682" s="899">
        <f t="shared" ca="1" si="127"/>
        <v>0</v>
      </c>
      <c r="AD682" s="1078"/>
    </row>
    <row r="683" spans="1:256" s="901" customFormat="1">
      <c r="A683" s="1057">
        <f ca="1">$Q$676 *(1)</f>
        <v>108</v>
      </c>
      <c r="B683" s="1084" t="s">
        <v>863</v>
      </c>
      <c r="C683" s="1084"/>
      <c r="D683" s="1084" t="s">
        <v>2752</v>
      </c>
      <c r="E683" s="1084"/>
      <c r="F683" s="1084" t="s">
        <v>3326</v>
      </c>
      <c r="G683" s="1091" t="s">
        <v>2754</v>
      </c>
      <c r="H683" s="1092">
        <v>962</v>
      </c>
      <c r="I683" s="1084" t="s">
        <v>2596</v>
      </c>
      <c r="J683" s="1084"/>
      <c r="K683" s="1084"/>
      <c r="L683" s="1084"/>
      <c r="M683" s="1084"/>
      <c r="N683" s="1084"/>
      <c r="O683" s="1093">
        <v>2</v>
      </c>
      <c r="P683" s="1094">
        <v>38129</v>
      </c>
      <c r="Q683" s="945">
        <f>0.41 *(1 *(60/8*125/108))</f>
        <v>3.5590277777777777</v>
      </c>
      <c r="R683" s="1096">
        <f ca="1">$A683*Q683</f>
        <v>384.375</v>
      </c>
      <c r="S683" s="1095"/>
      <c r="T683" s="1097">
        <f ca="1">$A683*S683*$T$1</f>
        <v>0</v>
      </c>
      <c r="AD683" s="1084" t="s">
        <v>3326</v>
      </c>
    </row>
    <row r="684" spans="1:256" s="901" customFormat="1">
      <c r="A684" s="1057">
        <f ca="1">$Q$676 *(1)</f>
        <v>108</v>
      </c>
      <c r="B684" s="901" t="s">
        <v>2755</v>
      </c>
      <c r="D684" s="901" t="s">
        <v>3325</v>
      </c>
      <c r="F684" s="901" t="s">
        <v>3666</v>
      </c>
      <c r="G684" s="941" t="s">
        <v>3324</v>
      </c>
      <c r="H684" s="942">
        <v>845</v>
      </c>
      <c r="I684" s="901" t="s">
        <v>2607</v>
      </c>
      <c r="O684" s="943">
        <v>3</v>
      </c>
      <c r="P684" s="944">
        <v>39713</v>
      </c>
      <c r="Q684" s="945">
        <f>0.41 *(60/8*25/108)</f>
        <v>0.71180555555555558</v>
      </c>
      <c r="R684" s="946">
        <f ca="1">$A684*Q684</f>
        <v>76.875</v>
      </c>
      <c r="S684" s="945"/>
      <c r="T684" s="947">
        <f ca="1">$A684*S684*$T$1</f>
        <v>0</v>
      </c>
      <c r="AD684" s="901" t="s">
        <v>3666</v>
      </c>
    </row>
    <row r="685" spans="1:256" s="520" customFormat="1">
      <c r="A685" s="758"/>
      <c r="B685" s="3"/>
      <c r="C685" s="758" t="s">
        <v>171</v>
      </c>
      <c r="D685" s="3"/>
      <c r="E685" s="758"/>
      <c r="F685" s="753"/>
      <c r="G685" s="758"/>
      <c r="H685" s="758"/>
      <c r="I685" s="519"/>
      <c r="J685" s="758"/>
      <c r="K685" s="758"/>
      <c r="L685" s="758"/>
      <c r="M685" s="758"/>
      <c r="N685" s="758"/>
      <c r="O685" s="758"/>
      <c r="P685" s="758"/>
      <c r="Q685" s="519"/>
      <c r="R685" s="917">
        <f t="shared" ref="R685" si="128">$A685*Q685</f>
        <v>0</v>
      </c>
      <c r="S685" s="519"/>
      <c r="T685" s="760">
        <f t="shared" ref="T685" si="129">$A685*S685*$T$1</f>
        <v>0</v>
      </c>
      <c r="AD685" s="753"/>
    </row>
    <row r="686" spans="1:256" s="520" customFormat="1" ht="12.6" thickBot="1">
      <c r="A686" s="761" t="s">
        <v>145</v>
      </c>
      <c r="B686" s="762">
        <f>(R685+T685)</f>
        <v>0</v>
      </c>
      <c r="C686" s="763"/>
      <c r="D686" s="937" t="s">
        <v>172</v>
      </c>
      <c r="E686" s="477">
        <f ca="1">IF($B676=0,0,ROUND(ROUND(($R686*$S$2+($T686*$T$2))/$B676, 2)*$C$2,2))</f>
        <v>34.28</v>
      </c>
      <c r="F686" s="478">
        <f ca="1">ROUND($B676*$E686,2)</f>
        <v>3702.24</v>
      </c>
      <c r="G686" s="763"/>
      <c r="H686" s="763"/>
      <c r="I686" s="765"/>
      <c r="J686" s="763"/>
      <c r="K686" s="938" t="s">
        <v>143</v>
      </c>
      <c r="L686" s="766" t="s">
        <v>143</v>
      </c>
      <c r="M686" s="766"/>
      <c r="N686" s="766"/>
      <c r="O686" s="766"/>
      <c r="P686" s="766"/>
      <c r="Q686" s="938"/>
      <c r="R686" s="939">
        <f ca="1">SUM(R677:R685)</f>
        <v>1405.17</v>
      </c>
      <c r="S686" s="940"/>
      <c r="T686" s="939">
        <f ca="1">SUM(T677:T685)</f>
        <v>58.320000000000007</v>
      </c>
      <c r="U686" s="531"/>
      <c r="V686" s="531"/>
      <c r="W686" s="531"/>
      <c r="X686" s="531"/>
      <c r="Y686" s="531"/>
      <c r="Z686" s="531"/>
      <c r="AA686" s="531"/>
      <c r="AB686" s="531"/>
      <c r="AD686" s="478">
        <v>4935.6000000000004</v>
      </c>
    </row>
    <row r="687" spans="1:256" s="520" customFormat="1" ht="12" thickTop="1">
      <c r="A687" s="51"/>
      <c r="B687" s="51"/>
      <c r="C687" s="51"/>
      <c r="D687" s="51"/>
      <c r="E687" s="51"/>
      <c r="F687" s="51"/>
      <c r="G687" s="51"/>
      <c r="H687" s="51"/>
      <c r="I687" s="51"/>
      <c r="J687" s="51"/>
      <c r="K687" s="51"/>
      <c r="L687" s="51"/>
      <c r="M687" s="51"/>
      <c r="N687" s="51"/>
      <c r="O687" s="52"/>
      <c r="P687" s="51"/>
      <c r="Q687" s="42" t="s">
        <v>168</v>
      </c>
      <c r="R687" s="51"/>
      <c r="S687" s="13"/>
      <c r="T687" s="51"/>
      <c r="AD687" s="51"/>
    </row>
    <row r="688" spans="1:256" s="520" customFormat="1" ht="12" customHeight="1" thickBot="1">
      <c r="A688" s="927">
        <v>1</v>
      </c>
      <c r="B688" s="928">
        <f ca="1">Elec_Est!B11613</f>
        <v>97</v>
      </c>
      <c r="C688" s="929"/>
      <c r="D688" s="930" t="s">
        <v>3569</v>
      </c>
      <c r="E688" s="931"/>
      <c r="F688" s="931"/>
      <c r="G688" s="752"/>
      <c r="H688" s="752"/>
      <c r="I688" s="932"/>
      <c r="J688" s="752"/>
      <c r="K688" s="929" t="s">
        <v>169</v>
      </c>
      <c r="L688" s="933" t="s">
        <v>169</v>
      </c>
      <c r="M688" s="933"/>
      <c r="N688" s="933"/>
      <c r="O688" s="933"/>
      <c r="P688" s="933"/>
      <c r="Q688" s="934">
        <f ca="1">B688/A688</f>
        <v>97</v>
      </c>
      <c r="R688" s="935">
        <f ca="1">IF($B688=0,0,IF($S$1="R",ROUND(R695/$B688,2),R695/$B688))</f>
        <v>2.84</v>
      </c>
      <c r="S688" s="936"/>
      <c r="T688" s="935">
        <f ca="1">IF($B688=0,0,IF($S$1="R",ROUND(T695/$B688,2),T695/$B688))</f>
        <v>0.47</v>
      </c>
      <c r="AD688" s="931"/>
    </row>
    <row r="689" spans="1:30" s="520" customFormat="1" ht="13.8" thickTop="1">
      <c r="A689" s="748"/>
      <c r="B689" s="3"/>
      <c r="C689" s="3"/>
      <c r="D689" s="106" t="s">
        <v>170</v>
      </c>
      <c r="E689" s="3"/>
      <c r="F689" s="3"/>
      <c r="G689" s="3"/>
      <c r="H689" s="3"/>
      <c r="I689" s="3"/>
      <c r="J689" s="3"/>
      <c r="K689" s="3"/>
      <c r="L689" s="3"/>
      <c r="M689" s="3"/>
      <c r="N689" s="3"/>
      <c r="O689" s="107"/>
      <c r="P689" s="3"/>
      <c r="Q689" s="3"/>
      <c r="R689" s="3"/>
      <c r="S689" s="3"/>
      <c r="T689" s="3"/>
      <c r="AD689" s="3"/>
    </row>
    <row r="690" spans="1:30" s="901" customFormat="1">
      <c r="A690" s="1056">
        <f ca="1">$Q$688 *(1)</f>
        <v>97</v>
      </c>
      <c r="B690" s="901" t="s">
        <v>141</v>
      </c>
      <c r="D690" s="901" t="s">
        <v>3066</v>
      </c>
      <c r="E690" s="1054" t="s">
        <v>3097</v>
      </c>
      <c r="F690" s="1054" t="s">
        <v>3088</v>
      </c>
      <c r="G690" s="941" t="s">
        <v>3067</v>
      </c>
      <c r="H690" s="942">
        <v>835</v>
      </c>
      <c r="I690" s="901" t="s">
        <v>2607</v>
      </c>
      <c r="O690" s="943">
        <v>3</v>
      </c>
      <c r="P690" s="944"/>
      <c r="Q690" s="1063"/>
      <c r="R690" s="946">
        <f ca="1">$A690*Q690</f>
        <v>0</v>
      </c>
      <c r="S690" s="945">
        <v>0.5</v>
      </c>
      <c r="T690" s="947">
        <f ca="1">$A690*S690*$T$1</f>
        <v>43.65</v>
      </c>
      <c r="U690" s="901" t="s">
        <v>2764</v>
      </c>
      <c r="AD690" s="1054" t="s">
        <v>3088</v>
      </c>
    </row>
    <row r="691" spans="1:30" s="901" customFormat="1">
      <c r="A691" s="1057">
        <f ca="1">$Q$688 *(1)</f>
        <v>97</v>
      </c>
      <c r="B691" s="901" t="s">
        <v>320</v>
      </c>
      <c r="D691" s="901" t="s">
        <v>3098</v>
      </c>
      <c r="G691" s="941" t="s">
        <v>3099</v>
      </c>
      <c r="H691" s="942">
        <v>616</v>
      </c>
      <c r="I691" s="901" t="s">
        <v>2272</v>
      </c>
      <c r="J691" s="901" t="s">
        <v>3100</v>
      </c>
      <c r="K691" s="901" t="s">
        <v>3101</v>
      </c>
      <c r="O691" s="943">
        <v>2</v>
      </c>
      <c r="P691" s="944">
        <v>40767</v>
      </c>
      <c r="Q691" s="945">
        <v>1.1000000000000001</v>
      </c>
      <c r="R691" s="946">
        <f ca="1">$A691*Q691</f>
        <v>106.7</v>
      </c>
      <c r="S691" s="945">
        <v>2.5000000000000001E-2</v>
      </c>
      <c r="T691" s="947">
        <f ca="1">$A691*S691*$T$1</f>
        <v>2.1825000000000001</v>
      </c>
    </row>
    <row r="692" spans="1:30" s="901" customFormat="1">
      <c r="A692" s="1057">
        <f ca="1">$Q$688 *(2)</f>
        <v>194</v>
      </c>
      <c r="B692" s="901" t="s">
        <v>141</v>
      </c>
      <c r="D692" s="901" t="s">
        <v>3227</v>
      </c>
      <c r="G692" s="941" t="s">
        <v>3228</v>
      </c>
      <c r="H692" s="942">
        <v>501</v>
      </c>
      <c r="I692" s="901" t="s">
        <v>3121</v>
      </c>
      <c r="J692" s="901" t="s">
        <v>3158</v>
      </c>
      <c r="K692" s="901" t="s">
        <v>3229</v>
      </c>
      <c r="O692" s="943">
        <v>1</v>
      </c>
      <c r="P692" s="944">
        <v>36175</v>
      </c>
      <c r="Q692" s="945">
        <v>0.77</v>
      </c>
      <c r="R692" s="946">
        <f ca="1">$A692*Q692</f>
        <v>149.38</v>
      </c>
      <c r="S692" s="945"/>
      <c r="T692" s="947">
        <f ca="1">$A692*S692*$T$1</f>
        <v>0</v>
      </c>
    </row>
    <row r="693" spans="1:30" s="901" customFormat="1">
      <c r="A693" s="1057">
        <f ca="1">$Q$688 *(2)</f>
        <v>194</v>
      </c>
      <c r="B693" s="901" t="s">
        <v>141</v>
      </c>
      <c r="D693" s="901" t="s">
        <v>3230</v>
      </c>
      <c r="G693" s="941" t="s">
        <v>3231</v>
      </c>
      <c r="H693" s="942">
        <v>501</v>
      </c>
      <c r="I693" s="901" t="s">
        <v>2607</v>
      </c>
      <c r="K693" s="901" t="s">
        <v>3232</v>
      </c>
      <c r="O693" s="943">
        <v>1</v>
      </c>
      <c r="P693" s="944"/>
      <c r="Q693" s="945">
        <v>0.1</v>
      </c>
      <c r="R693" s="946">
        <f ca="1">$A693*Q693</f>
        <v>19.400000000000002</v>
      </c>
      <c r="S693" s="945"/>
      <c r="T693" s="947">
        <f ca="1">$A693*S693*$T$1</f>
        <v>0</v>
      </c>
    </row>
    <row r="694" spans="1:30" s="520" customFormat="1">
      <c r="A694" s="758"/>
      <c r="B694" s="3"/>
      <c r="C694" s="758" t="s">
        <v>171</v>
      </c>
      <c r="D694" s="3"/>
      <c r="E694" s="758"/>
      <c r="F694" s="753"/>
      <c r="G694" s="758"/>
      <c r="H694" s="758"/>
      <c r="I694" s="519"/>
      <c r="J694" s="758"/>
      <c r="K694" s="758"/>
      <c r="L694" s="758"/>
      <c r="M694" s="758"/>
      <c r="N694" s="758"/>
      <c r="O694" s="758"/>
      <c r="P694" s="758"/>
      <c r="Q694" s="519"/>
      <c r="R694" s="917">
        <f t="shared" ref="R694" si="130">$A694*Q694</f>
        <v>0</v>
      </c>
      <c r="S694" s="519"/>
      <c r="T694" s="760">
        <f t="shared" ref="T694" si="131">$A694*S694*$T$1</f>
        <v>0</v>
      </c>
      <c r="AD694" s="753"/>
    </row>
    <row r="695" spans="1:30" s="520" customFormat="1" ht="12.6" thickBot="1">
      <c r="A695" s="761" t="s">
        <v>145</v>
      </c>
      <c r="B695" s="762">
        <f>(R694+T694)</f>
        <v>0</v>
      </c>
      <c r="C695" s="763"/>
      <c r="D695" s="937" t="s">
        <v>172</v>
      </c>
      <c r="E695" s="477">
        <f ca="1">IF($B688=0,0,ROUND(ROUND(($R695*$S$2+($T695*$T$2))/$B688, 2)*$C$2,2))</f>
        <v>19.47</v>
      </c>
      <c r="F695" s="478">
        <f ca="1">ROUND($B688*$E695,2)</f>
        <v>1888.59</v>
      </c>
      <c r="G695" s="763"/>
      <c r="H695" s="763"/>
      <c r="I695" s="765"/>
      <c r="J695" s="763"/>
      <c r="K695" s="938" t="s">
        <v>143</v>
      </c>
      <c r="L695" s="766" t="s">
        <v>143</v>
      </c>
      <c r="M695" s="766"/>
      <c r="N695" s="766"/>
      <c r="O695" s="766"/>
      <c r="P695" s="766"/>
      <c r="Q695" s="938"/>
      <c r="R695" s="939">
        <f ca="1">SUM(R689:R694)</f>
        <v>275.47999999999996</v>
      </c>
      <c r="S695" s="940"/>
      <c r="T695" s="939">
        <f ca="1">SUM(T689:T694)</f>
        <v>45.832499999999996</v>
      </c>
      <c r="U695" s="531"/>
      <c r="V695" s="531"/>
      <c r="W695" s="531"/>
      <c r="X695" s="531"/>
      <c r="Y695" s="531"/>
      <c r="Z695" s="531"/>
      <c r="AA695" s="531"/>
      <c r="AB695" s="531"/>
      <c r="AD695" s="478">
        <v>2146.61</v>
      </c>
    </row>
    <row r="696" spans="1:30" s="520" customFormat="1" ht="12" thickTop="1">
      <c r="A696" s="51"/>
      <c r="B696" s="51"/>
      <c r="C696" s="51"/>
      <c r="D696" s="51"/>
      <c r="E696" s="51"/>
      <c r="F696" s="51"/>
      <c r="G696" s="51"/>
      <c r="H696" s="51"/>
      <c r="I696" s="51"/>
      <c r="J696" s="51"/>
      <c r="K696" s="51"/>
      <c r="L696" s="51"/>
      <c r="M696" s="51"/>
      <c r="N696" s="51"/>
      <c r="O696" s="52"/>
      <c r="P696" s="51"/>
      <c r="Q696" s="42" t="s">
        <v>168</v>
      </c>
      <c r="R696" s="51"/>
      <c r="S696" s="13"/>
      <c r="T696" s="51"/>
      <c r="AD696" s="51"/>
    </row>
    <row r="697" spans="1:30" s="520" customFormat="1" ht="12" customHeight="1" thickBot="1">
      <c r="A697" s="927">
        <v>1</v>
      </c>
      <c r="B697" s="928">
        <f ca="1">Elec_Est!B11614</f>
        <v>14</v>
      </c>
      <c r="C697" s="929"/>
      <c r="D697" s="930" t="s">
        <v>3570</v>
      </c>
      <c r="E697" s="931"/>
      <c r="F697" s="931"/>
      <c r="G697" s="752"/>
      <c r="H697" s="752"/>
      <c r="I697" s="932"/>
      <c r="J697" s="752"/>
      <c r="K697" s="929" t="s">
        <v>169</v>
      </c>
      <c r="L697" s="933" t="s">
        <v>169</v>
      </c>
      <c r="M697" s="933"/>
      <c r="N697" s="933"/>
      <c r="O697" s="933"/>
      <c r="P697" s="933"/>
      <c r="Q697" s="934">
        <f ca="1">B697/A697</f>
        <v>14</v>
      </c>
      <c r="R697" s="935">
        <f ca="1">IF($B697=0,0,IF($S$1="R",ROUND(R704/$B697,2),R704/$B697))</f>
        <v>3.26</v>
      </c>
      <c r="S697" s="936"/>
      <c r="T697" s="935">
        <f ca="1">IF($B697=0,0,IF($S$1="R",ROUND(T704/$B697,2),T704/$B697))</f>
        <v>0.47</v>
      </c>
      <c r="AD697" s="931"/>
    </row>
    <row r="698" spans="1:30" s="520" customFormat="1" ht="13.8" thickTop="1">
      <c r="A698" s="748"/>
      <c r="B698" s="3"/>
      <c r="C698" s="3"/>
      <c r="D698" s="106" t="s">
        <v>170</v>
      </c>
      <c r="E698" s="3"/>
      <c r="F698" s="3"/>
      <c r="G698" s="3"/>
      <c r="H698" s="3"/>
      <c r="I698" s="3"/>
      <c r="J698" s="3"/>
      <c r="K698" s="3"/>
      <c r="L698" s="3"/>
      <c r="M698" s="3"/>
      <c r="N698" s="3"/>
      <c r="O698" s="107"/>
      <c r="P698" s="3"/>
      <c r="Q698" s="3"/>
      <c r="R698" s="3"/>
      <c r="S698" s="3"/>
      <c r="T698" s="3"/>
      <c r="AD698" s="3"/>
    </row>
    <row r="699" spans="1:30" s="901" customFormat="1">
      <c r="A699" s="1056">
        <f ca="1">$Q$697 *(1)</f>
        <v>14</v>
      </c>
      <c r="B699" s="901" t="s">
        <v>141</v>
      </c>
      <c r="D699" s="901" t="s">
        <v>3066</v>
      </c>
      <c r="E699" s="1054" t="s">
        <v>3097</v>
      </c>
      <c r="F699" s="1054" t="s">
        <v>3089</v>
      </c>
      <c r="G699" s="941" t="s">
        <v>3067</v>
      </c>
      <c r="H699" s="942">
        <v>835</v>
      </c>
      <c r="I699" s="901" t="s">
        <v>2607</v>
      </c>
      <c r="O699" s="943">
        <v>3</v>
      </c>
      <c r="P699" s="944"/>
      <c r="Q699" s="1063"/>
      <c r="R699" s="946">
        <f ca="1">$A699*Q699</f>
        <v>0</v>
      </c>
      <c r="S699" s="945">
        <v>0.5</v>
      </c>
      <c r="T699" s="947">
        <f ca="1">$A699*S699*$T$1</f>
        <v>6.3</v>
      </c>
      <c r="U699" s="901" t="s">
        <v>2764</v>
      </c>
      <c r="AD699" s="1054" t="s">
        <v>3089</v>
      </c>
    </row>
    <row r="700" spans="1:30" s="901" customFormat="1">
      <c r="A700" s="1057">
        <f ca="1">$Q$697 *(1)</f>
        <v>14</v>
      </c>
      <c r="B700" s="901" t="s">
        <v>320</v>
      </c>
      <c r="D700" s="901" t="s">
        <v>3098</v>
      </c>
      <c r="G700" s="941" t="s">
        <v>3099</v>
      </c>
      <c r="H700" s="942">
        <v>616</v>
      </c>
      <c r="I700" s="901" t="s">
        <v>2272</v>
      </c>
      <c r="J700" s="901" t="s">
        <v>3100</v>
      </c>
      <c r="K700" s="901" t="s">
        <v>3101</v>
      </c>
      <c r="O700" s="943">
        <v>2</v>
      </c>
      <c r="P700" s="944">
        <v>40767</v>
      </c>
      <c r="Q700" s="945">
        <v>1.1000000000000001</v>
      </c>
      <c r="R700" s="946">
        <f ca="1">$A700*Q700</f>
        <v>15.400000000000002</v>
      </c>
      <c r="S700" s="945">
        <v>2.5000000000000001E-2</v>
      </c>
      <c r="T700" s="947">
        <f ca="1">$A700*S700*$T$1</f>
        <v>0.31500000000000006</v>
      </c>
    </row>
    <row r="701" spans="1:30" s="901" customFormat="1">
      <c r="A701" s="1056">
        <f ca="1">$Q$697 *(2)</f>
        <v>28</v>
      </c>
      <c r="B701" s="901" t="s">
        <v>141</v>
      </c>
      <c r="D701" s="901" t="s">
        <v>3102</v>
      </c>
      <c r="G701" s="941" t="s">
        <v>3103</v>
      </c>
      <c r="H701" s="942">
        <v>875</v>
      </c>
      <c r="I701" s="901" t="s">
        <v>2607</v>
      </c>
      <c r="K701" s="901" t="s">
        <v>3104</v>
      </c>
      <c r="O701" s="943">
        <v>1</v>
      </c>
      <c r="P701" s="944">
        <v>34669</v>
      </c>
      <c r="Q701" s="945">
        <v>0.61</v>
      </c>
      <c r="R701" s="946">
        <f ca="1">$A701*Q701</f>
        <v>17.079999999999998</v>
      </c>
      <c r="S701" s="945"/>
      <c r="T701" s="947">
        <f ca="1">$A701*S701*$T$1</f>
        <v>0</v>
      </c>
    </row>
    <row r="702" spans="1:30" s="901" customFormat="1">
      <c r="A702" s="1056">
        <f ca="1">$Q$697 *(2)</f>
        <v>28</v>
      </c>
      <c r="B702" s="901" t="s">
        <v>141</v>
      </c>
      <c r="D702" s="901" t="s">
        <v>3105</v>
      </c>
      <c r="G702" s="941" t="s">
        <v>3106</v>
      </c>
      <c r="H702" s="942">
        <v>875</v>
      </c>
      <c r="I702" s="901" t="s">
        <v>2607</v>
      </c>
      <c r="K702" s="901" t="s">
        <v>3107</v>
      </c>
      <c r="O702" s="943">
        <v>1</v>
      </c>
      <c r="P702" s="944">
        <v>34669</v>
      </c>
      <c r="Q702" s="945">
        <v>0.47</v>
      </c>
      <c r="R702" s="946">
        <f ca="1">$A702*Q702</f>
        <v>13.16</v>
      </c>
      <c r="S702" s="945"/>
      <c r="T702" s="947">
        <f ca="1">$A702*S702*$T$1</f>
        <v>0</v>
      </c>
    </row>
    <row r="703" spans="1:30" s="520" customFormat="1">
      <c r="A703" s="758"/>
      <c r="B703" s="3"/>
      <c r="C703" s="758" t="s">
        <v>171</v>
      </c>
      <c r="D703" s="3"/>
      <c r="E703" s="758"/>
      <c r="F703" s="753"/>
      <c r="G703" s="758"/>
      <c r="H703" s="758"/>
      <c r="I703" s="519"/>
      <c r="J703" s="758"/>
      <c r="K703" s="758"/>
      <c r="L703" s="758"/>
      <c r="M703" s="758"/>
      <c r="N703" s="758"/>
      <c r="O703" s="758"/>
      <c r="P703" s="758"/>
      <c r="Q703" s="519"/>
      <c r="R703" s="917">
        <f t="shared" ref="R703" si="132">$A703*Q703</f>
        <v>0</v>
      </c>
      <c r="S703" s="519"/>
      <c r="T703" s="760">
        <f t="shared" ref="T703" si="133">$A703*S703*$T$1</f>
        <v>0</v>
      </c>
      <c r="AD703" s="753"/>
    </row>
    <row r="704" spans="1:30" s="520" customFormat="1" ht="12.6" thickBot="1">
      <c r="A704" s="761" t="s">
        <v>145</v>
      </c>
      <c r="B704" s="762">
        <f>(R703+T703)</f>
        <v>0</v>
      </c>
      <c r="C704" s="763"/>
      <c r="D704" s="937" t="s">
        <v>172</v>
      </c>
      <c r="E704" s="477">
        <f ca="1">IF($B697=0,0,ROUND(ROUND(($R704*$S$2+($T704*$T$2))/$B697, 2)*$C$2,2))</f>
        <v>19.989999999999998</v>
      </c>
      <c r="F704" s="478">
        <f ca="1">ROUND($B697*$E704,2)</f>
        <v>279.86</v>
      </c>
      <c r="G704" s="763"/>
      <c r="H704" s="763"/>
      <c r="I704" s="765"/>
      <c r="J704" s="763"/>
      <c r="K704" s="938" t="s">
        <v>143</v>
      </c>
      <c r="L704" s="766" t="s">
        <v>143</v>
      </c>
      <c r="M704" s="766"/>
      <c r="N704" s="766"/>
      <c r="O704" s="766"/>
      <c r="P704" s="766"/>
      <c r="Q704" s="938"/>
      <c r="R704" s="939">
        <f ca="1">SUM(R698:R703)</f>
        <v>45.64</v>
      </c>
      <c r="S704" s="940"/>
      <c r="T704" s="939">
        <f ca="1">SUM(T698:T703)</f>
        <v>6.6150000000000002</v>
      </c>
      <c r="U704" s="531"/>
      <c r="V704" s="531"/>
      <c r="W704" s="531"/>
      <c r="X704" s="531"/>
      <c r="Y704" s="531"/>
      <c r="Z704" s="531"/>
      <c r="AA704" s="531"/>
      <c r="AB704" s="531"/>
      <c r="AD704" s="478">
        <v>317.38</v>
      </c>
    </row>
    <row r="705" spans="1:30" s="520" customFormat="1" ht="12" thickTop="1">
      <c r="A705" s="51"/>
      <c r="B705" s="51"/>
      <c r="C705" s="51"/>
      <c r="D705" s="51"/>
      <c r="E705" s="51"/>
      <c r="F705" s="51"/>
      <c r="G705" s="51"/>
      <c r="H705" s="51"/>
      <c r="I705" s="51"/>
      <c r="J705" s="51"/>
      <c r="K705" s="51"/>
      <c r="L705" s="51"/>
      <c r="M705" s="51"/>
      <c r="N705" s="51"/>
      <c r="O705" s="52"/>
      <c r="P705" s="51"/>
      <c r="Q705" s="42" t="s">
        <v>168</v>
      </c>
      <c r="R705" s="51"/>
      <c r="S705" s="13"/>
      <c r="T705" s="51"/>
      <c r="AD705" s="51"/>
    </row>
    <row r="706" spans="1:30" s="520" customFormat="1" ht="12" customHeight="1" thickBot="1">
      <c r="A706" s="927">
        <v>1</v>
      </c>
      <c r="B706" s="928">
        <f ca="1">Elec_Est!B11615</f>
        <v>31</v>
      </c>
      <c r="C706" s="929"/>
      <c r="D706" s="930" t="s">
        <v>3571</v>
      </c>
      <c r="E706" s="931"/>
      <c r="F706" s="931"/>
      <c r="G706" s="752"/>
      <c r="H706" s="752"/>
      <c r="I706" s="932"/>
      <c r="J706" s="752"/>
      <c r="K706" s="929" t="s">
        <v>169</v>
      </c>
      <c r="L706" s="933" t="s">
        <v>169</v>
      </c>
      <c r="M706" s="933"/>
      <c r="N706" s="933"/>
      <c r="O706" s="933"/>
      <c r="P706" s="933"/>
      <c r="Q706" s="934">
        <f ca="1">B706/A706</f>
        <v>31</v>
      </c>
      <c r="R706" s="935">
        <f ca="1">IF($B706=0,0,IF($S$1="R",ROUND(R713/$B706,2),R713/$B706))</f>
        <v>3.26</v>
      </c>
      <c r="S706" s="936"/>
      <c r="T706" s="935">
        <f ca="1">IF($B706=0,0,IF($S$1="R",ROUND(T713/$B706,2),T713/$B706))</f>
        <v>0.47</v>
      </c>
      <c r="AD706" s="931"/>
    </row>
    <row r="707" spans="1:30" s="520" customFormat="1" ht="13.8" thickTop="1">
      <c r="A707" s="748"/>
      <c r="B707" s="3"/>
      <c r="C707" s="3"/>
      <c r="D707" s="106" t="s">
        <v>170</v>
      </c>
      <c r="E707" s="3"/>
      <c r="F707" s="3"/>
      <c r="G707" s="3"/>
      <c r="H707" s="3"/>
      <c r="I707" s="3"/>
      <c r="J707" s="3"/>
      <c r="K707" s="3"/>
      <c r="L707" s="3"/>
      <c r="M707" s="3"/>
      <c r="N707" s="3"/>
      <c r="O707" s="107"/>
      <c r="P707" s="3"/>
      <c r="Q707" s="3"/>
      <c r="R707" s="3"/>
      <c r="S707" s="3"/>
      <c r="T707" s="3"/>
      <c r="AD707" s="3"/>
    </row>
    <row r="708" spans="1:30" s="901" customFormat="1">
      <c r="A708" s="1056">
        <f ca="1">$Q$706 *(1)</f>
        <v>31</v>
      </c>
      <c r="B708" s="901" t="s">
        <v>141</v>
      </c>
      <c r="D708" s="901" t="s">
        <v>3066</v>
      </c>
      <c r="E708" s="1054" t="s">
        <v>3097</v>
      </c>
      <c r="F708" s="1054" t="s">
        <v>3090</v>
      </c>
      <c r="G708" s="941" t="s">
        <v>3067</v>
      </c>
      <c r="H708" s="942">
        <v>835</v>
      </c>
      <c r="I708" s="901" t="s">
        <v>2607</v>
      </c>
      <c r="O708" s="943">
        <v>3</v>
      </c>
      <c r="P708" s="944"/>
      <c r="Q708" s="1063"/>
      <c r="R708" s="946">
        <f ca="1">$A708*Q708</f>
        <v>0</v>
      </c>
      <c r="S708" s="945">
        <v>0.5</v>
      </c>
      <c r="T708" s="947">
        <f ca="1">$A708*S708*$T$1</f>
        <v>13.950000000000001</v>
      </c>
      <c r="U708" s="901" t="s">
        <v>2764</v>
      </c>
      <c r="AD708" s="1054" t="s">
        <v>3090</v>
      </c>
    </row>
    <row r="709" spans="1:30" s="901" customFormat="1">
      <c r="A709" s="1057">
        <f ca="1">$Q$706 *(1)</f>
        <v>31</v>
      </c>
      <c r="B709" s="901" t="s">
        <v>320</v>
      </c>
      <c r="D709" s="901" t="s">
        <v>3098</v>
      </c>
      <c r="G709" s="941" t="s">
        <v>3099</v>
      </c>
      <c r="H709" s="942">
        <v>616</v>
      </c>
      <c r="I709" s="901" t="s">
        <v>2272</v>
      </c>
      <c r="J709" s="901" t="s">
        <v>3100</v>
      </c>
      <c r="K709" s="901" t="s">
        <v>3101</v>
      </c>
      <c r="O709" s="943">
        <v>2</v>
      </c>
      <c r="P709" s="944">
        <v>40767</v>
      </c>
      <c r="Q709" s="945">
        <v>1.1000000000000001</v>
      </c>
      <c r="R709" s="946">
        <f ca="1">$A709*Q709</f>
        <v>34.1</v>
      </c>
      <c r="S709" s="945">
        <v>2.5000000000000001E-2</v>
      </c>
      <c r="T709" s="947">
        <f ca="1">$A709*S709*$T$1</f>
        <v>0.69750000000000001</v>
      </c>
    </row>
    <row r="710" spans="1:30" s="901" customFormat="1">
      <c r="A710" s="1056">
        <f ca="1">$Q$706 *(2)</f>
        <v>62</v>
      </c>
      <c r="B710" s="901" t="s">
        <v>141</v>
      </c>
      <c r="D710" s="901" t="s">
        <v>3102</v>
      </c>
      <c r="G710" s="941" t="s">
        <v>3103</v>
      </c>
      <c r="H710" s="942">
        <v>875</v>
      </c>
      <c r="I710" s="901" t="s">
        <v>2607</v>
      </c>
      <c r="K710" s="901" t="s">
        <v>3104</v>
      </c>
      <c r="O710" s="943">
        <v>1</v>
      </c>
      <c r="P710" s="944">
        <v>34669</v>
      </c>
      <c r="Q710" s="945">
        <v>0.61</v>
      </c>
      <c r="R710" s="946">
        <f ca="1">$A710*Q710</f>
        <v>37.82</v>
      </c>
      <c r="S710" s="945"/>
      <c r="T710" s="947">
        <f ca="1">$A710*S710*$T$1</f>
        <v>0</v>
      </c>
    </row>
    <row r="711" spans="1:30" s="901" customFormat="1">
      <c r="A711" s="1056">
        <f ca="1">$Q$706 *(2)</f>
        <v>62</v>
      </c>
      <c r="B711" s="901" t="s">
        <v>141</v>
      </c>
      <c r="D711" s="901" t="s">
        <v>3105</v>
      </c>
      <c r="G711" s="941" t="s">
        <v>3106</v>
      </c>
      <c r="H711" s="942">
        <v>875</v>
      </c>
      <c r="I711" s="901" t="s">
        <v>2607</v>
      </c>
      <c r="K711" s="901" t="s">
        <v>3107</v>
      </c>
      <c r="O711" s="943">
        <v>1</v>
      </c>
      <c r="P711" s="944">
        <v>34669</v>
      </c>
      <c r="Q711" s="945">
        <v>0.47</v>
      </c>
      <c r="R711" s="946">
        <f ca="1">$A711*Q711</f>
        <v>29.139999999999997</v>
      </c>
      <c r="S711" s="945"/>
      <c r="T711" s="947">
        <f ca="1">$A711*S711*$T$1</f>
        <v>0</v>
      </c>
    </row>
    <row r="712" spans="1:30" s="520" customFormat="1">
      <c r="A712" s="758"/>
      <c r="B712" s="3"/>
      <c r="C712" s="758" t="s">
        <v>171</v>
      </c>
      <c r="D712" s="3"/>
      <c r="E712" s="758"/>
      <c r="F712" s="753"/>
      <c r="G712" s="758"/>
      <c r="H712" s="758"/>
      <c r="I712" s="519"/>
      <c r="J712" s="758"/>
      <c r="K712" s="758"/>
      <c r="L712" s="758"/>
      <c r="M712" s="758"/>
      <c r="N712" s="758"/>
      <c r="O712" s="758"/>
      <c r="P712" s="758"/>
      <c r="Q712" s="519"/>
      <c r="R712" s="917">
        <f t="shared" ref="R712" si="134">$A712*Q712</f>
        <v>0</v>
      </c>
      <c r="S712" s="519"/>
      <c r="T712" s="760">
        <f t="shared" ref="T712" si="135">$A712*S712*$T$1</f>
        <v>0</v>
      </c>
      <c r="AD712" s="753"/>
    </row>
    <row r="713" spans="1:30" s="520" customFormat="1" ht="12.6" thickBot="1">
      <c r="A713" s="761" t="s">
        <v>145</v>
      </c>
      <c r="B713" s="762">
        <f>(R712+T712)</f>
        <v>0</v>
      </c>
      <c r="C713" s="763"/>
      <c r="D713" s="937" t="s">
        <v>172</v>
      </c>
      <c r="E713" s="477">
        <f ca="1">IF($B706=0,0,ROUND(ROUND(($R713*$S$2+($T713*$T$2))/$B706, 2)*$C$2,2))</f>
        <v>19.989999999999998</v>
      </c>
      <c r="F713" s="478">
        <f ca="1">ROUND($B706*$E713,2)</f>
        <v>619.69000000000005</v>
      </c>
      <c r="G713" s="763"/>
      <c r="H713" s="763"/>
      <c r="I713" s="765"/>
      <c r="J713" s="763"/>
      <c r="K713" s="938" t="s">
        <v>143</v>
      </c>
      <c r="L713" s="766" t="s">
        <v>143</v>
      </c>
      <c r="M713" s="766"/>
      <c r="N713" s="766"/>
      <c r="O713" s="766"/>
      <c r="P713" s="766"/>
      <c r="Q713" s="938"/>
      <c r="R713" s="939">
        <f ca="1">SUM(R707:R712)</f>
        <v>101.06</v>
      </c>
      <c r="S713" s="940"/>
      <c r="T713" s="939">
        <f ca="1">SUM(T707:T712)</f>
        <v>14.647500000000001</v>
      </c>
      <c r="U713" s="531"/>
      <c r="V713" s="531"/>
      <c r="W713" s="531"/>
      <c r="X713" s="531"/>
      <c r="Y713" s="531"/>
      <c r="Z713" s="531"/>
      <c r="AA713" s="531"/>
      <c r="AB713" s="531"/>
      <c r="AD713" s="478">
        <v>725.44</v>
      </c>
    </row>
    <row r="714" spans="1:30" s="520" customFormat="1" ht="12" thickTop="1">
      <c r="A714" s="51"/>
      <c r="B714" s="51"/>
      <c r="C714" s="51"/>
      <c r="D714" s="51"/>
      <c r="E714" s="51"/>
      <c r="F714" s="51"/>
      <c r="G714" s="51"/>
      <c r="H714" s="51"/>
      <c r="I714" s="51"/>
      <c r="J714" s="51"/>
      <c r="K714" s="51"/>
      <c r="L714" s="51"/>
      <c r="M714" s="51"/>
      <c r="N714" s="51"/>
      <c r="O714" s="52"/>
      <c r="P714" s="51"/>
      <c r="Q714" s="42" t="s">
        <v>168</v>
      </c>
      <c r="R714" s="51"/>
      <c r="S714" s="13"/>
      <c r="T714" s="51"/>
      <c r="AD714" s="51"/>
    </row>
    <row r="715" spans="1:30" s="520" customFormat="1" ht="12" customHeight="1" thickBot="1">
      <c r="A715" s="927">
        <v>1</v>
      </c>
      <c r="B715" s="928">
        <f ca="1">Elec_Est!B11616</f>
        <v>43</v>
      </c>
      <c r="C715" s="929"/>
      <c r="D715" s="930" t="s">
        <v>3572</v>
      </c>
      <c r="E715" s="931"/>
      <c r="F715" s="931"/>
      <c r="G715" s="752"/>
      <c r="H715" s="752"/>
      <c r="I715" s="932"/>
      <c r="J715" s="752"/>
      <c r="K715" s="929" t="s">
        <v>169</v>
      </c>
      <c r="L715" s="933" t="s">
        <v>169</v>
      </c>
      <c r="M715" s="933"/>
      <c r="N715" s="933"/>
      <c r="O715" s="933"/>
      <c r="P715" s="933"/>
      <c r="Q715" s="934">
        <f ca="1">B715/A715</f>
        <v>43</v>
      </c>
      <c r="R715" s="935">
        <f ca="1">IF($B715=0,0,IF($S$1="R",ROUND(R721/$B715,2),R721/$B715))</f>
        <v>5.0999999999999996</v>
      </c>
      <c r="S715" s="936"/>
      <c r="T715" s="935">
        <f ca="1">IF($B715=0,0,IF($S$1="R",ROUND(T721/$B715,2),T721/$B715))</f>
        <v>0.47</v>
      </c>
      <c r="AD715" s="931"/>
    </row>
    <row r="716" spans="1:30" s="520" customFormat="1" ht="13.8" thickTop="1">
      <c r="A716" s="748"/>
      <c r="B716" s="3"/>
      <c r="C716" s="3"/>
      <c r="D716" s="106" t="s">
        <v>170</v>
      </c>
      <c r="E716" s="3"/>
      <c r="F716" s="3"/>
      <c r="G716" s="3"/>
      <c r="H716" s="3"/>
      <c r="I716" s="3"/>
      <c r="J716" s="3"/>
      <c r="K716" s="3"/>
      <c r="L716" s="3"/>
      <c r="M716" s="3"/>
      <c r="N716" s="3"/>
      <c r="O716" s="107"/>
      <c r="P716" s="3"/>
      <c r="Q716" s="3"/>
      <c r="R716" s="3"/>
      <c r="S716" s="3"/>
      <c r="T716" s="3"/>
      <c r="AD716" s="3"/>
    </row>
    <row r="717" spans="1:30" s="901" customFormat="1">
      <c r="A717" s="1056">
        <f ca="1">$Q$715 *(1)</f>
        <v>43</v>
      </c>
      <c r="B717" s="901" t="s">
        <v>141</v>
      </c>
      <c r="D717" s="901" t="s">
        <v>3066</v>
      </c>
      <c r="E717" s="1054" t="s">
        <v>3097</v>
      </c>
      <c r="F717" s="1054" t="s">
        <v>3094</v>
      </c>
      <c r="G717" s="941" t="s">
        <v>3067</v>
      </c>
      <c r="H717" s="942">
        <v>835</v>
      </c>
      <c r="I717" s="901" t="s">
        <v>2607</v>
      </c>
      <c r="O717" s="943">
        <v>3</v>
      </c>
      <c r="P717" s="944"/>
      <c r="Q717" s="1063"/>
      <c r="R717" s="946">
        <f ca="1">$A717*Q717</f>
        <v>0</v>
      </c>
      <c r="S717" s="945">
        <v>0.5</v>
      </c>
      <c r="T717" s="947">
        <f ca="1">$A717*S717*$T$1</f>
        <v>19.350000000000001</v>
      </c>
      <c r="U717" s="901" t="s">
        <v>2764</v>
      </c>
      <c r="AD717" s="1054" t="s">
        <v>3094</v>
      </c>
    </row>
    <row r="718" spans="1:30" s="901" customFormat="1">
      <c r="A718" s="1057">
        <f ca="1">$Q$715 *(1)</f>
        <v>43</v>
      </c>
      <c r="B718" s="901" t="s">
        <v>320</v>
      </c>
      <c r="D718" s="901" t="s">
        <v>3098</v>
      </c>
      <c r="G718" s="941" t="s">
        <v>3099</v>
      </c>
      <c r="H718" s="942">
        <v>616</v>
      </c>
      <c r="I718" s="901" t="s">
        <v>2272</v>
      </c>
      <c r="J718" s="901" t="s">
        <v>3100</v>
      </c>
      <c r="K718" s="901" t="s">
        <v>3101</v>
      </c>
      <c r="O718" s="943">
        <v>2</v>
      </c>
      <c r="P718" s="944">
        <v>40767</v>
      </c>
      <c r="Q718" s="945">
        <v>1.1000000000000001</v>
      </c>
      <c r="R718" s="946">
        <f ca="1">$A718*Q718</f>
        <v>47.300000000000004</v>
      </c>
      <c r="S718" s="945">
        <v>2.5000000000000001E-2</v>
      </c>
      <c r="T718" s="947">
        <f ca="1">$A718*S718*$T$1</f>
        <v>0.96750000000000003</v>
      </c>
    </row>
    <row r="719" spans="1:30" s="901" customFormat="1">
      <c r="A719" s="1056">
        <f ca="1">$Q$715 *(2)</f>
        <v>86</v>
      </c>
      <c r="B719" s="901" t="s">
        <v>141</v>
      </c>
      <c r="D719" s="901" t="s">
        <v>2785</v>
      </c>
      <c r="F719" s="901" t="s">
        <v>3241</v>
      </c>
      <c r="G719" s="941" t="s">
        <v>2786</v>
      </c>
      <c r="H719" s="942">
        <v>875</v>
      </c>
      <c r="I719" s="901" t="s">
        <v>2607</v>
      </c>
      <c r="K719" s="901" t="s">
        <v>2787</v>
      </c>
      <c r="O719" s="943">
        <v>1</v>
      </c>
      <c r="P719" s="944">
        <v>34669</v>
      </c>
      <c r="Q719" s="945">
        <v>2</v>
      </c>
      <c r="R719" s="946">
        <f ca="1">$A719*Q719</f>
        <v>172</v>
      </c>
      <c r="S719" s="945"/>
      <c r="T719" s="947">
        <f ca="1">$A719*S719*$T$1</f>
        <v>0</v>
      </c>
      <c r="AD719" s="901" t="s">
        <v>3241</v>
      </c>
    </row>
    <row r="720" spans="1:30" s="520" customFormat="1">
      <c r="A720" s="758"/>
      <c r="B720" s="3"/>
      <c r="C720" s="758" t="s">
        <v>171</v>
      </c>
      <c r="D720" s="3"/>
      <c r="E720" s="758"/>
      <c r="F720" s="753"/>
      <c r="G720" s="758"/>
      <c r="H720" s="758"/>
      <c r="I720" s="519"/>
      <c r="J720" s="758"/>
      <c r="K720" s="758"/>
      <c r="L720" s="758"/>
      <c r="M720" s="758"/>
      <c r="N720" s="758"/>
      <c r="O720" s="758"/>
      <c r="P720" s="758"/>
      <c r="Q720" s="519"/>
      <c r="R720" s="917">
        <f t="shared" ref="R720" si="136">$A720*Q720</f>
        <v>0</v>
      </c>
      <c r="S720" s="519"/>
      <c r="T720" s="760">
        <f t="shared" ref="T720" si="137">$A720*S720*$T$1</f>
        <v>0</v>
      </c>
      <c r="AD720" s="753"/>
    </row>
    <row r="721" spans="1:256" s="520" customFormat="1" ht="12.6" thickBot="1">
      <c r="A721" s="761" t="s">
        <v>145</v>
      </c>
      <c r="B721" s="762">
        <f>(R720+T720)</f>
        <v>0</v>
      </c>
      <c r="C721" s="763"/>
      <c r="D721" s="937" t="s">
        <v>172</v>
      </c>
      <c r="E721" s="477">
        <f ca="1">IF($B715=0,0,ROUND(ROUND(($R721*$S$2+($T721*$T$2))/$B715, 2)*$C$2,2))</f>
        <v>22.26</v>
      </c>
      <c r="F721" s="478">
        <f ca="1">ROUND($B715*$E721,2)</f>
        <v>957.18</v>
      </c>
      <c r="G721" s="763"/>
      <c r="H721" s="763"/>
      <c r="I721" s="765"/>
      <c r="J721" s="763"/>
      <c r="K721" s="938" t="s">
        <v>143</v>
      </c>
      <c r="L721" s="766" t="s">
        <v>143</v>
      </c>
      <c r="M721" s="766"/>
      <c r="N721" s="766"/>
      <c r="O721" s="766"/>
      <c r="P721" s="766"/>
      <c r="Q721" s="938"/>
      <c r="R721" s="939">
        <f ca="1">SUM(R716:R720)</f>
        <v>219.3</v>
      </c>
      <c r="S721" s="940"/>
      <c r="T721" s="939">
        <f ca="1">SUM(T716:T720)</f>
        <v>20.317500000000003</v>
      </c>
      <c r="U721" s="531"/>
      <c r="V721" s="531"/>
      <c r="W721" s="531"/>
      <c r="X721" s="531"/>
      <c r="Y721" s="531"/>
      <c r="Z721" s="531"/>
      <c r="AA721" s="531"/>
      <c r="AB721" s="531"/>
      <c r="AD721" s="478">
        <v>1076.29</v>
      </c>
    </row>
    <row r="722" spans="1:256" s="520" customFormat="1" ht="12" thickTop="1">
      <c r="A722" s="51"/>
      <c r="B722" s="51"/>
      <c r="C722" s="51"/>
      <c r="D722" s="51"/>
      <c r="E722" s="51"/>
      <c r="F722" s="51"/>
      <c r="G722" s="51"/>
      <c r="H722" s="51"/>
      <c r="I722" s="51"/>
      <c r="J722" s="51"/>
      <c r="K722" s="51"/>
      <c r="L722" s="51"/>
      <c r="M722" s="51"/>
      <c r="N722" s="51"/>
      <c r="O722" s="52"/>
      <c r="P722" s="51"/>
      <c r="Q722" s="42" t="s">
        <v>168</v>
      </c>
      <c r="R722" s="51"/>
      <c r="S722" s="13"/>
      <c r="T722" s="51"/>
      <c r="AD722" s="51"/>
    </row>
    <row r="723" spans="1:256" s="520" customFormat="1" ht="12" customHeight="1" thickBot="1">
      <c r="A723" s="927">
        <v>1</v>
      </c>
      <c r="B723" s="928">
        <f ca="1">Elec_Est!B11617</f>
        <v>35</v>
      </c>
      <c r="C723" s="929"/>
      <c r="D723" s="930" t="s">
        <v>3573</v>
      </c>
      <c r="E723" s="931"/>
      <c r="F723" s="931"/>
      <c r="G723" s="752"/>
      <c r="H723" s="752"/>
      <c r="I723" s="932"/>
      <c r="J723" s="752"/>
      <c r="K723" s="929" t="s">
        <v>169</v>
      </c>
      <c r="L723" s="933" t="s">
        <v>169</v>
      </c>
      <c r="M723" s="933"/>
      <c r="N723" s="933"/>
      <c r="O723" s="933"/>
      <c r="P723" s="933"/>
      <c r="Q723" s="934">
        <f ca="1">B723/A723</f>
        <v>35</v>
      </c>
      <c r="R723" s="935">
        <f ca="1">IF($B723=0,0,IF($S$1="R",ROUND(R733/$B723,2),R733/$B723))</f>
        <v>13.13</v>
      </c>
      <c r="S723" s="936"/>
      <c r="T723" s="935">
        <f ca="1">IF($B723=0,0,IF($S$1="R",ROUND(T733/$B723,2),T733/$B723))</f>
        <v>0.5</v>
      </c>
      <c r="AD723" s="931"/>
    </row>
    <row r="724" spans="1:256" s="520" customFormat="1" ht="13.8" thickTop="1">
      <c r="A724" s="748"/>
      <c r="B724" s="3"/>
      <c r="C724" s="3"/>
      <c r="D724" s="106" t="s">
        <v>170</v>
      </c>
      <c r="E724" s="1090" t="s">
        <v>3317</v>
      </c>
      <c r="F724" s="3"/>
      <c r="G724" s="3"/>
      <c r="H724" s="3"/>
      <c r="I724" s="3"/>
      <c r="J724" s="3"/>
      <c r="K724" s="3"/>
      <c r="L724" s="3"/>
      <c r="M724" s="3"/>
      <c r="N724" s="3"/>
      <c r="O724" s="107"/>
      <c r="P724" s="3"/>
      <c r="Q724" s="3"/>
      <c r="R724" s="3"/>
      <c r="S724" s="3"/>
      <c r="T724" s="3"/>
      <c r="AD724" s="3"/>
    </row>
    <row r="725" spans="1:256" s="901" customFormat="1">
      <c r="A725" s="1056">
        <f ca="1">$Q$723 *(1)</f>
        <v>35</v>
      </c>
      <c r="B725" s="901" t="s">
        <v>141</v>
      </c>
      <c r="D725" s="901" t="s">
        <v>3066</v>
      </c>
      <c r="E725" s="1054" t="s">
        <v>3097</v>
      </c>
      <c r="F725" s="1054" t="s">
        <v>3095</v>
      </c>
      <c r="G725" s="941" t="s">
        <v>3067</v>
      </c>
      <c r="H725" s="942">
        <v>835</v>
      </c>
      <c r="I725" s="901" t="s">
        <v>2607</v>
      </c>
      <c r="O725" s="943">
        <v>3</v>
      </c>
      <c r="P725" s="944"/>
      <c r="Q725" s="1063"/>
      <c r="R725" s="946">
        <f ca="1">$A725*Q725</f>
        <v>0</v>
      </c>
      <c r="S725" s="945">
        <v>0.5</v>
      </c>
      <c r="T725" s="947">
        <f ca="1">$A725*S725*$T$1</f>
        <v>15.75</v>
      </c>
      <c r="U725" s="901" t="s">
        <v>2764</v>
      </c>
      <c r="AD725" s="1054" t="s">
        <v>3095</v>
      </c>
    </row>
    <row r="726" spans="1:256" s="901" customFormat="1">
      <c r="A726" s="1057">
        <f ca="1">$Q$723 *(2)</f>
        <v>70</v>
      </c>
      <c r="B726" s="901" t="s">
        <v>320</v>
      </c>
      <c r="D726" s="901" t="s">
        <v>3098</v>
      </c>
      <c r="G726" s="941" t="s">
        <v>3099</v>
      </c>
      <c r="H726" s="942">
        <v>616</v>
      </c>
      <c r="I726" s="901" t="s">
        <v>2272</v>
      </c>
      <c r="J726" s="901" t="s">
        <v>3100</v>
      </c>
      <c r="K726" s="901" t="s">
        <v>3101</v>
      </c>
      <c r="O726" s="943">
        <v>2</v>
      </c>
      <c r="P726" s="944">
        <v>40767</v>
      </c>
      <c r="Q726" s="945">
        <v>1.1000000000000001</v>
      </c>
      <c r="R726" s="946">
        <f ca="1">$A726*Q726</f>
        <v>77</v>
      </c>
      <c r="S726" s="945">
        <v>2.5000000000000001E-2</v>
      </c>
      <c r="T726" s="947">
        <f ca="1">$A726*S726*$T$1</f>
        <v>1.575</v>
      </c>
    </row>
    <row r="727" spans="1:256" s="901" customFormat="1">
      <c r="A727" s="1057">
        <f ca="1">$Q$723 *(2)</f>
        <v>70</v>
      </c>
      <c r="B727" s="901" t="s">
        <v>141</v>
      </c>
      <c r="D727" s="901" t="s">
        <v>3227</v>
      </c>
      <c r="G727" s="941" t="s">
        <v>3228</v>
      </c>
      <c r="H727" s="942">
        <v>501</v>
      </c>
      <c r="I727" s="901" t="s">
        <v>3121</v>
      </c>
      <c r="J727" s="901" t="s">
        <v>3158</v>
      </c>
      <c r="K727" s="901" t="s">
        <v>3229</v>
      </c>
      <c r="O727" s="943">
        <v>1</v>
      </c>
      <c r="P727" s="944">
        <v>36175</v>
      </c>
      <c r="Q727" s="945">
        <v>0.77</v>
      </c>
      <c r="R727" s="946">
        <f ca="1">$A727*Q727</f>
        <v>53.9</v>
      </c>
      <c r="S727" s="945"/>
      <c r="T727" s="947">
        <f ca="1">$A727*S727*$T$1</f>
        <v>0</v>
      </c>
    </row>
    <row r="728" spans="1:256" s="520" customFormat="1" ht="12" customHeight="1">
      <c r="A728" s="1057">
        <f ca="1">$Q$723 *(4)</f>
        <v>140</v>
      </c>
      <c r="B728" s="1073" t="s">
        <v>320</v>
      </c>
      <c r="C728" s="1073"/>
      <c r="D728" s="897" t="s">
        <v>3123</v>
      </c>
      <c r="E728" s="901" t="s">
        <v>3124</v>
      </c>
      <c r="F728" s="1078"/>
      <c r="G728" s="941" t="s">
        <v>3125</v>
      </c>
      <c r="H728" s="942">
        <v>501</v>
      </c>
      <c r="I728" s="1079"/>
      <c r="J728" s="1079"/>
      <c r="K728" s="897" t="s">
        <v>7</v>
      </c>
      <c r="L728" s="1073"/>
      <c r="M728" s="1073"/>
      <c r="N728" s="1073"/>
      <c r="O728" s="1076">
        <v>1</v>
      </c>
      <c r="P728" s="1077">
        <v>36175</v>
      </c>
      <c r="Q728" s="945">
        <f>ROUNDUP(0.96*1.145,2)</f>
        <v>1.1000000000000001</v>
      </c>
      <c r="R728" s="898">
        <f t="shared" ref="R728:R729" ca="1" si="138">$A728*Q728</f>
        <v>154</v>
      </c>
      <c r="S728" s="1073"/>
      <c r="T728" s="899">
        <f t="shared" ref="T728:T729" ca="1" si="139">$A728*S728*$T$1</f>
        <v>0</v>
      </c>
      <c r="U728"/>
      <c r="X728"/>
      <c r="Y728"/>
      <c r="Z728"/>
      <c r="AB728" s="892"/>
      <c r="AC728" s="892"/>
      <c r="AD728" s="1078"/>
      <c r="AE728" s="892"/>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c r="CT728"/>
      <c r="CU728"/>
      <c r="CV728"/>
      <c r="CW728"/>
      <c r="CX728"/>
      <c r="CY728"/>
      <c r="CZ728"/>
      <c r="DA728"/>
      <c r="DB728"/>
      <c r="DC728"/>
      <c r="DD728"/>
      <c r="DE728"/>
      <c r="DF728"/>
      <c r="DG728"/>
      <c r="DH728"/>
      <c r="DI728"/>
      <c r="DJ728"/>
      <c r="DK728"/>
      <c r="DL728"/>
      <c r="DM728"/>
      <c r="DN728"/>
      <c r="DO728"/>
      <c r="DP728"/>
      <c r="DQ728"/>
      <c r="DR728"/>
      <c r="DS728"/>
      <c r="DT728"/>
      <c r="DU728"/>
      <c r="DV728"/>
      <c r="DW728"/>
      <c r="DX728"/>
      <c r="DY728"/>
      <c r="DZ728"/>
      <c r="EA728"/>
      <c r="EB728"/>
      <c r="EC728"/>
      <c r="ED728"/>
      <c r="EE728"/>
      <c r="EF728"/>
      <c r="EG728"/>
      <c r="EH728"/>
      <c r="EI728"/>
      <c r="EJ728"/>
      <c r="EK728"/>
      <c r="EL728"/>
      <c r="EM728"/>
      <c r="EN728"/>
      <c r="EO728"/>
      <c r="EP728"/>
      <c r="EQ728"/>
      <c r="ER728"/>
      <c r="ES728"/>
      <c r="ET728"/>
      <c r="EU728"/>
      <c r="EV728"/>
      <c r="EW728"/>
      <c r="EX728"/>
      <c r="EY728"/>
      <c r="EZ728"/>
      <c r="FA728"/>
      <c r="FB728"/>
      <c r="FC728"/>
      <c r="FD728"/>
      <c r="FE728"/>
      <c r="FF728"/>
      <c r="FG728"/>
      <c r="FH728"/>
      <c r="FI728"/>
      <c r="FJ728"/>
      <c r="FK728"/>
      <c r="FL728"/>
      <c r="FM728"/>
      <c r="FN728"/>
      <c r="FO728"/>
      <c r="FP728"/>
      <c r="FQ728"/>
      <c r="FR728"/>
      <c r="FS728"/>
      <c r="FT728"/>
      <c r="FU728"/>
      <c r="FV728"/>
      <c r="FW728"/>
      <c r="FX728"/>
      <c r="FY728"/>
      <c r="FZ728"/>
      <c r="GA728"/>
      <c r="GB728"/>
      <c r="GC728"/>
      <c r="GD728"/>
      <c r="GE728"/>
      <c r="GF728"/>
      <c r="GG728"/>
      <c r="GH728"/>
      <c r="GI728"/>
      <c r="GJ728"/>
      <c r="GK728"/>
      <c r="GL728"/>
      <c r="GM728"/>
      <c r="GN728"/>
      <c r="GO728"/>
      <c r="GP728"/>
      <c r="GQ728"/>
      <c r="GR728"/>
      <c r="GS728"/>
      <c r="GT728"/>
      <c r="GU728"/>
      <c r="GV728"/>
      <c r="GW728"/>
      <c r="GX728"/>
      <c r="GY728"/>
      <c r="GZ728"/>
      <c r="HA728"/>
      <c r="HB728"/>
      <c r="HC728"/>
      <c r="HD728"/>
      <c r="HE728"/>
      <c r="HF728"/>
      <c r="HG728"/>
      <c r="HH728"/>
      <c r="HI728"/>
      <c r="HJ728"/>
      <c r="HK728"/>
      <c r="HL728"/>
      <c r="HM728"/>
      <c r="HN728"/>
      <c r="HO728"/>
      <c r="HP728"/>
      <c r="HQ728"/>
      <c r="HR728"/>
      <c r="HS728"/>
      <c r="HT728"/>
      <c r="HU728"/>
      <c r="HV728"/>
      <c r="HW728"/>
      <c r="HX728"/>
      <c r="HY728"/>
      <c r="HZ728"/>
      <c r="IA728"/>
      <c r="IB728"/>
      <c r="IC728"/>
      <c r="ID728"/>
      <c r="IE728"/>
      <c r="IF728"/>
      <c r="IG728"/>
      <c r="IH728"/>
      <c r="II728"/>
      <c r="IJ728"/>
      <c r="IK728"/>
      <c r="IL728"/>
      <c r="IM728"/>
      <c r="IN728"/>
      <c r="IO728"/>
      <c r="IP728"/>
      <c r="IQ728"/>
      <c r="IR728"/>
      <c r="IS728"/>
      <c r="IT728"/>
      <c r="IU728"/>
      <c r="IV728"/>
    </row>
    <row r="729" spans="1:256" s="901" customFormat="1">
      <c r="A729" s="1057">
        <f ca="1">$Q$723 *(4)</f>
        <v>140</v>
      </c>
      <c r="B729" s="1073" t="s">
        <v>141</v>
      </c>
      <c r="C729" s="1073"/>
      <c r="D729" s="897" t="s">
        <v>3133</v>
      </c>
      <c r="E729" s="1074"/>
      <c r="F729" s="1078"/>
      <c r="G729" s="941" t="s">
        <v>3134</v>
      </c>
      <c r="H729" s="942">
        <v>501</v>
      </c>
      <c r="I729" s="1079"/>
      <c r="J729" s="1079"/>
      <c r="K729" s="897" t="s">
        <v>7</v>
      </c>
      <c r="L729" s="1073"/>
      <c r="M729" s="1073"/>
      <c r="N729" s="1073"/>
      <c r="O729" s="1076">
        <v>1</v>
      </c>
      <c r="P729" s="1077"/>
      <c r="Q729" s="897">
        <v>0.15</v>
      </c>
      <c r="R729" s="898">
        <f t="shared" ca="1" si="138"/>
        <v>21</v>
      </c>
      <c r="S729" s="1073"/>
      <c r="T729" s="899">
        <f t="shared" ca="1" si="139"/>
        <v>0</v>
      </c>
      <c r="AD729" s="1078"/>
    </row>
    <row r="730" spans="1:256" s="901" customFormat="1">
      <c r="A730" s="1057">
        <f ca="1">$Q$723 *(1)</f>
        <v>35</v>
      </c>
      <c r="B730" s="1084" t="s">
        <v>863</v>
      </c>
      <c r="C730" s="1084"/>
      <c r="D730" s="1084" t="s">
        <v>2752</v>
      </c>
      <c r="E730" s="1084"/>
      <c r="F730" s="1084" t="s">
        <v>3326</v>
      </c>
      <c r="G730" s="1091" t="s">
        <v>2754</v>
      </c>
      <c r="H730" s="1092">
        <v>962</v>
      </c>
      <c r="I730" s="1084" t="s">
        <v>2596</v>
      </c>
      <c r="J730" s="1084"/>
      <c r="K730" s="1084"/>
      <c r="L730" s="1084"/>
      <c r="M730" s="1084"/>
      <c r="N730" s="1084"/>
      <c r="O730" s="1093">
        <v>2</v>
      </c>
      <c r="P730" s="1094">
        <v>38129</v>
      </c>
      <c r="Q730" s="945">
        <f>0.41 *(1 *(20/8*125/35))</f>
        <v>3.6607142857142856</v>
      </c>
      <c r="R730" s="1096">
        <f ca="1">$A730*Q730</f>
        <v>128.125</v>
      </c>
      <c r="S730" s="1095"/>
      <c r="T730" s="1097">
        <f ca="1">$A730*S730*$T$1</f>
        <v>0</v>
      </c>
      <c r="AD730" s="1084" t="s">
        <v>3326</v>
      </c>
    </row>
    <row r="731" spans="1:256" s="901" customFormat="1">
      <c r="A731" s="1057">
        <f ca="1">$Q$723 *(1)</f>
        <v>35</v>
      </c>
      <c r="B731" s="901" t="s">
        <v>2755</v>
      </c>
      <c r="D731" s="901" t="s">
        <v>3325</v>
      </c>
      <c r="F731" s="901" t="s">
        <v>3666</v>
      </c>
      <c r="G731" s="941" t="s">
        <v>3324</v>
      </c>
      <c r="H731" s="942">
        <v>845</v>
      </c>
      <c r="I731" s="901" t="s">
        <v>2607</v>
      </c>
      <c r="O731" s="943">
        <v>3</v>
      </c>
      <c r="P731" s="944">
        <v>39713</v>
      </c>
      <c r="Q731" s="945">
        <f>0.41 *(20/8*25/35)</f>
        <v>0.7321428571428571</v>
      </c>
      <c r="R731" s="946">
        <f ca="1">$A731*Q731</f>
        <v>25.625</v>
      </c>
      <c r="S731" s="945"/>
      <c r="T731" s="947">
        <f ca="1">$A731*S731*$T$1</f>
        <v>0</v>
      </c>
      <c r="AD731" s="901" t="s">
        <v>3666</v>
      </c>
    </row>
    <row r="732" spans="1:256" s="520" customFormat="1">
      <c r="A732" s="758"/>
      <c r="B732" s="3"/>
      <c r="C732" s="758" t="s">
        <v>171</v>
      </c>
      <c r="D732" s="3"/>
      <c r="E732" s="758"/>
      <c r="F732" s="753"/>
      <c r="G732" s="758"/>
      <c r="H732" s="758"/>
      <c r="I732" s="519"/>
      <c r="J732" s="758"/>
      <c r="K732" s="758"/>
      <c r="L732" s="758"/>
      <c r="M732" s="758"/>
      <c r="N732" s="758"/>
      <c r="O732" s="758"/>
      <c r="P732" s="758"/>
      <c r="Q732" s="519"/>
      <c r="R732" s="917">
        <f t="shared" ref="R732" si="140">$A732*Q732</f>
        <v>0</v>
      </c>
      <c r="S732" s="519"/>
      <c r="T732" s="760">
        <f t="shared" ref="T732" si="141">$A732*S732*$T$1</f>
        <v>0</v>
      </c>
      <c r="AD732" s="753"/>
    </row>
    <row r="733" spans="1:256" s="520" customFormat="1" ht="12.6" thickBot="1">
      <c r="A733" s="761" t="s">
        <v>145</v>
      </c>
      <c r="B733" s="762">
        <f>(R732+T732)</f>
        <v>0</v>
      </c>
      <c r="C733" s="763"/>
      <c r="D733" s="937" t="s">
        <v>172</v>
      </c>
      <c r="E733" s="477">
        <f ca="1">IF($B723=0,0,ROUND(ROUND(($R733*$S$2+($T733*$T$2))/$B723, 2)*$C$2,2))</f>
        <v>32.909999999999997</v>
      </c>
      <c r="F733" s="478">
        <f ca="1">ROUND($B723*$E733,2)</f>
        <v>1151.8499999999999</v>
      </c>
      <c r="G733" s="763"/>
      <c r="H733" s="763"/>
      <c r="I733" s="765"/>
      <c r="J733" s="763"/>
      <c r="K733" s="938" t="s">
        <v>143</v>
      </c>
      <c r="L733" s="766" t="s">
        <v>143</v>
      </c>
      <c r="M733" s="766"/>
      <c r="N733" s="766"/>
      <c r="O733" s="766"/>
      <c r="P733" s="766"/>
      <c r="Q733" s="938"/>
      <c r="R733" s="939">
        <f ca="1">SUM(R724:R732)</f>
        <v>459.65</v>
      </c>
      <c r="S733" s="940"/>
      <c r="T733" s="939">
        <f ca="1">SUM(T724:T732)</f>
        <v>17.324999999999999</v>
      </c>
      <c r="U733" s="531"/>
      <c r="V733" s="531"/>
      <c r="W733" s="531"/>
      <c r="X733" s="531"/>
      <c r="Y733" s="531"/>
      <c r="Z733" s="531"/>
      <c r="AA733" s="531"/>
      <c r="AB733" s="531"/>
      <c r="AD733" s="478">
        <v>1551.2</v>
      </c>
    </row>
    <row r="734" spans="1:256" s="520" customFormat="1" ht="13.8" thickTop="1">
      <c r="A734" s="51"/>
      <c r="B734" s="51"/>
      <c r="C734" s="3"/>
      <c r="D734" s="3"/>
      <c r="E734" s="51"/>
      <c r="F734" s="51"/>
      <c r="G734" s="51"/>
      <c r="H734" s="51"/>
      <c r="I734" s="51"/>
      <c r="J734" s="51"/>
      <c r="K734" s="51" t="s">
        <v>134</v>
      </c>
      <c r="L734" s="51"/>
      <c r="M734" s="51"/>
      <c r="N734" s="51"/>
      <c r="O734" s="52"/>
      <c r="P734" s="51"/>
      <c r="Q734" s="51"/>
      <c r="R734" s="51"/>
      <c r="S734" s="51"/>
      <c r="T734" s="51"/>
      <c r="AD734" s="51"/>
    </row>
    <row r="735" spans="1:256" s="520" customFormat="1" ht="12">
      <c r="A735" s="51"/>
      <c r="B735" s="51"/>
      <c r="C735" s="51" t="s">
        <v>135</v>
      </c>
      <c r="D735" s="37" t="s">
        <v>136</v>
      </c>
      <c r="E735" s="51"/>
      <c r="F735" s="51"/>
      <c r="G735" s="51"/>
      <c r="H735" s="51"/>
      <c r="I735" s="51"/>
      <c r="J735" s="51"/>
      <c r="K735" s="51"/>
      <c r="L735" s="51"/>
      <c r="M735" s="51"/>
      <c r="N735" s="51"/>
      <c r="O735" s="52"/>
      <c r="P735" s="51"/>
      <c r="Q735" s="51"/>
      <c r="R735" s="51"/>
      <c r="S735" s="51"/>
      <c r="T735" s="51"/>
      <c r="AD735" s="51"/>
    </row>
    <row r="736" spans="1:256" s="520" customFormat="1" ht="12">
      <c r="A736" s="51"/>
      <c r="B736" s="51"/>
      <c r="C736" s="51"/>
      <c r="D736" s="37" t="s">
        <v>3117</v>
      </c>
      <c r="E736" s="51"/>
      <c r="F736" s="51"/>
      <c r="G736" s="51"/>
      <c r="H736" s="51"/>
      <c r="I736" s="51"/>
      <c r="J736" s="51"/>
      <c r="K736" s="51"/>
      <c r="L736" s="51"/>
      <c r="M736" s="51"/>
      <c r="N736" s="51"/>
      <c r="O736" s="52"/>
      <c r="P736" s="51"/>
      <c r="Q736" s="51"/>
      <c r="R736" s="51"/>
      <c r="S736" s="38"/>
      <c r="T736" s="38"/>
      <c r="AD736" s="51"/>
    </row>
    <row r="737" spans="1:30" s="3" customFormat="1" ht="13.8" thickBot="1">
      <c r="A737" s="531"/>
      <c r="O737" s="107"/>
    </row>
    <row r="738" spans="1:30" s="520" customFormat="1" ht="12" thickTop="1">
      <c r="A738" s="51"/>
      <c r="B738" s="51"/>
      <c r="C738" s="51"/>
      <c r="D738" s="51"/>
      <c r="E738" s="51"/>
      <c r="F738" s="51"/>
      <c r="G738" s="51"/>
      <c r="H738" s="51"/>
      <c r="I738" s="51"/>
      <c r="J738" s="51"/>
      <c r="K738" s="51"/>
      <c r="L738" s="51"/>
      <c r="M738" s="51"/>
      <c r="N738" s="51"/>
      <c r="O738" s="52"/>
      <c r="P738" s="51"/>
      <c r="Q738" s="42" t="s">
        <v>168</v>
      </c>
      <c r="R738" s="51"/>
      <c r="S738" s="13"/>
      <c r="T738" s="51"/>
      <c r="AD738" s="51"/>
    </row>
    <row r="739" spans="1:30" s="520" customFormat="1" ht="12.6" thickBot="1">
      <c r="A739" s="927">
        <v>515</v>
      </c>
      <c r="B739" s="928">
        <f ca="1">Elec_Est!B11618</f>
        <v>435</v>
      </c>
      <c r="C739" s="929"/>
      <c r="D739" s="930" t="s">
        <v>3574</v>
      </c>
      <c r="E739" s="931"/>
      <c r="F739" s="931"/>
      <c r="G739" s="752"/>
      <c r="H739" s="752"/>
      <c r="I739" s="932"/>
      <c r="J739" s="752"/>
      <c r="K739" s="929" t="s">
        <v>169</v>
      </c>
      <c r="L739" s="933" t="s">
        <v>169</v>
      </c>
      <c r="M739" s="933"/>
      <c r="N739" s="933"/>
      <c r="O739" s="933"/>
      <c r="P739" s="933"/>
      <c r="Q739" s="934">
        <f ca="1">B739/A739</f>
        <v>0.84466019417475724</v>
      </c>
      <c r="R739" s="935">
        <f ca="1">IF($B739=0,0,IF($S$1="R",ROUND(R749/$B739,2),R749/$B739))</f>
        <v>13.13</v>
      </c>
      <c r="S739" s="1087"/>
      <c r="T739" s="935">
        <f ca="1">IF($B739=0,0,IF($S$1="R",ROUND(T749/$B739,2),T749/$B739))</f>
        <v>0.41</v>
      </c>
      <c r="AD739" s="931"/>
    </row>
    <row r="740" spans="1:30" s="520" customFormat="1" ht="13.8" thickTop="1">
      <c r="A740" s="748"/>
      <c r="B740" s="3"/>
      <c r="C740" s="3"/>
      <c r="D740" s="106" t="s">
        <v>170</v>
      </c>
      <c r="E740" s="3"/>
      <c r="F740" s="3"/>
      <c r="G740" s="3"/>
      <c r="H740" s="3"/>
      <c r="I740" s="3"/>
      <c r="J740" s="3"/>
      <c r="K740" s="3"/>
      <c r="L740" s="3"/>
      <c r="M740" s="3"/>
      <c r="N740" s="3"/>
      <c r="O740" s="107"/>
      <c r="P740" s="3"/>
      <c r="Q740" s="3"/>
      <c r="R740" s="3"/>
      <c r="S740" s="3"/>
      <c r="T740" s="3"/>
      <c r="AD740" s="3"/>
    </row>
    <row r="741" spans="1:30" s="901" customFormat="1">
      <c r="A741" s="1057">
        <f ca="1">$Q$739 *(515)</f>
        <v>435</v>
      </c>
      <c r="B741" s="901" t="s">
        <v>320</v>
      </c>
      <c r="D741" s="901" t="s">
        <v>3149</v>
      </c>
      <c r="E741" s="901" t="s">
        <v>3124</v>
      </c>
      <c r="F741" s="901" t="s">
        <v>3150</v>
      </c>
      <c r="G741" s="941" t="s">
        <v>3151</v>
      </c>
      <c r="H741" s="942">
        <v>650</v>
      </c>
      <c r="I741" s="901" t="s">
        <v>2607</v>
      </c>
      <c r="O741" s="943">
        <v>1</v>
      </c>
      <c r="P741" s="944">
        <v>38052</v>
      </c>
      <c r="Q741" s="945">
        <f>ROUNDUP(9.81*1.145,2)</f>
        <v>11.24</v>
      </c>
      <c r="R741" s="946">
        <f t="shared" ref="R741:R748" ca="1" si="142">$A741*Q741</f>
        <v>4889.4000000000005</v>
      </c>
      <c r="S741" s="945">
        <v>0.45</v>
      </c>
      <c r="T741" s="947">
        <f t="shared" ref="T741:T748" ca="1" si="143">$A741*S741*$T$1</f>
        <v>176.17500000000001</v>
      </c>
      <c r="AD741" s="901" t="s">
        <v>3150</v>
      </c>
    </row>
    <row r="742" spans="1:30" s="901" customFormat="1">
      <c r="A742" s="1057">
        <f ca="1">$Q$739 *(ROUNDUP(515/3,0))</f>
        <v>145.28155339805824</v>
      </c>
      <c r="B742" s="901" t="s">
        <v>320</v>
      </c>
      <c r="D742" s="901" t="s">
        <v>3152</v>
      </c>
      <c r="E742" s="901" t="s">
        <v>3124</v>
      </c>
      <c r="G742" s="941" t="s">
        <v>3153</v>
      </c>
      <c r="H742" s="942">
        <v>650</v>
      </c>
      <c r="I742" s="901" t="s">
        <v>2607</v>
      </c>
      <c r="O742" s="943">
        <v>1</v>
      </c>
      <c r="P742" s="944">
        <v>35705</v>
      </c>
      <c r="Q742" s="945">
        <f>ROUNDUP(0.22*2*1.145,2)</f>
        <v>0.51</v>
      </c>
      <c r="R742" s="946">
        <f t="shared" ca="1" si="142"/>
        <v>74.093592233009701</v>
      </c>
      <c r="S742" s="945"/>
      <c r="T742" s="947">
        <f t="shared" ca="1" si="143"/>
        <v>0</v>
      </c>
    </row>
    <row r="743" spans="1:30" s="901" customFormat="1">
      <c r="A743" s="1057">
        <f ca="1">$Q$739 *(ROUNDUP(515/3*8,0))</f>
        <v>1160.5631067961165</v>
      </c>
      <c r="B743" s="901" t="s">
        <v>141</v>
      </c>
      <c r="D743" s="901" t="s">
        <v>3154</v>
      </c>
      <c r="G743" s="941" t="s">
        <v>3155</v>
      </c>
      <c r="H743" s="942">
        <v>875</v>
      </c>
      <c r="I743" s="901" t="s">
        <v>2607</v>
      </c>
      <c r="K743" s="901" t="s">
        <v>2966</v>
      </c>
      <c r="O743" s="943">
        <v>1</v>
      </c>
      <c r="P743" s="944">
        <v>34669</v>
      </c>
      <c r="Q743" s="945">
        <v>7.0000000000000007E-2</v>
      </c>
      <c r="R743" s="946">
        <f t="shared" ca="1" si="142"/>
        <v>81.23941747572816</v>
      </c>
      <c r="S743" s="945"/>
      <c r="T743" s="947">
        <f t="shared" ca="1" si="143"/>
        <v>0</v>
      </c>
    </row>
    <row r="744" spans="1:30" s="901" customFormat="1">
      <c r="A744" s="1057">
        <f ca="1">$Q$739 *(ROUNDUP(515/1.2*2,0))</f>
        <v>725.56310679611647</v>
      </c>
      <c r="B744" s="901" t="s">
        <v>141</v>
      </c>
      <c r="D744" s="901" t="s">
        <v>3156</v>
      </c>
      <c r="G744" s="941" t="s">
        <v>3157</v>
      </c>
      <c r="H744" s="942">
        <v>501</v>
      </c>
      <c r="I744" s="901" t="s">
        <v>3121</v>
      </c>
      <c r="J744" s="901" t="s">
        <v>3158</v>
      </c>
      <c r="K744" s="901" t="s">
        <v>3159</v>
      </c>
      <c r="O744" s="943">
        <v>1</v>
      </c>
      <c r="P744" s="944">
        <v>36175</v>
      </c>
      <c r="Q744" s="945">
        <v>0.77</v>
      </c>
      <c r="R744" s="946">
        <f t="shared" ca="1" si="142"/>
        <v>558.68359223300968</v>
      </c>
      <c r="S744" s="945"/>
      <c r="T744" s="947">
        <f t="shared" ca="1" si="143"/>
        <v>0</v>
      </c>
    </row>
    <row r="745" spans="1:30" s="901" customFormat="1">
      <c r="A745" s="1057">
        <f ca="1">$Q$739 *(ROUNDUP(515/1.2*2,0))</f>
        <v>725.56310679611647</v>
      </c>
      <c r="B745" s="901" t="s">
        <v>141</v>
      </c>
      <c r="D745" s="901" t="s">
        <v>3160</v>
      </c>
      <c r="G745" s="941" t="s">
        <v>3161</v>
      </c>
      <c r="H745" s="942">
        <v>501</v>
      </c>
      <c r="I745" s="901" t="s">
        <v>2607</v>
      </c>
      <c r="K745" s="901" t="s">
        <v>2747</v>
      </c>
      <c r="O745" s="943">
        <v>1</v>
      </c>
      <c r="P745" s="944"/>
      <c r="Q745" s="945">
        <v>0.05</v>
      </c>
      <c r="R745" s="946">
        <f t="shared" ca="1" si="142"/>
        <v>36.278155339805828</v>
      </c>
      <c r="S745" s="945"/>
      <c r="T745" s="947">
        <f t="shared" ca="1" si="143"/>
        <v>0</v>
      </c>
    </row>
    <row r="746" spans="1:30" s="901" customFormat="1">
      <c r="A746" s="1057">
        <f ca="1">$Q$739 *(ROUNDUP(515/3,0))</f>
        <v>145.28155339805824</v>
      </c>
      <c r="B746" s="901" t="s">
        <v>141</v>
      </c>
      <c r="D746" s="901" t="s">
        <v>3162</v>
      </c>
      <c r="G746" s="941" t="s">
        <v>3163</v>
      </c>
      <c r="H746" s="942">
        <v>875</v>
      </c>
      <c r="I746" s="901" t="s">
        <v>2607</v>
      </c>
      <c r="K746" s="901" t="s">
        <v>3164</v>
      </c>
      <c r="O746" s="943">
        <v>1</v>
      </c>
      <c r="P746" s="944">
        <v>34669</v>
      </c>
      <c r="Q746" s="945">
        <v>0.5</v>
      </c>
      <c r="R746" s="946">
        <f t="shared" ca="1" si="142"/>
        <v>72.640776699029118</v>
      </c>
      <c r="S746" s="945">
        <v>0</v>
      </c>
      <c r="T746" s="947">
        <f t="shared" ca="1" si="143"/>
        <v>0</v>
      </c>
    </row>
    <row r="747" spans="1:30" s="901" customFormat="1">
      <c r="A747" s="1057">
        <f ca="1">$Q$739 *(1)</f>
        <v>0.84466019417475724</v>
      </c>
      <c r="B747" s="1084" t="s">
        <v>863</v>
      </c>
      <c r="C747" s="1084"/>
      <c r="D747" s="1084" t="s">
        <v>2752</v>
      </c>
      <c r="E747" s="1084"/>
      <c r="F747" s="1084" t="s">
        <v>3328</v>
      </c>
      <c r="G747" s="1091" t="s">
        <v>2754</v>
      </c>
      <c r="H747" s="1092">
        <v>962</v>
      </c>
      <c r="I747" s="1084" t="s">
        <v>2596</v>
      </c>
      <c r="J747" s="1084"/>
      <c r="K747" s="1084"/>
      <c r="L747" s="1084"/>
      <c r="M747" s="1084"/>
      <c r="N747" s="1084"/>
      <c r="O747" s="1093">
        <v>2</v>
      </c>
      <c r="P747" s="1094">
        <v>38129</v>
      </c>
      <c r="Q747" s="1063"/>
      <c r="R747" s="1096">
        <f ca="1">$A747*Q747</f>
        <v>0</v>
      </c>
      <c r="S747" s="1095"/>
      <c r="T747" s="1097">
        <f ca="1">$A747*S747*$T$1</f>
        <v>0</v>
      </c>
      <c r="U747" s="901" t="s">
        <v>2764</v>
      </c>
      <c r="AD747" s="1084" t="s">
        <v>3328</v>
      </c>
    </row>
    <row r="748" spans="1:30" s="520" customFormat="1">
      <c r="A748" s="758"/>
      <c r="B748" s="3"/>
      <c r="C748" s="758" t="s">
        <v>171</v>
      </c>
      <c r="D748" s="3"/>
      <c r="E748" s="758"/>
      <c r="F748" s="753"/>
      <c r="G748" s="758"/>
      <c r="H748" s="758"/>
      <c r="I748" s="519"/>
      <c r="J748" s="758"/>
      <c r="K748" s="758"/>
      <c r="L748" s="758"/>
      <c r="M748" s="758"/>
      <c r="N748" s="758"/>
      <c r="O748" s="758"/>
      <c r="P748" s="758"/>
      <c r="Q748" s="519"/>
      <c r="R748" s="917">
        <f t="shared" si="142"/>
        <v>0</v>
      </c>
      <c r="S748" s="519"/>
      <c r="T748" s="760">
        <f t="shared" si="143"/>
        <v>0</v>
      </c>
      <c r="AD748" s="753"/>
    </row>
    <row r="749" spans="1:30" s="520" customFormat="1" ht="12.6" thickBot="1">
      <c r="A749" s="761" t="s">
        <v>145</v>
      </c>
      <c r="B749" s="762">
        <f ca="1">(R749+T749)-SUM(R740:R748,T740:T748)</f>
        <v>0</v>
      </c>
      <c r="C749" s="763"/>
      <c r="D749" s="937" t="s">
        <v>172</v>
      </c>
      <c r="E749" s="477">
        <f ca="1">IF($B739=0,0,ROUND(ROUND(($R749*$S$2+($T749*$T$2))/$B739, 2)*$C$2,2))</f>
        <v>29.86</v>
      </c>
      <c r="F749" s="478">
        <f ca="1">ROUND($B739*$E749,2)</f>
        <v>12989.1</v>
      </c>
      <c r="G749" s="763"/>
      <c r="H749" s="763"/>
      <c r="I749" s="765"/>
      <c r="J749" s="763"/>
      <c r="K749" s="938" t="s">
        <v>143</v>
      </c>
      <c r="L749" s="766" t="s">
        <v>143</v>
      </c>
      <c r="M749" s="766"/>
      <c r="N749" s="766"/>
      <c r="O749" s="766"/>
      <c r="P749" s="766"/>
      <c r="Q749" s="938"/>
      <c r="R749" s="939">
        <f ca="1">SUM(R740:R748)</f>
        <v>5712.3355339805821</v>
      </c>
      <c r="S749" s="940"/>
      <c r="T749" s="939">
        <f ca="1">SUM(T740:T748)</f>
        <v>176.17500000000001</v>
      </c>
      <c r="U749" s="531"/>
      <c r="V749" s="531"/>
      <c r="W749" s="531"/>
      <c r="X749" s="531"/>
      <c r="Y749" s="531"/>
      <c r="Z749" s="531"/>
      <c r="AA749" s="531"/>
      <c r="AB749" s="531"/>
      <c r="AD749" s="478">
        <v>15037.4</v>
      </c>
    </row>
    <row r="750" spans="1:30" s="520" customFormat="1" ht="12" thickTop="1">
      <c r="A750" s="51"/>
      <c r="B750" s="51"/>
      <c r="C750" s="51"/>
      <c r="D750" s="51"/>
      <c r="E750" s="51"/>
      <c r="F750" s="51"/>
      <c r="G750" s="51"/>
      <c r="H750" s="51"/>
      <c r="I750" s="51"/>
      <c r="J750" s="51"/>
      <c r="K750" s="51"/>
      <c r="L750" s="51"/>
      <c r="M750" s="51"/>
      <c r="N750" s="51"/>
      <c r="O750" s="52"/>
      <c r="P750" s="51"/>
      <c r="Q750" s="42" t="s">
        <v>168</v>
      </c>
      <c r="R750" s="51"/>
      <c r="S750" s="13"/>
      <c r="T750" s="51"/>
      <c r="AD750" s="51"/>
    </row>
    <row r="751" spans="1:30" s="520" customFormat="1" ht="12.6" thickBot="1">
      <c r="A751" s="927">
        <v>340</v>
      </c>
      <c r="B751" s="928">
        <f ca="1">Elec_Est!B11619</f>
        <v>90</v>
      </c>
      <c r="C751" s="929"/>
      <c r="D751" s="930" t="s">
        <v>3575</v>
      </c>
      <c r="E751" s="931"/>
      <c r="F751" s="931"/>
      <c r="G751" s="752"/>
      <c r="H751" s="752"/>
      <c r="I751" s="932"/>
      <c r="J751" s="752"/>
      <c r="K751" s="929" t="s">
        <v>169</v>
      </c>
      <c r="L751" s="933" t="s">
        <v>169</v>
      </c>
      <c r="M751" s="933"/>
      <c r="N751" s="933"/>
      <c r="O751" s="933"/>
      <c r="P751" s="933"/>
      <c r="Q751" s="934">
        <f ca="1">B751/A751</f>
        <v>0.26470588235294118</v>
      </c>
      <c r="R751" s="935">
        <f ca="1">IF($B751=0,0,IF($S$1="R",ROUND(R760/$B751,2),R760/$B751))</f>
        <v>10.63</v>
      </c>
      <c r="S751" s="1087"/>
      <c r="T751" s="935">
        <f ca="1">IF($B751=0,0,IF($S$1="R",ROUND(T760/$B751,2),T760/$B751))</f>
        <v>0.36</v>
      </c>
      <c r="AD751" s="931"/>
    </row>
    <row r="752" spans="1:30" s="520" customFormat="1" ht="13.8" thickTop="1">
      <c r="A752" s="748"/>
      <c r="B752" s="3"/>
      <c r="C752" s="3"/>
      <c r="D752" s="106" t="s">
        <v>170</v>
      </c>
      <c r="E752" s="3"/>
      <c r="F752" s="3"/>
      <c r="G752" s="3"/>
      <c r="H752" s="3"/>
      <c r="I752" s="3"/>
      <c r="J752" s="3"/>
      <c r="K752" s="3"/>
      <c r="L752" s="3"/>
      <c r="M752" s="3"/>
      <c r="N752" s="3"/>
      <c r="O752" s="107"/>
      <c r="P752" s="3"/>
      <c r="Q752" s="3"/>
      <c r="R752" s="3"/>
      <c r="S752" s="3"/>
      <c r="T752" s="3"/>
      <c r="AD752" s="3"/>
    </row>
    <row r="753" spans="1:30" s="901" customFormat="1">
      <c r="A753" s="1057">
        <f ca="1">$Q$751 *(340)</f>
        <v>90</v>
      </c>
      <c r="B753" s="901" t="s">
        <v>320</v>
      </c>
      <c r="D753" s="901" t="s">
        <v>3171</v>
      </c>
      <c r="E753" s="901" t="s">
        <v>3124</v>
      </c>
      <c r="F753" s="901" t="s">
        <v>3150</v>
      </c>
      <c r="G753" s="941" t="s">
        <v>3172</v>
      </c>
      <c r="H753" s="942">
        <v>650</v>
      </c>
      <c r="I753" s="901" t="s">
        <v>2607</v>
      </c>
      <c r="O753" s="943">
        <v>1</v>
      </c>
      <c r="P753" s="944">
        <v>36897</v>
      </c>
      <c r="Q753" s="945">
        <f>ROUNDUP(7.63*1.145,2)</f>
        <v>8.74</v>
      </c>
      <c r="R753" s="946">
        <f ca="1">$A753*Q753</f>
        <v>786.6</v>
      </c>
      <c r="S753" s="945">
        <v>0.4</v>
      </c>
      <c r="T753" s="947">
        <f ca="1">$A753*S753*$T$1</f>
        <v>32.4</v>
      </c>
      <c r="AD753" s="901" t="s">
        <v>3150</v>
      </c>
    </row>
    <row r="754" spans="1:30" s="901" customFormat="1">
      <c r="A754" s="1057">
        <f ca="1">$Q$751 *(ROUNDUP(340/3,0))</f>
        <v>30.176470588235293</v>
      </c>
      <c r="B754" s="901" t="s">
        <v>320</v>
      </c>
      <c r="D754" s="901" t="s">
        <v>3152</v>
      </c>
      <c r="E754" s="901" t="s">
        <v>3124</v>
      </c>
      <c r="G754" s="941" t="s">
        <v>3153</v>
      </c>
      <c r="H754" s="942">
        <v>650</v>
      </c>
      <c r="I754" s="901" t="s">
        <v>2607</v>
      </c>
      <c r="O754" s="943">
        <v>1</v>
      </c>
      <c r="P754" s="944">
        <v>35705</v>
      </c>
      <c r="Q754" s="945">
        <f>ROUNDUP(0.22*2*1.145,2)</f>
        <v>0.51</v>
      </c>
      <c r="R754" s="946">
        <f t="shared" ref="R754:R758" ca="1" si="144">$A754*Q754</f>
        <v>15.39</v>
      </c>
      <c r="S754" s="945"/>
      <c r="T754" s="947">
        <f t="shared" ref="T754:T758" ca="1" si="145">$A754*S754*$T$1</f>
        <v>0</v>
      </c>
    </row>
    <row r="755" spans="1:30" s="901" customFormat="1">
      <c r="A755" s="1057">
        <f ca="1">$Q$751 *(ROUNDUP(340/3*8,0))</f>
        <v>240.08823529411765</v>
      </c>
      <c r="B755" s="901" t="s">
        <v>141</v>
      </c>
      <c r="D755" s="901" t="s">
        <v>3154</v>
      </c>
      <c r="G755" s="941" t="s">
        <v>3155</v>
      </c>
      <c r="H755" s="942">
        <v>875</v>
      </c>
      <c r="I755" s="901" t="s">
        <v>2607</v>
      </c>
      <c r="K755" s="901" t="s">
        <v>2966</v>
      </c>
      <c r="O755" s="943">
        <v>1</v>
      </c>
      <c r="P755" s="944">
        <v>34669</v>
      </c>
      <c r="Q755" s="945">
        <v>7.0000000000000007E-2</v>
      </c>
      <c r="R755" s="946">
        <f t="shared" ca="1" si="144"/>
        <v>16.806176470588237</v>
      </c>
      <c r="S755" s="945"/>
      <c r="T755" s="947">
        <f t="shared" ca="1" si="145"/>
        <v>0</v>
      </c>
    </row>
    <row r="756" spans="1:30" s="901" customFormat="1">
      <c r="A756" s="1057">
        <f ca="1">$Q$751 *(ROUNDUP(340/1.2*2,0))</f>
        <v>150.08823529411765</v>
      </c>
      <c r="B756" s="901" t="s">
        <v>141</v>
      </c>
      <c r="D756" s="901" t="s">
        <v>3156</v>
      </c>
      <c r="G756" s="941" t="s">
        <v>3157</v>
      </c>
      <c r="H756" s="942">
        <v>501</v>
      </c>
      <c r="I756" s="901" t="s">
        <v>3121</v>
      </c>
      <c r="J756" s="901" t="s">
        <v>3158</v>
      </c>
      <c r="K756" s="901" t="s">
        <v>3159</v>
      </c>
      <c r="O756" s="943">
        <v>1</v>
      </c>
      <c r="P756" s="944">
        <v>36175</v>
      </c>
      <c r="Q756" s="945">
        <v>0.77</v>
      </c>
      <c r="R756" s="946">
        <f t="shared" ca="1" si="144"/>
        <v>115.5679411764706</v>
      </c>
      <c r="S756" s="945"/>
      <c r="T756" s="947">
        <f t="shared" ca="1" si="145"/>
        <v>0</v>
      </c>
    </row>
    <row r="757" spans="1:30" s="901" customFormat="1">
      <c r="A757" s="1057">
        <f ca="1">$Q$751 *(ROUNDUP(340/1.2*2,0))</f>
        <v>150.08823529411765</v>
      </c>
      <c r="B757" s="901" t="s">
        <v>141</v>
      </c>
      <c r="D757" s="901" t="s">
        <v>3160</v>
      </c>
      <c r="G757" s="941" t="s">
        <v>3161</v>
      </c>
      <c r="H757" s="942">
        <v>501</v>
      </c>
      <c r="I757" s="901" t="s">
        <v>2607</v>
      </c>
      <c r="K757" s="901" t="s">
        <v>2747</v>
      </c>
      <c r="O757" s="943">
        <v>1</v>
      </c>
      <c r="P757" s="944"/>
      <c r="Q757" s="945">
        <v>0.05</v>
      </c>
      <c r="R757" s="946">
        <f t="shared" ca="1" si="144"/>
        <v>7.5044117647058828</v>
      </c>
      <c r="S757" s="945"/>
      <c r="T757" s="947">
        <f t="shared" ca="1" si="145"/>
        <v>0</v>
      </c>
    </row>
    <row r="758" spans="1:30" s="901" customFormat="1">
      <c r="A758" s="1057">
        <f ca="1">$Q$751 *(ROUNDUP(340/3,0))</f>
        <v>30.176470588235293</v>
      </c>
      <c r="B758" s="901" t="s">
        <v>141</v>
      </c>
      <c r="D758" s="901" t="s">
        <v>3162</v>
      </c>
      <c r="G758" s="941" t="s">
        <v>3163</v>
      </c>
      <c r="H758" s="942">
        <v>875</v>
      </c>
      <c r="I758" s="901" t="s">
        <v>2607</v>
      </c>
      <c r="K758" s="901" t="s">
        <v>3164</v>
      </c>
      <c r="O758" s="943">
        <v>1</v>
      </c>
      <c r="P758" s="944">
        <v>34669</v>
      </c>
      <c r="Q758" s="945">
        <v>0.5</v>
      </c>
      <c r="R758" s="946">
        <f t="shared" ca="1" si="144"/>
        <v>15.088235294117647</v>
      </c>
      <c r="S758" s="945">
        <v>0</v>
      </c>
      <c r="T758" s="947">
        <f t="shared" ca="1" si="145"/>
        <v>0</v>
      </c>
    </row>
    <row r="759" spans="1:30" s="520" customFormat="1">
      <c r="A759" s="758"/>
      <c r="B759" s="3"/>
      <c r="C759" s="758" t="s">
        <v>171</v>
      </c>
      <c r="D759" s="3"/>
      <c r="E759" s="758"/>
      <c r="F759" s="753"/>
      <c r="G759" s="758"/>
      <c r="H759" s="758"/>
      <c r="I759" s="519"/>
      <c r="J759" s="758"/>
      <c r="K759" s="758"/>
      <c r="L759" s="758"/>
      <c r="M759" s="758"/>
      <c r="N759" s="758"/>
      <c r="O759" s="758"/>
      <c r="P759" s="758"/>
      <c r="Q759" s="519"/>
      <c r="R759" s="917">
        <f t="shared" ref="R759" si="146">$A759*Q759</f>
        <v>0</v>
      </c>
      <c r="S759" s="519"/>
      <c r="T759" s="760">
        <f t="shared" ref="T759" si="147">$A759*S759*$T$1</f>
        <v>0</v>
      </c>
      <c r="AD759" s="753"/>
    </row>
    <row r="760" spans="1:30" s="520" customFormat="1" ht="12.6" thickBot="1">
      <c r="A760" s="761" t="s">
        <v>145</v>
      </c>
      <c r="B760" s="762">
        <f ca="1">(R760+T760)-SUM(R752:R759,T752:T759)</f>
        <v>0</v>
      </c>
      <c r="C760" s="763"/>
      <c r="D760" s="937" t="s">
        <v>172</v>
      </c>
      <c r="E760" s="477">
        <f ca="1">IF($B751=0,0,ROUND(ROUND(($R760*$S$2+($T760*$T$2))/$B751, 2)*$C$2,2))</f>
        <v>25.27</v>
      </c>
      <c r="F760" s="478">
        <f ca="1">ROUND($B751*$E760,2)</f>
        <v>2274.3000000000002</v>
      </c>
      <c r="G760" s="763"/>
      <c r="H760" s="763"/>
      <c r="I760" s="765"/>
      <c r="J760" s="763"/>
      <c r="K760" s="938" t="s">
        <v>143</v>
      </c>
      <c r="L760" s="766" t="s">
        <v>143</v>
      </c>
      <c r="M760" s="766"/>
      <c r="N760" s="766"/>
      <c r="O760" s="766"/>
      <c r="P760" s="766"/>
      <c r="Q760" s="938"/>
      <c r="R760" s="939">
        <f ca="1">SUM(R752:R759)</f>
        <v>956.95676470588239</v>
      </c>
      <c r="S760" s="940"/>
      <c r="T760" s="939">
        <f ca="1">SUM(T752:T759)</f>
        <v>32.4</v>
      </c>
      <c r="U760" s="531"/>
      <c r="V760" s="531"/>
      <c r="W760" s="531"/>
      <c r="X760" s="531"/>
      <c r="Y760" s="531"/>
      <c r="Z760" s="531"/>
      <c r="AA760" s="531"/>
      <c r="AB760" s="531"/>
      <c r="AD760" s="478">
        <v>2495.6999999999998</v>
      </c>
    </row>
    <row r="761" spans="1:30" s="520" customFormat="1" ht="12" thickTop="1">
      <c r="A761" s="51"/>
      <c r="B761" s="51"/>
      <c r="C761" s="51"/>
      <c r="D761" s="51"/>
      <c r="E761" s="51"/>
      <c r="F761" s="51"/>
      <c r="G761" s="51"/>
      <c r="H761" s="51"/>
      <c r="I761" s="51"/>
      <c r="J761" s="51"/>
      <c r="K761" s="51"/>
      <c r="L761" s="51"/>
      <c r="M761" s="51"/>
      <c r="N761" s="51"/>
      <c r="O761" s="52"/>
      <c r="P761" s="51"/>
      <c r="Q761" s="42" t="s">
        <v>168</v>
      </c>
      <c r="R761" s="51"/>
      <c r="S761" s="13"/>
      <c r="T761" s="51"/>
      <c r="AD761" s="51"/>
    </row>
    <row r="762" spans="1:30" s="520" customFormat="1" ht="12.6" thickBot="1">
      <c r="A762" s="927">
        <v>330</v>
      </c>
      <c r="B762" s="928">
        <f ca="1">Elec_Est!B11620</f>
        <v>300</v>
      </c>
      <c r="C762" s="929"/>
      <c r="D762" s="930" t="s">
        <v>3576</v>
      </c>
      <c r="E762" s="931"/>
      <c r="F762" s="931"/>
      <c r="G762" s="752"/>
      <c r="H762" s="752"/>
      <c r="I762" s="932"/>
      <c r="J762" s="752"/>
      <c r="K762" s="929" t="s">
        <v>169</v>
      </c>
      <c r="L762" s="933" t="s">
        <v>169</v>
      </c>
      <c r="M762" s="933"/>
      <c r="N762" s="933"/>
      <c r="O762" s="933"/>
      <c r="P762" s="933"/>
      <c r="Q762" s="934">
        <f ca="1">B762/A762</f>
        <v>0.90909090909090906</v>
      </c>
      <c r="R762" s="935">
        <f ca="1">IF($B762=0,0,IF($S$1="R",ROUND(R772/$B762,2),R772/$B762))</f>
        <v>7.4</v>
      </c>
      <c r="S762" s="1087"/>
      <c r="T762" s="935">
        <f ca="1">IF($B762=0,0,IF($S$1="R",ROUND(T772/$B762,2),T772/$B762))</f>
        <v>0.32</v>
      </c>
      <c r="AD762" s="931"/>
    </row>
    <row r="763" spans="1:30" s="520" customFormat="1" ht="13.8" thickTop="1">
      <c r="A763" s="748"/>
      <c r="B763" s="3"/>
      <c r="C763" s="3"/>
      <c r="D763" s="106" t="s">
        <v>170</v>
      </c>
      <c r="E763" s="3"/>
      <c r="F763" s="3"/>
      <c r="G763" s="3"/>
      <c r="H763" s="3"/>
      <c r="I763" s="3"/>
      <c r="J763" s="3"/>
      <c r="K763" s="3"/>
      <c r="L763" s="3"/>
      <c r="M763" s="3"/>
      <c r="N763" s="3"/>
      <c r="O763" s="107"/>
      <c r="P763" s="3"/>
      <c r="Q763" s="3"/>
      <c r="R763" s="3"/>
      <c r="S763" s="3"/>
      <c r="T763" s="3"/>
      <c r="AD763" s="3"/>
    </row>
    <row r="764" spans="1:30" s="901" customFormat="1">
      <c r="A764" s="1057">
        <f ca="1">$Q$762 *(330)</f>
        <v>300</v>
      </c>
      <c r="B764" s="901" t="s">
        <v>320</v>
      </c>
      <c r="D764" s="901" t="s">
        <v>3165</v>
      </c>
      <c r="E764" s="901" t="s">
        <v>3124</v>
      </c>
      <c r="F764" s="901" t="s">
        <v>3150</v>
      </c>
      <c r="G764" s="941" t="s">
        <v>3166</v>
      </c>
      <c r="H764" s="942">
        <v>650</v>
      </c>
      <c r="I764" s="901" t="s">
        <v>2607</v>
      </c>
      <c r="O764" s="943">
        <v>1</v>
      </c>
      <c r="P764" s="944">
        <v>36897</v>
      </c>
      <c r="Q764" s="945">
        <f>ROUNDUP(5.4*1.145,2)</f>
        <v>6.1899999999999995</v>
      </c>
      <c r="R764" s="946">
        <f t="shared" ref="R764:R771" ca="1" si="148">$A764*Q764</f>
        <v>1856.9999999999998</v>
      </c>
      <c r="S764" s="945">
        <v>0.35000000000000003</v>
      </c>
      <c r="T764" s="947">
        <f t="shared" ref="T764:T771" ca="1" si="149">$A764*S764*$T$1</f>
        <v>94.500000000000014</v>
      </c>
      <c r="AD764" s="901" t="s">
        <v>3150</v>
      </c>
    </row>
    <row r="765" spans="1:30" s="901" customFormat="1">
      <c r="A765" s="1057">
        <f ca="1">$Q$762 *(ROUNDUP(330/3,0))</f>
        <v>100</v>
      </c>
      <c r="B765" s="901" t="s">
        <v>320</v>
      </c>
      <c r="D765" s="901" t="s">
        <v>3152</v>
      </c>
      <c r="E765" s="901" t="s">
        <v>3124</v>
      </c>
      <c r="G765" s="941" t="s">
        <v>3153</v>
      </c>
      <c r="H765" s="942">
        <v>650</v>
      </c>
      <c r="I765" s="901" t="s">
        <v>2607</v>
      </c>
      <c r="O765" s="943">
        <v>1</v>
      </c>
      <c r="P765" s="944">
        <v>35705</v>
      </c>
      <c r="Q765" s="945">
        <f>ROUNDUP(0.22*2*1.145,2)</f>
        <v>0.51</v>
      </c>
      <c r="R765" s="946">
        <f t="shared" ca="1" si="148"/>
        <v>51</v>
      </c>
      <c r="S765" s="945"/>
      <c r="T765" s="947">
        <f t="shared" ca="1" si="149"/>
        <v>0</v>
      </c>
    </row>
    <row r="766" spans="1:30" s="901" customFormat="1">
      <c r="A766" s="1057">
        <f ca="1">$Q$762 *(ROUNDUP(330/3*8,0))</f>
        <v>800</v>
      </c>
      <c r="B766" s="901" t="s">
        <v>141</v>
      </c>
      <c r="D766" s="901" t="s">
        <v>3154</v>
      </c>
      <c r="G766" s="941" t="s">
        <v>3155</v>
      </c>
      <c r="H766" s="942">
        <v>875</v>
      </c>
      <c r="I766" s="901" t="s">
        <v>2607</v>
      </c>
      <c r="K766" s="901" t="s">
        <v>2966</v>
      </c>
      <c r="O766" s="943">
        <v>1</v>
      </c>
      <c r="P766" s="944">
        <v>34669</v>
      </c>
      <c r="Q766" s="945">
        <v>7.0000000000000007E-2</v>
      </c>
      <c r="R766" s="946">
        <f t="shared" ca="1" si="148"/>
        <v>56.000000000000007</v>
      </c>
      <c r="S766" s="945"/>
      <c r="T766" s="947">
        <f t="shared" ca="1" si="149"/>
        <v>0</v>
      </c>
    </row>
    <row r="767" spans="1:30" s="901" customFormat="1">
      <c r="A767" s="1057">
        <f ca="1">$Q$762 *(ROUNDUP(330/1.2,0))</f>
        <v>250</v>
      </c>
      <c r="B767" s="901" t="s">
        <v>141</v>
      </c>
      <c r="D767" s="901" t="s">
        <v>3156</v>
      </c>
      <c r="G767" s="941" t="s">
        <v>3157</v>
      </c>
      <c r="H767" s="942">
        <v>501</v>
      </c>
      <c r="I767" s="901" t="s">
        <v>3121</v>
      </c>
      <c r="J767" s="901" t="s">
        <v>3158</v>
      </c>
      <c r="K767" s="901" t="s">
        <v>3159</v>
      </c>
      <c r="O767" s="943">
        <v>1</v>
      </c>
      <c r="P767" s="944">
        <v>36175</v>
      </c>
      <c r="Q767" s="945">
        <v>0.77</v>
      </c>
      <c r="R767" s="946">
        <f t="shared" ca="1" si="148"/>
        <v>192.5</v>
      </c>
      <c r="S767" s="945"/>
      <c r="T767" s="947">
        <f t="shared" ca="1" si="149"/>
        <v>0</v>
      </c>
    </row>
    <row r="768" spans="1:30" s="901" customFormat="1">
      <c r="A768" s="1057">
        <f ca="1">$Q$762 *(ROUNDUP(330/1.2,0))</f>
        <v>250</v>
      </c>
      <c r="B768" s="901" t="s">
        <v>141</v>
      </c>
      <c r="D768" s="901" t="s">
        <v>3160</v>
      </c>
      <c r="G768" s="941" t="s">
        <v>3161</v>
      </c>
      <c r="H768" s="942">
        <v>501</v>
      </c>
      <c r="I768" s="901" t="s">
        <v>2607</v>
      </c>
      <c r="K768" s="901" t="s">
        <v>2747</v>
      </c>
      <c r="O768" s="943">
        <v>1</v>
      </c>
      <c r="P768" s="944"/>
      <c r="Q768" s="945">
        <v>0.05</v>
      </c>
      <c r="R768" s="946">
        <f t="shared" ca="1" si="148"/>
        <v>12.5</v>
      </c>
      <c r="S768" s="945"/>
      <c r="T768" s="947">
        <f t="shared" ca="1" si="149"/>
        <v>0</v>
      </c>
    </row>
    <row r="769" spans="1:30" s="901" customFormat="1">
      <c r="A769" s="1057">
        <f ca="1">$Q$762 *(ROUNDUP(330/3,0))</f>
        <v>100</v>
      </c>
      <c r="B769" s="901" t="s">
        <v>141</v>
      </c>
      <c r="D769" s="901" t="s">
        <v>3162</v>
      </c>
      <c r="G769" s="941" t="s">
        <v>3163</v>
      </c>
      <c r="H769" s="942">
        <v>875</v>
      </c>
      <c r="I769" s="901" t="s">
        <v>2607</v>
      </c>
      <c r="K769" s="901" t="s">
        <v>3164</v>
      </c>
      <c r="O769" s="943">
        <v>1</v>
      </c>
      <c r="P769" s="944">
        <v>34669</v>
      </c>
      <c r="Q769" s="945">
        <v>0.5</v>
      </c>
      <c r="R769" s="946">
        <f t="shared" ca="1" si="148"/>
        <v>50</v>
      </c>
      <c r="S769" s="945">
        <v>0</v>
      </c>
      <c r="T769" s="947">
        <f t="shared" ca="1" si="149"/>
        <v>0</v>
      </c>
    </row>
    <row r="770" spans="1:30" s="901" customFormat="1">
      <c r="A770" s="1057">
        <f ca="1">$Q$762 *(70)</f>
        <v>63.636363636363633</v>
      </c>
      <c r="B770" s="1084" t="s">
        <v>863</v>
      </c>
      <c r="C770" s="1084"/>
      <c r="D770" s="1084" t="s">
        <v>2752</v>
      </c>
      <c r="E770" s="1084"/>
      <c r="F770" s="1084" t="s">
        <v>3328</v>
      </c>
      <c r="G770" s="1091" t="s">
        <v>2754</v>
      </c>
      <c r="H770" s="1092">
        <v>962</v>
      </c>
      <c r="I770" s="1084" t="s">
        <v>2596</v>
      </c>
      <c r="J770" s="1084"/>
      <c r="K770" s="1084"/>
      <c r="L770" s="1084"/>
      <c r="M770" s="1084"/>
      <c r="N770" s="1084"/>
      <c r="O770" s="1093">
        <v>2</v>
      </c>
      <c r="P770" s="1094">
        <v>38129</v>
      </c>
      <c r="Q770" s="1063"/>
      <c r="R770" s="1096">
        <f ca="1">$A770*Q770</f>
        <v>0</v>
      </c>
      <c r="S770" s="1095"/>
      <c r="T770" s="1097">
        <f ca="1">$A770*S770*$T$1</f>
        <v>0</v>
      </c>
      <c r="U770" s="901" t="s">
        <v>2764</v>
      </c>
      <c r="AD770" s="1084" t="s">
        <v>3328</v>
      </c>
    </row>
    <row r="771" spans="1:30" s="520" customFormat="1">
      <c r="A771" s="758"/>
      <c r="B771" s="3"/>
      <c r="C771" s="758" t="s">
        <v>171</v>
      </c>
      <c r="D771" s="3"/>
      <c r="E771" s="758"/>
      <c r="F771" s="753"/>
      <c r="G771" s="758"/>
      <c r="H771" s="758"/>
      <c r="I771" s="519"/>
      <c r="J771" s="758"/>
      <c r="K771" s="758"/>
      <c r="L771" s="758"/>
      <c r="M771" s="758"/>
      <c r="N771" s="758"/>
      <c r="O771" s="758"/>
      <c r="P771" s="758"/>
      <c r="Q771" s="519"/>
      <c r="R771" s="917">
        <f t="shared" si="148"/>
        <v>0</v>
      </c>
      <c r="S771" s="519"/>
      <c r="T771" s="760">
        <f t="shared" si="149"/>
        <v>0</v>
      </c>
      <c r="AD771" s="753"/>
    </row>
    <row r="772" spans="1:30" s="520" customFormat="1" ht="12.6" thickBot="1">
      <c r="A772" s="761" t="s">
        <v>145</v>
      </c>
      <c r="B772" s="762">
        <f ca="1">(R772+T772)-SUM(R763:R771,T763:T771)</f>
        <v>0</v>
      </c>
      <c r="C772" s="763"/>
      <c r="D772" s="937" t="s">
        <v>172</v>
      </c>
      <c r="E772" s="477">
        <f ca="1">IF($B762=0,0,ROUND(ROUND(($R772*$S$2+($T772*$T$2))/$B762, 2)*$C$2,2))</f>
        <v>19.760000000000002</v>
      </c>
      <c r="F772" s="478">
        <f ca="1">ROUND($B762*$E772,2)</f>
        <v>5928</v>
      </c>
      <c r="G772" s="763"/>
      <c r="H772" s="763"/>
      <c r="I772" s="765"/>
      <c r="J772" s="763"/>
      <c r="K772" s="938" t="s">
        <v>143</v>
      </c>
      <c r="L772" s="766" t="s">
        <v>143</v>
      </c>
      <c r="M772" s="766"/>
      <c r="N772" s="766"/>
      <c r="O772" s="766"/>
      <c r="P772" s="766"/>
      <c r="Q772" s="938"/>
      <c r="R772" s="939">
        <f ca="1">SUM(R763:R771)</f>
        <v>2219</v>
      </c>
      <c r="S772" s="940"/>
      <c r="T772" s="939">
        <f ca="1">SUM(T763:T771)</f>
        <v>94.500000000000014</v>
      </c>
      <c r="U772" s="531"/>
      <c r="V772" s="531"/>
      <c r="W772" s="531"/>
      <c r="X772" s="531"/>
      <c r="Y772" s="531"/>
      <c r="Z772" s="531"/>
      <c r="AA772" s="531"/>
      <c r="AB772" s="531"/>
      <c r="AD772" s="478">
        <v>6543</v>
      </c>
    </row>
    <row r="773" spans="1:30" s="520" customFormat="1" ht="12" thickTop="1">
      <c r="A773" s="51"/>
      <c r="B773" s="51"/>
      <c r="C773" s="51"/>
      <c r="D773" s="51"/>
      <c r="E773" s="51"/>
      <c r="F773" s="51"/>
      <c r="G773" s="51"/>
      <c r="H773" s="51"/>
      <c r="I773" s="51"/>
      <c r="J773" s="51"/>
      <c r="K773" s="51"/>
      <c r="L773" s="51"/>
      <c r="M773" s="51"/>
      <c r="N773" s="51"/>
      <c r="O773" s="52"/>
      <c r="P773" s="51"/>
      <c r="Q773" s="42" t="s">
        <v>168</v>
      </c>
      <c r="R773" s="51"/>
      <c r="S773" s="13"/>
      <c r="T773" s="51"/>
      <c r="AD773" s="51"/>
    </row>
    <row r="774" spans="1:30" s="520" customFormat="1" ht="12.6" thickBot="1">
      <c r="A774" s="927">
        <v>75</v>
      </c>
      <c r="B774" s="928">
        <f ca="1">Elec_Est!B11621</f>
        <v>105</v>
      </c>
      <c r="C774" s="929"/>
      <c r="D774" s="930" t="s">
        <v>3577</v>
      </c>
      <c r="E774" s="931"/>
      <c r="F774" s="931"/>
      <c r="G774" s="752"/>
      <c r="H774" s="752"/>
      <c r="I774" s="932"/>
      <c r="J774" s="752"/>
      <c r="K774" s="929" t="s">
        <v>169</v>
      </c>
      <c r="L774" s="933" t="s">
        <v>169</v>
      </c>
      <c r="M774" s="933"/>
      <c r="N774" s="933"/>
      <c r="O774" s="933"/>
      <c r="P774" s="933"/>
      <c r="Q774" s="934">
        <f ca="1">B774/A774</f>
        <v>1.4</v>
      </c>
      <c r="R774" s="935">
        <f ca="1">IF($B774=0,0,IF($S$1="R",ROUND(R783/$B774,2),R783/$B774))</f>
        <v>5.18</v>
      </c>
      <c r="S774" s="1087"/>
      <c r="T774" s="935">
        <f ca="1">IF($B774=0,0,IF($S$1="R",ROUND(T783/$B774,2),T783/$B774))</f>
        <v>0.27</v>
      </c>
      <c r="AD774" s="931"/>
    </row>
    <row r="775" spans="1:30" s="520" customFormat="1" ht="13.8" thickTop="1">
      <c r="A775" s="748"/>
      <c r="B775" s="3"/>
      <c r="C775" s="3"/>
      <c r="D775" s="106" t="s">
        <v>170</v>
      </c>
      <c r="E775" s="3"/>
      <c r="F775" s="3"/>
      <c r="G775" s="3"/>
      <c r="H775" s="3"/>
      <c r="I775" s="3"/>
      <c r="J775" s="3"/>
      <c r="K775" s="3"/>
      <c r="L775" s="3"/>
      <c r="M775" s="3"/>
      <c r="N775" s="3"/>
      <c r="O775" s="107"/>
      <c r="P775" s="3"/>
      <c r="Q775" s="3"/>
      <c r="R775" s="3"/>
      <c r="S775" s="3"/>
      <c r="T775" s="3"/>
      <c r="AD775" s="3"/>
    </row>
    <row r="776" spans="1:30" s="901" customFormat="1">
      <c r="A776" s="1057">
        <f ca="1">$Q$774 *(75)</f>
        <v>105</v>
      </c>
      <c r="B776" s="901" t="s">
        <v>320</v>
      </c>
      <c r="D776" s="901" t="s">
        <v>3169</v>
      </c>
      <c r="E776" s="901" t="s">
        <v>3124</v>
      </c>
      <c r="F776" s="901" t="s">
        <v>3150</v>
      </c>
      <c r="G776" s="941" t="s">
        <v>3170</v>
      </c>
      <c r="H776" s="942">
        <v>650</v>
      </c>
      <c r="I776" s="901" t="s">
        <v>2607</v>
      </c>
      <c r="O776" s="943">
        <v>1</v>
      </c>
      <c r="P776" s="944">
        <v>36897</v>
      </c>
      <c r="Q776" s="945">
        <f>ROUNDUP(3.46*1.145,2)</f>
        <v>3.9699999999999998</v>
      </c>
      <c r="R776" s="946">
        <f ca="1">$A776*Q776</f>
        <v>416.84999999999997</v>
      </c>
      <c r="S776" s="945">
        <v>0.3</v>
      </c>
      <c r="T776" s="947">
        <f ca="1">$A776*S776*$T$1</f>
        <v>28.35</v>
      </c>
      <c r="AD776" s="901" t="s">
        <v>3150</v>
      </c>
    </row>
    <row r="777" spans="1:30" s="901" customFormat="1">
      <c r="A777" s="1057">
        <f ca="1">$Q$774 *(ROUNDUP(75/3,0))</f>
        <v>35</v>
      </c>
      <c r="B777" s="901" t="s">
        <v>320</v>
      </c>
      <c r="D777" s="901" t="s">
        <v>3152</v>
      </c>
      <c r="E777" s="901" t="s">
        <v>3124</v>
      </c>
      <c r="G777" s="941" t="s">
        <v>3153</v>
      </c>
      <c r="H777" s="942">
        <v>650</v>
      </c>
      <c r="I777" s="901" t="s">
        <v>2607</v>
      </c>
      <c r="O777" s="943">
        <v>1</v>
      </c>
      <c r="P777" s="944">
        <v>35705</v>
      </c>
      <c r="Q777" s="945">
        <f>ROUNDUP(0.22*2*1.145,2)</f>
        <v>0.51</v>
      </c>
      <c r="R777" s="946">
        <f t="shared" ref="R777:R781" ca="1" si="150">$A777*Q777</f>
        <v>17.850000000000001</v>
      </c>
      <c r="S777" s="945"/>
      <c r="T777" s="947">
        <f t="shared" ref="T777:T781" ca="1" si="151">$A777*S777*$T$1</f>
        <v>0</v>
      </c>
    </row>
    <row r="778" spans="1:30" s="901" customFormat="1">
      <c r="A778" s="1057">
        <f ca="1">$Q$774 *(ROUNDUP(75/3*8,0))</f>
        <v>280</v>
      </c>
      <c r="B778" s="901" t="s">
        <v>141</v>
      </c>
      <c r="D778" s="901" t="s">
        <v>3154</v>
      </c>
      <c r="G778" s="941" t="s">
        <v>3155</v>
      </c>
      <c r="H778" s="942">
        <v>875</v>
      </c>
      <c r="I778" s="901" t="s">
        <v>2607</v>
      </c>
      <c r="K778" s="901" t="s">
        <v>2966</v>
      </c>
      <c r="O778" s="943">
        <v>1</v>
      </c>
      <c r="P778" s="944">
        <v>34669</v>
      </c>
      <c r="Q778" s="945">
        <v>7.0000000000000007E-2</v>
      </c>
      <c r="R778" s="946">
        <f t="shared" ca="1" si="150"/>
        <v>19.600000000000001</v>
      </c>
      <c r="S778" s="945"/>
      <c r="T778" s="947">
        <f t="shared" ca="1" si="151"/>
        <v>0</v>
      </c>
    </row>
    <row r="779" spans="1:30" s="901" customFormat="1">
      <c r="A779" s="1057">
        <f ca="1">$Q$774 *(ROUNDUP(75/1.2,0))</f>
        <v>88.199999999999989</v>
      </c>
      <c r="B779" s="901" t="s">
        <v>141</v>
      </c>
      <c r="D779" s="901" t="s">
        <v>3156</v>
      </c>
      <c r="G779" s="941" t="s">
        <v>3157</v>
      </c>
      <c r="H779" s="942">
        <v>501</v>
      </c>
      <c r="I779" s="901" t="s">
        <v>3121</v>
      </c>
      <c r="J779" s="901" t="s">
        <v>3158</v>
      </c>
      <c r="K779" s="901" t="s">
        <v>3159</v>
      </c>
      <c r="O779" s="943">
        <v>1</v>
      </c>
      <c r="P779" s="944">
        <v>36175</v>
      </c>
      <c r="Q779" s="945">
        <v>0.77</v>
      </c>
      <c r="R779" s="946">
        <f t="shared" ca="1" si="150"/>
        <v>67.913999999999987</v>
      </c>
      <c r="S779" s="945"/>
      <c r="T779" s="947">
        <f t="shared" ca="1" si="151"/>
        <v>0</v>
      </c>
    </row>
    <row r="780" spans="1:30" s="901" customFormat="1">
      <c r="A780" s="1057">
        <f ca="1">$Q$774 *(ROUNDUP(75/1.2,0))</f>
        <v>88.199999999999989</v>
      </c>
      <c r="B780" s="901" t="s">
        <v>141</v>
      </c>
      <c r="D780" s="901" t="s">
        <v>3160</v>
      </c>
      <c r="G780" s="941" t="s">
        <v>3161</v>
      </c>
      <c r="H780" s="942">
        <v>501</v>
      </c>
      <c r="I780" s="901" t="s">
        <v>2607</v>
      </c>
      <c r="K780" s="901" t="s">
        <v>2747</v>
      </c>
      <c r="O780" s="943">
        <v>1</v>
      </c>
      <c r="P780" s="944"/>
      <c r="Q780" s="945">
        <v>0.05</v>
      </c>
      <c r="R780" s="946">
        <f t="shared" ca="1" si="150"/>
        <v>4.4099999999999993</v>
      </c>
      <c r="S780" s="945"/>
      <c r="T780" s="947">
        <f t="shared" ca="1" si="151"/>
        <v>0</v>
      </c>
    </row>
    <row r="781" spans="1:30" s="901" customFormat="1">
      <c r="A781" s="1057">
        <f ca="1">$Q$774 *(ROUNDUP(75/3,0))</f>
        <v>35</v>
      </c>
      <c r="B781" s="901" t="s">
        <v>141</v>
      </c>
      <c r="D781" s="901" t="s">
        <v>3162</v>
      </c>
      <c r="G781" s="941" t="s">
        <v>3163</v>
      </c>
      <c r="H781" s="942">
        <v>875</v>
      </c>
      <c r="I781" s="901" t="s">
        <v>2607</v>
      </c>
      <c r="K781" s="901" t="s">
        <v>3164</v>
      </c>
      <c r="O781" s="943">
        <v>1</v>
      </c>
      <c r="P781" s="944">
        <v>34669</v>
      </c>
      <c r="Q781" s="945">
        <v>0.5</v>
      </c>
      <c r="R781" s="946">
        <f t="shared" ca="1" si="150"/>
        <v>17.5</v>
      </c>
      <c r="S781" s="945">
        <v>0</v>
      </c>
      <c r="T781" s="947">
        <f t="shared" ca="1" si="151"/>
        <v>0</v>
      </c>
    </row>
    <row r="782" spans="1:30" s="520" customFormat="1">
      <c r="A782" s="758"/>
      <c r="B782" s="3"/>
      <c r="C782" s="758" t="s">
        <v>171</v>
      </c>
      <c r="D782" s="3"/>
      <c r="E782" s="758"/>
      <c r="F782" s="753"/>
      <c r="G782" s="758"/>
      <c r="H782" s="758"/>
      <c r="I782" s="519"/>
      <c r="J782" s="758"/>
      <c r="K782" s="758"/>
      <c r="L782" s="758"/>
      <c r="M782" s="758"/>
      <c r="N782" s="758"/>
      <c r="O782" s="758"/>
      <c r="P782" s="758"/>
      <c r="Q782" s="519"/>
      <c r="R782" s="917">
        <f t="shared" ref="R782" si="152">$A782*Q782</f>
        <v>0</v>
      </c>
      <c r="S782" s="519"/>
      <c r="T782" s="760">
        <f t="shared" ref="T782" si="153">$A782*S782*$T$1</f>
        <v>0</v>
      </c>
      <c r="AD782" s="753"/>
    </row>
    <row r="783" spans="1:30" s="520" customFormat="1" ht="12.6" thickBot="1">
      <c r="A783" s="761" t="s">
        <v>145</v>
      </c>
      <c r="B783" s="762">
        <f ca="1">(R783+T783)-SUM(R775:R782,T775:T782)</f>
        <v>0</v>
      </c>
      <c r="C783" s="763"/>
      <c r="D783" s="937" t="s">
        <v>172</v>
      </c>
      <c r="E783" s="477">
        <f ca="1">IF($B774=0,0,ROUND(ROUND(($R783*$S$2+($T783*$T$2))/$B774, 2)*$C$2,2))</f>
        <v>15.51</v>
      </c>
      <c r="F783" s="478">
        <f ca="1">ROUND($B774*$E783,2)</f>
        <v>1628.55</v>
      </c>
      <c r="G783" s="763"/>
      <c r="H783" s="763"/>
      <c r="I783" s="765"/>
      <c r="J783" s="763"/>
      <c r="K783" s="938" t="s">
        <v>143</v>
      </c>
      <c r="L783" s="766" t="s">
        <v>143</v>
      </c>
      <c r="M783" s="766"/>
      <c r="N783" s="766"/>
      <c r="O783" s="766"/>
      <c r="P783" s="766"/>
      <c r="Q783" s="938"/>
      <c r="R783" s="939">
        <f ca="1">SUM(R775:R782)</f>
        <v>544.12399999999991</v>
      </c>
      <c r="S783" s="940"/>
      <c r="T783" s="939">
        <f ca="1">SUM(T775:T782)</f>
        <v>28.35</v>
      </c>
      <c r="U783" s="531"/>
      <c r="V783" s="531"/>
      <c r="W783" s="531"/>
      <c r="X783" s="531"/>
      <c r="Y783" s="531"/>
      <c r="Z783" s="531"/>
      <c r="AA783" s="531"/>
      <c r="AB783" s="531"/>
      <c r="AD783" s="478">
        <v>4818.8</v>
      </c>
    </row>
    <row r="784" spans="1:30" s="520" customFormat="1" ht="12" thickTop="1">
      <c r="A784" s="51"/>
      <c r="B784" s="51"/>
      <c r="C784" s="51"/>
      <c r="D784" s="51"/>
      <c r="E784" s="51"/>
      <c r="F784" s="51"/>
      <c r="G784" s="51"/>
      <c r="H784" s="51"/>
      <c r="I784" s="51"/>
      <c r="J784" s="51"/>
      <c r="K784" s="51"/>
      <c r="L784" s="51"/>
      <c r="M784" s="51"/>
      <c r="N784" s="51"/>
      <c r="O784" s="52"/>
      <c r="P784" s="51"/>
      <c r="Q784" s="42" t="s">
        <v>168</v>
      </c>
      <c r="R784" s="51"/>
      <c r="S784" s="13"/>
      <c r="T784" s="51"/>
      <c r="AD784" s="51"/>
    </row>
    <row r="785" spans="1:30" s="520" customFormat="1" ht="12.6" thickBot="1">
      <c r="A785" s="927">
        <v>440</v>
      </c>
      <c r="B785" s="928">
        <f ca="1">Elec_Est!B11622</f>
        <v>425</v>
      </c>
      <c r="C785" s="929"/>
      <c r="D785" s="930" t="s">
        <v>3578</v>
      </c>
      <c r="E785" s="931"/>
      <c r="F785" s="931"/>
      <c r="G785" s="752"/>
      <c r="H785" s="752"/>
      <c r="I785" s="932"/>
      <c r="J785" s="752"/>
      <c r="K785" s="929" t="s">
        <v>169</v>
      </c>
      <c r="L785" s="933" t="s">
        <v>169</v>
      </c>
      <c r="M785" s="933"/>
      <c r="N785" s="933"/>
      <c r="O785" s="933"/>
      <c r="P785" s="933"/>
      <c r="Q785" s="934">
        <f ca="1">B785/A785</f>
        <v>0.96590909090909094</v>
      </c>
      <c r="R785" s="935">
        <f ca="1">IF($B785=0,0,IF($S$1="R",ROUND(R795/$B785,2),R795/$B785))</f>
        <v>3.92</v>
      </c>
      <c r="S785" s="1087"/>
      <c r="T785" s="935">
        <f ca="1">IF($B785=0,0,IF($S$1="R",ROUND(T795/$B785,2),T795/$B785))</f>
        <v>0.18</v>
      </c>
      <c r="AD785" s="931"/>
    </row>
    <row r="786" spans="1:30" s="520" customFormat="1" ht="13.8" thickTop="1">
      <c r="A786" s="748"/>
      <c r="B786" s="3"/>
      <c r="C786" s="3"/>
      <c r="D786" s="106" t="s">
        <v>170</v>
      </c>
      <c r="E786" s="3"/>
      <c r="F786" s="3"/>
      <c r="G786" s="3"/>
      <c r="H786" s="3"/>
      <c r="I786" s="3"/>
      <c r="J786" s="3"/>
      <c r="K786" s="3"/>
      <c r="L786" s="3"/>
      <c r="M786" s="3"/>
      <c r="N786" s="3"/>
      <c r="O786" s="107"/>
      <c r="P786" s="3"/>
      <c r="Q786" s="3"/>
      <c r="R786" s="3"/>
      <c r="S786" s="3"/>
      <c r="T786" s="3"/>
      <c r="AD786" s="3"/>
    </row>
    <row r="787" spans="1:30" s="901" customFormat="1">
      <c r="A787" s="1057">
        <f ca="1">$Q$785 *(440)</f>
        <v>425</v>
      </c>
      <c r="B787" s="901" t="s">
        <v>320</v>
      </c>
      <c r="D787" s="901" t="s">
        <v>3167</v>
      </c>
      <c r="E787" s="901" t="s">
        <v>3124</v>
      </c>
      <c r="F787" s="901" t="s">
        <v>3150</v>
      </c>
      <c r="G787" s="941" t="s">
        <v>3168</v>
      </c>
      <c r="H787" s="942">
        <v>650</v>
      </c>
      <c r="I787" s="901" t="s">
        <v>2607</v>
      </c>
      <c r="O787" s="943">
        <v>1</v>
      </c>
      <c r="P787" s="944">
        <v>36897</v>
      </c>
      <c r="Q787" s="945">
        <f>ROUNDUP(2.36*1.145,2)</f>
        <v>2.71</v>
      </c>
      <c r="R787" s="946">
        <f t="shared" ref="R787:R794" ca="1" si="154">$A787*Q787</f>
        <v>1151.75</v>
      </c>
      <c r="S787" s="945">
        <v>0.2</v>
      </c>
      <c r="T787" s="947">
        <f t="shared" ref="T787:T794" ca="1" si="155">$A787*S787*$T$1</f>
        <v>76.5</v>
      </c>
      <c r="AD787" s="901" t="s">
        <v>3150</v>
      </c>
    </row>
    <row r="788" spans="1:30" s="901" customFormat="1">
      <c r="A788" s="1057">
        <f ca="1">$Q$785 *(ROUNDUP(440/3,0))</f>
        <v>141.98863636363637</v>
      </c>
      <c r="B788" s="901" t="s">
        <v>320</v>
      </c>
      <c r="D788" s="901" t="s">
        <v>3152</v>
      </c>
      <c r="E788" s="901" t="s">
        <v>3124</v>
      </c>
      <c r="G788" s="941" t="s">
        <v>3153</v>
      </c>
      <c r="H788" s="942">
        <v>650</v>
      </c>
      <c r="I788" s="901" t="s">
        <v>2607</v>
      </c>
      <c r="O788" s="943">
        <v>1</v>
      </c>
      <c r="P788" s="944">
        <v>35705</v>
      </c>
      <c r="Q788" s="945">
        <f>ROUNDUP(0.22*2*1.145,2)</f>
        <v>0.51</v>
      </c>
      <c r="R788" s="946">
        <f t="shared" ca="1" si="154"/>
        <v>72.414204545454552</v>
      </c>
      <c r="S788" s="945"/>
      <c r="T788" s="947">
        <f t="shared" ca="1" si="155"/>
        <v>0</v>
      </c>
    </row>
    <row r="789" spans="1:30" s="901" customFormat="1">
      <c r="A789" s="1057">
        <f ca="1">$Q$785 *(ROUNDUP(440/3*8,0))</f>
        <v>1133.9772727272727</v>
      </c>
      <c r="B789" s="901" t="s">
        <v>141</v>
      </c>
      <c r="D789" s="901" t="s">
        <v>3154</v>
      </c>
      <c r="G789" s="941" t="s">
        <v>3155</v>
      </c>
      <c r="H789" s="942">
        <v>875</v>
      </c>
      <c r="I789" s="901" t="s">
        <v>2607</v>
      </c>
      <c r="K789" s="901" t="s">
        <v>2966</v>
      </c>
      <c r="O789" s="943">
        <v>1</v>
      </c>
      <c r="P789" s="944">
        <v>34669</v>
      </c>
      <c r="Q789" s="945">
        <v>7.0000000000000007E-2</v>
      </c>
      <c r="R789" s="946">
        <f t="shared" ca="1" si="154"/>
        <v>79.378409090909102</v>
      </c>
      <c r="S789" s="945"/>
      <c r="T789" s="947">
        <f t="shared" ca="1" si="155"/>
        <v>0</v>
      </c>
    </row>
    <row r="790" spans="1:30" s="901" customFormat="1">
      <c r="A790" s="1057">
        <f ca="1">$Q$785 *(ROUNDUP(440/1.2,0))</f>
        <v>354.48863636363637</v>
      </c>
      <c r="B790" s="901" t="s">
        <v>141</v>
      </c>
      <c r="D790" s="901" t="s">
        <v>3156</v>
      </c>
      <c r="G790" s="941" t="s">
        <v>3157</v>
      </c>
      <c r="H790" s="942">
        <v>501</v>
      </c>
      <c r="I790" s="901" t="s">
        <v>3121</v>
      </c>
      <c r="J790" s="901" t="s">
        <v>3158</v>
      </c>
      <c r="K790" s="901" t="s">
        <v>3159</v>
      </c>
      <c r="O790" s="943">
        <v>1</v>
      </c>
      <c r="P790" s="944">
        <v>36175</v>
      </c>
      <c r="Q790" s="945">
        <v>0.77</v>
      </c>
      <c r="R790" s="946">
        <f t="shared" ca="1" si="154"/>
        <v>272.95625000000001</v>
      </c>
      <c r="S790" s="945"/>
      <c r="T790" s="947">
        <f t="shared" ca="1" si="155"/>
        <v>0</v>
      </c>
    </row>
    <row r="791" spans="1:30" s="901" customFormat="1">
      <c r="A791" s="1057">
        <f ca="1">$Q$785 *(ROUNDUP(440/1.2,0))</f>
        <v>354.48863636363637</v>
      </c>
      <c r="B791" s="901" t="s">
        <v>141</v>
      </c>
      <c r="D791" s="901" t="s">
        <v>3160</v>
      </c>
      <c r="G791" s="941" t="s">
        <v>3161</v>
      </c>
      <c r="H791" s="942">
        <v>501</v>
      </c>
      <c r="I791" s="901" t="s">
        <v>2607</v>
      </c>
      <c r="K791" s="901" t="s">
        <v>2747</v>
      </c>
      <c r="O791" s="943">
        <v>1</v>
      </c>
      <c r="P791" s="944"/>
      <c r="Q791" s="945">
        <v>0.05</v>
      </c>
      <c r="R791" s="946">
        <f t="shared" ca="1" si="154"/>
        <v>17.72443181818182</v>
      </c>
      <c r="S791" s="945"/>
      <c r="T791" s="947">
        <f t="shared" ca="1" si="155"/>
        <v>0</v>
      </c>
    </row>
    <row r="792" spans="1:30" s="901" customFormat="1">
      <c r="A792" s="1057">
        <f ca="1">$Q$785 *(ROUNDUP(440/3,0))</f>
        <v>141.98863636363637</v>
      </c>
      <c r="B792" s="901" t="s">
        <v>141</v>
      </c>
      <c r="D792" s="901" t="s">
        <v>3162</v>
      </c>
      <c r="G792" s="941" t="s">
        <v>3163</v>
      </c>
      <c r="H792" s="942">
        <v>875</v>
      </c>
      <c r="I792" s="901" t="s">
        <v>2607</v>
      </c>
      <c r="K792" s="901" t="s">
        <v>3164</v>
      </c>
      <c r="O792" s="943">
        <v>1</v>
      </c>
      <c r="P792" s="944">
        <v>34669</v>
      </c>
      <c r="Q792" s="945">
        <v>0.5</v>
      </c>
      <c r="R792" s="946">
        <f t="shared" ca="1" si="154"/>
        <v>70.994318181818187</v>
      </c>
      <c r="S792" s="945">
        <v>0</v>
      </c>
      <c r="T792" s="947">
        <f t="shared" ca="1" si="155"/>
        <v>0</v>
      </c>
    </row>
    <row r="793" spans="1:30" s="901" customFormat="1">
      <c r="A793" s="1116">
        <f ca="1">$Q$785 *(155)</f>
        <v>149.71590909090909</v>
      </c>
      <c r="B793" s="1084" t="s">
        <v>863</v>
      </c>
      <c r="C793" s="1084"/>
      <c r="D793" s="1084" t="s">
        <v>2752</v>
      </c>
      <c r="E793" s="1084"/>
      <c r="F793" s="1084" t="s">
        <v>3328</v>
      </c>
      <c r="G793" s="1091" t="s">
        <v>2754</v>
      </c>
      <c r="H793" s="1092">
        <v>962</v>
      </c>
      <c r="I793" s="1084" t="s">
        <v>2596</v>
      </c>
      <c r="J793" s="1084"/>
      <c r="K793" s="1084"/>
      <c r="L793" s="1084"/>
      <c r="M793" s="1084"/>
      <c r="N793" s="1084"/>
      <c r="O793" s="1093">
        <v>2</v>
      </c>
      <c r="P793" s="1094">
        <v>38129</v>
      </c>
      <c r="Q793" s="1063"/>
      <c r="R793" s="1096">
        <f ca="1">$A793*Q793</f>
        <v>0</v>
      </c>
      <c r="S793" s="1095"/>
      <c r="T793" s="1097">
        <f ca="1">$A793*S793*$T$1</f>
        <v>0</v>
      </c>
      <c r="U793" s="901" t="s">
        <v>2764</v>
      </c>
      <c r="AD793" s="1084" t="s">
        <v>3328</v>
      </c>
    </row>
    <row r="794" spans="1:30" s="520" customFormat="1">
      <c r="A794" s="758"/>
      <c r="B794" s="3"/>
      <c r="C794" s="758" t="s">
        <v>171</v>
      </c>
      <c r="D794" s="3"/>
      <c r="E794" s="758"/>
      <c r="F794" s="753"/>
      <c r="G794" s="758"/>
      <c r="H794" s="758"/>
      <c r="I794" s="519"/>
      <c r="J794" s="758"/>
      <c r="K794" s="758"/>
      <c r="L794" s="758"/>
      <c r="M794" s="758"/>
      <c r="N794" s="758"/>
      <c r="O794" s="758"/>
      <c r="P794" s="758"/>
      <c r="Q794" s="519"/>
      <c r="R794" s="917">
        <f t="shared" si="154"/>
        <v>0</v>
      </c>
      <c r="S794" s="519"/>
      <c r="T794" s="760">
        <f t="shared" si="155"/>
        <v>0</v>
      </c>
      <c r="AD794" s="753"/>
    </row>
    <row r="795" spans="1:30" s="520" customFormat="1" ht="12.6" thickBot="1">
      <c r="A795" s="761" t="s">
        <v>145</v>
      </c>
      <c r="B795" s="762">
        <f ca="1">(R795+T795)-SUM(R786:R794,T786:T794)</f>
        <v>0</v>
      </c>
      <c r="C795" s="763"/>
      <c r="D795" s="937" t="s">
        <v>172</v>
      </c>
      <c r="E795" s="477">
        <f ca="1">IF($B785=0,0,ROUND(ROUND(($R795*$S$2+($T795*$T$2))/$B785, 2)*$C$2,2))</f>
        <v>10.91</v>
      </c>
      <c r="F795" s="478">
        <f ca="1">ROUND($B785*$E795,2)</f>
        <v>4636.75</v>
      </c>
      <c r="G795" s="763"/>
      <c r="H795" s="763"/>
      <c r="I795" s="765"/>
      <c r="J795" s="763"/>
      <c r="K795" s="938" t="s">
        <v>143</v>
      </c>
      <c r="L795" s="766" t="s">
        <v>143</v>
      </c>
      <c r="M795" s="766"/>
      <c r="N795" s="766"/>
      <c r="O795" s="766"/>
      <c r="P795" s="766"/>
      <c r="Q795" s="938"/>
      <c r="R795" s="939">
        <f ca="1">SUM(R786:R794)</f>
        <v>1665.2176136363637</v>
      </c>
      <c r="S795" s="940"/>
      <c r="T795" s="939">
        <f ca="1">SUM(T786:T794)</f>
        <v>76.5</v>
      </c>
      <c r="U795" s="531"/>
      <c r="V795" s="531"/>
      <c r="W795" s="531"/>
      <c r="X795" s="531"/>
      <c r="Y795" s="531"/>
      <c r="Z795" s="531"/>
      <c r="AA795" s="531"/>
      <c r="AB795" s="531"/>
      <c r="AD795" s="478">
        <v>4767.6499999999996</v>
      </c>
    </row>
    <row r="796" spans="1:30" s="520" customFormat="1" ht="12" thickTop="1">
      <c r="A796" s="51"/>
      <c r="B796" s="51"/>
      <c r="C796" s="51"/>
      <c r="D796" s="51"/>
      <c r="E796" s="51"/>
      <c r="F796" s="51"/>
      <c r="G796" s="51"/>
      <c r="H796" s="51"/>
      <c r="I796" s="51"/>
      <c r="J796" s="51"/>
      <c r="K796" s="51"/>
      <c r="L796" s="51"/>
      <c r="M796" s="51"/>
      <c r="N796" s="51"/>
      <c r="O796" s="52"/>
      <c r="P796" s="51"/>
      <c r="Q796" s="42" t="s">
        <v>168</v>
      </c>
      <c r="R796" s="51"/>
      <c r="S796" s="13"/>
      <c r="T796" s="51"/>
      <c r="AD796" s="51"/>
    </row>
    <row r="797" spans="1:30" s="520" customFormat="1" ht="12" customHeight="1" thickBot="1">
      <c r="A797" s="927">
        <v>75</v>
      </c>
      <c r="B797" s="928">
        <f ca="1">Elec_Est!B11623</f>
        <v>40</v>
      </c>
      <c r="C797" s="929"/>
      <c r="D797" s="930" t="s">
        <v>3579</v>
      </c>
      <c r="E797" s="931"/>
      <c r="F797" s="931"/>
      <c r="G797" s="752"/>
      <c r="H797" s="752"/>
      <c r="I797" s="932"/>
      <c r="J797" s="752"/>
      <c r="K797" s="929" t="s">
        <v>169</v>
      </c>
      <c r="L797" s="933" t="s">
        <v>169</v>
      </c>
      <c r="M797" s="933"/>
      <c r="N797" s="933"/>
      <c r="O797" s="933"/>
      <c r="P797" s="933"/>
      <c r="Q797" s="934">
        <f ca="1">B797/A797</f>
        <v>0.53333333333333333</v>
      </c>
      <c r="R797" s="935">
        <f ca="1">IF($B797=0,0,IF($S$1="R",ROUND(R806/$B797,2),R806/$B797))</f>
        <v>3.34</v>
      </c>
      <c r="S797" s="936"/>
      <c r="T797" s="935">
        <f ca="1">IF($B797=0,0,IF($S$1="R",ROUND(T806/$B797,2),T806/$B797))</f>
        <v>0.16</v>
      </c>
      <c r="AD797" s="931"/>
    </row>
    <row r="798" spans="1:30" s="520" customFormat="1" ht="13.8" thickTop="1">
      <c r="A798" s="748"/>
      <c r="B798" s="3"/>
      <c r="C798" s="3"/>
      <c r="D798" s="106" t="s">
        <v>170</v>
      </c>
      <c r="E798" s="3"/>
      <c r="F798" s="3"/>
      <c r="G798" s="3"/>
      <c r="H798" s="3"/>
      <c r="I798" s="3"/>
      <c r="J798" s="3"/>
      <c r="K798" s="3"/>
      <c r="L798" s="3"/>
      <c r="M798" s="3"/>
      <c r="N798" s="3"/>
      <c r="O798" s="107"/>
      <c r="P798" s="3"/>
      <c r="Q798" s="3"/>
      <c r="R798" s="3"/>
      <c r="S798" s="3"/>
      <c r="T798" s="3"/>
      <c r="AD798" s="3"/>
    </row>
    <row r="799" spans="1:30" s="901" customFormat="1">
      <c r="A799" s="1057">
        <f ca="1">$Q$797 *(75)</f>
        <v>40</v>
      </c>
      <c r="B799" s="901" t="s">
        <v>320</v>
      </c>
      <c r="D799" s="901" t="s">
        <v>3261</v>
      </c>
      <c r="E799" s="901" t="s">
        <v>3124</v>
      </c>
      <c r="F799" s="901" t="s">
        <v>3150</v>
      </c>
      <c r="G799" s="941" t="s">
        <v>3262</v>
      </c>
      <c r="H799" s="942">
        <v>650</v>
      </c>
      <c r="I799" s="901" t="s">
        <v>2607</v>
      </c>
      <c r="O799" s="943">
        <v>1</v>
      </c>
      <c r="P799" s="944"/>
      <c r="Q799" s="945">
        <f>ROUNDUP(1.86*1.145,2)</f>
        <v>2.13</v>
      </c>
      <c r="R799" s="946">
        <f ca="1">$A799*Q799</f>
        <v>85.199999999999989</v>
      </c>
      <c r="S799" s="945">
        <v>0.18</v>
      </c>
      <c r="T799" s="947">
        <f ca="1">$A799*S799*$T$1</f>
        <v>6.4799999999999995</v>
      </c>
      <c r="AD799" s="901" t="s">
        <v>3150</v>
      </c>
    </row>
    <row r="800" spans="1:30" s="901" customFormat="1">
      <c r="A800" s="1057">
        <f ca="1">$Q$797 *(ROUNDUP(75/3,0))</f>
        <v>13.333333333333334</v>
      </c>
      <c r="B800" s="901" t="s">
        <v>141</v>
      </c>
      <c r="D800" s="901" t="s">
        <v>3152</v>
      </c>
      <c r="E800" s="901" t="s">
        <v>3124</v>
      </c>
      <c r="G800" s="941" t="s">
        <v>3153</v>
      </c>
      <c r="H800" s="942">
        <v>650</v>
      </c>
      <c r="I800" s="901" t="s">
        <v>2607</v>
      </c>
      <c r="O800" s="943">
        <v>1</v>
      </c>
      <c r="P800" s="944">
        <v>35705</v>
      </c>
      <c r="Q800" s="945">
        <f>ROUNDUP(0.22*2*1.145,2)</f>
        <v>0.51</v>
      </c>
      <c r="R800" s="946">
        <f t="shared" ref="R800:R804" ca="1" si="156">$A800*Q800</f>
        <v>6.8000000000000007</v>
      </c>
      <c r="S800" s="945"/>
      <c r="T800" s="947">
        <f t="shared" ref="T800:T804" ca="1" si="157">$A800*S800*$T$1</f>
        <v>0</v>
      </c>
    </row>
    <row r="801" spans="1:30" s="901" customFormat="1">
      <c r="A801" s="1057">
        <f ca="1">$Q$797 *(ROUNDUP(75/3*8,0))</f>
        <v>106.66666666666667</v>
      </c>
      <c r="B801" s="901" t="s">
        <v>141</v>
      </c>
      <c r="D801" s="901" t="s">
        <v>3154</v>
      </c>
      <c r="G801" s="941" t="s">
        <v>3155</v>
      </c>
      <c r="H801" s="942">
        <v>875</v>
      </c>
      <c r="I801" s="901" t="s">
        <v>2607</v>
      </c>
      <c r="K801" s="901" t="s">
        <v>2966</v>
      </c>
      <c r="O801" s="943">
        <v>1</v>
      </c>
      <c r="P801" s="944">
        <v>34669</v>
      </c>
      <c r="Q801" s="945">
        <v>7.0000000000000007E-2</v>
      </c>
      <c r="R801" s="946">
        <f t="shared" ca="1" si="156"/>
        <v>7.4666666666666677</v>
      </c>
      <c r="S801" s="945"/>
      <c r="T801" s="947">
        <f t="shared" ca="1" si="157"/>
        <v>0</v>
      </c>
    </row>
    <row r="802" spans="1:30" s="901" customFormat="1">
      <c r="A802" s="1057">
        <f ca="1">$Q$797 *(ROUNDUP(75/1.2,0))</f>
        <v>33.6</v>
      </c>
      <c r="B802" s="901" t="s">
        <v>141</v>
      </c>
      <c r="D802" s="901" t="s">
        <v>3156</v>
      </c>
      <c r="G802" s="941" t="s">
        <v>3157</v>
      </c>
      <c r="H802" s="942">
        <v>501</v>
      </c>
      <c r="I802" s="901" t="s">
        <v>3121</v>
      </c>
      <c r="J802" s="901" t="s">
        <v>3158</v>
      </c>
      <c r="K802" s="901" t="s">
        <v>3159</v>
      </c>
      <c r="O802" s="943">
        <v>1</v>
      </c>
      <c r="P802" s="944">
        <v>36175</v>
      </c>
      <c r="Q802" s="945">
        <v>0.77</v>
      </c>
      <c r="R802" s="946">
        <f t="shared" ca="1" si="156"/>
        <v>25.872000000000003</v>
      </c>
      <c r="S802" s="945"/>
      <c r="T802" s="947">
        <f t="shared" ca="1" si="157"/>
        <v>0</v>
      </c>
    </row>
    <row r="803" spans="1:30" s="901" customFormat="1">
      <c r="A803" s="1057">
        <f ca="1">$Q$797 *(ROUNDUP(75/1.2,0))</f>
        <v>33.6</v>
      </c>
      <c r="B803" s="901" t="s">
        <v>141</v>
      </c>
      <c r="D803" s="901" t="s">
        <v>3160</v>
      </c>
      <c r="G803" s="941" t="s">
        <v>3161</v>
      </c>
      <c r="H803" s="942">
        <v>501</v>
      </c>
      <c r="I803" s="901" t="s">
        <v>2607</v>
      </c>
      <c r="K803" s="901" t="s">
        <v>2747</v>
      </c>
      <c r="O803" s="943">
        <v>1</v>
      </c>
      <c r="P803" s="944"/>
      <c r="Q803" s="945">
        <v>0.05</v>
      </c>
      <c r="R803" s="946">
        <f t="shared" ca="1" si="156"/>
        <v>1.6800000000000002</v>
      </c>
      <c r="S803" s="945"/>
      <c r="T803" s="947">
        <f t="shared" ca="1" si="157"/>
        <v>0</v>
      </c>
    </row>
    <row r="804" spans="1:30" s="901" customFormat="1">
      <c r="A804" s="1057">
        <f ca="1">$Q$797 *(ROUNDUP(75/3,0))</f>
        <v>13.333333333333334</v>
      </c>
      <c r="B804" s="901" t="s">
        <v>141</v>
      </c>
      <c r="D804" s="901" t="s">
        <v>3162</v>
      </c>
      <c r="G804" s="941" t="s">
        <v>3163</v>
      </c>
      <c r="H804" s="942">
        <v>875</v>
      </c>
      <c r="I804" s="901" t="s">
        <v>2607</v>
      </c>
      <c r="K804" s="901" t="s">
        <v>3164</v>
      </c>
      <c r="O804" s="943">
        <v>1</v>
      </c>
      <c r="P804" s="944">
        <v>34669</v>
      </c>
      <c r="Q804" s="945">
        <v>0.5</v>
      </c>
      <c r="R804" s="946">
        <f t="shared" ca="1" si="156"/>
        <v>6.666666666666667</v>
      </c>
      <c r="S804" s="945">
        <v>0</v>
      </c>
      <c r="T804" s="947">
        <f t="shared" ca="1" si="157"/>
        <v>0</v>
      </c>
    </row>
    <row r="805" spans="1:30" s="520" customFormat="1">
      <c r="A805" s="758"/>
      <c r="B805" s="3"/>
      <c r="C805" s="758" t="s">
        <v>171</v>
      </c>
      <c r="D805" s="3"/>
      <c r="E805" s="758"/>
      <c r="F805" s="753"/>
      <c r="G805" s="758"/>
      <c r="H805" s="758"/>
      <c r="I805" s="519"/>
      <c r="J805" s="758"/>
      <c r="K805" s="758"/>
      <c r="L805" s="758"/>
      <c r="M805" s="758"/>
      <c r="N805" s="758"/>
      <c r="O805" s="758"/>
      <c r="P805" s="758"/>
      <c r="Q805" s="519"/>
      <c r="R805" s="917">
        <f t="shared" ref="R805" si="158">$A805*Q805</f>
        <v>0</v>
      </c>
      <c r="S805" s="519"/>
      <c r="T805" s="760">
        <f t="shared" ref="T805" si="159">$A805*S805*$T$1</f>
        <v>0</v>
      </c>
      <c r="AD805" s="753"/>
    </row>
    <row r="806" spans="1:30" s="520" customFormat="1" ht="12.6" thickBot="1">
      <c r="A806" s="761" t="s">
        <v>145</v>
      </c>
      <c r="B806" s="762">
        <f>(R805+T805)</f>
        <v>0</v>
      </c>
      <c r="C806" s="763"/>
      <c r="D806" s="937" t="s">
        <v>172</v>
      </c>
      <c r="E806" s="477">
        <f ca="1">IF($B797=0,0,ROUND(ROUND(($R806*$S$2+($T806*$T$2))/$B797, 2)*$C$2,2))</f>
        <v>9.59</v>
      </c>
      <c r="F806" s="478">
        <f ca="1">ROUND($B797*$E806,2)</f>
        <v>383.6</v>
      </c>
      <c r="G806" s="763"/>
      <c r="H806" s="763"/>
      <c r="I806" s="765"/>
      <c r="J806" s="763"/>
      <c r="K806" s="938" t="s">
        <v>143</v>
      </c>
      <c r="L806" s="766" t="s">
        <v>143</v>
      </c>
      <c r="M806" s="766"/>
      <c r="N806" s="766"/>
      <c r="O806" s="766"/>
      <c r="P806" s="766"/>
      <c r="Q806" s="938"/>
      <c r="R806" s="939">
        <f ca="1">SUM(R798:R805)</f>
        <v>133.68533333333332</v>
      </c>
      <c r="S806" s="940"/>
      <c r="T806" s="939">
        <f ca="1">SUM(T798:T805)</f>
        <v>6.4799999999999995</v>
      </c>
      <c r="U806" s="531"/>
      <c r="V806" s="531"/>
      <c r="W806" s="531"/>
      <c r="X806" s="531"/>
      <c r="Y806" s="531"/>
      <c r="Z806" s="531"/>
      <c r="AA806" s="531"/>
      <c r="AB806" s="531"/>
      <c r="AD806" s="478">
        <v>425.2</v>
      </c>
    </row>
    <row r="807" spans="1:30" s="520" customFormat="1" ht="12" thickTop="1">
      <c r="A807" s="51"/>
      <c r="B807" s="51"/>
      <c r="C807" s="51"/>
      <c r="D807" s="51"/>
      <c r="E807" s="51"/>
      <c r="F807" s="51"/>
      <c r="G807" s="51"/>
      <c r="H807" s="51"/>
      <c r="I807" s="51"/>
      <c r="J807" s="51"/>
      <c r="K807" s="51"/>
      <c r="L807" s="51"/>
      <c r="M807" s="51"/>
      <c r="N807" s="51"/>
      <c r="O807" s="52"/>
      <c r="P807" s="51"/>
      <c r="Q807" s="42" t="s">
        <v>168</v>
      </c>
      <c r="R807" s="51"/>
      <c r="S807" s="13"/>
      <c r="T807" s="51"/>
      <c r="AD807" s="51"/>
    </row>
    <row r="808" spans="1:30" s="520" customFormat="1" ht="12" customHeight="1" thickBot="1">
      <c r="A808" s="927">
        <v>355</v>
      </c>
      <c r="B808" s="928">
        <f ca="1">Elec_Est!B11624</f>
        <v>355</v>
      </c>
      <c r="C808" s="929"/>
      <c r="D808" s="930" t="s">
        <v>3580</v>
      </c>
      <c r="E808" s="931"/>
      <c r="F808" s="931"/>
      <c r="G808" s="752"/>
      <c r="H808" s="752"/>
      <c r="I808" s="932"/>
      <c r="J808" s="752"/>
      <c r="K808" s="929" t="s">
        <v>169</v>
      </c>
      <c r="L808" s="933" t="s">
        <v>169</v>
      </c>
      <c r="M808" s="933"/>
      <c r="N808" s="933"/>
      <c r="O808" s="933"/>
      <c r="P808" s="933"/>
      <c r="Q808" s="934">
        <f ca="1">B808/A808</f>
        <v>1</v>
      </c>
      <c r="R808" s="935">
        <f ca="1">IF($B808=0,0,IF($S$1="R",ROUND(R820/$B808,2),R820/$B808))</f>
        <v>5.86</v>
      </c>
      <c r="S808" s="936"/>
      <c r="T808" s="935">
        <f ca="1">IF($B808=0,0,IF($S$1="R",ROUND(T820/$B808,2),T820/$B808))</f>
        <v>0.27</v>
      </c>
      <c r="AD808" s="931"/>
    </row>
    <row r="809" spans="1:30" s="520" customFormat="1" ht="13.8" thickTop="1">
      <c r="A809" s="748"/>
      <c r="B809" s="3"/>
      <c r="C809" s="3"/>
      <c r="D809" s="106" t="s">
        <v>170</v>
      </c>
      <c r="E809" s="3"/>
      <c r="F809" s="3"/>
      <c r="G809" s="3"/>
      <c r="H809" s="3"/>
      <c r="I809" s="3"/>
      <c r="J809" s="3"/>
      <c r="K809" s="3"/>
      <c r="L809" s="3"/>
      <c r="M809" s="3"/>
      <c r="N809" s="3"/>
      <c r="O809" s="107"/>
      <c r="P809" s="3"/>
      <c r="Q809" s="3"/>
      <c r="R809" s="3"/>
      <c r="S809" s="3"/>
      <c r="T809" s="3"/>
      <c r="AD809" s="3"/>
    </row>
    <row r="810" spans="1:30" s="901" customFormat="1">
      <c r="A810" s="1057">
        <f ca="1">$Q$808 *(355)</f>
        <v>355</v>
      </c>
      <c r="B810" s="901" t="s">
        <v>320</v>
      </c>
      <c r="D810" s="901" t="s">
        <v>3185</v>
      </c>
      <c r="E810" s="901" t="s">
        <v>3124</v>
      </c>
      <c r="G810" s="941" t="s">
        <v>3173</v>
      </c>
      <c r="H810" s="942">
        <v>675</v>
      </c>
      <c r="I810" s="901" t="s">
        <v>3174</v>
      </c>
      <c r="O810" s="943">
        <v>1</v>
      </c>
      <c r="P810" s="944">
        <v>39111</v>
      </c>
      <c r="Q810" s="945">
        <f>ROUNDUP(4.12*1.145,2)</f>
        <v>4.72</v>
      </c>
      <c r="R810" s="946">
        <f t="shared" ref="R810:R819" ca="1" si="160">$A810*Q810</f>
        <v>1675.6</v>
      </c>
      <c r="S810" s="1205">
        <v>0.3</v>
      </c>
      <c r="T810" s="947">
        <f t="shared" ref="T810:T819" ca="1" si="161">$A810*S810*$T$1</f>
        <v>95.850000000000009</v>
      </c>
      <c r="X810" s="901">
        <v>0.34</v>
      </c>
      <c r="AC810" s="520"/>
    </row>
    <row r="811" spans="1:30" s="901" customFormat="1">
      <c r="A811" s="1057">
        <f ca="1">$Q$808 *(ROUNDUP(355/3/6,0))</f>
        <v>20</v>
      </c>
      <c r="B811" s="901" t="s">
        <v>141</v>
      </c>
      <c r="D811" s="901" t="s">
        <v>3185</v>
      </c>
      <c r="E811" s="901" t="s">
        <v>3124</v>
      </c>
      <c r="F811" s="901" t="s">
        <v>3175</v>
      </c>
      <c r="G811" s="941" t="s">
        <v>3173</v>
      </c>
      <c r="H811" s="942">
        <v>675</v>
      </c>
      <c r="I811" s="901" t="s">
        <v>3174</v>
      </c>
      <c r="O811" s="943">
        <v>1</v>
      </c>
      <c r="P811" s="944">
        <v>39111</v>
      </c>
      <c r="Q811" s="945">
        <f>ROUNDUP(2.6*1.145,2)</f>
        <v>2.98</v>
      </c>
      <c r="R811" s="946">
        <f t="shared" ca="1" si="160"/>
        <v>59.6</v>
      </c>
      <c r="S811" s="945"/>
      <c r="T811" s="947">
        <f t="shared" ca="1" si="161"/>
        <v>0</v>
      </c>
      <c r="AC811" s="520"/>
      <c r="AD811" s="901" t="s">
        <v>3175</v>
      </c>
    </row>
    <row r="812" spans="1:30" s="901" customFormat="1">
      <c r="A812" s="1057">
        <f ca="1">$Q$808 *(ROUNDUP(355/3/5,0))</f>
        <v>24</v>
      </c>
      <c r="B812" s="901" t="s">
        <v>141</v>
      </c>
      <c r="D812" s="901" t="s">
        <v>3185</v>
      </c>
      <c r="E812" s="901" t="s">
        <v>3124</v>
      </c>
      <c r="F812" s="901" t="s">
        <v>3176</v>
      </c>
      <c r="G812" s="941" t="s">
        <v>3173</v>
      </c>
      <c r="H812" s="942">
        <v>675</v>
      </c>
      <c r="I812" s="901" t="s">
        <v>3174</v>
      </c>
      <c r="O812" s="943">
        <v>1</v>
      </c>
      <c r="P812" s="944">
        <v>39111</v>
      </c>
      <c r="Q812" s="945">
        <f>ROUNDUP(2.17*1.145,2)</f>
        <v>2.4899999999999998</v>
      </c>
      <c r="R812" s="946">
        <f t="shared" ca="1" si="160"/>
        <v>59.759999999999991</v>
      </c>
      <c r="S812" s="945"/>
      <c r="T812" s="947">
        <f t="shared" ca="1" si="161"/>
        <v>0</v>
      </c>
      <c r="AC812" s="520"/>
      <c r="AD812" s="901" t="s">
        <v>3176</v>
      </c>
    </row>
    <row r="813" spans="1:30" s="901" customFormat="1">
      <c r="A813" s="1057">
        <f ca="1">$Q$808 *(ROUNDUP(355/3/3,0))</f>
        <v>40</v>
      </c>
      <c r="B813" s="901" t="s">
        <v>141</v>
      </c>
      <c r="D813" s="901" t="s">
        <v>3185</v>
      </c>
      <c r="E813" s="901" t="s">
        <v>3124</v>
      </c>
      <c r="F813" s="901" t="s">
        <v>3177</v>
      </c>
      <c r="G813" s="941" t="s">
        <v>3173</v>
      </c>
      <c r="H813" s="942">
        <v>675</v>
      </c>
      <c r="I813" s="901" t="s">
        <v>3174</v>
      </c>
      <c r="O813" s="943">
        <v>1</v>
      </c>
      <c r="P813" s="944">
        <v>39111</v>
      </c>
      <c r="Q813" s="945">
        <f>ROUNDUP(1.77*1.145,2)</f>
        <v>2.0299999999999998</v>
      </c>
      <c r="R813" s="946">
        <f t="shared" ca="1" si="160"/>
        <v>81.199999999999989</v>
      </c>
      <c r="S813" s="945"/>
      <c r="T813" s="947">
        <f t="shared" ca="1" si="161"/>
        <v>0</v>
      </c>
      <c r="AC813" s="520"/>
      <c r="AD813" s="901" t="s">
        <v>3177</v>
      </c>
    </row>
    <row r="814" spans="1:30" s="901" customFormat="1">
      <c r="A814" s="1057">
        <f ca="1">$Q$808 *(ROUNDUP(355/3/3,0))</f>
        <v>40</v>
      </c>
      <c r="B814" s="901" t="s">
        <v>141</v>
      </c>
      <c r="D814" s="901" t="s">
        <v>3185</v>
      </c>
      <c r="E814" s="901" t="s">
        <v>3124</v>
      </c>
      <c r="F814" s="901" t="s">
        <v>3178</v>
      </c>
      <c r="G814" s="941" t="s">
        <v>3173</v>
      </c>
      <c r="H814" s="942">
        <v>675</v>
      </c>
      <c r="I814" s="901" t="s">
        <v>3174</v>
      </c>
      <c r="O814" s="943">
        <v>1</v>
      </c>
      <c r="P814" s="944">
        <v>39111</v>
      </c>
      <c r="Q814" s="945">
        <f>ROUNDUP(1.5*1.145,2)</f>
        <v>1.72</v>
      </c>
      <c r="R814" s="946">
        <f t="shared" ca="1" si="160"/>
        <v>68.8</v>
      </c>
      <c r="S814" s="945"/>
      <c r="T814" s="947">
        <f t="shared" ca="1" si="161"/>
        <v>0</v>
      </c>
      <c r="AC814" s="520"/>
      <c r="AD814" s="901" t="s">
        <v>3178</v>
      </c>
    </row>
    <row r="815" spans="1:30" s="901" customFormat="1">
      <c r="A815" s="1056">
        <f ca="1">$Q$808 *(355/2.4)</f>
        <v>147.91666666666669</v>
      </c>
      <c r="B815" s="901" t="s">
        <v>141</v>
      </c>
      <c r="D815" s="901" t="s">
        <v>3162</v>
      </c>
      <c r="G815" s="941" t="s">
        <v>3163</v>
      </c>
      <c r="H815" s="942">
        <v>875</v>
      </c>
      <c r="I815" s="901" t="s">
        <v>2607</v>
      </c>
      <c r="K815" s="901" t="s">
        <v>3164</v>
      </c>
      <c r="O815" s="943">
        <v>1</v>
      </c>
      <c r="P815" s="944">
        <v>34669</v>
      </c>
      <c r="Q815" s="945">
        <v>0.5</v>
      </c>
      <c r="R815" s="946">
        <f t="shared" ca="1" si="160"/>
        <v>73.958333333333343</v>
      </c>
      <c r="S815" s="945">
        <v>0</v>
      </c>
      <c r="T815" s="947">
        <f t="shared" ca="1" si="161"/>
        <v>0</v>
      </c>
      <c r="AC815" s="520"/>
    </row>
    <row r="816" spans="1:30" s="901" customFormat="1">
      <c r="A816" s="1056">
        <f ca="1">$Q$808 *(355/2.4*8)</f>
        <v>1183.3333333333335</v>
      </c>
      <c r="B816" s="901" t="s">
        <v>141</v>
      </c>
      <c r="D816" s="901" t="s">
        <v>3179</v>
      </c>
      <c r="G816" s="941" t="s">
        <v>3180</v>
      </c>
      <c r="H816" s="942">
        <v>875</v>
      </c>
      <c r="I816" s="901" t="s">
        <v>2607</v>
      </c>
      <c r="K816" s="901" t="s">
        <v>3181</v>
      </c>
      <c r="O816" s="943">
        <v>1</v>
      </c>
      <c r="P816" s="944">
        <v>34669</v>
      </c>
      <c r="Q816" s="945">
        <v>0.02</v>
      </c>
      <c r="R816" s="946">
        <f t="shared" ca="1" si="160"/>
        <v>23.666666666666671</v>
      </c>
      <c r="S816" s="945"/>
      <c r="T816" s="947">
        <f t="shared" ca="1" si="161"/>
        <v>0</v>
      </c>
      <c r="AC816" s="520"/>
    </row>
    <row r="817" spans="1:30" s="901" customFormat="1">
      <c r="A817" s="1056">
        <f ca="1">$Q$808 *(355)</f>
        <v>355</v>
      </c>
      <c r="B817" s="901" t="s">
        <v>141</v>
      </c>
      <c r="D817" s="901" t="s">
        <v>3154</v>
      </c>
      <c r="G817" s="941" t="s">
        <v>3155</v>
      </c>
      <c r="H817" s="942">
        <v>875</v>
      </c>
      <c r="I817" s="901" t="s">
        <v>2607</v>
      </c>
      <c r="K817" s="901" t="s">
        <v>2966</v>
      </c>
      <c r="O817" s="943">
        <v>1</v>
      </c>
      <c r="P817" s="944">
        <v>34669</v>
      </c>
      <c r="Q817" s="945">
        <v>7.0000000000000007E-2</v>
      </c>
      <c r="R817" s="946">
        <f t="shared" ca="1" si="160"/>
        <v>24.85</v>
      </c>
      <c r="S817" s="945"/>
      <c r="T817" s="947">
        <f t="shared" ca="1" si="161"/>
        <v>0</v>
      </c>
    </row>
    <row r="818" spans="1:30" s="901" customFormat="1">
      <c r="A818" s="1056">
        <f ca="1">$Q$808 *(355*2)</f>
        <v>710</v>
      </c>
      <c r="B818" s="901" t="s">
        <v>141</v>
      </c>
      <c r="D818" s="901" t="s">
        <v>3182</v>
      </c>
      <c r="G818" s="941" t="s">
        <v>3183</v>
      </c>
      <c r="H818" s="942">
        <v>875</v>
      </c>
      <c r="I818" s="901" t="s">
        <v>2607</v>
      </c>
      <c r="K818" s="901" t="s">
        <v>3184</v>
      </c>
      <c r="O818" s="943">
        <v>1</v>
      </c>
      <c r="P818" s="944">
        <v>34669</v>
      </c>
      <c r="Q818" s="945">
        <v>0.02</v>
      </c>
      <c r="R818" s="946">
        <f t="shared" ca="1" si="160"/>
        <v>14.200000000000001</v>
      </c>
      <c r="S818" s="945"/>
      <c r="T818" s="947">
        <f t="shared" ca="1" si="161"/>
        <v>0</v>
      </c>
    </row>
    <row r="819" spans="1:30" s="520" customFormat="1">
      <c r="A819" s="758"/>
      <c r="B819" s="3"/>
      <c r="C819" s="758" t="s">
        <v>171</v>
      </c>
      <c r="D819" s="3"/>
      <c r="E819" s="758"/>
      <c r="F819" s="753"/>
      <c r="G819" s="758"/>
      <c r="H819" s="758"/>
      <c r="I819" s="519"/>
      <c r="J819" s="758"/>
      <c r="K819" s="758"/>
      <c r="L819" s="758"/>
      <c r="M819" s="758"/>
      <c r="N819" s="758"/>
      <c r="O819" s="758"/>
      <c r="P819" s="758"/>
      <c r="Q819" s="519"/>
      <c r="R819" s="917">
        <f t="shared" si="160"/>
        <v>0</v>
      </c>
      <c r="S819" s="519"/>
      <c r="T819" s="760">
        <f t="shared" si="161"/>
        <v>0</v>
      </c>
      <c r="AD819" s="753"/>
    </row>
    <row r="820" spans="1:30" s="520" customFormat="1" ht="12.6" thickBot="1">
      <c r="A820" s="761" t="s">
        <v>145</v>
      </c>
      <c r="B820" s="762">
        <f>(R819+T819)</f>
        <v>0</v>
      </c>
      <c r="C820" s="763"/>
      <c r="D820" s="937" t="s">
        <v>172</v>
      </c>
      <c r="E820" s="477">
        <f ca="1">IF($B808=0,0,ROUND(ROUND(($R820*$S$2+($T820*$T$2))/$B808, 2)*$C$2,2))</f>
        <v>16.350000000000001</v>
      </c>
      <c r="F820" s="478">
        <f ca="1">ROUND($B808*$E820,2)</f>
        <v>5804.25</v>
      </c>
      <c r="G820" s="763"/>
      <c r="H820" s="763"/>
      <c r="I820" s="765"/>
      <c r="J820" s="763"/>
      <c r="K820" s="938" t="s">
        <v>143</v>
      </c>
      <c r="L820" s="766" t="s">
        <v>143</v>
      </c>
      <c r="M820" s="766"/>
      <c r="N820" s="766"/>
      <c r="O820" s="766"/>
      <c r="P820" s="766"/>
      <c r="Q820" s="938"/>
      <c r="R820" s="939">
        <f ca="1">SUM(R809:R819)</f>
        <v>2081.6349999999998</v>
      </c>
      <c r="S820" s="940"/>
      <c r="T820" s="939">
        <f ca="1">SUM(T809:T819)</f>
        <v>95.850000000000009</v>
      </c>
      <c r="U820" s="531"/>
      <c r="V820" s="531"/>
      <c r="W820" s="531"/>
      <c r="X820" s="531"/>
      <c r="Y820" s="531"/>
      <c r="Z820" s="531"/>
      <c r="AA820" s="531"/>
      <c r="AB820" s="531"/>
      <c r="AD820" s="478">
        <v>6421.95</v>
      </c>
    </row>
    <row r="821" spans="1:30" s="520" customFormat="1" ht="12" thickTop="1">
      <c r="A821" s="51"/>
      <c r="B821" s="51"/>
      <c r="C821" s="51"/>
      <c r="D821" s="51"/>
      <c r="E821" s="51"/>
      <c r="F821" s="51"/>
      <c r="G821" s="51"/>
      <c r="H821" s="51"/>
      <c r="I821" s="51"/>
      <c r="J821" s="51"/>
      <c r="K821" s="51"/>
      <c r="L821" s="51"/>
      <c r="M821" s="51"/>
      <c r="N821" s="51"/>
      <c r="O821" s="52"/>
      <c r="P821" s="51"/>
      <c r="Q821" s="42" t="s">
        <v>168</v>
      </c>
      <c r="R821" s="51"/>
      <c r="S821" s="13"/>
      <c r="T821" s="51"/>
      <c r="AD821" s="51"/>
    </row>
    <row r="822" spans="1:30" s="520" customFormat="1" ht="12" customHeight="1" thickBot="1">
      <c r="A822" s="927">
        <v>1040</v>
      </c>
      <c r="B822" s="928">
        <f ca="1">Elec_Est!B11625</f>
        <v>1133.0434782608695</v>
      </c>
      <c r="C822" s="929"/>
      <c r="D822" s="930" t="s">
        <v>3581</v>
      </c>
      <c r="E822" s="931"/>
      <c r="F822" s="931"/>
      <c r="G822" s="752"/>
      <c r="H822" s="752"/>
      <c r="I822" s="932"/>
      <c r="J822" s="752"/>
      <c r="K822" s="929" t="s">
        <v>169</v>
      </c>
      <c r="L822" s="933" t="s">
        <v>169</v>
      </c>
      <c r="M822" s="933"/>
      <c r="N822" s="933"/>
      <c r="O822" s="933"/>
      <c r="P822" s="933"/>
      <c r="Q822" s="934">
        <f ca="1">B822/A822</f>
        <v>1.0894648829431437</v>
      </c>
      <c r="R822" s="935">
        <f ca="1">IF($B822=0,0,IF($S$1="R",ROUND(R835/$B822,2),R835/$B822))</f>
        <v>6.95</v>
      </c>
      <c r="S822" s="936"/>
      <c r="T822" s="935">
        <f ca="1">IF($B822=0,0,IF($S$1="R",ROUND(T835/$B822,2),T835/$B822))</f>
        <v>0.28999999999999998</v>
      </c>
      <c r="AD822" s="931"/>
    </row>
    <row r="823" spans="1:30" s="520" customFormat="1" ht="13.8" thickTop="1">
      <c r="A823" s="748"/>
      <c r="B823" s="3"/>
      <c r="C823" s="3"/>
      <c r="D823" s="106" t="s">
        <v>170</v>
      </c>
      <c r="E823" s="3"/>
      <c r="F823" s="3"/>
      <c r="G823" s="3"/>
      <c r="H823" s="3"/>
      <c r="I823" s="3"/>
      <c r="J823" s="3"/>
      <c r="K823" s="3"/>
      <c r="L823" s="3"/>
      <c r="M823" s="3"/>
      <c r="N823" s="3"/>
      <c r="O823" s="107"/>
      <c r="P823" s="3"/>
      <c r="Q823" s="3"/>
      <c r="R823" s="3"/>
      <c r="S823" s="3"/>
      <c r="T823" s="3"/>
      <c r="AD823" s="3"/>
    </row>
    <row r="824" spans="1:30" s="901" customFormat="1">
      <c r="A824" s="1057">
        <f ca="1">$Q$822 *(1040)</f>
        <v>1133.0434782608695</v>
      </c>
      <c r="B824" s="901" t="s">
        <v>320</v>
      </c>
      <c r="D824" s="901" t="s">
        <v>3186</v>
      </c>
      <c r="E824" s="901" t="s">
        <v>3124</v>
      </c>
      <c r="G824" s="941" t="s">
        <v>3173</v>
      </c>
      <c r="H824" s="942">
        <v>675</v>
      </c>
      <c r="I824" s="901" t="s">
        <v>3174</v>
      </c>
      <c r="O824" s="943">
        <v>1</v>
      </c>
      <c r="P824" s="944">
        <v>39111</v>
      </c>
      <c r="Q824" s="945">
        <f>ROUNDUP(4.84*1.145,2)</f>
        <v>5.55</v>
      </c>
      <c r="R824" s="946">
        <f t="shared" ref="R824:R834" ca="1" si="162">$A824*Q824</f>
        <v>6288.391304347826</v>
      </c>
      <c r="S824" s="1205">
        <v>0.32</v>
      </c>
      <c r="T824" s="947">
        <f t="shared" ref="T824:T834" ca="1" si="163">$A824*S824*$T$1</f>
        <v>326.31652173913039</v>
      </c>
      <c r="X824" s="901">
        <v>0.34</v>
      </c>
      <c r="AC824" s="520"/>
    </row>
    <row r="825" spans="1:30" s="901" customFormat="1">
      <c r="A825" s="1057">
        <f ca="1">$Q$822 *(ROUNDUP(1040/3/6,0))</f>
        <v>63.188963210702333</v>
      </c>
      <c r="B825" s="901" t="s">
        <v>141</v>
      </c>
      <c r="D825" s="901" t="s">
        <v>3186</v>
      </c>
      <c r="E825" s="901" t="s">
        <v>3124</v>
      </c>
      <c r="F825" s="901" t="s">
        <v>3175</v>
      </c>
      <c r="G825" s="941" t="s">
        <v>3173</v>
      </c>
      <c r="H825" s="942">
        <v>675</v>
      </c>
      <c r="I825" s="901" t="s">
        <v>3174</v>
      </c>
      <c r="O825" s="943">
        <v>1</v>
      </c>
      <c r="P825" s="944">
        <v>39111</v>
      </c>
      <c r="Q825" s="945">
        <f>ROUNDUP(2.81*1.145,2)</f>
        <v>3.2199999999999998</v>
      </c>
      <c r="R825" s="946">
        <f t="shared" ca="1" si="162"/>
        <v>203.4684615384615</v>
      </c>
      <c r="S825" s="945"/>
      <c r="T825" s="947">
        <f t="shared" ca="1" si="163"/>
        <v>0</v>
      </c>
      <c r="AC825" s="520"/>
      <c r="AD825" s="901" t="s">
        <v>3175</v>
      </c>
    </row>
    <row r="826" spans="1:30" s="901" customFormat="1">
      <c r="A826" s="1057">
        <f ca="1">$Q$822 *(ROUNDUP(1040/3/5,0))</f>
        <v>76.262541806020053</v>
      </c>
      <c r="B826" s="901" t="s">
        <v>141</v>
      </c>
      <c r="D826" s="901" t="s">
        <v>3186</v>
      </c>
      <c r="E826" s="901" t="s">
        <v>3124</v>
      </c>
      <c r="F826" s="901" t="s">
        <v>3176</v>
      </c>
      <c r="G826" s="941" t="s">
        <v>3173</v>
      </c>
      <c r="H826" s="942">
        <v>675</v>
      </c>
      <c r="I826" s="901" t="s">
        <v>3174</v>
      </c>
      <c r="O826" s="943">
        <v>1</v>
      </c>
      <c r="P826" s="944">
        <v>39111</v>
      </c>
      <c r="Q826" s="945">
        <f>ROUNDUP(2.53*1.145,2)</f>
        <v>2.9</v>
      </c>
      <c r="R826" s="946">
        <f t="shared" ca="1" si="162"/>
        <v>221.16137123745816</v>
      </c>
      <c r="S826" s="945"/>
      <c r="T826" s="947">
        <f t="shared" ca="1" si="163"/>
        <v>0</v>
      </c>
      <c r="AC826" s="520"/>
      <c r="AD826" s="901" t="s">
        <v>3176</v>
      </c>
    </row>
    <row r="827" spans="1:30" s="901" customFormat="1">
      <c r="A827" s="1057">
        <f ca="1">$Q$822 *(ROUNDUP(1040/3/3,0))</f>
        <v>126.37792642140467</v>
      </c>
      <c r="B827" s="901" t="s">
        <v>141</v>
      </c>
      <c r="D827" s="901" t="s">
        <v>3186</v>
      </c>
      <c r="E827" s="901" t="s">
        <v>3124</v>
      </c>
      <c r="F827" s="901" t="s">
        <v>3177</v>
      </c>
      <c r="G827" s="941" t="s">
        <v>3173</v>
      </c>
      <c r="H827" s="942">
        <v>675</v>
      </c>
      <c r="I827" s="901" t="s">
        <v>3174</v>
      </c>
      <c r="O827" s="943">
        <v>1</v>
      </c>
      <c r="P827" s="944">
        <v>39111</v>
      </c>
      <c r="Q827" s="945">
        <f>ROUNDUP(2.81*1.145,2)</f>
        <v>3.2199999999999998</v>
      </c>
      <c r="R827" s="946">
        <f t="shared" ca="1" si="162"/>
        <v>406.93692307692299</v>
      </c>
      <c r="S827" s="945"/>
      <c r="T827" s="947">
        <f t="shared" ca="1" si="163"/>
        <v>0</v>
      </c>
      <c r="AC827" s="520"/>
      <c r="AD827" s="901" t="s">
        <v>3177</v>
      </c>
    </row>
    <row r="828" spans="1:30" s="901" customFormat="1">
      <c r="A828" s="1057">
        <f ca="1">$Q$822 *(ROUNDUP(1040/3/3,0))</f>
        <v>126.37792642140467</v>
      </c>
      <c r="B828" s="901" t="s">
        <v>141</v>
      </c>
      <c r="D828" s="901" t="s">
        <v>3186</v>
      </c>
      <c r="E828" s="901" t="s">
        <v>3124</v>
      </c>
      <c r="F828" s="901" t="s">
        <v>3178</v>
      </c>
      <c r="G828" s="941" t="s">
        <v>3173</v>
      </c>
      <c r="H828" s="942">
        <v>675</v>
      </c>
      <c r="I828" s="901" t="s">
        <v>3174</v>
      </c>
      <c r="O828" s="943">
        <v>1</v>
      </c>
      <c r="P828" s="944">
        <v>39111</v>
      </c>
      <c r="Q828" s="945">
        <f>ROUNDUP(2.2*1.145,2)</f>
        <v>2.5199999999999996</v>
      </c>
      <c r="R828" s="946">
        <f t="shared" ca="1" si="162"/>
        <v>318.47237458193973</v>
      </c>
      <c r="S828" s="945"/>
      <c r="T828" s="947">
        <f t="shared" ca="1" si="163"/>
        <v>0</v>
      </c>
      <c r="AC828" s="520"/>
      <c r="AD828" s="901" t="s">
        <v>3178</v>
      </c>
    </row>
    <row r="829" spans="1:30" s="901" customFormat="1">
      <c r="A829" s="1056">
        <f ca="1">$Q$822 *(1040/2.4)</f>
        <v>472.10144927536231</v>
      </c>
      <c r="B829" s="901" t="s">
        <v>141</v>
      </c>
      <c r="D829" s="901" t="s">
        <v>3162</v>
      </c>
      <c r="G829" s="941" t="s">
        <v>3163</v>
      </c>
      <c r="H829" s="942">
        <v>875</v>
      </c>
      <c r="I829" s="901" t="s">
        <v>2607</v>
      </c>
      <c r="K829" s="901" t="s">
        <v>3164</v>
      </c>
      <c r="O829" s="943">
        <v>1</v>
      </c>
      <c r="P829" s="944">
        <v>34669</v>
      </c>
      <c r="Q829" s="945">
        <v>0.5</v>
      </c>
      <c r="R829" s="946">
        <f t="shared" ca="1" si="162"/>
        <v>236.05072463768116</v>
      </c>
      <c r="S829" s="945">
        <v>0</v>
      </c>
      <c r="T829" s="947">
        <f t="shared" ca="1" si="163"/>
        <v>0</v>
      </c>
      <c r="AC829" s="520"/>
    </row>
    <row r="830" spans="1:30" s="901" customFormat="1">
      <c r="A830" s="1056">
        <f ca="1">$Q$822 *(1040/2.4*8)</f>
        <v>3776.8115942028985</v>
      </c>
      <c r="B830" s="901" t="s">
        <v>141</v>
      </c>
      <c r="D830" s="901" t="s">
        <v>3179</v>
      </c>
      <c r="G830" s="941" t="s">
        <v>3180</v>
      </c>
      <c r="H830" s="942">
        <v>875</v>
      </c>
      <c r="I830" s="901" t="s">
        <v>2607</v>
      </c>
      <c r="K830" s="901" t="s">
        <v>3181</v>
      </c>
      <c r="O830" s="943">
        <v>1</v>
      </c>
      <c r="P830" s="944">
        <v>34669</v>
      </c>
      <c r="Q830" s="945">
        <v>0.02</v>
      </c>
      <c r="R830" s="946">
        <f t="shared" ca="1" si="162"/>
        <v>75.536231884057969</v>
      </c>
      <c r="S830" s="945"/>
      <c r="T830" s="947">
        <f t="shared" ca="1" si="163"/>
        <v>0</v>
      </c>
      <c r="AC830" s="520"/>
    </row>
    <row r="831" spans="1:30" s="901" customFormat="1">
      <c r="A831" s="1056">
        <f ca="1">$Q$822 *(1040)</f>
        <v>1133.0434782608695</v>
      </c>
      <c r="B831" s="901" t="s">
        <v>141</v>
      </c>
      <c r="D831" s="901" t="s">
        <v>3154</v>
      </c>
      <c r="G831" s="941" t="s">
        <v>3155</v>
      </c>
      <c r="H831" s="942">
        <v>875</v>
      </c>
      <c r="I831" s="901" t="s">
        <v>2607</v>
      </c>
      <c r="K831" s="901" t="s">
        <v>2966</v>
      </c>
      <c r="O831" s="943">
        <v>1</v>
      </c>
      <c r="P831" s="944">
        <v>34669</v>
      </c>
      <c r="Q831" s="945">
        <v>7.0000000000000007E-2</v>
      </c>
      <c r="R831" s="946">
        <f t="shared" ca="1" si="162"/>
        <v>79.313043478260866</v>
      </c>
      <c r="S831" s="945"/>
      <c r="T831" s="947">
        <f t="shared" ca="1" si="163"/>
        <v>0</v>
      </c>
    </row>
    <row r="832" spans="1:30" s="901" customFormat="1">
      <c r="A832" s="1056">
        <f ca="1">$Q$822 *(1040*2)</f>
        <v>2266.086956521739</v>
      </c>
      <c r="B832" s="901" t="s">
        <v>141</v>
      </c>
      <c r="D832" s="901" t="s">
        <v>3182</v>
      </c>
      <c r="G832" s="941" t="s">
        <v>3183</v>
      </c>
      <c r="H832" s="942">
        <v>875</v>
      </c>
      <c r="I832" s="901" t="s">
        <v>2607</v>
      </c>
      <c r="K832" s="901" t="s">
        <v>3184</v>
      </c>
      <c r="O832" s="943">
        <v>1</v>
      </c>
      <c r="P832" s="944">
        <v>34669</v>
      </c>
      <c r="Q832" s="945">
        <v>0.02</v>
      </c>
      <c r="R832" s="946">
        <f t="shared" ca="1" si="162"/>
        <v>45.321739130434779</v>
      </c>
      <c r="S832" s="945"/>
      <c r="T832" s="947">
        <f t="shared" ca="1" si="163"/>
        <v>0</v>
      </c>
    </row>
    <row r="833" spans="1:30" s="901" customFormat="1">
      <c r="A833" s="1116">
        <f ca="1">$Q$822 *(175+135+180)</f>
        <v>533.83779264214036</v>
      </c>
      <c r="B833" s="1084" t="s">
        <v>863</v>
      </c>
      <c r="C833" s="1084"/>
      <c r="D833" s="1084" t="s">
        <v>2752</v>
      </c>
      <c r="E833" s="1084"/>
      <c r="F833" s="1084" t="s">
        <v>3328</v>
      </c>
      <c r="G833" s="1091" t="s">
        <v>2754</v>
      </c>
      <c r="H833" s="1092">
        <v>962</v>
      </c>
      <c r="I833" s="1084" t="s">
        <v>2596</v>
      </c>
      <c r="J833" s="1084"/>
      <c r="K833" s="1084"/>
      <c r="L833" s="1084"/>
      <c r="M833" s="1084"/>
      <c r="N833" s="1084"/>
      <c r="O833" s="1093">
        <v>2</v>
      </c>
      <c r="P833" s="1094">
        <v>38129</v>
      </c>
      <c r="Q833" s="1063"/>
      <c r="R833" s="1096">
        <f ca="1">$A833*Q833</f>
        <v>0</v>
      </c>
      <c r="S833" s="1095"/>
      <c r="T833" s="1097">
        <f ca="1">$A833*S833*$T$1</f>
        <v>0</v>
      </c>
      <c r="U833" s="901" t="s">
        <v>2764</v>
      </c>
      <c r="AD833" s="1084" t="s">
        <v>3328</v>
      </c>
    </row>
    <row r="834" spans="1:30" s="520" customFormat="1">
      <c r="A834" s="758"/>
      <c r="B834" s="3"/>
      <c r="C834" s="758" t="s">
        <v>171</v>
      </c>
      <c r="D834" s="3"/>
      <c r="E834" s="758"/>
      <c r="F834" s="753"/>
      <c r="G834" s="758"/>
      <c r="H834" s="758"/>
      <c r="I834" s="519"/>
      <c r="J834" s="758"/>
      <c r="K834" s="758"/>
      <c r="L834" s="758"/>
      <c r="M834" s="758"/>
      <c r="N834" s="758"/>
      <c r="O834" s="758"/>
      <c r="P834" s="758"/>
      <c r="Q834" s="519"/>
      <c r="R834" s="917">
        <f t="shared" si="162"/>
        <v>0</v>
      </c>
      <c r="S834" s="519"/>
      <c r="T834" s="760">
        <f t="shared" si="163"/>
        <v>0</v>
      </c>
      <c r="AD834" s="753"/>
    </row>
    <row r="835" spans="1:30" s="520" customFormat="1" ht="12.6" thickBot="1">
      <c r="A835" s="761" t="s">
        <v>145</v>
      </c>
      <c r="B835" s="762">
        <f>(R834+T834)</f>
        <v>0</v>
      </c>
      <c r="C835" s="763"/>
      <c r="D835" s="937" t="s">
        <v>172</v>
      </c>
      <c r="E835" s="477">
        <f ca="1">IF($B822=0,0,ROUND(ROUND(($R835*$S$2+($T835*$T$2))/$B822, 2)*$C$2,2))</f>
        <v>18.3</v>
      </c>
      <c r="F835" s="478">
        <f ca="1">ROUND($B822*$E835,2)</f>
        <v>20734.7</v>
      </c>
      <c r="G835" s="763"/>
      <c r="H835" s="763"/>
      <c r="I835" s="765"/>
      <c r="J835" s="763"/>
      <c r="K835" s="938" t="s">
        <v>143</v>
      </c>
      <c r="L835" s="766" t="s">
        <v>143</v>
      </c>
      <c r="M835" s="766"/>
      <c r="N835" s="766"/>
      <c r="O835" s="766"/>
      <c r="P835" s="766"/>
      <c r="Q835" s="938"/>
      <c r="R835" s="939">
        <f ca="1">SUM(R823:R834)</f>
        <v>7874.652173913043</v>
      </c>
      <c r="S835" s="940"/>
      <c r="T835" s="939">
        <f ca="1">SUM(T823:T834)</f>
        <v>326.31652173913039</v>
      </c>
      <c r="U835" s="531"/>
      <c r="V835" s="531"/>
      <c r="W835" s="531"/>
      <c r="X835" s="531"/>
      <c r="Y835" s="531"/>
      <c r="Z835" s="531"/>
      <c r="AA835" s="531"/>
      <c r="AB835" s="531"/>
      <c r="AD835" s="478">
        <v>24228</v>
      </c>
    </row>
    <row r="836" spans="1:30" s="520" customFormat="1" ht="12" thickTop="1">
      <c r="A836" s="51"/>
      <c r="B836" s="51"/>
      <c r="C836" s="51"/>
      <c r="D836" s="51"/>
      <c r="E836" s="51"/>
      <c r="F836" s="51"/>
      <c r="G836" s="51"/>
      <c r="H836" s="51"/>
      <c r="I836" s="51"/>
      <c r="J836" s="51"/>
      <c r="K836" s="51"/>
      <c r="L836" s="51"/>
      <c r="M836" s="51"/>
      <c r="N836" s="51"/>
      <c r="O836" s="52"/>
      <c r="P836" s="51"/>
      <c r="Q836" s="42" t="s">
        <v>168</v>
      </c>
      <c r="R836" s="51"/>
      <c r="S836" s="13"/>
      <c r="T836" s="51"/>
      <c r="AD836" s="51"/>
    </row>
    <row r="837" spans="1:30" s="520" customFormat="1" ht="12" customHeight="1" thickBot="1">
      <c r="A837" s="927">
        <v>115</v>
      </c>
      <c r="B837" s="928">
        <f ca="1">Elec_Est!B11626</f>
        <v>115</v>
      </c>
      <c r="C837" s="929"/>
      <c r="D837" s="930" t="s">
        <v>3582</v>
      </c>
      <c r="E837" s="931"/>
      <c r="F837" s="931"/>
      <c r="G837" s="752"/>
      <c r="H837" s="752"/>
      <c r="I837" s="932"/>
      <c r="J837" s="752"/>
      <c r="K837" s="929" t="s">
        <v>169</v>
      </c>
      <c r="L837" s="933" t="s">
        <v>169</v>
      </c>
      <c r="M837" s="933"/>
      <c r="N837" s="933"/>
      <c r="O837" s="933"/>
      <c r="P837" s="933"/>
      <c r="Q837" s="934">
        <f ca="1">B837/A837</f>
        <v>1</v>
      </c>
      <c r="R837" s="935">
        <f ca="1">IF($B837=0,0,IF($S$1="R",ROUND(R849/$B837,2),R849/$B837))</f>
        <v>7.97</v>
      </c>
      <c r="S837" s="936"/>
      <c r="T837" s="935">
        <f ca="1">IF($B837=0,0,IF($S$1="R",ROUND(T849/$B837,2),T849/$B837))</f>
        <v>0.33</v>
      </c>
      <c r="AD837" s="931"/>
    </row>
    <row r="838" spans="1:30" s="520" customFormat="1" ht="13.8" thickTop="1">
      <c r="A838" s="748"/>
      <c r="B838" s="3"/>
      <c r="C838" s="3"/>
      <c r="D838" s="106" t="s">
        <v>170</v>
      </c>
      <c r="E838" s="3"/>
      <c r="F838" s="3"/>
      <c r="G838" s="3"/>
      <c r="H838" s="3"/>
      <c r="I838" s="3"/>
      <c r="J838" s="3"/>
      <c r="K838" s="3"/>
      <c r="L838" s="3"/>
      <c r="M838" s="3"/>
      <c r="N838" s="3"/>
      <c r="O838" s="107"/>
      <c r="P838" s="3"/>
      <c r="Q838" s="3"/>
      <c r="R838" s="3"/>
      <c r="S838" s="3"/>
      <c r="T838" s="3"/>
      <c r="AD838" s="3"/>
    </row>
    <row r="839" spans="1:30" s="901" customFormat="1">
      <c r="A839" s="1057">
        <f ca="1">$Q$837 *(115)</f>
        <v>115</v>
      </c>
      <c r="B839" s="901" t="s">
        <v>320</v>
      </c>
      <c r="D839" s="901" t="s">
        <v>3187</v>
      </c>
      <c r="E839" s="901" t="s">
        <v>3124</v>
      </c>
      <c r="G839" s="941" t="s">
        <v>3173</v>
      </c>
      <c r="H839" s="942">
        <v>675</v>
      </c>
      <c r="I839" s="901" t="s">
        <v>3174</v>
      </c>
      <c r="O839" s="943">
        <v>1</v>
      </c>
      <c r="P839" s="944">
        <v>39111</v>
      </c>
      <c r="Q839" s="945">
        <f>ROUNDUP(5.56*1.145,2)</f>
        <v>6.37</v>
      </c>
      <c r="R839" s="946">
        <f t="shared" ref="R839:R848" ca="1" si="164">$A839*Q839</f>
        <v>732.55000000000007</v>
      </c>
      <c r="S839" s="1205">
        <v>0.37</v>
      </c>
      <c r="T839" s="947">
        <f t="shared" ref="T839:T848" ca="1" si="165">$A839*S839*$T$1</f>
        <v>38.295000000000002</v>
      </c>
      <c r="X839" s="901">
        <v>0.41</v>
      </c>
      <c r="AC839" s="520"/>
    </row>
    <row r="840" spans="1:30" s="901" customFormat="1">
      <c r="A840" s="1057">
        <f ca="1">$Q$837 *(ROUNDUP(115/3/6,0))</f>
        <v>7</v>
      </c>
      <c r="B840" s="901" t="s">
        <v>141</v>
      </c>
      <c r="D840" s="901" t="s">
        <v>3187</v>
      </c>
      <c r="E840" s="901" t="s">
        <v>3124</v>
      </c>
      <c r="F840" s="901" t="s">
        <v>3175</v>
      </c>
      <c r="G840" s="941" t="s">
        <v>3173</v>
      </c>
      <c r="H840" s="942">
        <v>675</v>
      </c>
      <c r="I840" s="901" t="s">
        <v>3174</v>
      </c>
      <c r="O840" s="943">
        <v>1</v>
      </c>
      <c r="P840" s="944">
        <v>39111</v>
      </c>
      <c r="Q840" s="945">
        <f>ROUNDUP(3.47*1.145,2)</f>
        <v>3.98</v>
      </c>
      <c r="R840" s="946">
        <f t="shared" ca="1" si="164"/>
        <v>27.86</v>
      </c>
      <c r="S840" s="945"/>
      <c r="T840" s="947">
        <f t="shared" ca="1" si="165"/>
        <v>0</v>
      </c>
      <c r="AC840" s="520"/>
      <c r="AD840" s="901" t="s">
        <v>3175</v>
      </c>
    </row>
    <row r="841" spans="1:30" s="901" customFormat="1">
      <c r="A841" s="1057">
        <f ca="1">$Q$837 *(ROUNDUP(115/3/5,0))</f>
        <v>8</v>
      </c>
      <c r="B841" s="901" t="s">
        <v>141</v>
      </c>
      <c r="D841" s="901" t="s">
        <v>3187</v>
      </c>
      <c r="E841" s="901" t="s">
        <v>3124</v>
      </c>
      <c r="F841" s="901" t="s">
        <v>3176</v>
      </c>
      <c r="G841" s="941" t="s">
        <v>3173</v>
      </c>
      <c r="H841" s="942">
        <v>675</v>
      </c>
      <c r="I841" s="901" t="s">
        <v>3174</v>
      </c>
      <c r="O841" s="943">
        <v>1</v>
      </c>
      <c r="P841" s="944">
        <v>39111</v>
      </c>
      <c r="Q841" s="945">
        <f>ROUNDUP(3.16*1.145,2)</f>
        <v>3.6199999999999997</v>
      </c>
      <c r="R841" s="946">
        <f t="shared" ca="1" si="164"/>
        <v>28.959999999999997</v>
      </c>
      <c r="S841" s="945"/>
      <c r="T841" s="947">
        <f t="shared" ca="1" si="165"/>
        <v>0</v>
      </c>
      <c r="AC841" s="520"/>
      <c r="AD841" s="901" t="s">
        <v>3176</v>
      </c>
    </row>
    <row r="842" spans="1:30" s="901" customFormat="1">
      <c r="A842" s="1057">
        <f ca="1">$Q$837 *(ROUNDUP(115/3/3,0))</f>
        <v>13</v>
      </c>
      <c r="B842" s="901" t="s">
        <v>141</v>
      </c>
      <c r="D842" s="901" t="s">
        <v>3187</v>
      </c>
      <c r="E842" s="901" t="s">
        <v>3124</v>
      </c>
      <c r="F842" s="901" t="s">
        <v>3177</v>
      </c>
      <c r="G842" s="941" t="s">
        <v>3173</v>
      </c>
      <c r="H842" s="942">
        <v>675</v>
      </c>
      <c r="I842" s="901" t="s">
        <v>3174</v>
      </c>
      <c r="O842" s="943">
        <v>1</v>
      </c>
      <c r="P842" s="944">
        <v>39111</v>
      </c>
      <c r="Q842" s="945">
        <f>ROUNDUP(3.15*1.145,2)</f>
        <v>3.61</v>
      </c>
      <c r="R842" s="946">
        <f t="shared" ca="1" si="164"/>
        <v>46.93</v>
      </c>
      <c r="S842" s="945"/>
      <c r="T842" s="947">
        <f t="shared" ca="1" si="165"/>
        <v>0</v>
      </c>
      <c r="AC842" s="520"/>
      <c r="AD842" s="901" t="s">
        <v>3177</v>
      </c>
    </row>
    <row r="843" spans="1:30" s="901" customFormat="1">
      <c r="A843" s="1057">
        <f ca="1">$Q$837 *(ROUNDUP(115/3/3,0))</f>
        <v>13</v>
      </c>
      <c r="B843" s="901" t="s">
        <v>141</v>
      </c>
      <c r="D843" s="901" t="s">
        <v>3187</v>
      </c>
      <c r="E843" s="901" t="s">
        <v>3124</v>
      </c>
      <c r="F843" s="901" t="s">
        <v>3178</v>
      </c>
      <c r="G843" s="941" t="s">
        <v>3173</v>
      </c>
      <c r="H843" s="942">
        <v>675</v>
      </c>
      <c r="I843" s="901" t="s">
        <v>3174</v>
      </c>
      <c r="O843" s="943">
        <v>1</v>
      </c>
      <c r="P843" s="944">
        <v>39111</v>
      </c>
      <c r="Q843" s="945">
        <f>ROUNDUP(2.4*1.145,2)</f>
        <v>2.75</v>
      </c>
      <c r="R843" s="946">
        <f t="shared" ca="1" si="164"/>
        <v>35.75</v>
      </c>
      <c r="S843" s="945"/>
      <c r="T843" s="947">
        <f t="shared" ca="1" si="165"/>
        <v>0</v>
      </c>
      <c r="AC843" s="520"/>
      <c r="AD843" s="901" t="s">
        <v>3178</v>
      </c>
    </row>
    <row r="844" spans="1:30" s="901" customFormat="1">
      <c r="A844" s="1056">
        <f ca="1">$Q$837 *(115/2.4)</f>
        <v>47.916666666666671</v>
      </c>
      <c r="B844" s="901" t="s">
        <v>141</v>
      </c>
      <c r="D844" s="901" t="s">
        <v>3162</v>
      </c>
      <c r="G844" s="941" t="s">
        <v>3163</v>
      </c>
      <c r="H844" s="942">
        <v>875</v>
      </c>
      <c r="I844" s="901" t="s">
        <v>2607</v>
      </c>
      <c r="K844" s="901" t="s">
        <v>3164</v>
      </c>
      <c r="O844" s="943">
        <v>1</v>
      </c>
      <c r="P844" s="944">
        <v>34669</v>
      </c>
      <c r="Q844" s="945">
        <v>0.5</v>
      </c>
      <c r="R844" s="946">
        <f t="shared" ca="1" si="164"/>
        <v>23.958333333333336</v>
      </c>
      <c r="S844" s="945">
        <v>0</v>
      </c>
      <c r="T844" s="947">
        <f t="shared" ca="1" si="165"/>
        <v>0</v>
      </c>
      <c r="AC844" s="520"/>
    </row>
    <row r="845" spans="1:30" s="901" customFormat="1">
      <c r="A845" s="1056">
        <f ca="1">$Q$837 *(115/2.4*8)</f>
        <v>383.33333333333337</v>
      </c>
      <c r="B845" s="901" t="s">
        <v>141</v>
      </c>
      <c r="D845" s="901" t="s">
        <v>3179</v>
      </c>
      <c r="G845" s="941" t="s">
        <v>3180</v>
      </c>
      <c r="H845" s="942">
        <v>875</v>
      </c>
      <c r="I845" s="901" t="s">
        <v>2607</v>
      </c>
      <c r="K845" s="901" t="s">
        <v>3181</v>
      </c>
      <c r="O845" s="943">
        <v>1</v>
      </c>
      <c r="P845" s="944">
        <v>34669</v>
      </c>
      <c r="Q845" s="945">
        <v>0.02</v>
      </c>
      <c r="R845" s="946">
        <f t="shared" ca="1" si="164"/>
        <v>7.6666666666666679</v>
      </c>
      <c r="S845" s="945"/>
      <c r="T845" s="947">
        <f t="shared" ca="1" si="165"/>
        <v>0</v>
      </c>
      <c r="AC845" s="520"/>
    </row>
    <row r="846" spans="1:30" s="901" customFormat="1">
      <c r="A846" s="1056">
        <f ca="1">$Q$837 *(115)</f>
        <v>115</v>
      </c>
      <c r="B846" s="901" t="s">
        <v>141</v>
      </c>
      <c r="D846" s="901" t="s">
        <v>3154</v>
      </c>
      <c r="G846" s="941" t="s">
        <v>3155</v>
      </c>
      <c r="H846" s="942">
        <v>875</v>
      </c>
      <c r="I846" s="901" t="s">
        <v>2607</v>
      </c>
      <c r="K846" s="901" t="s">
        <v>2966</v>
      </c>
      <c r="O846" s="943">
        <v>1</v>
      </c>
      <c r="P846" s="944">
        <v>34669</v>
      </c>
      <c r="Q846" s="945">
        <v>7.0000000000000007E-2</v>
      </c>
      <c r="R846" s="946">
        <f t="shared" ca="1" si="164"/>
        <v>8.0500000000000007</v>
      </c>
      <c r="S846" s="945"/>
      <c r="T846" s="947">
        <f t="shared" ca="1" si="165"/>
        <v>0</v>
      </c>
    </row>
    <row r="847" spans="1:30" s="901" customFormat="1">
      <c r="A847" s="1056">
        <f ca="1">$Q$837 *(115*2)</f>
        <v>230</v>
      </c>
      <c r="B847" s="901" t="s">
        <v>141</v>
      </c>
      <c r="D847" s="901" t="s">
        <v>3182</v>
      </c>
      <c r="G847" s="941" t="s">
        <v>3183</v>
      </c>
      <c r="H847" s="942">
        <v>875</v>
      </c>
      <c r="I847" s="901" t="s">
        <v>2607</v>
      </c>
      <c r="K847" s="901" t="s">
        <v>3184</v>
      </c>
      <c r="O847" s="943">
        <v>1</v>
      </c>
      <c r="P847" s="944">
        <v>34669</v>
      </c>
      <c r="Q847" s="945">
        <v>0.02</v>
      </c>
      <c r="R847" s="946">
        <f t="shared" ca="1" si="164"/>
        <v>4.6000000000000005</v>
      </c>
      <c r="S847" s="945"/>
      <c r="T847" s="947">
        <f t="shared" ca="1" si="165"/>
        <v>0</v>
      </c>
    </row>
    <row r="848" spans="1:30" s="520" customFormat="1">
      <c r="A848" s="758"/>
      <c r="B848" s="3"/>
      <c r="C848" s="758" t="s">
        <v>171</v>
      </c>
      <c r="D848" s="3"/>
      <c r="E848" s="758"/>
      <c r="F848" s="753"/>
      <c r="G848" s="758"/>
      <c r="H848" s="758"/>
      <c r="I848" s="519"/>
      <c r="J848" s="758"/>
      <c r="K848" s="758"/>
      <c r="L848" s="758"/>
      <c r="M848" s="758"/>
      <c r="N848" s="758"/>
      <c r="O848" s="758"/>
      <c r="P848" s="758"/>
      <c r="Q848" s="519"/>
      <c r="R848" s="917">
        <f t="shared" si="164"/>
        <v>0</v>
      </c>
      <c r="S848" s="519"/>
      <c r="T848" s="760">
        <f t="shared" si="165"/>
        <v>0</v>
      </c>
      <c r="AD848" s="753"/>
    </row>
    <row r="849" spans="1:30" s="520" customFormat="1" ht="12.6" thickBot="1">
      <c r="A849" s="761" t="s">
        <v>145</v>
      </c>
      <c r="B849" s="762">
        <f>(R848+T848)</f>
        <v>0</v>
      </c>
      <c r="C849" s="763"/>
      <c r="D849" s="937" t="s">
        <v>172</v>
      </c>
      <c r="E849" s="477">
        <f ca="1">IF($B837=0,0,ROUND(ROUND(($R849*$S$2+($T849*$T$2))/$B837, 2)*$C$2,2))</f>
        <v>21.07</v>
      </c>
      <c r="F849" s="478">
        <f ca="1">ROUND($B837*$E849,2)</f>
        <v>2423.0500000000002</v>
      </c>
      <c r="G849" s="763"/>
      <c r="H849" s="763"/>
      <c r="I849" s="765"/>
      <c r="J849" s="763"/>
      <c r="K849" s="938" t="s">
        <v>143</v>
      </c>
      <c r="L849" s="766" t="s">
        <v>143</v>
      </c>
      <c r="M849" s="766"/>
      <c r="N849" s="766"/>
      <c r="O849" s="766"/>
      <c r="P849" s="766"/>
      <c r="Q849" s="938"/>
      <c r="R849" s="939">
        <f ca="1">SUM(R838:R848)</f>
        <v>916.32500000000005</v>
      </c>
      <c r="S849" s="940"/>
      <c r="T849" s="939">
        <f ca="1">SUM(T838:T848)</f>
        <v>38.295000000000002</v>
      </c>
      <c r="U849" s="531"/>
      <c r="V849" s="531"/>
      <c r="W849" s="531"/>
      <c r="X849" s="531"/>
      <c r="Y849" s="531"/>
      <c r="Z849" s="531"/>
      <c r="AA849" s="531"/>
      <c r="AB849" s="531"/>
      <c r="AD849" s="478">
        <v>2673.75</v>
      </c>
    </row>
    <row r="850" spans="1:30" s="520" customFormat="1" ht="12" thickTop="1">
      <c r="A850" s="51"/>
      <c r="B850" s="51"/>
      <c r="C850" s="51"/>
      <c r="D850" s="51"/>
      <c r="E850" s="51"/>
      <c r="F850" s="51"/>
      <c r="G850" s="51"/>
      <c r="H850" s="51"/>
      <c r="I850" s="51"/>
      <c r="J850" s="51"/>
      <c r="K850" s="51"/>
      <c r="L850" s="51"/>
      <c r="M850" s="51"/>
      <c r="N850" s="51"/>
      <c r="O850" s="52"/>
      <c r="P850" s="51"/>
      <c r="Q850" s="42" t="s">
        <v>168</v>
      </c>
      <c r="R850" s="51"/>
      <c r="S850" s="13"/>
      <c r="T850" s="51"/>
      <c r="AD850" s="51"/>
    </row>
    <row r="851" spans="1:30" s="520" customFormat="1" ht="12" customHeight="1" thickBot="1">
      <c r="A851" s="927">
        <v>105</v>
      </c>
      <c r="B851" s="928">
        <f ca="1">Elec_Est!B11627</f>
        <v>105</v>
      </c>
      <c r="C851" s="929"/>
      <c r="D851" s="930" t="s">
        <v>3583</v>
      </c>
      <c r="E851" s="931"/>
      <c r="F851" s="931"/>
      <c r="G851" s="752"/>
      <c r="H851" s="752"/>
      <c r="I851" s="932"/>
      <c r="J851" s="752"/>
      <c r="K851" s="929" t="s">
        <v>169</v>
      </c>
      <c r="L851" s="933" t="s">
        <v>169</v>
      </c>
      <c r="M851" s="933"/>
      <c r="N851" s="933"/>
      <c r="O851" s="933"/>
      <c r="P851" s="933"/>
      <c r="Q851" s="934">
        <f ca="1">B851/A851</f>
        <v>1</v>
      </c>
      <c r="R851" s="935">
        <f ca="1">IF($B851=0,0,IF($S$1="R",ROUND(R863/$B851,2),R863/$B851))</f>
        <v>9.99</v>
      </c>
      <c r="S851" s="936"/>
      <c r="T851" s="935">
        <f ca="1">IF($B851=0,0,IF($S$1="R",ROUND(T863/$B851,2),T863/$B851))</f>
        <v>0.47</v>
      </c>
      <c r="AD851" s="931"/>
    </row>
    <row r="852" spans="1:30" s="520" customFormat="1" ht="13.8" thickTop="1">
      <c r="A852" s="748"/>
      <c r="B852" s="3"/>
      <c r="C852" s="3"/>
      <c r="D852" s="106" t="s">
        <v>170</v>
      </c>
      <c r="E852" s="1090" t="s">
        <v>3400</v>
      </c>
      <c r="F852" s="3"/>
      <c r="G852" s="3"/>
      <c r="H852" s="3"/>
      <c r="I852" s="3"/>
      <c r="J852" s="3"/>
      <c r="K852" s="3"/>
      <c r="L852" s="3"/>
      <c r="M852" s="3"/>
      <c r="N852" s="3"/>
      <c r="O852" s="107"/>
      <c r="P852" s="3"/>
      <c r="Q852" s="3"/>
      <c r="R852" s="3"/>
      <c r="S852" s="3"/>
      <c r="T852" s="3"/>
      <c r="AD852" s="3"/>
    </row>
    <row r="853" spans="1:30" s="901" customFormat="1">
      <c r="A853" s="1057">
        <f ca="1">$Q$851 *(105)</f>
        <v>105</v>
      </c>
      <c r="B853" s="901" t="s">
        <v>320</v>
      </c>
      <c r="D853" s="901" t="s">
        <v>3188</v>
      </c>
      <c r="E853" s="901" t="s">
        <v>3124</v>
      </c>
      <c r="G853" s="941" t="s">
        <v>3173</v>
      </c>
      <c r="H853" s="942">
        <v>675</v>
      </c>
      <c r="I853" s="901" t="s">
        <v>3174</v>
      </c>
      <c r="O853" s="943">
        <v>1</v>
      </c>
      <c r="P853" s="944">
        <v>39111</v>
      </c>
      <c r="Q853" s="945">
        <f>ROUNDUP(6.99*1.145,2)</f>
        <v>8.01</v>
      </c>
      <c r="R853" s="946">
        <f t="shared" ref="R853:R862" ca="1" si="166">$A853*Q853</f>
        <v>841.05</v>
      </c>
      <c r="S853" s="1205">
        <v>0.52</v>
      </c>
      <c r="T853" s="947">
        <f t="shared" ref="T853:T862" ca="1" si="167">$A853*S853*$T$1</f>
        <v>49.14</v>
      </c>
      <c r="X853" s="901">
        <v>0.57999999999999996</v>
      </c>
      <c r="AC853" s="520"/>
    </row>
    <row r="854" spans="1:30" s="901" customFormat="1">
      <c r="A854" s="1057">
        <f ca="1">$Q$851 *(ROUNDUP(105/3/6,0))</f>
        <v>6</v>
      </c>
      <c r="B854" s="901" t="s">
        <v>141</v>
      </c>
      <c r="D854" s="901" t="s">
        <v>3188</v>
      </c>
      <c r="E854" s="901" t="s">
        <v>3124</v>
      </c>
      <c r="F854" s="901" t="s">
        <v>3175</v>
      </c>
      <c r="G854" s="941" t="s">
        <v>3173</v>
      </c>
      <c r="H854" s="942">
        <v>675</v>
      </c>
      <c r="I854" s="901" t="s">
        <v>3174</v>
      </c>
      <c r="O854" s="943">
        <v>1</v>
      </c>
      <c r="P854" s="944">
        <v>39111</v>
      </c>
      <c r="Q854" s="945">
        <f>ROUNDUP(5.01*1.145,2)</f>
        <v>5.74</v>
      </c>
      <c r="R854" s="946">
        <f t="shared" ca="1" si="166"/>
        <v>34.44</v>
      </c>
      <c r="S854" s="945"/>
      <c r="T854" s="947">
        <f t="shared" ca="1" si="167"/>
        <v>0</v>
      </c>
      <c r="AC854" s="520"/>
      <c r="AD854" s="901" t="s">
        <v>3175</v>
      </c>
    </row>
    <row r="855" spans="1:30" s="901" customFormat="1">
      <c r="A855" s="1057">
        <f ca="1">$Q$851 *(ROUNDUP(105/3/5,0))</f>
        <v>7</v>
      </c>
      <c r="B855" s="901" t="s">
        <v>141</v>
      </c>
      <c r="D855" s="901" t="s">
        <v>3188</v>
      </c>
      <c r="E855" s="901" t="s">
        <v>3124</v>
      </c>
      <c r="F855" s="901" t="s">
        <v>3176</v>
      </c>
      <c r="G855" s="941" t="s">
        <v>3173</v>
      </c>
      <c r="H855" s="942">
        <v>675</v>
      </c>
      <c r="I855" s="901" t="s">
        <v>3174</v>
      </c>
      <c r="O855" s="943">
        <v>1</v>
      </c>
      <c r="P855" s="944">
        <v>39111</v>
      </c>
      <c r="Q855" s="945">
        <f>ROUNDUP(4.62*1.145,2)</f>
        <v>5.29</v>
      </c>
      <c r="R855" s="946">
        <f t="shared" ca="1" si="166"/>
        <v>37.03</v>
      </c>
      <c r="S855" s="945"/>
      <c r="T855" s="947">
        <f t="shared" ca="1" si="167"/>
        <v>0</v>
      </c>
      <c r="AC855" s="520"/>
      <c r="AD855" s="901" t="s">
        <v>3176</v>
      </c>
    </row>
    <row r="856" spans="1:30" s="901" customFormat="1">
      <c r="A856" s="1057">
        <f ca="1">$Q$851 *(ROUNDUP(105/3/3,0))</f>
        <v>12</v>
      </c>
      <c r="B856" s="901" t="s">
        <v>141</v>
      </c>
      <c r="D856" s="901" t="s">
        <v>3188</v>
      </c>
      <c r="E856" s="901" t="s">
        <v>3124</v>
      </c>
      <c r="F856" s="901" t="s">
        <v>3177</v>
      </c>
      <c r="G856" s="941" t="s">
        <v>3173</v>
      </c>
      <c r="H856" s="942">
        <v>675</v>
      </c>
      <c r="I856" s="901" t="s">
        <v>3174</v>
      </c>
      <c r="O856" s="943">
        <v>1</v>
      </c>
      <c r="P856" s="944">
        <v>39111</v>
      </c>
      <c r="Q856" s="945">
        <f>ROUNDUP(3.81*1.145,2)</f>
        <v>4.37</v>
      </c>
      <c r="R856" s="946">
        <f t="shared" ca="1" si="166"/>
        <v>52.44</v>
      </c>
      <c r="S856" s="945"/>
      <c r="T856" s="947">
        <f t="shared" ca="1" si="167"/>
        <v>0</v>
      </c>
      <c r="AC856" s="520"/>
      <c r="AD856" s="901" t="s">
        <v>3177</v>
      </c>
    </row>
    <row r="857" spans="1:30" s="901" customFormat="1">
      <c r="A857" s="1057">
        <f ca="1">$Q$851 *(ROUNDUP(105/3/3,0))</f>
        <v>12</v>
      </c>
      <c r="B857" s="901" t="s">
        <v>141</v>
      </c>
      <c r="D857" s="901" t="s">
        <v>3188</v>
      </c>
      <c r="E857" s="901" t="s">
        <v>3124</v>
      </c>
      <c r="F857" s="901" t="s">
        <v>3178</v>
      </c>
      <c r="G857" s="941" t="s">
        <v>3173</v>
      </c>
      <c r="H857" s="942">
        <v>675</v>
      </c>
      <c r="I857" s="901" t="s">
        <v>3174</v>
      </c>
      <c r="O857" s="943">
        <v>1</v>
      </c>
      <c r="P857" s="944">
        <v>39111</v>
      </c>
      <c r="Q857" s="945">
        <f>ROUNDUP(3.2*1.145,2)</f>
        <v>3.67</v>
      </c>
      <c r="R857" s="946">
        <f t="shared" ca="1" si="166"/>
        <v>44.04</v>
      </c>
      <c r="S857" s="945"/>
      <c r="T857" s="947">
        <f t="shared" ca="1" si="167"/>
        <v>0</v>
      </c>
      <c r="AC857" s="520"/>
      <c r="AD857" s="901" t="s">
        <v>3178</v>
      </c>
    </row>
    <row r="858" spans="1:30" s="901" customFormat="1">
      <c r="A858" s="1056">
        <f ca="1">$Q$851 *(105/2.4)</f>
        <v>43.75</v>
      </c>
      <c r="B858" s="901" t="s">
        <v>141</v>
      </c>
      <c r="D858" s="901" t="s">
        <v>3162</v>
      </c>
      <c r="G858" s="941" t="s">
        <v>3163</v>
      </c>
      <c r="H858" s="942">
        <v>875</v>
      </c>
      <c r="I858" s="901" t="s">
        <v>2607</v>
      </c>
      <c r="K858" s="901" t="s">
        <v>3164</v>
      </c>
      <c r="O858" s="943">
        <v>1</v>
      </c>
      <c r="P858" s="944">
        <v>34669</v>
      </c>
      <c r="Q858" s="945">
        <v>0.5</v>
      </c>
      <c r="R858" s="946">
        <f t="shared" ca="1" si="166"/>
        <v>21.875</v>
      </c>
      <c r="S858" s="945">
        <v>0</v>
      </c>
      <c r="T858" s="947">
        <f t="shared" ca="1" si="167"/>
        <v>0</v>
      </c>
      <c r="AC858" s="520"/>
    </row>
    <row r="859" spans="1:30" s="901" customFormat="1">
      <c r="A859" s="1056">
        <f ca="1">$Q$851 *(105/2.4*8)</f>
        <v>350</v>
      </c>
      <c r="B859" s="901" t="s">
        <v>141</v>
      </c>
      <c r="D859" s="901" t="s">
        <v>3179</v>
      </c>
      <c r="G859" s="941" t="s">
        <v>3180</v>
      </c>
      <c r="H859" s="942">
        <v>875</v>
      </c>
      <c r="I859" s="901" t="s">
        <v>2607</v>
      </c>
      <c r="K859" s="901" t="s">
        <v>3181</v>
      </c>
      <c r="O859" s="943">
        <v>1</v>
      </c>
      <c r="P859" s="944">
        <v>34669</v>
      </c>
      <c r="Q859" s="945">
        <v>0.02</v>
      </c>
      <c r="R859" s="946">
        <f t="shared" ca="1" si="166"/>
        <v>7</v>
      </c>
      <c r="S859" s="945"/>
      <c r="T859" s="947">
        <f t="shared" ca="1" si="167"/>
        <v>0</v>
      </c>
      <c r="AC859" s="520"/>
    </row>
    <row r="860" spans="1:30" s="901" customFormat="1">
      <c r="A860" s="1056">
        <f ca="1">$Q$851 *(105)</f>
        <v>105</v>
      </c>
      <c r="B860" s="901" t="s">
        <v>141</v>
      </c>
      <c r="D860" s="901" t="s">
        <v>3154</v>
      </c>
      <c r="G860" s="941" t="s">
        <v>3155</v>
      </c>
      <c r="H860" s="942">
        <v>875</v>
      </c>
      <c r="I860" s="901" t="s">
        <v>2607</v>
      </c>
      <c r="K860" s="901" t="s">
        <v>2966</v>
      </c>
      <c r="O860" s="943">
        <v>1</v>
      </c>
      <c r="P860" s="944">
        <v>34669</v>
      </c>
      <c r="Q860" s="945">
        <v>7.0000000000000007E-2</v>
      </c>
      <c r="R860" s="946">
        <f t="shared" ca="1" si="166"/>
        <v>7.3500000000000005</v>
      </c>
      <c r="S860" s="945"/>
      <c r="T860" s="947">
        <f t="shared" ca="1" si="167"/>
        <v>0</v>
      </c>
    </row>
    <row r="861" spans="1:30" s="901" customFormat="1">
      <c r="A861" s="1056">
        <f ca="1">$Q$851 *(105*2)</f>
        <v>210</v>
      </c>
      <c r="B861" s="901" t="s">
        <v>141</v>
      </c>
      <c r="D861" s="901" t="s">
        <v>3182</v>
      </c>
      <c r="G861" s="941" t="s">
        <v>3183</v>
      </c>
      <c r="H861" s="942">
        <v>875</v>
      </c>
      <c r="I861" s="901" t="s">
        <v>2607</v>
      </c>
      <c r="K861" s="901" t="s">
        <v>3184</v>
      </c>
      <c r="O861" s="943">
        <v>1</v>
      </c>
      <c r="P861" s="944">
        <v>34669</v>
      </c>
      <c r="Q861" s="945">
        <v>0.02</v>
      </c>
      <c r="R861" s="946">
        <f t="shared" ca="1" si="166"/>
        <v>4.2</v>
      </c>
      <c r="S861" s="945"/>
      <c r="T861" s="947">
        <f t="shared" ca="1" si="167"/>
        <v>0</v>
      </c>
    </row>
    <row r="862" spans="1:30" s="520" customFormat="1">
      <c r="A862" s="758"/>
      <c r="B862" s="3"/>
      <c r="C862" s="758" t="s">
        <v>171</v>
      </c>
      <c r="D862" s="3"/>
      <c r="E862" s="758"/>
      <c r="F862" s="753"/>
      <c r="G862" s="758"/>
      <c r="H862" s="758"/>
      <c r="I862" s="519"/>
      <c r="J862" s="758"/>
      <c r="K862" s="758"/>
      <c r="L862" s="758"/>
      <c r="M862" s="758"/>
      <c r="N862" s="758"/>
      <c r="O862" s="758"/>
      <c r="P862" s="758"/>
      <c r="Q862" s="519"/>
      <c r="R862" s="917">
        <f t="shared" si="166"/>
        <v>0</v>
      </c>
      <c r="S862" s="519"/>
      <c r="T862" s="760">
        <f t="shared" si="167"/>
        <v>0</v>
      </c>
      <c r="AD862" s="753"/>
    </row>
    <row r="863" spans="1:30" s="520" customFormat="1" ht="12.6" thickBot="1">
      <c r="A863" s="761" t="s">
        <v>145</v>
      </c>
      <c r="B863" s="762">
        <f>(R862+T862)</f>
        <v>0</v>
      </c>
      <c r="C863" s="763"/>
      <c r="D863" s="937" t="s">
        <v>172</v>
      </c>
      <c r="E863" s="477">
        <f ca="1">IF($B851=0,0,ROUND(ROUND(($R863*$S$2+($T863*$T$2))/$B851, 2)*$C$2,2))</f>
        <v>28.13</v>
      </c>
      <c r="F863" s="478">
        <f ca="1">ROUND($B851*$E863,2)</f>
        <v>2953.65</v>
      </c>
      <c r="G863" s="763"/>
      <c r="H863" s="763"/>
      <c r="I863" s="765"/>
      <c r="J863" s="763"/>
      <c r="K863" s="938" t="s">
        <v>143</v>
      </c>
      <c r="L863" s="766" t="s">
        <v>143</v>
      </c>
      <c r="M863" s="766"/>
      <c r="N863" s="766"/>
      <c r="O863" s="766"/>
      <c r="P863" s="766"/>
      <c r="Q863" s="938"/>
      <c r="R863" s="939">
        <f ca="1">SUM(R852:R862)</f>
        <v>1049.425</v>
      </c>
      <c r="S863" s="940"/>
      <c r="T863" s="939">
        <f ca="1">SUM(T852:T862)</f>
        <v>49.14</v>
      </c>
      <c r="U863" s="531"/>
      <c r="V863" s="531"/>
      <c r="W863" s="531"/>
      <c r="X863" s="531"/>
      <c r="Y863" s="531"/>
      <c r="Z863" s="531"/>
      <c r="AA863" s="531"/>
      <c r="AB863" s="531"/>
      <c r="AD863" s="478">
        <v>3268.65</v>
      </c>
    </row>
    <row r="864" spans="1:30" s="520" customFormat="1" ht="12" thickTop="1">
      <c r="A864" s="51"/>
      <c r="B864" s="51"/>
      <c r="C864" s="51"/>
      <c r="D864" s="51"/>
      <c r="E864" s="51"/>
      <c r="F864" s="51"/>
      <c r="G864" s="51"/>
      <c r="H864" s="51"/>
      <c r="I864" s="51"/>
      <c r="J864" s="51"/>
      <c r="K864" s="51"/>
      <c r="L864" s="51"/>
      <c r="M864" s="51"/>
      <c r="N864" s="51"/>
      <c r="O864" s="52"/>
      <c r="P864" s="51"/>
      <c r="Q864" s="42" t="s">
        <v>168</v>
      </c>
      <c r="R864" s="51"/>
      <c r="S864" s="13"/>
      <c r="T864" s="51"/>
      <c r="AD864" s="51"/>
    </row>
    <row r="865" spans="1:30" s="520" customFormat="1" ht="12" customHeight="1" thickBot="1">
      <c r="A865" s="927">
        <v>45</v>
      </c>
      <c r="B865" s="928">
        <f ca="1">Elec_Est!B11628</f>
        <v>45</v>
      </c>
      <c r="C865" s="929"/>
      <c r="D865" s="930" t="s">
        <v>3584</v>
      </c>
      <c r="E865" s="931"/>
      <c r="F865" s="931"/>
      <c r="G865" s="752"/>
      <c r="H865" s="752"/>
      <c r="I865" s="932"/>
      <c r="J865" s="752"/>
      <c r="K865" s="929" t="s">
        <v>169</v>
      </c>
      <c r="L865" s="933" t="s">
        <v>169</v>
      </c>
      <c r="M865" s="933"/>
      <c r="N865" s="933"/>
      <c r="O865" s="933"/>
      <c r="P865" s="933"/>
      <c r="Q865" s="934">
        <f ca="1">B865/A865</f>
        <v>1</v>
      </c>
      <c r="R865" s="935">
        <f ca="1">IF($B865=0,0,IF($S$1="R",ROUND(R877/$B865,2),R877/$B865))</f>
        <v>13.37</v>
      </c>
      <c r="S865" s="936"/>
      <c r="T865" s="935">
        <f ca="1">IF($B865=0,0,IF($S$1="R",ROUND(T877/$B865,2),T877/$B865))</f>
        <v>0.59</v>
      </c>
      <c r="AD865" s="931"/>
    </row>
    <row r="866" spans="1:30" s="520" customFormat="1" ht="13.8" thickTop="1">
      <c r="A866" s="748"/>
      <c r="B866" s="3"/>
      <c r="C866" s="3"/>
      <c r="D866" s="106" t="s">
        <v>170</v>
      </c>
      <c r="E866" s="3"/>
      <c r="F866" s="3"/>
      <c r="G866" s="3"/>
      <c r="H866" s="3"/>
      <c r="I866" s="3"/>
      <c r="J866" s="3"/>
      <c r="K866" s="3"/>
      <c r="L866" s="3"/>
      <c r="M866" s="3"/>
      <c r="N866" s="3"/>
      <c r="O866" s="107"/>
      <c r="P866" s="3"/>
      <c r="Q866" s="3"/>
      <c r="R866" s="3"/>
      <c r="S866" s="3"/>
      <c r="T866" s="3"/>
      <c r="AD866" s="3"/>
    </row>
    <row r="867" spans="1:30" s="901" customFormat="1">
      <c r="A867" s="1057">
        <f ca="1">$Q$865 *(45)</f>
        <v>45</v>
      </c>
      <c r="B867" s="901" t="s">
        <v>320</v>
      </c>
      <c r="D867" s="901" t="s">
        <v>3402</v>
      </c>
      <c r="E867" s="901" t="s">
        <v>3124</v>
      </c>
      <c r="G867" s="941" t="s">
        <v>3173</v>
      </c>
      <c r="H867" s="942">
        <v>675</v>
      </c>
      <c r="I867" s="901" t="s">
        <v>3174</v>
      </c>
      <c r="O867" s="943">
        <v>1</v>
      </c>
      <c r="P867" s="944">
        <v>39111</v>
      </c>
      <c r="Q867" s="945">
        <f>ROUNDUP(9.14*1.145,2)</f>
        <v>10.47</v>
      </c>
      <c r="R867" s="946">
        <f t="shared" ref="R867:R876" ca="1" si="168">$A867*Q867</f>
        <v>471.15000000000003</v>
      </c>
      <c r="S867" s="945">
        <v>0.65</v>
      </c>
      <c r="T867" s="947">
        <f t="shared" ref="T867:T876" ca="1" si="169">$A867*S867*$T$1</f>
        <v>26.324999999999999</v>
      </c>
      <c r="AC867" s="520"/>
    </row>
    <row r="868" spans="1:30" s="901" customFormat="1">
      <c r="A868" s="1057">
        <f ca="1">$Q$865 *(ROUNDUP(45/3/5,0))</f>
        <v>3</v>
      </c>
      <c r="B868" s="901" t="s">
        <v>141</v>
      </c>
      <c r="D868" s="901" t="s">
        <v>3402</v>
      </c>
      <c r="E868" s="901" t="s">
        <v>3124</v>
      </c>
      <c r="F868" s="901" t="s">
        <v>3175</v>
      </c>
      <c r="G868" s="941" t="s">
        <v>3173</v>
      </c>
      <c r="H868" s="942">
        <v>675</v>
      </c>
      <c r="I868" s="901" t="s">
        <v>3174</v>
      </c>
      <c r="O868" s="943">
        <v>1</v>
      </c>
      <c r="P868" s="944">
        <v>39111</v>
      </c>
      <c r="Q868" s="945">
        <f>ROUNDUP(7.15*1.145,2)</f>
        <v>8.19</v>
      </c>
      <c r="R868" s="946">
        <f t="shared" ca="1" si="168"/>
        <v>24.57</v>
      </c>
      <c r="S868" s="945"/>
      <c r="T868" s="947">
        <f t="shared" ca="1" si="169"/>
        <v>0</v>
      </c>
      <c r="AC868" s="520"/>
      <c r="AD868" s="901" t="s">
        <v>3175</v>
      </c>
    </row>
    <row r="869" spans="1:30" s="901" customFormat="1">
      <c r="A869" s="1057">
        <f ca="1">$Q$865 *(ROUNDUP(45/3/5,0))</f>
        <v>3</v>
      </c>
      <c r="B869" s="901" t="s">
        <v>141</v>
      </c>
      <c r="D869" s="901" t="s">
        <v>3401</v>
      </c>
      <c r="E869" s="901" t="s">
        <v>3124</v>
      </c>
      <c r="F869" s="901" t="s">
        <v>3176</v>
      </c>
      <c r="G869" s="941" t="s">
        <v>3173</v>
      </c>
      <c r="H869" s="942">
        <v>675</v>
      </c>
      <c r="I869" s="901" t="s">
        <v>3174</v>
      </c>
      <c r="O869" s="943">
        <v>1</v>
      </c>
      <c r="P869" s="944">
        <v>39111</v>
      </c>
      <c r="Q869" s="945">
        <f>ROUNDUP(6.96*1.145,2)</f>
        <v>7.97</v>
      </c>
      <c r="R869" s="946">
        <f t="shared" ca="1" si="168"/>
        <v>23.91</v>
      </c>
      <c r="S869" s="945"/>
      <c r="T869" s="947">
        <f t="shared" ca="1" si="169"/>
        <v>0</v>
      </c>
      <c r="AC869" s="520"/>
      <c r="AD869" s="901" t="s">
        <v>3176</v>
      </c>
    </row>
    <row r="870" spans="1:30" s="901" customFormat="1">
      <c r="A870" s="1057">
        <f ca="1">$Q$865 *(ROUNDUP(45/3/3,0))</f>
        <v>5</v>
      </c>
      <c r="B870" s="901" t="s">
        <v>141</v>
      </c>
      <c r="D870" s="901" t="s">
        <v>3402</v>
      </c>
      <c r="E870" s="901" t="s">
        <v>3124</v>
      </c>
      <c r="F870" s="901" t="s">
        <v>3177</v>
      </c>
      <c r="G870" s="941" t="s">
        <v>3173</v>
      </c>
      <c r="H870" s="942">
        <v>675</v>
      </c>
      <c r="I870" s="901" t="s">
        <v>3174</v>
      </c>
      <c r="O870" s="943">
        <v>1</v>
      </c>
      <c r="P870" s="944">
        <v>39111</v>
      </c>
      <c r="Q870" s="945">
        <f>ROUNDUP(5.61*1.145,2)</f>
        <v>6.43</v>
      </c>
      <c r="R870" s="946">
        <f t="shared" ca="1" si="168"/>
        <v>32.15</v>
      </c>
      <c r="S870" s="945"/>
      <c r="T870" s="947">
        <f t="shared" ca="1" si="169"/>
        <v>0</v>
      </c>
      <c r="AC870" s="520"/>
      <c r="AD870" s="901" t="s">
        <v>3177</v>
      </c>
    </row>
    <row r="871" spans="1:30" s="901" customFormat="1">
      <c r="A871" s="1057">
        <f ca="1">$Q$865 *(ROUNDUP(45/3/3,0))</f>
        <v>5</v>
      </c>
      <c r="B871" s="901" t="s">
        <v>141</v>
      </c>
      <c r="D871" s="901" t="s">
        <v>3402</v>
      </c>
      <c r="E871" s="901" t="s">
        <v>3124</v>
      </c>
      <c r="F871" s="901" t="s">
        <v>3178</v>
      </c>
      <c r="G871" s="941" t="s">
        <v>3173</v>
      </c>
      <c r="H871" s="942">
        <v>675</v>
      </c>
      <c r="I871" s="901" t="s">
        <v>3174</v>
      </c>
      <c r="O871" s="943">
        <v>1</v>
      </c>
      <c r="P871" s="944">
        <v>39111</v>
      </c>
      <c r="Q871" s="945">
        <f>ROUNDUP(5*1.145,2)</f>
        <v>5.7299999999999995</v>
      </c>
      <c r="R871" s="946">
        <f t="shared" ca="1" si="168"/>
        <v>28.65</v>
      </c>
      <c r="S871" s="945"/>
      <c r="T871" s="947">
        <f t="shared" ca="1" si="169"/>
        <v>0</v>
      </c>
      <c r="AC871" s="520"/>
      <c r="AD871" s="901" t="s">
        <v>3178</v>
      </c>
    </row>
    <row r="872" spans="1:30" s="901" customFormat="1">
      <c r="A872" s="1056">
        <f ca="1">$Q$865 *(45/2.4)</f>
        <v>18.75</v>
      </c>
      <c r="B872" s="901" t="s">
        <v>141</v>
      </c>
      <c r="D872" s="901" t="s">
        <v>3162</v>
      </c>
      <c r="G872" s="941" t="s">
        <v>3163</v>
      </c>
      <c r="H872" s="942">
        <v>875</v>
      </c>
      <c r="I872" s="901" t="s">
        <v>2607</v>
      </c>
      <c r="K872" s="901" t="s">
        <v>3164</v>
      </c>
      <c r="O872" s="943">
        <v>1</v>
      </c>
      <c r="P872" s="944">
        <v>34669</v>
      </c>
      <c r="Q872" s="945">
        <v>0.5</v>
      </c>
      <c r="R872" s="946">
        <f t="shared" ca="1" si="168"/>
        <v>9.375</v>
      </c>
      <c r="S872" s="945">
        <v>0</v>
      </c>
      <c r="T872" s="947">
        <f t="shared" ca="1" si="169"/>
        <v>0</v>
      </c>
      <c r="AC872" s="520"/>
    </row>
    <row r="873" spans="1:30" s="901" customFormat="1">
      <c r="A873" s="1056">
        <f ca="1">$Q$865 *(45/2.4*10)</f>
        <v>187.5</v>
      </c>
      <c r="B873" s="901" t="s">
        <v>141</v>
      </c>
      <c r="D873" s="901" t="s">
        <v>3179</v>
      </c>
      <c r="G873" s="941" t="s">
        <v>3180</v>
      </c>
      <c r="H873" s="942">
        <v>875</v>
      </c>
      <c r="I873" s="901" t="s">
        <v>2607</v>
      </c>
      <c r="K873" s="901" t="s">
        <v>3181</v>
      </c>
      <c r="O873" s="943">
        <v>1</v>
      </c>
      <c r="P873" s="944">
        <v>34669</v>
      </c>
      <c r="Q873" s="945">
        <v>0.02</v>
      </c>
      <c r="R873" s="946">
        <f t="shared" ca="1" si="168"/>
        <v>3.75</v>
      </c>
      <c r="S873" s="945"/>
      <c r="T873" s="947">
        <f t="shared" ca="1" si="169"/>
        <v>0</v>
      </c>
      <c r="AC873" s="520"/>
    </row>
    <row r="874" spans="1:30" s="901" customFormat="1">
      <c r="A874" s="1056">
        <f ca="1">$Q$865 *(45*2)</f>
        <v>90</v>
      </c>
      <c r="B874" s="901" t="s">
        <v>141</v>
      </c>
      <c r="D874" s="901" t="s">
        <v>3154</v>
      </c>
      <c r="G874" s="941" t="s">
        <v>3155</v>
      </c>
      <c r="H874" s="942">
        <v>875</v>
      </c>
      <c r="I874" s="901" t="s">
        <v>2607</v>
      </c>
      <c r="K874" s="901" t="s">
        <v>2966</v>
      </c>
      <c r="O874" s="943">
        <v>1</v>
      </c>
      <c r="P874" s="944">
        <v>34669</v>
      </c>
      <c r="Q874" s="945">
        <v>7.0000000000000007E-2</v>
      </c>
      <c r="R874" s="946">
        <f t="shared" ca="1" si="168"/>
        <v>6.3000000000000007</v>
      </c>
      <c r="S874" s="945"/>
      <c r="T874" s="947">
        <f t="shared" ca="1" si="169"/>
        <v>0</v>
      </c>
    </row>
    <row r="875" spans="1:30" s="901" customFormat="1">
      <c r="A875" s="1056">
        <f ca="1">$Q$865 *(45*2)</f>
        <v>90</v>
      </c>
      <c r="B875" s="901" t="s">
        <v>141</v>
      </c>
      <c r="D875" s="901" t="s">
        <v>3182</v>
      </c>
      <c r="G875" s="941" t="s">
        <v>3183</v>
      </c>
      <c r="H875" s="942">
        <v>875</v>
      </c>
      <c r="I875" s="901" t="s">
        <v>2607</v>
      </c>
      <c r="K875" s="901" t="s">
        <v>3184</v>
      </c>
      <c r="O875" s="943">
        <v>1</v>
      </c>
      <c r="P875" s="944">
        <v>34669</v>
      </c>
      <c r="Q875" s="945">
        <v>0.02</v>
      </c>
      <c r="R875" s="946">
        <f t="shared" ca="1" si="168"/>
        <v>1.8</v>
      </c>
      <c r="S875" s="945"/>
      <c r="T875" s="947">
        <f t="shared" ca="1" si="169"/>
        <v>0</v>
      </c>
    </row>
    <row r="876" spans="1:30" s="520" customFormat="1">
      <c r="A876" s="758"/>
      <c r="B876" s="3"/>
      <c r="C876" s="758" t="s">
        <v>171</v>
      </c>
      <c r="D876" s="3"/>
      <c r="E876" s="758"/>
      <c r="F876" s="753"/>
      <c r="G876" s="758"/>
      <c r="H876" s="758"/>
      <c r="I876" s="519"/>
      <c r="J876" s="758"/>
      <c r="K876" s="758"/>
      <c r="L876" s="758"/>
      <c r="M876" s="758"/>
      <c r="N876" s="758"/>
      <c r="O876" s="758"/>
      <c r="P876" s="758"/>
      <c r="Q876" s="519"/>
      <c r="R876" s="917">
        <f t="shared" si="168"/>
        <v>0</v>
      </c>
      <c r="S876" s="519"/>
      <c r="T876" s="760">
        <f t="shared" si="169"/>
        <v>0</v>
      </c>
      <c r="AD876" s="753"/>
    </row>
    <row r="877" spans="1:30" s="520" customFormat="1" ht="12.6" thickBot="1">
      <c r="A877" s="761" t="s">
        <v>145</v>
      </c>
      <c r="B877" s="762">
        <f>(R876+T876)</f>
        <v>0</v>
      </c>
      <c r="C877" s="763"/>
      <c r="D877" s="937" t="s">
        <v>172</v>
      </c>
      <c r="E877" s="477">
        <f ca="1">IF($B865=0,0,ROUND(ROUND(($R877*$S$2+($T877*$T$2))/$B865, 2)*$C$2,2))</f>
        <v>36.24</v>
      </c>
      <c r="F877" s="478">
        <f ca="1">ROUND($B865*$E877,2)</f>
        <v>1630.8</v>
      </c>
      <c r="G877" s="763"/>
      <c r="H877" s="763"/>
      <c r="I877" s="765"/>
      <c r="J877" s="763"/>
      <c r="K877" s="938" t="s">
        <v>143</v>
      </c>
      <c r="L877" s="766" t="s">
        <v>143</v>
      </c>
      <c r="M877" s="766"/>
      <c r="N877" s="766"/>
      <c r="O877" s="766"/>
      <c r="P877" s="766"/>
      <c r="Q877" s="938"/>
      <c r="R877" s="939">
        <f ca="1">SUM(R866:R876)</f>
        <v>601.65499999999986</v>
      </c>
      <c r="S877" s="940"/>
      <c r="T877" s="939">
        <f ca="1">SUM(T866:T876)</f>
        <v>26.324999999999999</v>
      </c>
      <c r="U877" s="531"/>
      <c r="V877" s="531"/>
      <c r="W877" s="531"/>
      <c r="X877" s="531"/>
      <c r="Y877" s="531"/>
      <c r="Z877" s="531"/>
      <c r="AA877" s="531"/>
      <c r="AB877" s="531"/>
      <c r="AD877" s="478">
        <v>1801.8</v>
      </c>
    </row>
    <row r="878" spans="1:30" s="520" customFormat="1" ht="12" thickTop="1">
      <c r="A878" s="51"/>
      <c r="B878" s="51"/>
      <c r="C878" s="51"/>
      <c r="D878" s="51"/>
      <c r="E878" s="51"/>
      <c r="F878" s="51"/>
      <c r="G878" s="51"/>
      <c r="H878" s="51"/>
      <c r="I878" s="51"/>
      <c r="J878" s="51"/>
      <c r="K878" s="51"/>
      <c r="L878" s="51"/>
      <c r="M878" s="51"/>
      <c r="N878" s="51"/>
      <c r="O878" s="52"/>
      <c r="P878" s="51"/>
      <c r="Q878" s="42" t="s">
        <v>168</v>
      </c>
      <c r="R878" s="51"/>
      <c r="S878" s="13"/>
      <c r="T878" s="51"/>
      <c r="AD878" s="51"/>
    </row>
    <row r="879" spans="1:30" s="520" customFormat="1" ht="12" customHeight="1" thickBot="1">
      <c r="A879" s="927">
        <v>10</v>
      </c>
      <c r="B879" s="928">
        <f ca="1">Elec_Est!B11629</f>
        <v>10</v>
      </c>
      <c r="C879" s="929"/>
      <c r="D879" s="930" t="s">
        <v>3585</v>
      </c>
      <c r="E879" s="931"/>
      <c r="F879" s="931"/>
      <c r="G879" s="752"/>
      <c r="H879" s="752"/>
      <c r="I879" s="932"/>
      <c r="J879" s="752"/>
      <c r="K879" s="929" t="s">
        <v>169</v>
      </c>
      <c r="L879" s="933" t="s">
        <v>169</v>
      </c>
      <c r="M879" s="933"/>
      <c r="N879" s="933"/>
      <c r="O879" s="933"/>
      <c r="P879" s="933"/>
      <c r="Q879" s="934">
        <f ca="1">B879/A879</f>
        <v>1</v>
      </c>
      <c r="R879" s="935">
        <f ca="1">IF($B879=0,0,IF($S$1="R",ROUND(R891/$B879,2),R891/$B879))</f>
        <v>16.16</v>
      </c>
      <c r="S879" s="936"/>
      <c r="T879" s="935">
        <f ca="1">IF($B879=0,0,IF($S$1="R",ROUND(T891/$B879,2),T891/$B879))</f>
        <v>0.59</v>
      </c>
      <c r="AD879" s="931"/>
    </row>
    <row r="880" spans="1:30" s="520" customFormat="1" ht="13.8" thickTop="1">
      <c r="A880" s="748"/>
      <c r="B880" s="3"/>
      <c r="C880" s="3"/>
      <c r="D880" s="106" t="s">
        <v>170</v>
      </c>
      <c r="E880" s="3"/>
      <c r="F880" s="3"/>
      <c r="G880" s="3"/>
      <c r="H880" s="3"/>
      <c r="I880" s="3"/>
      <c r="J880" s="3"/>
      <c r="K880" s="3"/>
      <c r="L880" s="3"/>
      <c r="M880" s="3"/>
      <c r="N880" s="3"/>
      <c r="O880" s="107"/>
      <c r="P880" s="3"/>
      <c r="Q880" s="3"/>
      <c r="R880" s="3"/>
      <c r="S880" s="3"/>
      <c r="T880" s="3"/>
      <c r="AD880" s="3"/>
    </row>
    <row r="881" spans="1:30" s="901" customFormat="1">
      <c r="A881" s="1057">
        <f ca="1">$Q$879 *(10)</f>
        <v>10</v>
      </c>
      <c r="B881" s="901" t="s">
        <v>320</v>
      </c>
      <c r="D881" s="901" t="s">
        <v>3196</v>
      </c>
      <c r="E881" s="901" t="s">
        <v>3124</v>
      </c>
      <c r="G881" s="941" t="s">
        <v>3173</v>
      </c>
      <c r="H881" s="942">
        <v>675</v>
      </c>
      <c r="I881" s="901" t="s">
        <v>3174</v>
      </c>
      <c r="O881" s="943">
        <v>1</v>
      </c>
      <c r="P881" s="944">
        <v>39111</v>
      </c>
      <c r="Q881" s="945">
        <f>ROUNDUP(9.85*1.145,2)</f>
        <v>11.28</v>
      </c>
      <c r="R881" s="946">
        <f t="shared" ref="R881:R890" ca="1" si="170">$A881*Q881</f>
        <v>112.8</v>
      </c>
      <c r="S881" s="945">
        <v>0.65</v>
      </c>
      <c r="T881" s="947">
        <f t="shared" ref="T881:T890" ca="1" si="171">$A881*S881*$T$1</f>
        <v>5.8500000000000005</v>
      </c>
      <c r="AC881" s="520"/>
    </row>
    <row r="882" spans="1:30" s="901" customFormat="1">
      <c r="A882" s="1057">
        <f ca="1">$Q$879 *(ROUNDUP(10/3/5,0))</f>
        <v>1</v>
      </c>
      <c r="B882" s="901" t="s">
        <v>141</v>
      </c>
      <c r="D882" s="901" t="s">
        <v>3196</v>
      </c>
      <c r="E882" s="901" t="s">
        <v>3124</v>
      </c>
      <c r="F882" s="901" t="s">
        <v>3175</v>
      </c>
      <c r="G882" s="941" t="s">
        <v>3173</v>
      </c>
      <c r="H882" s="942">
        <v>675</v>
      </c>
      <c r="I882" s="901" t="s">
        <v>3174</v>
      </c>
      <c r="O882" s="943">
        <v>1</v>
      </c>
      <c r="P882" s="944">
        <v>39111</v>
      </c>
      <c r="Q882" s="945">
        <f>ROUNDUP(8.99*1.145,2)</f>
        <v>10.299999999999999</v>
      </c>
      <c r="R882" s="946">
        <f t="shared" ca="1" si="170"/>
        <v>10.299999999999999</v>
      </c>
      <c r="S882" s="945"/>
      <c r="T882" s="947">
        <f t="shared" ca="1" si="171"/>
        <v>0</v>
      </c>
      <c r="AC882" s="520"/>
      <c r="AD882" s="901" t="s">
        <v>3175</v>
      </c>
    </row>
    <row r="883" spans="1:30" s="901" customFormat="1">
      <c r="A883" s="1057">
        <f ca="1">$Q$879 *(ROUNDUP(10/3/5,0))</f>
        <v>1</v>
      </c>
      <c r="B883" s="901" t="s">
        <v>141</v>
      </c>
      <c r="D883" s="901" t="s">
        <v>3196</v>
      </c>
      <c r="E883" s="901" t="s">
        <v>3124</v>
      </c>
      <c r="F883" s="901" t="s">
        <v>3176</v>
      </c>
      <c r="G883" s="941" t="s">
        <v>3173</v>
      </c>
      <c r="H883" s="942">
        <v>675</v>
      </c>
      <c r="I883" s="901" t="s">
        <v>3174</v>
      </c>
      <c r="O883" s="943">
        <v>1</v>
      </c>
      <c r="P883" s="944">
        <v>39111</v>
      </c>
      <c r="Q883" s="945">
        <f>ROUNDUP(8.43*1.145,2)</f>
        <v>9.66</v>
      </c>
      <c r="R883" s="946">
        <f t="shared" ca="1" si="170"/>
        <v>9.66</v>
      </c>
      <c r="S883" s="945"/>
      <c r="T883" s="947">
        <f t="shared" ca="1" si="171"/>
        <v>0</v>
      </c>
      <c r="AC883" s="520"/>
      <c r="AD883" s="901" t="s">
        <v>3176</v>
      </c>
    </row>
    <row r="884" spans="1:30" s="901" customFormat="1">
      <c r="A884" s="1057">
        <f ca="1">$Q$879 *(ROUNDUP(10/3/3,0))</f>
        <v>2</v>
      </c>
      <c r="B884" s="901" t="s">
        <v>141</v>
      </c>
      <c r="D884" s="901" t="s">
        <v>3196</v>
      </c>
      <c r="E884" s="901" t="s">
        <v>3124</v>
      </c>
      <c r="F884" s="901" t="s">
        <v>3177</v>
      </c>
      <c r="G884" s="941" t="s">
        <v>3173</v>
      </c>
      <c r="H884" s="942">
        <v>675</v>
      </c>
      <c r="I884" s="901" t="s">
        <v>3174</v>
      </c>
      <c r="O884" s="943">
        <v>1</v>
      </c>
      <c r="P884" s="944">
        <v>39111</v>
      </c>
      <c r="Q884" s="945">
        <f>ROUNDUP(5.14*1.145,2)</f>
        <v>5.89</v>
      </c>
      <c r="R884" s="946">
        <f t="shared" ca="1" si="170"/>
        <v>11.78</v>
      </c>
      <c r="S884" s="945"/>
      <c r="T884" s="947">
        <f t="shared" ca="1" si="171"/>
        <v>0</v>
      </c>
      <c r="AC884" s="520"/>
      <c r="AD884" s="901" t="s">
        <v>3177</v>
      </c>
    </row>
    <row r="885" spans="1:30" s="901" customFormat="1">
      <c r="A885" s="1057">
        <f ca="1">$Q$879 *(ROUNDUP(10/3/3,0))</f>
        <v>2</v>
      </c>
      <c r="B885" s="901" t="s">
        <v>141</v>
      </c>
      <c r="D885" s="901" t="s">
        <v>3196</v>
      </c>
      <c r="E885" s="901" t="s">
        <v>3124</v>
      </c>
      <c r="F885" s="901" t="s">
        <v>3178</v>
      </c>
      <c r="G885" s="941" t="s">
        <v>3173</v>
      </c>
      <c r="H885" s="942">
        <v>675</v>
      </c>
      <c r="I885" s="901" t="s">
        <v>3174</v>
      </c>
      <c r="O885" s="943">
        <v>1</v>
      </c>
      <c r="P885" s="944">
        <v>39111</v>
      </c>
      <c r="Q885" s="945">
        <f>ROUNDUP(5.2*1.145,2)</f>
        <v>5.96</v>
      </c>
      <c r="R885" s="946">
        <f t="shared" ca="1" si="170"/>
        <v>11.92</v>
      </c>
      <c r="S885" s="945"/>
      <c r="T885" s="947">
        <f t="shared" ca="1" si="171"/>
        <v>0</v>
      </c>
      <c r="AC885" s="520"/>
      <c r="AD885" s="901" t="s">
        <v>3178</v>
      </c>
    </row>
    <row r="886" spans="1:30" s="901" customFormat="1">
      <c r="A886" s="1056">
        <f ca="1">$Q$879 *(10/2.4)</f>
        <v>4.166666666666667</v>
      </c>
      <c r="B886" s="901" t="s">
        <v>141</v>
      </c>
      <c r="D886" s="901" t="s">
        <v>3162</v>
      </c>
      <c r="G886" s="941" t="s">
        <v>3163</v>
      </c>
      <c r="H886" s="942">
        <v>875</v>
      </c>
      <c r="I886" s="901" t="s">
        <v>2607</v>
      </c>
      <c r="K886" s="901" t="s">
        <v>3164</v>
      </c>
      <c r="O886" s="943">
        <v>1</v>
      </c>
      <c r="P886" s="944">
        <v>34669</v>
      </c>
      <c r="Q886" s="945">
        <v>0.5</v>
      </c>
      <c r="R886" s="946">
        <f t="shared" ca="1" si="170"/>
        <v>2.0833333333333335</v>
      </c>
      <c r="S886" s="945">
        <v>0</v>
      </c>
      <c r="T886" s="947">
        <f t="shared" ca="1" si="171"/>
        <v>0</v>
      </c>
      <c r="AC886" s="520"/>
    </row>
    <row r="887" spans="1:30" s="901" customFormat="1">
      <c r="A887" s="1056">
        <f ca="1">$Q$879 *(10/2.4*15)</f>
        <v>62.500000000000007</v>
      </c>
      <c r="B887" s="901" t="s">
        <v>141</v>
      </c>
      <c r="D887" s="901" t="s">
        <v>3179</v>
      </c>
      <c r="G887" s="941" t="s">
        <v>3180</v>
      </c>
      <c r="H887" s="942">
        <v>875</v>
      </c>
      <c r="I887" s="901" t="s">
        <v>2607</v>
      </c>
      <c r="K887" s="901" t="s">
        <v>3181</v>
      </c>
      <c r="O887" s="943">
        <v>1</v>
      </c>
      <c r="P887" s="944">
        <v>34669</v>
      </c>
      <c r="Q887" s="945">
        <v>0.02</v>
      </c>
      <c r="R887" s="946">
        <f t="shared" ca="1" si="170"/>
        <v>1.2500000000000002</v>
      </c>
      <c r="S887" s="945"/>
      <c r="T887" s="947">
        <f t="shared" ca="1" si="171"/>
        <v>0</v>
      </c>
      <c r="AC887" s="520"/>
    </row>
    <row r="888" spans="1:30" s="901" customFormat="1">
      <c r="A888" s="1056">
        <f ca="1">$Q$879 *(10*2)</f>
        <v>20</v>
      </c>
      <c r="B888" s="901" t="s">
        <v>141</v>
      </c>
      <c r="D888" s="901" t="s">
        <v>3154</v>
      </c>
      <c r="G888" s="941" t="s">
        <v>3155</v>
      </c>
      <c r="H888" s="942">
        <v>875</v>
      </c>
      <c r="I888" s="901" t="s">
        <v>2607</v>
      </c>
      <c r="K888" s="901" t="s">
        <v>2966</v>
      </c>
      <c r="O888" s="943">
        <v>1</v>
      </c>
      <c r="P888" s="944">
        <v>34669</v>
      </c>
      <c r="Q888" s="945">
        <v>7.0000000000000007E-2</v>
      </c>
      <c r="R888" s="946">
        <f t="shared" ca="1" si="170"/>
        <v>1.4000000000000001</v>
      </c>
      <c r="S888" s="945"/>
      <c r="T888" s="947">
        <f t="shared" ca="1" si="171"/>
        <v>0</v>
      </c>
    </row>
    <row r="889" spans="1:30" s="901" customFormat="1">
      <c r="A889" s="1056">
        <f ca="1">$Q$879 *(10*2)</f>
        <v>20</v>
      </c>
      <c r="B889" s="901" t="s">
        <v>141</v>
      </c>
      <c r="D889" s="901" t="s">
        <v>3182</v>
      </c>
      <c r="G889" s="941" t="s">
        <v>3183</v>
      </c>
      <c r="H889" s="942">
        <v>875</v>
      </c>
      <c r="I889" s="901" t="s">
        <v>2607</v>
      </c>
      <c r="K889" s="901" t="s">
        <v>3184</v>
      </c>
      <c r="O889" s="943">
        <v>1</v>
      </c>
      <c r="P889" s="944">
        <v>34669</v>
      </c>
      <c r="Q889" s="945">
        <v>0.02</v>
      </c>
      <c r="R889" s="946">
        <f t="shared" ca="1" si="170"/>
        <v>0.4</v>
      </c>
      <c r="S889" s="945"/>
      <c r="T889" s="947">
        <f t="shared" ca="1" si="171"/>
        <v>0</v>
      </c>
    </row>
    <row r="890" spans="1:30" s="520" customFormat="1">
      <c r="A890" s="758"/>
      <c r="B890" s="3"/>
      <c r="C890" s="758" t="s">
        <v>171</v>
      </c>
      <c r="D890" s="3"/>
      <c r="E890" s="758"/>
      <c r="F890" s="753"/>
      <c r="G890" s="758"/>
      <c r="H890" s="758"/>
      <c r="I890" s="519"/>
      <c r="J890" s="758"/>
      <c r="K890" s="758"/>
      <c r="L890" s="758"/>
      <c r="M890" s="758"/>
      <c r="N890" s="758"/>
      <c r="O890" s="758"/>
      <c r="P890" s="758"/>
      <c r="Q890" s="519"/>
      <c r="R890" s="917">
        <f t="shared" si="170"/>
        <v>0</v>
      </c>
      <c r="S890" s="519"/>
      <c r="T890" s="760">
        <f t="shared" si="171"/>
        <v>0</v>
      </c>
      <c r="AD890" s="753"/>
    </row>
    <row r="891" spans="1:30" s="520" customFormat="1" ht="12.6" thickBot="1">
      <c r="A891" s="761" t="s">
        <v>145</v>
      </c>
      <c r="B891" s="762">
        <f>(R890+T890)</f>
        <v>0</v>
      </c>
      <c r="C891" s="763"/>
      <c r="D891" s="937" t="s">
        <v>172</v>
      </c>
      <c r="E891" s="477">
        <f ca="1">IF($B879=0,0,ROUND(ROUND(($R891*$S$2+($T891*$T$2))/$B879, 2)*$C$2,2))</f>
        <v>39.68</v>
      </c>
      <c r="F891" s="478">
        <f ca="1">ROUND($B879*$E891,2)</f>
        <v>396.8</v>
      </c>
      <c r="G891" s="763"/>
      <c r="H891" s="763"/>
      <c r="I891" s="765"/>
      <c r="J891" s="763"/>
      <c r="K891" s="938" t="s">
        <v>143</v>
      </c>
      <c r="L891" s="766" t="s">
        <v>143</v>
      </c>
      <c r="M891" s="766"/>
      <c r="N891" s="766"/>
      <c r="O891" s="766"/>
      <c r="P891" s="766"/>
      <c r="Q891" s="938"/>
      <c r="R891" s="939">
        <f ca="1">SUM(R880:R890)</f>
        <v>161.59333333333333</v>
      </c>
      <c r="S891" s="940"/>
      <c r="T891" s="939">
        <f ca="1">SUM(T880:T890)</f>
        <v>5.8500000000000005</v>
      </c>
      <c r="U891" s="531"/>
      <c r="V891" s="531"/>
      <c r="W891" s="531"/>
      <c r="X891" s="531"/>
      <c r="Y891" s="531"/>
      <c r="Z891" s="531"/>
      <c r="AA891" s="531"/>
      <c r="AB891" s="531"/>
      <c r="AD891" s="478">
        <v>436.2</v>
      </c>
    </row>
    <row r="892" spans="1:30" s="520" customFormat="1" ht="12" thickTop="1">
      <c r="A892" s="51"/>
      <c r="B892" s="51"/>
      <c r="C892" s="51"/>
      <c r="D892" s="51"/>
      <c r="E892" s="51"/>
      <c r="F892" s="51"/>
      <c r="G892" s="51"/>
      <c r="H892" s="51"/>
      <c r="I892" s="51"/>
      <c r="J892" s="51"/>
      <c r="K892" s="51"/>
      <c r="L892" s="51"/>
      <c r="M892" s="51"/>
      <c r="N892" s="51"/>
      <c r="O892" s="52"/>
      <c r="P892" s="51"/>
      <c r="Q892" s="42" t="s">
        <v>168</v>
      </c>
      <c r="R892" s="51"/>
      <c r="S892" s="13"/>
      <c r="T892" s="51"/>
      <c r="AD892" s="51"/>
    </row>
    <row r="893" spans="1:30" s="520" customFormat="1" ht="12" customHeight="1" thickBot="1">
      <c r="A893" s="927">
        <v>10</v>
      </c>
      <c r="B893" s="928">
        <f ca="1">Elec_Est!B11630</f>
        <v>10</v>
      </c>
      <c r="C893" s="929"/>
      <c r="D893" s="930" t="s">
        <v>3586</v>
      </c>
      <c r="E893" s="931"/>
      <c r="F893" s="931"/>
      <c r="G893" s="752"/>
      <c r="H893" s="752"/>
      <c r="I893" s="932"/>
      <c r="J893" s="752"/>
      <c r="K893" s="929" t="s">
        <v>169</v>
      </c>
      <c r="L893" s="933" t="s">
        <v>169</v>
      </c>
      <c r="M893" s="933"/>
      <c r="N893" s="933"/>
      <c r="O893" s="933"/>
      <c r="P893" s="933"/>
      <c r="Q893" s="934">
        <f ca="1">B893/A893</f>
        <v>1</v>
      </c>
      <c r="R893" s="935">
        <f ca="1">IF($B893=0,0,IF($S$1="R",ROUND(R905/$B893,2),R905/$B893))</f>
        <v>30.64</v>
      </c>
      <c r="S893" s="936"/>
      <c r="T893" s="935">
        <f ca="1">IF($B893=0,0,IF($S$1="R",ROUND(T905/$B893,2),T905/$B893))</f>
        <v>0.68</v>
      </c>
      <c r="AD893" s="931"/>
    </row>
    <row r="894" spans="1:30" s="520" customFormat="1" ht="13.8" thickTop="1">
      <c r="A894" s="748"/>
      <c r="B894" s="3"/>
      <c r="C894" s="3"/>
      <c r="D894" s="106" t="s">
        <v>170</v>
      </c>
      <c r="E894" s="3"/>
      <c r="F894" s="3"/>
      <c r="G894" s="3"/>
      <c r="H894" s="3"/>
      <c r="I894" s="3"/>
      <c r="J894" s="3"/>
      <c r="K894" s="3"/>
      <c r="L894" s="3"/>
      <c r="M894" s="3"/>
      <c r="N894" s="3"/>
      <c r="O894" s="107"/>
      <c r="P894" s="3"/>
      <c r="Q894" s="3"/>
      <c r="R894" s="3"/>
      <c r="S894" s="3"/>
      <c r="T894" s="3"/>
      <c r="AD894" s="3"/>
    </row>
    <row r="895" spans="1:30" s="901" customFormat="1">
      <c r="A895" s="1057">
        <f ca="1">$Q$893 *(10)</f>
        <v>10</v>
      </c>
      <c r="B895" s="901" t="s">
        <v>320</v>
      </c>
      <c r="D895" s="901" t="s">
        <v>3197</v>
      </c>
      <c r="E895" s="901" t="s">
        <v>3124</v>
      </c>
      <c r="G895" s="941" t="s">
        <v>3173</v>
      </c>
      <c r="H895" s="942">
        <v>675</v>
      </c>
      <c r="I895" s="901" t="s">
        <v>3174</v>
      </c>
      <c r="O895" s="943">
        <v>1</v>
      </c>
      <c r="P895" s="944">
        <v>39111</v>
      </c>
      <c r="Q895" s="945">
        <f>ROUNDUP(17.72*1.145,2)</f>
        <v>20.290000000000003</v>
      </c>
      <c r="R895" s="946">
        <f t="shared" ref="R895:R904" ca="1" si="172">$A895*Q895</f>
        <v>202.90000000000003</v>
      </c>
      <c r="S895" s="945">
        <v>0.75</v>
      </c>
      <c r="T895" s="947">
        <f t="shared" ref="T895:T904" ca="1" si="173">$A895*S895*$T$1</f>
        <v>6.75</v>
      </c>
      <c r="AC895" s="520"/>
    </row>
    <row r="896" spans="1:30" s="901" customFormat="1">
      <c r="A896" s="1057">
        <f ca="1">$Q$893 *(ROUNDUP(10/3/5,0))</f>
        <v>1</v>
      </c>
      <c r="B896" s="901" t="s">
        <v>141</v>
      </c>
      <c r="D896" s="901" t="s">
        <v>3197</v>
      </c>
      <c r="E896" s="901" t="s">
        <v>3124</v>
      </c>
      <c r="F896" s="901" t="s">
        <v>3175</v>
      </c>
      <c r="G896" s="941" t="s">
        <v>3173</v>
      </c>
      <c r="H896" s="942">
        <v>675</v>
      </c>
      <c r="I896" s="901" t="s">
        <v>3174</v>
      </c>
      <c r="O896" s="943">
        <v>1</v>
      </c>
      <c r="P896" s="944">
        <v>39111</v>
      </c>
      <c r="Q896" s="945">
        <f>ROUNDUP(21.99*1.145,2)</f>
        <v>25.180000000000003</v>
      </c>
      <c r="R896" s="946">
        <f t="shared" ca="1" si="172"/>
        <v>25.180000000000003</v>
      </c>
      <c r="S896" s="945"/>
      <c r="T896" s="947">
        <f t="shared" ca="1" si="173"/>
        <v>0</v>
      </c>
      <c r="AC896" s="520"/>
      <c r="AD896" s="901" t="s">
        <v>3175</v>
      </c>
    </row>
    <row r="897" spans="1:256" s="901" customFormat="1">
      <c r="A897" s="1057">
        <f ca="1">$Q$893 *(ROUNDUP(10/3/5,0))</f>
        <v>1</v>
      </c>
      <c r="B897" s="901" t="s">
        <v>141</v>
      </c>
      <c r="D897" s="901" t="s">
        <v>3197</v>
      </c>
      <c r="E897" s="901" t="s">
        <v>3124</v>
      </c>
      <c r="F897" s="901" t="s">
        <v>3176</v>
      </c>
      <c r="G897" s="941" t="s">
        <v>3173</v>
      </c>
      <c r="H897" s="942">
        <v>675</v>
      </c>
      <c r="I897" s="901" t="s">
        <v>3174</v>
      </c>
      <c r="O897" s="943">
        <v>1</v>
      </c>
      <c r="P897" s="944">
        <v>39111</v>
      </c>
      <c r="Q897" s="945">
        <f>ROUNDUP(21.53*1.145,2)</f>
        <v>24.66</v>
      </c>
      <c r="R897" s="946">
        <f t="shared" ca="1" si="172"/>
        <v>24.66</v>
      </c>
      <c r="S897" s="945"/>
      <c r="T897" s="947">
        <f t="shared" ca="1" si="173"/>
        <v>0</v>
      </c>
      <c r="AC897" s="520"/>
      <c r="AD897" s="901" t="s">
        <v>3176</v>
      </c>
    </row>
    <row r="898" spans="1:256" s="901" customFormat="1">
      <c r="A898" s="1057">
        <f ca="1">$Q$893 *(ROUNDUP(10/3/3,0))</f>
        <v>2</v>
      </c>
      <c r="B898" s="901" t="s">
        <v>141</v>
      </c>
      <c r="D898" s="901" t="s">
        <v>3197</v>
      </c>
      <c r="E898" s="901" t="s">
        <v>3124</v>
      </c>
      <c r="F898" s="901" t="s">
        <v>3177</v>
      </c>
      <c r="G898" s="941" t="s">
        <v>3173</v>
      </c>
      <c r="H898" s="942">
        <v>675</v>
      </c>
      <c r="I898" s="901" t="s">
        <v>3174</v>
      </c>
      <c r="O898" s="943">
        <v>1</v>
      </c>
      <c r="P898" s="944">
        <v>39111</v>
      </c>
      <c r="Q898" s="945">
        <f>ROUNDUP(10.7*1.145,2)</f>
        <v>12.26</v>
      </c>
      <c r="R898" s="946">
        <f t="shared" ca="1" si="172"/>
        <v>24.52</v>
      </c>
      <c r="S898" s="945"/>
      <c r="T898" s="947">
        <f t="shared" ca="1" si="173"/>
        <v>0</v>
      </c>
      <c r="AC898" s="520"/>
      <c r="AD898" s="901" t="s">
        <v>3177</v>
      </c>
    </row>
    <row r="899" spans="1:256" s="901" customFormat="1">
      <c r="A899" s="1057">
        <f ca="1">$Q$893 *(ROUNDUP(10/3/3,0))</f>
        <v>2</v>
      </c>
      <c r="B899" s="901" t="s">
        <v>141</v>
      </c>
      <c r="D899" s="901" t="s">
        <v>3197</v>
      </c>
      <c r="E899" s="901" t="s">
        <v>3124</v>
      </c>
      <c r="F899" s="901" t="s">
        <v>3178</v>
      </c>
      <c r="G899" s="941" t="s">
        <v>3173</v>
      </c>
      <c r="H899" s="942">
        <v>675</v>
      </c>
      <c r="I899" s="901" t="s">
        <v>3174</v>
      </c>
      <c r="O899" s="943">
        <v>1</v>
      </c>
      <c r="P899" s="944">
        <v>39111</v>
      </c>
      <c r="Q899" s="945">
        <f>ROUNDUP(10*1.145,2)</f>
        <v>11.45</v>
      </c>
      <c r="R899" s="946">
        <f t="shared" ca="1" si="172"/>
        <v>22.9</v>
      </c>
      <c r="S899" s="945"/>
      <c r="T899" s="947">
        <f t="shared" ca="1" si="173"/>
        <v>0</v>
      </c>
      <c r="AC899" s="520"/>
      <c r="AD899" s="901" t="s">
        <v>3178</v>
      </c>
    </row>
    <row r="900" spans="1:256" s="901" customFormat="1">
      <c r="A900" s="1056">
        <f ca="1">$Q$893 *(10/2.4)</f>
        <v>4.166666666666667</v>
      </c>
      <c r="B900" s="901" t="s">
        <v>141</v>
      </c>
      <c r="D900" s="901" t="s">
        <v>3162</v>
      </c>
      <c r="G900" s="941" t="s">
        <v>3163</v>
      </c>
      <c r="H900" s="942">
        <v>875</v>
      </c>
      <c r="I900" s="901" t="s">
        <v>2607</v>
      </c>
      <c r="K900" s="901" t="s">
        <v>3164</v>
      </c>
      <c r="O900" s="943">
        <v>1</v>
      </c>
      <c r="P900" s="944">
        <v>34669</v>
      </c>
      <c r="Q900" s="945">
        <v>0.5</v>
      </c>
      <c r="R900" s="946">
        <f t="shared" ca="1" si="172"/>
        <v>2.0833333333333335</v>
      </c>
      <c r="S900" s="945">
        <v>0</v>
      </c>
      <c r="T900" s="947">
        <f t="shared" ca="1" si="173"/>
        <v>0</v>
      </c>
      <c r="AC900" s="520"/>
    </row>
    <row r="901" spans="1:256" s="901" customFormat="1">
      <c r="A901" s="1056">
        <f ca="1">$Q$893 *(10/2.4*20)</f>
        <v>83.333333333333343</v>
      </c>
      <c r="B901" s="901" t="s">
        <v>141</v>
      </c>
      <c r="D901" s="901" t="s">
        <v>3179</v>
      </c>
      <c r="G901" s="941" t="s">
        <v>3180</v>
      </c>
      <c r="H901" s="942">
        <v>875</v>
      </c>
      <c r="I901" s="901" t="s">
        <v>2607</v>
      </c>
      <c r="K901" s="901" t="s">
        <v>3181</v>
      </c>
      <c r="O901" s="943">
        <v>1</v>
      </c>
      <c r="P901" s="944">
        <v>34669</v>
      </c>
      <c r="Q901" s="945">
        <v>0.02</v>
      </c>
      <c r="R901" s="946">
        <f t="shared" ca="1" si="172"/>
        <v>1.666666666666667</v>
      </c>
      <c r="S901" s="945"/>
      <c r="T901" s="947">
        <f t="shared" ca="1" si="173"/>
        <v>0</v>
      </c>
      <c r="AC901" s="520"/>
    </row>
    <row r="902" spans="1:256" s="901" customFormat="1">
      <c r="A902" s="1056">
        <f ca="1">$Q$893 *(10*3)</f>
        <v>30</v>
      </c>
      <c r="B902" s="901" t="s">
        <v>141</v>
      </c>
      <c r="D902" s="901" t="s">
        <v>3154</v>
      </c>
      <c r="G902" s="941" t="s">
        <v>3155</v>
      </c>
      <c r="H902" s="942">
        <v>875</v>
      </c>
      <c r="I902" s="901" t="s">
        <v>2607</v>
      </c>
      <c r="K902" s="901" t="s">
        <v>2966</v>
      </c>
      <c r="O902" s="943">
        <v>1</v>
      </c>
      <c r="P902" s="944">
        <v>34669</v>
      </c>
      <c r="Q902" s="945">
        <v>7.0000000000000007E-2</v>
      </c>
      <c r="R902" s="946">
        <f t="shared" ca="1" si="172"/>
        <v>2.1</v>
      </c>
      <c r="S902" s="945"/>
      <c r="T902" s="947">
        <f t="shared" ca="1" si="173"/>
        <v>0</v>
      </c>
    </row>
    <row r="903" spans="1:256" s="901" customFormat="1">
      <c r="A903" s="1056">
        <f ca="1">$Q$893 *(10*2)</f>
        <v>20</v>
      </c>
      <c r="B903" s="901" t="s">
        <v>141</v>
      </c>
      <c r="D903" s="901" t="s">
        <v>3182</v>
      </c>
      <c r="G903" s="941" t="s">
        <v>3183</v>
      </c>
      <c r="H903" s="942">
        <v>875</v>
      </c>
      <c r="I903" s="901" t="s">
        <v>2607</v>
      </c>
      <c r="K903" s="901" t="s">
        <v>3184</v>
      </c>
      <c r="O903" s="943">
        <v>1</v>
      </c>
      <c r="P903" s="944">
        <v>34669</v>
      </c>
      <c r="Q903" s="945">
        <v>0.02</v>
      </c>
      <c r="R903" s="946">
        <f t="shared" ca="1" si="172"/>
        <v>0.4</v>
      </c>
      <c r="S903" s="945"/>
      <c r="T903" s="947">
        <f t="shared" ca="1" si="173"/>
        <v>0</v>
      </c>
    </row>
    <row r="904" spans="1:256" s="520" customFormat="1">
      <c r="A904" s="758"/>
      <c r="B904" s="3"/>
      <c r="C904" s="758" t="s">
        <v>171</v>
      </c>
      <c r="D904" s="3"/>
      <c r="E904" s="758"/>
      <c r="F904" s="753"/>
      <c r="G904" s="758"/>
      <c r="H904" s="758"/>
      <c r="I904" s="519"/>
      <c r="J904" s="758"/>
      <c r="K904" s="758"/>
      <c r="L904" s="758"/>
      <c r="M904" s="758"/>
      <c r="N904" s="758"/>
      <c r="O904" s="758"/>
      <c r="P904" s="758"/>
      <c r="Q904" s="519"/>
      <c r="R904" s="917">
        <f t="shared" si="172"/>
        <v>0</v>
      </c>
      <c r="S904" s="519"/>
      <c r="T904" s="760">
        <f t="shared" si="173"/>
        <v>0</v>
      </c>
      <c r="AD904" s="753"/>
    </row>
    <row r="905" spans="1:256" s="520" customFormat="1" ht="12.6" thickBot="1">
      <c r="A905" s="761" t="s">
        <v>145</v>
      </c>
      <c r="B905" s="762">
        <f>(R904+T904)</f>
        <v>0</v>
      </c>
      <c r="C905" s="763"/>
      <c r="D905" s="937" t="s">
        <v>172</v>
      </c>
      <c r="E905" s="477">
        <f ca="1">IF($B893=0,0,ROUND(ROUND(($R905*$S$2+($T905*$T$2))/$B893, 2)*$C$2,2))</f>
        <v>60.55</v>
      </c>
      <c r="F905" s="478">
        <f ca="1">ROUND($B893*$E905,2)</f>
        <v>605.5</v>
      </c>
      <c r="G905" s="763"/>
      <c r="H905" s="763"/>
      <c r="I905" s="765"/>
      <c r="J905" s="763"/>
      <c r="K905" s="938" t="s">
        <v>143</v>
      </c>
      <c r="L905" s="766" t="s">
        <v>143</v>
      </c>
      <c r="M905" s="766"/>
      <c r="N905" s="766"/>
      <c r="O905" s="766"/>
      <c r="P905" s="766"/>
      <c r="Q905" s="938"/>
      <c r="R905" s="939">
        <f ca="1">SUM(R894:R904)</f>
        <v>306.41000000000003</v>
      </c>
      <c r="S905" s="940"/>
      <c r="T905" s="939">
        <f ca="1">SUM(T894:T904)</f>
        <v>6.75</v>
      </c>
      <c r="U905" s="531"/>
      <c r="V905" s="531"/>
      <c r="W905" s="531"/>
      <c r="X905" s="531"/>
      <c r="Y905" s="531"/>
      <c r="Z905" s="531"/>
      <c r="AA905" s="531"/>
      <c r="AB905" s="531"/>
      <c r="AD905" s="478">
        <v>657.2</v>
      </c>
    </row>
    <row r="906" spans="1:256" s="520" customFormat="1" ht="12" customHeight="1" thickTop="1">
      <c r="A906" s="51"/>
      <c r="B906" s="51"/>
      <c r="C906" s="51"/>
      <c r="D906" s="51"/>
      <c r="E906" s="51"/>
      <c r="F906" s="51"/>
      <c r="G906" s="51"/>
      <c r="H906" s="51"/>
      <c r="I906" s="51"/>
      <c r="J906" s="51"/>
      <c r="K906" s="51"/>
      <c r="L906" s="51"/>
      <c r="M906" s="51"/>
      <c r="N906" s="51"/>
      <c r="O906" s="52"/>
      <c r="P906" s="51"/>
      <c r="Q906" s="42" t="s">
        <v>168</v>
      </c>
      <c r="R906" s="51"/>
      <c r="S906" s="13"/>
      <c r="T906" s="51"/>
      <c r="AC906" s="892"/>
      <c r="AD906" s="51"/>
    </row>
    <row r="907" spans="1:256" s="901" customFormat="1" ht="12" customHeight="1" thickBot="1">
      <c r="A907" s="927">
        <v>50</v>
      </c>
      <c r="B907" s="928">
        <f ca="1">Elec_Est!B11631</f>
        <v>1498.0434782608695</v>
      </c>
      <c r="C907" s="929"/>
      <c r="D907" s="930" t="s">
        <v>3587</v>
      </c>
      <c r="E907" s="931"/>
      <c r="F907" s="931"/>
      <c r="G907" s="752"/>
      <c r="H907" s="752"/>
      <c r="I907" s="932"/>
      <c r="J907" s="752"/>
      <c r="K907" s="929" t="s">
        <v>169</v>
      </c>
      <c r="L907" s="933" t="s">
        <v>169</v>
      </c>
      <c r="M907" s="933"/>
      <c r="N907" s="933"/>
      <c r="O907" s="933"/>
      <c r="P907" s="933"/>
      <c r="Q907" s="934">
        <f ca="1">B907/A907</f>
        <v>29.96086956521739</v>
      </c>
      <c r="R907" s="935">
        <f ca="1">IF($B907=0,0,IF($S$1="R",ROUND(R918/$B907,2),R918/$B907))</f>
        <v>2.37</v>
      </c>
      <c r="S907" s="936"/>
      <c r="T907" s="935">
        <f ca="1">IF($B907=0,0,IF($S$1="R",ROUND(T918/$B907,2),T918/$B907))</f>
        <v>0.09</v>
      </c>
      <c r="U907" s="520"/>
      <c r="V907" s="520"/>
      <c r="W907" s="520"/>
      <c r="X907" s="520"/>
      <c r="Y907" s="520"/>
      <c r="Z907" s="520"/>
      <c r="AA907" s="892"/>
      <c r="AB907" s="892"/>
      <c r="AC907" s="892"/>
      <c r="AD907" s="931"/>
      <c r="AE907" s="892"/>
      <c r="AF907" s="520"/>
      <c r="AG907" s="520"/>
      <c r="AH907" s="520"/>
      <c r="AI907" s="520"/>
      <c r="AJ907" s="520"/>
      <c r="AK907" s="520"/>
      <c r="AL907" s="520"/>
      <c r="AM907" s="520"/>
      <c r="AN907" s="520"/>
      <c r="AO907" s="520"/>
      <c r="AP907" s="520"/>
      <c r="AQ907" s="520"/>
      <c r="AR907" s="520"/>
      <c r="AS907" s="520"/>
      <c r="AT907" s="520"/>
      <c r="AU907" s="520"/>
      <c r="AV907" s="520"/>
      <c r="AW907" s="520"/>
      <c r="AX907" s="520"/>
      <c r="AY907" s="520"/>
      <c r="AZ907" s="520"/>
      <c r="BA907" s="520"/>
      <c r="BB907" s="520"/>
      <c r="BC907" s="520"/>
      <c r="BD907" s="520"/>
      <c r="BE907" s="520"/>
      <c r="BF907" s="520"/>
      <c r="BG907" s="520"/>
      <c r="BH907" s="520"/>
      <c r="BI907" s="520"/>
      <c r="BJ907" s="520"/>
      <c r="BK907" s="520"/>
      <c r="BL907" s="520"/>
      <c r="BM907" s="520"/>
      <c r="BN907" s="520"/>
      <c r="BO907" s="520"/>
      <c r="BP907" s="520"/>
      <c r="BQ907" s="520"/>
      <c r="BR907" s="520"/>
      <c r="BS907" s="520"/>
      <c r="BT907" s="520"/>
      <c r="BU907" s="520"/>
      <c r="BV907" s="520"/>
      <c r="BW907" s="520"/>
      <c r="BX907" s="520"/>
      <c r="BY907" s="520"/>
      <c r="BZ907" s="520"/>
      <c r="CA907" s="520"/>
      <c r="CB907" s="520"/>
      <c r="CC907" s="520"/>
      <c r="CD907" s="520"/>
      <c r="CE907" s="520"/>
      <c r="CF907" s="520"/>
      <c r="CG907" s="520"/>
      <c r="CH907" s="520"/>
      <c r="CI907" s="520"/>
      <c r="CJ907" s="520"/>
      <c r="CK907" s="520"/>
      <c r="CL907" s="520"/>
      <c r="CM907" s="520"/>
      <c r="CN907" s="520"/>
      <c r="CO907" s="520"/>
      <c r="CP907" s="520"/>
      <c r="CQ907" s="520"/>
      <c r="CR907" s="520"/>
      <c r="CS907" s="520"/>
      <c r="CT907" s="520"/>
      <c r="CU907" s="520"/>
      <c r="CV907" s="520"/>
      <c r="CW907" s="520"/>
      <c r="CX907" s="520"/>
      <c r="CY907" s="520"/>
      <c r="CZ907" s="520"/>
      <c r="DA907" s="520"/>
      <c r="DB907" s="520"/>
      <c r="DC907" s="520"/>
      <c r="DD907" s="520"/>
      <c r="DE907" s="520"/>
      <c r="DF907" s="520"/>
      <c r="DG907" s="520"/>
      <c r="DH907" s="520"/>
      <c r="DI907" s="520"/>
      <c r="DJ907" s="520"/>
      <c r="DK907" s="520"/>
      <c r="DL907" s="520"/>
      <c r="DM907" s="520"/>
      <c r="DN907" s="520"/>
      <c r="DO907" s="520"/>
      <c r="DP907" s="520"/>
      <c r="DQ907" s="520"/>
      <c r="DR907" s="520"/>
      <c r="DS907" s="520"/>
      <c r="DT907" s="520"/>
      <c r="DU907" s="520"/>
      <c r="DV907" s="520"/>
      <c r="DW907" s="520"/>
      <c r="DX907" s="520"/>
      <c r="DY907" s="520"/>
      <c r="DZ907" s="520"/>
      <c r="EA907" s="520"/>
      <c r="EB907" s="520"/>
      <c r="EC907" s="520"/>
      <c r="ED907" s="520"/>
      <c r="EE907" s="520"/>
      <c r="EF907" s="520"/>
      <c r="EG907" s="520"/>
      <c r="EH907" s="520"/>
      <c r="EI907" s="520"/>
      <c r="EJ907" s="520"/>
      <c r="EK907" s="520"/>
      <c r="EL907" s="520"/>
      <c r="EM907" s="520"/>
      <c r="EN907" s="520"/>
      <c r="EO907" s="520"/>
      <c r="EP907" s="520"/>
      <c r="EQ907" s="520"/>
      <c r="ER907" s="520"/>
      <c r="ES907" s="520"/>
      <c r="ET907" s="520"/>
      <c r="EU907" s="520"/>
      <c r="EV907" s="520"/>
      <c r="EW907" s="520"/>
      <c r="EX907" s="520"/>
      <c r="EY907" s="520"/>
      <c r="EZ907" s="520"/>
      <c r="FA907" s="520"/>
      <c r="FB907" s="520"/>
      <c r="FC907" s="520"/>
      <c r="FD907" s="520"/>
      <c r="FE907" s="520"/>
      <c r="FF907" s="520"/>
      <c r="FG907" s="520"/>
      <c r="FH907" s="520"/>
      <c r="FI907" s="520"/>
      <c r="FJ907" s="520"/>
      <c r="FK907" s="520"/>
      <c r="FL907" s="520"/>
      <c r="FM907" s="520"/>
      <c r="FN907" s="520"/>
      <c r="FO907" s="520"/>
      <c r="FP907" s="520"/>
      <c r="FQ907" s="520"/>
      <c r="FR907" s="520"/>
      <c r="FS907" s="520"/>
      <c r="FT907" s="520"/>
      <c r="FU907" s="520"/>
      <c r="FV907" s="520"/>
      <c r="FW907" s="520"/>
      <c r="FX907" s="520"/>
      <c r="FY907" s="520"/>
      <c r="FZ907" s="520"/>
      <c r="GA907" s="520"/>
      <c r="GB907" s="520"/>
      <c r="GC907" s="520"/>
      <c r="GD907" s="520"/>
      <c r="GE907" s="520"/>
      <c r="GF907" s="520"/>
      <c r="GG907" s="520"/>
      <c r="GH907" s="520"/>
      <c r="GI907" s="520"/>
      <c r="GJ907" s="520"/>
      <c r="GK907" s="520"/>
      <c r="GL907" s="520"/>
      <c r="GM907" s="520"/>
      <c r="GN907" s="520"/>
      <c r="GO907" s="520"/>
      <c r="GP907" s="520"/>
      <c r="GQ907" s="520"/>
      <c r="GR907" s="520"/>
      <c r="GS907" s="520"/>
      <c r="GT907" s="520"/>
      <c r="GU907" s="520"/>
      <c r="GV907" s="520"/>
      <c r="GW907" s="520"/>
      <c r="GX907" s="520"/>
      <c r="GY907" s="520"/>
      <c r="GZ907" s="520"/>
      <c r="HA907" s="520"/>
      <c r="HB907" s="520"/>
      <c r="HC907" s="520"/>
      <c r="HD907" s="520"/>
      <c r="HE907" s="520"/>
      <c r="HF907" s="520"/>
      <c r="HG907" s="520"/>
      <c r="HH907" s="520"/>
      <c r="HI907" s="520"/>
      <c r="HJ907" s="520"/>
      <c r="HK907" s="520"/>
      <c r="HL907" s="520"/>
      <c r="HM907" s="520"/>
      <c r="HN907" s="520"/>
      <c r="HO907" s="520"/>
      <c r="HP907" s="520"/>
      <c r="HQ907" s="520"/>
      <c r="HR907" s="520"/>
      <c r="HS907" s="520"/>
      <c r="HT907" s="520"/>
      <c r="HU907" s="520"/>
      <c r="HV907" s="520"/>
      <c r="HW907" s="520"/>
      <c r="HX907" s="520"/>
      <c r="HY907" s="520"/>
      <c r="HZ907" s="520"/>
      <c r="IA907" s="520"/>
      <c r="IB907" s="520"/>
      <c r="IC907" s="520"/>
      <c r="ID907" s="520"/>
      <c r="IE907" s="520"/>
      <c r="IF907" s="520"/>
      <c r="IG907" s="520"/>
      <c r="IH907" s="520"/>
      <c r="II907" s="520"/>
      <c r="IJ907" s="520"/>
      <c r="IK907" s="520"/>
      <c r="IL907" s="520"/>
      <c r="IM907" s="520"/>
      <c r="IN907" s="520"/>
      <c r="IO907" s="520"/>
      <c r="IP907" s="520"/>
      <c r="IQ907" s="520"/>
      <c r="IR907" s="520"/>
      <c r="IS907" s="520"/>
      <c r="IT907" s="520"/>
      <c r="IU907" s="520"/>
      <c r="IV907" s="520"/>
    </row>
    <row r="908" spans="1:256" s="520" customFormat="1" ht="12" customHeight="1" thickTop="1">
      <c r="A908" s="748"/>
      <c r="B908" s="3"/>
      <c r="C908" s="3"/>
      <c r="D908" s="1200" t="s">
        <v>3742</v>
      </c>
      <c r="E908" s="3"/>
      <c r="F908" s="3"/>
      <c r="G908" s="3"/>
      <c r="H908" s="3"/>
      <c r="I908" s="3"/>
      <c r="J908" s="3"/>
      <c r="K908" s="3"/>
      <c r="L908" s="3"/>
      <c r="M908" s="3"/>
      <c r="N908" s="3"/>
      <c r="O908" s="107"/>
      <c r="P908" s="3"/>
      <c r="Q908" s="3"/>
      <c r="R908" s="3"/>
      <c r="S908" s="3"/>
      <c r="T908" s="3"/>
      <c r="AA908" s="901"/>
      <c r="AB908" s="892"/>
      <c r="AC908" s="892"/>
      <c r="AD908" s="3"/>
      <c r="AE908" s="892"/>
    </row>
    <row r="909" spans="1:256" s="520" customFormat="1" ht="12" customHeight="1">
      <c r="A909" s="748"/>
      <c r="B909" s="3"/>
      <c r="C909" s="3"/>
      <c r="D909" s="1070" t="s">
        <v>3118</v>
      </c>
      <c r="F909" s="1071"/>
      <c r="G909" s="3"/>
      <c r="H909" s="3"/>
      <c r="I909" s="3"/>
      <c r="J909" s="3"/>
      <c r="K909" s="3"/>
      <c r="L909" s="3"/>
      <c r="M909" s="3"/>
      <c r="N909" s="3"/>
      <c r="O909" s="107"/>
      <c r="P909" s="3"/>
      <c r="Q909" s="3"/>
      <c r="R909" s="898">
        <f t="shared" ref="R909:R916" si="174">$A909*Q909</f>
        <v>0</v>
      </c>
      <c r="S909" s="3"/>
      <c r="T909" s="899">
        <f t="shared" ref="T909:T916" si="175">$A909*S909*$T$1</f>
        <v>0</v>
      </c>
      <c r="AA909" s="901"/>
      <c r="AB909" s="892"/>
      <c r="AC909" s="892"/>
      <c r="AD909" s="1071"/>
      <c r="AE909" s="892"/>
    </row>
    <row r="910" spans="1:256" s="520" customFormat="1" ht="12" customHeight="1">
      <c r="A910" s="1072">
        <f ca="1">$Q$907*(ROUND(50/1.5*2,0))</f>
        <v>2007.3782608695651</v>
      </c>
      <c r="B910" s="1073" t="s">
        <v>141</v>
      </c>
      <c r="C910" s="1074"/>
      <c r="D910" s="897" t="s">
        <v>3119</v>
      </c>
      <c r="E910" s="1074"/>
      <c r="G910" s="941" t="s">
        <v>3120</v>
      </c>
      <c r="H910" s="942">
        <v>875</v>
      </c>
      <c r="I910" s="1075" t="s">
        <v>3121</v>
      </c>
      <c r="J910" s="1075" t="s">
        <v>3122</v>
      </c>
      <c r="K910" s="897" t="s">
        <v>7</v>
      </c>
      <c r="L910" s="1074"/>
      <c r="M910" s="1073"/>
      <c r="N910" s="1074"/>
      <c r="O910" s="1076">
        <v>1</v>
      </c>
      <c r="P910" s="1077">
        <v>36175</v>
      </c>
      <c r="Q910" s="897">
        <f>2.33 *(0.05)</f>
        <v>0.11650000000000001</v>
      </c>
      <c r="R910" s="898">
        <f t="shared" ca="1" si="174"/>
        <v>233.85956739130435</v>
      </c>
      <c r="S910" s="1074"/>
      <c r="T910" s="899">
        <f t="shared" ca="1" si="175"/>
        <v>0</v>
      </c>
      <c r="U910"/>
      <c r="X910"/>
      <c r="Y910"/>
      <c r="Z910"/>
      <c r="AA910" s="901"/>
      <c r="AB910" s="892"/>
      <c r="AC910" s="892"/>
      <c r="AE910" s="892"/>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CF910"/>
      <c r="CG910"/>
      <c r="CH910"/>
      <c r="CI910"/>
      <c r="CJ910"/>
      <c r="CK910"/>
      <c r="CL910"/>
      <c r="CM910"/>
      <c r="CN910"/>
      <c r="CO910"/>
      <c r="CP910"/>
      <c r="CQ910"/>
      <c r="CR910"/>
      <c r="CS910"/>
      <c r="CT910"/>
      <c r="CU910"/>
      <c r="CV910"/>
      <c r="CW910"/>
      <c r="CX910"/>
      <c r="CY910"/>
      <c r="CZ910"/>
      <c r="DA910"/>
      <c r="DB910"/>
      <c r="DC910"/>
      <c r="DD910"/>
      <c r="DE910"/>
      <c r="DF910"/>
      <c r="DG910"/>
      <c r="DH910"/>
      <c r="DI910"/>
      <c r="DJ910"/>
      <c r="DK910"/>
      <c r="DL910"/>
      <c r="DM910"/>
      <c r="DN910"/>
      <c r="DO910"/>
      <c r="DP910"/>
      <c r="DQ910"/>
      <c r="DR910"/>
      <c r="DS910"/>
      <c r="DT910"/>
      <c r="DU910"/>
      <c r="DV910"/>
      <c r="DW910"/>
      <c r="DX910"/>
      <c r="DY910"/>
      <c r="DZ910"/>
      <c r="EA910"/>
      <c r="EB910"/>
      <c r="EC910"/>
      <c r="ED910"/>
      <c r="EE910"/>
      <c r="EF910"/>
      <c r="EG910"/>
      <c r="EH910"/>
      <c r="EI910"/>
      <c r="EJ910"/>
      <c r="EK910"/>
      <c r="EL910"/>
      <c r="EM910"/>
      <c r="EN910"/>
      <c r="EO910"/>
      <c r="EP910"/>
      <c r="EQ910"/>
      <c r="ER910"/>
      <c r="ES910"/>
      <c r="ET910"/>
      <c r="EU910"/>
      <c r="EV910"/>
      <c r="EW910"/>
      <c r="EX910"/>
      <c r="EY910"/>
      <c r="EZ910"/>
      <c r="FA910"/>
      <c r="FB910"/>
      <c r="FC910"/>
      <c r="FD910"/>
      <c r="FE910"/>
      <c r="FF910"/>
      <c r="FG910"/>
      <c r="FH910"/>
      <c r="FI910"/>
      <c r="FJ910"/>
      <c r="FK910"/>
      <c r="FL910"/>
      <c r="FM910"/>
      <c r="FN910"/>
      <c r="FO910"/>
      <c r="FP910"/>
      <c r="FQ910"/>
      <c r="FR910"/>
      <c r="FS910"/>
      <c r="FT910"/>
      <c r="FU910"/>
      <c r="FV910"/>
      <c r="FW910"/>
      <c r="FX910"/>
      <c r="FY910"/>
      <c r="FZ910"/>
      <c r="GA910"/>
      <c r="GB910"/>
      <c r="GC910"/>
      <c r="GD910"/>
      <c r="GE910"/>
      <c r="GF910"/>
      <c r="GG910"/>
      <c r="GH910"/>
      <c r="GI910"/>
      <c r="GJ910"/>
      <c r="GK910"/>
      <c r="GL910"/>
      <c r="GM910"/>
      <c r="GN910"/>
      <c r="GO910"/>
      <c r="GP910"/>
      <c r="GQ910"/>
      <c r="GR910"/>
      <c r="GS910"/>
      <c r="GT910"/>
      <c r="GU910"/>
      <c r="GV910"/>
      <c r="GW910"/>
      <c r="GX910"/>
      <c r="GY910"/>
      <c r="GZ910"/>
      <c r="HA910"/>
      <c r="HB910"/>
      <c r="HC910"/>
      <c r="HD910"/>
      <c r="HE910"/>
      <c r="HF910"/>
      <c r="HG910"/>
      <c r="HH910"/>
      <c r="HI910"/>
      <c r="HJ910"/>
      <c r="HK910"/>
      <c r="HL910"/>
      <c r="HM910"/>
      <c r="HN910"/>
      <c r="HO910"/>
      <c r="HP910"/>
      <c r="HQ910"/>
      <c r="HR910"/>
      <c r="HS910"/>
      <c r="HT910"/>
      <c r="HU910"/>
      <c r="HV910"/>
      <c r="HW910"/>
      <c r="HX910"/>
      <c r="HY910"/>
      <c r="HZ910"/>
      <c r="IA910"/>
      <c r="IB910"/>
      <c r="IC910"/>
      <c r="ID910"/>
      <c r="IE910"/>
      <c r="IF910"/>
      <c r="IG910"/>
      <c r="IH910"/>
      <c r="II910"/>
      <c r="IJ910"/>
      <c r="IK910"/>
      <c r="IL910"/>
      <c r="IM910"/>
      <c r="IN910"/>
      <c r="IO910"/>
      <c r="IP910"/>
      <c r="IQ910"/>
      <c r="IR910"/>
      <c r="IS910"/>
      <c r="IT910"/>
      <c r="IU910"/>
      <c r="IV910"/>
    </row>
    <row r="911" spans="1:256" s="520" customFormat="1" ht="12" customHeight="1">
      <c r="A911" s="1072">
        <f ca="1">$Q$907*(ROUND(50/1.5*2,0))</f>
        <v>2007.3782608695651</v>
      </c>
      <c r="B911" s="1073" t="s">
        <v>320</v>
      </c>
      <c r="C911" s="1073"/>
      <c r="D911" s="897" t="s">
        <v>3123</v>
      </c>
      <c r="E911" s="901" t="s">
        <v>3124</v>
      </c>
      <c r="F911" s="1078"/>
      <c r="G911" s="941" t="s">
        <v>3125</v>
      </c>
      <c r="H911" s="942">
        <v>501</v>
      </c>
      <c r="I911" s="1079"/>
      <c r="J911" s="1079"/>
      <c r="K911" s="897" t="s">
        <v>7</v>
      </c>
      <c r="L911" s="1073"/>
      <c r="M911" s="1073"/>
      <c r="N911" s="1073"/>
      <c r="O911" s="1076">
        <v>1</v>
      </c>
      <c r="P911" s="1077">
        <v>36175</v>
      </c>
      <c r="Q911" s="945">
        <f>ROUNDUP(0.96*1.145,2)</f>
        <v>1.1000000000000001</v>
      </c>
      <c r="R911" s="898">
        <f t="shared" ca="1" si="174"/>
        <v>2208.1160869565219</v>
      </c>
      <c r="S911" s="1073"/>
      <c r="T911" s="899">
        <f t="shared" ca="1" si="175"/>
        <v>0</v>
      </c>
      <c r="U911"/>
      <c r="X911"/>
      <c r="Y911"/>
      <c r="Z911"/>
      <c r="AB911" s="892"/>
      <c r="AC911" s="892"/>
      <c r="AD911" s="1078"/>
      <c r="AE911" s="892"/>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CF911"/>
      <c r="CG911"/>
      <c r="CH911"/>
      <c r="CI911"/>
      <c r="CJ911"/>
      <c r="CK911"/>
      <c r="CL911"/>
      <c r="CM911"/>
      <c r="CN911"/>
      <c r="CO911"/>
      <c r="CP911"/>
      <c r="CQ911"/>
      <c r="CR911"/>
      <c r="CS911"/>
      <c r="CT911"/>
      <c r="CU911"/>
      <c r="CV911"/>
      <c r="CW911"/>
      <c r="CX911"/>
      <c r="CY911"/>
      <c r="CZ911"/>
      <c r="DA911"/>
      <c r="DB911"/>
      <c r="DC911"/>
      <c r="DD911"/>
      <c r="DE911"/>
      <c r="DF911"/>
      <c r="DG911"/>
      <c r="DH911"/>
      <c r="DI911"/>
      <c r="DJ911"/>
      <c r="DK911"/>
      <c r="DL911"/>
      <c r="DM911"/>
      <c r="DN911"/>
      <c r="DO911"/>
      <c r="DP911"/>
      <c r="DQ911"/>
      <c r="DR911"/>
      <c r="DS911"/>
      <c r="DT911"/>
      <c r="DU911"/>
      <c r="DV911"/>
      <c r="DW911"/>
      <c r="DX911"/>
      <c r="DY911"/>
      <c r="DZ911"/>
      <c r="EA911"/>
      <c r="EB911"/>
      <c r="EC911"/>
      <c r="ED911"/>
      <c r="EE911"/>
      <c r="EF911"/>
      <c r="EG911"/>
      <c r="EH911"/>
      <c r="EI911"/>
      <c r="EJ911"/>
      <c r="EK911"/>
      <c r="EL911"/>
      <c r="EM911"/>
      <c r="EN911"/>
      <c r="EO911"/>
      <c r="EP911"/>
      <c r="EQ911"/>
      <c r="ER911"/>
      <c r="ES911"/>
      <c r="ET911"/>
      <c r="EU911"/>
      <c r="EV911"/>
      <c r="EW911"/>
      <c r="EX911"/>
      <c r="EY911"/>
      <c r="EZ911"/>
      <c r="FA911"/>
      <c r="FB911"/>
      <c r="FC911"/>
      <c r="FD911"/>
      <c r="FE911"/>
      <c r="FF911"/>
      <c r="FG911"/>
      <c r="FH911"/>
      <c r="FI911"/>
      <c r="FJ911"/>
      <c r="FK911"/>
      <c r="FL911"/>
      <c r="FM911"/>
      <c r="FN911"/>
      <c r="FO911"/>
      <c r="FP911"/>
      <c r="FQ911"/>
      <c r="FR911"/>
      <c r="FS911"/>
      <c r="FT911"/>
      <c r="FU911"/>
      <c r="FV911"/>
      <c r="FW911"/>
      <c r="FX911"/>
      <c r="FY911"/>
      <c r="FZ911"/>
      <c r="GA911"/>
      <c r="GB911"/>
      <c r="GC911"/>
      <c r="GD911"/>
      <c r="GE911"/>
      <c r="GF911"/>
      <c r="GG911"/>
      <c r="GH911"/>
      <c r="GI911"/>
      <c r="GJ911"/>
      <c r="GK911"/>
      <c r="GL911"/>
      <c r="GM911"/>
      <c r="GN911"/>
      <c r="GO911"/>
      <c r="GP911"/>
      <c r="GQ911"/>
      <c r="GR911"/>
      <c r="GS911"/>
      <c r="GT911"/>
      <c r="GU911"/>
      <c r="GV911"/>
      <c r="GW911"/>
      <c r="GX911"/>
      <c r="GY911"/>
      <c r="GZ911"/>
      <c r="HA911"/>
      <c r="HB911"/>
      <c r="HC911"/>
      <c r="HD911"/>
      <c r="HE911"/>
      <c r="HF911"/>
      <c r="HG911"/>
      <c r="HH911"/>
      <c r="HI911"/>
      <c r="HJ911"/>
      <c r="HK911"/>
      <c r="HL911"/>
      <c r="HM911"/>
      <c r="HN911"/>
      <c r="HO911"/>
      <c r="HP911"/>
      <c r="HQ911"/>
      <c r="HR911"/>
      <c r="HS911"/>
      <c r="HT911"/>
      <c r="HU911"/>
      <c r="HV911"/>
      <c r="HW911"/>
      <c r="HX911"/>
      <c r="HY911"/>
      <c r="HZ911"/>
      <c r="IA911"/>
      <c r="IB911"/>
      <c r="IC911"/>
      <c r="ID911"/>
      <c r="IE911"/>
      <c r="IF911"/>
      <c r="IG911"/>
      <c r="IH911"/>
      <c r="II911"/>
      <c r="IJ911"/>
      <c r="IK911"/>
      <c r="IL911"/>
      <c r="IM911"/>
      <c r="IN911"/>
      <c r="IO911"/>
      <c r="IP911"/>
      <c r="IQ911"/>
      <c r="IR911"/>
      <c r="IS911"/>
      <c r="IT911"/>
      <c r="IU911"/>
      <c r="IV911"/>
    </row>
    <row r="912" spans="1:256" s="520" customFormat="1" ht="12" customHeight="1">
      <c r="A912" s="1072">
        <f ca="1">$Q$907*(ROUND(50/1.5*2,0))</f>
        <v>2007.3782608695651</v>
      </c>
      <c r="B912" s="887" t="s">
        <v>141</v>
      </c>
      <c r="C912" s="887"/>
      <c r="D912" s="887" t="s">
        <v>3126</v>
      </c>
      <c r="E912" s="887"/>
      <c r="F912" s="887"/>
      <c r="G912" s="941" t="s">
        <v>3127</v>
      </c>
      <c r="H912" s="942">
        <v>501</v>
      </c>
      <c r="I912" s="887"/>
      <c r="J912" s="887"/>
      <c r="K912" s="887"/>
      <c r="L912" s="887"/>
      <c r="M912" s="887"/>
      <c r="N912" s="895"/>
      <c r="O912" s="895">
        <v>1</v>
      </c>
      <c r="P912" s="896"/>
      <c r="Q912" s="897">
        <v>0.12</v>
      </c>
      <c r="R912" s="898">
        <f t="shared" ca="1" si="174"/>
        <v>240.88539130434779</v>
      </c>
      <c r="S912" s="897"/>
      <c r="T912" s="899">
        <f t="shared" ca="1" si="175"/>
        <v>0</v>
      </c>
      <c r="U912" s="887"/>
      <c r="X912" s="887"/>
      <c r="Y912" s="887"/>
      <c r="Z912" s="887"/>
      <c r="AA912" s="892"/>
      <c r="AB912" s="892"/>
      <c r="AC912" s="892"/>
      <c r="AD912" s="887"/>
      <c r="AE912" s="892"/>
      <c r="AF912" s="887"/>
      <c r="AG912" s="887"/>
      <c r="AH912" s="887"/>
      <c r="AI912" s="887"/>
      <c r="AJ912" s="887"/>
      <c r="AK912" s="887"/>
      <c r="AL912" s="887"/>
      <c r="AM912" s="887"/>
      <c r="AN912" s="887"/>
      <c r="AO912" s="887"/>
      <c r="AP912" s="887"/>
      <c r="AQ912" s="887"/>
      <c r="AR912" s="887"/>
      <c r="AS912" s="887"/>
      <c r="AT912" s="887"/>
      <c r="AU912" s="887"/>
      <c r="AV912" s="887"/>
      <c r="AW912" s="887"/>
      <c r="AX912" s="887"/>
      <c r="AY912" s="887"/>
      <c r="AZ912" s="887"/>
      <c r="BA912" s="887"/>
      <c r="BB912" s="887"/>
      <c r="BC912" s="887"/>
      <c r="BD912" s="887"/>
      <c r="BE912" s="887"/>
      <c r="BF912" s="887"/>
      <c r="BG912" s="887"/>
      <c r="BH912" s="887"/>
      <c r="BI912" s="887"/>
      <c r="BJ912" s="887"/>
      <c r="BK912" s="887"/>
      <c r="BL912" s="887"/>
      <c r="BM912" s="887"/>
      <c r="BN912" s="887"/>
      <c r="BO912" s="887"/>
      <c r="BP912" s="887"/>
      <c r="BQ912" s="887"/>
      <c r="BR912" s="887"/>
      <c r="BS912" s="887"/>
      <c r="BT912" s="887"/>
      <c r="BU912" s="887"/>
      <c r="BV912" s="887"/>
      <c r="BW912" s="887"/>
      <c r="BX912" s="887"/>
      <c r="BY912" s="887"/>
      <c r="BZ912" s="887"/>
      <c r="CA912" s="887"/>
      <c r="CB912" s="887"/>
      <c r="CC912" s="887"/>
      <c r="CD912" s="887"/>
      <c r="CE912" s="887"/>
      <c r="CF912" s="887"/>
      <c r="CG912" s="887"/>
      <c r="CH912" s="887"/>
      <c r="CI912" s="887"/>
      <c r="CJ912" s="887"/>
      <c r="CK912" s="887"/>
      <c r="CL912" s="887"/>
      <c r="CM912" s="887"/>
      <c r="CN912" s="887"/>
      <c r="CO912" s="887"/>
      <c r="CP912" s="887"/>
      <c r="CQ912" s="887"/>
      <c r="CR912" s="887"/>
      <c r="CS912" s="887"/>
      <c r="CT912" s="887"/>
      <c r="CU912" s="887"/>
      <c r="CV912" s="887"/>
      <c r="CW912" s="887"/>
      <c r="CX912" s="887"/>
      <c r="CY912" s="887"/>
      <c r="CZ912" s="887"/>
      <c r="DA912" s="887"/>
      <c r="DB912" s="887"/>
      <c r="DC912" s="887"/>
      <c r="DD912" s="887"/>
      <c r="DE912" s="887"/>
      <c r="DF912" s="887"/>
      <c r="DG912" s="887"/>
      <c r="DH912" s="887"/>
      <c r="DI912" s="887"/>
      <c r="DJ912" s="887"/>
      <c r="DK912" s="887"/>
      <c r="DL912" s="887"/>
      <c r="DM912" s="887"/>
      <c r="DN912" s="887"/>
      <c r="DO912" s="887"/>
      <c r="DP912" s="887"/>
      <c r="DQ912" s="887"/>
      <c r="DR912" s="887"/>
      <c r="DS912" s="887"/>
      <c r="DT912" s="887"/>
      <c r="DU912" s="887"/>
      <c r="DV912" s="887"/>
      <c r="DW912" s="887"/>
      <c r="DX912" s="887"/>
      <c r="DY912" s="887"/>
      <c r="DZ912" s="887"/>
      <c r="EA912" s="887"/>
      <c r="EB912" s="887"/>
      <c r="EC912" s="887"/>
      <c r="ED912" s="887"/>
      <c r="EE912" s="887"/>
      <c r="EF912" s="887"/>
      <c r="EG912" s="887"/>
      <c r="EH912" s="887"/>
      <c r="EI912" s="887"/>
      <c r="EJ912" s="887"/>
      <c r="EK912" s="887"/>
      <c r="EL912" s="887"/>
      <c r="EM912" s="887"/>
      <c r="EN912" s="887"/>
      <c r="EO912" s="887"/>
      <c r="EP912" s="887"/>
      <c r="EQ912" s="887"/>
      <c r="ER912" s="887"/>
      <c r="ES912" s="887"/>
      <c r="ET912" s="887"/>
      <c r="EU912" s="887"/>
      <c r="EV912" s="887"/>
      <c r="EW912" s="887"/>
      <c r="EX912" s="887"/>
      <c r="EY912" s="887"/>
      <c r="EZ912" s="887"/>
      <c r="FA912" s="887"/>
      <c r="FB912" s="887"/>
      <c r="FC912" s="887"/>
      <c r="FD912" s="887"/>
      <c r="FE912" s="887"/>
      <c r="FF912" s="887"/>
      <c r="FG912" s="887"/>
      <c r="FH912" s="887"/>
      <c r="FI912" s="887"/>
      <c r="FJ912" s="887"/>
      <c r="FK912" s="887"/>
      <c r="FL912" s="887"/>
      <c r="FM912" s="887"/>
      <c r="FN912" s="887"/>
      <c r="FO912" s="887"/>
      <c r="FP912" s="887"/>
      <c r="FQ912" s="887"/>
      <c r="FR912" s="887"/>
      <c r="FS912" s="887"/>
      <c r="FT912" s="887"/>
      <c r="FU912" s="887"/>
      <c r="FV912" s="887"/>
      <c r="FW912" s="887"/>
      <c r="FX912" s="887"/>
      <c r="FY912" s="887"/>
      <c r="FZ912" s="887"/>
      <c r="GA912" s="887"/>
      <c r="GB912" s="887"/>
      <c r="GC912" s="887"/>
      <c r="GD912" s="887"/>
      <c r="GE912" s="887"/>
      <c r="GF912" s="887"/>
      <c r="GG912" s="887"/>
      <c r="GH912" s="887"/>
      <c r="GI912" s="887"/>
      <c r="GJ912" s="887"/>
      <c r="GK912" s="887"/>
      <c r="GL912" s="887"/>
      <c r="GM912" s="887"/>
      <c r="GN912" s="887"/>
      <c r="GO912" s="887"/>
      <c r="GP912" s="887"/>
      <c r="GQ912" s="887"/>
      <c r="GR912" s="887"/>
      <c r="GS912" s="887"/>
      <c r="GT912" s="887"/>
      <c r="GU912" s="887"/>
      <c r="GV912" s="887"/>
      <c r="GW912" s="887"/>
      <c r="GX912" s="887"/>
      <c r="GY912" s="887"/>
      <c r="GZ912" s="887"/>
      <c r="HA912" s="887"/>
      <c r="HB912" s="887"/>
      <c r="HC912" s="887"/>
      <c r="HD912" s="887"/>
      <c r="HE912" s="887"/>
      <c r="HF912" s="887"/>
      <c r="HG912" s="887"/>
      <c r="HH912" s="887"/>
      <c r="HI912" s="887"/>
      <c r="HJ912" s="887"/>
      <c r="HK912" s="887"/>
      <c r="HL912" s="887"/>
      <c r="HM912" s="887"/>
      <c r="HN912" s="887"/>
      <c r="HO912" s="887"/>
      <c r="HP912" s="887"/>
      <c r="HQ912" s="887"/>
      <c r="HR912" s="887"/>
      <c r="HS912" s="887"/>
      <c r="HT912" s="887"/>
      <c r="HU912" s="887"/>
      <c r="HV912" s="887"/>
      <c r="HW912" s="887"/>
      <c r="HX912" s="887"/>
      <c r="HY912" s="887"/>
      <c r="HZ912" s="887"/>
      <c r="IA912" s="887"/>
      <c r="IB912" s="887"/>
      <c r="IC912" s="887"/>
      <c r="ID912" s="887"/>
      <c r="IE912" s="887"/>
      <c r="IF912" s="887"/>
      <c r="IG912" s="887"/>
      <c r="IH912" s="887"/>
      <c r="II912" s="887"/>
      <c r="IJ912" s="887"/>
      <c r="IK912" s="887"/>
      <c r="IL912" s="887"/>
      <c r="IM912" s="887"/>
      <c r="IN912" s="887"/>
      <c r="IO912" s="887"/>
      <c r="IP912" s="887"/>
      <c r="IQ912" s="887"/>
      <c r="IR912" s="887"/>
      <c r="IS912" s="887"/>
      <c r="IT912" s="887"/>
      <c r="IU912" s="887"/>
      <c r="IV912" s="887"/>
    </row>
    <row r="913" spans="1:256" s="901" customFormat="1" ht="12" customHeight="1">
      <c r="A913" s="1072">
        <f ca="1">$Q$907*(ROUND(50/1.5*0.3,0))</f>
        <v>299.60869565217388</v>
      </c>
      <c r="B913" s="1073" t="s">
        <v>320</v>
      </c>
      <c r="C913" s="1073"/>
      <c r="D913" s="897" t="s">
        <v>3128</v>
      </c>
      <c r="E913" s="901" t="s">
        <v>3124</v>
      </c>
      <c r="F913" s="1078"/>
      <c r="G913" s="941" t="s">
        <v>3129</v>
      </c>
      <c r="H913" s="942">
        <v>501</v>
      </c>
      <c r="I913" s="1075" t="s">
        <v>3121</v>
      </c>
      <c r="J913" s="1079" t="s">
        <v>3130</v>
      </c>
      <c r="K913" s="897" t="s">
        <v>7</v>
      </c>
      <c r="L913" s="1073"/>
      <c r="M913" s="1073"/>
      <c r="N913" s="1073"/>
      <c r="O913" s="1076">
        <v>1</v>
      </c>
      <c r="P913" s="1077">
        <v>36175</v>
      </c>
      <c r="Q913" s="945">
        <f>ROUNDUP(1.46*1.145,2)</f>
        <v>1.68</v>
      </c>
      <c r="R913" s="898">
        <f t="shared" ca="1" si="174"/>
        <v>503.34260869565207</v>
      </c>
      <c r="S913" s="1073"/>
      <c r="T913" s="899">
        <f t="shared" ca="1" si="175"/>
        <v>0</v>
      </c>
      <c r="U913"/>
      <c r="V913" s="520"/>
      <c r="W913" s="520"/>
      <c r="X913"/>
      <c r="Y913"/>
      <c r="Z913"/>
      <c r="AA913" s="892"/>
      <c r="AB913" s="892"/>
      <c r="AC913" s="892"/>
      <c r="AD913" s="1078"/>
      <c r="AE913" s="892"/>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c r="CG913"/>
      <c r="CH913"/>
      <c r="CI913"/>
      <c r="CJ913"/>
      <c r="CK913"/>
      <c r="CL913"/>
      <c r="CM913"/>
      <c r="CN913"/>
      <c r="CO913"/>
      <c r="CP913"/>
      <c r="CQ913"/>
      <c r="CR913"/>
      <c r="CS913"/>
      <c r="CT913"/>
      <c r="CU913"/>
      <c r="CV913"/>
      <c r="CW913"/>
      <c r="CX913"/>
      <c r="CY913"/>
      <c r="CZ913"/>
      <c r="DA913"/>
      <c r="DB913"/>
      <c r="DC913"/>
      <c r="DD913"/>
      <c r="DE913"/>
      <c r="DF913"/>
      <c r="DG913"/>
      <c r="DH913"/>
      <c r="DI913"/>
      <c r="DJ913"/>
      <c r="DK913"/>
      <c r="DL913"/>
      <c r="DM913"/>
      <c r="DN913"/>
      <c r="DO913"/>
      <c r="DP913"/>
      <c r="DQ913"/>
      <c r="DR913"/>
      <c r="DS913"/>
      <c r="DT913"/>
      <c r="DU913"/>
      <c r="DV913"/>
      <c r="DW913"/>
      <c r="DX913"/>
      <c r="DY913"/>
      <c r="DZ913"/>
      <c r="EA913"/>
      <c r="EB913"/>
      <c r="EC913"/>
      <c r="ED913"/>
      <c r="EE913"/>
      <c r="EF913"/>
      <c r="EG913"/>
      <c r="EH913"/>
      <c r="EI913"/>
      <c r="EJ913"/>
      <c r="EK913"/>
      <c r="EL913"/>
      <c r="EM913"/>
      <c r="EN913"/>
      <c r="EO913"/>
      <c r="EP913"/>
      <c r="EQ913"/>
      <c r="ER913"/>
      <c r="ES913"/>
      <c r="ET913"/>
      <c r="EU913"/>
      <c r="EV913"/>
      <c r="EW913"/>
      <c r="EX913"/>
      <c r="EY913"/>
      <c r="EZ913"/>
      <c r="FA913"/>
      <c r="FB913"/>
      <c r="FC913"/>
      <c r="FD913"/>
      <c r="FE913"/>
      <c r="FF913"/>
      <c r="FG913"/>
      <c r="FH913"/>
      <c r="FI913"/>
      <c r="FJ913"/>
      <c r="FK913"/>
      <c r="FL913"/>
      <c r="FM913"/>
      <c r="FN913"/>
      <c r="FO913"/>
      <c r="FP913"/>
      <c r="FQ913"/>
      <c r="FR913"/>
      <c r="FS913"/>
      <c r="FT913"/>
      <c r="FU913"/>
      <c r="FV913"/>
      <c r="FW913"/>
      <c r="FX913"/>
      <c r="FY913"/>
      <c r="FZ913"/>
      <c r="GA913"/>
      <c r="GB913"/>
      <c r="GC913"/>
      <c r="GD913"/>
      <c r="GE913"/>
      <c r="GF913"/>
      <c r="GG913"/>
      <c r="GH913"/>
      <c r="GI913"/>
      <c r="GJ913"/>
      <c r="GK913"/>
      <c r="GL913"/>
      <c r="GM913"/>
      <c r="GN913"/>
      <c r="GO913"/>
      <c r="GP913"/>
      <c r="GQ913"/>
      <c r="GR913"/>
      <c r="GS913"/>
      <c r="GT913"/>
      <c r="GU913"/>
      <c r="GV913"/>
      <c r="GW913"/>
      <c r="GX913"/>
      <c r="GY913"/>
      <c r="GZ913"/>
      <c r="HA913"/>
      <c r="HB913"/>
      <c r="HC913"/>
      <c r="HD913"/>
      <c r="HE913"/>
      <c r="HF913"/>
      <c r="HG913"/>
      <c r="HH913"/>
      <c r="HI913"/>
      <c r="HJ913"/>
      <c r="HK913"/>
      <c r="HL913"/>
      <c r="HM913"/>
      <c r="HN913"/>
      <c r="HO913"/>
      <c r="HP913"/>
      <c r="HQ913"/>
      <c r="HR913"/>
      <c r="HS913"/>
      <c r="HT913"/>
      <c r="HU913"/>
      <c r="HV913"/>
      <c r="HW913"/>
      <c r="HX913"/>
      <c r="HY913"/>
      <c r="HZ913"/>
      <c r="IA913"/>
      <c r="IB913"/>
      <c r="IC913"/>
      <c r="ID913"/>
      <c r="IE913"/>
      <c r="IF913"/>
      <c r="IG913"/>
      <c r="IH913"/>
      <c r="II913"/>
      <c r="IJ913"/>
      <c r="IK913"/>
      <c r="IL913"/>
      <c r="IM913"/>
      <c r="IN913"/>
      <c r="IO913"/>
      <c r="IP913"/>
      <c r="IQ913"/>
      <c r="IR913"/>
      <c r="IS913"/>
      <c r="IT913"/>
      <c r="IU913"/>
      <c r="IV913"/>
    </row>
    <row r="914" spans="1:256" s="520" customFormat="1" ht="12" customHeight="1">
      <c r="A914" s="1072">
        <f ca="1">$Q$907*(ROUND(50/1.5,0))</f>
        <v>988.7086956521739</v>
      </c>
      <c r="B914" s="1073" t="s">
        <v>141</v>
      </c>
      <c r="C914" s="1073"/>
      <c r="D914" s="897" t="s">
        <v>3131</v>
      </c>
      <c r="E914" s="1074"/>
      <c r="F914" s="1078"/>
      <c r="G914" s="941" t="s">
        <v>3132</v>
      </c>
      <c r="H914" s="942">
        <v>501</v>
      </c>
      <c r="I914" s="1079" t="s">
        <v>2596</v>
      </c>
      <c r="J914" s="1079"/>
      <c r="K914" s="897" t="s">
        <v>7</v>
      </c>
      <c r="L914" s="1073"/>
      <c r="M914" s="1073"/>
      <c r="N914" s="1073"/>
      <c r="O914" s="1080">
        <v>3</v>
      </c>
      <c r="P914" s="1081"/>
      <c r="Q914" s="1082"/>
      <c r="R914" s="898">
        <f t="shared" ca="1" si="174"/>
        <v>0</v>
      </c>
      <c r="S914" s="1201">
        <v>0.15</v>
      </c>
      <c r="T914" s="899">
        <f t="shared" ca="1" si="175"/>
        <v>133.47567391304349</v>
      </c>
      <c r="U914" t="s">
        <v>2764</v>
      </c>
      <c r="X914">
        <v>0.25</v>
      </c>
      <c r="Y914"/>
      <c r="Z914"/>
      <c r="AA914"/>
      <c r="AB914"/>
      <c r="AC914"/>
      <c r="AD914" s="1078"/>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c r="CE914"/>
      <c r="CF914"/>
      <c r="CG914"/>
      <c r="CH914"/>
      <c r="CI914"/>
      <c r="CJ914"/>
      <c r="CK914"/>
      <c r="CL914"/>
      <c r="CM914"/>
      <c r="CN914"/>
      <c r="CO914"/>
      <c r="CP914"/>
      <c r="CQ914"/>
      <c r="CR914"/>
      <c r="CS914"/>
      <c r="CT914"/>
      <c r="CU914"/>
      <c r="CV914"/>
      <c r="CW914"/>
      <c r="CX914"/>
      <c r="CY914"/>
      <c r="CZ914"/>
      <c r="DA914"/>
      <c r="DB914"/>
      <c r="DC914"/>
      <c r="DD914"/>
      <c r="DE914"/>
      <c r="DF914"/>
      <c r="DG914"/>
      <c r="DH914"/>
      <c r="DI914"/>
      <c r="DJ914"/>
      <c r="DK914"/>
      <c r="DL914"/>
      <c r="DM914"/>
      <c r="DN914"/>
      <c r="DO914"/>
      <c r="DP914"/>
      <c r="DQ914"/>
      <c r="DR914"/>
      <c r="DS914"/>
      <c r="DT914"/>
      <c r="DU914"/>
      <c r="DV914"/>
      <c r="DW914"/>
      <c r="DX914"/>
      <c r="DY914"/>
      <c r="DZ914"/>
      <c r="EA914"/>
      <c r="EB914"/>
      <c r="EC914"/>
      <c r="ED914"/>
      <c r="EE914"/>
      <c r="EF914"/>
      <c r="EG914"/>
      <c r="EH914"/>
      <c r="EI914"/>
      <c r="EJ914"/>
      <c r="EK914"/>
      <c r="EL914"/>
      <c r="EM914"/>
      <c r="EN914"/>
      <c r="EO914"/>
      <c r="EP914"/>
      <c r="EQ914"/>
      <c r="ER914"/>
      <c r="ES914"/>
      <c r="ET914"/>
      <c r="EU914"/>
      <c r="EV914"/>
      <c r="EW914"/>
      <c r="EX914"/>
      <c r="EY914"/>
      <c r="EZ914"/>
      <c r="FA914"/>
      <c r="FB914"/>
      <c r="FC914"/>
      <c r="FD914"/>
      <c r="FE914"/>
      <c r="FF914"/>
      <c r="FG914"/>
      <c r="FH914"/>
      <c r="FI914"/>
      <c r="FJ914"/>
      <c r="FK914"/>
      <c r="FL914"/>
      <c r="FM914"/>
      <c r="FN914"/>
      <c r="FO914"/>
      <c r="FP914"/>
      <c r="FQ914"/>
      <c r="FR914"/>
      <c r="FS914"/>
      <c r="FT914"/>
      <c r="FU914"/>
      <c r="FV914"/>
      <c r="FW914"/>
      <c r="FX914"/>
      <c r="FY914"/>
      <c r="FZ914"/>
      <c r="GA914"/>
      <c r="GB914"/>
      <c r="GC914"/>
      <c r="GD914"/>
      <c r="GE914"/>
      <c r="GF914"/>
      <c r="GG914"/>
      <c r="GH914"/>
      <c r="GI914"/>
      <c r="GJ914"/>
      <c r="GK914"/>
      <c r="GL914"/>
      <c r="GM914"/>
      <c r="GN914"/>
      <c r="GO914"/>
      <c r="GP914"/>
      <c r="GQ914"/>
      <c r="GR914"/>
      <c r="GS914"/>
      <c r="GT914"/>
      <c r="GU914"/>
      <c r="GV914"/>
      <c r="GW914"/>
      <c r="GX914"/>
      <c r="GY914"/>
      <c r="GZ914"/>
      <c r="HA914"/>
      <c r="HB914"/>
      <c r="HC914"/>
      <c r="HD914"/>
      <c r="HE914"/>
      <c r="HF914"/>
      <c r="HG914"/>
      <c r="HH914"/>
      <c r="HI914"/>
      <c r="HJ914"/>
      <c r="HK914"/>
      <c r="HL914"/>
      <c r="HM914"/>
      <c r="HN914"/>
      <c r="HO914"/>
      <c r="HP914"/>
      <c r="HQ914"/>
      <c r="HR914"/>
      <c r="HS914"/>
      <c r="HT914"/>
      <c r="HU914"/>
      <c r="HV914"/>
      <c r="HW914"/>
      <c r="HX914"/>
      <c r="HY914"/>
      <c r="HZ914"/>
      <c r="IA914"/>
      <c r="IB914"/>
      <c r="IC914"/>
      <c r="ID914"/>
      <c r="IE914"/>
      <c r="IF914"/>
      <c r="IG914"/>
      <c r="IH914"/>
      <c r="II914"/>
      <c r="IJ914"/>
      <c r="IK914"/>
      <c r="IL914"/>
      <c r="IM914"/>
      <c r="IN914"/>
      <c r="IO914"/>
      <c r="IP914"/>
      <c r="IQ914"/>
      <c r="IR914"/>
      <c r="IS914"/>
      <c r="IT914"/>
      <c r="IU914"/>
      <c r="IV914"/>
    </row>
    <row r="915" spans="1:256" s="520" customFormat="1" ht="12" customHeight="1">
      <c r="A915" s="1072">
        <f ca="1">$Q$907*(ROUND(50/1.5*4,0))</f>
        <v>3984.7956521739129</v>
      </c>
      <c r="B915" s="1073" t="s">
        <v>141</v>
      </c>
      <c r="C915" s="1073"/>
      <c r="D915" s="897" t="s">
        <v>3133</v>
      </c>
      <c r="E915" s="1074"/>
      <c r="F915" s="1078"/>
      <c r="G915" s="941" t="s">
        <v>3134</v>
      </c>
      <c r="H915" s="942">
        <v>501</v>
      </c>
      <c r="I915" s="1079"/>
      <c r="J915" s="1079"/>
      <c r="K915" s="897" t="s">
        <v>7</v>
      </c>
      <c r="L915" s="1073"/>
      <c r="M915" s="1073"/>
      <c r="N915" s="1073"/>
      <c r="O915" s="1076">
        <v>1</v>
      </c>
      <c r="P915" s="1077"/>
      <c r="Q915" s="897">
        <f>2.33 *(0.03)</f>
        <v>6.9900000000000004E-2</v>
      </c>
      <c r="R915" s="898">
        <f t="shared" ca="1" si="174"/>
        <v>278.53721608695651</v>
      </c>
      <c r="S915" s="1073"/>
      <c r="T915" s="899">
        <f t="shared" ca="1" si="175"/>
        <v>0</v>
      </c>
      <c r="U915"/>
      <c r="X915"/>
      <c r="Y915"/>
      <c r="Z915"/>
      <c r="AA915"/>
      <c r="AB915"/>
      <c r="AC915"/>
      <c r="AD915" s="1078"/>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c r="CE915"/>
      <c r="CF915"/>
      <c r="CG915"/>
      <c r="CH915"/>
      <c r="CI915"/>
      <c r="CJ915"/>
      <c r="CK915"/>
      <c r="CL915"/>
      <c r="CM915"/>
      <c r="CN915"/>
      <c r="CO915"/>
      <c r="CP915"/>
      <c r="CQ915"/>
      <c r="CR915"/>
      <c r="CS915"/>
      <c r="CT915"/>
      <c r="CU915"/>
      <c r="CV915"/>
      <c r="CW915"/>
      <c r="CX915"/>
      <c r="CY915"/>
      <c r="CZ915"/>
      <c r="DA915"/>
      <c r="DB915"/>
      <c r="DC915"/>
      <c r="DD915"/>
      <c r="DE915"/>
      <c r="DF915"/>
      <c r="DG915"/>
      <c r="DH915"/>
      <c r="DI915"/>
      <c r="DJ915"/>
      <c r="DK915"/>
      <c r="DL915"/>
      <c r="DM915"/>
      <c r="DN915"/>
      <c r="DO915"/>
      <c r="DP915"/>
      <c r="DQ915"/>
      <c r="DR915"/>
      <c r="DS915"/>
      <c r="DT915"/>
      <c r="DU915"/>
      <c r="DV915"/>
      <c r="DW915"/>
      <c r="DX915"/>
      <c r="DY915"/>
      <c r="DZ915"/>
      <c r="EA915"/>
      <c r="EB915"/>
      <c r="EC915"/>
      <c r="ED915"/>
      <c r="EE915"/>
      <c r="EF915"/>
      <c r="EG915"/>
      <c r="EH915"/>
      <c r="EI915"/>
      <c r="EJ915"/>
      <c r="EK915"/>
      <c r="EL915"/>
      <c r="EM915"/>
      <c r="EN915"/>
      <c r="EO915"/>
      <c r="EP915"/>
      <c r="EQ915"/>
      <c r="ER915"/>
      <c r="ES915"/>
      <c r="ET915"/>
      <c r="EU915"/>
      <c r="EV915"/>
      <c r="EW915"/>
      <c r="EX915"/>
      <c r="EY915"/>
      <c r="EZ915"/>
      <c r="FA915"/>
      <c r="FB915"/>
      <c r="FC915"/>
      <c r="FD915"/>
      <c r="FE915"/>
      <c r="FF915"/>
      <c r="FG915"/>
      <c r="FH915"/>
      <c r="FI915"/>
      <c r="FJ915"/>
      <c r="FK915"/>
      <c r="FL915"/>
      <c r="FM915"/>
      <c r="FN915"/>
      <c r="FO915"/>
      <c r="FP915"/>
      <c r="FQ915"/>
      <c r="FR915"/>
      <c r="FS915"/>
      <c r="FT915"/>
      <c r="FU915"/>
      <c r="FV915"/>
      <c r="FW915"/>
      <c r="FX915"/>
      <c r="FY915"/>
      <c r="FZ915"/>
      <c r="GA915"/>
      <c r="GB915"/>
      <c r="GC915"/>
      <c r="GD915"/>
      <c r="GE915"/>
      <c r="GF915"/>
      <c r="GG915"/>
      <c r="GH915"/>
      <c r="GI915"/>
      <c r="GJ915"/>
      <c r="GK915"/>
      <c r="GL915"/>
      <c r="GM915"/>
      <c r="GN915"/>
      <c r="GO915"/>
      <c r="GP915"/>
      <c r="GQ915"/>
      <c r="GR915"/>
      <c r="GS915"/>
      <c r="GT915"/>
      <c r="GU915"/>
      <c r="GV915"/>
      <c r="GW915"/>
      <c r="GX915"/>
      <c r="GY915"/>
      <c r="GZ915"/>
      <c r="HA915"/>
      <c r="HB915"/>
      <c r="HC915"/>
      <c r="HD915"/>
      <c r="HE915"/>
      <c r="HF915"/>
      <c r="HG915"/>
      <c r="HH915"/>
      <c r="HI915"/>
      <c r="HJ915"/>
      <c r="HK915"/>
      <c r="HL915"/>
      <c r="HM915"/>
      <c r="HN915"/>
      <c r="HO915"/>
      <c r="HP915"/>
      <c r="HQ915"/>
      <c r="HR915"/>
      <c r="HS915"/>
      <c r="HT915"/>
      <c r="HU915"/>
      <c r="HV915"/>
      <c r="HW915"/>
      <c r="HX915"/>
      <c r="HY915"/>
      <c r="HZ915"/>
      <c r="IA915"/>
      <c r="IB915"/>
      <c r="IC915"/>
      <c r="ID915"/>
      <c r="IE915"/>
      <c r="IF915"/>
      <c r="IG915"/>
      <c r="IH915"/>
      <c r="II915"/>
      <c r="IJ915"/>
      <c r="IK915"/>
      <c r="IL915"/>
      <c r="IM915"/>
      <c r="IN915"/>
      <c r="IO915"/>
      <c r="IP915"/>
      <c r="IQ915"/>
      <c r="IR915"/>
      <c r="IS915"/>
      <c r="IT915"/>
      <c r="IU915"/>
      <c r="IV915"/>
    </row>
    <row r="916" spans="1:256" s="520" customFormat="1" ht="12" customHeight="1">
      <c r="A916" s="1072">
        <f ca="1">$Q$907*(ROUND(50/1.5*4,0))</f>
        <v>3984.7956521739129</v>
      </c>
      <c r="B916" s="1073" t="s">
        <v>141</v>
      </c>
      <c r="C916" s="1073"/>
      <c r="D916" s="897" t="s">
        <v>3135</v>
      </c>
      <c r="E916" s="1074"/>
      <c r="F916" s="1078"/>
      <c r="G916" s="941" t="s">
        <v>3136</v>
      </c>
      <c r="H916" s="942">
        <v>501</v>
      </c>
      <c r="I916" s="1079"/>
      <c r="J916" s="1079"/>
      <c r="K916" s="897" t="s">
        <v>7</v>
      </c>
      <c r="L916" s="1073"/>
      <c r="M916" s="1073"/>
      <c r="N916" s="1073"/>
      <c r="O916" s="1080">
        <v>1</v>
      </c>
      <c r="P916" s="1081"/>
      <c r="Q916" s="897">
        <f>2.33 *(0.01)</f>
        <v>2.3300000000000001E-2</v>
      </c>
      <c r="R916" s="898">
        <f t="shared" ca="1" si="174"/>
        <v>92.845738695652173</v>
      </c>
      <c r="S916" s="1073"/>
      <c r="T916" s="899">
        <f t="shared" ca="1" si="175"/>
        <v>0</v>
      </c>
      <c r="U916"/>
      <c r="V916"/>
      <c r="W916"/>
      <c r="X916"/>
      <c r="Y916"/>
      <c r="Z916"/>
      <c r="AA916"/>
      <c r="AB916"/>
      <c r="AC916"/>
      <c r="AD916" s="1078"/>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c r="CO916"/>
      <c r="CP916"/>
      <c r="CQ916"/>
      <c r="CR916"/>
      <c r="CS916"/>
      <c r="CT916"/>
      <c r="CU916"/>
      <c r="CV916"/>
      <c r="CW916"/>
      <c r="CX916"/>
      <c r="CY916"/>
      <c r="CZ916"/>
      <c r="DA916"/>
      <c r="DB916"/>
      <c r="DC916"/>
      <c r="DD916"/>
      <c r="DE916"/>
      <c r="DF916"/>
      <c r="DG916"/>
      <c r="DH916"/>
      <c r="DI916"/>
      <c r="DJ916"/>
      <c r="DK916"/>
      <c r="DL916"/>
      <c r="DM916"/>
      <c r="DN916"/>
      <c r="DO916"/>
      <c r="DP916"/>
      <c r="DQ916"/>
      <c r="DR916"/>
      <c r="DS916"/>
      <c r="DT916"/>
      <c r="DU916"/>
      <c r="DV916"/>
      <c r="DW916"/>
      <c r="DX916"/>
      <c r="DY916"/>
      <c r="DZ916"/>
      <c r="EA916"/>
      <c r="EB916"/>
      <c r="EC916"/>
      <c r="ED916"/>
      <c r="EE916"/>
      <c r="EF916"/>
      <c r="EG916"/>
      <c r="EH916"/>
      <c r="EI916"/>
      <c r="EJ916"/>
      <c r="EK916"/>
      <c r="EL916"/>
      <c r="EM916"/>
      <c r="EN916"/>
      <c r="EO916"/>
      <c r="EP916"/>
      <c r="EQ916"/>
      <c r="ER916"/>
      <c r="ES916"/>
      <c r="ET916"/>
      <c r="EU916"/>
      <c r="EV916"/>
      <c r="EW916"/>
      <c r="EX916"/>
      <c r="EY916"/>
      <c r="EZ916"/>
      <c r="FA916"/>
      <c r="FB916"/>
      <c r="FC916"/>
      <c r="FD916"/>
      <c r="FE916"/>
      <c r="FF916"/>
      <c r="FG916"/>
      <c r="FH916"/>
      <c r="FI916"/>
      <c r="FJ916"/>
      <c r="FK916"/>
      <c r="FL916"/>
      <c r="FM916"/>
      <c r="FN916"/>
      <c r="FO916"/>
      <c r="FP916"/>
      <c r="FQ916"/>
      <c r="FR916"/>
      <c r="FS916"/>
      <c r="FT916"/>
      <c r="FU916"/>
      <c r="FV916"/>
      <c r="FW916"/>
      <c r="FX916"/>
      <c r="FY916"/>
      <c r="FZ916"/>
      <c r="GA916"/>
      <c r="GB916"/>
      <c r="GC916"/>
      <c r="GD916"/>
      <c r="GE916"/>
      <c r="GF916"/>
      <c r="GG916"/>
      <c r="GH916"/>
      <c r="GI916"/>
      <c r="GJ916"/>
      <c r="GK916"/>
      <c r="GL916"/>
      <c r="GM916"/>
      <c r="GN916"/>
      <c r="GO916"/>
      <c r="GP916"/>
      <c r="GQ916"/>
      <c r="GR916"/>
      <c r="GS916"/>
      <c r="GT916"/>
      <c r="GU916"/>
      <c r="GV916"/>
      <c r="GW916"/>
      <c r="GX916"/>
      <c r="GY916"/>
      <c r="GZ916"/>
      <c r="HA916"/>
      <c r="HB916"/>
      <c r="HC916"/>
      <c r="HD916"/>
      <c r="HE916"/>
      <c r="HF916"/>
      <c r="HG916"/>
      <c r="HH916"/>
      <c r="HI916"/>
      <c r="HJ916"/>
      <c r="HK916"/>
      <c r="HL916"/>
      <c r="HM916"/>
      <c r="HN916"/>
      <c r="HO916"/>
      <c r="HP916"/>
      <c r="HQ916"/>
      <c r="HR916"/>
      <c r="HS916"/>
      <c r="HT916"/>
      <c r="HU916"/>
      <c r="HV916"/>
      <c r="HW916"/>
      <c r="HX916"/>
      <c r="HY916"/>
      <c r="HZ916"/>
      <c r="IA916"/>
      <c r="IB916"/>
      <c r="IC916"/>
      <c r="ID916"/>
      <c r="IE916"/>
      <c r="IF916"/>
      <c r="IG916"/>
      <c r="IH916"/>
      <c r="II916"/>
      <c r="IJ916"/>
      <c r="IK916"/>
      <c r="IL916"/>
      <c r="IM916"/>
      <c r="IN916"/>
      <c r="IO916"/>
      <c r="IP916"/>
      <c r="IQ916"/>
      <c r="IR916"/>
      <c r="IS916"/>
      <c r="IT916"/>
      <c r="IU916"/>
      <c r="IV916"/>
    </row>
    <row r="917" spans="1:256" s="520" customFormat="1" ht="12" customHeight="1">
      <c r="A917" s="758"/>
      <c r="B917" s="3"/>
      <c r="C917" s="758" t="s">
        <v>171</v>
      </c>
      <c r="D917" s="3"/>
      <c r="E917" s="758"/>
      <c r="F917" s="753"/>
      <c r="G917" s="758"/>
      <c r="H917" s="758"/>
      <c r="I917" s="519"/>
      <c r="J917" s="758"/>
      <c r="K917" s="758"/>
      <c r="L917" s="758"/>
      <c r="M917" s="758"/>
      <c r="N917" s="758"/>
      <c r="O917" s="758"/>
      <c r="P917" s="758"/>
      <c r="Q917" s="519"/>
      <c r="R917" s="917">
        <f>$A917*Q917</f>
        <v>0</v>
      </c>
      <c r="S917" s="519"/>
      <c r="T917" s="760">
        <f>$A917*S917*$T$1</f>
        <v>0</v>
      </c>
      <c r="AD917" s="753"/>
    </row>
    <row r="918" spans="1:256" s="520" customFormat="1" ht="12" customHeight="1" thickBot="1">
      <c r="A918" s="761" t="s">
        <v>145</v>
      </c>
      <c r="B918" s="762">
        <f>(R917+T917)</f>
        <v>0</v>
      </c>
      <c r="C918" s="763"/>
      <c r="D918" s="937" t="s">
        <v>172</v>
      </c>
      <c r="E918" s="477">
        <f ca="1">IF($B907=0,0,ROUND(ROUND(($R918*$S$2+($T918*$T$2))/$B907, 2)*$C$2,2))</f>
        <v>5.94</v>
      </c>
      <c r="F918" s="478">
        <f ca="1">ROUND($B907*$E918,2)</f>
        <v>8898.3799999999992</v>
      </c>
      <c r="G918" s="763"/>
      <c r="H918" s="763"/>
      <c r="I918" s="765"/>
      <c r="J918" s="763"/>
      <c r="K918" s="938" t="s">
        <v>143</v>
      </c>
      <c r="L918" s="766" t="s">
        <v>143</v>
      </c>
      <c r="M918" s="766"/>
      <c r="N918" s="766"/>
      <c r="O918" s="766"/>
      <c r="P918" s="766"/>
      <c r="Q918" s="938"/>
      <c r="R918" s="939">
        <f ca="1">SUM(R908:R917)</f>
        <v>3557.5866091304342</v>
      </c>
      <c r="S918" s="940"/>
      <c r="T918" s="939">
        <f ca="1">SUM(T908:T917)</f>
        <v>133.47567391304349</v>
      </c>
      <c r="U918" s="531"/>
      <c r="V918" s="531"/>
      <c r="W918" s="531"/>
      <c r="X918" s="531"/>
      <c r="Y918" s="531"/>
      <c r="Z918" s="531"/>
      <c r="AA918" s="531"/>
      <c r="AB918" s="531"/>
      <c r="AD918" s="478">
        <v>9958.25</v>
      </c>
    </row>
    <row r="919" spans="1:256" s="520" customFormat="1" ht="12" customHeight="1" thickTop="1">
      <c r="A919" s="51"/>
      <c r="B919" s="51"/>
      <c r="C919" s="51"/>
      <c r="D919" s="51"/>
      <c r="E919" s="51"/>
      <c r="F919" s="51"/>
      <c r="G919" s="51"/>
      <c r="H919" s="51"/>
      <c r="I919" s="51"/>
      <c r="J919" s="51"/>
      <c r="K919" s="51"/>
      <c r="L919" s="51"/>
      <c r="M919" s="51"/>
      <c r="N919" s="51"/>
      <c r="O919" s="52"/>
      <c r="P919" s="51"/>
      <c r="Q919" s="42" t="s">
        <v>168</v>
      </c>
      <c r="R919" s="51"/>
      <c r="S919" s="13"/>
      <c r="T919" s="51"/>
      <c r="AC919" s="892"/>
      <c r="AD919" s="51"/>
    </row>
    <row r="920" spans="1:256" s="901" customFormat="1" ht="12" customHeight="1" thickBot="1">
      <c r="A920" s="927">
        <v>50</v>
      </c>
      <c r="B920" s="928">
        <f ca="1">Elec_Est!B11632</f>
        <v>390</v>
      </c>
      <c r="C920" s="929"/>
      <c r="D920" s="930" t="s">
        <v>3588</v>
      </c>
      <c r="E920" s="931"/>
      <c r="F920" s="931"/>
      <c r="G920" s="752"/>
      <c r="H920" s="752"/>
      <c r="I920" s="932"/>
      <c r="J920" s="752"/>
      <c r="K920" s="929" t="s">
        <v>169</v>
      </c>
      <c r="L920" s="933" t="s">
        <v>169</v>
      </c>
      <c r="M920" s="933"/>
      <c r="N920" s="933"/>
      <c r="O920" s="933"/>
      <c r="P920" s="933"/>
      <c r="Q920" s="934">
        <f ca="1">B920/A920</f>
        <v>7.8</v>
      </c>
      <c r="R920" s="935">
        <f ca="1">IF($B920=0,0,IF($S$1="R",ROUND(R931/$B920,2),R931/$B920))</f>
        <v>2.48</v>
      </c>
      <c r="S920" s="936"/>
      <c r="T920" s="935">
        <f ca="1">IF($B920=0,0,IF($S$1="R",ROUND(T931/$B920,2),T931/$B920))</f>
        <v>0.09</v>
      </c>
      <c r="U920" s="520"/>
      <c r="V920" s="520"/>
      <c r="W920" s="520"/>
      <c r="X920" s="520"/>
      <c r="Y920" s="520"/>
      <c r="Z920" s="520"/>
      <c r="AA920" s="892"/>
      <c r="AB920" s="892"/>
      <c r="AC920" s="892"/>
      <c r="AD920" s="931"/>
      <c r="AE920" s="892"/>
      <c r="AF920" s="520"/>
      <c r="AG920" s="520"/>
      <c r="AH920" s="520"/>
      <c r="AI920" s="520"/>
      <c r="AJ920" s="520"/>
      <c r="AK920" s="520"/>
      <c r="AL920" s="520"/>
      <c r="AM920" s="520"/>
      <c r="AN920" s="520"/>
      <c r="AO920" s="520"/>
      <c r="AP920" s="520"/>
      <c r="AQ920" s="520"/>
      <c r="AR920" s="520"/>
      <c r="AS920" s="520"/>
      <c r="AT920" s="520"/>
      <c r="AU920" s="520"/>
      <c r="AV920" s="520"/>
      <c r="AW920" s="520"/>
      <c r="AX920" s="520"/>
      <c r="AY920" s="520"/>
      <c r="AZ920" s="520"/>
      <c r="BA920" s="520"/>
      <c r="BB920" s="520"/>
      <c r="BC920" s="520"/>
      <c r="BD920" s="520"/>
      <c r="BE920" s="520"/>
      <c r="BF920" s="520"/>
      <c r="BG920" s="520"/>
      <c r="BH920" s="520"/>
      <c r="BI920" s="520"/>
      <c r="BJ920" s="520"/>
      <c r="BK920" s="520"/>
      <c r="BL920" s="520"/>
      <c r="BM920" s="520"/>
      <c r="BN920" s="520"/>
      <c r="BO920" s="520"/>
      <c r="BP920" s="520"/>
      <c r="BQ920" s="520"/>
      <c r="BR920" s="520"/>
      <c r="BS920" s="520"/>
      <c r="BT920" s="520"/>
      <c r="BU920" s="520"/>
      <c r="BV920" s="520"/>
      <c r="BW920" s="520"/>
      <c r="BX920" s="520"/>
      <c r="BY920" s="520"/>
      <c r="BZ920" s="520"/>
      <c r="CA920" s="520"/>
      <c r="CB920" s="520"/>
      <c r="CC920" s="520"/>
      <c r="CD920" s="520"/>
      <c r="CE920" s="520"/>
      <c r="CF920" s="520"/>
      <c r="CG920" s="520"/>
      <c r="CH920" s="520"/>
      <c r="CI920" s="520"/>
      <c r="CJ920" s="520"/>
      <c r="CK920" s="520"/>
      <c r="CL920" s="520"/>
      <c r="CM920" s="520"/>
      <c r="CN920" s="520"/>
      <c r="CO920" s="520"/>
      <c r="CP920" s="520"/>
      <c r="CQ920" s="520"/>
      <c r="CR920" s="520"/>
      <c r="CS920" s="520"/>
      <c r="CT920" s="520"/>
      <c r="CU920" s="520"/>
      <c r="CV920" s="520"/>
      <c r="CW920" s="520"/>
      <c r="CX920" s="520"/>
      <c r="CY920" s="520"/>
      <c r="CZ920" s="520"/>
      <c r="DA920" s="520"/>
      <c r="DB920" s="520"/>
      <c r="DC920" s="520"/>
      <c r="DD920" s="520"/>
      <c r="DE920" s="520"/>
      <c r="DF920" s="520"/>
      <c r="DG920" s="520"/>
      <c r="DH920" s="520"/>
      <c r="DI920" s="520"/>
      <c r="DJ920" s="520"/>
      <c r="DK920" s="520"/>
      <c r="DL920" s="520"/>
      <c r="DM920" s="520"/>
      <c r="DN920" s="520"/>
      <c r="DO920" s="520"/>
      <c r="DP920" s="520"/>
      <c r="DQ920" s="520"/>
      <c r="DR920" s="520"/>
      <c r="DS920" s="520"/>
      <c r="DT920" s="520"/>
      <c r="DU920" s="520"/>
      <c r="DV920" s="520"/>
      <c r="DW920" s="520"/>
      <c r="DX920" s="520"/>
      <c r="DY920" s="520"/>
      <c r="DZ920" s="520"/>
      <c r="EA920" s="520"/>
      <c r="EB920" s="520"/>
      <c r="EC920" s="520"/>
      <c r="ED920" s="520"/>
      <c r="EE920" s="520"/>
      <c r="EF920" s="520"/>
      <c r="EG920" s="520"/>
      <c r="EH920" s="520"/>
      <c r="EI920" s="520"/>
      <c r="EJ920" s="520"/>
      <c r="EK920" s="520"/>
      <c r="EL920" s="520"/>
      <c r="EM920" s="520"/>
      <c r="EN920" s="520"/>
      <c r="EO920" s="520"/>
      <c r="EP920" s="520"/>
      <c r="EQ920" s="520"/>
      <c r="ER920" s="520"/>
      <c r="ES920" s="520"/>
      <c r="ET920" s="520"/>
      <c r="EU920" s="520"/>
      <c r="EV920" s="520"/>
      <c r="EW920" s="520"/>
      <c r="EX920" s="520"/>
      <c r="EY920" s="520"/>
      <c r="EZ920" s="520"/>
      <c r="FA920" s="520"/>
      <c r="FB920" s="520"/>
      <c r="FC920" s="520"/>
      <c r="FD920" s="520"/>
      <c r="FE920" s="520"/>
      <c r="FF920" s="520"/>
      <c r="FG920" s="520"/>
      <c r="FH920" s="520"/>
      <c r="FI920" s="520"/>
      <c r="FJ920" s="520"/>
      <c r="FK920" s="520"/>
      <c r="FL920" s="520"/>
      <c r="FM920" s="520"/>
      <c r="FN920" s="520"/>
      <c r="FO920" s="520"/>
      <c r="FP920" s="520"/>
      <c r="FQ920" s="520"/>
      <c r="FR920" s="520"/>
      <c r="FS920" s="520"/>
      <c r="FT920" s="520"/>
      <c r="FU920" s="520"/>
      <c r="FV920" s="520"/>
      <c r="FW920" s="520"/>
      <c r="FX920" s="520"/>
      <c r="FY920" s="520"/>
      <c r="FZ920" s="520"/>
      <c r="GA920" s="520"/>
      <c r="GB920" s="520"/>
      <c r="GC920" s="520"/>
      <c r="GD920" s="520"/>
      <c r="GE920" s="520"/>
      <c r="GF920" s="520"/>
      <c r="GG920" s="520"/>
      <c r="GH920" s="520"/>
      <c r="GI920" s="520"/>
      <c r="GJ920" s="520"/>
      <c r="GK920" s="520"/>
      <c r="GL920" s="520"/>
      <c r="GM920" s="520"/>
      <c r="GN920" s="520"/>
      <c r="GO920" s="520"/>
      <c r="GP920" s="520"/>
      <c r="GQ920" s="520"/>
      <c r="GR920" s="520"/>
      <c r="GS920" s="520"/>
      <c r="GT920" s="520"/>
      <c r="GU920" s="520"/>
      <c r="GV920" s="520"/>
      <c r="GW920" s="520"/>
      <c r="GX920" s="520"/>
      <c r="GY920" s="520"/>
      <c r="GZ920" s="520"/>
      <c r="HA920" s="520"/>
      <c r="HB920" s="520"/>
      <c r="HC920" s="520"/>
      <c r="HD920" s="520"/>
      <c r="HE920" s="520"/>
      <c r="HF920" s="520"/>
      <c r="HG920" s="520"/>
      <c r="HH920" s="520"/>
      <c r="HI920" s="520"/>
      <c r="HJ920" s="520"/>
      <c r="HK920" s="520"/>
      <c r="HL920" s="520"/>
      <c r="HM920" s="520"/>
      <c r="HN920" s="520"/>
      <c r="HO920" s="520"/>
      <c r="HP920" s="520"/>
      <c r="HQ920" s="520"/>
      <c r="HR920" s="520"/>
      <c r="HS920" s="520"/>
      <c r="HT920" s="520"/>
      <c r="HU920" s="520"/>
      <c r="HV920" s="520"/>
      <c r="HW920" s="520"/>
      <c r="HX920" s="520"/>
      <c r="HY920" s="520"/>
      <c r="HZ920" s="520"/>
      <c r="IA920" s="520"/>
      <c r="IB920" s="520"/>
      <c r="IC920" s="520"/>
      <c r="ID920" s="520"/>
      <c r="IE920" s="520"/>
      <c r="IF920" s="520"/>
      <c r="IG920" s="520"/>
      <c r="IH920" s="520"/>
      <c r="II920" s="520"/>
      <c r="IJ920" s="520"/>
      <c r="IK920" s="520"/>
      <c r="IL920" s="520"/>
      <c r="IM920" s="520"/>
      <c r="IN920" s="520"/>
      <c r="IO920" s="520"/>
      <c r="IP920" s="520"/>
      <c r="IQ920" s="520"/>
      <c r="IR920" s="520"/>
      <c r="IS920" s="520"/>
      <c r="IT920" s="520"/>
      <c r="IU920" s="520"/>
      <c r="IV920" s="520"/>
    </row>
    <row r="921" spans="1:256" s="901" customFormat="1" ht="12" customHeight="1" thickTop="1">
      <c r="A921" s="748"/>
      <c r="B921" s="3"/>
      <c r="C921" s="3"/>
      <c r="D921" s="1200" t="s">
        <v>3742</v>
      </c>
      <c r="E921" s="3"/>
      <c r="F921" s="3"/>
      <c r="G921" s="3"/>
      <c r="H921" s="3"/>
      <c r="I921" s="3"/>
      <c r="J921" s="3"/>
      <c r="K921" s="3"/>
      <c r="L921" s="3"/>
      <c r="M921" s="3"/>
      <c r="N921" s="3"/>
      <c r="O921" s="107"/>
      <c r="P921" s="3"/>
      <c r="Q921" s="3"/>
      <c r="R921" s="3"/>
      <c r="S921" s="3"/>
      <c r="T921" s="3"/>
      <c r="U921" s="520"/>
      <c r="V921" s="520"/>
      <c r="W921" s="520"/>
      <c r="X921" s="520"/>
      <c r="Y921" s="520"/>
      <c r="Z921" s="520"/>
      <c r="AB921" s="892"/>
      <c r="AC921" s="892"/>
      <c r="AD921" s="3"/>
      <c r="AE921" s="892"/>
      <c r="AF921" s="520"/>
      <c r="AG921" s="520"/>
      <c r="AH921" s="520"/>
      <c r="AI921" s="520"/>
      <c r="AJ921" s="520"/>
      <c r="AK921" s="520"/>
      <c r="AL921" s="520"/>
      <c r="AM921" s="520"/>
      <c r="AN921" s="520"/>
      <c r="AO921" s="520"/>
      <c r="AP921" s="520"/>
      <c r="AQ921" s="520"/>
      <c r="AR921" s="520"/>
      <c r="AS921" s="520"/>
      <c r="AT921" s="520"/>
      <c r="AU921" s="520"/>
      <c r="AV921" s="520"/>
      <c r="AW921" s="520"/>
      <c r="AX921" s="520"/>
      <c r="AY921" s="520"/>
      <c r="AZ921" s="520"/>
      <c r="BA921" s="520"/>
      <c r="BB921" s="520"/>
      <c r="BC921" s="520"/>
      <c r="BD921" s="520"/>
      <c r="BE921" s="520"/>
      <c r="BF921" s="520"/>
      <c r="BG921" s="520"/>
      <c r="BH921" s="520"/>
      <c r="BI921" s="520"/>
      <c r="BJ921" s="520"/>
      <c r="BK921" s="520"/>
      <c r="BL921" s="520"/>
      <c r="BM921" s="520"/>
      <c r="BN921" s="520"/>
      <c r="BO921" s="520"/>
      <c r="BP921" s="520"/>
      <c r="BQ921" s="520"/>
      <c r="BR921" s="520"/>
      <c r="BS921" s="520"/>
      <c r="BT921" s="520"/>
      <c r="BU921" s="520"/>
      <c r="BV921" s="520"/>
      <c r="BW921" s="520"/>
      <c r="BX921" s="520"/>
      <c r="BY921" s="520"/>
      <c r="BZ921" s="520"/>
      <c r="CA921" s="520"/>
      <c r="CB921" s="520"/>
      <c r="CC921" s="520"/>
      <c r="CD921" s="520"/>
      <c r="CE921" s="520"/>
      <c r="CF921" s="520"/>
      <c r="CG921" s="520"/>
      <c r="CH921" s="520"/>
      <c r="CI921" s="520"/>
      <c r="CJ921" s="520"/>
      <c r="CK921" s="520"/>
      <c r="CL921" s="520"/>
      <c r="CM921" s="520"/>
      <c r="CN921" s="520"/>
      <c r="CO921" s="520"/>
      <c r="CP921" s="520"/>
      <c r="CQ921" s="520"/>
      <c r="CR921" s="520"/>
      <c r="CS921" s="520"/>
      <c r="CT921" s="520"/>
      <c r="CU921" s="520"/>
      <c r="CV921" s="520"/>
      <c r="CW921" s="520"/>
      <c r="CX921" s="520"/>
      <c r="CY921" s="520"/>
      <c r="CZ921" s="520"/>
      <c r="DA921" s="520"/>
      <c r="DB921" s="520"/>
      <c r="DC921" s="520"/>
      <c r="DD921" s="520"/>
      <c r="DE921" s="520"/>
      <c r="DF921" s="520"/>
      <c r="DG921" s="520"/>
      <c r="DH921" s="520"/>
      <c r="DI921" s="520"/>
      <c r="DJ921" s="520"/>
      <c r="DK921" s="520"/>
      <c r="DL921" s="520"/>
      <c r="DM921" s="520"/>
      <c r="DN921" s="520"/>
      <c r="DO921" s="520"/>
      <c r="DP921" s="520"/>
      <c r="DQ921" s="520"/>
      <c r="DR921" s="520"/>
      <c r="DS921" s="520"/>
      <c r="DT921" s="520"/>
      <c r="DU921" s="520"/>
      <c r="DV921" s="520"/>
      <c r="DW921" s="520"/>
      <c r="DX921" s="520"/>
      <c r="DY921" s="520"/>
      <c r="DZ921" s="520"/>
      <c r="EA921" s="520"/>
      <c r="EB921" s="520"/>
      <c r="EC921" s="520"/>
      <c r="ED921" s="520"/>
      <c r="EE921" s="520"/>
      <c r="EF921" s="520"/>
      <c r="EG921" s="520"/>
      <c r="EH921" s="520"/>
      <c r="EI921" s="520"/>
      <c r="EJ921" s="520"/>
      <c r="EK921" s="520"/>
      <c r="EL921" s="520"/>
      <c r="EM921" s="520"/>
      <c r="EN921" s="520"/>
      <c r="EO921" s="520"/>
      <c r="EP921" s="520"/>
      <c r="EQ921" s="520"/>
      <c r="ER921" s="520"/>
      <c r="ES921" s="520"/>
      <c r="ET921" s="520"/>
      <c r="EU921" s="520"/>
      <c r="EV921" s="520"/>
      <c r="EW921" s="520"/>
      <c r="EX921" s="520"/>
      <c r="EY921" s="520"/>
      <c r="EZ921" s="520"/>
      <c r="FA921" s="520"/>
      <c r="FB921" s="520"/>
      <c r="FC921" s="520"/>
      <c r="FD921" s="520"/>
      <c r="FE921" s="520"/>
      <c r="FF921" s="520"/>
      <c r="FG921" s="520"/>
      <c r="FH921" s="520"/>
      <c r="FI921" s="520"/>
      <c r="FJ921" s="520"/>
      <c r="FK921" s="520"/>
      <c r="FL921" s="520"/>
      <c r="FM921" s="520"/>
      <c r="FN921" s="520"/>
      <c r="FO921" s="520"/>
      <c r="FP921" s="520"/>
      <c r="FQ921" s="520"/>
      <c r="FR921" s="520"/>
      <c r="FS921" s="520"/>
      <c r="FT921" s="520"/>
      <c r="FU921" s="520"/>
      <c r="FV921" s="520"/>
      <c r="FW921" s="520"/>
      <c r="FX921" s="520"/>
      <c r="FY921" s="520"/>
      <c r="FZ921" s="520"/>
      <c r="GA921" s="520"/>
      <c r="GB921" s="520"/>
      <c r="GC921" s="520"/>
      <c r="GD921" s="520"/>
      <c r="GE921" s="520"/>
      <c r="GF921" s="520"/>
      <c r="GG921" s="520"/>
      <c r="GH921" s="520"/>
      <c r="GI921" s="520"/>
      <c r="GJ921" s="520"/>
      <c r="GK921" s="520"/>
      <c r="GL921" s="520"/>
      <c r="GM921" s="520"/>
      <c r="GN921" s="520"/>
      <c r="GO921" s="520"/>
      <c r="GP921" s="520"/>
      <c r="GQ921" s="520"/>
      <c r="GR921" s="520"/>
      <c r="GS921" s="520"/>
      <c r="GT921" s="520"/>
      <c r="GU921" s="520"/>
      <c r="GV921" s="520"/>
      <c r="GW921" s="520"/>
      <c r="GX921" s="520"/>
      <c r="GY921" s="520"/>
      <c r="GZ921" s="520"/>
      <c r="HA921" s="520"/>
      <c r="HB921" s="520"/>
      <c r="HC921" s="520"/>
      <c r="HD921" s="520"/>
      <c r="HE921" s="520"/>
      <c r="HF921" s="520"/>
      <c r="HG921" s="520"/>
      <c r="HH921" s="520"/>
      <c r="HI921" s="520"/>
      <c r="HJ921" s="520"/>
      <c r="HK921" s="520"/>
      <c r="HL921" s="520"/>
      <c r="HM921" s="520"/>
      <c r="HN921" s="520"/>
      <c r="HO921" s="520"/>
      <c r="HP921" s="520"/>
      <c r="HQ921" s="520"/>
      <c r="HR921" s="520"/>
      <c r="HS921" s="520"/>
      <c r="HT921" s="520"/>
      <c r="HU921" s="520"/>
      <c r="HV921" s="520"/>
      <c r="HW921" s="520"/>
      <c r="HX921" s="520"/>
      <c r="HY921" s="520"/>
      <c r="HZ921" s="520"/>
      <c r="IA921" s="520"/>
      <c r="IB921" s="520"/>
      <c r="IC921" s="520"/>
      <c r="ID921" s="520"/>
      <c r="IE921" s="520"/>
      <c r="IF921" s="520"/>
      <c r="IG921" s="520"/>
      <c r="IH921" s="520"/>
      <c r="II921" s="520"/>
      <c r="IJ921" s="520"/>
      <c r="IK921" s="520"/>
      <c r="IL921" s="520"/>
      <c r="IM921" s="520"/>
      <c r="IN921" s="520"/>
      <c r="IO921" s="520"/>
      <c r="IP921" s="520"/>
      <c r="IQ921" s="520"/>
      <c r="IR921" s="520"/>
      <c r="IS921" s="520"/>
      <c r="IT921" s="520"/>
      <c r="IU921" s="520"/>
      <c r="IV921" s="520"/>
    </row>
    <row r="922" spans="1:256" s="520" customFormat="1" ht="12" customHeight="1">
      <c r="A922" s="748"/>
      <c r="B922" s="3"/>
      <c r="C922" s="3"/>
      <c r="D922" s="1070" t="s">
        <v>3118</v>
      </c>
      <c r="F922" s="1071"/>
      <c r="G922" s="3"/>
      <c r="H922" s="3"/>
      <c r="I922" s="3"/>
      <c r="J922" s="3"/>
      <c r="K922" s="3"/>
      <c r="L922" s="3"/>
      <c r="M922" s="3"/>
      <c r="N922" s="3"/>
      <c r="O922" s="107"/>
      <c r="P922" s="3"/>
      <c r="Q922" s="3"/>
      <c r="R922" s="898">
        <f t="shared" ref="R922:R929" si="176">$A922*Q922</f>
        <v>0</v>
      </c>
      <c r="S922" s="3"/>
      <c r="T922" s="899">
        <f t="shared" ref="T922:T929" si="177">$A922*S922*$T$1</f>
        <v>0</v>
      </c>
      <c r="AA922" s="901"/>
      <c r="AB922" s="892"/>
      <c r="AC922" s="892"/>
      <c r="AD922" s="1071"/>
      <c r="AE922" s="892"/>
    </row>
    <row r="923" spans="1:256" s="520" customFormat="1" ht="12" customHeight="1">
      <c r="A923" s="1072">
        <f ca="1">$Q$920*(ROUND(50/1.5*2,0))</f>
        <v>522.6</v>
      </c>
      <c r="B923" s="1073" t="s">
        <v>141</v>
      </c>
      <c r="C923" s="1074"/>
      <c r="D923" s="897" t="s">
        <v>3119</v>
      </c>
      <c r="E923" s="1074"/>
      <c r="G923" s="941" t="s">
        <v>3120</v>
      </c>
      <c r="H923" s="942">
        <v>875</v>
      </c>
      <c r="I923" s="1075" t="s">
        <v>3121</v>
      </c>
      <c r="J923" s="1075" t="s">
        <v>3122</v>
      </c>
      <c r="K923" s="897" t="s">
        <v>7</v>
      </c>
      <c r="L923" s="1074"/>
      <c r="M923" s="1073"/>
      <c r="N923" s="1074"/>
      <c r="O923" s="1076">
        <v>1</v>
      </c>
      <c r="P923" s="1077">
        <v>36175</v>
      </c>
      <c r="Q923" s="897">
        <f>2.33 *(0.05)</f>
        <v>0.11650000000000001</v>
      </c>
      <c r="R923" s="898">
        <f t="shared" ca="1" si="176"/>
        <v>60.882900000000006</v>
      </c>
      <c r="S923" s="1074"/>
      <c r="T923" s="899">
        <f t="shared" ca="1" si="177"/>
        <v>0</v>
      </c>
      <c r="U923"/>
      <c r="X923"/>
      <c r="Y923"/>
      <c r="Z923"/>
      <c r="AA923" s="901"/>
      <c r="AB923" s="892"/>
      <c r="AC923" s="892"/>
      <c r="AE923" s="892"/>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c r="CO923"/>
      <c r="CP923"/>
      <c r="CQ923"/>
      <c r="CR923"/>
      <c r="CS923"/>
      <c r="CT923"/>
      <c r="CU923"/>
      <c r="CV923"/>
      <c r="CW923"/>
      <c r="CX923"/>
      <c r="CY923"/>
      <c r="CZ923"/>
      <c r="DA923"/>
      <c r="DB923"/>
      <c r="DC923"/>
      <c r="DD923"/>
      <c r="DE923"/>
      <c r="DF923"/>
      <c r="DG923"/>
      <c r="DH923"/>
      <c r="DI923"/>
      <c r="DJ923"/>
      <c r="DK923"/>
      <c r="DL923"/>
      <c r="DM923"/>
      <c r="DN923"/>
      <c r="DO923"/>
      <c r="DP923"/>
      <c r="DQ923"/>
      <c r="DR923"/>
      <c r="DS923"/>
      <c r="DT923"/>
      <c r="DU923"/>
      <c r="DV923"/>
      <c r="DW923"/>
      <c r="DX923"/>
      <c r="DY923"/>
      <c r="DZ923"/>
      <c r="EA923"/>
      <c r="EB923"/>
      <c r="EC923"/>
      <c r="ED923"/>
      <c r="EE923"/>
      <c r="EF923"/>
      <c r="EG923"/>
      <c r="EH923"/>
      <c r="EI923"/>
      <c r="EJ923"/>
      <c r="EK923"/>
      <c r="EL923"/>
      <c r="EM923"/>
      <c r="EN923"/>
      <c r="EO923"/>
      <c r="EP923"/>
      <c r="EQ923"/>
      <c r="ER923"/>
      <c r="ES923"/>
      <c r="ET923"/>
      <c r="EU923"/>
      <c r="EV923"/>
      <c r="EW923"/>
      <c r="EX923"/>
      <c r="EY923"/>
      <c r="EZ923"/>
      <c r="FA923"/>
      <c r="FB923"/>
      <c r="FC923"/>
      <c r="FD923"/>
      <c r="FE923"/>
      <c r="FF923"/>
      <c r="FG923"/>
      <c r="FH923"/>
      <c r="FI923"/>
      <c r="FJ923"/>
      <c r="FK923"/>
      <c r="FL923"/>
      <c r="FM923"/>
      <c r="FN923"/>
      <c r="FO923"/>
      <c r="FP923"/>
      <c r="FQ923"/>
      <c r="FR923"/>
      <c r="FS923"/>
      <c r="FT923"/>
      <c r="FU923"/>
      <c r="FV923"/>
      <c r="FW923"/>
      <c r="FX923"/>
      <c r="FY923"/>
      <c r="FZ923"/>
      <c r="GA923"/>
      <c r="GB923"/>
      <c r="GC923"/>
      <c r="GD923"/>
      <c r="GE923"/>
      <c r="GF923"/>
      <c r="GG923"/>
      <c r="GH923"/>
      <c r="GI923"/>
      <c r="GJ923"/>
      <c r="GK923"/>
      <c r="GL923"/>
      <c r="GM923"/>
      <c r="GN923"/>
      <c r="GO923"/>
      <c r="GP923"/>
      <c r="GQ923"/>
      <c r="GR923"/>
      <c r="GS923"/>
      <c r="GT923"/>
      <c r="GU923"/>
      <c r="GV923"/>
      <c r="GW923"/>
      <c r="GX923"/>
      <c r="GY923"/>
      <c r="GZ923"/>
      <c r="HA923"/>
      <c r="HB923"/>
      <c r="HC923"/>
      <c r="HD923"/>
      <c r="HE923"/>
      <c r="HF923"/>
      <c r="HG923"/>
      <c r="HH923"/>
      <c r="HI923"/>
      <c r="HJ923"/>
      <c r="HK923"/>
      <c r="HL923"/>
      <c r="HM923"/>
      <c r="HN923"/>
      <c r="HO923"/>
      <c r="HP923"/>
      <c r="HQ923"/>
      <c r="HR923"/>
      <c r="HS923"/>
      <c r="HT923"/>
      <c r="HU923"/>
      <c r="HV923"/>
      <c r="HW923"/>
      <c r="HX923"/>
      <c r="HY923"/>
      <c r="HZ923"/>
      <c r="IA923"/>
      <c r="IB923"/>
      <c r="IC923"/>
      <c r="ID923"/>
      <c r="IE923"/>
      <c r="IF923"/>
      <c r="IG923"/>
      <c r="IH923"/>
      <c r="II923"/>
      <c r="IJ923"/>
      <c r="IK923"/>
      <c r="IL923"/>
      <c r="IM923"/>
      <c r="IN923"/>
      <c r="IO923"/>
      <c r="IP923"/>
      <c r="IQ923"/>
      <c r="IR923"/>
      <c r="IS923"/>
      <c r="IT923"/>
      <c r="IU923"/>
      <c r="IV923"/>
    </row>
    <row r="924" spans="1:256" s="520" customFormat="1" ht="12" customHeight="1">
      <c r="A924" s="1072">
        <f ca="1">$Q$920*(ROUND(50/1.5*2,0))</f>
        <v>522.6</v>
      </c>
      <c r="B924" s="1073" t="s">
        <v>320</v>
      </c>
      <c r="C924" s="1073"/>
      <c r="D924" s="897" t="s">
        <v>3123</v>
      </c>
      <c r="E924" s="901" t="s">
        <v>3124</v>
      </c>
      <c r="F924" s="1078"/>
      <c r="G924" s="941" t="s">
        <v>3125</v>
      </c>
      <c r="H924" s="942">
        <v>501</v>
      </c>
      <c r="I924" s="1079"/>
      <c r="J924" s="1079"/>
      <c r="K924" s="897" t="s">
        <v>7</v>
      </c>
      <c r="L924" s="1073"/>
      <c r="M924" s="1073"/>
      <c r="N924" s="1073"/>
      <c r="O924" s="1076">
        <v>1</v>
      </c>
      <c r="P924" s="1077">
        <v>36175</v>
      </c>
      <c r="Q924" s="945">
        <f>ROUNDUP(0.96*1.145,2)</f>
        <v>1.1000000000000001</v>
      </c>
      <c r="R924" s="898">
        <f t="shared" ca="1" si="176"/>
        <v>574.86000000000013</v>
      </c>
      <c r="S924" s="1073"/>
      <c r="T924" s="899">
        <f t="shared" ca="1" si="177"/>
        <v>0</v>
      </c>
      <c r="U924"/>
      <c r="X924"/>
      <c r="Y924"/>
      <c r="Z924"/>
      <c r="AB924" s="892"/>
      <c r="AC924" s="892"/>
      <c r="AD924" s="1078"/>
      <c r="AE924" s="892"/>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CF924"/>
      <c r="CG924"/>
      <c r="CH924"/>
      <c r="CI924"/>
      <c r="CJ924"/>
      <c r="CK924"/>
      <c r="CL924"/>
      <c r="CM924"/>
      <c r="CN924"/>
      <c r="CO924"/>
      <c r="CP924"/>
      <c r="CQ924"/>
      <c r="CR924"/>
      <c r="CS924"/>
      <c r="CT924"/>
      <c r="CU924"/>
      <c r="CV924"/>
      <c r="CW924"/>
      <c r="CX924"/>
      <c r="CY924"/>
      <c r="CZ924"/>
      <c r="DA924"/>
      <c r="DB924"/>
      <c r="DC924"/>
      <c r="DD924"/>
      <c r="DE924"/>
      <c r="DF924"/>
      <c r="DG924"/>
      <c r="DH924"/>
      <c r="DI924"/>
      <c r="DJ924"/>
      <c r="DK924"/>
      <c r="DL924"/>
      <c r="DM924"/>
      <c r="DN924"/>
      <c r="DO924"/>
      <c r="DP924"/>
      <c r="DQ924"/>
      <c r="DR924"/>
      <c r="DS924"/>
      <c r="DT924"/>
      <c r="DU924"/>
      <c r="DV924"/>
      <c r="DW924"/>
      <c r="DX924"/>
      <c r="DY924"/>
      <c r="DZ924"/>
      <c r="EA924"/>
      <c r="EB924"/>
      <c r="EC924"/>
      <c r="ED924"/>
      <c r="EE924"/>
      <c r="EF924"/>
      <c r="EG924"/>
      <c r="EH924"/>
      <c r="EI924"/>
      <c r="EJ924"/>
      <c r="EK924"/>
      <c r="EL924"/>
      <c r="EM924"/>
      <c r="EN924"/>
      <c r="EO924"/>
      <c r="EP924"/>
      <c r="EQ924"/>
      <c r="ER924"/>
      <c r="ES924"/>
      <c r="ET924"/>
      <c r="EU924"/>
      <c r="EV924"/>
      <c r="EW924"/>
      <c r="EX924"/>
      <c r="EY924"/>
      <c r="EZ924"/>
      <c r="FA924"/>
      <c r="FB924"/>
      <c r="FC924"/>
      <c r="FD924"/>
      <c r="FE924"/>
      <c r="FF924"/>
      <c r="FG924"/>
      <c r="FH924"/>
      <c r="FI924"/>
      <c r="FJ924"/>
      <c r="FK924"/>
      <c r="FL924"/>
      <c r="FM924"/>
      <c r="FN924"/>
      <c r="FO924"/>
      <c r="FP924"/>
      <c r="FQ924"/>
      <c r="FR924"/>
      <c r="FS924"/>
      <c r="FT924"/>
      <c r="FU924"/>
      <c r="FV924"/>
      <c r="FW924"/>
      <c r="FX924"/>
      <c r="FY924"/>
      <c r="FZ924"/>
      <c r="GA924"/>
      <c r="GB924"/>
      <c r="GC924"/>
      <c r="GD924"/>
      <c r="GE924"/>
      <c r="GF924"/>
      <c r="GG924"/>
      <c r="GH924"/>
      <c r="GI924"/>
      <c r="GJ924"/>
      <c r="GK924"/>
      <c r="GL924"/>
      <c r="GM924"/>
      <c r="GN924"/>
      <c r="GO924"/>
      <c r="GP924"/>
      <c r="GQ924"/>
      <c r="GR924"/>
      <c r="GS924"/>
      <c r="GT924"/>
      <c r="GU924"/>
      <c r="GV924"/>
      <c r="GW924"/>
      <c r="GX924"/>
      <c r="GY924"/>
      <c r="GZ924"/>
      <c r="HA924"/>
      <c r="HB924"/>
      <c r="HC924"/>
      <c r="HD924"/>
      <c r="HE924"/>
      <c r="HF924"/>
      <c r="HG924"/>
      <c r="HH924"/>
      <c r="HI924"/>
      <c r="HJ924"/>
      <c r="HK924"/>
      <c r="HL924"/>
      <c r="HM924"/>
      <c r="HN924"/>
      <c r="HO924"/>
      <c r="HP924"/>
      <c r="HQ924"/>
      <c r="HR924"/>
      <c r="HS924"/>
      <c r="HT924"/>
      <c r="HU924"/>
      <c r="HV924"/>
      <c r="HW924"/>
      <c r="HX924"/>
      <c r="HY924"/>
      <c r="HZ924"/>
      <c r="IA924"/>
      <c r="IB924"/>
      <c r="IC924"/>
      <c r="ID924"/>
      <c r="IE924"/>
      <c r="IF924"/>
      <c r="IG924"/>
      <c r="IH924"/>
      <c r="II924"/>
      <c r="IJ924"/>
      <c r="IK924"/>
      <c r="IL924"/>
      <c r="IM924"/>
      <c r="IN924"/>
      <c r="IO924"/>
      <c r="IP924"/>
      <c r="IQ924"/>
      <c r="IR924"/>
      <c r="IS924"/>
      <c r="IT924"/>
      <c r="IU924"/>
      <c r="IV924"/>
    </row>
    <row r="925" spans="1:256" s="520" customFormat="1" ht="12" customHeight="1">
      <c r="A925" s="1072">
        <f ca="1">$Q$920*(ROUND(50/1.5*2,0))</f>
        <v>522.6</v>
      </c>
      <c r="B925" s="887" t="s">
        <v>141</v>
      </c>
      <c r="C925" s="887"/>
      <c r="D925" s="887" t="s">
        <v>3126</v>
      </c>
      <c r="E925" s="887"/>
      <c r="F925" s="887"/>
      <c r="G925" s="941" t="s">
        <v>3127</v>
      </c>
      <c r="H925" s="942">
        <v>501</v>
      </c>
      <c r="I925" s="887"/>
      <c r="J925" s="887"/>
      <c r="K925" s="887"/>
      <c r="L925" s="887"/>
      <c r="M925" s="887"/>
      <c r="N925" s="895"/>
      <c r="O925" s="895">
        <v>1</v>
      </c>
      <c r="P925" s="896"/>
      <c r="Q925" s="897">
        <v>0.12</v>
      </c>
      <c r="R925" s="898">
        <f t="shared" ca="1" si="176"/>
        <v>62.712000000000003</v>
      </c>
      <c r="S925" s="897"/>
      <c r="T925" s="899">
        <f t="shared" ca="1" si="177"/>
        <v>0</v>
      </c>
      <c r="U925" s="887"/>
      <c r="X925" s="887"/>
      <c r="Y925" s="887"/>
      <c r="Z925" s="887"/>
      <c r="AA925" s="892"/>
      <c r="AB925" s="892"/>
      <c r="AC925" s="892"/>
      <c r="AD925" s="887"/>
      <c r="AE925" s="892"/>
      <c r="AF925" s="887"/>
      <c r="AG925" s="887"/>
      <c r="AH925" s="887"/>
      <c r="AI925" s="887"/>
      <c r="AJ925" s="887"/>
      <c r="AK925" s="887"/>
      <c r="AL925" s="887"/>
      <c r="AM925" s="887"/>
      <c r="AN925" s="887"/>
      <c r="AO925" s="887"/>
      <c r="AP925" s="887"/>
      <c r="AQ925" s="887"/>
      <c r="AR925" s="887"/>
      <c r="AS925" s="887"/>
      <c r="AT925" s="887"/>
      <c r="AU925" s="887"/>
      <c r="AV925" s="887"/>
      <c r="AW925" s="887"/>
      <c r="AX925" s="887"/>
      <c r="AY925" s="887"/>
      <c r="AZ925" s="887"/>
      <c r="BA925" s="887"/>
      <c r="BB925" s="887"/>
      <c r="BC925" s="887"/>
      <c r="BD925" s="887"/>
      <c r="BE925" s="887"/>
      <c r="BF925" s="887"/>
      <c r="BG925" s="887"/>
      <c r="BH925" s="887"/>
      <c r="BI925" s="887"/>
      <c r="BJ925" s="887"/>
      <c r="BK925" s="887"/>
      <c r="BL925" s="887"/>
      <c r="BM925" s="887"/>
      <c r="BN925" s="887"/>
      <c r="BO925" s="887"/>
      <c r="BP925" s="887"/>
      <c r="BQ925" s="887"/>
      <c r="BR925" s="887"/>
      <c r="BS925" s="887"/>
      <c r="BT925" s="887"/>
      <c r="BU925" s="887"/>
      <c r="BV925" s="887"/>
      <c r="BW925" s="887"/>
      <c r="BX925" s="887"/>
      <c r="BY925" s="887"/>
      <c r="BZ925" s="887"/>
      <c r="CA925" s="887"/>
      <c r="CB925" s="887"/>
      <c r="CC925" s="887"/>
      <c r="CD925" s="887"/>
      <c r="CE925" s="887"/>
      <c r="CF925" s="887"/>
      <c r="CG925" s="887"/>
      <c r="CH925" s="887"/>
      <c r="CI925" s="887"/>
      <c r="CJ925" s="887"/>
      <c r="CK925" s="887"/>
      <c r="CL925" s="887"/>
      <c r="CM925" s="887"/>
      <c r="CN925" s="887"/>
      <c r="CO925" s="887"/>
      <c r="CP925" s="887"/>
      <c r="CQ925" s="887"/>
      <c r="CR925" s="887"/>
      <c r="CS925" s="887"/>
      <c r="CT925" s="887"/>
      <c r="CU925" s="887"/>
      <c r="CV925" s="887"/>
      <c r="CW925" s="887"/>
      <c r="CX925" s="887"/>
      <c r="CY925" s="887"/>
      <c r="CZ925" s="887"/>
      <c r="DA925" s="887"/>
      <c r="DB925" s="887"/>
      <c r="DC925" s="887"/>
      <c r="DD925" s="887"/>
      <c r="DE925" s="887"/>
      <c r="DF925" s="887"/>
      <c r="DG925" s="887"/>
      <c r="DH925" s="887"/>
      <c r="DI925" s="887"/>
      <c r="DJ925" s="887"/>
      <c r="DK925" s="887"/>
      <c r="DL925" s="887"/>
      <c r="DM925" s="887"/>
      <c r="DN925" s="887"/>
      <c r="DO925" s="887"/>
      <c r="DP925" s="887"/>
      <c r="DQ925" s="887"/>
      <c r="DR925" s="887"/>
      <c r="DS925" s="887"/>
      <c r="DT925" s="887"/>
      <c r="DU925" s="887"/>
      <c r="DV925" s="887"/>
      <c r="DW925" s="887"/>
      <c r="DX925" s="887"/>
      <c r="DY925" s="887"/>
      <c r="DZ925" s="887"/>
      <c r="EA925" s="887"/>
      <c r="EB925" s="887"/>
      <c r="EC925" s="887"/>
      <c r="ED925" s="887"/>
      <c r="EE925" s="887"/>
      <c r="EF925" s="887"/>
      <c r="EG925" s="887"/>
      <c r="EH925" s="887"/>
      <c r="EI925" s="887"/>
      <c r="EJ925" s="887"/>
      <c r="EK925" s="887"/>
      <c r="EL925" s="887"/>
      <c r="EM925" s="887"/>
      <c r="EN925" s="887"/>
      <c r="EO925" s="887"/>
      <c r="EP925" s="887"/>
      <c r="EQ925" s="887"/>
      <c r="ER925" s="887"/>
      <c r="ES925" s="887"/>
      <c r="ET925" s="887"/>
      <c r="EU925" s="887"/>
      <c r="EV925" s="887"/>
      <c r="EW925" s="887"/>
      <c r="EX925" s="887"/>
      <c r="EY925" s="887"/>
      <c r="EZ925" s="887"/>
      <c r="FA925" s="887"/>
      <c r="FB925" s="887"/>
      <c r="FC925" s="887"/>
      <c r="FD925" s="887"/>
      <c r="FE925" s="887"/>
      <c r="FF925" s="887"/>
      <c r="FG925" s="887"/>
      <c r="FH925" s="887"/>
      <c r="FI925" s="887"/>
      <c r="FJ925" s="887"/>
      <c r="FK925" s="887"/>
      <c r="FL925" s="887"/>
      <c r="FM925" s="887"/>
      <c r="FN925" s="887"/>
      <c r="FO925" s="887"/>
      <c r="FP925" s="887"/>
      <c r="FQ925" s="887"/>
      <c r="FR925" s="887"/>
      <c r="FS925" s="887"/>
      <c r="FT925" s="887"/>
      <c r="FU925" s="887"/>
      <c r="FV925" s="887"/>
      <c r="FW925" s="887"/>
      <c r="FX925" s="887"/>
      <c r="FY925" s="887"/>
      <c r="FZ925" s="887"/>
      <c r="GA925" s="887"/>
      <c r="GB925" s="887"/>
      <c r="GC925" s="887"/>
      <c r="GD925" s="887"/>
      <c r="GE925" s="887"/>
      <c r="GF925" s="887"/>
      <c r="GG925" s="887"/>
      <c r="GH925" s="887"/>
      <c r="GI925" s="887"/>
      <c r="GJ925" s="887"/>
      <c r="GK925" s="887"/>
      <c r="GL925" s="887"/>
      <c r="GM925" s="887"/>
      <c r="GN925" s="887"/>
      <c r="GO925" s="887"/>
      <c r="GP925" s="887"/>
      <c r="GQ925" s="887"/>
      <c r="GR925" s="887"/>
      <c r="GS925" s="887"/>
      <c r="GT925" s="887"/>
      <c r="GU925" s="887"/>
      <c r="GV925" s="887"/>
      <c r="GW925" s="887"/>
      <c r="GX925" s="887"/>
      <c r="GY925" s="887"/>
      <c r="GZ925" s="887"/>
      <c r="HA925" s="887"/>
      <c r="HB925" s="887"/>
      <c r="HC925" s="887"/>
      <c r="HD925" s="887"/>
      <c r="HE925" s="887"/>
      <c r="HF925" s="887"/>
      <c r="HG925" s="887"/>
      <c r="HH925" s="887"/>
      <c r="HI925" s="887"/>
      <c r="HJ925" s="887"/>
      <c r="HK925" s="887"/>
      <c r="HL925" s="887"/>
      <c r="HM925" s="887"/>
      <c r="HN925" s="887"/>
      <c r="HO925" s="887"/>
      <c r="HP925" s="887"/>
      <c r="HQ925" s="887"/>
      <c r="HR925" s="887"/>
      <c r="HS925" s="887"/>
      <c r="HT925" s="887"/>
      <c r="HU925" s="887"/>
      <c r="HV925" s="887"/>
      <c r="HW925" s="887"/>
      <c r="HX925" s="887"/>
      <c r="HY925" s="887"/>
      <c r="HZ925" s="887"/>
      <c r="IA925" s="887"/>
      <c r="IB925" s="887"/>
      <c r="IC925" s="887"/>
      <c r="ID925" s="887"/>
      <c r="IE925" s="887"/>
      <c r="IF925" s="887"/>
      <c r="IG925" s="887"/>
      <c r="IH925" s="887"/>
      <c r="II925" s="887"/>
      <c r="IJ925" s="887"/>
      <c r="IK925" s="887"/>
      <c r="IL925" s="887"/>
      <c r="IM925" s="887"/>
      <c r="IN925" s="887"/>
      <c r="IO925" s="887"/>
      <c r="IP925" s="887"/>
      <c r="IQ925" s="887"/>
      <c r="IR925" s="887"/>
      <c r="IS925" s="887"/>
      <c r="IT925" s="887"/>
      <c r="IU925" s="887"/>
      <c r="IV925" s="887"/>
    </row>
    <row r="926" spans="1:256" s="901" customFormat="1" ht="12" customHeight="1">
      <c r="A926" s="1072">
        <f ca="1">$Q$920*(ROUND(50/1.5*0.4,0))</f>
        <v>101.39999999999999</v>
      </c>
      <c r="B926" s="1073" t="s">
        <v>320</v>
      </c>
      <c r="C926" s="1073"/>
      <c r="D926" s="897" t="s">
        <v>3128</v>
      </c>
      <c r="E926" s="901" t="s">
        <v>3124</v>
      </c>
      <c r="F926" s="1078"/>
      <c r="G926" s="941" t="s">
        <v>3129</v>
      </c>
      <c r="H926" s="942">
        <v>501</v>
      </c>
      <c r="I926" s="1075" t="s">
        <v>3121</v>
      </c>
      <c r="J926" s="1079" t="s">
        <v>3130</v>
      </c>
      <c r="K926" s="897" t="s">
        <v>7</v>
      </c>
      <c r="L926" s="1073"/>
      <c r="M926" s="1073"/>
      <c r="N926" s="1073"/>
      <c r="O926" s="1076">
        <v>1</v>
      </c>
      <c r="P926" s="1077">
        <v>36175</v>
      </c>
      <c r="Q926" s="945">
        <f>ROUNDUP(1.46*1.145,2)</f>
        <v>1.68</v>
      </c>
      <c r="R926" s="898">
        <f t="shared" ca="1" si="176"/>
        <v>170.35199999999998</v>
      </c>
      <c r="S926" s="1073"/>
      <c r="T926" s="899">
        <f t="shared" ca="1" si="177"/>
        <v>0</v>
      </c>
      <c r="U926"/>
      <c r="V926" s="520"/>
      <c r="W926" s="520"/>
      <c r="X926"/>
      <c r="Y926"/>
      <c r="Z926"/>
      <c r="AA926" s="892"/>
      <c r="AB926" s="892"/>
      <c r="AC926" s="892"/>
      <c r="AD926" s="1078"/>
      <c r="AE926" s="892"/>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c r="CE926"/>
      <c r="CF926"/>
      <c r="CG926"/>
      <c r="CH926"/>
      <c r="CI926"/>
      <c r="CJ926"/>
      <c r="CK926"/>
      <c r="CL926"/>
      <c r="CM926"/>
      <c r="CN926"/>
      <c r="CO926"/>
      <c r="CP926"/>
      <c r="CQ926"/>
      <c r="CR926"/>
      <c r="CS926"/>
      <c r="CT926"/>
      <c r="CU926"/>
      <c r="CV926"/>
      <c r="CW926"/>
      <c r="CX926"/>
      <c r="CY926"/>
      <c r="CZ926"/>
      <c r="DA926"/>
      <c r="DB926"/>
      <c r="DC926"/>
      <c r="DD926"/>
      <c r="DE926"/>
      <c r="DF926"/>
      <c r="DG926"/>
      <c r="DH926"/>
      <c r="DI926"/>
      <c r="DJ926"/>
      <c r="DK926"/>
      <c r="DL926"/>
      <c r="DM926"/>
      <c r="DN926"/>
      <c r="DO926"/>
      <c r="DP926"/>
      <c r="DQ926"/>
      <c r="DR926"/>
      <c r="DS926"/>
      <c r="DT926"/>
      <c r="DU926"/>
      <c r="DV926"/>
      <c r="DW926"/>
      <c r="DX926"/>
      <c r="DY926"/>
      <c r="DZ926"/>
      <c r="EA926"/>
      <c r="EB926"/>
      <c r="EC926"/>
      <c r="ED926"/>
      <c r="EE926"/>
      <c r="EF926"/>
      <c r="EG926"/>
      <c r="EH926"/>
      <c r="EI926"/>
      <c r="EJ926"/>
      <c r="EK926"/>
      <c r="EL926"/>
      <c r="EM926"/>
      <c r="EN926"/>
      <c r="EO926"/>
      <c r="EP926"/>
      <c r="EQ926"/>
      <c r="ER926"/>
      <c r="ES926"/>
      <c r="ET926"/>
      <c r="EU926"/>
      <c r="EV926"/>
      <c r="EW926"/>
      <c r="EX926"/>
      <c r="EY926"/>
      <c r="EZ926"/>
      <c r="FA926"/>
      <c r="FB926"/>
      <c r="FC926"/>
      <c r="FD926"/>
      <c r="FE926"/>
      <c r="FF926"/>
      <c r="FG926"/>
      <c r="FH926"/>
      <c r="FI926"/>
      <c r="FJ926"/>
      <c r="FK926"/>
      <c r="FL926"/>
      <c r="FM926"/>
      <c r="FN926"/>
      <c r="FO926"/>
      <c r="FP926"/>
      <c r="FQ926"/>
      <c r="FR926"/>
      <c r="FS926"/>
      <c r="FT926"/>
      <c r="FU926"/>
      <c r="FV926"/>
      <c r="FW926"/>
      <c r="FX926"/>
      <c r="FY926"/>
      <c r="FZ926"/>
      <c r="GA926"/>
      <c r="GB926"/>
      <c r="GC926"/>
      <c r="GD926"/>
      <c r="GE926"/>
      <c r="GF926"/>
      <c r="GG926"/>
      <c r="GH926"/>
      <c r="GI926"/>
      <c r="GJ926"/>
      <c r="GK926"/>
      <c r="GL926"/>
      <c r="GM926"/>
      <c r="GN926"/>
      <c r="GO926"/>
      <c r="GP926"/>
      <c r="GQ926"/>
      <c r="GR926"/>
      <c r="GS926"/>
      <c r="GT926"/>
      <c r="GU926"/>
      <c r="GV926"/>
      <c r="GW926"/>
      <c r="GX926"/>
      <c r="GY926"/>
      <c r="GZ926"/>
      <c r="HA926"/>
      <c r="HB926"/>
      <c r="HC926"/>
      <c r="HD926"/>
      <c r="HE926"/>
      <c r="HF926"/>
      <c r="HG926"/>
      <c r="HH926"/>
      <c r="HI926"/>
      <c r="HJ926"/>
      <c r="HK926"/>
      <c r="HL926"/>
      <c r="HM926"/>
      <c r="HN926"/>
      <c r="HO926"/>
      <c r="HP926"/>
      <c r="HQ926"/>
      <c r="HR926"/>
      <c r="HS926"/>
      <c r="HT926"/>
      <c r="HU926"/>
      <c r="HV926"/>
      <c r="HW926"/>
      <c r="HX926"/>
      <c r="HY926"/>
      <c r="HZ926"/>
      <c r="IA926"/>
      <c r="IB926"/>
      <c r="IC926"/>
      <c r="ID926"/>
      <c r="IE926"/>
      <c r="IF926"/>
      <c r="IG926"/>
      <c r="IH926"/>
      <c r="II926"/>
      <c r="IJ926"/>
      <c r="IK926"/>
      <c r="IL926"/>
      <c r="IM926"/>
      <c r="IN926"/>
      <c r="IO926"/>
      <c r="IP926"/>
      <c r="IQ926"/>
      <c r="IR926"/>
      <c r="IS926"/>
      <c r="IT926"/>
      <c r="IU926"/>
      <c r="IV926"/>
    </row>
    <row r="927" spans="1:256" s="520" customFormat="1" ht="12" customHeight="1">
      <c r="A927" s="1072">
        <f ca="1">$Q$920*(ROUND(50/1.5,0))</f>
        <v>257.39999999999998</v>
      </c>
      <c r="B927" s="1073" t="s">
        <v>141</v>
      </c>
      <c r="C927" s="1073"/>
      <c r="D927" s="897" t="s">
        <v>3131</v>
      </c>
      <c r="E927" s="1074"/>
      <c r="F927" s="1078"/>
      <c r="G927" s="941" t="s">
        <v>3132</v>
      </c>
      <c r="H927" s="942">
        <v>501</v>
      </c>
      <c r="I927" s="1079" t="s">
        <v>2596</v>
      </c>
      <c r="J927" s="1079"/>
      <c r="K927" s="897" t="s">
        <v>7</v>
      </c>
      <c r="L927" s="1073"/>
      <c r="M927" s="1073"/>
      <c r="N927" s="1073"/>
      <c r="O927" s="1080">
        <v>3</v>
      </c>
      <c r="P927" s="1081"/>
      <c r="Q927" s="1082"/>
      <c r="R927" s="898">
        <f t="shared" ca="1" si="176"/>
        <v>0</v>
      </c>
      <c r="S927" s="1201">
        <v>0.15</v>
      </c>
      <c r="T927" s="899">
        <f t="shared" ca="1" si="177"/>
        <v>34.748999999999995</v>
      </c>
      <c r="U927" t="s">
        <v>2764</v>
      </c>
      <c r="X927">
        <v>0.25</v>
      </c>
      <c r="Y927"/>
      <c r="Z927"/>
      <c r="AA927"/>
      <c r="AB927"/>
      <c r="AC927"/>
      <c r="AD927" s="1078"/>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c r="CG927"/>
      <c r="CH927"/>
      <c r="CI927"/>
      <c r="CJ927"/>
      <c r="CK927"/>
      <c r="CL927"/>
      <c r="CM927"/>
      <c r="CN927"/>
      <c r="CO927"/>
      <c r="CP927"/>
      <c r="CQ927"/>
      <c r="CR927"/>
      <c r="CS927"/>
      <c r="CT927"/>
      <c r="CU927"/>
      <c r="CV927"/>
      <c r="CW927"/>
      <c r="CX927"/>
      <c r="CY927"/>
      <c r="CZ927"/>
      <c r="DA927"/>
      <c r="DB927"/>
      <c r="DC927"/>
      <c r="DD927"/>
      <c r="DE927"/>
      <c r="DF927"/>
      <c r="DG927"/>
      <c r="DH927"/>
      <c r="DI927"/>
      <c r="DJ927"/>
      <c r="DK927"/>
      <c r="DL927"/>
      <c r="DM927"/>
      <c r="DN927"/>
      <c r="DO927"/>
      <c r="DP927"/>
      <c r="DQ927"/>
      <c r="DR927"/>
      <c r="DS927"/>
      <c r="DT927"/>
      <c r="DU927"/>
      <c r="DV927"/>
      <c r="DW927"/>
      <c r="DX927"/>
      <c r="DY927"/>
      <c r="DZ927"/>
      <c r="EA927"/>
      <c r="EB927"/>
      <c r="EC927"/>
      <c r="ED927"/>
      <c r="EE927"/>
      <c r="EF927"/>
      <c r="EG927"/>
      <c r="EH927"/>
      <c r="EI927"/>
      <c r="EJ927"/>
      <c r="EK927"/>
      <c r="EL927"/>
      <c r="EM927"/>
      <c r="EN927"/>
      <c r="EO927"/>
      <c r="EP927"/>
      <c r="EQ927"/>
      <c r="ER927"/>
      <c r="ES927"/>
      <c r="ET927"/>
      <c r="EU927"/>
      <c r="EV927"/>
      <c r="EW927"/>
      <c r="EX927"/>
      <c r="EY927"/>
      <c r="EZ927"/>
      <c r="FA927"/>
      <c r="FB927"/>
      <c r="FC927"/>
      <c r="FD927"/>
      <c r="FE927"/>
      <c r="FF927"/>
      <c r="FG927"/>
      <c r="FH927"/>
      <c r="FI927"/>
      <c r="FJ927"/>
      <c r="FK927"/>
      <c r="FL927"/>
      <c r="FM927"/>
      <c r="FN927"/>
      <c r="FO927"/>
      <c r="FP927"/>
      <c r="FQ927"/>
      <c r="FR927"/>
      <c r="FS927"/>
      <c r="FT927"/>
      <c r="FU927"/>
      <c r="FV927"/>
      <c r="FW927"/>
      <c r="FX927"/>
      <c r="FY927"/>
      <c r="FZ927"/>
      <c r="GA927"/>
      <c r="GB927"/>
      <c r="GC927"/>
      <c r="GD927"/>
      <c r="GE927"/>
      <c r="GF927"/>
      <c r="GG927"/>
      <c r="GH927"/>
      <c r="GI927"/>
      <c r="GJ927"/>
      <c r="GK927"/>
      <c r="GL927"/>
      <c r="GM927"/>
      <c r="GN927"/>
      <c r="GO927"/>
      <c r="GP927"/>
      <c r="GQ927"/>
      <c r="GR927"/>
      <c r="GS927"/>
      <c r="GT927"/>
      <c r="GU927"/>
      <c r="GV927"/>
      <c r="GW927"/>
      <c r="GX927"/>
      <c r="GY927"/>
      <c r="GZ927"/>
      <c r="HA927"/>
      <c r="HB927"/>
      <c r="HC927"/>
      <c r="HD927"/>
      <c r="HE927"/>
      <c r="HF927"/>
      <c r="HG927"/>
      <c r="HH927"/>
      <c r="HI927"/>
      <c r="HJ927"/>
      <c r="HK927"/>
      <c r="HL927"/>
      <c r="HM927"/>
      <c r="HN927"/>
      <c r="HO927"/>
      <c r="HP927"/>
      <c r="HQ927"/>
      <c r="HR927"/>
      <c r="HS927"/>
      <c r="HT927"/>
      <c r="HU927"/>
      <c r="HV927"/>
      <c r="HW927"/>
      <c r="HX927"/>
      <c r="HY927"/>
      <c r="HZ927"/>
      <c r="IA927"/>
      <c r="IB927"/>
      <c r="IC927"/>
      <c r="ID927"/>
      <c r="IE927"/>
      <c r="IF927"/>
      <c r="IG927"/>
      <c r="IH927"/>
      <c r="II927"/>
      <c r="IJ927"/>
      <c r="IK927"/>
      <c r="IL927"/>
      <c r="IM927"/>
      <c r="IN927"/>
      <c r="IO927"/>
      <c r="IP927"/>
      <c r="IQ927"/>
      <c r="IR927"/>
      <c r="IS927"/>
      <c r="IT927"/>
      <c r="IU927"/>
      <c r="IV927"/>
    </row>
    <row r="928" spans="1:256" s="520" customFormat="1" ht="12" customHeight="1">
      <c r="A928" s="1072">
        <f ca="1">$Q$920*(ROUND(50/1.5*4,0))</f>
        <v>1037.3999999999999</v>
      </c>
      <c r="B928" s="1073" t="s">
        <v>141</v>
      </c>
      <c r="C928" s="1073"/>
      <c r="D928" s="897" t="s">
        <v>3133</v>
      </c>
      <c r="E928" s="1074"/>
      <c r="F928" s="1078"/>
      <c r="G928" s="941" t="s">
        <v>3134</v>
      </c>
      <c r="H928" s="942">
        <v>501</v>
      </c>
      <c r="I928" s="1079"/>
      <c r="J928" s="1079"/>
      <c r="K928" s="897" t="s">
        <v>7</v>
      </c>
      <c r="L928" s="1073"/>
      <c r="M928" s="1073"/>
      <c r="N928" s="1073"/>
      <c r="O928" s="1076">
        <v>1</v>
      </c>
      <c r="P928" s="1077"/>
      <c r="Q928" s="897">
        <f>2.33 *(0.03)</f>
        <v>6.9900000000000004E-2</v>
      </c>
      <c r="R928" s="898">
        <f t="shared" ca="1" si="176"/>
        <v>72.514259999999993</v>
      </c>
      <c r="S928" s="1073"/>
      <c r="T928" s="899">
        <f t="shared" ca="1" si="177"/>
        <v>0</v>
      </c>
      <c r="U928"/>
      <c r="X928"/>
      <c r="Y928"/>
      <c r="Z928"/>
      <c r="AA928"/>
      <c r="AB928"/>
      <c r="AC928"/>
      <c r="AD928" s="107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c r="CE928"/>
      <c r="CF928"/>
      <c r="CG928"/>
      <c r="CH928"/>
      <c r="CI928"/>
      <c r="CJ928"/>
      <c r="CK928"/>
      <c r="CL928"/>
      <c r="CM928"/>
      <c r="CN928"/>
      <c r="CO928"/>
      <c r="CP928"/>
      <c r="CQ928"/>
      <c r="CR928"/>
      <c r="CS928"/>
      <c r="CT928"/>
      <c r="CU928"/>
      <c r="CV928"/>
      <c r="CW928"/>
      <c r="CX928"/>
      <c r="CY928"/>
      <c r="CZ928"/>
      <c r="DA928"/>
      <c r="DB928"/>
      <c r="DC928"/>
      <c r="DD928"/>
      <c r="DE928"/>
      <c r="DF928"/>
      <c r="DG928"/>
      <c r="DH928"/>
      <c r="DI928"/>
      <c r="DJ928"/>
      <c r="DK928"/>
      <c r="DL928"/>
      <c r="DM928"/>
      <c r="DN928"/>
      <c r="DO928"/>
      <c r="DP928"/>
      <c r="DQ928"/>
      <c r="DR928"/>
      <c r="DS928"/>
      <c r="DT928"/>
      <c r="DU928"/>
      <c r="DV928"/>
      <c r="DW928"/>
      <c r="DX928"/>
      <c r="DY928"/>
      <c r="DZ928"/>
      <c r="EA928"/>
      <c r="EB928"/>
      <c r="EC928"/>
      <c r="ED928"/>
      <c r="EE928"/>
      <c r="EF928"/>
      <c r="EG928"/>
      <c r="EH928"/>
      <c r="EI928"/>
      <c r="EJ928"/>
      <c r="EK928"/>
      <c r="EL928"/>
      <c r="EM928"/>
      <c r="EN928"/>
      <c r="EO928"/>
      <c r="EP928"/>
      <c r="EQ928"/>
      <c r="ER928"/>
      <c r="ES928"/>
      <c r="ET928"/>
      <c r="EU928"/>
      <c r="EV928"/>
      <c r="EW928"/>
      <c r="EX928"/>
      <c r="EY928"/>
      <c r="EZ928"/>
      <c r="FA928"/>
      <c r="FB928"/>
      <c r="FC928"/>
      <c r="FD928"/>
      <c r="FE928"/>
      <c r="FF928"/>
      <c r="FG928"/>
      <c r="FH928"/>
      <c r="FI928"/>
      <c r="FJ928"/>
      <c r="FK928"/>
      <c r="FL928"/>
      <c r="FM928"/>
      <c r="FN928"/>
      <c r="FO928"/>
      <c r="FP928"/>
      <c r="FQ928"/>
      <c r="FR928"/>
      <c r="FS928"/>
      <c r="FT928"/>
      <c r="FU928"/>
      <c r="FV928"/>
      <c r="FW928"/>
      <c r="FX928"/>
      <c r="FY928"/>
      <c r="FZ928"/>
      <c r="GA928"/>
      <c r="GB928"/>
      <c r="GC928"/>
      <c r="GD928"/>
      <c r="GE928"/>
      <c r="GF928"/>
      <c r="GG928"/>
      <c r="GH928"/>
      <c r="GI928"/>
      <c r="GJ928"/>
      <c r="GK928"/>
      <c r="GL928"/>
      <c r="GM928"/>
      <c r="GN928"/>
      <c r="GO928"/>
      <c r="GP928"/>
      <c r="GQ928"/>
      <c r="GR928"/>
      <c r="GS928"/>
      <c r="GT928"/>
      <c r="GU928"/>
      <c r="GV928"/>
      <c r="GW928"/>
      <c r="GX928"/>
      <c r="GY928"/>
      <c r="GZ928"/>
      <c r="HA928"/>
      <c r="HB928"/>
      <c r="HC928"/>
      <c r="HD928"/>
      <c r="HE928"/>
      <c r="HF928"/>
      <c r="HG928"/>
      <c r="HH928"/>
      <c r="HI928"/>
      <c r="HJ928"/>
      <c r="HK928"/>
      <c r="HL928"/>
      <c r="HM928"/>
      <c r="HN928"/>
      <c r="HO928"/>
      <c r="HP928"/>
      <c r="HQ928"/>
      <c r="HR928"/>
      <c r="HS928"/>
      <c r="HT928"/>
      <c r="HU928"/>
      <c r="HV928"/>
      <c r="HW928"/>
      <c r="HX928"/>
      <c r="HY928"/>
      <c r="HZ928"/>
      <c r="IA928"/>
      <c r="IB928"/>
      <c r="IC928"/>
      <c r="ID928"/>
      <c r="IE928"/>
      <c r="IF928"/>
      <c r="IG928"/>
      <c r="IH928"/>
      <c r="II928"/>
      <c r="IJ928"/>
      <c r="IK928"/>
      <c r="IL928"/>
      <c r="IM928"/>
      <c r="IN928"/>
      <c r="IO928"/>
      <c r="IP928"/>
      <c r="IQ928"/>
      <c r="IR928"/>
      <c r="IS928"/>
      <c r="IT928"/>
      <c r="IU928"/>
      <c r="IV928"/>
    </row>
    <row r="929" spans="1:256" s="520" customFormat="1" ht="12" customHeight="1">
      <c r="A929" s="1072">
        <f ca="1">$Q$920*(ROUND(50/1.5*4,0))</f>
        <v>1037.3999999999999</v>
      </c>
      <c r="B929" s="1073" t="s">
        <v>141</v>
      </c>
      <c r="C929" s="1073"/>
      <c r="D929" s="897" t="s">
        <v>3135</v>
      </c>
      <c r="E929" s="1074"/>
      <c r="F929" s="1078"/>
      <c r="G929" s="941" t="s">
        <v>3136</v>
      </c>
      <c r="H929" s="942">
        <v>501</v>
      </c>
      <c r="I929" s="1079"/>
      <c r="J929" s="1079"/>
      <c r="K929" s="897" t="s">
        <v>7</v>
      </c>
      <c r="L929" s="1073"/>
      <c r="M929" s="1073"/>
      <c r="N929" s="1073"/>
      <c r="O929" s="1080">
        <v>1</v>
      </c>
      <c r="P929" s="1081"/>
      <c r="Q929" s="897">
        <f>2.33 *(0.01)</f>
        <v>2.3300000000000001E-2</v>
      </c>
      <c r="R929" s="898">
        <f t="shared" ca="1" si="176"/>
        <v>24.171419999999998</v>
      </c>
      <c r="S929" s="1073"/>
      <c r="T929" s="899">
        <f t="shared" ca="1" si="177"/>
        <v>0</v>
      </c>
      <c r="U929"/>
      <c r="V929"/>
      <c r="W929"/>
      <c r="X929"/>
      <c r="Y929"/>
      <c r="Z929"/>
      <c r="AA929"/>
      <c r="AB929"/>
      <c r="AC929"/>
      <c r="AD929" s="1078"/>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c r="CG929"/>
      <c r="CH929"/>
      <c r="CI929"/>
      <c r="CJ929"/>
      <c r="CK929"/>
      <c r="CL929"/>
      <c r="CM929"/>
      <c r="CN929"/>
      <c r="CO929"/>
      <c r="CP929"/>
      <c r="CQ929"/>
      <c r="CR929"/>
      <c r="CS929"/>
      <c r="CT929"/>
      <c r="CU929"/>
      <c r="CV929"/>
      <c r="CW929"/>
      <c r="CX929"/>
      <c r="CY929"/>
      <c r="CZ929"/>
      <c r="DA929"/>
      <c r="DB929"/>
      <c r="DC929"/>
      <c r="DD929"/>
      <c r="DE929"/>
      <c r="DF929"/>
      <c r="DG929"/>
      <c r="DH929"/>
      <c r="DI929"/>
      <c r="DJ929"/>
      <c r="DK929"/>
      <c r="DL929"/>
      <c r="DM929"/>
      <c r="DN929"/>
      <c r="DO929"/>
      <c r="DP929"/>
      <c r="DQ929"/>
      <c r="DR929"/>
      <c r="DS929"/>
      <c r="DT929"/>
      <c r="DU929"/>
      <c r="DV929"/>
      <c r="DW929"/>
      <c r="DX929"/>
      <c r="DY929"/>
      <c r="DZ929"/>
      <c r="EA929"/>
      <c r="EB929"/>
      <c r="EC929"/>
      <c r="ED929"/>
      <c r="EE929"/>
      <c r="EF929"/>
      <c r="EG929"/>
      <c r="EH929"/>
      <c r="EI929"/>
      <c r="EJ929"/>
      <c r="EK929"/>
      <c r="EL929"/>
      <c r="EM929"/>
      <c r="EN929"/>
      <c r="EO929"/>
      <c r="EP929"/>
      <c r="EQ929"/>
      <c r="ER929"/>
      <c r="ES929"/>
      <c r="ET929"/>
      <c r="EU929"/>
      <c r="EV929"/>
      <c r="EW929"/>
      <c r="EX929"/>
      <c r="EY929"/>
      <c r="EZ929"/>
      <c r="FA929"/>
      <c r="FB929"/>
      <c r="FC929"/>
      <c r="FD929"/>
      <c r="FE929"/>
      <c r="FF929"/>
      <c r="FG929"/>
      <c r="FH929"/>
      <c r="FI929"/>
      <c r="FJ929"/>
      <c r="FK929"/>
      <c r="FL929"/>
      <c r="FM929"/>
      <c r="FN929"/>
      <c r="FO929"/>
      <c r="FP929"/>
      <c r="FQ929"/>
      <c r="FR929"/>
      <c r="FS929"/>
      <c r="FT929"/>
      <c r="FU929"/>
      <c r="FV929"/>
      <c r="FW929"/>
      <c r="FX929"/>
      <c r="FY929"/>
      <c r="FZ929"/>
      <c r="GA929"/>
      <c r="GB929"/>
      <c r="GC929"/>
      <c r="GD929"/>
      <c r="GE929"/>
      <c r="GF929"/>
      <c r="GG929"/>
      <c r="GH929"/>
      <c r="GI929"/>
      <c r="GJ929"/>
      <c r="GK929"/>
      <c r="GL929"/>
      <c r="GM929"/>
      <c r="GN929"/>
      <c r="GO929"/>
      <c r="GP929"/>
      <c r="GQ929"/>
      <c r="GR929"/>
      <c r="GS929"/>
      <c r="GT929"/>
      <c r="GU929"/>
      <c r="GV929"/>
      <c r="GW929"/>
      <c r="GX929"/>
      <c r="GY929"/>
      <c r="GZ929"/>
      <c r="HA929"/>
      <c r="HB929"/>
      <c r="HC929"/>
      <c r="HD929"/>
      <c r="HE929"/>
      <c r="HF929"/>
      <c r="HG929"/>
      <c r="HH929"/>
      <c r="HI929"/>
      <c r="HJ929"/>
      <c r="HK929"/>
      <c r="HL929"/>
      <c r="HM929"/>
      <c r="HN929"/>
      <c r="HO929"/>
      <c r="HP929"/>
      <c r="HQ929"/>
      <c r="HR929"/>
      <c r="HS929"/>
      <c r="HT929"/>
      <c r="HU929"/>
      <c r="HV929"/>
      <c r="HW929"/>
      <c r="HX929"/>
      <c r="HY929"/>
      <c r="HZ929"/>
      <c r="IA929"/>
      <c r="IB929"/>
      <c r="IC929"/>
      <c r="ID929"/>
      <c r="IE929"/>
      <c r="IF929"/>
      <c r="IG929"/>
      <c r="IH929"/>
      <c r="II929"/>
      <c r="IJ929"/>
      <c r="IK929"/>
      <c r="IL929"/>
      <c r="IM929"/>
      <c r="IN929"/>
      <c r="IO929"/>
      <c r="IP929"/>
      <c r="IQ929"/>
      <c r="IR929"/>
      <c r="IS929"/>
      <c r="IT929"/>
      <c r="IU929"/>
      <c r="IV929"/>
    </row>
    <row r="930" spans="1:256" s="901" customFormat="1" ht="12" customHeight="1">
      <c r="A930" s="758"/>
      <c r="B930" s="3"/>
      <c r="C930" s="758" t="s">
        <v>171</v>
      </c>
      <c r="D930" s="3"/>
      <c r="E930" s="758"/>
      <c r="F930" s="753"/>
      <c r="G930" s="758"/>
      <c r="H930" s="758"/>
      <c r="I930" s="519"/>
      <c r="J930" s="758"/>
      <c r="K930" s="758"/>
      <c r="L930" s="758"/>
      <c r="M930" s="758"/>
      <c r="N930" s="758"/>
      <c r="O930" s="758"/>
      <c r="P930" s="758"/>
      <c r="Q930" s="519"/>
      <c r="R930" s="917">
        <f>$A930*Q930</f>
        <v>0</v>
      </c>
      <c r="S930" s="519"/>
      <c r="T930" s="760">
        <f>$A930*S930*$T$1</f>
        <v>0</v>
      </c>
      <c r="U930" s="520"/>
      <c r="V930" s="520"/>
      <c r="W930" s="520"/>
      <c r="X930" s="520"/>
      <c r="Y930" s="520"/>
      <c r="Z930" s="520"/>
      <c r="AA930" s="520"/>
      <c r="AB930" s="520"/>
      <c r="AC930" s="520"/>
      <c r="AD930" s="753"/>
      <c r="AE930" s="520"/>
      <c r="AF930" s="520"/>
      <c r="AG930" s="520"/>
      <c r="AH930" s="520"/>
      <c r="AI930" s="520"/>
      <c r="AJ930" s="520"/>
      <c r="AK930" s="520"/>
      <c r="AL930" s="520"/>
      <c r="AM930" s="520"/>
      <c r="AN930" s="520"/>
      <c r="AO930" s="520"/>
      <c r="AP930" s="520"/>
      <c r="AQ930" s="520"/>
      <c r="AR930" s="520"/>
      <c r="AS930" s="520"/>
      <c r="AT930" s="520"/>
      <c r="AU930" s="520"/>
      <c r="AV930" s="520"/>
      <c r="AW930" s="520"/>
      <c r="AX930" s="520"/>
      <c r="AY930" s="520"/>
      <c r="AZ930" s="520"/>
      <c r="BA930" s="520"/>
      <c r="BB930" s="520"/>
      <c r="BC930" s="520"/>
      <c r="BD930" s="520"/>
      <c r="BE930" s="520"/>
      <c r="BF930" s="520"/>
      <c r="BG930" s="520"/>
      <c r="BH930" s="520"/>
      <c r="BI930" s="520"/>
      <c r="BJ930" s="520"/>
      <c r="BK930" s="520"/>
      <c r="BL930" s="520"/>
      <c r="BM930" s="520"/>
      <c r="BN930" s="520"/>
      <c r="BO930" s="520"/>
      <c r="BP930" s="520"/>
      <c r="BQ930" s="520"/>
      <c r="BR930" s="520"/>
      <c r="BS930" s="520"/>
      <c r="BT930" s="520"/>
      <c r="BU930" s="520"/>
      <c r="BV930" s="520"/>
      <c r="BW930" s="520"/>
      <c r="BX930" s="520"/>
      <c r="BY930" s="520"/>
      <c r="BZ930" s="520"/>
      <c r="CA930" s="520"/>
      <c r="CB930" s="520"/>
      <c r="CC930" s="520"/>
      <c r="CD930" s="520"/>
      <c r="CE930" s="520"/>
      <c r="CF930" s="520"/>
      <c r="CG930" s="520"/>
      <c r="CH930" s="520"/>
      <c r="CI930" s="520"/>
      <c r="CJ930" s="520"/>
      <c r="CK930" s="520"/>
      <c r="CL930" s="520"/>
      <c r="CM930" s="520"/>
      <c r="CN930" s="520"/>
      <c r="CO930" s="520"/>
      <c r="CP930" s="520"/>
      <c r="CQ930" s="520"/>
      <c r="CR930" s="520"/>
      <c r="CS930" s="520"/>
      <c r="CT930" s="520"/>
      <c r="CU930" s="520"/>
      <c r="CV930" s="520"/>
      <c r="CW930" s="520"/>
      <c r="CX930" s="520"/>
      <c r="CY930" s="520"/>
      <c r="CZ930" s="520"/>
      <c r="DA930" s="520"/>
      <c r="DB930" s="520"/>
      <c r="DC930" s="520"/>
      <c r="DD930" s="520"/>
      <c r="DE930" s="520"/>
      <c r="DF930" s="520"/>
      <c r="DG930" s="520"/>
      <c r="DH930" s="520"/>
      <c r="DI930" s="520"/>
      <c r="DJ930" s="520"/>
      <c r="DK930" s="520"/>
      <c r="DL930" s="520"/>
      <c r="DM930" s="520"/>
      <c r="DN930" s="520"/>
      <c r="DO930" s="520"/>
      <c r="DP930" s="520"/>
      <c r="DQ930" s="520"/>
      <c r="DR930" s="520"/>
      <c r="DS930" s="520"/>
      <c r="DT930" s="520"/>
      <c r="DU930" s="520"/>
      <c r="DV930" s="520"/>
      <c r="DW930" s="520"/>
      <c r="DX930" s="520"/>
      <c r="DY930" s="520"/>
      <c r="DZ930" s="520"/>
      <c r="EA930" s="520"/>
      <c r="EB930" s="520"/>
      <c r="EC930" s="520"/>
      <c r="ED930" s="520"/>
      <c r="EE930" s="520"/>
      <c r="EF930" s="520"/>
      <c r="EG930" s="520"/>
      <c r="EH930" s="520"/>
      <c r="EI930" s="520"/>
      <c r="EJ930" s="520"/>
      <c r="EK930" s="520"/>
      <c r="EL930" s="520"/>
      <c r="EM930" s="520"/>
      <c r="EN930" s="520"/>
      <c r="EO930" s="520"/>
      <c r="EP930" s="520"/>
      <c r="EQ930" s="520"/>
      <c r="ER930" s="520"/>
      <c r="ES930" s="520"/>
      <c r="ET930" s="520"/>
      <c r="EU930" s="520"/>
      <c r="EV930" s="520"/>
      <c r="EW930" s="520"/>
      <c r="EX930" s="520"/>
      <c r="EY930" s="520"/>
      <c r="EZ930" s="520"/>
      <c r="FA930" s="520"/>
      <c r="FB930" s="520"/>
      <c r="FC930" s="520"/>
      <c r="FD930" s="520"/>
      <c r="FE930" s="520"/>
      <c r="FF930" s="520"/>
      <c r="FG930" s="520"/>
      <c r="FH930" s="520"/>
      <c r="FI930" s="520"/>
      <c r="FJ930" s="520"/>
      <c r="FK930" s="520"/>
      <c r="FL930" s="520"/>
      <c r="FM930" s="520"/>
      <c r="FN930" s="520"/>
      <c r="FO930" s="520"/>
      <c r="FP930" s="520"/>
      <c r="FQ930" s="520"/>
      <c r="FR930" s="520"/>
      <c r="FS930" s="520"/>
      <c r="FT930" s="520"/>
      <c r="FU930" s="520"/>
      <c r="FV930" s="520"/>
      <c r="FW930" s="520"/>
      <c r="FX930" s="520"/>
      <c r="FY930" s="520"/>
      <c r="FZ930" s="520"/>
      <c r="GA930" s="520"/>
      <c r="GB930" s="520"/>
      <c r="GC930" s="520"/>
      <c r="GD930" s="520"/>
      <c r="GE930" s="520"/>
      <c r="GF930" s="520"/>
      <c r="GG930" s="520"/>
      <c r="GH930" s="520"/>
      <c r="GI930" s="520"/>
      <c r="GJ930" s="520"/>
      <c r="GK930" s="520"/>
      <c r="GL930" s="520"/>
      <c r="GM930" s="520"/>
      <c r="GN930" s="520"/>
      <c r="GO930" s="520"/>
      <c r="GP930" s="520"/>
      <c r="GQ930" s="520"/>
      <c r="GR930" s="520"/>
      <c r="GS930" s="520"/>
      <c r="GT930" s="520"/>
      <c r="GU930" s="520"/>
      <c r="GV930" s="520"/>
      <c r="GW930" s="520"/>
      <c r="GX930" s="520"/>
      <c r="GY930" s="520"/>
      <c r="GZ930" s="520"/>
      <c r="HA930" s="520"/>
      <c r="HB930" s="520"/>
      <c r="HC930" s="520"/>
      <c r="HD930" s="520"/>
      <c r="HE930" s="520"/>
      <c r="HF930" s="520"/>
      <c r="HG930" s="520"/>
      <c r="HH930" s="520"/>
      <c r="HI930" s="520"/>
      <c r="HJ930" s="520"/>
      <c r="HK930" s="520"/>
      <c r="HL930" s="520"/>
      <c r="HM930" s="520"/>
      <c r="HN930" s="520"/>
      <c r="HO930" s="520"/>
      <c r="HP930" s="520"/>
      <c r="HQ930" s="520"/>
      <c r="HR930" s="520"/>
      <c r="HS930" s="520"/>
      <c r="HT930" s="520"/>
      <c r="HU930" s="520"/>
      <c r="HV930" s="520"/>
      <c r="HW930" s="520"/>
      <c r="HX930" s="520"/>
      <c r="HY930" s="520"/>
      <c r="HZ930" s="520"/>
      <c r="IA930" s="520"/>
      <c r="IB930" s="520"/>
      <c r="IC930" s="520"/>
      <c r="ID930" s="520"/>
      <c r="IE930" s="520"/>
      <c r="IF930" s="520"/>
      <c r="IG930" s="520"/>
      <c r="IH930" s="520"/>
      <c r="II930" s="520"/>
      <c r="IJ930" s="520"/>
      <c r="IK930" s="520"/>
      <c r="IL930" s="520"/>
      <c r="IM930" s="520"/>
      <c r="IN930" s="520"/>
      <c r="IO930" s="520"/>
      <c r="IP930" s="520"/>
      <c r="IQ930" s="520"/>
      <c r="IR930" s="520"/>
      <c r="IS930" s="520"/>
      <c r="IT930" s="520"/>
      <c r="IU930" s="520"/>
      <c r="IV930" s="520"/>
    </row>
    <row r="931" spans="1:256" s="901" customFormat="1" ht="12" customHeight="1" thickBot="1">
      <c r="A931" s="761" t="s">
        <v>145</v>
      </c>
      <c r="B931" s="762">
        <f>(R930+T930)</f>
        <v>0</v>
      </c>
      <c r="C931" s="763"/>
      <c r="D931" s="937" t="s">
        <v>172</v>
      </c>
      <c r="E931" s="477">
        <f ca="1">IF($B920=0,0,ROUND(ROUND(($R931*$S$2+($T931*$T$2))/$B920, 2)*$C$2,2))</f>
        <v>6.06</v>
      </c>
      <c r="F931" s="478">
        <f ca="1">ROUND($B920*$E931,2)</f>
        <v>2363.4</v>
      </c>
      <c r="G931" s="763"/>
      <c r="H931" s="763"/>
      <c r="I931" s="765"/>
      <c r="J931" s="763"/>
      <c r="K931" s="938" t="s">
        <v>143</v>
      </c>
      <c r="L931" s="766" t="s">
        <v>143</v>
      </c>
      <c r="M931" s="766"/>
      <c r="N931" s="766"/>
      <c r="O931" s="766"/>
      <c r="P931" s="766"/>
      <c r="Q931" s="938"/>
      <c r="R931" s="939">
        <f ca="1">SUM(R921:R930)</f>
        <v>965.4925800000002</v>
      </c>
      <c r="S931" s="940"/>
      <c r="T931" s="939">
        <f ca="1">SUM(T921:T930)</f>
        <v>34.748999999999995</v>
      </c>
      <c r="U931" s="531"/>
      <c r="V931" s="531"/>
      <c r="W931" s="531"/>
      <c r="X931" s="531"/>
      <c r="Y931" s="531"/>
      <c r="Z931" s="531"/>
      <c r="AA931" s="531"/>
      <c r="AB931" s="531"/>
      <c r="AC931" s="520"/>
      <c r="AD931" s="478">
        <v>3762.9</v>
      </c>
      <c r="AE931" s="520"/>
      <c r="AF931" s="520"/>
      <c r="AG931" s="520"/>
      <c r="AH931" s="520"/>
      <c r="AI931" s="520"/>
      <c r="AJ931" s="520"/>
      <c r="AK931" s="520"/>
      <c r="AL931" s="520"/>
      <c r="AM931" s="520"/>
      <c r="AN931" s="520"/>
      <c r="AO931" s="520"/>
      <c r="AP931" s="520"/>
      <c r="AQ931" s="520"/>
      <c r="AR931" s="520"/>
      <c r="AS931" s="520"/>
      <c r="AT931" s="520"/>
      <c r="AU931" s="520"/>
      <c r="AV931" s="520"/>
      <c r="AW931" s="520"/>
      <c r="AX931" s="520"/>
      <c r="AY931" s="520"/>
      <c r="AZ931" s="520"/>
      <c r="BA931" s="520"/>
      <c r="BB931" s="520"/>
      <c r="BC931" s="520"/>
      <c r="BD931" s="520"/>
      <c r="BE931" s="520"/>
      <c r="BF931" s="520"/>
      <c r="BG931" s="520"/>
      <c r="BH931" s="520"/>
      <c r="BI931" s="520"/>
      <c r="BJ931" s="520"/>
      <c r="BK931" s="520"/>
      <c r="BL931" s="520"/>
      <c r="BM931" s="520"/>
      <c r="BN931" s="520"/>
      <c r="BO931" s="520"/>
      <c r="BP931" s="520"/>
      <c r="BQ931" s="520"/>
      <c r="BR931" s="520"/>
      <c r="BS931" s="520"/>
      <c r="BT931" s="520"/>
      <c r="BU931" s="520"/>
      <c r="BV931" s="520"/>
      <c r="BW931" s="520"/>
      <c r="BX931" s="520"/>
      <c r="BY931" s="520"/>
      <c r="BZ931" s="520"/>
      <c r="CA931" s="520"/>
      <c r="CB931" s="520"/>
      <c r="CC931" s="520"/>
      <c r="CD931" s="520"/>
      <c r="CE931" s="520"/>
      <c r="CF931" s="520"/>
      <c r="CG931" s="520"/>
      <c r="CH931" s="520"/>
      <c r="CI931" s="520"/>
      <c r="CJ931" s="520"/>
      <c r="CK931" s="520"/>
      <c r="CL931" s="520"/>
      <c r="CM931" s="520"/>
      <c r="CN931" s="520"/>
      <c r="CO931" s="520"/>
      <c r="CP931" s="520"/>
      <c r="CQ931" s="520"/>
      <c r="CR931" s="520"/>
      <c r="CS931" s="520"/>
      <c r="CT931" s="520"/>
      <c r="CU931" s="520"/>
      <c r="CV931" s="520"/>
      <c r="CW931" s="520"/>
      <c r="CX931" s="520"/>
      <c r="CY931" s="520"/>
      <c r="CZ931" s="520"/>
      <c r="DA931" s="520"/>
      <c r="DB931" s="520"/>
      <c r="DC931" s="520"/>
      <c r="DD931" s="520"/>
      <c r="DE931" s="520"/>
      <c r="DF931" s="520"/>
      <c r="DG931" s="520"/>
      <c r="DH931" s="520"/>
      <c r="DI931" s="520"/>
      <c r="DJ931" s="520"/>
      <c r="DK931" s="520"/>
      <c r="DL931" s="520"/>
      <c r="DM931" s="520"/>
      <c r="DN931" s="520"/>
      <c r="DO931" s="520"/>
      <c r="DP931" s="520"/>
      <c r="DQ931" s="520"/>
      <c r="DR931" s="520"/>
      <c r="DS931" s="520"/>
      <c r="DT931" s="520"/>
      <c r="DU931" s="520"/>
      <c r="DV931" s="520"/>
      <c r="DW931" s="520"/>
      <c r="DX931" s="520"/>
      <c r="DY931" s="520"/>
      <c r="DZ931" s="520"/>
      <c r="EA931" s="520"/>
      <c r="EB931" s="520"/>
      <c r="EC931" s="520"/>
      <c r="ED931" s="520"/>
      <c r="EE931" s="520"/>
      <c r="EF931" s="520"/>
      <c r="EG931" s="520"/>
      <c r="EH931" s="520"/>
      <c r="EI931" s="520"/>
      <c r="EJ931" s="520"/>
      <c r="EK931" s="520"/>
      <c r="EL931" s="520"/>
      <c r="EM931" s="520"/>
      <c r="EN931" s="520"/>
      <c r="EO931" s="520"/>
      <c r="EP931" s="520"/>
      <c r="EQ931" s="520"/>
      <c r="ER931" s="520"/>
      <c r="ES931" s="520"/>
      <c r="ET931" s="520"/>
      <c r="EU931" s="520"/>
      <c r="EV931" s="520"/>
      <c r="EW931" s="520"/>
      <c r="EX931" s="520"/>
      <c r="EY931" s="520"/>
      <c r="EZ931" s="520"/>
      <c r="FA931" s="520"/>
      <c r="FB931" s="520"/>
      <c r="FC931" s="520"/>
      <c r="FD931" s="520"/>
      <c r="FE931" s="520"/>
      <c r="FF931" s="520"/>
      <c r="FG931" s="520"/>
      <c r="FH931" s="520"/>
      <c r="FI931" s="520"/>
      <c r="FJ931" s="520"/>
      <c r="FK931" s="520"/>
      <c r="FL931" s="520"/>
      <c r="FM931" s="520"/>
      <c r="FN931" s="520"/>
      <c r="FO931" s="520"/>
      <c r="FP931" s="520"/>
      <c r="FQ931" s="520"/>
      <c r="FR931" s="520"/>
      <c r="FS931" s="520"/>
      <c r="FT931" s="520"/>
      <c r="FU931" s="520"/>
      <c r="FV931" s="520"/>
      <c r="FW931" s="520"/>
      <c r="FX931" s="520"/>
      <c r="FY931" s="520"/>
      <c r="FZ931" s="520"/>
      <c r="GA931" s="520"/>
      <c r="GB931" s="520"/>
      <c r="GC931" s="520"/>
      <c r="GD931" s="520"/>
      <c r="GE931" s="520"/>
      <c r="GF931" s="520"/>
      <c r="GG931" s="520"/>
      <c r="GH931" s="520"/>
      <c r="GI931" s="520"/>
      <c r="GJ931" s="520"/>
      <c r="GK931" s="520"/>
      <c r="GL931" s="520"/>
      <c r="GM931" s="520"/>
      <c r="GN931" s="520"/>
      <c r="GO931" s="520"/>
      <c r="GP931" s="520"/>
      <c r="GQ931" s="520"/>
      <c r="GR931" s="520"/>
      <c r="GS931" s="520"/>
      <c r="GT931" s="520"/>
      <c r="GU931" s="520"/>
      <c r="GV931" s="520"/>
      <c r="GW931" s="520"/>
      <c r="GX931" s="520"/>
      <c r="GY931" s="520"/>
      <c r="GZ931" s="520"/>
      <c r="HA931" s="520"/>
      <c r="HB931" s="520"/>
      <c r="HC931" s="520"/>
      <c r="HD931" s="520"/>
      <c r="HE931" s="520"/>
      <c r="HF931" s="520"/>
      <c r="HG931" s="520"/>
      <c r="HH931" s="520"/>
      <c r="HI931" s="520"/>
      <c r="HJ931" s="520"/>
      <c r="HK931" s="520"/>
      <c r="HL931" s="520"/>
      <c r="HM931" s="520"/>
      <c r="HN931" s="520"/>
      <c r="HO931" s="520"/>
      <c r="HP931" s="520"/>
      <c r="HQ931" s="520"/>
      <c r="HR931" s="520"/>
      <c r="HS931" s="520"/>
      <c r="HT931" s="520"/>
      <c r="HU931" s="520"/>
      <c r="HV931" s="520"/>
      <c r="HW931" s="520"/>
      <c r="HX931" s="520"/>
      <c r="HY931" s="520"/>
      <c r="HZ931" s="520"/>
      <c r="IA931" s="520"/>
      <c r="IB931" s="520"/>
      <c r="IC931" s="520"/>
      <c r="ID931" s="520"/>
      <c r="IE931" s="520"/>
      <c r="IF931" s="520"/>
      <c r="IG931" s="520"/>
      <c r="IH931" s="520"/>
      <c r="II931" s="520"/>
      <c r="IJ931" s="520"/>
      <c r="IK931" s="520"/>
      <c r="IL931" s="520"/>
      <c r="IM931" s="520"/>
      <c r="IN931" s="520"/>
      <c r="IO931" s="520"/>
      <c r="IP931" s="520"/>
      <c r="IQ931" s="520"/>
      <c r="IR931" s="520"/>
      <c r="IS931" s="520"/>
      <c r="IT931" s="520"/>
      <c r="IU931" s="520"/>
      <c r="IV931" s="520"/>
    </row>
    <row r="932" spans="1:256" s="520" customFormat="1" ht="12" customHeight="1" thickTop="1">
      <c r="A932" s="51"/>
      <c r="B932" s="51"/>
      <c r="C932" s="51"/>
      <c r="D932" s="51"/>
      <c r="E932" s="51"/>
      <c r="F932" s="51"/>
      <c r="G932" s="51"/>
      <c r="H932" s="51"/>
      <c r="I932" s="51"/>
      <c r="J932" s="51"/>
      <c r="K932" s="51"/>
      <c r="L932" s="51"/>
      <c r="M932" s="51"/>
      <c r="N932" s="51"/>
      <c r="O932" s="52"/>
      <c r="P932" s="51"/>
      <c r="Q932" s="42" t="s">
        <v>168</v>
      </c>
      <c r="R932" s="51"/>
      <c r="S932" s="13"/>
      <c r="T932" s="51"/>
      <c r="AD932" s="51"/>
    </row>
    <row r="933" spans="1:256" s="520" customFormat="1" ht="12" customHeight="1" thickBot="1">
      <c r="A933" s="927">
        <v>90</v>
      </c>
      <c r="B933" s="928">
        <f ca="1">Elec_Est!B11633</f>
        <v>465</v>
      </c>
      <c r="C933" s="929"/>
      <c r="D933" s="930" t="s">
        <v>3589</v>
      </c>
      <c r="E933" s="931"/>
      <c r="F933" s="931"/>
      <c r="G933" s="752"/>
      <c r="H933" s="752"/>
      <c r="I933" s="932"/>
      <c r="J933" s="752"/>
      <c r="K933" s="929" t="s">
        <v>169</v>
      </c>
      <c r="L933" s="933" t="s">
        <v>169</v>
      </c>
      <c r="M933" s="933"/>
      <c r="N933" s="933"/>
      <c r="O933" s="933"/>
      <c r="P933" s="933"/>
      <c r="Q933" s="934">
        <f ca="1">B933/A933</f>
        <v>5.166666666666667</v>
      </c>
      <c r="R933" s="935">
        <f ca="1">IF($B933=0,0,IF($S$1="R",ROUND(R946/$B933,2),R946/$B933))</f>
        <v>16.37</v>
      </c>
      <c r="S933" s="936"/>
      <c r="T933" s="935">
        <f ca="1">IF($B933=0,0,IF($S$1="R",ROUND(T946/$B933,2),T946/$B933))</f>
        <v>0.15</v>
      </c>
      <c r="AC933" s="892"/>
      <c r="AD933" s="931"/>
    </row>
    <row r="934" spans="1:256" s="520" customFormat="1" ht="12" customHeight="1" thickTop="1">
      <c r="A934" s="748"/>
      <c r="B934" s="3"/>
      <c r="C934" s="3"/>
      <c r="D934" s="1200" t="s">
        <v>3741</v>
      </c>
      <c r="E934" s="3"/>
      <c r="F934" s="3"/>
      <c r="G934" s="3"/>
      <c r="H934" s="3"/>
      <c r="I934" s="3"/>
      <c r="J934" s="3"/>
      <c r="K934" s="3"/>
      <c r="L934" s="3"/>
      <c r="M934" s="3"/>
      <c r="N934" s="3"/>
      <c r="O934" s="107"/>
      <c r="P934" s="3"/>
      <c r="Q934" s="3"/>
      <c r="R934" s="3"/>
      <c r="S934" s="3"/>
      <c r="T934" s="3"/>
      <c r="AB934" s="892"/>
      <c r="AC934" s="892"/>
      <c r="AD934" s="3"/>
      <c r="AE934" s="892"/>
    </row>
    <row r="935" spans="1:256" s="520" customFormat="1" ht="12" customHeight="1">
      <c r="A935" s="748"/>
      <c r="B935" s="3"/>
      <c r="C935" s="3"/>
      <c r="D935" s="1070" t="s">
        <v>3118</v>
      </c>
      <c r="F935" s="1071"/>
      <c r="G935" s="3"/>
      <c r="H935" s="3"/>
      <c r="I935" s="3"/>
      <c r="J935" s="3"/>
      <c r="K935" s="3"/>
      <c r="L935" s="3"/>
      <c r="M935" s="3"/>
      <c r="N935" s="3"/>
      <c r="O935" s="107"/>
      <c r="P935" s="3"/>
      <c r="Q935" s="3"/>
      <c r="R935" s="898">
        <f t="shared" ref="R935:R945" si="178">$A935*Q935</f>
        <v>0</v>
      </c>
      <c r="S935" s="3"/>
      <c r="T935" s="899">
        <f t="shared" ref="T935:T945" si="179">$A935*S935*$T$1</f>
        <v>0</v>
      </c>
      <c r="AA935" s="901"/>
      <c r="AB935" s="892"/>
      <c r="AC935" s="892"/>
      <c r="AD935" s="1071"/>
      <c r="AE935" s="892"/>
    </row>
    <row r="936" spans="1:256" s="520" customFormat="1" ht="12" customHeight="1">
      <c r="A936" s="1083">
        <f ca="1">$Q$933 *((ROUND(90/1.5*(0.6+0.6+0.65),0)))</f>
        <v>573.5</v>
      </c>
      <c r="B936" s="901" t="s">
        <v>320</v>
      </c>
      <c r="C936" s="901"/>
      <c r="D936" s="901" t="s">
        <v>3138</v>
      </c>
      <c r="E936" s="901" t="s">
        <v>3124</v>
      </c>
      <c r="F936" s="1078"/>
      <c r="G936" s="941" t="s">
        <v>3139</v>
      </c>
      <c r="H936" s="942">
        <v>501</v>
      </c>
      <c r="I936" s="901" t="s">
        <v>3121</v>
      </c>
      <c r="J936" s="901" t="s">
        <v>3140</v>
      </c>
      <c r="K936" s="901" t="s">
        <v>3141</v>
      </c>
      <c r="L936" s="901"/>
      <c r="M936" s="901"/>
      <c r="N936" s="901"/>
      <c r="O936" s="943">
        <v>1</v>
      </c>
      <c r="P936" s="944">
        <v>36175</v>
      </c>
      <c r="Q936" s="897">
        <f>ROUNDUP(2.07*1.145,2)</f>
        <v>2.38</v>
      </c>
      <c r="R936" s="946">
        <f t="shared" ca="1" si="178"/>
        <v>1364.9299999999998</v>
      </c>
      <c r="S936" s="945"/>
      <c r="T936" s="947">
        <f t="shared" ca="1" si="179"/>
        <v>0</v>
      </c>
      <c r="U936" s="901"/>
      <c r="V936" s="1084"/>
      <c r="W936" s="1084"/>
      <c r="X936" s="1084"/>
      <c r="Y936" s="1084"/>
      <c r="Z936" s="1084"/>
      <c r="AA936" s="1084"/>
      <c r="AB936" s="892"/>
      <c r="AC936" s="892"/>
      <c r="AD936" s="1078"/>
      <c r="AE936" s="892"/>
      <c r="AF936" s="1084"/>
      <c r="AG936" s="1084"/>
      <c r="AH936" s="1084"/>
      <c r="AI936" s="1084"/>
      <c r="AJ936" s="1084"/>
      <c r="AK936" s="1084"/>
      <c r="AL936" s="1084"/>
      <c r="AM936" s="1084"/>
      <c r="AN936" s="1084"/>
      <c r="AO936" s="1084"/>
      <c r="AP936" s="1084"/>
      <c r="AQ936" s="1084"/>
      <c r="AR936" s="1084"/>
      <c r="AS936" s="1084"/>
      <c r="AT936" s="1084"/>
      <c r="AU936" s="1084"/>
      <c r="AV936" s="1084"/>
      <c r="AW936" s="1084"/>
      <c r="AX936" s="1084"/>
      <c r="AY936" s="1084"/>
      <c r="AZ936" s="1084"/>
      <c r="BA936" s="1084"/>
      <c r="BB936" s="1084"/>
      <c r="BC936" s="1084"/>
      <c r="BD936" s="1084"/>
      <c r="BE936" s="1084"/>
      <c r="BF936" s="1084"/>
      <c r="BG936" s="1084"/>
      <c r="BH936" s="1084"/>
      <c r="BI936" s="1084"/>
      <c r="BJ936" s="1084"/>
      <c r="BK936" s="1084"/>
      <c r="BL936" s="1084"/>
      <c r="BM936" s="1084"/>
      <c r="BN936" s="1084"/>
      <c r="BO936" s="1084"/>
      <c r="BP936" s="1084"/>
      <c r="BQ936" s="1084"/>
      <c r="BR936" s="1084"/>
      <c r="BS936" s="1084"/>
      <c r="BT936" s="1084"/>
      <c r="BU936" s="1084"/>
      <c r="BV936" s="1084"/>
      <c r="BW936" s="1084"/>
      <c r="BX936" s="1084"/>
      <c r="BY936" s="1084"/>
      <c r="BZ936" s="1084"/>
      <c r="CA936" s="1084"/>
      <c r="CB936" s="1084"/>
      <c r="CC936" s="1084"/>
      <c r="CD936" s="1084"/>
      <c r="CE936" s="1084"/>
      <c r="CF936" s="1084"/>
      <c r="CG936" s="1084"/>
      <c r="CH936" s="1084"/>
      <c r="CI936" s="1084"/>
      <c r="CJ936" s="1084"/>
      <c r="CK936" s="1084"/>
      <c r="CL936" s="1084"/>
      <c r="CM936" s="1084"/>
      <c r="CN936" s="1084"/>
      <c r="CO936" s="1084"/>
      <c r="CP936" s="1084"/>
      <c r="CQ936" s="1084"/>
      <c r="CR936" s="1084"/>
      <c r="CS936" s="1084"/>
      <c r="CT936" s="1084"/>
      <c r="CU936" s="1084"/>
      <c r="CV936" s="1084"/>
      <c r="CW936" s="1084"/>
      <c r="CX936" s="1084"/>
      <c r="CY936" s="1084"/>
      <c r="CZ936" s="1084"/>
      <c r="DA936" s="1084"/>
      <c r="DB936" s="1084"/>
      <c r="DC936" s="1084"/>
      <c r="DD936" s="1084"/>
      <c r="DE936" s="1084"/>
      <c r="DF936" s="1084"/>
      <c r="DG936" s="1084"/>
      <c r="DH936" s="1084"/>
      <c r="DI936" s="1084"/>
      <c r="DJ936" s="1084"/>
      <c r="DK936" s="1084"/>
      <c r="DL936" s="1084"/>
      <c r="DM936" s="1084"/>
      <c r="DN936" s="1084"/>
      <c r="DO936" s="1084"/>
      <c r="DP936" s="1084"/>
      <c r="DQ936" s="1084"/>
      <c r="DR936" s="1084"/>
      <c r="DS936" s="1084"/>
      <c r="DT936" s="1084"/>
      <c r="DU936" s="1084"/>
      <c r="DV936" s="1084"/>
      <c r="DW936" s="1084"/>
      <c r="DX936" s="1084"/>
      <c r="DY936" s="1084"/>
      <c r="DZ936" s="1084"/>
      <c r="EA936" s="1084"/>
      <c r="EB936" s="1084"/>
      <c r="EC936" s="1084"/>
      <c r="ED936" s="1084"/>
      <c r="EE936" s="1084"/>
      <c r="EF936" s="1084"/>
      <c r="EG936" s="1084"/>
      <c r="EH936" s="1084"/>
      <c r="EI936" s="1084"/>
      <c r="EJ936" s="1084"/>
      <c r="EK936" s="1084"/>
      <c r="EL936" s="1084"/>
      <c r="EM936" s="1084"/>
      <c r="EN936" s="1084"/>
      <c r="EO936" s="1084"/>
      <c r="EP936" s="1084"/>
      <c r="EQ936" s="1084"/>
      <c r="ER936" s="1084"/>
      <c r="ES936" s="1084"/>
      <c r="ET936" s="1084"/>
      <c r="EU936" s="1084"/>
      <c r="EV936" s="1084"/>
      <c r="EW936" s="1084"/>
      <c r="EX936" s="1084"/>
      <c r="EY936" s="1084"/>
      <c r="EZ936" s="1084"/>
      <c r="FA936" s="1084"/>
      <c r="FB936" s="1084"/>
      <c r="FC936" s="1084"/>
      <c r="FD936" s="1084"/>
      <c r="FE936" s="1084"/>
      <c r="FF936" s="1084"/>
      <c r="FG936" s="1084"/>
      <c r="FH936" s="1084"/>
      <c r="FI936" s="1084"/>
      <c r="FJ936" s="1084"/>
      <c r="FK936" s="1084"/>
      <c r="FL936" s="1084"/>
      <c r="FM936" s="1084"/>
      <c r="FN936" s="1084"/>
      <c r="FO936" s="1084"/>
      <c r="FP936" s="1084"/>
      <c r="FQ936" s="1084"/>
      <c r="FR936" s="1084"/>
      <c r="FS936" s="1084"/>
      <c r="FT936" s="1084"/>
      <c r="FU936" s="1084"/>
      <c r="FV936" s="1084"/>
      <c r="FW936" s="1084"/>
      <c r="FX936" s="1084"/>
      <c r="FY936" s="1084"/>
      <c r="FZ936" s="1084"/>
      <c r="GA936" s="1084"/>
      <c r="GB936" s="1084"/>
      <c r="GC936" s="1084"/>
      <c r="GD936" s="1084"/>
      <c r="GE936" s="1084"/>
      <c r="GF936" s="1084"/>
      <c r="GG936" s="1084"/>
      <c r="GH936" s="1084"/>
      <c r="GI936" s="1084"/>
      <c r="GJ936" s="1084"/>
      <c r="GK936" s="1084"/>
      <c r="GL936" s="1084"/>
      <c r="GM936" s="1084"/>
      <c r="GN936" s="1084"/>
      <c r="GO936" s="1084"/>
      <c r="GP936" s="1084"/>
      <c r="GQ936" s="1084"/>
      <c r="GR936" s="1084"/>
      <c r="GS936" s="1084"/>
      <c r="GT936" s="1084"/>
      <c r="GU936" s="1084"/>
      <c r="GV936" s="1084"/>
      <c r="GW936" s="1084"/>
      <c r="GX936" s="1084"/>
      <c r="GY936" s="1084"/>
      <c r="GZ936" s="1084"/>
      <c r="HA936" s="1084"/>
      <c r="HB936" s="1084"/>
      <c r="HC936" s="1084"/>
      <c r="HD936" s="1084"/>
      <c r="HE936" s="1084"/>
      <c r="HF936" s="1084"/>
      <c r="HG936" s="1084"/>
      <c r="HH936" s="1084"/>
      <c r="HI936" s="1084"/>
      <c r="HJ936" s="1084"/>
      <c r="HK936" s="1084"/>
      <c r="HL936" s="1084"/>
      <c r="HM936" s="1084"/>
      <c r="HN936" s="1084"/>
      <c r="HO936" s="1084"/>
      <c r="HP936" s="1084"/>
      <c r="HQ936" s="1084"/>
      <c r="HR936" s="1084"/>
      <c r="HS936" s="1084"/>
      <c r="HT936" s="1084"/>
      <c r="HU936" s="1084"/>
      <c r="HV936" s="1084"/>
      <c r="HW936" s="1084"/>
      <c r="HX936" s="1084"/>
      <c r="HY936" s="1084"/>
      <c r="HZ936" s="1084"/>
      <c r="IA936" s="1084"/>
      <c r="IB936" s="1084"/>
      <c r="IC936" s="1084"/>
      <c r="ID936" s="1084"/>
      <c r="IE936" s="1084"/>
      <c r="IF936" s="1084"/>
      <c r="IG936" s="1084"/>
      <c r="IH936" s="1084"/>
      <c r="II936" s="1084"/>
      <c r="IJ936" s="1084"/>
      <c r="IK936" s="1084"/>
      <c r="IL936" s="1084"/>
      <c r="IM936" s="1084"/>
      <c r="IN936" s="1084"/>
      <c r="IO936" s="1084"/>
      <c r="IP936" s="1084"/>
      <c r="IQ936" s="1084"/>
      <c r="IR936" s="1084"/>
      <c r="IS936" s="1084"/>
      <c r="IT936" s="1084"/>
      <c r="IU936" s="1084"/>
      <c r="IV936" s="1084"/>
    </row>
    <row r="937" spans="1:256" s="520" customFormat="1" ht="12" customHeight="1">
      <c r="A937" s="1083">
        <f ca="1">$Q$933 *((ROUND(90/1.5*2,0)))</f>
        <v>620</v>
      </c>
      <c r="B937" s="758" t="s">
        <v>329</v>
      </c>
      <c r="C937" s="758"/>
      <c r="D937" s="901" t="s">
        <v>3142</v>
      </c>
      <c r="E937" s="901" t="s">
        <v>3143</v>
      </c>
      <c r="F937" s="901" t="s">
        <v>3144</v>
      </c>
      <c r="G937" s="941" t="s">
        <v>3145</v>
      </c>
      <c r="H937" s="942">
        <v>501</v>
      </c>
      <c r="I937" s="519"/>
      <c r="J937" s="758"/>
      <c r="K937" s="758"/>
      <c r="L937" s="758"/>
      <c r="M937" s="758"/>
      <c r="N937" s="758"/>
      <c r="O937" s="943">
        <v>1</v>
      </c>
      <c r="P937" s="758"/>
      <c r="Q937" s="897">
        <v>6.91</v>
      </c>
      <c r="R937" s="946">
        <f t="shared" ca="1" si="178"/>
        <v>4284.2</v>
      </c>
      <c r="S937" s="519"/>
      <c r="T937" s="947">
        <f t="shared" ca="1" si="179"/>
        <v>0</v>
      </c>
      <c r="U937" s="520" t="s">
        <v>2764</v>
      </c>
      <c r="AD937" s="901" t="s">
        <v>3144</v>
      </c>
    </row>
    <row r="938" spans="1:256" s="901" customFormat="1" ht="11.4">
      <c r="A938" s="1162">
        <f ca="1">$Q$933 *((ROUND(90/1.5*2,0)))</f>
        <v>620</v>
      </c>
      <c r="B938" s="901" t="s">
        <v>141</v>
      </c>
      <c r="D938" s="901" t="s">
        <v>3659</v>
      </c>
      <c r="G938" s="941" t="s">
        <v>3660</v>
      </c>
      <c r="H938" s="942">
        <v>875</v>
      </c>
      <c r="I938" s="901" t="s">
        <v>3121</v>
      </c>
      <c r="J938" s="901" t="s">
        <v>3661</v>
      </c>
      <c r="K938" s="901" t="s">
        <v>3225</v>
      </c>
      <c r="O938" s="943">
        <v>1</v>
      </c>
      <c r="P938" s="944">
        <v>36175</v>
      </c>
      <c r="Q938" s="897">
        <f>0.44*1.15</f>
        <v>0.50600000000000001</v>
      </c>
      <c r="R938" s="946">
        <f ca="1">$A938*Q938</f>
        <v>313.72000000000003</v>
      </c>
      <c r="S938" s="945"/>
      <c r="T938" s="947">
        <f ca="1">$A938*S938*$T$1</f>
        <v>0</v>
      </c>
    </row>
    <row r="939" spans="1:256" s="901" customFormat="1" ht="12" customHeight="1">
      <c r="A939" s="1083">
        <f ca="1">$Q$933 *((ROUND(90/1.5*2,0)))</f>
        <v>620</v>
      </c>
      <c r="B939" s="901" t="s">
        <v>141</v>
      </c>
      <c r="D939" s="901" t="s">
        <v>3146</v>
      </c>
      <c r="G939" s="941" t="s">
        <v>3147</v>
      </c>
      <c r="H939" s="942">
        <v>501</v>
      </c>
      <c r="I939" s="901" t="s">
        <v>2607</v>
      </c>
      <c r="K939" s="901" t="s">
        <v>3148</v>
      </c>
      <c r="O939" s="943">
        <v>1</v>
      </c>
      <c r="P939" s="944"/>
      <c r="Q939" s="897">
        <f>1.2 *(0.2)</f>
        <v>0.24</v>
      </c>
      <c r="R939" s="946">
        <f t="shared" ca="1" si="178"/>
        <v>148.79999999999998</v>
      </c>
      <c r="S939" s="945"/>
      <c r="T939" s="947">
        <f t="shared" ca="1" si="179"/>
        <v>0</v>
      </c>
      <c r="V939" s="1084"/>
      <c r="W939" s="1084"/>
      <c r="X939" s="1084"/>
      <c r="Y939" s="1084"/>
      <c r="Z939" s="1084"/>
      <c r="AA939" s="1084"/>
      <c r="AB939" s="892"/>
      <c r="AC939" s="892"/>
      <c r="AE939" s="892"/>
      <c r="AF939" s="1084"/>
      <c r="AG939" s="1084"/>
      <c r="AH939" s="1084"/>
      <c r="AI939" s="1084"/>
      <c r="AJ939" s="1084"/>
      <c r="AK939" s="1084"/>
      <c r="AL939" s="1084"/>
      <c r="AM939" s="1084"/>
      <c r="AN939" s="1084"/>
      <c r="AO939" s="1084"/>
      <c r="AP939" s="1084"/>
      <c r="AQ939" s="1084"/>
      <c r="AR939" s="1084"/>
      <c r="AS939" s="1084"/>
      <c r="AT939" s="1084"/>
      <c r="AU939" s="1084"/>
      <c r="AV939" s="1084"/>
      <c r="AW939" s="1084"/>
      <c r="AX939" s="1084"/>
      <c r="AY939" s="1084"/>
      <c r="AZ939" s="1084"/>
      <c r="BA939" s="1084"/>
      <c r="BB939" s="1084"/>
      <c r="BC939" s="1084"/>
      <c r="BD939" s="1084"/>
      <c r="BE939" s="1084"/>
      <c r="BF939" s="1084"/>
      <c r="BG939" s="1084"/>
      <c r="BH939" s="1084"/>
      <c r="BI939" s="1084"/>
      <c r="BJ939" s="1084"/>
      <c r="BK939" s="1084"/>
      <c r="BL939" s="1084"/>
      <c r="BM939" s="1084"/>
      <c r="BN939" s="1084"/>
      <c r="BO939" s="1084"/>
      <c r="BP939" s="1084"/>
      <c r="BQ939" s="1084"/>
      <c r="BR939" s="1084"/>
      <c r="BS939" s="1084"/>
      <c r="BT939" s="1084"/>
      <c r="BU939" s="1084"/>
      <c r="BV939" s="1084"/>
      <c r="BW939" s="1084"/>
      <c r="BX939" s="1084"/>
      <c r="BY939" s="1084"/>
      <c r="BZ939" s="1084"/>
      <c r="CA939" s="1084"/>
      <c r="CB939" s="1084"/>
      <c r="CC939" s="1084"/>
      <c r="CD939" s="1084"/>
      <c r="CE939" s="1084"/>
      <c r="CF939" s="1084"/>
      <c r="CG939" s="1084"/>
      <c r="CH939" s="1084"/>
      <c r="CI939" s="1084"/>
      <c r="CJ939" s="1084"/>
      <c r="CK939" s="1084"/>
      <c r="CL939" s="1084"/>
      <c r="CM939" s="1084"/>
      <c r="CN939" s="1084"/>
      <c r="CO939" s="1084"/>
      <c r="CP939" s="1084"/>
      <c r="CQ939" s="1084"/>
      <c r="CR939" s="1084"/>
      <c r="CS939" s="1084"/>
      <c r="CT939" s="1084"/>
      <c r="CU939" s="1084"/>
      <c r="CV939" s="1084"/>
      <c r="CW939" s="1084"/>
      <c r="CX939" s="1084"/>
      <c r="CY939" s="1084"/>
      <c r="CZ939" s="1084"/>
      <c r="DA939" s="1084"/>
      <c r="DB939" s="1084"/>
      <c r="DC939" s="1084"/>
      <c r="DD939" s="1084"/>
      <c r="DE939" s="1084"/>
      <c r="DF939" s="1084"/>
      <c r="DG939" s="1084"/>
      <c r="DH939" s="1084"/>
      <c r="DI939" s="1084"/>
      <c r="DJ939" s="1084"/>
      <c r="DK939" s="1084"/>
      <c r="DL939" s="1084"/>
      <c r="DM939" s="1084"/>
      <c r="DN939" s="1084"/>
      <c r="DO939" s="1084"/>
      <c r="DP939" s="1084"/>
      <c r="DQ939" s="1084"/>
      <c r="DR939" s="1084"/>
      <c r="DS939" s="1084"/>
      <c r="DT939" s="1084"/>
      <c r="DU939" s="1084"/>
      <c r="DV939" s="1084"/>
      <c r="DW939" s="1084"/>
      <c r="DX939" s="1084"/>
      <c r="DY939" s="1084"/>
      <c r="DZ939" s="1084"/>
      <c r="EA939" s="1084"/>
      <c r="EB939" s="1084"/>
      <c r="EC939" s="1084"/>
      <c r="ED939" s="1084"/>
      <c r="EE939" s="1084"/>
      <c r="EF939" s="1084"/>
      <c r="EG939" s="1084"/>
      <c r="EH939" s="1084"/>
      <c r="EI939" s="1084"/>
      <c r="EJ939" s="1084"/>
      <c r="EK939" s="1084"/>
      <c r="EL939" s="1084"/>
      <c r="EM939" s="1084"/>
      <c r="EN939" s="1084"/>
      <c r="EO939" s="1084"/>
      <c r="EP939" s="1084"/>
      <c r="EQ939" s="1084"/>
      <c r="ER939" s="1084"/>
      <c r="ES939" s="1084"/>
      <c r="ET939" s="1084"/>
      <c r="EU939" s="1084"/>
      <c r="EV939" s="1084"/>
      <c r="EW939" s="1084"/>
      <c r="EX939" s="1084"/>
      <c r="EY939" s="1084"/>
      <c r="EZ939" s="1084"/>
      <c r="FA939" s="1084"/>
      <c r="FB939" s="1084"/>
      <c r="FC939" s="1084"/>
      <c r="FD939" s="1084"/>
      <c r="FE939" s="1084"/>
      <c r="FF939" s="1084"/>
      <c r="FG939" s="1084"/>
      <c r="FH939" s="1084"/>
      <c r="FI939" s="1084"/>
      <c r="FJ939" s="1084"/>
      <c r="FK939" s="1084"/>
      <c r="FL939" s="1084"/>
      <c r="FM939" s="1084"/>
      <c r="FN939" s="1084"/>
      <c r="FO939" s="1084"/>
      <c r="FP939" s="1084"/>
      <c r="FQ939" s="1084"/>
      <c r="FR939" s="1084"/>
      <c r="FS939" s="1084"/>
      <c r="FT939" s="1084"/>
      <c r="FU939" s="1084"/>
      <c r="FV939" s="1084"/>
      <c r="FW939" s="1084"/>
      <c r="FX939" s="1084"/>
      <c r="FY939" s="1084"/>
      <c r="FZ939" s="1084"/>
      <c r="GA939" s="1084"/>
      <c r="GB939" s="1084"/>
      <c r="GC939" s="1084"/>
      <c r="GD939" s="1084"/>
      <c r="GE939" s="1084"/>
      <c r="GF939" s="1084"/>
      <c r="GG939" s="1084"/>
      <c r="GH939" s="1084"/>
      <c r="GI939" s="1084"/>
      <c r="GJ939" s="1084"/>
      <c r="GK939" s="1084"/>
      <c r="GL939" s="1084"/>
      <c r="GM939" s="1084"/>
      <c r="GN939" s="1084"/>
      <c r="GO939" s="1084"/>
      <c r="GP939" s="1084"/>
      <c r="GQ939" s="1084"/>
      <c r="GR939" s="1084"/>
      <c r="GS939" s="1084"/>
      <c r="GT939" s="1084"/>
      <c r="GU939" s="1084"/>
      <c r="GV939" s="1084"/>
      <c r="GW939" s="1084"/>
      <c r="GX939" s="1084"/>
      <c r="GY939" s="1084"/>
      <c r="GZ939" s="1084"/>
      <c r="HA939" s="1084"/>
      <c r="HB939" s="1084"/>
      <c r="HC939" s="1084"/>
      <c r="HD939" s="1084"/>
      <c r="HE939" s="1084"/>
      <c r="HF939" s="1084"/>
      <c r="HG939" s="1084"/>
      <c r="HH939" s="1084"/>
      <c r="HI939" s="1084"/>
      <c r="HJ939" s="1084"/>
      <c r="HK939" s="1084"/>
      <c r="HL939" s="1084"/>
      <c r="HM939" s="1084"/>
      <c r="HN939" s="1084"/>
      <c r="HO939" s="1084"/>
      <c r="HP939" s="1084"/>
      <c r="HQ939" s="1084"/>
      <c r="HR939" s="1084"/>
      <c r="HS939" s="1084"/>
      <c r="HT939" s="1084"/>
      <c r="HU939" s="1084"/>
      <c r="HV939" s="1084"/>
      <c r="HW939" s="1084"/>
      <c r="HX939" s="1084"/>
      <c r="HY939" s="1084"/>
      <c r="HZ939" s="1084"/>
      <c r="IA939" s="1084"/>
      <c r="IB939" s="1084"/>
      <c r="IC939" s="1084"/>
      <c r="ID939" s="1084"/>
      <c r="IE939" s="1084"/>
      <c r="IF939" s="1084"/>
      <c r="IG939" s="1084"/>
      <c r="IH939" s="1084"/>
      <c r="II939" s="1084"/>
      <c r="IJ939" s="1084"/>
      <c r="IK939" s="1084"/>
      <c r="IL939" s="1084"/>
      <c r="IM939" s="1084"/>
      <c r="IN939" s="1084"/>
      <c r="IO939" s="1084"/>
      <c r="IP939" s="1084"/>
      <c r="IQ939" s="1084"/>
      <c r="IR939" s="1084"/>
      <c r="IS939" s="1084"/>
      <c r="IT939" s="1084"/>
      <c r="IU939" s="1084"/>
      <c r="IV939" s="1084"/>
    </row>
    <row r="940" spans="1:256" s="520" customFormat="1" ht="12" customHeight="1">
      <c r="A940" s="1083">
        <f ca="1">$Q$933 *((ROUND(90/1.5,0)))</f>
        <v>310</v>
      </c>
      <c r="B940" s="1073" t="s">
        <v>141</v>
      </c>
      <c r="C940" s="1073"/>
      <c r="D940" s="897" t="s">
        <v>3131</v>
      </c>
      <c r="E940" s="1074"/>
      <c r="F940" s="1078"/>
      <c r="G940" s="941" t="s">
        <v>3132</v>
      </c>
      <c r="H940" s="942">
        <v>900</v>
      </c>
      <c r="I940" s="1079" t="s">
        <v>2596</v>
      </c>
      <c r="J940" s="1079"/>
      <c r="K940" s="897" t="s">
        <v>7</v>
      </c>
      <c r="L940" s="1073"/>
      <c r="M940" s="1073"/>
      <c r="N940" s="1073"/>
      <c r="O940" s="1080">
        <v>3</v>
      </c>
      <c r="P940" s="1081"/>
      <c r="Q940" s="1082"/>
      <c r="R940" s="898">
        <f t="shared" ca="1" si="178"/>
        <v>0</v>
      </c>
      <c r="S940" s="1201">
        <v>0.25</v>
      </c>
      <c r="T940" s="899">
        <f t="shared" ca="1" si="179"/>
        <v>69.75</v>
      </c>
      <c r="U940" s="535" t="s">
        <v>2764</v>
      </c>
      <c r="V940" s="1085"/>
      <c r="W940" s="1085"/>
      <c r="X940" s="535">
        <v>0.35</v>
      </c>
      <c r="Y940" s="1086"/>
      <c r="Z940" s="1086"/>
      <c r="AA940" s="1086"/>
      <c r="AB940" s="1086"/>
      <c r="AC940" s="1086"/>
      <c r="AD940" s="1078"/>
      <c r="AE940" s="1086"/>
      <c r="AF940" s="1086"/>
      <c r="AG940" s="1086"/>
      <c r="AH940" s="1086"/>
      <c r="AI940" s="1086"/>
      <c r="AJ940" s="1086"/>
      <c r="AK940" s="1086"/>
      <c r="AL940" s="1086"/>
      <c r="AM940" s="1086"/>
      <c r="AN940" s="1086"/>
      <c r="AO940" s="1086"/>
      <c r="AP940" s="1086"/>
      <c r="AQ940" s="1086"/>
      <c r="AR940" s="1086"/>
      <c r="AS940" s="1086"/>
      <c r="AT940" s="1086"/>
      <c r="AU940" s="1086"/>
      <c r="AV940" s="1086"/>
      <c r="AW940" s="1086"/>
      <c r="AX940" s="1086"/>
      <c r="AY940" s="1086"/>
      <c r="AZ940" s="1086"/>
      <c r="BA940" s="1086"/>
      <c r="BB940" s="1086"/>
      <c r="BC940" s="1086"/>
      <c r="BD940" s="1086"/>
      <c r="BE940" s="1086"/>
      <c r="BF940" s="1086"/>
      <c r="BG940" s="1086"/>
      <c r="BH940" s="1086"/>
      <c r="BI940" s="1086"/>
      <c r="BJ940" s="1086"/>
      <c r="BK940" s="1086"/>
      <c r="BL940" s="1086"/>
      <c r="BM940" s="1086"/>
      <c r="BN940" s="1086"/>
      <c r="BO940" s="1086"/>
      <c r="BP940" s="1086"/>
      <c r="BQ940" s="1086"/>
      <c r="BR940" s="1086"/>
      <c r="BS940" s="1086"/>
      <c r="BT940" s="1086"/>
      <c r="BU940" s="1086"/>
      <c r="BV940" s="1086"/>
      <c r="BW940" s="1086"/>
      <c r="BX940" s="1086"/>
      <c r="BY940" s="1086"/>
      <c r="BZ940" s="1086"/>
      <c r="CA940" s="1086"/>
      <c r="CB940" s="1086"/>
      <c r="CC940" s="1086"/>
      <c r="CD940" s="1086"/>
      <c r="CE940" s="1086"/>
      <c r="CF940" s="1086"/>
      <c r="CG940" s="1086"/>
      <c r="CH940" s="1086"/>
      <c r="CI940" s="1086"/>
      <c r="CJ940" s="1086"/>
      <c r="CK940" s="1086"/>
      <c r="CL940" s="1086"/>
      <c r="CM940" s="1086"/>
      <c r="CN940" s="1086"/>
      <c r="CO940" s="1086"/>
      <c r="CP940" s="1086"/>
      <c r="CQ940" s="1086"/>
      <c r="CR940" s="1086"/>
      <c r="CS940" s="1086"/>
      <c r="CT940" s="1086"/>
      <c r="CU940" s="1086"/>
      <c r="CV940" s="1086"/>
      <c r="CW940" s="1086"/>
      <c r="CX940" s="1086"/>
      <c r="CY940" s="1086"/>
      <c r="CZ940" s="1086"/>
      <c r="DA940" s="1086"/>
      <c r="DB940" s="1086"/>
      <c r="DC940" s="1086"/>
      <c r="DD940" s="1086"/>
      <c r="DE940" s="1086"/>
      <c r="DF940" s="1086"/>
      <c r="DG940" s="1086"/>
      <c r="DH940" s="1086"/>
      <c r="DI940" s="1086"/>
      <c r="DJ940" s="1086"/>
      <c r="DK940" s="1086"/>
      <c r="DL940" s="1086"/>
      <c r="DM940" s="1086"/>
      <c r="DN940" s="1086"/>
      <c r="DO940" s="1086"/>
      <c r="DP940" s="1086"/>
      <c r="DQ940" s="1086"/>
      <c r="DR940" s="1086"/>
      <c r="DS940" s="1086"/>
      <c r="DT940" s="1086"/>
      <c r="DU940" s="1086"/>
      <c r="DV940" s="1086"/>
      <c r="DW940" s="1086"/>
      <c r="DX940" s="1086"/>
      <c r="DY940" s="1086"/>
      <c r="DZ940" s="1086"/>
      <c r="EA940" s="1086"/>
      <c r="EB940" s="1086"/>
      <c r="EC940" s="1086"/>
      <c r="ED940" s="1086"/>
      <c r="EE940" s="1086"/>
      <c r="EF940" s="1086"/>
      <c r="EG940" s="1086"/>
      <c r="EH940" s="1086"/>
      <c r="EI940" s="1086"/>
      <c r="EJ940" s="1086"/>
      <c r="EK940" s="1086"/>
      <c r="EL940" s="1086"/>
      <c r="EM940" s="1086"/>
      <c r="EN940" s="1086"/>
      <c r="EO940" s="1086"/>
      <c r="EP940" s="1086"/>
      <c r="EQ940" s="1086"/>
      <c r="ER940" s="1086"/>
      <c r="ES940" s="1086"/>
      <c r="ET940" s="1086"/>
      <c r="EU940" s="1086"/>
      <c r="EV940" s="1086"/>
      <c r="EW940" s="1086"/>
      <c r="EX940" s="1086"/>
      <c r="EY940" s="1086"/>
      <c r="EZ940" s="1086"/>
      <c r="FA940" s="1086"/>
      <c r="FB940" s="1086"/>
      <c r="FC940" s="1086"/>
      <c r="FD940" s="1086"/>
      <c r="FE940" s="1086"/>
      <c r="FF940" s="1086"/>
      <c r="FG940" s="1086"/>
      <c r="FH940" s="1086"/>
      <c r="FI940" s="1086"/>
      <c r="FJ940" s="1086"/>
      <c r="FK940" s="1086"/>
      <c r="FL940" s="1086"/>
      <c r="FM940" s="1086"/>
      <c r="FN940" s="1086"/>
      <c r="FO940" s="1086"/>
      <c r="FP940" s="1086"/>
      <c r="FQ940" s="1086"/>
      <c r="FR940" s="1086"/>
      <c r="FS940" s="1086"/>
      <c r="FT940" s="1086"/>
      <c r="FU940" s="1086"/>
      <c r="FV940" s="1086"/>
      <c r="FW940" s="1086"/>
      <c r="FX940" s="1086"/>
      <c r="FY940" s="1086"/>
      <c r="FZ940" s="1086"/>
      <c r="GA940" s="1086"/>
      <c r="GB940" s="1086"/>
      <c r="GC940" s="1086"/>
      <c r="GD940" s="1086"/>
      <c r="GE940" s="1086"/>
      <c r="GF940" s="1086"/>
      <c r="GG940" s="1086"/>
      <c r="GH940" s="1086"/>
      <c r="GI940" s="1086"/>
      <c r="GJ940" s="1086"/>
      <c r="GK940" s="1086"/>
      <c r="GL940" s="1086"/>
      <c r="GM940" s="1086"/>
      <c r="GN940" s="1086"/>
      <c r="GO940" s="1086"/>
      <c r="GP940" s="1086"/>
      <c r="GQ940" s="1086"/>
      <c r="GR940" s="1086"/>
      <c r="GS940" s="1086"/>
      <c r="GT940" s="1086"/>
      <c r="GU940" s="1086"/>
      <c r="GV940" s="1086"/>
      <c r="GW940" s="1086"/>
      <c r="GX940" s="1086"/>
      <c r="GY940" s="1086"/>
      <c r="GZ940" s="1086"/>
      <c r="HA940" s="1086"/>
      <c r="HB940" s="1086"/>
      <c r="HC940" s="1086"/>
      <c r="HD940" s="1086"/>
      <c r="HE940" s="1086"/>
      <c r="HF940" s="1086"/>
      <c r="HG940" s="1086"/>
      <c r="HH940" s="1086"/>
      <c r="HI940" s="1086"/>
      <c r="HJ940" s="1086"/>
      <c r="HK940" s="1086"/>
      <c r="HL940" s="1086"/>
      <c r="HM940" s="1086"/>
      <c r="HN940" s="1086"/>
      <c r="HO940" s="1086"/>
      <c r="HP940" s="1086"/>
      <c r="HQ940" s="1086"/>
      <c r="HR940" s="1086"/>
      <c r="HS940" s="1086"/>
      <c r="HT940" s="1086"/>
      <c r="HU940" s="1086"/>
      <c r="HV940" s="1086"/>
      <c r="HW940" s="1086"/>
      <c r="HX940" s="1086"/>
      <c r="HY940" s="1086"/>
      <c r="HZ940" s="1086"/>
      <c r="IA940" s="1086"/>
      <c r="IB940" s="1086"/>
      <c r="IC940" s="1086"/>
      <c r="ID940" s="1086"/>
      <c r="IE940" s="1086"/>
      <c r="IF940" s="1086"/>
      <c r="IG940" s="1086"/>
      <c r="IH940" s="1086"/>
      <c r="II940" s="1086"/>
      <c r="IJ940" s="1086"/>
      <c r="IK940" s="1086"/>
      <c r="IL940" s="1086"/>
      <c r="IM940" s="1086"/>
      <c r="IN940" s="1086"/>
      <c r="IO940" s="1086"/>
      <c r="IP940" s="1086"/>
      <c r="IQ940" s="1086"/>
      <c r="IR940" s="1086"/>
      <c r="IS940" s="1086"/>
      <c r="IT940" s="1086"/>
      <c r="IU940" s="1086"/>
      <c r="IV940" s="1086"/>
    </row>
    <row r="941" spans="1:256" s="901" customFormat="1" ht="11.4">
      <c r="A941" s="1083">
        <f ca="1">$Q$933 *((ROUND(90/1.5*2,0)))</f>
        <v>620</v>
      </c>
      <c r="B941" s="901" t="s">
        <v>141</v>
      </c>
      <c r="D941" s="901" t="s">
        <v>3311</v>
      </c>
      <c r="G941" s="941" t="s">
        <v>3312</v>
      </c>
      <c r="H941" s="942">
        <v>501</v>
      </c>
      <c r="I941" s="901" t="s">
        <v>3121</v>
      </c>
      <c r="J941" s="901" t="s">
        <v>3313</v>
      </c>
      <c r="K941" s="901" t="s">
        <v>3314</v>
      </c>
      <c r="O941" s="943">
        <v>1</v>
      </c>
      <c r="P941" s="944">
        <v>36175</v>
      </c>
      <c r="Q941" s="945">
        <v>1.5</v>
      </c>
      <c r="R941" s="946">
        <f ca="1">$A941*Q941</f>
        <v>930</v>
      </c>
      <c r="S941" s="945"/>
      <c r="T941" s="947">
        <f ca="1">$A941*S941*$T$1</f>
        <v>0</v>
      </c>
    </row>
    <row r="942" spans="1:256" s="901" customFormat="1" ht="11.4">
      <c r="A942" s="1083">
        <f ca="1">$Q$933 *((ROUND(90/1.5*2,0)))</f>
        <v>620</v>
      </c>
      <c r="B942" s="901" t="s">
        <v>141</v>
      </c>
      <c r="D942" s="901" t="s">
        <v>3227</v>
      </c>
      <c r="G942" s="941" t="s">
        <v>3228</v>
      </c>
      <c r="H942" s="942">
        <v>501</v>
      </c>
      <c r="I942" s="901" t="s">
        <v>3121</v>
      </c>
      <c r="J942" s="901" t="s">
        <v>3158</v>
      </c>
      <c r="K942" s="901" t="s">
        <v>3229</v>
      </c>
      <c r="O942" s="943">
        <v>1</v>
      </c>
      <c r="P942" s="944">
        <v>36175</v>
      </c>
      <c r="Q942" s="945">
        <v>0.77</v>
      </c>
      <c r="R942" s="946">
        <f t="shared" ref="R942" ca="1" si="180">$A942*Q942</f>
        <v>477.40000000000003</v>
      </c>
      <c r="S942" s="945"/>
      <c r="T942" s="947">
        <f t="shared" ref="T942" ca="1" si="181">$A942*S942*$T$1</f>
        <v>0</v>
      </c>
    </row>
    <row r="943" spans="1:256" s="901" customFormat="1" ht="11.4">
      <c r="A943" s="1083">
        <f ca="1">$Q$933 *((ROUND(90/1.5*2,0)))</f>
        <v>620</v>
      </c>
      <c r="B943" s="901" t="s">
        <v>141</v>
      </c>
      <c r="D943" s="901" t="s">
        <v>3306</v>
      </c>
      <c r="G943" s="941" t="s">
        <v>3136</v>
      </c>
      <c r="H943" s="942">
        <v>501</v>
      </c>
      <c r="I943" s="901" t="s">
        <v>2607</v>
      </c>
      <c r="K943" s="901" t="s">
        <v>3307</v>
      </c>
      <c r="O943" s="943">
        <v>1</v>
      </c>
      <c r="P943" s="944"/>
      <c r="Q943" s="945">
        <v>0.05</v>
      </c>
      <c r="R943" s="946">
        <f ca="1">$A943*Q943</f>
        <v>31</v>
      </c>
      <c r="S943" s="945"/>
      <c r="T943" s="947">
        <f ca="1">$A943*S943*$T$1</f>
        <v>0</v>
      </c>
    </row>
    <row r="944" spans="1:256" s="901" customFormat="1" ht="11.4">
      <c r="A944" s="1083">
        <f ca="1">$Q$933 *((ROUND(90/1.5*2,0)))</f>
        <v>620</v>
      </c>
      <c r="B944" s="901" t="s">
        <v>141</v>
      </c>
      <c r="D944" s="901" t="s">
        <v>3230</v>
      </c>
      <c r="G944" s="941" t="s">
        <v>3231</v>
      </c>
      <c r="H944" s="942">
        <v>501</v>
      </c>
      <c r="I944" s="901" t="s">
        <v>2607</v>
      </c>
      <c r="K944" s="901" t="s">
        <v>3232</v>
      </c>
      <c r="O944" s="943">
        <v>1</v>
      </c>
      <c r="P944" s="944"/>
      <c r="Q944" s="945">
        <v>0.1</v>
      </c>
      <c r="R944" s="946">
        <f ca="1">$A944*Q944</f>
        <v>62</v>
      </c>
      <c r="S944" s="945"/>
      <c r="T944" s="947">
        <f ca="1">$A944*S944*$T$1</f>
        <v>0</v>
      </c>
    </row>
    <row r="945" spans="1:256" s="901" customFormat="1" ht="12" customHeight="1">
      <c r="A945" s="758"/>
      <c r="B945" s="3"/>
      <c r="C945" s="758" t="s">
        <v>171</v>
      </c>
      <c r="D945" s="3"/>
      <c r="E945" s="758"/>
      <c r="F945" s="753"/>
      <c r="G945" s="758"/>
      <c r="H945" s="758"/>
      <c r="I945" s="519"/>
      <c r="J945" s="758"/>
      <c r="K945" s="758"/>
      <c r="L945" s="758"/>
      <c r="M945" s="758"/>
      <c r="N945" s="758"/>
      <c r="O945" s="758"/>
      <c r="P945" s="758"/>
      <c r="Q945" s="519"/>
      <c r="R945" s="917">
        <f t="shared" si="178"/>
        <v>0</v>
      </c>
      <c r="S945" s="519"/>
      <c r="T945" s="760">
        <f t="shared" si="179"/>
        <v>0</v>
      </c>
      <c r="U945" s="520"/>
      <c r="V945" s="520"/>
      <c r="W945" s="520"/>
      <c r="X945" s="520"/>
      <c r="Y945" s="520"/>
      <c r="Z945" s="520"/>
      <c r="AA945" s="520"/>
      <c r="AB945" s="520"/>
      <c r="AC945" s="520"/>
      <c r="AD945" s="753"/>
      <c r="AE945" s="520"/>
      <c r="AF945" s="520"/>
      <c r="AG945" s="520"/>
      <c r="AH945" s="520"/>
      <c r="AI945" s="520"/>
      <c r="AJ945" s="520"/>
      <c r="AK945" s="520"/>
      <c r="AL945" s="520"/>
      <c r="AM945" s="520"/>
      <c r="AN945" s="520"/>
      <c r="AO945" s="520"/>
      <c r="AP945" s="520"/>
      <c r="AQ945" s="520"/>
      <c r="AR945" s="520"/>
      <c r="AS945" s="520"/>
      <c r="AT945" s="520"/>
      <c r="AU945" s="520"/>
      <c r="AV945" s="520"/>
      <c r="AW945" s="520"/>
      <c r="AX945" s="520"/>
      <c r="AY945" s="520"/>
      <c r="AZ945" s="520"/>
      <c r="BA945" s="520"/>
      <c r="BB945" s="520"/>
      <c r="BC945" s="520"/>
      <c r="BD945" s="520"/>
      <c r="BE945" s="520"/>
      <c r="BF945" s="520"/>
      <c r="BG945" s="520"/>
      <c r="BH945" s="520"/>
      <c r="BI945" s="520"/>
      <c r="BJ945" s="520"/>
      <c r="BK945" s="520"/>
      <c r="BL945" s="520"/>
      <c r="BM945" s="520"/>
      <c r="BN945" s="520"/>
      <c r="BO945" s="520"/>
      <c r="BP945" s="520"/>
      <c r="BQ945" s="520"/>
      <c r="BR945" s="520"/>
      <c r="BS945" s="520"/>
      <c r="BT945" s="520"/>
      <c r="BU945" s="520"/>
      <c r="BV945" s="520"/>
      <c r="BW945" s="520"/>
      <c r="BX945" s="520"/>
      <c r="BY945" s="520"/>
      <c r="BZ945" s="520"/>
      <c r="CA945" s="520"/>
      <c r="CB945" s="520"/>
      <c r="CC945" s="520"/>
      <c r="CD945" s="520"/>
      <c r="CE945" s="520"/>
      <c r="CF945" s="520"/>
      <c r="CG945" s="520"/>
      <c r="CH945" s="520"/>
      <c r="CI945" s="520"/>
      <c r="CJ945" s="520"/>
      <c r="CK945" s="520"/>
      <c r="CL945" s="520"/>
      <c r="CM945" s="520"/>
      <c r="CN945" s="520"/>
      <c r="CO945" s="520"/>
      <c r="CP945" s="520"/>
      <c r="CQ945" s="520"/>
      <c r="CR945" s="520"/>
      <c r="CS945" s="520"/>
      <c r="CT945" s="520"/>
      <c r="CU945" s="520"/>
      <c r="CV945" s="520"/>
      <c r="CW945" s="520"/>
      <c r="CX945" s="520"/>
      <c r="CY945" s="520"/>
      <c r="CZ945" s="520"/>
      <c r="DA945" s="520"/>
      <c r="DB945" s="520"/>
      <c r="DC945" s="520"/>
      <c r="DD945" s="520"/>
      <c r="DE945" s="520"/>
      <c r="DF945" s="520"/>
      <c r="DG945" s="520"/>
      <c r="DH945" s="520"/>
      <c r="DI945" s="520"/>
      <c r="DJ945" s="520"/>
      <c r="DK945" s="520"/>
      <c r="DL945" s="520"/>
      <c r="DM945" s="520"/>
      <c r="DN945" s="520"/>
      <c r="DO945" s="520"/>
      <c r="DP945" s="520"/>
      <c r="DQ945" s="520"/>
      <c r="DR945" s="520"/>
      <c r="DS945" s="520"/>
      <c r="DT945" s="520"/>
      <c r="DU945" s="520"/>
      <c r="DV945" s="520"/>
      <c r="DW945" s="520"/>
      <c r="DX945" s="520"/>
      <c r="DY945" s="520"/>
      <c r="DZ945" s="520"/>
      <c r="EA945" s="520"/>
      <c r="EB945" s="520"/>
      <c r="EC945" s="520"/>
      <c r="ED945" s="520"/>
      <c r="EE945" s="520"/>
      <c r="EF945" s="520"/>
      <c r="EG945" s="520"/>
      <c r="EH945" s="520"/>
      <c r="EI945" s="520"/>
      <c r="EJ945" s="520"/>
      <c r="EK945" s="520"/>
      <c r="EL945" s="520"/>
      <c r="EM945" s="520"/>
      <c r="EN945" s="520"/>
      <c r="EO945" s="520"/>
      <c r="EP945" s="520"/>
      <c r="EQ945" s="520"/>
      <c r="ER945" s="520"/>
      <c r="ES945" s="520"/>
      <c r="ET945" s="520"/>
      <c r="EU945" s="520"/>
      <c r="EV945" s="520"/>
      <c r="EW945" s="520"/>
      <c r="EX945" s="520"/>
      <c r="EY945" s="520"/>
      <c r="EZ945" s="520"/>
      <c r="FA945" s="520"/>
      <c r="FB945" s="520"/>
      <c r="FC945" s="520"/>
      <c r="FD945" s="520"/>
      <c r="FE945" s="520"/>
      <c r="FF945" s="520"/>
      <c r="FG945" s="520"/>
      <c r="FH945" s="520"/>
      <c r="FI945" s="520"/>
      <c r="FJ945" s="520"/>
      <c r="FK945" s="520"/>
      <c r="FL945" s="520"/>
      <c r="FM945" s="520"/>
      <c r="FN945" s="520"/>
      <c r="FO945" s="520"/>
      <c r="FP945" s="520"/>
      <c r="FQ945" s="520"/>
      <c r="FR945" s="520"/>
      <c r="FS945" s="520"/>
      <c r="FT945" s="520"/>
      <c r="FU945" s="520"/>
      <c r="FV945" s="520"/>
      <c r="FW945" s="520"/>
      <c r="FX945" s="520"/>
      <c r="FY945" s="520"/>
      <c r="FZ945" s="520"/>
      <c r="GA945" s="520"/>
      <c r="GB945" s="520"/>
      <c r="GC945" s="520"/>
      <c r="GD945" s="520"/>
      <c r="GE945" s="520"/>
      <c r="GF945" s="520"/>
      <c r="GG945" s="520"/>
      <c r="GH945" s="520"/>
      <c r="GI945" s="520"/>
      <c r="GJ945" s="520"/>
      <c r="GK945" s="520"/>
      <c r="GL945" s="520"/>
      <c r="GM945" s="520"/>
      <c r="GN945" s="520"/>
      <c r="GO945" s="520"/>
      <c r="GP945" s="520"/>
      <c r="GQ945" s="520"/>
      <c r="GR945" s="520"/>
      <c r="GS945" s="520"/>
      <c r="GT945" s="520"/>
      <c r="GU945" s="520"/>
      <c r="GV945" s="520"/>
      <c r="GW945" s="520"/>
      <c r="GX945" s="520"/>
      <c r="GY945" s="520"/>
      <c r="GZ945" s="520"/>
      <c r="HA945" s="520"/>
      <c r="HB945" s="520"/>
      <c r="HC945" s="520"/>
      <c r="HD945" s="520"/>
      <c r="HE945" s="520"/>
      <c r="HF945" s="520"/>
      <c r="HG945" s="520"/>
      <c r="HH945" s="520"/>
      <c r="HI945" s="520"/>
      <c r="HJ945" s="520"/>
      <c r="HK945" s="520"/>
      <c r="HL945" s="520"/>
      <c r="HM945" s="520"/>
      <c r="HN945" s="520"/>
      <c r="HO945" s="520"/>
      <c r="HP945" s="520"/>
      <c r="HQ945" s="520"/>
      <c r="HR945" s="520"/>
      <c r="HS945" s="520"/>
      <c r="HT945" s="520"/>
      <c r="HU945" s="520"/>
      <c r="HV945" s="520"/>
      <c r="HW945" s="520"/>
      <c r="HX945" s="520"/>
      <c r="HY945" s="520"/>
      <c r="HZ945" s="520"/>
      <c r="IA945" s="520"/>
      <c r="IB945" s="520"/>
      <c r="IC945" s="520"/>
      <c r="ID945" s="520"/>
      <c r="IE945" s="520"/>
      <c r="IF945" s="520"/>
      <c r="IG945" s="520"/>
      <c r="IH945" s="520"/>
      <c r="II945" s="520"/>
      <c r="IJ945" s="520"/>
      <c r="IK945" s="520"/>
      <c r="IL945" s="520"/>
      <c r="IM945" s="520"/>
      <c r="IN945" s="520"/>
      <c r="IO945" s="520"/>
      <c r="IP945" s="520"/>
      <c r="IQ945" s="520"/>
      <c r="IR945" s="520"/>
      <c r="IS945" s="520"/>
      <c r="IT945" s="520"/>
      <c r="IU945" s="520"/>
      <c r="IV945" s="520"/>
    </row>
    <row r="946" spans="1:256" ht="13.8" thickBot="1">
      <c r="A946" s="761" t="s">
        <v>145</v>
      </c>
      <c r="B946" s="762">
        <f>(R945+T945)</f>
        <v>0</v>
      </c>
      <c r="C946" s="763"/>
      <c r="D946" s="937" t="s">
        <v>172</v>
      </c>
      <c r="E946" s="477">
        <f ca="1">IF($B933=0,0,ROUND(ROUND(($R946*$S$2+($T946*$T$2))/$B933, 2)*$C$2,2))</f>
        <v>25.23</v>
      </c>
      <c r="F946" s="478">
        <f ca="1">ROUND($B933*$E946,2)</f>
        <v>11731.95</v>
      </c>
      <c r="G946" s="763"/>
      <c r="H946" s="763"/>
      <c r="I946" s="765"/>
      <c r="J946" s="763"/>
      <c r="K946" s="938" t="s">
        <v>143</v>
      </c>
      <c r="L946" s="766" t="s">
        <v>143</v>
      </c>
      <c r="M946" s="766"/>
      <c r="N946" s="766"/>
      <c r="O946" s="766"/>
      <c r="P946" s="766"/>
      <c r="Q946" s="938"/>
      <c r="R946" s="939">
        <f ca="1">SUM(R934:R945)</f>
        <v>7612.0499999999993</v>
      </c>
      <c r="S946" s="940"/>
      <c r="T946" s="939">
        <f ca="1">SUM(T934:T945)</f>
        <v>69.75</v>
      </c>
      <c r="U946" s="531"/>
      <c r="V946" s="531"/>
      <c r="W946" s="531"/>
      <c r="X946" s="531"/>
      <c r="Y946" s="531"/>
      <c r="Z946" s="531"/>
      <c r="AA946" s="531"/>
      <c r="AB946" s="531"/>
      <c r="AC946" s="520"/>
      <c r="AD946" s="478">
        <v>13166.3</v>
      </c>
      <c r="AE946" s="520"/>
      <c r="AF946" s="520"/>
      <c r="AG946" s="520"/>
      <c r="AH946" s="520"/>
      <c r="AI946" s="520"/>
      <c r="AJ946" s="520"/>
      <c r="AK946" s="520"/>
      <c r="AL946" s="520"/>
      <c r="AM946" s="520"/>
      <c r="AN946" s="520"/>
      <c r="AO946" s="520"/>
      <c r="AP946" s="520"/>
      <c r="AQ946" s="520"/>
      <c r="AR946" s="520"/>
      <c r="AS946" s="520"/>
      <c r="AT946" s="520"/>
      <c r="AU946" s="520"/>
      <c r="AV946" s="520"/>
      <c r="AW946" s="520"/>
      <c r="AX946" s="520"/>
      <c r="AY946" s="520"/>
      <c r="AZ946" s="520"/>
      <c r="BA946" s="520"/>
      <c r="BB946" s="520"/>
      <c r="BC946" s="520"/>
      <c r="BD946" s="520"/>
      <c r="BE946" s="520"/>
      <c r="BF946" s="520"/>
      <c r="BG946" s="520"/>
      <c r="BH946" s="520"/>
      <c r="BI946" s="520"/>
      <c r="BJ946" s="520"/>
      <c r="BK946" s="520"/>
      <c r="BL946" s="520"/>
      <c r="BM946" s="520"/>
      <c r="BN946" s="520"/>
      <c r="BO946" s="520"/>
      <c r="BP946" s="520"/>
      <c r="BQ946" s="520"/>
      <c r="BR946" s="520"/>
      <c r="BS946" s="520"/>
      <c r="BT946" s="520"/>
      <c r="BU946" s="520"/>
      <c r="BV946" s="520"/>
      <c r="BW946" s="520"/>
      <c r="BX946" s="520"/>
      <c r="BY946" s="520"/>
      <c r="BZ946" s="520"/>
      <c r="CA946" s="520"/>
      <c r="CB946" s="520"/>
      <c r="CC946" s="520"/>
      <c r="CD946" s="520"/>
      <c r="CE946" s="520"/>
      <c r="CF946" s="520"/>
      <c r="CG946" s="520"/>
      <c r="CH946" s="520"/>
      <c r="CI946" s="520"/>
      <c r="CJ946" s="520"/>
      <c r="CK946" s="520"/>
      <c r="CL946" s="520"/>
      <c r="CM946" s="520"/>
      <c r="CN946" s="520"/>
      <c r="CO946" s="520"/>
      <c r="CP946" s="520"/>
      <c r="CQ946" s="520"/>
      <c r="CR946" s="520"/>
      <c r="CS946" s="520"/>
      <c r="CT946" s="520"/>
      <c r="CU946" s="520"/>
      <c r="CV946" s="520"/>
      <c r="CW946" s="520"/>
      <c r="CX946" s="520"/>
      <c r="CY946" s="520"/>
      <c r="CZ946" s="520"/>
      <c r="DA946" s="520"/>
      <c r="DB946" s="520"/>
      <c r="DC946" s="520"/>
      <c r="DD946" s="520"/>
      <c r="DE946" s="520"/>
      <c r="DF946" s="520"/>
      <c r="DG946" s="520"/>
      <c r="DH946" s="520"/>
      <c r="DI946" s="520"/>
      <c r="DJ946" s="520"/>
      <c r="DK946" s="520"/>
      <c r="DL946" s="520"/>
      <c r="DM946" s="520"/>
      <c r="DN946" s="520"/>
      <c r="DO946" s="520"/>
      <c r="DP946" s="520"/>
      <c r="DQ946" s="520"/>
      <c r="DR946" s="520"/>
      <c r="DS946" s="520"/>
      <c r="DT946" s="520"/>
      <c r="DU946" s="520"/>
      <c r="DV946" s="520"/>
      <c r="DW946" s="520"/>
      <c r="DX946" s="520"/>
      <c r="DY946" s="520"/>
      <c r="DZ946" s="520"/>
      <c r="EA946" s="520"/>
      <c r="EB946" s="520"/>
      <c r="EC946" s="520"/>
      <c r="ED946" s="520"/>
      <c r="EE946" s="520"/>
      <c r="EF946" s="520"/>
      <c r="EG946" s="520"/>
      <c r="EH946" s="520"/>
      <c r="EI946" s="520"/>
      <c r="EJ946" s="520"/>
      <c r="EK946" s="520"/>
      <c r="EL946" s="520"/>
      <c r="EM946" s="520"/>
      <c r="EN946" s="520"/>
      <c r="EO946" s="520"/>
      <c r="EP946" s="520"/>
      <c r="EQ946" s="520"/>
      <c r="ER946" s="520"/>
      <c r="ES946" s="520"/>
      <c r="ET946" s="520"/>
      <c r="EU946" s="520"/>
      <c r="EV946" s="520"/>
      <c r="EW946" s="520"/>
      <c r="EX946" s="520"/>
      <c r="EY946" s="520"/>
      <c r="EZ946" s="520"/>
      <c r="FA946" s="520"/>
      <c r="FB946" s="520"/>
      <c r="FC946" s="520"/>
      <c r="FD946" s="520"/>
      <c r="FE946" s="520"/>
      <c r="FF946" s="520"/>
      <c r="FG946" s="520"/>
      <c r="FH946" s="520"/>
      <c r="FI946" s="520"/>
      <c r="FJ946" s="520"/>
      <c r="FK946" s="520"/>
      <c r="FL946" s="520"/>
      <c r="FM946" s="520"/>
      <c r="FN946" s="520"/>
      <c r="FO946" s="520"/>
      <c r="FP946" s="520"/>
      <c r="FQ946" s="520"/>
      <c r="FR946" s="520"/>
      <c r="FS946" s="520"/>
      <c r="FT946" s="520"/>
      <c r="FU946" s="520"/>
      <c r="FV946" s="520"/>
      <c r="FW946" s="520"/>
      <c r="FX946" s="520"/>
      <c r="FY946" s="520"/>
      <c r="FZ946" s="520"/>
      <c r="GA946" s="520"/>
      <c r="GB946" s="520"/>
      <c r="GC946" s="520"/>
      <c r="GD946" s="520"/>
      <c r="GE946" s="520"/>
      <c r="GF946" s="520"/>
      <c r="GG946" s="520"/>
      <c r="GH946" s="520"/>
      <c r="GI946" s="520"/>
      <c r="GJ946" s="520"/>
      <c r="GK946" s="520"/>
      <c r="GL946" s="520"/>
      <c r="GM946" s="520"/>
      <c r="GN946" s="520"/>
      <c r="GO946" s="520"/>
      <c r="GP946" s="520"/>
      <c r="GQ946" s="520"/>
      <c r="GR946" s="520"/>
      <c r="GS946" s="520"/>
      <c r="GT946" s="520"/>
      <c r="GU946" s="520"/>
      <c r="GV946" s="520"/>
      <c r="GW946" s="520"/>
      <c r="GX946" s="520"/>
      <c r="GY946" s="520"/>
      <c r="GZ946" s="520"/>
      <c r="HA946" s="520"/>
      <c r="HB946" s="520"/>
      <c r="HC946" s="520"/>
      <c r="HD946" s="520"/>
      <c r="HE946" s="520"/>
      <c r="HF946" s="520"/>
      <c r="HG946" s="520"/>
      <c r="HH946" s="520"/>
      <c r="HI946" s="520"/>
      <c r="HJ946" s="520"/>
      <c r="HK946" s="520"/>
      <c r="HL946" s="520"/>
      <c r="HM946" s="520"/>
      <c r="HN946" s="520"/>
      <c r="HO946" s="520"/>
      <c r="HP946" s="520"/>
      <c r="HQ946" s="520"/>
      <c r="HR946" s="520"/>
      <c r="HS946" s="520"/>
      <c r="HT946" s="520"/>
      <c r="HU946" s="520"/>
      <c r="HV946" s="520"/>
      <c r="HW946" s="520"/>
      <c r="HX946" s="520"/>
      <c r="HY946" s="520"/>
      <c r="HZ946" s="520"/>
      <c r="IA946" s="520"/>
      <c r="IB946" s="520"/>
      <c r="IC946" s="520"/>
      <c r="ID946" s="520"/>
      <c r="IE946" s="520"/>
      <c r="IF946" s="520"/>
      <c r="IG946" s="520"/>
      <c r="IH946" s="520"/>
      <c r="II946" s="520"/>
      <c r="IJ946" s="520"/>
      <c r="IK946" s="520"/>
      <c r="IL946" s="520"/>
      <c r="IM946" s="520"/>
      <c r="IN946" s="520"/>
      <c r="IO946" s="520"/>
      <c r="IP946" s="520"/>
      <c r="IQ946" s="520"/>
      <c r="IR946" s="520"/>
      <c r="IS946" s="520"/>
      <c r="IT946" s="520"/>
      <c r="IU946" s="520"/>
      <c r="IV946" s="520"/>
    </row>
    <row r="947" spans="1:256" s="520" customFormat="1" ht="12" customHeight="1" thickTop="1">
      <c r="A947" s="51"/>
      <c r="B947" s="51"/>
      <c r="C947" s="51"/>
      <c r="D947" s="51"/>
      <c r="E947" s="51"/>
      <c r="F947" s="51"/>
      <c r="G947" s="51"/>
      <c r="H947" s="51"/>
      <c r="I947" s="51"/>
      <c r="J947" s="51"/>
      <c r="K947" s="51"/>
      <c r="L947" s="51"/>
      <c r="M947" s="51"/>
      <c r="N947" s="51"/>
      <c r="O947" s="52"/>
      <c r="P947" s="51"/>
      <c r="Q947" s="42" t="s">
        <v>168</v>
      </c>
      <c r="R947" s="51"/>
      <c r="S947" s="13"/>
      <c r="T947" s="51"/>
      <c r="AD947" s="51"/>
    </row>
    <row r="948" spans="1:256" s="520" customFormat="1" ht="12" customHeight="1" thickBot="1">
      <c r="A948" s="927">
        <v>897</v>
      </c>
      <c r="B948" s="928">
        <f ca="1">Elec_Est!B11634</f>
        <v>927</v>
      </c>
      <c r="C948" s="929"/>
      <c r="D948" s="930" t="s">
        <v>3590</v>
      </c>
      <c r="E948" s="931"/>
      <c r="F948" s="931"/>
      <c r="G948" s="752"/>
      <c r="H948" s="752"/>
      <c r="I948" s="932"/>
      <c r="J948" s="752"/>
      <c r="K948" s="929" t="s">
        <v>169</v>
      </c>
      <c r="L948" s="933" t="s">
        <v>169</v>
      </c>
      <c r="M948" s="933"/>
      <c r="N948" s="933"/>
      <c r="O948" s="933"/>
      <c r="P948" s="933"/>
      <c r="Q948" s="934">
        <f ca="1">B948/A948</f>
        <v>1.0334448160535117</v>
      </c>
      <c r="R948" s="935">
        <f ca="1">IF($B948=0,0,IF($S$1="R",ROUND(R992/$B948,2),R992/$B948))</f>
        <v>24.38</v>
      </c>
      <c r="S948" s="936"/>
      <c r="T948" s="935">
        <f ca="1">IF($B948=0,0,IF($S$1="R",ROUND(T992/$B948,2),T992/$B948))</f>
        <v>0.13</v>
      </c>
      <c r="AC948" s="892"/>
      <c r="AD948" s="931"/>
    </row>
    <row r="949" spans="1:256" s="520" customFormat="1" ht="12" customHeight="1" thickTop="1">
      <c r="A949" s="748"/>
      <c r="B949" s="3"/>
      <c r="C949" s="3"/>
      <c r="D949" s="106" t="s">
        <v>3137</v>
      </c>
      <c r="E949" s="3"/>
      <c r="F949" s="3"/>
      <c r="G949" s="3"/>
      <c r="H949" s="3"/>
      <c r="I949" s="3"/>
      <c r="J949" s="3"/>
      <c r="K949" s="3"/>
      <c r="L949" s="3"/>
      <c r="M949" s="3"/>
      <c r="N949" s="3"/>
      <c r="O949" s="107"/>
      <c r="P949" s="3"/>
      <c r="Q949" s="3"/>
      <c r="R949" s="3"/>
      <c r="S949" s="3"/>
      <c r="T949" s="3"/>
      <c r="AB949" s="892"/>
      <c r="AC949" s="892"/>
      <c r="AD949" s="3"/>
      <c r="AE949" s="892"/>
    </row>
    <row r="950" spans="1:256" s="520" customFormat="1" ht="12" customHeight="1">
      <c r="A950" s="748"/>
      <c r="B950" s="3"/>
      <c r="C950" s="3"/>
      <c r="D950" s="1070" t="s">
        <v>3305</v>
      </c>
      <c r="E950" s="3"/>
      <c r="F950" s="3"/>
      <c r="G950" s="3"/>
      <c r="H950" s="3"/>
      <c r="I950" s="3"/>
      <c r="J950" s="3"/>
      <c r="K950" s="3"/>
      <c r="L950" s="3"/>
      <c r="M950" s="3"/>
      <c r="N950" s="3"/>
      <c r="O950" s="107"/>
      <c r="P950" s="3"/>
      <c r="Q950" s="3"/>
      <c r="R950" s="3"/>
      <c r="S950" s="3"/>
      <c r="T950" s="3"/>
      <c r="AB950" s="892"/>
      <c r="AC950" s="892"/>
      <c r="AD950" s="3"/>
      <c r="AE950" s="892"/>
    </row>
    <row r="951" spans="1:256" s="901" customFormat="1">
      <c r="A951" s="1057">
        <f ca="1">$Q$948 *(65*2)</f>
        <v>134.34782608695653</v>
      </c>
      <c r="B951" s="901" t="s">
        <v>141</v>
      </c>
      <c r="D951" s="901" t="s">
        <v>3218</v>
      </c>
      <c r="F951" s="901" t="s">
        <v>3422</v>
      </c>
      <c r="G951" s="941" t="s">
        <v>3219</v>
      </c>
      <c r="H951" s="942">
        <v>501</v>
      </c>
      <c r="I951" s="901" t="s">
        <v>3121</v>
      </c>
      <c r="J951" s="901" t="s">
        <v>3220</v>
      </c>
      <c r="K951" s="901" t="s">
        <v>3221</v>
      </c>
      <c r="O951" s="943">
        <v>1</v>
      </c>
      <c r="P951" s="944">
        <v>38302</v>
      </c>
      <c r="Q951" s="1197">
        <v>5</v>
      </c>
      <c r="R951" s="946">
        <f t="shared" ref="R951:R991" ca="1" si="182">$A951*Q951</f>
        <v>671.73913043478262</v>
      </c>
      <c r="S951" s="945"/>
      <c r="T951" s="947">
        <f t="shared" ref="T951:T991" ca="1" si="183">$A951*S951*$T$1</f>
        <v>0</v>
      </c>
      <c r="X951" s="901">
        <v>9.27</v>
      </c>
      <c r="AD951" s="901" t="s">
        <v>3422</v>
      </c>
    </row>
    <row r="952" spans="1:256" s="901" customFormat="1">
      <c r="A952" s="1057">
        <f ca="1">$Q$948 *((1.2+1.5)*2*65)</f>
        <v>362.73913043478262</v>
      </c>
      <c r="B952" s="901" t="s">
        <v>320</v>
      </c>
      <c r="D952" s="901" t="s">
        <v>3138</v>
      </c>
      <c r="E952" s="901" t="s">
        <v>3124</v>
      </c>
      <c r="G952" s="941" t="s">
        <v>3222</v>
      </c>
      <c r="H952" s="942">
        <v>501</v>
      </c>
      <c r="I952" s="901" t="s">
        <v>3121</v>
      </c>
      <c r="J952" s="901" t="s">
        <v>3140</v>
      </c>
      <c r="K952" s="901" t="s">
        <v>3141</v>
      </c>
      <c r="O952" s="943">
        <v>1</v>
      </c>
      <c r="P952" s="944">
        <v>36175</v>
      </c>
      <c r="Q952" s="945">
        <f>ROUNDUP(2.07*1.145,2)</f>
        <v>2.38</v>
      </c>
      <c r="R952" s="946">
        <f t="shared" ca="1" si="182"/>
        <v>863.31913043478255</v>
      </c>
      <c r="S952" s="945"/>
      <c r="T952" s="947">
        <f t="shared" ca="1" si="183"/>
        <v>0</v>
      </c>
    </row>
    <row r="953" spans="1:256" s="901" customFormat="1">
      <c r="A953" s="1057">
        <f ca="1">$Q$948 *(65*4)</f>
        <v>268.69565217391306</v>
      </c>
      <c r="B953" s="901" t="s">
        <v>141</v>
      </c>
      <c r="D953" s="901" t="s">
        <v>3146</v>
      </c>
      <c r="G953" s="941" t="s">
        <v>3147</v>
      </c>
      <c r="H953" s="942">
        <v>501</v>
      </c>
      <c r="I953" s="901" t="s">
        <v>2607</v>
      </c>
      <c r="K953" s="901" t="s">
        <v>3148</v>
      </c>
      <c r="O953" s="943">
        <v>1</v>
      </c>
      <c r="P953" s="944"/>
      <c r="Q953" s="945">
        <v>0.35</v>
      </c>
      <c r="R953" s="946">
        <f t="shared" ca="1" si="182"/>
        <v>94.043478260869563</v>
      </c>
      <c r="S953" s="945"/>
      <c r="T953" s="947">
        <f t="shared" ca="1" si="183"/>
        <v>0</v>
      </c>
    </row>
    <row r="954" spans="1:256" s="901" customFormat="1">
      <c r="A954" s="1057">
        <f ca="1">$Q$948 *(65*4)</f>
        <v>268.69565217391306</v>
      </c>
      <c r="B954" s="901" t="s">
        <v>141</v>
      </c>
      <c r="D954" s="901" t="s">
        <v>3311</v>
      </c>
      <c r="G954" s="941" t="s">
        <v>3312</v>
      </c>
      <c r="H954" s="942">
        <v>501</v>
      </c>
      <c r="I954" s="901" t="s">
        <v>3121</v>
      </c>
      <c r="J954" s="901" t="s">
        <v>3313</v>
      </c>
      <c r="K954" s="901" t="s">
        <v>3314</v>
      </c>
      <c r="O954" s="943">
        <v>1</v>
      </c>
      <c r="P954" s="944">
        <v>36175</v>
      </c>
      <c r="Q954" s="945">
        <v>2</v>
      </c>
      <c r="R954" s="946">
        <f ca="1">$A954*Q954</f>
        <v>537.39130434782612</v>
      </c>
      <c r="S954" s="945"/>
      <c r="T954" s="947">
        <f ca="1">$A954*S954*$T$1</f>
        <v>0</v>
      </c>
    </row>
    <row r="955" spans="1:256" s="520" customFormat="1" ht="12" customHeight="1">
      <c r="A955" s="1057">
        <f ca="1">$Q$948 *(65*4*3)</f>
        <v>806.08695652173913</v>
      </c>
      <c r="B955" s="758" t="s">
        <v>329</v>
      </c>
      <c r="C955" s="758"/>
      <c r="D955" s="901" t="s">
        <v>3142</v>
      </c>
      <c r="E955" s="901" t="s">
        <v>3143</v>
      </c>
      <c r="F955" s="901" t="s">
        <v>3144</v>
      </c>
      <c r="G955" s="941" t="s">
        <v>3145</v>
      </c>
      <c r="H955" s="942">
        <v>501</v>
      </c>
      <c r="I955" s="519"/>
      <c r="J955" s="758"/>
      <c r="K955" s="758"/>
      <c r="L955" s="758"/>
      <c r="M955" s="758"/>
      <c r="N955" s="758"/>
      <c r="O955" s="943">
        <v>1</v>
      </c>
      <c r="P955" s="758"/>
      <c r="Q955" s="897">
        <v>6.91</v>
      </c>
      <c r="R955" s="946">
        <f t="shared" ref="R955" ca="1" si="184">$A955*Q955</f>
        <v>5570.0608695652172</v>
      </c>
      <c r="S955" s="519"/>
      <c r="T955" s="947">
        <f t="shared" ref="T955" ca="1" si="185">$A955*S955*$T$1</f>
        <v>0</v>
      </c>
      <c r="U955" s="520" t="s">
        <v>2764</v>
      </c>
      <c r="AD955" s="901" t="s">
        <v>3144</v>
      </c>
    </row>
    <row r="956" spans="1:256" s="901" customFormat="1">
      <c r="A956" s="1057">
        <f ca="1">$Q$948 *(65)</f>
        <v>67.173913043478265</v>
      </c>
      <c r="B956" s="901" t="s">
        <v>141</v>
      </c>
      <c r="D956" s="901" t="s">
        <v>3302</v>
      </c>
      <c r="G956" s="941" t="s">
        <v>3132</v>
      </c>
      <c r="H956" s="942">
        <v>900</v>
      </c>
      <c r="I956" s="901" t="s">
        <v>2596</v>
      </c>
      <c r="O956" s="943">
        <v>1</v>
      </c>
      <c r="P956" s="944"/>
      <c r="Q956" s="1063"/>
      <c r="R956" s="946">
        <f ca="1">$A956*Q956</f>
        <v>0</v>
      </c>
      <c r="S956" s="1197">
        <v>0.6</v>
      </c>
      <c r="T956" s="947">
        <f ca="1">$A956*S956*$T$1</f>
        <v>36.273913043478267</v>
      </c>
      <c r="U956" s="901" t="s">
        <v>2764</v>
      </c>
      <c r="X956" s="901">
        <v>1</v>
      </c>
    </row>
    <row r="957" spans="1:256" s="520" customFormat="1" ht="12" customHeight="1">
      <c r="A957" s="748"/>
      <c r="B957" s="3"/>
      <c r="C957" s="3"/>
      <c r="D957" s="1070" t="s">
        <v>3308</v>
      </c>
      <c r="E957" s="3"/>
      <c r="F957" s="3"/>
      <c r="G957" s="3"/>
      <c r="H957" s="3"/>
      <c r="I957" s="3"/>
      <c r="J957" s="3"/>
      <c r="K957" s="3"/>
      <c r="L957" s="3"/>
      <c r="M957" s="3"/>
      <c r="N957" s="3"/>
      <c r="O957" s="107"/>
      <c r="P957" s="3"/>
      <c r="Q957" s="3"/>
      <c r="R957" s="3"/>
      <c r="S957" s="3"/>
      <c r="T957" s="3"/>
      <c r="AB957" s="892"/>
      <c r="AC957" s="892"/>
      <c r="AD957" s="3"/>
      <c r="AE957" s="892"/>
    </row>
    <row r="958" spans="1:256" s="901" customFormat="1">
      <c r="A958" s="1057">
        <f ca="1">$Q$948 *(40*2)</f>
        <v>82.675585284280942</v>
      </c>
      <c r="B958" s="901" t="s">
        <v>141</v>
      </c>
      <c r="D958" s="901" t="s">
        <v>3218</v>
      </c>
      <c r="F958" s="901" t="s">
        <v>3422</v>
      </c>
      <c r="G958" s="941" t="s">
        <v>3219</v>
      </c>
      <c r="H958" s="942">
        <v>501</v>
      </c>
      <c r="I958" s="901" t="s">
        <v>3121</v>
      </c>
      <c r="J958" s="901" t="s">
        <v>3220</v>
      </c>
      <c r="K958" s="901" t="s">
        <v>3221</v>
      </c>
      <c r="O958" s="943">
        <v>1</v>
      </c>
      <c r="P958" s="944">
        <v>38302</v>
      </c>
      <c r="Q958" s="1197">
        <v>5</v>
      </c>
      <c r="R958" s="946">
        <f t="shared" ref="R958:R960" ca="1" si="186">$A958*Q958</f>
        <v>413.37792642140471</v>
      </c>
      <c r="S958" s="945"/>
      <c r="T958" s="947">
        <f t="shared" ref="T958:T960" ca="1" si="187">$A958*S958*$T$1</f>
        <v>0</v>
      </c>
      <c r="X958" s="901">
        <v>9.27</v>
      </c>
      <c r="AD958" s="901" t="s">
        <v>3422</v>
      </c>
    </row>
    <row r="959" spans="1:256" s="901" customFormat="1">
      <c r="A959" s="1057">
        <f ca="1">$Q$948 *((1+1.5)*2*40)</f>
        <v>206.68896321070233</v>
      </c>
      <c r="B959" s="901" t="s">
        <v>320</v>
      </c>
      <c r="D959" s="901" t="s">
        <v>3138</v>
      </c>
      <c r="E959" s="901" t="s">
        <v>3124</v>
      </c>
      <c r="G959" s="941" t="s">
        <v>3222</v>
      </c>
      <c r="H959" s="942">
        <v>501</v>
      </c>
      <c r="I959" s="901" t="s">
        <v>3121</v>
      </c>
      <c r="J959" s="901" t="s">
        <v>3140</v>
      </c>
      <c r="K959" s="901" t="s">
        <v>3141</v>
      </c>
      <c r="O959" s="943">
        <v>1</v>
      </c>
      <c r="P959" s="944">
        <v>36175</v>
      </c>
      <c r="Q959" s="945">
        <f>ROUNDUP(2.07*1.145,2)</f>
        <v>2.38</v>
      </c>
      <c r="R959" s="946">
        <f t="shared" ca="1" si="186"/>
        <v>491.91973244147152</v>
      </c>
      <c r="S959" s="945"/>
      <c r="T959" s="947">
        <f t="shared" ca="1" si="187"/>
        <v>0</v>
      </c>
    </row>
    <row r="960" spans="1:256" s="901" customFormat="1">
      <c r="A960" s="1057">
        <f ca="1">$Q$948 *(40*4)</f>
        <v>165.35117056856188</v>
      </c>
      <c r="B960" s="901" t="s">
        <v>141</v>
      </c>
      <c r="D960" s="901" t="s">
        <v>3146</v>
      </c>
      <c r="G960" s="941" t="s">
        <v>3147</v>
      </c>
      <c r="H960" s="942">
        <v>501</v>
      </c>
      <c r="I960" s="901" t="s">
        <v>2607</v>
      </c>
      <c r="K960" s="901" t="s">
        <v>3148</v>
      </c>
      <c r="O960" s="943">
        <v>1</v>
      </c>
      <c r="P960" s="944"/>
      <c r="Q960" s="945">
        <v>0.35</v>
      </c>
      <c r="R960" s="946">
        <f t="shared" ca="1" si="186"/>
        <v>57.872909698996658</v>
      </c>
      <c r="S960" s="945"/>
      <c r="T960" s="947">
        <f t="shared" ca="1" si="187"/>
        <v>0</v>
      </c>
    </row>
    <row r="961" spans="1:31" s="901" customFormat="1">
      <c r="A961" s="1057">
        <f ca="1">$Q$948 *(40*4)</f>
        <v>165.35117056856188</v>
      </c>
      <c r="B961" s="901" t="s">
        <v>141</v>
      </c>
      <c r="D961" s="901" t="s">
        <v>3311</v>
      </c>
      <c r="G961" s="941" t="s">
        <v>3312</v>
      </c>
      <c r="H961" s="942">
        <v>501</v>
      </c>
      <c r="I961" s="901" t="s">
        <v>3121</v>
      </c>
      <c r="J961" s="901" t="s">
        <v>3313</v>
      </c>
      <c r="K961" s="901" t="s">
        <v>3314</v>
      </c>
      <c r="O961" s="943">
        <v>1</v>
      </c>
      <c r="P961" s="944">
        <v>36175</v>
      </c>
      <c r="Q961" s="945">
        <v>2</v>
      </c>
      <c r="R961" s="946">
        <f ca="1">$A961*Q961</f>
        <v>330.70234113712377</v>
      </c>
      <c r="S961" s="945"/>
      <c r="T961" s="947">
        <f ca="1">$A961*S961*$T$1</f>
        <v>0</v>
      </c>
      <c r="U961" s="901" t="s">
        <v>2764</v>
      </c>
    </row>
    <row r="962" spans="1:31" s="520" customFormat="1" ht="12" customHeight="1">
      <c r="A962" s="1057">
        <f ca="1">$Q$948 *(40*4*3)</f>
        <v>496.05351170568559</v>
      </c>
      <c r="B962" s="758" t="s">
        <v>329</v>
      </c>
      <c r="C962" s="758"/>
      <c r="D962" s="901" t="s">
        <v>3142</v>
      </c>
      <c r="E962" s="901" t="s">
        <v>3143</v>
      </c>
      <c r="F962" s="901" t="s">
        <v>3144</v>
      </c>
      <c r="G962" s="941" t="s">
        <v>3145</v>
      </c>
      <c r="H962" s="942">
        <v>501</v>
      </c>
      <c r="I962" s="519"/>
      <c r="J962" s="758"/>
      <c r="K962" s="758"/>
      <c r="L962" s="758"/>
      <c r="M962" s="758"/>
      <c r="N962" s="758"/>
      <c r="O962" s="943">
        <v>1</v>
      </c>
      <c r="P962" s="758"/>
      <c r="Q962" s="897">
        <v>6.91</v>
      </c>
      <c r="R962" s="946">
        <f t="shared" ref="R962" ca="1" si="188">$A962*Q962</f>
        <v>3427.7297658862876</v>
      </c>
      <c r="S962" s="519"/>
      <c r="T962" s="947">
        <f t="shared" ref="T962" ca="1" si="189">$A962*S962*$T$1</f>
        <v>0</v>
      </c>
      <c r="U962" s="520" t="s">
        <v>2764</v>
      </c>
      <c r="AD962" s="901" t="s">
        <v>3144</v>
      </c>
    </row>
    <row r="963" spans="1:31" s="901" customFormat="1">
      <c r="A963" s="1057">
        <f ca="1">$Q$948 *(40)</f>
        <v>41.337792642140471</v>
      </c>
      <c r="B963" s="901" t="s">
        <v>141</v>
      </c>
      <c r="D963" s="901" t="s">
        <v>3302</v>
      </c>
      <c r="G963" s="941" t="s">
        <v>3132</v>
      </c>
      <c r="H963" s="942">
        <v>900</v>
      </c>
      <c r="I963" s="901" t="s">
        <v>2596</v>
      </c>
      <c r="O963" s="943">
        <v>1</v>
      </c>
      <c r="P963" s="944"/>
      <c r="Q963" s="1063"/>
      <c r="R963" s="946">
        <f ca="1">$A963*Q963</f>
        <v>0</v>
      </c>
      <c r="S963" s="1197">
        <v>0.6</v>
      </c>
      <c r="T963" s="947">
        <f ca="1">$A963*S963*$T$1</f>
        <v>22.322408026755852</v>
      </c>
      <c r="U963" s="901" t="s">
        <v>2764</v>
      </c>
      <c r="X963" s="901">
        <v>1</v>
      </c>
    </row>
    <row r="964" spans="1:31" s="520" customFormat="1" ht="12" customHeight="1">
      <c r="A964" s="748"/>
      <c r="B964" s="3"/>
      <c r="C964" s="3"/>
      <c r="D964" s="1070" t="s">
        <v>3309</v>
      </c>
      <c r="E964" s="3"/>
      <c r="F964" s="3"/>
      <c r="G964" s="3"/>
      <c r="H964" s="3"/>
      <c r="I964" s="3"/>
      <c r="J964" s="3"/>
      <c r="K964" s="3"/>
      <c r="L964" s="3"/>
      <c r="M964" s="3"/>
      <c r="N964" s="3"/>
      <c r="O964" s="107"/>
      <c r="P964" s="3"/>
      <c r="Q964" s="3"/>
      <c r="R964" s="3"/>
      <c r="S964" s="3"/>
      <c r="T964" s="3"/>
      <c r="AB964" s="892"/>
      <c r="AC964" s="892"/>
      <c r="AD964" s="3"/>
      <c r="AE964" s="892"/>
    </row>
    <row r="965" spans="1:31" s="901" customFormat="1">
      <c r="A965" s="1057">
        <f ca="1">$Q$948 *(40*2)</f>
        <v>82.675585284280942</v>
      </c>
      <c r="B965" s="901" t="s">
        <v>141</v>
      </c>
      <c r="D965" s="901" t="s">
        <v>3218</v>
      </c>
      <c r="F965" s="901" t="s">
        <v>3422</v>
      </c>
      <c r="G965" s="941" t="s">
        <v>3219</v>
      </c>
      <c r="H965" s="942">
        <v>501</v>
      </c>
      <c r="I965" s="901" t="s">
        <v>3121</v>
      </c>
      <c r="J965" s="901" t="s">
        <v>3220</v>
      </c>
      <c r="K965" s="901" t="s">
        <v>3221</v>
      </c>
      <c r="O965" s="943">
        <v>1</v>
      </c>
      <c r="P965" s="944">
        <v>38302</v>
      </c>
      <c r="Q965" s="1197">
        <v>5</v>
      </c>
      <c r="R965" s="946">
        <f t="shared" ref="R965:R967" ca="1" si="190">$A965*Q965</f>
        <v>413.37792642140471</v>
      </c>
      <c r="S965" s="945"/>
      <c r="T965" s="947">
        <f t="shared" ref="T965:T967" ca="1" si="191">$A965*S965*$T$1</f>
        <v>0</v>
      </c>
      <c r="X965" s="901">
        <v>9.27</v>
      </c>
      <c r="AD965" s="901" t="s">
        <v>3422</v>
      </c>
    </row>
    <row r="966" spans="1:31" s="901" customFormat="1">
      <c r="A966" s="1057">
        <f ca="1">$Q$948 *((0.7+1.5)*2*40)</f>
        <v>181.88628762541805</v>
      </c>
      <c r="B966" s="901" t="s">
        <v>320</v>
      </c>
      <c r="D966" s="901" t="s">
        <v>3138</v>
      </c>
      <c r="E966" s="901" t="s">
        <v>3124</v>
      </c>
      <c r="G966" s="941" t="s">
        <v>3222</v>
      </c>
      <c r="H966" s="942">
        <v>501</v>
      </c>
      <c r="I966" s="901" t="s">
        <v>3121</v>
      </c>
      <c r="J966" s="901" t="s">
        <v>3140</v>
      </c>
      <c r="K966" s="901" t="s">
        <v>3141</v>
      </c>
      <c r="O966" s="943">
        <v>1</v>
      </c>
      <c r="P966" s="944">
        <v>36175</v>
      </c>
      <c r="Q966" s="945">
        <f>ROUNDUP(2.07*1.145,2)</f>
        <v>2.38</v>
      </c>
      <c r="R966" s="946">
        <f t="shared" ca="1" si="190"/>
        <v>432.88936454849494</v>
      </c>
      <c r="S966" s="945"/>
      <c r="T966" s="947">
        <f t="shared" ca="1" si="191"/>
        <v>0</v>
      </c>
    </row>
    <row r="967" spans="1:31" s="901" customFormat="1">
      <c r="A967" s="1057">
        <f ca="1">$Q$948 *(40*4)</f>
        <v>165.35117056856188</v>
      </c>
      <c r="B967" s="901" t="s">
        <v>141</v>
      </c>
      <c r="D967" s="901" t="s">
        <v>3146</v>
      </c>
      <c r="G967" s="941" t="s">
        <v>3147</v>
      </c>
      <c r="H967" s="942">
        <v>501</v>
      </c>
      <c r="I967" s="901" t="s">
        <v>2607</v>
      </c>
      <c r="K967" s="901" t="s">
        <v>3148</v>
      </c>
      <c r="O967" s="943">
        <v>1</v>
      </c>
      <c r="P967" s="944"/>
      <c r="Q967" s="945">
        <v>0.35</v>
      </c>
      <c r="R967" s="946">
        <f t="shared" ca="1" si="190"/>
        <v>57.872909698996658</v>
      </c>
      <c r="S967" s="945"/>
      <c r="T967" s="947">
        <f t="shared" ca="1" si="191"/>
        <v>0</v>
      </c>
    </row>
    <row r="968" spans="1:31" s="901" customFormat="1">
      <c r="A968" s="1057">
        <f ca="1">$Q$948 *(40*4)</f>
        <v>165.35117056856188</v>
      </c>
      <c r="B968" s="901" t="s">
        <v>141</v>
      </c>
      <c r="D968" s="901" t="s">
        <v>3311</v>
      </c>
      <c r="G968" s="941" t="s">
        <v>3312</v>
      </c>
      <c r="H968" s="942">
        <v>501</v>
      </c>
      <c r="I968" s="901" t="s">
        <v>3121</v>
      </c>
      <c r="J968" s="901" t="s">
        <v>3313</v>
      </c>
      <c r="K968" s="901" t="s">
        <v>3314</v>
      </c>
      <c r="O968" s="943">
        <v>1</v>
      </c>
      <c r="P968" s="944">
        <v>36175</v>
      </c>
      <c r="Q968" s="945">
        <v>2</v>
      </c>
      <c r="R968" s="946">
        <f ca="1">$A968*Q968</f>
        <v>330.70234113712377</v>
      </c>
      <c r="S968" s="945"/>
      <c r="T968" s="947">
        <f ca="1">$A968*S968*$T$1</f>
        <v>0</v>
      </c>
      <c r="U968" s="901" t="s">
        <v>2764</v>
      </c>
    </row>
    <row r="969" spans="1:31" s="520" customFormat="1" ht="12" customHeight="1">
      <c r="A969" s="1057">
        <f ca="1">$Q$948 *(40*4*3)</f>
        <v>496.05351170568559</v>
      </c>
      <c r="B969" s="758" t="s">
        <v>329</v>
      </c>
      <c r="C969" s="758"/>
      <c r="D969" s="901" t="s">
        <v>3142</v>
      </c>
      <c r="E969" s="901" t="s">
        <v>3143</v>
      </c>
      <c r="F969" s="901" t="s">
        <v>3144</v>
      </c>
      <c r="G969" s="941" t="s">
        <v>3145</v>
      </c>
      <c r="H969" s="942">
        <v>501</v>
      </c>
      <c r="I969" s="519"/>
      <c r="J969" s="758"/>
      <c r="K969" s="758"/>
      <c r="L969" s="758"/>
      <c r="M969" s="758"/>
      <c r="N969" s="758"/>
      <c r="O969" s="943">
        <v>1</v>
      </c>
      <c r="P969" s="758"/>
      <c r="Q969" s="897">
        <v>6.91</v>
      </c>
      <c r="R969" s="946">
        <f t="shared" ref="R969" ca="1" si="192">$A969*Q969</f>
        <v>3427.7297658862876</v>
      </c>
      <c r="S969" s="519"/>
      <c r="T969" s="947">
        <f t="shared" ref="T969" ca="1" si="193">$A969*S969*$T$1</f>
        <v>0</v>
      </c>
      <c r="U969" s="520" t="s">
        <v>2764</v>
      </c>
      <c r="AD969" s="901" t="s">
        <v>3144</v>
      </c>
    </row>
    <row r="970" spans="1:31" s="901" customFormat="1">
      <c r="A970" s="1057">
        <f ca="1">$Q$948 *(40)</f>
        <v>41.337792642140471</v>
      </c>
      <c r="B970" s="901" t="s">
        <v>141</v>
      </c>
      <c r="D970" s="901" t="s">
        <v>3302</v>
      </c>
      <c r="G970" s="941" t="s">
        <v>3132</v>
      </c>
      <c r="H970" s="942">
        <v>900</v>
      </c>
      <c r="I970" s="901" t="s">
        <v>2596</v>
      </c>
      <c r="O970" s="943">
        <v>1</v>
      </c>
      <c r="P970" s="944"/>
      <c r="Q970" s="1063"/>
      <c r="R970" s="946">
        <f ca="1">$A970*Q970</f>
        <v>0</v>
      </c>
      <c r="S970" s="1197">
        <v>0.6</v>
      </c>
      <c r="T970" s="947">
        <f ca="1">$A970*S970*$T$1</f>
        <v>22.322408026755852</v>
      </c>
      <c r="U970" s="901" t="s">
        <v>2764</v>
      </c>
      <c r="X970" s="901">
        <v>1</v>
      </c>
    </row>
    <row r="971" spans="1:31" s="520" customFormat="1" ht="12" customHeight="1">
      <c r="A971" s="748"/>
      <c r="B971" s="3"/>
      <c r="C971" s="3"/>
      <c r="D971" s="1070" t="s">
        <v>3315</v>
      </c>
      <c r="E971" s="3"/>
      <c r="F971" s="3"/>
      <c r="G971" s="3"/>
      <c r="H971" s="3"/>
      <c r="I971" s="3"/>
      <c r="J971" s="3"/>
      <c r="K971" s="3"/>
      <c r="L971" s="3"/>
      <c r="M971" s="3"/>
      <c r="N971" s="3"/>
      <c r="O971" s="107"/>
      <c r="P971" s="3"/>
      <c r="Q971" s="3"/>
      <c r="R971" s="3"/>
      <c r="S971" s="3"/>
      <c r="T971" s="3"/>
      <c r="AB971" s="892"/>
      <c r="AC971" s="892"/>
      <c r="AD971" s="3"/>
      <c r="AE971" s="892"/>
    </row>
    <row r="972" spans="1:31" s="901" customFormat="1">
      <c r="A972" s="1057">
        <f ca="1">$Q$948 *(25*2)</f>
        <v>51.672240802675582</v>
      </c>
      <c r="B972" s="901" t="s">
        <v>141</v>
      </c>
      <c r="D972" s="901" t="s">
        <v>3218</v>
      </c>
      <c r="F972" s="901" t="s">
        <v>3422</v>
      </c>
      <c r="G972" s="941" t="s">
        <v>3219</v>
      </c>
      <c r="H972" s="942">
        <v>501</v>
      </c>
      <c r="I972" s="901" t="s">
        <v>3121</v>
      </c>
      <c r="J972" s="901" t="s">
        <v>3220</v>
      </c>
      <c r="K972" s="901" t="s">
        <v>3221</v>
      </c>
      <c r="O972" s="943">
        <v>1</v>
      </c>
      <c r="P972" s="944">
        <v>38302</v>
      </c>
      <c r="Q972" s="1197">
        <v>5</v>
      </c>
      <c r="R972" s="946">
        <f t="shared" ref="R972:R974" ca="1" si="194">$A972*Q972</f>
        <v>258.36120401337791</v>
      </c>
      <c r="S972" s="945"/>
      <c r="T972" s="947">
        <f t="shared" ref="T972:T974" ca="1" si="195">$A972*S972*$T$1</f>
        <v>0</v>
      </c>
      <c r="X972" s="901">
        <v>9.27</v>
      </c>
      <c r="AD972" s="901" t="s">
        <v>3422</v>
      </c>
    </row>
    <row r="973" spans="1:31" s="901" customFormat="1">
      <c r="A973" s="1057">
        <f ca="1">$Q$948 *((0.85+1.5)*2*25)</f>
        <v>121.42976588628763</v>
      </c>
      <c r="B973" s="901" t="s">
        <v>320</v>
      </c>
      <c r="D973" s="901" t="s">
        <v>3138</v>
      </c>
      <c r="E973" s="901" t="s">
        <v>3124</v>
      </c>
      <c r="G973" s="941" t="s">
        <v>3222</v>
      </c>
      <c r="H973" s="942">
        <v>501</v>
      </c>
      <c r="I973" s="901" t="s">
        <v>3121</v>
      </c>
      <c r="J973" s="901" t="s">
        <v>3140</v>
      </c>
      <c r="K973" s="901" t="s">
        <v>3141</v>
      </c>
      <c r="O973" s="943">
        <v>1</v>
      </c>
      <c r="P973" s="944">
        <v>36175</v>
      </c>
      <c r="Q973" s="945">
        <f>ROUNDUP(2.07*1.145,2)</f>
        <v>2.38</v>
      </c>
      <c r="R973" s="946">
        <f t="shared" ca="1" si="194"/>
        <v>289.00284280936455</v>
      </c>
      <c r="S973" s="945"/>
      <c r="T973" s="947">
        <f t="shared" ca="1" si="195"/>
        <v>0</v>
      </c>
    </row>
    <row r="974" spans="1:31" s="901" customFormat="1">
      <c r="A974" s="1057">
        <f ca="1">$Q$948 *(25*4)</f>
        <v>103.34448160535116</v>
      </c>
      <c r="B974" s="901" t="s">
        <v>141</v>
      </c>
      <c r="D974" s="901" t="s">
        <v>3146</v>
      </c>
      <c r="G974" s="941" t="s">
        <v>3147</v>
      </c>
      <c r="H974" s="942">
        <v>501</v>
      </c>
      <c r="I974" s="901" t="s">
        <v>2607</v>
      </c>
      <c r="K974" s="901" t="s">
        <v>3148</v>
      </c>
      <c r="O974" s="943">
        <v>1</v>
      </c>
      <c r="P974" s="944"/>
      <c r="Q974" s="945">
        <v>0.35</v>
      </c>
      <c r="R974" s="946">
        <f t="shared" ca="1" si="194"/>
        <v>36.170568561872905</v>
      </c>
      <c r="S974" s="945"/>
      <c r="T974" s="947">
        <f t="shared" ca="1" si="195"/>
        <v>0</v>
      </c>
    </row>
    <row r="975" spans="1:31" s="901" customFormat="1">
      <c r="A975" s="1057">
        <f ca="1">$Q$948 *(25*4)</f>
        <v>103.34448160535116</v>
      </c>
      <c r="B975" s="901" t="s">
        <v>141</v>
      </c>
      <c r="D975" s="901" t="s">
        <v>3311</v>
      </c>
      <c r="G975" s="941" t="s">
        <v>3312</v>
      </c>
      <c r="H975" s="942">
        <v>501</v>
      </c>
      <c r="I975" s="901" t="s">
        <v>3121</v>
      </c>
      <c r="J975" s="901" t="s">
        <v>3313</v>
      </c>
      <c r="K975" s="901" t="s">
        <v>3314</v>
      </c>
      <c r="O975" s="943">
        <v>1</v>
      </c>
      <c r="P975" s="944">
        <v>36175</v>
      </c>
      <c r="Q975" s="945">
        <v>2</v>
      </c>
      <c r="R975" s="946">
        <f ca="1">$A975*Q975</f>
        <v>206.68896321070233</v>
      </c>
      <c r="S975" s="945"/>
      <c r="T975" s="947">
        <f ca="1">$A975*S975*$T$1</f>
        <v>0</v>
      </c>
      <c r="U975" s="901" t="s">
        <v>2764</v>
      </c>
    </row>
    <row r="976" spans="1:31" s="520" customFormat="1" ht="12" customHeight="1">
      <c r="A976" s="1057">
        <f ca="1">$Q$948 *(25*4*3)</f>
        <v>310.03344481605353</v>
      </c>
      <c r="B976" s="758" t="s">
        <v>329</v>
      </c>
      <c r="C976" s="758"/>
      <c r="D976" s="901" t="s">
        <v>3142</v>
      </c>
      <c r="E976" s="901" t="s">
        <v>3143</v>
      </c>
      <c r="F976" s="901" t="s">
        <v>3144</v>
      </c>
      <c r="G976" s="941" t="s">
        <v>3145</v>
      </c>
      <c r="H976" s="942">
        <v>501</v>
      </c>
      <c r="I976" s="519"/>
      <c r="J976" s="758"/>
      <c r="K976" s="758"/>
      <c r="L976" s="758"/>
      <c r="M976" s="758"/>
      <c r="N976" s="758"/>
      <c r="O976" s="943">
        <v>1</v>
      </c>
      <c r="P976" s="758"/>
      <c r="Q976" s="897">
        <v>6.91</v>
      </c>
      <c r="R976" s="946">
        <f t="shared" ref="R976" ca="1" si="196">$A976*Q976</f>
        <v>2142.33110367893</v>
      </c>
      <c r="S976" s="519"/>
      <c r="T976" s="947">
        <f t="shared" ref="T976" ca="1" si="197">$A976*S976*$T$1</f>
        <v>0</v>
      </c>
      <c r="U976" s="520" t="s">
        <v>2764</v>
      </c>
      <c r="AD976" s="901" t="s">
        <v>3144</v>
      </c>
    </row>
    <row r="977" spans="1:256" s="901" customFormat="1">
      <c r="A977" s="1057">
        <f ca="1">$Q$948 *(25)</f>
        <v>25.836120401337791</v>
      </c>
      <c r="B977" s="901" t="s">
        <v>141</v>
      </c>
      <c r="D977" s="901" t="s">
        <v>3302</v>
      </c>
      <c r="G977" s="941" t="s">
        <v>3132</v>
      </c>
      <c r="H977" s="942">
        <v>900</v>
      </c>
      <c r="I977" s="901" t="s">
        <v>2596</v>
      </c>
      <c r="O977" s="943">
        <v>1</v>
      </c>
      <c r="P977" s="944"/>
      <c r="Q977" s="1063"/>
      <c r="R977" s="946">
        <f ca="1">$A977*Q977</f>
        <v>0</v>
      </c>
      <c r="S977" s="1197">
        <v>0.6</v>
      </c>
      <c r="T977" s="947">
        <f ca="1">$A977*S977*$T$1</f>
        <v>13.951505016722406</v>
      </c>
      <c r="U977" s="901" t="s">
        <v>2764</v>
      </c>
      <c r="X977" s="901">
        <v>1</v>
      </c>
    </row>
    <row r="978" spans="1:256" s="520" customFormat="1" ht="12" customHeight="1">
      <c r="A978" s="748"/>
      <c r="B978" s="3"/>
      <c r="C978" s="3"/>
      <c r="D978" s="1070" t="s">
        <v>3310</v>
      </c>
      <c r="E978" s="3"/>
      <c r="F978" s="3"/>
      <c r="G978" s="3"/>
      <c r="H978" s="3"/>
      <c r="I978" s="3"/>
      <c r="J978" s="3"/>
      <c r="K978" s="3"/>
      <c r="L978" s="3"/>
      <c r="M978" s="3"/>
      <c r="N978" s="3"/>
      <c r="O978" s="107"/>
      <c r="P978" s="3"/>
      <c r="Q978" s="3"/>
      <c r="R978" s="3"/>
      <c r="S978" s="3"/>
      <c r="T978" s="3"/>
      <c r="AB978" s="892"/>
      <c r="AC978" s="892"/>
      <c r="AD978" s="3"/>
      <c r="AE978" s="892"/>
    </row>
    <row r="979" spans="1:256" s="901" customFormat="1">
      <c r="A979" s="1057">
        <f ca="1">$Q$948 *(60*2)</f>
        <v>124.0133779264214</v>
      </c>
      <c r="B979" s="901" t="s">
        <v>141</v>
      </c>
      <c r="D979" s="901" t="s">
        <v>3218</v>
      </c>
      <c r="F979" s="901" t="s">
        <v>3422</v>
      </c>
      <c r="G979" s="941" t="s">
        <v>3219</v>
      </c>
      <c r="H979" s="942">
        <v>501</v>
      </c>
      <c r="I979" s="901" t="s">
        <v>3121</v>
      </c>
      <c r="J979" s="901" t="s">
        <v>3220</v>
      </c>
      <c r="K979" s="901" t="s">
        <v>3221</v>
      </c>
      <c r="O979" s="943">
        <v>1</v>
      </c>
      <c r="P979" s="944">
        <v>38302</v>
      </c>
      <c r="Q979" s="1197">
        <v>5</v>
      </c>
      <c r="R979" s="946">
        <f t="shared" ref="R979:R985" ca="1" si="198">$A979*Q979</f>
        <v>620.06688963210695</v>
      </c>
      <c r="S979" s="945"/>
      <c r="T979" s="947">
        <f t="shared" ref="T979:T985" ca="1" si="199">$A979*S979*$T$1</f>
        <v>0</v>
      </c>
      <c r="X979" s="901">
        <v>9.27</v>
      </c>
      <c r="AD979" s="901" t="s">
        <v>3422</v>
      </c>
    </row>
    <row r="980" spans="1:256" s="901" customFormat="1">
      <c r="A980" s="1057">
        <f ca="1">$Q$948 *(0.2*2*60)</f>
        <v>24.80267558528428</v>
      </c>
      <c r="B980" s="901" t="s">
        <v>320</v>
      </c>
      <c r="D980" s="901" t="s">
        <v>3138</v>
      </c>
      <c r="E980" s="901" t="s">
        <v>3124</v>
      </c>
      <c r="G980" s="941" t="s">
        <v>3222</v>
      </c>
      <c r="H980" s="942">
        <v>501</v>
      </c>
      <c r="I980" s="901" t="s">
        <v>3121</v>
      </c>
      <c r="J980" s="901" t="s">
        <v>3140</v>
      </c>
      <c r="K980" s="901" t="s">
        <v>3141</v>
      </c>
      <c r="O980" s="943">
        <v>1</v>
      </c>
      <c r="P980" s="944">
        <v>36175</v>
      </c>
      <c r="Q980" s="945">
        <f>ROUNDUP(2.07*1.145,2)</f>
        <v>2.38</v>
      </c>
      <c r="R980" s="946">
        <f t="shared" ca="1" si="198"/>
        <v>59.030367892976585</v>
      </c>
      <c r="S980" s="945"/>
      <c r="T980" s="947">
        <f t="shared" ca="1" si="199"/>
        <v>0</v>
      </c>
    </row>
    <row r="981" spans="1:256" s="901" customFormat="1">
      <c r="A981" s="1057">
        <f ca="1">$Q$948 *(60*4)</f>
        <v>248.0267558528428</v>
      </c>
      <c r="B981" s="901" t="s">
        <v>141</v>
      </c>
      <c r="D981" s="901" t="s">
        <v>3146</v>
      </c>
      <c r="G981" s="941" t="s">
        <v>3147</v>
      </c>
      <c r="H981" s="942">
        <v>501</v>
      </c>
      <c r="I981" s="901" t="s">
        <v>2607</v>
      </c>
      <c r="K981" s="901" t="s">
        <v>3148</v>
      </c>
      <c r="O981" s="943">
        <v>1</v>
      </c>
      <c r="P981" s="944"/>
      <c r="Q981" s="945">
        <v>0.35</v>
      </c>
      <c r="R981" s="946">
        <f t="shared" ca="1" si="198"/>
        <v>86.809364548494969</v>
      </c>
      <c r="S981" s="945"/>
      <c r="T981" s="947">
        <f t="shared" ca="1" si="199"/>
        <v>0</v>
      </c>
    </row>
    <row r="982" spans="1:256" s="901" customFormat="1">
      <c r="A982" s="1057">
        <f ca="1">$Q$948 *(2*2*60)</f>
        <v>248.0267558528428</v>
      </c>
      <c r="B982" s="901" t="s">
        <v>320</v>
      </c>
      <c r="D982" s="901" t="s">
        <v>3303</v>
      </c>
      <c r="G982" s="941" t="s">
        <v>3125</v>
      </c>
      <c r="H982" s="942">
        <v>501</v>
      </c>
      <c r="I982" s="901" t="s">
        <v>2607</v>
      </c>
      <c r="K982" s="901" t="s">
        <v>3107</v>
      </c>
      <c r="O982" s="943">
        <v>1</v>
      </c>
      <c r="P982" s="944">
        <v>36175</v>
      </c>
      <c r="Q982" s="945">
        <v>0.67</v>
      </c>
      <c r="R982" s="946">
        <f t="shared" ca="1" si="198"/>
        <v>166.17792642140469</v>
      </c>
      <c r="S982" s="945"/>
      <c r="T982" s="947">
        <f t="shared" ca="1" si="199"/>
        <v>0</v>
      </c>
    </row>
    <row r="983" spans="1:256" s="901" customFormat="1">
      <c r="A983" s="1057">
        <f ca="1">$Q$948 *(2*2*60)</f>
        <v>248.0267558528428</v>
      </c>
      <c r="B983" s="901" t="s">
        <v>141</v>
      </c>
      <c r="D983" s="901" t="s">
        <v>3223</v>
      </c>
      <c r="G983" s="941" t="s">
        <v>3224</v>
      </c>
      <c r="H983" s="942">
        <v>501</v>
      </c>
      <c r="I983" s="901" t="s">
        <v>2607</v>
      </c>
      <c r="K983" s="901" t="s">
        <v>3225</v>
      </c>
      <c r="O983" s="943">
        <v>1</v>
      </c>
      <c r="P983" s="944">
        <v>39094</v>
      </c>
      <c r="Q983" s="945">
        <v>0.15</v>
      </c>
      <c r="R983" s="946">
        <f t="shared" ca="1" si="198"/>
        <v>37.204013377926415</v>
      </c>
      <c r="S983" s="945"/>
      <c r="T983" s="947">
        <f t="shared" ca="1" si="199"/>
        <v>0</v>
      </c>
    </row>
    <row r="984" spans="1:256" s="901" customFormat="1">
      <c r="A984" s="1057">
        <f ca="1">$Q$948 *(8*60)</f>
        <v>496.05351170568559</v>
      </c>
      <c r="B984" s="901" t="s">
        <v>141</v>
      </c>
      <c r="D984" s="901" t="s">
        <v>3304</v>
      </c>
      <c r="G984" s="941" t="s">
        <v>3134</v>
      </c>
      <c r="H984" s="942">
        <v>501</v>
      </c>
      <c r="I984" s="901" t="s">
        <v>2607</v>
      </c>
      <c r="K984" s="901" t="s">
        <v>3226</v>
      </c>
      <c r="O984" s="943">
        <v>1</v>
      </c>
      <c r="P984" s="944"/>
      <c r="Q984" s="945">
        <v>0.1</v>
      </c>
      <c r="R984" s="946">
        <f t="shared" ca="1" si="198"/>
        <v>49.605351170568561</v>
      </c>
      <c r="S984" s="945"/>
      <c r="T984" s="947">
        <f t="shared" ca="1" si="199"/>
        <v>0</v>
      </c>
    </row>
    <row r="985" spans="1:256" s="901" customFormat="1">
      <c r="A985" s="1057">
        <f ca="1">$Q$948 *(8*60)</f>
        <v>496.05351170568559</v>
      </c>
      <c r="B985" s="901" t="s">
        <v>141</v>
      </c>
      <c r="D985" s="901" t="s">
        <v>3227</v>
      </c>
      <c r="G985" s="941" t="s">
        <v>3228</v>
      </c>
      <c r="H985" s="942">
        <v>501</v>
      </c>
      <c r="I985" s="901" t="s">
        <v>3121</v>
      </c>
      <c r="J985" s="901" t="s">
        <v>3158</v>
      </c>
      <c r="K985" s="901" t="s">
        <v>3229</v>
      </c>
      <c r="O985" s="943">
        <v>1</v>
      </c>
      <c r="P985" s="944">
        <v>36175</v>
      </c>
      <c r="Q985" s="945">
        <v>0.77</v>
      </c>
      <c r="R985" s="946">
        <f t="shared" ca="1" si="198"/>
        <v>381.96120401337794</v>
      </c>
      <c r="S985" s="945"/>
      <c r="T985" s="947">
        <f t="shared" ca="1" si="199"/>
        <v>0</v>
      </c>
    </row>
    <row r="986" spans="1:256" s="901" customFormat="1">
      <c r="A986" s="1057">
        <f ca="1">$Q$948 *(8*60)</f>
        <v>496.05351170568559</v>
      </c>
      <c r="B986" s="901" t="s">
        <v>141</v>
      </c>
      <c r="D986" s="901" t="s">
        <v>3306</v>
      </c>
      <c r="G986" s="941" t="s">
        <v>3136</v>
      </c>
      <c r="H986" s="942">
        <v>501</v>
      </c>
      <c r="I986" s="901" t="s">
        <v>2607</v>
      </c>
      <c r="K986" s="901" t="s">
        <v>3307</v>
      </c>
      <c r="O986" s="943">
        <v>1</v>
      </c>
      <c r="P986" s="944"/>
      <c r="Q986" s="945">
        <v>0.05</v>
      </c>
      <c r="R986" s="946">
        <f ca="1">$A986*Q986</f>
        <v>24.80267558528428</v>
      </c>
      <c r="S986" s="945"/>
      <c r="T986" s="947">
        <f ca="1">$A986*S986*$T$1</f>
        <v>0</v>
      </c>
    </row>
    <row r="987" spans="1:256" s="901" customFormat="1">
      <c r="A987" s="1057">
        <f ca="1">$Q$948 *(8*60)</f>
        <v>496.05351170568559</v>
      </c>
      <c r="B987" s="901" t="s">
        <v>141</v>
      </c>
      <c r="D987" s="901" t="s">
        <v>3230</v>
      </c>
      <c r="G987" s="941" t="s">
        <v>3231</v>
      </c>
      <c r="H987" s="942">
        <v>501</v>
      </c>
      <c r="I987" s="901" t="s">
        <v>2607</v>
      </c>
      <c r="K987" s="901" t="s">
        <v>3232</v>
      </c>
      <c r="O987" s="943">
        <v>1</v>
      </c>
      <c r="P987" s="944"/>
      <c r="Q987" s="945">
        <v>0.1</v>
      </c>
      <c r="R987" s="946">
        <f ca="1">$A987*Q987</f>
        <v>49.605351170568561</v>
      </c>
      <c r="S987" s="945"/>
      <c r="T987" s="947">
        <f ca="1">$A987*S987*$T$1</f>
        <v>0</v>
      </c>
    </row>
    <row r="988" spans="1:256" s="901" customFormat="1">
      <c r="A988" s="1057">
        <f ca="1">$Q$948 *(60)</f>
        <v>62.006688963210699</v>
      </c>
      <c r="B988" s="901" t="s">
        <v>141</v>
      </c>
      <c r="D988" s="901" t="s">
        <v>3302</v>
      </c>
      <c r="G988" s="941" t="s">
        <v>3132</v>
      </c>
      <c r="H988" s="942">
        <v>900</v>
      </c>
      <c r="I988" s="901" t="s">
        <v>2596</v>
      </c>
      <c r="O988" s="943">
        <v>1</v>
      </c>
      <c r="P988" s="944"/>
      <c r="Q988" s="1063"/>
      <c r="R988" s="946">
        <f ca="1">$A988*Q988</f>
        <v>0</v>
      </c>
      <c r="S988" s="1197">
        <v>0.5</v>
      </c>
      <c r="T988" s="947">
        <f ca="1">$A988*S988*$T$1</f>
        <v>27.903010033444815</v>
      </c>
      <c r="U988" s="901" t="s">
        <v>2764</v>
      </c>
      <c r="X988" s="901">
        <v>0.75</v>
      </c>
    </row>
    <row r="989" spans="1:256" s="901" customFormat="1">
      <c r="A989" s="1057">
        <f ca="1">$Q$948 *(1)</f>
        <v>1.0334448160535117</v>
      </c>
      <c r="B989" s="1084" t="s">
        <v>863</v>
      </c>
      <c r="C989" s="1084"/>
      <c r="D989" s="1084" t="s">
        <v>2752</v>
      </c>
      <c r="E989" s="1084"/>
      <c r="F989" s="1084" t="s">
        <v>3326</v>
      </c>
      <c r="G989" s="1091" t="s">
        <v>2754</v>
      </c>
      <c r="H989" s="1092">
        <v>962</v>
      </c>
      <c r="I989" s="1084" t="s">
        <v>2596</v>
      </c>
      <c r="J989" s="1084"/>
      <c r="K989" s="1084"/>
      <c r="L989" s="1084"/>
      <c r="M989" s="1084"/>
      <c r="N989" s="1084"/>
      <c r="O989" s="1093">
        <v>2</v>
      </c>
      <c r="P989" s="1094">
        <v>38129</v>
      </c>
      <c r="Q989" s="1205">
        <f>0.41 *(1 *(140/8*120))</f>
        <v>861</v>
      </c>
      <c r="R989" s="1096">
        <f ca="1">$A989*Q989</f>
        <v>889.79598662207354</v>
      </c>
      <c r="S989" s="1095"/>
      <c r="T989" s="1097">
        <f ca="1">$A989*S989*$T$1</f>
        <v>0</v>
      </c>
      <c r="AD989" s="1084" t="s">
        <v>3326</v>
      </c>
    </row>
    <row r="990" spans="1:256" s="901" customFormat="1">
      <c r="A990" s="1057">
        <f ca="1">$Q$948 *(1)</f>
        <v>1.0334448160535117</v>
      </c>
      <c r="B990" s="901" t="s">
        <v>2755</v>
      </c>
      <c r="D990" s="901" t="s">
        <v>3325</v>
      </c>
      <c r="F990" s="901" t="s">
        <v>3666</v>
      </c>
      <c r="G990" s="941" t="s">
        <v>3324</v>
      </c>
      <c r="H990" s="942">
        <v>845</v>
      </c>
      <c r="I990" s="901" t="s">
        <v>2607</v>
      </c>
      <c r="O990" s="943">
        <v>3</v>
      </c>
      <c r="P990" s="944">
        <v>39713</v>
      </c>
      <c r="Q990" s="1205">
        <f>0.41 *(140/8*25)</f>
        <v>179.375</v>
      </c>
      <c r="R990" s="946">
        <f ca="1">$A990*Q990</f>
        <v>185.37416387959865</v>
      </c>
      <c r="S990" s="945"/>
      <c r="T990" s="947">
        <f ca="1">$A990*S990*$T$1</f>
        <v>0</v>
      </c>
      <c r="AD990" s="901" t="s">
        <v>3666</v>
      </c>
    </row>
    <row r="991" spans="1:256" s="901" customFormat="1" ht="12" customHeight="1">
      <c r="A991" s="758"/>
      <c r="B991" s="3"/>
      <c r="C991" s="758" t="s">
        <v>171</v>
      </c>
      <c r="D991" s="3"/>
      <c r="E991" s="758"/>
      <c r="F991" s="753"/>
      <c r="G991" s="758"/>
      <c r="H991" s="758"/>
      <c r="I991" s="519"/>
      <c r="J991" s="758"/>
      <c r="K991" s="758"/>
      <c r="L991" s="758"/>
      <c r="M991" s="758"/>
      <c r="N991" s="758"/>
      <c r="O991" s="758"/>
      <c r="P991" s="758"/>
      <c r="Q991" s="519"/>
      <c r="R991" s="917">
        <f t="shared" si="182"/>
        <v>0</v>
      </c>
      <c r="S991" s="519"/>
      <c r="T991" s="760">
        <f t="shared" si="183"/>
        <v>0</v>
      </c>
      <c r="U991" s="520"/>
      <c r="V991" s="520"/>
      <c r="W991" s="520"/>
      <c r="X991" s="520"/>
      <c r="Y991" s="520"/>
      <c r="Z991" s="520"/>
      <c r="AA991" s="520"/>
      <c r="AB991" s="520"/>
      <c r="AC991" s="520"/>
      <c r="AD991" s="753"/>
      <c r="AE991" s="520"/>
      <c r="AF991" s="520"/>
      <c r="AG991" s="520"/>
      <c r="AH991" s="520"/>
      <c r="AI991" s="520"/>
      <c r="AJ991" s="520"/>
      <c r="AK991" s="520"/>
      <c r="AL991" s="520"/>
      <c r="AM991" s="520"/>
      <c r="AN991" s="520"/>
      <c r="AO991" s="520"/>
      <c r="AP991" s="520"/>
      <c r="AQ991" s="520"/>
      <c r="AR991" s="520"/>
      <c r="AS991" s="520"/>
      <c r="AT991" s="520"/>
      <c r="AU991" s="520"/>
      <c r="AV991" s="520"/>
      <c r="AW991" s="520"/>
      <c r="AX991" s="520"/>
      <c r="AY991" s="520"/>
      <c r="AZ991" s="520"/>
      <c r="BA991" s="520"/>
      <c r="BB991" s="520"/>
      <c r="BC991" s="520"/>
      <c r="BD991" s="520"/>
      <c r="BE991" s="520"/>
      <c r="BF991" s="520"/>
      <c r="BG991" s="520"/>
      <c r="BH991" s="520"/>
      <c r="BI991" s="520"/>
      <c r="BJ991" s="520"/>
      <c r="BK991" s="520"/>
      <c r="BL991" s="520"/>
      <c r="BM991" s="520"/>
      <c r="BN991" s="520"/>
      <c r="BO991" s="520"/>
      <c r="BP991" s="520"/>
      <c r="BQ991" s="520"/>
      <c r="BR991" s="520"/>
      <c r="BS991" s="520"/>
      <c r="BT991" s="520"/>
      <c r="BU991" s="520"/>
      <c r="BV991" s="520"/>
      <c r="BW991" s="520"/>
      <c r="BX991" s="520"/>
      <c r="BY991" s="520"/>
      <c r="BZ991" s="520"/>
      <c r="CA991" s="520"/>
      <c r="CB991" s="520"/>
      <c r="CC991" s="520"/>
      <c r="CD991" s="520"/>
      <c r="CE991" s="520"/>
      <c r="CF991" s="520"/>
      <c r="CG991" s="520"/>
      <c r="CH991" s="520"/>
      <c r="CI991" s="520"/>
      <c r="CJ991" s="520"/>
      <c r="CK991" s="520"/>
      <c r="CL991" s="520"/>
      <c r="CM991" s="520"/>
      <c r="CN991" s="520"/>
      <c r="CO991" s="520"/>
      <c r="CP991" s="520"/>
      <c r="CQ991" s="520"/>
      <c r="CR991" s="520"/>
      <c r="CS991" s="520"/>
      <c r="CT991" s="520"/>
      <c r="CU991" s="520"/>
      <c r="CV991" s="520"/>
      <c r="CW991" s="520"/>
      <c r="CX991" s="520"/>
      <c r="CY991" s="520"/>
      <c r="CZ991" s="520"/>
      <c r="DA991" s="520"/>
      <c r="DB991" s="520"/>
      <c r="DC991" s="520"/>
      <c r="DD991" s="520"/>
      <c r="DE991" s="520"/>
      <c r="DF991" s="520"/>
      <c r="DG991" s="520"/>
      <c r="DH991" s="520"/>
      <c r="DI991" s="520"/>
      <c r="DJ991" s="520"/>
      <c r="DK991" s="520"/>
      <c r="DL991" s="520"/>
      <c r="DM991" s="520"/>
      <c r="DN991" s="520"/>
      <c r="DO991" s="520"/>
      <c r="DP991" s="520"/>
      <c r="DQ991" s="520"/>
      <c r="DR991" s="520"/>
      <c r="DS991" s="520"/>
      <c r="DT991" s="520"/>
      <c r="DU991" s="520"/>
      <c r="DV991" s="520"/>
      <c r="DW991" s="520"/>
      <c r="DX991" s="520"/>
      <c r="DY991" s="520"/>
      <c r="DZ991" s="520"/>
      <c r="EA991" s="520"/>
      <c r="EB991" s="520"/>
      <c r="EC991" s="520"/>
      <c r="ED991" s="520"/>
      <c r="EE991" s="520"/>
      <c r="EF991" s="520"/>
      <c r="EG991" s="520"/>
      <c r="EH991" s="520"/>
      <c r="EI991" s="520"/>
      <c r="EJ991" s="520"/>
      <c r="EK991" s="520"/>
      <c r="EL991" s="520"/>
      <c r="EM991" s="520"/>
      <c r="EN991" s="520"/>
      <c r="EO991" s="520"/>
      <c r="EP991" s="520"/>
      <c r="EQ991" s="520"/>
      <c r="ER991" s="520"/>
      <c r="ES991" s="520"/>
      <c r="ET991" s="520"/>
      <c r="EU991" s="520"/>
      <c r="EV991" s="520"/>
      <c r="EW991" s="520"/>
      <c r="EX991" s="520"/>
      <c r="EY991" s="520"/>
      <c r="EZ991" s="520"/>
      <c r="FA991" s="520"/>
      <c r="FB991" s="520"/>
      <c r="FC991" s="520"/>
      <c r="FD991" s="520"/>
      <c r="FE991" s="520"/>
      <c r="FF991" s="520"/>
      <c r="FG991" s="520"/>
      <c r="FH991" s="520"/>
      <c r="FI991" s="520"/>
      <c r="FJ991" s="520"/>
      <c r="FK991" s="520"/>
      <c r="FL991" s="520"/>
      <c r="FM991" s="520"/>
      <c r="FN991" s="520"/>
      <c r="FO991" s="520"/>
      <c r="FP991" s="520"/>
      <c r="FQ991" s="520"/>
      <c r="FR991" s="520"/>
      <c r="FS991" s="520"/>
      <c r="FT991" s="520"/>
      <c r="FU991" s="520"/>
      <c r="FV991" s="520"/>
      <c r="FW991" s="520"/>
      <c r="FX991" s="520"/>
      <c r="FY991" s="520"/>
      <c r="FZ991" s="520"/>
      <c r="GA991" s="520"/>
      <c r="GB991" s="520"/>
      <c r="GC991" s="520"/>
      <c r="GD991" s="520"/>
      <c r="GE991" s="520"/>
      <c r="GF991" s="520"/>
      <c r="GG991" s="520"/>
      <c r="GH991" s="520"/>
      <c r="GI991" s="520"/>
      <c r="GJ991" s="520"/>
      <c r="GK991" s="520"/>
      <c r="GL991" s="520"/>
      <c r="GM991" s="520"/>
      <c r="GN991" s="520"/>
      <c r="GO991" s="520"/>
      <c r="GP991" s="520"/>
      <c r="GQ991" s="520"/>
      <c r="GR991" s="520"/>
      <c r="GS991" s="520"/>
      <c r="GT991" s="520"/>
      <c r="GU991" s="520"/>
      <c r="GV991" s="520"/>
      <c r="GW991" s="520"/>
      <c r="GX991" s="520"/>
      <c r="GY991" s="520"/>
      <c r="GZ991" s="520"/>
      <c r="HA991" s="520"/>
      <c r="HB991" s="520"/>
      <c r="HC991" s="520"/>
      <c r="HD991" s="520"/>
      <c r="HE991" s="520"/>
      <c r="HF991" s="520"/>
      <c r="HG991" s="520"/>
      <c r="HH991" s="520"/>
      <c r="HI991" s="520"/>
      <c r="HJ991" s="520"/>
      <c r="HK991" s="520"/>
      <c r="HL991" s="520"/>
      <c r="HM991" s="520"/>
      <c r="HN991" s="520"/>
      <c r="HO991" s="520"/>
      <c r="HP991" s="520"/>
      <c r="HQ991" s="520"/>
      <c r="HR991" s="520"/>
      <c r="HS991" s="520"/>
      <c r="HT991" s="520"/>
      <c r="HU991" s="520"/>
      <c r="HV991" s="520"/>
      <c r="HW991" s="520"/>
      <c r="HX991" s="520"/>
      <c r="HY991" s="520"/>
      <c r="HZ991" s="520"/>
      <c r="IA991" s="520"/>
      <c r="IB991" s="520"/>
      <c r="IC991" s="520"/>
      <c r="ID991" s="520"/>
      <c r="IE991" s="520"/>
      <c r="IF991" s="520"/>
      <c r="IG991" s="520"/>
      <c r="IH991" s="520"/>
      <c r="II991" s="520"/>
      <c r="IJ991" s="520"/>
      <c r="IK991" s="520"/>
      <c r="IL991" s="520"/>
      <c r="IM991" s="520"/>
      <c r="IN991" s="520"/>
      <c r="IO991" s="520"/>
      <c r="IP991" s="520"/>
      <c r="IQ991" s="520"/>
      <c r="IR991" s="520"/>
      <c r="IS991" s="520"/>
      <c r="IT991" s="520"/>
      <c r="IU991" s="520"/>
      <c r="IV991" s="520"/>
    </row>
    <row r="992" spans="1:256" ht="13.8" thickBot="1">
      <c r="A992" s="761" t="s">
        <v>145</v>
      </c>
      <c r="B992" s="762">
        <f>(R991+T991)</f>
        <v>0</v>
      </c>
      <c r="C992" s="763"/>
      <c r="D992" s="937" t="s">
        <v>172</v>
      </c>
      <c r="E992" s="477">
        <f ca="1">IF($B948=0,0,ROUND(ROUND(($R992*$S$2+($T992*$T$2))/$B948, 2)*$C$2,2))</f>
        <v>34.5</v>
      </c>
      <c r="F992" s="478">
        <f ca="1">ROUND($B948*$E992,2)</f>
        <v>31981.5</v>
      </c>
      <c r="G992" s="763"/>
      <c r="H992" s="763"/>
      <c r="I992" s="765"/>
      <c r="J992" s="763"/>
      <c r="K992" s="938" t="s">
        <v>143</v>
      </c>
      <c r="L992" s="766" t="s">
        <v>143</v>
      </c>
      <c r="M992" s="766"/>
      <c r="N992" s="766"/>
      <c r="O992" s="766"/>
      <c r="P992" s="766"/>
      <c r="Q992" s="938"/>
      <c r="R992" s="939">
        <f ca="1">SUM(R949:R991)</f>
        <v>22603.716872909707</v>
      </c>
      <c r="S992" s="940"/>
      <c r="T992" s="939">
        <f ca="1">SUM(T949:T991)</f>
        <v>122.7732441471572</v>
      </c>
      <c r="U992" s="531"/>
      <c r="V992" s="531"/>
      <c r="W992" s="531"/>
      <c r="X992" s="531"/>
      <c r="Y992" s="531"/>
      <c r="Z992" s="531"/>
      <c r="AA992" s="531"/>
      <c r="AB992" s="531"/>
      <c r="AC992" s="520"/>
      <c r="AD992" s="478">
        <v>36168.199999999997</v>
      </c>
      <c r="AE992" s="520"/>
      <c r="AF992" s="520"/>
      <c r="AG992" s="520"/>
      <c r="AH992" s="520"/>
      <c r="AI992" s="520"/>
      <c r="AJ992" s="520"/>
      <c r="AK992" s="520"/>
      <c r="AL992" s="520"/>
      <c r="AM992" s="520"/>
      <c r="AN992" s="520"/>
      <c r="AO992" s="520"/>
      <c r="AP992" s="520"/>
      <c r="AQ992" s="520"/>
      <c r="AR992" s="520"/>
      <c r="AS992" s="520"/>
      <c r="AT992" s="520"/>
      <c r="AU992" s="520"/>
      <c r="AV992" s="520"/>
      <c r="AW992" s="520"/>
      <c r="AX992" s="520"/>
      <c r="AY992" s="520"/>
      <c r="AZ992" s="520"/>
      <c r="BA992" s="520"/>
      <c r="BB992" s="520"/>
      <c r="BC992" s="520"/>
      <c r="BD992" s="520"/>
      <c r="BE992" s="520"/>
      <c r="BF992" s="520"/>
      <c r="BG992" s="520"/>
      <c r="BH992" s="520"/>
      <c r="BI992" s="520"/>
      <c r="BJ992" s="520"/>
      <c r="BK992" s="520"/>
      <c r="BL992" s="520"/>
      <c r="BM992" s="520"/>
      <c r="BN992" s="520"/>
      <c r="BO992" s="520"/>
      <c r="BP992" s="520"/>
      <c r="BQ992" s="520"/>
      <c r="BR992" s="520"/>
      <c r="BS992" s="520"/>
      <c r="BT992" s="520"/>
      <c r="BU992" s="520"/>
      <c r="BV992" s="520"/>
      <c r="BW992" s="520"/>
      <c r="BX992" s="520"/>
      <c r="BY992" s="520"/>
      <c r="BZ992" s="520"/>
      <c r="CA992" s="520"/>
      <c r="CB992" s="520"/>
      <c r="CC992" s="520"/>
      <c r="CD992" s="520"/>
      <c r="CE992" s="520"/>
      <c r="CF992" s="520"/>
      <c r="CG992" s="520"/>
      <c r="CH992" s="520"/>
      <c r="CI992" s="520"/>
      <c r="CJ992" s="520"/>
      <c r="CK992" s="520"/>
      <c r="CL992" s="520"/>
      <c r="CM992" s="520"/>
      <c r="CN992" s="520"/>
      <c r="CO992" s="520"/>
      <c r="CP992" s="520"/>
      <c r="CQ992" s="520"/>
      <c r="CR992" s="520"/>
      <c r="CS992" s="520"/>
      <c r="CT992" s="520"/>
      <c r="CU992" s="520"/>
      <c r="CV992" s="520"/>
      <c r="CW992" s="520"/>
      <c r="CX992" s="520"/>
      <c r="CY992" s="520"/>
      <c r="CZ992" s="520"/>
      <c r="DA992" s="520"/>
      <c r="DB992" s="520"/>
      <c r="DC992" s="520"/>
      <c r="DD992" s="520"/>
      <c r="DE992" s="520"/>
      <c r="DF992" s="520"/>
      <c r="DG992" s="520"/>
      <c r="DH992" s="520"/>
      <c r="DI992" s="520"/>
      <c r="DJ992" s="520"/>
      <c r="DK992" s="520"/>
      <c r="DL992" s="520"/>
      <c r="DM992" s="520"/>
      <c r="DN992" s="520"/>
      <c r="DO992" s="520"/>
      <c r="DP992" s="520"/>
      <c r="DQ992" s="520"/>
      <c r="DR992" s="520"/>
      <c r="DS992" s="520"/>
      <c r="DT992" s="520"/>
      <c r="DU992" s="520"/>
      <c r="DV992" s="520"/>
      <c r="DW992" s="520"/>
      <c r="DX992" s="520"/>
      <c r="DY992" s="520"/>
      <c r="DZ992" s="520"/>
      <c r="EA992" s="520"/>
      <c r="EB992" s="520"/>
      <c r="EC992" s="520"/>
      <c r="ED992" s="520"/>
      <c r="EE992" s="520"/>
      <c r="EF992" s="520"/>
      <c r="EG992" s="520"/>
      <c r="EH992" s="520"/>
      <c r="EI992" s="520"/>
      <c r="EJ992" s="520"/>
      <c r="EK992" s="520"/>
      <c r="EL992" s="520"/>
      <c r="EM992" s="520"/>
      <c r="EN992" s="520"/>
      <c r="EO992" s="520"/>
      <c r="EP992" s="520"/>
      <c r="EQ992" s="520"/>
      <c r="ER992" s="520"/>
      <c r="ES992" s="520"/>
      <c r="ET992" s="520"/>
      <c r="EU992" s="520"/>
      <c r="EV992" s="520"/>
      <c r="EW992" s="520"/>
      <c r="EX992" s="520"/>
      <c r="EY992" s="520"/>
      <c r="EZ992" s="520"/>
      <c r="FA992" s="520"/>
      <c r="FB992" s="520"/>
      <c r="FC992" s="520"/>
      <c r="FD992" s="520"/>
      <c r="FE992" s="520"/>
      <c r="FF992" s="520"/>
      <c r="FG992" s="520"/>
      <c r="FH992" s="520"/>
      <c r="FI992" s="520"/>
      <c r="FJ992" s="520"/>
      <c r="FK992" s="520"/>
      <c r="FL992" s="520"/>
      <c r="FM992" s="520"/>
      <c r="FN992" s="520"/>
      <c r="FO992" s="520"/>
      <c r="FP992" s="520"/>
      <c r="FQ992" s="520"/>
      <c r="FR992" s="520"/>
      <c r="FS992" s="520"/>
      <c r="FT992" s="520"/>
      <c r="FU992" s="520"/>
      <c r="FV992" s="520"/>
      <c r="FW992" s="520"/>
      <c r="FX992" s="520"/>
      <c r="FY992" s="520"/>
      <c r="FZ992" s="520"/>
      <c r="GA992" s="520"/>
      <c r="GB992" s="520"/>
      <c r="GC992" s="520"/>
      <c r="GD992" s="520"/>
      <c r="GE992" s="520"/>
      <c r="GF992" s="520"/>
      <c r="GG992" s="520"/>
      <c r="GH992" s="520"/>
      <c r="GI992" s="520"/>
      <c r="GJ992" s="520"/>
      <c r="GK992" s="520"/>
      <c r="GL992" s="520"/>
      <c r="GM992" s="520"/>
      <c r="GN992" s="520"/>
      <c r="GO992" s="520"/>
      <c r="GP992" s="520"/>
      <c r="GQ992" s="520"/>
      <c r="GR992" s="520"/>
      <c r="GS992" s="520"/>
      <c r="GT992" s="520"/>
      <c r="GU992" s="520"/>
      <c r="GV992" s="520"/>
      <c r="GW992" s="520"/>
      <c r="GX992" s="520"/>
      <c r="GY992" s="520"/>
      <c r="GZ992" s="520"/>
      <c r="HA992" s="520"/>
      <c r="HB992" s="520"/>
      <c r="HC992" s="520"/>
      <c r="HD992" s="520"/>
      <c r="HE992" s="520"/>
      <c r="HF992" s="520"/>
      <c r="HG992" s="520"/>
      <c r="HH992" s="520"/>
      <c r="HI992" s="520"/>
      <c r="HJ992" s="520"/>
      <c r="HK992" s="520"/>
      <c r="HL992" s="520"/>
      <c r="HM992" s="520"/>
      <c r="HN992" s="520"/>
      <c r="HO992" s="520"/>
      <c r="HP992" s="520"/>
      <c r="HQ992" s="520"/>
      <c r="HR992" s="520"/>
      <c r="HS992" s="520"/>
      <c r="HT992" s="520"/>
      <c r="HU992" s="520"/>
      <c r="HV992" s="520"/>
      <c r="HW992" s="520"/>
      <c r="HX992" s="520"/>
      <c r="HY992" s="520"/>
      <c r="HZ992" s="520"/>
      <c r="IA992" s="520"/>
      <c r="IB992" s="520"/>
      <c r="IC992" s="520"/>
      <c r="ID992" s="520"/>
      <c r="IE992" s="520"/>
      <c r="IF992" s="520"/>
      <c r="IG992" s="520"/>
      <c r="IH992" s="520"/>
      <c r="II992" s="520"/>
      <c r="IJ992" s="520"/>
      <c r="IK992" s="520"/>
      <c r="IL992" s="520"/>
      <c r="IM992" s="520"/>
      <c r="IN992" s="520"/>
      <c r="IO992" s="520"/>
      <c r="IP992" s="520"/>
      <c r="IQ992" s="520"/>
      <c r="IR992" s="520"/>
      <c r="IS992" s="520"/>
      <c r="IT992" s="520"/>
      <c r="IU992" s="520"/>
      <c r="IV992" s="520"/>
    </row>
    <row r="993" spans="1:30" s="520" customFormat="1" ht="12" thickTop="1">
      <c r="A993" s="51"/>
      <c r="B993" s="51"/>
      <c r="C993" s="51"/>
      <c r="D993" s="51"/>
      <c r="E993" s="51"/>
      <c r="F993" s="51"/>
      <c r="G993" s="51"/>
      <c r="H993" s="51"/>
      <c r="I993" s="51"/>
      <c r="J993" s="51"/>
      <c r="K993" s="51"/>
      <c r="L993" s="51"/>
      <c r="M993" s="51"/>
      <c r="N993" s="51"/>
      <c r="O993" s="52"/>
      <c r="P993" s="51"/>
      <c r="Q993" s="42" t="s">
        <v>168</v>
      </c>
      <c r="R993" s="51"/>
      <c r="S993" s="13"/>
      <c r="T993" s="51"/>
      <c r="AD993" s="51"/>
    </row>
    <row r="994" spans="1:30" s="520" customFormat="1" ht="12" customHeight="1" thickBot="1">
      <c r="A994" s="927">
        <v>897</v>
      </c>
      <c r="B994" s="928">
        <f ca="1">Elec_Est!B11635</f>
        <v>927</v>
      </c>
      <c r="C994" s="929"/>
      <c r="D994" s="930" t="s">
        <v>3591</v>
      </c>
      <c r="E994" s="931"/>
      <c r="F994" s="931"/>
      <c r="G994" s="752"/>
      <c r="H994" s="752"/>
      <c r="I994" s="932"/>
      <c r="J994" s="752"/>
      <c r="K994" s="929" t="s">
        <v>169</v>
      </c>
      <c r="L994" s="933" t="s">
        <v>169</v>
      </c>
      <c r="M994" s="933"/>
      <c r="N994" s="933"/>
      <c r="O994" s="933"/>
      <c r="P994" s="933"/>
      <c r="Q994" s="934">
        <f ca="1">B994/A994</f>
        <v>1.0334448160535117</v>
      </c>
      <c r="R994" s="935">
        <f ca="1">IF($B994=0,0,IF($S$1="R",ROUND(R999/$B994,2),R999/$B994))</f>
        <v>2.11</v>
      </c>
      <c r="S994" s="936"/>
      <c r="T994" s="935">
        <f ca="1">IF($B994=0,0,IF($S$1="R",ROUND(T999/$B994,2),T999/$B994))</f>
        <v>0</v>
      </c>
      <c r="AD994" s="931"/>
    </row>
    <row r="995" spans="1:30" s="520" customFormat="1" ht="13.8" thickTop="1">
      <c r="A995" s="748"/>
      <c r="B995" s="3"/>
      <c r="C995" s="3"/>
      <c r="D995" s="106" t="s">
        <v>3327</v>
      </c>
      <c r="E995" s="3"/>
      <c r="F995" s="3"/>
      <c r="G995" s="3"/>
      <c r="H995" s="3"/>
      <c r="I995" s="3"/>
      <c r="J995" s="3"/>
      <c r="K995" s="3"/>
      <c r="L995" s="3"/>
      <c r="M995" s="3"/>
      <c r="N995" s="3"/>
      <c r="O995" s="107"/>
      <c r="P995" s="3"/>
      <c r="Q995" s="3"/>
      <c r="R995" s="3"/>
      <c r="S995" s="3"/>
      <c r="T995" s="3"/>
      <c r="AD995" s="3"/>
    </row>
    <row r="996" spans="1:30" s="901" customFormat="1">
      <c r="A996" s="1057">
        <f ca="1">$Q$994 *(1)</f>
        <v>1.0334448160535117</v>
      </c>
      <c r="B996" s="1084" t="s">
        <v>863</v>
      </c>
      <c r="C996" s="1084"/>
      <c r="D996" s="1084" t="s">
        <v>2752</v>
      </c>
      <c r="E996" s="1084"/>
      <c r="F996" s="1084" t="s">
        <v>3326</v>
      </c>
      <c r="G996" s="1091" t="s">
        <v>2754</v>
      </c>
      <c r="H996" s="1092">
        <v>962</v>
      </c>
      <c r="I996" s="1084" t="s">
        <v>2596</v>
      </c>
      <c r="J996" s="1084"/>
      <c r="K996" s="1084"/>
      <c r="L996" s="1084"/>
      <c r="M996" s="1084"/>
      <c r="N996" s="1084"/>
      <c r="O996" s="1093">
        <v>2</v>
      </c>
      <c r="P996" s="1094">
        <v>38129</v>
      </c>
      <c r="Q996" s="945">
        <f>0.41 *(1 *(255/8*120))</f>
        <v>1568.25</v>
      </c>
      <c r="R996" s="1096">
        <f ca="1">$A996*Q996</f>
        <v>1620.6998327759197</v>
      </c>
      <c r="S996" s="1095"/>
      <c r="T996" s="1097">
        <f ca="1">$A996*S996*$T$1</f>
        <v>0</v>
      </c>
      <c r="AD996" s="1084" t="s">
        <v>3326</v>
      </c>
    </row>
    <row r="997" spans="1:30" s="901" customFormat="1">
      <c r="A997" s="1057">
        <f ca="1">$Q$994 *(1)</f>
        <v>1.0334448160535117</v>
      </c>
      <c r="B997" s="901" t="s">
        <v>2755</v>
      </c>
      <c r="D997" s="901" t="s">
        <v>3325</v>
      </c>
      <c r="F997" s="901" t="s">
        <v>3666</v>
      </c>
      <c r="G997" s="941" t="s">
        <v>3324</v>
      </c>
      <c r="H997" s="942">
        <v>845</v>
      </c>
      <c r="I997" s="901" t="s">
        <v>2607</v>
      </c>
      <c r="O997" s="943">
        <v>3</v>
      </c>
      <c r="P997" s="944">
        <v>39713</v>
      </c>
      <c r="Q997" s="945">
        <f>0.41 *(255/8*25)</f>
        <v>326.71875</v>
      </c>
      <c r="R997" s="946">
        <f ca="1">$A997*Q997</f>
        <v>337.6457984949833</v>
      </c>
      <c r="S997" s="945"/>
      <c r="T997" s="947">
        <f ca="1">$A997*S997*$T$1</f>
        <v>0</v>
      </c>
      <c r="AD997" s="901" t="s">
        <v>3666</v>
      </c>
    </row>
    <row r="998" spans="1:30" s="520" customFormat="1">
      <c r="A998" s="758"/>
      <c r="B998" s="3"/>
      <c r="C998" s="758" t="s">
        <v>171</v>
      </c>
      <c r="D998" s="3"/>
      <c r="E998" s="758"/>
      <c r="F998" s="753"/>
      <c r="G998" s="758"/>
      <c r="H998" s="758"/>
      <c r="I998" s="519"/>
      <c r="J998" s="758"/>
      <c r="K998" s="758"/>
      <c r="L998" s="758"/>
      <c r="M998" s="758"/>
      <c r="N998" s="758"/>
      <c r="O998" s="758"/>
      <c r="P998" s="758"/>
      <c r="Q998" s="519"/>
      <c r="R998" s="917">
        <f t="shared" ref="R998" si="200">$A998*Q998</f>
        <v>0</v>
      </c>
      <c r="S998" s="519"/>
      <c r="T998" s="760">
        <f t="shared" ref="T998" si="201">$A998*S998*$T$1</f>
        <v>0</v>
      </c>
      <c r="AD998" s="753"/>
    </row>
    <row r="999" spans="1:30" s="520" customFormat="1" ht="12.6" thickBot="1">
      <c r="A999" s="761" t="s">
        <v>145</v>
      </c>
      <c r="B999" s="762">
        <f>(R998+T998)</f>
        <v>0</v>
      </c>
      <c r="C999" s="763"/>
      <c r="D999" s="937" t="s">
        <v>172</v>
      </c>
      <c r="E999" s="477">
        <f ca="1">IF($B994=0,0,ROUND(ROUND(($R999*$S$2+($T999*$T$2))/$B994, 2)*$C$2,2))</f>
        <v>2.6</v>
      </c>
      <c r="F999" s="478">
        <f ca="1">ROUND($B994*$E999,2)</f>
        <v>2410.1999999999998</v>
      </c>
      <c r="G999" s="763"/>
      <c r="H999" s="763"/>
      <c r="I999" s="765"/>
      <c r="J999" s="763"/>
      <c r="K999" s="938" t="s">
        <v>143</v>
      </c>
      <c r="L999" s="766" t="s">
        <v>143</v>
      </c>
      <c r="M999" s="766"/>
      <c r="N999" s="766"/>
      <c r="O999" s="766"/>
      <c r="P999" s="766"/>
      <c r="Q999" s="938"/>
      <c r="R999" s="939">
        <f ca="1">SUM(R995:R998)</f>
        <v>1958.3456312709031</v>
      </c>
      <c r="S999" s="940"/>
      <c r="T999" s="939">
        <f ca="1">SUM(T995:T998)</f>
        <v>0</v>
      </c>
      <c r="U999" s="531"/>
      <c r="V999" s="531"/>
      <c r="W999" s="531"/>
      <c r="X999" s="531"/>
      <c r="Y999" s="531"/>
      <c r="Z999" s="531"/>
      <c r="AA999" s="531"/>
      <c r="AB999" s="531"/>
      <c r="AD999" s="478">
        <v>6193.57</v>
      </c>
    </row>
    <row r="1000" spans="1:30" s="520" customFormat="1" ht="13.8" thickTop="1">
      <c r="A1000" s="51"/>
      <c r="B1000" s="51"/>
      <c r="C1000" s="3"/>
      <c r="D1000" s="3"/>
      <c r="E1000" s="51"/>
      <c r="F1000" s="51"/>
      <c r="G1000" s="51"/>
      <c r="H1000" s="51"/>
      <c r="I1000" s="51"/>
      <c r="J1000" s="51"/>
      <c r="K1000" s="51" t="s">
        <v>134</v>
      </c>
      <c r="L1000" s="51"/>
      <c r="M1000" s="51"/>
      <c r="N1000" s="51"/>
      <c r="O1000" s="52"/>
      <c r="P1000" s="51"/>
      <c r="Q1000" s="51"/>
      <c r="R1000" s="51"/>
      <c r="S1000" s="51"/>
      <c r="T1000" s="51"/>
      <c r="AD1000" s="51"/>
    </row>
    <row r="1001" spans="1:30" s="520" customFormat="1" ht="12">
      <c r="A1001" s="51"/>
      <c r="B1001" s="51"/>
      <c r="C1001" s="51" t="s">
        <v>135</v>
      </c>
      <c r="D1001" s="37" t="s">
        <v>136</v>
      </c>
      <c r="E1001" s="51"/>
      <c r="F1001" s="51"/>
      <c r="G1001" s="51"/>
      <c r="H1001" s="51"/>
      <c r="I1001" s="51"/>
      <c r="J1001" s="51"/>
      <c r="K1001" s="51"/>
      <c r="L1001" s="51"/>
      <c r="M1001" s="51"/>
      <c r="N1001" s="51"/>
      <c r="O1001" s="52"/>
      <c r="P1001" s="51"/>
      <c r="Q1001" s="51"/>
      <c r="R1001" s="51"/>
      <c r="S1001" s="51"/>
      <c r="T1001" s="51"/>
      <c r="AD1001" s="51"/>
    </row>
    <row r="1002" spans="1:30" s="520" customFormat="1" ht="12">
      <c r="A1002" s="51"/>
      <c r="B1002" s="51"/>
      <c r="C1002" s="51"/>
      <c r="D1002" s="37" t="s">
        <v>3208</v>
      </c>
      <c r="E1002" s="51"/>
      <c r="F1002" s="51"/>
      <c r="G1002" s="51"/>
      <c r="H1002" s="51"/>
      <c r="I1002" s="51"/>
      <c r="J1002" s="51"/>
      <c r="K1002" s="51"/>
      <c r="L1002" s="51"/>
      <c r="M1002" s="51"/>
      <c r="N1002" s="51"/>
      <c r="O1002" s="52"/>
      <c r="P1002" s="51"/>
      <c r="Q1002" s="51"/>
      <c r="R1002" s="51"/>
      <c r="S1002" s="38"/>
      <c r="T1002" s="38"/>
      <c r="AD1002" s="51"/>
    </row>
    <row r="1003" spans="1:30" s="3" customFormat="1" ht="13.8" thickBot="1">
      <c r="A1003" s="531"/>
      <c r="O1003" s="107"/>
    </row>
    <row r="1004" spans="1:30" s="520" customFormat="1" ht="12" thickTop="1">
      <c r="A1004" s="51"/>
      <c r="B1004" s="51"/>
      <c r="C1004" s="51"/>
      <c r="D1004" s="51"/>
      <c r="E1004" s="51"/>
      <c r="F1004" s="51"/>
      <c r="G1004" s="51"/>
      <c r="H1004" s="51"/>
      <c r="I1004" s="51"/>
      <c r="J1004" s="51"/>
      <c r="K1004" s="51"/>
      <c r="L1004" s="51"/>
      <c r="M1004" s="51"/>
      <c r="N1004" s="51"/>
      <c r="O1004" s="52"/>
      <c r="P1004" s="51"/>
      <c r="Q1004" s="42" t="s">
        <v>168</v>
      </c>
      <c r="R1004" s="51"/>
      <c r="S1004" s="13"/>
      <c r="T1004" s="51"/>
      <c r="AD1004" s="51"/>
    </row>
    <row r="1005" spans="1:30" s="520" customFormat="1" ht="12" customHeight="1" thickBot="1">
      <c r="A1005" s="927">
        <v>61</v>
      </c>
      <c r="B1005" s="928">
        <f ca="1">Elec_Est!B11636</f>
        <v>67</v>
      </c>
      <c r="C1005" s="929"/>
      <c r="D1005" s="930" t="s">
        <v>3604</v>
      </c>
      <c r="E1005" s="931"/>
      <c r="F1005" s="1213" t="s">
        <v>3780</v>
      </c>
      <c r="G1005" s="752"/>
      <c r="H1005" s="752"/>
      <c r="I1005" s="932"/>
      <c r="J1005" s="752"/>
      <c r="K1005" s="929" t="s">
        <v>169</v>
      </c>
      <c r="L1005" s="933" t="s">
        <v>169</v>
      </c>
      <c r="M1005" s="933"/>
      <c r="N1005" s="933"/>
      <c r="O1005" s="933"/>
      <c r="P1005" s="933"/>
      <c r="Q1005" s="934">
        <f ca="1">B1005/A1005</f>
        <v>1.098360655737705</v>
      </c>
      <c r="R1005" s="935">
        <f ca="1">IF($B1005=0,0,IF($S$1="R",ROUND(R1009/$B1005,2),R1009/$B1005))</f>
        <v>38</v>
      </c>
      <c r="S1005" s="936"/>
      <c r="T1005" s="935">
        <f ca="1">IF($B1005=0,0,IF($S$1="R",ROUND(T1009/$B1005,2),T1009/$B1005))</f>
        <v>2.25</v>
      </c>
      <c r="AD1005" s="931"/>
    </row>
    <row r="1006" spans="1:30" s="520" customFormat="1" ht="13.8" thickTop="1">
      <c r="A1006" s="748"/>
      <c r="B1006" s="3"/>
      <c r="C1006" s="3"/>
      <c r="D1006" s="106" t="s">
        <v>170</v>
      </c>
      <c r="E1006" s="3"/>
      <c r="F1006" s="3"/>
      <c r="G1006" s="3"/>
      <c r="H1006" s="3"/>
      <c r="I1006" s="3"/>
      <c r="J1006" s="3"/>
      <c r="K1006" s="3"/>
      <c r="L1006" s="3"/>
      <c r="M1006" s="3"/>
      <c r="N1006" s="3"/>
      <c r="O1006" s="107"/>
      <c r="P1006" s="3"/>
      <c r="Q1006" s="3"/>
      <c r="R1006" s="3"/>
      <c r="S1006" s="3"/>
      <c r="T1006" s="3"/>
      <c r="AD1006" s="3"/>
    </row>
    <row r="1007" spans="1:30" s="901" customFormat="1">
      <c r="A1007" s="1056">
        <f ca="1">$Q$1005 *(10*61)</f>
        <v>670.00000000000011</v>
      </c>
      <c r="B1007" s="901" t="s">
        <v>320</v>
      </c>
      <c r="D1007" s="901" t="s">
        <v>2944</v>
      </c>
      <c r="E1007" s="901" t="s">
        <v>3602</v>
      </c>
      <c r="F1007" s="1217" t="s">
        <v>3781</v>
      </c>
      <c r="G1007" s="941" t="s">
        <v>2945</v>
      </c>
      <c r="H1007" s="942">
        <v>690</v>
      </c>
      <c r="I1007" s="901" t="s">
        <v>2946</v>
      </c>
      <c r="J1007" s="901" t="s">
        <v>2947</v>
      </c>
      <c r="O1007" s="943">
        <v>1</v>
      </c>
      <c r="P1007" s="944">
        <v>34669</v>
      </c>
      <c r="Q1007" s="1197">
        <v>3.8</v>
      </c>
      <c r="R1007" s="946">
        <f ca="1">$A1007*Q1007</f>
        <v>2546.0000000000005</v>
      </c>
      <c r="S1007" s="945">
        <v>0.25</v>
      </c>
      <c r="T1007" s="947">
        <f ca="1">$A1007*S1007*$T$1</f>
        <v>150.75000000000003</v>
      </c>
      <c r="AD1007" s="901" t="s">
        <v>3599</v>
      </c>
    </row>
    <row r="1008" spans="1:30" s="520" customFormat="1">
      <c r="A1008" s="758"/>
      <c r="B1008" s="3"/>
      <c r="C1008" s="758" t="s">
        <v>171</v>
      </c>
      <c r="D1008" s="3"/>
      <c r="E1008" s="758"/>
      <c r="F1008" s="753"/>
      <c r="G1008" s="758"/>
      <c r="H1008" s="758"/>
      <c r="I1008" s="519"/>
      <c r="J1008" s="758"/>
      <c r="K1008" s="758"/>
      <c r="L1008" s="758"/>
      <c r="M1008" s="758"/>
      <c r="N1008" s="758"/>
      <c r="O1008" s="758"/>
      <c r="P1008" s="758"/>
      <c r="Q1008" s="519"/>
      <c r="R1008" s="917">
        <f t="shared" ref="R1008" si="202">$A1008*Q1008</f>
        <v>0</v>
      </c>
      <c r="S1008" s="519"/>
      <c r="T1008" s="760">
        <f t="shared" ref="T1008" si="203">$A1008*S1008*$T$1</f>
        <v>0</v>
      </c>
      <c r="AD1008" s="753"/>
    </row>
    <row r="1009" spans="1:31" s="520" customFormat="1" ht="12.6" thickBot="1">
      <c r="A1009" s="761" t="s">
        <v>145</v>
      </c>
      <c r="B1009" s="762">
        <f>(R1008+T1008)</f>
        <v>0</v>
      </c>
      <c r="C1009" s="763"/>
      <c r="D1009" s="937" t="s">
        <v>172</v>
      </c>
      <c r="E1009" s="477">
        <f ca="1">IF($B1005=0,0,ROUND(ROUND(($R1009*$S$2+($T1009*$T$2))/$B1005, 2)*$C$2,2))</f>
        <v>122.87</v>
      </c>
      <c r="F1009" s="478">
        <f ca="1">ROUND($B1005*$E1009,2)</f>
        <v>8232.2900000000009</v>
      </c>
      <c r="G1009" s="763"/>
      <c r="H1009" s="763"/>
      <c r="I1009" s="765"/>
      <c r="J1009" s="763"/>
      <c r="K1009" s="938" t="s">
        <v>143</v>
      </c>
      <c r="L1009" s="766" t="s">
        <v>143</v>
      </c>
      <c r="M1009" s="766"/>
      <c r="N1009" s="766"/>
      <c r="O1009" s="766"/>
      <c r="P1009" s="766"/>
      <c r="Q1009" s="938"/>
      <c r="R1009" s="939">
        <f ca="1">SUM(R1006:R1008)</f>
        <v>2546.0000000000005</v>
      </c>
      <c r="S1009" s="940"/>
      <c r="T1009" s="939">
        <f ca="1">SUM(T1006:T1008)</f>
        <v>150.75000000000003</v>
      </c>
      <c r="U1009" s="531"/>
      <c r="V1009" s="531"/>
      <c r="W1009" s="531"/>
      <c r="X1009" s="531"/>
      <c r="Y1009" s="531"/>
      <c r="Z1009" s="531"/>
      <c r="AA1009" s="531"/>
      <c r="AB1009" s="531"/>
      <c r="AD1009" s="478">
        <v>10683.37</v>
      </c>
      <c r="AE1009" s="1218">
        <f ca="1">AD1009-F1009</f>
        <v>2451.08</v>
      </c>
    </row>
    <row r="1010" spans="1:31" s="520" customFormat="1" ht="12" thickTop="1">
      <c r="A1010" s="51"/>
      <c r="B1010" s="51"/>
      <c r="C1010" s="51"/>
      <c r="D1010" s="51"/>
      <c r="E1010" s="51"/>
      <c r="F1010" s="51"/>
      <c r="G1010" s="51"/>
      <c r="H1010" s="51"/>
      <c r="I1010" s="51"/>
      <c r="J1010" s="51"/>
      <c r="K1010" s="51"/>
      <c r="L1010" s="51"/>
      <c r="M1010" s="51"/>
      <c r="N1010" s="51"/>
      <c r="O1010" s="52"/>
      <c r="P1010" s="51"/>
      <c r="Q1010" s="42" t="s">
        <v>168</v>
      </c>
      <c r="R1010" s="51"/>
      <c r="S1010" s="13"/>
      <c r="T1010" s="51"/>
      <c r="AD1010" s="51"/>
    </row>
    <row r="1011" spans="1:31" s="520" customFormat="1" ht="12" customHeight="1" thickBot="1">
      <c r="A1011" s="927">
        <v>69</v>
      </c>
      <c r="B1011" s="928">
        <f ca="1">Elec_Est!B11637</f>
        <v>61</v>
      </c>
      <c r="C1011" s="929"/>
      <c r="D1011" s="930" t="s">
        <v>3603</v>
      </c>
      <c r="E1011" s="931"/>
      <c r="F1011" s="1213" t="s">
        <v>3780</v>
      </c>
      <c r="G1011" s="752"/>
      <c r="H1011" s="752"/>
      <c r="I1011" s="932"/>
      <c r="J1011" s="752"/>
      <c r="K1011" s="929" t="s">
        <v>169</v>
      </c>
      <c r="L1011" s="933" t="s">
        <v>169</v>
      </c>
      <c r="M1011" s="933"/>
      <c r="N1011" s="933"/>
      <c r="O1011" s="933"/>
      <c r="P1011" s="933"/>
      <c r="Q1011" s="934">
        <f ca="1">B1011/A1011</f>
        <v>0.88405797101449279</v>
      </c>
      <c r="R1011" s="935">
        <f ca="1">IF($B1011=0,0,IF($S$1="R",ROUND(R1015/$B1011,2),R1015/$B1011))</f>
        <v>15.2</v>
      </c>
      <c r="S1011" s="936"/>
      <c r="T1011" s="935">
        <f ca="1">IF($B1011=0,0,IF($S$1="R",ROUND(T1015/$B1011,2),T1015/$B1011))</f>
        <v>0.9</v>
      </c>
      <c r="AD1011" s="931"/>
    </row>
    <row r="1012" spans="1:31" s="520" customFormat="1" ht="13.8" thickTop="1">
      <c r="A1012" s="748"/>
      <c r="B1012" s="3"/>
      <c r="C1012" s="3"/>
      <c r="D1012" s="106" t="s">
        <v>170</v>
      </c>
      <c r="E1012" s="3"/>
      <c r="F1012" s="3"/>
      <c r="G1012" s="3"/>
      <c r="H1012" s="3"/>
      <c r="I1012" s="3"/>
      <c r="J1012" s="3"/>
      <c r="K1012" s="3"/>
      <c r="L1012" s="3"/>
      <c r="M1012" s="3"/>
      <c r="N1012" s="3"/>
      <c r="O1012" s="107"/>
      <c r="P1012" s="3"/>
      <c r="Q1012" s="3"/>
      <c r="R1012" s="3"/>
      <c r="S1012" s="3"/>
      <c r="T1012" s="3"/>
      <c r="AD1012" s="3"/>
    </row>
    <row r="1013" spans="1:31" s="901" customFormat="1">
      <c r="A1013" s="1056">
        <f ca="1">$Q$1011 *(4*69)</f>
        <v>244</v>
      </c>
      <c r="B1013" s="901" t="s">
        <v>320</v>
      </c>
      <c r="D1013" s="901" t="s">
        <v>2944</v>
      </c>
      <c r="E1013" s="901" t="s">
        <v>3600</v>
      </c>
      <c r="F1013" s="1217" t="s">
        <v>3779</v>
      </c>
      <c r="G1013" s="941" t="s">
        <v>2945</v>
      </c>
      <c r="H1013" s="942">
        <v>690</v>
      </c>
      <c r="I1013" s="901" t="s">
        <v>2946</v>
      </c>
      <c r="J1013" s="901" t="s">
        <v>2947</v>
      </c>
      <c r="O1013" s="943">
        <v>1</v>
      </c>
      <c r="P1013" s="944">
        <v>34669</v>
      </c>
      <c r="Q1013" s="1197">
        <v>3.8</v>
      </c>
      <c r="R1013" s="946">
        <f ca="1">$A1013*Q1013</f>
        <v>927.19999999999993</v>
      </c>
      <c r="S1013" s="945">
        <v>0.25</v>
      </c>
      <c r="T1013" s="947">
        <f ca="1">$A1013*S1013*$T$1</f>
        <v>54.9</v>
      </c>
      <c r="AD1013" s="901" t="s">
        <v>3601</v>
      </c>
    </row>
    <row r="1014" spans="1:31" s="520" customFormat="1">
      <c r="A1014" s="758"/>
      <c r="B1014" s="3"/>
      <c r="C1014" s="758" t="s">
        <v>171</v>
      </c>
      <c r="D1014" s="3"/>
      <c r="E1014" s="758"/>
      <c r="F1014" s="753"/>
      <c r="G1014" s="758"/>
      <c r="H1014" s="758"/>
      <c r="I1014" s="519"/>
      <c r="J1014" s="758"/>
      <c r="K1014" s="758"/>
      <c r="L1014" s="758"/>
      <c r="M1014" s="758"/>
      <c r="N1014" s="758"/>
      <c r="O1014" s="758"/>
      <c r="P1014" s="758"/>
      <c r="Q1014" s="519"/>
      <c r="R1014" s="917">
        <f t="shared" ref="R1014" si="204">$A1014*Q1014</f>
        <v>0</v>
      </c>
      <c r="S1014" s="519"/>
      <c r="T1014" s="760">
        <f t="shared" ref="T1014" si="205">$A1014*S1014*$T$1</f>
        <v>0</v>
      </c>
      <c r="AD1014" s="753"/>
    </row>
    <row r="1015" spans="1:31" s="520" customFormat="1" ht="12.6" thickBot="1">
      <c r="A1015" s="761" t="s">
        <v>145</v>
      </c>
      <c r="B1015" s="762">
        <f>(R1014+T1014)</f>
        <v>0</v>
      </c>
      <c r="C1015" s="763"/>
      <c r="D1015" s="937" t="s">
        <v>172</v>
      </c>
      <c r="E1015" s="477">
        <f ca="1">IF($B1011=0,0,ROUND(ROUND(($R1015*$S$2+($T1015*$T$2))/$B1011, 2)*$C$2,2))</f>
        <v>49.15</v>
      </c>
      <c r="F1015" s="478">
        <f ca="1">ROUND($B1011*$E1015,2)</f>
        <v>2998.15</v>
      </c>
      <c r="G1015" s="763"/>
      <c r="H1015" s="763"/>
      <c r="I1015" s="765"/>
      <c r="J1015" s="763"/>
      <c r="K1015" s="938" t="s">
        <v>143</v>
      </c>
      <c r="L1015" s="766" t="s">
        <v>143</v>
      </c>
      <c r="M1015" s="766"/>
      <c r="N1015" s="766"/>
      <c r="O1015" s="766"/>
      <c r="P1015" s="766"/>
      <c r="Q1015" s="938"/>
      <c r="R1015" s="939">
        <f ca="1">SUM(R1012:R1014)</f>
        <v>927.19999999999993</v>
      </c>
      <c r="S1015" s="940"/>
      <c r="T1015" s="939">
        <f ca="1">SUM(T1012:T1014)</f>
        <v>54.9</v>
      </c>
      <c r="U1015" s="531"/>
      <c r="V1015" s="531"/>
      <c r="W1015" s="531"/>
      <c r="X1015" s="531"/>
      <c r="Y1015" s="531"/>
      <c r="Z1015" s="531"/>
      <c r="AA1015" s="531"/>
      <c r="AB1015" s="531"/>
      <c r="AD1015" s="478">
        <v>4719.6000000000004</v>
      </c>
      <c r="AE1015" s="1218">
        <f ca="1">AD1015-F1015</f>
        <v>1721.4500000000003</v>
      </c>
    </row>
    <row r="1016" spans="1:31" s="520" customFormat="1" ht="12" thickTop="1">
      <c r="A1016" s="51"/>
      <c r="B1016" s="51"/>
      <c r="C1016" s="51"/>
      <c r="D1016" s="51"/>
      <c r="E1016" s="51"/>
      <c r="F1016" s="51"/>
      <c r="G1016" s="51"/>
      <c r="H1016" s="51"/>
      <c r="I1016" s="51"/>
      <c r="J1016" s="51"/>
      <c r="K1016" s="51"/>
      <c r="L1016" s="51"/>
      <c r="M1016" s="51"/>
      <c r="N1016" s="51"/>
      <c r="O1016" s="52"/>
      <c r="P1016" s="51"/>
      <c r="Q1016" s="42" t="s">
        <v>168</v>
      </c>
      <c r="R1016" s="51"/>
      <c r="S1016" s="13"/>
      <c r="T1016" s="51"/>
      <c r="AD1016" s="51"/>
    </row>
    <row r="1017" spans="1:31" s="520" customFormat="1" ht="12" customHeight="1" thickBot="1">
      <c r="A1017" s="927">
        <v>1</v>
      </c>
      <c r="B1017" s="928">
        <f ca="1">Elec_Est!B11638</f>
        <v>192</v>
      </c>
      <c r="C1017" s="929"/>
      <c r="D1017" s="930" t="s">
        <v>3592</v>
      </c>
      <c r="E1017" s="931"/>
      <c r="F1017" s="1213" t="s">
        <v>3780</v>
      </c>
      <c r="G1017" s="752"/>
      <c r="H1017" s="752"/>
      <c r="I1017" s="932"/>
      <c r="J1017" s="752"/>
      <c r="K1017" s="929" t="s">
        <v>169</v>
      </c>
      <c r="L1017" s="933" t="s">
        <v>169</v>
      </c>
      <c r="M1017" s="933"/>
      <c r="N1017" s="933"/>
      <c r="O1017" s="933"/>
      <c r="P1017" s="933"/>
      <c r="Q1017" s="934">
        <f ca="1">B1017/A1017</f>
        <v>192</v>
      </c>
      <c r="R1017" s="935">
        <f ca="1">IF($B1017=0,0,IF($S$1="R",ROUND(R1021/$B1017,2),R1021/$B1017))</f>
        <v>12.3</v>
      </c>
      <c r="S1017" s="936"/>
      <c r="T1017" s="935">
        <f ca="1">IF($B1017=0,0,IF($S$1="R",ROUND(T1021/$B1017,2),T1021/$B1017))</f>
        <v>0.97</v>
      </c>
      <c r="AD1017" s="931"/>
    </row>
    <row r="1018" spans="1:31" s="520" customFormat="1" ht="13.8" thickTop="1">
      <c r="A1018" s="748"/>
      <c r="B1018" s="3"/>
      <c r="C1018" s="3"/>
      <c r="D1018" s="106" t="s">
        <v>170</v>
      </c>
      <c r="E1018" s="3"/>
      <c r="F1018" s="3"/>
      <c r="G1018" s="3"/>
      <c r="H1018" s="3"/>
      <c r="I1018" s="3"/>
      <c r="J1018" s="3"/>
      <c r="K1018" s="3"/>
      <c r="L1018" s="3"/>
      <c r="M1018" s="3"/>
      <c r="N1018" s="3"/>
      <c r="O1018" s="107"/>
      <c r="P1018" s="3"/>
      <c r="Q1018" s="3"/>
      <c r="R1018" s="3"/>
      <c r="S1018" s="3"/>
      <c r="T1018" s="3"/>
      <c r="AD1018" s="3"/>
    </row>
    <row r="1019" spans="1:31" s="901" customFormat="1">
      <c r="A1019" s="1056">
        <f ca="1">$Q$1017 *(6)</f>
        <v>1152</v>
      </c>
      <c r="B1019" s="901" t="s">
        <v>320</v>
      </c>
      <c r="D1019" s="901" t="s">
        <v>3006</v>
      </c>
      <c r="F1019" s="901" t="s">
        <v>3237</v>
      </c>
      <c r="G1019" s="941" t="s">
        <v>3007</v>
      </c>
      <c r="H1019" s="942">
        <v>700</v>
      </c>
      <c r="I1019" s="901" t="s">
        <v>3008</v>
      </c>
      <c r="J1019" s="901" t="s">
        <v>2947</v>
      </c>
      <c r="O1019" s="943">
        <v>1</v>
      </c>
      <c r="P1019" s="944">
        <v>42213</v>
      </c>
      <c r="Q1019" s="945">
        <v>2.0499999999999998</v>
      </c>
      <c r="R1019" s="946">
        <f ca="1">$A1019*Q1019</f>
        <v>2361.6</v>
      </c>
      <c r="S1019" s="945">
        <v>0.18</v>
      </c>
      <c r="T1019" s="947">
        <f ca="1">$A1019*S1019*$T$1</f>
        <v>186.624</v>
      </c>
      <c r="AD1019" s="901" t="s">
        <v>3237</v>
      </c>
    </row>
    <row r="1020" spans="1:31" s="520" customFormat="1">
      <c r="A1020" s="758"/>
      <c r="B1020" s="3"/>
      <c r="C1020" s="758" t="s">
        <v>171</v>
      </c>
      <c r="D1020" s="3"/>
      <c r="E1020" s="758"/>
      <c r="F1020" s="753"/>
      <c r="G1020" s="758"/>
      <c r="H1020" s="758"/>
      <c r="I1020" s="519"/>
      <c r="J1020" s="758"/>
      <c r="K1020" s="758"/>
      <c r="L1020" s="758"/>
      <c r="M1020" s="758"/>
      <c r="N1020" s="758"/>
      <c r="O1020" s="758"/>
      <c r="P1020" s="758"/>
      <c r="Q1020" s="519"/>
      <c r="R1020" s="917">
        <f t="shared" ref="R1020" si="206">$A1020*Q1020</f>
        <v>0</v>
      </c>
      <c r="S1020" s="519"/>
      <c r="T1020" s="760">
        <f t="shared" ref="T1020" si="207">$A1020*S1020*$T$1</f>
        <v>0</v>
      </c>
      <c r="AD1020" s="753"/>
    </row>
    <row r="1021" spans="1:31" s="520" customFormat="1" ht="12.6" thickBot="1">
      <c r="A1021" s="761" t="s">
        <v>145</v>
      </c>
      <c r="B1021" s="762">
        <f>(R1020+T1020)</f>
        <v>0</v>
      </c>
      <c r="C1021" s="763"/>
      <c r="D1021" s="937" t="s">
        <v>172</v>
      </c>
      <c r="E1021" s="477">
        <f ca="1">IF($B1017=0,0,ROUND(ROUND(($R1021*$S$2+($T1021*$T$2))/$B1017, 2)*$C$2,2))</f>
        <v>48.01</v>
      </c>
      <c r="F1021" s="478">
        <f ca="1">ROUND($B1017*$E1021,2)</f>
        <v>9217.92</v>
      </c>
      <c r="G1021" s="763"/>
      <c r="H1021" s="763"/>
      <c r="I1021" s="765"/>
      <c r="J1021" s="763"/>
      <c r="K1021" s="938" t="s">
        <v>143</v>
      </c>
      <c r="L1021" s="766" t="s">
        <v>143</v>
      </c>
      <c r="M1021" s="766"/>
      <c r="N1021" s="766"/>
      <c r="O1021" s="766"/>
      <c r="P1021" s="766"/>
      <c r="Q1021" s="938"/>
      <c r="R1021" s="939">
        <f ca="1">SUM(R1018:R1020)</f>
        <v>2361.6</v>
      </c>
      <c r="S1021" s="940"/>
      <c r="T1021" s="939">
        <f ca="1">SUM(T1018:T1020)</f>
        <v>186.624</v>
      </c>
      <c r="U1021" s="531"/>
      <c r="V1021" s="531"/>
      <c r="W1021" s="531"/>
      <c r="X1021" s="531"/>
      <c r="Y1021" s="531"/>
      <c r="Z1021" s="531"/>
      <c r="AA1021" s="531"/>
      <c r="AB1021" s="531"/>
      <c r="AD1021" s="478">
        <v>13776</v>
      </c>
      <c r="AE1021" s="1218">
        <f ca="1">AD1021-F1021</f>
        <v>4558.08</v>
      </c>
    </row>
    <row r="1022" spans="1:31" s="520" customFormat="1" ht="12" thickTop="1">
      <c r="A1022" s="51"/>
      <c r="B1022" s="51"/>
      <c r="C1022" s="51"/>
      <c r="D1022" s="51"/>
      <c r="E1022" s="51"/>
      <c r="F1022" s="51"/>
      <c r="G1022" s="51"/>
      <c r="H1022" s="51"/>
      <c r="I1022" s="51"/>
      <c r="J1022" s="51"/>
      <c r="K1022" s="51"/>
      <c r="L1022" s="51"/>
      <c r="M1022" s="51"/>
      <c r="N1022" s="51"/>
      <c r="O1022" s="52"/>
      <c r="P1022" s="51"/>
      <c r="Q1022" s="42" t="s">
        <v>168</v>
      </c>
      <c r="R1022" s="51"/>
      <c r="S1022" s="13"/>
      <c r="T1022" s="51"/>
      <c r="AD1022" s="51"/>
    </row>
    <row r="1023" spans="1:31" s="520" customFormat="1" ht="12" customHeight="1" thickBot="1">
      <c r="A1023" s="927">
        <v>1</v>
      </c>
      <c r="B1023" s="928">
        <f ca="1">Elec_Est!B11639</f>
        <v>266</v>
      </c>
      <c r="C1023" s="929"/>
      <c r="D1023" s="930" t="s">
        <v>3593</v>
      </c>
      <c r="E1023" s="931"/>
      <c r="F1023" s="1213" t="s">
        <v>3793</v>
      </c>
      <c r="G1023" s="752"/>
      <c r="H1023" s="752"/>
      <c r="I1023" s="932"/>
      <c r="J1023" s="752"/>
      <c r="K1023" s="929" t="s">
        <v>169</v>
      </c>
      <c r="L1023" s="933" t="s">
        <v>169</v>
      </c>
      <c r="M1023" s="933"/>
      <c r="N1023" s="933"/>
      <c r="O1023" s="933"/>
      <c r="P1023" s="933"/>
      <c r="Q1023" s="934">
        <f ca="1">B1023/A1023</f>
        <v>266</v>
      </c>
      <c r="R1023" s="935">
        <f ca="1">IF($B1023=0,0,IF($S$1="R",ROUND(R1027/$B1023,2),R1027/$B1023))</f>
        <v>30.3</v>
      </c>
      <c r="S1023" s="936"/>
      <c r="T1023" s="935">
        <f ca="1">IF($B1023=0,0,IF($S$1="R",ROUND(T1027/$B1023,2),T1027/$B1023))</f>
        <v>1.8</v>
      </c>
      <c r="AD1023" s="931"/>
    </row>
    <row r="1024" spans="1:31" s="520" customFormat="1" ht="13.8" thickTop="1">
      <c r="A1024" s="748"/>
      <c r="B1024" s="3"/>
      <c r="C1024" s="3"/>
      <c r="D1024" s="106" t="s">
        <v>170</v>
      </c>
      <c r="E1024" s="3"/>
      <c r="F1024" s="3"/>
      <c r="G1024" s="3"/>
      <c r="H1024" s="3"/>
      <c r="I1024" s="3"/>
      <c r="J1024" s="3"/>
      <c r="K1024" s="3"/>
      <c r="L1024" s="3"/>
      <c r="M1024" s="3"/>
      <c r="N1024" s="3"/>
      <c r="O1024" s="107"/>
      <c r="P1024" s="3"/>
      <c r="Q1024" s="3"/>
      <c r="R1024" s="3"/>
      <c r="S1024" s="3"/>
      <c r="T1024" s="3"/>
      <c r="AD1024" s="3"/>
    </row>
    <row r="1025" spans="1:30" s="901" customFormat="1">
      <c r="A1025" s="1056">
        <f ca="1">$Q$1023 *(10)</f>
        <v>2660</v>
      </c>
      <c r="B1025" s="901" t="s">
        <v>320</v>
      </c>
      <c r="C1025" s="3"/>
      <c r="D1025" s="901" t="s">
        <v>2951</v>
      </c>
      <c r="G1025" s="941" t="s">
        <v>2952</v>
      </c>
      <c r="H1025" s="942">
        <v>690</v>
      </c>
      <c r="I1025" s="901" t="s">
        <v>2946</v>
      </c>
      <c r="J1025" s="901" t="s">
        <v>2953</v>
      </c>
      <c r="O1025" s="943">
        <v>1</v>
      </c>
      <c r="P1025" s="944">
        <v>34669</v>
      </c>
      <c r="Q1025" s="1197">
        <v>3.03</v>
      </c>
      <c r="R1025" s="946">
        <f ca="1">$A1025*Q1025</f>
        <v>8059.7999999999993</v>
      </c>
      <c r="S1025" s="945">
        <v>0.2</v>
      </c>
      <c r="T1025" s="947">
        <f ca="1">$A1025*S1025*$T$1</f>
        <v>478.8</v>
      </c>
    </row>
    <row r="1026" spans="1:30" s="520" customFormat="1">
      <c r="A1026" s="758"/>
      <c r="B1026" s="3"/>
      <c r="C1026" s="758" t="s">
        <v>171</v>
      </c>
      <c r="D1026" s="3"/>
      <c r="E1026" s="758"/>
      <c r="F1026" s="753"/>
      <c r="G1026" s="758"/>
      <c r="H1026" s="758"/>
      <c r="I1026" s="519"/>
      <c r="J1026" s="758"/>
      <c r="K1026" s="758"/>
      <c r="L1026" s="758"/>
      <c r="M1026" s="758"/>
      <c r="N1026" s="758"/>
      <c r="O1026" s="758"/>
      <c r="P1026" s="758"/>
      <c r="Q1026" s="519"/>
      <c r="R1026" s="917">
        <f t="shared" ref="R1026" si="208">$A1026*Q1026</f>
        <v>0</v>
      </c>
      <c r="S1026" s="519"/>
      <c r="T1026" s="760">
        <f t="shared" ref="T1026" si="209">$A1026*S1026*$T$1</f>
        <v>0</v>
      </c>
      <c r="AD1026" s="753"/>
    </row>
    <row r="1027" spans="1:30" s="520" customFormat="1" ht="12.6" thickBot="1">
      <c r="A1027" s="761" t="s">
        <v>145</v>
      </c>
      <c r="B1027" s="762">
        <f>(R1026+T1026)</f>
        <v>0</v>
      </c>
      <c r="C1027" s="763"/>
      <c r="D1027" s="937" t="s">
        <v>172</v>
      </c>
      <c r="E1027" s="477">
        <f ca="1">IF($B1023=0,0,ROUND(ROUND(($R1027*$S$2+($T1027*$T$2))/$B1023, 2)*$C$2,2))</f>
        <v>98.17</v>
      </c>
      <c r="F1027" s="478">
        <f ca="1">ROUND($B1023*$E1027,2)</f>
        <v>26113.22</v>
      </c>
      <c r="G1027" s="763"/>
      <c r="H1027" s="763"/>
      <c r="I1027" s="765"/>
      <c r="J1027" s="763"/>
      <c r="K1027" s="938" t="s">
        <v>143</v>
      </c>
      <c r="L1027" s="766" t="s">
        <v>143</v>
      </c>
      <c r="M1027" s="766"/>
      <c r="N1027" s="766"/>
      <c r="O1027" s="766"/>
      <c r="P1027" s="766"/>
      <c r="Q1027" s="938"/>
      <c r="R1027" s="939">
        <f ca="1">SUM(R1024:R1026)</f>
        <v>8059.7999999999993</v>
      </c>
      <c r="S1027" s="940"/>
      <c r="T1027" s="939">
        <f ca="1">SUM(T1024:T1026)</f>
        <v>478.8</v>
      </c>
      <c r="U1027" s="531"/>
      <c r="V1027" s="531"/>
      <c r="W1027" s="531"/>
      <c r="X1027" s="531"/>
      <c r="Y1027" s="531"/>
      <c r="Z1027" s="531"/>
      <c r="AA1027" s="531"/>
      <c r="AB1027" s="531"/>
      <c r="AD1027" s="478">
        <v>28857.84</v>
      </c>
    </row>
    <row r="1028" spans="1:30" s="520" customFormat="1" ht="12" thickTop="1">
      <c r="A1028" s="51"/>
      <c r="B1028" s="51"/>
      <c r="C1028" s="51"/>
      <c r="D1028" s="51"/>
      <c r="E1028" s="51"/>
      <c r="F1028" s="51"/>
      <c r="G1028" s="51"/>
      <c r="H1028" s="51"/>
      <c r="I1028" s="51"/>
      <c r="J1028" s="51"/>
      <c r="K1028" s="51"/>
      <c r="L1028" s="51"/>
      <c r="M1028" s="51"/>
      <c r="N1028" s="51"/>
      <c r="O1028" s="52"/>
      <c r="P1028" s="51"/>
      <c r="Q1028" s="42" t="s">
        <v>168</v>
      </c>
      <c r="R1028" s="51"/>
      <c r="S1028" s="13"/>
      <c r="T1028" s="51"/>
      <c r="AD1028" s="51"/>
    </row>
    <row r="1029" spans="1:30" s="520" customFormat="1" ht="12" customHeight="1" thickBot="1">
      <c r="A1029" s="927">
        <v>1</v>
      </c>
      <c r="B1029" s="928">
        <f ca="1">Elec_Est!B11640</f>
        <v>105</v>
      </c>
      <c r="C1029" s="929"/>
      <c r="D1029" s="930" t="s">
        <v>3594</v>
      </c>
      <c r="E1029" s="931"/>
      <c r="F1029" s="1213" t="s">
        <v>3793</v>
      </c>
      <c r="G1029" s="752"/>
      <c r="H1029" s="752"/>
      <c r="I1029" s="932"/>
      <c r="J1029" s="752"/>
      <c r="K1029" s="929" t="s">
        <v>169</v>
      </c>
      <c r="L1029" s="933" t="s">
        <v>169</v>
      </c>
      <c r="M1029" s="933"/>
      <c r="N1029" s="933"/>
      <c r="O1029" s="933"/>
      <c r="P1029" s="933"/>
      <c r="Q1029" s="934">
        <f ca="1">B1029/A1029</f>
        <v>105</v>
      </c>
      <c r="R1029" s="935">
        <f ca="1">IF($B1029=0,0,IF($S$1="R",ROUND(R1033/$B1029,2),R1033/$B1029))</f>
        <v>14.4</v>
      </c>
      <c r="S1029" s="936"/>
      <c r="T1029" s="935">
        <f ca="1">IF($B1029=0,0,IF($S$1="R",ROUND(T1033/$B1029,2),T1033/$B1029))</f>
        <v>0.94</v>
      </c>
      <c r="AD1029" s="931"/>
    </row>
    <row r="1030" spans="1:30" s="520" customFormat="1" ht="13.8" thickTop="1">
      <c r="A1030" s="748"/>
      <c r="B1030" s="3"/>
      <c r="C1030" s="3"/>
      <c r="D1030" s="106" t="s">
        <v>170</v>
      </c>
      <c r="E1030" s="3"/>
      <c r="F1030" s="3"/>
      <c r="G1030" s="3"/>
      <c r="H1030" s="3"/>
      <c r="I1030" s="3"/>
      <c r="J1030" s="3"/>
      <c r="K1030" s="3"/>
      <c r="L1030" s="3"/>
      <c r="M1030" s="3"/>
      <c r="N1030" s="3"/>
      <c r="O1030" s="107"/>
      <c r="P1030" s="3"/>
      <c r="Q1030" s="3"/>
      <c r="R1030" s="3"/>
      <c r="S1030" s="3"/>
      <c r="T1030" s="3"/>
      <c r="AD1030" s="3"/>
    </row>
    <row r="1031" spans="1:30" s="901" customFormat="1">
      <c r="A1031" s="1056">
        <f ca="1">$Q$1029 *(8)</f>
        <v>840</v>
      </c>
      <c r="B1031" s="901" t="s">
        <v>320</v>
      </c>
      <c r="D1031" s="901" t="s">
        <v>3209</v>
      </c>
      <c r="F1031" s="901" t="s">
        <v>3237</v>
      </c>
      <c r="G1031" s="941" t="s">
        <v>3210</v>
      </c>
      <c r="H1031" s="942">
        <v>700</v>
      </c>
      <c r="I1031" s="901" t="s">
        <v>3008</v>
      </c>
      <c r="J1031" s="901" t="s">
        <v>2953</v>
      </c>
      <c r="O1031" s="943">
        <v>1</v>
      </c>
      <c r="P1031" s="944">
        <v>42213</v>
      </c>
      <c r="Q1031" s="945">
        <v>1.8</v>
      </c>
      <c r="R1031" s="946">
        <f ca="1">$A1031*Q1031</f>
        <v>1512</v>
      </c>
      <c r="S1031" s="945">
        <v>0.13</v>
      </c>
      <c r="T1031" s="947">
        <f ca="1">$A1031*S1031*$T$1</f>
        <v>98.28</v>
      </c>
      <c r="AD1031" s="901" t="s">
        <v>3237</v>
      </c>
    </row>
    <row r="1032" spans="1:30" s="520" customFormat="1">
      <c r="A1032" s="758"/>
      <c r="B1032" s="3"/>
      <c r="C1032" s="758" t="s">
        <v>171</v>
      </c>
      <c r="D1032" s="3"/>
      <c r="E1032" s="758"/>
      <c r="F1032" s="753"/>
      <c r="G1032" s="758"/>
      <c r="H1032" s="758"/>
      <c r="I1032" s="519"/>
      <c r="J1032" s="758"/>
      <c r="K1032" s="758"/>
      <c r="L1032" s="758"/>
      <c r="M1032" s="758"/>
      <c r="N1032" s="758"/>
      <c r="O1032" s="758"/>
      <c r="P1032" s="758"/>
      <c r="Q1032" s="519"/>
      <c r="R1032" s="917">
        <f t="shared" ref="R1032" si="210">$A1032*Q1032</f>
        <v>0</v>
      </c>
      <c r="S1032" s="519"/>
      <c r="T1032" s="760">
        <f t="shared" ref="T1032" si="211">$A1032*S1032*$T$1</f>
        <v>0</v>
      </c>
      <c r="AD1032" s="753"/>
    </row>
    <row r="1033" spans="1:30" s="520" customFormat="1" ht="12.6" thickBot="1">
      <c r="A1033" s="761" t="s">
        <v>145</v>
      </c>
      <c r="B1033" s="762">
        <f>(R1032+T1032)</f>
        <v>0</v>
      </c>
      <c r="C1033" s="763"/>
      <c r="D1033" s="937" t="s">
        <v>172</v>
      </c>
      <c r="E1033" s="477">
        <f ca="1">IF($B1029=0,0,ROUND(ROUND(($R1033*$S$2+($T1033*$T$2))/$B1029, 2)*$C$2,2))</f>
        <v>49.38</v>
      </c>
      <c r="F1033" s="478">
        <f ca="1">ROUND($B1029*$E1033,2)</f>
        <v>5184.8999999999996</v>
      </c>
      <c r="G1033" s="763"/>
      <c r="H1033" s="763"/>
      <c r="I1033" s="765"/>
      <c r="J1033" s="763"/>
      <c r="K1033" s="938" t="s">
        <v>143</v>
      </c>
      <c r="L1033" s="766" t="s">
        <v>143</v>
      </c>
      <c r="M1033" s="766"/>
      <c r="N1033" s="766"/>
      <c r="O1033" s="766"/>
      <c r="P1033" s="766"/>
      <c r="Q1033" s="938"/>
      <c r="R1033" s="939">
        <f ca="1">SUM(R1030:R1032)</f>
        <v>1512</v>
      </c>
      <c r="S1033" s="940"/>
      <c r="T1033" s="939">
        <f ca="1">SUM(T1030:T1032)</f>
        <v>98.28</v>
      </c>
      <c r="U1033" s="531"/>
      <c r="V1033" s="531"/>
      <c r="W1033" s="531"/>
      <c r="X1033" s="531"/>
      <c r="Y1033" s="531"/>
      <c r="Z1033" s="531"/>
      <c r="AA1033" s="531"/>
      <c r="AB1033" s="531"/>
      <c r="AD1033" s="478">
        <v>5785.5</v>
      </c>
    </row>
    <row r="1034" spans="1:30" s="520" customFormat="1" ht="12" thickTop="1">
      <c r="A1034" s="51"/>
      <c r="B1034" s="51"/>
      <c r="C1034" s="51"/>
      <c r="D1034" s="51"/>
      <c r="E1034" s="51"/>
      <c r="F1034" s="51"/>
      <c r="G1034" s="51"/>
      <c r="H1034" s="51"/>
      <c r="I1034" s="51"/>
      <c r="J1034" s="51"/>
      <c r="K1034" s="51"/>
      <c r="L1034" s="51"/>
      <c r="M1034" s="51"/>
      <c r="N1034" s="51"/>
      <c r="O1034" s="52"/>
      <c r="P1034" s="51"/>
      <c r="Q1034" s="42" t="s">
        <v>168</v>
      </c>
      <c r="R1034" s="51"/>
      <c r="S1034" s="13"/>
      <c r="T1034" s="51"/>
      <c r="AD1034" s="51"/>
    </row>
    <row r="1035" spans="1:30" s="520" customFormat="1" ht="12" customHeight="1" thickBot="1">
      <c r="A1035" s="927">
        <v>1</v>
      </c>
      <c r="B1035" s="928">
        <f ca="1">Elec_Est!B11641</f>
        <v>4</v>
      </c>
      <c r="C1035" s="929"/>
      <c r="D1035" s="930" t="s">
        <v>3595</v>
      </c>
      <c r="E1035" s="931"/>
      <c r="F1035" s="1213" t="s">
        <v>3793</v>
      </c>
      <c r="G1035" s="752"/>
      <c r="H1035" s="752"/>
      <c r="I1035" s="932"/>
      <c r="J1035" s="752"/>
      <c r="K1035" s="929" t="s">
        <v>169</v>
      </c>
      <c r="L1035" s="933" t="s">
        <v>169</v>
      </c>
      <c r="M1035" s="933"/>
      <c r="N1035" s="933"/>
      <c r="O1035" s="933"/>
      <c r="P1035" s="933"/>
      <c r="Q1035" s="934">
        <f ca="1">B1035/A1035</f>
        <v>4</v>
      </c>
      <c r="R1035" s="935">
        <f ca="1">IF($B1035=0,0,IF($S$1="R",ROUND(R1039/$B1035,2),R1039/$B1035))</f>
        <v>75.75</v>
      </c>
      <c r="S1035" s="936"/>
      <c r="T1035" s="935">
        <f ca="1">IF($B1035=0,0,IF($S$1="R",ROUND(T1039/$B1035,2),T1039/$B1035))</f>
        <v>4.5</v>
      </c>
      <c r="AD1035" s="931"/>
    </row>
    <row r="1036" spans="1:30" s="520" customFormat="1" ht="13.8" thickTop="1">
      <c r="A1036" s="748"/>
      <c r="B1036" s="3"/>
      <c r="C1036" s="3"/>
      <c r="D1036" s="106" t="s">
        <v>170</v>
      </c>
      <c r="E1036" s="3"/>
      <c r="F1036" s="3"/>
      <c r="G1036" s="3"/>
      <c r="H1036" s="3"/>
      <c r="I1036" s="3"/>
      <c r="J1036" s="3"/>
      <c r="K1036" s="3"/>
      <c r="L1036" s="3"/>
      <c r="M1036" s="3"/>
      <c r="N1036" s="3"/>
      <c r="O1036" s="107"/>
      <c r="P1036" s="3"/>
      <c r="Q1036" s="3"/>
      <c r="R1036" s="3"/>
      <c r="S1036" s="3"/>
      <c r="T1036" s="3"/>
      <c r="AD1036" s="3"/>
    </row>
    <row r="1037" spans="1:30" s="901" customFormat="1">
      <c r="A1037" s="1056">
        <f ca="1">$Q$1035 *(25)</f>
        <v>100</v>
      </c>
      <c r="B1037" s="901" t="s">
        <v>320</v>
      </c>
      <c r="D1037" s="901" t="s">
        <v>2951</v>
      </c>
      <c r="F1037" s="901" t="s">
        <v>3782</v>
      </c>
      <c r="G1037" s="941" t="s">
        <v>2952</v>
      </c>
      <c r="H1037" s="942">
        <v>690</v>
      </c>
      <c r="I1037" s="901" t="s">
        <v>2946</v>
      </c>
      <c r="J1037" s="901" t="s">
        <v>2953</v>
      </c>
      <c r="O1037" s="943">
        <v>1</v>
      </c>
      <c r="P1037" s="944">
        <v>34669</v>
      </c>
      <c r="Q1037" s="1197">
        <v>3.03</v>
      </c>
      <c r="R1037" s="946">
        <f ca="1">$A1037*Q1037</f>
        <v>303</v>
      </c>
      <c r="S1037" s="945">
        <v>0.2</v>
      </c>
      <c r="T1037" s="947">
        <f ca="1">$A1037*S1037*$T$1</f>
        <v>18</v>
      </c>
    </row>
    <row r="1038" spans="1:30" s="520" customFormat="1">
      <c r="A1038" s="758"/>
      <c r="B1038" s="3"/>
      <c r="C1038" s="758" t="s">
        <v>171</v>
      </c>
      <c r="D1038" s="3"/>
      <c r="E1038" s="758"/>
      <c r="F1038" s="753"/>
      <c r="G1038" s="758"/>
      <c r="H1038" s="758"/>
      <c r="I1038" s="519"/>
      <c r="J1038" s="758"/>
      <c r="K1038" s="758"/>
      <c r="L1038" s="758"/>
      <c r="M1038" s="758"/>
      <c r="N1038" s="758"/>
      <c r="O1038" s="758"/>
      <c r="P1038" s="758"/>
      <c r="Q1038" s="519"/>
      <c r="R1038" s="917">
        <f t="shared" ref="R1038" si="212">$A1038*Q1038</f>
        <v>0</v>
      </c>
      <c r="S1038" s="519"/>
      <c r="T1038" s="760">
        <f t="shared" ref="T1038" si="213">$A1038*S1038*$T$1</f>
        <v>0</v>
      </c>
      <c r="AD1038" s="753"/>
    </row>
    <row r="1039" spans="1:30" s="520" customFormat="1" ht="12.6" thickBot="1">
      <c r="A1039" s="761" t="s">
        <v>145</v>
      </c>
      <c r="B1039" s="762">
        <f>(R1038+T1038)</f>
        <v>0</v>
      </c>
      <c r="C1039" s="763"/>
      <c r="D1039" s="937" t="s">
        <v>172</v>
      </c>
      <c r="E1039" s="477">
        <f ca="1">IF($B1035=0,0,ROUND(ROUND(($R1039*$S$2+($T1039*$T$2))/$B1035, 2)*$C$2,2))</f>
        <v>245.43</v>
      </c>
      <c r="F1039" s="478">
        <f ca="1">ROUND($B1035*$E1039,2)</f>
        <v>981.72</v>
      </c>
      <c r="G1039" s="763"/>
      <c r="H1039" s="763"/>
      <c r="I1039" s="765"/>
      <c r="J1039" s="763"/>
      <c r="K1039" s="938" t="s">
        <v>143</v>
      </c>
      <c r="L1039" s="766" t="s">
        <v>143</v>
      </c>
      <c r="M1039" s="766"/>
      <c r="N1039" s="766"/>
      <c r="O1039" s="766"/>
      <c r="P1039" s="766"/>
      <c r="Q1039" s="938"/>
      <c r="R1039" s="939">
        <f ca="1">SUM(R1036:R1038)</f>
        <v>303</v>
      </c>
      <c r="S1039" s="940"/>
      <c r="T1039" s="939">
        <f ca="1">SUM(T1036:T1038)</f>
        <v>18</v>
      </c>
      <c r="U1039" s="531"/>
      <c r="V1039" s="531"/>
      <c r="W1039" s="531"/>
      <c r="X1039" s="531"/>
      <c r="Y1039" s="531"/>
      <c r="Z1039" s="531"/>
      <c r="AA1039" s="531"/>
      <c r="AB1039" s="531"/>
      <c r="AD1039" s="478">
        <v>1093.08</v>
      </c>
    </row>
    <row r="1040" spans="1:30" s="520" customFormat="1" ht="12" thickTop="1">
      <c r="A1040" s="51"/>
      <c r="B1040" s="51"/>
      <c r="C1040" s="51"/>
      <c r="D1040" s="51"/>
      <c r="E1040" s="51"/>
      <c r="F1040" s="51"/>
      <c r="G1040" s="51"/>
      <c r="H1040" s="51"/>
      <c r="I1040" s="51"/>
      <c r="J1040" s="51"/>
      <c r="K1040" s="51"/>
      <c r="L1040" s="51"/>
      <c r="M1040" s="51"/>
      <c r="N1040" s="51"/>
      <c r="O1040" s="52"/>
      <c r="P1040" s="51"/>
      <c r="Q1040" s="42" t="s">
        <v>168</v>
      </c>
      <c r="R1040" s="51"/>
      <c r="S1040" s="13"/>
      <c r="T1040" s="51"/>
      <c r="AD1040" s="51"/>
    </row>
    <row r="1041" spans="1:30" s="520" customFormat="1" ht="12" customHeight="1" thickBot="1">
      <c r="A1041" s="927">
        <v>1</v>
      </c>
      <c r="B1041" s="928">
        <f ca="1">Elec_Est!B11642</f>
        <v>15</v>
      </c>
      <c r="C1041" s="929"/>
      <c r="D1041" s="930" t="s">
        <v>3596</v>
      </c>
      <c r="E1041" s="931"/>
      <c r="F1041" s="1213" t="s">
        <v>3780</v>
      </c>
      <c r="G1041" s="752"/>
      <c r="H1041" s="752"/>
      <c r="I1041" s="932"/>
      <c r="J1041" s="752"/>
      <c r="K1041" s="929" t="s">
        <v>169</v>
      </c>
      <c r="L1041" s="933" t="s">
        <v>169</v>
      </c>
      <c r="M1041" s="933"/>
      <c r="N1041" s="933"/>
      <c r="O1041" s="933"/>
      <c r="P1041" s="933"/>
      <c r="Q1041" s="934">
        <f ca="1">B1041/A1041</f>
        <v>15</v>
      </c>
      <c r="R1041" s="935">
        <f ca="1">IF($B1041=0,0,IF($S$1="R",ROUND(R1045/$B1041,2),R1045/$B1041))</f>
        <v>10.8</v>
      </c>
      <c r="S1041" s="936"/>
      <c r="T1041" s="935">
        <f ca="1">IF($B1041=0,0,IF($S$1="R",ROUND(T1045/$B1041,2),T1045/$B1041))</f>
        <v>0.7</v>
      </c>
      <c r="AD1041" s="931"/>
    </row>
    <row r="1042" spans="1:30" s="520" customFormat="1" ht="13.8" thickTop="1">
      <c r="A1042" s="748"/>
      <c r="B1042" s="3"/>
      <c r="C1042" s="3"/>
      <c r="D1042" s="106" t="s">
        <v>170</v>
      </c>
      <c r="E1042" s="3"/>
      <c r="F1042" s="3"/>
      <c r="G1042" s="3"/>
      <c r="H1042" s="3"/>
      <c r="I1042" s="3"/>
      <c r="J1042" s="3"/>
      <c r="K1042" s="3"/>
      <c r="L1042" s="3"/>
      <c r="M1042" s="3"/>
      <c r="N1042" s="3"/>
      <c r="O1042" s="107"/>
      <c r="P1042" s="3"/>
      <c r="Q1042" s="3"/>
      <c r="R1042" s="3"/>
      <c r="S1042" s="3"/>
      <c r="T1042" s="3"/>
      <c r="AD1042" s="3"/>
    </row>
    <row r="1043" spans="1:30" s="901" customFormat="1">
      <c r="A1043" s="1056">
        <f ca="1">$Q$1041 *(6)</f>
        <v>90</v>
      </c>
      <c r="B1043" s="901" t="s">
        <v>320</v>
      </c>
      <c r="D1043" s="901" t="s">
        <v>3209</v>
      </c>
      <c r="F1043" s="901" t="s">
        <v>3237</v>
      </c>
      <c r="G1043" s="941" t="s">
        <v>3210</v>
      </c>
      <c r="H1043" s="942">
        <v>700</v>
      </c>
      <c r="I1043" s="901" t="s">
        <v>3008</v>
      </c>
      <c r="J1043" s="901" t="s">
        <v>2953</v>
      </c>
      <c r="O1043" s="943">
        <v>1</v>
      </c>
      <c r="P1043" s="944">
        <v>42213</v>
      </c>
      <c r="Q1043" s="945">
        <v>1.8</v>
      </c>
      <c r="R1043" s="946">
        <f ca="1">$A1043*Q1043</f>
        <v>162</v>
      </c>
      <c r="S1043" s="945">
        <v>0.13</v>
      </c>
      <c r="T1043" s="947">
        <f ca="1">$A1043*S1043*$T$1</f>
        <v>10.530000000000001</v>
      </c>
      <c r="AD1043" s="901" t="s">
        <v>3237</v>
      </c>
    </row>
    <row r="1044" spans="1:30" s="520" customFormat="1">
      <c r="A1044" s="758"/>
      <c r="B1044" s="3"/>
      <c r="C1044" s="758" t="s">
        <v>171</v>
      </c>
      <c r="D1044" s="3"/>
      <c r="E1044" s="758"/>
      <c r="F1044" s="753"/>
      <c r="G1044" s="758"/>
      <c r="H1044" s="758"/>
      <c r="I1044" s="519"/>
      <c r="J1044" s="758"/>
      <c r="K1044" s="758"/>
      <c r="L1044" s="758"/>
      <c r="M1044" s="758"/>
      <c r="N1044" s="758"/>
      <c r="O1044" s="758"/>
      <c r="P1044" s="758"/>
      <c r="Q1044" s="519"/>
      <c r="R1044" s="917">
        <f t="shared" ref="R1044" si="214">$A1044*Q1044</f>
        <v>0</v>
      </c>
      <c r="S1044" s="519"/>
      <c r="T1044" s="760">
        <f t="shared" ref="T1044" si="215">$A1044*S1044*$T$1</f>
        <v>0</v>
      </c>
      <c r="AD1044" s="753"/>
    </row>
    <row r="1045" spans="1:30" s="520" customFormat="1" ht="12.6" thickBot="1">
      <c r="A1045" s="761" t="s">
        <v>145</v>
      </c>
      <c r="B1045" s="762">
        <f>(R1044+T1044)</f>
        <v>0</v>
      </c>
      <c r="C1045" s="763"/>
      <c r="D1045" s="937" t="s">
        <v>172</v>
      </c>
      <c r="E1045" s="477">
        <f ca="1">IF($B1041=0,0,ROUND(ROUND(($R1045*$S$2+($T1045*$T$2))/$B1041, 2)*$C$2,2))</f>
        <v>37.04</v>
      </c>
      <c r="F1045" s="478">
        <f ca="1">ROUND($B1041*$E1045,2)</f>
        <v>555.6</v>
      </c>
      <c r="G1045" s="763"/>
      <c r="H1045" s="763"/>
      <c r="I1045" s="765"/>
      <c r="J1045" s="763"/>
      <c r="K1045" s="938" t="s">
        <v>143</v>
      </c>
      <c r="L1045" s="766" t="s">
        <v>143</v>
      </c>
      <c r="M1045" s="766"/>
      <c r="N1045" s="766"/>
      <c r="O1045" s="766"/>
      <c r="P1045" s="766"/>
      <c r="Q1045" s="938"/>
      <c r="R1045" s="939">
        <f ca="1">SUM(R1042:R1044)</f>
        <v>162</v>
      </c>
      <c r="S1045" s="940"/>
      <c r="T1045" s="939">
        <f ca="1">SUM(T1042:T1044)</f>
        <v>10.530000000000001</v>
      </c>
      <c r="U1045" s="531"/>
      <c r="V1045" s="531"/>
      <c r="W1045" s="531"/>
      <c r="X1045" s="531"/>
      <c r="Y1045" s="531"/>
      <c r="Z1045" s="531"/>
      <c r="AA1045" s="531"/>
      <c r="AB1045" s="531"/>
      <c r="AD1045" s="478">
        <v>1033.2</v>
      </c>
    </row>
    <row r="1046" spans="1:30" s="520" customFormat="1" ht="12" thickTop="1">
      <c r="A1046" s="51"/>
      <c r="B1046" s="51"/>
      <c r="C1046" s="51"/>
      <c r="D1046" s="51"/>
      <c r="E1046" s="51"/>
      <c r="F1046" s="51"/>
      <c r="G1046" s="51"/>
      <c r="H1046" s="51"/>
      <c r="I1046" s="51"/>
      <c r="J1046" s="51"/>
      <c r="K1046" s="51"/>
      <c r="L1046" s="51"/>
      <c r="M1046" s="51"/>
      <c r="N1046" s="51"/>
      <c r="O1046" s="52"/>
      <c r="P1046" s="51"/>
      <c r="Q1046" s="42" t="s">
        <v>168</v>
      </c>
      <c r="R1046" s="51"/>
      <c r="S1046" s="13"/>
      <c r="T1046" s="51"/>
      <c r="AD1046" s="51"/>
    </row>
    <row r="1047" spans="1:30" s="520" customFormat="1" ht="12" customHeight="1" thickBot="1">
      <c r="A1047" s="927">
        <v>1</v>
      </c>
      <c r="B1047" s="928">
        <f ca="1">Elec_Est!B11643</f>
        <v>24</v>
      </c>
      <c r="C1047" s="929"/>
      <c r="D1047" s="930" t="s">
        <v>3597</v>
      </c>
      <c r="E1047" s="931"/>
      <c r="F1047" s="1213" t="s">
        <v>3780</v>
      </c>
      <c r="G1047" s="752"/>
      <c r="H1047" s="752"/>
      <c r="I1047" s="932"/>
      <c r="J1047" s="752"/>
      <c r="K1047" s="929" t="s">
        <v>169</v>
      </c>
      <c r="L1047" s="933" t="s">
        <v>169</v>
      </c>
      <c r="M1047" s="933"/>
      <c r="N1047" s="933"/>
      <c r="O1047" s="933"/>
      <c r="P1047" s="933"/>
      <c r="Q1047" s="934">
        <f ca="1">B1047/A1047</f>
        <v>24</v>
      </c>
      <c r="R1047" s="935">
        <f ca="1">IF($B1047=0,0,IF($S$1="R",ROUND(R1051/$B1047,2),R1051/$B1047))</f>
        <v>5.4</v>
      </c>
      <c r="S1047" s="936"/>
      <c r="T1047" s="935">
        <f ca="1">IF($B1047=0,0,IF($S$1="R",ROUND(T1051/$B1047,2),T1051/$B1047))</f>
        <v>0.35</v>
      </c>
      <c r="AD1047" s="931"/>
    </row>
    <row r="1048" spans="1:30" s="520" customFormat="1" ht="13.8" thickTop="1">
      <c r="A1048" s="748"/>
      <c r="B1048" s="3"/>
      <c r="C1048" s="3"/>
      <c r="D1048" s="106" t="s">
        <v>170</v>
      </c>
      <c r="E1048" s="3"/>
      <c r="F1048" s="3"/>
      <c r="G1048" s="3"/>
      <c r="H1048" s="3"/>
      <c r="I1048" s="3"/>
      <c r="J1048" s="3"/>
      <c r="K1048" s="3"/>
      <c r="L1048" s="3"/>
      <c r="M1048" s="3"/>
      <c r="N1048" s="3"/>
      <c r="O1048" s="107"/>
      <c r="P1048" s="3"/>
      <c r="Q1048" s="3"/>
      <c r="R1048" s="3"/>
      <c r="S1048" s="3"/>
      <c r="T1048" s="3"/>
      <c r="AD1048" s="3"/>
    </row>
    <row r="1049" spans="1:30" s="901" customFormat="1">
      <c r="A1049" s="1057">
        <f ca="1">$Q$1047 *(3)</f>
        <v>72</v>
      </c>
      <c r="B1049" s="901" t="s">
        <v>320</v>
      </c>
      <c r="D1049" s="901" t="s">
        <v>3209</v>
      </c>
      <c r="E1049" s="1221">
        <f ca="1">A1049/B1047</f>
        <v>3</v>
      </c>
      <c r="F1049" s="901" t="s">
        <v>3237</v>
      </c>
      <c r="G1049" s="941" t="s">
        <v>3210</v>
      </c>
      <c r="H1049" s="942">
        <v>700</v>
      </c>
      <c r="I1049" s="901" t="s">
        <v>3008</v>
      </c>
      <c r="J1049" s="901" t="s">
        <v>2953</v>
      </c>
      <c r="O1049" s="943">
        <v>1</v>
      </c>
      <c r="P1049" s="944">
        <v>42213</v>
      </c>
      <c r="Q1049" s="945">
        <v>1.8</v>
      </c>
      <c r="R1049" s="946">
        <f ca="1">$A1049*Q1049</f>
        <v>129.6</v>
      </c>
      <c r="S1049" s="945">
        <v>0.13</v>
      </c>
      <c r="T1049" s="947">
        <f ca="1">$A1049*S1049*$T$1</f>
        <v>8.4239999999999995</v>
      </c>
      <c r="AD1049" s="901" t="s">
        <v>3237</v>
      </c>
    </row>
    <row r="1050" spans="1:30" s="520" customFormat="1">
      <c r="A1050" s="758"/>
      <c r="B1050" s="3"/>
      <c r="C1050" s="758" t="s">
        <v>171</v>
      </c>
      <c r="D1050" s="3"/>
      <c r="E1050" s="758"/>
      <c r="F1050" s="753"/>
      <c r="G1050" s="758"/>
      <c r="H1050" s="758"/>
      <c r="I1050" s="519"/>
      <c r="J1050" s="758"/>
      <c r="K1050" s="758"/>
      <c r="L1050" s="758"/>
      <c r="M1050" s="758"/>
      <c r="N1050" s="758"/>
      <c r="O1050" s="758"/>
      <c r="P1050" s="758"/>
      <c r="Q1050" s="519"/>
      <c r="R1050" s="917">
        <f t="shared" ref="R1050" si="216">$A1050*Q1050</f>
        <v>0</v>
      </c>
      <c r="S1050" s="519"/>
      <c r="T1050" s="760">
        <f t="shared" ref="T1050" si="217">$A1050*S1050*$T$1</f>
        <v>0</v>
      </c>
      <c r="AD1050" s="753"/>
    </row>
    <row r="1051" spans="1:30" s="520" customFormat="1" ht="12.6" thickBot="1">
      <c r="A1051" s="761" t="s">
        <v>145</v>
      </c>
      <c r="B1051" s="762">
        <f>(R1050+T1050)</f>
        <v>0</v>
      </c>
      <c r="C1051" s="763"/>
      <c r="D1051" s="937" t="s">
        <v>172</v>
      </c>
      <c r="E1051" s="477">
        <f ca="1">IF($B1047=0,0,ROUND(ROUND(($R1051*$S$2+($T1051*$T$2))/$B1047, 2)*$C$2,2))</f>
        <v>18.52</v>
      </c>
      <c r="F1051" s="478">
        <f ca="1">ROUND($B1047*$E1051,2)</f>
        <v>444.48</v>
      </c>
      <c r="G1051" s="763"/>
      <c r="H1051" s="763"/>
      <c r="I1051" s="765"/>
      <c r="J1051" s="763"/>
      <c r="K1051" s="938" t="s">
        <v>143</v>
      </c>
      <c r="L1051" s="766" t="s">
        <v>143</v>
      </c>
      <c r="M1051" s="766"/>
      <c r="N1051" s="766"/>
      <c r="O1051" s="766"/>
      <c r="P1051" s="766"/>
      <c r="Q1051" s="938"/>
      <c r="R1051" s="939">
        <f ca="1">SUM(R1048:R1050)</f>
        <v>129.6</v>
      </c>
      <c r="S1051" s="940"/>
      <c r="T1051" s="939">
        <f ca="1">SUM(T1048:T1050)</f>
        <v>8.4239999999999995</v>
      </c>
      <c r="U1051" s="531"/>
      <c r="V1051" s="531"/>
      <c r="W1051" s="531"/>
      <c r="X1051" s="531"/>
      <c r="Y1051" s="531"/>
      <c r="Z1051" s="531"/>
      <c r="AA1051" s="531"/>
      <c r="AB1051" s="531"/>
      <c r="AD1051" s="478">
        <v>991.92</v>
      </c>
    </row>
    <row r="1052" spans="1:30" s="520" customFormat="1" ht="13.8" thickTop="1">
      <c r="A1052" s="51"/>
      <c r="B1052" s="51"/>
      <c r="C1052" s="3"/>
      <c r="D1052" s="3"/>
      <c r="E1052" s="51"/>
      <c r="F1052" s="51"/>
      <c r="G1052" s="51"/>
      <c r="H1052" s="51"/>
      <c r="I1052" s="51"/>
      <c r="J1052" s="51"/>
      <c r="K1052" s="51" t="s">
        <v>134</v>
      </c>
      <c r="L1052" s="51"/>
      <c r="M1052" s="51"/>
      <c r="N1052" s="51"/>
      <c r="O1052" s="52"/>
      <c r="P1052" s="51"/>
      <c r="Q1052" s="51"/>
      <c r="R1052" s="51"/>
      <c r="S1052" s="51"/>
      <c r="T1052" s="51"/>
    </row>
    <row r="1053" spans="1:30" s="520" customFormat="1" ht="12">
      <c r="A1053" s="51"/>
      <c r="B1053" s="51"/>
      <c r="C1053" s="51" t="s">
        <v>135</v>
      </c>
      <c r="D1053" s="37" t="s">
        <v>136</v>
      </c>
      <c r="E1053" s="51"/>
      <c r="F1053" s="51"/>
      <c r="G1053" s="51"/>
      <c r="H1053" s="51"/>
      <c r="I1053" s="51"/>
      <c r="J1053" s="51"/>
      <c r="K1053" s="51"/>
      <c r="L1053" s="51"/>
      <c r="M1053" s="51"/>
      <c r="N1053" s="51"/>
      <c r="O1053" s="52"/>
      <c r="P1053" s="51"/>
      <c r="Q1053" s="51"/>
      <c r="R1053" s="51"/>
      <c r="S1053" s="51"/>
      <c r="T1053" s="51"/>
    </row>
    <row r="1054" spans="1:30" s="520" customFormat="1" ht="12">
      <c r="A1054" s="51"/>
      <c r="B1054" s="51"/>
      <c r="C1054" s="51"/>
      <c r="D1054" s="37" t="s">
        <v>3862</v>
      </c>
      <c r="E1054" s="51"/>
      <c r="F1054" s="51"/>
      <c r="G1054" s="51"/>
      <c r="H1054" s="51"/>
      <c r="I1054" s="51"/>
      <c r="J1054" s="51"/>
      <c r="K1054" s="51"/>
      <c r="L1054" s="51"/>
      <c r="M1054" s="51"/>
      <c r="N1054" s="51"/>
      <c r="O1054" s="52"/>
      <c r="P1054" s="51"/>
      <c r="Q1054" s="51"/>
      <c r="R1054" s="51"/>
      <c r="S1054" s="38"/>
      <c r="T1054" s="38"/>
    </row>
    <row r="1055" spans="1:30" s="3" customFormat="1" ht="13.8" thickBot="1">
      <c r="A1055" s="531"/>
      <c r="O1055" s="107"/>
    </row>
    <row r="1056" spans="1:30" s="520" customFormat="1" ht="12" thickTop="1">
      <c r="A1056" s="51"/>
      <c r="B1056" s="51"/>
      <c r="C1056" s="51"/>
      <c r="D1056" s="51"/>
      <c r="E1056" s="51"/>
      <c r="F1056" s="51"/>
      <c r="G1056" s="51"/>
      <c r="H1056" s="51"/>
      <c r="I1056" s="51"/>
      <c r="J1056" s="51"/>
      <c r="K1056" s="51"/>
      <c r="L1056" s="51"/>
      <c r="M1056" s="51"/>
      <c r="N1056" s="51"/>
      <c r="O1056" s="52"/>
      <c r="P1056" s="51"/>
      <c r="Q1056" s="42" t="s">
        <v>168</v>
      </c>
      <c r="R1056" s="51"/>
      <c r="S1056" s="13"/>
      <c r="T1056" s="51"/>
    </row>
    <row r="1057" spans="1:30" s="520" customFormat="1" ht="12" customHeight="1" thickBot="1">
      <c r="A1057" s="927">
        <v>55</v>
      </c>
      <c r="B1057" s="928">
        <f ca="1">Elec_Est!B11645</f>
        <v>55</v>
      </c>
      <c r="C1057" s="929"/>
      <c r="D1057" s="930" t="s">
        <v>3863</v>
      </c>
      <c r="E1057" s="931"/>
      <c r="F1057" s="931"/>
      <c r="G1057" s="752"/>
      <c r="H1057" s="752"/>
      <c r="I1057" s="932"/>
      <c r="J1057" s="752"/>
      <c r="K1057" s="929" t="s">
        <v>169</v>
      </c>
      <c r="L1057" s="933" t="s">
        <v>169</v>
      </c>
      <c r="M1057" s="933"/>
      <c r="N1057" s="933"/>
      <c r="O1057" s="933"/>
      <c r="P1057" s="933"/>
      <c r="Q1057" s="934">
        <f ca="1">B1057/A1057</f>
        <v>1</v>
      </c>
      <c r="R1057" s="935">
        <f ca="1">IF($B1057=0,0,IF($S$1="R",ROUND(R1067/$B1057,2),R1067/$B1057))</f>
        <v>197.75</v>
      </c>
      <c r="S1057" s="936"/>
      <c r="T1057" s="935">
        <f ca="1">IF($B1057=0,0,IF($S$1="R",ROUND(T1067/$B1057,2),T1067/$B1057))</f>
        <v>0.42</v>
      </c>
    </row>
    <row r="1058" spans="1:30" s="520" customFormat="1" ht="13.8" thickTop="1">
      <c r="A1058" s="748"/>
      <c r="B1058" s="3"/>
      <c r="C1058" s="3"/>
      <c r="D1058" s="106" t="s">
        <v>170</v>
      </c>
      <c r="E1058" s="3"/>
      <c r="F1058" s="3"/>
      <c r="G1058" s="3"/>
      <c r="H1058" s="3"/>
      <c r="I1058" s="3"/>
      <c r="J1058" s="3"/>
      <c r="K1058" s="3"/>
      <c r="L1058" s="3"/>
      <c r="M1058" s="3"/>
      <c r="N1058" s="3"/>
      <c r="O1058" s="107"/>
      <c r="P1058" s="3"/>
      <c r="Q1058" s="3"/>
      <c r="R1058" s="3"/>
      <c r="S1058" s="3"/>
      <c r="T1058" s="3"/>
    </row>
    <row r="1059" spans="1:30" s="901" customFormat="1">
      <c r="A1059" s="1057">
        <f ca="1">$Q$1057 *(55)</f>
        <v>55</v>
      </c>
      <c r="B1059" s="901" t="s">
        <v>320</v>
      </c>
      <c r="D1059" s="901" t="s">
        <v>4067</v>
      </c>
      <c r="E1059" s="1047" t="s">
        <v>2732</v>
      </c>
      <c r="F1059" s="1054" t="s">
        <v>3277</v>
      </c>
      <c r="G1059" s="941" t="s">
        <v>2621</v>
      </c>
      <c r="H1059" s="942">
        <v>616</v>
      </c>
      <c r="I1059" s="901" t="s">
        <v>2272</v>
      </c>
      <c r="J1059" s="901" t="s">
        <v>2622</v>
      </c>
      <c r="O1059" s="943">
        <v>2</v>
      </c>
      <c r="P1059" s="944">
        <v>40767</v>
      </c>
      <c r="Q1059" s="945">
        <v>195.13</v>
      </c>
      <c r="R1059" s="946">
        <f ca="1">$A1059*Q1059</f>
        <v>10732.15</v>
      </c>
      <c r="S1059" s="945">
        <v>0.26</v>
      </c>
      <c r="T1059" s="947">
        <f ca="1">$A1059*S1059*$T$1</f>
        <v>12.870000000000001</v>
      </c>
    </row>
    <row r="1060" spans="1:30" s="901" customFormat="1">
      <c r="A1060" s="1057">
        <f ca="1">$Q$1057 *(55)</f>
        <v>55</v>
      </c>
      <c r="B1060" s="901" t="s">
        <v>320</v>
      </c>
      <c r="D1060" s="901" t="s">
        <v>4068</v>
      </c>
      <c r="F1060" s="901" t="s">
        <v>4071</v>
      </c>
      <c r="G1060" s="941" t="s">
        <v>4069</v>
      </c>
      <c r="H1060" s="942">
        <v>615</v>
      </c>
      <c r="I1060" s="901" t="s">
        <v>2272</v>
      </c>
      <c r="K1060" s="901" t="s">
        <v>4070</v>
      </c>
      <c r="O1060" s="943">
        <v>2</v>
      </c>
      <c r="P1060" s="944">
        <v>38988</v>
      </c>
      <c r="Q1060" s="945"/>
      <c r="R1060" s="946">
        <f ca="1">$A1060*Q1060</f>
        <v>0</v>
      </c>
      <c r="S1060" s="945">
        <v>0.12</v>
      </c>
      <c r="T1060" s="947">
        <f ca="1">$A1060*S1060*$T$1</f>
        <v>5.9399999999999995</v>
      </c>
    </row>
    <row r="1061" spans="1:30" s="901" customFormat="1">
      <c r="A1061" s="1057">
        <f ca="1">$Q$1057 *(55)</f>
        <v>55</v>
      </c>
      <c r="B1061" s="901" t="s">
        <v>141</v>
      </c>
      <c r="D1061" s="901" t="s">
        <v>2605</v>
      </c>
      <c r="G1061" s="941" t="s">
        <v>2606</v>
      </c>
      <c r="H1061" s="942">
        <v>875</v>
      </c>
      <c r="I1061" s="901" t="s">
        <v>2607</v>
      </c>
      <c r="K1061" s="901" t="s">
        <v>2608</v>
      </c>
      <c r="O1061" s="943">
        <v>1</v>
      </c>
      <c r="P1061" s="944">
        <v>34669</v>
      </c>
      <c r="Q1061" s="945">
        <v>0.05</v>
      </c>
      <c r="R1061" s="946">
        <f t="shared" ref="R1061" ca="1" si="218">$A1061*Q1061</f>
        <v>2.75</v>
      </c>
      <c r="S1061" s="945"/>
      <c r="T1061" s="947">
        <f t="shared" ref="T1061" ca="1" si="219">$A1061*S1061*$T$1</f>
        <v>0</v>
      </c>
    </row>
    <row r="1062" spans="1:30" s="901" customFormat="1">
      <c r="A1062" s="1057">
        <f ca="1">$Q$1057 *(2)</f>
        <v>2</v>
      </c>
      <c r="B1062" s="901" t="s">
        <v>141</v>
      </c>
      <c r="D1062" s="901" t="s">
        <v>2623</v>
      </c>
      <c r="G1062" s="941" t="s">
        <v>2624</v>
      </c>
      <c r="H1062" s="942">
        <v>620</v>
      </c>
      <c r="I1062" s="901" t="s">
        <v>2611</v>
      </c>
      <c r="O1062" s="943">
        <v>2</v>
      </c>
      <c r="P1062" s="944">
        <v>35431</v>
      </c>
      <c r="Q1062" s="945">
        <v>51.5</v>
      </c>
      <c r="R1062" s="946">
        <f ca="1">$A1062*Q1062</f>
        <v>103</v>
      </c>
      <c r="S1062" s="945">
        <v>1.1000000000000001</v>
      </c>
      <c r="T1062" s="947">
        <f ca="1">$A1062*S1062*$T$1</f>
        <v>1.9800000000000002</v>
      </c>
    </row>
    <row r="1063" spans="1:30" s="901" customFormat="1">
      <c r="A1063" s="1057">
        <f ca="1">$Q$1057 *(2)</f>
        <v>2</v>
      </c>
      <c r="B1063" s="901" t="s">
        <v>141</v>
      </c>
      <c r="D1063" s="901" t="s">
        <v>3662</v>
      </c>
      <c r="G1063" s="941" t="s">
        <v>3663</v>
      </c>
      <c r="H1063" s="942">
        <v>620</v>
      </c>
      <c r="I1063" s="901" t="s">
        <v>2611</v>
      </c>
      <c r="O1063" s="943">
        <v>2</v>
      </c>
      <c r="P1063" s="944">
        <v>35431</v>
      </c>
      <c r="Q1063" s="945">
        <v>9.99</v>
      </c>
      <c r="R1063" s="946">
        <f ca="1">$A1063*Q1063</f>
        <v>19.98</v>
      </c>
      <c r="S1063" s="945">
        <v>0.4</v>
      </c>
      <c r="T1063" s="947">
        <f ca="1">$A1063*S1063*$T$1</f>
        <v>0.72000000000000008</v>
      </c>
    </row>
    <row r="1064" spans="1:30" s="901" customFormat="1">
      <c r="A1064" s="1057">
        <f ca="1">$Q$1057 *(2)</f>
        <v>2</v>
      </c>
      <c r="B1064" s="901" t="s">
        <v>320</v>
      </c>
      <c r="D1064" s="901" t="s">
        <v>2653</v>
      </c>
      <c r="G1064" s="941" t="s">
        <v>2654</v>
      </c>
      <c r="H1064" s="942">
        <v>620</v>
      </c>
      <c r="I1064" s="901" t="s">
        <v>2607</v>
      </c>
      <c r="O1064" s="943">
        <v>2</v>
      </c>
      <c r="P1064" s="944">
        <v>38148</v>
      </c>
      <c r="Q1064" s="945">
        <v>1.5</v>
      </c>
      <c r="R1064" s="946">
        <f t="shared" ref="R1064" ca="1" si="220">$A1064*Q1064</f>
        <v>3</v>
      </c>
      <c r="S1064" s="945">
        <v>0.08</v>
      </c>
      <c r="T1064" s="947">
        <f t="shared" ref="T1064" ca="1" si="221">$A1064*S1064*$T$1</f>
        <v>0.14400000000000002</v>
      </c>
    </row>
    <row r="1065" spans="1:30" s="901" customFormat="1">
      <c r="A1065" s="1057">
        <f ca="1">$Q$1057 *(10)</f>
        <v>10</v>
      </c>
      <c r="B1065" s="901" t="s">
        <v>141</v>
      </c>
      <c r="D1065" s="901" t="s">
        <v>2625</v>
      </c>
      <c r="G1065" s="941" t="s">
        <v>2626</v>
      </c>
      <c r="H1065" s="942">
        <v>620</v>
      </c>
      <c r="I1065" s="901" t="s">
        <v>2614</v>
      </c>
      <c r="O1065" s="943">
        <v>2</v>
      </c>
      <c r="P1065" s="944">
        <v>34669</v>
      </c>
      <c r="Q1065" s="945">
        <v>1.51</v>
      </c>
      <c r="R1065" s="946">
        <f ca="1">$A1065*Q1065</f>
        <v>15.1</v>
      </c>
      <c r="S1065" s="945">
        <v>0.17</v>
      </c>
      <c r="T1065" s="947">
        <f ca="1">$A1065*S1065*$T$1</f>
        <v>1.5300000000000002</v>
      </c>
    </row>
    <row r="1066" spans="1:30" s="520" customFormat="1">
      <c r="A1066" s="758"/>
      <c r="B1066" s="3"/>
      <c r="C1066" s="758" t="s">
        <v>171</v>
      </c>
      <c r="D1066" s="3"/>
      <c r="E1066" s="758"/>
      <c r="F1066" s="753"/>
      <c r="G1066" s="758"/>
      <c r="H1066" s="758"/>
      <c r="I1066" s="519"/>
      <c r="J1066" s="758"/>
      <c r="K1066" s="758"/>
      <c r="L1066" s="758"/>
      <c r="M1066" s="758"/>
      <c r="N1066" s="758"/>
      <c r="O1066" s="758"/>
      <c r="P1066" s="758"/>
      <c r="Q1066" s="519"/>
      <c r="R1066" s="917">
        <f t="shared" ref="R1066" si="222">$A1066*Q1066</f>
        <v>0</v>
      </c>
      <c r="S1066" s="519"/>
      <c r="T1066" s="760">
        <f t="shared" ref="T1066" si="223">$A1066*S1066*$T$1</f>
        <v>0</v>
      </c>
    </row>
    <row r="1067" spans="1:30" s="520" customFormat="1" ht="12.6" thickBot="1">
      <c r="A1067" s="761" t="s">
        <v>145</v>
      </c>
      <c r="B1067" s="762">
        <f>(R1066+T1066)</f>
        <v>0</v>
      </c>
      <c r="C1067" s="763"/>
      <c r="D1067" s="937" t="s">
        <v>172</v>
      </c>
      <c r="E1067" s="477">
        <f ca="1">IF($B1057=0,0,ROUND(ROUND(($R1067*$S$2+($T1067*$T$2))/$B1057, 2)*$C$2,2))</f>
        <v>257.75</v>
      </c>
      <c r="F1067" s="478">
        <f ca="1">ROUND($B1057*$E1067,2)</f>
        <v>14176.25</v>
      </c>
      <c r="G1067" s="763"/>
      <c r="H1067" s="763"/>
      <c r="I1067" s="765"/>
      <c r="J1067" s="763"/>
      <c r="K1067" s="938" t="s">
        <v>143</v>
      </c>
      <c r="L1067" s="766" t="s">
        <v>143</v>
      </c>
      <c r="M1067" s="766"/>
      <c r="N1067" s="766"/>
      <c r="O1067" s="766"/>
      <c r="P1067" s="766"/>
      <c r="Q1067" s="938"/>
      <c r="R1067" s="939">
        <f ca="1">SUM(R1058:R1066)</f>
        <v>10875.98</v>
      </c>
      <c r="S1067" s="940"/>
      <c r="T1067" s="939">
        <f ca="1">SUM(T1058:T1066)</f>
        <v>23.184000000000001</v>
      </c>
      <c r="U1067" s="531"/>
      <c r="V1067" s="531"/>
      <c r="W1067" s="531"/>
      <c r="X1067" s="531"/>
      <c r="Y1067" s="531"/>
      <c r="Z1067" s="531"/>
      <c r="AA1067" s="531"/>
      <c r="AB1067" s="531"/>
    </row>
    <row r="1068" spans="1:30" ht="13.8" thickTop="1">
      <c r="A1068" s="48" t="s">
        <v>149</v>
      </c>
      <c r="B1068"/>
      <c r="C1068"/>
      <c r="D1068"/>
      <c r="E1068"/>
      <c r="F1068"/>
      <c r="G1068"/>
      <c r="H1068"/>
      <c r="I1068"/>
      <c r="J1068"/>
      <c r="K1068"/>
      <c r="L1068"/>
      <c r="M1068"/>
      <c r="N1068"/>
      <c r="O1068" s="116"/>
      <c r="P1068"/>
      <c r="Q1068" s="535"/>
      <c r="R1068"/>
      <c r="S1068"/>
      <c r="T1068"/>
      <c r="AD1068"/>
    </row>
    <row r="1069" spans="1:30" ht="14.4" thickBot="1">
      <c r="A1069" s="48" t="s">
        <v>149</v>
      </c>
      <c r="B1069" s="1"/>
      <c r="C1069" s="33"/>
      <c r="D1069" s="117" t="s">
        <v>173</v>
      </c>
      <c r="E1069" s="1"/>
      <c r="F1069" s="3"/>
      <c r="G1069" s="3"/>
      <c r="H1069" s="3"/>
      <c r="I1069" s="3"/>
      <c r="J1069" s="3"/>
      <c r="K1069" s="3"/>
      <c r="L1069" s="3"/>
      <c r="M1069" s="3"/>
      <c r="N1069" s="3"/>
      <c r="O1069" s="107"/>
      <c r="P1069" s="3"/>
      <c r="Q1069" s="3"/>
      <c r="R1069" s="118" t="s">
        <v>34</v>
      </c>
      <c r="S1069" s="119"/>
      <c r="T1069" s="118" t="s">
        <v>35</v>
      </c>
      <c r="AD1069" s="3"/>
    </row>
    <row r="1070" spans="1:30" ht="13.8" thickTop="1">
      <c r="A1070" s="48" t="s">
        <v>149</v>
      </c>
      <c r="B1070" s="3"/>
      <c r="C1070" s="33"/>
      <c r="D1070" s="1"/>
      <c r="E1070" s="1"/>
      <c r="F1070" s="33"/>
      <c r="G1070" s="1"/>
      <c r="H1070" s="1"/>
      <c r="I1070" s="1"/>
      <c r="J1070" s="1"/>
      <c r="K1070" s="3"/>
      <c r="L1070" s="1"/>
      <c r="M1070" s="1"/>
      <c r="N1070" s="1"/>
      <c r="O1070" s="120"/>
      <c r="P1070" s="1"/>
      <c r="Q1070" s="520"/>
      <c r="R1070" s="1"/>
      <c r="S1070" s="1"/>
      <c r="T1070" s="1"/>
      <c r="AD1070" s="51"/>
    </row>
    <row r="1071" spans="1:30" ht="13.8" thickBot="1">
      <c r="A1071" s="48" t="s">
        <v>149</v>
      </c>
      <c r="B1071" s="3"/>
      <c r="C1071" s="33"/>
      <c r="D1071" s="53" t="s">
        <v>174</v>
      </c>
      <c r="E1071" s="1"/>
      <c r="F1071" s="1"/>
      <c r="G1071" s="33"/>
      <c r="H1071" s="33"/>
      <c r="I1071" s="33"/>
      <c r="J1071" s="33"/>
      <c r="K1071" s="3"/>
      <c r="L1071" s="121" t="s">
        <v>175</v>
      </c>
      <c r="M1071" s="121"/>
      <c r="N1071" s="121"/>
      <c r="O1071" s="122"/>
      <c r="P1071" s="121"/>
      <c r="Q1071" s="51"/>
      <c r="R1071" s="123">
        <f ca="1">SUMIF($L$12:$L1069,"",R$12:R1069)</f>
        <v>502895.8941067484</v>
      </c>
      <c r="S1071" s="124"/>
      <c r="T1071" s="123">
        <f ca="1">SUMIF($L$12:$L1069,"",T$12:T1069)</f>
        <v>6600.246790647433</v>
      </c>
      <c r="AD1071" s="520"/>
    </row>
    <row r="1072" spans="1:30" ht="13.8" thickBot="1">
      <c r="A1072" s="48" t="s">
        <v>149</v>
      </c>
      <c r="B1072" s="3"/>
      <c r="C1072" s="33"/>
      <c r="D1072" s="53" t="s">
        <v>176</v>
      </c>
      <c r="E1072" s="1"/>
      <c r="F1072" s="3"/>
      <c r="G1072" s="3"/>
      <c r="H1072" s="3"/>
      <c r="I1072" s="3"/>
      <c r="J1072" s="3"/>
      <c r="K1072" s="3"/>
      <c r="L1072" s="121" t="s">
        <v>177</v>
      </c>
      <c r="M1072" s="121"/>
      <c r="N1072" s="121"/>
      <c r="O1072" s="122"/>
      <c r="P1072" s="121"/>
      <c r="Q1072" s="3"/>
      <c r="R1072" s="125">
        <f ca="1">SUMIF($L$12:$L1069,"ITEM",R$12:R1069)</f>
        <v>502895.89410674875</v>
      </c>
      <c r="S1072" s="126"/>
      <c r="T1072" s="125">
        <f ca="1">SUMIF($L$12:$L1069,"ITEM",T$12:T1069)</f>
        <v>6600.2467906474403</v>
      </c>
      <c r="AD1072" s="3"/>
    </row>
    <row r="1073" spans="1:30" ht="13.8" thickBot="1">
      <c r="A1073" s="54" t="s">
        <v>147</v>
      </c>
      <c r="B1073" s="9"/>
      <c r="C1073" s="50"/>
      <c r="D1073" s="9"/>
      <c r="E1073" s="9"/>
      <c r="F1073" s="9"/>
      <c r="G1073" s="9"/>
      <c r="H1073" s="9"/>
      <c r="I1073" s="9"/>
      <c r="J1073" s="9"/>
      <c r="K1073" s="9"/>
      <c r="L1073" s="9"/>
      <c r="M1073" s="9"/>
      <c r="N1073" s="9"/>
      <c r="O1073" s="127"/>
      <c r="P1073" s="9"/>
      <c r="Q1073" s="9"/>
      <c r="R1073" s="9"/>
      <c r="S1073" s="9"/>
      <c r="T1073" s="9"/>
      <c r="U1073" s="73"/>
      <c r="V1073" s="73"/>
      <c r="W1073" s="73"/>
      <c r="X1073" s="73"/>
      <c r="Y1073" s="73"/>
      <c r="Z1073" s="73"/>
      <c r="AA1073" s="73"/>
      <c r="AB1073" s="73"/>
      <c r="AD1073" s="9"/>
    </row>
    <row r="1074" spans="1:30" ht="13.8" thickTop="1">
      <c r="A1074" s="55"/>
      <c r="B1074" s="474" t="s">
        <v>71</v>
      </c>
      <c r="C1074" s="6"/>
      <c r="D1074" s="56"/>
      <c r="E1074" s="57" t="s">
        <v>150</v>
      </c>
      <c r="F1074" s="58"/>
      <c r="G1074" s="58"/>
      <c r="H1074" s="58"/>
      <c r="I1074" s="58"/>
      <c r="J1074" s="58"/>
      <c r="K1074" s="58"/>
      <c r="L1074" s="58"/>
      <c r="M1074" s="58"/>
      <c r="N1074" s="58"/>
      <c r="O1074" s="59"/>
      <c r="P1074" s="58"/>
      <c r="Q1074" s="60"/>
      <c r="R1074" s="61">
        <f ca="1">SUM(R1075:R1130)</f>
        <v>502895.89410674892</v>
      </c>
      <c r="S1074" s="62"/>
      <c r="T1074" s="61">
        <f ca="1">SUM(T1075:T1130)</f>
        <v>6600.2467906474412</v>
      </c>
      <c r="AD1074" s="58"/>
    </row>
    <row r="1075" spans="1:30">
      <c r="A1075" s="63"/>
      <c r="B1075" s="480">
        <v>1</v>
      </c>
      <c r="C1075" s="6" t="s">
        <v>73</v>
      </c>
      <c r="D1075" s="36" t="s">
        <v>74</v>
      </c>
      <c r="F1075" s="64">
        <v>501</v>
      </c>
      <c r="O1075" s="65"/>
      <c r="P1075" s="36">
        <v>1</v>
      </c>
      <c r="R1075" s="66">
        <f t="shared" ref="R1075:R1106" ca="1" si="224">SUMIF($H$12:$H$1068,$F1075,R$12:R$1068)</f>
        <v>38223.204226479334</v>
      </c>
      <c r="S1075" s="67"/>
      <c r="T1075" s="66">
        <f t="shared" ref="T1075:T1106" ca="1" si="225">SUMIF($H$12:$H$1068,$F1075,T$12:T$1068)</f>
        <v>314.02467391304356</v>
      </c>
      <c r="AD1075" s="64">
        <v>501</v>
      </c>
    </row>
    <row r="1076" spans="1:30">
      <c r="A1076" s="63"/>
      <c r="B1076" s="480">
        <v>2</v>
      </c>
      <c r="C1076" s="6" t="s">
        <v>73</v>
      </c>
      <c r="D1076" s="36" t="s">
        <v>75</v>
      </c>
      <c r="F1076" s="64">
        <v>505</v>
      </c>
      <c r="O1076" s="65"/>
      <c r="P1076" s="36">
        <v>1</v>
      </c>
      <c r="R1076" s="66">
        <f t="shared" si="224"/>
        <v>0</v>
      </c>
      <c r="S1076" s="67"/>
      <c r="T1076" s="66">
        <f t="shared" si="225"/>
        <v>0</v>
      </c>
      <c r="AD1076" s="64">
        <v>505</v>
      </c>
    </row>
    <row r="1077" spans="1:30">
      <c r="A1077" s="63"/>
      <c r="B1077" s="480">
        <v>3</v>
      </c>
      <c r="C1077" s="6" t="s">
        <v>73</v>
      </c>
      <c r="D1077" s="36" t="s">
        <v>76</v>
      </c>
      <c r="F1077" s="64">
        <v>510</v>
      </c>
      <c r="O1077" s="65"/>
      <c r="P1077" s="36">
        <v>2</v>
      </c>
      <c r="R1077" s="66">
        <f t="shared" ca="1" si="224"/>
        <v>1640.1599999999999</v>
      </c>
      <c r="S1077" s="67"/>
      <c r="T1077" s="66">
        <f t="shared" ca="1" si="225"/>
        <v>35.774999999999999</v>
      </c>
      <c r="AD1077" s="64">
        <v>510</v>
      </c>
    </row>
    <row r="1078" spans="1:30">
      <c r="A1078" s="63"/>
      <c r="B1078" s="480">
        <v>4</v>
      </c>
      <c r="C1078" s="6" t="s">
        <v>73</v>
      </c>
      <c r="D1078" s="36" t="s">
        <v>77</v>
      </c>
      <c r="F1078" s="64">
        <v>511</v>
      </c>
      <c r="O1078" s="65"/>
      <c r="P1078" s="36">
        <v>2</v>
      </c>
      <c r="R1078" s="66">
        <f t="shared" si="224"/>
        <v>0</v>
      </c>
      <c r="S1078" s="67"/>
      <c r="T1078" s="66">
        <f t="shared" si="225"/>
        <v>0</v>
      </c>
      <c r="AD1078" s="64">
        <v>511</v>
      </c>
    </row>
    <row r="1079" spans="1:30">
      <c r="A1079" s="63"/>
      <c r="B1079" s="480">
        <v>5</v>
      </c>
      <c r="C1079" s="6" t="s">
        <v>73</v>
      </c>
      <c r="D1079" s="36" t="s">
        <v>78</v>
      </c>
      <c r="F1079" s="64">
        <v>512</v>
      </c>
      <c r="O1079" s="65"/>
      <c r="P1079" s="36">
        <v>2</v>
      </c>
      <c r="R1079" s="66">
        <f t="shared" si="224"/>
        <v>0</v>
      </c>
      <c r="S1079" s="67"/>
      <c r="T1079" s="66">
        <f t="shared" si="225"/>
        <v>0</v>
      </c>
      <c r="AD1079" s="64">
        <v>512</v>
      </c>
    </row>
    <row r="1080" spans="1:30">
      <c r="A1080" s="63"/>
      <c r="B1080" s="480">
        <v>6</v>
      </c>
      <c r="C1080" s="6" t="s">
        <v>73</v>
      </c>
      <c r="D1080" s="36" t="s">
        <v>79</v>
      </c>
      <c r="F1080" s="64">
        <v>520</v>
      </c>
      <c r="O1080" s="65"/>
      <c r="P1080" s="36">
        <v>1</v>
      </c>
      <c r="R1080" s="66">
        <f t="shared" si="224"/>
        <v>0</v>
      </c>
      <c r="S1080" s="67"/>
      <c r="T1080" s="66">
        <f t="shared" si="225"/>
        <v>0</v>
      </c>
      <c r="AD1080" s="64">
        <v>520</v>
      </c>
    </row>
    <row r="1081" spans="1:30">
      <c r="A1081" s="63"/>
      <c r="B1081" s="480">
        <v>7</v>
      </c>
      <c r="C1081" s="6" t="s">
        <v>73</v>
      </c>
      <c r="D1081" s="36" t="s">
        <v>80</v>
      </c>
      <c r="F1081" s="64">
        <v>530</v>
      </c>
      <c r="O1081" s="65"/>
      <c r="P1081" s="36">
        <v>2</v>
      </c>
      <c r="R1081" s="66">
        <f t="shared" si="224"/>
        <v>0</v>
      </c>
      <c r="S1081" s="67"/>
      <c r="T1081" s="66">
        <f t="shared" si="225"/>
        <v>0</v>
      </c>
      <c r="AD1081" s="64">
        <v>530</v>
      </c>
    </row>
    <row r="1082" spans="1:30">
      <c r="A1082" s="63"/>
      <c r="B1082" s="480">
        <v>8</v>
      </c>
      <c r="C1082" s="6" t="s">
        <v>73</v>
      </c>
      <c r="D1082" s="36" t="s">
        <v>81</v>
      </c>
      <c r="F1082" s="64">
        <v>550</v>
      </c>
      <c r="O1082" s="65"/>
      <c r="P1082" s="36">
        <v>2</v>
      </c>
      <c r="R1082" s="66">
        <f t="shared" si="224"/>
        <v>0</v>
      </c>
      <c r="S1082" s="67"/>
      <c r="T1082" s="66">
        <f t="shared" si="225"/>
        <v>0</v>
      </c>
      <c r="AD1082" s="64">
        <v>550</v>
      </c>
    </row>
    <row r="1083" spans="1:30">
      <c r="A1083" s="63"/>
      <c r="B1083" s="480">
        <v>9</v>
      </c>
      <c r="C1083" s="6" t="s">
        <v>73</v>
      </c>
      <c r="D1083" s="36" t="s">
        <v>82</v>
      </c>
      <c r="F1083" s="64">
        <v>570</v>
      </c>
      <c r="O1083" s="65"/>
      <c r="P1083" s="36">
        <v>2</v>
      </c>
      <c r="R1083" s="66">
        <f t="shared" si="224"/>
        <v>0</v>
      </c>
      <c r="S1083" s="67"/>
      <c r="T1083" s="66">
        <f t="shared" si="225"/>
        <v>0</v>
      </c>
      <c r="AD1083" s="64">
        <v>570</v>
      </c>
    </row>
    <row r="1084" spans="1:30">
      <c r="A1084" s="63"/>
      <c r="B1084" s="480">
        <v>10</v>
      </c>
      <c r="C1084" s="6" t="s">
        <v>73</v>
      </c>
      <c r="D1084" s="36" t="s">
        <v>83</v>
      </c>
      <c r="F1084" s="64">
        <v>615</v>
      </c>
      <c r="O1084" s="65"/>
      <c r="P1084" s="36">
        <v>2</v>
      </c>
      <c r="R1084" s="66">
        <f t="shared" ca="1" si="224"/>
        <v>15082.838812119166</v>
      </c>
      <c r="S1084" s="67"/>
      <c r="T1084" s="66">
        <f t="shared" ca="1" si="225"/>
        <v>887.38009910357994</v>
      </c>
      <c r="AD1084" s="64">
        <v>615</v>
      </c>
    </row>
    <row r="1085" spans="1:30">
      <c r="A1085" s="63"/>
      <c r="B1085" s="480">
        <v>11</v>
      </c>
      <c r="C1085" s="6" t="s">
        <v>73</v>
      </c>
      <c r="D1085" s="36" t="s">
        <v>85</v>
      </c>
      <c r="F1085" s="64">
        <v>616</v>
      </c>
      <c r="O1085" s="65"/>
      <c r="P1085" s="36">
        <v>2</v>
      </c>
      <c r="R1085" s="66">
        <f t="shared" ca="1" si="224"/>
        <v>363504.04213248577</v>
      </c>
      <c r="S1085" s="67"/>
      <c r="T1085" s="66">
        <f t="shared" ca="1" si="225"/>
        <v>1018.0043208917559</v>
      </c>
      <c r="AD1085" s="64">
        <v>616</v>
      </c>
    </row>
    <row r="1086" spans="1:30">
      <c r="A1086" s="63"/>
      <c r="B1086" s="480">
        <v>12</v>
      </c>
      <c r="C1086" s="6" t="s">
        <v>73</v>
      </c>
      <c r="D1086" s="36" t="s">
        <v>86</v>
      </c>
      <c r="F1086" s="64">
        <v>617</v>
      </c>
      <c r="O1086" s="65"/>
      <c r="P1086" s="36">
        <v>2</v>
      </c>
      <c r="R1086" s="66">
        <f t="shared" si="224"/>
        <v>0</v>
      </c>
      <c r="S1086" s="67"/>
      <c r="T1086" s="66">
        <f t="shared" si="225"/>
        <v>0</v>
      </c>
      <c r="AD1086" s="64">
        <v>617</v>
      </c>
    </row>
    <row r="1087" spans="1:30">
      <c r="A1087" s="63"/>
      <c r="B1087" s="480">
        <v>13</v>
      </c>
      <c r="C1087" s="6" t="s">
        <v>73</v>
      </c>
      <c r="D1087" s="36" t="s">
        <v>151</v>
      </c>
      <c r="F1087" s="64">
        <v>620</v>
      </c>
      <c r="O1087" s="65"/>
      <c r="P1087" s="36">
        <v>2</v>
      </c>
      <c r="R1087" s="66">
        <f t="shared" ca="1" si="224"/>
        <v>6114.4019244022402</v>
      </c>
      <c r="S1087" s="67"/>
      <c r="T1087" s="66">
        <f t="shared" ca="1" si="225"/>
        <v>311.64775323837449</v>
      </c>
      <c r="AD1087" s="64">
        <v>620</v>
      </c>
    </row>
    <row r="1088" spans="1:30">
      <c r="A1088" s="63"/>
      <c r="B1088" s="480">
        <v>14</v>
      </c>
      <c r="C1088" s="6" t="s">
        <v>73</v>
      </c>
      <c r="D1088" s="36" t="s">
        <v>88</v>
      </c>
      <c r="F1088" s="64">
        <v>650</v>
      </c>
      <c r="O1088" s="65"/>
      <c r="P1088" s="36">
        <v>1</v>
      </c>
      <c r="R1088" s="66">
        <f t="shared" ca="1" si="224"/>
        <v>9424.3477967784656</v>
      </c>
      <c r="S1088" s="67"/>
      <c r="T1088" s="66">
        <f t="shared" ca="1" si="225"/>
        <v>414.40500000000009</v>
      </c>
      <c r="AD1088" s="64">
        <v>650</v>
      </c>
    </row>
    <row r="1089" spans="1:30">
      <c r="A1089" s="63"/>
      <c r="B1089" s="480">
        <v>15</v>
      </c>
      <c r="C1089" s="6" t="s">
        <v>73</v>
      </c>
      <c r="D1089" s="36" t="s">
        <v>89</v>
      </c>
      <c r="F1089" s="64">
        <v>651</v>
      </c>
      <c r="O1089" s="65"/>
      <c r="P1089" s="36">
        <v>1</v>
      </c>
      <c r="R1089" s="66">
        <f t="shared" si="224"/>
        <v>0</v>
      </c>
      <c r="S1089" s="67"/>
      <c r="T1089" s="66">
        <f t="shared" si="225"/>
        <v>0</v>
      </c>
      <c r="AD1089" s="64">
        <v>651</v>
      </c>
    </row>
    <row r="1090" spans="1:30">
      <c r="A1090" s="63"/>
      <c r="B1090" s="480">
        <v>16</v>
      </c>
      <c r="C1090" s="6" t="s">
        <v>73</v>
      </c>
      <c r="D1090" s="36" t="s">
        <v>90</v>
      </c>
      <c r="F1090" s="64">
        <v>652</v>
      </c>
      <c r="O1090" s="65"/>
      <c r="P1090" s="36">
        <v>1</v>
      </c>
      <c r="R1090" s="66">
        <f t="shared" si="224"/>
        <v>0</v>
      </c>
      <c r="S1090" s="67"/>
      <c r="T1090" s="66">
        <f t="shared" si="225"/>
        <v>0</v>
      </c>
      <c r="AD1090" s="64">
        <v>652</v>
      </c>
    </row>
    <row r="1091" spans="1:30">
      <c r="A1091" s="63"/>
      <c r="B1091" s="480">
        <v>17</v>
      </c>
      <c r="C1091" s="6" t="s">
        <v>73</v>
      </c>
      <c r="D1091" s="36" t="s">
        <v>91</v>
      </c>
      <c r="F1091" s="64">
        <v>654</v>
      </c>
      <c r="O1091" s="65"/>
      <c r="P1091" s="36">
        <v>1</v>
      </c>
      <c r="R1091" s="66">
        <f t="shared" si="224"/>
        <v>0</v>
      </c>
      <c r="S1091" s="67"/>
      <c r="T1091" s="66">
        <f t="shared" si="225"/>
        <v>0</v>
      </c>
      <c r="AD1091" s="64">
        <v>654</v>
      </c>
    </row>
    <row r="1092" spans="1:30">
      <c r="A1092" s="63"/>
      <c r="B1092" s="480">
        <v>18</v>
      </c>
      <c r="C1092" s="6" t="s">
        <v>73</v>
      </c>
      <c r="D1092" s="36" t="s">
        <v>92</v>
      </c>
      <c r="F1092" s="64">
        <v>675</v>
      </c>
      <c r="O1092" s="65"/>
      <c r="P1092" s="36">
        <v>1</v>
      </c>
      <c r="R1092" s="66">
        <f t="shared" ca="1" si="224"/>
        <v>12301.490434782605</v>
      </c>
      <c r="S1092" s="67"/>
      <c r="T1092" s="66">
        <f t="shared" ca="1" si="225"/>
        <v>548.52652173913043</v>
      </c>
      <c r="AD1092" s="64">
        <v>675</v>
      </c>
    </row>
    <row r="1093" spans="1:30">
      <c r="A1093" s="63"/>
      <c r="B1093" s="480">
        <v>19</v>
      </c>
      <c r="C1093" s="6" t="s">
        <v>73</v>
      </c>
      <c r="D1093" s="36" t="s">
        <v>93</v>
      </c>
      <c r="F1093" s="64">
        <v>676</v>
      </c>
      <c r="O1093" s="65"/>
      <c r="P1093" s="36">
        <v>1</v>
      </c>
      <c r="R1093" s="66">
        <f t="shared" si="224"/>
        <v>0</v>
      </c>
      <c r="S1093" s="67"/>
      <c r="T1093" s="66">
        <f t="shared" si="225"/>
        <v>0</v>
      </c>
      <c r="AD1093" s="64">
        <v>676</v>
      </c>
    </row>
    <row r="1094" spans="1:30">
      <c r="A1094" s="63"/>
      <c r="B1094" s="480">
        <v>20</v>
      </c>
      <c r="C1094" s="6" t="s">
        <v>73</v>
      </c>
      <c r="D1094" s="36" t="s">
        <v>94</v>
      </c>
      <c r="F1094" s="64">
        <v>680</v>
      </c>
      <c r="O1094" s="65"/>
      <c r="P1094" s="36">
        <v>1</v>
      </c>
      <c r="R1094" s="66">
        <f t="shared" si="224"/>
        <v>0</v>
      </c>
      <c r="S1094" s="67"/>
      <c r="T1094" s="66">
        <f t="shared" si="225"/>
        <v>0</v>
      </c>
      <c r="AD1094" s="64">
        <v>680</v>
      </c>
    </row>
    <row r="1095" spans="1:30">
      <c r="A1095" s="63"/>
      <c r="B1095" s="480">
        <v>21</v>
      </c>
      <c r="C1095" s="6" t="s">
        <v>73</v>
      </c>
      <c r="D1095" s="36" t="s">
        <v>96</v>
      </c>
      <c r="F1095" s="64">
        <v>681</v>
      </c>
      <c r="O1095" s="65"/>
      <c r="P1095" s="36">
        <v>1</v>
      </c>
      <c r="R1095" s="66">
        <f t="shared" si="224"/>
        <v>0</v>
      </c>
      <c r="S1095" s="67"/>
      <c r="T1095" s="66">
        <f t="shared" si="225"/>
        <v>0</v>
      </c>
      <c r="AD1095" s="64">
        <v>681</v>
      </c>
    </row>
    <row r="1096" spans="1:30">
      <c r="A1096" s="63"/>
      <c r="B1096" s="480">
        <v>22</v>
      </c>
      <c r="C1096" s="6" t="s">
        <v>73</v>
      </c>
      <c r="D1096" s="36" t="s">
        <v>97</v>
      </c>
      <c r="F1096" s="64">
        <v>690</v>
      </c>
      <c r="O1096" s="65"/>
      <c r="P1096" s="36">
        <v>1</v>
      </c>
      <c r="R1096" s="66">
        <f t="shared" ca="1" si="224"/>
        <v>34414.046411269032</v>
      </c>
      <c r="S1096" s="67"/>
      <c r="T1096" s="66">
        <f t="shared" ca="1" si="225"/>
        <v>1722.0081778971705</v>
      </c>
      <c r="AD1096" s="64">
        <v>690</v>
      </c>
    </row>
    <row r="1097" spans="1:30">
      <c r="A1097" s="63"/>
      <c r="B1097" s="480">
        <v>23</v>
      </c>
      <c r="C1097" s="6" t="s">
        <v>73</v>
      </c>
      <c r="D1097" s="36" t="s">
        <v>98</v>
      </c>
      <c r="F1097" s="64">
        <v>700</v>
      </c>
      <c r="O1097" s="65"/>
      <c r="P1097" s="36">
        <v>1</v>
      </c>
      <c r="R1097" s="66">
        <f t="shared" ca="1" si="224"/>
        <v>7927.9639097744366</v>
      </c>
      <c r="S1097" s="67"/>
      <c r="T1097" s="66">
        <f t="shared" ca="1" si="225"/>
        <v>549.01265413533827</v>
      </c>
      <c r="AD1097" s="64">
        <v>700</v>
      </c>
    </row>
    <row r="1098" spans="1:30">
      <c r="A1098" s="63"/>
      <c r="B1098" s="480">
        <v>24</v>
      </c>
      <c r="C1098" s="6" t="s">
        <v>73</v>
      </c>
      <c r="D1098" s="36" t="s">
        <v>99</v>
      </c>
      <c r="F1098" s="64">
        <v>705</v>
      </c>
      <c r="O1098" s="65"/>
      <c r="P1098" s="36">
        <v>3</v>
      </c>
      <c r="R1098" s="66">
        <f t="shared" ca="1" si="224"/>
        <v>3502.1352151655738</v>
      </c>
      <c r="S1098" s="67"/>
      <c r="T1098" s="66">
        <f t="shared" ca="1" si="225"/>
        <v>183.30934558189</v>
      </c>
      <c r="AD1098" s="64">
        <v>705</v>
      </c>
    </row>
    <row r="1099" spans="1:30">
      <c r="A1099" s="63"/>
      <c r="B1099" s="480">
        <v>25</v>
      </c>
      <c r="C1099" s="6" t="s">
        <v>73</v>
      </c>
      <c r="D1099" s="36" t="s">
        <v>100</v>
      </c>
      <c r="F1099" s="64">
        <v>706</v>
      </c>
      <c r="O1099" s="65"/>
      <c r="P1099" s="36">
        <v>3</v>
      </c>
      <c r="R1099" s="66">
        <f t="shared" si="224"/>
        <v>0</v>
      </c>
      <c r="S1099" s="67"/>
      <c r="T1099" s="66">
        <f t="shared" si="225"/>
        <v>0</v>
      </c>
      <c r="AD1099" s="64">
        <v>706</v>
      </c>
    </row>
    <row r="1100" spans="1:30">
      <c r="A1100" s="63"/>
      <c r="B1100" s="480">
        <v>26</v>
      </c>
      <c r="C1100" s="6" t="s">
        <v>73</v>
      </c>
      <c r="D1100" s="36" t="s">
        <v>101</v>
      </c>
      <c r="F1100" s="64">
        <v>725</v>
      </c>
      <c r="O1100" s="65"/>
      <c r="P1100" s="36">
        <v>3</v>
      </c>
      <c r="R1100" s="66">
        <f t="shared" si="224"/>
        <v>0</v>
      </c>
      <c r="S1100" s="67"/>
      <c r="T1100" s="66">
        <f t="shared" si="225"/>
        <v>0</v>
      </c>
      <c r="AD1100" s="64">
        <v>725</v>
      </c>
    </row>
    <row r="1101" spans="1:30">
      <c r="A1101" s="63"/>
      <c r="B1101" s="480">
        <v>27</v>
      </c>
      <c r="C1101" s="6" t="s">
        <v>73</v>
      </c>
      <c r="D1101" s="36" t="s">
        <v>102</v>
      </c>
      <c r="F1101" s="64">
        <v>726</v>
      </c>
      <c r="O1101" s="65"/>
      <c r="P1101" s="36">
        <v>3</v>
      </c>
      <c r="R1101" s="66">
        <f t="shared" si="224"/>
        <v>0</v>
      </c>
      <c r="S1101" s="67"/>
      <c r="T1101" s="66">
        <f t="shared" si="225"/>
        <v>0</v>
      </c>
      <c r="AD1101" s="64">
        <v>726</v>
      </c>
    </row>
    <row r="1102" spans="1:30">
      <c r="A1102" s="63"/>
      <c r="B1102" s="480">
        <v>28</v>
      </c>
      <c r="C1102" s="6" t="s">
        <v>73</v>
      </c>
      <c r="D1102" s="36" t="s">
        <v>103</v>
      </c>
      <c r="F1102" s="64">
        <v>750</v>
      </c>
      <c r="O1102" s="65"/>
      <c r="P1102" s="36">
        <v>3</v>
      </c>
      <c r="R1102" s="66">
        <f t="shared" si="224"/>
        <v>0</v>
      </c>
      <c r="S1102" s="67"/>
      <c r="T1102" s="66">
        <f t="shared" si="225"/>
        <v>0</v>
      </c>
      <c r="AD1102" s="64">
        <v>750</v>
      </c>
    </row>
    <row r="1103" spans="1:30">
      <c r="A1103" s="63"/>
      <c r="B1103" s="480">
        <v>29</v>
      </c>
      <c r="C1103" s="6" t="s">
        <v>73</v>
      </c>
      <c r="D1103" s="36" t="s">
        <v>104</v>
      </c>
      <c r="F1103" s="64">
        <v>751</v>
      </c>
      <c r="O1103" s="65"/>
      <c r="P1103" s="36">
        <v>3</v>
      </c>
      <c r="R1103" s="66">
        <f t="shared" si="224"/>
        <v>0</v>
      </c>
      <c r="S1103" s="67"/>
      <c r="T1103" s="66">
        <f t="shared" si="225"/>
        <v>0</v>
      </c>
      <c r="AD1103" s="64">
        <v>751</v>
      </c>
    </row>
    <row r="1104" spans="1:30">
      <c r="A1104" s="63"/>
      <c r="B1104" s="480">
        <v>30</v>
      </c>
      <c r="C1104" s="6" t="s">
        <v>73</v>
      </c>
      <c r="D1104" s="36" t="s">
        <v>105</v>
      </c>
      <c r="F1104" s="64">
        <v>752</v>
      </c>
      <c r="O1104" s="65"/>
      <c r="P1104" s="36">
        <v>3</v>
      </c>
      <c r="R1104" s="66">
        <f t="shared" si="224"/>
        <v>0</v>
      </c>
      <c r="S1104" s="67"/>
      <c r="T1104" s="66">
        <f t="shared" si="225"/>
        <v>0</v>
      </c>
      <c r="AD1104" s="64">
        <v>752</v>
      </c>
    </row>
    <row r="1105" spans="1:30">
      <c r="A1105" s="63"/>
      <c r="B1105" s="480">
        <v>31</v>
      </c>
      <c r="C1105" s="6" t="s">
        <v>73</v>
      </c>
      <c r="D1105" s="588" t="s">
        <v>284</v>
      </c>
      <c r="F1105" s="64">
        <v>753</v>
      </c>
      <c r="O1105" s="65"/>
      <c r="P1105" s="36">
        <v>3</v>
      </c>
      <c r="R1105" s="66">
        <f t="shared" si="224"/>
        <v>0</v>
      </c>
      <c r="S1105" s="67"/>
      <c r="T1105" s="66">
        <f t="shared" si="225"/>
        <v>0</v>
      </c>
      <c r="AD1105" s="64">
        <v>753</v>
      </c>
    </row>
    <row r="1106" spans="1:30">
      <c r="A1106" s="63"/>
      <c r="B1106" s="480">
        <v>32</v>
      </c>
      <c r="C1106" s="6" t="s">
        <v>73</v>
      </c>
      <c r="D1106" s="36" t="s">
        <v>107</v>
      </c>
      <c r="F1106" s="64">
        <v>770</v>
      </c>
      <c r="O1106" s="65"/>
      <c r="P1106" s="36">
        <v>3</v>
      </c>
      <c r="R1106" s="66">
        <f t="shared" si="224"/>
        <v>0</v>
      </c>
      <c r="S1106" s="67"/>
      <c r="T1106" s="66">
        <f t="shared" si="225"/>
        <v>0</v>
      </c>
      <c r="AD1106" s="64">
        <v>770</v>
      </c>
    </row>
    <row r="1107" spans="1:30">
      <c r="A1107" s="63"/>
      <c r="B1107" s="480">
        <v>33</v>
      </c>
      <c r="C1107" s="6" t="s">
        <v>73</v>
      </c>
      <c r="D1107" s="36" t="s">
        <v>108</v>
      </c>
      <c r="F1107" s="64">
        <v>790</v>
      </c>
      <c r="O1107" s="65"/>
      <c r="P1107" s="36">
        <v>3</v>
      </c>
      <c r="R1107" s="66">
        <f t="shared" ref="R1107:R1130" si="226">SUMIF($H$12:$H$1068,$F1107,R$12:R$1068)</f>
        <v>0</v>
      </c>
      <c r="S1107" s="67"/>
      <c r="T1107" s="66">
        <f t="shared" ref="T1107:T1130" si="227">SUMIF($H$12:$H$1068,$F1107,T$12:T$1068)</f>
        <v>0</v>
      </c>
      <c r="AD1107" s="64">
        <v>790</v>
      </c>
    </row>
    <row r="1108" spans="1:30">
      <c r="A1108" s="63"/>
      <c r="B1108" s="480">
        <v>34</v>
      </c>
      <c r="C1108" s="6" t="s">
        <v>73</v>
      </c>
      <c r="D1108" s="36" t="s">
        <v>109</v>
      </c>
      <c r="F1108" s="64">
        <v>791</v>
      </c>
      <c r="O1108" s="65"/>
      <c r="P1108" s="36">
        <v>3</v>
      </c>
      <c r="R1108" s="66">
        <f t="shared" si="226"/>
        <v>0</v>
      </c>
      <c r="S1108" s="67"/>
      <c r="T1108" s="66">
        <f t="shared" si="227"/>
        <v>0</v>
      </c>
      <c r="AD1108" s="64">
        <v>791</v>
      </c>
    </row>
    <row r="1109" spans="1:30">
      <c r="A1109" s="63"/>
      <c r="B1109" s="480">
        <v>35</v>
      </c>
      <c r="C1109" s="6" t="s">
        <v>73</v>
      </c>
      <c r="D1109" s="36" t="s">
        <v>110</v>
      </c>
      <c r="F1109" s="64">
        <v>810</v>
      </c>
      <c r="O1109" s="65"/>
      <c r="P1109" s="36">
        <v>3</v>
      </c>
      <c r="R1109" s="66">
        <f t="shared" si="226"/>
        <v>0</v>
      </c>
      <c r="S1109" s="67"/>
      <c r="T1109" s="66">
        <f t="shared" si="227"/>
        <v>0</v>
      </c>
      <c r="AD1109" s="64">
        <v>810</v>
      </c>
    </row>
    <row r="1110" spans="1:30">
      <c r="A1110" s="63"/>
      <c r="B1110" s="480">
        <v>36</v>
      </c>
      <c r="C1110" s="6" t="s">
        <v>73</v>
      </c>
      <c r="D1110" s="36" t="s">
        <v>111</v>
      </c>
      <c r="F1110" s="64">
        <v>815</v>
      </c>
      <c r="O1110" s="65"/>
      <c r="P1110" s="36">
        <v>3</v>
      </c>
      <c r="R1110" s="66">
        <f t="shared" si="226"/>
        <v>0</v>
      </c>
      <c r="S1110" s="67"/>
      <c r="T1110" s="66">
        <f t="shared" si="227"/>
        <v>0</v>
      </c>
      <c r="AD1110" s="64">
        <v>815</v>
      </c>
    </row>
    <row r="1111" spans="1:30">
      <c r="A1111" s="63"/>
      <c r="B1111" s="480">
        <v>37</v>
      </c>
      <c r="C1111" s="6" t="s">
        <v>73</v>
      </c>
      <c r="D1111" s="36" t="s">
        <v>112</v>
      </c>
      <c r="F1111" s="64">
        <v>820</v>
      </c>
      <c r="O1111" s="65"/>
      <c r="P1111" s="36">
        <v>2</v>
      </c>
      <c r="R1111" s="66">
        <f t="shared" si="226"/>
        <v>0</v>
      </c>
      <c r="S1111" s="67"/>
      <c r="T1111" s="66">
        <f t="shared" si="227"/>
        <v>0</v>
      </c>
      <c r="AD1111" s="64">
        <v>820</v>
      </c>
    </row>
    <row r="1112" spans="1:30">
      <c r="A1112" s="63"/>
      <c r="B1112" s="480">
        <v>38</v>
      </c>
      <c r="C1112" s="6" t="s">
        <v>73</v>
      </c>
      <c r="D1112" s="36" t="s">
        <v>113</v>
      </c>
      <c r="F1112" s="64">
        <v>821</v>
      </c>
      <c r="O1112" s="65"/>
      <c r="P1112" s="36">
        <v>3</v>
      </c>
      <c r="R1112" s="66">
        <f t="shared" si="226"/>
        <v>0</v>
      </c>
      <c r="S1112" s="67"/>
      <c r="T1112" s="66">
        <f t="shared" si="227"/>
        <v>0</v>
      </c>
      <c r="AD1112" s="64">
        <v>821</v>
      </c>
    </row>
    <row r="1113" spans="1:30">
      <c r="A1113" s="63"/>
      <c r="B1113" s="480">
        <v>39</v>
      </c>
      <c r="C1113" s="6" t="s">
        <v>73</v>
      </c>
      <c r="D1113" s="36" t="s">
        <v>114</v>
      </c>
      <c r="F1113" s="64">
        <v>835</v>
      </c>
      <c r="O1113" s="65"/>
      <c r="P1113" s="36">
        <v>3</v>
      </c>
      <c r="R1113" s="66">
        <f t="shared" ca="1" si="226"/>
        <v>0</v>
      </c>
      <c r="S1113" s="67"/>
      <c r="T1113" s="66">
        <f t="shared" ca="1" si="227"/>
        <v>417.06000000000006</v>
      </c>
      <c r="AD1113" s="64">
        <v>835</v>
      </c>
    </row>
    <row r="1114" spans="1:30">
      <c r="A1114" s="63"/>
      <c r="B1114" s="480">
        <v>40</v>
      </c>
      <c r="C1114" s="6" t="s">
        <v>73</v>
      </c>
      <c r="D1114" s="36" t="s">
        <v>115</v>
      </c>
      <c r="F1114" s="64">
        <v>845</v>
      </c>
      <c r="O1114" s="65"/>
      <c r="P1114" s="36">
        <v>2</v>
      </c>
      <c r="R1114" s="66">
        <f t="shared" ca="1" si="226"/>
        <v>1227.421558119263</v>
      </c>
      <c r="S1114" s="67"/>
      <c r="T1114" s="66">
        <f t="shared" ca="1" si="227"/>
        <v>0</v>
      </c>
      <c r="AD1114" s="64">
        <v>845</v>
      </c>
    </row>
    <row r="1115" spans="1:30">
      <c r="A1115" s="63"/>
      <c r="B1115" s="480">
        <v>41</v>
      </c>
      <c r="C1115" s="6" t="s">
        <v>73</v>
      </c>
      <c r="D1115" s="36" t="s">
        <v>117</v>
      </c>
      <c r="F1115" s="64">
        <v>855</v>
      </c>
      <c r="O1115" s="65"/>
      <c r="P1115" s="36">
        <v>3</v>
      </c>
      <c r="R1115" s="66">
        <f t="shared" si="226"/>
        <v>0</v>
      </c>
      <c r="S1115" s="67"/>
      <c r="T1115" s="66">
        <f t="shared" si="227"/>
        <v>0</v>
      </c>
      <c r="AD1115" s="64">
        <v>855</v>
      </c>
    </row>
    <row r="1116" spans="1:30">
      <c r="A1116" s="63"/>
      <c r="B1116" s="480">
        <v>42</v>
      </c>
      <c r="C1116" s="6" t="s">
        <v>73</v>
      </c>
      <c r="D1116" s="36" t="s">
        <v>118</v>
      </c>
      <c r="F1116" s="64">
        <v>856</v>
      </c>
      <c r="O1116" s="65"/>
      <c r="P1116" s="36">
        <v>3</v>
      </c>
      <c r="R1116" s="66">
        <f t="shared" si="226"/>
        <v>0</v>
      </c>
      <c r="S1116" s="67"/>
      <c r="T1116" s="66">
        <f t="shared" si="227"/>
        <v>0</v>
      </c>
      <c r="AD1116" s="64">
        <v>856</v>
      </c>
    </row>
    <row r="1117" spans="1:30">
      <c r="A1117" s="63"/>
      <c r="B1117" s="480">
        <v>43</v>
      </c>
      <c r="C1117" s="6" t="s">
        <v>73</v>
      </c>
      <c r="D1117" s="36" t="s">
        <v>264</v>
      </c>
      <c r="F1117" s="64">
        <v>857</v>
      </c>
      <c r="O1117" s="65"/>
      <c r="P1117" s="36">
        <v>3</v>
      </c>
      <c r="R1117" s="66">
        <f t="shared" si="226"/>
        <v>0</v>
      </c>
      <c r="S1117" s="67"/>
      <c r="T1117" s="66">
        <f t="shared" si="227"/>
        <v>0</v>
      </c>
      <c r="AD1117" s="64">
        <v>857</v>
      </c>
    </row>
    <row r="1118" spans="1:30">
      <c r="A1118" s="63"/>
      <c r="B1118" s="480">
        <v>44</v>
      </c>
      <c r="C1118" s="6" t="s">
        <v>73</v>
      </c>
      <c r="D1118" s="36" t="s">
        <v>119</v>
      </c>
      <c r="F1118" s="64">
        <v>858</v>
      </c>
      <c r="O1118" s="65"/>
      <c r="P1118" s="36">
        <v>3</v>
      </c>
      <c r="R1118" s="66">
        <f t="shared" si="226"/>
        <v>0</v>
      </c>
      <c r="S1118" s="67"/>
      <c r="T1118" s="66">
        <f t="shared" si="227"/>
        <v>0</v>
      </c>
      <c r="AD1118" s="64">
        <v>858</v>
      </c>
    </row>
    <row r="1119" spans="1:30">
      <c r="A1119" s="63"/>
      <c r="B1119" s="480">
        <v>45</v>
      </c>
      <c r="C1119" s="6" t="s">
        <v>73</v>
      </c>
      <c r="D1119" s="36" t="s">
        <v>120</v>
      </c>
      <c r="F1119" s="64">
        <v>865</v>
      </c>
      <c r="O1119" s="65"/>
      <c r="P1119" s="36">
        <v>3</v>
      </c>
      <c r="R1119" s="66">
        <f t="shared" si="226"/>
        <v>0</v>
      </c>
      <c r="S1119" s="67"/>
      <c r="T1119" s="66">
        <f t="shared" si="227"/>
        <v>0</v>
      </c>
      <c r="AD1119" s="64">
        <v>865</v>
      </c>
    </row>
    <row r="1120" spans="1:30">
      <c r="A1120" s="63"/>
      <c r="B1120" s="480">
        <v>46</v>
      </c>
      <c r="C1120" s="6" t="s">
        <v>73</v>
      </c>
      <c r="D1120" s="36" t="s">
        <v>121</v>
      </c>
      <c r="F1120" s="64">
        <v>870</v>
      </c>
      <c r="O1120" s="65"/>
      <c r="P1120" s="36">
        <v>4</v>
      </c>
      <c r="R1120" s="66">
        <f t="shared" si="226"/>
        <v>0</v>
      </c>
      <c r="S1120" s="67"/>
      <c r="T1120" s="66">
        <f t="shared" si="227"/>
        <v>0</v>
      </c>
      <c r="AD1120" s="64">
        <v>870</v>
      </c>
    </row>
    <row r="1121" spans="1:30">
      <c r="A1121" s="63"/>
      <c r="B1121" s="480">
        <v>47</v>
      </c>
      <c r="C1121" s="6" t="s">
        <v>73</v>
      </c>
      <c r="D1121" s="36" t="s">
        <v>122</v>
      </c>
      <c r="F1121" s="64">
        <v>875</v>
      </c>
      <c r="O1121" s="65"/>
      <c r="P1121" s="36">
        <v>1</v>
      </c>
      <c r="R1121" s="66">
        <f t="shared" ca="1" si="226"/>
        <v>3621.7182064005956</v>
      </c>
      <c r="S1121" s="67"/>
      <c r="T1121" s="66">
        <f t="shared" ca="1" si="227"/>
        <v>6.57</v>
      </c>
      <c r="AD1121" s="64">
        <v>875</v>
      </c>
    </row>
    <row r="1122" spans="1:30">
      <c r="A1122" s="63"/>
      <c r="B1122" s="480">
        <v>48</v>
      </c>
      <c r="C1122" s="6" t="s">
        <v>73</v>
      </c>
      <c r="D1122" s="36" t="s">
        <v>123</v>
      </c>
      <c r="F1122" s="64">
        <v>880</v>
      </c>
      <c r="O1122" s="65"/>
      <c r="P1122" s="36">
        <v>3</v>
      </c>
      <c r="R1122" s="66">
        <f t="shared" si="226"/>
        <v>0</v>
      </c>
      <c r="S1122" s="67"/>
      <c r="T1122" s="66">
        <f t="shared" si="227"/>
        <v>0</v>
      </c>
      <c r="AD1122" s="64">
        <v>880</v>
      </c>
    </row>
    <row r="1123" spans="1:30">
      <c r="A1123" s="63"/>
      <c r="B1123" s="480">
        <v>49</v>
      </c>
      <c r="C1123" s="6" t="s">
        <v>73</v>
      </c>
      <c r="D1123" s="36" t="s">
        <v>124</v>
      </c>
      <c r="F1123" s="64">
        <v>885</v>
      </c>
      <c r="O1123" s="65"/>
      <c r="P1123" s="36">
        <v>4</v>
      </c>
      <c r="R1123" s="66">
        <f t="shared" si="226"/>
        <v>0</v>
      </c>
      <c r="S1123" s="67"/>
      <c r="T1123" s="66">
        <f t="shared" si="227"/>
        <v>0</v>
      </c>
      <c r="AD1123" s="64">
        <v>885</v>
      </c>
    </row>
    <row r="1124" spans="1:30">
      <c r="A1124" s="63"/>
      <c r="B1124" s="480">
        <v>50</v>
      </c>
      <c r="C1124" s="6" t="s">
        <v>73</v>
      </c>
      <c r="D1124" s="36" t="s">
        <v>68</v>
      </c>
      <c r="F1124" s="64">
        <v>900</v>
      </c>
      <c r="O1124" s="65"/>
      <c r="P1124" s="36">
        <v>3</v>
      </c>
      <c r="R1124" s="66">
        <f t="shared" ca="1" si="226"/>
        <v>0</v>
      </c>
      <c r="S1124" s="67"/>
      <c r="T1124" s="66">
        <f t="shared" ca="1" si="227"/>
        <v>192.52324414715719</v>
      </c>
      <c r="AD1124" s="64">
        <v>900</v>
      </c>
    </row>
    <row r="1125" spans="1:30">
      <c r="A1125" s="63"/>
      <c r="B1125" s="480">
        <v>51</v>
      </c>
      <c r="C1125" s="6" t="s">
        <v>73</v>
      </c>
      <c r="D1125" s="36" t="s">
        <v>126</v>
      </c>
      <c r="F1125" s="64">
        <v>901</v>
      </c>
      <c r="O1125" s="65"/>
      <c r="P1125" s="36">
        <v>1</v>
      </c>
      <c r="R1125" s="66">
        <f t="shared" si="226"/>
        <v>0</v>
      </c>
      <c r="S1125" s="67"/>
      <c r="T1125" s="66">
        <f t="shared" si="227"/>
        <v>0</v>
      </c>
      <c r="AD1125" s="64">
        <v>901</v>
      </c>
    </row>
    <row r="1126" spans="1:30">
      <c r="A1126" s="63"/>
      <c r="B1126" s="480">
        <v>52</v>
      </c>
      <c r="C1126" s="6" t="s">
        <v>73</v>
      </c>
      <c r="D1126" s="36" t="s">
        <v>127</v>
      </c>
      <c r="F1126" s="64">
        <v>902</v>
      </c>
      <c r="O1126" s="65"/>
      <c r="P1126" s="36">
        <v>3</v>
      </c>
      <c r="R1126" s="66">
        <f t="shared" si="226"/>
        <v>0</v>
      </c>
      <c r="S1126" s="67"/>
      <c r="T1126" s="66">
        <f t="shared" si="227"/>
        <v>0</v>
      </c>
      <c r="AD1126" s="64">
        <v>902</v>
      </c>
    </row>
    <row r="1127" spans="1:30">
      <c r="A1127" s="63"/>
      <c r="B1127" s="480">
        <v>53</v>
      </c>
      <c r="C1127" s="6" t="s">
        <v>73</v>
      </c>
      <c r="D1127" s="68" t="s">
        <v>128</v>
      </c>
      <c r="F1127" s="64">
        <v>960</v>
      </c>
      <c r="O1127" s="65"/>
      <c r="P1127" s="36">
        <v>4</v>
      </c>
      <c r="R1127" s="66">
        <f t="shared" si="226"/>
        <v>0</v>
      </c>
      <c r="S1127" s="67"/>
      <c r="T1127" s="66">
        <f t="shared" si="227"/>
        <v>0</v>
      </c>
      <c r="AD1127" s="64">
        <v>960</v>
      </c>
    </row>
    <row r="1128" spans="1:30">
      <c r="A1128" s="63"/>
      <c r="B1128" s="480">
        <v>54</v>
      </c>
      <c r="C1128" s="6" t="s">
        <v>73</v>
      </c>
      <c r="D1128" s="68" t="s">
        <v>129</v>
      </c>
      <c r="F1128" s="64">
        <v>961</v>
      </c>
      <c r="O1128" s="65"/>
      <c r="P1128" s="36">
        <v>3</v>
      </c>
      <c r="R1128" s="66">
        <f t="shared" si="226"/>
        <v>0</v>
      </c>
      <c r="S1128" s="67"/>
      <c r="T1128" s="66">
        <f t="shared" si="227"/>
        <v>0</v>
      </c>
      <c r="AD1128" s="64">
        <v>961</v>
      </c>
    </row>
    <row r="1129" spans="1:30">
      <c r="A1129" s="63"/>
      <c r="B1129" s="480">
        <v>55</v>
      </c>
      <c r="C1129" s="6" t="s">
        <v>73</v>
      </c>
      <c r="D1129" s="68" t="s">
        <v>130</v>
      </c>
      <c r="F1129" s="64">
        <v>962</v>
      </c>
      <c r="O1129" s="65"/>
      <c r="P1129" s="36">
        <v>1</v>
      </c>
      <c r="R1129" s="66">
        <f t="shared" ca="1" si="226"/>
        <v>5912.1234789724604</v>
      </c>
      <c r="S1129" s="67"/>
      <c r="T1129" s="66">
        <f t="shared" ca="1" si="227"/>
        <v>0</v>
      </c>
      <c r="AD1129" s="64">
        <v>962</v>
      </c>
    </row>
    <row r="1130" spans="1:30">
      <c r="A1130" s="63"/>
      <c r="B1130" s="480">
        <v>56</v>
      </c>
      <c r="C1130" s="6" t="s">
        <v>73</v>
      </c>
      <c r="D1130" s="68" t="s">
        <v>131</v>
      </c>
      <c r="F1130" s="64">
        <v>970</v>
      </c>
      <c r="O1130" s="65"/>
      <c r="P1130" s="36">
        <v>4</v>
      </c>
      <c r="R1130" s="66">
        <f t="shared" si="226"/>
        <v>0</v>
      </c>
      <c r="S1130" s="67"/>
      <c r="T1130" s="66">
        <f t="shared" si="227"/>
        <v>0</v>
      </c>
      <c r="AD1130" s="64">
        <v>970</v>
      </c>
    </row>
    <row r="1131" spans="1:30" ht="13.8" thickBot="1">
      <c r="A1131" s="69"/>
      <c r="B1131" s="70"/>
      <c r="C1131" s="71"/>
      <c r="D1131" s="72"/>
      <c r="E1131" s="73"/>
      <c r="F1131" s="74"/>
      <c r="G1131" s="73"/>
      <c r="H1131" s="73"/>
      <c r="I1131" s="73"/>
      <c r="J1131" s="73"/>
      <c r="K1131" s="73"/>
      <c r="L1131" s="73"/>
      <c r="M1131" s="73"/>
      <c r="N1131" s="73"/>
      <c r="O1131" s="75"/>
      <c r="P1131" s="73"/>
      <c r="Q1131" s="1068"/>
      <c r="R1131" s="76"/>
      <c r="S1131" s="77"/>
      <c r="T1131" s="76"/>
      <c r="U1131" s="73"/>
      <c r="V1131" s="73"/>
      <c r="W1131" s="73"/>
      <c r="X1131" s="73"/>
      <c r="Y1131" s="73"/>
      <c r="Z1131" s="73"/>
      <c r="AA1131" s="73"/>
      <c r="AB1131" s="73"/>
      <c r="AD1131" s="74"/>
    </row>
    <row r="1132" spans="1:30" ht="13.8" thickTop="1">
      <c r="A1132" s="63"/>
      <c r="B1132" s="78"/>
      <c r="C1132" s="6" t="s">
        <v>73</v>
      </c>
      <c r="D1132" s="79"/>
      <c r="F1132" s="80" t="s">
        <v>152</v>
      </c>
      <c r="G1132" s="81"/>
      <c r="H1132" s="36">
        <v>1</v>
      </c>
      <c r="O1132" s="65"/>
      <c r="R1132" s="66">
        <f ca="1">SUMIF($P1075:$P1130,1,R1075:R1130)</f>
        <v>111824.89446445691</v>
      </c>
      <c r="T1132" s="66">
        <f ca="1">SUMIF($P1075:$P1130,1,T1075:T1130)</f>
        <v>3554.5470276846831</v>
      </c>
      <c r="AD1132" s="1214" t="s">
        <v>152</v>
      </c>
    </row>
    <row r="1133" spans="1:30">
      <c r="A1133" s="63"/>
      <c r="B1133" s="78"/>
      <c r="C1133" s="6" t="s">
        <v>73</v>
      </c>
      <c r="D1133" s="79"/>
      <c r="F1133" s="80" t="s">
        <v>153</v>
      </c>
      <c r="G1133" s="81"/>
      <c r="H1133" s="36">
        <v>2</v>
      </c>
      <c r="O1133" s="65"/>
      <c r="R1133" s="66">
        <f ca="1">SUMIF($P1075:$P1130,2,R1075:R1130)</f>
        <v>387568.86442712642</v>
      </c>
      <c r="T1133" s="66">
        <f ca="1">SUMIF($P1075:$P1130,2,T1075:T1130)</f>
        <v>2252.8071732337103</v>
      </c>
      <c r="AD1133" s="1214" t="s">
        <v>153</v>
      </c>
    </row>
    <row r="1134" spans="1:30">
      <c r="A1134" s="63"/>
      <c r="B1134" s="78"/>
      <c r="C1134" s="6" t="s">
        <v>73</v>
      </c>
      <c r="D1134" s="79"/>
      <c r="F1134" s="80" t="s">
        <v>154</v>
      </c>
      <c r="G1134" s="81"/>
      <c r="H1134" s="36">
        <v>2</v>
      </c>
      <c r="O1134" s="65"/>
      <c r="R1134" s="66">
        <f ca="1">SUMIF($P1075:$P1130,3,R1075:R1130)</f>
        <v>3502.1352151655738</v>
      </c>
      <c r="T1134" s="66">
        <f ca="1">SUMIF($P1075:$P1130,3,T1075:T1130)</f>
        <v>792.89258972904713</v>
      </c>
      <c r="AD1134" s="1214" t="s">
        <v>154</v>
      </c>
    </row>
    <row r="1135" spans="1:30">
      <c r="A1135" s="63"/>
      <c r="B1135" s="78"/>
      <c r="C1135" s="6" t="s">
        <v>73</v>
      </c>
      <c r="D1135" s="79"/>
      <c r="F1135" s="80" t="s">
        <v>155</v>
      </c>
      <c r="G1135" s="81"/>
      <c r="H1135" s="36">
        <v>3</v>
      </c>
      <c r="O1135" s="65"/>
      <c r="R1135" s="66">
        <f>SUMIF($P1075:$P1130,4,R1075:R1130)</f>
        <v>0</v>
      </c>
      <c r="T1135" s="66">
        <f>SUMIF($P1075:$P1130,4,T1075:T1130)</f>
        <v>0</v>
      </c>
      <c r="AD1135" s="1214" t="s">
        <v>155</v>
      </c>
    </row>
    <row r="1136" spans="1:30" ht="13.8" thickBot="1">
      <c r="A1136" s="69"/>
      <c r="B1136" s="82"/>
      <c r="C1136" s="71" t="s">
        <v>73</v>
      </c>
      <c r="D1136" s="83"/>
      <c r="E1136" s="73"/>
      <c r="F1136" s="84" t="s">
        <v>156</v>
      </c>
      <c r="G1136" s="85"/>
      <c r="H1136" s="86"/>
      <c r="I1136" s="86"/>
      <c r="J1136" s="86"/>
      <c r="K1136" s="86"/>
      <c r="L1136" s="86"/>
      <c r="M1136" s="86"/>
      <c r="N1136" s="86"/>
      <c r="O1136" s="87"/>
      <c r="P1136" s="86"/>
      <c r="Q1136" s="1069"/>
      <c r="R1136" s="88">
        <f ca="1">SUM(R1132:R1135)</f>
        <v>502895.89410674886</v>
      </c>
      <c r="S1136" s="89"/>
      <c r="T1136" s="88">
        <f ca="1">SUM(T1132:T1135)</f>
        <v>6600.2467906474403</v>
      </c>
      <c r="U1136" s="73"/>
      <c r="V1136" s="73"/>
      <c r="W1136" s="73"/>
      <c r="X1136" s="73"/>
      <c r="Y1136" s="73"/>
      <c r="Z1136" s="73"/>
      <c r="AA1136" s="73"/>
      <c r="AB1136" s="73"/>
      <c r="AD1136" s="1215" t="s">
        <v>156</v>
      </c>
    </row>
    <row r="1137" ht="13.8" thickTop="1"/>
  </sheetData>
  <sheetProtection formatCells="0" formatColumns="0" formatRows="0" insertColumns="0" insertRows="0" insertHyperlinks="0" deleteColumns="0" deleteRows="0" sort="0" autoFilter="0" pivotTables="0"/>
  <phoneticPr fontId="29"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indexed="14"/>
  </sheetPr>
  <dimension ref="A1:IW11647"/>
  <sheetViews>
    <sheetView tabSelected="1" topLeftCell="A480" zoomScale="85" zoomScaleNormal="85" workbookViewId="0">
      <selection activeCell="H507" sqref="H507"/>
    </sheetView>
  </sheetViews>
  <sheetFormatPr defaultColWidth="9.109375" defaultRowHeight="13.8"/>
  <cols>
    <col min="1" max="2" width="8.6640625" style="36" customWidth="1"/>
    <col min="3" max="3" width="14.88671875" style="36" hidden="1" customWidth="1"/>
    <col min="4" max="6" width="37.10937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1.6640625" style="588" customWidth="1"/>
    <col min="18" max="20" width="11.6640625" style="36" customWidth="1"/>
    <col min="21" max="21" width="6.33203125" style="36" customWidth="1"/>
    <col min="22" max="22" width="4.6640625" style="320" customWidth="1"/>
    <col min="23" max="23" width="5" style="320" bestFit="1" customWidth="1"/>
    <col min="24" max="24" width="4.88671875" style="320" bestFit="1" customWidth="1"/>
    <col min="25" max="25" width="4.33203125" style="320" bestFit="1" customWidth="1"/>
    <col min="26" max="26" width="5.33203125" style="320" customWidth="1"/>
    <col min="27" max="27" width="4" style="320" customWidth="1"/>
    <col min="28" max="28" width="4.109375" style="32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43" width="9.109375" style="36"/>
    <col min="44" max="44" width="8.6640625" style="36" customWidth="1"/>
    <col min="45" max="45" width="37.109375" style="36" customWidth="1"/>
    <col min="46" max="16384" width="9.109375" style="36"/>
  </cols>
  <sheetData>
    <row r="1" spans="1:45" s="32" customFormat="1" ht="15.6">
      <c r="A1" s="507"/>
      <c r="B1" s="484" t="s">
        <v>0</v>
      </c>
      <c r="C1" s="485">
        <f>ML_Sum!$C1</f>
        <v>1</v>
      </c>
      <c r="D1" s="486" t="str">
        <f>ML_Sum!$D1</f>
        <v>Quintano Foods Ltd.</v>
      </c>
      <c r="E1" s="487"/>
      <c r="F1" s="488">
        <f>ML_Sum!$F1</f>
        <v>0</v>
      </c>
      <c r="G1" s="515"/>
      <c r="H1"/>
      <c r="I1" s="273">
        <v>1</v>
      </c>
      <c r="J1" s="274">
        <f>ML_Sum!$J1</f>
        <v>1</v>
      </c>
      <c r="K1" s="274">
        <f>ML_Sum!$K1</f>
        <v>1</v>
      </c>
      <c r="L1" s="274">
        <f>ML_Sum!$L1</f>
        <v>1</v>
      </c>
      <c r="M1" s="274">
        <f>ML_Sum!$M1</f>
        <v>1</v>
      </c>
      <c r="N1" s="274">
        <f>ML_Sum!$N1</f>
        <v>1</v>
      </c>
      <c r="O1" s="274">
        <f>ML_Sum!$O1</f>
        <v>1</v>
      </c>
      <c r="P1"/>
      <c r="Q1" s="1064" t="str">
        <f>ML_Sum!$Q1</f>
        <v>€</v>
      </c>
      <c r="R1" s="277" t="s">
        <v>1</v>
      </c>
      <c r="S1" s="339" t="str">
        <f>ML_Sum!$S1</f>
        <v>R</v>
      </c>
      <c r="T1" s="443">
        <f>ML_Sum!$T1</f>
        <v>0.9</v>
      </c>
      <c r="U1" s="444" t="str">
        <f>ML_Sum!W1</f>
        <v>BOQ</v>
      </c>
      <c r="V1" s="445" t="s">
        <v>194</v>
      </c>
      <c r="W1" s="508" t="s">
        <v>184</v>
      </c>
      <c r="X1" s="446" t="s">
        <v>185</v>
      </c>
      <c r="Y1" s="509" t="s">
        <v>186</v>
      </c>
      <c r="Z1" s="447" t="s">
        <v>182</v>
      </c>
      <c r="AA1" s="447" t="s">
        <v>187</v>
      </c>
      <c r="AB1" s="508" t="s">
        <v>188</v>
      </c>
      <c r="AG1" s="513"/>
      <c r="AH1" s="513"/>
      <c r="AI1" s="513"/>
      <c r="AJ1" s="513"/>
      <c r="AK1" s="514"/>
      <c r="AR1" s="507"/>
      <c r="AS1" s="488">
        <v>0</v>
      </c>
    </row>
    <row r="2" spans="1:45" s="32" customFormat="1">
      <c r="A2" s="483"/>
      <c r="B2" s="484" t="s">
        <v>2</v>
      </c>
      <c r="C2" s="485">
        <f>ML_Sum!$C2</f>
        <v>1</v>
      </c>
      <c r="D2" s="486" t="str">
        <f>ML_Sum!$D2</f>
        <v>Warehouse at tal-Handaq, Qormi</v>
      </c>
      <c r="E2" s="490"/>
      <c r="F2" s="488" t="str">
        <f>ML_Sum!$F2</f>
        <v>Electrical</v>
      </c>
      <c r="G2" s="489"/>
      <c r="H2"/>
      <c r="I2" s="273">
        <v>2</v>
      </c>
      <c r="J2" s="274">
        <f>ML_Sum!$J2</f>
        <v>1</v>
      </c>
      <c r="K2" s="274">
        <f>ML_Sum!$K2</f>
        <v>1</v>
      </c>
      <c r="L2" s="274">
        <f>ML_Sum!$L2</f>
        <v>1</v>
      </c>
      <c r="M2" s="274">
        <f>ML_Sum!$M2</f>
        <v>1</v>
      </c>
      <c r="N2" s="274">
        <f>ML_Sum!$N2</f>
        <v>1</v>
      </c>
      <c r="O2" s="274">
        <f>ML_Sum!$O2</f>
        <v>1</v>
      </c>
      <c r="P2"/>
      <c r="Q2" s="1065">
        <f>ML_Sum!$Q2</f>
        <v>0</v>
      </c>
      <c r="R2" s="18" t="s">
        <v>3</v>
      </c>
      <c r="S2" s="346">
        <f>ML_Sum!$S2</f>
        <v>1.231344</v>
      </c>
      <c r="T2" s="347">
        <f>ML_Sum!$T2</f>
        <v>33.812706240000004</v>
      </c>
      <c r="V2" s="320"/>
      <c r="W2" s="320"/>
      <c r="X2" s="320"/>
      <c r="Y2" s="320"/>
      <c r="Z2" s="320"/>
      <c r="AA2" s="320"/>
      <c r="AB2" s="320"/>
      <c r="AR2" s="483"/>
      <c r="AS2" s="488" t="s">
        <v>207</v>
      </c>
    </row>
    <row r="3" spans="1:45" s="32" customFormat="1">
      <c r="A3" s="491"/>
      <c r="B3" s="492" t="s">
        <v>4</v>
      </c>
      <c r="C3" s="485">
        <f>ML_Sum!$C3</f>
        <v>1</v>
      </c>
      <c r="D3" s="486" t="str">
        <f>ML_Sum!$D3</f>
        <v>Electrical and ELV installations (Rev A)</v>
      </c>
      <c r="E3" s="491"/>
      <c r="F3" s="488" t="str">
        <f>ML_Sum!$F3</f>
        <v>ELV Installation (NAS Ltd)</v>
      </c>
      <c r="G3" s="493"/>
      <c r="H3"/>
      <c r="I3" s="273">
        <v>3</v>
      </c>
      <c r="J3" s="274">
        <f>ML_Sum!$J3</f>
        <v>1</v>
      </c>
      <c r="K3" s="274">
        <f>ML_Sum!$K3</f>
        <v>1</v>
      </c>
      <c r="L3" s="274">
        <f>ML_Sum!$L3</f>
        <v>1</v>
      </c>
      <c r="M3" s="274">
        <f>ML_Sum!$M3</f>
        <v>1</v>
      </c>
      <c r="N3" s="274">
        <f>ML_Sum!$N3</f>
        <v>1</v>
      </c>
      <c r="O3" s="274">
        <f>ML_Sum!$O3</f>
        <v>1</v>
      </c>
      <c r="P3"/>
      <c r="Q3" s="1065">
        <f>ML_Sum!$Q3</f>
        <v>0</v>
      </c>
      <c r="R3" s="19" t="s">
        <v>5</v>
      </c>
      <c r="S3" s="346">
        <f>ML_Sum!$S3</f>
        <v>1.1287320000000001</v>
      </c>
      <c r="T3" s="347">
        <f>ML_Sum!$T3</f>
        <v>30.994980720000004</v>
      </c>
      <c r="V3" s="320"/>
      <c r="W3" s="320"/>
      <c r="X3" s="320"/>
      <c r="Y3" s="320"/>
      <c r="Z3" s="320"/>
      <c r="AA3" s="320"/>
      <c r="AB3" s="320"/>
      <c r="AR3" s="491"/>
      <c r="AS3" s="488" t="s">
        <v>3684</v>
      </c>
    </row>
    <row r="4" spans="1:45" s="32" customFormat="1">
      <c r="A4" s="494"/>
      <c r="B4" s="484" t="s">
        <v>6</v>
      </c>
      <c r="C4" s="485">
        <f>ML_Sum!$C4</f>
        <v>1</v>
      </c>
      <c r="D4" s="486" t="str">
        <f>ML_Sum!$D4</f>
        <v>EL25-0062A</v>
      </c>
      <c r="E4" s="491"/>
      <c r="F4" s="488" t="str">
        <f>ML_Sum!$F4</f>
        <v>Lightning Protection System (MCE Ltd)</v>
      </c>
      <c r="G4" s="493"/>
      <c r="H4"/>
      <c r="I4" s="273">
        <v>4</v>
      </c>
      <c r="J4" s="274">
        <f>ML_Sum!$J4</f>
        <v>1</v>
      </c>
      <c r="K4" s="274">
        <f>ML_Sum!$K4</f>
        <v>1</v>
      </c>
      <c r="L4" s="274">
        <f>ML_Sum!$L4</f>
        <v>1</v>
      </c>
      <c r="M4" s="274">
        <f>ML_Sum!$M4</f>
        <v>1</v>
      </c>
      <c r="N4" s="274">
        <f>ML_Sum!$N4</f>
        <v>1</v>
      </c>
      <c r="O4" s="274">
        <f>ML_Sum!$O4</f>
        <v>1</v>
      </c>
      <c r="P4"/>
      <c r="Q4" s="1065">
        <f>ML_Sum!$Q4</f>
        <v>0</v>
      </c>
      <c r="R4" s="20" t="s">
        <v>8</v>
      </c>
      <c r="S4" s="346">
        <f>ML_Sum!$S4</f>
        <v>1.1287320000000001</v>
      </c>
      <c r="T4" s="347">
        <f>ML_Sum!$T4</f>
        <v>30.994980720000004</v>
      </c>
      <c r="V4" s="320"/>
      <c r="W4" s="320"/>
      <c r="X4" s="320"/>
      <c r="Y4" s="320"/>
      <c r="Z4" s="320"/>
      <c r="AA4" s="320"/>
      <c r="AB4" s="320"/>
      <c r="AR4" s="494"/>
      <c r="AS4" s="488" t="s">
        <v>3506</v>
      </c>
    </row>
    <row r="5" spans="1:45" s="32" customFormat="1">
      <c r="A5" s="494"/>
      <c r="B5" s="484" t="s">
        <v>196</v>
      </c>
      <c r="C5" s="485">
        <f>ML_Sum!$C5</f>
        <v>1</v>
      </c>
      <c r="D5" s="486" t="str">
        <f>ML_Sum!$D5</f>
        <v>Tender</v>
      </c>
      <c r="E5" s="491"/>
      <c r="F5" s="488" t="str">
        <f>ML_Sum!$F5</f>
        <v>Controls ECA</v>
      </c>
      <c r="G5" s="495"/>
      <c r="H5"/>
      <c r="I5" s="273">
        <v>5</v>
      </c>
      <c r="J5" s="274">
        <f>ML_Sum!$J5</f>
        <v>1</v>
      </c>
      <c r="K5" s="274">
        <f>ML_Sum!$K5</f>
        <v>1</v>
      </c>
      <c r="L5" s="274">
        <f>ML_Sum!$L5</f>
        <v>1</v>
      </c>
      <c r="M5" s="274">
        <f>ML_Sum!$M5</f>
        <v>1</v>
      </c>
      <c r="N5" s="274">
        <f>ML_Sum!$N5</f>
        <v>1</v>
      </c>
      <c r="O5" s="274">
        <f>ML_Sum!$O5</f>
        <v>1</v>
      </c>
      <c r="P5"/>
      <c r="Q5" s="1065">
        <f>ML_Sum!$Q5</f>
        <v>0</v>
      </c>
      <c r="R5" s="21" t="s">
        <v>10</v>
      </c>
      <c r="S5" s="346">
        <f>ML_Sum!$S5</f>
        <v>1.231344</v>
      </c>
      <c r="T5" s="347">
        <f>ML_Sum!$T5</f>
        <v>53.34182208</v>
      </c>
      <c r="V5" s="320"/>
      <c r="W5" s="320"/>
      <c r="X5" s="320"/>
      <c r="Y5" s="320"/>
      <c r="Z5" s="320"/>
      <c r="AA5" s="320"/>
      <c r="AB5" s="320"/>
      <c r="AR5" s="494"/>
      <c r="AS5" s="488" t="s">
        <v>3699</v>
      </c>
    </row>
    <row r="6" spans="1:45" s="32" customFormat="1">
      <c r="A6"/>
      <c r="B6" s="492" t="s">
        <v>9</v>
      </c>
      <c r="C6" s="485">
        <f>ML_Sum!$C6</f>
        <v>1</v>
      </c>
      <c r="D6" s="486" t="str">
        <f>ML_Sum!$D6</f>
        <v>VAT EXCL.</v>
      </c>
      <c r="E6"/>
      <c r="F6" s="488" t="str">
        <f>ML_Sum!$F6</f>
        <v xml:space="preserve">Testing and Commissiong </v>
      </c>
      <c r="G6" s="495"/>
      <c r="H6"/>
      <c r="I6" s="273">
        <v>6</v>
      </c>
      <c r="J6" s="274">
        <f>ML_Sum!$J6</f>
        <v>1</v>
      </c>
      <c r="K6" s="274">
        <f>ML_Sum!$K6</f>
        <v>1</v>
      </c>
      <c r="L6" s="274">
        <f>ML_Sum!$L6</f>
        <v>1</v>
      </c>
      <c r="M6" s="274">
        <f>ML_Sum!$M6</f>
        <v>1</v>
      </c>
      <c r="N6" s="274">
        <f>ML_Sum!$N6</f>
        <v>1</v>
      </c>
      <c r="O6" s="274">
        <f>ML_Sum!$O6</f>
        <v>1</v>
      </c>
      <c r="P6"/>
      <c r="Q6" s="1065">
        <f>ML_Sum!$Q6</f>
        <v>0</v>
      </c>
      <c r="R6" s="22" t="s">
        <v>11</v>
      </c>
      <c r="S6" s="346">
        <f>ML_Sum!$S6</f>
        <v>1.231344</v>
      </c>
      <c r="T6" s="347">
        <f>ML_Sum!$T6</f>
        <v>65.162724480000008</v>
      </c>
      <c r="V6" s="320"/>
      <c r="W6" s="320"/>
      <c r="X6" s="320"/>
      <c r="Y6" s="320"/>
      <c r="Z6" s="320"/>
      <c r="AA6" s="320"/>
      <c r="AB6" s="320"/>
      <c r="AR6"/>
      <c r="AS6" s="488" t="s">
        <v>3728</v>
      </c>
    </row>
    <row r="7" spans="1:45" s="32" customFormat="1">
      <c r="A7" s="483"/>
      <c r="B7" s="492" t="s">
        <v>12</v>
      </c>
      <c r="C7" s="485">
        <f>ML_Sum!$C7</f>
        <v>1</v>
      </c>
      <c r="D7" s="496">
        <v>39364</v>
      </c>
      <c r="E7" s="497"/>
      <c r="F7" s="488" t="str">
        <f>ML_Sum!$F7</f>
        <v>Fire Stopping rates</v>
      </c>
      <c r="G7" s="498"/>
      <c r="H7"/>
      <c r="I7" s="273">
        <v>7</v>
      </c>
      <c r="J7" s="274">
        <f>ML_Sum!$J7</f>
        <v>1</v>
      </c>
      <c r="K7" s="274">
        <f>ML_Sum!$K7</f>
        <v>1</v>
      </c>
      <c r="L7" s="274">
        <f>ML_Sum!$L7</f>
        <v>1</v>
      </c>
      <c r="M7" s="274">
        <f>ML_Sum!$M7</f>
        <v>1</v>
      </c>
      <c r="N7" s="274">
        <f>ML_Sum!$N7</f>
        <v>1</v>
      </c>
      <c r="O7" s="274">
        <f>ML_Sum!$O7</f>
        <v>0</v>
      </c>
      <c r="P7"/>
      <c r="Q7" s="1065">
        <f>ML_Sum!$Q7</f>
        <v>0</v>
      </c>
      <c r="R7" s="23" t="s">
        <v>13</v>
      </c>
      <c r="S7" s="346">
        <f>ML_Sum!$S7</f>
        <v>1.231344</v>
      </c>
      <c r="T7" s="347">
        <f>ML_Sum!$T7</f>
        <v>33.812706240000004</v>
      </c>
      <c r="V7" s="320"/>
      <c r="W7" s="320"/>
      <c r="X7" s="320"/>
      <c r="Y7" s="320"/>
      <c r="Z7" s="320"/>
      <c r="AA7" s="320"/>
      <c r="AB7" s="320"/>
      <c r="AR7" s="483"/>
      <c r="AS7" s="488" t="s">
        <v>3734</v>
      </c>
    </row>
    <row r="8" spans="1:45" s="32" customFormat="1">
      <c r="A8" s="494"/>
      <c r="B8" s="492" t="s">
        <v>14</v>
      </c>
      <c r="C8" s="485">
        <f>ML_Sum!$C8</f>
        <v>1</v>
      </c>
      <c r="D8" s="486" t="str">
        <f>ML_Sum!$D8</f>
        <v>T.Sammut</v>
      </c>
      <c r="E8" s="491"/>
      <c r="F8" s="488" t="str">
        <f>ML_Sum!$F8</f>
        <v>Main Equipment (Gen Set / Main Switchboards)</v>
      </c>
      <c r="G8" s="499"/>
      <c r="H8"/>
      <c r="I8" s="273">
        <v>8</v>
      </c>
      <c r="J8" s="274">
        <f>ML_Sum!$J8</f>
        <v>1</v>
      </c>
      <c r="K8" s="274">
        <f>ML_Sum!$K8</f>
        <v>1</v>
      </c>
      <c r="L8" s="274">
        <f>ML_Sum!$L8</f>
        <v>1</v>
      </c>
      <c r="M8" s="274">
        <f>ML_Sum!$M8</f>
        <v>1</v>
      </c>
      <c r="N8" s="274">
        <f>ML_Sum!$N8</f>
        <v>1</v>
      </c>
      <c r="O8" s="274">
        <f>ML_Sum!$O8</f>
        <v>0</v>
      </c>
      <c r="P8"/>
      <c r="Q8" s="1065">
        <f>ML_Sum!$Q8</f>
        <v>0</v>
      </c>
      <c r="R8" s="24" t="s">
        <v>15</v>
      </c>
      <c r="S8" s="346">
        <f>ML_Sum!$S8</f>
        <v>1.1800379999999999</v>
      </c>
      <c r="T8" s="347">
        <f>ML_Sum!$T8</f>
        <v>32.403843479999999</v>
      </c>
      <c r="V8" s="320"/>
      <c r="W8" s="320"/>
      <c r="X8" s="320"/>
      <c r="Y8" s="320"/>
      <c r="Z8" s="320"/>
      <c r="AA8" s="320"/>
      <c r="AB8" s="320"/>
      <c r="AR8" s="494"/>
      <c r="AS8" s="488" t="s">
        <v>3795</v>
      </c>
    </row>
    <row r="9" spans="1:45" s="32" customFormat="1">
      <c r="A9" s="494"/>
      <c r="B9" s="492" t="s">
        <v>283</v>
      </c>
      <c r="C9" s="485">
        <f>ML_Sum!$C9</f>
        <v>1</v>
      </c>
      <c r="D9" s="486">
        <f>ML_Sum!$D9</f>
        <v>27.46</v>
      </c>
      <c r="E9" s="491"/>
      <c r="F9" s="488" t="str">
        <f>ML_Sum!$F9</f>
        <v>DBs and Changeover</v>
      </c>
      <c r="G9" s="499"/>
      <c r="H9"/>
      <c r="I9" s="273">
        <v>9</v>
      </c>
      <c r="J9" s="274">
        <f>ML_Sum!$J9</f>
        <v>1</v>
      </c>
      <c r="K9" s="274">
        <f>ML_Sum!$K9</f>
        <v>1</v>
      </c>
      <c r="L9" s="274">
        <f>ML_Sum!$L9</f>
        <v>1</v>
      </c>
      <c r="M9" s="274">
        <f>ML_Sum!$M9</f>
        <v>1</v>
      </c>
      <c r="N9" s="274">
        <f>ML_Sum!$N9</f>
        <v>1</v>
      </c>
      <c r="O9" s="274">
        <f>ML_Sum!$O9</f>
        <v>0</v>
      </c>
      <c r="P9"/>
      <c r="Q9" s="1065">
        <f>ML_Sum!$Q9</f>
        <v>0</v>
      </c>
      <c r="R9" s="25" t="s">
        <v>16</v>
      </c>
      <c r="S9" s="346">
        <f>ML_Sum!$S9</f>
        <v>1.1800379999999999</v>
      </c>
      <c r="T9" s="347">
        <f>ML_Sum!$T9</f>
        <v>32.403843479999999</v>
      </c>
      <c r="V9" s="320"/>
      <c r="W9" s="320"/>
      <c r="X9" s="320"/>
      <c r="Y9" s="320"/>
      <c r="Z9" s="320"/>
      <c r="AA9" s="320"/>
      <c r="AB9" s="320"/>
      <c r="AR9" s="494"/>
      <c r="AS9" s="488">
        <v>0</v>
      </c>
    </row>
    <row r="10" spans="1:45" s="32" customFormat="1">
      <c r="A10" s="494"/>
      <c r="B10" s="483"/>
      <c r="C10" s="485">
        <f>ML_Sum!$C10</f>
        <v>1</v>
      </c>
      <c r="D10" s="483"/>
      <c r="E10" s="491"/>
      <c r="F10" s="488" t="str">
        <f>ML_Sum!$F10</f>
        <v>Armoured Cables</v>
      </c>
      <c r="G10" s="499"/>
      <c r="H10"/>
      <c r="I10" s="273">
        <v>10</v>
      </c>
      <c r="J10" s="274">
        <f>ML_Sum!$J10</f>
        <v>1</v>
      </c>
      <c r="K10" s="274">
        <f>ML_Sum!$K10</f>
        <v>1</v>
      </c>
      <c r="L10" s="274">
        <f>ML_Sum!$L10</f>
        <v>1</v>
      </c>
      <c r="M10" s="274">
        <f>ML_Sum!$M10</f>
        <v>1</v>
      </c>
      <c r="N10" s="274">
        <f>ML_Sum!$N10</f>
        <v>1</v>
      </c>
      <c r="O10" s="274">
        <f>ML_Sum!$O10</f>
        <v>1</v>
      </c>
      <c r="P10"/>
      <c r="Q10" s="1065">
        <f>ML_Sum!$Q10</f>
        <v>0</v>
      </c>
      <c r="R10" s="26" t="s">
        <v>17</v>
      </c>
      <c r="S10" s="346">
        <f>ML_Sum!$S10</f>
        <v>1.1800379999999999</v>
      </c>
      <c r="T10" s="347">
        <f>ML_Sum!$T10</f>
        <v>32.403843479999999</v>
      </c>
      <c r="V10" s="320"/>
      <c r="W10" s="320"/>
      <c r="X10" s="320"/>
      <c r="Y10" s="320"/>
      <c r="Z10" s="320"/>
      <c r="AA10" s="320"/>
      <c r="AB10" s="320"/>
      <c r="AR10" s="494"/>
      <c r="AS10" s="488">
        <v>0</v>
      </c>
    </row>
    <row r="11" spans="1:45" s="32" customFormat="1">
      <c r="A11" s="494"/>
      <c r="B11" s="483"/>
      <c r="C11" s="485">
        <f>ML_Sum!$C11</f>
        <v>1</v>
      </c>
      <c r="D11" s="483"/>
      <c r="E11" s="491"/>
      <c r="F11" s="488">
        <f>ML_Sum!$F11</f>
        <v>0</v>
      </c>
      <c r="G11" s="499"/>
      <c r="H11" s="499"/>
      <c r="I11" s="483"/>
      <c r="J11" s="483"/>
      <c r="K11" s="483"/>
      <c r="L11" s="483"/>
      <c r="M11" s="483"/>
      <c r="N11" s="483"/>
      <c r="O11" s="483"/>
      <c r="P11" s="499"/>
      <c r="Q11" s="1065">
        <f>ML_Sum!$Q11</f>
        <v>0</v>
      </c>
      <c r="R11" s="27" t="s">
        <v>18</v>
      </c>
      <c r="S11" s="346">
        <f>ML_Sum!$S11</f>
        <v>0</v>
      </c>
      <c r="T11" s="347">
        <f>ML_Sum!$T11</f>
        <v>0</v>
      </c>
      <c r="V11" s="320"/>
      <c r="W11" s="320"/>
      <c r="X11" s="320"/>
      <c r="Y11" s="320"/>
      <c r="Z11" s="320"/>
      <c r="AA11" s="320"/>
      <c r="AB11" s="320"/>
      <c r="AR11" s="494"/>
      <c r="AS11" s="488">
        <v>0</v>
      </c>
    </row>
    <row r="12" spans="1:45" s="32" customFormat="1" ht="14.4" thickBot="1">
      <c r="A12" s="494"/>
      <c r="B12" s="483"/>
      <c r="C12" s="485">
        <f>ML_Sum!$C12</f>
        <v>1</v>
      </c>
      <c r="D12" s="483"/>
      <c r="E12" s="491"/>
      <c r="F12" s="488">
        <f>ML_Sum!$F12</f>
        <v>0</v>
      </c>
      <c r="G12" s="499"/>
      <c r="H12" s="499"/>
      <c r="I12" s="483"/>
      <c r="J12" s="483"/>
      <c r="K12" s="483"/>
      <c r="L12" s="483"/>
      <c r="M12" s="483"/>
      <c r="N12" s="483"/>
      <c r="O12" s="483"/>
      <c r="P12" s="499"/>
      <c r="Q12" s="1065">
        <f>ML_Sum!$Q12</f>
        <v>0</v>
      </c>
      <c r="R12" s="395" t="s">
        <v>218</v>
      </c>
      <c r="S12" s="346" t="str">
        <f>ML_Sum!$S12</f>
        <v>MAT MU</v>
      </c>
      <c r="T12" s="347" t="str">
        <f>ML_Sum!$T12</f>
        <v>LAB RATE</v>
      </c>
      <c r="V12" s="320"/>
      <c r="W12" s="320"/>
      <c r="X12" s="320"/>
      <c r="Y12" s="320"/>
      <c r="Z12" s="320"/>
      <c r="AA12" s="320"/>
      <c r="AB12" s="320"/>
      <c r="AR12" s="494"/>
      <c r="AS12" s="488">
        <v>0</v>
      </c>
    </row>
    <row r="13" spans="1:45" s="32" customFormat="1" ht="14.4" thickBot="1">
      <c r="A13" s="500"/>
      <c r="B13" s="501"/>
      <c r="C13" s="502"/>
      <c r="D13" s="503"/>
      <c r="E13" s="504"/>
      <c r="F13" s="505"/>
      <c r="G13" s="506" t="s">
        <v>142</v>
      </c>
      <c r="H13" s="506" t="s">
        <v>20</v>
      </c>
      <c r="I13" s="506" t="s">
        <v>21</v>
      </c>
      <c r="J13" s="506" t="s">
        <v>22</v>
      </c>
      <c r="K13" s="506" t="s">
        <v>23</v>
      </c>
      <c r="L13" s="506" t="s">
        <v>24</v>
      </c>
      <c r="M13" s="506" t="s">
        <v>25</v>
      </c>
      <c r="N13" s="506" t="s">
        <v>26</v>
      </c>
      <c r="O13" s="506" t="s">
        <v>27</v>
      </c>
      <c r="P13" s="506" t="s">
        <v>28</v>
      </c>
      <c r="Q13" s="1066" t="s">
        <v>213</v>
      </c>
      <c r="R13" s="29" t="s">
        <v>30</v>
      </c>
      <c r="S13" s="30" t="s">
        <v>31</v>
      </c>
      <c r="T13" s="31" t="s">
        <v>32</v>
      </c>
      <c r="V13" s="320"/>
      <c r="W13" s="320"/>
      <c r="X13" s="320"/>
      <c r="Y13" s="320"/>
      <c r="Z13" s="320"/>
      <c r="AA13" s="320"/>
      <c r="AB13" s="320"/>
      <c r="AG13"/>
      <c r="AH13"/>
      <c r="AI13"/>
      <c r="AJ13"/>
      <c r="AK13"/>
      <c r="AM13" s="516" t="s">
        <v>279</v>
      </c>
      <c r="AN13" s="518" t="s">
        <v>289</v>
      </c>
      <c r="AO13" s="518" t="s">
        <v>280</v>
      </c>
      <c r="AP13" s="517" t="s">
        <v>277</v>
      </c>
      <c r="AR13" s="500"/>
      <c r="AS13" s="505"/>
    </row>
    <row r="14" spans="1:45" s="520" customFormat="1" ht="13.2">
      <c r="A14" s="51"/>
      <c r="B14" s="51"/>
      <c r="C14" s="3"/>
      <c r="D14" s="3"/>
      <c r="E14" s="51"/>
      <c r="F14" s="51"/>
      <c r="G14" s="51"/>
      <c r="H14" s="51"/>
      <c r="I14" s="51"/>
      <c r="J14" s="51"/>
      <c r="K14" s="51" t="s">
        <v>134</v>
      </c>
      <c r="L14" s="51"/>
      <c r="M14" s="51"/>
      <c r="N14" s="51"/>
      <c r="O14" s="52"/>
      <c r="P14" s="51"/>
      <c r="Q14" s="51"/>
      <c r="R14" s="51"/>
      <c r="S14" s="51"/>
      <c r="T14" s="51"/>
      <c r="AR14" s="51"/>
      <c r="AS14" s="51"/>
    </row>
    <row r="15" spans="1:45" s="520" customFormat="1" ht="12">
      <c r="A15" s="51"/>
      <c r="B15" s="51"/>
      <c r="C15" s="51" t="s">
        <v>135</v>
      </c>
      <c r="D15" s="37" t="s">
        <v>1058</v>
      </c>
      <c r="E15" s="51"/>
      <c r="F15" s="51"/>
      <c r="G15" s="51"/>
      <c r="H15" s="51"/>
      <c r="I15" s="51"/>
      <c r="J15" s="51"/>
      <c r="K15" s="51"/>
      <c r="L15" s="51"/>
      <c r="M15" s="51"/>
      <c r="N15" s="51"/>
      <c r="O15" s="52"/>
      <c r="P15" s="51"/>
      <c r="Q15" s="51"/>
      <c r="R15" s="51"/>
      <c r="S15" s="51"/>
      <c r="T15" s="51"/>
      <c r="AR15" s="51"/>
      <c r="AS15" s="51"/>
    </row>
    <row r="16" spans="1:45" s="520" customFormat="1" ht="12">
      <c r="A16" s="51"/>
      <c r="B16" s="51"/>
      <c r="C16" s="51"/>
      <c r="D16" s="37" t="s">
        <v>296</v>
      </c>
      <c r="E16" s="51"/>
      <c r="F16" s="51"/>
      <c r="G16" s="51"/>
      <c r="H16" s="51"/>
      <c r="I16" s="51"/>
      <c r="J16" s="51"/>
      <c r="K16" s="51"/>
      <c r="L16" s="51"/>
      <c r="M16" s="51"/>
      <c r="N16" s="51"/>
      <c r="O16" s="52"/>
      <c r="P16" s="51"/>
      <c r="Q16" s="51"/>
      <c r="R16" s="51"/>
      <c r="S16" s="38"/>
      <c r="T16" s="38"/>
      <c r="AR16" s="51"/>
      <c r="AS16" s="51"/>
    </row>
    <row r="17" spans="1:45" s="3" customFormat="1" thickBot="1">
      <c r="A17" s="531"/>
      <c r="O17" s="107"/>
      <c r="AR17" s="531"/>
    </row>
    <row r="18" spans="1:45" s="520" customFormat="1" thickTop="1">
      <c r="A18" s="51"/>
      <c r="B18" s="51"/>
      <c r="C18" s="3"/>
      <c r="D18" s="3"/>
      <c r="E18" s="51"/>
      <c r="F18" s="51"/>
      <c r="G18" s="51"/>
      <c r="H18" s="51"/>
      <c r="I18" s="51"/>
      <c r="J18" s="51"/>
      <c r="K18" s="51" t="s">
        <v>134</v>
      </c>
      <c r="L18" s="51"/>
      <c r="M18" s="51"/>
      <c r="N18" s="51"/>
      <c r="O18" s="52"/>
      <c r="P18" s="51"/>
      <c r="Q18" s="51"/>
      <c r="R18" s="51"/>
      <c r="S18" s="51"/>
      <c r="T18" s="51"/>
      <c r="AR18" s="51"/>
      <c r="AS18" s="51"/>
    </row>
    <row r="19" spans="1:45" s="520" customFormat="1" ht="12">
      <c r="A19" s="51"/>
      <c r="B19" s="51"/>
      <c r="C19" s="51" t="s">
        <v>135</v>
      </c>
      <c r="D19" s="37"/>
      <c r="E19" s="51"/>
      <c r="F19" s="51"/>
      <c r="G19" s="51"/>
      <c r="H19" s="51"/>
      <c r="I19" s="51"/>
      <c r="J19" s="51"/>
      <c r="K19" s="51"/>
      <c r="L19" s="51"/>
      <c r="M19" s="51"/>
      <c r="N19" s="51"/>
      <c r="O19" s="52"/>
      <c r="P19" s="51"/>
      <c r="Q19" s="51"/>
      <c r="R19" s="51"/>
      <c r="S19" s="51"/>
      <c r="T19" s="51"/>
      <c r="AR19" s="51"/>
      <c r="AS19" s="51"/>
    </row>
    <row r="20" spans="1:45" s="520" customFormat="1" ht="12">
      <c r="A20" s="51"/>
      <c r="B20" s="51"/>
      <c r="C20" s="51"/>
      <c r="D20" s="37" t="s">
        <v>297</v>
      </c>
      <c r="E20" s="51"/>
      <c r="F20" s="51"/>
      <c r="G20" s="51"/>
      <c r="H20" s="51"/>
      <c r="I20" s="51"/>
      <c r="J20" s="51"/>
      <c r="K20" s="51"/>
      <c r="L20" s="51"/>
      <c r="M20" s="51"/>
      <c r="N20" s="51"/>
      <c r="O20" s="52"/>
      <c r="P20" s="51"/>
      <c r="Q20" s="51"/>
      <c r="R20" s="51"/>
      <c r="S20" s="38"/>
      <c r="T20" s="38"/>
      <c r="AR20" s="51"/>
      <c r="AS20" s="51"/>
    </row>
    <row r="21" spans="1:45" s="3" customFormat="1" thickBot="1">
      <c r="A21" s="531"/>
      <c r="O21" s="107"/>
      <c r="AR21" s="531"/>
    </row>
    <row r="22" spans="1:45" s="520" customFormat="1" ht="12" thickTop="1">
      <c r="A22" s="51"/>
      <c r="B22" s="41"/>
      <c r="C22" s="51"/>
      <c r="E22" s="42" t="s">
        <v>138</v>
      </c>
      <c r="F22" s="42" t="s">
        <v>139</v>
      </c>
      <c r="G22" s="51"/>
      <c r="H22" s="51"/>
      <c r="I22" s="51"/>
      <c r="J22" s="51"/>
      <c r="K22" s="51" t="s">
        <v>140</v>
      </c>
      <c r="L22" s="51"/>
      <c r="M22" s="51"/>
      <c r="N22" s="51"/>
      <c r="O22" s="52"/>
      <c r="P22" s="51"/>
      <c r="Q22" s="51"/>
      <c r="R22" s="51"/>
      <c r="S22" s="51"/>
      <c r="T22" s="41"/>
      <c r="AG22" s="521" t="s">
        <v>268</v>
      </c>
      <c r="AH22" s="521" t="s">
        <v>269</v>
      </c>
      <c r="AI22" s="521" t="s">
        <v>270</v>
      </c>
      <c r="AJ22" s="521" t="s">
        <v>271</v>
      </c>
      <c r="AK22" s="521" t="s">
        <v>272</v>
      </c>
      <c r="AM22" s="745" t="s">
        <v>281</v>
      </c>
      <c r="AN22" s="746" t="s">
        <v>282</v>
      </c>
      <c r="AO22" s="522" t="s">
        <v>278</v>
      </c>
      <c r="AR22" s="51"/>
      <c r="AS22" s="42" t="s">
        <v>139</v>
      </c>
    </row>
    <row r="23" spans="1:45" s="520" customFormat="1" ht="12" customHeight="1">
      <c r="A23" s="747">
        <v>1</v>
      </c>
      <c r="B23" s="523" t="s">
        <v>299</v>
      </c>
      <c r="C23" s="748"/>
      <c r="D23" s="749" t="s">
        <v>1059</v>
      </c>
      <c r="E23" s="750">
        <f>IF(AND($A23=0,$A$1="DIF"),0, ROUND(ROUND(($R27*$S$2+($T27*$T$2))/A23,2)*$C$2,2))</f>
        <v>2462.69</v>
      </c>
      <c r="F23" s="751">
        <f>ROUND($A23*$E23,2)</f>
        <v>2462.69</v>
      </c>
      <c r="G23" s="752" t="s">
        <v>142</v>
      </c>
      <c r="H23" s="753"/>
      <c r="I23" s="754"/>
      <c r="J23" s="753"/>
      <c r="K23" s="753" t="s">
        <v>3</v>
      </c>
      <c r="L23" s="755" t="s">
        <v>143</v>
      </c>
      <c r="M23" s="755"/>
      <c r="N23" s="755"/>
      <c r="O23" s="755"/>
      <c r="P23" s="755"/>
      <c r="Q23" s="51"/>
      <c r="T23" s="756" t="str">
        <f>IF(AND($R27=0,$T27=0),"0.00","mu :" &amp; ROUND($F23/$C$2/($R27+$T27*$D$9),2))</f>
        <v>mu :1.23</v>
      </c>
      <c r="W23" s="524"/>
      <c r="AG23" s="481">
        <f>IF($E23=0,0,ROUND($R27*$S$2*$C$2/$A23,2))</f>
        <v>2462.69</v>
      </c>
      <c r="AH23" s="481">
        <f>$AG23*$A23</f>
        <v>2462.69</v>
      </c>
      <c r="AI23" s="525">
        <f>$E23-$AG23</f>
        <v>0</v>
      </c>
      <c r="AJ23" s="525">
        <f>$A23*$AI23</f>
        <v>0</v>
      </c>
      <c r="AK23" s="526">
        <f>ROUND(($AG23+$AI23)*$A23,2)</f>
        <v>2462.69</v>
      </c>
      <c r="AM23" s="527">
        <f>ROUND(R27,2)</f>
        <v>2000</v>
      </c>
      <c r="AN23" s="528">
        <f>ROUND(T27,2)</f>
        <v>0</v>
      </c>
      <c r="AO23" s="529">
        <f>ROUND(AM23+AN23,2)*A23</f>
        <v>2000</v>
      </c>
      <c r="AR23" s="747">
        <v>1</v>
      </c>
      <c r="AS23" s="751">
        <v>2462.69</v>
      </c>
    </row>
    <row r="24" spans="1:45" s="520" customFormat="1" ht="39.9" customHeight="1">
      <c r="A24" s="748"/>
      <c r="B24"/>
      <c r="C24" s="748"/>
      <c r="D24" s="1451" t="s">
        <v>298</v>
      </c>
      <c r="E24" s="1452"/>
      <c r="F24" s="1452"/>
      <c r="G24" s="1452"/>
      <c r="H24" s="1452"/>
      <c r="I24" s="1452"/>
      <c r="J24" s="1452"/>
      <c r="K24" s="1452"/>
      <c r="L24" s="1452"/>
      <c r="M24" s="1452"/>
      <c r="N24" s="1452"/>
      <c r="O24" s="1452"/>
      <c r="P24" s="1452"/>
      <c r="Q24" s="1452"/>
      <c r="R24" s="1452"/>
      <c r="S24" s="1452"/>
      <c r="T24" s="1452"/>
      <c r="AR24" s="748"/>
    </row>
    <row r="25" spans="1:45" s="901" customFormat="1" ht="13.2">
      <c r="A25" s="116">
        <v>1</v>
      </c>
      <c r="B25" s="901" t="s">
        <v>141</v>
      </c>
      <c r="D25" s="901" t="s">
        <v>3686</v>
      </c>
      <c r="G25" s="941" t="s">
        <v>3685</v>
      </c>
      <c r="H25" s="942">
        <v>880</v>
      </c>
      <c r="I25" s="901" t="s">
        <v>2607</v>
      </c>
      <c r="O25" s="943">
        <v>3</v>
      </c>
      <c r="P25" s="944"/>
      <c r="Q25" s="945">
        <v>2000</v>
      </c>
      <c r="R25" s="946">
        <f>$A25*Q25</f>
        <v>2000</v>
      </c>
      <c r="S25" s="945"/>
      <c r="T25" s="947">
        <f>$A25*S25*$T$1</f>
        <v>0</v>
      </c>
      <c r="AR25" s="116">
        <v>1</v>
      </c>
    </row>
    <row r="26" spans="1:45" s="520" customFormat="1" ht="12">
      <c r="A26" s="758"/>
      <c r="B26" s="758"/>
      <c r="C26" s="758"/>
      <c r="D26" s="758"/>
      <c r="E26" s="758"/>
      <c r="F26" s="753"/>
      <c r="G26" s="758"/>
      <c r="H26" s="758"/>
      <c r="I26" s="519"/>
      <c r="J26" s="758"/>
      <c r="K26" s="758"/>
      <c r="L26" s="758"/>
      <c r="M26" s="758"/>
      <c r="N26" s="758"/>
      <c r="O26" s="758"/>
      <c r="P26" s="758"/>
      <c r="Q26" s="519"/>
      <c r="R26" s="759">
        <f t="shared" ref="R26" si="0">$A26*Q26</f>
        <v>0</v>
      </c>
      <c r="S26" s="519"/>
      <c r="T26" s="760">
        <f t="shared" ref="T26" si="1">$A26*S26*$T$1</f>
        <v>0</v>
      </c>
      <c r="AR26" s="758"/>
      <c r="AS26" s="753"/>
    </row>
    <row r="27" spans="1:45" s="520" customFormat="1" ht="12.6" thickBot="1">
      <c r="A27" s="761" t="s">
        <v>145</v>
      </c>
      <c r="B27" s="762">
        <f>(R26+T26)</f>
        <v>0</v>
      </c>
      <c r="C27" s="763"/>
      <c r="D27" s="763"/>
      <c r="E27" s="763"/>
      <c r="F27" s="764"/>
      <c r="G27" s="763" t="s">
        <v>146</v>
      </c>
      <c r="H27" s="763"/>
      <c r="I27" s="765"/>
      <c r="J27" s="763"/>
      <c r="K27" s="763" t="s">
        <v>3</v>
      </c>
      <c r="L27" s="766" t="s">
        <v>143</v>
      </c>
      <c r="M27" s="766"/>
      <c r="N27" s="766"/>
      <c r="O27" s="766"/>
      <c r="P27" s="766"/>
      <c r="Q27" s="767"/>
      <c r="R27" s="768">
        <f>SUM(R24:R26)</f>
        <v>2000</v>
      </c>
      <c r="S27" s="763"/>
      <c r="T27" s="768">
        <f>SUM(T24:T26)</f>
        <v>0</v>
      </c>
      <c r="U27" s="531"/>
      <c r="V27" s="531"/>
      <c r="W27" s="531"/>
      <c r="X27" s="531"/>
      <c r="Y27" s="531"/>
      <c r="Z27" s="531"/>
      <c r="AA27" s="531"/>
      <c r="AB27" s="531"/>
      <c r="AC27" s="531"/>
      <c r="AD27" s="531"/>
      <c r="AE27" s="531"/>
      <c r="AF27" s="531"/>
      <c r="AG27" s="531"/>
      <c r="AH27" s="531"/>
      <c r="AI27" s="531"/>
      <c r="AJ27" s="531"/>
      <c r="AK27" s="531"/>
      <c r="AL27" s="531"/>
      <c r="AM27" s="531"/>
      <c r="AN27" s="531"/>
      <c r="AO27" s="531"/>
      <c r="AR27" s="761" t="s">
        <v>145</v>
      </c>
      <c r="AS27" s="764"/>
    </row>
    <row r="28" spans="1:45" s="520" customFormat="1" ht="12" thickTop="1">
      <c r="A28" s="51"/>
      <c r="B28" s="41"/>
      <c r="C28" s="51"/>
      <c r="E28" s="42" t="s">
        <v>138</v>
      </c>
      <c r="F28" s="42" t="s">
        <v>139</v>
      </c>
      <c r="G28" s="51"/>
      <c r="H28" s="51"/>
      <c r="I28" s="51"/>
      <c r="J28" s="51"/>
      <c r="K28" s="51" t="s">
        <v>140</v>
      </c>
      <c r="L28" s="51"/>
      <c r="M28" s="51"/>
      <c r="N28" s="51"/>
      <c r="O28" s="52"/>
      <c r="P28" s="51"/>
      <c r="Q28" s="51"/>
      <c r="R28" s="51"/>
      <c r="S28" s="51"/>
      <c r="T28" s="41"/>
      <c r="AG28" s="521" t="s">
        <v>268</v>
      </c>
      <c r="AH28" s="521" t="s">
        <v>269</v>
      </c>
      <c r="AI28" s="521" t="s">
        <v>270</v>
      </c>
      <c r="AJ28" s="521" t="s">
        <v>271</v>
      </c>
      <c r="AK28" s="521" t="s">
        <v>272</v>
      </c>
      <c r="AM28" s="745" t="s">
        <v>281</v>
      </c>
      <c r="AN28" s="746" t="s">
        <v>282</v>
      </c>
      <c r="AO28" s="522" t="s">
        <v>278</v>
      </c>
      <c r="AR28" s="51"/>
      <c r="AS28" s="42" t="s">
        <v>139</v>
      </c>
    </row>
    <row r="29" spans="1:45" s="520" customFormat="1" ht="12" customHeight="1">
      <c r="A29" s="747">
        <v>1</v>
      </c>
      <c r="B29" s="523" t="s">
        <v>299</v>
      </c>
      <c r="C29" s="748"/>
      <c r="D29" s="749" t="s">
        <v>1060</v>
      </c>
      <c r="E29" s="750">
        <f>IF(AND($A29=0,$A$1="DIF"),0, ROUND(ROUND(($R37*$S$2+($T37*$T$2))/$A29,2)*$C$2,2))</f>
        <v>0</v>
      </c>
      <c r="F29" s="751">
        <f>ROUND($A29*$E29,2)</f>
        <v>0</v>
      </c>
      <c r="G29" s="752" t="s">
        <v>142</v>
      </c>
      <c r="H29" s="753"/>
      <c r="I29" s="754"/>
      <c r="J29" s="753"/>
      <c r="K29" s="753" t="s">
        <v>3</v>
      </c>
      <c r="L29" s="755" t="s">
        <v>143</v>
      </c>
      <c r="M29" s="755"/>
      <c r="N29" s="755"/>
      <c r="O29" s="755"/>
      <c r="P29" s="755"/>
      <c r="Q29" s="1058" t="s">
        <v>2895</v>
      </c>
      <c r="T29" s="756" t="str">
        <f>IF(AND($R37=0,$T37=0),"0.00","mu: "&amp; ROUND(F29/$C$2/($R37+$T37*$D$9),2))</f>
        <v>0.00</v>
      </c>
      <c r="W29" s="524"/>
      <c r="AG29" s="481">
        <f>IF($E29=0,0,ROUND($R37*$S$2*$C$2/$A29,2))</f>
        <v>0</v>
      </c>
      <c r="AH29" s="481">
        <f>$AG29*$A29</f>
        <v>0</v>
      </c>
      <c r="AI29" s="525">
        <f>$E29-$AG29</f>
        <v>0</v>
      </c>
      <c r="AJ29" s="525">
        <f>$A29*$AI29</f>
        <v>0</v>
      </c>
      <c r="AK29" s="526">
        <f>ROUND(($AG29+$AI29)*$A29,2)</f>
        <v>0</v>
      </c>
      <c r="AM29" s="527">
        <f>ROUND(R37,2)</f>
        <v>0</v>
      </c>
      <c r="AN29" s="528">
        <f>ROUND(T37,2)</f>
        <v>0</v>
      </c>
      <c r="AO29" s="529">
        <f>ROUND(AM29+AN29,2)*A29</f>
        <v>0</v>
      </c>
      <c r="AR29" s="747">
        <v>1</v>
      </c>
      <c r="AS29" s="751">
        <v>0</v>
      </c>
    </row>
    <row r="30" spans="1:45" s="520" customFormat="1" ht="39.9" customHeight="1">
      <c r="A30" s="748"/>
      <c r="B30"/>
      <c r="C30" s="748"/>
      <c r="D30" s="1451" t="s">
        <v>300</v>
      </c>
      <c r="E30" s="1452"/>
      <c r="F30" s="1452"/>
      <c r="G30" s="1452"/>
      <c r="H30" s="1452"/>
      <c r="I30" s="1452"/>
      <c r="J30" s="1452"/>
      <c r="K30" s="1452"/>
      <c r="L30" s="1452"/>
      <c r="M30" s="1452"/>
      <c r="N30" s="1452"/>
      <c r="O30" s="1452"/>
      <c r="P30" s="1452"/>
      <c r="Q30" s="1452"/>
      <c r="R30" s="1452"/>
      <c r="S30" s="1452"/>
      <c r="T30" s="1452"/>
      <c r="AR30" s="748"/>
    </row>
    <row r="31" spans="1:45" s="520" customFormat="1" ht="12">
      <c r="A31" s="51"/>
      <c r="B31" s="758"/>
      <c r="C31" s="758"/>
      <c r="D31" s="758"/>
      <c r="E31" s="758"/>
      <c r="F31" s="753"/>
      <c r="G31" s="758"/>
      <c r="H31" s="758"/>
      <c r="I31" s="519"/>
      <c r="J31" s="758"/>
      <c r="K31" s="758"/>
      <c r="L31" s="758"/>
      <c r="M31" s="758"/>
      <c r="N31" s="758"/>
      <c r="O31" s="758"/>
      <c r="P31" s="758"/>
      <c r="Q31" s="519"/>
      <c r="R31" s="759">
        <f t="shared" ref="R31:R36" si="2">$A31*Q31</f>
        <v>0</v>
      </c>
      <c r="S31" s="519"/>
      <c r="T31" s="760">
        <f t="shared" ref="T31:T36" si="3">$A31*S31*$T$1</f>
        <v>0</v>
      </c>
      <c r="AR31" s="51"/>
      <c r="AS31" s="753"/>
    </row>
    <row r="32" spans="1:45" s="520" customFormat="1" ht="12">
      <c r="A32" s="51"/>
      <c r="B32" s="758"/>
      <c r="C32" s="758"/>
      <c r="D32" s="758"/>
      <c r="E32" s="758"/>
      <c r="F32" s="753"/>
      <c r="G32" s="758"/>
      <c r="H32" s="758"/>
      <c r="I32" s="519"/>
      <c r="J32" s="758"/>
      <c r="K32" s="758"/>
      <c r="L32" s="758"/>
      <c r="M32" s="758"/>
      <c r="N32" s="758"/>
      <c r="O32" s="758"/>
      <c r="P32" s="758"/>
      <c r="Q32" s="519"/>
      <c r="R32" s="759">
        <f t="shared" si="2"/>
        <v>0</v>
      </c>
      <c r="S32" s="519"/>
      <c r="T32" s="760">
        <f t="shared" si="3"/>
        <v>0</v>
      </c>
      <c r="AR32" s="51"/>
      <c r="AS32" s="753"/>
    </row>
    <row r="33" spans="1:45" s="520" customFormat="1" ht="12">
      <c r="A33" s="51"/>
      <c r="B33" s="758"/>
      <c r="C33" s="758"/>
      <c r="D33" s="758"/>
      <c r="E33" s="758"/>
      <c r="F33" s="753"/>
      <c r="G33" s="758"/>
      <c r="H33" s="758"/>
      <c r="I33" s="519"/>
      <c r="J33" s="758"/>
      <c r="K33" s="758"/>
      <c r="L33" s="758"/>
      <c r="M33" s="758"/>
      <c r="N33" s="758"/>
      <c r="O33" s="758"/>
      <c r="P33" s="758"/>
      <c r="Q33" s="519"/>
      <c r="R33" s="759">
        <f t="shared" si="2"/>
        <v>0</v>
      </c>
      <c r="S33" s="519"/>
      <c r="T33" s="760">
        <f t="shared" si="3"/>
        <v>0</v>
      </c>
      <c r="AR33" s="51"/>
      <c r="AS33" s="753"/>
    </row>
    <row r="34" spans="1:45" s="520" customFormat="1" ht="12">
      <c r="A34" s="51"/>
      <c r="B34" s="758"/>
      <c r="C34" s="758"/>
      <c r="D34" s="758"/>
      <c r="E34" s="758"/>
      <c r="F34" s="753"/>
      <c r="G34" s="758"/>
      <c r="H34" s="758"/>
      <c r="I34" s="519"/>
      <c r="J34" s="758"/>
      <c r="K34" s="758"/>
      <c r="L34" s="758"/>
      <c r="M34" s="758"/>
      <c r="N34" s="758"/>
      <c r="O34" s="758"/>
      <c r="P34" s="758"/>
      <c r="Q34" s="519"/>
      <c r="R34" s="759">
        <f t="shared" si="2"/>
        <v>0</v>
      </c>
      <c r="S34" s="519"/>
      <c r="T34" s="760">
        <f t="shared" si="3"/>
        <v>0</v>
      </c>
      <c r="AR34" s="51"/>
      <c r="AS34" s="753"/>
    </row>
    <row r="35" spans="1:45" s="520" customFormat="1" ht="12">
      <c r="A35" s="51"/>
      <c r="B35" s="758"/>
      <c r="C35" s="758"/>
      <c r="D35" s="758"/>
      <c r="E35" s="758"/>
      <c r="F35" s="753"/>
      <c r="G35" s="758"/>
      <c r="H35" s="758"/>
      <c r="I35" s="519"/>
      <c r="J35" s="758"/>
      <c r="K35" s="758"/>
      <c r="L35" s="758"/>
      <c r="M35" s="758"/>
      <c r="N35" s="758"/>
      <c r="O35" s="758"/>
      <c r="P35" s="758"/>
      <c r="Q35" s="519"/>
      <c r="R35" s="759">
        <f t="shared" si="2"/>
        <v>0</v>
      </c>
      <c r="S35" s="519"/>
      <c r="T35" s="760">
        <f t="shared" si="3"/>
        <v>0</v>
      </c>
      <c r="AR35" s="51"/>
      <c r="AS35" s="753"/>
    </row>
    <row r="36" spans="1:45" s="520" customFormat="1" ht="12">
      <c r="A36" s="758"/>
      <c r="B36" s="758"/>
      <c r="C36" s="758"/>
      <c r="D36" s="758"/>
      <c r="E36" s="758"/>
      <c r="F36" s="753"/>
      <c r="G36" s="758"/>
      <c r="H36" s="758"/>
      <c r="I36" s="519"/>
      <c r="J36" s="758"/>
      <c r="K36" s="758"/>
      <c r="L36" s="758"/>
      <c r="M36" s="758"/>
      <c r="N36" s="758"/>
      <c r="O36" s="758"/>
      <c r="P36" s="758"/>
      <c r="Q36" s="519"/>
      <c r="R36" s="759">
        <f t="shared" si="2"/>
        <v>0</v>
      </c>
      <c r="S36" s="519"/>
      <c r="T36" s="760">
        <f t="shared" si="3"/>
        <v>0</v>
      </c>
      <c r="AR36" s="758"/>
      <c r="AS36" s="753"/>
    </row>
    <row r="37" spans="1:45" s="520" customFormat="1" ht="12.6" thickBot="1">
      <c r="A37" s="761" t="s">
        <v>145</v>
      </c>
      <c r="B37" s="762">
        <f>(R36+T36)</f>
        <v>0</v>
      </c>
      <c r="C37" s="763"/>
      <c r="D37" s="763"/>
      <c r="E37" s="763"/>
      <c r="F37" s="764"/>
      <c r="G37" s="763" t="s">
        <v>146</v>
      </c>
      <c r="H37" s="763"/>
      <c r="I37" s="765"/>
      <c r="J37" s="763"/>
      <c r="K37" s="763" t="s">
        <v>3</v>
      </c>
      <c r="L37" s="766" t="s">
        <v>143</v>
      </c>
      <c r="M37" s="766"/>
      <c r="N37" s="766"/>
      <c r="O37" s="766"/>
      <c r="P37" s="766"/>
      <c r="Q37" s="767"/>
      <c r="R37" s="768">
        <f>SUM(R30:R36)</f>
        <v>0</v>
      </c>
      <c r="S37" s="763"/>
      <c r="T37" s="768">
        <f>SUM(T30:T36)</f>
        <v>0</v>
      </c>
      <c r="U37" s="531"/>
      <c r="V37" s="531"/>
      <c r="W37" s="531"/>
      <c r="X37" s="531"/>
      <c r="Y37" s="531"/>
      <c r="Z37" s="531"/>
      <c r="AA37" s="531"/>
      <c r="AB37" s="531"/>
      <c r="AC37" s="531"/>
      <c r="AD37" s="531"/>
      <c r="AE37" s="531"/>
      <c r="AF37" s="531"/>
      <c r="AG37" s="531"/>
      <c r="AH37" s="531"/>
      <c r="AI37" s="531"/>
      <c r="AJ37" s="531"/>
      <c r="AK37" s="531"/>
      <c r="AL37" s="531"/>
      <c r="AM37" s="531"/>
      <c r="AN37" s="531"/>
      <c r="AO37" s="531"/>
      <c r="AR37" s="761" t="s">
        <v>145</v>
      </c>
      <c r="AS37" s="764"/>
    </row>
    <row r="38" spans="1:45" s="520" customFormat="1" ht="12" thickTop="1">
      <c r="A38" s="51"/>
      <c r="B38" s="41"/>
      <c r="C38" s="51"/>
      <c r="E38" s="42" t="s">
        <v>138</v>
      </c>
      <c r="F38" s="42" t="s">
        <v>139</v>
      </c>
      <c r="G38" s="51"/>
      <c r="H38" s="51"/>
      <c r="I38" s="51"/>
      <c r="J38" s="51"/>
      <c r="K38" s="51" t="s">
        <v>140</v>
      </c>
      <c r="L38" s="51"/>
      <c r="M38" s="51"/>
      <c r="N38" s="51"/>
      <c r="O38" s="52"/>
      <c r="P38" s="51"/>
      <c r="Q38" s="51"/>
      <c r="R38" s="51"/>
      <c r="S38" s="51"/>
      <c r="T38" s="41"/>
      <c r="AG38" s="521" t="s">
        <v>268</v>
      </c>
      <c r="AH38" s="521" t="s">
        <v>269</v>
      </c>
      <c r="AI38" s="521" t="s">
        <v>270</v>
      </c>
      <c r="AJ38" s="521" t="s">
        <v>271</v>
      </c>
      <c r="AK38" s="521" t="s">
        <v>272</v>
      </c>
      <c r="AM38" s="745" t="s">
        <v>281</v>
      </c>
      <c r="AN38" s="746" t="s">
        <v>282</v>
      </c>
      <c r="AO38" s="522" t="s">
        <v>278</v>
      </c>
      <c r="AR38" s="51"/>
      <c r="AS38" s="42" t="s">
        <v>139</v>
      </c>
    </row>
    <row r="39" spans="1:45" s="520" customFormat="1" ht="12" customHeight="1">
      <c r="A39" s="747">
        <v>1</v>
      </c>
      <c r="B39" s="523" t="s">
        <v>299</v>
      </c>
      <c r="C39" s="748"/>
      <c r="D39" s="749" t="s">
        <v>1061</v>
      </c>
      <c r="E39" s="750">
        <f>IF(AND($A39=0,$A$1="DIF"),0, ROUND(ROUND(($R47*$S$2+($T47*$T$2))/A39,2)*$C$2,2))</f>
        <v>0</v>
      </c>
      <c r="F39" s="751">
        <f>ROUND($A39*$E39,2)</f>
        <v>0</v>
      </c>
      <c r="G39" s="752" t="s">
        <v>142</v>
      </c>
      <c r="H39" s="753"/>
      <c r="I39" s="754"/>
      <c r="J39" s="753"/>
      <c r="K39" s="753" t="s">
        <v>3</v>
      </c>
      <c r="L39" s="755" t="s">
        <v>143</v>
      </c>
      <c r="M39" s="755"/>
      <c r="N39" s="755"/>
      <c r="O39" s="755"/>
      <c r="P39" s="755"/>
      <c r="Q39" s="1058" t="s">
        <v>3687</v>
      </c>
      <c r="T39" s="756" t="str">
        <f>IF(AND($R47=0,$T47=0),"0.00","mu :" &amp; ROUND($F39/$C$2/($R47+$T47*$D$9),2))</f>
        <v>0.00</v>
      </c>
      <c r="W39" s="524"/>
      <c r="AG39" s="481">
        <f>IF($E39=0,0,ROUND($R47*$S$2*$C$2/$A39,2))</f>
        <v>0</v>
      </c>
      <c r="AH39" s="481">
        <f>$AG39*$A39</f>
        <v>0</v>
      </c>
      <c r="AI39" s="525">
        <f>$E39-$AG39</f>
        <v>0</v>
      </c>
      <c r="AJ39" s="525">
        <f>$A39*$AI39</f>
        <v>0</v>
      </c>
      <c r="AK39" s="526">
        <f>ROUND(($AG39+$AI39)*$A39,2)</f>
        <v>0</v>
      </c>
      <c r="AM39" s="527">
        <f>ROUND(R47,2)</f>
        <v>0</v>
      </c>
      <c r="AN39" s="528">
        <f>ROUND(T47,2)</f>
        <v>0</v>
      </c>
      <c r="AO39" s="529">
        <f>ROUND(AM39+AN39,2)*A39</f>
        <v>0</v>
      </c>
      <c r="AR39" s="747">
        <v>1</v>
      </c>
      <c r="AS39" s="751">
        <v>0</v>
      </c>
    </row>
    <row r="40" spans="1:45" s="520" customFormat="1" ht="39.9" customHeight="1">
      <c r="A40" s="748"/>
      <c r="B40"/>
      <c r="C40" s="748"/>
      <c r="D40" s="1451" t="s">
        <v>301</v>
      </c>
      <c r="E40" s="1452"/>
      <c r="F40" s="1452"/>
      <c r="G40" s="1452"/>
      <c r="H40" s="1452"/>
      <c r="I40" s="1452"/>
      <c r="J40" s="1452"/>
      <c r="K40" s="1452"/>
      <c r="L40" s="1452"/>
      <c r="M40" s="1452"/>
      <c r="N40" s="1452"/>
      <c r="O40" s="1452"/>
      <c r="P40" s="1452"/>
      <c r="Q40" s="1452"/>
      <c r="R40" s="1452"/>
      <c r="S40" s="1452"/>
      <c r="T40" s="1452"/>
      <c r="AR40" s="748"/>
    </row>
    <row r="41" spans="1:45" s="520" customFormat="1" ht="12">
      <c r="A41" s="51"/>
      <c r="B41" s="758"/>
      <c r="C41" s="758"/>
      <c r="D41" s="758"/>
      <c r="E41" s="758"/>
      <c r="F41" s="753"/>
      <c r="G41" s="758"/>
      <c r="H41" s="758"/>
      <c r="I41" s="519"/>
      <c r="J41" s="758"/>
      <c r="K41" s="758"/>
      <c r="L41" s="758"/>
      <c r="M41" s="758"/>
      <c r="N41" s="758"/>
      <c r="O41" s="758"/>
      <c r="P41" s="758"/>
      <c r="Q41" s="519"/>
      <c r="R41" s="759">
        <f t="shared" ref="R41:R46" si="4">$A41*Q41</f>
        <v>0</v>
      </c>
      <c r="S41" s="519"/>
      <c r="T41" s="760">
        <f t="shared" ref="T41:T46" si="5">$A41*S41*$T$1</f>
        <v>0</v>
      </c>
      <c r="AR41" s="51"/>
      <c r="AS41" s="753"/>
    </row>
    <row r="42" spans="1:45" s="520" customFormat="1" ht="12">
      <c r="A42" s="51"/>
      <c r="B42" s="758"/>
      <c r="C42" s="758"/>
      <c r="D42" s="758"/>
      <c r="E42" s="758"/>
      <c r="F42" s="753"/>
      <c r="G42" s="758"/>
      <c r="H42" s="758"/>
      <c r="I42" s="519"/>
      <c r="J42" s="758"/>
      <c r="K42" s="758"/>
      <c r="L42" s="758"/>
      <c r="M42" s="758"/>
      <c r="N42" s="758"/>
      <c r="O42" s="758"/>
      <c r="P42" s="758"/>
      <c r="Q42" s="519"/>
      <c r="R42" s="759">
        <f t="shared" si="4"/>
        <v>0</v>
      </c>
      <c r="S42" s="519"/>
      <c r="T42" s="760">
        <f t="shared" si="5"/>
        <v>0</v>
      </c>
      <c r="AR42" s="51"/>
      <c r="AS42" s="753"/>
    </row>
    <row r="43" spans="1:45" s="520" customFormat="1" ht="12">
      <c r="A43" s="51"/>
      <c r="B43" s="758"/>
      <c r="C43" s="758"/>
      <c r="D43" s="758"/>
      <c r="E43" s="758"/>
      <c r="F43" s="753"/>
      <c r="G43" s="758"/>
      <c r="H43" s="758"/>
      <c r="I43" s="519"/>
      <c r="J43" s="758"/>
      <c r="K43" s="758"/>
      <c r="L43" s="758"/>
      <c r="M43" s="758"/>
      <c r="N43" s="758"/>
      <c r="O43" s="758"/>
      <c r="P43" s="758"/>
      <c r="Q43" s="519"/>
      <c r="R43" s="759">
        <f t="shared" si="4"/>
        <v>0</v>
      </c>
      <c r="S43" s="519"/>
      <c r="T43" s="760">
        <f t="shared" si="5"/>
        <v>0</v>
      </c>
      <c r="AR43" s="51"/>
      <c r="AS43" s="753"/>
    </row>
    <row r="44" spans="1:45" s="520" customFormat="1" ht="12">
      <c r="A44" s="51"/>
      <c r="B44" s="758"/>
      <c r="C44" s="758"/>
      <c r="D44" s="758"/>
      <c r="E44" s="758"/>
      <c r="F44" s="753"/>
      <c r="G44" s="758"/>
      <c r="H44" s="758"/>
      <c r="I44" s="519"/>
      <c r="J44" s="758"/>
      <c r="K44" s="758"/>
      <c r="L44" s="758"/>
      <c r="M44" s="758"/>
      <c r="N44" s="758"/>
      <c r="O44" s="758"/>
      <c r="P44" s="758"/>
      <c r="Q44" s="519"/>
      <c r="R44" s="759">
        <f t="shared" si="4"/>
        <v>0</v>
      </c>
      <c r="S44" s="519"/>
      <c r="T44" s="760">
        <f t="shared" si="5"/>
        <v>0</v>
      </c>
      <c r="AR44" s="51"/>
      <c r="AS44" s="753"/>
    </row>
    <row r="45" spans="1:45" s="520" customFormat="1" ht="12">
      <c r="A45" s="51"/>
      <c r="B45" s="758"/>
      <c r="C45" s="758"/>
      <c r="D45" s="758"/>
      <c r="E45" s="758"/>
      <c r="F45" s="753"/>
      <c r="G45" s="758"/>
      <c r="H45" s="758"/>
      <c r="I45" s="519"/>
      <c r="J45" s="758"/>
      <c r="K45" s="758"/>
      <c r="L45" s="758"/>
      <c r="M45" s="758"/>
      <c r="N45" s="758"/>
      <c r="O45" s="758"/>
      <c r="P45" s="758"/>
      <c r="Q45" s="519"/>
      <c r="R45" s="759">
        <f t="shared" si="4"/>
        <v>0</v>
      </c>
      <c r="S45" s="519"/>
      <c r="T45" s="760">
        <f t="shared" si="5"/>
        <v>0</v>
      </c>
      <c r="AR45" s="51"/>
      <c r="AS45" s="753"/>
    </row>
    <row r="46" spans="1:45" s="520" customFormat="1" ht="12">
      <c r="A46" s="758"/>
      <c r="B46" s="758"/>
      <c r="C46" s="758"/>
      <c r="D46" s="758"/>
      <c r="E46" s="758"/>
      <c r="F46" s="753"/>
      <c r="G46" s="758"/>
      <c r="H46" s="758"/>
      <c r="I46" s="519"/>
      <c r="J46" s="758"/>
      <c r="K46" s="758"/>
      <c r="L46" s="758"/>
      <c r="M46" s="758"/>
      <c r="N46" s="758"/>
      <c r="O46" s="758"/>
      <c r="P46" s="758"/>
      <c r="Q46" s="519"/>
      <c r="R46" s="759">
        <f t="shared" si="4"/>
        <v>0</v>
      </c>
      <c r="S46" s="519"/>
      <c r="T46" s="760">
        <f t="shared" si="5"/>
        <v>0</v>
      </c>
      <c r="AR46" s="758"/>
      <c r="AS46" s="753"/>
    </row>
    <row r="47" spans="1:45" s="520" customFormat="1" ht="12.6" thickBot="1">
      <c r="A47" s="761" t="s">
        <v>145</v>
      </c>
      <c r="B47" s="762">
        <f>(R46+T46)</f>
        <v>0</v>
      </c>
      <c r="C47" s="763"/>
      <c r="D47" s="763"/>
      <c r="E47" s="763"/>
      <c r="F47" s="764"/>
      <c r="G47" s="763" t="s">
        <v>146</v>
      </c>
      <c r="H47" s="763"/>
      <c r="I47" s="765"/>
      <c r="J47" s="763"/>
      <c r="K47" s="763" t="s">
        <v>3</v>
      </c>
      <c r="L47" s="766" t="s">
        <v>143</v>
      </c>
      <c r="M47" s="766"/>
      <c r="N47" s="766"/>
      <c r="O47" s="766"/>
      <c r="P47" s="766"/>
      <c r="Q47" s="767"/>
      <c r="R47" s="768">
        <f>SUM(R40:R46)</f>
        <v>0</v>
      </c>
      <c r="S47" s="763"/>
      <c r="T47" s="768">
        <f>SUM(T40:T46)</f>
        <v>0</v>
      </c>
      <c r="U47" s="531"/>
      <c r="V47" s="531"/>
      <c r="W47" s="531"/>
      <c r="X47" s="531"/>
      <c r="Y47" s="531"/>
      <c r="Z47" s="531"/>
      <c r="AA47" s="531"/>
      <c r="AB47" s="531"/>
      <c r="AC47" s="531"/>
      <c r="AD47" s="531"/>
      <c r="AE47" s="531"/>
      <c r="AF47" s="531"/>
      <c r="AG47" s="531"/>
      <c r="AH47" s="531"/>
      <c r="AI47" s="531"/>
      <c r="AJ47" s="531"/>
      <c r="AK47" s="531"/>
      <c r="AL47" s="531"/>
      <c r="AM47" s="531"/>
      <c r="AN47" s="531"/>
      <c r="AO47" s="531"/>
      <c r="AR47" s="761" t="s">
        <v>145</v>
      </c>
      <c r="AS47" s="764"/>
    </row>
    <row r="48" spans="1:45" s="520" customFormat="1" ht="12" thickTop="1">
      <c r="A48" s="51"/>
      <c r="B48" s="41"/>
      <c r="C48" s="51"/>
      <c r="E48" s="42" t="s">
        <v>138</v>
      </c>
      <c r="F48" s="42" t="s">
        <v>139</v>
      </c>
      <c r="G48" s="51"/>
      <c r="H48" s="51"/>
      <c r="I48" s="51"/>
      <c r="J48" s="51"/>
      <c r="K48" s="51" t="s">
        <v>140</v>
      </c>
      <c r="L48" s="51"/>
      <c r="M48" s="51"/>
      <c r="N48" s="51"/>
      <c r="O48" s="52"/>
      <c r="P48" s="51"/>
      <c r="Q48" s="51"/>
      <c r="R48" s="51"/>
      <c r="S48" s="51"/>
      <c r="T48" s="41"/>
      <c r="AG48" s="521" t="s">
        <v>268</v>
      </c>
      <c r="AH48" s="521" t="s">
        <v>269</v>
      </c>
      <c r="AI48" s="521" t="s">
        <v>270</v>
      </c>
      <c r="AJ48" s="521" t="s">
        <v>271</v>
      </c>
      <c r="AK48" s="521" t="s">
        <v>272</v>
      </c>
      <c r="AM48" s="745" t="s">
        <v>281</v>
      </c>
      <c r="AN48" s="746" t="s">
        <v>282</v>
      </c>
      <c r="AO48" s="522" t="s">
        <v>278</v>
      </c>
      <c r="AR48" s="51"/>
      <c r="AS48" s="42" t="s">
        <v>139</v>
      </c>
    </row>
    <row r="49" spans="1:45" s="520" customFormat="1" ht="12" customHeight="1">
      <c r="A49" s="747">
        <v>1</v>
      </c>
      <c r="B49" s="523" t="s">
        <v>299</v>
      </c>
      <c r="C49" s="748"/>
      <c r="D49" s="749" t="s">
        <v>1062</v>
      </c>
      <c r="E49" s="750">
        <f>IF(AND($A49=0,$A$1="DIF"),0, ROUND(ROUND(($R56*$S$2+($T56*$T$2))/A49,2)*$C$2,2))</f>
        <v>4369.3</v>
      </c>
      <c r="F49" s="751">
        <f>ROUND($A49*$E49,2)</f>
        <v>4369.3</v>
      </c>
      <c r="G49" s="752" t="s">
        <v>142</v>
      </c>
      <c r="H49" s="753"/>
      <c r="I49" s="754"/>
      <c r="J49" s="753"/>
      <c r="K49" s="753" t="s">
        <v>3</v>
      </c>
      <c r="L49" s="755" t="s">
        <v>143</v>
      </c>
      <c r="M49" s="755"/>
      <c r="N49" s="755"/>
      <c r="O49" s="755"/>
      <c r="P49" s="755"/>
      <c r="Q49" s="1058"/>
      <c r="T49" s="756" t="str">
        <f>IF(AND($R56=0,$T56=0),"0.00","mu :" &amp; ROUND($F49/$C$2/($R56+$T56*$D$9),2))</f>
        <v>mu :1.23</v>
      </c>
      <c r="W49" s="524"/>
      <c r="AG49" s="481">
        <f>IF($E49=0,0,ROUND($R56*$S$2*$C$2/$A49,2))</f>
        <v>4369.3</v>
      </c>
      <c r="AH49" s="481">
        <f>$AG49*$A49</f>
        <v>4369.3</v>
      </c>
      <c r="AI49" s="525">
        <f>$E49-$AG49</f>
        <v>0</v>
      </c>
      <c r="AJ49" s="525">
        <f>$A49*$AI49</f>
        <v>0</v>
      </c>
      <c r="AK49" s="526">
        <f>ROUND(($AG49+$AI49)*$A49,2)</f>
        <v>4369.3</v>
      </c>
      <c r="AM49" s="527">
        <f>ROUND(R56,2)</f>
        <v>3548.4</v>
      </c>
      <c r="AN49" s="528">
        <f>ROUND(T56,2)</f>
        <v>0</v>
      </c>
      <c r="AO49" s="529">
        <f>ROUND(AM49+AN49,2)*A49</f>
        <v>3548.4</v>
      </c>
      <c r="AR49" s="747">
        <v>1</v>
      </c>
      <c r="AS49" s="751">
        <v>4369.3</v>
      </c>
    </row>
    <row r="50" spans="1:45" s="520" customFormat="1" ht="39.9" customHeight="1">
      <c r="A50" s="748"/>
      <c r="B50"/>
      <c r="C50" s="748"/>
      <c r="D50" s="1451" t="s">
        <v>302</v>
      </c>
      <c r="E50" s="1452"/>
      <c r="F50" s="1452"/>
      <c r="G50" s="1452"/>
      <c r="H50" s="1452"/>
      <c r="I50" s="1452"/>
      <c r="J50" s="1452"/>
      <c r="K50" s="1452"/>
      <c r="L50" s="1452"/>
      <c r="M50" s="1452"/>
      <c r="N50" s="1452"/>
      <c r="O50" s="1452"/>
      <c r="P50" s="1452"/>
      <c r="Q50" s="1452"/>
      <c r="R50" s="1452"/>
      <c r="S50" s="1452"/>
      <c r="T50" s="1452"/>
      <c r="AR50" s="748"/>
    </row>
    <row r="51" spans="1:45" s="901" customFormat="1" ht="13.2">
      <c r="A51" s="116">
        <v>6</v>
      </c>
      <c r="B51" s="901" t="s">
        <v>141</v>
      </c>
      <c r="D51" s="901" t="s">
        <v>3688</v>
      </c>
      <c r="G51" s="941" t="s">
        <v>3685</v>
      </c>
      <c r="H51" s="942">
        <v>880</v>
      </c>
      <c r="I51" s="901" t="s">
        <v>2607</v>
      </c>
      <c r="O51" s="943">
        <v>3</v>
      </c>
      <c r="P51" s="944"/>
      <c r="Q51" s="945">
        <v>150</v>
      </c>
      <c r="R51" s="946">
        <f>$A51*Q51</f>
        <v>900</v>
      </c>
      <c r="S51" s="945"/>
      <c r="T51" s="947">
        <f>$A51*S51*$T$1</f>
        <v>0</v>
      </c>
      <c r="AR51" s="116">
        <v>6</v>
      </c>
    </row>
    <row r="52" spans="1:45" s="901" customFormat="1" ht="13.2">
      <c r="A52" s="116">
        <v>14</v>
      </c>
      <c r="B52" s="901" t="s">
        <v>141</v>
      </c>
      <c r="D52" s="901" t="s">
        <v>3689</v>
      </c>
      <c r="G52" s="941" t="s">
        <v>3685</v>
      </c>
      <c r="H52" s="942">
        <v>880</v>
      </c>
      <c r="I52" s="901" t="s">
        <v>2607</v>
      </c>
      <c r="O52" s="943">
        <v>3</v>
      </c>
      <c r="P52" s="944"/>
      <c r="Q52" s="945">
        <v>60</v>
      </c>
      <c r="R52" s="946">
        <f t="shared" ref="R52:R54" si="6">$A52*Q52</f>
        <v>840</v>
      </c>
      <c r="S52" s="945"/>
      <c r="T52" s="947">
        <f t="shared" ref="T52:T54" si="7">$A52*S52*$T$1</f>
        <v>0</v>
      </c>
      <c r="AR52" s="116">
        <v>14</v>
      </c>
    </row>
    <row r="53" spans="1:45" s="901" customFormat="1" ht="13.2">
      <c r="A53" s="1170">
        <v>16</v>
      </c>
      <c r="B53" s="901" t="s">
        <v>3690</v>
      </c>
      <c r="D53" s="901" t="s">
        <v>3688</v>
      </c>
      <c r="G53" s="941" t="s">
        <v>3685</v>
      </c>
      <c r="H53" s="942">
        <v>880</v>
      </c>
      <c r="I53" s="901" t="s">
        <v>2607</v>
      </c>
      <c r="O53" s="943">
        <v>3</v>
      </c>
      <c r="P53" s="944"/>
      <c r="Q53" s="945">
        <v>35</v>
      </c>
      <c r="R53" s="946">
        <f t="shared" si="6"/>
        <v>560</v>
      </c>
      <c r="S53" s="945"/>
      <c r="T53" s="947">
        <f t="shared" si="7"/>
        <v>0</v>
      </c>
      <c r="AR53" s="1170">
        <v>16</v>
      </c>
    </row>
    <row r="54" spans="1:45" s="901" customFormat="1" ht="13.2">
      <c r="A54" s="116">
        <v>1</v>
      </c>
      <c r="B54" s="901" t="s">
        <v>141</v>
      </c>
      <c r="D54" s="901" t="s">
        <v>3691</v>
      </c>
      <c r="G54" s="941" t="s">
        <v>3685</v>
      </c>
      <c r="H54" s="942">
        <v>880</v>
      </c>
      <c r="I54" s="901" t="s">
        <v>2607</v>
      </c>
      <c r="O54" s="943">
        <v>3</v>
      </c>
      <c r="P54" s="944"/>
      <c r="Q54" s="945">
        <f>40*31.21</f>
        <v>1248.4000000000001</v>
      </c>
      <c r="R54" s="946">
        <f t="shared" si="6"/>
        <v>1248.4000000000001</v>
      </c>
      <c r="S54" s="945"/>
      <c r="T54" s="947">
        <f t="shared" si="7"/>
        <v>0</v>
      </c>
      <c r="AR54" s="116">
        <v>1</v>
      </c>
    </row>
    <row r="55" spans="1:45" s="520" customFormat="1" ht="12">
      <c r="A55" s="758"/>
      <c r="B55" s="758"/>
      <c r="C55" s="758"/>
      <c r="D55" s="758"/>
      <c r="E55" s="758"/>
      <c r="F55" s="753"/>
      <c r="G55" s="758"/>
      <c r="H55" s="758"/>
      <c r="I55" s="519"/>
      <c r="J55" s="758"/>
      <c r="K55" s="758"/>
      <c r="L55" s="758"/>
      <c r="M55" s="758"/>
      <c r="N55" s="758"/>
      <c r="O55" s="758"/>
      <c r="P55" s="758"/>
      <c r="Q55" s="519"/>
      <c r="R55" s="759">
        <f t="shared" ref="R55" si="8">$A55*Q55</f>
        <v>0</v>
      </c>
      <c r="S55" s="519"/>
      <c r="T55" s="760">
        <f t="shared" ref="T55" si="9">$A55*S55*$T$1</f>
        <v>0</v>
      </c>
      <c r="AR55" s="758"/>
      <c r="AS55" s="753"/>
    </row>
    <row r="56" spans="1:45" s="520" customFormat="1" ht="12.6" thickBot="1">
      <c r="A56" s="761" t="s">
        <v>145</v>
      </c>
      <c r="B56" s="762">
        <f>(R55+T55)</f>
        <v>0</v>
      </c>
      <c r="C56" s="763"/>
      <c r="D56" s="763"/>
      <c r="E56" s="763"/>
      <c r="F56" s="764"/>
      <c r="G56" s="763" t="s">
        <v>146</v>
      </c>
      <c r="H56" s="763"/>
      <c r="I56" s="765"/>
      <c r="J56" s="763"/>
      <c r="K56" s="763" t="s">
        <v>3</v>
      </c>
      <c r="L56" s="766" t="s">
        <v>143</v>
      </c>
      <c r="M56" s="766"/>
      <c r="N56" s="766"/>
      <c r="O56" s="766"/>
      <c r="P56" s="766"/>
      <c r="Q56" s="767"/>
      <c r="R56" s="768">
        <f>SUM(R50:R55)</f>
        <v>3548.4</v>
      </c>
      <c r="S56" s="763"/>
      <c r="T56" s="768">
        <f>SUM(T50:T55)</f>
        <v>0</v>
      </c>
      <c r="U56" s="531"/>
      <c r="V56" s="531"/>
      <c r="W56" s="531"/>
      <c r="X56" s="531"/>
      <c r="Y56" s="531"/>
      <c r="Z56" s="531"/>
      <c r="AA56" s="531"/>
      <c r="AB56" s="531"/>
      <c r="AC56" s="531"/>
      <c r="AD56" s="531"/>
      <c r="AE56" s="531"/>
      <c r="AF56" s="531"/>
      <c r="AG56" s="531"/>
      <c r="AH56" s="531"/>
      <c r="AI56" s="531"/>
      <c r="AJ56" s="531"/>
      <c r="AK56" s="531"/>
      <c r="AL56" s="531"/>
      <c r="AM56" s="531"/>
      <c r="AN56" s="531"/>
      <c r="AO56" s="531"/>
      <c r="AR56" s="761" t="s">
        <v>145</v>
      </c>
      <c r="AS56" s="764"/>
    </row>
    <row r="57" spans="1:45" s="520" customFormat="1" ht="12" thickTop="1">
      <c r="A57" s="51"/>
      <c r="B57" s="41"/>
      <c r="C57" s="51"/>
      <c r="E57" s="42" t="s">
        <v>138</v>
      </c>
      <c r="F57" s="42" t="s">
        <v>139</v>
      </c>
      <c r="G57" s="51"/>
      <c r="H57" s="51"/>
      <c r="I57" s="51"/>
      <c r="J57" s="51"/>
      <c r="K57" s="51" t="s">
        <v>140</v>
      </c>
      <c r="L57" s="51"/>
      <c r="M57" s="51"/>
      <c r="N57" s="51"/>
      <c r="O57" s="52"/>
      <c r="P57" s="51"/>
      <c r="Q57" s="51"/>
      <c r="R57" s="51"/>
      <c r="S57" s="51"/>
      <c r="T57" s="41"/>
      <c r="AG57" s="521" t="s">
        <v>268</v>
      </c>
      <c r="AH57" s="521" t="s">
        <v>269</v>
      </c>
      <c r="AI57" s="521" t="s">
        <v>270</v>
      </c>
      <c r="AJ57" s="521" t="s">
        <v>271</v>
      </c>
      <c r="AK57" s="521" t="s">
        <v>272</v>
      </c>
      <c r="AM57" s="745" t="s">
        <v>281</v>
      </c>
      <c r="AN57" s="746" t="s">
        <v>282</v>
      </c>
      <c r="AO57" s="522" t="s">
        <v>278</v>
      </c>
      <c r="AR57" s="51"/>
      <c r="AS57" s="42" t="s">
        <v>139</v>
      </c>
    </row>
    <row r="58" spans="1:45" s="520" customFormat="1" ht="12" customHeight="1">
      <c r="A58" s="747">
        <v>1</v>
      </c>
      <c r="B58" s="523" t="s">
        <v>299</v>
      </c>
      <c r="C58" s="748"/>
      <c r="D58" s="749" t="s">
        <v>1063</v>
      </c>
      <c r="E58" s="750">
        <f>IF(AND($A58=0,$A$1="DIF"),0, ROUND(ROUND(($R62*$S$2+($T62*$T$2))/A58,2)*$C$2,2))</f>
        <v>0</v>
      </c>
      <c r="F58" s="751">
        <f>ROUND($A58*$E58,2)</f>
        <v>0</v>
      </c>
      <c r="G58" s="752" t="s">
        <v>142</v>
      </c>
      <c r="H58" s="753"/>
      <c r="I58" s="754"/>
      <c r="J58" s="753"/>
      <c r="K58" s="753" t="s">
        <v>3</v>
      </c>
      <c r="L58" s="755" t="s">
        <v>143</v>
      </c>
      <c r="M58" s="755"/>
      <c r="N58" s="755"/>
      <c r="O58" s="755"/>
      <c r="P58" s="755"/>
      <c r="Q58" s="1058" t="s">
        <v>2895</v>
      </c>
      <c r="T58" s="756" t="str">
        <f>IF(AND($R62=0,$T62=0),"0.00","mu :" &amp; ROUND($F58/$C$2/($R62+$T62*$D$9),2))</f>
        <v>0.00</v>
      </c>
      <c r="W58" s="524"/>
      <c r="AG58" s="481">
        <f>IF($E58=0,0,ROUND($R62*$S$2*$C$2/$A58,2))</f>
        <v>0</v>
      </c>
      <c r="AH58" s="481">
        <f>$AG58*$A58</f>
        <v>0</v>
      </c>
      <c r="AI58" s="525">
        <f>$E58-$AG58</f>
        <v>0</v>
      </c>
      <c r="AJ58" s="525">
        <f>$A58*$AI58</f>
        <v>0</v>
      </c>
      <c r="AK58" s="526">
        <f>ROUND(($AG58+$AI58)*$A58,2)</f>
        <v>0</v>
      </c>
      <c r="AM58" s="527">
        <f>ROUND(R62,2)</f>
        <v>0</v>
      </c>
      <c r="AN58" s="528">
        <f>ROUND(T62,2)</f>
        <v>0</v>
      </c>
      <c r="AO58" s="529">
        <f>ROUND(AM58+AN58,2)*A58</f>
        <v>0</v>
      </c>
      <c r="AR58" s="747">
        <v>1</v>
      </c>
      <c r="AS58" s="751">
        <v>0</v>
      </c>
    </row>
    <row r="59" spans="1:45" s="520" customFormat="1" ht="39.9" customHeight="1">
      <c r="A59" s="748"/>
      <c r="B59"/>
      <c r="C59" s="748"/>
      <c r="D59" s="1451" t="s">
        <v>303</v>
      </c>
      <c r="E59" s="1452"/>
      <c r="F59" s="1452"/>
      <c r="G59" s="1452"/>
      <c r="H59" s="1452"/>
      <c r="I59" s="1452"/>
      <c r="J59" s="1452"/>
      <c r="K59" s="1452"/>
      <c r="L59" s="1452"/>
      <c r="M59" s="1452"/>
      <c r="N59" s="1452"/>
      <c r="O59" s="1452"/>
      <c r="P59" s="1452"/>
      <c r="Q59" s="1452"/>
      <c r="R59" s="1452"/>
      <c r="S59" s="1452"/>
      <c r="T59" s="1452"/>
      <c r="AR59" s="748"/>
    </row>
    <row r="60" spans="1:45" s="520" customFormat="1" ht="12">
      <c r="A60" s="51"/>
      <c r="B60" s="758"/>
      <c r="C60" s="758"/>
      <c r="D60" s="758"/>
      <c r="E60" s="758"/>
      <c r="F60" s="753"/>
      <c r="G60" s="758"/>
      <c r="H60" s="758"/>
      <c r="I60" s="519"/>
      <c r="J60" s="758"/>
      <c r="K60" s="758"/>
      <c r="L60" s="758"/>
      <c r="M60" s="758"/>
      <c r="N60" s="758"/>
      <c r="O60" s="758"/>
      <c r="P60" s="758"/>
      <c r="Q60" s="519"/>
      <c r="R60" s="759">
        <f t="shared" ref="R60:R61" si="10">$A60*Q60</f>
        <v>0</v>
      </c>
      <c r="S60" s="519"/>
      <c r="T60" s="760">
        <f t="shared" ref="T60:T61" si="11">$A60*S60*$T$1</f>
        <v>0</v>
      </c>
      <c r="AR60" s="51"/>
      <c r="AS60" s="753"/>
    </row>
    <row r="61" spans="1:45" s="520" customFormat="1" ht="12">
      <c r="A61" s="758"/>
      <c r="B61" s="758"/>
      <c r="C61" s="758"/>
      <c r="D61" s="758"/>
      <c r="E61" s="758"/>
      <c r="F61" s="753"/>
      <c r="G61" s="758"/>
      <c r="H61" s="758"/>
      <c r="I61" s="519"/>
      <c r="J61" s="758"/>
      <c r="K61" s="758"/>
      <c r="L61" s="758"/>
      <c r="M61" s="758"/>
      <c r="N61" s="758"/>
      <c r="O61" s="758"/>
      <c r="P61" s="758"/>
      <c r="Q61" s="519"/>
      <c r="R61" s="759">
        <f t="shared" si="10"/>
        <v>0</v>
      </c>
      <c r="S61" s="519"/>
      <c r="T61" s="760">
        <f t="shared" si="11"/>
        <v>0</v>
      </c>
      <c r="AR61" s="758"/>
      <c r="AS61" s="753"/>
    </row>
    <row r="62" spans="1:45" s="520" customFormat="1" ht="12.6" thickBot="1">
      <c r="A62" s="761" t="s">
        <v>145</v>
      </c>
      <c r="B62" s="762">
        <f>(R61+T61)</f>
        <v>0</v>
      </c>
      <c r="C62" s="763"/>
      <c r="D62" s="763"/>
      <c r="E62" s="763"/>
      <c r="F62" s="764"/>
      <c r="G62" s="763" t="s">
        <v>146</v>
      </c>
      <c r="H62" s="763"/>
      <c r="I62" s="765"/>
      <c r="J62" s="763"/>
      <c r="K62" s="763" t="s">
        <v>3</v>
      </c>
      <c r="L62" s="766" t="s">
        <v>143</v>
      </c>
      <c r="M62" s="766"/>
      <c r="N62" s="766"/>
      <c r="O62" s="766"/>
      <c r="P62" s="766"/>
      <c r="Q62" s="767"/>
      <c r="R62" s="768">
        <f>SUM(R59:R61)</f>
        <v>0</v>
      </c>
      <c r="S62" s="763"/>
      <c r="T62" s="768">
        <f>SUM(T59:T61)</f>
        <v>0</v>
      </c>
      <c r="U62" s="531"/>
      <c r="V62" s="531"/>
      <c r="W62" s="531"/>
      <c r="X62" s="531"/>
      <c r="Y62" s="531"/>
      <c r="Z62" s="531"/>
      <c r="AA62" s="531"/>
      <c r="AB62" s="531"/>
      <c r="AC62" s="531"/>
      <c r="AD62" s="531"/>
      <c r="AE62" s="531"/>
      <c r="AF62" s="531"/>
      <c r="AG62" s="531"/>
      <c r="AH62" s="531"/>
      <c r="AI62" s="531"/>
      <c r="AJ62" s="531"/>
      <c r="AK62" s="531"/>
      <c r="AL62" s="531"/>
      <c r="AM62" s="531"/>
      <c r="AN62" s="531"/>
      <c r="AO62" s="531"/>
      <c r="AR62" s="761" t="s">
        <v>145</v>
      </c>
      <c r="AS62" s="764"/>
    </row>
    <row r="63" spans="1:45" s="520" customFormat="1" ht="12" thickTop="1">
      <c r="A63" s="48" t="s">
        <v>148</v>
      </c>
      <c r="D63" s="13"/>
      <c r="E63" s="42"/>
      <c r="O63" s="771"/>
      <c r="AR63" s="48" t="s">
        <v>148</v>
      </c>
    </row>
    <row r="64" spans="1:45" s="520" customFormat="1" ht="13.2">
      <c r="B64" s="3"/>
      <c r="O64" s="771"/>
    </row>
    <row r="65" spans="1:45" s="520" customFormat="1" ht="12">
      <c r="B65" s="772">
        <f>$F65/$C$2-($R65*$S$2+$T65*$T$2)</f>
        <v>9.5039999996515689E-4</v>
      </c>
      <c r="D65" s="773" t="s">
        <v>3622</v>
      </c>
      <c r="E65" s="774"/>
      <c r="F65" s="775">
        <f>SUMIF($L14:$L63,"ITEM",F14:F63)</f>
        <v>6831.99</v>
      </c>
      <c r="G65" s="758"/>
      <c r="H65" s="758"/>
      <c r="I65" s="519"/>
      <c r="J65" s="758"/>
      <c r="K65" s="758"/>
      <c r="L65" s="755" t="s">
        <v>157</v>
      </c>
      <c r="M65" s="755"/>
      <c r="N65" s="755"/>
      <c r="O65" s="755"/>
      <c r="P65" s="755"/>
      <c r="R65" s="775">
        <f>SUMIF($L14:$L63,"ITEM",R14:R63)</f>
        <v>5548.4</v>
      </c>
      <c r="S65" s="776"/>
      <c r="T65" s="775">
        <f>SUMIF($L14:$L63,"ITEM",T14:T63)</f>
        <v>0</v>
      </c>
      <c r="AS65" s="775">
        <v>6831.99</v>
      </c>
    </row>
    <row r="66" spans="1:45" s="520" customFormat="1" ht="13.2">
      <c r="A66" s="51"/>
      <c r="B66" s="49" t="s">
        <v>1064</v>
      </c>
      <c r="C66" s="51"/>
      <c r="D66" s="3"/>
      <c r="F66" s="777" t="s">
        <v>158</v>
      </c>
      <c r="G66" s="758"/>
      <c r="H66" s="758"/>
      <c r="I66" s="519"/>
      <c r="J66" s="758"/>
      <c r="K66" s="758"/>
      <c r="L66" s="758"/>
      <c r="M66" s="758"/>
      <c r="N66" s="758"/>
      <c r="O66" s="758"/>
      <c r="P66" s="758"/>
      <c r="Q66" s="778"/>
      <c r="R66" s="777" t="s">
        <v>159</v>
      </c>
      <c r="S66" s="38"/>
      <c r="T66" s="777" t="s">
        <v>160</v>
      </c>
      <c r="AR66" s="51"/>
      <c r="AS66" s="777" t="s">
        <v>158</v>
      </c>
    </row>
    <row r="67" spans="1:45" s="520" customFormat="1" ht="13.2">
      <c r="A67" s="758"/>
      <c r="B67" s="3"/>
      <c r="C67" s="758"/>
      <c r="D67" s="3"/>
      <c r="E67" s="3"/>
      <c r="G67" s="3"/>
      <c r="H67" s="3"/>
      <c r="I67" s="3"/>
      <c r="J67" s="3"/>
      <c r="K67" s="3"/>
      <c r="L67" s="3"/>
      <c r="M67" s="3"/>
      <c r="N67" s="3"/>
      <c r="O67" s="107"/>
      <c r="P67" s="3"/>
      <c r="Q67" s="3"/>
      <c r="R67" s="3"/>
      <c r="S67" s="3"/>
      <c r="T67" s="3"/>
      <c r="AR67" s="758"/>
    </row>
    <row r="68" spans="1:45" s="520" customFormat="1" ht="12" thickBot="1">
      <c r="A68" s="531"/>
      <c r="B68" s="763"/>
      <c r="C68" s="763"/>
      <c r="D68" s="531"/>
      <c r="E68" s="39"/>
      <c r="F68" s="779"/>
      <c r="G68" s="763"/>
      <c r="H68" s="763"/>
      <c r="I68" s="765"/>
      <c r="J68" s="763"/>
      <c r="K68" s="763"/>
      <c r="L68" s="766"/>
      <c r="M68" s="766"/>
      <c r="N68" s="766"/>
      <c r="O68" s="766"/>
      <c r="P68" s="766"/>
      <c r="Q68" s="767"/>
      <c r="R68" s="779"/>
      <c r="S68" s="780"/>
      <c r="T68" s="779"/>
      <c r="U68" s="531"/>
      <c r="V68" s="531"/>
      <c r="W68" s="531"/>
      <c r="X68" s="531"/>
      <c r="Y68" s="531"/>
      <c r="Z68" s="531"/>
      <c r="AA68" s="531"/>
      <c r="AB68" s="531"/>
      <c r="AC68" s="531"/>
      <c r="AD68" s="531"/>
      <c r="AE68" s="531"/>
      <c r="AF68" s="531"/>
      <c r="AG68" s="531"/>
      <c r="AH68" s="531"/>
      <c r="AI68" s="531"/>
      <c r="AJ68" s="531"/>
      <c r="AK68" s="531"/>
      <c r="AR68" s="531"/>
      <c r="AS68" s="779"/>
    </row>
    <row r="69" spans="1:45" s="520" customFormat="1" ht="12" thickTop="1">
      <c r="A69" s="51"/>
      <c r="B69" s="41"/>
      <c r="C69" s="51"/>
      <c r="E69" s="42" t="s">
        <v>138</v>
      </c>
      <c r="F69" s="42" t="s">
        <v>139</v>
      </c>
      <c r="G69" s="51"/>
      <c r="H69" s="51"/>
      <c r="I69" s="51"/>
      <c r="J69" s="51"/>
      <c r="K69" s="51" t="s">
        <v>140</v>
      </c>
      <c r="L69" s="51"/>
      <c r="M69" s="51"/>
      <c r="N69" s="51"/>
      <c r="O69" s="52"/>
      <c r="P69" s="51"/>
      <c r="Q69" s="51"/>
      <c r="R69" s="51"/>
      <c r="S69" s="51"/>
      <c r="T69" s="41"/>
      <c r="AG69" s="521" t="s">
        <v>268</v>
      </c>
      <c r="AH69" s="521" t="s">
        <v>269</v>
      </c>
      <c r="AI69" s="521" t="s">
        <v>270</v>
      </c>
      <c r="AJ69" s="521" t="s">
        <v>271</v>
      </c>
      <c r="AK69" s="521" t="s">
        <v>272</v>
      </c>
      <c r="AM69" s="745" t="s">
        <v>281</v>
      </c>
      <c r="AN69" s="746" t="s">
        <v>282</v>
      </c>
      <c r="AO69" s="522" t="s">
        <v>278</v>
      </c>
      <c r="AR69" s="51"/>
      <c r="AS69" s="42" t="s">
        <v>139</v>
      </c>
    </row>
    <row r="70" spans="1:45" s="520" customFormat="1" ht="12" customHeight="1">
      <c r="A70" s="747">
        <v>1</v>
      </c>
      <c r="B70" s="523" t="s">
        <v>299</v>
      </c>
      <c r="C70" s="748"/>
      <c r="D70" s="749" t="s">
        <v>1066</v>
      </c>
      <c r="E70" s="750">
        <f>IF(AND($A70=0,$A$1="DIF"),0, ROUND(ROUND(($R74*$S$2+($T74*$T$2))/A70,2)*$C$2,2))</f>
        <v>0</v>
      </c>
      <c r="F70" s="751">
        <f>ROUND($A70*$E70,2)</f>
        <v>0</v>
      </c>
      <c r="G70" s="752" t="s">
        <v>142</v>
      </c>
      <c r="H70" s="753"/>
      <c r="I70" s="754"/>
      <c r="J70" s="753"/>
      <c r="K70" s="753" t="s">
        <v>3</v>
      </c>
      <c r="L70" s="755" t="s">
        <v>143</v>
      </c>
      <c r="M70" s="755"/>
      <c r="N70" s="755"/>
      <c r="O70" s="755"/>
      <c r="P70" s="755"/>
      <c r="Q70" s="1058" t="s">
        <v>2895</v>
      </c>
      <c r="T70" s="756" t="str">
        <f>IF(AND($R74=0,$T74=0),"0.00","mu :" &amp; ROUND($F70/$C$2/($R74+$T74*$D$9),2))</f>
        <v>0.00</v>
      </c>
      <c r="W70" s="524"/>
      <c r="AG70" s="481">
        <f>IF($E70=0,0,ROUND($R74*$S$2*$C$2/$A70,2))</f>
        <v>0</v>
      </c>
      <c r="AH70" s="481">
        <f>$AG70*$A70</f>
        <v>0</v>
      </c>
      <c r="AI70" s="525">
        <f>$E70-$AG70</f>
        <v>0</v>
      </c>
      <c r="AJ70" s="525">
        <f>$A70*$AI70</f>
        <v>0</v>
      </c>
      <c r="AK70" s="526">
        <f>ROUND(($AG70+$AI70)*$A70,2)</f>
        <v>0</v>
      </c>
      <c r="AM70" s="527">
        <f>ROUND(R74,2)</f>
        <v>0</v>
      </c>
      <c r="AN70" s="528">
        <f>ROUND(T74,2)</f>
        <v>0</v>
      </c>
      <c r="AO70" s="529">
        <f>ROUND(AM70+AN70,2)*A70</f>
        <v>0</v>
      </c>
      <c r="AR70" s="747">
        <v>1</v>
      </c>
      <c r="AS70" s="751">
        <v>0</v>
      </c>
    </row>
    <row r="71" spans="1:45" s="520" customFormat="1" ht="39.9" customHeight="1">
      <c r="A71" s="748"/>
      <c r="B71"/>
      <c r="C71" s="748"/>
      <c r="D71" s="1451" t="s">
        <v>306</v>
      </c>
      <c r="E71" s="1452"/>
      <c r="F71" s="1452"/>
      <c r="G71" s="1452"/>
      <c r="H71" s="1452"/>
      <c r="I71" s="1452"/>
      <c r="J71" s="1452"/>
      <c r="K71" s="1452"/>
      <c r="L71" s="1452"/>
      <c r="M71" s="1452"/>
      <c r="N71" s="1452"/>
      <c r="O71" s="1452"/>
      <c r="P71" s="1452"/>
      <c r="Q71" s="1452"/>
      <c r="R71" s="1452"/>
      <c r="S71" s="1452"/>
      <c r="T71" s="1452"/>
      <c r="AR71" s="748"/>
    </row>
    <row r="72" spans="1:45" s="520" customFormat="1" ht="12">
      <c r="A72" s="51"/>
      <c r="B72" s="758"/>
      <c r="C72" s="758"/>
      <c r="D72" s="758"/>
      <c r="E72" s="758"/>
      <c r="F72" s="753"/>
      <c r="G72" s="758"/>
      <c r="H72" s="758"/>
      <c r="I72" s="519"/>
      <c r="J72" s="758"/>
      <c r="K72" s="758"/>
      <c r="L72" s="758"/>
      <c r="M72" s="758"/>
      <c r="N72" s="758"/>
      <c r="O72" s="758"/>
      <c r="P72" s="758"/>
      <c r="Q72" s="519"/>
      <c r="R72" s="759">
        <f t="shared" ref="R72:R73" si="12">$A72*Q72</f>
        <v>0</v>
      </c>
      <c r="S72" s="519"/>
      <c r="T72" s="760">
        <f t="shared" ref="T72:T73" si="13">$A72*S72*$T$1</f>
        <v>0</v>
      </c>
      <c r="AR72" s="51"/>
      <c r="AS72" s="753"/>
    </row>
    <row r="73" spans="1:45" s="520" customFormat="1" ht="12">
      <c r="A73" s="758"/>
      <c r="B73" s="758"/>
      <c r="C73" s="758"/>
      <c r="D73" s="758"/>
      <c r="E73" s="758"/>
      <c r="F73" s="753"/>
      <c r="G73" s="758"/>
      <c r="H73" s="758"/>
      <c r="I73" s="519"/>
      <c r="J73" s="758"/>
      <c r="K73" s="758"/>
      <c r="L73" s="758"/>
      <c r="M73" s="758"/>
      <c r="N73" s="758"/>
      <c r="O73" s="758"/>
      <c r="P73" s="758"/>
      <c r="Q73" s="519"/>
      <c r="R73" s="759">
        <f t="shared" si="12"/>
        <v>0</v>
      </c>
      <c r="S73" s="519"/>
      <c r="T73" s="760">
        <f t="shared" si="13"/>
        <v>0</v>
      </c>
      <c r="AR73" s="758"/>
      <c r="AS73" s="753"/>
    </row>
    <row r="74" spans="1:45" s="520" customFormat="1" ht="12.6" thickBot="1">
      <c r="A74" s="761" t="s">
        <v>145</v>
      </c>
      <c r="B74" s="762">
        <f>(R73+T73)</f>
        <v>0</v>
      </c>
      <c r="C74" s="763"/>
      <c r="D74" s="763"/>
      <c r="E74" s="763"/>
      <c r="F74" s="764"/>
      <c r="G74" s="763" t="s">
        <v>146</v>
      </c>
      <c r="H74" s="763"/>
      <c r="I74" s="765"/>
      <c r="J74" s="763"/>
      <c r="K74" s="763" t="s">
        <v>3</v>
      </c>
      <c r="L74" s="766" t="s">
        <v>143</v>
      </c>
      <c r="M74" s="766"/>
      <c r="N74" s="766"/>
      <c r="O74" s="766"/>
      <c r="P74" s="766"/>
      <c r="Q74" s="767"/>
      <c r="R74" s="768">
        <f>SUM(R71:R73)</f>
        <v>0</v>
      </c>
      <c r="S74" s="763"/>
      <c r="T74" s="768">
        <f>SUM(T71:T73)</f>
        <v>0</v>
      </c>
      <c r="U74" s="531"/>
      <c r="V74" s="531"/>
      <c r="W74" s="531"/>
      <c r="X74" s="531"/>
      <c r="Y74" s="531"/>
      <c r="Z74" s="531"/>
      <c r="AA74" s="531"/>
      <c r="AB74" s="531"/>
      <c r="AC74" s="531"/>
      <c r="AD74" s="531"/>
      <c r="AE74" s="531"/>
      <c r="AF74" s="531"/>
      <c r="AG74" s="531"/>
      <c r="AH74" s="531"/>
      <c r="AI74" s="531"/>
      <c r="AJ74" s="531"/>
      <c r="AK74" s="531"/>
      <c r="AL74" s="531"/>
      <c r="AM74" s="531"/>
      <c r="AN74" s="531"/>
      <c r="AO74" s="531"/>
      <c r="AR74" s="761" t="s">
        <v>145</v>
      </c>
      <c r="AS74" s="764"/>
    </row>
    <row r="75" spans="1:45" s="520" customFormat="1" ht="12" thickTop="1">
      <c r="A75" s="51"/>
      <c r="B75" s="41"/>
      <c r="C75" s="51"/>
      <c r="E75" s="42" t="s">
        <v>138</v>
      </c>
      <c r="F75" s="42" t="s">
        <v>139</v>
      </c>
      <c r="G75" s="51"/>
      <c r="H75" s="51"/>
      <c r="I75" s="51"/>
      <c r="J75" s="51"/>
      <c r="K75" s="51" t="s">
        <v>140</v>
      </c>
      <c r="L75" s="51"/>
      <c r="M75" s="51"/>
      <c r="N75" s="51"/>
      <c r="O75" s="52"/>
      <c r="P75" s="51"/>
      <c r="Q75" s="51"/>
      <c r="R75" s="51"/>
      <c r="S75" s="51"/>
      <c r="T75" s="41"/>
      <c r="AG75" s="521" t="s">
        <v>268</v>
      </c>
      <c r="AH75" s="521" t="s">
        <v>269</v>
      </c>
      <c r="AI75" s="521" t="s">
        <v>270</v>
      </c>
      <c r="AJ75" s="521" t="s">
        <v>271</v>
      </c>
      <c r="AK75" s="521" t="s">
        <v>272</v>
      </c>
      <c r="AM75" s="745" t="s">
        <v>281</v>
      </c>
      <c r="AN75" s="746" t="s">
        <v>282</v>
      </c>
      <c r="AO75" s="522" t="s">
        <v>278</v>
      </c>
      <c r="AR75" s="51"/>
      <c r="AS75" s="42" t="s">
        <v>139</v>
      </c>
    </row>
    <row r="76" spans="1:45" s="520" customFormat="1" ht="12" customHeight="1">
      <c r="A76" s="747">
        <v>1</v>
      </c>
      <c r="B76" s="523" t="s">
        <v>299</v>
      </c>
      <c r="C76" s="748"/>
      <c r="D76" s="749" t="s">
        <v>1067</v>
      </c>
      <c r="E76" s="750">
        <f>IF(AND($A76=0,$A$1="DIF"),0, ROUND(ROUND(($R80*$S$2+($T80*$T$2))/A76,2)*$C$2,2))</f>
        <v>0</v>
      </c>
      <c r="F76" s="751">
        <f>ROUND($A76*$E76,2)</f>
        <v>0</v>
      </c>
      <c r="G76" s="752" t="s">
        <v>142</v>
      </c>
      <c r="H76" s="753"/>
      <c r="I76" s="754"/>
      <c r="J76" s="753"/>
      <c r="K76" s="753" t="s">
        <v>3</v>
      </c>
      <c r="L76" s="755" t="s">
        <v>143</v>
      </c>
      <c r="M76" s="755"/>
      <c r="N76" s="755"/>
      <c r="O76" s="755"/>
      <c r="P76" s="755"/>
      <c r="Q76" s="1058" t="s">
        <v>3692</v>
      </c>
      <c r="T76" s="756" t="str">
        <f>IF(AND($R80=0,$T80=0),"0.00","mu :" &amp; ROUND($F76/$C$2/($R80+$T80*$D$9),2))</f>
        <v>0.00</v>
      </c>
      <c r="W76" s="524"/>
      <c r="AG76" s="481">
        <f>IF($E76=0,0,ROUND($R80*$S$2*$C$2/$A76,2))</f>
        <v>0</v>
      </c>
      <c r="AH76" s="481">
        <f>$AG76*$A76</f>
        <v>0</v>
      </c>
      <c r="AI76" s="525">
        <f>$E76-$AG76</f>
        <v>0</v>
      </c>
      <c r="AJ76" s="525">
        <f>$A76*$AI76</f>
        <v>0</v>
      </c>
      <c r="AK76" s="526">
        <f>ROUND(($AG76+$AI76)*$A76,2)</f>
        <v>0</v>
      </c>
      <c r="AM76" s="527">
        <f>ROUND(R80,2)</f>
        <v>0</v>
      </c>
      <c r="AN76" s="528">
        <f>ROUND(T80,2)</f>
        <v>0</v>
      </c>
      <c r="AO76" s="529">
        <f>ROUND(AM76+AN76,2)*A76</f>
        <v>0</v>
      </c>
      <c r="AR76" s="747">
        <v>1</v>
      </c>
      <c r="AS76" s="751">
        <v>0</v>
      </c>
    </row>
    <row r="77" spans="1:45" s="520" customFormat="1" ht="39.9" customHeight="1">
      <c r="A77" s="748"/>
      <c r="B77"/>
      <c r="C77" s="748"/>
      <c r="D77" s="1451" t="s">
        <v>307</v>
      </c>
      <c r="E77" s="1452"/>
      <c r="F77" s="1452"/>
      <c r="G77" s="1452"/>
      <c r="H77" s="1452"/>
      <c r="I77" s="1452"/>
      <c r="J77" s="1452"/>
      <c r="K77" s="1452"/>
      <c r="L77" s="1452"/>
      <c r="M77" s="1452"/>
      <c r="N77" s="1452"/>
      <c r="O77" s="1452"/>
      <c r="P77" s="1452"/>
      <c r="Q77" s="1452"/>
      <c r="R77" s="1452"/>
      <c r="S77" s="1452"/>
      <c r="T77" s="1452"/>
      <c r="AR77" s="748"/>
    </row>
    <row r="78" spans="1:45" s="520" customFormat="1" ht="12">
      <c r="A78" s="51"/>
      <c r="B78" s="758"/>
      <c r="C78" s="758"/>
      <c r="D78" s="758"/>
      <c r="E78" s="758"/>
      <c r="F78" s="753"/>
      <c r="G78" s="758"/>
      <c r="H78" s="758"/>
      <c r="I78" s="519"/>
      <c r="J78" s="758"/>
      <c r="K78" s="758"/>
      <c r="L78" s="758"/>
      <c r="M78" s="758"/>
      <c r="N78" s="758"/>
      <c r="O78" s="758"/>
      <c r="P78" s="758"/>
      <c r="Q78" s="519"/>
      <c r="R78" s="759">
        <f t="shared" ref="R78:R79" si="14">$A78*Q78</f>
        <v>0</v>
      </c>
      <c r="S78" s="519"/>
      <c r="T78" s="760">
        <f t="shared" ref="T78:T79" si="15">$A78*S78*$T$1</f>
        <v>0</v>
      </c>
      <c r="AR78" s="51"/>
      <c r="AS78" s="753"/>
    </row>
    <row r="79" spans="1:45" s="520" customFormat="1" ht="12">
      <c r="A79" s="758"/>
      <c r="B79" s="758"/>
      <c r="C79" s="758"/>
      <c r="D79" s="758"/>
      <c r="E79" s="758"/>
      <c r="F79" s="753"/>
      <c r="G79" s="758"/>
      <c r="H79" s="758"/>
      <c r="I79" s="519"/>
      <c r="J79" s="758"/>
      <c r="K79" s="758"/>
      <c r="L79" s="758"/>
      <c r="M79" s="758"/>
      <c r="N79" s="758"/>
      <c r="O79" s="758"/>
      <c r="P79" s="758"/>
      <c r="Q79" s="519"/>
      <c r="R79" s="759">
        <f t="shared" si="14"/>
        <v>0</v>
      </c>
      <c r="S79" s="519"/>
      <c r="T79" s="760">
        <f t="shared" si="15"/>
        <v>0</v>
      </c>
      <c r="AR79" s="758"/>
      <c r="AS79" s="753"/>
    </row>
    <row r="80" spans="1:45" s="520" customFormat="1" ht="12.6" thickBot="1">
      <c r="A80" s="761" t="s">
        <v>145</v>
      </c>
      <c r="B80" s="762">
        <f>(R79+T79)</f>
        <v>0</v>
      </c>
      <c r="C80" s="763"/>
      <c r="D80" s="763"/>
      <c r="E80" s="763"/>
      <c r="F80" s="764"/>
      <c r="G80" s="763" t="s">
        <v>146</v>
      </c>
      <c r="H80" s="763"/>
      <c r="I80" s="765"/>
      <c r="J80" s="763"/>
      <c r="K80" s="763" t="s">
        <v>3</v>
      </c>
      <c r="L80" s="766" t="s">
        <v>143</v>
      </c>
      <c r="M80" s="766"/>
      <c r="N80" s="766"/>
      <c r="O80" s="766"/>
      <c r="P80" s="766"/>
      <c r="Q80" s="767"/>
      <c r="R80" s="768">
        <f>SUM(R77:R79)</f>
        <v>0</v>
      </c>
      <c r="S80" s="763"/>
      <c r="T80" s="768">
        <f>SUM(T77:T79)</f>
        <v>0</v>
      </c>
      <c r="U80" s="531"/>
      <c r="V80" s="531"/>
      <c r="W80" s="531"/>
      <c r="X80" s="531"/>
      <c r="Y80" s="531"/>
      <c r="Z80" s="531"/>
      <c r="AA80" s="531"/>
      <c r="AB80" s="531"/>
      <c r="AC80" s="531"/>
      <c r="AD80" s="531"/>
      <c r="AE80" s="531"/>
      <c r="AF80" s="531"/>
      <c r="AG80" s="531"/>
      <c r="AH80" s="531"/>
      <c r="AI80" s="531"/>
      <c r="AJ80" s="531"/>
      <c r="AK80" s="531"/>
      <c r="AL80" s="531"/>
      <c r="AM80" s="531"/>
      <c r="AN80" s="531"/>
      <c r="AO80" s="531"/>
      <c r="AR80" s="761" t="s">
        <v>145</v>
      </c>
      <c r="AS80" s="764"/>
    </row>
    <row r="81" spans="1:45" s="520" customFormat="1" ht="12" thickTop="1">
      <c r="A81" s="51"/>
      <c r="B81" s="41"/>
      <c r="C81" s="51"/>
      <c r="E81" s="42" t="s">
        <v>138</v>
      </c>
      <c r="F81" s="42" t="s">
        <v>139</v>
      </c>
      <c r="G81" s="51"/>
      <c r="H81" s="51"/>
      <c r="I81" s="51"/>
      <c r="J81" s="51"/>
      <c r="K81" s="51" t="s">
        <v>140</v>
      </c>
      <c r="L81" s="51"/>
      <c r="M81" s="51"/>
      <c r="N81" s="51"/>
      <c r="O81" s="52"/>
      <c r="P81" s="51"/>
      <c r="Q81" s="51"/>
      <c r="R81" s="51"/>
      <c r="S81" s="51"/>
      <c r="T81" s="41"/>
      <c r="AG81" s="521" t="s">
        <v>268</v>
      </c>
      <c r="AH81" s="521" t="s">
        <v>269</v>
      </c>
      <c r="AI81" s="521" t="s">
        <v>270</v>
      </c>
      <c r="AJ81" s="521" t="s">
        <v>271</v>
      </c>
      <c r="AK81" s="521" t="s">
        <v>272</v>
      </c>
      <c r="AM81" s="745" t="s">
        <v>281</v>
      </c>
      <c r="AN81" s="746" t="s">
        <v>282</v>
      </c>
      <c r="AO81" s="522" t="s">
        <v>278</v>
      </c>
      <c r="AR81" s="51"/>
      <c r="AS81" s="42" t="s">
        <v>139</v>
      </c>
    </row>
    <row r="82" spans="1:45" s="520" customFormat="1" ht="12" customHeight="1">
      <c r="A82" s="747">
        <v>1</v>
      </c>
      <c r="B82" s="523" t="s">
        <v>299</v>
      </c>
      <c r="C82" s="748"/>
      <c r="D82" s="749" t="s">
        <v>1068</v>
      </c>
      <c r="E82" s="750">
        <f>IF(AND($A82=0,$A$1="DIF"),0, ROUND(ROUND(($R86*$S$2+($T86*$T$2))/A82,2)*$C$2,2))</f>
        <v>0</v>
      </c>
      <c r="F82" s="751">
        <f>ROUND($A82*$E82,2)</f>
        <v>0</v>
      </c>
      <c r="G82" s="752" t="s">
        <v>142</v>
      </c>
      <c r="H82" s="753"/>
      <c r="I82" s="754"/>
      <c r="J82" s="753"/>
      <c r="K82" s="753" t="s">
        <v>3</v>
      </c>
      <c r="L82" s="755" t="s">
        <v>143</v>
      </c>
      <c r="M82" s="755"/>
      <c r="N82" s="755"/>
      <c r="O82" s="755"/>
      <c r="P82" s="755"/>
      <c r="Q82" s="1058" t="s">
        <v>3693</v>
      </c>
      <c r="T82" s="756" t="str">
        <f>IF(AND($R86=0,$T86=0),"0.00","mu :" &amp; ROUND($F82/$C$2/($R86+$T86*$D$9),2))</f>
        <v>0.00</v>
      </c>
      <c r="W82" s="524"/>
      <c r="AG82" s="481">
        <f>IF($E82=0,0,ROUND($R86*$S$2*$C$2/$A82,2))</f>
        <v>0</v>
      </c>
      <c r="AH82" s="481">
        <f>$AG82*$A82</f>
        <v>0</v>
      </c>
      <c r="AI82" s="525">
        <f>$E82-$AG82</f>
        <v>0</v>
      </c>
      <c r="AJ82" s="525">
        <f>$A82*$AI82</f>
        <v>0</v>
      </c>
      <c r="AK82" s="526">
        <f>ROUND(($AG82+$AI82)*$A82,2)</f>
        <v>0</v>
      </c>
      <c r="AM82" s="527">
        <f>ROUND(R86,2)</f>
        <v>0</v>
      </c>
      <c r="AN82" s="528">
        <f>ROUND(T86,2)</f>
        <v>0</v>
      </c>
      <c r="AO82" s="529">
        <f>ROUND(AM82+AN82,2)*A82</f>
        <v>0</v>
      </c>
      <c r="AR82" s="747">
        <v>1</v>
      </c>
      <c r="AS82" s="751">
        <v>0</v>
      </c>
    </row>
    <row r="83" spans="1:45" s="520" customFormat="1" ht="39.9" customHeight="1">
      <c r="A83" s="748"/>
      <c r="B83"/>
      <c r="C83" s="748"/>
      <c r="D83" s="1451" t="s">
        <v>308</v>
      </c>
      <c r="E83" s="1452"/>
      <c r="F83" s="1452"/>
      <c r="G83" s="1452"/>
      <c r="H83" s="1452"/>
      <c r="I83" s="1452"/>
      <c r="J83" s="1452"/>
      <c r="K83" s="1452"/>
      <c r="L83" s="1452"/>
      <c r="M83" s="1452"/>
      <c r="N83" s="1452"/>
      <c r="O83" s="1452"/>
      <c r="P83" s="1452"/>
      <c r="Q83" s="1452"/>
      <c r="R83" s="1452"/>
      <c r="S83" s="1452"/>
      <c r="T83" s="1452"/>
      <c r="AR83" s="748"/>
    </row>
    <row r="84" spans="1:45" s="520" customFormat="1" ht="12">
      <c r="A84" s="51"/>
      <c r="B84" s="758"/>
      <c r="C84" s="758"/>
      <c r="D84" s="758"/>
      <c r="E84" s="758"/>
      <c r="F84" s="753"/>
      <c r="G84" s="758"/>
      <c r="H84" s="758"/>
      <c r="I84" s="519"/>
      <c r="J84" s="758"/>
      <c r="K84" s="758"/>
      <c r="L84" s="758"/>
      <c r="M84" s="758"/>
      <c r="N84" s="758"/>
      <c r="O84" s="758"/>
      <c r="P84" s="758"/>
      <c r="Q84" s="519"/>
      <c r="R84" s="759">
        <f t="shared" ref="R84:R85" si="16">$A84*Q84</f>
        <v>0</v>
      </c>
      <c r="S84" s="519"/>
      <c r="T84" s="760">
        <f t="shared" ref="T84:T85" si="17">$A84*S84*$T$1</f>
        <v>0</v>
      </c>
      <c r="AR84" s="51"/>
      <c r="AS84" s="753"/>
    </row>
    <row r="85" spans="1:45" s="520" customFormat="1" ht="12">
      <c r="A85" s="758"/>
      <c r="B85" s="758"/>
      <c r="C85" s="758"/>
      <c r="D85" s="758"/>
      <c r="E85" s="758"/>
      <c r="F85" s="753"/>
      <c r="G85" s="758"/>
      <c r="H85" s="758"/>
      <c r="I85" s="519"/>
      <c r="J85" s="758"/>
      <c r="K85" s="758"/>
      <c r="L85" s="758"/>
      <c r="M85" s="758"/>
      <c r="N85" s="758"/>
      <c r="O85" s="758"/>
      <c r="P85" s="758"/>
      <c r="Q85" s="519"/>
      <c r="R85" s="759">
        <f t="shared" si="16"/>
        <v>0</v>
      </c>
      <c r="S85" s="519"/>
      <c r="T85" s="760">
        <f t="shared" si="17"/>
        <v>0</v>
      </c>
      <c r="AR85" s="758"/>
      <c r="AS85" s="753"/>
    </row>
    <row r="86" spans="1:45" s="520" customFormat="1" ht="12.6" thickBot="1">
      <c r="A86" s="761" t="s">
        <v>145</v>
      </c>
      <c r="B86" s="762">
        <f>(R85+T85)</f>
        <v>0</v>
      </c>
      <c r="C86" s="763"/>
      <c r="D86" s="763"/>
      <c r="E86" s="763"/>
      <c r="F86" s="764"/>
      <c r="G86" s="763" t="s">
        <v>146</v>
      </c>
      <c r="H86" s="763"/>
      <c r="I86" s="765"/>
      <c r="J86" s="763"/>
      <c r="K86" s="763" t="s">
        <v>3</v>
      </c>
      <c r="L86" s="766" t="s">
        <v>143</v>
      </c>
      <c r="M86" s="766"/>
      <c r="N86" s="766"/>
      <c r="O86" s="766"/>
      <c r="P86" s="766"/>
      <c r="Q86" s="767"/>
      <c r="R86" s="768">
        <f>SUM(R83:R85)</f>
        <v>0</v>
      </c>
      <c r="S86" s="763"/>
      <c r="T86" s="768">
        <f>SUM(T83:T85)</f>
        <v>0</v>
      </c>
      <c r="U86" s="531"/>
      <c r="V86" s="531"/>
      <c r="W86" s="531"/>
      <c r="X86" s="531"/>
      <c r="Y86" s="531"/>
      <c r="Z86" s="531"/>
      <c r="AA86" s="531"/>
      <c r="AB86" s="531"/>
      <c r="AC86" s="531"/>
      <c r="AD86" s="531"/>
      <c r="AE86" s="531"/>
      <c r="AF86" s="531"/>
      <c r="AG86" s="531"/>
      <c r="AH86" s="531"/>
      <c r="AI86" s="531"/>
      <c r="AJ86" s="531"/>
      <c r="AK86" s="531"/>
      <c r="AL86" s="531"/>
      <c r="AM86" s="531"/>
      <c r="AN86" s="531"/>
      <c r="AO86" s="531"/>
      <c r="AR86" s="761" t="s">
        <v>145</v>
      </c>
      <c r="AS86" s="764"/>
    </row>
    <row r="87" spans="1:45" s="520" customFormat="1" ht="12" thickTop="1">
      <c r="A87" s="51"/>
      <c r="B87" s="41"/>
      <c r="C87" s="51"/>
      <c r="E87" s="42" t="s">
        <v>138</v>
      </c>
      <c r="F87" s="42" t="s">
        <v>139</v>
      </c>
      <c r="G87" s="51"/>
      <c r="H87" s="51"/>
      <c r="I87" s="51"/>
      <c r="J87" s="51"/>
      <c r="K87" s="51" t="s">
        <v>140</v>
      </c>
      <c r="L87" s="51"/>
      <c r="M87" s="51"/>
      <c r="N87" s="51"/>
      <c r="O87" s="52"/>
      <c r="P87" s="51"/>
      <c r="Q87" s="51"/>
      <c r="R87" s="51"/>
      <c r="S87" s="51"/>
      <c r="T87" s="41"/>
      <c r="AG87" s="521" t="s">
        <v>268</v>
      </c>
      <c r="AH87" s="521" t="s">
        <v>269</v>
      </c>
      <c r="AI87" s="521" t="s">
        <v>270</v>
      </c>
      <c r="AJ87" s="521" t="s">
        <v>271</v>
      </c>
      <c r="AK87" s="521" t="s">
        <v>272</v>
      </c>
      <c r="AM87" s="745" t="s">
        <v>281</v>
      </c>
      <c r="AN87" s="746" t="s">
        <v>282</v>
      </c>
      <c r="AO87" s="522" t="s">
        <v>278</v>
      </c>
      <c r="AR87" s="51"/>
      <c r="AS87" s="42" t="s">
        <v>139</v>
      </c>
    </row>
    <row r="88" spans="1:45" s="520" customFormat="1" ht="12" customHeight="1">
      <c r="A88" s="747">
        <v>1</v>
      </c>
      <c r="B88" s="523" t="s">
        <v>299</v>
      </c>
      <c r="C88" s="748"/>
      <c r="D88" s="749" t="s">
        <v>1069</v>
      </c>
      <c r="E88" s="750">
        <f>IF(AND($A88=0,$A$1="DIF"),0, ROUND(ROUND(($R92*$S$2+($T92*$T$2))/A88,2)*$C$2,2))</f>
        <v>4320.24</v>
      </c>
      <c r="F88" s="751">
        <f>ROUND($A88*$E88,2)</f>
        <v>4320.24</v>
      </c>
      <c r="G88" s="752" t="s">
        <v>142</v>
      </c>
      <c r="H88" s="753"/>
      <c r="I88" s="754"/>
      <c r="J88" s="753"/>
      <c r="K88" s="753" t="s">
        <v>3</v>
      </c>
      <c r="L88" s="755" t="s">
        <v>143</v>
      </c>
      <c r="M88" s="755"/>
      <c r="N88" s="755"/>
      <c r="O88" s="755"/>
      <c r="P88" s="755"/>
      <c r="Q88" s="51"/>
      <c r="T88" s="756" t="str">
        <f>IF(AND($R92=0,$T92=0),"0.00","mu :" &amp; ROUND($F88/$C$2/($R92+$T92*$D$9),2))</f>
        <v>mu :1.23</v>
      </c>
      <c r="W88" s="524"/>
      <c r="AG88" s="481">
        <f>IF($E88=0,0,ROUND($R92*$S$2*$C$2/$A88,2))</f>
        <v>3102.99</v>
      </c>
      <c r="AH88" s="481">
        <f>$AG88*$A88</f>
        <v>3102.99</v>
      </c>
      <c r="AI88" s="525">
        <f>$E88-$AG88</f>
        <v>1217.25</v>
      </c>
      <c r="AJ88" s="525">
        <f>$A88*$AI88</f>
        <v>1217.25</v>
      </c>
      <c r="AK88" s="526">
        <f>ROUND(($AG88+$AI88)*$A88,2)</f>
        <v>4320.24</v>
      </c>
      <c r="AM88" s="527">
        <f>ROUND(R92,2)</f>
        <v>2520</v>
      </c>
      <c r="AN88" s="528">
        <f>ROUND(T92,2)</f>
        <v>36</v>
      </c>
      <c r="AO88" s="529">
        <f>ROUND(AM88+AN88,2)*A88</f>
        <v>2556</v>
      </c>
      <c r="AR88" s="747">
        <v>1</v>
      </c>
      <c r="AS88" s="751">
        <v>4455.5</v>
      </c>
    </row>
    <row r="89" spans="1:45" s="520" customFormat="1" ht="39.9" customHeight="1">
      <c r="A89" s="748"/>
      <c r="B89"/>
      <c r="C89" s="748"/>
      <c r="D89" s="1451" t="s">
        <v>309</v>
      </c>
      <c r="E89" s="1452"/>
      <c r="F89" s="1452"/>
      <c r="G89" s="1452"/>
      <c r="H89" s="1452"/>
      <c r="I89" s="1452"/>
      <c r="J89" s="1452"/>
      <c r="K89" s="1452"/>
      <c r="L89" s="1452"/>
      <c r="M89" s="1452"/>
      <c r="N89" s="1452"/>
      <c r="O89" s="1452"/>
      <c r="P89" s="1452"/>
      <c r="Q89" s="1452"/>
      <c r="R89" s="1452"/>
      <c r="S89" s="1452"/>
      <c r="T89" s="1452"/>
      <c r="AR89" s="748"/>
    </row>
    <row r="90" spans="1:45" s="901" customFormat="1" ht="13.2">
      <c r="A90" s="903">
        <v>14</v>
      </c>
      <c r="B90" s="904" t="s">
        <v>141</v>
      </c>
      <c r="C90" s="904"/>
      <c r="D90" s="904" t="s">
        <v>2594</v>
      </c>
      <c r="E90" s="904" t="s">
        <v>3694</v>
      </c>
      <c r="F90" s="904"/>
      <c r="G90" s="905" t="s">
        <v>2595</v>
      </c>
      <c r="H90" s="902">
        <v>960</v>
      </c>
      <c r="I90" s="904" t="s">
        <v>2596</v>
      </c>
      <c r="J90" s="904"/>
      <c r="K90" s="904"/>
      <c r="L90" s="904"/>
      <c r="M90" s="904"/>
      <c r="N90" s="904"/>
      <c r="O90" s="902">
        <v>4</v>
      </c>
      <c r="P90" s="906">
        <v>38274</v>
      </c>
      <c r="Q90" s="907">
        <v>180</v>
      </c>
      <c r="R90" s="908">
        <f t="shared" ref="R90" si="18">$A90*Q90</f>
        <v>2520</v>
      </c>
      <c r="S90" s="907">
        <f>40/14</f>
        <v>2.8571428571428572</v>
      </c>
      <c r="T90" s="909">
        <f t="shared" ref="T90" si="19">$A90*S90*$T$1</f>
        <v>36</v>
      </c>
      <c r="AR90" s="903">
        <v>14</v>
      </c>
      <c r="AS90" s="904"/>
    </row>
    <row r="91" spans="1:45" s="520" customFormat="1" ht="12">
      <c r="A91" s="758"/>
      <c r="B91" s="758"/>
      <c r="C91" s="758"/>
      <c r="D91" s="758"/>
      <c r="E91" s="758"/>
      <c r="F91" s="753"/>
      <c r="G91" s="758"/>
      <c r="H91" s="758"/>
      <c r="I91" s="519"/>
      <c r="J91" s="758"/>
      <c r="K91" s="758"/>
      <c r="L91" s="758"/>
      <c r="M91" s="758"/>
      <c r="N91" s="758"/>
      <c r="O91" s="758"/>
      <c r="P91" s="758"/>
      <c r="Q91" s="519"/>
      <c r="R91" s="759">
        <f t="shared" ref="R91" si="20">$A91*Q91</f>
        <v>0</v>
      </c>
      <c r="S91" s="519"/>
      <c r="T91" s="760">
        <f t="shared" ref="T91" si="21">$A91*S91*$T$1</f>
        <v>0</v>
      </c>
      <c r="AR91" s="758"/>
      <c r="AS91" s="753"/>
    </row>
    <row r="92" spans="1:45" s="520" customFormat="1" ht="12.6" thickBot="1">
      <c r="A92" s="761" t="s">
        <v>145</v>
      </c>
      <c r="B92" s="762">
        <f>(R91+T91)</f>
        <v>0</v>
      </c>
      <c r="C92" s="763"/>
      <c r="D92" s="763"/>
      <c r="E92" s="763"/>
      <c r="F92" s="764"/>
      <c r="G92" s="763" t="s">
        <v>146</v>
      </c>
      <c r="H92" s="763"/>
      <c r="I92" s="765"/>
      <c r="J92" s="763"/>
      <c r="K92" s="763" t="s">
        <v>3</v>
      </c>
      <c r="L92" s="766" t="s">
        <v>143</v>
      </c>
      <c r="M92" s="766"/>
      <c r="N92" s="766"/>
      <c r="O92" s="766"/>
      <c r="P92" s="766"/>
      <c r="Q92" s="767"/>
      <c r="R92" s="768">
        <f>SUM(R89:R91)</f>
        <v>2520</v>
      </c>
      <c r="S92" s="763"/>
      <c r="T92" s="768">
        <f>SUM(T89:T91)</f>
        <v>36</v>
      </c>
      <c r="U92" s="531"/>
      <c r="V92" s="531"/>
      <c r="W92" s="531"/>
      <c r="X92" s="531"/>
      <c r="Y92" s="531"/>
      <c r="Z92" s="531"/>
      <c r="AA92" s="531"/>
      <c r="AB92" s="531"/>
      <c r="AC92" s="531"/>
      <c r="AD92" s="531"/>
      <c r="AE92" s="531"/>
      <c r="AF92" s="531"/>
      <c r="AG92" s="531"/>
      <c r="AH92" s="531"/>
      <c r="AI92" s="531"/>
      <c r="AJ92" s="531"/>
      <c r="AK92" s="531"/>
      <c r="AL92" s="531"/>
      <c r="AM92" s="531"/>
      <c r="AN92" s="531"/>
      <c r="AO92" s="531"/>
      <c r="AR92" s="761" t="s">
        <v>145</v>
      </c>
      <c r="AS92" s="764"/>
    </row>
    <row r="93" spans="1:45" s="520" customFormat="1" ht="12" thickTop="1">
      <c r="A93" s="51"/>
      <c r="B93" s="41"/>
      <c r="C93" s="51"/>
      <c r="E93" s="42" t="s">
        <v>138</v>
      </c>
      <c r="F93" s="42" t="s">
        <v>139</v>
      </c>
      <c r="G93" s="51"/>
      <c r="H93" s="51"/>
      <c r="I93" s="51"/>
      <c r="J93" s="51"/>
      <c r="K93" s="51" t="s">
        <v>140</v>
      </c>
      <c r="L93" s="51"/>
      <c r="M93" s="51"/>
      <c r="N93" s="51"/>
      <c r="O93" s="52"/>
      <c r="P93" s="51"/>
      <c r="Q93" s="51"/>
      <c r="R93" s="51"/>
      <c r="S93" s="51"/>
      <c r="T93" s="41"/>
      <c r="AG93" s="521" t="s">
        <v>268</v>
      </c>
      <c r="AH93" s="521" t="s">
        <v>269</v>
      </c>
      <c r="AI93" s="521" t="s">
        <v>270</v>
      </c>
      <c r="AJ93" s="521" t="s">
        <v>271</v>
      </c>
      <c r="AK93" s="521" t="s">
        <v>272</v>
      </c>
      <c r="AM93" s="745" t="s">
        <v>281</v>
      </c>
      <c r="AN93" s="746" t="s">
        <v>282</v>
      </c>
      <c r="AO93" s="522" t="s">
        <v>278</v>
      </c>
      <c r="AR93" s="51"/>
      <c r="AS93" s="42" t="s">
        <v>139</v>
      </c>
    </row>
    <row r="94" spans="1:45" s="520" customFormat="1" ht="12" customHeight="1">
      <c r="A94" s="747">
        <v>1</v>
      </c>
      <c r="B94" s="523" t="s">
        <v>299</v>
      </c>
      <c r="C94" s="748"/>
      <c r="D94" s="749" t="s">
        <v>1070</v>
      </c>
      <c r="E94" s="750">
        <f>IF(AND($A94=0,$A$1="DIF"),0, ROUND(ROUND(($R98*$S$2+($T98*$T$2))/A94,2)*$C$2,2))</f>
        <v>0</v>
      </c>
      <c r="F94" s="751">
        <f>ROUND($A94*$E94,2)</f>
        <v>0</v>
      </c>
      <c r="G94" s="752" t="s">
        <v>142</v>
      </c>
      <c r="H94" s="753"/>
      <c r="I94" s="754"/>
      <c r="J94" s="753"/>
      <c r="K94" s="753" t="s">
        <v>3</v>
      </c>
      <c r="L94" s="755" t="s">
        <v>143</v>
      </c>
      <c r="M94" s="755"/>
      <c r="N94" s="755"/>
      <c r="O94" s="755"/>
      <c r="P94" s="755"/>
      <c r="Q94" s="1058" t="s">
        <v>2895</v>
      </c>
      <c r="T94" s="756" t="str">
        <f>IF(AND($R98=0,$T98=0),"0.00","mu :" &amp; ROUND($F94/$C$2/($R98+$T98*$D$9),2))</f>
        <v>0.00</v>
      </c>
      <c r="W94" s="524"/>
      <c r="AG94" s="481">
        <f>IF($E94=0,0,ROUND($R98*$S$2*$C$2/$A94,2))</f>
        <v>0</v>
      </c>
      <c r="AH94" s="481">
        <f>$AG94*$A94</f>
        <v>0</v>
      </c>
      <c r="AI94" s="525">
        <f>$E94-$AG94</f>
        <v>0</v>
      </c>
      <c r="AJ94" s="525">
        <f>$A94*$AI94</f>
        <v>0</v>
      </c>
      <c r="AK94" s="526">
        <f>ROUND(($AG94+$AI94)*$A94,2)</f>
        <v>0</v>
      </c>
      <c r="AM94" s="527">
        <f>ROUND(R98,2)</f>
        <v>0</v>
      </c>
      <c r="AN94" s="528">
        <f>ROUND(T98,2)</f>
        <v>0</v>
      </c>
      <c r="AO94" s="529">
        <f>ROUND(AM94+AN94,2)*A94</f>
        <v>0</v>
      </c>
      <c r="AR94" s="747">
        <v>1</v>
      </c>
      <c r="AS94" s="751">
        <v>0</v>
      </c>
    </row>
    <row r="95" spans="1:45" s="520" customFormat="1" ht="39.9" customHeight="1">
      <c r="A95" s="748"/>
      <c r="B95"/>
      <c r="C95" s="748"/>
      <c r="D95" s="1451" t="s">
        <v>310</v>
      </c>
      <c r="E95" s="1452"/>
      <c r="F95" s="1452"/>
      <c r="G95" s="1452"/>
      <c r="H95" s="1452"/>
      <c r="I95" s="1452"/>
      <c r="J95" s="1452"/>
      <c r="K95" s="1452"/>
      <c r="L95" s="1452"/>
      <c r="M95" s="1452"/>
      <c r="N95" s="1452"/>
      <c r="O95" s="1452"/>
      <c r="P95" s="1452"/>
      <c r="Q95" s="1452"/>
      <c r="R95" s="1452"/>
      <c r="S95" s="1452"/>
      <c r="T95" s="1452"/>
      <c r="AR95" s="748"/>
    </row>
    <row r="96" spans="1:45" s="520" customFormat="1" ht="12">
      <c r="A96" s="51"/>
      <c r="B96" s="758"/>
      <c r="C96" s="758"/>
      <c r="D96" s="758"/>
      <c r="E96" s="758"/>
      <c r="F96" s="753"/>
      <c r="G96" s="758"/>
      <c r="H96" s="758"/>
      <c r="I96" s="519"/>
      <c r="J96" s="758"/>
      <c r="K96" s="758"/>
      <c r="L96" s="758"/>
      <c r="M96" s="758"/>
      <c r="N96" s="758"/>
      <c r="O96" s="758"/>
      <c r="P96" s="758"/>
      <c r="Q96" s="519"/>
      <c r="R96" s="759">
        <f t="shared" ref="R96:R97" si="22">$A96*Q96</f>
        <v>0</v>
      </c>
      <c r="S96" s="519"/>
      <c r="T96" s="760">
        <f t="shared" ref="T96:T97" si="23">$A96*S96*$T$1</f>
        <v>0</v>
      </c>
      <c r="AR96" s="51"/>
      <c r="AS96" s="753"/>
    </row>
    <row r="97" spans="1:45" s="520" customFormat="1" ht="12">
      <c r="A97" s="758"/>
      <c r="B97" s="758"/>
      <c r="C97" s="758"/>
      <c r="D97" s="758"/>
      <c r="E97" s="758"/>
      <c r="F97" s="753"/>
      <c r="G97" s="758"/>
      <c r="H97" s="758"/>
      <c r="I97" s="519"/>
      <c r="J97" s="758"/>
      <c r="K97" s="758"/>
      <c r="L97" s="758"/>
      <c r="M97" s="758"/>
      <c r="N97" s="758"/>
      <c r="O97" s="758"/>
      <c r="P97" s="758"/>
      <c r="Q97" s="519"/>
      <c r="R97" s="759">
        <f t="shared" si="22"/>
        <v>0</v>
      </c>
      <c r="S97" s="519"/>
      <c r="T97" s="760">
        <f t="shared" si="23"/>
        <v>0</v>
      </c>
      <c r="AR97" s="758"/>
      <c r="AS97" s="753"/>
    </row>
    <row r="98" spans="1:45" s="520" customFormat="1" ht="12.6" thickBot="1">
      <c r="A98" s="761" t="s">
        <v>145</v>
      </c>
      <c r="B98" s="762">
        <f>(R97+T97)</f>
        <v>0</v>
      </c>
      <c r="C98" s="763"/>
      <c r="D98" s="763"/>
      <c r="E98" s="763"/>
      <c r="F98" s="764"/>
      <c r="G98" s="763" t="s">
        <v>146</v>
      </c>
      <c r="H98" s="763"/>
      <c r="I98" s="765"/>
      <c r="J98" s="763"/>
      <c r="K98" s="763" t="s">
        <v>3</v>
      </c>
      <c r="L98" s="766" t="s">
        <v>143</v>
      </c>
      <c r="M98" s="766"/>
      <c r="N98" s="766"/>
      <c r="O98" s="766"/>
      <c r="P98" s="766"/>
      <c r="Q98" s="767"/>
      <c r="R98" s="768">
        <f>SUM(R95:R97)</f>
        <v>0</v>
      </c>
      <c r="S98" s="763"/>
      <c r="T98" s="768">
        <f>SUM(T95:T97)</f>
        <v>0</v>
      </c>
      <c r="U98" s="531"/>
      <c r="V98" s="531"/>
      <c r="W98" s="531"/>
      <c r="X98" s="531"/>
      <c r="Y98" s="531"/>
      <c r="Z98" s="531"/>
      <c r="AA98" s="531"/>
      <c r="AB98" s="531"/>
      <c r="AC98" s="531"/>
      <c r="AD98" s="531"/>
      <c r="AE98" s="531"/>
      <c r="AF98" s="531"/>
      <c r="AG98" s="531"/>
      <c r="AH98" s="531"/>
      <c r="AI98" s="531"/>
      <c r="AJ98" s="531"/>
      <c r="AK98" s="531"/>
      <c r="AL98" s="531"/>
      <c r="AM98" s="531"/>
      <c r="AN98" s="531"/>
      <c r="AO98" s="531"/>
      <c r="AR98" s="761" t="s">
        <v>145</v>
      </c>
      <c r="AS98" s="764"/>
    </row>
    <row r="99" spans="1:45" s="520" customFormat="1" ht="12" thickTop="1">
      <c r="A99" s="51"/>
      <c r="B99" s="41"/>
      <c r="C99" s="51"/>
      <c r="E99" s="42" t="s">
        <v>138</v>
      </c>
      <c r="F99" s="42" t="s">
        <v>139</v>
      </c>
      <c r="G99" s="51"/>
      <c r="H99" s="51"/>
      <c r="I99" s="51"/>
      <c r="J99" s="51"/>
      <c r="K99" s="51" t="s">
        <v>140</v>
      </c>
      <c r="L99" s="51"/>
      <c r="M99" s="51"/>
      <c r="N99" s="51"/>
      <c r="O99" s="52"/>
      <c r="P99" s="51"/>
      <c r="Q99" s="51"/>
      <c r="R99" s="51"/>
      <c r="S99" s="51"/>
      <c r="T99" s="41"/>
      <c r="AG99" s="521" t="s">
        <v>268</v>
      </c>
      <c r="AH99" s="521" t="s">
        <v>269</v>
      </c>
      <c r="AI99" s="521" t="s">
        <v>270</v>
      </c>
      <c r="AJ99" s="521" t="s">
        <v>271</v>
      </c>
      <c r="AK99" s="521" t="s">
        <v>272</v>
      </c>
      <c r="AM99" s="745" t="s">
        <v>281</v>
      </c>
      <c r="AN99" s="746" t="s">
        <v>282</v>
      </c>
      <c r="AO99" s="522" t="s">
        <v>278</v>
      </c>
      <c r="AR99" s="51"/>
      <c r="AS99" s="42" t="s">
        <v>139</v>
      </c>
    </row>
    <row r="100" spans="1:45" s="520" customFormat="1" ht="12" customHeight="1">
      <c r="A100" s="747">
        <v>1</v>
      </c>
      <c r="B100" s="523" t="s">
        <v>299</v>
      </c>
      <c r="C100" s="748"/>
      <c r="D100" s="749" t="s">
        <v>1071</v>
      </c>
      <c r="E100" s="750">
        <f>IF(AND($A100=0,$A$1="DIF"),0, ROUND(ROUND(($R104*$S$2+($T104*$T$2))/A100,2)*$C$2,2))</f>
        <v>0</v>
      </c>
      <c r="F100" s="751">
        <f>ROUND($A100*$E100,2)</f>
        <v>0</v>
      </c>
      <c r="G100" s="752" t="s">
        <v>142</v>
      </c>
      <c r="H100" s="753"/>
      <c r="I100" s="754"/>
      <c r="J100" s="753"/>
      <c r="K100" s="753" t="s">
        <v>3</v>
      </c>
      <c r="L100" s="755" t="s">
        <v>143</v>
      </c>
      <c r="M100" s="755"/>
      <c r="N100" s="755"/>
      <c r="O100" s="755"/>
      <c r="P100" s="755"/>
      <c r="Q100" s="1058" t="s">
        <v>2895</v>
      </c>
      <c r="T100" s="756" t="str">
        <f>IF(AND($R104=0,$T104=0),"0.00","mu :" &amp; ROUND($F100/$C$2/($R104+$T104*$D$9),2))</f>
        <v>0.00</v>
      </c>
      <c r="W100" s="524"/>
      <c r="AG100" s="481">
        <f>IF($E100=0,0,ROUND($R104*$S$2*$C$2/$A100,2))</f>
        <v>0</v>
      </c>
      <c r="AH100" s="481">
        <f>$AG100*$A100</f>
        <v>0</v>
      </c>
      <c r="AI100" s="525">
        <f>$E100-$AG100</f>
        <v>0</v>
      </c>
      <c r="AJ100" s="525">
        <f>$A100*$AI100</f>
        <v>0</v>
      </c>
      <c r="AK100" s="526">
        <f>ROUND(($AG100+$AI100)*$A100,2)</f>
        <v>0</v>
      </c>
      <c r="AM100" s="527">
        <f>ROUND(R104,2)</f>
        <v>0</v>
      </c>
      <c r="AN100" s="528">
        <f>ROUND(T104,2)</f>
        <v>0</v>
      </c>
      <c r="AO100" s="529">
        <f>ROUND(AM100+AN100,2)*A100</f>
        <v>0</v>
      </c>
      <c r="AR100" s="747">
        <v>1</v>
      </c>
      <c r="AS100" s="751">
        <v>0</v>
      </c>
    </row>
    <row r="101" spans="1:45" s="520" customFormat="1" ht="39.9" customHeight="1">
      <c r="A101" s="748"/>
      <c r="B101"/>
      <c r="C101" s="748"/>
      <c r="D101" s="1451" t="s">
        <v>311</v>
      </c>
      <c r="E101" s="1452"/>
      <c r="F101" s="1452"/>
      <c r="G101" s="1452"/>
      <c r="H101" s="1452"/>
      <c r="I101" s="1452"/>
      <c r="J101" s="1452"/>
      <c r="K101" s="1452"/>
      <c r="L101" s="1452"/>
      <c r="M101" s="1452"/>
      <c r="N101" s="1452"/>
      <c r="O101" s="1452"/>
      <c r="P101" s="1452"/>
      <c r="Q101" s="1452"/>
      <c r="R101" s="1452"/>
      <c r="S101" s="1452"/>
      <c r="T101" s="1452"/>
      <c r="AR101" s="748"/>
    </row>
    <row r="102" spans="1:45" s="520" customFormat="1" ht="12">
      <c r="A102" s="51"/>
      <c r="B102" s="758"/>
      <c r="C102" s="758"/>
      <c r="D102" s="758"/>
      <c r="E102" s="758"/>
      <c r="F102" s="753"/>
      <c r="G102" s="758"/>
      <c r="H102" s="758"/>
      <c r="I102" s="519"/>
      <c r="J102" s="758"/>
      <c r="K102" s="758"/>
      <c r="L102" s="758"/>
      <c r="M102" s="758"/>
      <c r="N102" s="758"/>
      <c r="O102" s="758"/>
      <c r="P102" s="758"/>
      <c r="Q102" s="519"/>
      <c r="R102" s="759">
        <f t="shared" ref="R102:R103" si="24">$A102*Q102</f>
        <v>0</v>
      </c>
      <c r="S102" s="519"/>
      <c r="T102" s="760">
        <f t="shared" ref="T102:T103" si="25">$A102*S102*$T$1</f>
        <v>0</v>
      </c>
      <c r="AR102" s="51"/>
      <c r="AS102" s="753"/>
    </row>
    <row r="103" spans="1:45" s="520" customFormat="1" ht="12">
      <c r="A103" s="758"/>
      <c r="B103" s="758"/>
      <c r="C103" s="758"/>
      <c r="D103" s="758"/>
      <c r="E103" s="758"/>
      <c r="F103" s="753"/>
      <c r="G103" s="758"/>
      <c r="H103" s="758"/>
      <c r="I103" s="519"/>
      <c r="J103" s="758"/>
      <c r="K103" s="758"/>
      <c r="L103" s="758"/>
      <c r="M103" s="758"/>
      <c r="N103" s="758"/>
      <c r="O103" s="758"/>
      <c r="P103" s="758"/>
      <c r="Q103" s="519"/>
      <c r="R103" s="759">
        <f t="shared" si="24"/>
        <v>0</v>
      </c>
      <c r="S103" s="519"/>
      <c r="T103" s="760">
        <f t="shared" si="25"/>
        <v>0</v>
      </c>
      <c r="AR103" s="758"/>
      <c r="AS103" s="753"/>
    </row>
    <row r="104" spans="1:45" s="520" customFormat="1" ht="12.6" thickBot="1">
      <c r="A104" s="761" t="s">
        <v>145</v>
      </c>
      <c r="B104" s="762">
        <f>(R103+T103)</f>
        <v>0</v>
      </c>
      <c r="C104" s="763"/>
      <c r="D104" s="763"/>
      <c r="E104" s="763"/>
      <c r="F104" s="764"/>
      <c r="G104" s="763" t="s">
        <v>146</v>
      </c>
      <c r="H104" s="763"/>
      <c r="I104" s="765"/>
      <c r="J104" s="763"/>
      <c r="K104" s="763" t="s">
        <v>3</v>
      </c>
      <c r="L104" s="766" t="s">
        <v>143</v>
      </c>
      <c r="M104" s="766"/>
      <c r="N104" s="766"/>
      <c r="O104" s="766"/>
      <c r="P104" s="766"/>
      <c r="Q104" s="767"/>
      <c r="R104" s="768">
        <f>SUM(R101:R103)</f>
        <v>0</v>
      </c>
      <c r="S104" s="763"/>
      <c r="T104" s="768">
        <f>SUM(T101:T103)</f>
        <v>0</v>
      </c>
      <c r="U104" s="531"/>
      <c r="V104" s="531"/>
      <c r="W104" s="531"/>
      <c r="X104" s="531"/>
      <c r="Y104" s="531"/>
      <c r="Z104" s="531"/>
      <c r="AA104" s="531"/>
      <c r="AB104" s="531"/>
      <c r="AC104" s="531"/>
      <c r="AD104" s="531"/>
      <c r="AE104" s="531"/>
      <c r="AF104" s="531"/>
      <c r="AG104" s="531"/>
      <c r="AH104" s="531"/>
      <c r="AI104" s="531"/>
      <c r="AJ104" s="531"/>
      <c r="AK104" s="531"/>
      <c r="AL104" s="531"/>
      <c r="AM104" s="531"/>
      <c r="AN104" s="531"/>
      <c r="AO104" s="531"/>
      <c r="AR104" s="761" t="s">
        <v>145</v>
      </c>
      <c r="AS104" s="764"/>
    </row>
    <row r="105" spans="1:45" s="520" customFormat="1" ht="12" thickTop="1">
      <c r="A105" s="51"/>
      <c r="B105" s="41"/>
      <c r="C105" s="51"/>
      <c r="E105" s="42" t="s">
        <v>138</v>
      </c>
      <c r="F105" s="42" t="s">
        <v>139</v>
      </c>
      <c r="G105" s="51"/>
      <c r="H105" s="51"/>
      <c r="I105" s="51"/>
      <c r="J105" s="51"/>
      <c r="K105" s="51" t="s">
        <v>140</v>
      </c>
      <c r="L105" s="51"/>
      <c r="M105" s="51"/>
      <c r="N105" s="51"/>
      <c r="O105" s="52"/>
      <c r="P105" s="51"/>
      <c r="Q105" s="51"/>
      <c r="R105" s="51"/>
      <c r="S105" s="51"/>
      <c r="T105" s="41"/>
      <c r="AG105" s="521" t="s">
        <v>268</v>
      </c>
      <c r="AH105" s="521" t="s">
        <v>269</v>
      </c>
      <c r="AI105" s="521" t="s">
        <v>270</v>
      </c>
      <c r="AJ105" s="521" t="s">
        <v>271</v>
      </c>
      <c r="AK105" s="521" t="s">
        <v>272</v>
      </c>
      <c r="AM105" s="745" t="s">
        <v>281</v>
      </c>
      <c r="AN105" s="746" t="s">
        <v>282</v>
      </c>
      <c r="AO105" s="522" t="s">
        <v>278</v>
      </c>
      <c r="AR105" s="51"/>
      <c r="AS105" s="42" t="s">
        <v>139</v>
      </c>
    </row>
    <row r="106" spans="1:45" s="520" customFormat="1" ht="12" customHeight="1">
      <c r="A106" s="747">
        <v>1</v>
      </c>
      <c r="B106" s="523" t="s">
        <v>299</v>
      </c>
      <c r="C106" s="748"/>
      <c r="D106" s="749" t="s">
        <v>1072</v>
      </c>
      <c r="E106" s="750">
        <f>IF(AND($A106=0,$A$1="DIF"),0, ROUND(ROUND(($R110*$S$2+($T110*$T$2))/A106,2)*$C$2,2))</f>
        <v>0</v>
      </c>
      <c r="F106" s="751">
        <f>ROUND($A106*$E106,2)</f>
        <v>0</v>
      </c>
      <c r="G106" s="752" t="s">
        <v>142</v>
      </c>
      <c r="H106" s="753"/>
      <c r="I106" s="754"/>
      <c r="J106" s="753"/>
      <c r="K106" s="753" t="s">
        <v>3</v>
      </c>
      <c r="L106" s="755" t="s">
        <v>143</v>
      </c>
      <c r="M106" s="755"/>
      <c r="N106" s="755"/>
      <c r="O106" s="755"/>
      <c r="P106" s="755"/>
      <c r="Q106" s="1058" t="s">
        <v>3687</v>
      </c>
      <c r="T106" s="756" t="str">
        <f>IF(AND($R110=0,$T110=0),"0.00","mu :" &amp; ROUND($F106/$C$2/($R110+$T110*$D$9),2))</f>
        <v>0.00</v>
      </c>
      <c r="W106" s="524"/>
      <c r="AG106" s="481">
        <f>IF($E106=0,0,ROUND($R110*$S$2*$C$2/$A106,2))</f>
        <v>0</v>
      </c>
      <c r="AH106" s="481">
        <f>$AG106*$A106</f>
        <v>0</v>
      </c>
      <c r="AI106" s="525">
        <f>$E106-$AG106</f>
        <v>0</v>
      </c>
      <c r="AJ106" s="525">
        <f>$A106*$AI106</f>
        <v>0</v>
      </c>
      <c r="AK106" s="526">
        <f>ROUND(($AG106+$AI106)*$A106,2)</f>
        <v>0</v>
      </c>
      <c r="AM106" s="527">
        <f>ROUND(R110,2)</f>
        <v>0</v>
      </c>
      <c r="AN106" s="528">
        <f>ROUND(T110,2)</f>
        <v>0</v>
      </c>
      <c r="AO106" s="529">
        <f>ROUND(AM106+AN106,2)*A106</f>
        <v>0</v>
      </c>
      <c r="AR106" s="747">
        <v>1</v>
      </c>
      <c r="AS106" s="751">
        <v>0</v>
      </c>
    </row>
    <row r="107" spans="1:45" s="520" customFormat="1" ht="39.9" customHeight="1">
      <c r="A107" s="748"/>
      <c r="B107"/>
      <c r="C107" s="748"/>
      <c r="D107" s="1451" t="s">
        <v>312</v>
      </c>
      <c r="E107" s="1452"/>
      <c r="F107" s="1452"/>
      <c r="G107" s="1452"/>
      <c r="H107" s="1452"/>
      <c r="I107" s="1452"/>
      <c r="J107" s="1452"/>
      <c r="K107" s="1452"/>
      <c r="L107" s="1452"/>
      <c r="M107" s="1452"/>
      <c r="N107" s="1452"/>
      <c r="O107" s="1452"/>
      <c r="P107" s="1452"/>
      <c r="Q107" s="1452"/>
      <c r="R107" s="1452"/>
      <c r="S107" s="1452"/>
      <c r="T107" s="1452"/>
      <c r="AR107" s="748"/>
    </row>
    <row r="108" spans="1:45" s="520" customFormat="1" ht="12">
      <c r="A108" s="51"/>
      <c r="B108" s="758"/>
      <c r="C108" s="758"/>
      <c r="D108" s="758"/>
      <c r="E108" s="758"/>
      <c r="F108" s="753"/>
      <c r="G108" s="758"/>
      <c r="H108" s="758"/>
      <c r="I108" s="519"/>
      <c r="J108" s="758"/>
      <c r="K108" s="758"/>
      <c r="L108" s="758"/>
      <c r="M108" s="758"/>
      <c r="N108" s="758"/>
      <c r="O108" s="758"/>
      <c r="P108" s="758"/>
      <c r="Q108" s="519"/>
      <c r="R108" s="759">
        <f t="shared" ref="R108:R109" si="26">$A108*Q108</f>
        <v>0</v>
      </c>
      <c r="S108" s="519"/>
      <c r="T108" s="760">
        <f t="shared" ref="T108:T109" si="27">$A108*S108*$T$1</f>
        <v>0</v>
      </c>
      <c r="AR108" s="51"/>
      <c r="AS108" s="753"/>
    </row>
    <row r="109" spans="1:45" s="520" customFormat="1" ht="12">
      <c r="A109" s="758"/>
      <c r="B109" s="758"/>
      <c r="C109" s="758"/>
      <c r="D109" s="758"/>
      <c r="E109" s="758"/>
      <c r="F109" s="753"/>
      <c r="G109" s="758"/>
      <c r="H109" s="758"/>
      <c r="I109" s="519"/>
      <c r="J109" s="758"/>
      <c r="K109" s="758"/>
      <c r="L109" s="758"/>
      <c r="M109" s="758"/>
      <c r="N109" s="758"/>
      <c r="O109" s="758"/>
      <c r="P109" s="758"/>
      <c r="Q109" s="519"/>
      <c r="R109" s="759">
        <f t="shared" si="26"/>
        <v>0</v>
      </c>
      <c r="S109" s="519"/>
      <c r="T109" s="760">
        <f t="shared" si="27"/>
        <v>0</v>
      </c>
      <c r="AR109" s="758"/>
      <c r="AS109" s="753"/>
    </row>
    <row r="110" spans="1:45" s="520" customFormat="1" ht="12.6" thickBot="1">
      <c r="A110" s="761" t="s">
        <v>145</v>
      </c>
      <c r="B110" s="762">
        <f>(R109+T109)</f>
        <v>0</v>
      </c>
      <c r="C110" s="763"/>
      <c r="D110" s="763"/>
      <c r="E110" s="763"/>
      <c r="F110" s="764"/>
      <c r="G110" s="763" t="s">
        <v>146</v>
      </c>
      <c r="H110" s="763"/>
      <c r="I110" s="765"/>
      <c r="J110" s="763"/>
      <c r="K110" s="763" t="s">
        <v>3</v>
      </c>
      <c r="L110" s="766" t="s">
        <v>143</v>
      </c>
      <c r="M110" s="766"/>
      <c r="N110" s="766"/>
      <c r="O110" s="766"/>
      <c r="P110" s="766"/>
      <c r="Q110" s="767"/>
      <c r="R110" s="768">
        <f>SUM(R107:R109)</f>
        <v>0</v>
      </c>
      <c r="S110" s="763"/>
      <c r="T110" s="768">
        <f>SUM(T107:T109)</f>
        <v>0</v>
      </c>
      <c r="U110" s="531"/>
      <c r="V110" s="531"/>
      <c r="W110" s="531"/>
      <c r="X110" s="531"/>
      <c r="Y110" s="531"/>
      <c r="Z110" s="531"/>
      <c r="AA110" s="531"/>
      <c r="AB110" s="531"/>
      <c r="AC110" s="531"/>
      <c r="AD110" s="531"/>
      <c r="AE110" s="531"/>
      <c r="AF110" s="531"/>
      <c r="AG110" s="531"/>
      <c r="AH110" s="531"/>
      <c r="AI110" s="531"/>
      <c r="AJ110" s="531"/>
      <c r="AK110" s="531"/>
      <c r="AL110" s="531"/>
      <c r="AM110" s="531"/>
      <c r="AN110" s="531"/>
      <c r="AO110" s="531"/>
      <c r="AR110" s="761" t="s">
        <v>145</v>
      </c>
      <c r="AS110" s="764"/>
    </row>
    <row r="111" spans="1:45" s="520" customFormat="1" ht="12" thickTop="1">
      <c r="A111" s="51"/>
      <c r="B111" s="41"/>
      <c r="C111" s="51"/>
      <c r="E111" s="42" t="s">
        <v>138</v>
      </c>
      <c r="F111" s="42" t="s">
        <v>139</v>
      </c>
      <c r="G111" s="51"/>
      <c r="H111" s="51"/>
      <c r="I111" s="51"/>
      <c r="J111" s="51"/>
      <c r="K111" s="51" t="s">
        <v>140</v>
      </c>
      <c r="L111" s="51"/>
      <c r="M111" s="51"/>
      <c r="N111" s="51"/>
      <c r="O111" s="52"/>
      <c r="P111" s="51"/>
      <c r="Q111" s="51"/>
      <c r="R111" s="51"/>
      <c r="S111" s="51"/>
      <c r="T111" s="41"/>
      <c r="AG111" s="521" t="s">
        <v>268</v>
      </c>
      <c r="AH111" s="521" t="s">
        <v>269</v>
      </c>
      <c r="AI111" s="521" t="s">
        <v>270</v>
      </c>
      <c r="AJ111" s="521" t="s">
        <v>271</v>
      </c>
      <c r="AK111" s="521" t="s">
        <v>272</v>
      </c>
      <c r="AM111" s="745" t="s">
        <v>281</v>
      </c>
      <c r="AN111" s="746" t="s">
        <v>282</v>
      </c>
      <c r="AO111" s="522" t="s">
        <v>278</v>
      </c>
      <c r="AR111" s="51"/>
      <c r="AS111" s="42" t="s">
        <v>139</v>
      </c>
    </row>
    <row r="112" spans="1:45" s="520" customFormat="1" ht="12" customHeight="1">
      <c r="A112" s="747">
        <v>1</v>
      </c>
      <c r="B112" s="523" t="s">
        <v>299</v>
      </c>
      <c r="C112" s="748"/>
      <c r="D112" s="749" t="s">
        <v>1073</v>
      </c>
      <c r="E112" s="750">
        <f>IF(AND($A112=0,$A$1="DIF"),0, ROUND(ROUND(($R116*$S$2+($T116*$T$2))/A112,2)*$C$2,2))</f>
        <v>0</v>
      </c>
      <c r="F112" s="751">
        <f>ROUND($A112*$E112,2)</f>
        <v>0</v>
      </c>
      <c r="G112" s="752" t="s">
        <v>142</v>
      </c>
      <c r="H112" s="753"/>
      <c r="I112" s="754"/>
      <c r="J112" s="753"/>
      <c r="K112" s="753" t="s">
        <v>3</v>
      </c>
      <c r="L112" s="755" t="s">
        <v>143</v>
      </c>
      <c r="M112" s="755"/>
      <c r="N112" s="755"/>
      <c r="O112" s="755"/>
      <c r="P112" s="755"/>
      <c r="Q112" s="1058" t="s">
        <v>3687</v>
      </c>
      <c r="T112" s="756" t="str">
        <f>IF(AND($R116=0,$T116=0),"0.00","mu :" &amp; ROUND($F112/$C$2/($R116+$T116*$D$9),2))</f>
        <v>0.00</v>
      </c>
      <c r="W112" s="524"/>
      <c r="AG112" s="481">
        <f>IF($E112=0,0,ROUND($R116*$S$2*$C$2/$A112,2))</f>
        <v>0</v>
      </c>
      <c r="AH112" s="481">
        <f>$AG112*$A112</f>
        <v>0</v>
      </c>
      <c r="AI112" s="525">
        <f>$E112-$AG112</f>
        <v>0</v>
      </c>
      <c r="AJ112" s="525">
        <f>$A112*$AI112</f>
        <v>0</v>
      </c>
      <c r="AK112" s="526">
        <f>ROUND(($AG112+$AI112)*$A112,2)</f>
        <v>0</v>
      </c>
      <c r="AM112" s="527">
        <f>ROUND(R116,2)</f>
        <v>0</v>
      </c>
      <c r="AN112" s="528">
        <f>ROUND(T116,2)</f>
        <v>0</v>
      </c>
      <c r="AO112" s="529">
        <f>ROUND(AM112+AN112,2)*A112</f>
        <v>0</v>
      </c>
      <c r="AR112" s="747">
        <v>1</v>
      </c>
      <c r="AS112" s="751">
        <v>0</v>
      </c>
    </row>
    <row r="113" spans="1:45" s="520" customFormat="1" ht="39.9" customHeight="1">
      <c r="A113" s="748"/>
      <c r="B113"/>
      <c r="C113" s="748"/>
      <c r="D113" s="1451" t="s">
        <v>313</v>
      </c>
      <c r="E113" s="1452"/>
      <c r="F113" s="1452"/>
      <c r="G113" s="1452"/>
      <c r="H113" s="1452"/>
      <c r="I113" s="1452"/>
      <c r="J113" s="1452"/>
      <c r="K113" s="1452"/>
      <c r="L113" s="1452"/>
      <c r="M113" s="1452"/>
      <c r="N113" s="1452"/>
      <c r="O113" s="1452"/>
      <c r="P113" s="1452"/>
      <c r="Q113" s="1452"/>
      <c r="R113" s="1452"/>
      <c r="S113" s="1452"/>
      <c r="T113" s="1452"/>
      <c r="AR113" s="748"/>
    </row>
    <row r="114" spans="1:45" s="520" customFormat="1" ht="12">
      <c r="A114" s="51"/>
      <c r="B114" s="758"/>
      <c r="C114" s="758"/>
      <c r="D114" s="758"/>
      <c r="E114" s="758"/>
      <c r="F114" s="753"/>
      <c r="G114" s="758"/>
      <c r="H114" s="758"/>
      <c r="I114" s="519"/>
      <c r="J114" s="758"/>
      <c r="K114" s="758"/>
      <c r="L114" s="758"/>
      <c r="M114" s="758"/>
      <c r="N114" s="758"/>
      <c r="O114" s="758"/>
      <c r="P114" s="758"/>
      <c r="Q114" s="519"/>
      <c r="R114" s="759">
        <f t="shared" ref="R114:R115" si="28">$A114*Q114</f>
        <v>0</v>
      </c>
      <c r="S114" s="519"/>
      <c r="T114" s="760">
        <f t="shared" ref="T114:T115" si="29">$A114*S114*$T$1</f>
        <v>0</v>
      </c>
      <c r="AR114" s="51"/>
      <c r="AS114" s="753"/>
    </row>
    <row r="115" spans="1:45" s="520" customFormat="1" ht="12">
      <c r="A115" s="758"/>
      <c r="B115" s="758"/>
      <c r="C115" s="758"/>
      <c r="D115" s="758"/>
      <c r="E115" s="758"/>
      <c r="F115" s="753"/>
      <c r="G115" s="758"/>
      <c r="H115" s="758"/>
      <c r="I115" s="519"/>
      <c r="J115" s="758"/>
      <c r="K115" s="758"/>
      <c r="L115" s="758"/>
      <c r="M115" s="758"/>
      <c r="N115" s="758"/>
      <c r="O115" s="758"/>
      <c r="P115" s="758"/>
      <c r="Q115" s="519"/>
      <c r="R115" s="759">
        <f t="shared" si="28"/>
        <v>0</v>
      </c>
      <c r="S115" s="519"/>
      <c r="T115" s="760">
        <f t="shared" si="29"/>
        <v>0</v>
      </c>
      <c r="AR115" s="758"/>
      <c r="AS115" s="753"/>
    </row>
    <row r="116" spans="1:45" s="520" customFormat="1" ht="12.6" thickBot="1">
      <c r="A116" s="761" t="s">
        <v>145</v>
      </c>
      <c r="B116" s="762">
        <f>(R115+T115)</f>
        <v>0</v>
      </c>
      <c r="C116" s="763"/>
      <c r="D116" s="763"/>
      <c r="E116" s="763"/>
      <c r="F116" s="764"/>
      <c r="G116" s="763" t="s">
        <v>146</v>
      </c>
      <c r="H116" s="763"/>
      <c r="I116" s="765"/>
      <c r="J116" s="763"/>
      <c r="K116" s="763" t="s">
        <v>3</v>
      </c>
      <c r="L116" s="766" t="s">
        <v>143</v>
      </c>
      <c r="M116" s="766"/>
      <c r="N116" s="766"/>
      <c r="O116" s="766"/>
      <c r="P116" s="766"/>
      <c r="Q116" s="767"/>
      <c r="R116" s="768">
        <f>SUM(R113:R115)</f>
        <v>0</v>
      </c>
      <c r="S116" s="763"/>
      <c r="T116" s="768">
        <f>SUM(T113:T115)</f>
        <v>0</v>
      </c>
      <c r="U116" s="531"/>
      <c r="V116" s="531"/>
      <c r="W116" s="531"/>
      <c r="X116" s="531"/>
      <c r="Y116" s="531"/>
      <c r="Z116" s="531"/>
      <c r="AA116" s="531"/>
      <c r="AB116" s="531"/>
      <c r="AC116" s="531"/>
      <c r="AD116" s="531"/>
      <c r="AE116" s="531"/>
      <c r="AF116" s="531"/>
      <c r="AG116" s="531"/>
      <c r="AH116" s="531"/>
      <c r="AI116" s="531"/>
      <c r="AJ116" s="531"/>
      <c r="AK116" s="531"/>
      <c r="AL116" s="531"/>
      <c r="AM116" s="531"/>
      <c r="AN116" s="531"/>
      <c r="AO116" s="531"/>
      <c r="AR116" s="761" t="s">
        <v>145</v>
      </c>
      <c r="AS116" s="764"/>
    </row>
    <row r="117" spans="1:45" s="520" customFormat="1" ht="12" thickTop="1">
      <c r="A117" s="48" t="s">
        <v>148</v>
      </c>
      <c r="D117" s="13"/>
      <c r="E117" s="42"/>
      <c r="O117" s="771"/>
      <c r="AR117" s="48" t="s">
        <v>148</v>
      </c>
    </row>
    <row r="118" spans="1:45" s="520" customFormat="1" ht="13.2">
      <c r="B118" s="3"/>
      <c r="O118" s="771"/>
    </row>
    <row r="119" spans="1:45" s="520" customFormat="1" ht="12">
      <c r="B119" s="772">
        <f>$F119/$C$2-($R119*$S$2+$T119*$T$2)</f>
        <v>-4.3046400005550822E-3</v>
      </c>
      <c r="D119" s="773" t="s">
        <v>3623</v>
      </c>
      <c r="E119" s="774"/>
      <c r="F119" s="775">
        <f>SUMIF($L69:$L117,"ITEM",F69:F117)</f>
        <v>4320.24</v>
      </c>
      <c r="G119" s="758"/>
      <c r="H119" s="758"/>
      <c r="I119" s="519"/>
      <c r="J119" s="758"/>
      <c r="K119" s="758"/>
      <c r="L119" s="755" t="s">
        <v>157</v>
      </c>
      <c r="M119" s="755"/>
      <c r="N119" s="755"/>
      <c r="O119" s="755"/>
      <c r="P119" s="755"/>
      <c r="R119" s="775">
        <f>SUMIF($L69:$L117,"ITEM",R69:R117)</f>
        <v>2520</v>
      </c>
      <c r="S119" s="776"/>
      <c r="T119" s="775">
        <f>SUMIF($L69:$L117,"ITEM",T69:T117)</f>
        <v>36</v>
      </c>
      <c r="AS119" s="775">
        <v>4455.5</v>
      </c>
    </row>
    <row r="120" spans="1:45" s="520" customFormat="1" ht="13.2">
      <c r="A120" s="51"/>
      <c r="B120" s="49" t="s">
        <v>1064</v>
      </c>
      <c r="C120" s="51"/>
      <c r="D120" s="3"/>
      <c r="F120" s="777" t="s">
        <v>158</v>
      </c>
      <c r="G120" s="758"/>
      <c r="H120" s="758"/>
      <c r="I120" s="519"/>
      <c r="J120" s="758"/>
      <c r="K120" s="758"/>
      <c r="L120" s="758"/>
      <c r="M120" s="758"/>
      <c r="N120" s="758"/>
      <c r="O120" s="758"/>
      <c r="P120" s="758"/>
      <c r="Q120" s="778"/>
      <c r="R120" s="777" t="s">
        <v>159</v>
      </c>
      <c r="S120" s="38"/>
      <c r="T120" s="777" t="s">
        <v>160</v>
      </c>
      <c r="AR120" s="51"/>
      <c r="AS120" s="777" t="s">
        <v>158</v>
      </c>
    </row>
    <row r="121" spans="1:45" s="520" customFormat="1" ht="13.2">
      <c r="A121" s="758"/>
      <c r="B121" s="3"/>
      <c r="C121" s="758"/>
      <c r="D121" s="3"/>
      <c r="E121" s="3"/>
      <c r="G121" s="3"/>
      <c r="H121" s="3"/>
      <c r="I121" s="3"/>
      <c r="J121" s="3"/>
      <c r="K121" s="3"/>
      <c r="L121" s="3"/>
      <c r="M121" s="3"/>
      <c r="N121" s="3"/>
      <c r="O121" s="107"/>
      <c r="P121" s="3"/>
      <c r="Q121" s="3"/>
      <c r="R121" s="3"/>
      <c r="S121" s="3"/>
      <c r="T121" s="3"/>
      <c r="AR121" s="758"/>
    </row>
    <row r="122" spans="1:45" s="520" customFormat="1" ht="12" thickBot="1">
      <c r="A122" s="531"/>
      <c r="B122" s="763"/>
      <c r="C122" s="763"/>
      <c r="D122" s="531"/>
      <c r="E122" s="39"/>
      <c r="F122" s="779"/>
      <c r="G122" s="763"/>
      <c r="H122" s="763"/>
      <c r="I122" s="765"/>
      <c r="J122" s="763"/>
      <c r="K122" s="763"/>
      <c r="L122" s="766"/>
      <c r="M122" s="766"/>
      <c r="N122" s="766"/>
      <c r="O122" s="766"/>
      <c r="P122" s="766"/>
      <c r="Q122" s="767"/>
      <c r="R122" s="779"/>
      <c r="S122" s="780"/>
      <c r="T122" s="779"/>
      <c r="U122" s="531"/>
      <c r="V122" s="531"/>
      <c r="W122" s="531"/>
      <c r="X122" s="531"/>
      <c r="Y122" s="531"/>
      <c r="Z122" s="531"/>
      <c r="AA122" s="531"/>
      <c r="AB122" s="531"/>
      <c r="AC122" s="531"/>
      <c r="AD122" s="531"/>
      <c r="AE122" s="531"/>
      <c r="AF122" s="531"/>
      <c r="AG122" s="531"/>
      <c r="AH122" s="531"/>
      <c r="AI122" s="531"/>
      <c r="AJ122" s="531"/>
      <c r="AK122" s="531"/>
      <c r="AR122" s="531"/>
      <c r="AS122" s="779"/>
    </row>
    <row r="123" spans="1:45" s="520" customFormat="1" thickTop="1">
      <c r="A123" s="48" t="s">
        <v>148</v>
      </c>
      <c r="B123" s="3"/>
      <c r="C123" s="51"/>
      <c r="D123" s="51"/>
      <c r="E123" s="51"/>
      <c r="F123" s="51"/>
      <c r="G123" s="51"/>
      <c r="H123" s="51"/>
      <c r="I123" s="51"/>
      <c r="J123" s="51"/>
      <c r="K123" s="51"/>
      <c r="L123" s="51"/>
      <c r="M123" s="51"/>
      <c r="N123" s="51"/>
      <c r="O123" s="52"/>
      <c r="P123" s="51"/>
      <c r="Q123" s="51"/>
      <c r="R123" s="51"/>
      <c r="S123" s="51"/>
      <c r="T123" s="51"/>
      <c r="AR123" s="48" t="s">
        <v>148</v>
      </c>
      <c r="AS123" s="51"/>
    </row>
    <row r="124" spans="1:45" s="520" customFormat="1" ht="13.2">
      <c r="A124" s="51"/>
      <c r="B124" s="3"/>
      <c r="C124" s="3"/>
      <c r="E124" s="3"/>
      <c r="F124" s="3"/>
      <c r="G124" s="3"/>
      <c r="H124" s="3"/>
      <c r="I124" s="3"/>
      <c r="J124" s="3"/>
      <c r="K124" s="3"/>
      <c r="L124" s="3"/>
      <c r="M124" s="3"/>
      <c r="N124" s="3"/>
      <c r="O124" s="107"/>
      <c r="P124" s="3"/>
      <c r="Q124" s="3"/>
      <c r="R124" s="3"/>
      <c r="S124" s="3"/>
      <c r="T124" s="3"/>
      <c r="AR124" s="51"/>
      <c r="AS124" s="3"/>
    </row>
    <row r="125" spans="1:45" s="520" customFormat="1" ht="12">
      <c r="A125" s="51"/>
      <c r="B125" s="772">
        <f>$F125/$C$2-($R125*$S$2+$T125*$T$2)</f>
        <v>-3.3542399996804306E-3</v>
      </c>
      <c r="C125" s="51"/>
      <c r="D125" s="121" t="s">
        <v>315</v>
      </c>
      <c r="E125" s="774"/>
      <c r="F125" s="782">
        <f>SUMIF($L14:$L123,"PAGE",F14:F123)</f>
        <v>11152.23</v>
      </c>
      <c r="G125" s="758"/>
      <c r="H125" s="758"/>
      <c r="I125" s="519"/>
      <c r="J125" s="758"/>
      <c r="K125" s="758"/>
      <c r="L125" s="121" t="s">
        <v>1075</v>
      </c>
      <c r="M125" s="121"/>
      <c r="N125" s="121"/>
      <c r="O125" s="122"/>
      <c r="P125" s="121"/>
      <c r="Q125" s="51"/>
      <c r="R125" s="782">
        <f>SUMIF($L14:$L123,"PAGE",R14:R123)</f>
        <v>8068.4</v>
      </c>
      <c r="S125" s="51"/>
      <c r="T125" s="782">
        <f>SUMIF($L14:$L123,"PAGE",T14:T123)</f>
        <v>36</v>
      </c>
      <c r="AR125" s="51"/>
      <c r="AS125" s="782">
        <v>11287.49</v>
      </c>
    </row>
    <row r="126" spans="1:45" s="520" customFormat="1" ht="12">
      <c r="A126" s="51"/>
      <c r="B126" s="49" t="s">
        <v>1064</v>
      </c>
      <c r="C126" s="51"/>
      <c r="D126" s="781"/>
      <c r="F126" s="783" t="s">
        <v>1076</v>
      </c>
      <c r="G126" s="758"/>
      <c r="H126" s="758"/>
      <c r="I126" s="519"/>
      <c r="J126" s="758"/>
      <c r="K126" s="758"/>
      <c r="L126" s="51"/>
      <c r="M126" s="51"/>
      <c r="N126" s="51"/>
      <c r="O126" s="52"/>
      <c r="P126" s="51"/>
      <c r="Q126" s="51"/>
      <c r="R126" s="783" t="s">
        <v>1077</v>
      </c>
      <c r="S126" s="38"/>
      <c r="T126" s="783" t="s">
        <v>1078</v>
      </c>
      <c r="AR126" s="51"/>
      <c r="AS126" s="783" t="s">
        <v>1076</v>
      </c>
    </row>
    <row r="127" spans="1:45" s="520" customFormat="1" ht="11.4">
      <c r="O127" s="771"/>
    </row>
    <row r="128" spans="1:45" s="520" customFormat="1" ht="12" thickBot="1">
      <c r="A128" s="763"/>
      <c r="B128" s="763"/>
      <c r="C128" s="763"/>
      <c r="D128" s="763"/>
      <c r="E128" s="763"/>
      <c r="F128" s="39"/>
      <c r="G128" s="531"/>
      <c r="H128" s="531"/>
      <c r="I128" s="531"/>
      <c r="J128" s="531"/>
      <c r="K128" s="531"/>
      <c r="L128" s="763"/>
      <c r="M128" s="763"/>
      <c r="N128" s="763"/>
      <c r="O128" s="763"/>
      <c r="P128" s="763"/>
      <c r="Q128" s="767"/>
      <c r="R128" s="39"/>
      <c r="S128" s="39"/>
      <c r="T128" s="39"/>
      <c r="U128" s="531"/>
      <c r="V128" s="531"/>
      <c r="W128" s="531"/>
      <c r="X128" s="531"/>
      <c r="Y128" s="531"/>
      <c r="Z128" s="531"/>
      <c r="AA128" s="531"/>
      <c r="AB128" s="531"/>
      <c r="AC128" s="531"/>
      <c r="AD128" s="531"/>
      <c r="AE128" s="531"/>
      <c r="AF128" s="531"/>
      <c r="AG128" s="531"/>
      <c r="AH128" s="531"/>
      <c r="AI128" s="531"/>
      <c r="AJ128" s="531"/>
      <c r="AK128" s="531"/>
      <c r="AR128" s="763"/>
      <c r="AS128" s="39"/>
    </row>
    <row r="129" spans="1:45" s="520" customFormat="1" thickTop="1">
      <c r="A129" s="51"/>
      <c r="B129" s="51"/>
      <c r="C129" s="3"/>
      <c r="D129" s="3"/>
      <c r="E129" s="51"/>
      <c r="F129" s="51"/>
      <c r="G129" s="51"/>
      <c r="H129" s="51"/>
      <c r="I129" s="51"/>
      <c r="J129" s="51"/>
      <c r="K129" s="51" t="s">
        <v>134</v>
      </c>
      <c r="L129" s="51"/>
      <c r="M129" s="51"/>
      <c r="N129" s="51"/>
      <c r="O129" s="52"/>
      <c r="P129" s="51"/>
      <c r="Q129" s="51"/>
      <c r="R129" s="51"/>
      <c r="S129" s="51"/>
      <c r="T129" s="51"/>
      <c r="AR129" s="51"/>
      <c r="AS129" s="51"/>
    </row>
    <row r="130" spans="1:45" s="520" customFormat="1" ht="12">
      <c r="A130" s="51"/>
      <c r="B130" s="51"/>
      <c r="C130" s="51" t="s">
        <v>135</v>
      </c>
      <c r="D130" s="37" t="s">
        <v>1079</v>
      </c>
      <c r="E130" s="51"/>
      <c r="F130" s="51"/>
      <c r="G130" s="51"/>
      <c r="H130" s="51"/>
      <c r="I130" s="51"/>
      <c r="J130" s="51"/>
      <c r="K130" s="51"/>
      <c r="L130" s="51"/>
      <c r="M130" s="51"/>
      <c r="N130" s="51"/>
      <c r="O130" s="52"/>
      <c r="P130" s="51"/>
      <c r="Q130" s="51"/>
      <c r="R130" s="51"/>
      <c r="S130" s="51"/>
      <c r="T130" s="51"/>
      <c r="AR130" s="51"/>
      <c r="AS130" s="51"/>
    </row>
    <row r="131" spans="1:45" s="520" customFormat="1" ht="12">
      <c r="A131" s="51"/>
      <c r="B131" s="51"/>
      <c r="C131" s="51"/>
      <c r="D131" s="37" t="s">
        <v>462</v>
      </c>
      <c r="E131" s="51"/>
      <c r="F131" s="51"/>
      <c r="G131" s="51"/>
      <c r="H131" s="51"/>
      <c r="I131" s="51"/>
      <c r="J131" s="51"/>
      <c r="K131" s="51"/>
      <c r="L131" s="51"/>
      <c r="M131" s="51"/>
      <c r="N131" s="51"/>
      <c r="O131" s="52"/>
      <c r="P131" s="51"/>
      <c r="Q131" s="51"/>
      <c r="R131" s="51"/>
      <c r="S131" s="38"/>
      <c r="T131" s="38"/>
      <c r="AR131" s="51"/>
      <c r="AS131" s="51"/>
    </row>
    <row r="132" spans="1:45" s="3" customFormat="1" thickBot="1">
      <c r="A132" s="531"/>
      <c r="O132" s="107"/>
      <c r="AR132" s="531"/>
    </row>
    <row r="133" spans="1:45" s="520" customFormat="1" thickTop="1">
      <c r="A133" s="51"/>
      <c r="B133" s="51"/>
      <c r="C133" s="3"/>
      <c r="D133" s="3"/>
      <c r="E133" s="51"/>
      <c r="F133" s="51"/>
      <c r="G133" s="51"/>
      <c r="H133" s="51"/>
      <c r="I133" s="51"/>
      <c r="J133" s="51"/>
      <c r="K133" s="51" t="s">
        <v>134</v>
      </c>
      <c r="L133" s="51"/>
      <c r="M133" s="51"/>
      <c r="N133" s="51"/>
      <c r="O133" s="52"/>
      <c r="P133" s="51"/>
      <c r="Q133" s="51"/>
      <c r="R133" s="51"/>
      <c r="S133" s="51"/>
      <c r="T133" s="51"/>
      <c r="AR133" s="51"/>
      <c r="AS133" s="51"/>
    </row>
    <row r="134" spans="1:45" s="520" customFormat="1" ht="12">
      <c r="A134" s="51"/>
      <c r="B134" s="51"/>
      <c r="C134" s="51" t="s">
        <v>135</v>
      </c>
      <c r="D134" s="37"/>
      <c r="E134" s="51"/>
      <c r="F134" s="51"/>
      <c r="G134" s="51"/>
      <c r="H134" s="51"/>
      <c r="I134" s="51"/>
      <c r="J134" s="51"/>
      <c r="K134" s="51"/>
      <c r="L134" s="51"/>
      <c r="M134" s="51"/>
      <c r="N134" s="51"/>
      <c r="O134" s="52"/>
      <c r="P134" s="51"/>
      <c r="Q134" s="51"/>
      <c r="R134" s="51"/>
      <c r="S134" s="51"/>
      <c r="T134" s="51"/>
      <c r="AR134" s="51"/>
      <c r="AS134" s="51"/>
    </row>
    <row r="135" spans="1:45" s="520" customFormat="1" ht="12">
      <c r="A135" s="51"/>
      <c r="B135" s="51"/>
      <c r="C135" s="51"/>
      <c r="D135" s="37" t="s">
        <v>463</v>
      </c>
      <c r="E135" s="51"/>
      <c r="F135" s="51"/>
      <c r="G135" s="51"/>
      <c r="H135" s="51"/>
      <c r="I135" s="51"/>
      <c r="J135" s="51"/>
      <c r="K135" s="51"/>
      <c r="L135" s="51"/>
      <c r="M135" s="51"/>
      <c r="N135" s="51"/>
      <c r="O135" s="52"/>
      <c r="P135" s="51"/>
      <c r="Q135" s="51"/>
      <c r="R135" s="51"/>
      <c r="S135" s="38"/>
      <c r="T135" s="38"/>
      <c r="AR135" s="51"/>
      <c r="AS135" s="51"/>
    </row>
    <row r="136" spans="1:45" s="3" customFormat="1" thickBot="1">
      <c r="A136" s="531"/>
      <c r="O136" s="107"/>
      <c r="AR136" s="531"/>
    </row>
    <row r="137" spans="1:45" s="520" customFormat="1" thickTop="1">
      <c r="A137" s="51"/>
      <c r="B137" s="41"/>
      <c r="C137" s="51"/>
      <c r="E137" s="42" t="s">
        <v>138</v>
      </c>
      <c r="F137" s="42" t="s">
        <v>139</v>
      </c>
      <c r="G137" s="51"/>
      <c r="H137" s="51"/>
      <c r="I137" s="51"/>
      <c r="J137" s="51"/>
      <c r="K137" s="51" t="s">
        <v>140</v>
      </c>
      <c r="L137" s="785"/>
      <c r="M137" s="51"/>
      <c r="N137" s="51"/>
      <c r="O137" s="52"/>
      <c r="P137" s="51"/>
      <c r="Q137" s="535"/>
      <c r="R137"/>
      <c r="S137"/>
      <c r="T137" s="41"/>
      <c r="AG137" s="521" t="s">
        <v>268</v>
      </c>
      <c r="AH137" s="521" t="s">
        <v>269</v>
      </c>
      <c r="AI137" s="521" t="s">
        <v>270</v>
      </c>
      <c r="AJ137" s="521" t="s">
        <v>271</v>
      </c>
      <c r="AK137" s="521" t="s">
        <v>272</v>
      </c>
      <c r="AM137" s="745" t="s">
        <v>281</v>
      </c>
      <c r="AN137" s="746" t="s">
        <v>282</v>
      </c>
      <c r="AO137" s="522" t="s">
        <v>278</v>
      </c>
      <c r="AR137" s="51"/>
      <c r="AS137" s="42" t="s">
        <v>139</v>
      </c>
    </row>
    <row r="138" spans="1:45" s="520" customFormat="1" ht="13.2">
      <c r="A138" s="747">
        <v>1</v>
      </c>
      <c r="B138" s="523" t="s">
        <v>141</v>
      </c>
      <c r="C138" s="748"/>
      <c r="D138" s="749" t="s">
        <v>1080</v>
      </c>
      <c r="E138" s="786">
        <f>IF(AND($A138=0,$A$1="DIF"),0, ROUND(ROUND(SUMIF($L140:$L157,"SUBI",$E140:$E157)/$A138,2)*$C$12,2))</f>
        <v>96011.57</v>
      </c>
      <c r="F138" s="787">
        <f>ROUND($A138*$E138,2)</f>
        <v>96011.57</v>
      </c>
      <c r="G138" s="752" t="s">
        <v>142</v>
      </c>
      <c r="H138" s="753"/>
      <c r="I138" s="754"/>
      <c r="J138" s="753"/>
      <c r="K138" s="788"/>
      <c r="L138" s="789" t="s">
        <v>143</v>
      </c>
      <c r="M138" s="755"/>
      <c r="N138" s="755"/>
      <c r="O138" s="755"/>
      <c r="P138" s="755"/>
      <c r="Q138" s="535"/>
      <c r="R138"/>
      <c r="S138"/>
      <c r="T138" s="790" t="str">
        <f>IF(AND($R163=0,$T163=0),"0.00","mu :" &amp; ROUND($F138/$C$12/($R163+$T163*$D$9),2))</f>
        <v>mu :1.18</v>
      </c>
      <c r="W138" s="524"/>
      <c r="AG138" s="791">
        <f>IF(A138=0,0,ROUND(SUM(AG140:AG163)/A138,2))</f>
        <v>94367.92</v>
      </c>
      <c r="AH138" s="791">
        <f>$AG138*$A138</f>
        <v>94367.92</v>
      </c>
      <c r="AI138" s="791">
        <f>$E138-$AG138</f>
        <v>1643.6500000000087</v>
      </c>
      <c r="AJ138" s="791">
        <f>$A138*$AI138</f>
        <v>1643.6500000000087</v>
      </c>
      <c r="AK138" s="792">
        <f>ROUND(($AG138+$AI138)*$A138,2)</f>
        <v>96011.57</v>
      </c>
      <c r="AM138" s="527">
        <f>ROUND(R163,2)</f>
        <v>79970.240000000005</v>
      </c>
      <c r="AN138" s="528">
        <f>ROUND(T163,2)</f>
        <v>50.72</v>
      </c>
      <c r="AO138" s="529">
        <f>ROUND(AM138+AN138,2)*A138</f>
        <v>80020.960000000006</v>
      </c>
      <c r="AR138" s="747">
        <v>2</v>
      </c>
      <c r="AS138" s="787">
        <v>185409.48</v>
      </c>
    </row>
    <row r="139" spans="1:45" s="520" customFormat="1" ht="39.9" customHeight="1">
      <c r="A139" s="793"/>
      <c r="B139" s="794"/>
      <c r="C139" s="748"/>
      <c r="D139" s="1451" t="s">
        <v>1081</v>
      </c>
      <c r="E139" s="1452"/>
      <c r="F139" s="1452"/>
      <c r="G139" s="1452"/>
      <c r="H139" s="1452"/>
      <c r="I139" s="1452"/>
      <c r="J139" s="1452"/>
      <c r="K139" s="1452"/>
      <c r="L139" s="1452"/>
      <c r="M139" s="1452"/>
      <c r="N139" s="1452"/>
      <c r="O139" s="1452"/>
      <c r="P139" s="1452"/>
      <c r="Q139" s="1452"/>
      <c r="R139" s="1452"/>
      <c r="S139" s="1452"/>
      <c r="T139" s="1452"/>
      <c r="AR139" s="793"/>
    </row>
    <row r="140" spans="1:45" s="520" customFormat="1" ht="12">
      <c r="A140" s="795"/>
      <c r="B140" s="796"/>
      <c r="C140" s="758"/>
      <c r="D140" s="753"/>
      <c r="E140" s="797">
        <f>F138/$C$12-SUMIF($L137:$L163,"SUBI",$E137:$E163)</f>
        <v>0</v>
      </c>
      <c r="F140" s="798" t="s">
        <v>2054</v>
      </c>
      <c r="G140" s="799"/>
      <c r="H140" s="799"/>
      <c r="I140" s="800"/>
      <c r="J140" s="799"/>
      <c r="K140" s="799"/>
      <c r="L140" s="801"/>
      <c r="M140" s="802"/>
      <c r="N140" s="802"/>
      <c r="O140" s="802"/>
      <c r="P140" s="802"/>
      <c r="Q140" s="803"/>
      <c r="R140" s="804"/>
      <c r="S140" s="803"/>
      <c r="T140" s="805"/>
      <c r="AR140" s="795"/>
      <c r="AS140" s="798" t="s">
        <v>2054</v>
      </c>
    </row>
    <row r="141" spans="1:45" s="520" customFormat="1" ht="12" customHeight="1">
      <c r="A141" s="806"/>
      <c r="B141" s="1228"/>
      <c r="C141" s="1229"/>
      <c r="D141" s="1229" t="str">
        <f>$F$8</f>
        <v>Main Equipment (Gen Set / Main Switchboards)</v>
      </c>
      <c r="E141" s="1229">
        <f>ROUND(($R156*$S$8 + ($T156*$T$8)),2)</f>
        <v>96011.57</v>
      </c>
      <c r="F141" s="1230">
        <f>$E141*$C$12</f>
        <v>96011.57</v>
      </c>
      <c r="G141" s="530"/>
      <c r="H141" s="810"/>
      <c r="I141" s="530"/>
      <c r="J141" s="52"/>
      <c r="K141" s="811" t="s">
        <v>15</v>
      </c>
      <c r="L141" s="812" t="s">
        <v>2055</v>
      </c>
      <c r="M141" s="530"/>
      <c r="N141" s="530"/>
      <c r="O141" s="52"/>
      <c r="P141" s="530"/>
      <c r="Q141" s="530"/>
      <c r="R141"/>
      <c r="S141"/>
      <c r="T141"/>
      <c r="AR141" s="806"/>
      <c r="AS141" s="1230">
        <v>185409.47</v>
      </c>
    </row>
    <row r="142" spans="1:45" s="901" customFormat="1" ht="13.2">
      <c r="A142" s="116">
        <v>1</v>
      </c>
      <c r="B142" s="901" t="s">
        <v>2755</v>
      </c>
      <c r="D142" s="901" t="s">
        <v>2756</v>
      </c>
      <c r="G142" s="941" t="s">
        <v>2757</v>
      </c>
      <c r="H142" s="942">
        <v>845</v>
      </c>
      <c r="I142" s="901" t="s">
        <v>2607</v>
      </c>
      <c r="O142" s="943">
        <v>3</v>
      </c>
      <c r="P142" s="944"/>
      <c r="Q142" s="945">
        <f>65835+1500</f>
        <v>67335</v>
      </c>
      <c r="R142" s="946">
        <f t="shared" ref="R142:R147" si="30">$A142*Q142</f>
        <v>67335</v>
      </c>
      <c r="S142" s="945"/>
      <c r="T142" s="947">
        <f t="shared" ref="T142:T147" si="31">$A142*S142*$T$1</f>
        <v>0</v>
      </c>
      <c r="U142" s="520"/>
      <c r="AR142" s="116">
        <v>2</v>
      </c>
    </row>
    <row r="143" spans="1:45" s="901" customFormat="1" ht="13.2">
      <c r="A143" s="116">
        <v>1</v>
      </c>
      <c r="B143" s="901" t="s">
        <v>2755</v>
      </c>
      <c r="D143" s="901" t="s">
        <v>4077</v>
      </c>
      <c r="G143" s="941" t="s">
        <v>2757</v>
      </c>
      <c r="H143" s="942">
        <v>845</v>
      </c>
      <c r="I143" s="901" t="s">
        <v>2607</v>
      </c>
      <c r="O143" s="943">
        <v>3</v>
      </c>
      <c r="P143" s="944"/>
      <c r="Q143" s="945">
        <v>4140</v>
      </c>
      <c r="R143" s="946">
        <f t="shared" ref="R143" si="32">$A143*Q143</f>
        <v>4140</v>
      </c>
      <c r="S143" s="945"/>
      <c r="T143" s="947">
        <f t="shared" ref="T143" si="33">$A143*S143*$T$1</f>
        <v>0</v>
      </c>
      <c r="U143" s="520"/>
      <c r="AR143" s="116">
        <v>2</v>
      </c>
    </row>
    <row r="144" spans="1:45" s="901" customFormat="1" ht="13.2">
      <c r="A144" s="116">
        <v>1</v>
      </c>
      <c r="B144" s="901" t="s">
        <v>863</v>
      </c>
      <c r="D144" s="901" t="s">
        <v>2752</v>
      </c>
      <c r="E144" s="1053"/>
      <c r="F144" s="901" t="s">
        <v>2753</v>
      </c>
      <c r="G144" s="941" t="s">
        <v>2754</v>
      </c>
      <c r="H144" s="942">
        <v>962</v>
      </c>
      <c r="I144" s="901" t="s">
        <v>2596</v>
      </c>
      <c r="O144" s="943">
        <v>2</v>
      </c>
      <c r="P144" s="944">
        <v>38129</v>
      </c>
      <c r="Q144" s="945">
        <v>3000</v>
      </c>
      <c r="R144" s="946">
        <f t="shared" ref="R144" si="34">$A144*Q144</f>
        <v>3000</v>
      </c>
      <c r="S144" s="945">
        <f>2*8*2</f>
        <v>32</v>
      </c>
      <c r="T144" s="947">
        <f t="shared" ref="T144" si="35">$A144*S144*$T$1</f>
        <v>28.8</v>
      </c>
      <c r="U144" s="520"/>
      <c r="AR144" s="116">
        <v>2</v>
      </c>
      <c r="AS144" s="901" t="s">
        <v>2753</v>
      </c>
    </row>
    <row r="145" spans="1:257" s="901" customFormat="1" ht="13.2">
      <c r="A145">
        <v>1</v>
      </c>
      <c r="B145" s="901" t="s">
        <v>141</v>
      </c>
      <c r="D145" s="901" t="s">
        <v>2758</v>
      </c>
      <c r="E145" s="901" t="s">
        <v>2759</v>
      </c>
      <c r="G145" s="941" t="s">
        <v>2760</v>
      </c>
      <c r="H145" s="942">
        <v>501</v>
      </c>
      <c r="I145" s="901" t="s">
        <v>2607</v>
      </c>
      <c r="K145" s="901" t="s">
        <v>2761</v>
      </c>
      <c r="O145" s="943">
        <v>1</v>
      </c>
      <c r="P145" s="944"/>
      <c r="Q145" s="945">
        <v>1200</v>
      </c>
      <c r="R145" s="946">
        <f t="shared" si="30"/>
        <v>1200</v>
      </c>
      <c r="S145" s="945"/>
      <c r="T145" s="947">
        <f t="shared" si="31"/>
        <v>0</v>
      </c>
      <c r="AR145">
        <v>2</v>
      </c>
    </row>
    <row r="146" spans="1:257" s="901" customFormat="1" ht="13.2">
      <c r="A146" s="116">
        <v>1</v>
      </c>
      <c r="B146" s="901" t="s">
        <v>863</v>
      </c>
      <c r="D146" s="901" t="s">
        <v>2762</v>
      </c>
      <c r="F146" s="904" t="s">
        <v>3617</v>
      </c>
      <c r="G146" s="941" t="s">
        <v>2763</v>
      </c>
      <c r="H146" s="942">
        <v>902</v>
      </c>
      <c r="I146" s="901" t="s">
        <v>2596</v>
      </c>
      <c r="O146" s="943">
        <v>3</v>
      </c>
      <c r="P146" s="944">
        <v>38317</v>
      </c>
      <c r="Q146" s="1063"/>
      <c r="R146" s="946">
        <f t="shared" si="30"/>
        <v>0</v>
      </c>
      <c r="S146" s="945"/>
      <c r="T146" s="947">
        <f t="shared" si="31"/>
        <v>0</v>
      </c>
      <c r="U146" s="520" t="s">
        <v>2764</v>
      </c>
      <c r="AR146" s="116">
        <v>2</v>
      </c>
      <c r="AS146" s="904" t="s">
        <v>3617</v>
      </c>
    </row>
    <row r="147" spans="1:257" s="520" customFormat="1" ht="13.2">
      <c r="A147" s="116">
        <v>2000</v>
      </c>
      <c r="B147" s="901" t="s">
        <v>2765</v>
      </c>
      <c r="C147" s="901"/>
      <c r="D147" s="901" t="s">
        <v>2766</v>
      </c>
      <c r="E147" s="901"/>
      <c r="F147" s="901"/>
      <c r="G147" s="941" t="s">
        <v>2767</v>
      </c>
      <c r="H147" s="942">
        <v>875</v>
      </c>
      <c r="I147" s="901" t="s">
        <v>2607</v>
      </c>
      <c r="J147" s="901"/>
      <c r="K147" s="901" t="s">
        <v>2768</v>
      </c>
      <c r="L147" s="901"/>
      <c r="M147" s="901"/>
      <c r="N147" s="901"/>
      <c r="O147" s="943">
        <v>3</v>
      </c>
      <c r="P147" s="944"/>
      <c r="Q147" s="945">
        <v>1.35</v>
      </c>
      <c r="R147" s="946">
        <f t="shared" si="30"/>
        <v>2700</v>
      </c>
      <c r="S147" s="945"/>
      <c r="T147" s="947">
        <f t="shared" si="31"/>
        <v>0</v>
      </c>
      <c r="U147" s="901"/>
      <c r="V147" s="901"/>
      <c r="W147" s="901"/>
      <c r="X147" s="901"/>
      <c r="Y147" s="901"/>
      <c r="Z147" s="901"/>
      <c r="AA147" s="901"/>
      <c r="AB147" s="901"/>
      <c r="AC147" s="901"/>
      <c r="AD147" s="901"/>
      <c r="AE147" s="901"/>
      <c r="AF147" s="901"/>
      <c r="AG147" s="901"/>
      <c r="AH147" s="901"/>
      <c r="AI147" s="901"/>
      <c r="AJ147" s="901"/>
      <c r="AK147" s="901"/>
      <c r="AL147" s="901"/>
      <c r="AM147" s="901"/>
      <c r="AN147" s="901"/>
      <c r="AO147" s="901"/>
      <c r="AP147" s="901"/>
      <c r="AQ147" s="901"/>
      <c r="AR147" s="116">
        <v>2000</v>
      </c>
      <c r="AS147" s="901"/>
      <c r="AT147" s="901"/>
      <c r="AU147" s="901"/>
      <c r="AV147" s="901"/>
      <c r="AW147" s="901"/>
      <c r="AX147" s="901"/>
      <c r="AY147" s="901"/>
      <c r="AZ147" s="901"/>
      <c r="BA147" s="901"/>
      <c r="BB147" s="901"/>
      <c r="BC147" s="901"/>
      <c r="BD147" s="901"/>
      <c r="BE147" s="901"/>
      <c r="BF147" s="901"/>
      <c r="BG147" s="901"/>
      <c r="BH147" s="901"/>
      <c r="BI147" s="901"/>
      <c r="BJ147" s="901"/>
      <c r="BK147" s="901"/>
      <c r="BL147" s="901"/>
      <c r="BM147" s="901"/>
      <c r="BN147" s="901"/>
      <c r="BO147" s="901"/>
      <c r="BP147" s="901"/>
      <c r="BQ147" s="901"/>
      <c r="BR147" s="901"/>
      <c r="BS147" s="901"/>
      <c r="BT147" s="901"/>
      <c r="BU147" s="901"/>
      <c r="BV147" s="901"/>
      <c r="BW147" s="901"/>
      <c r="BX147" s="901"/>
      <c r="BY147" s="901"/>
      <c r="BZ147" s="901"/>
      <c r="CA147" s="901"/>
      <c r="CB147" s="901"/>
      <c r="CC147" s="901"/>
      <c r="CD147" s="901"/>
      <c r="CE147" s="901"/>
      <c r="CF147" s="901"/>
      <c r="CG147" s="901"/>
      <c r="CH147" s="901"/>
      <c r="CI147" s="901"/>
      <c r="CJ147" s="901"/>
      <c r="CK147" s="901"/>
      <c r="CL147" s="901"/>
      <c r="CM147" s="901"/>
      <c r="CN147" s="901"/>
      <c r="CO147" s="901"/>
      <c r="CP147" s="901"/>
      <c r="CQ147" s="901"/>
      <c r="CR147" s="901"/>
      <c r="CS147" s="901"/>
      <c r="CT147" s="901"/>
      <c r="CU147" s="901"/>
      <c r="CV147" s="901"/>
      <c r="CW147" s="901"/>
      <c r="CX147" s="901"/>
      <c r="CY147" s="901"/>
      <c r="CZ147" s="901"/>
      <c r="DA147" s="901"/>
      <c r="DB147" s="901"/>
      <c r="DC147" s="901"/>
      <c r="DD147" s="901"/>
      <c r="DE147" s="901"/>
      <c r="DF147" s="901"/>
      <c r="DG147" s="901"/>
      <c r="DH147" s="901"/>
      <c r="DI147" s="901"/>
      <c r="DJ147" s="901"/>
      <c r="DK147" s="901"/>
      <c r="DL147" s="901"/>
      <c r="DM147" s="901"/>
      <c r="DN147" s="901"/>
      <c r="DO147" s="901"/>
      <c r="DP147" s="901"/>
      <c r="DQ147" s="901"/>
      <c r="DR147" s="901"/>
      <c r="DS147" s="901"/>
      <c r="DT147" s="901"/>
      <c r="DU147" s="901"/>
      <c r="DV147" s="901"/>
      <c r="DW147" s="901"/>
      <c r="DX147" s="901"/>
      <c r="DY147" s="901"/>
      <c r="DZ147" s="901"/>
      <c r="EA147" s="901"/>
      <c r="EB147" s="901"/>
      <c r="EC147" s="901"/>
      <c r="ED147" s="901"/>
      <c r="EE147" s="901"/>
      <c r="EF147" s="901"/>
      <c r="EG147" s="901"/>
      <c r="EH147" s="901"/>
      <c r="EI147" s="901"/>
      <c r="EJ147" s="901"/>
      <c r="EK147" s="901"/>
      <c r="EL147" s="901"/>
      <c r="EM147" s="901"/>
      <c r="EN147" s="901"/>
      <c r="EO147" s="901"/>
      <c r="EP147" s="901"/>
      <c r="EQ147" s="901"/>
      <c r="ER147" s="901"/>
      <c r="ES147" s="901"/>
      <c r="ET147" s="901"/>
      <c r="EU147" s="901"/>
      <c r="EV147" s="901"/>
      <c r="EW147" s="901"/>
      <c r="EX147" s="901"/>
      <c r="EY147" s="901"/>
      <c r="EZ147" s="901"/>
      <c r="FA147" s="901"/>
      <c r="FB147" s="901"/>
      <c r="FC147" s="901"/>
      <c r="FD147" s="901"/>
      <c r="FE147" s="901"/>
      <c r="FF147" s="901"/>
      <c r="FG147" s="901"/>
      <c r="FH147" s="901"/>
      <c r="FI147" s="901"/>
      <c r="FJ147" s="901"/>
      <c r="FK147" s="901"/>
      <c r="FL147" s="901"/>
      <c r="FM147" s="901"/>
      <c r="FN147" s="901"/>
      <c r="FO147" s="901"/>
      <c r="FP147" s="901"/>
      <c r="FQ147" s="901"/>
      <c r="FR147" s="901"/>
      <c r="FS147" s="901"/>
      <c r="FT147" s="901"/>
      <c r="FU147" s="901"/>
      <c r="FV147" s="901"/>
      <c r="FW147" s="901"/>
      <c r="FX147" s="901"/>
      <c r="FY147" s="901"/>
      <c r="FZ147" s="901"/>
      <c r="GA147" s="901"/>
      <c r="GB147" s="901"/>
      <c r="GC147" s="901"/>
      <c r="GD147" s="901"/>
      <c r="GE147" s="901"/>
      <c r="GF147" s="901"/>
      <c r="GG147" s="901"/>
      <c r="GH147" s="901"/>
      <c r="GI147" s="901"/>
      <c r="GJ147" s="901"/>
      <c r="GK147" s="901"/>
      <c r="GL147" s="901"/>
      <c r="GM147" s="901"/>
      <c r="GN147" s="901"/>
      <c r="GO147" s="901"/>
      <c r="GP147" s="901"/>
      <c r="GQ147" s="901"/>
      <c r="GR147" s="901"/>
      <c r="GS147" s="901"/>
      <c r="GT147" s="901"/>
      <c r="GU147" s="901"/>
      <c r="GV147" s="901"/>
      <c r="GW147" s="901"/>
      <c r="GX147" s="901"/>
      <c r="GY147" s="901"/>
      <c r="GZ147" s="901"/>
      <c r="HA147" s="901"/>
      <c r="HB147" s="901"/>
      <c r="HC147" s="901"/>
      <c r="HD147" s="901"/>
      <c r="HE147" s="901"/>
      <c r="HF147" s="901"/>
      <c r="HG147" s="901"/>
      <c r="HH147" s="901"/>
      <c r="HI147" s="901"/>
      <c r="HJ147" s="901"/>
      <c r="HK147" s="901"/>
      <c r="HL147" s="901"/>
      <c r="HM147" s="901"/>
      <c r="HN147" s="901"/>
      <c r="HO147" s="901"/>
      <c r="HP147" s="901"/>
      <c r="HQ147" s="901"/>
      <c r="HR147" s="901"/>
      <c r="HS147" s="901"/>
      <c r="HT147" s="901"/>
      <c r="HU147" s="901"/>
      <c r="HV147" s="901"/>
      <c r="HW147" s="901"/>
      <c r="HX147" s="901"/>
      <c r="HY147" s="901"/>
      <c r="HZ147" s="901"/>
      <c r="IA147" s="901"/>
      <c r="IB147" s="901"/>
      <c r="IC147" s="901"/>
      <c r="ID147" s="901"/>
      <c r="IE147" s="901"/>
      <c r="IF147" s="901"/>
      <c r="IG147" s="901"/>
      <c r="IH147" s="901"/>
      <c r="II147" s="901"/>
      <c r="IJ147" s="901"/>
      <c r="IK147" s="901"/>
      <c r="IL147" s="901"/>
      <c r="IM147" s="901"/>
      <c r="IN147" s="901"/>
      <c r="IO147" s="901"/>
      <c r="IP147" s="901"/>
      <c r="IQ147" s="901"/>
      <c r="IR147" s="901"/>
      <c r="IS147" s="901"/>
      <c r="IT147" s="901"/>
      <c r="IU147" s="901"/>
      <c r="IV147" s="901"/>
      <c r="IW147" s="901"/>
    </row>
    <row r="148" spans="1:257" s="901" customFormat="1" ht="13.2">
      <c r="A148" s="116">
        <v>1</v>
      </c>
      <c r="B148" s="901" t="s">
        <v>863</v>
      </c>
      <c r="D148" s="901" t="s">
        <v>2769</v>
      </c>
      <c r="E148" s="1053"/>
      <c r="G148" s="941" t="s">
        <v>2754</v>
      </c>
      <c r="H148" s="942">
        <v>962</v>
      </c>
      <c r="I148" s="901" t="s">
        <v>2596</v>
      </c>
      <c r="O148" s="943">
        <v>2</v>
      </c>
      <c r="P148" s="944">
        <v>38129</v>
      </c>
      <c r="Q148" s="945">
        <v>500</v>
      </c>
      <c r="R148" s="946">
        <f>$A148*Q148</f>
        <v>500</v>
      </c>
      <c r="S148" s="945"/>
      <c r="T148" s="947">
        <f>$A148*S148*$T$1</f>
        <v>0</v>
      </c>
      <c r="U148" s="520"/>
      <c r="AR148" s="116">
        <v>2</v>
      </c>
    </row>
    <row r="149" spans="1:257" s="901" customFormat="1" ht="13.2">
      <c r="A149" s="116"/>
      <c r="D149" s="1160" t="s">
        <v>3654</v>
      </c>
      <c r="E149" s="1053"/>
      <c r="G149" s="941"/>
      <c r="H149" s="942"/>
      <c r="O149" s="943"/>
      <c r="P149" s="944"/>
      <c r="Q149" s="945"/>
      <c r="R149" s="946"/>
      <c r="S149" s="945"/>
      <c r="T149" s="947"/>
      <c r="U149" s="520"/>
      <c r="AR149" s="116"/>
    </row>
    <row r="150" spans="1:257" s="901" customFormat="1" ht="12" customHeight="1">
      <c r="A150" s="1204">
        <v>150</v>
      </c>
      <c r="B150" s="901" t="s">
        <v>320</v>
      </c>
      <c r="C150" s="901">
        <v>220</v>
      </c>
      <c r="D150" s="901" t="s">
        <v>3655</v>
      </c>
      <c r="F150" s="901" t="s">
        <v>3211</v>
      </c>
      <c r="G150" s="941" t="s">
        <v>3656</v>
      </c>
      <c r="H150" s="942">
        <v>616</v>
      </c>
      <c r="I150" s="901" t="s">
        <v>2272</v>
      </c>
      <c r="J150" s="901" t="s">
        <v>2716</v>
      </c>
      <c r="O150" s="943">
        <v>2</v>
      </c>
      <c r="P150" s="944">
        <v>40767</v>
      </c>
      <c r="Q150" s="1194">
        <f>(6.05*1.15)*0.96</f>
        <v>6.6791999999999989</v>
      </c>
      <c r="R150" s="946">
        <f t="shared" ref="R150:R154" si="36">$A150*Q150</f>
        <v>1001.8799999999999</v>
      </c>
      <c r="S150" s="945">
        <v>0.12</v>
      </c>
      <c r="T150" s="947">
        <f t="shared" ref="T150:T154" si="37">$A150*S150*$T$1</f>
        <v>16.2</v>
      </c>
      <c r="AR150" s="1204">
        <v>150</v>
      </c>
      <c r="AS150" s="901" t="s">
        <v>3211</v>
      </c>
    </row>
    <row r="151" spans="1:257" s="901" customFormat="1" ht="13.2">
      <c r="A151" s="1204">
        <v>150</v>
      </c>
      <c r="B151" s="901" t="s">
        <v>141</v>
      </c>
      <c r="C151" s="901">
        <v>220</v>
      </c>
      <c r="D151" s="901" t="s">
        <v>2605</v>
      </c>
      <c r="G151" s="941" t="s">
        <v>2606</v>
      </c>
      <c r="H151" s="942">
        <v>875</v>
      </c>
      <c r="I151" s="901" t="s">
        <v>2607</v>
      </c>
      <c r="K151" s="901" t="s">
        <v>2608</v>
      </c>
      <c r="O151" s="943">
        <v>1</v>
      </c>
      <c r="P151" s="944">
        <v>34669</v>
      </c>
      <c r="Q151" s="945">
        <v>0.05</v>
      </c>
      <c r="R151" s="946">
        <f t="shared" si="36"/>
        <v>7.5</v>
      </c>
      <c r="S151" s="945"/>
      <c r="T151" s="947">
        <f t="shared" si="37"/>
        <v>0</v>
      </c>
      <c r="AR151" s="1204">
        <v>150</v>
      </c>
    </row>
    <row r="152" spans="1:257" s="520" customFormat="1" ht="13.2">
      <c r="A152">
        <v>6</v>
      </c>
      <c r="B152" s="901" t="s">
        <v>141</v>
      </c>
      <c r="C152" s="901"/>
      <c r="D152" s="901" t="s">
        <v>3657</v>
      </c>
      <c r="E152" s="901"/>
      <c r="F152" s="901"/>
      <c r="G152" s="941" t="s">
        <v>3658</v>
      </c>
      <c r="H152" s="942">
        <v>620</v>
      </c>
      <c r="I152" s="901" t="s">
        <v>2611</v>
      </c>
      <c r="J152" s="901"/>
      <c r="K152" s="901"/>
      <c r="L152" s="901"/>
      <c r="M152" s="901"/>
      <c r="N152" s="901"/>
      <c r="O152" s="943">
        <v>2</v>
      </c>
      <c r="P152" s="944">
        <v>35431</v>
      </c>
      <c r="Q152" s="945">
        <v>12.11</v>
      </c>
      <c r="R152" s="946">
        <f t="shared" si="36"/>
        <v>72.66</v>
      </c>
      <c r="S152" s="945">
        <v>0.5</v>
      </c>
      <c r="T152" s="947">
        <f t="shared" si="37"/>
        <v>2.7</v>
      </c>
      <c r="U152" s="901"/>
      <c r="V152" s="901"/>
      <c r="W152" s="901"/>
      <c r="X152" s="901"/>
      <c r="Y152" s="901"/>
      <c r="Z152" s="901"/>
      <c r="AA152" s="901"/>
      <c r="AB152" s="901"/>
      <c r="AC152" s="901"/>
      <c r="AD152" s="901"/>
      <c r="AE152" s="901"/>
      <c r="AF152" s="901"/>
      <c r="AG152" s="901"/>
      <c r="AH152" s="901"/>
      <c r="AI152" s="901"/>
      <c r="AJ152" s="901"/>
      <c r="AK152" s="901"/>
      <c r="AL152" s="901"/>
      <c r="AM152" s="901"/>
      <c r="AN152" s="901"/>
      <c r="AO152" s="901"/>
      <c r="AP152" s="901"/>
      <c r="AQ152" s="901"/>
      <c r="AR152">
        <v>6</v>
      </c>
      <c r="AS152" s="901"/>
      <c r="AT152" s="901"/>
      <c r="AU152" s="901"/>
      <c r="AV152" s="901"/>
      <c r="AW152" s="901"/>
      <c r="AX152" s="901"/>
      <c r="AY152" s="901"/>
      <c r="AZ152" s="901"/>
      <c r="BA152" s="901"/>
      <c r="BB152" s="901"/>
      <c r="BC152" s="901"/>
      <c r="BD152" s="901"/>
      <c r="BE152" s="901"/>
      <c r="BF152" s="901"/>
      <c r="BG152" s="901"/>
      <c r="BH152" s="901"/>
      <c r="BI152" s="901"/>
      <c r="BJ152" s="901"/>
      <c r="BK152" s="901"/>
      <c r="BL152" s="901"/>
      <c r="BM152" s="901"/>
      <c r="BN152" s="901"/>
      <c r="BO152" s="901"/>
      <c r="BP152" s="901"/>
      <c r="BQ152" s="901"/>
      <c r="BR152" s="901"/>
      <c r="BS152" s="901"/>
      <c r="BT152" s="901"/>
      <c r="BU152" s="901"/>
      <c r="BV152" s="901"/>
      <c r="BW152" s="901"/>
      <c r="BX152" s="901"/>
      <c r="BY152" s="901"/>
      <c r="BZ152" s="901"/>
      <c r="CA152" s="901"/>
      <c r="CB152" s="901"/>
      <c r="CC152" s="901"/>
      <c r="CD152" s="901"/>
      <c r="CE152" s="901"/>
      <c r="CF152" s="901"/>
      <c r="CG152" s="901"/>
      <c r="CH152" s="901"/>
      <c r="CI152" s="901"/>
      <c r="CJ152" s="901"/>
      <c r="CK152" s="901"/>
      <c r="CL152" s="901"/>
      <c r="CM152" s="901"/>
      <c r="CN152" s="901"/>
      <c r="CO152" s="901"/>
      <c r="CP152" s="901"/>
      <c r="CQ152" s="901"/>
      <c r="CR152" s="901"/>
      <c r="CS152" s="901"/>
      <c r="CT152" s="901"/>
      <c r="CU152" s="901"/>
      <c r="CV152" s="901"/>
      <c r="CW152" s="901"/>
      <c r="CX152" s="901"/>
      <c r="CY152" s="901"/>
      <c r="CZ152" s="901"/>
      <c r="DA152" s="901"/>
      <c r="DB152" s="901"/>
      <c r="DC152" s="901"/>
      <c r="DD152" s="901"/>
      <c r="DE152" s="901"/>
      <c r="DF152" s="901"/>
      <c r="DG152" s="901"/>
      <c r="DH152" s="901"/>
      <c r="DI152" s="901"/>
      <c r="DJ152" s="901"/>
      <c r="DK152" s="901"/>
      <c r="DL152" s="901"/>
      <c r="DM152" s="901"/>
      <c r="DN152" s="901"/>
      <c r="DO152" s="901"/>
      <c r="DP152" s="901"/>
      <c r="DQ152" s="901"/>
      <c r="DR152" s="901"/>
      <c r="DS152" s="901"/>
      <c r="DT152" s="901"/>
      <c r="DU152" s="901"/>
      <c r="DV152" s="901"/>
      <c r="DW152" s="901"/>
      <c r="DX152" s="901"/>
      <c r="DY152" s="901"/>
      <c r="DZ152" s="901"/>
      <c r="EA152" s="901"/>
      <c r="EB152" s="901"/>
      <c r="EC152" s="901"/>
      <c r="ED152" s="901"/>
      <c r="EE152" s="901"/>
      <c r="EF152" s="901"/>
      <c r="EG152" s="901"/>
      <c r="EH152" s="901"/>
      <c r="EI152" s="901"/>
      <c r="EJ152" s="901"/>
      <c r="EK152" s="901"/>
      <c r="EL152" s="901"/>
      <c r="EM152" s="901"/>
      <c r="EN152" s="901"/>
      <c r="EO152" s="901"/>
      <c r="EP152" s="901"/>
      <c r="EQ152" s="901"/>
      <c r="ER152" s="901"/>
      <c r="ES152" s="901"/>
      <c r="ET152" s="901"/>
      <c r="EU152" s="901"/>
      <c r="EV152" s="901"/>
      <c r="EW152" s="901"/>
      <c r="EX152" s="901"/>
      <c r="EY152" s="901"/>
      <c r="EZ152" s="901"/>
      <c r="FA152" s="901"/>
      <c r="FB152" s="901"/>
      <c r="FC152" s="901"/>
      <c r="FD152" s="901"/>
      <c r="FE152" s="901"/>
      <c r="FF152" s="901"/>
      <c r="FG152" s="901"/>
      <c r="FH152" s="901"/>
      <c r="FI152" s="901"/>
      <c r="FJ152" s="901"/>
      <c r="FK152" s="901"/>
      <c r="FL152" s="901"/>
      <c r="FM152" s="901"/>
      <c r="FN152" s="901"/>
      <c r="FO152" s="901"/>
      <c r="FP152" s="901"/>
      <c r="FQ152" s="901"/>
      <c r="FR152" s="901"/>
      <c r="FS152" s="901"/>
      <c r="FT152" s="901"/>
      <c r="FU152" s="901"/>
      <c r="FV152" s="901"/>
      <c r="FW152" s="901"/>
      <c r="FX152" s="901"/>
      <c r="FY152" s="901"/>
      <c r="FZ152" s="901"/>
      <c r="GA152" s="901"/>
      <c r="GB152" s="901"/>
      <c r="GC152" s="901"/>
      <c r="GD152" s="901"/>
      <c r="GE152" s="901"/>
      <c r="GF152" s="901"/>
      <c r="GG152" s="901"/>
      <c r="GH152" s="901"/>
      <c r="GI152" s="901"/>
      <c r="GJ152" s="901"/>
      <c r="GK152" s="901"/>
      <c r="GL152" s="901"/>
      <c r="GM152" s="901"/>
      <c r="GN152" s="901"/>
      <c r="GO152" s="901"/>
      <c r="GP152" s="901"/>
      <c r="GQ152" s="901"/>
      <c r="GR152" s="901"/>
      <c r="GS152" s="901"/>
      <c r="GT152" s="901"/>
      <c r="GU152" s="901"/>
      <c r="GV152" s="901"/>
      <c r="GW152" s="901"/>
      <c r="GX152" s="901"/>
      <c r="GY152" s="901"/>
      <c r="GZ152" s="901"/>
      <c r="HA152" s="901"/>
      <c r="HB152" s="901"/>
      <c r="HC152" s="901"/>
      <c r="HD152" s="901"/>
      <c r="HE152" s="901"/>
      <c r="HF152" s="901"/>
      <c r="HG152" s="901"/>
      <c r="HH152" s="901"/>
      <c r="HI152" s="901"/>
      <c r="HJ152" s="901"/>
      <c r="HK152" s="901"/>
      <c r="HL152" s="901"/>
      <c r="HM152" s="901"/>
      <c r="HN152" s="901"/>
      <c r="HO152" s="901"/>
      <c r="HP152" s="901"/>
      <c r="HQ152" s="901"/>
      <c r="HR152" s="901"/>
      <c r="HS152" s="901"/>
      <c r="HT152" s="901"/>
      <c r="HU152" s="901"/>
      <c r="HV152" s="901"/>
      <c r="HW152" s="901"/>
      <c r="HX152" s="901"/>
      <c r="HY152" s="901"/>
      <c r="HZ152" s="901"/>
      <c r="IA152" s="901"/>
      <c r="IB152" s="901"/>
      <c r="IC152" s="901"/>
      <c r="ID152" s="901"/>
      <c r="IE152" s="901"/>
      <c r="IF152" s="901"/>
      <c r="IG152" s="901"/>
      <c r="IH152" s="901"/>
      <c r="II152" s="901"/>
      <c r="IJ152" s="901"/>
      <c r="IK152" s="901"/>
      <c r="IL152" s="901"/>
      <c r="IM152" s="901"/>
      <c r="IN152" s="901"/>
      <c r="IO152" s="901"/>
      <c r="IP152" s="901"/>
      <c r="IQ152" s="901"/>
      <c r="IR152" s="901"/>
      <c r="IS152" s="901"/>
      <c r="IT152" s="901"/>
      <c r="IU152" s="901"/>
      <c r="IV152" s="901"/>
      <c r="IW152" s="901"/>
    </row>
    <row r="153" spans="1:257" s="520" customFormat="1" ht="13.2">
      <c r="A153">
        <v>144</v>
      </c>
      <c r="B153" s="901" t="s">
        <v>141</v>
      </c>
      <c r="C153" s="901"/>
      <c r="D153" s="901" t="s">
        <v>2717</v>
      </c>
      <c r="E153" s="901"/>
      <c r="F153" s="901"/>
      <c r="G153" s="941" t="s">
        <v>2718</v>
      </c>
      <c r="H153" s="942">
        <v>620</v>
      </c>
      <c r="I153" s="901" t="s">
        <v>2614</v>
      </c>
      <c r="J153" s="901"/>
      <c r="K153" s="901"/>
      <c r="L153" s="901"/>
      <c r="M153" s="901"/>
      <c r="N153" s="901"/>
      <c r="O153" s="943">
        <v>2</v>
      </c>
      <c r="P153" s="944">
        <v>34669</v>
      </c>
      <c r="Q153" s="945">
        <v>0.05</v>
      </c>
      <c r="R153" s="946">
        <f t="shared" si="36"/>
        <v>7.2</v>
      </c>
      <c r="S153" s="945">
        <v>0.02</v>
      </c>
      <c r="T153" s="947">
        <f t="shared" si="37"/>
        <v>2.5920000000000001</v>
      </c>
      <c r="U153" s="901"/>
      <c r="V153" s="901"/>
      <c r="W153" s="901"/>
      <c r="X153" s="901"/>
      <c r="Y153" s="901"/>
      <c r="Z153" s="901"/>
      <c r="AA153" s="901"/>
      <c r="AB153" s="901"/>
      <c r="AC153" s="901"/>
      <c r="AD153" s="901"/>
      <c r="AE153" s="901"/>
      <c r="AF153" s="901"/>
      <c r="AG153" s="901"/>
      <c r="AH153" s="901"/>
      <c r="AI153" s="901"/>
      <c r="AJ153" s="901"/>
      <c r="AK153" s="901"/>
      <c r="AL153" s="901"/>
      <c r="AM153" s="901"/>
      <c r="AN153" s="901"/>
      <c r="AO153" s="901"/>
      <c r="AP153" s="901"/>
      <c r="AQ153" s="901"/>
      <c r="AR153">
        <v>144</v>
      </c>
      <c r="AS153" s="901"/>
      <c r="AT153" s="901"/>
      <c r="AU153" s="901"/>
      <c r="AV153" s="901"/>
      <c r="AW153" s="901"/>
      <c r="AX153" s="901"/>
      <c r="AY153" s="901"/>
      <c r="AZ153" s="901"/>
      <c r="BA153" s="901"/>
      <c r="BB153" s="901"/>
      <c r="BC153" s="901"/>
      <c r="BD153" s="901"/>
      <c r="BE153" s="901"/>
      <c r="BF153" s="901"/>
      <c r="BG153" s="901"/>
      <c r="BH153" s="901"/>
      <c r="BI153" s="901"/>
      <c r="BJ153" s="901"/>
      <c r="BK153" s="901"/>
      <c r="BL153" s="901"/>
      <c r="BM153" s="901"/>
      <c r="BN153" s="901"/>
      <c r="BO153" s="901"/>
      <c r="BP153" s="901"/>
      <c r="BQ153" s="901"/>
      <c r="BR153" s="901"/>
      <c r="BS153" s="901"/>
      <c r="BT153" s="901"/>
      <c r="BU153" s="901"/>
      <c r="BV153" s="901"/>
      <c r="BW153" s="901"/>
      <c r="BX153" s="901"/>
      <c r="BY153" s="901"/>
      <c r="BZ153" s="901"/>
      <c r="CA153" s="901"/>
      <c r="CB153" s="901"/>
      <c r="CC153" s="901"/>
      <c r="CD153" s="901"/>
      <c r="CE153" s="901"/>
      <c r="CF153" s="901"/>
      <c r="CG153" s="901"/>
      <c r="CH153" s="901"/>
      <c r="CI153" s="901"/>
      <c r="CJ153" s="901"/>
      <c r="CK153" s="901"/>
      <c r="CL153" s="901"/>
      <c r="CM153" s="901"/>
      <c r="CN153" s="901"/>
      <c r="CO153" s="901"/>
      <c r="CP153" s="901"/>
      <c r="CQ153" s="901"/>
      <c r="CR153" s="901"/>
      <c r="CS153" s="901"/>
      <c r="CT153" s="901"/>
      <c r="CU153" s="901"/>
      <c r="CV153" s="901"/>
      <c r="CW153" s="901"/>
      <c r="CX153" s="901"/>
      <c r="CY153" s="901"/>
      <c r="CZ153" s="901"/>
      <c r="DA153" s="901"/>
      <c r="DB153" s="901"/>
      <c r="DC153" s="901"/>
      <c r="DD153" s="901"/>
      <c r="DE153" s="901"/>
      <c r="DF153" s="901"/>
      <c r="DG153" s="901"/>
      <c r="DH153" s="901"/>
      <c r="DI153" s="901"/>
      <c r="DJ153" s="901"/>
      <c r="DK153" s="901"/>
      <c r="DL153" s="901"/>
      <c r="DM153" s="901"/>
      <c r="DN153" s="901"/>
      <c r="DO153" s="901"/>
      <c r="DP153" s="901"/>
      <c r="DQ153" s="901"/>
      <c r="DR153" s="901"/>
      <c r="DS153" s="901"/>
      <c r="DT153" s="901"/>
      <c r="DU153" s="901"/>
      <c r="DV153" s="901"/>
      <c r="DW153" s="901"/>
      <c r="DX153" s="901"/>
      <c r="DY153" s="901"/>
      <c r="DZ153" s="901"/>
      <c r="EA153" s="901"/>
      <c r="EB153" s="901"/>
      <c r="EC153" s="901"/>
      <c r="ED153" s="901"/>
      <c r="EE153" s="901"/>
      <c r="EF153" s="901"/>
      <c r="EG153" s="901"/>
      <c r="EH153" s="901"/>
      <c r="EI153" s="901"/>
      <c r="EJ153" s="901"/>
      <c r="EK153" s="901"/>
      <c r="EL153" s="901"/>
      <c r="EM153" s="901"/>
      <c r="EN153" s="901"/>
      <c r="EO153" s="901"/>
      <c r="EP153" s="901"/>
      <c r="EQ153" s="901"/>
      <c r="ER153" s="901"/>
      <c r="ES153" s="901"/>
      <c r="ET153" s="901"/>
      <c r="EU153" s="901"/>
      <c r="EV153" s="901"/>
      <c r="EW153" s="901"/>
      <c r="EX153" s="901"/>
      <c r="EY153" s="901"/>
      <c r="EZ153" s="901"/>
      <c r="FA153" s="901"/>
      <c r="FB153" s="901"/>
      <c r="FC153" s="901"/>
      <c r="FD153" s="901"/>
      <c r="FE153" s="901"/>
      <c r="FF153" s="901"/>
      <c r="FG153" s="901"/>
      <c r="FH153" s="901"/>
      <c r="FI153" s="901"/>
      <c r="FJ153" s="901"/>
      <c r="FK153" s="901"/>
      <c r="FL153" s="901"/>
      <c r="FM153" s="901"/>
      <c r="FN153" s="901"/>
      <c r="FO153" s="901"/>
      <c r="FP153" s="901"/>
      <c r="FQ153" s="901"/>
      <c r="FR153" s="901"/>
      <c r="FS153" s="901"/>
      <c r="FT153" s="901"/>
      <c r="FU153" s="901"/>
      <c r="FV153" s="901"/>
      <c r="FW153" s="901"/>
      <c r="FX153" s="901"/>
      <c r="FY153" s="901"/>
      <c r="FZ153" s="901"/>
      <c r="GA153" s="901"/>
      <c r="GB153" s="901"/>
      <c r="GC153" s="901"/>
      <c r="GD153" s="901"/>
      <c r="GE153" s="901"/>
      <c r="GF153" s="901"/>
      <c r="GG153" s="901"/>
      <c r="GH153" s="901"/>
      <c r="GI153" s="901"/>
      <c r="GJ153" s="901"/>
      <c r="GK153" s="901"/>
      <c r="GL153" s="901"/>
      <c r="GM153" s="901"/>
      <c r="GN153" s="901"/>
      <c r="GO153" s="901"/>
      <c r="GP153" s="901"/>
      <c r="GQ153" s="901"/>
      <c r="GR153" s="901"/>
      <c r="GS153" s="901"/>
      <c r="GT153" s="901"/>
      <c r="GU153" s="901"/>
      <c r="GV153" s="901"/>
      <c r="GW153" s="901"/>
      <c r="GX153" s="901"/>
      <c r="GY153" s="901"/>
      <c r="GZ153" s="901"/>
      <c r="HA153" s="901"/>
      <c r="HB153" s="901"/>
      <c r="HC153" s="901"/>
      <c r="HD153" s="901"/>
      <c r="HE153" s="901"/>
      <c r="HF153" s="901"/>
      <c r="HG153" s="901"/>
      <c r="HH153" s="901"/>
      <c r="HI153" s="901"/>
      <c r="HJ153" s="901"/>
      <c r="HK153" s="901"/>
      <c r="HL153" s="901"/>
      <c r="HM153" s="901"/>
      <c r="HN153" s="901"/>
      <c r="HO153" s="901"/>
      <c r="HP153" s="901"/>
      <c r="HQ153" s="901"/>
      <c r="HR153" s="901"/>
      <c r="HS153" s="901"/>
      <c r="HT153" s="901"/>
      <c r="HU153" s="901"/>
      <c r="HV153" s="901"/>
      <c r="HW153" s="901"/>
      <c r="HX153" s="901"/>
      <c r="HY153" s="901"/>
      <c r="HZ153" s="901"/>
      <c r="IA153" s="901"/>
      <c r="IB153" s="901"/>
      <c r="IC153" s="901"/>
      <c r="ID153" s="901"/>
      <c r="IE153" s="901"/>
      <c r="IF153" s="901"/>
      <c r="IG153" s="901"/>
      <c r="IH153" s="901"/>
      <c r="II153" s="901"/>
      <c r="IJ153" s="901"/>
      <c r="IK153" s="901"/>
      <c r="IL153" s="901"/>
      <c r="IM153" s="901"/>
      <c r="IN153" s="901"/>
      <c r="IO153" s="901"/>
      <c r="IP153" s="901"/>
      <c r="IQ153" s="901"/>
      <c r="IR153" s="901"/>
      <c r="IS153" s="901"/>
      <c r="IT153" s="901"/>
      <c r="IU153" s="901"/>
      <c r="IV153" s="901"/>
      <c r="IW153" s="901"/>
    </row>
    <row r="154" spans="1:257" s="520" customFormat="1" ht="13.2">
      <c r="A154">
        <v>6</v>
      </c>
      <c r="B154" s="901" t="s">
        <v>320</v>
      </c>
      <c r="C154" s="901"/>
      <c r="D154" s="901" t="s">
        <v>2653</v>
      </c>
      <c r="E154" s="901"/>
      <c r="F154" s="901"/>
      <c r="G154" s="941" t="s">
        <v>2654</v>
      </c>
      <c r="H154" s="942">
        <v>620</v>
      </c>
      <c r="I154" s="901" t="s">
        <v>2607</v>
      </c>
      <c r="J154" s="901"/>
      <c r="K154" s="901"/>
      <c r="L154" s="901"/>
      <c r="M154" s="901"/>
      <c r="N154" s="901"/>
      <c r="O154" s="943">
        <v>2</v>
      </c>
      <c r="P154" s="944">
        <v>38148</v>
      </c>
      <c r="Q154" s="945">
        <v>1</v>
      </c>
      <c r="R154" s="946">
        <f t="shared" si="36"/>
        <v>6</v>
      </c>
      <c r="S154" s="945">
        <v>0.08</v>
      </c>
      <c r="T154" s="947">
        <f t="shared" si="37"/>
        <v>0.432</v>
      </c>
      <c r="U154" s="901"/>
      <c r="V154" s="901"/>
      <c r="W154" s="901"/>
      <c r="X154" s="901"/>
      <c r="Y154" s="901"/>
      <c r="Z154" s="901"/>
      <c r="AA154" s="901"/>
      <c r="AB154" s="901"/>
      <c r="AC154" s="901"/>
      <c r="AD154" s="901"/>
      <c r="AE154" s="901"/>
      <c r="AF154" s="901"/>
      <c r="AG154" s="901"/>
      <c r="AH154" s="901"/>
      <c r="AI154" s="901"/>
      <c r="AJ154" s="901"/>
      <c r="AK154" s="901"/>
      <c r="AL154" s="901"/>
      <c r="AM154" s="901"/>
      <c r="AN154" s="901"/>
      <c r="AO154" s="901"/>
      <c r="AP154" s="901"/>
      <c r="AQ154" s="901"/>
      <c r="AR154">
        <v>6</v>
      </c>
      <c r="AS154" s="901"/>
      <c r="AT154" s="901"/>
      <c r="AU154" s="901"/>
      <c r="AV154" s="901"/>
      <c r="AW154" s="901"/>
      <c r="AX154" s="901"/>
      <c r="AY154" s="901"/>
      <c r="AZ154" s="901"/>
      <c r="BA154" s="901"/>
      <c r="BB154" s="901"/>
      <c r="BC154" s="901"/>
      <c r="BD154" s="901"/>
      <c r="BE154" s="901"/>
      <c r="BF154" s="901"/>
      <c r="BG154" s="901"/>
      <c r="BH154" s="901"/>
      <c r="BI154" s="901"/>
      <c r="BJ154" s="901"/>
      <c r="BK154" s="901"/>
      <c r="BL154" s="901"/>
      <c r="BM154" s="901"/>
      <c r="BN154" s="901"/>
      <c r="BO154" s="901"/>
      <c r="BP154" s="901"/>
      <c r="BQ154" s="901"/>
      <c r="BR154" s="901"/>
      <c r="BS154" s="901"/>
      <c r="BT154" s="901"/>
      <c r="BU154" s="901"/>
      <c r="BV154" s="901"/>
      <c r="BW154" s="901"/>
      <c r="BX154" s="901"/>
      <c r="BY154" s="901"/>
      <c r="BZ154" s="901"/>
      <c r="CA154" s="901"/>
      <c r="CB154" s="901"/>
      <c r="CC154" s="901"/>
      <c r="CD154" s="901"/>
      <c r="CE154" s="901"/>
      <c r="CF154" s="901"/>
      <c r="CG154" s="901"/>
      <c r="CH154" s="901"/>
      <c r="CI154" s="901"/>
      <c r="CJ154" s="901"/>
      <c r="CK154" s="901"/>
      <c r="CL154" s="901"/>
      <c r="CM154" s="901"/>
      <c r="CN154" s="901"/>
      <c r="CO154" s="901"/>
      <c r="CP154" s="901"/>
      <c r="CQ154" s="901"/>
      <c r="CR154" s="901"/>
      <c r="CS154" s="901"/>
      <c r="CT154" s="901"/>
      <c r="CU154" s="901"/>
      <c r="CV154" s="901"/>
      <c r="CW154" s="901"/>
      <c r="CX154" s="901"/>
      <c r="CY154" s="901"/>
      <c r="CZ154" s="901"/>
      <c r="DA154" s="901"/>
      <c r="DB154" s="901"/>
      <c r="DC154" s="901"/>
      <c r="DD154" s="901"/>
      <c r="DE154" s="901"/>
      <c r="DF154" s="901"/>
      <c r="DG154" s="901"/>
      <c r="DH154" s="901"/>
      <c r="DI154" s="901"/>
      <c r="DJ154" s="901"/>
      <c r="DK154" s="901"/>
      <c r="DL154" s="901"/>
      <c r="DM154" s="901"/>
      <c r="DN154" s="901"/>
      <c r="DO154" s="901"/>
      <c r="DP154" s="901"/>
      <c r="DQ154" s="901"/>
      <c r="DR154" s="901"/>
      <c r="DS154" s="901"/>
      <c r="DT154" s="901"/>
      <c r="DU154" s="901"/>
      <c r="DV154" s="901"/>
      <c r="DW154" s="901"/>
      <c r="DX154" s="901"/>
      <c r="DY154" s="901"/>
      <c r="DZ154" s="901"/>
      <c r="EA154" s="901"/>
      <c r="EB154" s="901"/>
      <c r="EC154" s="901"/>
      <c r="ED154" s="901"/>
      <c r="EE154" s="901"/>
      <c r="EF154" s="901"/>
      <c r="EG154" s="901"/>
      <c r="EH154" s="901"/>
      <c r="EI154" s="901"/>
      <c r="EJ154" s="901"/>
      <c r="EK154" s="901"/>
      <c r="EL154" s="901"/>
      <c r="EM154" s="901"/>
      <c r="EN154" s="901"/>
      <c r="EO154" s="901"/>
      <c r="EP154" s="901"/>
      <c r="EQ154" s="901"/>
      <c r="ER154" s="901"/>
      <c r="ES154" s="901"/>
      <c r="ET154" s="901"/>
      <c r="EU154" s="901"/>
      <c r="EV154" s="901"/>
      <c r="EW154" s="901"/>
      <c r="EX154" s="901"/>
      <c r="EY154" s="901"/>
      <c r="EZ154" s="901"/>
      <c r="FA154" s="901"/>
      <c r="FB154" s="901"/>
      <c r="FC154" s="901"/>
      <c r="FD154" s="901"/>
      <c r="FE154" s="901"/>
      <c r="FF154" s="901"/>
      <c r="FG154" s="901"/>
      <c r="FH154" s="901"/>
      <c r="FI154" s="901"/>
      <c r="FJ154" s="901"/>
      <c r="FK154" s="901"/>
      <c r="FL154" s="901"/>
      <c r="FM154" s="901"/>
      <c r="FN154" s="901"/>
      <c r="FO154" s="901"/>
      <c r="FP154" s="901"/>
      <c r="FQ154" s="901"/>
      <c r="FR154" s="901"/>
      <c r="FS154" s="901"/>
      <c r="FT154" s="901"/>
      <c r="FU154" s="901"/>
      <c r="FV154" s="901"/>
      <c r="FW154" s="901"/>
      <c r="FX154" s="901"/>
      <c r="FY154" s="901"/>
      <c r="FZ154" s="901"/>
      <c r="GA154" s="901"/>
      <c r="GB154" s="901"/>
      <c r="GC154" s="901"/>
      <c r="GD154" s="901"/>
      <c r="GE154" s="901"/>
      <c r="GF154" s="901"/>
      <c r="GG154" s="901"/>
      <c r="GH154" s="901"/>
      <c r="GI154" s="901"/>
      <c r="GJ154" s="901"/>
      <c r="GK154" s="901"/>
      <c r="GL154" s="901"/>
      <c r="GM154" s="901"/>
      <c r="GN154" s="901"/>
      <c r="GO154" s="901"/>
      <c r="GP154" s="901"/>
      <c r="GQ154" s="901"/>
      <c r="GR154" s="901"/>
      <c r="GS154" s="901"/>
      <c r="GT154" s="901"/>
      <c r="GU154" s="901"/>
      <c r="GV154" s="901"/>
      <c r="GW154" s="901"/>
      <c r="GX154" s="901"/>
      <c r="GY154" s="901"/>
      <c r="GZ154" s="901"/>
      <c r="HA154" s="901"/>
      <c r="HB154" s="901"/>
      <c r="HC154" s="901"/>
      <c r="HD154" s="901"/>
      <c r="HE154" s="901"/>
      <c r="HF154" s="901"/>
      <c r="HG154" s="901"/>
      <c r="HH154" s="901"/>
      <c r="HI154" s="901"/>
      <c r="HJ154" s="901"/>
      <c r="HK154" s="901"/>
      <c r="HL154" s="901"/>
      <c r="HM154" s="901"/>
      <c r="HN154" s="901"/>
      <c r="HO154" s="901"/>
      <c r="HP154" s="901"/>
      <c r="HQ154" s="901"/>
      <c r="HR154" s="901"/>
      <c r="HS154" s="901"/>
      <c r="HT154" s="901"/>
      <c r="HU154" s="901"/>
      <c r="HV154" s="901"/>
      <c r="HW154" s="901"/>
      <c r="HX154" s="901"/>
      <c r="HY154" s="901"/>
      <c r="HZ154" s="901"/>
      <c r="IA154" s="901"/>
      <c r="IB154" s="901"/>
      <c r="IC154" s="901"/>
      <c r="ID154" s="901"/>
      <c r="IE154" s="901"/>
      <c r="IF154" s="901"/>
      <c r="IG154" s="901"/>
      <c r="IH154" s="901"/>
      <c r="II154" s="901"/>
      <c r="IJ154" s="901"/>
      <c r="IK154" s="901"/>
      <c r="IL154" s="901"/>
      <c r="IM154" s="901"/>
      <c r="IN154" s="901"/>
      <c r="IO154" s="901"/>
      <c r="IP154" s="901"/>
      <c r="IQ154" s="901"/>
      <c r="IR154" s="901"/>
      <c r="IS154" s="901"/>
      <c r="IT154" s="901"/>
      <c r="IU154" s="901"/>
      <c r="IV154" s="901"/>
      <c r="IW154" s="901"/>
    </row>
    <row r="155" spans="1:257" s="520" customFormat="1" ht="14.1" customHeight="1">
      <c r="A155" s="813"/>
      <c r="B155" s="530"/>
      <c r="C155" s="530"/>
      <c r="D155" s="530"/>
      <c r="E155" s="530"/>
      <c r="F155" s="530"/>
      <c r="G155" s="530"/>
      <c r="H155" s="810"/>
      <c r="I155" s="530"/>
      <c r="J155" s="52"/>
      <c r="K155" s="815"/>
      <c r="L155" s="816"/>
      <c r="M155" s="530"/>
      <c r="N155" s="530"/>
      <c r="O155" s="52"/>
      <c r="P155" s="530"/>
      <c r="Q155" s="530"/>
      <c r="R155" s="817">
        <f>$A155*Q155</f>
        <v>0</v>
      </c>
      <c r="S155" s="530"/>
      <c r="T155" s="760">
        <f>$A155*S155*$T$1</f>
        <v>0</v>
      </c>
      <c r="AR155" s="813"/>
      <c r="AS155" s="530"/>
    </row>
    <row r="156" spans="1:257" s="520" customFormat="1" ht="12">
      <c r="A156" s="818" t="s">
        <v>145</v>
      </c>
      <c r="B156" s="819">
        <f>(R155+T155)</f>
        <v>0</v>
      </c>
      <c r="C156" s="758"/>
      <c r="G156" s="820"/>
      <c r="H156" s="820"/>
      <c r="I156" s="820"/>
      <c r="J156" s="820"/>
      <c r="K156" s="821" t="s">
        <v>15</v>
      </c>
      <c r="L156" s="822" t="s">
        <v>2055</v>
      </c>
      <c r="M156" s="820"/>
      <c r="N156" s="820"/>
      <c r="O156" s="820"/>
      <c r="P156" s="820"/>
      <c r="Q156" s="823"/>
      <c r="R156" s="824">
        <f>SUM(R141:R155)</f>
        <v>79970.240000000005</v>
      </c>
      <c r="S156" s="825"/>
      <c r="T156" s="824">
        <f>SUM(T141:T155)</f>
        <v>50.724000000000004</v>
      </c>
      <c r="AG156" s="1231">
        <f>ROUND($R156*$S$8,2)</f>
        <v>94367.92</v>
      </c>
      <c r="AR156" s="818" t="s">
        <v>145</v>
      </c>
    </row>
    <row r="157" spans="1:257" s="520" customFormat="1" ht="12" customHeight="1">
      <c r="A157" s="827"/>
      <c r="B157" s="828"/>
      <c r="C157" s="829"/>
      <c r="D157" s="829" t="str">
        <f>$F$3</f>
        <v>ELV Installation (NAS Ltd)</v>
      </c>
      <c r="E157" s="829">
        <f>ROUND(($R161*$S$3 + ($T161*$T$3)), 2)</f>
        <v>0</v>
      </c>
      <c r="F157" s="830">
        <f ca="1">$F138-SUMIF($L140:$P148,"SUBI",$F140:$F148)</f>
        <v>0</v>
      </c>
      <c r="G157" s="519"/>
      <c r="H157" s="519"/>
      <c r="I157" s="519"/>
      <c r="J157" s="519"/>
      <c r="K157" s="811" t="s">
        <v>5</v>
      </c>
      <c r="L157" s="812" t="s">
        <v>2055</v>
      </c>
      <c r="M157" s="519"/>
      <c r="N157" s="519"/>
      <c r="O157" s="519"/>
      <c r="P157" s="519"/>
      <c r="Q157" s="519"/>
      <c r="R157" s="831"/>
      <c r="S157" s="519"/>
      <c r="T157" s="831"/>
      <c r="AR157" s="827"/>
      <c r="AS157" s="830">
        <v>1.0000000009313226E-2</v>
      </c>
    </row>
    <row r="158" spans="1:257" s="844" customFormat="1" ht="14.4" customHeight="1">
      <c r="A158" s="832"/>
      <c r="B158" s="814" t="s">
        <v>2056</v>
      </c>
      <c r="C158" s="833"/>
      <c r="D158" s="834" t="s">
        <v>4138</v>
      </c>
      <c r="E158" s="834"/>
      <c r="F158" s="834"/>
      <c r="G158" s="835"/>
      <c r="H158" s="836"/>
      <c r="I158" s="836"/>
      <c r="J158" s="837"/>
      <c r="K158" s="838"/>
      <c r="L158" s="833"/>
      <c r="M158" s="839"/>
      <c r="N158" s="840"/>
      <c r="O158" s="841"/>
      <c r="P158" s="842"/>
      <c r="Q158" s="843"/>
      <c r="R158" s="817">
        <f>$A158*Q158</f>
        <v>0</v>
      </c>
      <c r="S158" s="530"/>
      <c r="T158" s="760">
        <f>$A158*S158*$T$1</f>
        <v>0</v>
      </c>
      <c r="AR158" s="832"/>
      <c r="AS158" s="834"/>
    </row>
    <row r="159" spans="1:257" s="520" customFormat="1" ht="11.4">
      <c r="A159" s="813"/>
      <c r="B159" s="530"/>
      <c r="C159" s="530"/>
      <c r="D159" s="530"/>
      <c r="E159" s="530"/>
      <c r="F159" s="530"/>
      <c r="G159" s="530"/>
      <c r="H159" s="530"/>
      <c r="I159" s="530"/>
      <c r="J159" s="530"/>
      <c r="K159" s="530"/>
      <c r="L159" s="816"/>
      <c r="M159" s="530"/>
      <c r="N159" s="530"/>
      <c r="O159" s="530"/>
      <c r="P159" s="530"/>
      <c r="Q159" s="530"/>
      <c r="R159" s="817">
        <f>$A159*Q159</f>
        <v>0</v>
      </c>
      <c r="S159" s="530"/>
      <c r="T159" s="760">
        <f>$A159*S159*$T$1</f>
        <v>0</v>
      </c>
      <c r="AR159" s="813"/>
      <c r="AS159" s="530"/>
    </row>
    <row r="160" spans="1:257" s="520" customFormat="1" ht="11.4">
      <c r="A160" s="813"/>
      <c r="B160" s="530"/>
      <c r="C160" s="530"/>
      <c r="E160" s="530"/>
      <c r="F160" s="530"/>
      <c r="G160" s="530"/>
      <c r="H160" s="530"/>
      <c r="I160" s="530"/>
      <c r="J160" s="530"/>
      <c r="K160" s="530"/>
      <c r="L160" s="816"/>
      <c r="M160" s="530"/>
      <c r="N160" s="530"/>
      <c r="O160" s="530"/>
      <c r="P160" s="530"/>
      <c r="Q160" s="530"/>
      <c r="R160" s="817">
        <f>$A160*Q160</f>
        <v>0</v>
      </c>
      <c r="S160" s="530"/>
      <c r="T160" s="760">
        <f>$A160*S160*$T$1</f>
        <v>0</v>
      </c>
      <c r="AR160" s="813"/>
      <c r="AS160" s="530"/>
    </row>
    <row r="161" spans="1:45" s="520" customFormat="1" ht="12" customHeight="1">
      <c r="A161" s="845" t="s">
        <v>145</v>
      </c>
      <c r="B161" s="846">
        <f>(R160+T160)</f>
        <v>0</v>
      </c>
      <c r="C161" s="847"/>
      <c r="D161" s="847"/>
      <c r="E161" s="847"/>
      <c r="F161" s="847"/>
      <c r="G161" s="823"/>
      <c r="H161" s="823"/>
      <c r="I161" s="823"/>
      <c r="J161" s="823"/>
      <c r="K161" s="848" t="s">
        <v>5</v>
      </c>
      <c r="L161" s="849" t="s">
        <v>2055</v>
      </c>
      <c r="M161" s="823"/>
      <c r="N161" s="823"/>
      <c r="O161" s="823"/>
      <c r="P161" s="823"/>
      <c r="Q161" s="823"/>
      <c r="R161" s="824">
        <f>SUM(R157:R160)</f>
        <v>0</v>
      </c>
      <c r="S161" s="825"/>
      <c r="T161" s="824">
        <f>SUM(T157:T160)</f>
        <v>0</v>
      </c>
      <c r="AG161" s="850">
        <f>ROUND($R161*$S$3,2)</f>
        <v>0</v>
      </c>
      <c r="AR161" s="845" t="s">
        <v>145</v>
      </c>
      <c r="AS161" s="847"/>
    </row>
    <row r="162" spans="1:45" s="520" customFormat="1" ht="12.75" customHeight="1">
      <c r="A162" s="851"/>
      <c r="B162" s="852"/>
      <c r="E162" s="758"/>
      <c r="F162" s="853"/>
      <c r="G162" s="758"/>
      <c r="H162" s="758"/>
      <c r="I162" s="519"/>
      <c r="J162" s="758"/>
      <c r="K162" s="758"/>
      <c r="L162" s="854"/>
      <c r="M162" s="855"/>
      <c r="N162" s="855"/>
      <c r="O162" s="855"/>
      <c r="P162" s="855"/>
      <c r="Q162" s="778"/>
      <c r="R162" s="831"/>
      <c r="S162" s="758"/>
      <c r="T162" s="831"/>
      <c r="AR162" s="851"/>
      <c r="AS162" s="853"/>
    </row>
    <row r="163" spans="1:45" s="520" customFormat="1" ht="13.5" customHeight="1" thickBot="1">
      <c r="A163" s="856"/>
      <c r="B163" s="857"/>
      <c r="C163" s="531"/>
      <c r="D163" s="531"/>
      <c r="E163" s="763"/>
      <c r="F163" s="764"/>
      <c r="G163" s="763" t="s">
        <v>146</v>
      </c>
      <c r="H163" s="763"/>
      <c r="I163" s="765"/>
      <c r="J163" s="763"/>
      <c r="K163" s="763"/>
      <c r="L163" s="858" t="s">
        <v>143</v>
      </c>
      <c r="M163" s="766"/>
      <c r="N163" s="766"/>
      <c r="O163" s="766"/>
      <c r="P163" s="766"/>
      <c r="Q163" s="767"/>
      <c r="R163" s="859">
        <f>SUMIF($L139:$L162,"SUBI",R139:R162)</f>
        <v>79970.240000000005</v>
      </c>
      <c r="S163" s="763"/>
      <c r="T163" s="859">
        <f>SUMIF($L139:$L162,"SUBI",T139:T162)</f>
        <v>50.724000000000004</v>
      </c>
      <c r="U163" s="531"/>
      <c r="V163" s="531"/>
      <c r="W163" s="531"/>
      <c r="X163" s="531"/>
      <c r="Y163" s="531"/>
      <c r="Z163" s="531"/>
      <c r="AA163" s="531"/>
      <c r="AB163" s="531"/>
      <c r="AC163" s="531"/>
      <c r="AD163" s="531"/>
      <c r="AE163" s="531"/>
      <c r="AF163" s="531"/>
      <c r="AG163" s="531"/>
      <c r="AH163" s="531"/>
      <c r="AI163" s="531"/>
      <c r="AJ163" s="531"/>
      <c r="AK163" s="531"/>
      <c r="AL163" s="531"/>
      <c r="AM163" s="531"/>
      <c r="AN163" s="531"/>
      <c r="AO163" s="531"/>
      <c r="AR163" s="856"/>
      <c r="AS163" s="764"/>
    </row>
    <row r="164" spans="1:45" s="520" customFormat="1" thickTop="1">
      <c r="A164" s="51"/>
      <c r="B164" s="41"/>
      <c r="C164" s="51"/>
      <c r="E164" s="42" t="s">
        <v>138</v>
      </c>
      <c r="F164" s="42" t="s">
        <v>139</v>
      </c>
      <c r="G164" s="51"/>
      <c r="H164" s="51"/>
      <c r="I164" s="51"/>
      <c r="J164" s="51"/>
      <c r="K164" s="51" t="s">
        <v>140</v>
      </c>
      <c r="L164" s="785"/>
      <c r="M164" s="51"/>
      <c r="N164" s="51"/>
      <c r="O164" s="52"/>
      <c r="P164" s="51"/>
      <c r="Q164" s="535"/>
      <c r="R164"/>
      <c r="S164"/>
      <c r="T164" s="41"/>
      <c r="AG164" s="521" t="s">
        <v>268</v>
      </c>
      <c r="AH164" s="521" t="s">
        <v>269</v>
      </c>
      <c r="AI164" s="521" t="s">
        <v>270</v>
      </c>
      <c r="AJ164" s="521" t="s">
        <v>271</v>
      </c>
      <c r="AK164" s="521" t="s">
        <v>272</v>
      </c>
      <c r="AM164" s="745" t="s">
        <v>281</v>
      </c>
      <c r="AN164" s="746" t="s">
        <v>282</v>
      </c>
      <c r="AO164" s="522" t="s">
        <v>278</v>
      </c>
      <c r="AR164" s="51"/>
      <c r="AS164" s="42" t="s">
        <v>139</v>
      </c>
    </row>
    <row r="165" spans="1:45" s="520" customFormat="1" ht="13.2">
      <c r="A165" s="747">
        <v>50</v>
      </c>
      <c r="B165" s="523" t="s">
        <v>320</v>
      </c>
      <c r="C165" s="748"/>
      <c r="D165" s="749" t="s">
        <v>1082</v>
      </c>
      <c r="E165" s="786">
        <f>IF(AND($A165=0,$A$1="DIF"),0, ROUND(ROUND(SUMIF($L167:$L172,"SUBI",$E167:$E172)/$A165,2)*$C$12,2))</f>
        <v>0</v>
      </c>
      <c r="F165" s="787">
        <f>ROUND($A165*$E165,2)</f>
        <v>0</v>
      </c>
      <c r="G165" s="752" t="s">
        <v>142</v>
      </c>
      <c r="H165" s="753"/>
      <c r="I165" s="754"/>
      <c r="J165" s="753"/>
      <c r="K165" s="788"/>
      <c r="L165" s="789" t="s">
        <v>143</v>
      </c>
      <c r="M165" s="755"/>
      <c r="N165" s="755"/>
      <c r="O165" s="755"/>
      <c r="P165" s="755"/>
      <c r="Q165" s="1178" t="s">
        <v>3848</v>
      </c>
      <c r="R165"/>
      <c r="S165"/>
      <c r="T165" s="790" t="str">
        <f>IF(AND($R178=0,$T178=0),"0.00","mu :" &amp; ROUND($F165/$C$12/($R178+$T178*$D$9),2))</f>
        <v>0.00</v>
      </c>
      <c r="W165" s="524"/>
      <c r="AG165" s="791">
        <f>IF(A165=0,0,ROUND(SUM(AG167:AG178)/A165,2))</f>
        <v>0</v>
      </c>
      <c r="AH165" s="791">
        <f>$AG165*$A165</f>
        <v>0</v>
      </c>
      <c r="AI165" s="791">
        <f>$E165-$AG165</f>
        <v>0</v>
      </c>
      <c r="AJ165" s="791">
        <f>$A165*$AI165</f>
        <v>0</v>
      </c>
      <c r="AK165" s="792">
        <f>ROUND(($AG165+$AI165)*$A165,2)</f>
        <v>0</v>
      </c>
      <c r="AM165" s="527">
        <f>ROUND(R178,2)</f>
        <v>0</v>
      </c>
      <c r="AN165" s="528">
        <f>ROUND(T178,2)</f>
        <v>0</v>
      </c>
      <c r="AO165" s="529">
        <f>ROUND(AM165+AN165,2)*A165</f>
        <v>0</v>
      </c>
      <c r="AR165" s="747">
        <v>50</v>
      </c>
      <c r="AS165" s="787">
        <v>16943</v>
      </c>
    </row>
    <row r="166" spans="1:45" s="520" customFormat="1" ht="20.100000000000001" customHeight="1">
      <c r="A166" s="793"/>
      <c r="B166" s="794"/>
      <c r="C166" s="748"/>
      <c r="D166" s="770" t="s">
        <v>465</v>
      </c>
      <c r="F166" s="1324"/>
      <c r="G166" s="753"/>
      <c r="H166" s="753"/>
      <c r="I166" s="754"/>
      <c r="J166" s="753"/>
      <c r="K166" s="753" t="s">
        <v>144</v>
      </c>
      <c r="L166" s="784"/>
      <c r="M166" s="753"/>
      <c r="N166" s="753"/>
      <c r="O166" s="753"/>
      <c r="P166" s="753"/>
      <c r="Q166" s="51"/>
      <c r="R166" s="530"/>
      <c r="S166" s="757"/>
      <c r="T166" s="753"/>
      <c r="AR166" s="793"/>
      <c r="AS166" s="753"/>
    </row>
    <row r="167" spans="1:45" s="520" customFormat="1" ht="12">
      <c r="A167" s="795"/>
      <c r="B167" s="796"/>
      <c r="C167" s="758"/>
      <c r="D167" s="753"/>
      <c r="E167" s="797">
        <f>F165/$C$12-SUMIF($L164:$L178,"SUBI",$E164:$E178)</f>
        <v>0</v>
      </c>
      <c r="F167" s="798" t="s">
        <v>2054</v>
      </c>
      <c r="G167" s="799"/>
      <c r="H167" s="799"/>
      <c r="I167" s="800"/>
      <c r="J167" s="799"/>
      <c r="K167" s="799"/>
      <c r="L167" s="801"/>
      <c r="M167" s="802"/>
      <c r="N167" s="802"/>
      <c r="O167" s="802"/>
      <c r="P167" s="802"/>
      <c r="Q167" s="803"/>
      <c r="R167" s="804"/>
      <c r="S167" s="803"/>
      <c r="T167" s="805"/>
      <c r="AR167" s="795"/>
      <c r="AS167" s="798" t="s">
        <v>2054</v>
      </c>
    </row>
    <row r="168" spans="1:45" s="520" customFormat="1" ht="12" customHeight="1">
      <c r="A168" s="806"/>
      <c r="B168" s="807"/>
      <c r="C168" s="808"/>
      <c r="D168" s="808" t="str">
        <f>$F$2</f>
        <v>Electrical</v>
      </c>
      <c r="E168" s="808">
        <f>ROUND(($R171*$S$2 + ($T171*$T$2)), 2)</f>
        <v>0</v>
      </c>
      <c r="F168" s="809">
        <f>$E168*$C$12</f>
        <v>0</v>
      </c>
      <c r="G168" s="530"/>
      <c r="H168" s="810"/>
      <c r="I168" s="530"/>
      <c r="J168" s="52"/>
      <c r="K168" s="811" t="s">
        <v>3</v>
      </c>
      <c r="L168" s="812" t="s">
        <v>2055</v>
      </c>
      <c r="M168" s="530"/>
      <c r="N168" s="530"/>
      <c r="O168" s="52"/>
      <c r="P168" s="530"/>
      <c r="Q168" s="530"/>
      <c r="R168"/>
      <c r="S168"/>
      <c r="T168"/>
      <c r="AR168" s="806"/>
      <c r="AS168" s="809">
        <v>16943.05</v>
      </c>
    </row>
    <row r="169" spans="1:45" s="1084" customFormat="1" ht="13.2">
      <c r="A169" s="1327">
        <v>0</v>
      </c>
      <c r="B169" s="1084" t="s">
        <v>141</v>
      </c>
      <c r="D169" s="1084" t="s">
        <v>2770</v>
      </c>
      <c r="F169" s="1047" t="s">
        <v>3619</v>
      </c>
      <c r="G169" s="1091" t="s">
        <v>2771</v>
      </c>
      <c r="H169" s="1092">
        <v>857</v>
      </c>
      <c r="I169" s="1084" t="s">
        <v>2596</v>
      </c>
      <c r="K169" s="1084" t="s">
        <v>2772</v>
      </c>
      <c r="O169" s="1093">
        <v>4</v>
      </c>
      <c r="P169" s="1094"/>
      <c r="Q169" s="1095">
        <f>11563</f>
        <v>11563</v>
      </c>
      <c r="R169" s="1096">
        <f>$A169*Q169</f>
        <v>0</v>
      </c>
      <c r="S169" s="1095">
        <f>80</f>
        <v>80</v>
      </c>
      <c r="T169" s="1097">
        <f>$A169*S169*$T$1</f>
        <v>0</v>
      </c>
      <c r="U169" s="1084" t="s">
        <v>2764</v>
      </c>
      <c r="AR169" s="1327">
        <v>1</v>
      </c>
      <c r="AS169" s="1047" t="s">
        <v>3619</v>
      </c>
    </row>
    <row r="170" spans="1:45" s="520" customFormat="1" ht="14.1" customHeight="1">
      <c r="A170" s="813"/>
      <c r="B170" s="530"/>
      <c r="C170" s="530"/>
      <c r="D170" s="1325"/>
      <c r="E170" s="530"/>
      <c r="F170" s="530"/>
      <c r="G170" s="530"/>
      <c r="H170" s="810"/>
      <c r="I170" s="530"/>
      <c r="J170" s="52"/>
      <c r="K170" s="815"/>
      <c r="L170" s="816"/>
      <c r="M170" s="530"/>
      <c r="N170" s="530"/>
      <c r="O170" s="52"/>
      <c r="P170" s="530"/>
      <c r="Q170" s="530"/>
      <c r="R170" s="817">
        <f>$A170*Q170</f>
        <v>0</v>
      </c>
      <c r="S170" s="530"/>
      <c r="T170" s="760">
        <f>$A170*S170*$T$1</f>
        <v>0</v>
      </c>
      <c r="AR170" s="813"/>
      <c r="AS170" s="530"/>
    </row>
    <row r="171" spans="1:45" s="520" customFormat="1" ht="12">
      <c r="A171" s="818" t="s">
        <v>145</v>
      </c>
      <c r="B171" s="819">
        <f>(R170+T170)</f>
        <v>0</v>
      </c>
      <c r="C171" s="758"/>
      <c r="G171" s="820"/>
      <c r="H171" s="820"/>
      <c r="I171" s="820"/>
      <c r="J171" s="820"/>
      <c r="K171" s="821" t="s">
        <v>3</v>
      </c>
      <c r="L171" s="822" t="s">
        <v>2055</v>
      </c>
      <c r="M171" s="820"/>
      <c r="N171" s="820"/>
      <c r="O171" s="820"/>
      <c r="P171" s="820"/>
      <c r="Q171" s="823"/>
      <c r="R171" s="824">
        <f>SUM(R168:R170)</f>
        <v>0</v>
      </c>
      <c r="S171" s="825"/>
      <c r="T171" s="824">
        <f>SUM(T168:T170)</f>
        <v>0</v>
      </c>
      <c r="AG171" s="826">
        <f>ROUND($R171*$S$2,2)</f>
        <v>0</v>
      </c>
      <c r="AR171" s="818" t="s">
        <v>145</v>
      </c>
    </row>
    <row r="172" spans="1:45" s="520" customFormat="1" ht="12" customHeight="1">
      <c r="A172" s="827"/>
      <c r="B172" s="828"/>
      <c r="C172" s="829"/>
      <c r="D172" s="829" t="str">
        <f>$F$3</f>
        <v>ELV Installation (NAS Ltd)</v>
      </c>
      <c r="E172" s="829">
        <f>ROUND(($R176*$S$3 + ($T176*$T$3)), 2)</f>
        <v>0</v>
      </c>
      <c r="F172" s="830">
        <f ca="1">$F165-SUMIF($L167:$P169,"SUBI",$F167:$F169)</f>
        <v>0</v>
      </c>
      <c r="G172" s="519"/>
      <c r="H172" s="519"/>
      <c r="I172" s="519"/>
      <c r="J172" s="519"/>
      <c r="K172" s="811" t="s">
        <v>5</v>
      </c>
      <c r="L172" s="812" t="s">
        <v>2055</v>
      </c>
      <c r="M172" s="519"/>
      <c r="N172" s="519"/>
      <c r="O172" s="519"/>
      <c r="P172" s="519"/>
      <c r="Q172" s="519"/>
      <c r="R172" s="831"/>
      <c r="S172" s="519"/>
      <c r="T172" s="831"/>
      <c r="AR172" s="827"/>
      <c r="AS172" s="830">
        <v>-4.9999999999272404E-2</v>
      </c>
    </row>
    <row r="173" spans="1:45" s="844" customFormat="1" ht="14.4" customHeight="1">
      <c r="A173" s="832"/>
      <c r="B173" s="814" t="s">
        <v>2056</v>
      </c>
      <c r="C173" s="833"/>
      <c r="D173" s="834"/>
      <c r="E173" s="834"/>
      <c r="F173" s="834"/>
      <c r="G173" s="835"/>
      <c r="H173" s="836"/>
      <c r="I173" s="836"/>
      <c r="J173" s="837"/>
      <c r="K173" s="838"/>
      <c r="L173" s="833"/>
      <c r="M173" s="839"/>
      <c r="N173" s="840"/>
      <c r="O173" s="841"/>
      <c r="P173" s="842"/>
      <c r="Q173" s="843"/>
      <c r="R173" s="817">
        <f>$A173*Q173</f>
        <v>0</v>
      </c>
      <c r="S173" s="530"/>
      <c r="T173" s="760">
        <f>$A173*S173*$T$1</f>
        <v>0</v>
      </c>
      <c r="AR173" s="832"/>
      <c r="AS173" s="834"/>
    </row>
    <row r="174" spans="1:45" s="520" customFormat="1" ht="11.4">
      <c r="A174" s="813"/>
      <c r="B174" s="530"/>
      <c r="C174" s="530"/>
      <c r="D174" s="530"/>
      <c r="E174" s="530"/>
      <c r="F174" s="530"/>
      <c r="G174" s="530"/>
      <c r="H174" s="530"/>
      <c r="I174" s="530"/>
      <c r="J174" s="530"/>
      <c r="K174" s="530"/>
      <c r="L174" s="816"/>
      <c r="M174" s="530"/>
      <c r="N174" s="530"/>
      <c r="O174" s="530"/>
      <c r="P174" s="530"/>
      <c r="Q174" s="530"/>
      <c r="R174" s="817">
        <f>$A174*Q174</f>
        <v>0</v>
      </c>
      <c r="S174" s="530"/>
      <c r="T174" s="760">
        <f>$A174*S174*$T$1</f>
        <v>0</v>
      </c>
      <c r="AR174" s="813"/>
      <c r="AS174" s="530"/>
    </row>
    <row r="175" spans="1:45" s="520" customFormat="1" ht="13.2">
      <c r="A175" s="813"/>
      <c r="B175" s="530"/>
      <c r="C175" s="530"/>
      <c r="D175" s="3"/>
      <c r="E175" s="530"/>
      <c r="F175" s="530"/>
      <c r="G175" s="530"/>
      <c r="H175" s="530"/>
      <c r="I175" s="530"/>
      <c r="J175" s="530"/>
      <c r="K175" s="530"/>
      <c r="L175" s="816"/>
      <c r="M175" s="530"/>
      <c r="N175" s="530"/>
      <c r="O175" s="530"/>
      <c r="P175" s="530"/>
      <c r="Q175" s="530"/>
      <c r="R175" s="817">
        <f>$A175*Q175</f>
        <v>0</v>
      </c>
      <c r="S175" s="530"/>
      <c r="T175" s="760">
        <f>$A175*S175*$T$1</f>
        <v>0</v>
      </c>
      <c r="AR175" s="813"/>
      <c r="AS175" s="530"/>
    </row>
    <row r="176" spans="1:45" s="520" customFormat="1" ht="12" customHeight="1">
      <c r="A176" s="845" t="s">
        <v>145</v>
      </c>
      <c r="B176" s="846">
        <f>(R175+T175)</f>
        <v>0</v>
      </c>
      <c r="C176" s="847"/>
      <c r="D176" s="847"/>
      <c r="E176" s="847"/>
      <c r="F176" s="847"/>
      <c r="G176" s="823"/>
      <c r="H176" s="823"/>
      <c r="I176" s="823"/>
      <c r="J176" s="823"/>
      <c r="K176" s="848" t="s">
        <v>5</v>
      </c>
      <c r="L176" s="849" t="s">
        <v>2055</v>
      </c>
      <c r="M176" s="823"/>
      <c r="N176" s="823"/>
      <c r="O176" s="823"/>
      <c r="P176" s="823"/>
      <c r="Q176" s="823"/>
      <c r="R176" s="824">
        <f>SUM(R172:R175)</f>
        <v>0</v>
      </c>
      <c r="S176" s="825"/>
      <c r="T176" s="824">
        <f>SUM(T172:T175)</f>
        <v>0</v>
      </c>
      <c r="AG176" s="850">
        <f>ROUND($R176*$S$3,2)</f>
        <v>0</v>
      </c>
      <c r="AR176" s="845" t="s">
        <v>145</v>
      </c>
      <c r="AS176" s="847"/>
    </row>
    <row r="177" spans="1:45" s="520" customFormat="1" ht="12.75" customHeight="1">
      <c r="A177" s="851"/>
      <c r="B177" s="852"/>
      <c r="E177" s="758"/>
      <c r="F177" s="853"/>
      <c r="G177" s="758"/>
      <c r="H177" s="758"/>
      <c r="I177" s="519"/>
      <c r="J177" s="758"/>
      <c r="K177" s="758"/>
      <c r="L177" s="854"/>
      <c r="M177" s="855"/>
      <c r="N177" s="855"/>
      <c r="O177" s="855"/>
      <c r="P177" s="855"/>
      <c r="Q177" s="778"/>
      <c r="R177" s="831"/>
      <c r="S177" s="758"/>
      <c r="T177" s="831"/>
      <c r="AR177" s="851"/>
      <c r="AS177" s="853"/>
    </row>
    <row r="178" spans="1:45" s="520" customFormat="1" ht="13.5" customHeight="1" thickBot="1">
      <c r="A178" s="856"/>
      <c r="B178" s="857"/>
      <c r="C178" s="531"/>
      <c r="D178" s="531"/>
      <c r="E178" s="763"/>
      <c r="F178" s="764"/>
      <c r="G178" s="763" t="s">
        <v>146</v>
      </c>
      <c r="H178" s="763"/>
      <c r="I178" s="765"/>
      <c r="J178" s="763"/>
      <c r="K178" s="763"/>
      <c r="L178" s="858" t="s">
        <v>143</v>
      </c>
      <c r="M178" s="766"/>
      <c r="N178" s="766"/>
      <c r="O178" s="766"/>
      <c r="P178" s="766"/>
      <c r="Q178" s="767"/>
      <c r="R178" s="859">
        <f>SUMIF($L166:$L177,"SUBI",R166:R177)</f>
        <v>0</v>
      </c>
      <c r="S178" s="763"/>
      <c r="T178" s="859">
        <f>SUMIF($L166:$L177,"SUBI",T166:T177)</f>
        <v>0</v>
      </c>
      <c r="U178" s="531"/>
      <c r="V178" s="531"/>
      <c r="W178" s="531"/>
      <c r="X178" s="531"/>
      <c r="Y178" s="531"/>
      <c r="Z178" s="531"/>
      <c r="AA178" s="531"/>
      <c r="AB178" s="531"/>
      <c r="AC178" s="531"/>
      <c r="AD178" s="531"/>
      <c r="AE178" s="531"/>
      <c r="AF178" s="531"/>
      <c r="AG178" s="531"/>
      <c r="AH178" s="531"/>
      <c r="AI178" s="531"/>
      <c r="AJ178" s="531"/>
      <c r="AK178" s="531"/>
      <c r="AL178" s="531"/>
      <c r="AM178" s="531"/>
      <c r="AN178" s="531"/>
      <c r="AO178" s="531"/>
      <c r="AR178" s="856"/>
      <c r="AS178" s="764"/>
    </row>
    <row r="179" spans="1:45" s="520" customFormat="1" thickTop="1">
      <c r="A179" s="51"/>
      <c r="B179" s="41"/>
      <c r="C179" s="51"/>
      <c r="E179" s="42" t="s">
        <v>138</v>
      </c>
      <c r="F179" s="42" t="s">
        <v>139</v>
      </c>
      <c r="G179" s="51"/>
      <c r="H179" s="51"/>
      <c r="I179" s="51"/>
      <c r="J179" s="51"/>
      <c r="K179" s="51" t="s">
        <v>140</v>
      </c>
      <c r="L179" s="785"/>
      <c r="M179" s="51"/>
      <c r="N179" s="51"/>
      <c r="O179" s="52"/>
      <c r="P179" s="51"/>
      <c r="Q179" s="535"/>
      <c r="R179"/>
      <c r="S179"/>
      <c r="T179" s="41"/>
      <c r="AG179" s="521" t="s">
        <v>268</v>
      </c>
      <c r="AH179" s="521" t="s">
        <v>269</v>
      </c>
      <c r="AI179" s="521" t="s">
        <v>270</v>
      </c>
      <c r="AJ179" s="521" t="s">
        <v>271</v>
      </c>
      <c r="AK179" s="521" t="s">
        <v>272</v>
      </c>
      <c r="AM179" s="745" t="s">
        <v>281</v>
      </c>
      <c r="AN179" s="746" t="s">
        <v>282</v>
      </c>
      <c r="AO179" s="522" t="s">
        <v>278</v>
      </c>
      <c r="AR179" s="51"/>
      <c r="AS179" s="42" t="s">
        <v>139</v>
      </c>
    </row>
    <row r="180" spans="1:45" s="520" customFormat="1" ht="13.2">
      <c r="A180" s="747">
        <v>60</v>
      </c>
      <c r="B180" s="523" t="s">
        <v>320</v>
      </c>
      <c r="C180" s="748"/>
      <c r="D180" s="749" t="s">
        <v>3846</v>
      </c>
      <c r="E180" s="786">
        <f>IF(AND($A180=0,$A$1="DIF"),0, ROUND(ROUND(SUMIF($L182:$L187,"SUBI",$E182:$E187)/$A180,2)*$C$12,2))</f>
        <v>264.92</v>
      </c>
      <c r="F180" s="787">
        <f>ROUND($A180*$E180,2)</f>
        <v>15895.2</v>
      </c>
      <c r="G180" s="752" t="s">
        <v>142</v>
      </c>
      <c r="H180" s="753"/>
      <c r="I180" s="754"/>
      <c r="J180" s="753"/>
      <c r="K180" s="788"/>
      <c r="L180" s="789" t="s">
        <v>143</v>
      </c>
      <c r="M180" s="755"/>
      <c r="N180" s="755"/>
      <c r="O180" s="755"/>
      <c r="P180" s="755"/>
      <c r="Q180" s="535"/>
      <c r="R180"/>
      <c r="S180"/>
      <c r="T180" s="790" t="str">
        <f>IF(AND($R193=0,$T193=0),"0.00","mu :" &amp; ROUND($F180/$C$12/($R193+$T193*$D$9),2))</f>
        <v>mu :1.13</v>
      </c>
      <c r="W180" s="524"/>
      <c r="AG180" s="791">
        <f>IF(A180=0,0,ROUND(SUM(AG182:AG193)/A180,2))</f>
        <v>260.74</v>
      </c>
      <c r="AH180" s="791">
        <f>$AG180*$A180</f>
        <v>15644.400000000001</v>
      </c>
      <c r="AI180" s="791">
        <f>$E180-$AG180</f>
        <v>4.1800000000000068</v>
      </c>
      <c r="AJ180" s="791">
        <f>$A180*$AI180</f>
        <v>250.80000000000041</v>
      </c>
      <c r="AK180" s="792">
        <f>ROUND(($AG180+$AI180)*$A180,2)</f>
        <v>15895.2</v>
      </c>
      <c r="AM180" s="527">
        <f>ROUND(R193,2)</f>
        <v>13860</v>
      </c>
      <c r="AN180" s="528">
        <f>ROUND(T193,2)</f>
        <v>8.1</v>
      </c>
      <c r="AO180" s="529">
        <f>ROUND(AM180+AN180,2)*A180</f>
        <v>832086</v>
      </c>
      <c r="AR180" s="747">
        <v>50</v>
      </c>
      <c r="AS180" s="787">
        <v>16943</v>
      </c>
    </row>
    <row r="181" spans="1:45" s="520" customFormat="1" ht="20.100000000000001" customHeight="1">
      <c r="A181" s="793"/>
      <c r="B181" s="794"/>
      <c r="C181" s="748"/>
      <c r="D181" s="770" t="s">
        <v>3799</v>
      </c>
      <c r="F181" s="753"/>
      <c r="G181" s="753"/>
      <c r="H181" s="753"/>
      <c r="I181" s="754"/>
      <c r="J181" s="753"/>
      <c r="K181" s="753" t="s">
        <v>144</v>
      </c>
      <c r="L181" s="784"/>
      <c r="M181" s="753"/>
      <c r="N181" s="753"/>
      <c r="O181" s="753"/>
      <c r="P181" s="753"/>
      <c r="Q181" s="51"/>
      <c r="R181" s="530"/>
      <c r="S181" s="757"/>
      <c r="T181" s="753"/>
      <c r="AR181" s="793"/>
      <c r="AS181" s="753"/>
    </row>
    <row r="182" spans="1:45" s="520" customFormat="1" ht="12">
      <c r="A182" s="795"/>
      <c r="B182" s="796"/>
      <c r="C182" s="758"/>
      <c r="D182" s="753"/>
      <c r="E182" s="797">
        <f>F180/$C$12-SUMIF($L179:$L193,"SUBI",$E179:$E193)</f>
        <v>-7.999999999992724E-2</v>
      </c>
      <c r="F182" s="798" t="s">
        <v>2054</v>
      </c>
      <c r="G182" s="799"/>
      <c r="H182" s="799"/>
      <c r="I182" s="800"/>
      <c r="J182" s="799"/>
      <c r="K182" s="799"/>
      <c r="L182" s="801"/>
      <c r="M182" s="802"/>
      <c r="N182" s="802"/>
      <c r="O182" s="802"/>
      <c r="P182" s="802"/>
      <c r="Q182" s="803"/>
      <c r="R182" s="804"/>
      <c r="S182" s="803"/>
      <c r="T182" s="805"/>
      <c r="AR182" s="795"/>
      <c r="AS182" s="798" t="s">
        <v>2054</v>
      </c>
    </row>
    <row r="183" spans="1:45" s="520" customFormat="1" ht="12" customHeight="1">
      <c r="A183" s="806"/>
      <c r="B183" s="807"/>
      <c r="C183" s="808"/>
      <c r="D183" s="808" t="str">
        <f>$F$2</f>
        <v>Electrical</v>
      </c>
      <c r="E183" s="808">
        <f>ROUND(($R186*$S$2 + ($T186*$T$2)), 2)</f>
        <v>0</v>
      </c>
      <c r="F183" s="809">
        <f>$E183*$C$12</f>
        <v>0</v>
      </c>
      <c r="G183" s="530"/>
      <c r="H183" s="810"/>
      <c r="I183" s="530"/>
      <c r="J183" s="52"/>
      <c r="K183" s="811" t="s">
        <v>3</v>
      </c>
      <c r="L183" s="812" t="s">
        <v>2055</v>
      </c>
      <c r="M183" s="530"/>
      <c r="N183" s="530"/>
      <c r="O183" s="52"/>
      <c r="P183" s="530"/>
      <c r="Q183" s="530"/>
      <c r="R183"/>
      <c r="S183"/>
      <c r="T183"/>
      <c r="AR183" s="806"/>
      <c r="AS183" s="809">
        <v>16943.05</v>
      </c>
    </row>
    <row r="184" spans="1:45" s="901" customFormat="1" ht="13.2">
      <c r="A184" s="1025">
        <v>0</v>
      </c>
      <c r="B184" s="901" t="s">
        <v>141</v>
      </c>
      <c r="D184" s="901" t="s">
        <v>2770</v>
      </c>
      <c r="F184" s="1054" t="s">
        <v>3619</v>
      </c>
      <c r="G184" s="941" t="s">
        <v>2771</v>
      </c>
      <c r="H184" s="942">
        <v>857</v>
      </c>
      <c r="I184" s="901" t="s">
        <v>2596</v>
      </c>
      <c r="K184" s="901" t="s">
        <v>2772</v>
      </c>
      <c r="O184" s="943">
        <v>4</v>
      </c>
      <c r="P184" s="944"/>
      <c r="Q184" s="945">
        <f>11563/50*60</f>
        <v>13875.599999999999</v>
      </c>
      <c r="R184" s="946">
        <f>$A184*Q184</f>
        <v>0</v>
      </c>
      <c r="S184" s="945">
        <f>80/50*60</f>
        <v>96</v>
      </c>
      <c r="T184" s="947">
        <f>$A184*S184*$T$1</f>
        <v>0</v>
      </c>
      <c r="AR184" s="116">
        <v>1</v>
      </c>
      <c r="AS184" s="1054" t="s">
        <v>3619</v>
      </c>
    </row>
    <row r="185" spans="1:45" s="520" customFormat="1" ht="14.1" customHeight="1">
      <c r="A185" s="813"/>
      <c r="B185" s="530"/>
      <c r="C185" s="530"/>
      <c r="D185" s="1325" t="s">
        <v>3847</v>
      </c>
      <c r="E185" s="530"/>
      <c r="F185" s="530"/>
      <c r="G185" s="530"/>
      <c r="H185" s="810"/>
      <c r="I185" s="530"/>
      <c r="J185" s="52"/>
      <c r="K185" s="815"/>
      <c r="L185" s="816"/>
      <c r="M185" s="530"/>
      <c r="N185" s="530"/>
      <c r="O185" s="52"/>
      <c r="P185" s="530"/>
      <c r="Q185" s="530"/>
      <c r="R185" s="817">
        <f>$A185*Q185</f>
        <v>0</v>
      </c>
      <c r="S185" s="530"/>
      <c r="T185" s="760">
        <f>$A185*S185*$T$1</f>
        <v>0</v>
      </c>
      <c r="AR185" s="813"/>
      <c r="AS185" s="530"/>
    </row>
    <row r="186" spans="1:45" s="520" customFormat="1" ht="12">
      <c r="A186" s="818" t="s">
        <v>145</v>
      </c>
      <c r="B186" s="819">
        <f>(R185+T185)</f>
        <v>0</v>
      </c>
      <c r="C186" s="758"/>
      <c r="G186" s="820"/>
      <c r="H186" s="820"/>
      <c r="I186" s="820"/>
      <c r="J186" s="820"/>
      <c r="K186" s="821" t="s">
        <v>3</v>
      </c>
      <c r="L186" s="822" t="s">
        <v>2055</v>
      </c>
      <c r="M186" s="820"/>
      <c r="N186" s="820"/>
      <c r="O186" s="820"/>
      <c r="P186" s="820"/>
      <c r="Q186" s="823"/>
      <c r="R186" s="824">
        <f>SUM(R183:R185)</f>
        <v>0</v>
      </c>
      <c r="S186" s="825"/>
      <c r="T186" s="824">
        <f>SUM(T183:T185)</f>
        <v>0</v>
      </c>
      <c r="AG186" s="826">
        <f>ROUND($R186*$S$2,2)</f>
        <v>0</v>
      </c>
      <c r="AR186" s="818" t="s">
        <v>145</v>
      </c>
    </row>
    <row r="187" spans="1:45" s="520" customFormat="1" ht="12" customHeight="1">
      <c r="A187" s="827"/>
      <c r="B187" s="828"/>
      <c r="C187" s="829"/>
      <c r="D187" s="829" t="str">
        <f>$F$3</f>
        <v>ELV Installation (NAS Ltd)</v>
      </c>
      <c r="E187" s="829">
        <f>ROUND(($R191*$S$3 + ($T191*$T$3)), 2)</f>
        <v>15895.28</v>
      </c>
      <c r="F187" s="830">
        <f ca="1">$F180-SUMIF($L182:$P184,"SUBI",$F182:$F184)</f>
        <v>15895.2</v>
      </c>
      <c r="G187" s="519"/>
      <c r="H187" s="519"/>
      <c r="I187" s="519"/>
      <c r="J187" s="519"/>
      <c r="K187" s="811" t="s">
        <v>5</v>
      </c>
      <c r="L187" s="812" t="s">
        <v>2055</v>
      </c>
      <c r="M187" s="519"/>
      <c r="N187" s="519"/>
      <c r="O187" s="519"/>
      <c r="P187" s="519"/>
      <c r="Q187" s="519"/>
      <c r="R187" s="831"/>
      <c r="S187" s="519"/>
      <c r="T187" s="831"/>
      <c r="AR187" s="827"/>
      <c r="AS187" s="830">
        <v>-4.9999999999272404E-2</v>
      </c>
    </row>
    <row r="188" spans="1:45" s="901" customFormat="1" ht="13.2">
      <c r="A188" s="1025">
        <v>60</v>
      </c>
      <c r="B188" s="901" t="s">
        <v>320</v>
      </c>
      <c r="D188" s="901" t="s">
        <v>4121</v>
      </c>
      <c r="F188" s="1054"/>
      <c r="G188" s="941" t="s">
        <v>2771</v>
      </c>
      <c r="H188" s="942">
        <v>857</v>
      </c>
      <c r="I188" s="901" t="s">
        <v>2596</v>
      </c>
      <c r="K188" s="901" t="s">
        <v>2772</v>
      </c>
      <c r="O188" s="943">
        <v>4</v>
      </c>
      <c r="P188" s="944"/>
      <c r="Q188" s="945">
        <f>210*1.1</f>
        <v>231.00000000000003</v>
      </c>
      <c r="R188" s="946">
        <f>$A188*Q188</f>
        <v>13860.000000000002</v>
      </c>
      <c r="S188" s="945">
        <v>0.15</v>
      </c>
      <c r="T188" s="947">
        <f>$A188*S188*$T$1</f>
        <v>8.1</v>
      </c>
      <c r="AR188" s="116">
        <v>1</v>
      </c>
      <c r="AS188" s="1054" t="s">
        <v>3619</v>
      </c>
    </row>
    <row r="189" spans="1:45" s="520" customFormat="1" ht="11.4">
      <c r="A189" s="813"/>
      <c r="B189" s="530"/>
      <c r="C189" s="530"/>
      <c r="D189" s="530"/>
      <c r="E189" s="530"/>
      <c r="F189" s="530"/>
      <c r="G189" s="530"/>
      <c r="H189" s="530"/>
      <c r="I189" s="530"/>
      <c r="J189" s="530"/>
      <c r="K189" s="530"/>
      <c r="L189" s="816"/>
      <c r="M189" s="530"/>
      <c r="N189" s="530"/>
      <c r="O189" s="530"/>
      <c r="P189" s="530"/>
      <c r="Q189" s="530"/>
      <c r="R189" s="817">
        <f>$A189*Q189</f>
        <v>0</v>
      </c>
      <c r="S189" s="530"/>
      <c r="T189" s="760">
        <f>$A189*S189*$T$1</f>
        <v>0</v>
      </c>
      <c r="AR189" s="813"/>
      <c r="AS189" s="530"/>
    </row>
    <row r="190" spans="1:45" s="520" customFormat="1" ht="13.2">
      <c r="A190" s="813"/>
      <c r="B190" s="530"/>
      <c r="C190" s="530"/>
      <c r="D190" s="3"/>
      <c r="E190" s="530"/>
      <c r="F190" s="530"/>
      <c r="G190" s="530"/>
      <c r="H190" s="530"/>
      <c r="I190" s="530"/>
      <c r="J190" s="530"/>
      <c r="K190" s="530"/>
      <c r="L190" s="816"/>
      <c r="M190" s="530"/>
      <c r="N190" s="530"/>
      <c r="O190" s="530"/>
      <c r="P190" s="530"/>
      <c r="Q190" s="530"/>
      <c r="R190" s="817">
        <f>$A190*Q190</f>
        <v>0</v>
      </c>
      <c r="S190" s="530"/>
      <c r="T190" s="760">
        <f>$A190*S190*$T$1</f>
        <v>0</v>
      </c>
      <c r="AR190" s="813"/>
      <c r="AS190" s="530"/>
    </row>
    <row r="191" spans="1:45" s="520" customFormat="1" ht="12" customHeight="1">
      <c r="A191" s="845" t="s">
        <v>145</v>
      </c>
      <c r="B191" s="846">
        <f>(R190+T190)</f>
        <v>0</v>
      </c>
      <c r="C191" s="847"/>
      <c r="D191" s="847"/>
      <c r="E191" s="847"/>
      <c r="F191" s="847"/>
      <c r="G191" s="823"/>
      <c r="H191" s="823"/>
      <c r="I191" s="823"/>
      <c r="J191" s="823"/>
      <c r="K191" s="848" t="s">
        <v>5</v>
      </c>
      <c r="L191" s="849" t="s">
        <v>2055</v>
      </c>
      <c r="M191" s="823"/>
      <c r="N191" s="823"/>
      <c r="O191" s="823"/>
      <c r="P191" s="823"/>
      <c r="Q191" s="823"/>
      <c r="R191" s="824">
        <f>SUM(R187:R190)</f>
        <v>13860.000000000002</v>
      </c>
      <c r="S191" s="825"/>
      <c r="T191" s="824">
        <f>SUM(T187:T190)</f>
        <v>8.1</v>
      </c>
      <c r="AG191" s="850">
        <f>ROUND($R191*$S$3,2)</f>
        <v>15644.23</v>
      </c>
      <c r="AR191" s="845" t="s">
        <v>145</v>
      </c>
      <c r="AS191" s="847"/>
    </row>
    <row r="192" spans="1:45" s="520" customFormat="1" ht="12.75" customHeight="1">
      <c r="A192" s="851"/>
      <c r="B192" s="852"/>
      <c r="E192" s="758"/>
      <c r="F192" s="853"/>
      <c r="G192" s="758"/>
      <c r="H192" s="758"/>
      <c r="I192" s="519"/>
      <c r="J192" s="758"/>
      <c r="K192" s="758"/>
      <c r="L192" s="854"/>
      <c r="M192" s="855"/>
      <c r="N192" s="855"/>
      <c r="O192" s="855"/>
      <c r="P192" s="855"/>
      <c r="Q192" s="778"/>
      <c r="R192" s="831"/>
      <c r="S192" s="758"/>
      <c r="T192" s="831"/>
      <c r="AR192" s="851"/>
      <c r="AS192" s="853"/>
    </row>
    <row r="193" spans="1:45" s="520" customFormat="1" ht="13.5" customHeight="1" thickBot="1">
      <c r="A193" s="856"/>
      <c r="B193" s="857"/>
      <c r="C193" s="531"/>
      <c r="D193" s="531"/>
      <c r="E193" s="763"/>
      <c r="F193" s="764"/>
      <c r="G193" s="763" t="s">
        <v>146</v>
      </c>
      <c r="H193" s="763"/>
      <c r="I193" s="765"/>
      <c r="J193" s="763"/>
      <c r="K193" s="763"/>
      <c r="L193" s="858" t="s">
        <v>143</v>
      </c>
      <c r="M193" s="766"/>
      <c r="N193" s="766"/>
      <c r="O193" s="766"/>
      <c r="P193" s="766"/>
      <c r="Q193" s="767"/>
      <c r="R193" s="859">
        <f>SUMIF($L181:$L192,"SUBI",R181:R192)</f>
        <v>13860.000000000002</v>
      </c>
      <c r="S193" s="763"/>
      <c r="T193" s="859">
        <f>SUMIF($L181:$L192,"SUBI",T181:T192)</f>
        <v>8.1</v>
      </c>
      <c r="U193" s="531"/>
      <c r="V193" s="531"/>
      <c r="W193" s="531"/>
      <c r="X193" s="531"/>
      <c r="Y193" s="531"/>
      <c r="Z193" s="531"/>
      <c r="AA193" s="531"/>
      <c r="AB193" s="531"/>
      <c r="AC193" s="531"/>
      <c r="AD193" s="531"/>
      <c r="AE193" s="531"/>
      <c r="AF193" s="531"/>
      <c r="AG193" s="531"/>
      <c r="AH193" s="531"/>
      <c r="AI193" s="531"/>
      <c r="AJ193" s="531"/>
      <c r="AK193" s="531"/>
      <c r="AL193" s="531"/>
      <c r="AM193" s="531"/>
      <c r="AN193" s="531"/>
      <c r="AO193" s="531"/>
      <c r="AR193" s="856"/>
      <c r="AS193" s="764"/>
    </row>
    <row r="194" spans="1:45" s="520" customFormat="1" ht="12" thickTop="1">
      <c r="A194" s="51"/>
      <c r="B194" s="41"/>
      <c r="C194" s="51"/>
      <c r="E194" s="42" t="s">
        <v>138</v>
      </c>
      <c r="F194" s="42" t="s">
        <v>139</v>
      </c>
      <c r="G194" s="51"/>
      <c r="H194" s="51"/>
      <c r="I194" s="51"/>
      <c r="J194" s="51"/>
      <c r="K194" s="51" t="s">
        <v>140</v>
      </c>
      <c r="L194" s="51"/>
      <c r="M194" s="51"/>
      <c r="N194" s="51"/>
      <c r="O194" s="52"/>
      <c r="P194" s="51"/>
      <c r="Q194" s="51"/>
      <c r="R194" s="51"/>
      <c r="S194" s="51"/>
      <c r="T194" s="41"/>
      <c r="AG194" s="521" t="s">
        <v>268</v>
      </c>
      <c r="AH194" s="521" t="s">
        <v>269</v>
      </c>
      <c r="AI194" s="521" t="s">
        <v>270</v>
      </c>
      <c r="AJ194" s="521" t="s">
        <v>271</v>
      </c>
      <c r="AK194" s="521" t="s">
        <v>272</v>
      </c>
      <c r="AM194" s="745" t="s">
        <v>281</v>
      </c>
      <c r="AN194" s="746" t="s">
        <v>282</v>
      </c>
      <c r="AO194" s="522" t="s">
        <v>278</v>
      </c>
      <c r="AR194" s="51"/>
      <c r="AS194" s="42" t="s">
        <v>139</v>
      </c>
    </row>
    <row r="195" spans="1:45" s="520" customFormat="1" ht="12" customHeight="1">
      <c r="A195" s="747">
        <v>1</v>
      </c>
      <c r="B195" s="523" t="s">
        <v>141</v>
      </c>
      <c r="C195" s="748"/>
      <c r="D195" s="749" t="s">
        <v>1083</v>
      </c>
      <c r="E195" s="750">
        <f>IF(AND($A195=0,$A$1="DIF"),0, ROUND(ROUND(($R199*$S$2+($T199*$T$2))/A195,2)*$C$2,2))</f>
        <v>0</v>
      </c>
      <c r="F195" s="751"/>
      <c r="G195" s="752" t="s">
        <v>142</v>
      </c>
      <c r="H195" s="753"/>
      <c r="I195" s="754"/>
      <c r="J195" s="753"/>
      <c r="K195" s="753" t="s">
        <v>3</v>
      </c>
      <c r="L195" s="755" t="s">
        <v>143</v>
      </c>
      <c r="M195" s="755"/>
      <c r="N195" s="755"/>
      <c r="O195" s="755"/>
      <c r="P195" s="755"/>
      <c r="Q195" s="1178" t="s">
        <v>3848</v>
      </c>
      <c r="T195" s="756" t="str">
        <f>IF(AND($R199=0,$T199=0),"0.00","mu :" &amp; ROUND($F195/$C$2/($R199+$T199*$D$9),2))</f>
        <v>0.00</v>
      </c>
      <c r="W195" s="524"/>
      <c r="AG195" s="481">
        <f>IF($E195=0,0,ROUND($R199*$S$2*$C$2/$A195,2))</f>
        <v>0</v>
      </c>
      <c r="AH195" s="481">
        <f>$AG195*$A195</f>
        <v>0</v>
      </c>
      <c r="AI195" s="525">
        <f>$E195-$AG195</f>
        <v>0</v>
      </c>
      <c r="AJ195" s="525">
        <f>$A195*$AI195</f>
        <v>0</v>
      </c>
      <c r="AK195" s="526">
        <f>ROUND(($AG195+$AI195)*$A195,2)</f>
        <v>0</v>
      </c>
      <c r="AM195" s="527">
        <f>ROUND(R199,2)</f>
        <v>0</v>
      </c>
      <c r="AN195" s="528">
        <f>ROUND(T199,2)</f>
        <v>0</v>
      </c>
      <c r="AO195" s="529">
        <f>ROUND(AM195+AN195,2)*A195</f>
        <v>0</v>
      </c>
      <c r="AR195" s="747">
        <v>1</v>
      </c>
      <c r="AS195" s="751"/>
    </row>
    <row r="196" spans="1:45" s="520" customFormat="1" ht="13.2">
      <c r="A196" s="748"/>
      <c r="B196"/>
      <c r="C196" s="748"/>
      <c r="D196" s="749" t="s">
        <v>1084</v>
      </c>
      <c r="F196" s="753"/>
      <c r="G196" s="3"/>
      <c r="H196" s="753"/>
      <c r="I196" s="754"/>
      <c r="J196" s="753"/>
      <c r="K196" s="753" t="s">
        <v>144</v>
      </c>
      <c r="L196" s="753"/>
      <c r="M196" s="753"/>
      <c r="N196" s="753"/>
      <c r="O196" s="753"/>
      <c r="P196" s="753"/>
      <c r="Q196" s="51"/>
      <c r="R196" s="530"/>
      <c r="S196" s="757"/>
      <c r="T196" s="753"/>
      <c r="AR196" s="748"/>
      <c r="AS196" s="753"/>
    </row>
    <row r="197" spans="1:45" s="520" customFormat="1" ht="12">
      <c r="A197" s="51"/>
      <c r="B197" s="758"/>
      <c r="C197" s="758"/>
      <c r="D197" s="1058" t="str">
        <f>Q195</f>
        <v>Omitted by consultant</v>
      </c>
      <c r="F197" s="753"/>
      <c r="G197" s="758"/>
      <c r="H197" s="758"/>
      <c r="I197" s="519"/>
      <c r="J197" s="758"/>
      <c r="K197" s="758"/>
      <c r="L197" s="758"/>
      <c r="M197" s="758"/>
      <c r="N197" s="758"/>
      <c r="O197" s="758"/>
      <c r="P197" s="758"/>
      <c r="Q197" s="519"/>
      <c r="R197" s="759">
        <f t="shared" ref="R197:R198" si="38">$A197*Q197</f>
        <v>0</v>
      </c>
      <c r="S197" s="519"/>
      <c r="T197" s="760">
        <f t="shared" ref="T197:T198" si="39">$A197*S197*$T$1</f>
        <v>0</v>
      </c>
      <c r="AR197" s="51"/>
      <c r="AS197" s="753"/>
    </row>
    <row r="198" spans="1:45" s="520" customFormat="1" ht="12">
      <c r="A198" s="758"/>
      <c r="B198" s="758"/>
      <c r="C198" s="758"/>
      <c r="D198" s="758"/>
      <c r="E198" s="758"/>
      <c r="F198" s="753"/>
      <c r="G198" s="758"/>
      <c r="H198" s="758"/>
      <c r="I198" s="519"/>
      <c r="J198" s="758"/>
      <c r="K198" s="758"/>
      <c r="L198" s="758"/>
      <c r="M198" s="758"/>
      <c r="N198" s="758"/>
      <c r="O198" s="758"/>
      <c r="P198" s="758"/>
      <c r="Q198" s="519"/>
      <c r="R198" s="759">
        <f t="shared" si="38"/>
        <v>0</v>
      </c>
      <c r="S198" s="519"/>
      <c r="T198" s="760">
        <f t="shared" si="39"/>
        <v>0</v>
      </c>
      <c r="AR198" s="758"/>
      <c r="AS198" s="753"/>
    </row>
    <row r="199" spans="1:45" s="520" customFormat="1" ht="12.6" thickBot="1">
      <c r="A199" s="761" t="s">
        <v>145</v>
      </c>
      <c r="B199" s="762">
        <f>(R198+T198)</f>
        <v>0</v>
      </c>
      <c r="C199" s="763"/>
      <c r="D199" s="763"/>
      <c r="E199" s="763"/>
      <c r="F199" s="764"/>
      <c r="G199" s="763" t="s">
        <v>146</v>
      </c>
      <c r="H199" s="763"/>
      <c r="I199" s="765"/>
      <c r="J199" s="763"/>
      <c r="K199" s="763" t="s">
        <v>3</v>
      </c>
      <c r="L199" s="766" t="s">
        <v>143</v>
      </c>
      <c r="M199" s="766"/>
      <c r="N199" s="766"/>
      <c r="O199" s="766"/>
      <c r="P199" s="766"/>
      <c r="Q199" s="767"/>
      <c r="R199" s="768">
        <f>SUM(R196:R198)</f>
        <v>0</v>
      </c>
      <c r="S199" s="763"/>
      <c r="T199" s="768">
        <f>SUM(T196:T198)</f>
        <v>0</v>
      </c>
      <c r="U199" s="531"/>
      <c r="V199" s="531"/>
      <c r="W199" s="531"/>
      <c r="X199" s="531"/>
      <c r="Y199" s="531"/>
      <c r="Z199" s="531"/>
      <c r="AA199" s="531"/>
      <c r="AB199" s="531"/>
      <c r="AC199" s="531"/>
      <c r="AD199" s="531"/>
      <c r="AE199" s="531"/>
      <c r="AF199" s="531"/>
      <c r="AG199" s="531"/>
      <c r="AH199" s="531"/>
      <c r="AI199" s="531"/>
      <c r="AJ199" s="531"/>
      <c r="AK199" s="531"/>
      <c r="AL199" s="531"/>
      <c r="AM199" s="531"/>
      <c r="AN199" s="531"/>
      <c r="AO199" s="531"/>
      <c r="AR199" s="761" t="s">
        <v>145</v>
      </c>
      <c r="AS199" s="764"/>
    </row>
    <row r="200" spans="1:45" s="520" customFormat="1" ht="12" thickTop="1">
      <c r="A200" s="51"/>
      <c r="B200" s="41"/>
      <c r="C200" s="51"/>
      <c r="E200" s="42" t="s">
        <v>138</v>
      </c>
      <c r="F200" s="42" t="s">
        <v>139</v>
      </c>
      <c r="G200" s="51"/>
      <c r="H200" s="51"/>
      <c r="I200" s="51"/>
      <c r="J200" s="51"/>
      <c r="K200" s="51" t="s">
        <v>140</v>
      </c>
      <c r="L200" s="51"/>
      <c r="M200" s="51"/>
      <c r="N200" s="51"/>
      <c r="O200" s="52"/>
      <c r="P200" s="51"/>
      <c r="Q200" s="51"/>
      <c r="R200" s="51"/>
      <c r="S200" s="51"/>
      <c r="T200" s="41"/>
      <c r="AG200" s="521" t="s">
        <v>268</v>
      </c>
      <c r="AH200" s="521" t="s">
        <v>269</v>
      </c>
      <c r="AI200" s="521" t="s">
        <v>270</v>
      </c>
      <c r="AJ200" s="521" t="s">
        <v>271</v>
      </c>
      <c r="AK200" s="521" t="s">
        <v>272</v>
      </c>
      <c r="AM200" s="745" t="s">
        <v>281</v>
      </c>
      <c r="AN200" s="746" t="s">
        <v>282</v>
      </c>
      <c r="AO200" s="522" t="s">
        <v>278</v>
      </c>
      <c r="AR200" s="51"/>
      <c r="AS200" s="42" t="s">
        <v>139</v>
      </c>
    </row>
    <row r="201" spans="1:45" s="520" customFormat="1" ht="12" customHeight="1">
      <c r="A201" s="747">
        <v>1</v>
      </c>
      <c r="B201" s="523" t="s">
        <v>141</v>
      </c>
      <c r="C201" s="748"/>
      <c r="D201" s="749" t="s">
        <v>1085</v>
      </c>
      <c r="E201" s="1232">
        <f>IF(AND($A201=0,$A$1="DIF"),0, ROUND(ROUND(($R207*$S$8+($T207*$T$8))/$A201,2)*$C$8,2))</f>
        <v>0</v>
      </c>
      <c r="F201" s="1233">
        <f>ROUND($A201*$E201,2)</f>
        <v>0</v>
      </c>
      <c r="G201" s="752" t="s">
        <v>142</v>
      </c>
      <c r="H201" s="753"/>
      <c r="I201" s="754"/>
      <c r="J201" s="753"/>
      <c r="K201" s="753" t="s">
        <v>15</v>
      </c>
      <c r="L201" s="755" t="s">
        <v>143</v>
      </c>
      <c r="M201" s="755"/>
      <c r="N201" s="755"/>
      <c r="O201" s="755"/>
      <c r="P201" s="755"/>
      <c r="Q201" s="1178" t="s">
        <v>3848</v>
      </c>
      <c r="T201" s="1237" t="str">
        <f>IF(AND($R207=0,$T207=0),"0.00","mu: "&amp; ROUND(F201/$C$8/($R207+$T207*$D$9),2))</f>
        <v>0.00</v>
      </c>
      <c r="W201" s="524"/>
      <c r="AG201" s="1234">
        <f>IF($E201=0,0,ROUND($R207*$S$8*$C$8/$A201,2))</f>
        <v>0</v>
      </c>
      <c r="AH201" s="1234">
        <f>$AG201*$A201</f>
        <v>0</v>
      </c>
      <c r="AI201" s="1235">
        <f>$E201-$AG201</f>
        <v>0</v>
      </c>
      <c r="AJ201" s="1235">
        <f>$A201*$AI201</f>
        <v>0</v>
      </c>
      <c r="AK201" s="1236">
        <f>ROUND(($AG201+$AI201)*$A201,2)</f>
        <v>0</v>
      </c>
      <c r="AM201" s="527">
        <f>ROUND(R207,2)</f>
        <v>0</v>
      </c>
      <c r="AN201" s="528">
        <f>ROUND(T207,2)</f>
        <v>0</v>
      </c>
      <c r="AO201" s="529">
        <f>ROUND(AM201+AN201,2)*A201</f>
        <v>0</v>
      </c>
      <c r="AR201" s="747">
        <v>1</v>
      </c>
      <c r="AS201" s="1233">
        <v>43245.56</v>
      </c>
    </row>
    <row r="202" spans="1:45" s="520" customFormat="1" ht="39.9" customHeight="1">
      <c r="A202" s="748"/>
      <c r="B202"/>
      <c r="C202" s="748"/>
      <c r="D202" s="1451" t="s">
        <v>1086</v>
      </c>
      <c r="E202" s="1452"/>
      <c r="F202" s="1452"/>
      <c r="G202" s="1452"/>
      <c r="H202" s="1452"/>
      <c r="I202" s="1452"/>
      <c r="J202" s="1452"/>
      <c r="K202" s="1452"/>
      <c r="L202" s="1452"/>
      <c r="M202" s="1452"/>
      <c r="N202" s="1452"/>
      <c r="O202" s="1452"/>
      <c r="P202" s="1452"/>
      <c r="Q202" s="1452"/>
      <c r="R202" s="1452"/>
      <c r="S202" s="1452"/>
      <c r="T202" s="1452"/>
      <c r="AR202" s="748"/>
    </row>
    <row r="203" spans="1:45" s="1084" customFormat="1" ht="13.2">
      <c r="A203" s="1086">
        <v>0</v>
      </c>
      <c r="B203" s="1084" t="s">
        <v>141</v>
      </c>
      <c r="D203" s="1084" t="s">
        <v>2773</v>
      </c>
      <c r="F203" s="1047" t="s">
        <v>2776</v>
      </c>
      <c r="G203" s="1091" t="s">
        <v>2774</v>
      </c>
      <c r="H203" s="1092">
        <v>510</v>
      </c>
      <c r="I203" s="1084" t="s">
        <v>2607</v>
      </c>
      <c r="K203" s="1084" t="s">
        <v>2775</v>
      </c>
      <c r="O203" s="1093">
        <v>2</v>
      </c>
      <c r="P203" s="1094"/>
      <c r="Q203" s="1095">
        <v>33300</v>
      </c>
      <c r="R203" s="1096">
        <f>$A203*Q203</f>
        <v>0</v>
      </c>
      <c r="S203" s="1095">
        <v>60</v>
      </c>
      <c r="T203" s="1097">
        <f>$A203*S203*$T$1</f>
        <v>0</v>
      </c>
      <c r="U203" s="1084" t="s">
        <v>2764</v>
      </c>
      <c r="AR203" s="1086">
        <v>1</v>
      </c>
      <c r="AS203" s="1047" t="s">
        <v>2776</v>
      </c>
    </row>
    <row r="204" spans="1:45" s="1084" customFormat="1" ht="13.2">
      <c r="A204" s="1086">
        <v>0</v>
      </c>
      <c r="B204" s="1084" t="s">
        <v>141</v>
      </c>
      <c r="D204" s="1084" t="s">
        <v>2758</v>
      </c>
      <c r="G204" s="1091" t="s">
        <v>2760</v>
      </c>
      <c r="H204" s="1092">
        <v>501</v>
      </c>
      <c r="I204" s="1084" t="s">
        <v>2607</v>
      </c>
      <c r="K204" s="1084" t="s">
        <v>2761</v>
      </c>
      <c r="O204" s="1093">
        <v>1</v>
      </c>
      <c r="P204" s="1094"/>
      <c r="Q204" s="1095">
        <v>700</v>
      </c>
      <c r="R204" s="1096">
        <f>$A204*Q204</f>
        <v>0</v>
      </c>
      <c r="S204" s="1095"/>
      <c r="T204" s="1097">
        <f>$A204*S204*$T$1</f>
        <v>0</v>
      </c>
      <c r="U204" s="1084" t="s">
        <v>2764</v>
      </c>
      <c r="AR204" s="1086">
        <v>1</v>
      </c>
    </row>
    <row r="205" spans="1:45" s="1084" customFormat="1" ht="13.2">
      <c r="A205" s="1327">
        <v>0</v>
      </c>
      <c r="B205" s="1084" t="s">
        <v>863</v>
      </c>
      <c r="D205" s="1084" t="s">
        <v>2752</v>
      </c>
      <c r="G205" s="1091" t="s">
        <v>2754</v>
      </c>
      <c r="H205" s="1092">
        <v>962</v>
      </c>
      <c r="I205" s="1084" t="s">
        <v>2596</v>
      </c>
      <c r="O205" s="1093">
        <v>2</v>
      </c>
      <c r="P205" s="1094">
        <v>38129</v>
      </c>
      <c r="Q205" s="1095">
        <v>1000</v>
      </c>
      <c r="R205" s="1096">
        <f>$A205*Q205</f>
        <v>0</v>
      </c>
      <c r="S205" s="1095"/>
      <c r="T205" s="1097">
        <f>$A205*S205*$T$1</f>
        <v>0</v>
      </c>
      <c r="AR205" s="1327">
        <v>1</v>
      </c>
    </row>
    <row r="206" spans="1:45" s="520" customFormat="1" ht="12">
      <c r="A206" s="758"/>
      <c r="B206" s="758"/>
      <c r="C206" s="758"/>
      <c r="D206" s="758"/>
      <c r="E206" s="758"/>
      <c r="F206" s="753"/>
      <c r="G206" s="758"/>
      <c r="H206" s="758"/>
      <c r="I206" s="519"/>
      <c r="J206" s="758"/>
      <c r="K206" s="758"/>
      <c r="L206" s="758"/>
      <c r="M206" s="758"/>
      <c r="N206" s="758"/>
      <c r="O206" s="758"/>
      <c r="P206" s="758"/>
      <c r="Q206" s="519"/>
      <c r="R206" s="759">
        <f>$A206*Q206</f>
        <v>0</v>
      </c>
      <c r="S206" s="519"/>
      <c r="T206" s="760">
        <f>$A206*S206*$T$1</f>
        <v>0</v>
      </c>
      <c r="AR206" s="758"/>
      <c r="AS206" s="753"/>
    </row>
    <row r="207" spans="1:45" s="520" customFormat="1" ht="12.6" thickBot="1">
      <c r="A207" s="761" t="s">
        <v>145</v>
      </c>
      <c r="B207" s="762">
        <f>(R206+T206)</f>
        <v>0</v>
      </c>
      <c r="C207" s="763"/>
      <c r="D207" s="763"/>
      <c r="E207" s="763"/>
      <c r="F207" s="764"/>
      <c r="G207" s="763" t="s">
        <v>146</v>
      </c>
      <c r="H207" s="763"/>
      <c r="I207" s="765"/>
      <c r="J207" s="763"/>
      <c r="K207" s="763" t="s">
        <v>15</v>
      </c>
      <c r="L207" s="766" t="s">
        <v>143</v>
      </c>
      <c r="M207" s="766"/>
      <c r="N207" s="766"/>
      <c r="O207" s="766"/>
      <c r="P207" s="766"/>
      <c r="Q207" s="767"/>
      <c r="R207" s="768">
        <f>SUM(R202:R206)</f>
        <v>0</v>
      </c>
      <c r="S207" s="763"/>
      <c r="T207" s="768">
        <f>SUM(T202:T206)</f>
        <v>0</v>
      </c>
      <c r="U207" s="531"/>
      <c r="V207" s="531"/>
      <c r="W207" s="531"/>
      <c r="X207" s="531"/>
      <c r="Y207" s="531"/>
      <c r="Z207" s="531"/>
      <c r="AA207" s="531"/>
      <c r="AB207" s="531"/>
      <c r="AC207" s="531"/>
      <c r="AD207" s="531"/>
      <c r="AE207" s="531"/>
      <c r="AF207" s="531"/>
      <c r="AG207" s="531"/>
      <c r="AH207" s="531"/>
      <c r="AI207" s="531"/>
      <c r="AJ207" s="531"/>
      <c r="AK207" s="531"/>
      <c r="AL207" s="531"/>
      <c r="AM207" s="531"/>
      <c r="AN207" s="531"/>
      <c r="AO207" s="531"/>
      <c r="AR207" s="761" t="s">
        <v>145</v>
      </c>
      <c r="AS207" s="764"/>
    </row>
    <row r="208" spans="1:45" s="520" customFormat="1" ht="12" thickTop="1">
      <c r="A208" s="51"/>
      <c r="B208" s="41"/>
      <c r="C208" s="51"/>
      <c r="E208" s="42" t="s">
        <v>138</v>
      </c>
      <c r="F208" s="42" t="s">
        <v>139</v>
      </c>
      <c r="G208" s="51"/>
      <c r="H208" s="51"/>
      <c r="I208" s="51"/>
      <c r="J208" s="51"/>
      <c r="K208" s="51" t="s">
        <v>140</v>
      </c>
      <c r="L208" s="51"/>
      <c r="M208" s="51"/>
      <c r="N208" s="51"/>
      <c r="O208" s="52"/>
      <c r="P208" s="51"/>
      <c r="Q208" s="51"/>
      <c r="R208" s="51"/>
      <c r="S208" s="51"/>
      <c r="T208" s="41"/>
      <c r="AG208" s="521" t="s">
        <v>268</v>
      </c>
      <c r="AH208" s="521" t="s">
        <v>269</v>
      </c>
      <c r="AI208" s="521" t="s">
        <v>270</v>
      </c>
      <c r="AJ208" s="521" t="s">
        <v>271</v>
      </c>
      <c r="AK208" s="521" t="s">
        <v>272</v>
      </c>
      <c r="AM208" s="745" t="s">
        <v>281</v>
      </c>
      <c r="AN208" s="746" t="s">
        <v>282</v>
      </c>
      <c r="AO208" s="522" t="s">
        <v>278</v>
      </c>
      <c r="AR208" s="51"/>
      <c r="AS208" s="42" t="s">
        <v>139</v>
      </c>
    </row>
    <row r="209" spans="1:45" s="520" customFormat="1" ht="12" customHeight="1">
      <c r="A209" s="747">
        <v>1</v>
      </c>
      <c r="B209" s="523" t="s">
        <v>141</v>
      </c>
      <c r="C209" s="748"/>
      <c r="D209" s="749" t="s">
        <v>3849</v>
      </c>
      <c r="E209" s="1232">
        <f>IF(AND($A209=0,$A$1="DIF"),0, ROUND(ROUND(($R215*$S$8+($T215*$T$8))/$A209,2)*$C$8,2))</f>
        <v>37091.949999999997</v>
      </c>
      <c r="F209" s="1233">
        <f>ROUND($A209*$E209,2)</f>
        <v>37091.949999999997</v>
      </c>
      <c r="G209" s="752" t="s">
        <v>142</v>
      </c>
      <c r="H209" s="753"/>
      <c r="I209" s="754"/>
      <c r="J209" s="753"/>
      <c r="K209" s="753" t="s">
        <v>15</v>
      </c>
      <c r="L209" s="755" t="s">
        <v>143</v>
      </c>
      <c r="M209" s="755"/>
      <c r="N209" s="755"/>
      <c r="O209" s="755"/>
      <c r="P209" s="755"/>
      <c r="Q209" s="51"/>
      <c r="T209" s="1237" t="str">
        <f>IF(AND($R215=0,$T215=0),"0.00","mu: "&amp; ROUND(F209/$C$8/($R215+$T215*$D$9),2))</f>
        <v>mu: 1.18</v>
      </c>
      <c r="W209" s="524"/>
      <c r="AG209" s="1234">
        <f>IF($E209=0,0,ROUND($R215*$S$8*$C$8/$A209,2))</f>
        <v>35342.14</v>
      </c>
      <c r="AH209" s="1234">
        <f>$AG209*$A209</f>
        <v>35342.14</v>
      </c>
      <c r="AI209" s="1235">
        <f>$E209-$AG209</f>
        <v>1749.8099999999977</v>
      </c>
      <c r="AJ209" s="1235">
        <f>$A209*$AI209</f>
        <v>1749.8099999999977</v>
      </c>
      <c r="AK209" s="1236">
        <f>ROUND(($AG209+$AI209)*$A209,2)</f>
        <v>37091.949999999997</v>
      </c>
      <c r="AM209" s="527">
        <f>ROUND(R215,2)</f>
        <v>29950</v>
      </c>
      <c r="AN209" s="528">
        <f>ROUND(T215,2)</f>
        <v>54</v>
      </c>
      <c r="AO209" s="529">
        <f>ROUND(AM209+AN209,2)*A209</f>
        <v>30004</v>
      </c>
      <c r="AR209" s="747">
        <v>1</v>
      </c>
      <c r="AS209" s="1233">
        <v>43245.56</v>
      </c>
    </row>
    <row r="210" spans="1:45" s="520" customFormat="1" ht="39.9" customHeight="1">
      <c r="A210" s="748"/>
      <c r="B210"/>
      <c r="C210" s="748"/>
      <c r="D210" s="1451" t="s">
        <v>3850</v>
      </c>
      <c r="E210" s="1452"/>
      <c r="F210" s="1452"/>
      <c r="G210" s="1452"/>
      <c r="H210" s="1452"/>
      <c r="I210" s="1452"/>
      <c r="J210" s="1452"/>
      <c r="K210" s="1452"/>
      <c r="L210" s="1452"/>
      <c r="M210" s="1452"/>
      <c r="N210" s="1452"/>
      <c r="O210" s="1452"/>
      <c r="P210" s="1452"/>
      <c r="Q210" s="1452"/>
      <c r="R210" s="1452"/>
      <c r="S210" s="1452"/>
      <c r="T210" s="1452"/>
      <c r="AR210" s="748"/>
    </row>
    <row r="211" spans="1:45" s="901" customFormat="1" ht="13.2">
      <c r="A211">
        <v>1</v>
      </c>
      <c r="B211" s="901" t="s">
        <v>141</v>
      </c>
      <c r="D211" s="901" t="s">
        <v>2773</v>
      </c>
      <c r="E211" s="1389" t="s">
        <v>4078</v>
      </c>
      <c r="F211" s="1388" t="s">
        <v>3854</v>
      </c>
      <c r="G211" s="941" t="s">
        <v>2774</v>
      </c>
      <c r="H211" s="942">
        <v>510</v>
      </c>
      <c r="I211" s="901" t="s">
        <v>2607</v>
      </c>
      <c r="K211" s="901" t="s">
        <v>2775</v>
      </c>
      <c r="O211" s="943">
        <v>2</v>
      </c>
      <c r="P211" s="944"/>
      <c r="Q211" s="945">
        <f>27250+1000</f>
        <v>28250</v>
      </c>
      <c r="R211" s="946">
        <f>$A211*Q211</f>
        <v>28250</v>
      </c>
      <c r="S211" s="945">
        <v>60</v>
      </c>
      <c r="T211" s="947">
        <f>$A211*S211*$T$1</f>
        <v>54</v>
      </c>
      <c r="AR211">
        <v>1</v>
      </c>
      <c r="AS211" s="1054" t="s">
        <v>2776</v>
      </c>
    </row>
    <row r="212" spans="1:45" s="901" customFormat="1" ht="13.2">
      <c r="A212">
        <v>1</v>
      </c>
      <c r="B212" s="901" t="s">
        <v>141</v>
      </c>
      <c r="D212" s="901" t="s">
        <v>2758</v>
      </c>
      <c r="G212" s="941" t="s">
        <v>2760</v>
      </c>
      <c r="H212" s="942">
        <v>501</v>
      </c>
      <c r="I212" s="901" t="s">
        <v>2607</v>
      </c>
      <c r="K212" s="901" t="s">
        <v>2761</v>
      </c>
      <c r="O212" s="943">
        <v>1</v>
      </c>
      <c r="P212" s="944"/>
      <c r="Q212" s="945">
        <v>700</v>
      </c>
      <c r="R212" s="946">
        <f>$A212*Q212</f>
        <v>700</v>
      </c>
      <c r="S212" s="945"/>
      <c r="T212" s="947">
        <f>$A212*S212*$T$1</f>
        <v>0</v>
      </c>
      <c r="AR212">
        <v>1</v>
      </c>
    </row>
    <row r="213" spans="1:45" s="901" customFormat="1" ht="13.2">
      <c r="A213" s="116">
        <v>1</v>
      </c>
      <c r="B213" s="901" t="s">
        <v>863</v>
      </c>
      <c r="D213" s="901" t="s">
        <v>2752</v>
      </c>
      <c r="G213" s="941" t="s">
        <v>2754</v>
      </c>
      <c r="H213" s="942">
        <v>962</v>
      </c>
      <c r="I213" s="901" t="s">
        <v>2596</v>
      </c>
      <c r="O213" s="943">
        <v>2</v>
      </c>
      <c r="P213" s="944">
        <v>38129</v>
      </c>
      <c r="Q213" s="945">
        <v>1000</v>
      </c>
      <c r="R213" s="946">
        <f>$A213*Q213</f>
        <v>1000</v>
      </c>
      <c r="S213" s="945"/>
      <c r="T213" s="947">
        <f>$A213*S213*$T$1</f>
        <v>0</v>
      </c>
      <c r="AR213" s="116">
        <v>1</v>
      </c>
    </row>
    <row r="214" spans="1:45" s="520" customFormat="1" ht="12">
      <c r="A214" s="758"/>
      <c r="B214" s="758"/>
      <c r="C214" s="758"/>
      <c r="D214" s="758"/>
      <c r="E214" s="758"/>
      <c r="F214" s="753"/>
      <c r="G214" s="758"/>
      <c r="H214" s="758"/>
      <c r="I214" s="519"/>
      <c r="J214" s="758"/>
      <c r="K214" s="758"/>
      <c r="L214" s="758"/>
      <c r="M214" s="758"/>
      <c r="N214" s="758"/>
      <c r="O214" s="758"/>
      <c r="P214" s="758"/>
      <c r="Q214" s="519"/>
      <c r="R214" s="759">
        <f>$A214*Q214</f>
        <v>0</v>
      </c>
      <c r="S214" s="519"/>
      <c r="T214" s="760">
        <f>$A214*S214*$T$1</f>
        <v>0</v>
      </c>
      <c r="AR214" s="758"/>
      <c r="AS214" s="753"/>
    </row>
    <row r="215" spans="1:45" s="520" customFormat="1" ht="12.6" thickBot="1">
      <c r="A215" s="761" t="s">
        <v>145</v>
      </c>
      <c r="B215" s="762">
        <f>(R214+T214)</f>
        <v>0</v>
      </c>
      <c r="C215" s="763"/>
      <c r="D215" s="763"/>
      <c r="E215" s="763"/>
      <c r="F215" s="764"/>
      <c r="G215" s="763" t="s">
        <v>146</v>
      </c>
      <c r="H215" s="763"/>
      <c r="I215" s="765"/>
      <c r="J215" s="763"/>
      <c r="K215" s="763" t="s">
        <v>15</v>
      </c>
      <c r="L215" s="766" t="s">
        <v>143</v>
      </c>
      <c r="M215" s="766"/>
      <c r="N215" s="766"/>
      <c r="O215" s="766"/>
      <c r="P215" s="766"/>
      <c r="Q215" s="767"/>
      <c r="R215" s="768">
        <f>SUM(R210:R214)</f>
        <v>29950</v>
      </c>
      <c r="S215" s="763"/>
      <c r="T215" s="768">
        <f>SUM(T210:T214)</f>
        <v>54</v>
      </c>
      <c r="U215" s="531"/>
      <c r="V215" s="531"/>
      <c r="W215" s="531"/>
      <c r="X215" s="531"/>
      <c r="Y215" s="531"/>
      <c r="Z215" s="531"/>
      <c r="AA215" s="531"/>
      <c r="AB215" s="531"/>
      <c r="AC215" s="531"/>
      <c r="AD215" s="531"/>
      <c r="AE215" s="531"/>
      <c r="AF215" s="531"/>
      <c r="AG215" s="531"/>
      <c r="AH215" s="531"/>
      <c r="AI215" s="531"/>
      <c r="AJ215" s="531"/>
      <c r="AK215" s="531"/>
      <c r="AL215" s="531"/>
      <c r="AM215" s="531"/>
      <c r="AN215" s="531"/>
      <c r="AO215" s="531"/>
      <c r="AR215" s="761" t="s">
        <v>145</v>
      </c>
      <c r="AS215" s="764"/>
    </row>
    <row r="216" spans="1:45" s="520" customFormat="1" ht="12" thickTop="1">
      <c r="A216" s="51"/>
      <c r="B216" s="41"/>
      <c r="C216" s="51"/>
      <c r="E216" s="42" t="s">
        <v>138</v>
      </c>
      <c r="F216" s="42" t="s">
        <v>139</v>
      </c>
      <c r="G216" s="51"/>
      <c r="H216" s="51"/>
      <c r="I216" s="51"/>
      <c r="J216" s="51"/>
      <c r="K216" s="51" t="s">
        <v>140</v>
      </c>
      <c r="L216" s="51"/>
      <c r="M216" s="51"/>
      <c r="N216" s="51"/>
      <c r="O216" s="52"/>
      <c r="P216" s="51"/>
      <c r="Q216" s="51"/>
      <c r="R216" s="51"/>
      <c r="S216" s="51"/>
      <c r="T216" s="41"/>
      <c r="AG216" s="521" t="s">
        <v>268</v>
      </c>
      <c r="AH216" s="521" t="s">
        <v>269</v>
      </c>
      <c r="AI216" s="521" t="s">
        <v>270</v>
      </c>
      <c r="AJ216" s="521" t="s">
        <v>271</v>
      </c>
      <c r="AK216" s="521" t="s">
        <v>272</v>
      </c>
      <c r="AM216" s="745" t="s">
        <v>281</v>
      </c>
      <c r="AN216" s="746" t="s">
        <v>282</v>
      </c>
      <c r="AO216" s="522" t="s">
        <v>278</v>
      </c>
      <c r="AR216" s="51"/>
      <c r="AS216" s="42" t="s">
        <v>139</v>
      </c>
    </row>
    <row r="217" spans="1:45" s="520" customFormat="1" ht="12" customHeight="1">
      <c r="A217" s="747">
        <v>1</v>
      </c>
      <c r="B217" s="523" t="s">
        <v>141</v>
      </c>
      <c r="C217" s="748"/>
      <c r="D217" s="749" t="s">
        <v>1087</v>
      </c>
      <c r="E217" s="1232">
        <f>IF(AND($A217=0,$A$1="DIF"),0, ROUND(ROUND(($R223*$S$8+($T223*$T$8))/$A217,2)*$C$8,2))</f>
        <v>0</v>
      </c>
      <c r="F217" s="1233">
        <f>ROUND($A217*$E217,2)</f>
        <v>0</v>
      </c>
      <c r="G217" s="752" t="s">
        <v>142</v>
      </c>
      <c r="H217" s="753"/>
      <c r="I217" s="754"/>
      <c r="J217" s="753"/>
      <c r="K217" s="753" t="s">
        <v>15</v>
      </c>
      <c r="L217" s="755" t="s">
        <v>143</v>
      </c>
      <c r="M217" s="755"/>
      <c r="N217" s="755"/>
      <c r="O217" s="755"/>
      <c r="P217" s="755"/>
      <c r="Q217" s="1178" t="s">
        <v>3848</v>
      </c>
      <c r="T217" s="1237" t="str">
        <f>IF(AND($R223=0,$T223=0),"0.00","mu: "&amp; ROUND(F217/$C$8/($R223+$T223*$D$9),2))</f>
        <v>0.00</v>
      </c>
      <c r="W217" s="524"/>
      <c r="AG217" s="1234">
        <f>IF($E217=0,0,ROUND($R223*$S$8*$C$8/$A217,2))</f>
        <v>0</v>
      </c>
      <c r="AH217" s="1234">
        <f>$AG217*$A217</f>
        <v>0</v>
      </c>
      <c r="AI217" s="1235">
        <f>$E217-$AG217</f>
        <v>0</v>
      </c>
      <c r="AJ217" s="1235">
        <f>$A217*$AI217</f>
        <v>0</v>
      </c>
      <c r="AK217" s="1236">
        <f>ROUND(($AG217+$AI217)*$A217,2)</f>
        <v>0</v>
      </c>
      <c r="AM217" s="527">
        <f>ROUND(R223,2)</f>
        <v>0</v>
      </c>
      <c r="AN217" s="528">
        <f>ROUND(T223,2)</f>
        <v>0</v>
      </c>
      <c r="AO217" s="529">
        <f>ROUND(AM217+AN217,2)*A217</f>
        <v>0</v>
      </c>
      <c r="AR217" s="747">
        <v>1</v>
      </c>
      <c r="AS217" s="1233">
        <v>26843.98</v>
      </c>
    </row>
    <row r="218" spans="1:45" s="520" customFormat="1" ht="39.9" customHeight="1">
      <c r="A218" s="748"/>
      <c r="B218"/>
      <c r="C218" s="748"/>
      <c r="D218" s="1451" t="s">
        <v>1088</v>
      </c>
      <c r="E218" s="1452"/>
      <c r="F218" s="1452"/>
      <c r="G218" s="1452"/>
      <c r="H218" s="1452"/>
      <c r="I218" s="1452"/>
      <c r="J218" s="1452"/>
      <c r="K218" s="1452"/>
      <c r="L218" s="1452"/>
      <c r="M218" s="1452"/>
      <c r="N218" s="1452"/>
      <c r="O218" s="1452"/>
      <c r="P218" s="1452"/>
      <c r="Q218" s="1452"/>
      <c r="R218" s="1452"/>
      <c r="S218" s="1452"/>
      <c r="T218" s="1452"/>
      <c r="AR218" s="748"/>
    </row>
    <row r="219" spans="1:45" s="1084" customFormat="1" ht="13.2">
      <c r="A219" s="1086">
        <v>0</v>
      </c>
      <c r="B219" s="1084" t="s">
        <v>141</v>
      </c>
      <c r="D219" s="1084" t="s">
        <v>2773</v>
      </c>
      <c r="F219" s="1047" t="s">
        <v>2777</v>
      </c>
      <c r="G219" s="1091" t="s">
        <v>2774</v>
      </c>
      <c r="H219" s="1092">
        <v>510</v>
      </c>
      <c r="I219" s="1084" t="s">
        <v>2607</v>
      </c>
      <c r="K219" s="1084" t="s">
        <v>2775</v>
      </c>
      <c r="O219" s="1093">
        <v>2</v>
      </c>
      <c r="P219" s="1094"/>
      <c r="Q219" s="1326">
        <v>20450</v>
      </c>
      <c r="R219" s="1096">
        <f>$A219*Q219</f>
        <v>0</v>
      </c>
      <c r="S219" s="1095">
        <v>40</v>
      </c>
      <c r="T219" s="1097">
        <f>$A219*S219*$T$1</f>
        <v>0</v>
      </c>
      <c r="AR219" s="1086">
        <v>1</v>
      </c>
      <c r="AS219" s="1047" t="s">
        <v>2777</v>
      </c>
    </row>
    <row r="220" spans="1:45" s="1084" customFormat="1" ht="13.2">
      <c r="A220" s="1086">
        <v>0</v>
      </c>
      <c r="B220" s="1084" t="s">
        <v>141</v>
      </c>
      <c r="D220" s="1084" t="s">
        <v>2758</v>
      </c>
      <c r="G220" s="1091" t="s">
        <v>2760</v>
      </c>
      <c r="H220" s="1092">
        <v>501</v>
      </c>
      <c r="I220" s="1084" t="s">
        <v>2607</v>
      </c>
      <c r="K220" s="1084" t="s">
        <v>2761</v>
      </c>
      <c r="O220" s="1093">
        <v>1</v>
      </c>
      <c r="P220" s="1094"/>
      <c r="Q220" s="1095">
        <v>500</v>
      </c>
      <c r="R220" s="1096">
        <f>$A220*Q220</f>
        <v>0</v>
      </c>
      <c r="S220" s="1095"/>
      <c r="T220" s="1097">
        <f>$A220*S220*$T$1</f>
        <v>0</v>
      </c>
      <c r="AR220" s="1086">
        <v>1</v>
      </c>
    </row>
    <row r="221" spans="1:45" s="1084" customFormat="1" ht="13.2">
      <c r="A221" s="1327">
        <v>0</v>
      </c>
      <c r="B221" s="1084" t="s">
        <v>863</v>
      </c>
      <c r="D221" s="1084" t="s">
        <v>2752</v>
      </c>
      <c r="G221" s="1091" t="s">
        <v>2754</v>
      </c>
      <c r="H221" s="1092">
        <v>962</v>
      </c>
      <c r="I221" s="1084" t="s">
        <v>2596</v>
      </c>
      <c r="O221" s="1093">
        <v>2</v>
      </c>
      <c r="P221" s="1094">
        <v>38129</v>
      </c>
      <c r="Q221" s="1095">
        <v>700</v>
      </c>
      <c r="R221" s="1096">
        <f>$A221*Q221</f>
        <v>0</v>
      </c>
      <c r="S221" s="1095"/>
      <c r="T221" s="1097">
        <f>$A221*S221*$T$1</f>
        <v>0</v>
      </c>
      <c r="AR221" s="1327">
        <v>1</v>
      </c>
    </row>
    <row r="222" spans="1:45" s="520" customFormat="1" ht="12">
      <c r="A222" s="758"/>
      <c r="B222" s="758"/>
      <c r="C222" s="758"/>
      <c r="D222" s="758"/>
      <c r="E222" s="758"/>
      <c r="F222" s="753"/>
      <c r="G222" s="758"/>
      <c r="H222" s="758"/>
      <c r="I222" s="519"/>
      <c r="J222" s="758"/>
      <c r="K222" s="758"/>
      <c r="L222" s="758"/>
      <c r="M222" s="758"/>
      <c r="N222" s="758"/>
      <c r="O222" s="758"/>
      <c r="P222" s="758"/>
      <c r="Q222" s="519"/>
      <c r="R222" s="759">
        <f>$A222*Q222</f>
        <v>0</v>
      </c>
      <c r="S222" s="519"/>
      <c r="T222" s="760">
        <f>$A222*S222*$T$1</f>
        <v>0</v>
      </c>
      <c r="AR222" s="758"/>
      <c r="AS222" s="753"/>
    </row>
    <row r="223" spans="1:45" s="520" customFormat="1" ht="12.6" thickBot="1">
      <c r="A223" s="761" t="s">
        <v>145</v>
      </c>
      <c r="B223" s="762">
        <f>(R222+T222)</f>
        <v>0</v>
      </c>
      <c r="C223" s="763"/>
      <c r="D223" s="763"/>
      <c r="E223" s="763"/>
      <c r="F223" s="764"/>
      <c r="G223" s="763" t="s">
        <v>146</v>
      </c>
      <c r="H223" s="763"/>
      <c r="I223" s="765"/>
      <c r="J223" s="763"/>
      <c r="K223" s="763" t="s">
        <v>15</v>
      </c>
      <c r="L223" s="766" t="s">
        <v>143</v>
      </c>
      <c r="M223" s="766"/>
      <c r="N223" s="766"/>
      <c r="O223" s="766"/>
      <c r="P223" s="766"/>
      <c r="Q223" s="767"/>
      <c r="R223" s="768">
        <f>SUM(R218:R222)</f>
        <v>0</v>
      </c>
      <c r="S223" s="763"/>
      <c r="T223" s="768">
        <f>SUM(T218:T222)</f>
        <v>0</v>
      </c>
      <c r="U223" s="531"/>
      <c r="V223" s="531"/>
      <c r="W223" s="531"/>
      <c r="X223" s="531"/>
      <c r="Y223" s="531"/>
      <c r="Z223" s="531"/>
      <c r="AA223" s="531"/>
      <c r="AB223" s="531"/>
      <c r="AC223" s="531"/>
      <c r="AD223" s="531"/>
      <c r="AE223" s="531"/>
      <c r="AF223" s="531"/>
      <c r="AG223" s="531"/>
      <c r="AH223" s="531"/>
      <c r="AI223" s="531"/>
      <c r="AJ223" s="531"/>
      <c r="AK223" s="531"/>
      <c r="AL223" s="531"/>
      <c r="AM223" s="531"/>
      <c r="AN223" s="531"/>
      <c r="AO223" s="531"/>
      <c r="AR223" s="761" t="s">
        <v>145</v>
      </c>
      <c r="AS223" s="764"/>
    </row>
    <row r="224" spans="1:45" s="520" customFormat="1" ht="12" thickTop="1">
      <c r="A224" s="51"/>
      <c r="B224" s="41"/>
      <c r="C224" s="51"/>
      <c r="E224" s="42" t="s">
        <v>138</v>
      </c>
      <c r="F224" s="42" t="s">
        <v>139</v>
      </c>
      <c r="G224" s="51"/>
      <c r="H224" s="51"/>
      <c r="I224" s="51"/>
      <c r="J224" s="51"/>
      <c r="K224" s="51" t="s">
        <v>140</v>
      </c>
      <c r="L224" s="51"/>
      <c r="M224" s="51"/>
      <c r="N224" s="51"/>
      <c r="O224" s="52"/>
      <c r="P224" s="51"/>
      <c r="Q224" s="51"/>
      <c r="R224" s="51"/>
      <c r="S224" s="51"/>
      <c r="T224" s="41"/>
      <c r="AG224" s="521" t="s">
        <v>268</v>
      </c>
      <c r="AH224" s="521" t="s">
        <v>269</v>
      </c>
      <c r="AI224" s="521" t="s">
        <v>270</v>
      </c>
      <c r="AJ224" s="521" t="s">
        <v>271</v>
      </c>
      <c r="AK224" s="521" t="s">
        <v>272</v>
      </c>
      <c r="AM224" s="745" t="s">
        <v>281</v>
      </c>
      <c r="AN224" s="746" t="s">
        <v>282</v>
      </c>
      <c r="AO224" s="522" t="s">
        <v>278</v>
      </c>
      <c r="AR224" s="51"/>
      <c r="AS224" s="42" t="s">
        <v>139</v>
      </c>
    </row>
    <row r="225" spans="1:45" s="520" customFormat="1" ht="12" customHeight="1">
      <c r="A225" s="747">
        <v>1</v>
      </c>
      <c r="B225" s="523" t="s">
        <v>141</v>
      </c>
      <c r="C225" s="748"/>
      <c r="D225" s="749" t="s">
        <v>3851</v>
      </c>
      <c r="E225" s="1232">
        <f>IF(AND($A225=0,$A$1="DIF"),0, ROUND(ROUND(($R231*$S$8+($T231*$T$8))/$A225,2)*$C$8,2))</f>
        <v>20519.16</v>
      </c>
      <c r="F225" s="1233">
        <f>ROUND($A225*$E225,2)</f>
        <v>20519.16</v>
      </c>
      <c r="G225" s="752" t="s">
        <v>142</v>
      </c>
      <c r="H225" s="753"/>
      <c r="I225" s="754"/>
      <c r="J225" s="753"/>
      <c r="K225" s="753" t="s">
        <v>15</v>
      </c>
      <c r="L225" s="755" t="s">
        <v>143</v>
      </c>
      <c r="M225" s="755"/>
      <c r="N225" s="755"/>
      <c r="O225" s="755"/>
      <c r="P225" s="755"/>
      <c r="Q225" s="1178"/>
      <c r="T225" s="1237" t="str">
        <f>IF(AND($R231=0,$T231=0),"0.00","mu: "&amp; ROUND(F225/$C$8/($R231+$T231*$D$9),2))</f>
        <v>mu: 1.18</v>
      </c>
      <c r="W225" s="524"/>
      <c r="AG225" s="1234">
        <f>IF($E225=0,0,ROUND($R231*$S$8*$C$8/$A225,2))</f>
        <v>19352.62</v>
      </c>
      <c r="AH225" s="1234">
        <f>$AG225*$A225</f>
        <v>19352.62</v>
      </c>
      <c r="AI225" s="1235">
        <f>$E225-$AG225</f>
        <v>1166.5400000000009</v>
      </c>
      <c r="AJ225" s="1235">
        <f>$A225*$AI225</f>
        <v>1166.5400000000009</v>
      </c>
      <c r="AK225" s="1236">
        <f>ROUND(($AG225+$AI225)*$A225,2)</f>
        <v>20519.16</v>
      </c>
      <c r="AM225" s="527">
        <f>ROUND(R231,2)</f>
        <v>16400</v>
      </c>
      <c r="AN225" s="528">
        <f>ROUND(T231,2)</f>
        <v>36</v>
      </c>
      <c r="AO225" s="529">
        <f>ROUND(AM225+AN225,2)*A225</f>
        <v>16436</v>
      </c>
      <c r="AR225" s="747">
        <v>1</v>
      </c>
      <c r="AS225" s="1233">
        <v>26843.98</v>
      </c>
    </row>
    <row r="226" spans="1:45" s="520" customFormat="1" ht="39.9" customHeight="1">
      <c r="A226" s="748"/>
      <c r="B226"/>
      <c r="C226" s="748"/>
      <c r="D226" s="1451" t="s">
        <v>3852</v>
      </c>
      <c r="E226" s="1452"/>
      <c r="F226" s="1452"/>
      <c r="G226" s="1452"/>
      <c r="H226" s="1452"/>
      <c r="I226" s="1452"/>
      <c r="J226" s="1452"/>
      <c r="K226" s="1452"/>
      <c r="L226" s="1452"/>
      <c r="M226" s="1452"/>
      <c r="N226" s="1452"/>
      <c r="O226" s="1452"/>
      <c r="P226" s="1452"/>
      <c r="Q226" s="1452"/>
      <c r="R226" s="1452"/>
      <c r="S226" s="1452"/>
      <c r="T226" s="1452"/>
      <c r="AR226" s="748"/>
    </row>
    <row r="227" spans="1:45" s="901" customFormat="1" ht="13.2">
      <c r="A227">
        <v>1</v>
      </c>
      <c r="B227" s="901" t="s">
        <v>141</v>
      </c>
      <c r="D227" s="901" t="s">
        <v>2773</v>
      </c>
      <c r="E227" s="1389" t="s">
        <v>4078</v>
      </c>
      <c r="F227" s="1388" t="s">
        <v>3853</v>
      </c>
      <c r="G227" s="941" t="s">
        <v>2774</v>
      </c>
      <c r="H227" s="942">
        <v>510</v>
      </c>
      <c r="I227" s="901" t="s">
        <v>2607</v>
      </c>
      <c r="K227" s="901" t="s">
        <v>2775</v>
      </c>
      <c r="O227" s="943">
        <v>2</v>
      </c>
      <c r="P227" s="944"/>
      <c r="Q227" s="945">
        <f>14200+1000</f>
        <v>15200</v>
      </c>
      <c r="R227" s="946">
        <f>$A227*Q227</f>
        <v>15200</v>
      </c>
      <c r="S227" s="945">
        <v>40</v>
      </c>
      <c r="T227" s="947">
        <f>$A227*S227*$T$1</f>
        <v>36</v>
      </c>
      <c r="AR227">
        <v>1</v>
      </c>
      <c r="AS227" s="1054" t="s">
        <v>2777</v>
      </c>
    </row>
    <row r="228" spans="1:45" s="901" customFormat="1" ht="13.2">
      <c r="A228">
        <v>1</v>
      </c>
      <c r="B228" s="901" t="s">
        <v>141</v>
      </c>
      <c r="D228" s="901" t="s">
        <v>2758</v>
      </c>
      <c r="G228" s="941" t="s">
        <v>2760</v>
      </c>
      <c r="H228" s="942">
        <v>501</v>
      </c>
      <c r="I228" s="901" t="s">
        <v>2607</v>
      </c>
      <c r="K228" s="901" t="s">
        <v>2761</v>
      </c>
      <c r="O228" s="943">
        <v>1</v>
      </c>
      <c r="P228" s="944"/>
      <c r="Q228" s="945">
        <v>500</v>
      </c>
      <c r="R228" s="946">
        <f>$A228*Q228</f>
        <v>500</v>
      </c>
      <c r="S228" s="945"/>
      <c r="T228" s="947">
        <f>$A228*S228*$T$1</f>
        <v>0</v>
      </c>
      <c r="AR228">
        <v>1</v>
      </c>
    </row>
    <row r="229" spans="1:45" s="901" customFormat="1" ht="13.2">
      <c r="A229" s="116">
        <v>1</v>
      </c>
      <c r="B229" s="901" t="s">
        <v>863</v>
      </c>
      <c r="D229" s="901" t="s">
        <v>2752</v>
      </c>
      <c r="G229" s="941" t="s">
        <v>2754</v>
      </c>
      <c r="H229" s="942">
        <v>962</v>
      </c>
      <c r="I229" s="901" t="s">
        <v>2596</v>
      </c>
      <c r="O229" s="943">
        <v>2</v>
      </c>
      <c r="P229" s="944">
        <v>38129</v>
      </c>
      <c r="Q229" s="945">
        <v>700</v>
      </c>
      <c r="R229" s="946">
        <f>$A229*Q229</f>
        <v>700</v>
      </c>
      <c r="S229" s="945"/>
      <c r="T229" s="947">
        <f>$A229*S229*$T$1</f>
        <v>0</v>
      </c>
      <c r="AR229" s="116">
        <v>1</v>
      </c>
    </row>
    <row r="230" spans="1:45" s="520" customFormat="1" ht="12">
      <c r="A230" s="758"/>
      <c r="B230" s="758"/>
      <c r="C230" s="758"/>
      <c r="D230" s="758"/>
      <c r="E230" s="758"/>
      <c r="F230" s="753"/>
      <c r="G230" s="758"/>
      <c r="H230" s="758"/>
      <c r="I230" s="519"/>
      <c r="J230" s="758"/>
      <c r="K230" s="758"/>
      <c r="L230" s="758"/>
      <c r="M230" s="758"/>
      <c r="N230" s="758"/>
      <c r="O230" s="758"/>
      <c r="P230" s="758"/>
      <c r="Q230" s="519"/>
      <c r="R230" s="759">
        <f>$A230*Q230</f>
        <v>0</v>
      </c>
      <c r="S230" s="519"/>
      <c r="T230" s="760">
        <f>$A230*S230*$T$1</f>
        <v>0</v>
      </c>
      <c r="AR230" s="758"/>
      <c r="AS230" s="753"/>
    </row>
    <row r="231" spans="1:45" s="520" customFormat="1" ht="12.6" thickBot="1">
      <c r="A231" s="761" t="s">
        <v>145</v>
      </c>
      <c r="B231" s="762">
        <f>(R230+T230)</f>
        <v>0</v>
      </c>
      <c r="C231" s="763"/>
      <c r="D231" s="763"/>
      <c r="E231" s="763"/>
      <c r="F231" s="764"/>
      <c r="G231" s="763" t="s">
        <v>146</v>
      </c>
      <c r="H231" s="763"/>
      <c r="I231" s="765"/>
      <c r="J231" s="763"/>
      <c r="K231" s="763" t="s">
        <v>15</v>
      </c>
      <c r="L231" s="766" t="s">
        <v>143</v>
      </c>
      <c r="M231" s="766"/>
      <c r="N231" s="766"/>
      <c r="O231" s="766"/>
      <c r="P231" s="766"/>
      <c r="Q231" s="767"/>
      <c r="R231" s="768">
        <f>SUM(R226:R230)</f>
        <v>16400</v>
      </c>
      <c r="S231" s="763"/>
      <c r="T231" s="768">
        <f>SUM(T226:T230)</f>
        <v>36</v>
      </c>
      <c r="U231" s="531"/>
      <c r="V231" s="531"/>
      <c r="W231" s="531"/>
      <c r="X231" s="531"/>
      <c r="Y231" s="531"/>
      <c r="Z231" s="531"/>
      <c r="AA231" s="531"/>
      <c r="AB231" s="531"/>
      <c r="AC231" s="531"/>
      <c r="AD231" s="531"/>
      <c r="AE231" s="531"/>
      <c r="AF231" s="531"/>
      <c r="AG231" s="531"/>
      <c r="AH231" s="531"/>
      <c r="AI231" s="531"/>
      <c r="AJ231" s="531"/>
      <c r="AK231" s="531"/>
      <c r="AL231" s="531"/>
      <c r="AM231" s="531"/>
      <c r="AN231" s="531"/>
      <c r="AO231" s="531"/>
      <c r="AR231" s="761" t="s">
        <v>145</v>
      </c>
      <c r="AS231" s="764"/>
    </row>
    <row r="232" spans="1:45" s="520" customFormat="1" ht="12" thickTop="1">
      <c r="A232" s="51"/>
      <c r="B232" s="41"/>
      <c r="C232" s="51"/>
      <c r="E232" s="42" t="s">
        <v>138</v>
      </c>
      <c r="F232" s="42" t="s">
        <v>139</v>
      </c>
      <c r="G232" s="51"/>
      <c r="H232" s="51"/>
      <c r="I232" s="51"/>
      <c r="J232" s="51"/>
      <c r="K232" s="51" t="s">
        <v>140</v>
      </c>
      <c r="L232" s="51"/>
      <c r="M232" s="51"/>
      <c r="N232" s="51"/>
      <c r="O232" s="52"/>
      <c r="P232" s="51"/>
      <c r="Q232" s="51"/>
      <c r="R232" s="51"/>
      <c r="S232" s="51"/>
      <c r="T232" s="41"/>
      <c r="AG232" s="521" t="s">
        <v>268</v>
      </c>
      <c r="AH232" s="521" t="s">
        <v>269</v>
      </c>
      <c r="AI232" s="521" t="s">
        <v>270</v>
      </c>
      <c r="AJ232" s="521" t="s">
        <v>271</v>
      </c>
      <c r="AK232" s="521" t="s">
        <v>272</v>
      </c>
      <c r="AM232" s="745" t="s">
        <v>281</v>
      </c>
      <c r="AN232" s="746" t="s">
        <v>282</v>
      </c>
      <c r="AO232" s="522" t="s">
        <v>278</v>
      </c>
      <c r="AR232" s="51"/>
      <c r="AS232" s="42" t="s">
        <v>139</v>
      </c>
    </row>
    <row r="233" spans="1:45" s="520" customFormat="1" ht="12" customHeight="1">
      <c r="A233" s="747">
        <v>1</v>
      </c>
      <c r="B233" s="523" t="s">
        <v>141</v>
      </c>
      <c r="C233" s="748"/>
      <c r="D233" s="749" t="s">
        <v>1089</v>
      </c>
      <c r="E233" s="1232">
        <f>IF(AND($A233=0,$A$1="DIF"),0, ROUND(ROUND(($R240*$S$8+($T240*$T$8))/$A233,2)*$C$8,2))</f>
        <v>131250.88</v>
      </c>
      <c r="F233" s="1233">
        <f>ROUND($A233*$E233,2)</f>
        <v>131250.88</v>
      </c>
      <c r="G233" s="752" t="s">
        <v>142</v>
      </c>
      <c r="H233" s="753"/>
      <c r="I233" s="754"/>
      <c r="J233" s="753"/>
      <c r="K233" s="753" t="s">
        <v>15</v>
      </c>
      <c r="L233" s="755" t="s">
        <v>143</v>
      </c>
      <c r="M233" s="755"/>
      <c r="N233" s="755"/>
      <c r="O233" s="755"/>
      <c r="P233" s="755"/>
      <c r="Q233" s="1178"/>
      <c r="T233" s="1237" t="str">
        <f>IF(AND($R240=0,$T240=0),"0.00","mu: "&amp; ROUND(F233/$C$8/($R240+$T240*$D$9),2))</f>
        <v>mu: 1.18</v>
      </c>
      <c r="W233" s="524"/>
      <c r="AG233" s="1234">
        <f>IF($E233=0,0,ROUND($R240*$S$8*$C$8/$A233,2))</f>
        <v>128801.15</v>
      </c>
      <c r="AH233" s="1234">
        <f>$AG233*$A233</f>
        <v>128801.15</v>
      </c>
      <c r="AI233" s="1235">
        <f>$E233-$AG233</f>
        <v>2449.7300000000105</v>
      </c>
      <c r="AJ233" s="1235">
        <f>$A233*$AI233</f>
        <v>2449.7300000000105</v>
      </c>
      <c r="AK233" s="1236">
        <f>ROUND(($AG233+$AI233)*$A233,2)</f>
        <v>131250.88</v>
      </c>
      <c r="AM233" s="527">
        <f>ROUND(R240,2)</f>
        <v>109150</v>
      </c>
      <c r="AN233" s="528">
        <f>ROUND(T240,2)</f>
        <v>75.599999999999994</v>
      </c>
      <c r="AO233" s="529">
        <f>ROUND(AM233+AN233,2)*A233</f>
        <v>109225.60000000001</v>
      </c>
      <c r="AR233" s="747">
        <v>1</v>
      </c>
      <c r="AS233" s="1233">
        <v>133883.15</v>
      </c>
    </row>
    <row r="234" spans="1:45" s="520" customFormat="1" ht="39.9" customHeight="1">
      <c r="A234" s="748"/>
      <c r="B234"/>
      <c r="C234" s="748"/>
      <c r="D234" s="1451" t="s">
        <v>1090</v>
      </c>
      <c r="E234" s="1452"/>
      <c r="F234" s="1452"/>
      <c r="G234" s="1452"/>
      <c r="H234" s="1452"/>
      <c r="I234" s="1452"/>
      <c r="J234" s="1452"/>
      <c r="K234" s="1452"/>
      <c r="L234" s="1452"/>
      <c r="M234" s="1452"/>
      <c r="N234" s="1452"/>
      <c r="O234" s="1452"/>
      <c r="P234" s="1452"/>
      <c r="Q234" s="1452"/>
      <c r="R234" s="1452"/>
      <c r="S234" s="1452"/>
      <c r="T234" s="1452"/>
      <c r="AR234" s="748"/>
    </row>
    <row r="235" spans="1:45" s="901" customFormat="1" ht="13.2">
      <c r="A235" s="535">
        <v>1</v>
      </c>
      <c r="B235" s="901" t="s">
        <v>141</v>
      </c>
      <c r="D235" s="901" t="s">
        <v>2773</v>
      </c>
      <c r="F235" s="1388" t="s">
        <v>2778</v>
      </c>
      <c r="G235" s="941" t="s">
        <v>2774</v>
      </c>
      <c r="H235" s="942">
        <v>510</v>
      </c>
      <c r="I235" s="901" t="s">
        <v>2607</v>
      </c>
      <c r="K235" s="901" t="s">
        <v>2775</v>
      </c>
      <c r="O235" s="943">
        <v>2</v>
      </c>
      <c r="P235" s="944"/>
      <c r="Q235" s="1205">
        <f>105450+3500</f>
        <v>108950</v>
      </c>
      <c r="R235" s="946">
        <f>$A235*Q235</f>
        <v>108950</v>
      </c>
      <c r="S235" s="945">
        <v>84</v>
      </c>
      <c r="T235" s="947">
        <f>$A235*S235*$T$1</f>
        <v>75.600000000000009</v>
      </c>
      <c r="AR235" s="535">
        <v>1</v>
      </c>
      <c r="AS235" s="1054" t="s">
        <v>2778</v>
      </c>
    </row>
    <row r="236" spans="1:45" s="901" customFormat="1" ht="13.2">
      <c r="A236" s="535">
        <v>1</v>
      </c>
      <c r="B236" s="901" t="s">
        <v>141</v>
      </c>
      <c r="D236" s="901" t="s">
        <v>2773</v>
      </c>
      <c r="E236" s="901" t="s">
        <v>4079</v>
      </c>
      <c r="F236" s="1388" t="s">
        <v>2778</v>
      </c>
      <c r="G236" s="941" t="s">
        <v>2774</v>
      </c>
      <c r="H236" s="942">
        <v>510</v>
      </c>
      <c r="I236" s="901" t="s">
        <v>2607</v>
      </c>
      <c r="K236" s="901" t="s">
        <v>2775</v>
      </c>
      <c r="O236" s="943">
        <v>2</v>
      </c>
      <c r="P236" s="944"/>
      <c r="Q236" s="1205">
        <v>-2000</v>
      </c>
      <c r="R236" s="946">
        <f>$A236*Q236</f>
        <v>-2000</v>
      </c>
      <c r="S236" s="945"/>
      <c r="T236" s="947">
        <f>$A236*S236*$T$1</f>
        <v>0</v>
      </c>
      <c r="AR236" s="535">
        <v>1</v>
      </c>
      <c r="AS236" s="1054" t="s">
        <v>2778</v>
      </c>
    </row>
    <row r="237" spans="1:45" s="901" customFormat="1" ht="13.2">
      <c r="A237" s="535">
        <v>1</v>
      </c>
      <c r="B237" s="901" t="s">
        <v>141</v>
      </c>
      <c r="D237" s="901" t="s">
        <v>2758</v>
      </c>
      <c r="G237" s="941" t="s">
        <v>2760</v>
      </c>
      <c r="H237" s="942">
        <v>501</v>
      </c>
      <c r="I237" s="901" t="s">
        <v>2607</v>
      </c>
      <c r="K237" s="901" t="s">
        <v>2761</v>
      </c>
      <c r="O237" s="943">
        <v>1</v>
      </c>
      <c r="P237" s="944"/>
      <c r="Q237" s="945">
        <v>700</v>
      </c>
      <c r="R237" s="946">
        <f>$A237*Q237</f>
        <v>700</v>
      </c>
      <c r="S237" s="945"/>
      <c r="T237" s="947">
        <f>$A237*S237*$T$1</f>
        <v>0</v>
      </c>
      <c r="AR237" s="535">
        <v>1</v>
      </c>
    </row>
    <row r="238" spans="1:45" s="901" customFormat="1" ht="13.2">
      <c r="A238" s="1170">
        <v>1</v>
      </c>
      <c r="B238" s="901" t="s">
        <v>863</v>
      </c>
      <c r="D238" s="901" t="s">
        <v>2752</v>
      </c>
      <c r="G238" s="941" t="s">
        <v>2754</v>
      </c>
      <c r="H238" s="942">
        <v>962</v>
      </c>
      <c r="I238" s="901" t="s">
        <v>2596</v>
      </c>
      <c r="O238" s="943">
        <v>2</v>
      </c>
      <c r="P238" s="944">
        <v>38129</v>
      </c>
      <c r="Q238" s="945">
        <v>1500</v>
      </c>
      <c r="R238" s="946">
        <f>$A238*Q238</f>
        <v>1500</v>
      </c>
      <c r="S238" s="945"/>
      <c r="T238" s="947">
        <f>$A238*S238*$T$1</f>
        <v>0</v>
      </c>
      <c r="AR238" s="1170">
        <v>1</v>
      </c>
    </row>
    <row r="239" spans="1:45" s="520" customFormat="1" ht="12">
      <c r="A239" s="758"/>
      <c r="B239" s="758"/>
      <c r="C239" s="758"/>
      <c r="D239" s="758"/>
      <c r="E239" s="758"/>
      <c r="F239" s="753"/>
      <c r="G239" s="758"/>
      <c r="H239" s="758"/>
      <c r="I239" s="519"/>
      <c r="J239" s="758"/>
      <c r="K239" s="758"/>
      <c r="L239" s="758"/>
      <c r="M239" s="758"/>
      <c r="N239" s="758"/>
      <c r="O239" s="758"/>
      <c r="P239" s="758"/>
      <c r="Q239" s="519"/>
      <c r="R239" s="759">
        <f>$A239*Q239</f>
        <v>0</v>
      </c>
      <c r="S239" s="519"/>
      <c r="T239" s="760">
        <f>$A239*S239*$T$1</f>
        <v>0</v>
      </c>
      <c r="AR239" s="758"/>
      <c r="AS239" s="753"/>
    </row>
    <row r="240" spans="1:45" s="520" customFormat="1" ht="12.6" thickBot="1">
      <c r="A240" s="761" t="s">
        <v>145</v>
      </c>
      <c r="B240" s="762">
        <f>(R239+T239)</f>
        <v>0</v>
      </c>
      <c r="C240" s="763"/>
      <c r="D240" s="763"/>
      <c r="E240" s="763"/>
      <c r="F240" s="764"/>
      <c r="G240" s="763" t="s">
        <v>146</v>
      </c>
      <c r="H240" s="763"/>
      <c r="I240" s="765"/>
      <c r="J240" s="763"/>
      <c r="K240" s="763" t="s">
        <v>15</v>
      </c>
      <c r="L240" s="766" t="s">
        <v>143</v>
      </c>
      <c r="M240" s="766"/>
      <c r="N240" s="766"/>
      <c r="O240" s="766"/>
      <c r="P240" s="766"/>
      <c r="Q240" s="767"/>
      <c r="R240" s="768">
        <f>SUM(R234:R239)</f>
        <v>109150</v>
      </c>
      <c r="S240" s="763"/>
      <c r="T240" s="768">
        <f>SUM(T234:T239)</f>
        <v>75.600000000000009</v>
      </c>
      <c r="U240" s="531"/>
      <c r="V240" s="531"/>
      <c r="W240" s="531"/>
      <c r="X240" s="531"/>
      <c r="Y240" s="531"/>
      <c r="Z240" s="531"/>
      <c r="AA240" s="531"/>
      <c r="AB240" s="531"/>
      <c r="AC240" s="531"/>
      <c r="AD240" s="531"/>
      <c r="AE240" s="531"/>
      <c r="AF240" s="531"/>
      <c r="AG240" s="531"/>
      <c r="AH240" s="531"/>
      <c r="AI240" s="531"/>
      <c r="AJ240" s="531"/>
      <c r="AK240" s="531"/>
      <c r="AL240" s="531"/>
      <c r="AM240" s="531"/>
      <c r="AN240" s="531"/>
      <c r="AO240" s="531"/>
      <c r="AR240" s="761" t="s">
        <v>145</v>
      </c>
      <c r="AS240" s="764"/>
    </row>
    <row r="241" spans="1:45" s="520" customFormat="1" ht="12" thickTop="1">
      <c r="A241" s="51"/>
      <c r="B241" s="41"/>
      <c r="C241" s="51"/>
      <c r="E241" s="42" t="s">
        <v>138</v>
      </c>
      <c r="F241" s="42" t="s">
        <v>139</v>
      </c>
      <c r="G241" s="51"/>
      <c r="H241" s="51"/>
      <c r="I241" s="51"/>
      <c r="J241" s="51"/>
      <c r="K241" s="51" t="s">
        <v>140</v>
      </c>
      <c r="L241" s="51"/>
      <c r="M241" s="51"/>
      <c r="N241" s="51"/>
      <c r="O241" s="52"/>
      <c r="P241" s="51"/>
      <c r="Q241" s="51"/>
      <c r="R241" s="51"/>
      <c r="S241" s="51"/>
      <c r="T241" s="41"/>
      <c r="AG241" s="521" t="s">
        <v>268</v>
      </c>
      <c r="AH241" s="521" t="s">
        <v>269</v>
      </c>
      <c r="AI241" s="521" t="s">
        <v>270</v>
      </c>
      <c r="AJ241" s="521" t="s">
        <v>271</v>
      </c>
      <c r="AK241" s="521" t="s">
        <v>272</v>
      </c>
      <c r="AM241" s="745" t="s">
        <v>281</v>
      </c>
      <c r="AN241" s="746" t="s">
        <v>282</v>
      </c>
      <c r="AO241" s="522" t="s">
        <v>278</v>
      </c>
      <c r="AR241" s="51"/>
      <c r="AS241" s="42" t="s">
        <v>139</v>
      </c>
    </row>
    <row r="242" spans="1:45" s="520" customFormat="1" ht="12" customHeight="1">
      <c r="A242" s="747">
        <v>1</v>
      </c>
      <c r="B242" s="523" t="s">
        <v>141</v>
      </c>
      <c r="C242" s="748"/>
      <c r="D242" s="749" t="s">
        <v>3855</v>
      </c>
      <c r="E242" s="1232">
        <f>IF(AND($A242=0,$A$1="DIF"),0, ROUND(ROUND(($R246*$S$8+($T246*$T$8))/$A242,2)*$C$8,2))</f>
        <v>1121.04</v>
      </c>
      <c r="F242" s="1233">
        <f>ROUND($A242*$E242,2)</f>
        <v>1121.04</v>
      </c>
      <c r="G242" s="752" t="s">
        <v>142</v>
      </c>
      <c r="H242" s="753"/>
      <c r="I242" s="754"/>
      <c r="J242" s="753"/>
      <c r="K242" s="753" t="s">
        <v>15</v>
      </c>
      <c r="L242" s="755" t="s">
        <v>143</v>
      </c>
      <c r="M242" s="755"/>
      <c r="N242" s="755"/>
      <c r="O242" s="755"/>
      <c r="P242" s="755"/>
      <c r="Q242" s="51"/>
      <c r="T242" s="1237" t="str">
        <f>IF(AND($R246=0,$T246=0),"0.00","mu: "&amp; ROUND(F242/$C$8/($R246+$T246*$D$9),2))</f>
        <v>mu: 1.18</v>
      </c>
      <c r="W242" s="524"/>
      <c r="AG242" s="1234">
        <f>IF($E242=0,0,ROUND($R246*$S$8*$C$8/$A242,2))</f>
        <v>1121.04</v>
      </c>
      <c r="AH242" s="1234">
        <f>$AG242*$A242</f>
        <v>1121.04</v>
      </c>
      <c r="AI242" s="1235">
        <f>$E242-$AG242</f>
        <v>0</v>
      </c>
      <c r="AJ242" s="1235">
        <f>$A242*$AI242</f>
        <v>0</v>
      </c>
      <c r="AK242" s="1236">
        <f>ROUND(($AG242+$AI242)*$A242,2)</f>
        <v>1121.04</v>
      </c>
      <c r="AM242" s="527">
        <f>ROUND(R246,2)</f>
        <v>950</v>
      </c>
      <c r="AN242" s="528">
        <f>ROUND(T246,2)</f>
        <v>0</v>
      </c>
      <c r="AO242" s="529">
        <f>ROUND(AM242+AN242,2)*A242</f>
        <v>950</v>
      </c>
      <c r="AR242" s="747">
        <v>1</v>
      </c>
      <c r="AS242" s="1233">
        <v>133883.15</v>
      </c>
    </row>
    <row r="243" spans="1:45" s="520" customFormat="1" ht="39.9" customHeight="1">
      <c r="A243" s="748"/>
      <c r="B243"/>
      <c r="C243" s="748"/>
      <c r="D243" s="1451" t="s">
        <v>3856</v>
      </c>
      <c r="E243" s="1452"/>
      <c r="F243" s="1452"/>
      <c r="G243" s="1452"/>
      <c r="H243" s="1452"/>
      <c r="I243" s="1452"/>
      <c r="J243" s="1452"/>
      <c r="K243" s="1452"/>
      <c r="L243" s="1452"/>
      <c r="M243" s="1452"/>
      <c r="N243" s="1452"/>
      <c r="O243" s="1452"/>
      <c r="P243" s="1452"/>
      <c r="Q243" s="1452"/>
      <c r="R243" s="1452"/>
      <c r="S243" s="1452"/>
      <c r="T243" s="1452"/>
      <c r="AR243" s="748"/>
    </row>
    <row r="244" spans="1:45" s="901" customFormat="1" ht="13.2">
      <c r="A244">
        <v>1</v>
      </c>
      <c r="B244" s="901" t="s">
        <v>141</v>
      </c>
      <c r="D244" s="901" t="s">
        <v>2773</v>
      </c>
      <c r="F244" s="1054" t="s">
        <v>4072</v>
      </c>
      <c r="G244" s="941" t="s">
        <v>2774</v>
      </c>
      <c r="H244" s="942">
        <v>510</v>
      </c>
      <c r="I244" s="901" t="s">
        <v>2607</v>
      </c>
      <c r="K244" s="901" t="s">
        <v>2775</v>
      </c>
      <c r="O244" s="943">
        <v>2</v>
      </c>
      <c r="P244" s="944"/>
      <c r="Q244" s="945">
        <v>950</v>
      </c>
      <c r="R244" s="946">
        <f>$A244*Q244</f>
        <v>950</v>
      </c>
      <c r="S244" s="945"/>
      <c r="T244" s="947">
        <f>$A244*S244*$T$1</f>
        <v>0</v>
      </c>
      <c r="AR244">
        <v>1</v>
      </c>
      <c r="AS244" s="1054" t="s">
        <v>2778</v>
      </c>
    </row>
    <row r="245" spans="1:45" s="520" customFormat="1" ht="12">
      <c r="A245" s="758"/>
      <c r="B245" s="758"/>
      <c r="C245" s="758"/>
      <c r="D245" s="758"/>
      <c r="E245" s="758"/>
      <c r="F245" s="753"/>
      <c r="G245" s="758"/>
      <c r="H245" s="758"/>
      <c r="I245" s="519"/>
      <c r="J245" s="758"/>
      <c r="K245" s="758"/>
      <c r="L245" s="758"/>
      <c r="M245" s="758"/>
      <c r="N245" s="758"/>
      <c r="O245" s="758"/>
      <c r="P245" s="758"/>
      <c r="Q245" s="519"/>
      <c r="R245" s="759">
        <f>$A245*Q245</f>
        <v>0</v>
      </c>
      <c r="S245" s="519"/>
      <c r="T245" s="760">
        <f>$A245*S245*$T$1</f>
        <v>0</v>
      </c>
      <c r="AR245" s="758"/>
      <c r="AS245" s="753"/>
    </row>
    <row r="246" spans="1:45" s="520" customFormat="1" ht="12.6" thickBot="1">
      <c r="A246" s="761" t="s">
        <v>145</v>
      </c>
      <c r="B246" s="762">
        <f>(R245+T245)</f>
        <v>0</v>
      </c>
      <c r="C246" s="763"/>
      <c r="D246" s="763"/>
      <c r="E246" s="763"/>
      <c r="F246" s="764"/>
      <c r="G246" s="763" t="s">
        <v>146</v>
      </c>
      <c r="H246" s="763"/>
      <c r="I246" s="765"/>
      <c r="J246" s="763"/>
      <c r="K246" s="763" t="s">
        <v>15</v>
      </c>
      <c r="L246" s="766" t="s">
        <v>143</v>
      </c>
      <c r="M246" s="766"/>
      <c r="N246" s="766"/>
      <c r="O246" s="766"/>
      <c r="P246" s="766"/>
      <c r="Q246" s="767"/>
      <c r="R246" s="768">
        <f>SUM(R243:R245)</f>
        <v>950</v>
      </c>
      <c r="S246" s="763"/>
      <c r="T246" s="768">
        <f>SUM(T243:T245)</f>
        <v>0</v>
      </c>
      <c r="U246" s="531"/>
      <c r="V246" s="531"/>
      <c r="W246" s="531"/>
      <c r="X246" s="531"/>
      <c r="Y246" s="531"/>
      <c r="Z246" s="531"/>
      <c r="AA246" s="531"/>
      <c r="AB246" s="531"/>
      <c r="AC246" s="531"/>
      <c r="AD246" s="531"/>
      <c r="AE246" s="531"/>
      <c r="AF246" s="531"/>
      <c r="AG246" s="531"/>
      <c r="AH246" s="531"/>
      <c r="AI246" s="531"/>
      <c r="AJ246" s="531"/>
      <c r="AK246" s="531"/>
      <c r="AL246" s="531"/>
      <c r="AM246" s="531"/>
      <c r="AN246" s="531"/>
      <c r="AO246" s="531"/>
      <c r="AR246" s="761" t="s">
        <v>145</v>
      </c>
      <c r="AS246" s="764"/>
    </row>
    <row r="247" spans="1:45" s="520" customFormat="1" ht="12" thickTop="1">
      <c r="A247" s="51"/>
      <c r="B247" s="41"/>
      <c r="C247" s="51"/>
      <c r="E247" s="42" t="s">
        <v>138</v>
      </c>
      <c r="F247" s="42" t="s">
        <v>139</v>
      </c>
      <c r="G247" s="51"/>
      <c r="H247" s="51"/>
      <c r="I247" s="51"/>
      <c r="J247" s="51"/>
      <c r="K247" s="51" t="s">
        <v>140</v>
      </c>
      <c r="L247" s="51"/>
      <c r="M247" s="51"/>
      <c r="N247" s="51"/>
      <c r="O247" s="52"/>
      <c r="P247" s="51"/>
      <c r="Q247" s="51"/>
      <c r="R247" s="51"/>
      <c r="S247" s="51"/>
      <c r="T247" s="41"/>
      <c r="AG247" s="521" t="s">
        <v>268</v>
      </c>
      <c r="AH247" s="521" t="s">
        <v>269</v>
      </c>
      <c r="AI247" s="521" t="s">
        <v>270</v>
      </c>
      <c r="AJ247" s="521" t="s">
        <v>271</v>
      </c>
      <c r="AK247" s="521" t="s">
        <v>272</v>
      </c>
      <c r="AM247" s="745" t="s">
        <v>281</v>
      </c>
      <c r="AN247" s="746" t="s">
        <v>282</v>
      </c>
      <c r="AO247" s="522" t="s">
        <v>278</v>
      </c>
      <c r="AR247" s="51"/>
      <c r="AS247" s="42" t="s">
        <v>139</v>
      </c>
    </row>
    <row r="248" spans="1:45" s="520" customFormat="1" ht="12" customHeight="1">
      <c r="A248" s="747">
        <v>1</v>
      </c>
      <c r="B248" s="523" t="s">
        <v>141</v>
      </c>
      <c r="C248" s="748"/>
      <c r="D248" s="749" t="s">
        <v>1091</v>
      </c>
      <c r="E248" s="1419">
        <f>IF(AND($A248=0,$A$1="DIF"),0, ROUND(ROUND(($R256*$S$9+($T256*$T$9))/$A248,2)*$C$9,2))</f>
        <v>1349.3</v>
      </c>
      <c r="F248" s="1420">
        <f>ROUND($A248*$E248,2)</f>
        <v>1349.3</v>
      </c>
      <c r="G248" s="752" t="s">
        <v>142</v>
      </c>
      <c r="H248" s="753"/>
      <c r="I248" s="754"/>
      <c r="J248" s="753"/>
      <c r="K248" s="753" t="s">
        <v>16</v>
      </c>
      <c r="L248" s="755" t="s">
        <v>143</v>
      </c>
      <c r="M248" s="755"/>
      <c r="N248" s="755"/>
      <c r="O248" s="755"/>
      <c r="P248" s="755"/>
      <c r="Q248" s="51"/>
      <c r="T248" s="1424" t="str">
        <f>IF(AND($R256=0,$T256=0),"0.00","mu: "&amp; ROUND(F248/$C$9/($R256+$T256*$D$9),2))</f>
        <v>mu: 1.18</v>
      </c>
      <c r="W248" s="524"/>
      <c r="AG248" s="1421">
        <f>IF($E248=0,0,ROUND($R256*$S$9*$C$9/$A248,2))</f>
        <v>925.12</v>
      </c>
      <c r="AH248" s="1421">
        <f>$AG248*$A248</f>
        <v>925.12</v>
      </c>
      <c r="AI248" s="1422">
        <f>$E248-$AG248</f>
        <v>424.17999999999995</v>
      </c>
      <c r="AJ248" s="1422">
        <f>$A248*$AI248</f>
        <v>424.17999999999995</v>
      </c>
      <c r="AK248" s="1423">
        <f>ROUND(($AG248+$AI248)*$A248,2)</f>
        <v>1349.3</v>
      </c>
      <c r="AM248" s="527">
        <f>ROUND(R256,2)</f>
        <v>783.97</v>
      </c>
      <c r="AN248" s="528">
        <f>ROUND(T256,2)</f>
        <v>13.09</v>
      </c>
      <c r="AO248" s="529">
        <f>ROUND(AM248+AN248,2)*A248</f>
        <v>797.06</v>
      </c>
      <c r="AR248" s="747">
        <v>1</v>
      </c>
      <c r="AS248" s="751">
        <v>1457.15</v>
      </c>
    </row>
    <row r="249" spans="1:45" s="520" customFormat="1" ht="39.9" customHeight="1">
      <c r="A249" s="748"/>
      <c r="B249"/>
      <c r="C249" s="748"/>
      <c r="D249" s="1451" t="s">
        <v>1092</v>
      </c>
      <c r="E249" s="1452"/>
      <c r="F249" s="1452"/>
      <c r="G249" s="1452"/>
      <c r="H249" s="1452"/>
      <c r="I249" s="1452"/>
      <c r="J249" s="1452"/>
      <c r="K249" s="1452"/>
      <c r="L249" s="1452"/>
      <c r="M249" s="1452"/>
      <c r="N249" s="1452"/>
      <c r="O249" s="1452"/>
      <c r="P249" s="1452"/>
      <c r="Q249" s="1452"/>
      <c r="R249" s="1452"/>
      <c r="S249" s="1452"/>
      <c r="T249" s="1452"/>
      <c r="AR249" s="748"/>
    </row>
    <row r="250" spans="1:45" s="901" customFormat="1" ht="13.2">
      <c r="A250">
        <v>1</v>
      </c>
      <c r="B250" s="901" t="s">
        <v>141</v>
      </c>
      <c r="D250" s="901" t="s">
        <v>2790</v>
      </c>
      <c r="F250" s="1054" t="s">
        <v>2788</v>
      </c>
      <c r="G250" s="941" t="s">
        <v>2779</v>
      </c>
      <c r="H250" s="942">
        <v>510</v>
      </c>
      <c r="I250" s="901" t="s">
        <v>2607</v>
      </c>
      <c r="K250" s="901" t="s">
        <v>2744</v>
      </c>
      <c r="O250" s="943">
        <v>2</v>
      </c>
      <c r="P250" s="944"/>
      <c r="Q250" s="945">
        <v>750.46</v>
      </c>
      <c r="R250" s="946">
        <f t="shared" ref="R250:R255" si="40">$A250*Q250</f>
        <v>750.46</v>
      </c>
      <c r="S250" s="945">
        <f>2+(14*0.75)+2</f>
        <v>14.5</v>
      </c>
      <c r="T250" s="947">
        <f t="shared" ref="T250:T255" si="41">$A250*S250*$T$1</f>
        <v>13.05</v>
      </c>
      <c r="AR250">
        <v>1</v>
      </c>
      <c r="AS250" s="1054" t="s">
        <v>2788</v>
      </c>
    </row>
    <row r="251" spans="1:45" s="520" customFormat="1" ht="13.2">
      <c r="A251" s="116">
        <v>1</v>
      </c>
      <c r="B251" s="901" t="s">
        <v>141</v>
      </c>
      <c r="C251" s="901"/>
      <c r="D251" s="901" t="s">
        <v>2780</v>
      </c>
      <c r="E251" s="901"/>
      <c r="F251" s="901"/>
      <c r="G251" s="941" t="s">
        <v>2781</v>
      </c>
      <c r="H251" s="942">
        <v>875</v>
      </c>
      <c r="I251" s="901" t="s">
        <v>2607</v>
      </c>
      <c r="J251" s="901"/>
      <c r="K251" s="758"/>
      <c r="L251" s="901"/>
      <c r="M251" s="901"/>
      <c r="N251" s="901"/>
      <c r="O251" s="943">
        <v>3</v>
      </c>
      <c r="P251" s="944">
        <v>34820</v>
      </c>
      <c r="Q251" s="945">
        <v>7</v>
      </c>
      <c r="R251" s="946">
        <f t="shared" si="40"/>
        <v>7</v>
      </c>
      <c r="S251" s="945">
        <f>0.9 *(0.05)</f>
        <v>4.5000000000000005E-2</v>
      </c>
      <c r="T251" s="947">
        <f t="shared" si="41"/>
        <v>4.0500000000000008E-2</v>
      </c>
      <c r="AR251" s="116">
        <v>1</v>
      </c>
      <c r="AS251" s="901"/>
    </row>
    <row r="252" spans="1:45" s="520" customFormat="1" ht="13.2">
      <c r="A252" s="116">
        <v>1</v>
      </c>
      <c r="B252" s="901" t="s">
        <v>141</v>
      </c>
      <c r="C252" s="901"/>
      <c r="D252" s="901" t="s">
        <v>2782</v>
      </c>
      <c r="E252" s="901"/>
      <c r="F252" s="901"/>
      <c r="G252" s="941" t="s">
        <v>2783</v>
      </c>
      <c r="H252" s="942">
        <v>880</v>
      </c>
      <c r="I252" s="901" t="s">
        <v>2607</v>
      </c>
      <c r="J252" s="901"/>
      <c r="K252" s="758"/>
      <c r="L252" s="901"/>
      <c r="M252" s="901"/>
      <c r="N252" s="901"/>
      <c r="O252" s="943">
        <v>3</v>
      </c>
      <c r="P252" s="944">
        <v>35443</v>
      </c>
      <c r="Q252" s="945">
        <f>0.9 *(4.66)</f>
        <v>4.194</v>
      </c>
      <c r="R252" s="946">
        <f t="shared" si="40"/>
        <v>4.194</v>
      </c>
      <c r="S252" s="945"/>
      <c r="T252" s="947">
        <f t="shared" si="41"/>
        <v>0</v>
      </c>
      <c r="AR252" s="116">
        <v>1</v>
      </c>
      <c r="AS252" s="901"/>
    </row>
    <row r="253" spans="1:45" s="901" customFormat="1" ht="13.2">
      <c r="A253">
        <v>1</v>
      </c>
      <c r="B253" s="901" t="s">
        <v>141</v>
      </c>
      <c r="D253" s="901" t="s">
        <v>2758</v>
      </c>
      <c r="F253" s="901" t="s">
        <v>2784</v>
      </c>
      <c r="G253" s="941" t="s">
        <v>2760</v>
      </c>
      <c r="H253" s="942">
        <v>501</v>
      </c>
      <c r="I253" s="901" t="s">
        <v>2607</v>
      </c>
      <c r="K253" s="901" t="s">
        <v>2761</v>
      </c>
      <c r="O253" s="943">
        <v>1</v>
      </c>
      <c r="P253" s="944"/>
      <c r="Q253" s="945">
        <v>20</v>
      </c>
      <c r="R253" s="946">
        <f t="shared" si="40"/>
        <v>20</v>
      </c>
      <c r="S253" s="945"/>
      <c r="T253" s="947">
        <f t="shared" si="41"/>
        <v>0</v>
      </c>
      <c r="AR253">
        <v>1</v>
      </c>
      <c r="AS253" s="901" t="s">
        <v>2784</v>
      </c>
    </row>
    <row r="254" spans="1:45" s="901" customFormat="1" ht="13.2">
      <c r="A254" s="116">
        <v>4</v>
      </c>
      <c r="B254" s="901" t="s">
        <v>141</v>
      </c>
      <c r="D254" s="901" t="s">
        <v>2785</v>
      </c>
      <c r="G254" s="941" t="s">
        <v>2786</v>
      </c>
      <c r="H254" s="942">
        <v>875</v>
      </c>
      <c r="I254" s="901" t="s">
        <v>2607</v>
      </c>
      <c r="K254" s="901" t="s">
        <v>2787</v>
      </c>
      <c r="O254" s="943">
        <v>1</v>
      </c>
      <c r="P254" s="944">
        <v>34669</v>
      </c>
      <c r="Q254" s="945">
        <v>0.57999999999999996</v>
      </c>
      <c r="R254" s="946">
        <f t="shared" si="40"/>
        <v>2.3199999999999998</v>
      </c>
      <c r="S254" s="945"/>
      <c r="T254" s="947">
        <f t="shared" si="41"/>
        <v>0</v>
      </c>
      <c r="AR254" s="116">
        <v>4</v>
      </c>
    </row>
    <row r="255" spans="1:45" s="520" customFormat="1" ht="12">
      <c r="A255" s="758"/>
      <c r="B255" s="758"/>
      <c r="C255" s="758"/>
      <c r="D255" s="758"/>
      <c r="E255" s="758"/>
      <c r="F255" s="753"/>
      <c r="G255" s="758"/>
      <c r="H255" s="758"/>
      <c r="I255" s="519"/>
      <c r="J255" s="758"/>
      <c r="K255" s="758"/>
      <c r="L255" s="758"/>
      <c r="M255" s="758"/>
      <c r="N255" s="758"/>
      <c r="O255" s="758"/>
      <c r="P255" s="758"/>
      <c r="Q255" s="519"/>
      <c r="R255" s="759">
        <f t="shared" si="40"/>
        <v>0</v>
      </c>
      <c r="S255" s="519"/>
      <c r="T255" s="760">
        <f t="shared" si="41"/>
        <v>0</v>
      </c>
      <c r="AR255" s="758"/>
      <c r="AS255" s="753"/>
    </row>
    <row r="256" spans="1:45" s="520" customFormat="1" ht="12.6" thickBot="1">
      <c r="A256" s="761" t="s">
        <v>145</v>
      </c>
      <c r="B256" s="762">
        <f>(R255+T255)</f>
        <v>0</v>
      </c>
      <c r="C256" s="763"/>
      <c r="D256" s="763"/>
      <c r="E256" s="763"/>
      <c r="F256" s="764"/>
      <c r="G256" s="763" t="s">
        <v>146</v>
      </c>
      <c r="H256" s="763"/>
      <c r="I256" s="765"/>
      <c r="J256" s="763"/>
      <c r="K256" s="763" t="s">
        <v>16</v>
      </c>
      <c r="L256" s="766" t="s">
        <v>143</v>
      </c>
      <c r="M256" s="766"/>
      <c r="N256" s="766"/>
      <c r="O256" s="766"/>
      <c r="P256" s="766"/>
      <c r="Q256" s="767"/>
      <c r="R256" s="768">
        <f>SUM(R249:R255)</f>
        <v>783.97400000000005</v>
      </c>
      <c r="S256" s="763"/>
      <c r="T256" s="768">
        <f>SUM(T249:T255)</f>
        <v>13.0905</v>
      </c>
      <c r="U256" s="531"/>
      <c r="V256" s="531"/>
      <c r="W256" s="531"/>
      <c r="X256" s="531"/>
      <c r="Y256" s="531"/>
      <c r="Z256" s="531"/>
      <c r="AA256" s="531"/>
      <c r="AB256" s="531"/>
      <c r="AC256" s="531"/>
      <c r="AD256" s="531"/>
      <c r="AE256" s="531"/>
      <c r="AF256" s="531"/>
      <c r="AG256" s="531"/>
      <c r="AH256" s="531"/>
      <c r="AI256" s="531"/>
      <c r="AJ256" s="531"/>
      <c r="AK256" s="531"/>
      <c r="AL256" s="531"/>
      <c r="AM256" s="531"/>
      <c r="AN256" s="531"/>
      <c r="AO256" s="531"/>
      <c r="AR256" s="761" t="s">
        <v>145</v>
      </c>
      <c r="AS256" s="764"/>
    </row>
    <row r="257" spans="1:45" s="520" customFormat="1" ht="12" thickTop="1">
      <c r="A257" s="51"/>
      <c r="B257" s="41"/>
      <c r="C257" s="51"/>
      <c r="E257" s="42" t="s">
        <v>138</v>
      </c>
      <c r="F257" s="42" t="s">
        <v>139</v>
      </c>
      <c r="G257" s="51"/>
      <c r="H257" s="51"/>
      <c r="I257" s="51"/>
      <c r="J257" s="51"/>
      <c r="K257" s="51" t="s">
        <v>140</v>
      </c>
      <c r="L257" s="51"/>
      <c r="M257" s="51"/>
      <c r="N257" s="51"/>
      <c r="O257" s="52"/>
      <c r="P257" s="51"/>
      <c r="Q257" s="51"/>
      <c r="R257" s="51"/>
      <c r="S257" s="51"/>
      <c r="T257" s="41"/>
      <c r="AG257" s="521" t="s">
        <v>268</v>
      </c>
      <c r="AH257" s="521" t="s">
        <v>269</v>
      </c>
      <c r="AI257" s="521" t="s">
        <v>270</v>
      </c>
      <c r="AJ257" s="521" t="s">
        <v>271</v>
      </c>
      <c r="AK257" s="521" t="s">
        <v>272</v>
      </c>
      <c r="AM257" s="745" t="s">
        <v>281</v>
      </c>
      <c r="AN257" s="746" t="s">
        <v>282</v>
      </c>
      <c r="AO257" s="522" t="s">
        <v>278</v>
      </c>
      <c r="AR257" s="51"/>
      <c r="AS257" s="42" t="s">
        <v>139</v>
      </c>
    </row>
    <row r="258" spans="1:45" s="520" customFormat="1" ht="12" customHeight="1">
      <c r="A258" s="747">
        <v>1</v>
      </c>
      <c r="B258" s="523" t="s">
        <v>141</v>
      </c>
      <c r="C258" s="748"/>
      <c r="D258" s="749" t="s">
        <v>1093</v>
      </c>
      <c r="E258" s="1419">
        <f>IF(AND($A258=0,$A$1="DIF"),0, ROUND(ROUND(($R266*$S$9+($T266*$T$9))/$A258,2)*$C$9,2))</f>
        <v>6403.58</v>
      </c>
      <c r="F258" s="1420">
        <f>ROUND($A258*$E258,2)</f>
        <v>6403.58</v>
      </c>
      <c r="G258" s="752" t="s">
        <v>142</v>
      </c>
      <c r="H258" s="753"/>
      <c r="I258" s="754"/>
      <c r="J258" s="753"/>
      <c r="K258" s="753" t="s">
        <v>16</v>
      </c>
      <c r="L258" s="755" t="s">
        <v>143</v>
      </c>
      <c r="M258" s="755"/>
      <c r="N258" s="755"/>
      <c r="O258" s="755"/>
      <c r="P258" s="755"/>
      <c r="Q258" s="51"/>
      <c r="T258" s="1424" t="str">
        <f>IF(AND($R266=0,$T266=0),"0.00","mu: "&amp; ROUND(F258/$C$9/($R266+$T266*$D$9),2))</f>
        <v>mu: 1.18</v>
      </c>
      <c r="W258" s="524"/>
      <c r="AG258" s="1421">
        <f>IF($E258=0,0,ROUND($R266*$S$9*$C$9/$A258,2))</f>
        <v>5439.87</v>
      </c>
      <c r="AH258" s="1421">
        <f>$AG258*$A258</f>
        <v>5439.87</v>
      </c>
      <c r="AI258" s="1422">
        <f>$E258-$AG258</f>
        <v>963.71</v>
      </c>
      <c r="AJ258" s="1422">
        <f>$A258*$AI258</f>
        <v>963.71</v>
      </c>
      <c r="AK258" s="1423">
        <f>ROUND(($AG258+$AI258)*$A258,2)</f>
        <v>6403.58</v>
      </c>
      <c r="AM258" s="527">
        <f>ROUND(R266,2)</f>
        <v>4609.91</v>
      </c>
      <c r="AN258" s="528">
        <f>ROUND(T266,2)</f>
        <v>29.74</v>
      </c>
      <c r="AO258" s="529">
        <f>ROUND(AM258+AN258,2)*A258</f>
        <v>4639.6499999999996</v>
      </c>
      <c r="AR258" s="747">
        <v>1</v>
      </c>
      <c r="AS258" s="751">
        <v>6793.73</v>
      </c>
    </row>
    <row r="259" spans="1:45" s="520" customFormat="1" ht="39.9" customHeight="1">
      <c r="A259" s="748"/>
      <c r="B259"/>
      <c r="C259" s="748"/>
      <c r="D259" s="1451" t="s">
        <v>1094</v>
      </c>
      <c r="E259" s="1452"/>
      <c r="F259" s="1452"/>
      <c r="G259" s="1452"/>
      <c r="H259" s="1452"/>
      <c r="I259" s="1452"/>
      <c r="J259" s="1452"/>
      <c r="K259" s="1452"/>
      <c r="L259" s="1452"/>
      <c r="M259" s="1452"/>
      <c r="N259" s="1452"/>
      <c r="O259" s="1452"/>
      <c r="P259" s="1452"/>
      <c r="Q259" s="1452"/>
      <c r="R259" s="1452"/>
      <c r="S259" s="1452"/>
      <c r="T259" s="1452"/>
      <c r="AR259" s="748"/>
    </row>
    <row r="260" spans="1:45" s="901" customFormat="1" ht="13.2">
      <c r="A260">
        <v>1</v>
      </c>
      <c r="B260" s="901" t="s">
        <v>141</v>
      </c>
      <c r="D260" s="901" t="s">
        <v>2792</v>
      </c>
      <c r="F260" s="1054" t="s">
        <v>2789</v>
      </c>
      <c r="G260" s="941" t="s">
        <v>2779</v>
      </c>
      <c r="H260" s="942">
        <v>510</v>
      </c>
      <c r="I260" s="901" t="s">
        <v>2607</v>
      </c>
      <c r="K260" s="901" t="s">
        <v>2744</v>
      </c>
      <c r="O260" s="943">
        <v>2</v>
      </c>
      <c r="P260" s="944"/>
      <c r="Q260" s="945">
        <v>4545.24</v>
      </c>
      <c r="R260" s="946">
        <f t="shared" ref="R260:R265" si="42">$A260*Q260</f>
        <v>4545.24</v>
      </c>
      <c r="S260" s="1193">
        <f>2+2+(18*2*0.75)+2</f>
        <v>33</v>
      </c>
      <c r="T260" s="947">
        <f t="shared" ref="T260:T265" si="43">$A260*S260*$T$1</f>
        <v>29.7</v>
      </c>
      <c r="AR260">
        <v>1</v>
      </c>
      <c r="AS260" s="1054" t="s">
        <v>2789</v>
      </c>
    </row>
    <row r="261" spans="1:45" s="520" customFormat="1" ht="13.2">
      <c r="A261" s="116">
        <v>1</v>
      </c>
      <c r="B261" s="901" t="s">
        <v>141</v>
      </c>
      <c r="C261" s="901"/>
      <c r="D261" s="901" t="s">
        <v>2780</v>
      </c>
      <c r="E261" s="901"/>
      <c r="F261" s="901"/>
      <c r="G261" s="941" t="s">
        <v>2781</v>
      </c>
      <c r="H261" s="942">
        <v>875</v>
      </c>
      <c r="I261" s="901" t="s">
        <v>2607</v>
      </c>
      <c r="J261" s="901"/>
      <c r="K261" s="758"/>
      <c r="L261" s="901"/>
      <c r="M261" s="901"/>
      <c r="N261" s="901"/>
      <c r="O261" s="943">
        <v>3</v>
      </c>
      <c r="P261" s="944">
        <v>34820</v>
      </c>
      <c r="Q261" s="945">
        <v>7</v>
      </c>
      <c r="R261" s="946">
        <f t="shared" si="42"/>
        <v>7</v>
      </c>
      <c r="S261" s="945">
        <f>0.9 *(0.05)</f>
        <v>4.5000000000000005E-2</v>
      </c>
      <c r="T261" s="947">
        <f t="shared" si="43"/>
        <v>4.0500000000000008E-2</v>
      </c>
      <c r="AR261" s="116">
        <v>1</v>
      </c>
      <c r="AS261" s="901"/>
    </row>
    <row r="262" spans="1:45" s="520" customFormat="1" ht="13.2">
      <c r="A262" s="116">
        <v>1</v>
      </c>
      <c r="B262" s="901" t="s">
        <v>141</v>
      </c>
      <c r="C262" s="901"/>
      <c r="D262" s="901" t="s">
        <v>2782</v>
      </c>
      <c r="E262" s="901"/>
      <c r="F262" s="901"/>
      <c r="G262" s="941" t="s">
        <v>2783</v>
      </c>
      <c r="H262" s="942">
        <v>880</v>
      </c>
      <c r="I262" s="901" t="s">
        <v>2607</v>
      </c>
      <c r="J262" s="901"/>
      <c r="K262" s="758"/>
      <c r="L262" s="901"/>
      <c r="M262" s="901"/>
      <c r="N262" s="901"/>
      <c r="O262" s="943">
        <v>3</v>
      </c>
      <c r="P262" s="944">
        <v>35443</v>
      </c>
      <c r="Q262" s="945">
        <f>0.9 *(4.66)</f>
        <v>4.194</v>
      </c>
      <c r="R262" s="946">
        <f t="shared" si="42"/>
        <v>4.194</v>
      </c>
      <c r="S262" s="945"/>
      <c r="T262" s="947">
        <f t="shared" si="43"/>
        <v>0</v>
      </c>
      <c r="AR262" s="116">
        <v>1</v>
      </c>
      <c r="AS262" s="901"/>
    </row>
    <row r="263" spans="1:45" s="901" customFormat="1" ht="13.2">
      <c r="A263">
        <v>1</v>
      </c>
      <c r="B263" s="901" t="s">
        <v>141</v>
      </c>
      <c r="D263" s="901" t="s">
        <v>2758</v>
      </c>
      <c r="F263" s="901" t="s">
        <v>2784</v>
      </c>
      <c r="G263" s="941" t="s">
        <v>2760</v>
      </c>
      <c r="H263" s="942">
        <v>501</v>
      </c>
      <c r="I263" s="901" t="s">
        <v>2607</v>
      </c>
      <c r="K263" s="901" t="s">
        <v>2761</v>
      </c>
      <c r="O263" s="943">
        <v>1</v>
      </c>
      <c r="P263" s="944"/>
      <c r="Q263" s="945">
        <v>50</v>
      </c>
      <c r="R263" s="946">
        <f t="shared" si="42"/>
        <v>50</v>
      </c>
      <c r="S263" s="945"/>
      <c r="T263" s="947">
        <f t="shared" si="43"/>
        <v>0</v>
      </c>
      <c r="AR263">
        <v>1</v>
      </c>
      <c r="AS263" s="901" t="s">
        <v>2784</v>
      </c>
    </row>
    <row r="264" spans="1:45" s="901" customFormat="1" ht="13.2">
      <c r="A264" s="116">
        <v>6</v>
      </c>
      <c r="B264" s="901" t="s">
        <v>141</v>
      </c>
      <c r="D264" s="901" t="s">
        <v>2785</v>
      </c>
      <c r="G264" s="941" t="s">
        <v>2786</v>
      </c>
      <c r="H264" s="942">
        <v>875</v>
      </c>
      <c r="I264" s="901" t="s">
        <v>2607</v>
      </c>
      <c r="K264" s="901" t="s">
        <v>2787</v>
      </c>
      <c r="O264" s="943">
        <v>1</v>
      </c>
      <c r="P264" s="944">
        <v>34669</v>
      </c>
      <c r="Q264" s="945">
        <v>0.57999999999999996</v>
      </c>
      <c r="R264" s="946">
        <f t="shared" si="42"/>
        <v>3.4799999999999995</v>
      </c>
      <c r="S264" s="945"/>
      <c r="T264" s="947">
        <f t="shared" si="43"/>
        <v>0</v>
      </c>
      <c r="AR264" s="116">
        <v>6</v>
      </c>
    </row>
    <row r="265" spans="1:45" s="520" customFormat="1" ht="12">
      <c r="A265" s="758"/>
      <c r="B265" s="758"/>
      <c r="C265" s="758"/>
      <c r="D265" s="758"/>
      <c r="E265" s="758"/>
      <c r="F265" s="753"/>
      <c r="G265" s="758"/>
      <c r="H265" s="758"/>
      <c r="I265" s="519"/>
      <c r="J265" s="758"/>
      <c r="K265" s="758"/>
      <c r="L265" s="758"/>
      <c r="M265" s="758"/>
      <c r="N265" s="758"/>
      <c r="O265" s="758"/>
      <c r="P265" s="758"/>
      <c r="Q265" s="519"/>
      <c r="R265" s="759">
        <f t="shared" si="42"/>
        <v>0</v>
      </c>
      <c r="S265" s="519"/>
      <c r="T265" s="760">
        <f t="shared" si="43"/>
        <v>0</v>
      </c>
      <c r="AR265" s="758"/>
      <c r="AS265" s="753"/>
    </row>
    <row r="266" spans="1:45" s="520" customFormat="1" ht="12.6" thickBot="1">
      <c r="A266" s="761" t="s">
        <v>145</v>
      </c>
      <c r="B266" s="762">
        <f>(R265+T265)</f>
        <v>0</v>
      </c>
      <c r="C266" s="763"/>
      <c r="D266" s="763"/>
      <c r="E266" s="763"/>
      <c r="F266" s="764"/>
      <c r="G266" s="763" t="s">
        <v>146</v>
      </c>
      <c r="H266" s="763"/>
      <c r="I266" s="765"/>
      <c r="J266" s="763"/>
      <c r="K266" s="763" t="s">
        <v>16</v>
      </c>
      <c r="L266" s="766" t="s">
        <v>143</v>
      </c>
      <c r="M266" s="766"/>
      <c r="N266" s="766"/>
      <c r="O266" s="766"/>
      <c r="P266" s="766"/>
      <c r="Q266" s="767"/>
      <c r="R266" s="768">
        <f>SUM(R259:R265)</f>
        <v>4609.9139999999998</v>
      </c>
      <c r="S266" s="763"/>
      <c r="T266" s="768">
        <f>SUM(T259:T265)</f>
        <v>29.740500000000001</v>
      </c>
      <c r="U266" s="531"/>
      <c r="V266" s="531"/>
      <c r="W266" s="531"/>
      <c r="X266" s="531"/>
      <c r="Y266" s="531"/>
      <c r="Z266" s="531"/>
      <c r="AA266" s="531"/>
      <c r="AB266" s="531"/>
      <c r="AC266" s="531"/>
      <c r="AD266" s="531"/>
      <c r="AE266" s="531"/>
      <c r="AF266" s="531"/>
      <c r="AG266" s="531"/>
      <c r="AH266" s="531"/>
      <c r="AI266" s="531"/>
      <c r="AJ266" s="531"/>
      <c r="AK266" s="531"/>
      <c r="AL266" s="531"/>
      <c r="AM266" s="531"/>
      <c r="AN266" s="531"/>
      <c r="AO266" s="531"/>
      <c r="AR266" s="761" t="s">
        <v>145</v>
      </c>
      <c r="AS266" s="764"/>
    </row>
    <row r="267" spans="1:45" s="520" customFormat="1" ht="12" thickTop="1">
      <c r="A267" s="51"/>
      <c r="B267" s="41"/>
      <c r="C267" s="51"/>
      <c r="E267" s="42" t="s">
        <v>138</v>
      </c>
      <c r="F267" s="42" t="s">
        <v>139</v>
      </c>
      <c r="G267" s="51"/>
      <c r="H267" s="51"/>
      <c r="I267" s="51"/>
      <c r="J267" s="51"/>
      <c r="K267" s="51" t="s">
        <v>140</v>
      </c>
      <c r="L267" s="51"/>
      <c r="M267" s="51"/>
      <c r="N267" s="51"/>
      <c r="O267" s="52"/>
      <c r="P267" s="51"/>
      <c r="Q267" s="51"/>
      <c r="R267" s="51"/>
      <c r="S267" s="51"/>
      <c r="T267" s="41"/>
      <c r="AG267" s="521" t="s">
        <v>268</v>
      </c>
      <c r="AH267" s="521" t="s">
        <v>269</v>
      </c>
      <c r="AI267" s="521" t="s">
        <v>270</v>
      </c>
      <c r="AJ267" s="521" t="s">
        <v>271</v>
      </c>
      <c r="AK267" s="521" t="s">
        <v>272</v>
      </c>
      <c r="AM267" s="745" t="s">
        <v>281</v>
      </c>
      <c r="AN267" s="746" t="s">
        <v>282</v>
      </c>
      <c r="AO267" s="522" t="s">
        <v>278</v>
      </c>
      <c r="AR267" s="51"/>
      <c r="AS267" s="42" t="s">
        <v>139</v>
      </c>
    </row>
    <row r="268" spans="1:45" s="520" customFormat="1" ht="12" customHeight="1">
      <c r="A268" s="747">
        <v>1</v>
      </c>
      <c r="B268" s="523" t="s">
        <v>141</v>
      </c>
      <c r="C268" s="748"/>
      <c r="D268" s="749" t="s">
        <v>1095</v>
      </c>
      <c r="E268" s="1419">
        <f>IF(AND($A268=0,$A$1="DIF"),0, ROUND(ROUND(($R276*$S$9+($T276*$T$9))/$A268,2)*$C$9,2))</f>
        <v>1374.32</v>
      </c>
      <c r="F268" s="1420">
        <f>ROUND($A268*$E268,2)</f>
        <v>1374.32</v>
      </c>
      <c r="G268" s="752" t="s">
        <v>142</v>
      </c>
      <c r="H268" s="753"/>
      <c r="I268" s="754"/>
      <c r="J268" s="753"/>
      <c r="K268" s="753" t="s">
        <v>16</v>
      </c>
      <c r="L268" s="755" t="s">
        <v>143</v>
      </c>
      <c r="M268" s="755"/>
      <c r="N268" s="755"/>
      <c r="O268" s="755"/>
      <c r="P268" s="755"/>
      <c r="Q268" s="51"/>
      <c r="T268" s="1424" t="str">
        <f>IF(AND($R276=0,$T276=0),"0.00","mu: "&amp; ROUND(F268/$C$9/($R276+$T276*$D$9),2))</f>
        <v>mu: 1.18</v>
      </c>
      <c r="W268" s="524"/>
      <c r="AG268" s="1421">
        <f>IF($E268=0,0,ROUND($R276*$S$9*$C$9/$A268,2))</f>
        <v>972.01</v>
      </c>
      <c r="AH268" s="1421">
        <f>$AG268*$A268</f>
        <v>972.01</v>
      </c>
      <c r="AI268" s="1422">
        <f>$E268-$AG268</f>
        <v>402.30999999999995</v>
      </c>
      <c r="AJ268" s="1422">
        <f>$A268*$AI268</f>
        <v>402.30999999999995</v>
      </c>
      <c r="AK268" s="1423">
        <f>ROUND(($AG268+$AI268)*$A268,2)</f>
        <v>1374.32</v>
      </c>
      <c r="AM268" s="527">
        <f>ROUND(R276,2)</f>
        <v>823.71</v>
      </c>
      <c r="AN268" s="528">
        <f>ROUND(T276,2)</f>
        <v>12.42</v>
      </c>
      <c r="AO268" s="529">
        <f>ROUND(AM268+AN268,2)*A268</f>
        <v>836.13</v>
      </c>
      <c r="AR268" s="747">
        <v>1</v>
      </c>
      <c r="AS268" s="751">
        <v>1480.72</v>
      </c>
    </row>
    <row r="269" spans="1:45" s="520" customFormat="1" ht="39.9" customHeight="1">
      <c r="A269" s="748"/>
      <c r="B269"/>
      <c r="C269" s="748"/>
      <c r="D269" s="1451" t="s">
        <v>1096</v>
      </c>
      <c r="E269" s="1452"/>
      <c r="F269" s="1452"/>
      <c r="G269" s="1452"/>
      <c r="H269" s="1452"/>
      <c r="I269" s="1452"/>
      <c r="J269" s="1452"/>
      <c r="K269" s="1452"/>
      <c r="L269" s="1452"/>
      <c r="M269" s="1452"/>
      <c r="N269" s="1452"/>
      <c r="O269" s="1452"/>
      <c r="P269" s="1452"/>
      <c r="Q269" s="1452"/>
      <c r="R269" s="1452"/>
      <c r="S269" s="1452"/>
      <c r="T269" s="1452"/>
      <c r="AR269" s="748"/>
    </row>
    <row r="270" spans="1:45" s="901" customFormat="1" ht="13.2">
      <c r="A270">
        <v>1</v>
      </c>
      <c r="B270" s="901" t="s">
        <v>141</v>
      </c>
      <c r="D270" s="901" t="s">
        <v>2791</v>
      </c>
      <c r="F270" s="1054" t="s">
        <v>2796</v>
      </c>
      <c r="G270" s="941" t="s">
        <v>2779</v>
      </c>
      <c r="H270" s="942">
        <v>510</v>
      </c>
      <c r="I270" s="901" t="s">
        <v>2607</v>
      </c>
      <c r="K270" s="901" t="s">
        <v>2744</v>
      </c>
      <c r="O270" s="943">
        <v>2</v>
      </c>
      <c r="P270" s="944"/>
      <c r="Q270" s="945">
        <v>770.2</v>
      </c>
      <c r="R270" s="946">
        <f t="shared" ref="R270:R275" si="44">$A270*Q270</f>
        <v>770.2</v>
      </c>
      <c r="S270" s="945">
        <f>2+(13*0.75)+2</f>
        <v>13.75</v>
      </c>
      <c r="T270" s="947">
        <f t="shared" ref="T270:T275" si="45">$A270*S270*$T$1</f>
        <v>12.375</v>
      </c>
      <c r="AR270">
        <v>1</v>
      </c>
      <c r="AS270" s="1054" t="s">
        <v>2796</v>
      </c>
    </row>
    <row r="271" spans="1:45" s="520" customFormat="1" ht="13.2">
      <c r="A271" s="116">
        <v>1</v>
      </c>
      <c r="B271" s="901" t="s">
        <v>141</v>
      </c>
      <c r="C271" s="901"/>
      <c r="D271" s="901" t="s">
        <v>2780</v>
      </c>
      <c r="E271" s="901"/>
      <c r="F271" s="901"/>
      <c r="G271" s="941" t="s">
        <v>2781</v>
      </c>
      <c r="H271" s="942">
        <v>875</v>
      </c>
      <c r="I271" s="901" t="s">
        <v>2607</v>
      </c>
      <c r="J271" s="901"/>
      <c r="K271" s="758"/>
      <c r="L271" s="901"/>
      <c r="M271" s="901"/>
      <c r="N271" s="901"/>
      <c r="O271" s="943">
        <v>3</v>
      </c>
      <c r="P271" s="944">
        <v>34820</v>
      </c>
      <c r="Q271" s="945">
        <v>7</v>
      </c>
      <c r="R271" s="946">
        <f t="shared" si="44"/>
        <v>7</v>
      </c>
      <c r="S271" s="945">
        <f>0.9 *(0.05)</f>
        <v>4.5000000000000005E-2</v>
      </c>
      <c r="T271" s="947">
        <f t="shared" si="45"/>
        <v>4.0500000000000008E-2</v>
      </c>
      <c r="AR271" s="116">
        <v>1</v>
      </c>
      <c r="AS271" s="901"/>
    </row>
    <row r="272" spans="1:45" s="520" customFormat="1" ht="13.2">
      <c r="A272" s="116">
        <v>1</v>
      </c>
      <c r="B272" s="901" t="s">
        <v>141</v>
      </c>
      <c r="C272" s="901"/>
      <c r="D272" s="901" t="s">
        <v>2782</v>
      </c>
      <c r="E272" s="901"/>
      <c r="F272" s="901"/>
      <c r="G272" s="941" t="s">
        <v>2783</v>
      </c>
      <c r="H272" s="942">
        <v>880</v>
      </c>
      <c r="I272" s="901" t="s">
        <v>2607</v>
      </c>
      <c r="J272" s="901"/>
      <c r="K272" s="758"/>
      <c r="L272" s="901"/>
      <c r="M272" s="901"/>
      <c r="N272" s="901"/>
      <c r="O272" s="943">
        <v>3</v>
      </c>
      <c r="P272" s="944">
        <v>35443</v>
      </c>
      <c r="Q272" s="945">
        <f>0.9 *(4.66)</f>
        <v>4.194</v>
      </c>
      <c r="R272" s="946">
        <f t="shared" si="44"/>
        <v>4.194</v>
      </c>
      <c r="S272" s="945"/>
      <c r="T272" s="947">
        <f t="shared" si="45"/>
        <v>0</v>
      </c>
      <c r="AR272" s="116">
        <v>1</v>
      </c>
      <c r="AS272" s="901"/>
    </row>
    <row r="273" spans="1:45" s="901" customFormat="1" ht="13.2">
      <c r="A273">
        <v>1</v>
      </c>
      <c r="B273" s="901" t="s">
        <v>141</v>
      </c>
      <c r="D273" s="901" t="s">
        <v>2758</v>
      </c>
      <c r="F273" s="901" t="s">
        <v>2784</v>
      </c>
      <c r="G273" s="941" t="s">
        <v>2760</v>
      </c>
      <c r="H273" s="942">
        <v>501</v>
      </c>
      <c r="I273" s="901" t="s">
        <v>2607</v>
      </c>
      <c r="K273" s="901" t="s">
        <v>2761</v>
      </c>
      <c r="O273" s="943">
        <v>1</v>
      </c>
      <c r="P273" s="944"/>
      <c r="Q273" s="945">
        <v>40</v>
      </c>
      <c r="R273" s="946">
        <f t="shared" si="44"/>
        <v>40</v>
      </c>
      <c r="S273" s="945"/>
      <c r="T273" s="947">
        <f t="shared" si="45"/>
        <v>0</v>
      </c>
      <c r="AR273">
        <v>1</v>
      </c>
      <c r="AS273" s="901" t="s">
        <v>2784</v>
      </c>
    </row>
    <row r="274" spans="1:45" s="901" customFormat="1" ht="13.2">
      <c r="A274" s="116">
        <v>4</v>
      </c>
      <c r="B274" s="901" t="s">
        <v>141</v>
      </c>
      <c r="D274" s="901" t="s">
        <v>2785</v>
      </c>
      <c r="G274" s="941" t="s">
        <v>2786</v>
      </c>
      <c r="H274" s="942">
        <v>875</v>
      </c>
      <c r="I274" s="901" t="s">
        <v>2607</v>
      </c>
      <c r="K274" s="901" t="s">
        <v>2787</v>
      </c>
      <c r="O274" s="943">
        <v>1</v>
      </c>
      <c r="P274" s="944">
        <v>34669</v>
      </c>
      <c r="Q274" s="945">
        <v>0.57999999999999996</v>
      </c>
      <c r="R274" s="946">
        <f t="shared" si="44"/>
        <v>2.3199999999999998</v>
      </c>
      <c r="S274" s="945"/>
      <c r="T274" s="947">
        <f t="shared" si="45"/>
        <v>0</v>
      </c>
      <c r="AR274" s="116">
        <v>4</v>
      </c>
    </row>
    <row r="275" spans="1:45" s="520" customFormat="1" ht="12">
      <c r="A275" s="758"/>
      <c r="B275" s="758"/>
      <c r="C275" s="758"/>
      <c r="D275" s="758"/>
      <c r="E275" s="758"/>
      <c r="F275" s="753"/>
      <c r="G275" s="758"/>
      <c r="H275" s="758"/>
      <c r="I275" s="519"/>
      <c r="J275" s="758"/>
      <c r="K275" s="758"/>
      <c r="L275" s="758"/>
      <c r="M275" s="758"/>
      <c r="N275" s="758"/>
      <c r="O275" s="758"/>
      <c r="P275" s="758"/>
      <c r="Q275" s="519"/>
      <c r="R275" s="759">
        <f t="shared" si="44"/>
        <v>0</v>
      </c>
      <c r="S275" s="519"/>
      <c r="T275" s="760">
        <f t="shared" si="45"/>
        <v>0</v>
      </c>
      <c r="AR275" s="758"/>
      <c r="AS275" s="753"/>
    </row>
    <row r="276" spans="1:45" s="520" customFormat="1" ht="12.6" thickBot="1">
      <c r="A276" s="761" t="s">
        <v>145</v>
      </c>
      <c r="B276" s="762">
        <f>(R275+T275)</f>
        <v>0</v>
      </c>
      <c r="C276" s="763"/>
      <c r="D276" s="763"/>
      <c r="E276" s="763"/>
      <c r="F276" s="764"/>
      <c r="G276" s="763" t="s">
        <v>146</v>
      </c>
      <c r="H276" s="763"/>
      <c r="I276" s="765"/>
      <c r="J276" s="763"/>
      <c r="K276" s="763" t="s">
        <v>16</v>
      </c>
      <c r="L276" s="766" t="s">
        <v>143</v>
      </c>
      <c r="M276" s="766"/>
      <c r="N276" s="766"/>
      <c r="O276" s="766"/>
      <c r="P276" s="766"/>
      <c r="Q276" s="767"/>
      <c r="R276" s="768">
        <f>SUM(R269:R275)</f>
        <v>823.71400000000006</v>
      </c>
      <c r="S276" s="763"/>
      <c r="T276" s="768">
        <f>SUM(T269:T275)</f>
        <v>12.4155</v>
      </c>
      <c r="U276" s="531"/>
      <c r="V276" s="531"/>
      <c r="W276" s="531"/>
      <c r="X276" s="531"/>
      <c r="Y276" s="531"/>
      <c r="Z276" s="531"/>
      <c r="AA276" s="531"/>
      <c r="AB276" s="531"/>
      <c r="AC276" s="531"/>
      <c r="AD276" s="531"/>
      <c r="AE276" s="531"/>
      <c r="AF276" s="531"/>
      <c r="AG276" s="531"/>
      <c r="AH276" s="531"/>
      <c r="AI276" s="531"/>
      <c r="AJ276" s="531"/>
      <c r="AK276" s="531"/>
      <c r="AL276" s="531"/>
      <c r="AM276" s="531"/>
      <c r="AN276" s="531"/>
      <c r="AO276" s="531"/>
      <c r="AR276" s="761" t="s">
        <v>145</v>
      </c>
      <c r="AS276" s="764"/>
    </row>
    <row r="277" spans="1:45" s="520" customFormat="1" ht="12" thickTop="1">
      <c r="A277" s="51"/>
      <c r="B277" s="41"/>
      <c r="C277" s="51"/>
      <c r="E277" s="42" t="s">
        <v>138</v>
      </c>
      <c r="F277" s="42" t="s">
        <v>139</v>
      </c>
      <c r="G277" s="51"/>
      <c r="H277" s="51"/>
      <c r="I277" s="51"/>
      <c r="J277" s="51"/>
      <c r="K277" s="51" t="s">
        <v>140</v>
      </c>
      <c r="L277" s="51"/>
      <c r="M277" s="51"/>
      <c r="N277" s="51"/>
      <c r="O277" s="52"/>
      <c r="P277" s="51"/>
      <c r="Q277" s="51"/>
      <c r="R277" s="51"/>
      <c r="S277" s="51"/>
      <c r="T277" s="41"/>
      <c r="AG277" s="521" t="s">
        <v>268</v>
      </c>
      <c r="AH277" s="521" t="s">
        <v>269</v>
      </c>
      <c r="AI277" s="521" t="s">
        <v>270</v>
      </c>
      <c r="AJ277" s="521" t="s">
        <v>271</v>
      </c>
      <c r="AK277" s="521" t="s">
        <v>272</v>
      </c>
      <c r="AM277" s="745" t="s">
        <v>281</v>
      </c>
      <c r="AN277" s="746" t="s">
        <v>282</v>
      </c>
      <c r="AO277" s="522" t="s">
        <v>278</v>
      </c>
      <c r="AR277" s="51"/>
      <c r="AS277" s="42" t="s">
        <v>139</v>
      </c>
    </row>
    <row r="278" spans="1:45" s="520" customFormat="1" ht="12" customHeight="1">
      <c r="A278" s="747">
        <v>1</v>
      </c>
      <c r="B278" s="523" t="s">
        <v>141</v>
      </c>
      <c r="C278" s="748"/>
      <c r="D278" s="749" t="s">
        <v>1097</v>
      </c>
      <c r="E278" s="1419">
        <f>IF(AND($A278=0,$A$1="DIF"),0, ROUND(ROUND(($R286*$S$9+($T286*$T$9))/$A278,2)*$C$9,2))</f>
        <v>1874.09</v>
      </c>
      <c r="F278" s="1420">
        <f>ROUND($A278*$E278,2)</f>
        <v>1874.09</v>
      </c>
      <c r="G278" s="752" t="s">
        <v>142</v>
      </c>
      <c r="H278" s="753"/>
      <c r="I278" s="754"/>
      <c r="J278" s="753"/>
      <c r="K278" s="753" t="s">
        <v>16</v>
      </c>
      <c r="L278" s="755" t="s">
        <v>143</v>
      </c>
      <c r="M278" s="755"/>
      <c r="N278" s="755"/>
      <c r="O278" s="755"/>
      <c r="P278" s="755"/>
      <c r="Q278" s="51"/>
      <c r="T278" s="1424" t="str">
        <f>IF(AND($R286=0,$T286=0),"0.00","mu: "&amp; ROUND(F278/$C$9/($R286+$T286*$D$9),2))</f>
        <v>mu: 1.18</v>
      </c>
      <c r="W278" s="524"/>
      <c r="AG278" s="1421">
        <f>IF($E278=0,0,ROUND($R286*$S$9*$C$9/$A278,2))</f>
        <v>1362.42</v>
      </c>
      <c r="AH278" s="1421">
        <f>$AG278*$A278</f>
        <v>1362.42</v>
      </c>
      <c r="AI278" s="1422">
        <f>$E278-$AG278</f>
        <v>511.66999999999985</v>
      </c>
      <c r="AJ278" s="1422">
        <f>$A278*$AI278</f>
        <v>511.66999999999985</v>
      </c>
      <c r="AK278" s="1423">
        <f>ROUND(($AG278+$AI278)*$A278,2)</f>
        <v>1874.09</v>
      </c>
      <c r="AM278" s="527">
        <f>ROUND(R286,2)</f>
        <v>1154.55</v>
      </c>
      <c r="AN278" s="528">
        <f>ROUND(T286,2)</f>
        <v>15.79</v>
      </c>
      <c r="AO278" s="529">
        <f>ROUND(AM278+AN278,2)*A278</f>
        <v>1170.3399999999999</v>
      </c>
      <c r="AR278" s="747">
        <v>1</v>
      </c>
      <c r="AS278" s="751">
        <v>2014.9</v>
      </c>
    </row>
    <row r="279" spans="1:45" s="520" customFormat="1" ht="39.9" customHeight="1">
      <c r="A279" s="748"/>
      <c r="B279"/>
      <c r="C279" s="748"/>
      <c r="D279" s="1451" t="s">
        <v>1098</v>
      </c>
      <c r="E279" s="1452"/>
      <c r="F279" s="1452"/>
      <c r="G279" s="1452"/>
      <c r="H279" s="1452"/>
      <c r="I279" s="1452"/>
      <c r="J279" s="1452"/>
      <c r="K279" s="1452"/>
      <c r="L279" s="1452"/>
      <c r="M279" s="1452"/>
      <c r="N279" s="1452"/>
      <c r="O279" s="1452"/>
      <c r="P279" s="1452"/>
      <c r="Q279" s="1452"/>
      <c r="R279" s="1452"/>
      <c r="S279" s="1452"/>
      <c r="T279" s="1452"/>
      <c r="AR279" s="748"/>
    </row>
    <row r="280" spans="1:45" s="901" customFormat="1" ht="13.2">
      <c r="A280">
        <v>1</v>
      </c>
      <c r="B280" s="901" t="s">
        <v>141</v>
      </c>
      <c r="D280" s="901" t="s">
        <v>2794</v>
      </c>
      <c r="F280" s="1054" t="s">
        <v>2793</v>
      </c>
      <c r="G280" s="941" t="s">
        <v>2779</v>
      </c>
      <c r="H280" s="942">
        <v>510</v>
      </c>
      <c r="I280" s="901" t="s">
        <v>2607</v>
      </c>
      <c r="K280" s="901" t="s">
        <v>2744</v>
      </c>
      <c r="O280" s="943">
        <v>2</v>
      </c>
      <c r="P280" s="944"/>
      <c r="Q280" s="945">
        <v>1116.04</v>
      </c>
      <c r="R280" s="946">
        <f t="shared" ref="R280:R285" si="46">$A280*Q280</f>
        <v>1116.04</v>
      </c>
      <c r="S280" s="945">
        <f>2+((14+4)*0.75)+2</f>
        <v>17.5</v>
      </c>
      <c r="T280" s="947">
        <f t="shared" ref="T280:T285" si="47">$A280*S280*$T$1</f>
        <v>15.75</v>
      </c>
      <c r="AR280">
        <v>1</v>
      </c>
      <c r="AS280" s="1054" t="s">
        <v>2793</v>
      </c>
    </row>
    <row r="281" spans="1:45" s="520" customFormat="1" ht="13.2">
      <c r="A281" s="116">
        <v>1</v>
      </c>
      <c r="B281" s="901" t="s">
        <v>141</v>
      </c>
      <c r="C281" s="901"/>
      <c r="D281" s="901" t="s">
        <v>2780</v>
      </c>
      <c r="E281" s="901"/>
      <c r="F281" s="901"/>
      <c r="G281" s="941" t="s">
        <v>2781</v>
      </c>
      <c r="H281" s="942">
        <v>875</v>
      </c>
      <c r="I281" s="901" t="s">
        <v>2607</v>
      </c>
      <c r="J281" s="901"/>
      <c r="K281" s="758"/>
      <c r="L281" s="901"/>
      <c r="M281" s="901"/>
      <c r="N281" s="901"/>
      <c r="O281" s="943">
        <v>3</v>
      </c>
      <c r="P281" s="944">
        <v>34820</v>
      </c>
      <c r="Q281" s="945">
        <v>7</v>
      </c>
      <c r="R281" s="946">
        <f t="shared" si="46"/>
        <v>7</v>
      </c>
      <c r="S281" s="945">
        <f>0.9 *(0.05)</f>
        <v>4.5000000000000005E-2</v>
      </c>
      <c r="T281" s="947">
        <f t="shared" si="47"/>
        <v>4.0500000000000008E-2</v>
      </c>
      <c r="AR281" s="116">
        <v>1</v>
      </c>
      <c r="AS281" s="901"/>
    </row>
    <row r="282" spans="1:45" s="520" customFormat="1" ht="13.2">
      <c r="A282" s="116">
        <v>1</v>
      </c>
      <c r="B282" s="901" t="s">
        <v>141</v>
      </c>
      <c r="C282" s="901"/>
      <c r="D282" s="901" t="s">
        <v>2782</v>
      </c>
      <c r="E282" s="901"/>
      <c r="F282" s="901"/>
      <c r="G282" s="941" t="s">
        <v>2783</v>
      </c>
      <c r="H282" s="942">
        <v>880</v>
      </c>
      <c r="I282" s="901" t="s">
        <v>2607</v>
      </c>
      <c r="J282" s="901"/>
      <c r="K282" s="758"/>
      <c r="L282" s="901"/>
      <c r="M282" s="901"/>
      <c r="N282" s="901"/>
      <c r="O282" s="943">
        <v>3</v>
      </c>
      <c r="P282" s="944">
        <v>35443</v>
      </c>
      <c r="Q282" s="945">
        <f>0.9 *(4.66)</f>
        <v>4.194</v>
      </c>
      <c r="R282" s="946">
        <f t="shared" si="46"/>
        <v>4.194</v>
      </c>
      <c r="S282" s="945"/>
      <c r="T282" s="947">
        <f t="shared" si="47"/>
        <v>0</v>
      </c>
      <c r="AR282" s="116">
        <v>1</v>
      </c>
      <c r="AS282" s="901"/>
    </row>
    <row r="283" spans="1:45" s="901" customFormat="1" ht="13.2">
      <c r="A283">
        <v>1</v>
      </c>
      <c r="B283" s="901" t="s">
        <v>141</v>
      </c>
      <c r="D283" s="901" t="s">
        <v>2758</v>
      </c>
      <c r="F283" s="901" t="s">
        <v>2784</v>
      </c>
      <c r="G283" s="941" t="s">
        <v>2760</v>
      </c>
      <c r="H283" s="942">
        <v>501</v>
      </c>
      <c r="I283" s="901" t="s">
        <v>2607</v>
      </c>
      <c r="K283" s="901" t="s">
        <v>2761</v>
      </c>
      <c r="O283" s="943">
        <v>1</v>
      </c>
      <c r="P283" s="944"/>
      <c r="Q283" s="945">
        <v>25</v>
      </c>
      <c r="R283" s="946">
        <f t="shared" si="46"/>
        <v>25</v>
      </c>
      <c r="S283" s="945"/>
      <c r="T283" s="947">
        <f t="shared" si="47"/>
        <v>0</v>
      </c>
      <c r="AR283">
        <v>1</v>
      </c>
      <c r="AS283" s="901" t="s">
        <v>2784</v>
      </c>
    </row>
    <row r="284" spans="1:45" s="901" customFormat="1" ht="13.2">
      <c r="A284" s="116">
        <v>4</v>
      </c>
      <c r="B284" s="901" t="s">
        <v>141</v>
      </c>
      <c r="D284" s="901" t="s">
        <v>2785</v>
      </c>
      <c r="G284" s="941" t="s">
        <v>2786</v>
      </c>
      <c r="H284" s="942">
        <v>875</v>
      </c>
      <c r="I284" s="901" t="s">
        <v>2607</v>
      </c>
      <c r="K284" s="901" t="s">
        <v>2787</v>
      </c>
      <c r="O284" s="943">
        <v>1</v>
      </c>
      <c r="P284" s="944">
        <v>34669</v>
      </c>
      <c r="Q284" s="945">
        <v>0.57999999999999996</v>
      </c>
      <c r="R284" s="946">
        <f t="shared" si="46"/>
        <v>2.3199999999999998</v>
      </c>
      <c r="S284" s="945"/>
      <c r="T284" s="947">
        <f t="shared" si="47"/>
        <v>0</v>
      </c>
      <c r="AR284" s="116">
        <v>4</v>
      </c>
    </row>
    <row r="285" spans="1:45" s="520" customFormat="1" ht="12">
      <c r="A285" s="758"/>
      <c r="B285" s="758"/>
      <c r="C285" s="758"/>
      <c r="D285" s="758"/>
      <c r="E285" s="758"/>
      <c r="F285" s="753"/>
      <c r="G285" s="758"/>
      <c r="H285" s="758"/>
      <c r="I285" s="519"/>
      <c r="J285" s="758"/>
      <c r="K285" s="758"/>
      <c r="L285" s="758"/>
      <c r="M285" s="758"/>
      <c r="N285" s="758"/>
      <c r="O285" s="758"/>
      <c r="P285" s="758"/>
      <c r="Q285" s="519"/>
      <c r="R285" s="759">
        <f t="shared" si="46"/>
        <v>0</v>
      </c>
      <c r="S285" s="519"/>
      <c r="T285" s="760">
        <f t="shared" si="47"/>
        <v>0</v>
      </c>
      <c r="AR285" s="758"/>
      <c r="AS285" s="753"/>
    </row>
    <row r="286" spans="1:45" s="520" customFormat="1" ht="12.6" thickBot="1">
      <c r="A286" s="761" t="s">
        <v>145</v>
      </c>
      <c r="B286" s="762">
        <f>(R285+T285)</f>
        <v>0</v>
      </c>
      <c r="C286" s="763"/>
      <c r="D286" s="763"/>
      <c r="E286" s="763"/>
      <c r="F286" s="764"/>
      <c r="G286" s="763" t="s">
        <v>146</v>
      </c>
      <c r="H286" s="763"/>
      <c r="I286" s="765"/>
      <c r="J286" s="763"/>
      <c r="K286" s="763" t="s">
        <v>16</v>
      </c>
      <c r="L286" s="766" t="s">
        <v>143</v>
      </c>
      <c r="M286" s="766"/>
      <c r="N286" s="766"/>
      <c r="O286" s="766"/>
      <c r="P286" s="766"/>
      <c r="Q286" s="767"/>
      <c r="R286" s="768">
        <f>SUM(R279:R285)</f>
        <v>1154.5539999999999</v>
      </c>
      <c r="S286" s="763"/>
      <c r="T286" s="768">
        <f>SUM(T279:T285)</f>
        <v>15.7905</v>
      </c>
      <c r="U286" s="531"/>
      <c r="V286" s="531"/>
      <c r="W286" s="531"/>
      <c r="X286" s="531"/>
      <c r="Y286" s="531"/>
      <c r="Z286" s="531"/>
      <c r="AA286" s="531"/>
      <c r="AB286" s="531"/>
      <c r="AC286" s="531"/>
      <c r="AD286" s="531"/>
      <c r="AE286" s="531"/>
      <c r="AF286" s="531"/>
      <c r="AG286" s="531"/>
      <c r="AH286" s="531"/>
      <c r="AI286" s="531"/>
      <c r="AJ286" s="531"/>
      <c r="AK286" s="531"/>
      <c r="AL286" s="531"/>
      <c r="AM286" s="531"/>
      <c r="AN286" s="531"/>
      <c r="AO286" s="531"/>
      <c r="AR286" s="761" t="s">
        <v>145</v>
      </c>
      <c r="AS286" s="764"/>
    </row>
    <row r="287" spans="1:45" s="520" customFormat="1" ht="12" thickTop="1">
      <c r="A287" s="51"/>
      <c r="B287" s="41"/>
      <c r="C287" s="51"/>
      <c r="E287" s="42" t="s">
        <v>138</v>
      </c>
      <c r="F287" s="42" t="s">
        <v>139</v>
      </c>
      <c r="G287" s="51"/>
      <c r="H287" s="51"/>
      <c r="I287" s="51"/>
      <c r="J287" s="51"/>
      <c r="K287" s="51" t="s">
        <v>140</v>
      </c>
      <c r="L287" s="51"/>
      <c r="M287" s="51"/>
      <c r="N287" s="51"/>
      <c r="O287" s="52"/>
      <c r="P287" s="51"/>
      <c r="Q287" s="51"/>
      <c r="R287" s="51"/>
      <c r="S287" s="51"/>
      <c r="T287" s="41"/>
      <c r="AG287" s="521" t="s">
        <v>268</v>
      </c>
      <c r="AH287" s="521" t="s">
        <v>269</v>
      </c>
      <c r="AI287" s="521" t="s">
        <v>270</v>
      </c>
      <c r="AJ287" s="521" t="s">
        <v>271</v>
      </c>
      <c r="AK287" s="521" t="s">
        <v>272</v>
      </c>
      <c r="AM287" s="745" t="s">
        <v>281</v>
      </c>
      <c r="AN287" s="746" t="s">
        <v>282</v>
      </c>
      <c r="AO287" s="522" t="s">
        <v>278</v>
      </c>
      <c r="AR287" s="51"/>
      <c r="AS287" s="42" t="s">
        <v>139</v>
      </c>
    </row>
    <row r="288" spans="1:45" s="520" customFormat="1" ht="12" customHeight="1">
      <c r="A288" s="747">
        <v>1</v>
      </c>
      <c r="B288" s="523" t="s">
        <v>141</v>
      </c>
      <c r="C288" s="748"/>
      <c r="D288" s="749" t="s">
        <v>1099</v>
      </c>
      <c r="E288" s="1419">
        <f>IF(AND($A288=0,$A$1="DIF"),0, ROUND(ROUND(($R296*$S$9+($T296*$T$9))/$A288,2)*$C$9,2))</f>
        <v>839.76</v>
      </c>
      <c r="F288" s="1420">
        <f>ROUND($A288*$E288,2)</f>
        <v>839.76</v>
      </c>
      <c r="G288" s="752" t="s">
        <v>142</v>
      </c>
      <c r="H288" s="753"/>
      <c r="I288" s="754"/>
      <c r="J288" s="753"/>
      <c r="K288" s="753" t="s">
        <v>16</v>
      </c>
      <c r="L288" s="755" t="s">
        <v>143</v>
      </c>
      <c r="M288" s="755"/>
      <c r="N288" s="755"/>
      <c r="O288" s="755"/>
      <c r="P288" s="755"/>
      <c r="Q288" s="51"/>
      <c r="T288" s="1424" t="str">
        <f>IF(AND($R296=0,$T296=0),"0.00","mu: "&amp; ROUND(F288/$C$9/($R296+$T296*$D$9),2))</f>
        <v>mu: 1.18</v>
      </c>
      <c r="W288" s="524"/>
      <c r="AG288" s="1421">
        <f>IF($E288=0,0,ROUND($R296*$S$9*$C$9/$A288,2))</f>
        <v>459.32</v>
      </c>
      <c r="AH288" s="1421">
        <f>$AG288*$A288</f>
        <v>459.32</v>
      </c>
      <c r="AI288" s="1422">
        <f>$E288-$AG288</f>
        <v>380.44</v>
      </c>
      <c r="AJ288" s="1422">
        <f>$A288*$AI288</f>
        <v>380.44</v>
      </c>
      <c r="AK288" s="1423">
        <f>ROUND(($AG288+$AI288)*$A288,2)</f>
        <v>839.76</v>
      </c>
      <c r="AM288" s="527">
        <f>ROUND(R296,2)</f>
        <v>389.24</v>
      </c>
      <c r="AN288" s="528">
        <f>ROUND(T296,2)</f>
        <v>11.74</v>
      </c>
      <c r="AO288" s="529">
        <f>ROUND(AM288+AN288,2)*A288</f>
        <v>400.98</v>
      </c>
      <c r="AR288" s="747">
        <v>1</v>
      </c>
      <c r="AS288" s="751">
        <v>920.38</v>
      </c>
    </row>
    <row r="289" spans="1:45" s="520" customFormat="1" ht="39.9" customHeight="1">
      <c r="A289" s="748"/>
      <c r="B289"/>
      <c r="C289" s="748"/>
      <c r="D289" s="1451" t="s">
        <v>1100</v>
      </c>
      <c r="E289" s="1452"/>
      <c r="F289" s="1452"/>
      <c r="G289" s="1452"/>
      <c r="H289" s="1452"/>
      <c r="I289" s="1452"/>
      <c r="J289" s="1452"/>
      <c r="K289" s="1452"/>
      <c r="L289" s="1452"/>
      <c r="M289" s="1452"/>
      <c r="N289" s="1452"/>
      <c r="O289" s="1452"/>
      <c r="P289" s="1452"/>
      <c r="Q289" s="1452"/>
      <c r="R289" s="1452"/>
      <c r="S289" s="1452"/>
      <c r="T289" s="1452"/>
      <c r="AR289" s="748"/>
    </row>
    <row r="290" spans="1:45" s="901" customFormat="1" ht="13.2">
      <c r="A290">
        <v>1</v>
      </c>
      <c r="B290" s="901" t="s">
        <v>141</v>
      </c>
      <c r="D290" s="901" t="s">
        <v>2790</v>
      </c>
      <c r="F290" s="1054" t="s">
        <v>2795</v>
      </c>
      <c r="G290" s="941" t="s">
        <v>2779</v>
      </c>
      <c r="H290" s="942">
        <v>510</v>
      </c>
      <c r="I290" s="901" t="s">
        <v>2607</v>
      </c>
      <c r="K290" s="901" t="s">
        <v>2744</v>
      </c>
      <c r="O290" s="943">
        <v>2</v>
      </c>
      <c r="P290" s="944"/>
      <c r="Q290" s="945">
        <v>355.73</v>
      </c>
      <c r="R290" s="946">
        <f t="shared" ref="R290:R295" si="48">$A290*Q290</f>
        <v>355.73</v>
      </c>
      <c r="S290" s="945">
        <f>2+(12*0.75)+2</f>
        <v>13</v>
      </c>
      <c r="T290" s="947">
        <f t="shared" ref="T290:T295" si="49">$A290*S290*$T$1</f>
        <v>11.700000000000001</v>
      </c>
      <c r="AR290">
        <v>1</v>
      </c>
      <c r="AS290" s="1054" t="s">
        <v>2795</v>
      </c>
    </row>
    <row r="291" spans="1:45" s="520" customFormat="1" ht="13.2">
      <c r="A291" s="116">
        <v>1</v>
      </c>
      <c r="B291" s="901" t="s">
        <v>141</v>
      </c>
      <c r="C291" s="901"/>
      <c r="D291" s="901" t="s">
        <v>2780</v>
      </c>
      <c r="E291" s="901"/>
      <c r="F291" s="901"/>
      <c r="G291" s="941" t="s">
        <v>2781</v>
      </c>
      <c r="H291" s="942">
        <v>875</v>
      </c>
      <c r="I291" s="901" t="s">
        <v>2607</v>
      </c>
      <c r="J291" s="901"/>
      <c r="K291" s="758"/>
      <c r="L291" s="901"/>
      <c r="M291" s="901"/>
      <c r="N291" s="901"/>
      <c r="O291" s="943">
        <v>3</v>
      </c>
      <c r="P291" s="944">
        <v>34820</v>
      </c>
      <c r="Q291" s="945">
        <v>7</v>
      </c>
      <c r="R291" s="946">
        <f t="shared" si="48"/>
        <v>7</v>
      </c>
      <c r="S291" s="945">
        <f>0.9 *(0.05)</f>
        <v>4.5000000000000005E-2</v>
      </c>
      <c r="T291" s="947">
        <f t="shared" si="49"/>
        <v>4.0500000000000008E-2</v>
      </c>
      <c r="AR291" s="116">
        <v>1</v>
      </c>
      <c r="AS291" s="901"/>
    </row>
    <row r="292" spans="1:45" s="520" customFormat="1" ht="13.2">
      <c r="A292" s="116">
        <v>1</v>
      </c>
      <c r="B292" s="901" t="s">
        <v>141</v>
      </c>
      <c r="C292" s="901"/>
      <c r="D292" s="901" t="s">
        <v>2782</v>
      </c>
      <c r="E292" s="901"/>
      <c r="F292" s="901"/>
      <c r="G292" s="941" t="s">
        <v>2783</v>
      </c>
      <c r="H292" s="942">
        <v>880</v>
      </c>
      <c r="I292" s="901" t="s">
        <v>2607</v>
      </c>
      <c r="J292" s="901"/>
      <c r="K292" s="758"/>
      <c r="L292" s="901"/>
      <c r="M292" s="901"/>
      <c r="N292" s="901"/>
      <c r="O292" s="943">
        <v>3</v>
      </c>
      <c r="P292" s="944">
        <v>35443</v>
      </c>
      <c r="Q292" s="945">
        <f>0.9 *(4.66)</f>
        <v>4.194</v>
      </c>
      <c r="R292" s="946">
        <f t="shared" si="48"/>
        <v>4.194</v>
      </c>
      <c r="S292" s="945"/>
      <c r="T292" s="947">
        <f t="shared" si="49"/>
        <v>0</v>
      </c>
      <c r="AR292" s="116">
        <v>1</v>
      </c>
      <c r="AS292" s="901"/>
    </row>
    <row r="293" spans="1:45" s="901" customFormat="1" ht="13.2">
      <c r="A293">
        <v>1</v>
      </c>
      <c r="B293" s="901" t="s">
        <v>141</v>
      </c>
      <c r="D293" s="901" t="s">
        <v>2758</v>
      </c>
      <c r="F293" s="901" t="s">
        <v>2784</v>
      </c>
      <c r="G293" s="941" t="s">
        <v>2760</v>
      </c>
      <c r="H293" s="942">
        <v>501</v>
      </c>
      <c r="I293" s="901" t="s">
        <v>2607</v>
      </c>
      <c r="K293" s="901" t="s">
        <v>2761</v>
      </c>
      <c r="O293" s="943">
        <v>1</v>
      </c>
      <c r="P293" s="944"/>
      <c r="Q293" s="945">
        <v>20</v>
      </c>
      <c r="R293" s="946">
        <f t="shared" si="48"/>
        <v>20</v>
      </c>
      <c r="S293" s="945"/>
      <c r="T293" s="947">
        <f t="shared" si="49"/>
        <v>0</v>
      </c>
      <c r="AR293">
        <v>1</v>
      </c>
      <c r="AS293" s="901" t="s">
        <v>2784</v>
      </c>
    </row>
    <row r="294" spans="1:45" s="901" customFormat="1" ht="13.2">
      <c r="A294" s="116">
        <v>4</v>
      </c>
      <c r="B294" s="901" t="s">
        <v>141</v>
      </c>
      <c r="D294" s="901" t="s">
        <v>2785</v>
      </c>
      <c r="G294" s="941" t="s">
        <v>2786</v>
      </c>
      <c r="H294" s="942">
        <v>875</v>
      </c>
      <c r="I294" s="901" t="s">
        <v>2607</v>
      </c>
      <c r="K294" s="901" t="s">
        <v>2787</v>
      </c>
      <c r="O294" s="943">
        <v>1</v>
      </c>
      <c r="P294" s="944">
        <v>34669</v>
      </c>
      <c r="Q294" s="945">
        <v>0.57999999999999996</v>
      </c>
      <c r="R294" s="946">
        <f t="shared" si="48"/>
        <v>2.3199999999999998</v>
      </c>
      <c r="S294" s="945"/>
      <c r="T294" s="947">
        <f t="shared" si="49"/>
        <v>0</v>
      </c>
      <c r="AR294" s="116">
        <v>4</v>
      </c>
    </row>
    <row r="295" spans="1:45" s="520" customFormat="1" ht="12">
      <c r="A295" s="758"/>
      <c r="B295" s="758"/>
      <c r="C295" s="758"/>
      <c r="D295" s="758"/>
      <c r="E295" s="758"/>
      <c r="F295" s="753"/>
      <c r="G295" s="758"/>
      <c r="H295" s="758"/>
      <c r="I295" s="519"/>
      <c r="J295" s="758"/>
      <c r="K295" s="758"/>
      <c r="L295" s="758"/>
      <c r="M295" s="758"/>
      <c r="N295" s="758"/>
      <c r="O295" s="758"/>
      <c r="P295" s="758"/>
      <c r="Q295" s="519"/>
      <c r="R295" s="759">
        <f t="shared" si="48"/>
        <v>0</v>
      </c>
      <c r="S295" s="519"/>
      <c r="T295" s="760">
        <f t="shared" si="49"/>
        <v>0</v>
      </c>
      <c r="AR295" s="758"/>
      <c r="AS295" s="753"/>
    </row>
    <row r="296" spans="1:45" s="520" customFormat="1" ht="12.6" thickBot="1">
      <c r="A296" s="761" t="s">
        <v>145</v>
      </c>
      <c r="B296" s="762">
        <f>(R295+T295)</f>
        <v>0</v>
      </c>
      <c r="C296" s="763"/>
      <c r="D296" s="763"/>
      <c r="E296" s="763"/>
      <c r="F296" s="764"/>
      <c r="G296" s="763" t="s">
        <v>146</v>
      </c>
      <c r="H296" s="763"/>
      <c r="I296" s="765"/>
      <c r="J296" s="763"/>
      <c r="K296" s="763" t="s">
        <v>16</v>
      </c>
      <c r="L296" s="766" t="s">
        <v>143</v>
      </c>
      <c r="M296" s="766"/>
      <c r="N296" s="766"/>
      <c r="O296" s="766"/>
      <c r="P296" s="766"/>
      <c r="Q296" s="767"/>
      <c r="R296" s="768">
        <f>SUM(R289:R295)</f>
        <v>389.24400000000003</v>
      </c>
      <c r="S296" s="763"/>
      <c r="T296" s="768">
        <f>SUM(T289:T295)</f>
        <v>11.740500000000001</v>
      </c>
      <c r="U296" s="531"/>
      <c r="V296" s="531"/>
      <c r="W296" s="531"/>
      <c r="X296" s="531"/>
      <c r="Y296" s="531"/>
      <c r="Z296" s="531"/>
      <c r="AA296" s="531"/>
      <c r="AB296" s="531"/>
      <c r="AC296" s="531"/>
      <c r="AD296" s="531"/>
      <c r="AE296" s="531"/>
      <c r="AF296" s="531"/>
      <c r="AG296" s="531"/>
      <c r="AH296" s="531"/>
      <c r="AI296" s="531"/>
      <c r="AJ296" s="531"/>
      <c r="AK296" s="531"/>
      <c r="AL296" s="531"/>
      <c r="AM296" s="531"/>
      <c r="AN296" s="531"/>
      <c r="AO296" s="531"/>
      <c r="AR296" s="761" t="s">
        <v>145</v>
      </c>
      <c r="AS296" s="764"/>
    </row>
    <row r="297" spans="1:45" s="520" customFormat="1" ht="12" thickTop="1">
      <c r="A297" s="51"/>
      <c r="B297" s="41"/>
      <c r="C297" s="51"/>
      <c r="E297" s="42" t="s">
        <v>138</v>
      </c>
      <c r="F297" s="42" t="s">
        <v>139</v>
      </c>
      <c r="G297" s="51"/>
      <c r="H297" s="51"/>
      <c r="I297" s="51"/>
      <c r="J297" s="51"/>
      <c r="K297" s="51" t="s">
        <v>140</v>
      </c>
      <c r="L297" s="51"/>
      <c r="M297" s="51"/>
      <c r="N297" s="51"/>
      <c r="O297" s="52"/>
      <c r="P297" s="51"/>
      <c r="Q297" s="51"/>
      <c r="R297" s="51"/>
      <c r="S297" s="51"/>
      <c r="T297" s="41"/>
      <c r="AG297" s="521" t="s">
        <v>268</v>
      </c>
      <c r="AH297" s="521" t="s">
        <v>269</v>
      </c>
      <c r="AI297" s="521" t="s">
        <v>270</v>
      </c>
      <c r="AJ297" s="521" t="s">
        <v>271</v>
      </c>
      <c r="AK297" s="521" t="s">
        <v>272</v>
      </c>
      <c r="AM297" s="745" t="s">
        <v>281</v>
      </c>
      <c r="AN297" s="746" t="s">
        <v>282</v>
      </c>
      <c r="AO297" s="522" t="s">
        <v>278</v>
      </c>
      <c r="AR297" s="51"/>
      <c r="AS297" s="42" t="s">
        <v>139</v>
      </c>
    </row>
    <row r="298" spans="1:45" s="520" customFormat="1" ht="12" customHeight="1">
      <c r="A298" s="747">
        <v>1</v>
      </c>
      <c r="B298" s="523" t="s">
        <v>141</v>
      </c>
      <c r="C298" s="748"/>
      <c r="D298" s="749" t="s">
        <v>1101</v>
      </c>
      <c r="E298" s="1419">
        <f>IF(AND($A298=0,$A$1="DIF"),0, ROUND(ROUND(($R306*$S$9+($T306*$T$9))/$A298,2)*$C$9,2))</f>
        <v>6286.17</v>
      </c>
      <c r="F298" s="1420">
        <f>ROUND($A298*$E298,2)</f>
        <v>6286.17</v>
      </c>
      <c r="G298" s="752" t="s">
        <v>142</v>
      </c>
      <c r="H298" s="753"/>
      <c r="I298" s="754"/>
      <c r="J298" s="753"/>
      <c r="K298" s="753" t="s">
        <v>16</v>
      </c>
      <c r="L298" s="755" t="s">
        <v>143</v>
      </c>
      <c r="M298" s="755"/>
      <c r="N298" s="755"/>
      <c r="O298" s="755"/>
      <c r="P298" s="755"/>
      <c r="Q298" s="51"/>
      <c r="T298" s="1424" t="str">
        <f>IF(AND($R306=0,$T306=0),"0.00","mu: "&amp; ROUND(F298/$C$9/($R306+$T306*$D$9),2))</f>
        <v>mu: 1.18</v>
      </c>
      <c r="W298" s="524"/>
      <c r="AG298" s="1421">
        <f>IF($E298=0,0,ROUND($R306*$S$9*$C$9/$A298,2))</f>
        <v>5089.1499999999996</v>
      </c>
      <c r="AH298" s="1421">
        <f>$AG298*$A298</f>
        <v>5089.1499999999996</v>
      </c>
      <c r="AI298" s="1422">
        <f>$E298-$AG298</f>
        <v>1197.0200000000004</v>
      </c>
      <c r="AJ298" s="1422">
        <f>$A298*$AI298</f>
        <v>1197.0200000000004</v>
      </c>
      <c r="AK298" s="1423">
        <f>ROUND(($AG298+$AI298)*$A298,2)</f>
        <v>6286.17</v>
      </c>
      <c r="AM298" s="527">
        <f>ROUND(R306,2)</f>
        <v>4312.7</v>
      </c>
      <c r="AN298" s="528">
        <f>ROUND(T306,2)</f>
        <v>36.94</v>
      </c>
      <c r="AO298" s="529">
        <f>ROUND(AM298+AN298,2)*A298</f>
        <v>4349.6400000000003</v>
      </c>
      <c r="AR298" s="747">
        <v>1</v>
      </c>
      <c r="AS298" s="751">
        <v>6698.26</v>
      </c>
    </row>
    <row r="299" spans="1:45" s="520" customFormat="1" ht="39.9" customHeight="1">
      <c r="A299" s="748"/>
      <c r="B299"/>
      <c r="C299" s="748"/>
      <c r="D299" s="1451" t="s">
        <v>1102</v>
      </c>
      <c r="E299" s="1452"/>
      <c r="F299" s="1452"/>
      <c r="G299" s="1452"/>
      <c r="H299" s="1452"/>
      <c r="I299" s="1452"/>
      <c r="J299" s="1452"/>
      <c r="K299" s="1452"/>
      <c r="L299" s="1452"/>
      <c r="M299" s="1452"/>
      <c r="N299" s="1452"/>
      <c r="O299" s="1452"/>
      <c r="P299" s="1452"/>
      <c r="Q299" s="1452"/>
      <c r="R299" s="1452"/>
      <c r="S299" s="1452"/>
      <c r="T299" s="1452"/>
      <c r="AR299" s="748"/>
    </row>
    <row r="300" spans="1:45" s="901" customFormat="1" ht="13.2">
      <c r="A300">
        <v>1</v>
      </c>
      <c r="B300" s="901" t="s">
        <v>141</v>
      </c>
      <c r="D300" s="901" t="s">
        <v>2798</v>
      </c>
      <c r="F300" s="1054" t="s">
        <v>2797</v>
      </c>
      <c r="G300" s="941" t="s">
        <v>2779</v>
      </c>
      <c r="H300" s="942">
        <v>510</v>
      </c>
      <c r="I300" s="901" t="s">
        <v>2607</v>
      </c>
      <c r="K300" s="901" t="s">
        <v>2744</v>
      </c>
      <c r="O300" s="943">
        <v>2</v>
      </c>
      <c r="P300" s="944"/>
      <c r="Q300" s="945">
        <v>4099.1899999999996</v>
      </c>
      <c r="R300" s="946">
        <f t="shared" ref="R300:R305" si="50">$A300*Q300</f>
        <v>4099.1899999999996</v>
      </c>
      <c r="S300" s="1193">
        <f>2+2+(44*0.75)+4</f>
        <v>41</v>
      </c>
      <c r="T300" s="947">
        <f t="shared" ref="T300:T305" si="51">$A300*S300*$T$1</f>
        <v>36.9</v>
      </c>
      <c r="AR300">
        <v>1</v>
      </c>
      <c r="AS300" s="1054" t="s">
        <v>2797</v>
      </c>
    </row>
    <row r="301" spans="1:45" s="520" customFormat="1" ht="13.2">
      <c r="A301" s="116">
        <v>1</v>
      </c>
      <c r="B301" s="901" t="s">
        <v>141</v>
      </c>
      <c r="C301" s="901"/>
      <c r="D301" s="901" t="s">
        <v>2780</v>
      </c>
      <c r="E301" s="901"/>
      <c r="F301" s="901"/>
      <c r="G301" s="941" t="s">
        <v>2781</v>
      </c>
      <c r="H301" s="942">
        <v>875</v>
      </c>
      <c r="I301" s="901" t="s">
        <v>2607</v>
      </c>
      <c r="J301" s="901"/>
      <c r="K301" s="758"/>
      <c r="L301" s="901"/>
      <c r="M301" s="901"/>
      <c r="N301" s="901"/>
      <c r="O301" s="943">
        <v>3</v>
      </c>
      <c r="P301" s="944">
        <v>34820</v>
      </c>
      <c r="Q301" s="945">
        <v>7</v>
      </c>
      <c r="R301" s="946">
        <f t="shared" si="50"/>
        <v>7</v>
      </c>
      <c r="S301" s="945">
        <f>0.9 *(0.05)</f>
        <v>4.5000000000000005E-2</v>
      </c>
      <c r="T301" s="947">
        <f t="shared" si="51"/>
        <v>4.0500000000000008E-2</v>
      </c>
      <c r="AR301" s="116">
        <v>1</v>
      </c>
      <c r="AS301" s="901"/>
    </row>
    <row r="302" spans="1:45" s="520" customFormat="1" ht="13.2">
      <c r="A302" s="116">
        <v>1</v>
      </c>
      <c r="B302" s="901" t="s">
        <v>141</v>
      </c>
      <c r="C302" s="901"/>
      <c r="D302" s="901" t="s">
        <v>2782</v>
      </c>
      <c r="E302" s="901"/>
      <c r="F302" s="901"/>
      <c r="G302" s="941" t="s">
        <v>2783</v>
      </c>
      <c r="H302" s="942">
        <v>880</v>
      </c>
      <c r="I302" s="901" t="s">
        <v>2607</v>
      </c>
      <c r="J302" s="901"/>
      <c r="K302" s="758"/>
      <c r="L302" s="901"/>
      <c r="M302" s="901"/>
      <c r="N302" s="901"/>
      <c r="O302" s="943">
        <v>3</v>
      </c>
      <c r="P302" s="944">
        <v>35443</v>
      </c>
      <c r="Q302" s="945">
        <f>0.9 *(4.66)</f>
        <v>4.194</v>
      </c>
      <c r="R302" s="946">
        <f t="shared" si="50"/>
        <v>4.194</v>
      </c>
      <c r="S302" s="945"/>
      <c r="T302" s="947">
        <f t="shared" si="51"/>
        <v>0</v>
      </c>
      <c r="AR302" s="116">
        <v>1</v>
      </c>
      <c r="AS302" s="901"/>
    </row>
    <row r="303" spans="1:45" s="901" customFormat="1" ht="13.2">
      <c r="A303">
        <v>1</v>
      </c>
      <c r="B303" s="901" t="s">
        <v>141</v>
      </c>
      <c r="D303" s="901" t="s">
        <v>2758</v>
      </c>
      <c r="F303" s="901" t="s">
        <v>2784</v>
      </c>
      <c r="G303" s="941" t="s">
        <v>2760</v>
      </c>
      <c r="H303" s="942">
        <v>501</v>
      </c>
      <c r="I303" s="901" t="s">
        <v>2607</v>
      </c>
      <c r="K303" s="901" t="s">
        <v>2761</v>
      </c>
      <c r="O303" s="943">
        <v>1</v>
      </c>
      <c r="P303" s="944"/>
      <c r="Q303" s="945">
        <v>200</v>
      </c>
      <c r="R303" s="946">
        <f t="shared" si="50"/>
        <v>200</v>
      </c>
      <c r="S303" s="945"/>
      <c r="T303" s="947">
        <f t="shared" si="51"/>
        <v>0</v>
      </c>
      <c r="AR303">
        <v>1</v>
      </c>
      <c r="AS303" s="901" t="s">
        <v>2784</v>
      </c>
    </row>
    <row r="304" spans="1:45" s="901" customFormat="1" ht="13.2">
      <c r="A304" s="116">
        <v>4</v>
      </c>
      <c r="B304" s="901" t="s">
        <v>141</v>
      </c>
      <c r="D304" s="901" t="s">
        <v>2785</v>
      </c>
      <c r="G304" s="941" t="s">
        <v>2786</v>
      </c>
      <c r="H304" s="942">
        <v>875</v>
      </c>
      <c r="I304" s="901" t="s">
        <v>2607</v>
      </c>
      <c r="K304" s="901" t="s">
        <v>2787</v>
      </c>
      <c r="O304" s="943">
        <v>1</v>
      </c>
      <c r="P304" s="944">
        <v>34669</v>
      </c>
      <c r="Q304" s="945">
        <v>0.57999999999999996</v>
      </c>
      <c r="R304" s="946">
        <f t="shared" si="50"/>
        <v>2.3199999999999998</v>
      </c>
      <c r="S304" s="945"/>
      <c r="T304" s="947">
        <f t="shared" si="51"/>
        <v>0</v>
      </c>
      <c r="AR304" s="116">
        <v>4</v>
      </c>
    </row>
    <row r="305" spans="1:45" s="520" customFormat="1" ht="12">
      <c r="A305" s="758"/>
      <c r="B305" s="758"/>
      <c r="C305" s="758"/>
      <c r="D305" s="758"/>
      <c r="E305" s="758"/>
      <c r="F305" s="753"/>
      <c r="G305" s="758"/>
      <c r="H305" s="758"/>
      <c r="I305" s="519"/>
      <c r="J305" s="758"/>
      <c r="K305" s="758"/>
      <c r="L305" s="758"/>
      <c r="M305" s="758"/>
      <c r="N305" s="758"/>
      <c r="O305" s="758"/>
      <c r="P305" s="758"/>
      <c r="Q305" s="519"/>
      <c r="R305" s="759">
        <f t="shared" si="50"/>
        <v>0</v>
      </c>
      <c r="S305" s="519"/>
      <c r="T305" s="760">
        <f t="shared" si="51"/>
        <v>0</v>
      </c>
      <c r="AR305" s="758"/>
      <c r="AS305" s="753"/>
    </row>
    <row r="306" spans="1:45" s="520" customFormat="1" ht="12.6" thickBot="1">
      <c r="A306" s="761" t="s">
        <v>145</v>
      </c>
      <c r="B306" s="762">
        <f>(R305+T305)</f>
        <v>0</v>
      </c>
      <c r="C306" s="763"/>
      <c r="D306" s="763"/>
      <c r="E306" s="763"/>
      <c r="F306" s="764"/>
      <c r="G306" s="763" t="s">
        <v>146</v>
      </c>
      <c r="H306" s="763"/>
      <c r="I306" s="765"/>
      <c r="J306" s="763"/>
      <c r="K306" s="763" t="s">
        <v>16</v>
      </c>
      <c r="L306" s="766" t="s">
        <v>143</v>
      </c>
      <c r="M306" s="766"/>
      <c r="N306" s="766"/>
      <c r="O306" s="766"/>
      <c r="P306" s="766"/>
      <c r="Q306" s="767"/>
      <c r="R306" s="768">
        <f>SUM(R299:R305)</f>
        <v>4312.7039999999997</v>
      </c>
      <c r="S306" s="763"/>
      <c r="T306" s="768">
        <f>SUM(T299:T305)</f>
        <v>36.9405</v>
      </c>
      <c r="U306" s="531"/>
      <c r="V306" s="531"/>
      <c r="W306" s="531"/>
      <c r="X306" s="531"/>
      <c r="Y306" s="531"/>
      <c r="Z306" s="531"/>
      <c r="AA306" s="531"/>
      <c r="AB306" s="531"/>
      <c r="AC306" s="531"/>
      <c r="AD306" s="531"/>
      <c r="AE306" s="531"/>
      <c r="AF306" s="531"/>
      <c r="AG306" s="531"/>
      <c r="AH306" s="531"/>
      <c r="AI306" s="531"/>
      <c r="AJ306" s="531"/>
      <c r="AK306" s="531"/>
      <c r="AL306" s="531"/>
      <c r="AM306" s="531"/>
      <c r="AN306" s="531"/>
      <c r="AO306" s="531"/>
      <c r="AR306" s="761" t="s">
        <v>145</v>
      </c>
      <c r="AS306" s="764"/>
    </row>
    <row r="307" spans="1:45" s="520" customFormat="1" ht="12" thickTop="1">
      <c r="A307" s="51"/>
      <c r="B307" s="41"/>
      <c r="C307" s="51"/>
      <c r="E307" s="42" t="s">
        <v>138</v>
      </c>
      <c r="F307" s="42" t="s">
        <v>139</v>
      </c>
      <c r="G307" s="51"/>
      <c r="H307" s="51"/>
      <c r="I307" s="51"/>
      <c r="J307" s="51"/>
      <c r="K307" s="51" t="s">
        <v>140</v>
      </c>
      <c r="L307" s="51"/>
      <c r="M307" s="51"/>
      <c r="N307" s="51"/>
      <c r="O307" s="52"/>
      <c r="P307" s="51"/>
      <c r="Q307" s="51"/>
      <c r="R307" s="51"/>
      <c r="S307" s="51"/>
      <c r="T307" s="41"/>
      <c r="AG307" s="521" t="s">
        <v>268</v>
      </c>
      <c r="AH307" s="521" t="s">
        <v>269</v>
      </c>
      <c r="AI307" s="521" t="s">
        <v>270</v>
      </c>
      <c r="AJ307" s="521" t="s">
        <v>271</v>
      </c>
      <c r="AK307" s="521" t="s">
        <v>272</v>
      </c>
      <c r="AM307" s="745" t="s">
        <v>281</v>
      </c>
      <c r="AN307" s="746" t="s">
        <v>282</v>
      </c>
      <c r="AO307" s="522" t="s">
        <v>278</v>
      </c>
      <c r="AR307" s="51"/>
      <c r="AS307" s="42" t="s">
        <v>139</v>
      </c>
    </row>
    <row r="308" spans="1:45" s="520" customFormat="1" ht="12" customHeight="1">
      <c r="A308" s="747">
        <v>1</v>
      </c>
      <c r="B308" s="523" t="s">
        <v>141</v>
      </c>
      <c r="C308" s="748"/>
      <c r="D308" s="749" t="s">
        <v>1103</v>
      </c>
      <c r="E308" s="1419">
        <f>IF(AND($A308=0,$A$1="DIF"),0, ROUND(ROUND(($R316*$S$9+($T316*$T$9))/$A308,2)*$C$9,2))</f>
        <v>1222.29</v>
      </c>
      <c r="F308" s="1420">
        <f>ROUND($A308*$E308,2)</f>
        <v>1222.29</v>
      </c>
      <c r="G308" s="752" t="s">
        <v>142</v>
      </c>
      <c r="H308" s="753"/>
      <c r="I308" s="754"/>
      <c r="J308" s="753"/>
      <c r="K308" s="753" t="s">
        <v>16</v>
      </c>
      <c r="L308" s="755" t="s">
        <v>143</v>
      </c>
      <c r="M308" s="755"/>
      <c r="N308" s="755"/>
      <c r="O308" s="755"/>
      <c r="P308" s="755"/>
      <c r="Q308" s="51"/>
      <c r="T308" s="1424" t="str">
        <f>IF(AND($R316=0,$T316=0),"0.00","mu: "&amp; ROUND(F308/$C$9/($R316+$T316*$D$9),2))</f>
        <v>mu: 1.18</v>
      </c>
      <c r="W308" s="524"/>
      <c r="AG308" s="1421">
        <f>IF($E308=0,0,ROUND($R316*$S$9*$C$9/$A308,2))</f>
        <v>841.86</v>
      </c>
      <c r="AH308" s="1421">
        <f>$AG308*$A308</f>
        <v>841.86</v>
      </c>
      <c r="AI308" s="1422">
        <f>$E308-$AG308</f>
        <v>380.42999999999995</v>
      </c>
      <c r="AJ308" s="1422">
        <f>$A308*$AI308</f>
        <v>380.42999999999995</v>
      </c>
      <c r="AK308" s="1423">
        <f>ROUND(($AG308+$AI308)*$A308,2)</f>
        <v>1222.29</v>
      </c>
      <c r="AM308" s="527">
        <f>ROUND(R316,2)</f>
        <v>713.41</v>
      </c>
      <c r="AN308" s="528">
        <f>ROUND(T316,2)</f>
        <v>11.74</v>
      </c>
      <c r="AO308" s="529">
        <f>ROUND(AM308+AN308,2)*A308</f>
        <v>725.15</v>
      </c>
      <c r="AR308" s="747">
        <v>1</v>
      </c>
      <c r="AS308" s="751">
        <v>1319.54</v>
      </c>
    </row>
    <row r="309" spans="1:45" s="520" customFormat="1" ht="39.9" customHeight="1">
      <c r="A309" s="748"/>
      <c r="B309"/>
      <c r="C309" s="748"/>
      <c r="D309" s="1451" t="s">
        <v>1104</v>
      </c>
      <c r="E309" s="1452"/>
      <c r="F309" s="1452"/>
      <c r="G309" s="1452"/>
      <c r="H309" s="1452"/>
      <c r="I309" s="1452"/>
      <c r="J309" s="1452"/>
      <c r="K309" s="1452"/>
      <c r="L309" s="1452"/>
      <c r="M309" s="1452"/>
      <c r="N309" s="1452"/>
      <c r="O309" s="1452"/>
      <c r="P309" s="1452"/>
      <c r="Q309" s="1452"/>
      <c r="R309" s="1452"/>
      <c r="S309" s="1452"/>
      <c r="T309" s="1452"/>
      <c r="AR309" s="748"/>
    </row>
    <row r="310" spans="1:45" s="901" customFormat="1" ht="13.2">
      <c r="A310">
        <v>1</v>
      </c>
      <c r="B310" s="901" t="s">
        <v>141</v>
      </c>
      <c r="D310" s="901" t="s">
        <v>2800</v>
      </c>
      <c r="F310" s="1054" t="s">
        <v>2799</v>
      </c>
      <c r="G310" s="941" t="s">
        <v>2779</v>
      </c>
      <c r="H310" s="942">
        <v>510</v>
      </c>
      <c r="I310" s="901" t="s">
        <v>2607</v>
      </c>
      <c r="K310" s="901" t="s">
        <v>2744</v>
      </c>
      <c r="O310" s="943">
        <v>2</v>
      </c>
      <c r="P310" s="944"/>
      <c r="Q310" s="945">
        <v>679.9</v>
      </c>
      <c r="R310" s="946">
        <f t="shared" ref="R310:R315" si="52">$A310*Q310</f>
        <v>679.9</v>
      </c>
      <c r="S310" s="945">
        <f>2+(12*0.75)+2</f>
        <v>13</v>
      </c>
      <c r="T310" s="947">
        <f t="shared" ref="T310:T315" si="53">$A310*S310*$T$1</f>
        <v>11.700000000000001</v>
      </c>
      <c r="AR310">
        <v>1</v>
      </c>
      <c r="AS310" s="1054" t="s">
        <v>2799</v>
      </c>
    </row>
    <row r="311" spans="1:45" s="520" customFormat="1" ht="13.2">
      <c r="A311" s="116">
        <v>1</v>
      </c>
      <c r="B311" s="901" t="s">
        <v>141</v>
      </c>
      <c r="C311" s="901"/>
      <c r="D311" s="901" t="s">
        <v>2780</v>
      </c>
      <c r="E311" s="901"/>
      <c r="F311" s="901"/>
      <c r="G311" s="941" t="s">
        <v>2781</v>
      </c>
      <c r="H311" s="942">
        <v>875</v>
      </c>
      <c r="I311" s="901" t="s">
        <v>2607</v>
      </c>
      <c r="J311" s="901"/>
      <c r="K311" s="758"/>
      <c r="L311" s="901"/>
      <c r="M311" s="901"/>
      <c r="N311" s="901"/>
      <c r="O311" s="943">
        <v>3</v>
      </c>
      <c r="P311" s="944">
        <v>34820</v>
      </c>
      <c r="Q311" s="945">
        <v>7</v>
      </c>
      <c r="R311" s="946">
        <f t="shared" si="52"/>
        <v>7</v>
      </c>
      <c r="S311" s="945">
        <f>0.9 *(0.05)</f>
        <v>4.5000000000000005E-2</v>
      </c>
      <c r="T311" s="947">
        <f t="shared" si="53"/>
        <v>4.0500000000000008E-2</v>
      </c>
      <c r="AR311" s="116">
        <v>1</v>
      </c>
      <c r="AS311" s="901"/>
    </row>
    <row r="312" spans="1:45" s="520" customFormat="1" ht="13.2">
      <c r="A312" s="116">
        <v>1</v>
      </c>
      <c r="B312" s="901" t="s">
        <v>141</v>
      </c>
      <c r="C312" s="901"/>
      <c r="D312" s="901" t="s">
        <v>2782</v>
      </c>
      <c r="E312" s="901"/>
      <c r="F312" s="901"/>
      <c r="G312" s="941" t="s">
        <v>2783</v>
      </c>
      <c r="H312" s="942">
        <v>880</v>
      </c>
      <c r="I312" s="901" t="s">
        <v>2607</v>
      </c>
      <c r="J312" s="901"/>
      <c r="K312" s="758"/>
      <c r="L312" s="901"/>
      <c r="M312" s="901"/>
      <c r="N312" s="901"/>
      <c r="O312" s="943">
        <v>3</v>
      </c>
      <c r="P312" s="944">
        <v>35443</v>
      </c>
      <c r="Q312" s="945">
        <f>0.9 *(4.66)</f>
        <v>4.194</v>
      </c>
      <c r="R312" s="946">
        <f t="shared" si="52"/>
        <v>4.194</v>
      </c>
      <c r="S312" s="945"/>
      <c r="T312" s="947">
        <f t="shared" si="53"/>
        <v>0</v>
      </c>
      <c r="AR312" s="116">
        <v>1</v>
      </c>
      <c r="AS312" s="901"/>
    </row>
    <row r="313" spans="1:45" s="901" customFormat="1" ht="13.2">
      <c r="A313">
        <v>1</v>
      </c>
      <c r="B313" s="901" t="s">
        <v>141</v>
      </c>
      <c r="D313" s="901" t="s">
        <v>2758</v>
      </c>
      <c r="F313" s="901" t="s">
        <v>2784</v>
      </c>
      <c r="G313" s="941" t="s">
        <v>2760</v>
      </c>
      <c r="H313" s="942">
        <v>501</v>
      </c>
      <c r="I313" s="901" t="s">
        <v>2607</v>
      </c>
      <c r="K313" s="901" t="s">
        <v>2761</v>
      </c>
      <c r="O313" s="943">
        <v>1</v>
      </c>
      <c r="P313" s="944"/>
      <c r="Q313" s="945">
        <v>20</v>
      </c>
      <c r="R313" s="946">
        <f t="shared" si="52"/>
        <v>20</v>
      </c>
      <c r="S313" s="945"/>
      <c r="T313" s="947">
        <f t="shared" si="53"/>
        <v>0</v>
      </c>
      <c r="AR313">
        <v>1</v>
      </c>
      <c r="AS313" s="901" t="s">
        <v>2784</v>
      </c>
    </row>
    <row r="314" spans="1:45" s="901" customFormat="1" ht="13.2">
      <c r="A314" s="116">
        <v>4</v>
      </c>
      <c r="B314" s="901" t="s">
        <v>141</v>
      </c>
      <c r="D314" s="901" t="s">
        <v>2785</v>
      </c>
      <c r="G314" s="941" t="s">
        <v>2786</v>
      </c>
      <c r="H314" s="942">
        <v>875</v>
      </c>
      <c r="I314" s="901" t="s">
        <v>2607</v>
      </c>
      <c r="K314" s="901" t="s">
        <v>2787</v>
      </c>
      <c r="O314" s="943">
        <v>1</v>
      </c>
      <c r="P314" s="944">
        <v>34669</v>
      </c>
      <c r="Q314" s="945">
        <v>0.57999999999999996</v>
      </c>
      <c r="R314" s="946">
        <f t="shared" si="52"/>
        <v>2.3199999999999998</v>
      </c>
      <c r="S314" s="945"/>
      <c r="T314" s="947">
        <f t="shared" si="53"/>
        <v>0</v>
      </c>
      <c r="AR314" s="116">
        <v>4</v>
      </c>
    </row>
    <row r="315" spans="1:45" s="520" customFormat="1" ht="12">
      <c r="A315" s="758"/>
      <c r="B315" s="758"/>
      <c r="C315" s="758"/>
      <c r="D315" s="758"/>
      <c r="E315" s="758"/>
      <c r="F315" s="753"/>
      <c r="G315" s="758"/>
      <c r="H315" s="758"/>
      <c r="I315" s="519"/>
      <c r="J315" s="758"/>
      <c r="K315" s="758"/>
      <c r="L315" s="758"/>
      <c r="M315" s="758"/>
      <c r="N315" s="758"/>
      <c r="O315" s="758"/>
      <c r="P315" s="758"/>
      <c r="Q315" s="519"/>
      <c r="R315" s="759">
        <f t="shared" si="52"/>
        <v>0</v>
      </c>
      <c r="S315" s="519"/>
      <c r="T315" s="760">
        <f t="shared" si="53"/>
        <v>0</v>
      </c>
      <c r="AR315" s="758"/>
      <c r="AS315" s="753"/>
    </row>
    <row r="316" spans="1:45" s="520" customFormat="1" ht="12.6" thickBot="1">
      <c r="A316" s="761" t="s">
        <v>145</v>
      </c>
      <c r="B316" s="762">
        <f>(R315+T315)</f>
        <v>0</v>
      </c>
      <c r="C316" s="763"/>
      <c r="D316" s="763"/>
      <c r="E316" s="763"/>
      <c r="F316" s="764"/>
      <c r="G316" s="763" t="s">
        <v>146</v>
      </c>
      <c r="H316" s="763"/>
      <c r="I316" s="765"/>
      <c r="J316" s="763"/>
      <c r="K316" s="763" t="s">
        <v>16</v>
      </c>
      <c r="L316" s="766" t="s">
        <v>143</v>
      </c>
      <c r="M316" s="766"/>
      <c r="N316" s="766"/>
      <c r="O316" s="766"/>
      <c r="P316" s="766"/>
      <c r="Q316" s="767"/>
      <c r="R316" s="768">
        <f>SUM(R309:R315)</f>
        <v>713.41399999999999</v>
      </c>
      <c r="S316" s="763"/>
      <c r="T316" s="768">
        <f>SUM(T309:T315)</f>
        <v>11.740500000000001</v>
      </c>
      <c r="U316" s="531"/>
      <c r="V316" s="531"/>
      <c r="W316" s="531"/>
      <c r="X316" s="531"/>
      <c r="Y316" s="531"/>
      <c r="Z316" s="531"/>
      <c r="AA316" s="531"/>
      <c r="AB316" s="531"/>
      <c r="AC316" s="531"/>
      <c r="AD316" s="531"/>
      <c r="AE316" s="531"/>
      <c r="AF316" s="531"/>
      <c r="AG316" s="531"/>
      <c r="AH316" s="531"/>
      <c r="AI316" s="531"/>
      <c r="AJ316" s="531"/>
      <c r="AK316" s="531"/>
      <c r="AL316" s="531"/>
      <c r="AM316" s="531"/>
      <c r="AN316" s="531"/>
      <c r="AO316" s="531"/>
      <c r="AR316" s="761" t="s">
        <v>145</v>
      </c>
      <c r="AS316" s="764"/>
    </row>
    <row r="317" spans="1:45" s="520" customFormat="1" ht="12" thickTop="1">
      <c r="A317" s="51"/>
      <c r="B317" s="41"/>
      <c r="C317" s="51"/>
      <c r="E317" s="42" t="s">
        <v>138</v>
      </c>
      <c r="F317" s="42" t="s">
        <v>139</v>
      </c>
      <c r="G317" s="51"/>
      <c r="H317" s="51"/>
      <c r="I317" s="51"/>
      <c r="J317" s="51"/>
      <c r="K317" s="51" t="s">
        <v>140</v>
      </c>
      <c r="L317" s="51"/>
      <c r="M317" s="51"/>
      <c r="N317" s="51"/>
      <c r="O317" s="52"/>
      <c r="P317" s="51"/>
      <c r="Q317" s="51"/>
      <c r="R317" s="51"/>
      <c r="S317" s="51"/>
      <c r="T317" s="41"/>
      <c r="AG317" s="521" t="s">
        <v>268</v>
      </c>
      <c r="AH317" s="521" t="s">
        <v>269</v>
      </c>
      <c r="AI317" s="521" t="s">
        <v>270</v>
      </c>
      <c r="AJ317" s="521" t="s">
        <v>271</v>
      </c>
      <c r="AK317" s="521" t="s">
        <v>272</v>
      </c>
      <c r="AM317" s="745" t="s">
        <v>281</v>
      </c>
      <c r="AN317" s="746" t="s">
        <v>282</v>
      </c>
      <c r="AO317" s="522" t="s">
        <v>278</v>
      </c>
      <c r="AR317" s="51"/>
      <c r="AS317" s="42" t="s">
        <v>139</v>
      </c>
    </row>
    <row r="318" spans="1:45" s="520" customFormat="1" ht="12" customHeight="1">
      <c r="A318" s="747">
        <v>1</v>
      </c>
      <c r="B318" s="523" t="s">
        <v>141</v>
      </c>
      <c r="C318" s="748"/>
      <c r="D318" s="749" t="s">
        <v>1105</v>
      </c>
      <c r="E318" s="1419">
        <f>IF(AND($A318=0,$A$1="DIF"),0, ROUND(ROUND(($R326*$S$9+($T326*$T$9))/$A318,2)*$C$9,2))</f>
        <v>3747.81</v>
      </c>
      <c r="F318" s="1420">
        <f>ROUND($A318*$E318,2)</f>
        <v>3747.81</v>
      </c>
      <c r="G318" s="752" t="s">
        <v>142</v>
      </c>
      <c r="H318" s="753"/>
      <c r="I318" s="754"/>
      <c r="J318" s="753"/>
      <c r="K318" s="753" t="s">
        <v>16</v>
      </c>
      <c r="L318" s="755" t="s">
        <v>143</v>
      </c>
      <c r="M318" s="755"/>
      <c r="N318" s="755"/>
      <c r="O318" s="755"/>
      <c r="P318" s="755"/>
      <c r="Q318" s="51"/>
      <c r="T318" s="1424" t="str">
        <f>IF(AND($R326=0,$T326=0),"0.00","mu: "&amp; ROUND(F318/$C$9/($R326+$T326*$D$9),2))</f>
        <v>mu: 1.18</v>
      </c>
      <c r="W318" s="524"/>
      <c r="AG318" s="1421">
        <f>IF($E318=0,0,ROUND($R326*$S$9*$C$9/$A318,2))</f>
        <v>2959.08</v>
      </c>
      <c r="AH318" s="1421">
        <f>$AG318*$A318</f>
        <v>2959.08</v>
      </c>
      <c r="AI318" s="1422">
        <f>$E318-$AG318</f>
        <v>788.73</v>
      </c>
      <c r="AJ318" s="1422">
        <f>$A318*$AI318</f>
        <v>788.73</v>
      </c>
      <c r="AK318" s="1423">
        <f>ROUND(($AG318+$AI318)*$A318,2)</f>
        <v>3747.81</v>
      </c>
      <c r="AM318" s="527">
        <f>ROUND(R326,2)</f>
        <v>2507.61</v>
      </c>
      <c r="AN318" s="528">
        <f>ROUND(T326,2)</f>
        <v>24.34</v>
      </c>
      <c r="AO318" s="529">
        <f>ROUND(AM318+AN318,2)*A318</f>
        <v>2531.9499999999998</v>
      </c>
      <c r="AR318" s="747">
        <v>1</v>
      </c>
      <c r="AS318" s="751">
        <v>4002.2</v>
      </c>
    </row>
    <row r="319" spans="1:45" s="520" customFormat="1" ht="39.9" customHeight="1">
      <c r="A319" s="748"/>
      <c r="B319"/>
      <c r="C319" s="748"/>
      <c r="D319" s="1451" t="s">
        <v>1106</v>
      </c>
      <c r="E319" s="1452"/>
      <c r="F319" s="1452"/>
      <c r="G319" s="1452"/>
      <c r="H319" s="1452"/>
      <c r="I319" s="1452"/>
      <c r="J319" s="1452"/>
      <c r="K319" s="1452"/>
      <c r="L319" s="1452"/>
      <c r="M319" s="1452"/>
      <c r="N319" s="1452"/>
      <c r="O319" s="1452"/>
      <c r="P319" s="1452"/>
      <c r="Q319" s="1452"/>
      <c r="R319" s="1452"/>
      <c r="S319" s="1452"/>
      <c r="T319" s="1452"/>
      <c r="AR319" s="748"/>
    </row>
    <row r="320" spans="1:45" s="901" customFormat="1" ht="13.2">
      <c r="A320">
        <v>1</v>
      </c>
      <c r="B320" s="901" t="s">
        <v>141</v>
      </c>
      <c r="D320" s="901" t="s">
        <v>2801</v>
      </c>
      <c r="F320" s="1054" t="s">
        <v>2802</v>
      </c>
      <c r="G320" s="941" t="s">
        <v>2779</v>
      </c>
      <c r="H320" s="942">
        <v>510</v>
      </c>
      <c r="I320" s="901" t="s">
        <v>2607</v>
      </c>
      <c r="K320" s="901" t="s">
        <v>2744</v>
      </c>
      <c r="O320" s="943">
        <v>2</v>
      </c>
      <c r="P320" s="944"/>
      <c r="Q320" s="945">
        <v>2454.1</v>
      </c>
      <c r="R320" s="946">
        <f t="shared" ref="R320:R325" si="54">$A320*Q320</f>
        <v>2454.1</v>
      </c>
      <c r="S320" s="1193">
        <f>2+2+((18+10)*0.75)+2</f>
        <v>27</v>
      </c>
      <c r="T320" s="947">
        <f t="shared" ref="T320:T325" si="55">$A320*S320*$T$1</f>
        <v>24.3</v>
      </c>
      <c r="AR320">
        <v>1</v>
      </c>
      <c r="AS320" s="1054" t="s">
        <v>2802</v>
      </c>
    </row>
    <row r="321" spans="1:45" s="520" customFormat="1" ht="13.2">
      <c r="A321" s="116">
        <v>1</v>
      </c>
      <c r="B321" s="901" t="s">
        <v>141</v>
      </c>
      <c r="C321" s="901"/>
      <c r="D321" s="901" t="s">
        <v>2780</v>
      </c>
      <c r="E321" s="901"/>
      <c r="F321" s="901"/>
      <c r="G321" s="941" t="s">
        <v>2781</v>
      </c>
      <c r="H321" s="942">
        <v>875</v>
      </c>
      <c r="I321" s="901" t="s">
        <v>2607</v>
      </c>
      <c r="J321" s="901"/>
      <c r="K321" s="758"/>
      <c r="L321" s="901"/>
      <c r="M321" s="901"/>
      <c r="N321" s="901"/>
      <c r="O321" s="943">
        <v>3</v>
      </c>
      <c r="P321" s="944">
        <v>34820</v>
      </c>
      <c r="Q321" s="945">
        <v>7</v>
      </c>
      <c r="R321" s="946">
        <f t="shared" si="54"/>
        <v>7</v>
      </c>
      <c r="S321" s="945">
        <f>0.9 *(0.05)</f>
        <v>4.5000000000000005E-2</v>
      </c>
      <c r="T321" s="947">
        <f t="shared" si="55"/>
        <v>4.0500000000000008E-2</v>
      </c>
      <c r="AR321" s="116">
        <v>1</v>
      </c>
      <c r="AS321" s="901"/>
    </row>
    <row r="322" spans="1:45" s="520" customFormat="1" ht="13.2">
      <c r="A322" s="116">
        <v>1</v>
      </c>
      <c r="B322" s="901" t="s">
        <v>141</v>
      </c>
      <c r="C322" s="901"/>
      <c r="D322" s="901" t="s">
        <v>2782</v>
      </c>
      <c r="E322" s="901"/>
      <c r="F322" s="901"/>
      <c r="G322" s="941" t="s">
        <v>2783</v>
      </c>
      <c r="H322" s="942">
        <v>880</v>
      </c>
      <c r="I322" s="901" t="s">
        <v>2607</v>
      </c>
      <c r="J322" s="901"/>
      <c r="K322" s="758"/>
      <c r="L322" s="901"/>
      <c r="M322" s="901"/>
      <c r="N322" s="901"/>
      <c r="O322" s="943">
        <v>3</v>
      </c>
      <c r="P322" s="944">
        <v>35443</v>
      </c>
      <c r="Q322" s="945">
        <f>0.9 *(4.66)</f>
        <v>4.194</v>
      </c>
      <c r="R322" s="946">
        <f t="shared" si="54"/>
        <v>4.194</v>
      </c>
      <c r="S322" s="945"/>
      <c r="T322" s="947">
        <f t="shared" si="55"/>
        <v>0</v>
      </c>
      <c r="AR322" s="116">
        <v>1</v>
      </c>
      <c r="AS322" s="901"/>
    </row>
    <row r="323" spans="1:45" s="901" customFormat="1" ht="13.2">
      <c r="A323">
        <v>1</v>
      </c>
      <c r="B323" s="901" t="s">
        <v>141</v>
      </c>
      <c r="D323" s="901" t="s">
        <v>2758</v>
      </c>
      <c r="F323" s="901" t="s">
        <v>2784</v>
      </c>
      <c r="G323" s="941" t="s">
        <v>2760</v>
      </c>
      <c r="H323" s="942">
        <v>501</v>
      </c>
      <c r="I323" s="901" t="s">
        <v>2607</v>
      </c>
      <c r="K323" s="901" t="s">
        <v>2761</v>
      </c>
      <c r="O323" s="943">
        <v>1</v>
      </c>
      <c r="P323" s="944"/>
      <c r="Q323" s="945">
        <v>40</v>
      </c>
      <c r="R323" s="946">
        <f t="shared" si="54"/>
        <v>40</v>
      </c>
      <c r="S323" s="945"/>
      <c r="T323" s="947">
        <f t="shared" si="55"/>
        <v>0</v>
      </c>
      <c r="AR323">
        <v>1</v>
      </c>
      <c r="AS323" s="901" t="s">
        <v>2784</v>
      </c>
    </row>
    <row r="324" spans="1:45" s="901" customFormat="1" ht="13.2">
      <c r="A324" s="116">
        <v>4</v>
      </c>
      <c r="B324" s="901" t="s">
        <v>141</v>
      </c>
      <c r="D324" s="901" t="s">
        <v>2785</v>
      </c>
      <c r="G324" s="941" t="s">
        <v>2786</v>
      </c>
      <c r="H324" s="942">
        <v>875</v>
      </c>
      <c r="I324" s="901" t="s">
        <v>2607</v>
      </c>
      <c r="K324" s="901" t="s">
        <v>2787</v>
      </c>
      <c r="O324" s="943">
        <v>1</v>
      </c>
      <c r="P324" s="944">
        <v>34669</v>
      </c>
      <c r="Q324" s="945">
        <v>0.57999999999999996</v>
      </c>
      <c r="R324" s="946">
        <f t="shared" si="54"/>
        <v>2.3199999999999998</v>
      </c>
      <c r="S324" s="945"/>
      <c r="T324" s="947">
        <f t="shared" si="55"/>
        <v>0</v>
      </c>
      <c r="AR324" s="116">
        <v>4</v>
      </c>
    </row>
    <row r="325" spans="1:45" s="520" customFormat="1" ht="12">
      <c r="A325" s="758"/>
      <c r="B325" s="758"/>
      <c r="C325" s="758"/>
      <c r="D325" s="758"/>
      <c r="E325" s="758"/>
      <c r="F325" s="753"/>
      <c r="G325" s="758"/>
      <c r="H325" s="758"/>
      <c r="I325" s="519"/>
      <c r="J325" s="758"/>
      <c r="K325" s="758"/>
      <c r="L325" s="758"/>
      <c r="M325" s="758"/>
      <c r="N325" s="758"/>
      <c r="O325" s="758"/>
      <c r="P325" s="758"/>
      <c r="Q325" s="519"/>
      <c r="R325" s="759">
        <f t="shared" si="54"/>
        <v>0</v>
      </c>
      <c r="S325" s="519"/>
      <c r="T325" s="760">
        <f t="shared" si="55"/>
        <v>0</v>
      </c>
      <c r="AR325" s="758"/>
      <c r="AS325" s="753"/>
    </row>
    <row r="326" spans="1:45" s="520" customFormat="1" ht="12.6" thickBot="1">
      <c r="A326" s="761" t="s">
        <v>145</v>
      </c>
      <c r="B326" s="762">
        <f>(R325+T325)</f>
        <v>0</v>
      </c>
      <c r="C326" s="763"/>
      <c r="D326" s="763"/>
      <c r="E326" s="763"/>
      <c r="F326" s="764"/>
      <c r="G326" s="763" t="s">
        <v>146</v>
      </c>
      <c r="H326" s="763"/>
      <c r="I326" s="765"/>
      <c r="J326" s="763"/>
      <c r="K326" s="763" t="s">
        <v>16</v>
      </c>
      <c r="L326" s="766" t="s">
        <v>143</v>
      </c>
      <c r="M326" s="766"/>
      <c r="N326" s="766"/>
      <c r="O326" s="766"/>
      <c r="P326" s="766"/>
      <c r="Q326" s="767"/>
      <c r="R326" s="768">
        <f>SUM(R319:R325)</f>
        <v>2507.614</v>
      </c>
      <c r="S326" s="763"/>
      <c r="T326" s="768">
        <f>SUM(T319:T325)</f>
        <v>24.340500000000002</v>
      </c>
      <c r="U326" s="531"/>
      <c r="V326" s="531"/>
      <c r="W326" s="531"/>
      <c r="X326" s="531"/>
      <c r="Y326" s="531"/>
      <c r="Z326" s="531"/>
      <c r="AA326" s="531"/>
      <c r="AB326" s="531"/>
      <c r="AC326" s="531"/>
      <c r="AD326" s="531"/>
      <c r="AE326" s="531"/>
      <c r="AF326" s="531"/>
      <c r="AG326" s="531"/>
      <c r="AH326" s="531"/>
      <c r="AI326" s="531"/>
      <c r="AJ326" s="531"/>
      <c r="AK326" s="531"/>
      <c r="AL326" s="531"/>
      <c r="AM326" s="531"/>
      <c r="AN326" s="531"/>
      <c r="AO326" s="531"/>
      <c r="AR326" s="761" t="s">
        <v>145</v>
      </c>
      <c r="AS326" s="764"/>
    </row>
    <row r="327" spans="1:45" s="520" customFormat="1" ht="12" thickTop="1">
      <c r="A327" s="51"/>
      <c r="B327" s="41"/>
      <c r="C327" s="51"/>
      <c r="E327" s="42" t="s">
        <v>138</v>
      </c>
      <c r="F327" s="42" t="s">
        <v>139</v>
      </c>
      <c r="G327" s="51"/>
      <c r="H327" s="51"/>
      <c r="I327" s="51"/>
      <c r="J327" s="51"/>
      <c r="K327" s="51" t="s">
        <v>140</v>
      </c>
      <c r="L327" s="51"/>
      <c r="M327" s="51"/>
      <c r="N327" s="51"/>
      <c r="O327" s="52"/>
      <c r="P327" s="51"/>
      <c r="Q327" s="51"/>
      <c r="R327" s="51"/>
      <c r="S327" s="51"/>
      <c r="T327" s="41"/>
      <c r="AG327" s="521" t="s">
        <v>268</v>
      </c>
      <c r="AH327" s="521" t="s">
        <v>269</v>
      </c>
      <c r="AI327" s="521" t="s">
        <v>270</v>
      </c>
      <c r="AJ327" s="521" t="s">
        <v>271</v>
      </c>
      <c r="AK327" s="521" t="s">
        <v>272</v>
      </c>
      <c r="AM327" s="745" t="s">
        <v>281</v>
      </c>
      <c r="AN327" s="746" t="s">
        <v>282</v>
      </c>
      <c r="AO327" s="522" t="s">
        <v>278</v>
      </c>
      <c r="AR327" s="51"/>
      <c r="AS327" s="42" t="s">
        <v>139</v>
      </c>
    </row>
    <row r="328" spans="1:45" s="520" customFormat="1" ht="12" customHeight="1">
      <c r="A328" s="747">
        <v>1</v>
      </c>
      <c r="B328" s="523" t="s">
        <v>141</v>
      </c>
      <c r="C328" s="748"/>
      <c r="D328" s="749" t="s">
        <v>1107</v>
      </c>
      <c r="E328" s="1419">
        <f>IF(AND($A328=0,$A$1="DIF"),0, ROUND(ROUND(($R336*$S$9+($T336*$T$9))/$A328,2)*$C$9,2))</f>
        <v>4950.9399999999996</v>
      </c>
      <c r="F328" s="1420">
        <f>ROUND($A328*$E328,2)</f>
        <v>4950.9399999999996</v>
      </c>
      <c r="G328" s="752" t="s">
        <v>142</v>
      </c>
      <c r="H328" s="753"/>
      <c r="I328" s="754"/>
      <c r="J328" s="753"/>
      <c r="K328" s="753" t="s">
        <v>16</v>
      </c>
      <c r="L328" s="755" t="s">
        <v>143</v>
      </c>
      <c r="M328" s="755"/>
      <c r="N328" s="755"/>
      <c r="O328" s="755"/>
      <c r="P328" s="755"/>
      <c r="Q328" s="51"/>
      <c r="T328" s="1424" t="str">
        <f>IF(AND($R336=0,$T336=0),"0.00","mu: "&amp; ROUND(F328/$C$9/($R336+$T336*$D$9),2))</f>
        <v>mu: 1.18</v>
      </c>
      <c r="W328" s="524"/>
      <c r="AG328" s="1421">
        <f>IF($E328=0,0,ROUND($R336*$S$9*$C$9/$A328,2))</f>
        <v>4096.6000000000004</v>
      </c>
      <c r="AH328" s="1421">
        <f>$AG328*$A328</f>
        <v>4096.6000000000004</v>
      </c>
      <c r="AI328" s="1422">
        <f>$E328-$AG328</f>
        <v>854.33999999999924</v>
      </c>
      <c r="AJ328" s="1422">
        <f>$A328*$AI328</f>
        <v>854.33999999999924</v>
      </c>
      <c r="AK328" s="1423">
        <f>ROUND(($AG328+$AI328)*$A328,2)</f>
        <v>4950.9399999999996</v>
      </c>
      <c r="AM328" s="527">
        <f>ROUND(R336,2)</f>
        <v>3471.58</v>
      </c>
      <c r="AN328" s="528">
        <f>ROUND(T336,2)</f>
        <v>26.37</v>
      </c>
      <c r="AO328" s="529">
        <f>ROUND(AM328+AN328,2)*A328</f>
        <v>3497.95</v>
      </c>
      <c r="AR328" s="747">
        <v>1</v>
      </c>
      <c r="AS328" s="751">
        <v>5265.26</v>
      </c>
    </row>
    <row r="329" spans="1:45" s="520" customFormat="1" ht="39.9" customHeight="1">
      <c r="A329" s="748"/>
      <c r="B329"/>
      <c r="C329" s="748"/>
      <c r="D329" s="1451" t="s">
        <v>1108</v>
      </c>
      <c r="E329" s="1452"/>
      <c r="F329" s="1452"/>
      <c r="G329" s="1452"/>
      <c r="H329" s="1452"/>
      <c r="I329" s="1452"/>
      <c r="J329" s="1452"/>
      <c r="K329" s="1452"/>
      <c r="L329" s="1452"/>
      <c r="M329" s="1452"/>
      <c r="N329" s="1452"/>
      <c r="O329" s="1452"/>
      <c r="P329" s="1452"/>
      <c r="Q329" s="1452"/>
      <c r="R329" s="1452"/>
      <c r="S329" s="1452"/>
      <c r="T329" s="1452"/>
      <c r="AR329" s="748"/>
    </row>
    <row r="330" spans="1:45" s="901" customFormat="1" ht="13.2">
      <c r="A330">
        <v>1</v>
      </c>
      <c r="B330" s="901" t="s">
        <v>141</v>
      </c>
      <c r="D330" s="901" t="s">
        <v>2792</v>
      </c>
      <c r="F330" s="1054" t="s">
        <v>2803</v>
      </c>
      <c r="G330" s="941" t="s">
        <v>2779</v>
      </c>
      <c r="H330" s="942">
        <v>510</v>
      </c>
      <c r="I330" s="901" t="s">
        <v>2607</v>
      </c>
      <c r="K330" s="901" t="s">
        <v>2744</v>
      </c>
      <c r="O330" s="943">
        <v>2</v>
      </c>
      <c r="P330" s="944"/>
      <c r="Q330" s="945">
        <v>3408.07</v>
      </c>
      <c r="R330" s="946">
        <f t="shared" ref="R330:R335" si="56">$A330*Q330</f>
        <v>3408.07</v>
      </c>
      <c r="S330" s="1193">
        <f>2+2+((18+13)*0.75)+2</f>
        <v>29.25</v>
      </c>
      <c r="T330" s="947">
        <f t="shared" ref="T330:T335" si="57">$A330*S330*$T$1</f>
        <v>26.324999999999999</v>
      </c>
      <c r="AR330">
        <v>1</v>
      </c>
      <c r="AS330" s="1054" t="s">
        <v>2803</v>
      </c>
    </row>
    <row r="331" spans="1:45" s="520" customFormat="1" ht="13.2">
      <c r="A331" s="116">
        <v>1</v>
      </c>
      <c r="B331" s="901" t="s">
        <v>141</v>
      </c>
      <c r="C331" s="901"/>
      <c r="D331" s="901" t="s">
        <v>2780</v>
      </c>
      <c r="E331" s="901"/>
      <c r="F331" s="901"/>
      <c r="G331" s="941" t="s">
        <v>2781</v>
      </c>
      <c r="H331" s="942">
        <v>875</v>
      </c>
      <c r="I331" s="901" t="s">
        <v>2607</v>
      </c>
      <c r="J331" s="901"/>
      <c r="K331" s="758"/>
      <c r="L331" s="901"/>
      <c r="M331" s="901"/>
      <c r="N331" s="901"/>
      <c r="O331" s="943">
        <v>3</v>
      </c>
      <c r="P331" s="944">
        <v>34820</v>
      </c>
      <c r="Q331" s="945">
        <v>7</v>
      </c>
      <c r="R331" s="946">
        <f t="shared" si="56"/>
        <v>7</v>
      </c>
      <c r="S331" s="945">
        <f>0.9 *(0.05)</f>
        <v>4.5000000000000005E-2</v>
      </c>
      <c r="T331" s="947">
        <f t="shared" si="57"/>
        <v>4.0500000000000008E-2</v>
      </c>
      <c r="AR331" s="116">
        <v>1</v>
      </c>
      <c r="AS331" s="901"/>
    </row>
    <row r="332" spans="1:45" s="520" customFormat="1" ht="13.2">
      <c r="A332" s="116">
        <v>1</v>
      </c>
      <c r="B332" s="901" t="s">
        <v>141</v>
      </c>
      <c r="C332" s="901"/>
      <c r="D332" s="901" t="s">
        <v>2782</v>
      </c>
      <c r="E332" s="901"/>
      <c r="F332" s="901"/>
      <c r="G332" s="941" t="s">
        <v>2783</v>
      </c>
      <c r="H332" s="942">
        <v>880</v>
      </c>
      <c r="I332" s="901" t="s">
        <v>2607</v>
      </c>
      <c r="J332" s="901"/>
      <c r="K332" s="758"/>
      <c r="L332" s="901"/>
      <c r="M332" s="901"/>
      <c r="N332" s="901"/>
      <c r="O332" s="943">
        <v>3</v>
      </c>
      <c r="P332" s="944">
        <v>35443</v>
      </c>
      <c r="Q332" s="945">
        <f>0.9 *(4.66)</f>
        <v>4.194</v>
      </c>
      <c r="R332" s="946">
        <f t="shared" si="56"/>
        <v>4.194</v>
      </c>
      <c r="S332" s="945"/>
      <c r="T332" s="947">
        <f t="shared" si="57"/>
        <v>0</v>
      </c>
      <c r="AR332" s="116">
        <v>1</v>
      </c>
      <c r="AS332" s="901"/>
    </row>
    <row r="333" spans="1:45" s="901" customFormat="1" ht="13.2">
      <c r="A333">
        <v>1</v>
      </c>
      <c r="B333" s="901" t="s">
        <v>141</v>
      </c>
      <c r="D333" s="901" t="s">
        <v>2758</v>
      </c>
      <c r="F333" s="901" t="s">
        <v>2784</v>
      </c>
      <c r="G333" s="941" t="s">
        <v>2760</v>
      </c>
      <c r="H333" s="942">
        <v>501</v>
      </c>
      <c r="I333" s="901" t="s">
        <v>2607</v>
      </c>
      <c r="K333" s="901" t="s">
        <v>2761</v>
      </c>
      <c r="O333" s="943">
        <v>1</v>
      </c>
      <c r="P333" s="944"/>
      <c r="Q333" s="945">
        <v>50</v>
      </c>
      <c r="R333" s="946">
        <f t="shared" si="56"/>
        <v>50</v>
      </c>
      <c r="S333" s="945"/>
      <c r="T333" s="947">
        <f t="shared" si="57"/>
        <v>0</v>
      </c>
      <c r="AR333">
        <v>1</v>
      </c>
      <c r="AS333" s="901" t="s">
        <v>2784</v>
      </c>
    </row>
    <row r="334" spans="1:45" s="901" customFormat="1" ht="13.2">
      <c r="A334" s="116">
        <v>4</v>
      </c>
      <c r="B334" s="901" t="s">
        <v>141</v>
      </c>
      <c r="D334" s="901" t="s">
        <v>2785</v>
      </c>
      <c r="G334" s="941" t="s">
        <v>2786</v>
      </c>
      <c r="H334" s="942">
        <v>875</v>
      </c>
      <c r="I334" s="901" t="s">
        <v>2607</v>
      </c>
      <c r="K334" s="901" t="s">
        <v>2787</v>
      </c>
      <c r="O334" s="943">
        <v>1</v>
      </c>
      <c r="P334" s="944">
        <v>34669</v>
      </c>
      <c r="Q334" s="945">
        <v>0.57999999999999996</v>
      </c>
      <c r="R334" s="946">
        <f t="shared" si="56"/>
        <v>2.3199999999999998</v>
      </c>
      <c r="S334" s="945"/>
      <c r="T334" s="947">
        <f t="shared" si="57"/>
        <v>0</v>
      </c>
      <c r="AR334" s="116">
        <v>4</v>
      </c>
    </row>
    <row r="335" spans="1:45" s="520" customFormat="1" ht="12">
      <c r="A335" s="758"/>
      <c r="B335" s="758"/>
      <c r="C335" s="758"/>
      <c r="D335" s="758"/>
      <c r="E335" s="758"/>
      <c r="F335" s="753"/>
      <c r="G335" s="758"/>
      <c r="H335" s="758"/>
      <c r="I335" s="519"/>
      <c r="J335" s="758"/>
      <c r="K335" s="758"/>
      <c r="L335" s="758"/>
      <c r="M335" s="758"/>
      <c r="N335" s="758"/>
      <c r="O335" s="758"/>
      <c r="P335" s="758"/>
      <c r="Q335" s="519"/>
      <c r="R335" s="759">
        <f t="shared" si="56"/>
        <v>0</v>
      </c>
      <c r="S335" s="519"/>
      <c r="T335" s="760">
        <f t="shared" si="57"/>
        <v>0</v>
      </c>
      <c r="AR335" s="758"/>
      <c r="AS335" s="753"/>
    </row>
    <row r="336" spans="1:45" s="520" customFormat="1" ht="12.6" thickBot="1">
      <c r="A336" s="761" t="s">
        <v>145</v>
      </c>
      <c r="B336" s="762">
        <f>(R335+T335)</f>
        <v>0</v>
      </c>
      <c r="C336" s="763"/>
      <c r="D336" s="763"/>
      <c r="E336" s="763"/>
      <c r="F336" s="764"/>
      <c r="G336" s="763" t="s">
        <v>146</v>
      </c>
      <c r="H336" s="763"/>
      <c r="I336" s="765"/>
      <c r="J336" s="763"/>
      <c r="K336" s="763" t="s">
        <v>16</v>
      </c>
      <c r="L336" s="766" t="s">
        <v>143</v>
      </c>
      <c r="M336" s="766"/>
      <c r="N336" s="766"/>
      <c r="O336" s="766"/>
      <c r="P336" s="766"/>
      <c r="Q336" s="767"/>
      <c r="R336" s="768">
        <f>SUM(R329:R335)</f>
        <v>3471.5840000000003</v>
      </c>
      <c r="S336" s="763"/>
      <c r="T336" s="768">
        <f>SUM(T329:T335)</f>
        <v>26.365500000000001</v>
      </c>
      <c r="U336" s="531"/>
      <c r="V336" s="531"/>
      <c r="W336" s="531"/>
      <c r="X336" s="531"/>
      <c r="Y336" s="531"/>
      <c r="Z336" s="531"/>
      <c r="AA336" s="531"/>
      <c r="AB336" s="531"/>
      <c r="AC336" s="531"/>
      <c r="AD336" s="531"/>
      <c r="AE336" s="531"/>
      <c r="AF336" s="531"/>
      <c r="AG336" s="531"/>
      <c r="AH336" s="531"/>
      <c r="AI336" s="531"/>
      <c r="AJ336" s="531"/>
      <c r="AK336" s="531"/>
      <c r="AL336" s="531"/>
      <c r="AM336" s="531"/>
      <c r="AN336" s="531"/>
      <c r="AO336" s="531"/>
      <c r="AR336" s="761" t="s">
        <v>145</v>
      </c>
      <c r="AS336" s="764"/>
    </row>
    <row r="337" spans="1:45" s="520" customFormat="1" ht="12" thickTop="1">
      <c r="A337" s="51"/>
      <c r="B337" s="41"/>
      <c r="C337" s="51"/>
      <c r="E337" s="42" t="s">
        <v>138</v>
      </c>
      <c r="F337" s="42" t="s">
        <v>139</v>
      </c>
      <c r="G337" s="51"/>
      <c r="H337" s="51"/>
      <c r="I337" s="51"/>
      <c r="J337" s="51"/>
      <c r="K337" s="51" t="s">
        <v>140</v>
      </c>
      <c r="L337" s="51"/>
      <c r="M337" s="51"/>
      <c r="N337" s="51"/>
      <c r="O337" s="52"/>
      <c r="P337" s="51"/>
      <c r="Q337" s="51"/>
      <c r="R337" s="51"/>
      <c r="S337" s="51"/>
      <c r="T337" s="41"/>
      <c r="AG337" s="521" t="s">
        <v>268</v>
      </c>
      <c r="AH337" s="521" t="s">
        <v>269</v>
      </c>
      <c r="AI337" s="521" t="s">
        <v>270</v>
      </c>
      <c r="AJ337" s="521" t="s">
        <v>271</v>
      </c>
      <c r="AK337" s="521" t="s">
        <v>272</v>
      </c>
      <c r="AM337" s="745" t="s">
        <v>281</v>
      </c>
      <c r="AN337" s="746" t="s">
        <v>282</v>
      </c>
      <c r="AO337" s="522" t="s">
        <v>278</v>
      </c>
      <c r="AR337" s="51"/>
      <c r="AS337" s="42" t="s">
        <v>139</v>
      </c>
    </row>
    <row r="338" spans="1:45" s="520" customFormat="1" ht="12" customHeight="1">
      <c r="A338" s="747">
        <v>1</v>
      </c>
      <c r="B338" s="523" t="s">
        <v>141</v>
      </c>
      <c r="C338" s="748"/>
      <c r="D338" s="749" t="s">
        <v>1109</v>
      </c>
      <c r="E338" s="1419">
        <f>IF(AND($A338=0,$A$1="DIF"),0, ROUND(ROUND(($R346*$S$9+($T346*$T$9))/$A338,2)*$C$9,2))</f>
        <v>4855.05</v>
      </c>
      <c r="F338" s="1420">
        <f>ROUND($A338*$E338,2)</f>
        <v>4855.05</v>
      </c>
      <c r="G338" s="752" t="s">
        <v>142</v>
      </c>
      <c r="H338" s="753"/>
      <c r="I338" s="754"/>
      <c r="J338" s="753"/>
      <c r="K338" s="753" t="s">
        <v>16</v>
      </c>
      <c r="L338" s="755" t="s">
        <v>143</v>
      </c>
      <c r="M338" s="755"/>
      <c r="N338" s="755"/>
      <c r="O338" s="755"/>
      <c r="P338" s="755"/>
      <c r="Q338" s="51"/>
      <c r="T338" s="1424" t="str">
        <f>IF(AND($R346=0,$T346=0),"0.00","mu: "&amp; ROUND(F338/$C$9/($R346+$T346*$D$9),2))</f>
        <v>mu: 1.18</v>
      </c>
      <c r="W338" s="524"/>
      <c r="AG338" s="1421">
        <f>IF($E338=0,0,ROUND($R346*$S$9*$C$9/$A338,2))</f>
        <v>4044.46</v>
      </c>
      <c r="AH338" s="1421">
        <f>$AG338*$A338</f>
        <v>4044.46</v>
      </c>
      <c r="AI338" s="1422">
        <f>$E338-$AG338</f>
        <v>810.59000000000015</v>
      </c>
      <c r="AJ338" s="1422">
        <f>$A338*$AI338</f>
        <v>810.59000000000015</v>
      </c>
      <c r="AK338" s="1423">
        <f>ROUND(($AG338+$AI338)*$A338,2)</f>
        <v>4855.05</v>
      </c>
      <c r="AM338" s="527">
        <f>ROUND(R346,2)</f>
        <v>3427.39</v>
      </c>
      <c r="AN338" s="528">
        <f>ROUND(T346,2)</f>
        <v>25.02</v>
      </c>
      <c r="AO338" s="529">
        <f>ROUND(AM338+AN338,2)*A338</f>
        <v>3452.41</v>
      </c>
      <c r="AR338" s="747">
        <v>1</v>
      </c>
      <c r="AS338" s="751">
        <v>5160.13</v>
      </c>
    </row>
    <row r="339" spans="1:45" s="520" customFormat="1" ht="39.9" customHeight="1">
      <c r="A339" s="748"/>
      <c r="B339"/>
      <c r="C339" s="748"/>
      <c r="D339" s="1451" t="s">
        <v>1110</v>
      </c>
      <c r="E339" s="1452"/>
      <c r="F339" s="1452"/>
      <c r="G339" s="1452"/>
      <c r="H339" s="1452"/>
      <c r="I339" s="1452"/>
      <c r="J339" s="1452"/>
      <c r="K339" s="1452"/>
      <c r="L339" s="1452"/>
      <c r="M339" s="1452"/>
      <c r="N339" s="1452"/>
      <c r="O339" s="1452"/>
      <c r="P339" s="1452"/>
      <c r="Q339" s="1452"/>
      <c r="R339" s="1452"/>
      <c r="S339" s="1452"/>
      <c r="T339" s="1452"/>
      <c r="AR339" s="748"/>
    </row>
    <row r="340" spans="1:45" s="901" customFormat="1" ht="13.2">
      <c r="A340">
        <v>1</v>
      </c>
      <c r="B340" s="901" t="s">
        <v>141</v>
      </c>
      <c r="D340" s="901" t="s">
        <v>2805</v>
      </c>
      <c r="F340" s="1054" t="s">
        <v>2804</v>
      </c>
      <c r="G340" s="941" t="s">
        <v>2779</v>
      </c>
      <c r="H340" s="942">
        <v>510</v>
      </c>
      <c r="I340" s="901" t="s">
        <v>2607</v>
      </c>
      <c r="K340" s="901" t="s">
        <v>2744</v>
      </c>
      <c r="O340" s="943">
        <v>2</v>
      </c>
      <c r="P340" s="944"/>
      <c r="Q340" s="945">
        <v>3363.88</v>
      </c>
      <c r="R340" s="946">
        <f t="shared" ref="R340:R345" si="58">$A340*Q340</f>
        <v>3363.88</v>
      </c>
      <c r="S340" s="1193">
        <f>2+2+((22+7)*0.75)+2</f>
        <v>27.75</v>
      </c>
      <c r="T340" s="947">
        <f t="shared" ref="T340:T345" si="59">$A340*S340*$T$1</f>
        <v>24.975000000000001</v>
      </c>
      <c r="AR340">
        <v>1</v>
      </c>
      <c r="AS340" s="1054" t="s">
        <v>2804</v>
      </c>
    </row>
    <row r="341" spans="1:45" s="520" customFormat="1" ht="13.2">
      <c r="A341" s="116">
        <v>1</v>
      </c>
      <c r="B341" s="901" t="s">
        <v>141</v>
      </c>
      <c r="C341" s="901"/>
      <c r="D341" s="901" t="s">
        <v>2780</v>
      </c>
      <c r="E341" s="901"/>
      <c r="F341" s="901"/>
      <c r="G341" s="941" t="s">
        <v>2781</v>
      </c>
      <c r="H341" s="942">
        <v>875</v>
      </c>
      <c r="I341" s="901" t="s">
        <v>2607</v>
      </c>
      <c r="J341" s="901"/>
      <c r="K341" s="758"/>
      <c r="L341" s="901"/>
      <c r="M341" s="901"/>
      <c r="N341" s="901"/>
      <c r="O341" s="943">
        <v>3</v>
      </c>
      <c r="P341" s="944">
        <v>34820</v>
      </c>
      <c r="Q341" s="945">
        <v>7</v>
      </c>
      <c r="R341" s="946">
        <f t="shared" si="58"/>
        <v>7</v>
      </c>
      <c r="S341" s="945">
        <f>0.9 *(0.05)</f>
        <v>4.5000000000000005E-2</v>
      </c>
      <c r="T341" s="947">
        <f t="shared" si="59"/>
        <v>4.0500000000000008E-2</v>
      </c>
      <c r="AR341" s="116">
        <v>1</v>
      </c>
      <c r="AS341" s="901"/>
    </row>
    <row r="342" spans="1:45" s="520" customFormat="1" ht="13.2">
      <c r="A342" s="116">
        <v>1</v>
      </c>
      <c r="B342" s="901" t="s">
        <v>141</v>
      </c>
      <c r="C342" s="901"/>
      <c r="D342" s="901" t="s">
        <v>2782</v>
      </c>
      <c r="E342" s="901"/>
      <c r="F342" s="901"/>
      <c r="G342" s="941" t="s">
        <v>2783</v>
      </c>
      <c r="H342" s="942">
        <v>880</v>
      </c>
      <c r="I342" s="901" t="s">
        <v>2607</v>
      </c>
      <c r="J342" s="901"/>
      <c r="K342" s="758"/>
      <c r="L342" s="901"/>
      <c r="M342" s="901"/>
      <c r="N342" s="901"/>
      <c r="O342" s="943">
        <v>3</v>
      </c>
      <c r="P342" s="944">
        <v>35443</v>
      </c>
      <c r="Q342" s="945">
        <f>0.9 *(4.66)</f>
        <v>4.194</v>
      </c>
      <c r="R342" s="946">
        <f t="shared" si="58"/>
        <v>4.194</v>
      </c>
      <c r="S342" s="945"/>
      <c r="T342" s="947">
        <f t="shared" si="59"/>
        <v>0</v>
      </c>
      <c r="AR342" s="116">
        <v>1</v>
      </c>
      <c r="AS342" s="901"/>
    </row>
    <row r="343" spans="1:45" s="901" customFormat="1" ht="13.2">
      <c r="A343">
        <v>1</v>
      </c>
      <c r="B343" s="901" t="s">
        <v>141</v>
      </c>
      <c r="D343" s="901" t="s">
        <v>2758</v>
      </c>
      <c r="F343" s="901" t="s">
        <v>2784</v>
      </c>
      <c r="G343" s="941" t="s">
        <v>2760</v>
      </c>
      <c r="H343" s="942">
        <v>501</v>
      </c>
      <c r="I343" s="901" t="s">
        <v>2607</v>
      </c>
      <c r="K343" s="901" t="s">
        <v>2761</v>
      </c>
      <c r="O343" s="943">
        <v>1</v>
      </c>
      <c r="P343" s="944"/>
      <c r="Q343" s="945">
        <v>50</v>
      </c>
      <c r="R343" s="946">
        <f t="shared" si="58"/>
        <v>50</v>
      </c>
      <c r="S343" s="945"/>
      <c r="T343" s="947">
        <f t="shared" si="59"/>
        <v>0</v>
      </c>
      <c r="AR343">
        <v>1</v>
      </c>
      <c r="AS343" s="901" t="s">
        <v>2784</v>
      </c>
    </row>
    <row r="344" spans="1:45" s="901" customFormat="1" ht="13.2">
      <c r="A344" s="116">
        <v>4</v>
      </c>
      <c r="B344" s="901" t="s">
        <v>141</v>
      </c>
      <c r="D344" s="901" t="s">
        <v>2785</v>
      </c>
      <c r="G344" s="941" t="s">
        <v>2786</v>
      </c>
      <c r="H344" s="942">
        <v>875</v>
      </c>
      <c r="I344" s="901" t="s">
        <v>2607</v>
      </c>
      <c r="K344" s="901" t="s">
        <v>2787</v>
      </c>
      <c r="O344" s="943">
        <v>1</v>
      </c>
      <c r="P344" s="944">
        <v>34669</v>
      </c>
      <c r="Q344" s="945">
        <v>0.57999999999999996</v>
      </c>
      <c r="R344" s="946">
        <f t="shared" si="58"/>
        <v>2.3199999999999998</v>
      </c>
      <c r="S344" s="945"/>
      <c r="T344" s="947">
        <f t="shared" si="59"/>
        <v>0</v>
      </c>
      <c r="AR344" s="116">
        <v>4</v>
      </c>
    </row>
    <row r="345" spans="1:45" s="520" customFormat="1" ht="12">
      <c r="A345" s="758"/>
      <c r="B345" s="758"/>
      <c r="C345" s="758"/>
      <c r="D345" s="758"/>
      <c r="E345" s="758"/>
      <c r="F345" s="753"/>
      <c r="G345" s="758"/>
      <c r="H345" s="758"/>
      <c r="I345" s="519"/>
      <c r="J345" s="758"/>
      <c r="K345" s="758"/>
      <c r="L345" s="758"/>
      <c r="M345" s="758"/>
      <c r="N345" s="758"/>
      <c r="O345" s="758"/>
      <c r="P345" s="758"/>
      <c r="Q345" s="519"/>
      <c r="R345" s="759">
        <f t="shared" si="58"/>
        <v>0</v>
      </c>
      <c r="S345" s="519"/>
      <c r="T345" s="760">
        <f t="shared" si="59"/>
        <v>0</v>
      </c>
      <c r="AR345" s="758"/>
      <c r="AS345" s="753"/>
    </row>
    <row r="346" spans="1:45" s="520" customFormat="1" ht="12.6" thickBot="1">
      <c r="A346" s="761" t="s">
        <v>145</v>
      </c>
      <c r="B346" s="762">
        <f>(R345+T345)</f>
        <v>0</v>
      </c>
      <c r="C346" s="763"/>
      <c r="D346" s="763"/>
      <c r="E346" s="763"/>
      <c r="F346" s="764"/>
      <c r="G346" s="763" t="s">
        <v>146</v>
      </c>
      <c r="H346" s="763"/>
      <c r="I346" s="765"/>
      <c r="J346" s="763"/>
      <c r="K346" s="763" t="s">
        <v>16</v>
      </c>
      <c r="L346" s="766" t="s">
        <v>143</v>
      </c>
      <c r="M346" s="766"/>
      <c r="N346" s="766"/>
      <c r="O346" s="766"/>
      <c r="P346" s="766"/>
      <c r="Q346" s="767"/>
      <c r="R346" s="768">
        <f>SUM(R339:R345)</f>
        <v>3427.3940000000002</v>
      </c>
      <c r="S346" s="763"/>
      <c r="T346" s="768">
        <f>SUM(T339:T345)</f>
        <v>25.015500000000003</v>
      </c>
      <c r="U346" s="531"/>
      <c r="V346" s="531"/>
      <c r="W346" s="531"/>
      <c r="X346" s="531"/>
      <c r="Y346" s="531"/>
      <c r="Z346" s="531"/>
      <c r="AA346" s="531"/>
      <c r="AB346" s="531"/>
      <c r="AC346" s="531"/>
      <c r="AD346" s="531"/>
      <c r="AE346" s="531"/>
      <c r="AF346" s="531"/>
      <c r="AG346" s="531"/>
      <c r="AH346" s="531"/>
      <c r="AI346" s="531"/>
      <c r="AJ346" s="531"/>
      <c r="AK346" s="531"/>
      <c r="AL346" s="531"/>
      <c r="AM346" s="531"/>
      <c r="AN346" s="531"/>
      <c r="AO346" s="531"/>
      <c r="AR346" s="761" t="s">
        <v>145</v>
      </c>
      <c r="AS346" s="764"/>
    </row>
    <row r="347" spans="1:45" s="520" customFormat="1" ht="12" thickTop="1">
      <c r="A347" s="51"/>
      <c r="B347" s="41"/>
      <c r="C347" s="51"/>
      <c r="E347" s="42" t="s">
        <v>138</v>
      </c>
      <c r="F347" s="42" t="s">
        <v>139</v>
      </c>
      <c r="G347" s="51"/>
      <c r="H347" s="51"/>
      <c r="I347" s="51"/>
      <c r="J347" s="51"/>
      <c r="K347" s="51" t="s">
        <v>140</v>
      </c>
      <c r="L347" s="51"/>
      <c r="M347" s="51"/>
      <c r="N347" s="51"/>
      <c r="O347" s="52"/>
      <c r="P347" s="51"/>
      <c r="Q347" s="51"/>
      <c r="R347" s="51"/>
      <c r="S347" s="51"/>
      <c r="T347" s="41"/>
      <c r="AG347" s="521" t="s">
        <v>268</v>
      </c>
      <c r="AH347" s="521" t="s">
        <v>269</v>
      </c>
      <c r="AI347" s="521" t="s">
        <v>270</v>
      </c>
      <c r="AJ347" s="521" t="s">
        <v>271</v>
      </c>
      <c r="AK347" s="521" t="s">
        <v>272</v>
      </c>
      <c r="AM347" s="745" t="s">
        <v>281</v>
      </c>
      <c r="AN347" s="746" t="s">
        <v>282</v>
      </c>
      <c r="AO347" s="522" t="s">
        <v>278</v>
      </c>
      <c r="AR347" s="51"/>
      <c r="AS347" s="42" t="s">
        <v>139</v>
      </c>
    </row>
    <row r="348" spans="1:45" s="520" customFormat="1" ht="12" customHeight="1">
      <c r="A348" s="747">
        <v>1</v>
      </c>
      <c r="B348" s="523" t="s">
        <v>141</v>
      </c>
      <c r="C348" s="748"/>
      <c r="D348" s="749" t="s">
        <v>1111</v>
      </c>
      <c r="E348" s="1419">
        <f>IF(AND($A348=0,$A$1="DIF"),0, ROUND(ROUND(($R356*$S$9+($T356*$T$9))/$A348,2)*$C$9,2))</f>
        <v>584.11</v>
      </c>
      <c r="F348" s="1420">
        <f>ROUND($A348*$E348,2)</f>
        <v>584.11</v>
      </c>
      <c r="G348" s="752" t="s">
        <v>142</v>
      </c>
      <c r="H348" s="753"/>
      <c r="I348" s="754"/>
      <c r="J348" s="753"/>
      <c r="K348" s="753" t="s">
        <v>16</v>
      </c>
      <c r="L348" s="755" t="s">
        <v>143</v>
      </c>
      <c r="M348" s="755"/>
      <c r="N348" s="755"/>
      <c r="O348" s="755"/>
      <c r="P348" s="755"/>
      <c r="Q348" s="51"/>
      <c r="T348" s="1424" t="str">
        <f>IF(AND($R356=0,$T356=0),"0.00","mu: "&amp; ROUND(F348/$C$9/($R356+$T356*$D$9),2))</f>
        <v>mu: 1.18</v>
      </c>
      <c r="W348" s="524"/>
      <c r="AG348" s="1421">
        <f>IF($E348=0,0,ROUND($R356*$S$9*$C$9/$A348,2))</f>
        <v>378.66</v>
      </c>
      <c r="AH348" s="1421">
        <f>$AG348*$A348</f>
        <v>378.66</v>
      </c>
      <c r="AI348" s="1422">
        <f>$E348-$AG348</f>
        <v>205.45</v>
      </c>
      <c r="AJ348" s="1422">
        <f>$A348*$AI348</f>
        <v>205.45</v>
      </c>
      <c r="AK348" s="1423">
        <f>ROUND(($AG348+$AI348)*$A348,2)</f>
        <v>584.11</v>
      </c>
      <c r="AM348" s="527">
        <f>ROUND(R356,2)</f>
        <v>320.88</v>
      </c>
      <c r="AN348" s="528">
        <f>ROUND(T356,2)</f>
        <v>6.34</v>
      </c>
      <c r="AO348" s="529">
        <f>ROUND(AM348+AN348,2)*A348</f>
        <v>327.22000000000003</v>
      </c>
      <c r="AR348" s="747">
        <v>1</v>
      </c>
      <c r="AS348" s="751">
        <v>633.33000000000004</v>
      </c>
    </row>
    <row r="349" spans="1:45" s="520" customFormat="1" ht="39.9" customHeight="1">
      <c r="A349" s="748"/>
      <c r="B349"/>
      <c r="C349" s="748"/>
      <c r="D349" s="1451" t="s">
        <v>1112</v>
      </c>
      <c r="E349" s="1452"/>
      <c r="F349" s="1452"/>
      <c r="G349" s="1452"/>
      <c r="H349" s="1452"/>
      <c r="I349" s="1452"/>
      <c r="J349" s="1452"/>
      <c r="K349" s="1452"/>
      <c r="L349" s="1452"/>
      <c r="M349" s="1452"/>
      <c r="N349" s="1452"/>
      <c r="O349" s="1452"/>
      <c r="P349" s="1452"/>
      <c r="Q349" s="1452"/>
      <c r="R349" s="1452"/>
      <c r="S349" s="1452"/>
      <c r="T349" s="1452"/>
      <c r="AR349" s="748"/>
    </row>
    <row r="350" spans="1:45" s="901" customFormat="1" ht="13.2">
      <c r="A350">
        <v>1</v>
      </c>
      <c r="B350" s="901" t="s">
        <v>141</v>
      </c>
      <c r="D350" s="901" t="s">
        <v>2806</v>
      </c>
      <c r="F350" s="1054" t="s">
        <v>2807</v>
      </c>
      <c r="G350" s="941" t="s">
        <v>2779</v>
      </c>
      <c r="H350" s="942">
        <v>510</v>
      </c>
      <c r="I350" s="901" t="s">
        <v>2607</v>
      </c>
      <c r="K350" s="901" t="s">
        <v>2744</v>
      </c>
      <c r="O350" s="943">
        <v>2</v>
      </c>
      <c r="P350" s="944"/>
      <c r="Q350" s="945">
        <v>287.37</v>
      </c>
      <c r="R350" s="946">
        <f t="shared" ref="R350:R355" si="60">$A350*Q350</f>
        <v>287.37</v>
      </c>
      <c r="S350" s="945">
        <f>2+(4*0.75)+2</f>
        <v>7</v>
      </c>
      <c r="T350" s="947">
        <f t="shared" ref="T350:T355" si="61">$A350*S350*$T$1</f>
        <v>6.3</v>
      </c>
      <c r="AR350">
        <v>1</v>
      </c>
      <c r="AS350" s="1054" t="s">
        <v>2807</v>
      </c>
    </row>
    <row r="351" spans="1:45" s="520" customFormat="1" ht="13.2">
      <c r="A351" s="116">
        <v>1</v>
      </c>
      <c r="B351" s="901" t="s">
        <v>141</v>
      </c>
      <c r="C351" s="901"/>
      <c r="D351" s="901" t="s">
        <v>2780</v>
      </c>
      <c r="E351" s="901"/>
      <c r="F351" s="901"/>
      <c r="G351" s="941" t="s">
        <v>2781</v>
      </c>
      <c r="H351" s="942">
        <v>875</v>
      </c>
      <c r="I351" s="901" t="s">
        <v>2607</v>
      </c>
      <c r="J351" s="901"/>
      <c r="K351" s="758"/>
      <c r="L351" s="901"/>
      <c r="M351" s="901"/>
      <c r="N351" s="901"/>
      <c r="O351" s="943">
        <v>3</v>
      </c>
      <c r="P351" s="944">
        <v>34820</v>
      </c>
      <c r="Q351" s="945">
        <v>7</v>
      </c>
      <c r="R351" s="946">
        <f t="shared" si="60"/>
        <v>7</v>
      </c>
      <c r="S351" s="945">
        <f>0.9 *(0.05)</f>
        <v>4.5000000000000005E-2</v>
      </c>
      <c r="T351" s="947">
        <f t="shared" si="61"/>
        <v>4.0500000000000008E-2</v>
      </c>
      <c r="AR351" s="116">
        <v>1</v>
      </c>
      <c r="AS351" s="901"/>
    </row>
    <row r="352" spans="1:45" s="520" customFormat="1" ht="13.2">
      <c r="A352" s="116">
        <v>1</v>
      </c>
      <c r="B352" s="901" t="s">
        <v>141</v>
      </c>
      <c r="C352" s="901"/>
      <c r="D352" s="901" t="s">
        <v>2782</v>
      </c>
      <c r="E352" s="901"/>
      <c r="F352" s="901"/>
      <c r="G352" s="941" t="s">
        <v>2783</v>
      </c>
      <c r="H352" s="942">
        <v>880</v>
      </c>
      <c r="I352" s="901" t="s">
        <v>2607</v>
      </c>
      <c r="J352" s="901"/>
      <c r="K352" s="758"/>
      <c r="L352" s="901"/>
      <c r="M352" s="901"/>
      <c r="N352" s="901"/>
      <c r="O352" s="943">
        <v>3</v>
      </c>
      <c r="P352" s="944">
        <v>35443</v>
      </c>
      <c r="Q352" s="945">
        <f>0.9 *(4.66)</f>
        <v>4.194</v>
      </c>
      <c r="R352" s="946">
        <f t="shared" si="60"/>
        <v>4.194</v>
      </c>
      <c r="S352" s="945"/>
      <c r="T352" s="947">
        <f t="shared" si="61"/>
        <v>0</v>
      </c>
      <c r="AR352" s="116">
        <v>1</v>
      </c>
      <c r="AS352" s="901"/>
    </row>
    <row r="353" spans="1:45" s="901" customFormat="1" ht="13.2">
      <c r="A353">
        <v>1</v>
      </c>
      <c r="B353" s="901" t="s">
        <v>141</v>
      </c>
      <c r="D353" s="901" t="s">
        <v>2758</v>
      </c>
      <c r="F353" s="901" t="s">
        <v>2784</v>
      </c>
      <c r="G353" s="941" t="s">
        <v>2760</v>
      </c>
      <c r="H353" s="942">
        <v>501</v>
      </c>
      <c r="I353" s="901" t="s">
        <v>2607</v>
      </c>
      <c r="K353" s="901" t="s">
        <v>2761</v>
      </c>
      <c r="O353" s="943">
        <v>1</v>
      </c>
      <c r="P353" s="944"/>
      <c r="Q353" s="945">
        <v>20</v>
      </c>
      <c r="R353" s="946">
        <f t="shared" si="60"/>
        <v>20</v>
      </c>
      <c r="S353" s="945"/>
      <c r="T353" s="947">
        <f t="shared" si="61"/>
        <v>0</v>
      </c>
      <c r="AR353">
        <v>1</v>
      </c>
      <c r="AS353" s="901" t="s">
        <v>2784</v>
      </c>
    </row>
    <row r="354" spans="1:45" s="901" customFormat="1" ht="13.2">
      <c r="A354" s="116">
        <v>4</v>
      </c>
      <c r="B354" s="901" t="s">
        <v>141</v>
      </c>
      <c r="D354" s="901" t="s">
        <v>2785</v>
      </c>
      <c r="G354" s="941" t="s">
        <v>2786</v>
      </c>
      <c r="H354" s="942">
        <v>875</v>
      </c>
      <c r="I354" s="901" t="s">
        <v>2607</v>
      </c>
      <c r="K354" s="901" t="s">
        <v>2787</v>
      </c>
      <c r="O354" s="943">
        <v>1</v>
      </c>
      <c r="P354" s="944">
        <v>34669</v>
      </c>
      <c r="Q354" s="945">
        <v>0.57999999999999996</v>
      </c>
      <c r="R354" s="946">
        <f t="shared" si="60"/>
        <v>2.3199999999999998</v>
      </c>
      <c r="S354" s="945"/>
      <c r="T354" s="947">
        <f t="shared" si="61"/>
        <v>0</v>
      </c>
      <c r="AR354" s="116">
        <v>4</v>
      </c>
    </row>
    <row r="355" spans="1:45" s="520" customFormat="1" ht="12">
      <c r="A355" s="758"/>
      <c r="B355" s="758"/>
      <c r="C355" s="758"/>
      <c r="D355" s="758"/>
      <c r="E355" s="758"/>
      <c r="F355" s="753"/>
      <c r="G355" s="758"/>
      <c r="H355" s="758"/>
      <c r="I355" s="519"/>
      <c r="J355" s="758"/>
      <c r="K355" s="758"/>
      <c r="L355" s="758"/>
      <c r="M355" s="758"/>
      <c r="N355" s="758"/>
      <c r="O355" s="758"/>
      <c r="P355" s="758"/>
      <c r="Q355" s="519"/>
      <c r="R355" s="759">
        <f t="shared" si="60"/>
        <v>0</v>
      </c>
      <c r="S355" s="519"/>
      <c r="T355" s="760">
        <f t="shared" si="61"/>
        <v>0</v>
      </c>
      <c r="AR355" s="758"/>
      <c r="AS355" s="753"/>
    </row>
    <row r="356" spans="1:45" s="520" customFormat="1" ht="12.6" thickBot="1">
      <c r="A356" s="761" t="s">
        <v>145</v>
      </c>
      <c r="B356" s="762">
        <f>(R355+T355)</f>
        <v>0</v>
      </c>
      <c r="C356" s="763"/>
      <c r="D356" s="763"/>
      <c r="E356" s="763"/>
      <c r="F356" s="764"/>
      <c r="G356" s="763" t="s">
        <v>146</v>
      </c>
      <c r="H356" s="763"/>
      <c r="I356" s="765"/>
      <c r="J356" s="763"/>
      <c r="K356" s="763" t="s">
        <v>16</v>
      </c>
      <c r="L356" s="766" t="s">
        <v>143</v>
      </c>
      <c r="M356" s="766"/>
      <c r="N356" s="766"/>
      <c r="O356" s="766"/>
      <c r="P356" s="766"/>
      <c r="Q356" s="767"/>
      <c r="R356" s="768">
        <f>SUM(R349:R355)</f>
        <v>320.88400000000001</v>
      </c>
      <c r="S356" s="763"/>
      <c r="T356" s="768">
        <f>SUM(T349:T355)</f>
        <v>6.3404999999999996</v>
      </c>
      <c r="U356" s="531"/>
      <c r="V356" s="531"/>
      <c r="W356" s="531"/>
      <c r="X356" s="531"/>
      <c r="Y356" s="531"/>
      <c r="Z356" s="531"/>
      <c r="AA356" s="531"/>
      <c r="AB356" s="531"/>
      <c r="AC356" s="531"/>
      <c r="AD356" s="531"/>
      <c r="AE356" s="531"/>
      <c r="AF356" s="531"/>
      <c r="AG356" s="531"/>
      <c r="AH356" s="531"/>
      <c r="AI356" s="531"/>
      <c r="AJ356" s="531"/>
      <c r="AK356" s="531"/>
      <c r="AL356" s="531"/>
      <c r="AM356" s="531"/>
      <c r="AN356" s="531"/>
      <c r="AO356" s="531"/>
      <c r="AR356" s="761" t="s">
        <v>145</v>
      </c>
      <c r="AS356" s="764"/>
    </row>
    <row r="357" spans="1:45" s="520" customFormat="1" ht="12" thickTop="1">
      <c r="A357" s="51"/>
      <c r="B357" s="41"/>
      <c r="C357" s="51"/>
      <c r="E357" s="42" t="s">
        <v>138</v>
      </c>
      <c r="F357" s="42" t="s">
        <v>139</v>
      </c>
      <c r="G357" s="51"/>
      <c r="H357" s="51"/>
      <c r="I357" s="51"/>
      <c r="J357" s="51"/>
      <c r="K357" s="51" t="s">
        <v>140</v>
      </c>
      <c r="L357" s="51"/>
      <c r="M357" s="51"/>
      <c r="N357" s="51"/>
      <c r="O357" s="52"/>
      <c r="P357" s="51"/>
      <c r="Q357" s="51"/>
      <c r="R357" s="51"/>
      <c r="S357" s="51"/>
      <c r="T357" s="41"/>
      <c r="AG357" s="521" t="s">
        <v>268</v>
      </c>
      <c r="AH357" s="521" t="s">
        <v>269</v>
      </c>
      <c r="AI357" s="521" t="s">
        <v>270</v>
      </c>
      <c r="AJ357" s="521" t="s">
        <v>271</v>
      </c>
      <c r="AK357" s="521" t="s">
        <v>272</v>
      </c>
      <c r="AM357" s="745" t="s">
        <v>281</v>
      </c>
      <c r="AN357" s="746" t="s">
        <v>282</v>
      </c>
      <c r="AO357" s="522" t="s">
        <v>278</v>
      </c>
      <c r="AR357" s="51"/>
      <c r="AS357" s="42" t="s">
        <v>139</v>
      </c>
    </row>
    <row r="358" spans="1:45" s="520" customFormat="1" ht="12" customHeight="1">
      <c r="A358" s="747">
        <v>1</v>
      </c>
      <c r="B358" s="523" t="s">
        <v>141</v>
      </c>
      <c r="C358" s="748"/>
      <c r="D358" s="749" t="s">
        <v>1113</v>
      </c>
      <c r="E358" s="1419">
        <f>IF(AND($A358=0,$A$1="DIF"),0, ROUND(ROUND(($R366*$S$9+($T366*$T$9))/$A358,2)*$C$9,2))</f>
        <v>1878.06</v>
      </c>
      <c r="F358" s="1420">
        <f>ROUND($A358*$E358,2)</f>
        <v>1878.06</v>
      </c>
      <c r="G358" s="752" t="s">
        <v>142</v>
      </c>
      <c r="H358" s="753"/>
      <c r="I358" s="754"/>
      <c r="J358" s="753"/>
      <c r="K358" s="753" t="s">
        <v>16</v>
      </c>
      <c r="L358" s="755" t="s">
        <v>143</v>
      </c>
      <c r="M358" s="755"/>
      <c r="N358" s="755"/>
      <c r="O358" s="755"/>
      <c r="P358" s="755"/>
      <c r="Q358" s="51"/>
      <c r="T358" s="1424" t="str">
        <f>IF(AND($R366=0,$T366=0),"0.00","mu: "&amp; ROUND(F358/$C$9/($R366+$T366*$D$9),2))</f>
        <v>mu: 1.18</v>
      </c>
      <c r="W358" s="524"/>
      <c r="AG358" s="1421">
        <f>IF($E358=0,0,ROUND($R366*$S$9*$C$9/$A358,2))</f>
        <v>1009.14</v>
      </c>
      <c r="AH358" s="1421">
        <f>$AG358*$A358</f>
        <v>1009.14</v>
      </c>
      <c r="AI358" s="1422">
        <f>$E358-$AG358</f>
        <v>868.92</v>
      </c>
      <c r="AJ358" s="1422">
        <f>$A358*$AI358</f>
        <v>868.92</v>
      </c>
      <c r="AK358" s="1423">
        <f>ROUND(($AG358+$AI358)*$A358,2)</f>
        <v>1878.06</v>
      </c>
      <c r="AM358" s="527">
        <f>ROUND(R366,2)</f>
        <v>855.17</v>
      </c>
      <c r="AN358" s="528">
        <f>ROUND(T366,2)</f>
        <v>26.82</v>
      </c>
      <c r="AO358" s="529">
        <f>ROUND(AM358+AN358,2)*A358</f>
        <v>881.99</v>
      </c>
      <c r="AR358" s="747">
        <v>1</v>
      </c>
      <c r="AS358" s="751">
        <v>2060.46</v>
      </c>
    </row>
    <row r="359" spans="1:45" s="520" customFormat="1" ht="39.9" customHeight="1">
      <c r="A359" s="748"/>
      <c r="B359"/>
      <c r="C359" s="748"/>
      <c r="D359" s="1451" t="s">
        <v>1114</v>
      </c>
      <c r="E359" s="1452"/>
      <c r="F359" s="1452"/>
      <c r="G359" s="1452"/>
      <c r="H359" s="1452"/>
      <c r="I359" s="1452"/>
      <c r="J359" s="1452"/>
      <c r="K359" s="1452"/>
      <c r="L359" s="1452"/>
      <c r="M359" s="1452"/>
      <c r="N359" s="1452"/>
      <c r="O359" s="1452"/>
      <c r="P359" s="1452"/>
      <c r="Q359" s="1452"/>
      <c r="R359" s="1452"/>
      <c r="S359" s="1452"/>
      <c r="T359" s="1452"/>
      <c r="AR359" s="748"/>
    </row>
    <row r="360" spans="1:45" s="901" customFormat="1" ht="13.2">
      <c r="A360">
        <v>1</v>
      </c>
      <c r="B360" s="901" t="s">
        <v>141</v>
      </c>
      <c r="D360" s="901" t="s">
        <v>2805</v>
      </c>
      <c r="F360" s="1054" t="s">
        <v>2808</v>
      </c>
      <c r="G360" s="941" t="s">
        <v>2779</v>
      </c>
      <c r="H360" s="942">
        <v>510</v>
      </c>
      <c r="I360" s="901" t="s">
        <v>2607</v>
      </c>
      <c r="K360" s="901" t="s">
        <v>2744</v>
      </c>
      <c r="O360" s="943">
        <v>2</v>
      </c>
      <c r="P360" s="944"/>
      <c r="Q360" s="945">
        <v>791.66</v>
      </c>
      <c r="R360" s="946">
        <f t="shared" ref="R360:R365" si="62">$A360*Q360</f>
        <v>791.66</v>
      </c>
      <c r="S360" s="1193">
        <f>2+2+((22+7)*0.75)+2+2</f>
        <v>29.75</v>
      </c>
      <c r="T360" s="947">
        <f t="shared" ref="T360:T365" si="63">$A360*S360*$T$1</f>
        <v>26.775000000000002</v>
      </c>
      <c r="AR360">
        <v>1</v>
      </c>
      <c r="AS360" s="1054" t="s">
        <v>2808</v>
      </c>
    </row>
    <row r="361" spans="1:45" s="520" customFormat="1" ht="13.2">
      <c r="A361" s="116">
        <v>1</v>
      </c>
      <c r="B361" s="901" t="s">
        <v>141</v>
      </c>
      <c r="C361" s="901"/>
      <c r="D361" s="901" t="s">
        <v>2780</v>
      </c>
      <c r="E361" s="901"/>
      <c r="F361" s="901"/>
      <c r="G361" s="941" t="s">
        <v>2781</v>
      </c>
      <c r="H361" s="942">
        <v>875</v>
      </c>
      <c r="I361" s="901" t="s">
        <v>2607</v>
      </c>
      <c r="J361" s="901"/>
      <c r="K361" s="758"/>
      <c r="L361" s="901"/>
      <c r="M361" s="901"/>
      <c r="N361" s="901"/>
      <c r="O361" s="943">
        <v>3</v>
      </c>
      <c r="P361" s="944">
        <v>34820</v>
      </c>
      <c r="Q361" s="945">
        <v>7</v>
      </c>
      <c r="R361" s="946">
        <f t="shared" si="62"/>
        <v>7</v>
      </c>
      <c r="S361" s="945">
        <f>0.9 *(0.05)</f>
        <v>4.5000000000000005E-2</v>
      </c>
      <c r="T361" s="947">
        <f t="shared" si="63"/>
        <v>4.0500000000000008E-2</v>
      </c>
      <c r="AR361" s="116">
        <v>1</v>
      </c>
      <c r="AS361" s="901"/>
    </row>
    <row r="362" spans="1:45" s="520" customFormat="1" ht="13.2">
      <c r="A362" s="116">
        <v>1</v>
      </c>
      <c r="B362" s="901" t="s">
        <v>141</v>
      </c>
      <c r="C362" s="901"/>
      <c r="D362" s="901" t="s">
        <v>2782</v>
      </c>
      <c r="E362" s="901"/>
      <c r="F362" s="901"/>
      <c r="G362" s="941" t="s">
        <v>2783</v>
      </c>
      <c r="H362" s="942">
        <v>880</v>
      </c>
      <c r="I362" s="901" t="s">
        <v>2607</v>
      </c>
      <c r="J362" s="901"/>
      <c r="K362" s="758"/>
      <c r="L362" s="901"/>
      <c r="M362" s="901"/>
      <c r="N362" s="901"/>
      <c r="O362" s="943">
        <v>3</v>
      </c>
      <c r="P362" s="944">
        <v>35443</v>
      </c>
      <c r="Q362" s="945">
        <f>0.9 *(4.66)</f>
        <v>4.194</v>
      </c>
      <c r="R362" s="946">
        <f t="shared" si="62"/>
        <v>4.194</v>
      </c>
      <c r="S362" s="945"/>
      <c r="T362" s="947">
        <f t="shared" si="63"/>
        <v>0</v>
      </c>
      <c r="AR362" s="116">
        <v>1</v>
      </c>
      <c r="AS362" s="901"/>
    </row>
    <row r="363" spans="1:45" s="901" customFormat="1" ht="13.2">
      <c r="A363">
        <v>1</v>
      </c>
      <c r="B363" s="901" t="s">
        <v>141</v>
      </c>
      <c r="D363" s="901" t="s">
        <v>2758</v>
      </c>
      <c r="F363" s="901" t="s">
        <v>2784</v>
      </c>
      <c r="G363" s="941" t="s">
        <v>2760</v>
      </c>
      <c r="H363" s="942">
        <v>501</v>
      </c>
      <c r="I363" s="901" t="s">
        <v>2607</v>
      </c>
      <c r="K363" s="901" t="s">
        <v>2761</v>
      </c>
      <c r="O363" s="943">
        <v>1</v>
      </c>
      <c r="P363" s="944"/>
      <c r="Q363" s="945">
        <v>50</v>
      </c>
      <c r="R363" s="946">
        <f t="shared" si="62"/>
        <v>50</v>
      </c>
      <c r="S363" s="945"/>
      <c r="T363" s="947">
        <f t="shared" si="63"/>
        <v>0</v>
      </c>
      <c r="AR363">
        <v>1</v>
      </c>
      <c r="AS363" s="901" t="s">
        <v>2784</v>
      </c>
    </row>
    <row r="364" spans="1:45" s="901" customFormat="1" ht="13.2">
      <c r="A364" s="116">
        <v>4</v>
      </c>
      <c r="B364" s="901" t="s">
        <v>141</v>
      </c>
      <c r="D364" s="901" t="s">
        <v>2785</v>
      </c>
      <c r="G364" s="941" t="s">
        <v>2786</v>
      </c>
      <c r="H364" s="942">
        <v>875</v>
      </c>
      <c r="I364" s="901" t="s">
        <v>2607</v>
      </c>
      <c r="K364" s="901" t="s">
        <v>2787</v>
      </c>
      <c r="O364" s="943">
        <v>1</v>
      </c>
      <c r="P364" s="944">
        <v>34669</v>
      </c>
      <c r="Q364" s="945">
        <v>0.57999999999999996</v>
      </c>
      <c r="R364" s="946">
        <f t="shared" si="62"/>
        <v>2.3199999999999998</v>
      </c>
      <c r="S364" s="945"/>
      <c r="T364" s="947">
        <f t="shared" si="63"/>
        <v>0</v>
      </c>
      <c r="AR364" s="116">
        <v>4</v>
      </c>
    </row>
    <row r="365" spans="1:45" s="520" customFormat="1" ht="12">
      <c r="A365" s="758"/>
      <c r="B365" s="758"/>
      <c r="C365" s="758"/>
      <c r="D365" s="758"/>
      <c r="E365" s="758"/>
      <c r="F365" s="753"/>
      <c r="G365" s="758"/>
      <c r="H365" s="758"/>
      <c r="I365" s="519"/>
      <c r="J365" s="758"/>
      <c r="K365" s="758"/>
      <c r="L365" s="758"/>
      <c r="M365" s="758"/>
      <c r="N365" s="758"/>
      <c r="O365" s="758"/>
      <c r="P365" s="758"/>
      <c r="Q365" s="519"/>
      <c r="R365" s="759">
        <f t="shared" si="62"/>
        <v>0</v>
      </c>
      <c r="S365" s="519"/>
      <c r="T365" s="760">
        <f t="shared" si="63"/>
        <v>0</v>
      </c>
      <c r="AR365" s="758"/>
      <c r="AS365" s="753"/>
    </row>
    <row r="366" spans="1:45" s="520" customFormat="1" ht="12.6" thickBot="1">
      <c r="A366" s="761" t="s">
        <v>145</v>
      </c>
      <c r="B366" s="762">
        <f>(R365+T365)</f>
        <v>0</v>
      </c>
      <c r="C366" s="763"/>
      <c r="D366" s="763"/>
      <c r="E366" s="763"/>
      <c r="F366" s="764"/>
      <c r="G366" s="763" t="s">
        <v>146</v>
      </c>
      <c r="H366" s="763"/>
      <c r="I366" s="765"/>
      <c r="J366" s="763"/>
      <c r="K366" s="763" t="s">
        <v>16</v>
      </c>
      <c r="L366" s="766" t="s">
        <v>143</v>
      </c>
      <c r="M366" s="766"/>
      <c r="N366" s="766"/>
      <c r="O366" s="766"/>
      <c r="P366" s="766"/>
      <c r="Q366" s="767"/>
      <c r="R366" s="768">
        <f>SUM(R359:R365)</f>
        <v>855.17399999999998</v>
      </c>
      <c r="S366" s="763"/>
      <c r="T366" s="768">
        <f>SUM(T359:T365)</f>
        <v>26.815500000000004</v>
      </c>
      <c r="U366" s="531"/>
      <c r="V366" s="531"/>
      <c r="W366" s="531"/>
      <c r="X366" s="531"/>
      <c r="Y366" s="531"/>
      <c r="Z366" s="531"/>
      <c r="AA366" s="531"/>
      <c r="AB366" s="531"/>
      <c r="AC366" s="531"/>
      <c r="AD366" s="531"/>
      <c r="AE366" s="531"/>
      <c r="AF366" s="531"/>
      <c r="AG366" s="531"/>
      <c r="AH366" s="531"/>
      <c r="AI366" s="531"/>
      <c r="AJ366" s="531"/>
      <c r="AK366" s="531"/>
      <c r="AL366" s="531"/>
      <c r="AM366" s="531"/>
      <c r="AN366" s="531"/>
      <c r="AO366" s="531"/>
      <c r="AR366" s="761" t="s">
        <v>145</v>
      </c>
      <c r="AS366" s="764"/>
    </row>
    <row r="367" spans="1:45" s="520" customFormat="1" ht="12" thickTop="1">
      <c r="A367" s="51"/>
      <c r="B367" s="41"/>
      <c r="C367" s="51"/>
      <c r="E367" s="42" t="s">
        <v>138</v>
      </c>
      <c r="F367" s="42" t="s">
        <v>139</v>
      </c>
      <c r="G367" s="51"/>
      <c r="H367" s="51"/>
      <c r="I367" s="51"/>
      <c r="J367" s="51"/>
      <c r="K367" s="51" t="s">
        <v>140</v>
      </c>
      <c r="L367" s="51"/>
      <c r="M367" s="51"/>
      <c r="N367" s="51"/>
      <c r="O367" s="52"/>
      <c r="P367" s="51"/>
      <c r="Q367" s="51"/>
      <c r="R367" s="51"/>
      <c r="S367" s="51"/>
      <c r="T367" s="41"/>
      <c r="AG367" s="521" t="s">
        <v>268</v>
      </c>
      <c r="AH367" s="521" t="s">
        <v>269</v>
      </c>
      <c r="AI367" s="521" t="s">
        <v>270</v>
      </c>
      <c r="AJ367" s="521" t="s">
        <v>271</v>
      </c>
      <c r="AK367" s="521" t="s">
        <v>272</v>
      </c>
      <c r="AM367" s="745" t="s">
        <v>281</v>
      </c>
      <c r="AN367" s="746" t="s">
        <v>282</v>
      </c>
      <c r="AO367" s="522" t="s">
        <v>278</v>
      </c>
      <c r="AR367" s="51"/>
      <c r="AS367" s="42" t="s">
        <v>139</v>
      </c>
    </row>
    <row r="368" spans="1:45" s="520" customFormat="1" ht="12" customHeight="1">
      <c r="A368" s="747">
        <v>1</v>
      </c>
      <c r="B368" s="523" t="s">
        <v>141</v>
      </c>
      <c r="C368" s="748"/>
      <c r="D368" s="749" t="s">
        <v>1115</v>
      </c>
      <c r="E368" s="1419">
        <f>IF(AND($A368=0,$A$1="DIF"),0, ROUND(ROUND(($R376*$S$9+($T376*$T$9))/$A368,2)*$C$9,2))</f>
        <v>4728.3999999999996</v>
      </c>
      <c r="F368" s="1420">
        <f>ROUND($A368*$E368,2)</f>
        <v>4728.3999999999996</v>
      </c>
      <c r="G368" s="752" t="s">
        <v>142</v>
      </c>
      <c r="H368" s="753"/>
      <c r="I368" s="754"/>
      <c r="J368" s="753"/>
      <c r="K368" s="753" t="s">
        <v>16</v>
      </c>
      <c r="L368" s="755" t="s">
        <v>143</v>
      </c>
      <c r="M368" s="755"/>
      <c r="N368" s="755"/>
      <c r="O368" s="755"/>
      <c r="P368" s="755"/>
      <c r="Q368" s="51"/>
      <c r="T368" s="1424" t="str">
        <f>IF(AND($R376=0,$T376=0),"0.00","mu: "&amp; ROUND(F368/$C$9/($R376+$T376*$D$9),2))</f>
        <v>mu: 1.18</v>
      </c>
      <c r="W368" s="524"/>
      <c r="AG368" s="1421">
        <f>IF($E368=0,0,ROUND($R376*$S$9*$C$9/$A368,2))</f>
        <v>4318.8</v>
      </c>
      <c r="AH368" s="1421">
        <f>$AG368*$A368</f>
        <v>4318.8</v>
      </c>
      <c r="AI368" s="1422">
        <f>$E368-$AG368</f>
        <v>409.59999999999945</v>
      </c>
      <c r="AJ368" s="1422">
        <f>$A368*$AI368</f>
        <v>409.59999999999945</v>
      </c>
      <c r="AK368" s="1423">
        <f>ROUND(($AG368+$AI368)*$A368,2)</f>
        <v>4728.3999999999996</v>
      </c>
      <c r="AM368" s="527">
        <f>ROUND(R376,2)</f>
        <v>3659.88</v>
      </c>
      <c r="AN368" s="528">
        <f>ROUND(T376,2)</f>
        <v>12.64</v>
      </c>
      <c r="AO368" s="529">
        <f>ROUND(AM368+AN368,2)*A368</f>
        <v>3672.52</v>
      </c>
      <c r="AR368" s="747">
        <v>1</v>
      </c>
      <c r="AS368" s="751">
        <v>4981.4799999999996</v>
      </c>
    </row>
    <row r="369" spans="1:45" s="520" customFormat="1" ht="39.9" customHeight="1">
      <c r="A369" s="748"/>
      <c r="B369"/>
      <c r="C369" s="748"/>
      <c r="D369" s="1451" t="s">
        <v>1116</v>
      </c>
      <c r="E369" s="1452"/>
      <c r="F369" s="1452"/>
      <c r="G369" s="1452"/>
      <c r="H369" s="1452"/>
      <c r="I369" s="1452"/>
      <c r="J369" s="1452"/>
      <c r="K369" s="1452"/>
      <c r="L369" s="1452"/>
      <c r="M369" s="1452"/>
      <c r="N369" s="1452"/>
      <c r="O369" s="1452"/>
      <c r="P369" s="1452"/>
      <c r="Q369" s="1452"/>
      <c r="R369" s="1452"/>
      <c r="S369" s="1452"/>
      <c r="T369" s="1452"/>
      <c r="AR369" s="748"/>
    </row>
    <row r="370" spans="1:45" s="901" customFormat="1" ht="13.2">
      <c r="A370">
        <v>1</v>
      </c>
      <c r="B370" s="901" t="s">
        <v>141</v>
      </c>
      <c r="D370" s="901" t="s">
        <v>2809</v>
      </c>
      <c r="F370" s="1054" t="s">
        <v>2810</v>
      </c>
      <c r="G370" s="941" t="s">
        <v>2779</v>
      </c>
      <c r="H370" s="942">
        <v>510</v>
      </c>
      <c r="I370" s="901" t="s">
        <v>2607</v>
      </c>
      <c r="K370" s="901" t="s">
        <v>2744</v>
      </c>
      <c r="O370" s="943">
        <v>2</v>
      </c>
      <c r="P370" s="944"/>
      <c r="Q370" s="945">
        <v>3616.37</v>
      </c>
      <c r="R370" s="946">
        <f t="shared" ref="R370:R375" si="64">$A370*Q370</f>
        <v>3616.37</v>
      </c>
      <c r="S370" s="945">
        <f>2+2+((8)*0.75)+2+2</f>
        <v>14</v>
      </c>
      <c r="T370" s="947">
        <f t="shared" ref="T370:T375" si="65">$A370*S370*$T$1</f>
        <v>12.6</v>
      </c>
      <c r="AR370">
        <v>1</v>
      </c>
      <c r="AS370" s="1054" t="s">
        <v>2810</v>
      </c>
    </row>
    <row r="371" spans="1:45" s="520" customFormat="1" ht="13.2">
      <c r="A371" s="116">
        <v>1</v>
      </c>
      <c r="B371" s="901" t="s">
        <v>141</v>
      </c>
      <c r="C371" s="901"/>
      <c r="D371" s="901" t="s">
        <v>2780</v>
      </c>
      <c r="E371" s="901"/>
      <c r="F371" s="901"/>
      <c r="G371" s="941" t="s">
        <v>2781</v>
      </c>
      <c r="H371" s="942">
        <v>875</v>
      </c>
      <c r="I371" s="901" t="s">
        <v>2607</v>
      </c>
      <c r="J371" s="901"/>
      <c r="K371" s="758"/>
      <c r="L371" s="901"/>
      <c r="M371" s="901"/>
      <c r="N371" s="901"/>
      <c r="O371" s="943">
        <v>3</v>
      </c>
      <c r="P371" s="944">
        <v>34820</v>
      </c>
      <c r="Q371" s="945">
        <v>7</v>
      </c>
      <c r="R371" s="946">
        <f t="shared" si="64"/>
        <v>7</v>
      </c>
      <c r="S371" s="945">
        <f>0.9 *(0.05)</f>
        <v>4.5000000000000005E-2</v>
      </c>
      <c r="T371" s="947">
        <f t="shared" si="65"/>
        <v>4.0500000000000008E-2</v>
      </c>
      <c r="AR371" s="116">
        <v>1</v>
      </c>
      <c r="AS371" s="901"/>
    </row>
    <row r="372" spans="1:45" s="520" customFormat="1" ht="13.2">
      <c r="A372" s="116">
        <v>1</v>
      </c>
      <c r="B372" s="901" t="s">
        <v>141</v>
      </c>
      <c r="C372" s="901"/>
      <c r="D372" s="901" t="s">
        <v>2782</v>
      </c>
      <c r="E372" s="901"/>
      <c r="F372" s="901"/>
      <c r="G372" s="941" t="s">
        <v>2783</v>
      </c>
      <c r="H372" s="942">
        <v>880</v>
      </c>
      <c r="I372" s="901" t="s">
        <v>2607</v>
      </c>
      <c r="J372" s="901"/>
      <c r="K372" s="758"/>
      <c r="L372" s="901"/>
      <c r="M372" s="901"/>
      <c r="N372" s="901"/>
      <c r="O372" s="943">
        <v>3</v>
      </c>
      <c r="P372" s="944">
        <v>35443</v>
      </c>
      <c r="Q372" s="945">
        <f>0.9 *(4.66)</f>
        <v>4.194</v>
      </c>
      <c r="R372" s="946">
        <f t="shared" si="64"/>
        <v>4.194</v>
      </c>
      <c r="S372" s="945"/>
      <c r="T372" s="947">
        <f t="shared" si="65"/>
        <v>0</v>
      </c>
      <c r="AR372" s="116">
        <v>1</v>
      </c>
      <c r="AS372" s="901"/>
    </row>
    <row r="373" spans="1:45" s="901" customFormat="1" ht="13.2">
      <c r="A373">
        <v>1</v>
      </c>
      <c r="B373" s="901" t="s">
        <v>141</v>
      </c>
      <c r="D373" s="901" t="s">
        <v>2758</v>
      </c>
      <c r="F373" s="901" t="s">
        <v>2784</v>
      </c>
      <c r="G373" s="941" t="s">
        <v>2760</v>
      </c>
      <c r="H373" s="942">
        <v>501</v>
      </c>
      <c r="I373" s="901" t="s">
        <v>2607</v>
      </c>
      <c r="K373" s="901" t="s">
        <v>2761</v>
      </c>
      <c r="O373" s="943">
        <v>1</v>
      </c>
      <c r="P373" s="944"/>
      <c r="Q373" s="945">
        <v>30</v>
      </c>
      <c r="R373" s="946">
        <f t="shared" si="64"/>
        <v>30</v>
      </c>
      <c r="S373" s="945"/>
      <c r="T373" s="947">
        <f t="shared" si="65"/>
        <v>0</v>
      </c>
      <c r="AR373">
        <v>1</v>
      </c>
      <c r="AS373" s="901" t="s">
        <v>2784</v>
      </c>
    </row>
    <row r="374" spans="1:45" s="901" customFormat="1" ht="13.2">
      <c r="A374" s="116">
        <v>4</v>
      </c>
      <c r="B374" s="901" t="s">
        <v>141</v>
      </c>
      <c r="D374" s="901" t="s">
        <v>2785</v>
      </c>
      <c r="G374" s="941" t="s">
        <v>2786</v>
      </c>
      <c r="H374" s="942">
        <v>875</v>
      </c>
      <c r="I374" s="901" t="s">
        <v>2607</v>
      </c>
      <c r="K374" s="901" t="s">
        <v>2787</v>
      </c>
      <c r="O374" s="943">
        <v>1</v>
      </c>
      <c r="P374" s="944">
        <v>34669</v>
      </c>
      <c r="Q374" s="945">
        <v>0.57999999999999996</v>
      </c>
      <c r="R374" s="946">
        <f t="shared" si="64"/>
        <v>2.3199999999999998</v>
      </c>
      <c r="S374" s="945"/>
      <c r="T374" s="947">
        <f t="shared" si="65"/>
        <v>0</v>
      </c>
      <c r="AR374" s="116">
        <v>4</v>
      </c>
    </row>
    <row r="375" spans="1:45" s="520" customFormat="1" ht="12">
      <c r="A375" s="758"/>
      <c r="B375" s="758"/>
      <c r="C375" s="758"/>
      <c r="D375" s="758"/>
      <c r="E375" s="758"/>
      <c r="F375" s="753"/>
      <c r="G375" s="758"/>
      <c r="H375" s="758"/>
      <c r="I375" s="519"/>
      <c r="J375" s="758"/>
      <c r="K375" s="758"/>
      <c r="L375" s="758"/>
      <c r="M375" s="758"/>
      <c r="N375" s="758"/>
      <c r="O375" s="758"/>
      <c r="P375" s="758"/>
      <c r="Q375" s="519"/>
      <c r="R375" s="759">
        <f t="shared" si="64"/>
        <v>0</v>
      </c>
      <c r="S375" s="519"/>
      <c r="T375" s="760">
        <f t="shared" si="65"/>
        <v>0</v>
      </c>
      <c r="AR375" s="758"/>
      <c r="AS375" s="753"/>
    </row>
    <row r="376" spans="1:45" s="520" customFormat="1" ht="12.6" thickBot="1">
      <c r="A376" s="761" t="s">
        <v>145</v>
      </c>
      <c r="B376" s="762">
        <f>(R375+T375)</f>
        <v>0</v>
      </c>
      <c r="C376" s="763"/>
      <c r="D376" s="763"/>
      <c r="E376" s="763"/>
      <c r="F376" s="764"/>
      <c r="G376" s="763" t="s">
        <v>146</v>
      </c>
      <c r="H376" s="763"/>
      <c r="I376" s="765"/>
      <c r="J376" s="763"/>
      <c r="K376" s="763" t="s">
        <v>16</v>
      </c>
      <c r="L376" s="766" t="s">
        <v>143</v>
      </c>
      <c r="M376" s="766"/>
      <c r="N376" s="766"/>
      <c r="O376" s="766"/>
      <c r="P376" s="766"/>
      <c r="Q376" s="767"/>
      <c r="R376" s="768">
        <f>SUM(R369:R375)</f>
        <v>3659.884</v>
      </c>
      <c r="S376" s="763"/>
      <c r="T376" s="768">
        <f>SUM(T369:T375)</f>
        <v>12.640499999999999</v>
      </c>
      <c r="U376" s="531"/>
      <c r="V376" s="531"/>
      <c r="W376" s="531"/>
      <c r="X376" s="531"/>
      <c r="Y376" s="531"/>
      <c r="Z376" s="531"/>
      <c r="AA376" s="531"/>
      <c r="AB376" s="531"/>
      <c r="AC376" s="531"/>
      <c r="AD376" s="531"/>
      <c r="AE376" s="531"/>
      <c r="AF376" s="531"/>
      <c r="AG376" s="531"/>
      <c r="AH376" s="531"/>
      <c r="AI376" s="531"/>
      <c r="AJ376" s="531"/>
      <c r="AK376" s="531"/>
      <c r="AL376" s="531"/>
      <c r="AM376" s="531"/>
      <c r="AN376" s="531"/>
      <c r="AO376" s="531"/>
      <c r="AR376" s="761" t="s">
        <v>145</v>
      </c>
      <c r="AS376" s="764"/>
    </row>
    <row r="377" spans="1:45" s="520" customFormat="1" ht="12" thickTop="1">
      <c r="A377" s="51"/>
      <c r="B377" s="41"/>
      <c r="C377" s="51"/>
      <c r="E377" s="42" t="s">
        <v>138</v>
      </c>
      <c r="F377" s="42" t="s">
        <v>139</v>
      </c>
      <c r="G377" s="51"/>
      <c r="H377" s="51"/>
      <c r="I377" s="51"/>
      <c r="J377" s="51"/>
      <c r="K377" s="51" t="s">
        <v>140</v>
      </c>
      <c r="L377" s="51"/>
      <c r="M377" s="51"/>
      <c r="N377" s="51"/>
      <c r="O377" s="52"/>
      <c r="P377" s="51"/>
      <c r="Q377" s="51"/>
      <c r="R377" s="51"/>
      <c r="S377" s="51"/>
      <c r="T377" s="41"/>
      <c r="AG377" s="521" t="s">
        <v>268</v>
      </c>
      <c r="AH377" s="521" t="s">
        <v>269</v>
      </c>
      <c r="AI377" s="521" t="s">
        <v>270</v>
      </c>
      <c r="AJ377" s="521" t="s">
        <v>271</v>
      </c>
      <c r="AK377" s="521" t="s">
        <v>272</v>
      </c>
      <c r="AM377" s="745" t="s">
        <v>281</v>
      </c>
      <c r="AN377" s="746" t="s">
        <v>282</v>
      </c>
      <c r="AO377" s="522" t="s">
        <v>278</v>
      </c>
      <c r="AR377" s="51"/>
      <c r="AS377" s="42" t="s">
        <v>139</v>
      </c>
    </row>
    <row r="378" spans="1:45" s="520" customFormat="1" ht="12" customHeight="1">
      <c r="A378" s="747">
        <v>1</v>
      </c>
      <c r="B378" s="523" t="s">
        <v>141</v>
      </c>
      <c r="C378" s="748"/>
      <c r="D378" s="749" t="s">
        <v>1117</v>
      </c>
      <c r="E378" s="1419">
        <f>IF(AND($A378=0,$A$1="DIF"),0, ROUND(ROUND(($R386*$S$9+($T386*$T$9))/$A378,2)*$C$9,2))</f>
        <v>3673.7</v>
      </c>
      <c r="F378" s="1420">
        <f>ROUND($A378*$E378,2)</f>
        <v>3673.7</v>
      </c>
      <c r="G378" s="752" t="s">
        <v>142</v>
      </c>
      <c r="H378" s="753"/>
      <c r="I378" s="754"/>
      <c r="J378" s="753"/>
      <c r="K378" s="753" t="s">
        <v>16</v>
      </c>
      <c r="L378" s="755" t="s">
        <v>143</v>
      </c>
      <c r="M378" s="755"/>
      <c r="N378" s="755"/>
      <c r="O378" s="755"/>
      <c r="P378" s="755"/>
      <c r="Q378" s="51"/>
      <c r="T378" s="1424" t="str">
        <f>IF(AND($R386=0,$T386=0),"0.00","mu: "&amp; ROUND(F378/$C$9/($R386+$T386*$D$9),2))</f>
        <v>mu: 1.18</v>
      </c>
      <c r="W378" s="524"/>
      <c r="AG378" s="1421">
        <f>IF($E378=0,0,ROUND($R386*$S$9*$C$9/$A378,2))</f>
        <v>3307.84</v>
      </c>
      <c r="AH378" s="1421">
        <f>$AG378*$A378</f>
        <v>3307.84</v>
      </c>
      <c r="AI378" s="1422">
        <f>$E378-$AG378</f>
        <v>365.85999999999967</v>
      </c>
      <c r="AJ378" s="1422">
        <f>$A378*$AI378</f>
        <v>365.85999999999967</v>
      </c>
      <c r="AK378" s="1423">
        <f>ROUND(($AG378+$AI378)*$A378,2)</f>
        <v>3673.7</v>
      </c>
      <c r="AM378" s="527">
        <f>ROUND(R386,2)</f>
        <v>2803.16</v>
      </c>
      <c r="AN378" s="528">
        <f>ROUND(T386,2)</f>
        <v>11.29</v>
      </c>
      <c r="AO378" s="529">
        <f>ROUND(AM378+AN378,2)*A378</f>
        <v>2814.45</v>
      </c>
      <c r="AR378" s="747">
        <v>1</v>
      </c>
      <c r="AS378" s="751">
        <v>3875.84</v>
      </c>
    </row>
    <row r="379" spans="1:45" s="520" customFormat="1" ht="39.9" customHeight="1">
      <c r="A379" s="748"/>
      <c r="B379"/>
      <c r="C379" s="748"/>
      <c r="D379" s="1451" t="s">
        <v>1118</v>
      </c>
      <c r="E379" s="1452"/>
      <c r="F379" s="1452"/>
      <c r="G379" s="1452"/>
      <c r="H379" s="1452"/>
      <c r="I379" s="1452"/>
      <c r="J379" s="1452"/>
      <c r="K379" s="1452"/>
      <c r="L379" s="1452"/>
      <c r="M379" s="1452"/>
      <c r="N379" s="1452"/>
      <c r="O379" s="1452"/>
      <c r="P379" s="1452"/>
      <c r="Q379" s="1452"/>
      <c r="R379" s="1452"/>
      <c r="S379" s="1452"/>
      <c r="T379" s="1452"/>
      <c r="AR379" s="748"/>
    </row>
    <row r="380" spans="1:45" s="901" customFormat="1" ht="13.2">
      <c r="A380">
        <v>1</v>
      </c>
      <c r="B380" s="901" t="s">
        <v>141</v>
      </c>
      <c r="D380" s="901" t="s">
        <v>2812</v>
      </c>
      <c r="F380" s="1054" t="s">
        <v>2811</v>
      </c>
      <c r="G380" s="941" t="s">
        <v>2779</v>
      </c>
      <c r="H380" s="942">
        <v>510</v>
      </c>
      <c r="I380" s="901" t="s">
        <v>2607</v>
      </c>
      <c r="K380" s="901" t="s">
        <v>2744</v>
      </c>
      <c r="O380" s="943">
        <v>2</v>
      </c>
      <c r="P380" s="944"/>
      <c r="Q380" s="945">
        <v>2764.65</v>
      </c>
      <c r="R380" s="946">
        <f t="shared" ref="R380:R385" si="66">$A380*Q380</f>
        <v>2764.65</v>
      </c>
      <c r="S380" s="945">
        <f>2+2+((6)*0.75)+2+2</f>
        <v>12.5</v>
      </c>
      <c r="T380" s="947">
        <f t="shared" ref="T380:T385" si="67">$A380*S380*$T$1</f>
        <v>11.25</v>
      </c>
      <c r="AR380">
        <v>1</v>
      </c>
      <c r="AS380" s="1054" t="s">
        <v>2811</v>
      </c>
    </row>
    <row r="381" spans="1:45" s="520" customFormat="1" ht="13.2">
      <c r="A381" s="116">
        <v>1</v>
      </c>
      <c r="B381" s="901" t="s">
        <v>141</v>
      </c>
      <c r="C381" s="901"/>
      <c r="D381" s="901" t="s">
        <v>2780</v>
      </c>
      <c r="E381" s="901"/>
      <c r="F381" s="901"/>
      <c r="G381" s="941" t="s">
        <v>2781</v>
      </c>
      <c r="H381" s="942">
        <v>875</v>
      </c>
      <c r="I381" s="901" t="s">
        <v>2607</v>
      </c>
      <c r="J381" s="901"/>
      <c r="K381" s="758"/>
      <c r="L381" s="901"/>
      <c r="M381" s="901"/>
      <c r="N381" s="901"/>
      <c r="O381" s="943">
        <v>3</v>
      </c>
      <c r="P381" s="944">
        <v>34820</v>
      </c>
      <c r="Q381" s="945">
        <v>7</v>
      </c>
      <c r="R381" s="946">
        <f t="shared" si="66"/>
        <v>7</v>
      </c>
      <c r="S381" s="945">
        <f>0.9 *(0.05)</f>
        <v>4.5000000000000005E-2</v>
      </c>
      <c r="T381" s="947">
        <f t="shared" si="67"/>
        <v>4.0500000000000008E-2</v>
      </c>
      <c r="AR381" s="116">
        <v>1</v>
      </c>
      <c r="AS381" s="901"/>
    </row>
    <row r="382" spans="1:45" s="520" customFormat="1" ht="13.2">
      <c r="A382" s="116">
        <v>1</v>
      </c>
      <c r="B382" s="901" t="s">
        <v>141</v>
      </c>
      <c r="C382" s="901"/>
      <c r="D382" s="901" t="s">
        <v>2782</v>
      </c>
      <c r="E382" s="901"/>
      <c r="F382" s="901"/>
      <c r="G382" s="941" t="s">
        <v>2783</v>
      </c>
      <c r="H382" s="942">
        <v>880</v>
      </c>
      <c r="I382" s="901" t="s">
        <v>2607</v>
      </c>
      <c r="J382" s="901"/>
      <c r="K382" s="758"/>
      <c r="L382" s="901"/>
      <c r="M382" s="901"/>
      <c r="N382" s="901"/>
      <c r="O382" s="943">
        <v>3</v>
      </c>
      <c r="P382" s="944">
        <v>35443</v>
      </c>
      <c r="Q382" s="945">
        <f>0.9 *(4.66)</f>
        <v>4.194</v>
      </c>
      <c r="R382" s="946">
        <f t="shared" si="66"/>
        <v>4.194</v>
      </c>
      <c r="S382" s="945"/>
      <c r="T382" s="947">
        <f t="shared" si="67"/>
        <v>0</v>
      </c>
      <c r="AR382" s="116">
        <v>1</v>
      </c>
      <c r="AS382" s="901"/>
    </row>
    <row r="383" spans="1:45" s="901" customFormat="1" ht="13.2">
      <c r="A383">
        <v>1</v>
      </c>
      <c r="B383" s="901" t="s">
        <v>141</v>
      </c>
      <c r="D383" s="901" t="s">
        <v>2758</v>
      </c>
      <c r="F383" s="901" t="s">
        <v>2784</v>
      </c>
      <c r="G383" s="941" t="s">
        <v>2760</v>
      </c>
      <c r="H383" s="942">
        <v>501</v>
      </c>
      <c r="I383" s="901" t="s">
        <v>2607</v>
      </c>
      <c r="K383" s="901" t="s">
        <v>2761</v>
      </c>
      <c r="O383" s="943">
        <v>1</v>
      </c>
      <c r="P383" s="944"/>
      <c r="Q383" s="945">
        <v>25</v>
      </c>
      <c r="R383" s="946">
        <f t="shared" si="66"/>
        <v>25</v>
      </c>
      <c r="S383" s="945"/>
      <c r="T383" s="947">
        <f t="shared" si="67"/>
        <v>0</v>
      </c>
      <c r="AR383">
        <v>1</v>
      </c>
      <c r="AS383" s="901" t="s">
        <v>2784</v>
      </c>
    </row>
    <row r="384" spans="1:45" s="901" customFormat="1" ht="13.2">
      <c r="A384" s="116">
        <v>4</v>
      </c>
      <c r="B384" s="901" t="s">
        <v>141</v>
      </c>
      <c r="D384" s="901" t="s">
        <v>2785</v>
      </c>
      <c r="G384" s="941" t="s">
        <v>2786</v>
      </c>
      <c r="H384" s="942">
        <v>875</v>
      </c>
      <c r="I384" s="901" t="s">
        <v>2607</v>
      </c>
      <c r="K384" s="901" t="s">
        <v>2787</v>
      </c>
      <c r="O384" s="943">
        <v>1</v>
      </c>
      <c r="P384" s="944">
        <v>34669</v>
      </c>
      <c r="Q384" s="945">
        <v>0.57999999999999996</v>
      </c>
      <c r="R384" s="946">
        <f t="shared" si="66"/>
        <v>2.3199999999999998</v>
      </c>
      <c r="S384" s="945"/>
      <c r="T384" s="947">
        <f t="shared" si="67"/>
        <v>0</v>
      </c>
      <c r="AR384" s="116">
        <v>4</v>
      </c>
    </row>
    <row r="385" spans="1:45" s="520" customFormat="1" ht="12">
      <c r="A385" s="758"/>
      <c r="B385" s="758"/>
      <c r="C385" s="758"/>
      <c r="D385" s="758"/>
      <c r="E385" s="758"/>
      <c r="F385" s="753"/>
      <c r="G385" s="758"/>
      <c r="H385" s="758"/>
      <c r="I385" s="519"/>
      <c r="J385" s="758"/>
      <c r="K385" s="758"/>
      <c r="L385" s="758"/>
      <c r="M385" s="758"/>
      <c r="N385" s="758"/>
      <c r="O385" s="758"/>
      <c r="P385" s="758"/>
      <c r="Q385" s="519"/>
      <c r="R385" s="759">
        <f t="shared" si="66"/>
        <v>0</v>
      </c>
      <c r="S385" s="519"/>
      <c r="T385" s="760">
        <f t="shared" si="67"/>
        <v>0</v>
      </c>
      <c r="AR385" s="758"/>
      <c r="AS385" s="753"/>
    </row>
    <row r="386" spans="1:45" s="520" customFormat="1" ht="12.6" thickBot="1">
      <c r="A386" s="761" t="s">
        <v>145</v>
      </c>
      <c r="B386" s="762">
        <f>(R385+T385)</f>
        <v>0</v>
      </c>
      <c r="C386" s="763"/>
      <c r="D386" s="763"/>
      <c r="E386" s="763"/>
      <c r="F386" s="764"/>
      <c r="G386" s="763" t="s">
        <v>146</v>
      </c>
      <c r="H386" s="763"/>
      <c r="I386" s="765"/>
      <c r="J386" s="763"/>
      <c r="K386" s="763" t="s">
        <v>16</v>
      </c>
      <c r="L386" s="766" t="s">
        <v>143</v>
      </c>
      <c r="M386" s="766"/>
      <c r="N386" s="766"/>
      <c r="O386" s="766"/>
      <c r="P386" s="766"/>
      <c r="Q386" s="767"/>
      <c r="R386" s="768">
        <f>SUM(R379:R385)</f>
        <v>2803.1640000000002</v>
      </c>
      <c r="S386" s="763"/>
      <c r="T386" s="768">
        <f>SUM(T379:T385)</f>
        <v>11.2905</v>
      </c>
      <c r="U386" s="531"/>
      <c r="V386" s="531"/>
      <c r="W386" s="531"/>
      <c r="X386" s="531"/>
      <c r="Y386" s="531"/>
      <c r="Z386" s="531"/>
      <c r="AA386" s="531"/>
      <c r="AB386" s="531"/>
      <c r="AC386" s="531"/>
      <c r="AD386" s="531"/>
      <c r="AE386" s="531"/>
      <c r="AF386" s="531"/>
      <c r="AG386" s="531"/>
      <c r="AH386" s="531"/>
      <c r="AI386" s="531"/>
      <c r="AJ386" s="531"/>
      <c r="AK386" s="531"/>
      <c r="AL386" s="531"/>
      <c r="AM386" s="531"/>
      <c r="AN386" s="531"/>
      <c r="AO386" s="531"/>
      <c r="AR386" s="761" t="s">
        <v>145</v>
      </c>
      <c r="AS386" s="764"/>
    </row>
    <row r="387" spans="1:45" s="520" customFormat="1" ht="12" thickTop="1">
      <c r="A387" s="51"/>
      <c r="B387" s="41"/>
      <c r="C387" s="51"/>
      <c r="E387" s="42" t="s">
        <v>138</v>
      </c>
      <c r="F387" s="42" t="s">
        <v>139</v>
      </c>
      <c r="G387" s="51"/>
      <c r="H387" s="51"/>
      <c r="I387" s="51"/>
      <c r="J387" s="51"/>
      <c r="K387" s="51" t="s">
        <v>140</v>
      </c>
      <c r="L387" s="51"/>
      <c r="M387" s="51"/>
      <c r="N387" s="51"/>
      <c r="O387" s="52"/>
      <c r="P387" s="51"/>
      <c r="Q387" s="51"/>
      <c r="R387" s="51"/>
      <c r="S387" s="51"/>
      <c r="T387" s="41"/>
      <c r="AG387" s="521" t="s">
        <v>268</v>
      </c>
      <c r="AH387" s="521" t="s">
        <v>269</v>
      </c>
      <c r="AI387" s="521" t="s">
        <v>270</v>
      </c>
      <c r="AJ387" s="521" t="s">
        <v>271</v>
      </c>
      <c r="AK387" s="521" t="s">
        <v>272</v>
      </c>
      <c r="AM387" s="745" t="s">
        <v>281</v>
      </c>
      <c r="AN387" s="746" t="s">
        <v>282</v>
      </c>
      <c r="AO387" s="522" t="s">
        <v>278</v>
      </c>
      <c r="AR387" s="51"/>
      <c r="AS387" s="42" t="s">
        <v>139</v>
      </c>
    </row>
    <row r="388" spans="1:45" s="520" customFormat="1" ht="12" customHeight="1">
      <c r="A388" s="747">
        <v>1</v>
      </c>
      <c r="B388" s="523" t="s">
        <v>141</v>
      </c>
      <c r="C388" s="748"/>
      <c r="D388" s="749" t="s">
        <v>1119</v>
      </c>
      <c r="E388" s="1419">
        <f>IF(AND($A388=0,$A$1="DIF"),0, ROUND(ROUND(($R396*$S$9+($T396*$T$9))/$A388,2)*$C$9,2))</f>
        <v>3958.64</v>
      </c>
      <c r="F388" s="1420">
        <f>ROUND($A388*$E388,2)</f>
        <v>3958.64</v>
      </c>
      <c r="G388" s="752" t="s">
        <v>142</v>
      </c>
      <c r="H388" s="753"/>
      <c r="I388" s="754"/>
      <c r="J388" s="753"/>
      <c r="K388" s="753" t="s">
        <v>16</v>
      </c>
      <c r="L388" s="755" t="s">
        <v>143</v>
      </c>
      <c r="M388" s="755"/>
      <c r="N388" s="755"/>
      <c r="O388" s="755"/>
      <c r="P388" s="755"/>
      <c r="Q388" s="51"/>
      <c r="T388" s="1424" t="str">
        <f>IF(AND($R396=0,$T396=0),"0.00","mu: "&amp; ROUND(F388/$C$9/($R396+$T396*$D$9),2))</f>
        <v>mu: 1.18</v>
      </c>
      <c r="W388" s="524"/>
      <c r="AG388" s="1421">
        <f>IF($E388=0,0,ROUND($R396*$S$9*$C$9/$A388,2))</f>
        <v>3148.04</v>
      </c>
      <c r="AH388" s="1421">
        <f>$AG388*$A388</f>
        <v>3148.04</v>
      </c>
      <c r="AI388" s="1422">
        <f>$E388-$AG388</f>
        <v>810.59999999999991</v>
      </c>
      <c r="AJ388" s="1422">
        <f>$A388*$AI388</f>
        <v>810.59999999999991</v>
      </c>
      <c r="AK388" s="1423">
        <f>ROUND(($AG388+$AI388)*$A388,2)</f>
        <v>3958.64</v>
      </c>
      <c r="AM388" s="527">
        <f>ROUND(R396,2)</f>
        <v>2667.74</v>
      </c>
      <c r="AN388" s="528">
        <f>ROUND(T396,2)</f>
        <v>25.02</v>
      </c>
      <c r="AO388" s="529">
        <f>ROUND(AM388+AN388,2)*A388</f>
        <v>2692.76</v>
      </c>
      <c r="AR388" s="747">
        <v>1</v>
      </c>
      <c r="AS388" s="751">
        <v>4224.7299999999996</v>
      </c>
    </row>
    <row r="389" spans="1:45" s="520" customFormat="1" ht="39.9" customHeight="1">
      <c r="A389" s="748"/>
      <c r="B389"/>
      <c r="C389" s="748"/>
      <c r="D389" s="1451" t="s">
        <v>1120</v>
      </c>
      <c r="E389" s="1452"/>
      <c r="F389" s="1452"/>
      <c r="G389" s="1452"/>
      <c r="H389" s="1452"/>
      <c r="I389" s="1452"/>
      <c r="J389" s="1452"/>
      <c r="K389" s="1452"/>
      <c r="L389" s="1452"/>
      <c r="M389" s="1452"/>
      <c r="N389" s="1452"/>
      <c r="O389" s="1452"/>
      <c r="P389" s="1452"/>
      <c r="Q389" s="1452"/>
      <c r="R389" s="1452"/>
      <c r="S389" s="1452"/>
      <c r="T389" s="1452"/>
      <c r="AR389" s="748"/>
    </row>
    <row r="390" spans="1:45" s="901" customFormat="1" ht="13.2">
      <c r="A390">
        <v>1</v>
      </c>
      <c r="B390" s="901" t="s">
        <v>141</v>
      </c>
      <c r="D390" s="901" t="s">
        <v>2805</v>
      </c>
      <c r="F390" s="1054" t="s">
        <v>2813</v>
      </c>
      <c r="G390" s="941" t="s">
        <v>2779</v>
      </c>
      <c r="H390" s="942">
        <v>510</v>
      </c>
      <c r="I390" s="901" t="s">
        <v>2607</v>
      </c>
      <c r="K390" s="901" t="s">
        <v>2744</v>
      </c>
      <c r="O390" s="943">
        <v>2</v>
      </c>
      <c r="P390" s="944"/>
      <c r="Q390" s="945">
        <v>2604.23</v>
      </c>
      <c r="R390" s="946">
        <f t="shared" ref="R390:R395" si="68">$A390*Q390</f>
        <v>2604.23</v>
      </c>
      <c r="S390" s="1193">
        <f>2+2+((22+7)*0.75)+2</f>
        <v>27.75</v>
      </c>
      <c r="T390" s="947">
        <f t="shared" ref="T390:T395" si="69">$A390*S390*$T$1</f>
        <v>24.975000000000001</v>
      </c>
      <c r="AR390">
        <v>1</v>
      </c>
      <c r="AS390" s="1054" t="s">
        <v>2813</v>
      </c>
    </row>
    <row r="391" spans="1:45" s="520" customFormat="1" ht="13.2">
      <c r="A391" s="116">
        <v>1</v>
      </c>
      <c r="B391" s="901" t="s">
        <v>141</v>
      </c>
      <c r="C391" s="901"/>
      <c r="D391" s="901" t="s">
        <v>2780</v>
      </c>
      <c r="E391" s="901"/>
      <c r="F391" s="901"/>
      <c r="G391" s="941" t="s">
        <v>2781</v>
      </c>
      <c r="H391" s="942">
        <v>875</v>
      </c>
      <c r="I391" s="901" t="s">
        <v>2607</v>
      </c>
      <c r="J391" s="901"/>
      <c r="K391" s="758"/>
      <c r="L391" s="901"/>
      <c r="M391" s="901"/>
      <c r="N391" s="901"/>
      <c r="O391" s="943">
        <v>3</v>
      </c>
      <c r="P391" s="944">
        <v>34820</v>
      </c>
      <c r="Q391" s="945">
        <v>7</v>
      </c>
      <c r="R391" s="946">
        <f t="shared" si="68"/>
        <v>7</v>
      </c>
      <c r="S391" s="945">
        <f>0.9 *(0.05)</f>
        <v>4.5000000000000005E-2</v>
      </c>
      <c r="T391" s="947">
        <f t="shared" si="69"/>
        <v>4.0500000000000008E-2</v>
      </c>
      <c r="AR391" s="116">
        <v>1</v>
      </c>
      <c r="AS391" s="901"/>
    </row>
    <row r="392" spans="1:45" s="520" customFormat="1" ht="13.2">
      <c r="A392" s="116">
        <v>1</v>
      </c>
      <c r="B392" s="901" t="s">
        <v>141</v>
      </c>
      <c r="C392" s="901"/>
      <c r="D392" s="901" t="s">
        <v>2782</v>
      </c>
      <c r="E392" s="901"/>
      <c r="F392" s="901"/>
      <c r="G392" s="941" t="s">
        <v>2783</v>
      </c>
      <c r="H392" s="942">
        <v>880</v>
      </c>
      <c r="I392" s="901" t="s">
        <v>2607</v>
      </c>
      <c r="J392" s="901"/>
      <c r="K392" s="758"/>
      <c r="L392" s="901"/>
      <c r="M392" s="901"/>
      <c r="N392" s="901"/>
      <c r="O392" s="943">
        <v>3</v>
      </c>
      <c r="P392" s="944">
        <v>35443</v>
      </c>
      <c r="Q392" s="945">
        <f>0.9 *(4.66)</f>
        <v>4.194</v>
      </c>
      <c r="R392" s="946">
        <f t="shared" si="68"/>
        <v>4.194</v>
      </c>
      <c r="S392" s="945"/>
      <c r="T392" s="947">
        <f t="shared" si="69"/>
        <v>0</v>
      </c>
      <c r="AR392" s="116">
        <v>1</v>
      </c>
      <c r="AS392" s="901"/>
    </row>
    <row r="393" spans="1:45" s="901" customFormat="1" ht="13.2">
      <c r="A393">
        <v>1</v>
      </c>
      <c r="B393" s="901" t="s">
        <v>141</v>
      </c>
      <c r="D393" s="901" t="s">
        <v>2758</v>
      </c>
      <c r="F393" s="901" t="s">
        <v>2784</v>
      </c>
      <c r="G393" s="941" t="s">
        <v>2760</v>
      </c>
      <c r="H393" s="942">
        <v>501</v>
      </c>
      <c r="I393" s="901" t="s">
        <v>2607</v>
      </c>
      <c r="K393" s="901" t="s">
        <v>2761</v>
      </c>
      <c r="O393" s="943">
        <v>1</v>
      </c>
      <c r="P393" s="944"/>
      <c r="Q393" s="945">
        <v>50</v>
      </c>
      <c r="R393" s="946">
        <f t="shared" si="68"/>
        <v>50</v>
      </c>
      <c r="S393" s="945"/>
      <c r="T393" s="947">
        <f t="shared" si="69"/>
        <v>0</v>
      </c>
      <c r="AR393">
        <v>1</v>
      </c>
      <c r="AS393" s="901" t="s">
        <v>2784</v>
      </c>
    </row>
    <row r="394" spans="1:45" s="901" customFormat="1" ht="13.2">
      <c r="A394" s="116">
        <v>4</v>
      </c>
      <c r="B394" s="901" t="s">
        <v>141</v>
      </c>
      <c r="D394" s="901" t="s">
        <v>2785</v>
      </c>
      <c r="G394" s="941" t="s">
        <v>2786</v>
      </c>
      <c r="H394" s="942">
        <v>875</v>
      </c>
      <c r="I394" s="901" t="s">
        <v>2607</v>
      </c>
      <c r="K394" s="901" t="s">
        <v>2787</v>
      </c>
      <c r="O394" s="943">
        <v>1</v>
      </c>
      <c r="P394" s="944">
        <v>34669</v>
      </c>
      <c r="Q394" s="945">
        <v>0.57999999999999996</v>
      </c>
      <c r="R394" s="946">
        <f t="shared" si="68"/>
        <v>2.3199999999999998</v>
      </c>
      <c r="S394" s="945"/>
      <c r="T394" s="947">
        <f t="shared" si="69"/>
        <v>0</v>
      </c>
      <c r="AR394" s="116">
        <v>4</v>
      </c>
    </row>
    <row r="395" spans="1:45" s="520" customFormat="1" ht="12">
      <c r="A395" s="758"/>
      <c r="B395" s="758"/>
      <c r="C395" s="758"/>
      <c r="D395" s="758"/>
      <c r="E395" s="758"/>
      <c r="F395" s="753"/>
      <c r="G395" s="758"/>
      <c r="H395" s="758"/>
      <c r="I395" s="519"/>
      <c r="J395" s="758"/>
      <c r="K395" s="758"/>
      <c r="L395" s="758"/>
      <c r="M395" s="758"/>
      <c r="N395" s="758"/>
      <c r="O395" s="758"/>
      <c r="P395" s="758"/>
      <c r="Q395" s="519"/>
      <c r="R395" s="759">
        <f t="shared" si="68"/>
        <v>0</v>
      </c>
      <c r="S395" s="519"/>
      <c r="T395" s="760">
        <f t="shared" si="69"/>
        <v>0</v>
      </c>
      <c r="AR395" s="758"/>
      <c r="AS395" s="753"/>
    </row>
    <row r="396" spans="1:45" s="520" customFormat="1" ht="12.6" thickBot="1">
      <c r="A396" s="761" t="s">
        <v>145</v>
      </c>
      <c r="B396" s="762">
        <f>(R395+T395)</f>
        <v>0</v>
      </c>
      <c r="C396" s="763"/>
      <c r="D396" s="763"/>
      <c r="E396" s="763"/>
      <c r="F396" s="764"/>
      <c r="G396" s="763" t="s">
        <v>146</v>
      </c>
      <c r="H396" s="763"/>
      <c r="I396" s="765"/>
      <c r="J396" s="763"/>
      <c r="K396" s="763" t="s">
        <v>16</v>
      </c>
      <c r="L396" s="766" t="s">
        <v>143</v>
      </c>
      <c r="M396" s="766"/>
      <c r="N396" s="766"/>
      <c r="O396" s="766"/>
      <c r="P396" s="766"/>
      <c r="Q396" s="767"/>
      <c r="R396" s="768">
        <f>SUM(R389:R395)</f>
        <v>2667.7440000000001</v>
      </c>
      <c r="S396" s="763"/>
      <c r="T396" s="768">
        <f>SUM(T389:T395)</f>
        <v>25.015500000000003</v>
      </c>
      <c r="U396" s="531"/>
      <c r="V396" s="531"/>
      <c r="W396" s="531"/>
      <c r="X396" s="531"/>
      <c r="Y396" s="531"/>
      <c r="Z396" s="531"/>
      <c r="AA396" s="531"/>
      <c r="AB396" s="531"/>
      <c r="AC396" s="531"/>
      <c r="AD396" s="531"/>
      <c r="AE396" s="531"/>
      <c r="AF396" s="531"/>
      <c r="AG396" s="531"/>
      <c r="AH396" s="531"/>
      <c r="AI396" s="531"/>
      <c r="AJ396" s="531"/>
      <c r="AK396" s="531"/>
      <c r="AL396" s="531"/>
      <c r="AM396" s="531"/>
      <c r="AN396" s="531"/>
      <c r="AO396" s="531"/>
      <c r="AR396" s="761" t="s">
        <v>145</v>
      </c>
      <c r="AS396" s="764"/>
    </row>
    <row r="397" spans="1:45" s="520" customFormat="1" ht="12" thickTop="1">
      <c r="A397" s="51"/>
      <c r="B397" s="41"/>
      <c r="C397" s="51"/>
      <c r="E397" s="42" t="s">
        <v>138</v>
      </c>
      <c r="F397" s="42" t="s">
        <v>139</v>
      </c>
      <c r="G397" s="51"/>
      <c r="H397" s="51"/>
      <c r="I397" s="51"/>
      <c r="J397" s="51"/>
      <c r="K397" s="51" t="s">
        <v>140</v>
      </c>
      <c r="L397" s="51"/>
      <c r="M397" s="51"/>
      <c r="N397" s="51"/>
      <c r="O397" s="52"/>
      <c r="P397" s="51"/>
      <c r="Q397" s="51"/>
      <c r="R397" s="51"/>
      <c r="S397" s="51"/>
      <c r="T397" s="41"/>
      <c r="AG397" s="521" t="s">
        <v>268</v>
      </c>
      <c r="AH397" s="521" t="s">
        <v>269</v>
      </c>
      <c r="AI397" s="521" t="s">
        <v>270</v>
      </c>
      <c r="AJ397" s="521" t="s">
        <v>271</v>
      </c>
      <c r="AK397" s="521" t="s">
        <v>272</v>
      </c>
      <c r="AM397" s="745" t="s">
        <v>281</v>
      </c>
      <c r="AN397" s="746" t="s">
        <v>282</v>
      </c>
      <c r="AO397" s="522" t="s">
        <v>278</v>
      </c>
      <c r="AR397" s="51"/>
      <c r="AS397" s="42" t="s">
        <v>139</v>
      </c>
    </row>
    <row r="398" spans="1:45" s="520" customFormat="1" ht="12" customHeight="1">
      <c r="A398" s="747">
        <v>1</v>
      </c>
      <c r="B398" s="523" t="s">
        <v>141</v>
      </c>
      <c r="C398" s="748"/>
      <c r="D398" s="749" t="s">
        <v>1121</v>
      </c>
      <c r="E398" s="1419">
        <f>IF(AND($A398=0,$A$1="DIF"),0, ROUND(ROUND(($R406*$S$9+($T406*$T$9))/$A398,2)*$C$9,2))</f>
        <v>1278.3800000000001</v>
      </c>
      <c r="F398" s="1420">
        <f>ROUND($A398*$E398,2)</f>
        <v>1278.3800000000001</v>
      </c>
      <c r="G398" s="752" t="s">
        <v>142</v>
      </c>
      <c r="H398" s="753"/>
      <c r="I398" s="754"/>
      <c r="J398" s="753"/>
      <c r="K398" s="753" t="s">
        <v>16</v>
      </c>
      <c r="L398" s="755" t="s">
        <v>143</v>
      </c>
      <c r="M398" s="755"/>
      <c r="N398" s="755"/>
      <c r="O398" s="755"/>
      <c r="P398" s="755"/>
      <c r="Q398" s="51"/>
      <c r="T398" s="1424" t="str">
        <f>IF(AND($R406=0,$T406=0),"0.00","mu: "&amp; ROUND(F398/$C$9/($R406+$T406*$D$9),2))</f>
        <v>mu: 1.18</v>
      </c>
      <c r="W398" s="524"/>
      <c r="AG398" s="1421">
        <f>IF($E398=0,0,ROUND($R406*$S$9*$C$9/$A398,2))</f>
        <v>897.94</v>
      </c>
      <c r="AH398" s="1421">
        <f>$AG398*$A398</f>
        <v>897.94</v>
      </c>
      <c r="AI398" s="1422">
        <f>$E398-$AG398</f>
        <v>380.44000000000005</v>
      </c>
      <c r="AJ398" s="1422">
        <f>$A398*$AI398</f>
        <v>380.44000000000005</v>
      </c>
      <c r="AK398" s="1423">
        <f>ROUND(($AG398+$AI398)*$A398,2)</f>
        <v>1278.3800000000001</v>
      </c>
      <c r="AM398" s="527">
        <f>ROUND(R406,2)</f>
        <v>760.94</v>
      </c>
      <c r="AN398" s="528">
        <f>ROUND(T406,2)</f>
        <v>11.74</v>
      </c>
      <c r="AO398" s="529">
        <f>ROUND(AM398+AN398,2)*A398</f>
        <v>772.68</v>
      </c>
      <c r="AR398" s="747">
        <v>1</v>
      </c>
      <c r="AS398" s="751">
        <v>1378.07</v>
      </c>
    </row>
    <row r="399" spans="1:45" s="520" customFormat="1" ht="39.9" customHeight="1">
      <c r="A399" s="748"/>
      <c r="B399"/>
      <c r="C399" s="748"/>
      <c r="D399" s="1451" t="s">
        <v>1122</v>
      </c>
      <c r="E399" s="1452"/>
      <c r="F399" s="1452"/>
      <c r="G399" s="1452"/>
      <c r="H399" s="1452"/>
      <c r="I399" s="1452"/>
      <c r="J399" s="1452"/>
      <c r="K399" s="1452"/>
      <c r="L399" s="1452"/>
      <c r="M399" s="1452"/>
      <c r="N399" s="1452"/>
      <c r="O399" s="1452"/>
      <c r="P399" s="1452"/>
      <c r="Q399" s="1452"/>
      <c r="R399" s="1452"/>
      <c r="S399" s="1452"/>
      <c r="T399" s="1452"/>
      <c r="AR399" s="748"/>
    </row>
    <row r="400" spans="1:45" s="901" customFormat="1" ht="13.2">
      <c r="A400">
        <v>1</v>
      </c>
      <c r="B400" s="901" t="s">
        <v>141</v>
      </c>
      <c r="D400" s="901" t="s">
        <v>2800</v>
      </c>
      <c r="F400" s="1054" t="s">
        <v>2814</v>
      </c>
      <c r="G400" s="941" t="s">
        <v>2779</v>
      </c>
      <c r="H400" s="942">
        <v>510</v>
      </c>
      <c r="I400" s="901" t="s">
        <v>2607</v>
      </c>
      <c r="K400" s="901" t="s">
        <v>2744</v>
      </c>
      <c r="O400" s="943">
        <v>2</v>
      </c>
      <c r="P400" s="944"/>
      <c r="Q400" s="945">
        <v>727.43</v>
      </c>
      <c r="R400" s="946">
        <f t="shared" ref="R400:R405" si="70">$A400*Q400</f>
        <v>727.43</v>
      </c>
      <c r="S400" s="945">
        <f>2+(12*0.75)+2</f>
        <v>13</v>
      </c>
      <c r="T400" s="947">
        <f t="shared" ref="T400:T405" si="71">$A400*S400*$T$1</f>
        <v>11.700000000000001</v>
      </c>
      <c r="AR400">
        <v>1</v>
      </c>
      <c r="AS400" s="1054" t="s">
        <v>2814</v>
      </c>
    </row>
    <row r="401" spans="1:45" s="520" customFormat="1" ht="13.2">
      <c r="A401" s="116">
        <v>1</v>
      </c>
      <c r="B401" s="901" t="s">
        <v>141</v>
      </c>
      <c r="C401" s="901"/>
      <c r="D401" s="901" t="s">
        <v>2780</v>
      </c>
      <c r="E401" s="901"/>
      <c r="F401" s="901"/>
      <c r="G401" s="941" t="s">
        <v>2781</v>
      </c>
      <c r="H401" s="942">
        <v>875</v>
      </c>
      <c r="I401" s="901" t="s">
        <v>2607</v>
      </c>
      <c r="J401" s="901"/>
      <c r="K401" s="758"/>
      <c r="L401" s="901"/>
      <c r="M401" s="901"/>
      <c r="N401" s="901"/>
      <c r="O401" s="943">
        <v>3</v>
      </c>
      <c r="P401" s="944">
        <v>34820</v>
      </c>
      <c r="Q401" s="945">
        <v>7</v>
      </c>
      <c r="R401" s="946">
        <f t="shared" si="70"/>
        <v>7</v>
      </c>
      <c r="S401" s="945">
        <f>0.9 *(0.05)</f>
        <v>4.5000000000000005E-2</v>
      </c>
      <c r="T401" s="947">
        <f t="shared" si="71"/>
        <v>4.0500000000000008E-2</v>
      </c>
      <c r="AR401" s="116">
        <v>1</v>
      </c>
      <c r="AS401" s="901"/>
    </row>
    <row r="402" spans="1:45" s="520" customFormat="1" ht="13.2">
      <c r="A402" s="116">
        <v>1</v>
      </c>
      <c r="B402" s="901" t="s">
        <v>141</v>
      </c>
      <c r="C402" s="901"/>
      <c r="D402" s="901" t="s">
        <v>2782</v>
      </c>
      <c r="E402" s="901"/>
      <c r="F402" s="901"/>
      <c r="G402" s="941" t="s">
        <v>2783</v>
      </c>
      <c r="H402" s="942">
        <v>880</v>
      </c>
      <c r="I402" s="901" t="s">
        <v>2607</v>
      </c>
      <c r="J402" s="901"/>
      <c r="K402" s="758"/>
      <c r="L402" s="901"/>
      <c r="M402" s="901"/>
      <c r="N402" s="901"/>
      <c r="O402" s="943">
        <v>3</v>
      </c>
      <c r="P402" s="944">
        <v>35443</v>
      </c>
      <c r="Q402" s="945">
        <f>0.9 *(4.66)</f>
        <v>4.194</v>
      </c>
      <c r="R402" s="946">
        <f t="shared" si="70"/>
        <v>4.194</v>
      </c>
      <c r="S402" s="945"/>
      <c r="T402" s="947">
        <f t="shared" si="71"/>
        <v>0</v>
      </c>
      <c r="AR402" s="116">
        <v>1</v>
      </c>
      <c r="AS402" s="901"/>
    </row>
    <row r="403" spans="1:45" s="901" customFormat="1" ht="13.2">
      <c r="A403">
        <v>1</v>
      </c>
      <c r="B403" s="901" t="s">
        <v>141</v>
      </c>
      <c r="D403" s="901" t="s">
        <v>2758</v>
      </c>
      <c r="F403" s="901" t="s">
        <v>2784</v>
      </c>
      <c r="G403" s="941" t="s">
        <v>2760</v>
      </c>
      <c r="H403" s="942">
        <v>501</v>
      </c>
      <c r="I403" s="901" t="s">
        <v>2607</v>
      </c>
      <c r="K403" s="901" t="s">
        <v>2761</v>
      </c>
      <c r="O403" s="943">
        <v>1</v>
      </c>
      <c r="P403" s="944"/>
      <c r="Q403" s="945">
        <v>20</v>
      </c>
      <c r="R403" s="946">
        <f t="shared" si="70"/>
        <v>20</v>
      </c>
      <c r="S403" s="945"/>
      <c r="T403" s="947">
        <f t="shared" si="71"/>
        <v>0</v>
      </c>
      <c r="AR403">
        <v>1</v>
      </c>
      <c r="AS403" s="901" t="s">
        <v>2784</v>
      </c>
    </row>
    <row r="404" spans="1:45" s="901" customFormat="1" ht="13.2">
      <c r="A404" s="116">
        <v>4</v>
      </c>
      <c r="B404" s="901" t="s">
        <v>141</v>
      </c>
      <c r="D404" s="901" t="s">
        <v>2785</v>
      </c>
      <c r="G404" s="941" t="s">
        <v>2786</v>
      </c>
      <c r="H404" s="942">
        <v>875</v>
      </c>
      <c r="I404" s="901" t="s">
        <v>2607</v>
      </c>
      <c r="K404" s="901" t="s">
        <v>2787</v>
      </c>
      <c r="O404" s="943">
        <v>1</v>
      </c>
      <c r="P404" s="944">
        <v>34669</v>
      </c>
      <c r="Q404" s="945">
        <v>0.57999999999999996</v>
      </c>
      <c r="R404" s="946">
        <f t="shared" si="70"/>
        <v>2.3199999999999998</v>
      </c>
      <c r="S404" s="945"/>
      <c r="T404" s="947">
        <f t="shared" si="71"/>
        <v>0</v>
      </c>
      <c r="AR404" s="116">
        <v>4</v>
      </c>
    </row>
    <row r="405" spans="1:45" s="520" customFormat="1" ht="12">
      <c r="A405" s="758"/>
      <c r="B405" s="758"/>
      <c r="C405" s="758"/>
      <c r="D405" s="758"/>
      <c r="E405" s="758"/>
      <c r="F405" s="753"/>
      <c r="G405" s="758"/>
      <c r="H405" s="758"/>
      <c r="I405" s="519"/>
      <c r="J405" s="758"/>
      <c r="K405" s="758"/>
      <c r="L405" s="758"/>
      <c r="M405" s="758"/>
      <c r="N405" s="758"/>
      <c r="O405" s="758"/>
      <c r="P405" s="758"/>
      <c r="Q405" s="519"/>
      <c r="R405" s="759">
        <f t="shared" si="70"/>
        <v>0</v>
      </c>
      <c r="S405" s="519"/>
      <c r="T405" s="760">
        <f t="shared" si="71"/>
        <v>0</v>
      </c>
      <c r="AR405" s="758"/>
      <c r="AS405" s="753"/>
    </row>
    <row r="406" spans="1:45" s="520" customFormat="1" ht="12.6" thickBot="1">
      <c r="A406" s="761" t="s">
        <v>145</v>
      </c>
      <c r="B406" s="762">
        <f>(R405+T405)</f>
        <v>0</v>
      </c>
      <c r="C406" s="763"/>
      <c r="D406" s="763"/>
      <c r="E406" s="763"/>
      <c r="F406" s="764"/>
      <c r="G406" s="763" t="s">
        <v>146</v>
      </c>
      <c r="H406" s="763"/>
      <c r="I406" s="765"/>
      <c r="J406" s="763"/>
      <c r="K406" s="763" t="s">
        <v>16</v>
      </c>
      <c r="L406" s="766" t="s">
        <v>143</v>
      </c>
      <c r="M406" s="766"/>
      <c r="N406" s="766"/>
      <c r="O406" s="766"/>
      <c r="P406" s="766"/>
      <c r="Q406" s="767"/>
      <c r="R406" s="768">
        <f>SUM(R399:R405)</f>
        <v>760.94399999999996</v>
      </c>
      <c r="S406" s="763"/>
      <c r="T406" s="768">
        <f>SUM(T399:T405)</f>
        <v>11.740500000000001</v>
      </c>
      <c r="U406" s="531"/>
      <c r="V406" s="531"/>
      <c r="W406" s="531"/>
      <c r="X406" s="531"/>
      <c r="Y406" s="531"/>
      <c r="Z406" s="531"/>
      <c r="AA406" s="531"/>
      <c r="AB406" s="531"/>
      <c r="AC406" s="531"/>
      <c r="AD406" s="531"/>
      <c r="AE406" s="531"/>
      <c r="AF406" s="531"/>
      <c r="AG406" s="531"/>
      <c r="AH406" s="531"/>
      <c r="AI406" s="531"/>
      <c r="AJ406" s="531"/>
      <c r="AK406" s="531"/>
      <c r="AL406" s="531"/>
      <c r="AM406" s="531"/>
      <c r="AN406" s="531"/>
      <c r="AO406" s="531"/>
      <c r="AR406" s="761" t="s">
        <v>145</v>
      </c>
      <c r="AS406" s="764"/>
    </row>
    <row r="407" spans="1:45" s="520" customFormat="1" ht="12" thickTop="1">
      <c r="A407" s="51"/>
      <c r="B407" s="41"/>
      <c r="C407" s="51"/>
      <c r="E407" s="42" t="s">
        <v>138</v>
      </c>
      <c r="F407" s="42" t="s">
        <v>139</v>
      </c>
      <c r="G407" s="51"/>
      <c r="H407" s="51"/>
      <c r="I407" s="51"/>
      <c r="J407" s="51"/>
      <c r="K407" s="51" t="s">
        <v>140</v>
      </c>
      <c r="L407" s="51"/>
      <c r="M407" s="51"/>
      <c r="N407" s="51"/>
      <c r="O407" s="52"/>
      <c r="P407" s="51"/>
      <c r="Q407" s="51"/>
      <c r="R407" s="51"/>
      <c r="S407" s="51"/>
      <c r="T407" s="41"/>
      <c r="AG407" s="521" t="s">
        <v>268</v>
      </c>
      <c r="AH407" s="521" t="s">
        <v>269</v>
      </c>
      <c r="AI407" s="521" t="s">
        <v>270</v>
      </c>
      <c r="AJ407" s="521" t="s">
        <v>271</v>
      </c>
      <c r="AK407" s="521" t="s">
        <v>272</v>
      </c>
      <c r="AM407" s="745" t="s">
        <v>281</v>
      </c>
      <c r="AN407" s="746" t="s">
        <v>282</v>
      </c>
      <c r="AO407" s="522" t="s">
        <v>278</v>
      </c>
      <c r="AR407" s="51"/>
      <c r="AS407" s="42" t="s">
        <v>139</v>
      </c>
    </row>
    <row r="408" spans="1:45" s="520" customFormat="1" ht="12" customHeight="1">
      <c r="A408" s="747">
        <v>1</v>
      </c>
      <c r="B408" s="523" t="s">
        <v>141</v>
      </c>
      <c r="C408" s="748"/>
      <c r="D408" s="749" t="s">
        <v>1123</v>
      </c>
      <c r="E408" s="1419">
        <f>IF(AND($A408=0,$A$1="DIF"),0, ROUND(ROUND(($R416*$S$9+($T416*$T$9))/$A408,2)*$C$9,2))</f>
        <v>1195.5899999999999</v>
      </c>
      <c r="F408" s="1420">
        <f>ROUND($A408*$E408,2)</f>
        <v>1195.5899999999999</v>
      </c>
      <c r="G408" s="752" t="s">
        <v>142</v>
      </c>
      <c r="H408" s="753"/>
      <c r="I408" s="754"/>
      <c r="J408" s="753"/>
      <c r="K408" s="753" t="s">
        <v>16</v>
      </c>
      <c r="L408" s="755" t="s">
        <v>143</v>
      </c>
      <c r="M408" s="755"/>
      <c r="N408" s="755"/>
      <c r="O408" s="755"/>
      <c r="P408" s="755"/>
      <c r="Q408" s="51"/>
      <c r="T408" s="1424" t="str">
        <f>IF(AND($R416=0,$T416=0),"0.00","mu: "&amp; ROUND(F408/$C$9/($R416+$T416*$D$9),2))</f>
        <v>mu: 1.18</v>
      </c>
      <c r="W408" s="524"/>
      <c r="AG408" s="1421">
        <f>IF($E408=0,0,ROUND($R416*$S$9*$C$9/$A408,2))</f>
        <v>858.9</v>
      </c>
      <c r="AH408" s="1421">
        <f>$AG408*$A408</f>
        <v>858.9</v>
      </c>
      <c r="AI408" s="1422">
        <f>$E408-$AG408</f>
        <v>336.68999999999994</v>
      </c>
      <c r="AJ408" s="1422">
        <f>$A408*$AI408</f>
        <v>336.68999999999994</v>
      </c>
      <c r="AK408" s="1423">
        <f>ROUND(($AG408+$AI408)*$A408,2)</f>
        <v>1195.5899999999999</v>
      </c>
      <c r="AM408" s="527">
        <f>ROUND(R416,2)</f>
        <v>727.85</v>
      </c>
      <c r="AN408" s="528">
        <f>ROUND(T416,2)</f>
        <v>10.39</v>
      </c>
      <c r="AO408" s="529">
        <f>ROUND(AM408+AN408,2)*A408</f>
        <v>738.24</v>
      </c>
      <c r="AR408" s="747">
        <v>1</v>
      </c>
      <c r="AS408" s="751">
        <v>1286.6099999999999</v>
      </c>
    </row>
    <row r="409" spans="1:45" s="520" customFormat="1" ht="39.9" customHeight="1">
      <c r="A409" s="748"/>
      <c r="B409"/>
      <c r="C409" s="748"/>
      <c r="D409" s="1451" t="s">
        <v>1124</v>
      </c>
      <c r="E409" s="1452"/>
      <c r="F409" s="1452"/>
      <c r="G409" s="1452"/>
      <c r="H409" s="1452"/>
      <c r="I409" s="1452"/>
      <c r="J409" s="1452"/>
      <c r="K409" s="1452"/>
      <c r="L409" s="1452"/>
      <c r="M409" s="1452"/>
      <c r="N409" s="1452"/>
      <c r="O409" s="1452"/>
      <c r="P409" s="1452"/>
      <c r="Q409" s="1452"/>
      <c r="R409" s="1452"/>
      <c r="S409" s="1452"/>
      <c r="T409" s="1452"/>
      <c r="AR409" s="748"/>
    </row>
    <row r="410" spans="1:45" s="901" customFormat="1" ht="13.2">
      <c r="A410">
        <v>1</v>
      </c>
      <c r="B410" s="901" t="s">
        <v>141</v>
      </c>
      <c r="D410" s="901" t="s">
        <v>2815</v>
      </c>
      <c r="F410" s="1054" t="s">
        <v>2816</v>
      </c>
      <c r="G410" s="941" t="s">
        <v>2779</v>
      </c>
      <c r="H410" s="942">
        <v>510</v>
      </c>
      <c r="I410" s="901" t="s">
        <v>2607</v>
      </c>
      <c r="K410" s="901" t="s">
        <v>2744</v>
      </c>
      <c r="O410" s="943">
        <v>2</v>
      </c>
      <c r="P410" s="944"/>
      <c r="Q410" s="945">
        <v>694.34</v>
      </c>
      <c r="R410" s="946">
        <f t="shared" ref="R410:R415" si="72">$A410*Q410</f>
        <v>694.34</v>
      </c>
      <c r="S410" s="945">
        <f>2+(10*0.75)+2</f>
        <v>11.5</v>
      </c>
      <c r="T410" s="947">
        <f t="shared" ref="T410:T415" si="73">$A410*S410*$T$1</f>
        <v>10.35</v>
      </c>
      <c r="AR410">
        <v>1</v>
      </c>
      <c r="AS410" s="1054" t="s">
        <v>2816</v>
      </c>
    </row>
    <row r="411" spans="1:45" s="520" customFormat="1" ht="13.2">
      <c r="A411" s="116">
        <v>1</v>
      </c>
      <c r="B411" s="901" t="s">
        <v>141</v>
      </c>
      <c r="C411" s="901"/>
      <c r="D411" s="901" t="s">
        <v>2780</v>
      </c>
      <c r="E411" s="901"/>
      <c r="F411" s="901"/>
      <c r="G411" s="941" t="s">
        <v>2781</v>
      </c>
      <c r="H411" s="942">
        <v>875</v>
      </c>
      <c r="I411" s="901" t="s">
        <v>2607</v>
      </c>
      <c r="J411" s="901"/>
      <c r="K411" s="758"/>
      <c r="L411" s="901"/>
      <c r="M411" s="901"/>
      <c r="N411" s="901"/>
      <c r="O411" s="943">
        <v>3</v>
      </c>
      <c r="P411" s="944">
        <v>34820</v>
      </c>
      <c r="Q411" s="945">
        <v>7</v>
      </c>
      <c r="R411" s="946">
        <f t="shared" si="72"/>
        <v>7</v>
      </c>
      <c r="S411" s="945">
        <f>0.9 *(0.05)</f>
        <v>4.5000000000000005E-2</v>
      </c>
      <c r="T411" s="947">
        <f t="shared" si="73"/>
        <v>4.0500000000000008E-2</v>
      </c>
      <c r="AR411" s="116">
        <v>1</v>
      </c>
      <c r="AS411" s="901"/>
    </row>
    <row r="412" spans="1:45" s="520" customFormat="1" ht="13.2">
      <c r="A412" s="116">
        <v>1</v>
      </c>
      <c r="B412" s="901" t="s">
        <v>141</v>
      </c>
      <c r="C412" s="901"/>
      <c r="D412" s="901" t="s">
        <v>2782</v>
      </c>
      <c r="E412" s="901"/>
      <c r="F412" s="901"/>
      <c r="G412" s="941" t="s">
        <v>2783</v>
      </c>
      <c r="H412" s="942">
        <v>880</v>
      </c>
      <c r="I412" s="901" t="s">
        <v>2607</v>
      </c>
      <c r="J412" s="901"/>
      <c r="K412" s="758"/>
      <c r="L412" s="901"/>
      <c r="M412" s="901"/>
      <c r="N412" s="901"/>
      <c r="O412" s="943">
        <v>3</v>
      </c>
      <c r="P412" s="944">
        <v>35443</v>
      </c>
      <c r="Q412" s="945">
        <f>0.9 *(4.66)</f>
        <v>4.194</v>
      </c>
      <c r="R412" s="946">
        <f t="shared" si="72"/>
        <v>4.194</v>
      </c>
      <c r="S412" s="945"/>
      <c r="T412" s="947">
        <f t="shared" si="73"/>
        <v>0</v>
      </c>
      <c r="AR412" s="116">
        <v>1</v>
      </c>
      <c r="AS412" s="901"/>
    </row>
    <row r="413" spans="1:45" s="901" customFormat="1" ht="13.2">
      <c r="A413">
        <v>1</v>
      </c>
      <c r="B413" s="901" t="s">
        <v>141</v>
      </c>
      <c r="D413" s="901" t="s">
        <v>2758</v>
      </c>
      <c r="F413" s="901" t="s">
        <v>2784</v>
      </c>
      <c r="G413" s="941" t="s">
        <v>2760</v>
      </c>
      <c r="H413" s="942">
        <v>501</v>
      </c>
      <c r="I413" s="901" t="s">
        <v>2607</v>
      </c>
      <c r="K413" s="901" t="s">
        <v>2761</v>
      </c>
      <c r="O413" s="943">
        <v>1</v>
      </c>
      <c r="P413" s="944"/>
      <c r="Q413" s="945">
        <v>20</v>
      </c>
      <c r="R413" s="946">
        <f t="shared" si="72"/>
        <v>20</v>
      </c>
      <c r="S413" s="945"/>
      <c r="T413" s="947">
        <f t="shared" si="73"/>
        <v>0</v>
      </c>
      <c r="AR413">
        <v>1</v>
      </c>
      <c r="AS413" s="901" t="s">
        <v>2784</v>
      </c>
    </row>
    <row r="414" spans="1:45" s="901" customFormat="1" ht="13.2">
      <c r="A414" s="116">
        <v>4</v>
      </c>
      <c r="B414" s="901" t="s">
        <v>141</v>
      </c>
      <c r="D414" s="901" t="s">
        <v>2785</v>
      </c>
      <c r="G414" s="941" t="s">
        <v>2786</v>
      </c>
      <c r="H414" s="942">
        <v>875</v>
      </c>
      <c r="I414" s="901" t="s">
        <v>2607</v>
      </c>
      <c r="K414" s="901" t="s">
        <v>2787</v>
      </c>
      <c r="O414" s="943">
        <v>1</v>
      </c>
      <c r="P414" s="944">
        <v>34669</v>
      </c>
      <c r="Q414" s="945">
        <v>0.57999999999999996</v>
      </c>
      <c r="R414" s="946">
        <f t="shared" si="72"/>
        <v>2.3199999999999998</v>
      </c>
      <c r="S414" s="945"/>
      <c r="T414" s="947">
        <f t="shared" si="73"/>
        <v>0</v>
      </c>
      <c r="AR414" s="116">
        <v>4</v>
      </c>
    </row>
    <row r="415" spans="1:45" s="520" customFormat="1" ht="12">
      <c r="A415" s="758"/>
      <c r="B415" s="758"/>
      <c r="C415" s="758"/>
      <c r="D415" s="758"/>
      <c r="E415" s="758"/>
      <c r="F415" s="753"/>
      <c r="G415" s="758"/>
      <c r="H415" s="758"/>
      <c r="I415" s="519"/>
      <c r="J415" s="758"/>
      <c r="K415" s="758"/>
      <c r="L415" s="758"/>
      <c r="M415" s="758"/>
      <c r="N415" s="758"/>
      <c r="O415" s="758"/>
      <c r="P415" s="758"/>
      <c r="Q415" s="519"/>
      <c r="R415" s="759">
        <f t="shared" si="72"/>
        <v>0</v>
      </c>
      <c r="S415" s="519"/>
      <c r="T415" s="760">
        <f t="shared" si="73"/>
        <v>0</v>
      </c>
      <c r="AR415" s="758"/>
      <c r="AS415" s="753"/>
    </row>
    <row r="416" spans="1:45" s="520" customFormat="1" ht="12.6" thickBot="1">
      <c r="A416" s="761" t="s">
        <v>145</v>
      </c>
      <c r="B416" s="762">
        <f>(R415+T415)</f>
        <v>0</v>
      </c>
      <c r="C416" s="763"/>
      <c r="D416" s="763"/>
      <c r="E416" s="763"/>
      <c r="F416" s="764"/>
      <c r="G416" s="763" t="s">
        <v>146</v>
      </c>
      <c r="H416" s="763"/>
      <c r="I416" s="765"/>
      <c r="J416" s="763"/>
      <c r="K416" s="763" t="s">
        <v>16</v>
      </c>
      <c r="L416" s="766" t="s">
        <v>143</v>
      </c>
      <c r="M416" s="766"/>
      <c r="N416" s="766"/>
      <c r="O416" s="766"/>
      <c r="P416" s="766"/>
      <c r="Q416" s="767"/>
      <c r="R416" s="768">
        <f>SUM(R409:R415)</f>
        <v>727.85400000000004</v>
      </c>
      <c r="S416" s="763"/>
      <c r="T416" s="768">
        <f>SUM(T409:T415)</f>
        <v>10.390499999999999</v>
      </c>
      <c r="U416" s="531"/>
      <c r="V416" s="531"/>
      <c r="W416" s="531"/>
      <c r="X416" s="531"/>
      <c r="Y416" s="531"/>
      <c r="Z416" s="531"/>
      <c r="AA416" s="531"/>
      <c r="AB416" s="531"/>
      <c r="AC416" s="531"/>
      <c r="AD416" s="531"/>
      <c r="AE416" s="531"/>
      <c r="AF416" s="531"/>
      <c r="AG416" s="531"/>
      <c r="AH416" s="531"/>
      <c r="AI416" s="531"/>
      <c r="AJ416" s="531"/>
      <c r="AK416" s="531"/>
      <c r="AL416" s="531"/>
      <c r="AM416" s="531"/>
      <c r="AN416" s="531"/>
      <c r="AO416" s="531"/>
      <c r="AR416" s="761" t="s">
        <v>145</v>
      </c>
      <c r="AS416" s="764"/>
    </row>
    <row r="417" spans="1:45" s="520" customFormat="1" ht="12" thickTop="1">
      <c r="A417" s="51"/>
      <c r="B417" s="41"/>
      <c r="C417" s="51"/>
      <c r="E417" s="42" t="s">
        <v>138</v>
      </c>
      <c r="F417" s="42" t="s">
        <v>139</v>
      </c>
      <c r="G417" s="51"/>
      <c r="H417" s="51"/>
      <c r="I417" s="51"/>
      <c r="J417" s="51"/>
      <c r="K417" s="51" t="s">
        <v>140</v>
      </c>
      <c r="L417" s="51"/>
      <c r="M417" s="51"/>
      <c r="N417" s="51"/>
      <c r="O417" s="52"/>
      <c r="P417" s="51"/>
      <c r="Q417" s="51"/>
      <c r="R417" s="51"/>
      <c r="S417" s="51"/>
      <c r="T417" s="41"/>
      <c r="AG417" s="521" t="s">
        <v>268</v>
      </c>
      <c r="AH417" s="521" t="s">
        <v>269</v>
      </c>
      <c r="AI417" s="521" t="s">
        <v>270</v>
      </c>
      <c r="AJ417" s="521" t="s">
        <v>271</v>
      </c>
      <c r="AK417" s="521" t="s">
        <v>272</v>
      </c>
      <c r="AM417" s="745" t="s">
        <v>281</v>
      </c>
      <c r="AN417" s="746" t="s">
        <v>282</v>
      </c>
      <c r="AO417" s="522" t="s">
        <v>278</v>
      </c>
      <c r="AR417" s="51"/>
      <c r="AS417" s="42" t="s">
        <v>139</v>
      </c>
    </row>
    <row r="418" spans="1:45" s="520" customFormat="1" ht="12" customHeight="1">
      <c r="A418" s="747">
        <v>1</v>
      </c>
      <c r="B418" s="523" t="s">
        <v>141</v>
      </c>
      <c r="C418" s="748"/>
      <c r="D418" s="749" t="s">
        <v>1125</v>
      </c>
      <c r="E418" s="1419">
        <f>IF(AND($A418=0,$A$1="DIF"),0, ROUND(ROUND(($R426*$S$9+($T426*$T$9))/$A418,2)*$C$9,2))</f>
        <v>1873.24</v>
      </c>
      <c r="F418" s="1420">
        <f>ROUND($A418*$E418,2)</f>
        <v>1873.24</v>
      </c>
      <c r="G418" s="752" t="s">
        <v>142</v>
      </c>
      <c r="H418" s="753"/>
      <c r="I418" s="754"/>
      <c r="J418" s="753"/>
      <c r="K418" s="753" t="s">
        <v>16</v>
      </c>
      <c r="L418" s="755" t="s">
        <v>143</v>
      </c>
      <c r="M418" s="755"/>
      <c r="N418" s="755"/>
      <c r="O418" s="755"/>
      <c r="P418" s="755"/>
      <c r="Q418" s="51"/>
      <c r="T418" s="1424" t="str">
        <f>IF(AND($R426=0,$T426=0),"0.00","mu: "&amp; ROUND(F418/$C$9/($R426+$T426*$D$9),2))</f>
        <v>mu: 1.18</v>
      </c>
      <c r="W418" s="524"/>
      <c r="AG418" s="1421">
        <f>IF($E418=0,0,ROUND($R426*$S$9*$C$9/$A418,2))</f>
        <v>1405.31</v>
      </c>
      <c r="AH418" s="1421">
        <f>$AG418*$A418</f>
        <v>1405.31</v>
      </c>
      <c r="AI418" s="1422">
        <f>$E418-$AG418</f>
        <v>467.93000000000006</v>
      </c>
      <c r="AJ418" s="1422">
        <f>$A418*$AI418</f>
        <v>467.93000000000006</v>
      </c>
      <c r="AK418" s="1423">
        <f>ROUND(($AG418+$AI418)*$A418,2)</f>
        <v>1873.24</v>
      </c>
      <c r="AM418" s="527">
        <f>ROUND(R426,2)</f>
        <v>1190.9000000000001</v>
      </c>
      <c r="AN418" s="528">
        <f>ROUND(T426,2)</f>
        <v>14.44</v>
      </c>
      <c r="AO418" s="529">
        <f>ROUND(AM418+AN418,2)*A418</f>
        <v>1205.3399999999999</v>
      </c>
      <c r="AR418" s="747">
        <v>1</v>
      </c>
      <c r="AS418" s="751">
        <v>2008.94</v>
      </c>
    </row>
    <row r="419" spans="1:45" s="520" customFormat="1" ht="39.9" customHeight="1">
      <c r="A419" s="748"/>
      <c r="B419"/>
      <c r="C419" s="748"/>
      <c r="D419" s="1451" t="s">
        <v>1126</v>
      </c>
      <c r="E419" s="1452"/>
      <c r="F419" s="1452"/>
      <c r="G419" s="1452"/>
      <c r="H419" s="1452"/>
      <c r="I419" s="1452"/>
      <c r="J419" s="1452"/>
      <c r="K419" s="1452"/>
      <c r="L419" s="1452"/>
      <c r="M419" s="1452"/>
      <c r="N419" s="1452"/>
      <c r="O419" s="1452"/>
      <c r="P419" s="1452"/>
      <c r="Q419" s="1452"/>
      <c r="R419" s="1452"/>
      <c r="S419" s="1452"/>
      <c r="T419" s="1452"/>
      <c r="AR419" s="748"/>
    </row>
    <row r="420" spans="1:45" s="901" customFormat="1" ht="13.2">
      <c r="A420">
        <v>1</v>
      </c>
      <c r="B420" s="901" t="s">
        <v>141</v>
      </c>
      <c r="D420" s="901" t="s">
        <v>2818</v>
      </c>
      <c r="F420" s="1054" t="s">
        <v>2817</v>
      </c>
      <c r="G420" s="941" t="s">
        <v>2779</v>
      </c>
      <c r="H420" s="942">
        <v>510</v>
      </c>
      <c r="I420" s="901" t="s">
        <v>2607</v>
      </c>
      <c r="K420" s="901" t="s">
        <v>2744</v>
      </c>
      <c r="O420" s="943">
        <v>2</v>
      </c>
      <c r="P420" s="944"/>
      <c r="Q420" s="945">
        <v>1157.3900000000001</v>
      </c>
      <c r="R420" s="946">
        <f t="shared" ref="R420:R425" si="74">$A420*Q420</f>
        <v>1157.3900000000001</v>
      </c>
      <c r="S420" s="945">
        <f>2+(16*0.75)+2</f>
        <v>16</v>
      </c>
      <c r="T420" s="947">
        <f t="shared" ref="T420:T425" si="75">$A420*S420*$T$1</f>
        <v>14.4</v>
      </c>
      <c r="AR420">
        <v>1</v>
      </c>
      <c r="AS420" s="1054" t="s">
        <v>2817</v>
      </c>
    </row>
    <row r="421" spans="1:45" s="520" customFormat="1" ht="13.2">
      <c r="A421" s="116">
        <v>1</v>
      </c>
      <c r="B421" s="901" t="s">
        <v>141</v>
      </c>
      <c r="C421" s="901"/>
      <c r="D421" s="901" t="s">
        <v>2780</v>
      </c>
      <c r="E421" s="901"/>
      <c r="F421" s="901"/>
      <c r="G421" s="941" t="s">
        <v>2781</v>
      </c>
      <c r="H421" s="942">
        <v>875</v>
      </c>
      <c r="I421" s="901" t="s">
        <v>2607</v>
      </c>
      <c r="J421" s="901"/>
      <c r="K421" s="758"/>
      <c r="L421" s="901"/>
      <c r="M421" s="901"/>
      <c r="N421" s="901"/>
      <c r="O421" s="943">
        <v>3</v>
      </c>
      <c r="P421" s="944">
        <v>34820</v>
      </c>
      <c r="Q421" s="945">
        <v>7</v>
      </c>
      <c r="R421" s="946">
        <f t="shared" si="74"/>
        <v>7</v>
      </c>
      <c r="S421" s="945">
        <f>0.9 *(0.05)</f>
        <v>4.5000000000000005E-2</v>
      </c>
      <c r="T421" s="947">
        <f t="shared" si="75"/>
        <v>4.0500000000000008E-2</v>
      </c>
      <c r="AR421" s="116">
        <v>1</v>
      </c>
      <c r="AS421" s="901"/>
    </row>
    <row r="422" spans="1:45" s="520" customFormat="1" ht="13.2">
      <c r="A422" s="116">
        <v>1</v>
      </c>
      <c r="B422" s="901" t="s">
        <v>141</v>
      </c>
      <c r="C422" s="901"/>
      <c r="D422" s="901" t="s">
        <v>2782</v>
      </c>
      <c r="E422" s="901"/>
      <c r="F422" s="901"/>
      <c r="G422" s="941" t="s">
        <v>2783</v>
      </c>
      <c r="H422" s="942">
        <v>880</v>
      </c>
      <c r="I422" s="901" t="s">
        <v>2607</v>
      </c>
      <c r="J422" s="901"/>
      <c r="K422" s="758"/>
      <c r="L422" s="901"/>
      <c r="M422" s="901"/>
      <c r="N422" s="901"/>
      <c r="O422" s="943">
        <v>3</v>
      </c>
      <c r="P422" s="944">
        <v>35443</v>
      </c>
      <c r="Q422" s="945">
        <f>0.9 *(4.66)</f>
        <v>4.194</v>
      </c>
      <c r="R422" s="946">
        <f t="shared" si="74"/>
        <v>4.194</v>
      </c>
      <c r="S422" s="945"/>
      <c r="T422" s="947">
        <f t="shared" si="75"/>
        <v>0</v>
      </c>
      <c r="AR422" s="116">
        <v>1</v>
      </c>
      <c r="AS422" s="901"/>
    </row>
    <row r="423" spans="1:45" s="901" customFormat="1" ht="13.2">
      <c r="A423">
        <v>1</v>
      </c>
      <c r="B423" s="901" t="s">
        <v>141</v>
      </c>
      <c r="D423" s="901" t="s">
        <v>2758</v>
      </c>
      <c r="F423" s="901" t="s">
        <v>2784</v>
      </c>
      <c r="G423" s="941" t="s">
        <v>2760</v>
      </c>
      <c r="H423" s="942">
        <v>501</v>
      </c>
      <c r="I423" s="901" t="s">
        <v>2607</v>
      </c>
      <c r="K423" s="901" t="s">
        <v>2761</v>
      </c>
      <c r="O423" s="943">
        <v>1</v>
      </c>
      <c r="P423" s="944"/>
      <c r="Q423" s="945">
        <v>20</v>
      </c>
      <c r="R423" s="946">
        <f t="shared" si="74"/>
        <v>20</v>
      </c>
      <c r="S423" s="945"/>
      <c r="T423" s="947">
        <f t="shared" si="75"/>
        <v>0</v>
      </c>
      <c r="AR423">
        <v>1</v>
      </c>
      <c r="AS423" s="901" t="s">
        <v>2784</v>
      </c>
    </row>
    <row r="424" spans="1:45" s="901" customFormat="1" ht="13.2">
      <c r="A424" s="116">
        <v>4</v>
      </c>
      <c r="B424" s="901" t="s">
        <v>141</v>
      </c>
      <c r="D424" s="901" t="s">
        <v>2785</v>
      </c>
      <c r="G424" s="941" t="s">
        <v>2786</v>
      </c>
      <c r="H424" s="942">
        <v>875</v>
      </c>
      <c r="I424" s="901" t="s">
        <v>2607</v>
      </c>
      <c r="K424" s="901" t="s">
        <v>2787</v>
      </c>
      <c r="O424" s="943">
        <v>1</v>
      </c>
      <c r="P424" s="944">
        <v>34669</v>
      </c>
      <c r="Q424" s="945">
        <v>0.57999999999999996</v>
      </c>
      <c r="R424" s="946">
        <f t="shared" si="74"/>
        <v>2.3199999999999998</v>
      </c>
      <c r="S424" s="945"/>
      <c r="T424" s="947">
        <f t="shared" si="75"/>
        <v>0</v>
      </c>
      <c r="AR424" s="116">
        <v>4</v>
      </c>
    </row>
    <row r="425" spans="1:45" s="520" customFormat="1" ht="12">
      <c r="A425" s="758"/>
      <c r="B425" s="758"/>
      <c r="C425" s="758"/>
      <c r="D425" s="758"/>
      <c r="E425" s="758"/>
      <c r="F425" s="753"/>
      <c r="G425" s="758"/>
      <c r="H425" s="758"/>
      <c r="I425" s="519"/>
      <c r="J425" s="758"/>
      <c r="K425" s="758"/>
      <c r="L425" s="758"/>
      <c r="M425" s="758"/>
      <c r="N425" s="758"/>
      <c r="O425" s="758"/>
      <c r="P425" s="758"/>
      <c r="Q425" s="519"/>
      <c r="R425" s="759">
        <f t="shared" si="74"/>
        <v>0</v>
      </c>
      <c r="S425" s="519"/>
      <c r="T425" s="760">
        <f t="shared" si="75"/>
        <v>0</v>
      </c>
      <c r="AR425" s="758"/>
      <c r="AS425" s="753"/>
    </row>
    <row r="426" spans="1:45" s="520" customFormat="1" ht="12.6" thickBot="1">
      <c r="A426" s="761" t="s">
        <v>145</v>
      </c>
      <c r="B426" s="762">
        <f>(R425+T425)</f>
        <v>0</v>
      </c>
      <c r="C426" s="763"/>
      <c r="D426" s="763"/>
      <c r="E426" s="763"/>
      <c r="F426" s="764"/>
      <c r="G426" s="763" t="s">
        <v>146</v>
      </c>
      <c r="H426" s="763"/>
      <c r="I426" s="765"/>
      <c r="J426" s="763"/>
      <c r="K426" s="763" t="s">
        <v>16</v>
      </c>
      <c r="L426" s="766" t="s">
        <v>143</v>
      </c>
      <c r="M426" s="766"/>
      <c r="N426" s="766"/>
      <c r="O426" s="766"/>
      <c r="P426" s="766"/>
      <c r="Q426" s="767"/>
      <c r="R426" s="768">
        <f>SUM(R419:R425)</f>
        <v>1190.904</v>
      </c>
      <c r="S426" s="763"/>
      <c r="T426" s="768">
        <f>SUM(T419:T425)</f>
        <v>14.4405</v>
      </c>
      <c r="U426" s="531"/>
      <c r="V426" s="531"/>
      <c r="W426" s="531"/>
      <c r="X426" s="531"/>
      <c r="Y426" s="531"/>
      <c r="Z426" s="531"/>
      <c r="AA426" s="531"/>
      <c r="AB426" s="531"/>
      <c r="AC426" s="531"/>
      <c r="AD426" s="531"/>
      <c r="AE426" s="531"/>
      <c r="AF426" s="531"/>
      <c r="AG426" s="531"/>
      <c r="AH426" s="531"/>
      <c r="AI426" s="531"/>
      <c r="AJ426" s="531"/>
      <c r="AK426" s="531"/>
      <c r="AL426" s="531"/>
      <c r="AM426" s="531"/>
      <c r="AN426" s="531"/>
      <c r="AO426" s="531"/>
      <c r="AR426" s="761" t="s">
        <v>145</v>
      </c>
      <c r="AS426" s="764"/>
    </row>
    <row r="427" spans="1:45" s="520" customFormat="1" ht="12" thickTop="1">
      <c r="A427" s="51"/>
      <c r="B427" s="41"/>
      <c r="C427" s="51"/>
      <c r="E427" s="42" t="s">
        <v>138</v>
      </c>
      <c r="F427" s="42" t="s">
        <v>139</v>
      </c>
      <c r="G427" s="51"/>
      <c r="H427" s="51"/>
      <c r="I427" s="51"/>
      <c r="J427" s="51"/>
      <c r="K427" s="51" t="s">
        <v>140</v>
      </c>
      <c r="L427" s="51"/>
      <c r="M427" s="51"/>
      <c r="N427" s="51"/>
      <c r="O427" s="52"/>
      <c r="P427" s="51"/>
      <c r="Q427" s="51"/>
      <c r="R427" s="51"/>
      <c r="S427" s="51"/>
      <c r="T427" s="41"/>
      <c r="AG427" s="521" t="s">
        <v>268</v>
      </c>
      <c r="AH427" s="521" t="s">
        <v>269</v>
      </c>
      <c r="AI427" s="521" t="s">
        <v>270</v>
      </c>
      <c r="AJ427" s="521" t="s">
        <v>271</v>
      </c>
      <c r="AK427" s="521" t="s">
        <v>272</v>
      </c>
      <c r="AM427" s="745" t="s">
        <v>281</v>
      </c>
      <c r="AN427" s="746" t="s">
        <v>282</v>
      </c>
      <c r="AO427" s="522" t="s">
        <v>278</v>
      </c>
      <c r="AR427" s="51"/>
      <c r="AS427" s="42" t="s">
        <v>139</v>
      </c>
    </row>
    <row r="428" spans="1:45" s="520" customFormat="1" ht="12" customHeight="1">
      <c r="A428" s="747">
        <v>1</v>
      </c>
      <c r="B428" s="523" t="s">
        <v>141</v>
      </c>
      <c r="C428" s="748"/>
      <c r="D428" s="749" t="s">
        <v>1127</v>
      </c>
      <c r="E428" s="1419">
        <f>IF(AND($A428=0,$A$1="DIF"),0, ROUND(ROUND(($R436*$S$9+($T436*$T$9))/$A428,2)*$C$9,2))</f>
        <v>5705.4</v>
      </c>
      <c r="F428" s="1420">
        <f>ROUND($A428*$E428,2)</f>
        <v>5705.4</v>
      </c>
      <c r="G428" s="752" t="s">
        <v>142</v>
      </c>
      <c r="H428" s="753"/>
      <c r="I428" s="754"/>
      <c r="J428" s="753"/>
      <c r="K428" s="753" t="s">
        <v>16</v>
      </c>
      <c r="L428" s="755" t="s">
        <v>143</v>
      </c>
      <c r="M428" s="755"/>
      <c r="N428" s="755"/>
      <c r="O428" s="755"/>
      <c r="P428" s="755"/>
      <c r="Q428" s="51"/>
      <c r="T428" s="1424" t="str">
        <f>IF(AND($R436=0,$T436=0),"0.00","mu: "&amp; ROUND(F428/$C$9/($R436+$T436*$D$9),2))</f>
        <v>mu: 1.18</v>
      </c>
      <c r="W428" s="524"/>
      <c r="AG428" s="1421">
        <f>IF($E428=0,0,ROUND($R436*$S$9*$C$9/$A428,2))</f>
        <v>5310.38</v>
      </c>
      <c r="AH428" s="1421">
        <f>$AG428*$A428</f>
        <v>5310.38</v>
      </c>
      <c r="AI428" s="1422">
        <f>$E428-$AG428</f>
        <v>395.01999999999953</v>
      </c>
      <c r="AJ428" s="1422">
        <f>$A428*$AI428</f>
        <v>395.01999999999953</v>
      </c>
      <c r="AK428" s="1423">
        <f>ROUND(($AG428+$AI428)*$A428,2)</f>
        <v>5705.4</v>
      </c>
      <c r="AM428" s="527">
        <f>ROUND(R436,2)</f>
        <v>4500.17</v>
      </c>
      <c r="AN428" s="528">
        <f>ROUND(T436,2)</f>
        <v>12.19</v>
      </c>
      <c r="AO428" s="529">
        <f>ROUND(AM428+AN428,2)*A428</f>
        <v>4512.3599999999997</v>
      </c>
      <c r="AR428" s="747">
        <v>1</v>
      </c>
      <c r="AS428" s="751">
        <v>5999.26</v>
      </c>
    </row>
    <row r="429" spans="1:45" s="520" customFormat="1" ht="39.9" customHeight="1">
      <c r="A429" s="748"/>
      <c r="B429"/>
      <c r="C429" s="748"/>
      <c r="D429" s="1451" t="s">
        <v>1128</v>
      </c>
      <c r="E429" s="1452"/>
      <c r="F429" s="1452"/>
      <c r="G429" s="1452"/>
      <c r="H429" s="1452"/>
      <c r="I429" s="1452"/>
      <c r="J429" s="1452"/>
      <c r="K429" s="1452"/>
      <c r="L429" s="1452"/>
      <c r="M429" s="1452"/>
      <c r="N429" s="1452"/>
      <c r="O429" s="1452"/>
      <c r="P429" s="1452"/>
      <c r="Q429" s="1452"/>
      <c r="R429" s="1452"/>
      <c r="S429" s="1452"/>
      <c r="T429" s="1452"/>
      <c r="AR429" s="748"/>
    </row>
    <row r="430" spans="1:45" s="901" customFormat="1" ht="13.2">
      <c r="A430">
        <v>1</v>
      </c>
      <c r="B430" s="901" t="s">
        <v>141</v>
      </c>
      <c r="D430" s="901" t="s">
        <v>2822</v>
      </c>
      <c r="F430" s="1054" t="s">
        <v>2823</v>
      </c>
      <c r="G430" s="941" t="s">
        <v>2779</v>
      </c>
      <c r="H430" s="942">
        <v>510</v>
      </c>
      <c r="I430" s="901" t="s">
        <v>2607</v>
      </c>
      <c r="K430" s="901" t="s">
        <v>2744</v>
      </c>
      <c r="O430" s="943">
        <v>2</v>
      </c>
      <c r="P430" s="944"/>
      <c r="Q430" s="945">
        <v>4466.66</v>
      </c>
      <c r="R430" s="946">
        <f t="shared" ref="R430:R435" si="76">$A430*Q430</f>
        <v>4466.66</v>
      </c>
      <c r="S430" s="945">
        <f>2+(10*0.75)+2+2</f>
        <v>13.5</v>
      </c>
      <c r="T430" s="947">
        <f t="shared" ref="T430:T435" si="77">$A430*S430*$T$1</f>
        <v>12.15</v>
      </c>
      <c r="AR430">
        <v>1</v>
      </c>
      <c r="AS430" s="1054" t="s">
        <v>2823</v>
      </c>
    </row>
    <row r="431" spans="1:45" s="520" customFormat="1" ht="13.2">
      <c r="A431" s="116">
        <v>1</v>
      </c>
      <c r="B431" s="901" t="s">
        <v>141</v>
      </c>
      <c r="C431" s="901"/>
      <c r="D431" s="901" t="s">
        <v>2780</v>
      </c>
      <c r="E431" s="901"/>
      <c r="F431" s="901"/>
      <c r="G431" s="941" t="s">
        <v>2781</v>
      </c>
      <c r="H431" s="942">
        <v>875</v>
      </c>
      <c r="I431" s="901" t="s">
        <v>2607</v>
      </c>
      <c r="J431" s="901"/>
      <c r="K431" s="758"/>
      <c r="L431" s="901"/>
      <c r="M431" s="901"/>
      <c r="N431" s="901"/>
      <c r="O431" s="943">
        <v>3</v>
      </c>
      <c r="P431" s="944">
        <v>34820</v>
      </c>
      <c r="Q431" s="945">
        <v>7</v>
      </c>
      <c r="R431" s="946">
        <f t="shared" si="76"/>
        <v>7</v>
      </c>
      <c r="S431" s="945">
        <f>0.9 *(0.05)</f>
        <v>4.5000000000000005E-2</v>
      </c>
      <c r="T431" s="947">
        <f t="shared" si="77"/>
        <v>4.0500000000000008E-2</v>
      </c>
      <c r="AR431" s="116">
        <v>1</v>
      </c>
      <c r="AS431" s="901"/>
    </row>
    <row r="432" spans="1:45" s="520" customFormat="1" ht="13.2">
      <c r="A432" s="116">
        <v>1</v>
      </c>
      <c r="B432" s="901" t="s">
        <v>141</v>
      </c>
      <c r="C432" s="901"/>
      <c r="D432" s="901" t="s">
        <v>2782</v>
      </c>
      <c r="E432" s="901"/>
      <c r="F432" s="901"/>
      <c r="G432" s="941" t="s">
        <v>2783</v>
      </c>
      <c r="H432" s="942">
        <v>880</v>
      </c>
      <c r="I432" s="901" t="s">
        <v>2607</v>
      </c>
      <c r="J432" s="901"/>
      <c r="K432" s="758"/>
      <c r="L432" s="901"/>
      <c r="M432" s="901"/>
      <c r="N432" s="901"/>
      <c r="O432" s="943">
        <v>3</v>
      </c>
      <c r="P432" s="944">
        <v>35443</v>
      </c>
      <c r="Q432" s="945">
        <f>0.9 *(4.66)</f>
        <v>4.194</v>
      </c>
      <c r="R432" s="946">
        <f t="shared" si="76"/>
        <v>4.194</v>
      </c>
      <c r="S432" s="945"/>
      <c r="T432" s="947">
        <f t="shared" si="77"/>
        <v>0</v>
      </c>
      <c r="AR432" s="116">
        <v>1</v>
      </c>
      <c r="AS432" s="901"/>
    </row>
    <row r="433" spans="1:45" s="901" customFormat="1" ht="13.2">
      <c r="A433">
        <v>1</v>
      </c>
      <c r="B433" s="901" t="s">
        <v>141</v>
      </c>
      <c r="D433" s="901" t="s">
        <v>2758</v>
      </c>
      <c r="F433" s="901" t="s">
        <v>2784</v>
      </c>
      <c r="G433" s="941" t="s">
        <v>2760</v>
      </c>
      <c r="H433" s="942">
        <v>501</v>
      </c>
      <c r="I433" s="901" t="s">
        <v>2607</v>
      </c>
      <c r="K433" s="901" t="s">
        <v>2761</v>
      </c>
      <c r="O433" s="943">
        <v>1</v>
      </c>
      <c r="P433" s="944"/>
      <c r="Q433" s="945">
        <v>20</v>
      </c>
      <c r="R433" s="946">
        <f t="shared" si="76"/>
        <v>20</v>
      </c>
      <c r="S433" s="945"/>
      <c r="T433" s="947">
        <f t="shared" si="77"/>
        <v>0</v>
      </c>
      <c r="AR433">
        <v>1</v>
      </c>
      <c r="AS433" s="901" t="s">
        <v>2784</v>
      </c>
    </row>
    <row r="434" spans="1:45" s="901" customFormat="1" ht="13.2">
      <c r="A434" s="116">
        <v>4</v>
      </c>
      <c r="B434" s="901" t="s">
        <v>141</v>
      </c>
      <c r="D434" s="901" t="s">
        <v>2785</v>
      </c>
      <c r="G434" s="941" t="s">
        <v>2786</v>
      </c>
      <c r="H434" s="942">
        <v>875</v>
      </c>
      <c r="I434" s="901" t="s">
        <v>2607</v>
      </c>
      <c r="K434" s="901" t="s">
        <v>2787</v>
      </c>
      <c r="O434" s="943">
        <v>1</v>
      </c>
      <c r="P434" s="944">
        <v>34669</v>
      </c>
      <c r="Q434" s="945">
        <v>0.57999999999999996</v>
      </c>
      <c r="R434" s="946">
        <f t="shared" si="76"/>
        <v>2.3199999999999998</v>
      </c>
      <c r="S434" s="945"/>
      <c r="T434" s="947">
        <f t="shared" si="77"/>
        <v>0</v>
      </c>
      <c r="AR434" s="116">
        <v>4</v>
      </c>
    </row>
    <row r="435" spans="1:45" s="520" customFormat="1" ht="12">
      <c r="A435" s="758"/>
      <c r="B435" s="758"/>
      <c r="C435" s="758"/>
      <c r="D435" s="758"/>
      <c r="E435" s="758"/>
      <c r="F435" s="753"/>
      <c r="G435" s="758"/>
      <c r="H435" s="758"/>
      <c r="I435" s="519"/>
      <c r="J435" s="758"/>
      <c r="K435" s="758"/>
      <c r="L435" s="758"/>
      <c r="M435" s="758"/>
      <c r="N435" s="758"/>
      <c r="O435" s="758"/>
      <c r="P435" s="758"/>
      <c r="Q435" s="519"/>
      <c r="R435" s="759">
        <f t="shared" si="76"/>
        <v>0</v>
      </c>
      <c r="S435" s="519"/>
      <c r="T435" s="760">
        <f t="shared" si="77"/>
        <v>0</v>
      </c>
      <c r="AR435" s="758"/>
      <c r="AS435" s="753"/>
    </row>
    <row r="436" spans="1:45" s="520" customFormat="1" ht="12.6" thickBot="1">
      <c r="A436" s="761" t="s">
        <v>145</v>
      </c>
      <c r="B436" s="762">
        <f>(R435+T435)</f>
        <v>0</v>
      </c>
      <c r="C436" s="763"/>
      <c r="D436" s="763"/>
      <c r="E436" s="763"/>
      <c r="F436" s="764"/>
      <c r="G436" s="763" t="s">
        <v>146</v>
      </c>
      <c r="H436" s="763"/>
      <c r="I436" s="765"/>
      <c r="J436" s="763"/>
      <c r="K436" s="763" t="s">
        <v>16</v>
      </c>
      <c r="L436" s="766" t="s">
        <v>143</v>
      </c>
      <c r="M436" s="766"/>
      <c r="N436" s="766"/>
      <c r="O436" s="766"/>
      <c r="P436" s="766"/>
      <c r="Q436" s="767"/>
      <c r="R436" s="768">
        <f>SUM(R429:R435)</f>
        <v>4500.174</v>
      </c>
      <c r="S436" s="763"/>
      <c r="T436" s="768">
        <f>SUM(T429:T435)</f>
        <v>12.1905</v>
      </c>
      <c r="U436" s="531"/>
      <c r="V436" s="531"/>
      <c r="W436" s="531"/>
      <c r="X436" s="531"/>
      <c r="Y436" s="531"/>
      <c r="Z436" s="531"/>
      <c r="AA436" s="531"/>
      <c r="AB436" s="531"/>
      <c r="AC436" s="531"/>
      <c r="AD436" s="531"/>
      <c r="AE436" s="531"/>
      <c r="AF436" s="531"/>
      <c r="AG436" s="531"/>
      <c r="AH436" s="531"/>
      <c r="AI436" s="531"/>
      <c r="AJ436" s="531"/>
      <c r="AK436" s="531"/>
      <c r="AL436" s="531"/>
      <c r="AM436" s="531"/>
      <c r="AN436" s="531"/>
      <c r="AO436" s="531"/>
      <c r="AR436" s="761" t="s">
        <v>145</v>
      </c>
      <c r="AS436" s="764"/>
    </row>
    <row r="437" spans="1:45" s="520" customFormat="1" ht="12" thickTop="1">
      <c r="A437" s="51"/>
      <c r="B437" s="41"/>
      <c r="C437" s="51"/>
      <c r="E437" s="42" t="s">
        <v>138</v>
      </c>
      <c r="F437" s="42" t="s">
        <v>139</v>
      </c>
      <c r="G437" s="51"/>
      <c r="H437" s="51"/>
      <c r="I437" s="51"/>
      <c r="J437" s="51"/>
      <c r="K437" s="51" t="s">
        <v>140</v>
      </c>
      <c r="L437" s="51"/>
      <c r="M437" s="51"/>
      <c r="N437" s="51"/>
      <c r="O437" s="52"/>
      <c r="P437" s="51"/>
      <c r="Q437" s="51"/>
      <c r="R437" s="51"/>
      <c r="S437" s="51"/>
      <c r="T437" s="41"/>
      <c r="AG437" s="521" t="s">
        <v>268</v>
      </c>
      <c r="AH437" s="521" t="s">
        <v>269</v>
      </c>
      <c r="AI437" s="521" t="s">
        <v>270</v>
      </c>
      <c r="AJ437" s="521" t="s">
        <v>271</v>
      </c>
      <c r="AK437" s="521" t="s">
        <v>272</v>
      </c>
      <c r="AM437" s="745" t="s">
        <v>281</v>
      </c>
      <c r="AN437" s="746" t="s">
        <v>282</v>
      </c>
      <c r="AO437" s="522" t="s">
        <v>278</v>
      </c>
      <c r="AR437" s="51"/>
      <c r="AS437" s="42" t="s">
        <v>139</v>
      </c>
    </row>
    <row r="438" spans="1:45" s="520" customFormat="1" ht="12" customHeight="1">
      <c r="A438" s="747">
        <v>1</v>
      </c>
      <c r="B438" s="523" t="s">
        <v>141</v>
      </c>
      <c r="C438" s="748"/>
      <c r="D438" s="749" t="s">
        <v>1129</v>
      </c>
      <c r="E438" s="1419">
        <f>IF(AND($A438=0,$A$1="DIF"),0, ROUND(ROUND(($R446*$S$9+($T446*$T$9))/$A438,2)*$C$9,2))</f>
        <v>1368.06</v>
      </c>
      <c r="F438" s="1420">
        <f>ROUND($A438*$E438,2)</f>
        <v>1368.06</v>
      </c>
      <c r="G438" s="752" t="s">
        <v>142</v>
      </c>
      <c r="H438" s="753"/>
      <c r="I438" s="754"/>
      <c r="J438" s="753"/>
      <c r="K438" s="753" t="s">
        <v>16</v>
      </c>
      <c r="L438" s="755" t="s">
        <v>143</v>
      </c>
      <c r="M438" s="755"/>
      <c r="N438" s="755"/>
      <c r="O438" s="755"/>
      <c r="P438" s="755"/>
      <c r="Q438" s="51"/>
      <c r="T438" s="1424" t="str">
        <f>IF(AND($R446=0,$T446=0),"0.00","mu: "&amp; ROUND(F438/$C$9/($R446+$T446*$D$9),2))</f>
        <v>mu: 1.18</v>
      </c>
      <c r="W438" s="524"/>
      <c r="AG438" s="1421">
        <f>IF($E438=0,0,ROUND($R446*$S$9*$C$9/$A438,2))</f>
        <v>987.63</v>
      </c>
      <c r="AH438" s="1421">
        <f>$AG438*$A438</f>
        <v>987.63</v>
      </c>
      <c r="AI438" s="1422">
        <f>$E438-$AG438</f>
        <v>380.42999999999995</v>
      </c>
      <c r="AJ438" s="1422">
        <f>$A438*$AI438</f>
        <v>380.42999999999995</v>
      </c>
      <c r="AK438" s="1423">
        <f>ROUND(($AG438+$AI438)*$A438,2)</f>
        <v>1368.06</v>
      </c>
      <c r="AM438" s="527">
        <f>ROUND(R446,2)</f>
        <v>836.94</v>
      </c>
      <c r="AN438" s="528">
        <f>ROUND(T446,2)</f>
        <v>11.74</v>
      </c>
      <c r="AO438" s="529">
        <f>ROUND(AM438+AN438,2)*A438</f>
        <v>848.68</v>
      </c>
      <c r="AR438" s="747">
        <v>1</v>
      </c>
      <c r="AS438" s="751">
        <v>1471.65</v>
      </c>
    </row>
    <row r="439" spans="1:45" s="520" customFormat="1" ht="39.9" customHeight="1">
      <c r="A439" s="748"/>
      <c r="B439"/>
      <c r="C439" s="748"/>
      <c r="D439" s="1451" t="s">
        <v>1130</v>
      </c>
      <c r="E439" s="1452"/>
      <c r="F439" s="1452"/>
      <c r="G439" s="1452"/>
      <c r="H439" s="1452"/>
      <c r="I439" s="1452"/>
      <c r="J439" s="1452"/>
      <c r="K439" s="1452"/>
      <c r="L439" s="1452"/>
      <c r="M439" s="1452"/>
      <c r="N439" s="1452"/>
      <c r="O439" s="1452"/>
      <c r="P439" s="1452"/>
      <c r="Q439" s="1452"/>
      <c r="R439" s="1452"/>
      <c r="S439" s="1452"/>
      <c r="T439" s="1452"/>
      <c r="AR439" s="748"/>
    </row>
    <row r="440" spans="1:45" s="901" customFormat="1" ht="13.2">
      <c r="A440">
        <v>1</v>
      </c>
      <c r="B440" s="901" t="s">
        <v>141</v>
      </c>
      <c r="D440" s="901" t="s">
        <v>2800</v>
      </c>
      <c r="F440" s="1054" t="s">
        <v>2819</v>
      </c>
      <c r="G440" s="941" t="s">
        <v>2779</v>
      </c>
      <c r="H440" s="942">
        <v>510</v>
      </c>
      <c r="I440" s="901" t="s">
        <v>2607</v>
      </c>
      <c r="K440" s="901" t="s">
        <v>2744</v>
      </c>
      <c r="O440" s="943">
        <v>2</v>
      </c>
      <c r="P440" s="944"/>
      <c r="Q440" s="945">
        <v>803.43</v>
      </c>
      <c r="R440" s="946">
        <f t="shared" ref="R440:R445" si="78">$A440*Q440</f>
        <v>803.43</v>
      </c>
      <c r="S440" s="945">
        <f>2+(12*0.75)+2</f>
        <v>13</v>
      </c>
      <c r="T440" s="947">
        <f t="shared" ref="T440:T445" si="79">$A440*S440*$T$1</f>
        <v>11.700000000000001</v>
      </c>
      <c r="AR440">
        <v>1</v>
      </c>
      <c r="AS440" s="1054" t="s">
        <v>2819</v>
      </c>
    </row>
    <row r="441" spans="1:45" s="520" customFormat="1" ht="13.2">
      <c r="A441" s="116">
        <v>1</v>
      </c>
      <c r="B441" s="901" t="s">
        <v>141</v>
      </c>
      <c r="C441" s="901"/>
      <c r="D441" s="901" t="s">
        <v>2780</v>
      </c>
      <c r="E441" s="901"/>
      <c r="F441" s="901"/>
      <c r="G441" s="941" t="s">
        <v>2781</v>
      </c>
      <c r="H441" s="942">
        <v>875</v>
      </c>
      <c r="I441" s="901" t="s">
        <v>2607</v>
      </c>
      <c r="J441" s="901"/>
      <c r="K441" s="758"/>
      <c r="L441" s="901"/>
      <c r="M441" s="901"/>
      <c r="N441" s="901"/>
      <c r="O441" s="943">
        <v>3</v>
      </c>
      <c r="P441" s="944">
        <v>34820</v>
      </c>
      <c r="Q441" s="945">
        <v>7</v>
      </c>
      <c r="R441" s="946">
        <f t="shared" si="78"/>
        <v>7</v>
      </c>
      <c r="S441" s="945">
        <f>0.9 *(0.05)</f>
        <v>4.5000000000000005E-2</v>
      </c>
      <c r="T441" s="947">
        <f t="shared" si="79"/>
        <v>4.0500000000000008E-2</v>
      </c>
      <c r="AR441" s="116">
        <v>1</v>
      </c>
      <c r="AS441" s="901"/>
    </row>
    <row r="442" spans="1:45" s="520" customFormat="1" ht="13.2">
      <c r="A442" s="116">
        <v>1</v>
      </c>
      <c r="B442" s="901" t="s">
        <v>141</v>
      </c>
      <c r="C442" s="901"/>
      <c r="D442" s="901" t="s">
        <v>2782</v>
      </c>
      <c r="E442" s="901"/>
      <c r="F442" s="901"/>
      <c r="G442" s="941" t="s">
        <v>2783</v>
      </c>
      <c r="H442" s="942">
        <v>880</v>
      </c>
      <c r="I442" s="901" t="s">
        <v>2607</v>
      </c>
      <c r="J442" s="901"/>
      <c r="K442" s="758"/>
      <c r="L442" s="901"/>
      <c r="M442" s="901"/>
      <c r="N442" s="901"/>
      <c r="O442" s="943">
        <v>3</v>
      </c>
      <c r="P442" s="944">
        <v>35443</v>
      </c>
      <c r="Q442" s="945">
        <f>0.9 *(4.66)</f>
        <v>4.194</v>
      </c>
      <c r="R442" s="946">
        <f t="shared" si="78"/>
        <v>4.194</v>
      </c>
      <c r="S442" s="945"/>
      <c r="T442" s="947">
        <f t="shared" si="79"/>
        <v>0</v>
      </c>
      <c r="AR442" s="116">
        <v>1</v>
      </c>
      <c r="AS442" s="901"/>
    </row>
    <row r="443" spans="1:45" s="901" customFormat="1" ht="13.2">
      <c r="A443">
        <v>1</v>
      </c>
      <c r="B443" s="901" t="s">
        <v>141</v>
      </c>
      <c r="D443" s="901" t="s">
        <v>2758</v>
      </c>
      <c r="F443" s="901" t="s">
        <v>2784</v>
      </c>
      <c r="G443" s="941" t="s">
        <v>2760</v>
      </c>
      <c r="H443" s="942">
        <v>501</v>
      </c>
      <c r="I443" s="901" t="s">
        <v>2607</v>
      </c>
      <c r="K443" s="901" t="s">
        <v>2761</v>
      </c>
      <c r="O443" s="943">
        <v>1</v>
      </c>
      <c r="P443" s="944"/>
      <c r="Q443" s="945">
        <v>20</v>
      </c>
      <c r="R443" s="946">
        <f t="shared" si="78"/>
        <v>20</v>
      </c>
      <c r="S443" s="945"/>
      <c r="T443" s="947">
        <f t="shared" si="79"/>
        <v>0</v>
      </c>
      <c r="AR443">
        <v>1</v>
      </c>
      <c r="AS443" s="901" t="s">
        <v>2784</v>
      </c>
    </row>
    <row r="444" spans="1:45" s="901" customFormat="1" ht="13.2">
      <c r="A444" s="116">
        <v>4</v>
      </c>
      <c r="B444" s="901" t="s">
        <v>141</v>
      </c>
      <c r="D444" s="901" t="s">
        <v>2785</v>
      </c>
      <c r="G444" s="941" t="s">
        <v>2786</v>
      </c>
      <c r="H444" s="942">
        <v>875</v>
      </c>
      <c r="I444" s="901" t="s">
        <v>2607</v>
      </c>
      <c r="K444" s="901" t="s">
        <v>2787</v>
      </c>
      <c r="O444" s="943">
        <v>1</v>
      </c>
      <c r="P444" s="944">
        <v>34669</v>
      </c>
      <c r="Q444" s="945">
        <v>0.57999999999999996</v>
      </c>
      <c r="R444" s="946">
        <f t="shared" si="78"/>
        <v>2.3199999999999998</v>
      </c>
      <c r="S444" s="945"/>
      <c r="T444" s="947">
        <f t="shared" si="79"/>
        <v>0</v>
      </c>
      <c r="AR444" s="116">
        <v>4</v>
      </c>
    </row>
    <row r="445" spans="1:45" s="520" customFormat="1" ht="12">
      <c r="A445" s="758"/>
      <c r="B445" s="758"/>
      <c r="C445" s="758"/>
      <c r="D445" s="758"/>
      <c r="E445" s="758"/>
      <c r="F445" s="753"/>
      <c r="G445" s="758"/>
      <c r="H445" s="758"/>
      <c r="I445" s="519"/>
      <c r="J445" s="758"/>
      <c r="K445" s="758"/>
      <c r="L445" s="758"/>
      <c r="M445" s="758"/>
      <c r="N445" s="758"/>
      <c r="O445" s="758"/>
      <c r="P445" s="758"/>
      <c r="Q445" s="519"/>
      <c r="R445" s="759">
        <f t="shared" si="78"/>
        <v>0</v>
      </c>
      <c r="S445" s="519"/>
      <c r="T445" s="760">
        <f t="shared" si="79"/>
        <v>0</v>
      </c>
      <c r="AR445" s="758"/>
      <c r="AS445" s="753"/>
    </row>
    <row r="446" spans="1:45" s="520" customFormat="1" ht="12.6" thickBot="1">
      <c r="A446" s="761" t="s">
        <v>145</v>
      </c>
      <c r="B446" s="762">
        <f>(R445+T445)</f>
        <v>0</v>
      </c>
      <c r="C446" s="763"/>
      <c r="D446" s="763"/>
      <c r="E446" s="763"/>
      <c r="F446" s="764"/>
      <c r="G446" s="763" t="s">
        <v>146</v>
      </c>
      <c r="H446" s="763"/>
      <c r="I446" s="765"/>
      <c r="J446" s="763"/>
      <c r="K446" s="763" t="s">
        <v>16</v>
      </c>
      <c r="L446" s="766" t="s">
        <v>143</v>
      </c>
      <c r="M446" s="766"/>
      <c r="N446" s="766"/>
      <c r="O446" s="766"/>
      <c r="P446" s="766"/>
      <c r="Q446" s="767"/>
      <c r="R446" s="768">
        <f>SUM(R439:R445)</f>
        <v>836.94399999999996</v>
      </c>
      <c r="S446" s="763"/>
      <c r="T446" s="768">
        <f>SUM(T439:T445)</f>
        <v>11.740500000000001</v>
      </c>
      <c r="U446" s="531"/>
      <c r="V446" s="531"/>
      <c r="W446" s="531"/>
      <c r="X446" s="531"/>
      <c r="Y446" s="531"/>
      <c r="Z446" s="531"/>
      <c r="AA446" s="531"/>
      <c r="AB446" s="531"/>
      <c r="AC446" s="531"/>
      <c r="AD446" s="531"/>
      <c r="AE446" s="531"/>
      <c r="AF446" s="531"/>
      <c r="AG446" s="531"/>
      <c r="AH446" s="531"/>
      <c r="AI446" s="531"/>
      <c r="AJ446" s="531"/>
      <c r="AK446" s="531"/>
      <c r="AL446" s="531"/>
      <c r="AM446" s="531"/>
      <c r="AN446" s="531"/>
      <c r="AO446" s="531"/>
      <c r="AR446" s="761" t="s">
        <v>145</v>
      </c>
      <c r="AS446" s="764"/>
    </row>
    <row r="447" spans="1:45" s="520" customFormat="1" ht="12" thickTop="1">
      <c r="A447" s="51"/>
      <c r="B447" s="41"/>
      <c r="C447" s="51"/>
      <c r="E447" s="42" t="s">
        <v>138</v>
      </c>
      <c r="F447" s="42" t="s">
        <v>139</v>
      </c>
      <c r="G447" s="51"/>
      <c r="H447" s="51"/>
      <c r="I447" s="51"/>
      <c r="J447" s="51"/>
      <c r="K447" s="51" t="s">
        <v>140</v>
      </c>
      <c r="L447" s="51"/>
      <c r="M447" s="51"/>
      <c r="N447" s="51"/>
      <c r="O447" s="52"/>
      <c r="P447" s="51"/>
      <c r="Q447" s="51"/>
      <c r="R447" s="51"/>
      <c r="S447" s="51"/>
      <c r="T447" s="41"/>
      <c r="AG447" s="521" t="s">
        <v>268</v>
      </c>
      <c r="AH447" s="521" t="s">
        <v>269</v>
      </c>
      <c r="AI447" s="521" t="s">
        <v>270</v>
      </c>
      <c r="AJ447" s="521" t="s">
        <v>271</v>
      </c>
      <c r="AK447" s="521" t="s">
        <v>272</v>
      </c>
      <c r="AM447" s="745" t="s">
        <v>281</v>
      </c>
      <c r="AN447" s="746" t="s">
        <v>282</v>
      </c>
      <c r="AO447" s="522" t="s">
        <v>278</v>
      </c>
      <c r="AR447" s="51"/>
      <c r="AS447" s="42" t="s">
        <v>139</v>
      </c>
    </row>
    <row r="448" spans="1:45" s="520" customFormat="1" ht="12" customHeight="1">
      <c r="A448" s="747">
        <v>1</v>
      </c>
      <c r="B448" s="523" t="s">
        <v>141</v>
      </c>
      <c r="C448" s="748"/>
      <c r="D448" s="749" t="s">
        <v>1131</v>
      </c>
      <c r="E448" s="1419">
        <f>IF(AND($A448=0,$A$1="DIF"),0, ROUND(ROUND(($R456*$S$9+($T456*$T$9))/$A448,2)*$C$9,2))</f>
        <v>3325.52</v>
      </c>
      <c r="F448" s="1420">
        <f>ROUND($A448*$E448,2)</f>
        <v>3325.52</v>
      </c>
      <c r="G448" s="752" t="s">
        <v>142</v>
      </c>
      <c r="H448" s="753"/>
      <c r="I448" s="754"/>
      <c r="J448" s="753"/>
      <c r="K448" s="753" t="s">
        <v>16</v>
      </c>
      <c r="L448" s="755" t="s">
        <v>143</v>
      </c>
      <c r="M448" s="755"/>
      <c r="N448" s="755"/>
      <c r="O448" s="755"/>
      <c r="P448" s="755"/>
      <c r="Q448" s="51"/>
      <c r="T448" s="1424" t="str">
        <f>IF(AND($R456=0,$T456=0),"0.00","mu: "&amp; ROUND(F448/$C$9/($R456+$T456*$D$9),2))</f>
        <v>mu: 1.18</v>
      </c>
      <c r="W448" s="524"/>
      <c r="AG448" s="1421">
        <f>IF($E448=0,0,ROUND($R456*$S$9*$C$9/$A448,2))</f>
        <v>2886.76</v>
      </c>
      <c r="AH448" s="1421">
        <f>$AG448*$A448</f>
        <v>2886.76</v>
      </c>
      <c r="AI448" s="1422">
        <f>$E448-$AG448</f>
        <v>438.75999999999976</v>
      </c>
      <c r="AJ448" s="1422">
        <f>$A448*$AI448</f>
        <v>438.75999999999976</v>
      </c>
      <c r="AK448" s="1423">
        <f>ROUND(($AG448+$AI448)*$A448,2)</f>
        <v>3325.52</v>
      </c>
      <c r="AM448" s="527">
        <f>ROUND(R456,2)</f>
        <v>2446.3200000000002</v>
      </c>
      <c r="AN448" s="528">
        <f>ROUND(T456,2)</f>
        <v>13.54</v>
      </c>
      <c r="AO448" s="529">
        <f>ROUND(AM448+AN448,2)*A448</f>
        <v>2459.86</v>
      </c>
      <c r="AR448" s="747">
        <v>1</v>
      </c>
      <c r="AS448" s="751">
        <v>3520.98</v>
      </c>
    </row>
    <row r="449" spans="1:45" s="520" customFormat="1" ht="39.9" customHeight="1">
      <c r="A449" s="748"/>
      <c r="B449"/>
      <c r="C449" s="748"/>
      <c r="D449" s="1451" t="s">
        <v>1132</v>
      </c>
      <c r="E449" s="1452"/>
      <c r="F449" s="1452"/>
      <c r="G449" s="1452"/>
      <c r="H449" s="1452"/>
      <c r="I449" s="1452"/>
      <c r="J449" s="1452"/>
      <c r="K449" s="1452"/>
      <c r="L449" s="1452"/>
      <c r="M449" s="1452"/>
      <c r="N449" s="1452"/>
      <c r="O449" s="1452"/>
      <c r="P449" s="1452"/>
      <c r="Q449" s="1452"/>
      <c r="R449" s="1452"/>
      <c r="S449" s="1452"/>
      <c r="T449" s="1452"/>
      <c r="AR449" s="748"/>
    </row>
    <row r="450" spans="1:45" s="901" customFormat="1" ht="13.2">
      <c r="A450">
        <v>1</v>
      </c>
      <c r="B450" s="901" t="s">
        <v>141</v>
      </c>
      <c r="D450" s="901" t="s">
        <v>2821</v>
      </c>
      <c r="F450" s="1054" t="s">
        <v>2820</v>
      </c>
      <c r="G450" s="941" t="s">
        <v>2779</v>
      </c>
      <c r="H450" s="942">
        <v>510</v>
      </c>
      <c r="I450" s="901" t="s">
        <v>2607</v>
      </c>
      <c r="K450" s="901" t="s">
        <v>2744</v>
      </c>
      <c r="O450" s="943">
        <v>2</v>
      </c>
      <c r="P450" s="944"/>
      <c r="Q450" s="945">
        <v>2412.81</v>
      </c>
      <c r="R450" s="946">
        <f t="shared" ref="R450:R455" si="80">$A450*Q450</f>
        <v>2412.81</v>
      </c>
      <c r="S450" s="945">
        <f>2+(12*0.75)+2+2</f>
        <v>15</v>
      </c>
      <c r="T450" s="947">
        <f t="shared" ref="T450:T455" si="81">$A450*S450*$T$1</f>
        <v>13.5</v>
      </c>
      <c r="AR450">
        <v>1</v>
      </c>
      <c r="AS450" s="1054" t="s">
        <v>2820</v>
      </c>
    </row>
    <row r="451" spans="1:45" s="520" customFormat="1" ht="13.2">
      <c r="A451" s="116">
        <v>1</v>
      </c>
      <c r="B451" s="901" t="s">
        <v>141</v>
      </c>
      <c r="C451" s="901"/>
      <c r="D451" s="901" t="s">
        <v>2780</v>
      </c>
      <c r="E451" s="901"/>
      <c r="F451" s="901"/>
      <c r="G451" s="941" t="s">
        <v>2781</v>
      </c>
      <c r="H451" s="942">
        <v>875</v>
      </c>
      <c r="I451" s="901" t="s">
        <v>2607</v>
      </c>
      <c r="J451" s="901"/>
      <c r="K451" s="758"/>
      <c r="L451" s="901"/>
      <c r="M451" s="901"/>
      <c r="N451" s="901"/>
      <c r="O451" s="943">
        <v>3</v>
      </c>
      <c r="P451" s="944">
        <v>34820</v>
      </c>
      <c r="Q451" s="945">
        <v>7</v>
      </c>
      <c r="R451" s="946">
        <f t="shared" si="80"/>
        <v>7</v>
      </c>
      <c r="S451" s="945">
        <f>0.9 *(0.05)</f>
        <v>4.5000000000000005E-2</v>
      </c>
      <c r="T451" s="947">
        <f t="shared" si="81"/>
        <v>4.0500000000000008E-2</v>
      </c>
      <c r="AR451" s="116">
        <v>1</v>
      </c>
      <c r="AS451" s="901"/>
    </row>
    <row r="452" spans="1:45" s="520" customFormat="1" ht="13.2">
      <c r="A452" s="116">
        <v>1</v>
      </c>
      <c r="B452" s="901" t="s">
        <v>141</v>
      </c>
      <c r="C452" s="901"/>
      <c r="D452" s="901" t="s">
        <v>2782</v>
      </c>
      <c r="E452" s="901"/>
      <c r="F452" s="901"/>
      <c r="G452" s="941" t="s">
        <v>2783</v>
      </c>
      <c r="H452" s="942">
        <v>880</v>
      </c>
      <c r="I452" s="901" t="s">
        <v>2607</v>
      </c>
      <c r="J452" s="901"/>
      <c r="K452" s="758"/>
      <c r="L452" s="901"/>
      <c r="M452" s="901"/>
      <c r="N452" s="901"/>
      <c r="O452" s="943">
        <v>3</v>
      </c>
      <c r="P452" s="944">
        <v>35443</v>
      </c>
      <c r="Q452" s="945">
        <f>0.9 *(4.66)</f>
        <v>4.194</v>
      </c>
      <c r="R452" s="946">
        <f t="shared" si="80"/>
        <v>4.194</v>
      </c>
      <c r="S452" s="945"/>
      <c r="T452" s="947">
        <f t="shared" si="81"/>
        <v>0</v>
      </c>
      <c r="AR452" s="116">
        <v>1</v>
      </c>
      <c r="AS452" s="901"/>
    </row>
    <row r="453" spans="1:45" s="901" customFormat="1" ht="13.2">
      <c r="A453">
        <v>1</v>
      </c>
      <c r="B453" s="901" t="s">
        <v>141</v>
      </c>
      <c r="D453" s="901" t="s">
        <v>2758</v>
      </c>
      <c r="F453" s="901" t="s">
        <v>2784</v>
      </c>
      <c r="G453" s="941" t="s">
        <v>2760</v>
      </c>
      <c r="H453" s="942">
        <v>501</v>
      </c>
      <c r="I453" s="901" t="s">
        <v>2607</v>
      </c>
      <c r="K453" s="901" t="s">
        <v>2761</v>
      </c>
      <c r="O453" s="943">
        <v>1</v>
      </c>
      <c r="P453" s="944"/>
      <c r="Q453" s="945">
        <v>20</v>
      </c>
      <c r="R453" s="946">
        <f t="shared" si="80"/>
        <v>20</v>
      </c>
      <c r="S453" s="945"/>
      <c r="T453" s="947">
        <f t="shared" si="81"/>
        <v>0</v>
      </c>
      <c r="AR453">
        <v>1</v>
      </c>
      <c r="AS453" s="901" t="s">
        <v>2784</v>
      </c>
    </row>
    <row r="454" spans="1:45" s="901" customFormat="1" ht="13.2">
      <c r="A454" s="116">
        <v>4</v>
      </c>
      <c r="B454" s="901" t="s">
        <v>141</v>
      </c>
      <c r="D454" s="901" t="s">
        <v>2785</v>
      </c>
      <c r="G454" s="941" t="s">
        <v>2786</v>
      </c>
      <c r="H454" s="942">
        <v>875</v>
      </c>
      <c r="I454" s="901" t="s">
        <v>2607</v>
      </c>
      <c r="K454" s="901" t="s">
        <v>2787</v>
      </c>
      <c r="O454" s="943">
        <v>1</v>
      </c>
      <c r="P454" s="944">
        <v>34669</v>
      </c>
      <c r="Q454" s="945">
        <v>0.57999999999999996</v>
      </c>
      <c r="R454" s="946">
        <f t="shared" si="80"/>
        <v>2.3199999999999998</v>
      </c>
      <c r="S454" s="945"/>
      <c r="T454" s="947">
        <f t="shared" si="81"/>
        <v>0</v>
      </c>
      <c r="AR454" s="116">
        <v>4</v>
      </c>
    </row>
    <row r="455" spans="1:45" s="520" customFormat="1" ht="12">
      <c r="A455" s="758"/>
      <c r="B455" s="758"/>
      <c r="C455" s="758"/>
      <c r="D455" s="758"/>
      <c r="E455" s="758"/>
      <c r="F455" s="753"/>
      <c r="G455" s="758"/>
      <c r="H455" s="758"/>
      <c r="I455" s="519"/>
      <c r="J455" s="758"/>
      <c r="K455" s="758"/>
      <c r="L455" s="758"/>
      <c r="M455" s="758"/>
      <c r="N455" s="758"/>
      <c r="O455" s="758"/>
      <c r="P455" s="758"/>
      <c r="Q455" s="519"/>
      <c r="R455" s="759">
        <f t="shared" si="80"/>
        <v>0</v>
      </c>
      <c r="S455" s="519"/>
      <c r="T455" s="760">
        <f t="shared" si="81"/>
        <v>0</v>
      </c>
      <c r="AR455" s="758"/>
      <c r="AS455" s="753"/>
    </row>
    <row r="456" spans="1:45" s="520" customFormat="1" ht="12.6" thickBot="1">
      <c r="A456" s="761" t="s">
        <v>145</v>
      </c>
      <c r="B456" s="762">
        <f>(R455+T455)</f>
        <v>0</v>
      </c>
      <c r="C456" s="763"/>
      <c r="D456" s="763"/>
      <c r="E456" s="763"/>
      <c r="F456" s="764"/>
      <c r="G456" s="763" t="s">
        <v>146</v>
      </c>
      <c r="H456" s="763"/>
      <c r="I456" s="765"/>
      <c r="J456" s="763"/>
      <c r="K456" s="763" t="s">
        <v>16</v>
      </c>
      <c r="L456" s="766" t="s">
        <v>143</v>
      </c>
      <c r="M456" s="766"/>
      <c r="N456" s="766"/>
      <c r="O456" s="766"/>
      <c r="P456" s="766"/>
      <c r="Q456" s="767"/>
      <c r="R456" s="768">
        <f>SUM(R449:R455)</f>
        <v>2446.3240000000001</v>
      </c>
      <c r="S456" s="763"/>
      <c r="T456" s="768">
        <f>SUM(T449:T455)</f>
        <v>13.5405</v>
      </c>
      <c r="U456" s="531"/>
      <c r="V456" s="531"/>
      <c r="W456" s="531"/>
      <c r="X456" s="531"/>
      <c r="Y456" s="531"/>
      <c r="Z456" s="531"/>
      <c r="AA456" s="531"/>
      <c r="AB456" s="531"/>
      <c r="AC456" s="531"/>
      <c r="AD456" s="531"/>
      <c r="AE456" s="531"/>
      <c r="AF456" s="531"/>
      <c r="AG456" s="531"/>
      <c r="AH456" s="531"/>
      <c r="AI456" s="531"/>
      <c r="AJ456" s="531"/>
      <c r="AK456" s="531"/>
      <c r="AL456" s="531"/>
      <c r="AM456" s="531"/>
      <c r="AN456" s="531"/>
      <c r="AO456" s="531"/>
      <c r="AR456" s="761" t="s">
        <v>145</v>
      </c>
      <c r="AS456" s="764"/>
    </row>
    <row r="457" spans="1:45" s="520" customFormat="1" ht="12" thickTop="1">
      <c r="A457" s="48" t="s">
        <v>148</v>
      </c>
      <c r="D457" s="13"/>
      <c r="O457" s="771"/>
      <c r="AR457" s="48" t="s">
        <v>148</v>
      </c>
    </row>
    <row r="458" spans="1:45" s="520" customFormat="1" ht="13.2">
      <c r="B458" s="3"/>
      <c r="E458" s="42"/>
      <c r="O458" s="771"/>
    </row>
    <row r="459" spans="1:45" s="520" customFormat="1" ht="12">
      <c r="B459" s="772">
        <f>$F459/$C$2-($R459*$S$2+$T459*$T$2)</f>
        <v>-16595.8547045429</v>
      </c>
      <c r="D459" s="773" t="s">
        <v>3621</v>
      </c>
      <c r="F459" s="775">
        <f>SUMIF($L123:$L457,"ITEM",F123:F457)</f>
        <v>364362.21000000008</v>
      </c>
      <c r="G459" s="758"/>
      <c r="H459" s="758"/>
      <c r="I459" s="519"/>
      <c r="J459" s="758"/>
      <c r="K459" s="758"/>
      <c r="L459" s="755" t="s">
        <v>157</v>
      </c>
      <c r="M459" s="755"/>
      <c r="N459" s="755"/>
      <c r="O459" s="755"/>
      <c r="P459" s="755"/>
      <c r="R459" s="775">
        <f>SUMIF($L123:$L457,"ITEM",R123:R457)</f>
        <v>293244.34400000004</v>
      </c>
      <c r="S459" s="776"/>
      <c r="T459" s="775">
        <f>SUMIF($L123:$L457,"ITEM",T123:T457)</f>
        <v>587.74950000000001</v>
      </c>
      <c r="AS459" s="775">
        <v>472878.7900000001</v>
      </c>
    </row>
    <row r="460" spans="1:45" s="520" customFormat="1" ht="13.2">
      <c r="A460" s="51"/>
      <c r="B460" s="49" t="s">
        <v>1064</v>
      </c>
      <c r="C460" s="51"/>
      <c r="D460" s="3"/>
      <c r="F460" s="777" t="s">
        <v>158</v>
      </c>
      <c r="G460" s="758"/>
      <c r="H460" s="758"/>
      <c r="I460" s="519"/>
      <c r="J460" s="758"/>
      <c r="K460" s="758"/>
      <c r="L460" s="758"/>
      <c r="M460" s="758"/>
      <c r="N460" s="758"/>
      <c r="O460" s="758"/>
      <c r="P460" s="758"/>
      <c r="Q460" s="778"/>
      <c r="R460" s="777" t="s">
        <v>159</v>
      </c>
      <c r="S460" s="38"/>
      <c r="T460" s="777" t="s">
        <v>160</v>
      </c>
      <c r="AR460" s="51"/>
      <c r="AS460" s="777" t="s">
        <v>158</v>
      </c>
    </row>
    <row r="461" spans="1:45" s="520" customFormat="1" ht="13.2">
      <c r="A461" s="758"/>
      <c r="B461" s="3"/>
      <c r="C461" s="758"/>
      <c r="D461" s="3"/>
      <c r="E461" s="3"/>
      <c r="G461" s="3"/>
      <c r="H461" s="3"/>
      <c r="I461" s="3"/>
      <c r="J461" s="3"/>
      <c r="K461" s="3"/>
      <c r="L461" s="3"/>
      <c r="M461" s="3"/>
      <c r="N461" s="3"/>
      <c r="O461" s="107"/>
      <c r="P461" s="3"/>
      <c r="Q461" s="3"/>
      <c r="R461" s="3"/>
      <c r="S461" s="3"/>
      <c r="T461" s="3"/>
      <c r="AR461" s="758"/>
    </row>
    <row r="462" spans="1:45" s="520" customFormat="1" ht="12" thickBot="1">
      <c r="A462" s="531"/>
      <c r="B462" s="763"/>
      <c r="C462" s="763"/>
      <c r="D462" s="531"/>
      <c r="E462" s="39"/>
      <c r="F462" s="779"/>
      <c r="G462" s="763"/>
      <c r="H462" s="763"/>
      <c r="I462" s="765"/>
      <c r="J462" s="763"/>
      <c r="K462" s="763"/>
      <c r="L462" s="766"/>
      <c r="M462" s="766"/>
      <c r="N462" s="766"/>
      <c r="O462" s="766"/>
      <c r="P462" s="766"/>
      <c r="Q462" s="767"/>
      <c r="R462" s="779"/>
      <c r="S462" s="780"/>
      <c r="T462" s="779"/>
      <c r="U462" s="531"/>
      <c r="V462" s="531"/>
      <c r="W462" s="531"/>
      <c r="X462" s="531"/>
      <c r="Y462" s="531"/>
      <c r="Z462" s="531"/>
      <c r="AA462" s="531"/>
      <c r="AB462" s="531"/>
      <c r="AC462" s="531"/>
      <c r="AD462" s="531"/>
      <c r="AE462" s="531"/>
      <c r="AF462" s="531"/>
      <c r="AG462" s="531"/>
      <c r="AH462" s="531"/>
      <c r="AI462" s="531"/>
      <c r="AJ462" s="531"/>
      <c r="AK462" s="531"/>
      <c r="AR462" s="531"/>
      <c r="AS462" s="779"/>
    </row>
    <row r="463" spans="1:45" s="520" customFormat="1" thickTop="1">
      <c r="A463" s="51"/>
      <c r="B463" s="51"/>
      <c r="C463" s="3"/>
      <c r="D463" s="3"/>
      <c r="E463" s="51"/>
      <c r="F463" s="51"/>
      <c r="G463" s="51"/>
      <c r="H463" s="51"/>
      <c r="I463" s="51"/>
      <c r="J463" s="51"/>
      <c r="K463" s="51" t="s">
        <v>134</v>
      </c>
      <c r="L463" s="51"/>
      <c r="M463" s="51"/>
      <c r="N463" s="51"/>
      <c r="O463" s="52"/>
      <c r="P463" s="51"/>
      <c r="Q463" s="51"/>
      <c r="R463" s="51"/>
      <c r="S463" s="51"/>
      <c r="T463" s="51"/>
      <c r="AR463" s="51"/>
      <c r="AS463" s="51"/>
    </row>
    <row r="464" spans="1:45" s="520" customFormat="1" ht="12">
      <c r="A464" s="51"/>
      <c r="B464" s="51"/>
      <c r="C464" s="51" t="s">
        <v>135</v>
      </c>
      <c r="D464" s="37"/>
      <c r="E464" s="51"/>
      <c r="F464" s="51"/>
      <c r="G464" s="51"/>
      <c r="H464" s="51"/>
      <c r="I464" s="51"/>
      <c r="J464" s="51"/>
      <c r="K464" s="51"/>
      <c r="L464" s="51"/>
      <c r="M464" s="51"/>
      <c r="N464" s="51"/>
      <c r="O464" s="52"/>
      <c r="P464" s="51"/>
      <c r="Q464" s="51"/>
      <c r="R464" s="51"/>
      <c r="S464" s="51"/>
      <c r="T464" s="51"/>
      <c r="AR464" s="51"/>
      <c r="AS464" s="51"/>
    </row>
    <row r="465" spans="1:45" s="520" customFormat="1" ht="12">
      <c r="A465" s="51"/>
      <c r="B465" s="51"/>
      <c r="C465" s="51"/>
      <c r="D465" s="37" t="s">
        <v>463</v>
      </c>
      <c r="E465" s="51"/>
      <c r="F465" s="51"/>
      <c r="G465" s="51"/>
      <c r="H465" s="51"/>
      <c r="I465" s="51"/>
      <c r="J465" s="51"/>
      <c r="K465" s="51"/>
      <c r="L465" s="51"/>
      <c r="M465" s="51"/>
      <c r="N465" s="51"/>
      <c r="O465" s="52"/>
      <c r="P465" s="51"/>
      <c r="Q465" s="51"/>
      <c r="R465" s="51"/>
      <c r="S465" s="38"/>
      <c r="T465" s="38"/>
      <c r="AR465" s="51"/>
      <c r="AS465" s="51"/>
    </row>
    <row r="466" spans="1:45" s="3" customFormat="1" thickBot="1">
      <c r="A466" s="531"/>
      <c r="O466" s="107"/>
      <c r="AR466" s="531"/>
    </row>
    <row r="467" spans="1:45" s="520" customFormat="1" thickTop="1">
      <c r="A467" s="51"/>
      <c r="B467" s="41"/>
      <c r="C467" s="51"/>
      <c r="E467" s="42" t="s">
        <v>138</v>
      </c>
      <c r="F467" s="42" t="s">
        <v>139</v>
      </c>
      <c r="G467" s="51"/>
      <c r="H467" s="51"/>
      <c r="I467" s="51"/>
      <c r="J467" s="51"/>
      <c r="K467" s="51" t="s">
        <v>140</v>
      </c>
      <c r="L467" s="785"/>
      <c r="M467" s="51"/>
      <c r="N467" s="51"/>
      <c r="O467" s="52"/>
      <c r="P467" s="51"/>
      <c r="Q467" s="535"/>
      <c r="R467"/>
      <c r="S467"/>
      <c r="T467" s="41"/>
      <c r="AG467" s="521" t="s">
        <v>268</v>
      </c>
      <c r="AH467" s="521" t="s">
        <v>269</v>
      </c>
      <c r="AI467" s="521" t="s">
        <v>270</v>
      </c>
      <c r="AJ467" s="521" t="s">
        <v>271</v>
      </c>
      <c r="AK467" s="521" t="s">
        <v>272</v>
      </c>
      <c r="AM467" s="745" t="s">
        <v>281</v>
      </c>
      <c r="AN467" s="746" t="s">
        <v>282</v>
      </c>
      <c r="AO467" s="522" t="s">
        <v>278</v>
      </c>
      <c r="AR467" s="51"/>
      <c r="AS467" s="42" t="s">
        <v>139</v>
      </c>
    </row>
    <row r="468" spans="1:45" s="520" customFormat="1" ht="13.2">
      <c r="A468" s="747">
        <v>1</v>
      </c>
      <c r="B468" s="523" t="s">
        <v>299</v>
      </c>
      <c r="C468" s="748"/>
      <c r="D468" s="749" t="s">
        <v>1133</v>
      </c>
      <c r="E468" s="786">
        <f>IF(AND($A468=0,$A$1="DIF"),0, ROUND(ROUND(SUMIF($L470:$L488,"SUBI",$E470:$E488)/$A468,2)*$C$12,2))</f>
        <v>4516.43</v>
      </c>
      <c r="F468" s="787">
        <f>ROUND($A468*$E468,2)</f>
        <v>4516.43</v>
      </c>
      <c r="G468" s="752" t="s">
        <v>142</v>
      </c>
      <c r="H468" s="753"/>
      <c r="I468" s="754"/>
      <c r="J468" s="753"/>
      <c r="K468" s="788"/>
      <c r="L468" s="789" t="s">
        <v>143</v>
      </c>
      <c r="M468" s="755"/>
      <c r="N468" s="755"/>
      <c r="O468" s="755"/>
      <c r="P468" s="755"/>
      <c r="Q468" s="535"/>
      <c r="R468"/>
      <c r="S468"/>
      <c r="T468" s="790" t="str">
        <f>IF(AND($R494=0,$T494=0),"0.00","mu :" &amp; ROUND($F468/$C$12/($R494+$T494*$D$9),2))</f>
        <v>mu :1.26</v>
      </c>
      <c r="W468" s="524"/>
      <c r="AG468" s="791">
        <f>IF(A468=0,0,ROUND(SUM(AG470:AG494)/A468,2))</f>
        <v>3488.3</v>
      </c>
      <c r="AH468" s="791">
        <f>$AG468*$A468</f>
        <v>3488.3</v>
      </c>
      <c r="AI468" s="791">
        <f>$E468-$AG468</f>
        <v>1028.1300000000001</v>
      </c>
      <c r="AJ468" s="791">
        <f>$A468*$AI468</f>
        <v>1028.1300000000001</v>
      </c>
      <c r="AK468" s="792">
        <f>ROUND(($AG468+$AI468)*$A468,2)</f>
        <v>4516.43</v>
      </c>
      <c r="AM468" s="527">
        <f>ROUND(R494,2)</f>
        <v>2832.91</v>
      </c>
      <c r="AN468" s="528">
        <f>ROUND(T494,2)</f>
        <v>27.29</v>
      </c>
      <c r="AO468" s="529">
        <f>ROUND(AM468+AN468,2)*A468</f>
        <v>2860.2</v>
      </c>
      <c r="AR468" s="747">
        <v>1</v>
      </c>
      <c r="AS468" s="787">
        <v>4630.67</v>
      </c>
    </row>
    <row r="469" spans="1:45" s="520" customFormat="1" ht="42.6" customHeight="1">
      <c r="A469" s="793"/>
      <c r="B469" s="794"/>
      <c r="C469" s="748"/>
      <c r="D469" s="1451" t="s">
        <v>1134</v>
      </c>
      <c r="E469" s="1452"/>
      <c r="F469" s="1452"/>
      <c r="G469" s="1452"/>
      <c r="H469" s="1452"/>
      <c r="I469" s="1452"/>
      <c r="J469" s="1452"/>
      <c r="K469" s="1452"/>
      <c r="L469" s="1452"/>
      <c r="M469" s="1452"/>
      <c r="N469" s="1452"/>
      <c r="O469" s="1452"/>
      <c r="P469" s="1452"/>
      <c r="Q469" s="1452"/>
      <c r="R469" s="1452"/>
      <c r="S469" s="1452"/>
      <c r="T469" s="1452"/>
      <c r="AR469" s="793"/>
    </row>
    <row r="470" spans="1:45" s="520" customFormat="1" ht="12">
      <c r="A470" s="795"/>
      <c r="B470" s="796"/>
      <c r="C470" s="758"/>
      <c r="D470" s="753"/>
      <c r="E470" s="797">
        <f>F468/$C$12-SUMIF($L467:$L494,"SUBI",$E467:$E494)</f>
        <v>0</v>
      </c>
      <c r="F470" s="798" t="s">
        <v>2054</v>
      </c>
      <c r="G470" s="799"/>
      <c r="H470" s="799"/>
      <c r="I470" s="800"/>
      <c r="J470" s="799"/>
      <c r="K470" s="799"/>
      <c r="L470" s="801"/>
      <c r="M470" s="802"/>
      <c r="N470" s="802"/>
      <c r="O470" s="802"/>
      <c r="P470" s="802"/>
      <c r="Q470" s="803"/>
      <c r="R470" s="804"/>
      <c r="S470" s="803"/>
      <c r="T470" s="805"/>
      <c r="AR470" s="795"/>
      <c r="AS470" s="798" t="s">
        <v>2054</v>
      </c>
    </row>
    <row r="471" spans="1:45" s="520" customFormat="1" ht="12" customHeight="1">
      <c r="A471" s="806"/>
      <c r="B471" s="807"/>
      <c r="C471" s="808"/>
      <c r="D471" s="808" t="str">
        <f>$F$2</f>
        <v>Electrical</v>
      </c>
      <c r="E471" s="808">
        <f>ROUND(($R487*$S$2 + ($T487*$T$2)), 2)</f>
        <v>1289.23</v>
      </c>
      <c r="F471" s="809">
        <f>$E471*$C$12</f>
        <v>1289.23</v>
      </c>
      <c r="G471" s="530"/>
      <c r="H471" s="810"/>
      <c r="I471" s="530"/>
      <c r="J471" s="52"/>
      <c r="K471" s="811" t="s">
        <v>3</v>
      </c>
      <c r="L471" s="812" t="s">
        <v>2055</v>
      </c>
      <c r="M471" s="530"/>
      <c r="N471" s="530"/>
      <c r="O471" s="52"/>
      <c r="P471" s="530"/>
      <c r="Q471" s="530"/>
      <c r="R471"/>
      <c r="S471"/>
      <c r="T471"/>
      <c r="AR471" s="806"/>
      <c r="AS471" s="809">
        <v>1371.46</v>
      </c>
    </row>
    <row r="472" spans="1:45" s="901" customFormat="1" ht="13.2">
      <c r="A472">
        <v>1</v>
      </c>
      <c r="B472" s="901" t="s">
        <v>141</v>
      </c>
      <c r="D472" s="901" t="s">
        <v>2831</v>
      </c>
      <c r="E472" s="901" t="s">
        <v>2833</v>
      </c>
      <c r="F472" s="1054" t="s">
        <v>2834</v>
      </c>
      <c r="G472" s="941" t="s">
        <v>2832</v>
      </c>
      <c r="H472" s="942">
        <v>570</v>
      </c>
      <c r="I472" s="901" t="s">
        <v>2607</v>
      </c>
      <c r="O472" s="943">
        <v>2</v>
      </c>
      <c r="P472" s="944">
        <v>38443</v>
      </c>
      <c r="Q472" s="1063"/>
      <c r="R472" s="946">
        <f>$A472*Q472</f>
        <v>0</v>
      </c>
      <c r="S472" s="945">
        <v>6</v>
      </c>
      <c r="T472" s="947">
        <f>$A472*S472*$T$1</f>
        <v>5.4</v>
      </c>
      <c r="U472" s="901" t="s">
        <v>2764</v>
      </c>
      <c r="AR472">
        <v>1</v>
      </c>
      <c r="AS472" s="1054" t="s">
        <v>2834</v>
      </c>
    </row>
    <row r="473" spans="1:45" s="901" customFormat="1" ht="13.2">
      <c r="A473">
        <v>1</v>
      </c>
      <c r="B473" s="901" t="s">
        <v>141</v>
      </c>
      <c r="D473" s="901" t="s">
        <v>2758</v>
      </c>
      <c r="G473" s="941" t="s">
        <v>2760</v>
      </c>
      <c r="H473" s="942">
        <v>501</v>
      </c>
      <c r="I473" s="901" t="s">
        <v>2607</v>
      </c>
      <c r="K473" s="901" t="s">
        <v>2761</v>
      </c>
      <c r="O473" s="943">
        <v>1</v>
      </c>
      <c r="P473" s="944"/>
      <c r="Q473" s="945">
        <v>20</v>
      </c>
      <c r="R473" s="946">
        <f>$A473*Q473</f>
        <v>20</v>
      </c>
      <c r="S473" s="945"/>
      <c r="T473" s="947">
        <f>$A473*S473*$T$1</f>
        <v>0</v>
      </c>
      <c r="AR473">
        <v>1</v>
      </c>
    </row>
    <row r="474" spans="1:45" s="901" customFormat="1" ht="13.2">
      <c r="A474"/>
      <c r="D474" s="904" t="s">
        <v>3651</v>
      </c>
      <c r="G474" s="941"/>
      <c r="H474" s="942"/>
      <c r="O474" s="943"/>
      <c r="P474" s="944"/>
      <c r="Q474" s="945"/>
      <c r="R474" s="946"/>
      <c r="S474" s="945"/>
      <c r="T474" s="947"/>
      <c r="AR474"/>
    </row>
    <row r="475" spans="1:45" s="901" customFormat="1" ht="11.4">
      <c r="A475" s="919">
        <v>10</v>
      </c>
      <c r="B475" s="901" t="s">
        <v>320</v>
      </c>
      <c r="D475" s="901" t="s">
        <v>2700</v>
      </c>
      <c r="E475" s="1047" t="s">
        <v>2732</v>
      </c>
      <c r="F475" s="1054" t="s">
        <v>3277</v>
      </c>
      <c r="G475" s="941" t="s">
        <v>2701</v>
      </c>
      <c r="H475" s="942">
        <v>616</v>
      </c>
      <c r="I475" s="901" t="s">
        <v>2607</v>
      </c>
      <c r="J475" s="901" t="s">
        <v>2702</v>
      </c>
      <c r="K475" s="901" t="s">
        <v>2703</v>
      </c>
      <c r="O475" s="943">
        <v>2</v>
      </c>
      <c r="P475" s="944">
        <v>38371</v>
      </c>
      <c r="Q475" s="1194">
        <f>11.19*0.96</f>
        <v>10.7424</v>
      </c>
      <c r="R475" s="946">
        <f t="shared" ref="R475:R479" si="82">$A475*Q475</f>
        <v>107.42400000000001</v>
      </c>
      <c r="S475" s="945">
        <v>7.0000000000000007E-2</v>
      </c>
      <c r="T475" s="947">
        <f t="shared" ref="T475:T479" si="83">$A475*S475*$T$1</f>
        <v>0.63000000000000012</v>
      </c>
      <c r="AR475" s="919">
        <v>10</v>
      </c>
      <c r="AS475" s="1054" t="s">
        <v>3277</v>
      </c>
    </row>
    <row r="476" spans="1:45" s="901" customFormat="1" ht="11.4">
      <c r="A476" s="919">
        <v>10</v>
      </c>
      <c r="B476" s="901" t="s">
        <v>141</v>
      </c>
      <c r="D476" s="901" t="s">
        <v>2605</v>
      </c>
      <c r="G476" s="941" t="s">
        <v>2606</v>
      </c>
      <c r="H476" s="942">
        <v>875</v>
      </c>
      <c r="I476" s="901" t="s">
        <v>2607</v>
      </c>
      <c r="K476" s="901" t="s">
        <v>2608</v>
      </c>
      <c r="O476" s="943">
        <v>1</v>
      </c>
      <c r="P476" s="944">
        <v>34669</v>
      </c>
      <c r="Q476" s="945">
        <v>0.05</v>
      </c>
      <c r="R476" s="946">
        <f t="shared" si="82"/>
        <v>0.5</v>
      </c>
      <c r="S476" s="945"/>
      <c r="T476" s="947">
        <f t="shared" si="83"/>
        <v>0</v>
      </c>
      <c r="AR476" s="919">
        <v>10</v>
      </c>
    </row>
    <row r="477" spans="1:45" s="901" customFormat="1" ht="11.4">
      <c r="A477" s="919">
        <v>4</v>
      </c>
      <c r="B477" s="901" t="s">
        <v>141</v>
      </c>
      <c r="D477" s="901" t="s">
        <v>2691</v>
      </c>
      <c r="G477" s="941" t="s">
        <v>2692</v>
      </c>
      <c r="H477" s="942">
        <v>620</v>
      </c>
      <c r="I477" s="901" t="s">
        <v>2611</v>
      </c>
      <c r="O477" s="943">
        <v>2</v>
      </c>
      <c r="P477" s="944">
        <v>35431</v>
      </c>
      <c r="Q477" s="945">
        <v>4.71</v>
      </c>
      <c r="R477" s="946">
        <f t="shared" si="82"/>
        <v>18.84</v>
      </c>
      <c r="S477" s="945">
        <v>0.35000000000000003</v>
      </c>
      <c r="T477" s="947">
        <f t="shared" si="83"/>
        <v>1.2600000000000002</v>
      </c>
      <c r="AR477" s="919">
        <v>4</v>
      </c>
    </row>
    <row r="478" spans="1:45" s="901" customFormat="1" ht="11.4">
      <c r="A478" s="919">
        <v>4</v>
      </c>
      <c r="B478" s="901" t="s">
        <v>320</v>
      </c>
      <c r="D478" s="901" t="s">
        <v>2653</v>
      </c>
      <c r="G478" s="941" t="s">
        <v>2654</v>
      </c>
      <c r="H478" s="942">
        <v>620</v>
      </c>
      <c r="I478" s="901" t="s">
        <v>2607</v>
      </c>
      <c r="O478" s="943">
        <v>2</v>
      </c>
      <c r="P478" s="944">
        <v>38148</v>
      </c>
      <c r="Q478" s="945">
        <v>1.5</v>
      </c>
      <c r="R478" s="946">
        <f t="shared" si="82"/>
        <v>6</v>
      </c>
      <c r="S478" s="945">
        <v>0.08</v>
      </c>
      <c r="T478" s="947">
        <f t="shared" si="83"/>
        <v>0.28800000000000003</v>
      </c>
      <c r="AR478" s="919">
        <v>4</v>
      </c>
    </row>
    <row r="479" spans="1:45" s="901" customFormat="1" ht="11.4">
      <c r="A479" s="919">
        <v>20</v>
      </c>
      <c r="B479" s="901" t="s">
        <v>141</v>
      </c>
      <c r="D479" s="901" t="s">
        <v>2704</v>
      </c>
      <c r="G479" s="941" t="s">
        <v>2705</v>
      </c>
      <c r="H479" s="942">
        <v>620</v>
      </c>
      <c r="I479" s="901" t="s">
        <v>2614</v>
      </c>
      <c r="O479" s="943">
        <v>2</v>
      </c>
      <c r="P479" s="944">
        <v>34669</v>
      </c>
      <c r="Q479" s="945">
        <v>0.05</v>
      </c>
      <c r="R479" s="946">
        <f t="shared" si="82"/>
        <v>1</v>
      </c>
      <c r="S479" s="945">
        <v>0.02</v>
      </c>
      <c r="T479" s="947">
        <f t="shared" si="83"/>
        <v>0.36000000000000004</v>
      </c>
      <c r="AR479" s="919">
        <v>20</v>
      </c>
    </row>
    <row r="480" spans="1:45" s="901" customFormat="1" ht="13.2">
      <c r="A480">
        <v>2</v>
      </c>
      <c r="B480" s="901" t="s">
        <v>141</v>
      </c>
      <c r="D480" s="901" t="s">
        <v>2831</v>
      </c>
      <c r="E480" s="1054" t="s">
        <v>3652</v>
      </c>
      <c r="F480" s="901" t="s">
        <v>3653</v>
      </c>
      <c r="G480" s="941" t="s">
        <v>2832</v>
      </c>
      <c r="H480" s="942">
        <v>570</v>
      </c>
      <c r="I480" s="901" t="s">
        <v>2607</v>
      </c>
      <c r="O480" s="943">
        <v>2</v>
      </c>
      <c r="P480" s="944">
        <v>38443</v>
      </c>
      <c r="Q480" s="945">
        <v>10</v>
      </c>
      <c r="R480" s="946">
        <f>$A480*Q480</f>
        <v>20</v>
      </c>
      <c r="S480" s="945">
        <v>2</v>
      </c>
      <c r="T480" s="947">
        <f>$A480*S480*$T$1</f>
        <v>3.6</v>
      </c>
      <c r="AR480">
        <v>2</v>
      </c>
      <c r="AS480" s="901" t="s">
        <v>3653</v>
      </c>
    </row>
    <row r="481" spans="1:45" s="901" customFormat="1" ht="13.2">
      <c r="A481"/>
      <c r="D481" s="904" t="s">
        <v>3707</v>
      </c>
      <c r="E481" s="1054"/>
      <c r="G481" s="941"/>
      <c r="H481" s="942"/>
      <c r="O481" s="943"/>
      <c r="P481" s="944"/>
      <c r="Q481" s="945"/>
      <c r="R481" s="946"/>
      <c r="S481" s="945"/>
      <c r="T481" s="947"/>
      <c r="AR481"/>
    </row>
    <row r="482" spans="1:45" s="901" customFormat="1" ht="11.4">
      <c r="A482" s="919">
        <v>40</v>
      </c>
      <c r="B482" s="901" t="s">
        <v>320</v>
      </c>
      <c r="D482" s="901" t="s">
        <v>2951</v>
      </c>
      <c r="G482" s="941" t="s">
        <v>2952</v>
      </c>
      <c r="H482" s="942">
        <v>690</v>
      </c>
      <c r="I482" s="901" t="s">
        <v>2946</v>
      </c>
      <c r="J482" s="901" t="s">
        <v>2953</v>
      </c>
      <c r="K482" s="945" t="s">
        <v>7</v>
      </c>
      <c r="O482" s="943">
        <v>1</v>
      </c>
      <c r="P482" s="944">
        <v>34669</v>
      </c>
      <c r="Q482" s="1199">
        <v>3.03</v>
      </c>
      <c r="R482" s="946">
        <f>$A482*Q482</f>
        <v>121.19999999999999</v>
      </c>
      <c r="S482" s="945">
        <v>0.2</v>
      </c>
      <c r="T482" s="947">
        <f t="shared" ref="T482:T483" si="84">$A482*S482*$T$1</f>
        <v>7.2</v>
      </c>
      <c r="AR482" s="919">
        <v>40</v>
      </c>
    </row>
    <row r="483" spans="1:45" s="901" customFormat="1" ht="13.2">
      <c r="A483">
        <v>40</v>
      </c>
      <c r="B483" s="901" t="s">
        <v>320</v>
      </c>
      <c r="D483" s="901" t="s">
        <v>3700</v>
      </c>
      <c r="F483" s="1176"/>
      <c r="G483" s="941" t="s">
        <v>3701</v>
      </c>
      <c r="H483" s="942">
        <v>617</v>
      </c>
      <c r="I483" s="901" t="s">
        <v>3702</v>
      </c>
      <c r="J483" s="901" t="s">
        <v>3703</v>
      </c>
      <c r="K483" s="945" t="s">
        <v>7</v>
      </c>
      <c r="O483" s="943">
        <v>2</v>
      </c>
      <c r="P483" s="944"/>
      <c r="Q483" s="945">
        <f>0.62*1.25</f>
        <v>0.77500000000000002</v>
      </c>
      <c r="R483" s="946">
        <f t="shared" ref="R483" si="85">$A483*Q483</f>
        <v>31</v>
      </c>
      <c r="S483" s="945">
        <v>0.05</v>
      </c>
      <c r="T483" s="947">
        <f t="shared" si="84"/>
        <v>1.8</v>
      </c>
      <c r="AR483">
        <v>40</v>
      </c>
      <c r="AS483" s="1176"/>
    </row>
    <row r="484" spans="1:45" s="901" customFormat="1" ht="13.2">
      <c r="A484">
        <v>2</v>
      </c>
      <c r="B484" s="901" t="s">
        <v>141</v>
      </c>
      <c r="D484" s="901" t="s">
        <v>3704</v>
      </c>
      <c r="F484" s="901" t="s">
        <v>3705</v>
      </c>
      <c r="G484" s="941" t="s">
        <v>3706</v>
      </c>
      <c r="H484" s="942">
        <v>570</v>
      </c>
      <c r="I484" s="901" t="s">
        <v>2607</v>
      </c>
      <c r="O484" s="943">
        <v>2</v>
      </c>
      <c r="P484" s="944">
        <v>38288</v>
      </c>
      <c r="Q484" s="945">
        <v>10</v>
      </c>
      <c r="R484" s="946">
        <f>$A484*Q484</f>
        <v>20</v>
      </c>
      <c r="S484" s="945">
        <v>0.25</v>
      </c>
      <c r="T484" s="947">
        <f>$A484*S484*$T$1</f>
        <v>0.45</v>
      </c>
      <c r="AR484">
        <v>2</v>
      </c>
      <c r="AS484" s="901" t="s">
        <v>3705</v>
      </c>
    </row>
    <row r="485" spans="1:45" s="901" customFormat="1" ht="13.2">
      <c r="A485">
        <v>2</v>
      </c>
      <c r="B485" s="901" t="s">
        <v>141</v>
      </c>
      <c r="D485" s="901" t="s">
        <v>3708</v>
      </c>
      <c r="G485" s="941" t="s">
        <v>3709</v>
      </c>
      <c r="H485" s="942">
        <v>570</v>
      </c>
      <c r="I485" s="901" t="s">
        <v>2607</v>
      </c>
      <c r="O485" s="943">
        <v>2</v>
      </c>
      <c r="P485" s="944">
        <v>38312</v>
      </c>
      <c r="Q485" s="945">
        <v>50</v>
      </c>
      <c r="R485" s="946">
        <f>$A485*Q485</f>
        <v>100</v>
      </c>
      <c r="S485" s="945">
        <v>0.5</v>
      </c>
      <c r="T485" s="947">
        <f>$A485*S485*$T$1</f>
        <v>0.9</v>
      </c>
      <c r="AR485">
        <v>2</v>
      </c>
    </row>
    <row r="486" spans="1:45" s="520" customFormat="1" ht="11.4">
      <c r="A486" s="813"/>
      <c r="B486" s="530"/>
      <c r="C486" s="530"/>
      <c r="D486" s="530"/>
      <c r="E486" s="530"/>
      <c r="F486" s="530"/>
      <c r="G486" s="530"/>
      <c r="H486" s="810"/>
      <c r="I486" s="530"/>
      <c r="J486" s="52"/>
      <c r="K486" s="815"/>
      <c r="L486" s="816"/>
      <c r="M486" s="530"/>
      <c r="N486" s="530"/>
      <c r="O486" s="52"/>
      <c r="P486" s="530"/>
      <c r="Q486" s="530"/>
      <c r="R486" s="817">
        <f>$A486*Q486</f>
        <v>0</v>
      </c>
      <c r="S486" s="530"/>
      <c r="T486" s="760">
        <f>$A486*S486*$T$1</f>
        <v>0</v>
      </c>
      <c r="AR486" s="813"/>
      <c r="AS486" s="530"/>
    </row>
    <row r="487" spans="1:45" s="520" customFormat="1" ht="12">
      <c r="A487" s="818" t="s">
        <v>145</v>
      </c>
      <c r="B487" s="819">
        <f>(R486+T486)</f>
        <v>0</v>
      </c>
      <c r="C487" s="758"/>
      <c r="G487" s="820"/>
      <c r="H487" s="820"/>
      <c r="I487" s="820"/>
      <c r="J487" s="820"/>
      <c r="K487" s="821" t="s">
        <v>3</v>
      </c>
      <c r="L487" s="822" t="s">
        <v>2055</v>
      </c>
      <c r="M487" s="820"/>
      <c r="N487" s="820"/>
      <c r="O487" s="820"/>
      <c r="P487" s="820"/>
      <c r="Q487" s="823"/>
      <c r="R487" s="824">
        <f>SUM(R471:R486)</f>
        <v>445.964</v>
      </c>
      <c r="S487" s="825"/>
      <c r="T487" s="824">
        <f>SUM(T471:T486)</f>
        <v>21.888000000000002</v>
      </c>
      <c r="AG487" s="826">
        <f>ROUND($R487*$S$2,2)</f>
        <v>549.14</v>
      </c>
      <c r="AR487" s="818" t="s">
        <v>145</v>
      </c>
    </row>
    <row r="488" spans="1:45" s="520" customFormat="1" ht="12" customHeight="1">
      <c r="A488" s="827"/>
      <c r="B488" s="1172"/>
      <c r="C488" s="1173"/>
      <c r="D488" s="1173" t="str">
        <f>$F$5</f>
        <v>Controls ECA</v>
      </c>
      <c r="E488" s="1173">
        <f>ROUND(($R492*$S$5 + ($T492*$T$5)),2)</f>
        <v>3227.2</v>
      </c>
      <c r="F488" s="1174">
        <f ca="1">$F468-SUMIF($L470:$P473,"SUBI",$F470:$F473)</f>
        <v>3227.2000000000003</v>
      </c>
      <c r="G488" s="519"/>
      <c r="H488" s="519"/>
      <c r="I488" s="519"/>
      <c r="J488" s="519"/>
      <c r="K488" s="811" t="s">
        <v>10</v>
      </c>
      <c r="L488" s="812" t="s">
        <v>2055</v>
      </c>
      <c r="M488" s="519"/>
      <c r="N488" s="519"/>
      <c r="O488" s="519"/>
      <c r="P488" s="519"/>
      <c r="Q488" s="519"/>
      <c r="R488" s="831"/>
      <c r="S488" s="519"/>
      <c r="T488" s="831"/>
      <c r="AR488" s="827"/>
      <c r="AS488" s="1174">
        <v>3259.21</v>
      </c>
    </row>
    <row r="489" spans="1:45" s="901" customFormat="1" ht="13.2">
      <c r="A489">
        <v>1</v>
      </c>
      <c r="B489" s="901" t="s">
        <v>141</v>
      </c>
      <c r="D489" s="901" t="s">
        <v>2831</v>
      </c>
      <c r="E489" s="901" t="s">
        <v>2835</v>
      </c>
      <c r="F489" s="1054" t="s">
        <v>2834</v>
      </c>
      <c r="G489" s="941" t="s">
        <v>2832</v>
      </c>
      <c r="H489" s="942">
        <v>570</v>
      </c>
      <c r="I489" s="901" t="s">
        <v>2607</v>
      </c>
      <c r="O489" s="943">
        <v>2</v>
      </c>
      <c r="P489" s="944">
        <v>38443</v>
      </c>
      <c r="Q489" s="1226">
        <v>2386.9499999999998</v>
      </c>
      <c r="R489" s="946">
        <f>$A489*Q489</f>
        <v>2386.9499999999998</v>
      </c>
      <c r="S489" s="945"/>
      <c r="T489" s="947">
        <f>$A489*S489*$T$1</f>
        <v>0</v>
      </c>
      <c r="U489" s="901" t="s">
        <v>2764</v>
      </c>
      <c r="AR489">
        <v>1</v>
      </c>
      <c r="AS489" s="1054" t="s">
        <v>2834</v>
      </c>
    </row>
    <row r="490" spans="1:45" s="901" customFormat="1" ht="13.2">
      <c r="A490">
        <v>1</v>
      </c>
      <c r="B490" s="901" t="s">
        <v>141</v>
      </c>
      <c r="D490" s="901" t="s">
        <v>2831</v>
      </c>
      <c r="E490" s="901" t="s">
        <v>2836</v>
      </c>
      <c r="F490" s="1054" t="s">
        <v>2837</v>
      </c>
      <c r="G490" s="941" t="s">
        <v>2832</v>
      </c>
      <c r="H490" s="942">
        <v>570</v>
      </c>
      <c r="I490" s="901" t="s">
        <v>2607</v>
      </c>
      <c r="O490" s="943">
        <v>2</v>
      </c>
      <c r="P490" s="944">
        <v>38443</v>
      </c>
      <c r="Q490" s="1063"/>
      <c r="R490" s="946">
        <f>$A490*Q490</f>
        <v>0</v>
      </c>
      <c r="S490" s="945">
        <v>6</v>
      </c>
      <c r="T490" s="947">
        <f>$A490*S490*$T$1</f>
        <v>5.4</v>
      </c>
      <c r="U490" s="901" t="s">
        <v>2764</v>
      </c>
      <c r="AR490">
        <v>1</v>
      </c>
      <c r="AS490" s="1054" t="s">
        <v>2837</v>
      </c>
    </row>
    <row r="491" spans="1:45" s="520" customFormat="1" ht="13.2">
      <c r="A491" s="813"/>
      <c r="B491" s="530"/>
      <c r="C491" s="530"/>
      <c r="D491" s="3"/>
      <c r="E491" s="530"/>
      <c r="F491" s="530"/>
      <c r="G491" s="530"/>
      <c r="H491" s="530"/>
      <c r="I491" s="530"/>
      <c r="J491" s="530"/>
      <c r="K491" s="530"/>
      <c r="L491" s="816"/>
      <c r="M491" s="530"/>
      <c r="N491" s="530"/>
      <c r="O491" s="530"/>
      <c r="P491" s="530"/>
      <c r="Q491" s="530"/>
      <c r="R491" s="817">
        <f>$A491*Q491</f>
        <v>0</v>
      </c>
      <c r="S491" s="530"/>
      <c r="T491" s="760">
        <f>$A491*S491*$T$1</f>
        <v>0</v>
      </c>
      <c r="AR491" s="813"/>
      <c r="AS491" s="530"/>
    </row>
    <row r="492" spans="1:45" s="520" customFormat="1" ht="12" customHeight="1">
      <c r="A492" s="845" t="s">
        <v>145</v>
      </c>
      <c r="B492" s="846">
        <f>(R491+T491)</f>
        <v>0</v>
      </c>
      <c r="C492" s="847"/>
      <c r="D492" s="847"/>
      <c r="E492" s="847"/>
      <c r="F492" s="847"/>
      <c r="G492" s="823"/>
      <c r="H492" s="823"/>
      <c r="I492" s="823"/>
      <c r="J492" s="823"/>
      <c r="K492" s="848" t="s">
        <v>10</v>
      </c>
      <c r="L492" s="849" t="s">
        <v>2055</v>
      </c>
      <c r="M492" s="823"/>
      <c r="N492" s="823"/>
      <c r="O492" s="823"/>
      <c r="P492" s="823"/>
      <c r="Q492" s="823"/>
      <c r="R492" s="824">
        <f>SUM(R488:R491)</f>
        <v>2386.9499999999998</v>
      </c>
      <c r="S492" s="825"/>
      <c r="T492" s="824">
        <f>SUM(T488:T491)</f>
        <v>5.4</v>
      </c>
      <c r="AG492" s="1175">
        <f>ROUND($R492*$S$5,2)</f>
        <v>2939.16</v>
      </c>
      <c r="AR492" s="845" t="s">
        <v>145</v>
      </c>
      <c r="AS492" s="847"/>
    </row>
    <row r="493" spans="1:45" s="520" customFormat="1" ht="12.75" customHeight="1">
      <c r="A493" s="851"/>
      <c r="B493" s="852"/>
      <c r="E493" s="758"/>
      <c r="F493" s="853"/>
      <c r="G493" s="758"/>
      <c r="H493" s="758"/>
      <c r="I493" s="519"/>
      <c r="J493" s="758"/>
      <c r="K493" s="758"/>
      <c r="L493" s="854"/>
      <c r="M493" s="855"/>
      <c r="N493" s="855"/>
      <c r="O493" s="855"/>
      <c r="P493" s="855"/>
      <c r="Q493" s="778"/>
      <c r="R493" s="831"/>
      <c r="S493" s="758"/>
      <c r="T493" s="831"/>
      <c r="AR493" s="851"/>
      <c r="AS493" s="853"/>
    </row>
    <row r="494" spans="1:45" s="520" customFormat="1" ht="13.5" customHeight="1" thickBot="1">
      <c r="A494" s="856"/>
      <c r="B494" s="857"/>
      <c r="C494" s="531"/>
      <c r="D494" s="531"/>
      <c r="E494" s="763"/>
      <c r="F494" s="764"/>
      <c r="G494" s="763" t="s">
        <v>146</v>
      </c>
      <c r="H494" s="763"/>
      <c r="I494" s="765"/>
      <c r="J494" s="763"/>
      <c r="K494" s="763"/>
      <c r="L494" s="858" t="s">
        <v>143</v>
      </c>
      <c r="M494" s="766"/>
      <c r="N494" s="766"/>
      <c r="O494" s="766"/>
      <c r="P494" s="766"/>
      <c r="Q494" s="767"/>
      <c r="R494" s="859">
        <f>SUMIF($L469:$L493,"SUBI",R469:R493)</f>
        <v>2832.9139999999998</v>
      </c>
      <c r="S494" s="763"/>
      <c r="T494" s="859">
        <f>SUMIF($L469:$L493,"SUBI",T469:T493)</f>
        <v>27.288000000000004</v>
      </c>
      <c r="U494" s="531"/>
      <c r="V494" s="531"/>
      <c r="W494" s="531"/>
      <c r="X494" s="531"/>
      <c r="Y494" s="531"/>
      <c r="Z494" s="531"/>
      <c r="AA494" s="531"/>
      <c r="AB494" s="531"/>
      <c r="AC494" s="531"/>
      <c r="AD494" s="531"/>
      <c r="AE494" s="531"/>
      <c r="AF494" s="531"/>
      <c r="AG494" s="531"/>
      <c r="AH494" s="531"/>
      <c r="AI494" s="531"/>
      <c r="AJ494" s="531"/>
      <c r="AK494" s="531"/>
      <c r="AL494" s="531"/>
      <c r="AM494" s="531"/>
      <c r="AN494" s="531"/>
      <c r="AO494" s="531"/>
      <c r="AR494" s="856"/>
      <c r="AS494" s="764"/>
    </row>
    <row r="495" spans="1:45" s="520" customFormat="1" thickTop="1">
      <c r="A495" s="51"/>
      <c r="B495" s="41"/>
      <c r="C495" s="51"/>
      <c r="E495" s="42" t="s">
        <v>138</v>
      </c>
      <c r="F495" s="42" t="s">
        <v>139</v>
      </c>
      <c r="G495" s="51"/>
      <c r="H495" s="51"/>
      <c r="I495" s="51"/>
      <c r="J495" s="51"/>
      <c r="K495" s="51" t="s">
        <v>140</v>
      </c>
      <c r="L495" s="785"/>
      <c r="M495" s="51"/>
      <c r="N495" s="51"/>
      <c r="O495" s="52"/>
      <c r="P495" s="51"/>
      <c r="Q495" s="535"/>
      <c r="R495"/>
      <c r="S495"/>
      <c r="T495" s="41"/>
      <c r="AG495" s="521" t="s">
        <v>268</v>
      </c>
      <c r="AH495" s="521" t="s">
        <v>269</v>
      </c>
      <c r="AI495" s="521" t="s">
        <v>270</v>
      </c>
      <c r="AJ495" s="521" t="s">
        <v>271</v>
      </c>
      <c r="AK495" s="521" t="s">
        <v>272</v>
      </c>
      <c r="AM495" s="745" t="s">
        <v>281</v>
      </c>
      <c r="AN495" s="746" t="s">
        <v>282</v>
      </c>
      <c r="AO495" s="522" t="s">
        <v>278</v>
      </c>
      <c r="AR495" s="51"/>
      <c r="AS495" s="42" t="s">
        <v>139</v>
      </c>
    </row>
    <row r="496" spans="1:45" s="520" customFormat="1" ht="13.2">
      <c r="A496" s="747">
        <v>1</v>
      </c>
      <c r="B496" s="523" t="s">
        <v>299</v>
      </c>
      <c r="C496" s="748"/>
      <c r="D496" s="749" t="s">
        <v>1135</v>
      </c>
      <c r="E496" s="786">
        <f>IF(AND($A496=0,$A$1="DIF"),0, ROUND(ROUND(SUMIF($L498:$L509,"SUBI",$E498:$E509)/$A496,2)*$C$12,2))</f>
        <v>881.44</v>
      </c>
      <c r="F496" s="787">
        <f>ROUND($A496*$E496,2)</f>
        <v>881.44</v>
      </c>
      <c r="G496" s="752" t="s">
        <v>142</v>
      </c>
      <c r="H496" s="753"/>
      <c r="I496" s="754"/>
      <c r="J496" s="753"/>
      <c r="K496" s="788"/>
      <c r="L496" s="789" t="s">
        <v>143</v>
      </c>
      <c r="M496" s="755"/>
      <c r="N496" s="755"/>
      <c r="O496" s="755"/>
      <c r="P496" s="755"/>
      <c r="Q496" s="535"/>
      <c r="R496"/>
      <c r="S496"/>
      <c r="T496" s="790" t="str">
        <f>IF(AND($R515=0,$T515=0),"0.00","mu :" &amp; ROUND($F496/$C$12/($R515+$T515*$D$9),2))</f>
        <v>mu :1.23</v>
      </c>
      <c r="W496" s="524"/>
      <c r="AG496" s="791">
        <f>IF(A496=0,0,ROUND(SUM(AG498:AG515)/A496,2))</f>
        <v>470.62</v>
      </c>
      <c r="AH496" s="791">
        <f>$AG496*$A496</f>
        <v>470.62</v>
      </c>
      <c r="AI496" s="791">
        <f>$E496-$AG496</f>
        <v>410.82000000000005</v>
      </c>
      <c r="AJ496" s="791">
        <f>$A496*$AI496</f>
        <v>410.82000000000005</v>
      </c>
      <c r="AK496" s="792">
        <f>ROUND(($AG496+$AI496)*$A496,2)</f>
        <v>881.44</v>
      </c>
      <c r="AM496" s="527">
        <f>ROUND(R515,2)</f>
        <v>382.2</v>
      </c>
      <c r="AN496" s="528">
        <f>ROUND(T515,2)</f>
        <v>12.15</v>
      </c>
      <c r="AO496" s="529">
        <f>ROUND(AM496+AN496,2)*A496</f>
        <v>394.35</v>
      </c>
      <c r="AR496" s="747">
        <v>1</v>
      </c>
      <c r="AS496" s="787">
        <v>927.09</v>
      </c>
    </row>
    <row r="497" spans="1:45" s="520" customFormat="1" ht="32.1" customHeight="1">
      <c r="A497" s="793"/>
      <c r="B497" s="794"/>
      <c r="C497" s="748"/>
      <c r="D497" s="1451" t="s">
        <v>1136</v>
      </c>
      <c r="E497" s="1452"/>
      <c r="F497" s="1452"/>
      <c r="G497" s="1452"/>
      <c r="H497" s="1452"/>
      <c r="I497" s="1452"/>
      <c r="J497" s="1452"/>
      <c r="K497" s="1452"/>
      <c r="L497" s="1452"/>
      <c r="M497" s="1452"/>
      <c r="N497" s="1452"/>
      <c r="O497" s="1452"/>
      <c r="P497" s="1452"/>
      <c r="Q497" s="1452"/>
      <c r="R497" s="1452"/>
      <c r="S497" s="1452"/>
      <c r="T497" s="1452"/>
      <c r="AR497" s="793"/>
    </row>
    <row r="498" spans="1:45" s="520" customFormat="1" ht="12">
      <c r="A498" s="795"/>
      <c r="B498" s="796"/>
      <c r="C498" s="758"/>
      <c r="D498" s="753"/>
      <c r="E498" s="797">
        <f>F496/$C$12-SUMIF($L495:$L515,"SUBI",$E495:$E515)</f>
        <v>0</v>
      </c>
      <c r="F498" s="798" t="s">
        <v>2054</v>
      </c>
      <c r="G498" s="799"/>
      <c r="H498" s="799"/>
      <c r="I498" s="800"/>
      <c r="J498" s="799"/>
      <c r="K498" s="799"/>
      <c r="L498" s="801"/>
      <c r="M498" s="802"/>
      <c r="N498" s="802"/>
      <c r="O498" s="802"/>
      <c r="P498" s="802"/>
      <c r="Q498" s="803"/>
      <c r="R498" s="804"/>
      <c r="S498" s="803"/>
      <c r="T498" s="805"/>
      <c r="AR498" s="795"/>
      <c r="AS498" s="798" t="s">
        <v>2054</v>
      </c>
    </row>
    <row r="499" spans="1:45" s="520" customFormat="1" ht="12" customHeight="1">
      <c r="A499" s="806"/>
      <c r="B499" s="807"/>
      <c r="C499" s="808"/>
      <c r="D499" s="808" t="str">
        <f>$F$2</f>
        <v>Electrical</v>
      </c>
      <c r="E499" s="808">
        <f>ROUND(($R508*$S$2 + ($T508*$T$2)), 2)</f>
        <v>758.31</v>
      </c>
      <c r="F499" s="809">
        <f>$E499*$C$12</f>
        <v>758.31</v>
      </c>
      <c r="G499" s="530"/>
      <c r="H499" s="810"/>
      <c r="I499" s="530"/>
      <c r="J499" s="52"/>
      <c r="K499" s="811" t="s">
        <v>3</v>
      </c>
      <c r="L499" s="812" t="s">
        <v>2055</v>
      </c>
      <c r="M499" s="530"/>
      <c r="N499" s="530"/>
      <c r="O499" s="52"/>
      <c r="P499" s="530"/>
      <c r="Q499" s="530"/>
      <c r="R499"/>
      <c r="S499"/>
      <c r="T499"/>
      <c r="AR499" s="806"/>
      <c r="AS499" s="809">
        <v>803.96</v>
      </c>
    </row>
    <row r="500" spans="1:45" s="901" customFormat="1" ht="13.2">
      <c r="A500">
        <v>1</v>
      </c>
      <c r="B500" s="901" t="s">
        <v>141</v>
      </c>
      <c r="D500" s="901" t="s">
        <v>2831</v>
      </c>
      <c r="E500" s="901" t="s">
        <v>2833</v>
      </c>
      <c r="F500" s="1054" t="s">
        <v>2838</v>
      </c>
      <c r="G500" s="941" t="s">
        <v>2832</v>
      </c>
      <c r="H500" s="942">
        <v>570</v>
      </c>
      <c r="I500" s="901" t="s">
        <v>2607</v>
      </c>
      <c r="O500" s="943">
        <v>2</v>
      </c>
      <c r="P500" s="944">
        <v>38443</v>
      </c>
      <c r="Q500" s="1063"/>
      <c r="R500" s="946">
        <f>$A500*Q500</f>
        <v>0</v>
      </c>
      <c r="S500" s="945">
        <v>2</v>
      </c>
      <c r="T500" s="947">
        <f>$A500*S500*$T$1</f>
        <v>1.8</v>
      </c>
      <c r="U500" s="901" t="s">
        <v>2764</v>
      </c>
      <c r="AR500">
        <v>1</v>
      </c>
      <c r="AS500" s="1054" t="s">
        <v>2838</v>
      </c>
    </row>
    <row r="501" spans="1:45" s="901" customFormat="1" ht="13.2">
      <c r="A501">
        <v>1</v>
      </c>
      <c r="B501" s="901" t="s">
        <v>141</v>
      </c>
      <c r="D501" s="901" t="s">
        <v>2758</v>
      </c>
      <c r="G501" s="941" t="s">
        <v>2760</v>
      </c>
      <c r="H501" s="942">
        <v>501</v>
      </c>
      <c r="I501" s="901" t="s">
        <v>2607</v>
      </c>
      <c r="K501" s="901" t="s">
        <v>2761</v>
      </c>
      <c r="O501" s="943">
        <v>1</v>
      </c>
      <c r="P501" s="944"/>
      <c r="Q501" s="945">
        <v>10</v>
      </c>
      <c r="R501" s="946">
        <f>$A501*Q501</f>
        <v>10</v>
      </c>
      <c r="S501" s="945"/>
      <c r="T501" s="947">
        <f>$A501*S501*$T$1</f>
        <v>0</v>
      </c>
      <c r="AR501">
        <v>1</v>
      </c>
    </row>
    <row r="502" spans="1:45" s="901" customFormat="1" ht="13.2">
      <c r="A502"/>
      <c r="D502" s="904" t="s">
        <v>3707</v>
      </c>
      <c r="E502" s="1054"/>
      <c r="G502" s="941"/>
      <c r="H502" s="942"/>
      <c r="O502" s="943"/>
      <c r="P502" s="944"/>
      <c r="Q502" s="945"/>
      <c r="R502" s="946"/>
      <c r="S502" s="945"/>
      <c r="T502" s="947"/>
      <c r="AR502"/>
    </row>
    <row r="503" spans="1:45" s="901" customFormat="1" ht="11.4">
      <c r="A503" s="919">
        <v>40</v>
      </c>
      <c r="B503" s="901" t="s">
        <v>320</v>
      </c>
      <c r="D503" s="901" t="s">
        <v>2951</v>
      </c>
      <c r="G503" s="941" t="s">
        <v>2952</v>
      </c>
      <c r="H503" s="942">
        <v>690</v>
      </c>
      <c r="I503" s="901" t="s">
        <v>2946</v>
      </c>
      <c r="J503" s="901" t="s">
        <v>2953</v>
      </c>
      <c r="K503" s="945" t="s">
        <v>7</v>
      </c>
      <c r="O503" s="943">
        <v>1</v>
      </c>
      <c r="P503" s="944">
        <v>34669</v>
      </c>
      <c r="Q503" s="1199">
        <v>3.03</v>
      </c>
      <c r="R503" s="946">
        <f>$A503*Q503</f>
        <v>121.19999999999999</v>
      </c>
      <c r="S503" s="945">
        <v>0.2</v>
      </c>
      <c r="T503" s="947">
        <f>$A503*S503*$T$1</f>
        <v>7.2</v>
      </c>
      <c r="AR503" s="919">
        <v>40</v>
      </c>
    </row>
    <row r="504" spans="1:45" s="901" customFormat="1" ht="13.2">
      <c r="A504">
        <v>40</v>
      </c>
      <c r="B504" s="901" t="s">
        <v>320</v>
      </c>
      <c r="D504" s="901" t="s">
        <v>3700</v>
      </c>
      <c r="F504" s="1176"/>
      <c r="G504" s="941" t="s">
        <v>3701</v>
      </c>
      <c r="H504" s="942">
        <v>617</v>
      </c>
      <c r="I504" s="901" t="s">
        <v>3702</v>
      </c>
      <c r="J504" s="901" t="s">
        <v>3703</v>
      </c>
      <c r="K504" s="945" t="s">
        <v>7</v>
      </c>
      <c r="O504" s="943">
        <v>2</v>
      </c>
      <c r="P504" s="944"/>
      <c r="Q504" s="945">
        <f>0.62*1.25</f>
        <v>0.77500000000000002</v>
      </c>
      <c r="R504" s="946">
        <f>$A504*Q504</f>
        <v>31</v>
      </c>
      <c r="S504" s="945">
        <v>0.05</v>
      </c>
      <c r="T504" s="947">
        <f>$A504*S504*$T$1</f>
        <v>1.8</v>
      </c>
      <c r="AR504">
        <v>40</v>
      </c>
      <c r="AS504" s="1176"/>
    </row>
    <row r="505" spans="1:45" s="901" customFormat="1" ht="13.2">
      <c r="A505">
        <v>2</v>
      </c>
      <c r="B505" s="901" t="s">
        <v>141</v>
      </c>
      <c r="D505" s="901" t="s">
        <v>3704</v>
      </c>
      <c r="F505" s="901" t="s">
        <v>3705</v>
      </c>
      <c r="G505" s="941" t="s">
        <v>3706</v>
      </c>
      <c r="H505" s="942">
        <v>570</v>
      </c>
      <c r="I505" s="901" t="s">
        <v>2607</v>
      </c>
      <c r="O505" s="943">
        <v>2</v>
      </c>
      <c r="P505" s="944">
        <v>38288</v>
      </c>
      <c r="Q505" s="945">
        <v>10</v>
      </c>
      <c r="R505" s="946">
        <f>$A505*Q505</f>
        <v>20</v>
      </c>
      <c r="S505" s="945">
        <v>0.25</v>
      </c>
      <c r="T505" s="947">
        <f>$A505*S505*$T$1</f>
        <v>0.45</v>
      </c>
      <c r="AR505">
        <v>2</v>
      </c>
      <c r="AS505" s="901" t="s">
        <v>3705</v>
      </c>
    </row>
    <row r="506" spans="1:45" s="901" customFormat="1" ht="13.2">
      <c r="A506">
        <v>2</v>
      </c>
      <c r="B506" s="901" t="s">
        <v>141</v>
      </c>
      <c r="D506" s="901" t="s">
        <v>3708</v>
      </c>
      <c r="G506" s="941" t="s">
        <v>3709</v>
      </c>
      <c r="H506" s="942">
        <v>570</v>
      </c>
      <c r="I506" s="901" t="s">
        <v>2607</v>
      </c>
      <c r="O506" s="943">
        <v>2</v>
      </c>
      <c r="P506" s="944">
        <v>38312</v>
      </c>
      <c r="Q506" s="945">
        <v>50</v>
      </c>
      <c r="R506" s="946">
        <f>$A506*Q506</f>
        <v>100</v>
      </c>
      <c r="S506" s="945">
        <v>0.5</v>
      </c>
      <c r="T506" s="947">
        <f>$A506*S506*$T$1</f>
        <v>0.9</v>
      </c>
      <c r="AR506">
        <v>2</v>
      </c>
    </row>
    <row r="507" spans="1:45" s="520" customFormat="1" ht="14.1" customHeight="1">
      <c r="A507" s="813"/>
      <c r="B507" s="530"/>
      <c r="C507" s="530"/>
      <c r="D507" s="530"/>
      <c r="E507" s="530"/>
      <c r="F507" s="530"/>
      <c r="G507" s="530"/>
      <c r="H507" s="810"/>
      <c r="I507" s="530"/>
      <c r="J507" s="52"/>
      <c r="K507" s="815"/>
      <c r="L507" s="816"/>
      <c r="M507" s="530"/>
      <c r="N507" s="530"/>
      <c r="O507" s="52"/>
      <c r="P507" s="530"/>
      <c r="Q507" s="530"/>
      <c r="R507" s="817">
        <f>$A507*Q507</f>
        <v>0</v>
      </c>
      <c r="S507" s="530"/>
      <c r="T507" s="760">
        <f>$A507*S507*$T$1</f>
        <v>0</v>
      </c>
      <c r="AR507" s="813"/>
      <c r="AS507" s="530"/>
    </row>
    <row r="508" spans="1:45" s="520" customFormat="1" ht="12">
      <c r="A508" s="818" t="s">
        <v>145</v>
      </c>
      <c r="B508" s="819">
        <f>(R507+T507)</f>
        <v>0</v>
      </c>
      <c r="C508" s="758"/>
      <c r="G508" s="820"/>
      <c r="H508" s="820"/>
      <c r="I508" s="820"/>
      <c r="J508" s="820"/>
      <c r="K508" s="821" t="s">
        <v>3</v>
      </c>
      <c r="L508" s="822" t="s">
        <v>2055</v>
      </c>
      <c r="M508" s="820"/>
      <c r="N508" s="820"/>
      <c r="O508" s="820"/>
      <c r="P508" s="820"/>
      <c r="Q508" s="823"/>
      <c r="R508" s="824">
        <f>SUM(R499:R507)</f>
        <v>282.2</v>
      </c>
      <c r="S508" s="825"/>
      <c r="T508" s="824">
        <f>SUM(T499:T507)</f>
        <v>12.15</v>
      </c>
      <c r="AG508" s="826">
        <f>ROUND($R508*$S$2,2)</f>
        <v>347.49</v>
      </c>
      <c r="AR508" s="818" t="s">
        <v>145</v>
      </c>
    </row>
    <row r="509" spans="1:45" s="520" customFormat="1" ht="12" customHeight="1">
      <c r="A509" s="827"/>
      <c r="B509" s="1172"/>
      <c r="C509" s="1173"/>
      <c r="D509" s="1173" t="str">
        <f>$F$5</f>
        <v>Controls ECA</v>
      </c>
      <c r="E509" s="1173">
        <f>ROUND(($R513*$S$5 + ($T513*$T$5)),2)</f>
        <v>123.13</v>
      </c>
      <c r="F509" s="1174">
        <f ca="1">$F496-SUMIF($L498:$P501,"SUBI",$F498:$F501)</f>
        <v>123.13000000000011</v>
      </c>
      <c r="G509" s="519"/>
      <c r="H509" s="519"/>
      <c r="I509" s="519"/>
      <c r="J509" s="519"/>
      <c r="K509" s="811" t="s">
        <v>10</v>
      </c>
      <c r="L509" s="812" t="s">
        <v>2055</v>
      </c>
      <c r="M509" s="519"/>
      <c r="N509" s="519"/>
      <c r="O509" s="519"/>
      <c r="P509" s="519"/>
      <c r="Q509" s="519"/>
      <c r="R509" s="831"/>
      <c r="S509" s="519"/>
      <c r="T509" s="831"/>
      <c r="AR509" s="827"/>
      <c r="AS509" s="1174">
        <v>123.13</v>
      </c>
    </row>
    <row r="510" spans="1:45" s="901" customFormat="1" ht="13.2">
      <c r="A510">
        <v>1</v>
      </c>
      <c r="B510" s="901" t="s">
        <v>141</v>
      </c>
      <c r="D510" s="901" t="s">
        <v>2831</v>
      </c>
      <c r="E510" s="901" t="s">
        <v>2835</v>
      </c>
      <c r="F510" s="1054" t="s">
        <v>3790</v>
      </c>
      <c r="G510" s="941" t="s">
        <v>2832</v>
      </c>
      <c r="H510" s="942">
        <v>570</v>
      </c>
      <c r="I510" s="901" t="s">
        <v>2607</v>
      </c>
      <c r="O510" s="943">
        <v>2</v>
      </c>
      <c r="P510" s="944">
        <v>38443</v>
      </c>
      <c r="Q510" s="1226">
        <v>100</v>
      </c>
      <c r="R510" s="946">
        <f>$A510*Q510</f>
        <v>100</v>
      </c>
      <c r="S510" s="945"/>
      <c r="T510" s="947">
        <f>$A510*S510*$T$1</f>
        <v>0</v>
      </c>
      <c r="U510" s="901" t="s">
        <v>2764</v>
      </c>
      <c r="AR510">
        <v>1</v>
      </c>
      <c r="AS510" s="1054" t="s">
        <v>3790</v>
      </c>
    </row>
    <row r="511" spans="1:45" s="901" customFormat="1" ht="13.2">
      <c r="A511">
        <v>1</v>
      </c>
      <c r="B511" s="901" t="s">
        <v>141</v>
      </c>
      <c r="D511" s="901" t="s">
        <v>2831</v>
      </c>
      <c r="E511" s="901" t="s">
        <v>2836</v>
      </c>
      <c r="F511" s="1054" t="s">
        <v>2837</v>
      </c>
      <c r="G511" s="941" t="s">
        <v>2832</v>
      </c>
      <c r="H511" s="942">
        <v>570</v>
      </c>
      <c r="I511" s="901" t="s">
        <v>2607</v>
      </c>
      <c r="O511" s="943">
        <v>2</v>
      </c>
      <c r="P511" s="944">
        <v>38443</v>
      </c>
      <c r="Q511" s="1063"/>
      <c r="R511" s="946">
        <f>$A511*Q511</f>
        <v>0</v>
      </c>
      <c r="S511" s="1226">
        <v>0</v>
      </c>
      <c r="T511" s="947">
        <f>$A511*S511*$T$1</f>
        <v>0</v>
      </c>
      <c r="U511" s="901" t="s">
        <v>2764</v>
      </c>
      <c r="AR511">
        <v>1</v>
      </c>
      <c r="AS511" s="1054" t="s">
        <v>2837</v>
      </c>
    </row>
    <row r="512" spans="1:45" s="520" customFormat="1" ht="13.2">
      <c r="A512" s="813"/>
      <c r="B512" s="530"/>
      <c r="C512" s="530"/>
      <c r="D512" s="3"/>
      <c r="E512" s="530"/>
      <c r="F512" s="530"/>
      <c r="G512" s="530"/>
      <c r="H512" s="530"/>
      <c r="I512" s="530"/>
      <c r="J512" s="530"/>
      <c r="K512" s="530"/>
      <c r="L512" s="816"/>
      <c r="M512" s="530"/>
      <c r="N512" s="530"/>
      <c r="O512" s="530"/>
      <c r="P512" s="530"/>
      <c r="Q512" s="530"/>
      <c r="R512" s="817">
        <f>$A512*Q512</f>
        <v>0</v>
      </c>
      <c r="S512" s="530"/>
      <c r="T512" s="760">
        <f>$A512*S512*$T$1</f>
        <v>0</v>
      </c>
      <c r="AR512" s="813"/>
      <c r="AS512" s="530"/>
    </row>
    <row r="513" spans="1:45" s="520" customFormat="1" ht="12" customHeight="1">
      <c r="A513" s="845" t="s">
        <v>145</v>
      </c>
      <c r="B513" s="846">
        <f>(R512+T512)</f>
        <v>0</v>
      </c>
      <c r="C513" s="847"/>
      <c r="D513" s="847"/>
      <c r="E513" s="847"/>
      <c r="F513" s="847"/>
      <c r="G513" s="823"/>
      <c r="H513" s="823"/>
      <c r="I513" s="823"/>
      <c r="J513" s="823"/>
      <c r="K513" s="848" t="s">
        <v>10</v>
      </c>
      <c r="L513" s="849" t="s">
        <v>2055</v>
      </c>
      <c r="M513" s="823"/>
      <c r="N513" s="823"/>
      <c r="O513" s="823"/>
      <c r="P513" s="823"/>
      <c r="Q513" s="823"/>
      <c r="R513" s="824">
        <f>SUM(R509:R512)</f>
        <v>100</v>
      </c>
      <c r="S513" s="825"/>
      <c r="T513" s="824">
        <f>SUM(T509:T512)</f>
        <v>0</v>
      </c>
      <c r="AG513" s="1175">
        <f>ROUND($R513*$S$5,2)</f>
        <v>123.13</v>
      </c>
      <c r="AR513" s="845" t="s">
        <v>145</v>
      </c>
      <c r="AS513" s="847"/>
    </row>
    <row r="514" spans="1:45" s="520" customFormat="1" ht="12.75" customHeight="1">
      <c r="A514" s="851"/>
      <c r="B514" s="852"/>
      <c r="E514" s="758"/>
      <c r="F514" s="853"/>
      <c r="G514" s="758"/>
      <c r="H514" s="758"/>
      <c r="I514" s="519"/>
      <c r="J514" s="758"/>
      <c r="K514" s="758"/>
      <c r="L514" s="854"/>
      <c r="M514" s="855"/>
      <c r="N514" s="855"/>
      <c r="O514" s="855"/>
      <c r="P514" s="855"/>
      <c r="Q514" s="778"/>
      <c r="R514" s="831"/>
      <c r="S514" s="758"/>
      <c r="T514" s="831"/>
      <c r="AR514" s="851"/>
      <c r="AS514" s="853"/>
    </row>
    <row r="515" spans="1:45" s="520" customFormat="1" ht="13.5" customHeight="1" thickBot="1">
      <c r="A515" s="856"/>
      <c r="B515" s="857"/>
      <c r="C515" s="531"/>
      <c r="D515" s="531"/>
      <c r="E515" s="763"/>
      <c r="F515" s="764"/>
      <c r="G515" s="763" t="s">
        <v>146</v>
      </c>
      <c r="H515" s="763"/>
      <c r="I515" s="765"/>
      <c r="J515" s="763"/>
      <c r="K515" s="763"/>
      <c r="L515" s="858" t="s">
        <v>143</v>
      </c>
      <c r="M515" s="766"/>
      <c r="N515" s="766"/>
      <c r="O515" s="766"/>
      <c r="P515" s="766"/>
      <c r="Q515" s="767"/>
      <c r="R515" s="859">
        <f>SUMIF($L497:$L514,"SUBI",R497:R514)</f>
        <v>382.2</v>
      </c>
      <c r="S515" s="763"/>
      <c r="T515" s="859">
        <f>SUMIF($L497:$L514,"SUBI",T497:T514)</f>
        <v>12.15</v>
      </c>
      <c r="U515" s="531"/>
      <c r="V515" s="531"/>
      <c r="W515" s="531"/>
      <c r="X515" s="531"/>
      <c r="Y515" s="531"/>
      <c r="Z515" s="531"/>
      <c r="AA515" s="531"/>
      <c r="AB515" s="531"/>
      <c r="AC515" s="531"/>
      <c r="AD515" s="531"/>
      <c r="AE515" s="531"/>
      <c r="AF515" s="531"/>
      <c r="AG515" s="531"/>
      <c r="AH515" s="531"/>
      <c r="AI515" s="531"/>
      <c r="AJ515" s="531"/>
      <c r="AK515" s="531"/>
      <c r="AL515" s="531"/>
      <c r="AM515" s="531"/>
      <c r="AN515" s="531"/>
      <c r="AO515" s="531"/>
      <c r="AR515" s="856"/>
      <c r="AS515" s="764"/>
    </row>
    <row r="516" spans="1:45" s="520" customFormat="1" ht="12" thickTop="1">
      <c r="A516" s="51"/>
      <c r="B516" s="41"/>
      <c r="C516" s="51"/>
      <c r="E516" s="42" t="s">
        <v>138</v>
      </c>
      <c r="F516" s="42" t="s">
        <v>139</v>
      </c>
      <c r="G516" s="51"/>
      <c r="H516" s="51"/>
      <c r="I516" s="51"/>
      <c r="J516" s="51"/>
      <c r="K516" s="51" t="s">
        <v>140</v>
      </c>
      <c r="L516" s="51"/>
      <c r="M516" s="51"/>
      <c r="N516" s="51"/>
      <c r="O516" s="52"/>
      <c r="P516" s="51"/>
      <c r="Q516" s="51"/>
      <c r="R516" s="51"/>
      <c r="S516" s="51"/>
      <c r="T516" s="41"/>
      <c r="AG516" s="521" t="s">
        <v>268</v>
      </c>
      <c r="AH516" s="521" t="s">
        <v>269</v>
      </c>
      <c r="AI516" s="521" t="s">
        <v>270</v>
      </c>
      <c r="AJ516" s="521" t="s">
        <v>271</v>
      </c>
      <c r="AK516" s="521" t="s">
        <v>272</v>
      </c>
      <c r="AM516" s="745" t="s">
        <v>281</v>
      </c>
      <c r="AN516" s="746" t="s">
        <v>282</v>
      </c>
      <c r="AO516" s="522" t="s">
        <v>278</v>
      </c>
      <c r="AR516" s="51"/>
      <c r="AS516" s="42" t="s">
        <v>139</v>
      </c>
    </row>
    <row r="517" spans="1:45" s="520" customFormat="1" ht="12" customHeight="1">
      <c r="A517" s="747">
        <v>1</v>
      </c>
      <c r="B517" s="523" t="s">
        <v>141</v>
      </c>
      <c r="C517" s="748"/>
      <c r="D517" s="749" t="s">
        <v>3857</v>
      </c>
      <c r="E517" s="1419">
        <f>IF(AND($A517=0,$A$1="DIF"),0, ROUND(ROUND(($R524*$S$9+($T524*$T$9))/$A517,2)*$C$9,2))</f>
        <v>877.93</v>
      </c>
      <c r="F517" s="1420">
        <f>ROUND($A517*$E517,2)</f>
        <v>877.93</v>
      </c>
      <c r="G517" s="752" t="s">
        <v>142</v>
      </c>
      <c r="H517" s="753"/>
      <c r="I517" s="754"/>
      <c r="J517" s="753"/>
      <c r="K517" s="753" t="s">
        <v>16</v>
      </c>
      <c r="L517" s="755" t="s">
        <v>143</v>
      </c>
      <c r="M517" s="755"/>
      <c r="N517" s="755"/>
      <c r="O517" s="755"/>
      <c r="P517" s="755"/>
      <c r="Q517" s="51"/>
      <c r="T517" s="1424" t="str">
        <f>IF(AND($R524=0,$T524=0),"0.00","mu: "&amp; ROUND(F517/$C$9/($R524+$T524*$D$9),2))</f>
        <v>mu: 1.18</v>
      </c>
      <c r="W517" s="524"/>
      <c r="AG517" s="1421">
        <f>IF($E517=0,0,ROUND($R524*$S$9*$C$9/$A517,2))</f>
        <v>832.73</v>
      </c>
      <c r="AH517" s="1421">
        <f>$AG517*$A517</f>
        <v>832.73</v>
      </c>
      <c r="AI517" s="1422">
        <f>$E517-$AG517</f>
        <v>45.199999999999932</v>
      </c>
      <c r="AJ517" s="1422">
        <f>$A517*$AI517</f>
        <v>45.199999999999932</v>
      </c>
      <c r="AK517" s="1423">
        <f>ROUND(($AG517+$AI517)*$A517,2)</f>
        <v>877.93</v>
      </c>
      <c r="AM517" s="527">
        <f>ROUND(R524,2)</f>
        <v>705.68</v>
      </c>
      <c r="AN517" s="528">
        <f>ROUND(T524,2)</f>
        <v>1.4</v>
      </c>
      <c r="AO517" s="529">
        <f>ROUND(AM517+AN517,2)*A517</f>
        <v>707.08</v>
      </c>
      <c r="AR517" s="747">
        <v>1</v>
      </c>
      <c r="AS517" s="751">
        <v>921.34</v>
      </c>
    </row>
    <row r="518" spans="1:45" s="520" customFormat="1" ht="13.2">
      <c r="A518" s="748"/>
      <c r="B518"/>
      <c r="C518" s="748"/>
      <c r="D518" s="749" t="s">
        <v>3858</v>
      </c>
      <c r="F518" s="753"/>
      <c r="G518" s="3"/>
      <c r="H518" s="753"/>
      <c r="I518" s="754"/>
      <c r="J518" s="753"/>
      <c r="K518" s="753" t="s">
        <v>144</v>
      </c>
      <c r="L518" s="753"/>
      <c r="M518" s="753"/>
      <c r="N518" s="753"/>
      <c r="O518" s="753"/>
      <c r="P518" s="753"/>
      <c r="Q518" s="51"/>
      <c r="R518" s="530"/>
      <c r="S518" s="757"/>
      <c r="T518" s="753"/>
      <c r="AR518" s="748"/>
      <c r="AS518" s="753"/>
    </row>
    <row r="519" spans="1:45" s="901" customFormat="1" ht="13.2">
      <c r="A519">
        <v>1</v>
      </c>
      <c r="B519" s="901" t="s">
        <v>141</v>
      </c>
      <c r="D519" s="901" t="s">
        <v>1138</v>
      </c>
      <c r="F519" s="901" t="s">
        <v>3424</v>
      </c>
      <c r="G519" s="941" t="s">
        <v>2824</v>
      </c>
      <c r="H519" s="942">
        <v>510</v>
      </c>
      <c r="I519" s="901" t="s">
        <v>2825</v>
      </c>
      <c r="K519" s="901" t="s">
        <v>2826</v>
      </c>
      <c r="O519" s="943">
        <v>2</v>
      </c>
      <c r="P519" s="944">
        <v>35696</v>
      </c>
      <c r="Q519" s="945">
        <v>700.52</v>
      </c>
      <c r="R519" s="946">
        <f>$A519*Q519</f>
        <v>700.52</v>
      </c>
      <c r="S519" s="945">
        <v>1.5</v>
      </c>
      <c r="T519" s="947">
        <f>$A519*S519*$T$1</f>
        <v>1.35</v>
      </c>
      <c r="AR519">
        <v>1</v>
      </c>
      <c r="AS519" s="901" t="s">
        <v>3424</v>
      </c>
    </row>
    <row r="520" spans="1:45" s="901" customFormat="1" ht="13.2">
      <c r="A520" s="116">
        <v>4</v>
      </c>
      <c r="B520" s="901" t="s">
        <v>141</v>
      </c>
      <c r="D520" s="901" t="s">
        <v>2739</v>
      </c>
      <c r="G520" s="941" t="s">
        <v>2740</v>
      </c>
      <c r="H520" s="942">
        <v>875</v>
      </c>
      <c r="I520" s="901" t="s">
        <v>2607</v>
      </c>
      <c r="K520" s="901" t="s">
        <v>2741</v>
      </c>
      <c r="O520" s="943">
        <v>1</v>
      </c>
      <c r="P520" s="944">
        <v>34669</v>
      </c>
      <c r="Q520" s="945">
        <v>0.02</v>
      </c>
      <c r="R520" s="946">
        <f>$A520*Q520</f>
        <v>0.08</v>
      </c>
      <c r="S520" s="945"/>
      <c r="T520" s="947">
        <f>$A520*S520*$T$1</f>
        <v>0</v>
      </c>
      <c r="AR520" s="116">
        <v>4</v>
      </c>
    </row>
    <row r="521" spans="1:45" s="901" customFormat="1" ht="13.2">
      <c r="A521" s="116">
        <v>4</v>
      </c>
      <c r="B521" s="901" t="s">
        <v>141</v>
      </c>
      <c r="D521" s="901" t="s">
        <v>2742</v>
      </c>
      <c r="G521" s="941" t="s">
        <v>2743</v>
      </c>
      <c r="H521" s="942">
        <v>875</v>
      </c>
      <c r="I521" s="901" t="s">
        <v>2607</v>
      </c>
      <c r="K521" s="901" t="s">
        <v>2744</v>
      </c>
      <c r="O521" s="943">
        <v>1</v>
      </c>
      <c r="P521" s="944">
        <v>34669</v>
      </c>
      <c r="Q521" s="945">
        <v>0.02</v>
      </c>
      <c r="R521" s="946">
        <f>$A521*Q521</f>
        <v>0.08</v>
      </c>
      <c r="S521" s="945"/>
      <c r="T521" s="947">
        <f>$A521*S521*$T$1</f>
        <v>0</v>
      </c>
      <c r="AR521" s="116">
        <v>4</v>
      </c>
    </row>
    <row r="522" spans="1:45" s="901" customFormat="1" ht="13.2">
      <c r="A522" s="116">
        <v>1</v>
      </c>
      <c r="B522" s="901" t="s">
        <v>141</v>
      </c>
      <c r="D522" s="901" t="s">
        <v>2745</v>
      </c>
      <c r="E522" s="758"/>
      <c r="G522" s="941" t="s">
        <v>2746</v>
      </c>
      <c r="H522" s="942">
        <v>875</v>
      </c>
      <c r="I522" s="901" t="s">
        <v>2607</v>
      </c>
      <c r="K522" s="901" t="s">
        <v>2747</v>
      </c>
      <c r="O522" s="943">
        <v>3</v>
      </c>
      <c r="P522" s="944">
        <v>34820</v>
      </c>
      <c r="Q522" s="945">
        <v>5</v>
      </c>
      <c r="R522" s="946">
        <f>$A522*Q522</f>
        <v>5</v>
      </c>
      <c r="S522" s="945">
        <v>0.05</v>
      </c>
      <c r="T522" s="947">
        <f>$A522*S522*$T$1</f>
        <v>4.5000000000000005E-2</v>
      </c>
      <c r="AR522" s="116">
        <v>1</v>
      </c>
    </row>
    <row r="523" spans="1:45" s="520" customFormat="1" ht="12">
      <c r="A523" s="758"/>
      <c r="B523" s="758"/>
      <c r="C523" s="758"/>
      <c r="D523" s="758"/>
      <c r="F523" s="753"/>
      <c r="G523" s="758"/>
      <c r="H523" s="758"/>
      <c r="I523" s="519"/>
      <c r="J523" s="758"/>
      <c r="K523" s="758"/>
      <c r="L523" s="758"/>
      <c r="M523" s="758"/>
      <c r="N523" s="758"/>
      <c r="O523" s="758"/>
      <c r="P523" s="758"/>
      <c r="Q523" s="519"/>
      <c r="R523" s="759">
        <f>$A523*Q523</f>
        <v>0</v>
      </c>
      <c r="S523" s="519"/>
      <c r="T523" s="760">
        <f>$A523*S523*$T$1</f>
        <v>0</v>
      </c>
      <c r="AR523" s="758"/>
      <c r="AS523" s="753"/>
    </row>
    <row r="524" spans="1:45" s="520" customFormat="1" ht="12.6" thickBot="1">
      <c r="A524" s="761" t="s">
        <v>145</v>
      </c>
      <c r="B524" s="762">
        <f>(R523+T523)</f>
        <v>0</v>
      </c>
      <c r="C524" s="763"/>
      <c r="D524" s="763"/>
      <c r="E524" s="763"/>
      <c r="F524" s="764"/>
      <c r="G524" s="763" t="s">
        <v>146</v>
      </c>
      <c r="H524" s="763"/>
      <c r="I524" s="765"/>
      <c r="J524" s="763"/>
      <c r="K524" s="763" t="s">
        <v>16</v>
      </c>
      <c r="L524" s="766" t="s">
        <v>143</v>
      </c>
      <c r="M524" s="766"/>
      <c r="N524" s="766"/>
      <c r="O524" s="766"/>
      <c r="P524" s="766"/>
      <c r="Q524" s="767"/>
      <c r="R524" s="768">
        <f>SUM(R518:R523)</f>
        <v>705.68000000000006</v>
      </c>
      <c r="S524" s="763"/>
      <c r="T524" s="768">
        <f>SUM(T518:T523)</f>
        <v>1.395</v>
      </c>
      <c r="U524" s="531"/>
      <c r="V524" s="531"/>
      <c r="W524" s="531"/>
      <c r="X524" s="531"/>
      <c r="Y524" s="531"/>
      <c r="Z524" s="531"/>
      <c r="AA524" s="531"/>
      <c r="AB524" s="531"/>
      <c r="AC524" s="531"/>
      <c r="AD524" s="531"/>
      <c r="AE524" s="531"/>
      <c r="AF524" s="531"/>
      <c r="AG524" s="531"/>
      <c r="AH524" s="531"/>
      <c r="AI524" s="531"/>
      <c r="AJ524" s="531"/>
      <c r="AK524" s="531"/>
      <c r="AL524" s="531"/>
      <c r="AM524" s="531"/>
      <c r="AN524" s="531"/>
      <c r="AO524" s="531"/>
      <c r="AR524" s="761" t="s">
        <v>145</v>
      </c>
      <c r="AS524" s="764"/>
    </row>
    <row r="525" spans="1:45" s="520" customFormat="1" ht="12" thickTop="1">
      <c r="A525" s="51"/>
      <c r="B525" s="41"/>
      <c r="C525" s="51"/>
      <c r="E525" s="42" t="s">
        <v>138</v>
      </c>
      <c r="F525" s="42" t="s">
        <v>139</v>
      </c>
      <c r="G525" s="51"/>
      <c r="H525" s="51"/>
      <c r="I525" s="51"/>
      <c r="J525" s="51"/>
      <c r="K525" s="51" t="s">
        <v>140</v>
      </c>
      <c r="L525" s="51"/>
      <c r="M525" s="51"/>
      <c r="N525" s="51"/>
      <c r="O525" s="52"/>
      <c r="P525" s="51"/>
      <c r="Q525" s="51"/>
      <c r="R525" s="51"/>
      <c r="S525" s="51"/>
      <c r="T525" s="41"/>
      <c r="AG525" s="521" t="s">
        <v>268</v>
      </c>
      <c r="AH525" s="521" t="s">
        <v>269</v>
      </c>
      <c r="AI525" s="521" t="s">
        <v>270</v>
      </c>
      <c r="AJ525" s="521" t="s">
        <v>271</v>
      </c>
      <c r="AK525" s="521" t="s">
        <v>272</v>
      </c>
      <c r="AM525" s="745" t="s">
        <v>281</v>
      </c>
      <c r="AN525" s="746" t="s">
        <v>282</v>
      </c>
      <c r="AO525" s="522" t="s">
        <v>278</v>
      </c>
      <c r="AR525" s="51"/>
      <c r="AS525" s="42" t="s">
        <v>139</v>
      </c>
    </row>
    <row r="526" spans="1:45" s="520" customFormat="1" ht="12" customHeight="1">
      <c r="A526" s="747">
        <v>1</v>
      </c>
      <c r="B526" s="523" t="s">
        <v>141</v>
      </c>
      <c r="C526" s="748"/>
      <c r="D526" s="749" t="s">
        <v>1137</v>
      </c>
      <c r="E526" s="1419">
        <f>IF(AND($A526=0,$A$1="DIF"),0, ROUND(ROUND(($R533*$S$9+($T533*$T$9))/$A526,2)*$C$9,2))</f>
        <v>877.93</v>
      </c>
      <c r="F526" s="1420">
        <f>ROUND($A526*$E526,2)</f>
        <v>877.93</v>
      </c>
      <c r="G526" s="752" t="s">
        <v>142</v>
      </c>
      <c r="H526" s="753"/>
      <c r="I526" s="754"/>
      <c r="J526" s="753"/>
      <c r="K526" s="753" t="s">
        <v>16</v>
      </c>
      <c r="L526" s="755" t="s">
        <v>143</v>
      </c>
      <c r="M526" s="755"/>
      <c r="N526" s="755"/>
      <c r="O526" s="755"/>
      <c r="P526" s="755"/>
      <c r="Q526" s="51"/>
      <c r="T526" s="1424" t="str">
        <f>IF(AND($R533=0,$T533=0),"0.00","mu: "&amp; ROUND(F526/$C$9/($R533+$T533*$D$9),2))</f>
        <v>mu: 1.18</v>
      </c>
      <c r="W526" s="524"/>
      <c r="AG526" s="1421">
        <f>IF($E526=0,0,ROUND($R533*$S$9*$C$9/$A526,2))</f>
        <v>832.73</v>
      </c>
      <c r="AH526" s="1421">
        <f>$AG526*$A526</f>
        <v>832.73</v>
      </c>
      <c r="AI526" s="1422">
        <f>$E526-$AG526</f>
        <v>45.199999999999932</v>
      </c>
      <c r="AJ526" s="1422">
        <f>$A526*$AI526</f>
        <v>45.199999999999932</v>
      </c>
      <c r="AK526" s="1423">
        <f>ROUND(($AG526+$AI526)*$A526,2)</f>
        <v>877.93</v>
      </c>
      <c r="AM526" s="527">
        <f>ROUND(R533,2)</f>
        <v>705.68</v>
      </c>
      <c r="AN526" s="528">
        <f>ROUND(T533,2)</f>
        <v>1.4</v>
      </c>
      <c r="AO526" s="529">
        <f>ROUND(AM526+AN526,2)*A526</f>
        <v>707.08</v>
      </c>
      <c r="AR526" s="747">
        <v>1</v>
      </c>
      <c r="AS526" s="751">
        <v>921.34</v>
      </c>
    </row>
    <row r="527" spans="1:45" s="520" customFormat="1" ht="13.2">
      <c r="A527" s="748"/>
      <c r="B527"/>
      <c r="C527" s="748"/>
      <c r="D527" s="749" t="s">
        <v>1138</v>
      </c>
      <c r="F527" s="753"/>
      <c r="G527" s="3"/>
      <c r="H527" s="753"/>
      <c r="I527" s="754"/>
      <c r="J527" s="753"/>
      <c r="K527" s="753" t="s">
        <v>144</v>
      </c>
      <c r="L527" s="753"/>
      <c r="M527" s="753"/>
      <c r="N527" s="753"/>
      <c r="O527" s="753"/>
      <c r="P527" s="753"/>
      <c r="Q527" s="51"/>
      <c r="R527" s="530"/>
      <c r="S527" s="757"/>
      <c r="T527" s="753"/>
      <c r="AR527" s="748"/>
      <c r="AS527" s="753"/>
    </row>
    <row r="528" spans="1:45" s="901" customFormat="1" ht="13.2">
      <c r="A528">
        <v>1</v>
      </c>
      <c r="B528" s="901" t="s">
        <v>141</v>
      </c>
      <c r="D528" s="901" t="s">
        <v>1138</v>
      </c>
      <c r="F528" s="901" t="s">
        <v>3424</v>
      </c>
      <c r="G528" s="941" t="s">
        <v>2824</v>
      </c>
      <c r="H528" s="942">
        <v>510</v>
      </c>
      <c r="I528" s="901" t="s">
        <v>2825</v>
      </c>
      <c r="K528" s="901" t="s">
        <v>2826</v>
      </c>
      <c r="O528" s="943">
        <v>2</v>
      </c>
      <c r="P528" s="944">
        <v>35696</v>
      </c>
      <c r="Q528" s="945">
        <v>700.52</v>
      </c>
      <c r="R528" s="946">
        <f>$A528*Q528</f>
        <v>700.52</v>
      </c>
      <c r="S528" s="945">
        <v>1.5</v>
      </c>
      <c r="T528" s="947">
        <f>$A528*S528*$T$1</f>
        <v>1.35</v>
      </c>
      <c r="AR528">
        <v>1</v>
      </c>
      <c r="AS528" s="901" t="s">
        <v>3424</v>
      </c>
    </row>
    <row r="529" spans="1:45" s="901" customFormat="1" ht="13.2">
      <c r="A529" s="116">
        <v>4</v>
      </c>
      <c r="B529" s="901" t="s">
        <v>141</v>
      </c>
      <c r="D529" s="901" t="s">
        <v>2739</v>
      </c>
      <c r="G529" s="941" t="s">
        <v>2740</v>
      </c>
      <c r="H529" s="942">
        <v>875</v>
      </c>
      <c r="I529" s="901" t="s">
        <v>2607</v>
      </c>
      <c r="K529" s="901" t="s">
        <v>2741</v>
      </c>
      <c r="O529" s="943">
        <v>1</v>
      </c>
      <c r="P529" s="944">
        <v>34669</v>
      </c>
      <c r="Q529" s="945">
        <v>0.02</v>
      </c>
      <c r="R529" s="946">
        <f>$A529*Q529</f>
        <v>0.08</v>
      </c>
      <c r="S529" s="945"/>
      <c r="T529" s="947">
        <f>$A529*S529*$T$1</f>
        <v>0</v>
      </c>
      <c r="AR529" s="116">
        <v>4</v>
      </c>
    </row>
    <row r="530" spans="1:45" s="901" customFormat="1" ht="13.2">
      <c r="A530" s="116">
        <v>4</v>
      </c>
      <c r="B530" s="901" t="s">
        <v>141</v>
      </c>
      <c r="D530" s="901" t="s">
        <v>2742</v>
      </c>
      <c r="G530" s="941" t="s">
        <v>2743</v>
      </c>
      <c r="H530" s="942">
        <v>875</v>
      </c>
      <c r="I530" s="901" t="s">
        <v>2607</v>
      </c>
      <c r="K530" s="901" t="s">
        <v>2744</v>
      </c>
      <c r="O530" s="943">
        <v>1</v>
      </c>
      <c r="P530" s="944">
        <v>34669</v>
      </c>
      <c r="Q530" s="945">
        <v>0.02</v>
      </c>
      <c r="R530" s="946">
        <f>$A530*Q530</f>
        <v>0.08</v>
      </c>
      <c r="S530" s="945"/>
      <c r="T530" s="947">
        <f>$A530*S530*$T$1</f>
        <v>0</v>
      </c>
      <c r="AR530" s="116">
        <v>4</v>
      </c>
    </row>
    <row r="531" spans="1:45" s="901" customFormat="1" ht="13.2">
      <c r="A531" s="116">
        <v>1</v>
      </c>
      <c r="B531" s="901" t="s">
        <v>141</v>
      </c>
      <c r="D531" s="901" t="s">
        <v>2745</v>
      </c>
      <c r="G531" s="941" t="s">
        <v>2746</v>
      </c>
      <c r="H531" s="942">
        <v>875</v>
      </c>
      <c r="I531" s="901" t="s">
        <v>2607</v>
      </c>
      <c r="K531" s="901" t="s">
        <v>2747</v>
      </c>
      <c r="O531" s="943">
        <v>3</v>
      </c>
      <c r="P531" s="944">
        <v>34820</v>
      </c>
      <c r="Q531" s="945">
        <v>5</v>
      </c>
      <c r="R531" s="946">
        <f>$A531*Q531</f>
        <v>5</v>
      </c>
      <c r="S531" s="945">
        <v>0.05</v>
      </c>
      <c r="T531" s="947">
        <f>$A531*S531*$T$1</f>
        <v>4.5000000000000005E-2</v>
      </c>
      <c r="AR531" s="116">
        <v>1</v>
      </c>
    </row>
    <row r="532" spans="1:45" s="520" customFormat="1" ht="12">
      <c r="A532" s="758"/>
      <c r="B532" s="758"/>
      <c r="C532" s="758"/>
      <c r="D532" s="758"/>
      <c r="E532" s="758"/>
      <c r="F532" s="753"/>
      <c r="G532" s="758"/>
      <c r="H532" s="758"/>
      <c r="I532" s="519"/>
      <c r="J532" s="758"/>
      <c r="K532" s="758"/>
      <c r="L532" s="758"/>
      <c r="M532" s="758"/>
      <c r="N532" s="758"/>
      <c r="O532" s="758"/>
      <c r="P532" s="758"/>
      <c r="Q532" s="519"/>
      <c r="R532" s="759">
        <f>$A532*Q532</f>
        <v>0</v>
      </c>
      <c r="S532" s="519"/>
      <c r="T532" s="760">
        <f>$A532*S532*$T$1</f>
        <v>0</v>
      </c>
      <c r="AR532" s="758"/>
      <c r="AS532" s="753"/>
    </row>
    <row r="533" spans="1:45" s="520" customFormat="1" ht="12.6" thickBot="1">
      <c r="A533" s="761" t="s">
        <v>145</v>
      </c>
      <c r="B533" s="762">
        <f>(R532+T532)</f>
        <v>0</v>
      </c>
      <c r="C533" s="763"/>
      <c r="D533" s="763"/>
      <c r="E533" s="763"/>
      <c r="F533" s="764"/>
      <c r="G533" s="763" t="s">
        <v>146</v>
      </c>
      <c r="H533" s="763"/>
      <c r="I533" s="765"/>
      <c r="J533" s="763"/>
      <c r="K533" s="763" t="s">
        <v>16</v>
      </c>
      <c r="L533" s="766" t="s">
        <v>143</v>
      </c>
      <c r="M533" s="766"/>
      <c r="N533" s="766"/>
      <c r="O533" s="766"/>
      <c r="P533" s="766"/>
      <c r="Q533" s="767"/>
      <c r="R533" s="768">
        <f>SUM(R527:R532)</f>
        <v>705.68000000000006</v>
      </c>
      <c r="S533" s="763"/>
      <c r="T533" s="768">
        <f>SUM(T527:T532)</f>
        <v>1.395</v>
      </c>
      <c r="U533" s="531"/>
      <c r="V533" s="531"/>
      <c r="W533" s="531"/>
      <c r="X533" s="531"/>
      <c r="Y533" s="531"/>
      <c r="Z533" s="531"/>
      <c r="AA533" s="531"/>
      <c r="AB533" s="531"/>
      <c r="AC533" s="531"/>
      <c r="AD533" s="531"/>
      <c r="AE533" s="531"/>
      <c r="AF533" s="531"/>
      <c r="AG533" s="531"/>
      <c r="AH533" s="531"/>
      <c r="AI533" s="531"/>
      <c r="AJ533" s="531"/>
      <c r="AK533" s="531"/>
      <c r="AL533" s="531"/>
      <c r="AM533" s="531"/>
      <c r="AN533" s="531"/>
      <c r="AO533" s="531"/>
      <c r="AR533" s="761" t="s">
        <v>145</v>
      </c>
      <c r="AS533" s="764"/>
    </row>
    <row r="534" spans="1:45" s="520" customFormat="1" ht="12" thickTop="1">
      <c r="A534" s="51"/>
      <c r="B534" s="41"/>
      <c r="C534" s="51"/>
      <c r="E534" s="42" t="s">
        <v>138</v>
      </c>
      <c r="F534" s="42" t="s">
        <v>139</v>
      </c>
      <c r="G534" s="51"/>
      <c r="H534" s="51"/>
      <c r="I534" s="51"/>
      <c r="J534" s="51"/>
      <c r="K534" s="51" t="s">
        <v>140</v>
      </c>
      <c r="L534" s="51"/>
      <c r="M534" s="51"/>
      <c r="N534" s="51"/>
      <c r="O534" s="52"/>
      <c r="P534" s="51"/>
      <c r="Q534" s="51"/>
      <c r="R534" s="51"/>
      <c r="S534" s="51"/>
      <c r="T534" s="41"/>
      <c r="AG534" s="521" t="s">
        <v>268</v>
      </c>
      <c r="AH534" s="521" t="s">
        <v>269</v>
      </c>
      <c r="AI534" s="521" t="s">
        <v>270</v>
      </c>
      <c r="AJ534" s="521" t="s">
        <v>271</v>
      </c>
      <c r="AK534" s="521" t="s">
        <v>272</v>
      </c>
      <c r="AM534" s="745" t="s">
        <v>281</v>
      </c>
      <c r="AN534" s="746" t="s">
        <v>282</v>
      </c>
      <c r="AO534" s="522" t="s">
        <v>278</v>
      </c>
      <c r="AR534" s="51"/>
      <c r="AS534" s="42" t="s">
        <v>139</v>
      </c>
    </row>
    <row r="535" spans="1:45" s="520" customFormat="1" ht="12" customHeight="1">
      <c r="A535" s="747">
        <v>2</v>
      </c>
      <c r="B535" s="523" t="s">
        <v>141</v>
      </c>
      <c r="C535" s="748"/>
      <c r="D535" s="749" t="s">
        <v>1139</v>
      </c>
      <c r="E535" s="1419">
        <f>IF(AND($A535=0,$A$1="DIF"),0, ROUND(ROUND(($R541*$S$9+($T541*$T$9))/$A535,2)*$C$9,2))</f>
        <v>2289.7199999999998</v>
      </c>
      <c r="F535" s="1420">
        <f>ROUND($A535*$E535,2)</f>
        <v>4579.4399999999996</v>
      </c>
      <c r="G535" s="752" t="s">
        <v>142</v>
      </c>
      <c r="H535" s="753"/>
      <c r="I535" s="754"/>
      <c r="J535" s="753"/>
      <c r="K535" s="753" t="s">
        <v>16</v>
      </c>
      <c r="L535" s="755" t="s">
        <v>143</v>
      </c>
      <c r="M535" s="755"/>
      <c r="N535" s="755"/>
      <c r="O535" s="755"/>
      <c r="P535" s="755"/>
      <c r="Q535" s="51"/>
      <c r="T535" s="1424" t="str">
        <f>IF(AND($R541=0,$T541=0),"0.00","mu: "&amp; ROUND(F535/$C$9/($R541+$T541*$D$9),2))</f>
        <v>mu: 1.18</v>
      </c>
      <c r="W535" s="524"/>
      <c r="AG535" s="1421">
        <f>IF($E535=0,0,ROUND($R541*$S$9*$C$9/$A535,2))</f>
        <v>2222.65</v>
      </c>
      <c r="AH535" s="1421">
        <f>$AG535*$A535</f>
        <v>4445.3</v>
      </c>
      <c r="AI535" s="1422">
        <f>$E535-$AG535</f>
        <v>67.069999999999709</v>
      </c>
      <c r="AJ535" s="1422">
        <f>$A535*$AI535</f>
        <v>134.13999999999942</v>
      </c>
      <c r="AK535" s="1423">
        <f>ROUND(($AG535+$AI535)*$A535,2)</f>
        <v>4579.4399999999996</v>
      </c>
      <c r="AM535" s="527">
        <f>ROUND(R541,2)</f>
        <v>3767.08</v>
      </c>
      <c r="AN535" s="528">
        <f>ROUND(T541,2)</f>
        <v>4.1399999999999997</v>
      </c>
      <c r="AO535" s="529">
        <f>ROUND(AM535+AN535,2)*A535</f>
        <v>7542.44</v>
      </c>
      <c r="AR535" s="747">
        <v>2</v>
      </c>
      <c r="AS535" s="751">
        <v>4794.1000000000004</v>
      </c>
    </row>
    <row r="536" spans="1:45" s="520" customFormat="1" ht="13.2">
      <c r="A536" s="748"/>
      <c r="B536"/>
      <c r="C536" s="748"/>
      <c r="D536" s="749" t="s">
        <v>1140</v>
      </c>
      <c r="F536" s="753"/>
      <c r="G536" s="3"/>
      <c r="H536" s="753"/>
      <c r="I536" s="754"/>
      <c r="J536" s="753"/>
      <c r="K536" s="753" t="s">
        <v>144</v>
      </c>
      <c r="L536" s="753"/>
      <c r="M536" s="753"/>
      <c r="N536" s="753"/>
      <c r="O536" s="753"/>
      <c r="P536" s="753"/>
      <c r="Q536" s="51"/>
      <c r="R536" s="530"/>
      <c r="S536" s="757"/>
      <c r="T536" s="753"/>
      <c r="AR536" s="748"/>
      <c r="AS536" s="753"/>
    </row>
    <row r="537" spans="1:45" s="901" customFormat="1" ht="13.2">
      <c r="A537">
        <v>2</v>
      </c>
      <c r="B537" s="901" t="s">
        <v>141</v>
      </c>
      <c r="D537" s="901" t="s">
        <v>1140</v>
      </c>
      <c r="F537" s="901" t="s">
        <v>3424</v>
      </c>
      <c r="G537" s="941" t="s">
        <v>2827</v>
      </c>
      <c r="H537" s="942">
        <v>510</v>
      </c>
      <c r="I537" s="901" t="s">
        <v>2825</v>
      </c>
      <c r="K537" s="901" t="s">
        <v>2826</v>
      </c>
      <c r="O537" s="943">
        <v>2</v>
      </c>
      <c r="P537" s="944">
        <v>35696</v>
      </c>
      <c r="Q537" s="945">
        <v>1876.22</v>
      </c>
      <c r="R537" s="946">
        <f>$A537*Q537</f>
        <v>3752.44</v>
      </c>
      <c r="S537" s="945">
        <v>2.25</v>
      </c>
      <c r="T537" s="947">
        <f>$A537*S537*$T$1</f>
        <v>4.05</v>
      </c>
      <c r="AR537">
        <v>2</v>
      </c>
      <c r="AS537" s="901" t="s">
        <v>3424</v>
      </c>
    </row>
    <row r="538" spans="1:45" s="901" customFormat="1" ht="13.2">
      <c r="A538" s="116">
        <v>8</v>
      </c>
      <c r="B538" s="901" t="s">
        <v>141</v>
      </c>
      <c r="D538" s="901" t="s">
        <v>2785</v>
      </c>
      <c r="G538" s="941" t="s">
        <v>2786</v>
      </c>
      <c r="H538" s="942">
        <v>875</v>
      </c>
      <c r="I538" s="901" t="s">
        <v>2607</v>
      </c>
      <c r="K538" s="901" t="s">
        <v>2787</v>
      </c>
      <c r="O538" s="943">
        <v>1</v>
      </c>
      <c r="P538" s="944">
        <v>34669</v>
      </c>
      <c r="Q538" s="945">
        <v>0.57999999999999996</v>
      </c>
      <c r="R538" s="946">
        <f>$A538*Q538</f>
        <v>4.6399999999999997</v>
      </c>
      <c r="S538" s="945"/>
      <c r="T538" s="947">
        <f>$A538*S538*$T$1</f>
        <v>0</v>
      </c>
      <c r="AR538" s="116">
        <v>8</v>
      </c>
    </row>
    <row r="539" spans="1:45" s="901" customFormat="1" ht="13.2">
      <c r="A539" s="116">
        <v>2</v>
      </c>
      <c r="B539" s="901" t="s">
        <v>141</v>
      </c>
      <c r="D539" s="901" t="s">
        <v>2745</v>
      </c>
      <c r="G539" s="941" t="s">
        <v>2746</v>
      </c>
      <c r="H539" s="942">
        <v>875</v>
      </c>
      <c r="I539" s="901" t="s">
        <v>2607</v>
      </c>
      <c r="K539" s="901" t="s">
        <v>2747</v>
      </c>
      <c r="O539" s="943">
        <v>3</v>
      </c>
      <c r="P539" s="944">
        <v>34820</v>
      </c>
      <c r="Q539" s="945">
        <v>5</v>
      </c>
      <c r="R539" s="946">
        <f>$A539*Q539</f>
        <v>10</v>
      </c>
      <c r="S539" s="945">
        <v>0.05</v>
      </c>
      <c r="T539" s="947">
        <f>$A539*S539*$T$1</f>
        <v>9.0000000000000011E-2</v>
      </c>
      <c r="AR539" s="116">
        <v>2</v>
      </c>
    </row>
    <row r="540" spans="1:45" s="520" customFormat="1" ht="12">
      <c r="A540" s="758"/>
      <c r="B540" s="758"/>
      <c r="C540" s="758"/>
      <c r="D540" s="758"/>
      <c r="E540" s="758"/>
      <c r="F540" s="753"/>
      <c r="G540" s="758"/>
      <c r="H540" s="758"/>
      <c r="I540" s="519"/>
      <c r="J540" s="758"/>
      <c r="K540" s="758"/>
      <c r="L540" s="758"/>
      <c r="M540" s="758"/>
      <c r="N540" s="758"/>
      <c r="O540" s="758"/>
      <c r="P540" s="758"/>
      <c r="Q540" s="519"/>
      <c r="R540" s="759">
        <f>$A540*Q540</f>
        <v>0</v>
      </c>
      <c r="S540" s="519"/>
      <c r="T540" s="760">
        <f>$A540*S540*$T$1</f>
        <v>0</v>
      </c>
      <c r="AR540" s="758"/>
      <c r="AS540" s="753"/>
    </row>
    <row r="541" spans="1:45" s="520" customFormat="1" ht="12.6" thickBot="1">
      <c r="A541" s="761" t="s">
        <v>145</v>
      </c>
      <c r="B541" s="762">
        <f>(R540+T540)</f>
        <v>0</v>
      </c>
      <c r="C541" s="763"/>
      <c r="D541" s="763"/>
      <c r="E541" s="763"/>
      <c r="F541" s="764"/>
      <c r="G541" s="763" t="s">
        <v>146</v>
      </c>
      <c r="H541" s="763"/>
      <c r="I541" s="765"/>
      <c r="J541" s="763"/>
      <c r="K541" s="763" t="s">
        <v>16</v>
      </c>
      <c r="L541" s="766" t="s">
        <v>143</v>
      </c>
      <c r="M541" s="766"/>
      <c r="N541" s="766"/>
      <c r="O541" s="766"/>
      <c r="P541" s="766"/>
      <c r="Q541" s="767"/>
      <c r="R541" s="768">
        <f>SUM(R536:R540)</f>
        <v>3767.08</v>
      </c>
      <c r="S541" s="763"/>
      <c r="T541" s="768">
        <f>SUM(T536:T540)</f>
        <v>4.1399999999999997</v>
      </c>
      <c r="U541" s="531"/>
      <c r="V541" s="531"/>
      <c r="W541" s="531"/>
      <c r="X541" s="531"/>
      <c r="Y541" s="531"/>
      <c r="Z541" s="531"/>
      <c r="AA541" s="531"/>
      <c r="AB541" s="531"/>
      <c r="AC541" s="531"/>
      <c r="AD541" s="531"/>
      <c r="AE541" s="531"/>
      <c r="AF541" s="531"/>
      <c r="AG541" s="531"/>
      <c r="AH541" s="531"/>
      <c r="AI541" s="531"/>
      <c r="AJ541" s="531"/>
      <c r="AK541" s="531"/>
      <c r="AL541" s="531"/>
      <c r="AM541" s="531"/>
      <c r="AN541" s="531"/>
      <c r="AO541" s="531"/>
      <c r="AR541" s="761" t="s">
        <v>145</v>
      </c>
      <c r="AS541" s="764"/>
    </row>
    <row r="542" spans="1:45" s="520" customFormat="1" ht="12" thickTop="1">
      <c r="A542" s="51"/>
      <c r="B542" s="41"/>
      <c r="C542" s="51"/>
      <c r="E542" s="42" t="s">
        <v>138</v>
      </c>
      <c r="F542" s="42" t="s">
        <v>139</v>
      </c>
      <c r="G542" s="51"/>
      <c r="H542" s="51"/>
      <c r="I542" s="51"/>
      <c r="J542" s="51"/>
      <c r="K542" s="51" t="s">
        <v>140</v>
      </c>
      <c r="L542" s="51"/>
      <c r="M542" s="51"/>
      <c r="N542" s="51"/>
      <c r="O542" s="52"/>
      <c r="P542" s="51"/>
      <c r="Q542" s="51"/>
      <c r="R542" s="51"/>
      <c r="S542" s="51"/>
      <c r="T542" s="41"/>
      <c r="AG542" s="521" t="s">
        <v>268</v>
      </c>
      <c r="AH542" s="521" t="s">
        <v>269</v>
      </c>
      <c r="AI542" s="521" t="s">
        <v>270</v>
      </c>
      <c r="AJ542" s="521" t="s">
        <v>271</v>
      </c>
      <c r="AK542" s="521" t="s">
        <v>272</v>
      </c>
      <c r="AM542" s="745" t="s">
        <v>281</v>
      </c>
      <c r="AN542" s="746" t="s">
        <v>282</v>
      </c>
      <c r="AO542" s="522" t="s">
        <v>278</v>
      </c>
      <c r="AR542" s="51"/>
      <c r="AS542" s="42" t="s">
        <v>139</v>
      </c>
    </row>
    <row r="543" spans="1:45" s="520" customFormat="1" ht="12" customHeight="1">
      <c r="A543" s="747">
        <v>1</v>
      </c>
      <c r="B543" s="523" t="s">
        <v>141</v>
      </c>
      <c r="C543" s="748"/>
      <c r="D543" s="749" t="s">
        <v>1141</v>
      </c>
      <c r="E543" s="1419">
        <f>IF(AND($A543=0,$A$1="DIF"),0, ROUND(ROUND(($R549*$S$9+($T549*$T$9))/$A543,2)*$C$9,2))</f>
        <v>2434.67</v>
      </c>
      <c r="F543" s="1420">
        <f>ROUND($A543*$E543,2)</f>
        <v>2434.67</v>
      </c>
      <c r="G543" s="752" t="s">
        <v>142</v>
      </c>
      <c r="H543" s="753"/>
      <c r="I543" s="754"/>
      <c r="J543" s="753"/>
      <c r="K543" s="753" t="s">
        <v>16</v>
      </c>
      <c r="L543" s="755" t="s">
        <v>143</v>
      </c>
      <c r="M543" s="755"/>
      <c r="N543" s="755"/>
      <c r="O543" s="755"/>
      <c r="P543" s="755"/>
      <c r="Q543" s="51"/>
      <c r="T543" s="1424" t="str">
        <f>IF(AND($R549=0,$T549=0),"0.00","mu: "&amp; ROUND(F543/$C$9/($R549+$T549*$D$9),2))</f>
        <v>mu: 1.18</v>
      </c>
      <c r="W543" s="524"/>
      <c r="AG543" s="1421">
        <f>IF($E543=0,0,ROUND($R549*$S$9*$C$9/$A543,2))</f>
        <v>2360.3000000000002</v>
      </c>
      <c r="AH543" s="1421">
        <f>$AG543*$A543</f>
        <v>2360.3000000000002</v>
      </c>
      <c r="AI543" s="1422">
        <f>$E543-$AG543</f>
        <v>74.369999999999891</v>
      </c>
      <c r="AJ543" s="1422">
        <f>$A543*$AI543</f>
        <v>74.369999999999891</v>
      </c>
      <c r="AK543" s="1423">
        <f>ROUND(($AG543+$AI543)*$A543,2)</f>
        <v>2434.67</v>
      </c>
      <c r="AM543" s="527">
        <f>ROUND(R549,2)</f>
        <v>2000.19</v>
      </c>
      <c r="AN543" s="528">
        <f>ROUND(T549,2)</f>
        <v>2.2999999999999998</v>
      </c>
      <c r="AO543" s="529">
        <f>ROUND(AM543+AN543,2)*A543</f>
        <v>2002.49</v>
      </c>
      <c r="AR543" s="747">
        <v>1</v>
      </c>
      <c r="AS543" s="751">
        <v>2549.14</v>
      </c>
    </row>
    <row r="544" spans="1:45" s="520" customFormat="1" ht="13.2">
      <c r="A544" s="748"/>
      <c r="B544"/>
      <c r="C544" s="748"/>
      <c r="D544" s="749" t="s">
        <v>1142</v>
      </c>
      <c r="F544" s="753"/>
      <c r="G544" s="3"/>
      <c r="H544" s="753"/>
      <c r="I544" s="754"/>
      <c r="J544" s="753"/>
      <c r="K544" s="753" t="s">
        <v>144</v>
      </c>
      <c r="L544" s="753"/>
      <c r="M544" s="753"/>
      <c r="N544" s="753"/>
      <c r="O544" s="753"/>
      <c r="P544" s="753"/>
      <c r="Q544" s="51"/>
      <c r="R544" s="530"/>
      <c r="S544" s="757"/>
      <c r="T544" s="753"/>
      <c r="AR544" s="748"/>
      <c r="AS544" s="753"/>
    </row>
    <row r="545" spans="1:45" s="901" customFormat="1" ht="13.2">
      <c r="A545">
        <v>1</v>
      </c>
      <c r="B545" s="901" t="s">
        <v>141</v>
      </c>
      <c r="D545" s="901" t="s">
        <v>1142</v>
      </c>
      <c r="F545" s="901" t="s">
        <v>3424</v>
      </c>
      <c r="G545" s="941" t="s">
        <v>2828</v>
      </c>
      <c r="H545" s="942">
        <v>510</v>
      </c>
      <c r="I545" s="901" t="s">
        <v>2825</v>
      </c>
      <c r="K545" s="901" t="s">
        <v>2826</v>
      </c>
      <c r="O545" s="943">
        <v>2</v>
      </c>
      <c r="P545" s="944">
        <v>35696</v>
      </c>
      <c r="Q545" s="945">
        <v>1992.87</v>
      </c>
      <c r="R545" s="946">
        <f>$A545*Q545</f>
        <v>1992.87</v>
      </c>
      <c r="S545" s="945">
        <v>2.5</v>
      </c>
      <c r="T545" s="947">
        <f>$A545*S545*$T$1</f>
        <v>2.25</v>
      </c>
      <c r="AR545">
        <v>1</v>
      </c>
      <c r="AS545" s="901" t="s">
        <v>3424</v>
      </c>
    </row>
    <row r="546" spans="1:45" s="901" customFormat="1" ht="13.2">
      <c r="A546" s="116">
        <v>4</v>
      </c>
      <c r="B546" s="901" t="s">
        <v>141</v>
      </c>
      <c r="D546" s="901" t="s">
        <v>2785</v>
      </c>
      <c r="G546" s="941" t="s">
        <v>2786</v>
      </c>
      <c r="H546" s="942">
        <v>875</v>
      </c>
      <c r="I546" s="901" t="s">
        <v>2607</v>
      </c>
      <c r="K546" s="901" t="s">
        <v>2787</v>
      </c>
      <c r="O546" s="943">
        <v>1</v>
      </c>
      <c r="P546" s="944">
        <v>34669</v>
      </c>
      <c r="Q546" s="945">
        <v>0.57999999999999996</v>
      </c>
      <c r="R546" s="946">
        <f>$A546*Q546</f>
        <v>2.3199999999999998</v>
      </c>
      <c r="S546" s="945"/>
      <c r="T546" s="947">
        <f>$A546*S546*$T$1</f>
        <v>0</v>
      </c>
      <c r="AR546" s="116">
        <v>4</v>
      </c>
    </row>
    <row r="547" spans="1:45" s="901" customFormat="1" ht="13.2">
      <c r="A547" s="116">
        <v>1</v>
      </c>
      <c r="B547" s="901" t="s">
        <v>141</v>
      </c>
      <c r="D547" s="901" t="s">
        <v>2745</v>
      </c>
      <c r="G547" s="941" t="s">
        <v>2746</v>
      </c>
      <c r="H547" s="942">
        <v>875</v>
      </c>
      <c r="I547" s="901" t="s">
        <v>2607</v>
      </c>
      <c r="K547" s="901" t="s">
        <v>2747</v>
      </c>
      <c r="O547" s="943">
        <v>3</v>
      </c>
      <c r="P547" s="944">
        <v>34820</v>
      </c>
      <c r="Q547" s="945">
        <v>5</v>
      </c>
      <c r="R547" s="946">
        <f>$A547*Q547</f>
        <v>5</v>
      </c>
      <c r="S547" s="945">
        <v>0.05</v>
      </c>
      <c r="T547" s="947">
        <f>$A547*S547*$T$1</f>
        <v>4.5000000000000005E-2</v>
      </c>
      <c r="AR547" s="116">
        <v>1</v>
      </c>
    </row>
    <row r="548" spans="1:45" s="520" customFormat="1" ht="12">
      <c r="A548" s="758"/>
      <c r="B548" s="758"/>
      <c r="C548" s="758"/>
      <c r="D548" s="758"/>
      <c r="E548" s="758"/>
      <c r="F548" s="753"/>
      <c r="G548" s="758"/>
      <c r="H548" s="758"/>
      <c r="I548" s="519"/>
      <c r="J548" s="758"/>
      <c r="K548" s="758"/>
      <c r="L548" s="758"/>
      <c r="M548" s="758"/>
      <c r="N548" s="758"/>
      <c r="O548" s="758"/>
      <c r="P548" s="758"/>
      <c r="Q548" s="519"/>
      <c r="R548" s="759">
        <f>$A548*Q548</f>
        <v>0</v>
      </c>
      <c r="S548" s="519"/>
      <c r="T548" s="760">
        <f>$A548*S548*$T$1</f>
        <v>0</v>
      </c>
      <c r="AR548" s="758"/>
      <c r="AS548" s="753"/>
    </row>
    <row r="549" spans="1:45" s="520" customFormat="1" ht="12.6" thickBot="1">
      <c r="A549" s="761" t="s">
        <v>145</v>
      </c>
      <c r="B549" s="762">
        <f>(R548+T548)</f>
        <v>0</v>
      </c>
      <c r="C549" s="763"/>
      <c r="D549" s="763"/>
      <c r="E549" s="763"/>
      <c r="F549" s="764"/>
      <c r="G549" s="763" t="s">
        <v>146</v>
      </c>
      <c r="H549" s="763"/>
      <c r="I549" s="765"/>
      <c r="J549" s="763"/>
      <c r="K549" s="763" t="s">
        <v>16</v>
      </c>
      <c r="L549" s="766" t="s">
        <v>143</v>
      </c>
      <c r="M549" s="766"/>
      <c r="N549" s="766"/>
      <c r="O549" s="766"/>
      <c r="P549" s="766"/>
      <c r="Q549" s="767"/>
      <c r="R549" s="768">
        <f>SUM(R544:R548)</f>
        <v>2000.1899999999998</v>
      </c>
      <c r="S549" s="763"/>
      <c r="T549" s="768">
        <f>SUM(T544:T548)</f>
        <v>2.2949999999999999</v>
      </c>
      <c r="U549" s="531"/>
      <c r="V549" s="531"/>
      <c r="W549" s="531"/>
      <c r="X549" s="531"/>
      <c r="Y549" s="531"/>
      <c r="Z549" s="531"/>
      <c r="AA549" s="531"/>
      <c r="AB549" s="531"/>
      <c r="AC549" s="531"/>
      <c r="AD549" s="531"/>
      <c r="AE549" s="531"/>
      <c r="AF549" s="531"/>
      <c r="AG549" s="531"/>
      <c r="AH549" s="531"/>
      <c r="AI549" s="531"/>
      <c r="AJ549" s="531"/>
      <c r="AK549" s="531"/>
      <c r="AL549" s="531"/>
      <c r="AM549" s="531"/>
      <c r="AN549" s="531"/>
      <c r="AO549" s="531"/>
      <c r="AR549" s="761" t="s">
        <v>145</v>
      </c>
      <c r="AS549" s="764"/>
    </row>
    <row r="550" spans="1:45" s="520" customFormat="1" ht="12" thickTop="1">
      <c r="A550" s="51"/>
      <c r="B550" s="41"/>
      <c r="C550" s="51"/>
      <c r="E550" s="42" t="s">
        <v>138</v>
      </c>
      <c r="F550" s="42" t="s">
        <v>139</v>
      </c>
      <c r="G550" s="51"/>
      <c r="H550" s="51"/>
      <c r="I550" s="51"/>
      <c r="J550" s="51"/>
      <c r="K550" s="51" t="s">
        <v>140</v>
      </c>
      <c r="L550" s="51"/>
      <c r="M550" s="51"/>
      <c r="N550" s="51"/>
      <c r="O550" s="52"/>
      <c r="P550" s="51"/>
      <c r="Q550" s="51"/>
      <c r="R550" s="51"/>
      <c r="S550" s="51"/>
      <c r="T550" s="41"/>
      <c r="AG550" s="521" t="s">
        <v>268</v>
      </c>
      <c r="AH550" s="521" t="s">
        <v>269</v>
      </c>
      <c r="AI550" s="521" t="s">
        <v>270</v>
      </c>
      <c r="AJ550" s="521" t="s">
        <v>271</v>
      </c>
      <c r="AK550" s="521" t="s">
        <v>272</v>
      </c>
      <c r="AM550" s="745" t="s">
        <v>281</v>
      </c>
      <c r="AN550" s="746" t="s">
        <v>282</v>
      </c>
      <c r="AO550" s="522" t="s">
        <v>278</v>
      </c>
      <c r="AR550" s="51"/>
      <c r="AS550" s="42" t="s">
        <v>139</v>
      </c>
    </row>
    <row r="551" spans="1:45" s="520" customFormat="1" ht="12" customHeight="1">
      <c r="A551" s="747">
        <v>1</v>
      </c>
      <c r="B551" s="523" t="s">
        <v>141</v>
      </c>
      <c r="C551" s="748"/>
      <c r="D551" s="749" t="s">
        <v>1143</v>
      </c>
      <c r="E551" s="1419">
        <f>IF(AND($A551=0,$A$1="DIF"),0, ROUND(ROUND(($R557*$S$9+($T557*$T$9))/$A551,2)*$C$9,2))</f>
        <v>0</v>
      </c>
      <c r="F551" s="1420">
        <f>ROUND($A551*$E551,2)</f>
        <v>0</v>
      </c>
      <c r="G551" s="752" t="s">
        <v>142</v>
      </c>
      <c r="H551" s="753"/>
      <c r="I551" s="754"/>
      <c r="J551" s="753"/>
      <c r="K551" s="753" t="s">
        <v>16</v>
      </c>
      <c r="L551" s="755" t="s">
        <v>143</v>
      </c>
      <c r="M551" s="755"/>
      <c r="N551" s="755"/>
      <c r="O551" s="755"/>
      <c r="P551" s="755"/>
      <c r="Q551" s="1058" t="s">
        <v>3848</v>
      </c>
      <c r="T551" s="1424" t="str">
        <f>IF(AND($R557=0,$T557=0),"0.00","mu: "&amp; ROUND(F551/$C$9/($R557+$T557*$D$9),2))</f>
        <v>0.00</v>
      </c>
      <c r="W551" s="524"/>
      <c r="AG551" s="1421">
        <f>IF($E551=0,0,ROUND($R557*$S$9*$C$9/$A551,2))</f>
        <v>0</v>
      </c>
      <c r="AH551" s="1421">
        <f>$AG551*$A551</f>
        <v>0</v>
      </c>
      <c r="AI551" s="1422">
        <f>$E551-$AG551</f>
        <v>0</v>
      </c>
      <c r="AJ551" s="1422">
        <f>$A551*$AI551</f>
        <v>0</v>
      </c>
      <c r="AK551" s="1423">
        <f>ROUND(($AG551+$AI551)*$A551,2)</f>
        <v>0</v>
      </c>
      <c r="AM551" s="527">
        <f>ROUND(R557,2)</f>
        <v>0</v>
      </c>
      <c r="AN551" s="528">
        <f>ROUND(T557,2)</f>
        <v>0</v>
      </c>
      <c r="AO551" s="529">
        <f>ROUND(AM551+AN551,2)*A551</f>
        <v>0</v>
      </c>
      <c r="AR551" s="747">
        <v>1</v>
      </c>
      <c r="AS551" s="751">
        <v>4003.29</v>
      </c>
    </row>
    <row r="552" spans="1:45" s="520" customFormat="1" ht="13.2">
      <c r="A552" s="748"/>
      <c r="B552"/>
      <c r="C552" s="748"/>
      <c r="D552" s="749" t="s">
        <v>1144</v>
      </c>
      <c r="F552" s="753"/>
      <c r="G552" s="3"/>
      <c r="H552" s="753"/>
      <c r="I552" s="754"/>
      <c r="J552" s="753"/>
      <c r="K552" s="753" t="s">
        <v>144</v>
      </c>
      <c r="L552" s="753"/>
      <c r="M552" s="753"/>
      <c r="N552" s="753"/>
      <c r="O552" s="753"/>
      <c r="P552" s="753"/>
      <c r="Q552" s="51"/>
      <c r="R552" s="530"/>
      <c r="S552" s="757"/>
      <c r="T552" s="753"/>
      <c r="AR552" s="748"/>
      <c r="AS552" s="753"/>
    </row>
    <row r="553" spans="1:45" s="1084" customFormat="1" ht="13.2">
      <c r="A553" s="1086">
        <v>0</v>
      </c>
      <c r="B553" s="1084" t="s">
        <v>141</v>
      </c>
      <c r="D553" s="1084" t="s">
        <v>1144</v>
      </c>
      <c r="F553" s="1084" t="s">
        <v>3424</v>
      </c>
      <c r="G553" s="1091" t="s">
        <v>2829</v>
      </c>
      <c r="H553" s="1092">
        <v>510</v>
      </c>
      <c r="I553" s="1084" t="s">
        <v>2825</v>
      </c>
      <c r="K553" s="1084" t="s">
        <v>2826</v>
      </c>
      <c r="O553" s="1093">
        <v>2</v>
      </c>
      <c r="P553" s="1094">
        <v>35696</v>
      </c>
      <c r="Q553" s="1095">
        <v>3075.02</v>
      </c>
      <c r="R553" s="1096">
        <f>$A553*Q553</f>
        <v>0</v>
      </c>
      <c r="S553" s="1095">
        <v>6</v>
      </c>
      <c r="T553" s="1097">
        <f>$A553*S553*$T$1</f>
        <v>0</v>
      </c>
      <c r="AR553" s="1086">
        <v>1</v>
      </c>
      <c r="AS553" s="1084" t="s">
        <v>3424</v>
      </c>
    </row>
    <row r="554" spans="1:45" s="1084" customFormat="1" ht="13.2">
      <c r="A554" s="1086">
        <v>0</v>
      </c>
      <c r="B554" s="1084" t="s">
        <v>141</v>
      </c>
      <c r="D554" s="1084" t="s">
        <v>2758</v>
      </c>
      <c r="G554" s="1091" t="s">
        <v>2760</v>
      </c>
      <c r="H554" s="1092">
        <v>501</v>
      </c>
      <c r="I554" s="1084" t="s">
        <v>2607</v>
      </c>
      <c r="K554" s="1084" t="s">
        <v>2761</v>
      </c>
      <c r="O554" s="1093">
        <v>1</v>
      </c>
      <c r="P554" s="1094"/>
      <c r="Q554" s="1095">
        <v>5</v>
      </c>
      <c r="R554" s="1096">
        <f>$A554*Q554</f>
        <v>0</v>
      </c>
      <c r="S554" s="1095"/>
      <c r="T554" s="1097">
        <f>$A554*S554*$T$1</f>
        <v>0</v>
      </c>
      <c r="AR554" s="1086">
        <v>1</v>
      </c>
    </row>
    <row r="555" spans="1:45" s="1084" customFormat="1" ht="13.2">
      <c r="A555" s="1327">
        <v>0</v>
      </c>
      <c r="B555" s="1084" t="s">
        <v>141</v>
      </c>
      <c r="D555" s="1084" t="s">
        <v>2745</v>
      </c>
      <c r="G555" s="1091" t="s">
        <v>2746</v>
      </c>
      <c r="H555" s="1092">
        <v>875</v>
      </c>
      <c r="I555" s="1084" t="s">
        <v>2607</v>
      </c>
      <c r="K555" s="1084" t="s">
        <v>2747</v>
      </c>
      <c r="O555" s="1093">
        <v>3</v>
      </c>
      <c r="P555" s="1094">
        <v>34820</v>
      </c>
      <c r="Q555" s="1095">
        <v>5</v>
      </c>
      <c r="R555" s="1096">
        <f>$A555*Q555</f>
        <v>0</v>
      </c>
      <c r="S555" s="1095">
        <v>0.05</v>
      </c>
      <c r="T555" s="1097">
        <f>$A555*S555*$T$1</f>
        <v>0</v>
      </c>
      <c r="AR555" s="1327">
        <v>1</v>
      </c>
    </row>
    <row r="556" spans="1:45" s="520" customFormat="1" ht="12">
      <c r="A556" s="758"/>
      <c r="B556" s="758"/>
      <c r="C556" s="758"/>
      <c r="D556" s="758"/>
      <c r="E556" s="758"/>
      <c r="F556" s="753"/>
      <c r="G556" s="758"/>
      <c r="H556" s="758"/>
      <c r="I556" s="519"/>
      <c r="J556" s="758"/>
      <c r="K556" s="758"/>
      <c r="L556" s="758"/>
      <c r="M556" s="758"/>
      <c r="N556" s="758"/>
      <c r="O556" s="758"/>
      <c r="P556" s="758"/>
      <c r="Q556" s="519"/>
      <c r="R556" s="759">
        <f>$A556*Q556</f>
        <v>0</v>
      </c>
      <c r="S556" s="519"/>
      <c r="T556" s="760">
        <f>$A556*S556*$T$1</f>
        <v>0</v>
      </c>
      <c r="AR556" s="758"/>
      <c r="AS556" s="753"/>
    </row>
    <row r="557" spans="1:45" s="520" customFormat="1" ht="12.6" thickBot="1">
      <c r="A557" s="761" t="s">
        <v>145</v>
      </c>
      <c r="B557" s="762">
        <f>(R556+T556)</f>
        <v>0</v>
      </c>
      <c r="C557" s="763"/>
      <c r="D557" s="763"/>
      <c r="E557" s="763"/>
      <c r="F557" s="764"/>
      <c r="G557" s="763" t="s">
        <v>146</v>
      </c>
      <c r="H557" s="763"/>
      <c r="I557" s="765"/>
      <c r="J557" s="763"/>
      <c r="K557" s="763" t="s">
        <v>16</v>
      </c>
      <c r="L557" s="766" t="s">
        <v>143</v>
      </c>
      <c r="M557" s="766"/>
      <c r="N557" s="766"/>
      <c r="O557" s="766"/>
      <c r="P557" s="766"/>
      <c r="Q557" s="767"/>
      <c r="R557" s="768">
        <f>SUM(R552:R556)</f>
        <v>0</v>
      </c>
      <c r="S557" s="763"/>
      <c r="T557" s="768">
        <f>SUM(T552:T556)</f>
        <v>0</v>
      </c>
      <c r="U557" s="531"/>
      <c r="V557" s="531"/>
      <c r="W557" s="531"/>
      <c r="X557" s="531"/>
      <c r="Y557" s="531"/>
      <c r="Z557" s="531"/>
      <c r="AA557" s="531"/>
      <c r="AB557" s="531"/>
      <c r="AC557" s="531"/>
      <c r="AD557" s="531"/>
      <c r="AE557" s="531"/>
      <c r="AF557" s="531"/>
      <c r="AG557" s="531"/>
      <c r="AH557" s="531"/>
      <c r="AI557" s="531"/>
      <c r="AJ557" s="531"/>
      <c r="AK557" s="531"/>
      <c r="AL557" s="531"/>
      <c r="AM557" s="531"/>
      <c r="AN557" s="531"/>
      <c r="AO557" s="531"/>
      <c r="AR557" s="761" t="s">
        <v>145</v>
      </c>
      <c r="AS557" s="764"/>
    </row>
    <row r="558" spans="1:45" s="520" customFormat="1" thickTop="1">
      <c r="A558" s="51"/>
      <c r="B558" s="41"/>
      <c r="C558" s="51"/>
      <c r="E558" s="42" t="s">
        <v>138</v>
      </c>
      <c r="F558" s="42" t="s">
        <v>139</v>
      </c>
      <c r="G558" s="51"/>
      <c r="H558" s="51"/>
      <c r="I558" s="51"/>
      <c r="J558" s="51"/>
      <c r="K558" s="51" t="s">
        <v>140</v>
      </c>
      <c r="L558" s="785"/>
      <c r="M558" s="51"/>
      <c r="N558" s="51"/>
      <c r="O558" s="52"/>
      <c r="P558" s="51"/>
      <c r="Q558"/>
      <c r="R558"/>
      <c r="S558"/>
      <c r="T558" s="41"/>
      <c r="AG558" s="521" t="s">
        <v>268</v>
      </c>
      <c r="AH558" s="521" t="s">
        <v>269</v>
      </c>
      <c r="AI558" s="521" t="s">
        <v>270</v>
      </c>
      <c r="AJ558" s="521" t="s">
        <v>271</v>
      </c>
      <c r="AK558" s="521" t="s">
        <v>272</v>
      </c>
      <c r="AM558" s="745" t="s">
        <v>281</v>
      </c>
      <c r="AN558" s="746" t="s">
        <v>282</v>
      </c>
      <c r="AO558" s="522" t="s">
        <v>278</v>
      </c>
      <c r="AR558" s="51"/>
      <c r="AS558" s="42" t="s">
        <v>139</v>
      </c>
    </row>
    <row r="559" spans="1:45" s="520" customFormat="1" ht="13.2">
      <c r="A559" s="747">
        <v>5</v>
      </c>
      <c r="B559" s="523" t="s">
        <v>141</v>
      </c>
      <c r="C559" s="748"/>
      <c r="D559" s="749" t="s">
        <v>1145</v>
      </c>
      <c r="E559" s="786">
        <f ca="1">IF(AND($A559=0,$A$1="DIF"),0, ROUND(ROUND(SUMIF($L561:$L591,"SUBI",$E561:$E591)/$A559,2)*$C$12,2))</f>
        <v>3197.74</v>
      </c>
      <c r="F559" s="787">
        <f ca="1">ROUND($A559*$E559,2)</f>
        <v>15988.7</v>
      </c>
      <c r="G559" s="752" t="s">
        <v>142</v>
      </c>
      <c r="H559" s="753"/>
      <c r="I559" s="754"/>
      <c r="J559" s="753"/>
      <c r="K559" s="788"/>
      <c r="L559" s="789" t="s">
        <v>143</v>
      </c>
      <c r="M559" s="755"/>
      <c r="N559" s="755"/>
      <c r="O559" s="755"/>
      <c r="P559" s="755"/>
      <c r="Q559"/>
      <c r="R559"/>
      <c r="S559"/>
      <c r="T559" s="790" t="str">
        <f ca="1">IF(AND($R599=0,$T599=0),"0.00","mu :" &amp; ROUND($F559/$C$12/($R599+$T599*$D$9),2))</f>
        <v>mu :1.23</v>
      </c>
      <c r="W559" s="524"/>
      <c r="AG559" s="791">
        <f ca="1">IF(A559=0,0,ROUND(SUM(AG561:AG599)/A559,2))</f>
        <v>2892.97</v>
      </c>
      <c r="AH559" s="791">
        <f ca="1">$AG559*$A559</f>
        <v>14464.849999999999</v>
      </c>
      <c r="AI559" s="791">
        <f ca="1">$E559-$AG559</f>
        <v>304.77</v>
      </c>
      <c r="AJ559" s="791">
        <f ca="1">$A559*$AI559</f>
        <v>1523.85</v>
      </c>
      <c r="AK559" s="792">
        <f ca="1">ROUND(($AG559+$AI559)*$A559,2)</f>
        <v>15988.7</v>
      </c>
      <c r="AM559" s="527">
        <f ca="1">ROUND(R599,2)</f>
        <v>11807.3</v>
      </c>
      <c r="AN559" s="528">
        <f ca="1">ROUND(T599,2)</f>
        <v>45.07</v>
      </c>
      <c r="AO559" s="529">
        <f ca="1">ROUND(AM559+AN559,2)*A559</f>
        <v>59261.850000000006</v>
      </c>
      <c r="AR559" s="747">
        <v>9</v>
      </c>
      <c r="AS559" s="787">
        <v>27193.95</v>
      </c>
    </row>
    <row r="560" spans="1:45" s="520" customFormat="1" ht="20.100000000000001" customHeight="1">
      <c r="A560" s="748"/>
      <c r="B560"/>
      <c r="C560" s="748"/>
      <c r="D560" s="749" t="s">
        <v>1146</v>
      </c>
      <c r="F560" s="753"/>
      <c r="G560" s="753"/>
      <c r="H560" s="753"/>
      <c r="I560" s="754"/>
      <c r="J560" s="753"/>
      <c r="K560" s="753" t="s">
        <v>144</v>
      </c>
      <c r="L560" s="784"/>
      <c r="M560" s="753"/>
      <c r="N560" s="753"/>
      <c r="O560" s="753"/>
      <c r="P560" s="753"/>
      <c r="Q560" s="51"/>
      <c r="R560" s="530"/>
      <c r="S560" s="757"/>
      <c r="T560" s="753"/>
      <c r="AR560" s="748"/>
      <c r="AS560" s="753"/>
    </row>
    <row r="561" spans="1:45" s="520" customFormat="1" ht="12">
      <c r="A561" s="795"/>
      <c r="B561" s="796"/>
      <c r="C561" s="758"/>
      <c r="D561" s="753"/>
      <c r="E561" s="797">
        <f ca="1">F559/$C$12-SUMIF($L558:$L599,"SUBI",$E558:$E599)</f>
        <v>-2.0000000000436557E-2</v>
      </c>
      <c r="F561" s="798" t="s">
        <v>2054</v>
      </c>
      <c r="G561" s="799"/>
      <c r="H561" s="799"/>
      <c r="I561" s="800"/>
      <c r="J561" s="799"/>
      <c r="K561" s="799"/>
      <c r="L561" s="801"/>
      <c r="M561" s="802"/>
      <c r="N561" s="802"/>
      <c r="O561" s="802"/>
      <c r="P561" s="802"/>
      <c r="Q561" s="803"/>
      <c r="R561" s="804"/>
      <c r="S561" s="803"/>
      <c r="T561" s="805"/>
      <c r="AR561" s="795"/>
      <c r="AS561" s="798" t="s">
        <v>2054</v>
      </c>
    </row>
    <row r="562" spans="1:45" s="520" customFormat="1" ht="12" customHeight="1">
      <c r="A562" s="806"/>
      <c r="B562" s="807"/>
      <c r="C562" s="808"/>
      <c r="D562" s="808" t="str">
        <f>$F$2</f>
        <v>Electrical</v>
      </c>
      <c r="E562" s="808">
        <f ca="1">ROUND(($R590*$S$2 + ($T590*$T$2)), 2)</f>
        <v>15174.85</v>
      </c>
      <c r="F562" s="809">
        <f ca="1">$E562*$C$12</f>
        <v>15174.85</v>
      </c>
      <c r="G562" s="530"/>
      <c r="H562" s="810"/>
      <c r="I562" s="530"/>
      <c r="J562" s="52"/>
      <c r="K562" s="811" t="s">
        <v>3</v>
      </c>
      <c r="L562" s="812" t="s">
        <v>2055</v>
      </c>
      <c r="M562" s="530"/>
      <c r="N562" s="530"/>
      <c r="O562" s="52"/>
      <c r="P562" s="530"/>
      <c r="Q562" s="530"/>
      <c r="R562"/>
      <c r="S562"/>
      <c r="T562"/>
      <c r="AR562" s="806"/>
      <c r="AS562" s="809">
        <v>25837.53</v>
      </c>
    </row>
    <row r="563" spans="1:45" s="901" customFormat="1" ht="13.2">
      <c r="A563">
        <v>10</v>
      </c>
      <c r="B563" s="901" t="s">
        <v>320</v>
      </c>
      <c r="D563" s="901" t="s">
        <v>2687</v>
      </c>
      <c r="F563" s="1054" t="s">
        <v>3277</v>
      </c>
      <c r="G563" s="941" t="s">
        <v>2688</v>
      </c>
      <c r="H563" s="942">
        <v>616</v>
      </c>
      <c r="I563" s="901" t="s">
        <v>2689</v>
      </c>
      <c r="J563" s="901" t="s">
        <v>2690</v>
      </c>
      <c r="O563" s="943">
        <v>2</v>
      </c>
      <c r="P563" s="944">
        <v>40767</v>
      </c>
      <c r="Q563" s="1194">
        <f>5.49*0.96</f>
        <v>5.2704000000000004</v>
      </c>
      <c r="R563" s="946">
        <f t="shared" ref="R563:R566" si="86">$A563*Q563</f>
        <v>52.704000000000008</v>
      </c>
      <c r="S563" s="945">
        <v>0.08</v>
      </c>
      <c r="T563" s="947">
        <f t="shared" ref="T563:T566" si="87">$A563*S563*$T$1</f>
        <v>0.72000000000000008</v>
      </c>
      <c r="AR563">
        <v>18</v>
      </c>
      <c r="AS563" s="1054" t="s">
        <v>3277</v>
      </c>
    </row>
    <row r="564" spans="1:45" s="901" customFormat="1" ht="13.2">
      <c r="A564">
        <v>10</v>
      </c>
      <c r="B564" s="901" t="s">
        <v>141</v>
      </c>
      <c r="D564" s="901" t="s">
        <v>2691</v>
      </c>
      <c r="G564" s="941" t="s">
        <v>2692</v>
      </c>
      <c r="H564" s="942">
        <v>620</v>
      </c>
      <c r="I564" s="901" t="s">
        <v>2611</v>
      </c>
      <c r="O564" s="943">
        <v>2</v>
      </c>
      <c r="P564" s="944">
        <v>35431</v>
      </c>
      <c r="Q564" s="945">
        <v>4.71</v>
      </c>
      <c r="R564" s="946">
        <f t="shared" si="86"/>
        <v>47.1</v>
      </c>
      <c r="S564" s="945">
        <v>0.35000000000000003</v>
      </c>
      <c r="T564" s="947">
        <f t="shared" si="87"/>
        <v>3.1500000000000004</v>
      </c>
      <c r="AR564">
        <v>18</v>
      </c>
    </row>
    <row r="565" spans="1:45" s="901" customFormat="1" ht="13.2">
      <c r="A565">
        <v>10</v>
      </c>
      <c r="B565" s="901" t="s">
        <v>320</v>
      </c>
      <c r="D565" s="901" t="s">
        <v>2653</v>
      </c>
      <c r="G565" s="941" t="s">
        <v>2654</v>
      </c>
      <c r="H565" s="942">
        <v>620</v>
      </c>
      <c r="I565" s="901" t="s">
        <v>2607</v>
      </c>
      <c r="O565" s="943">
        <v>2</v>
      </c>
      <c r="P565" s="944">
        <v>38148</v>
      </c>
      <c r="Q565" s="945">
        <v>1.5</v>
      </c>
      <c r="R565" s="946">
        <f t="shared" si="86"/>
        <v>15</v>
      </c>
      <c r="S565" s="945">
        <v>0.08</v>
      </c>
      <c r="T565" s="947">
        <f t="shared" si="87"/>
        <v>0.72000000000000008</v>
      </c>
      <c r="AR565">
        <v>18</v>
      </c>
    </row>
    <row r="566" spans="1:45" s="901" customFormat="1" ht="13.2">
      <c r="A566">
        <f>5*5*2</f>
        <v>50</v>
      </c>
      <c r="B566" s="901" t="s">
        <v>141</v>
      </c>
      <c r="D566" s="901" t="s">
        <v>2693</v>
      </c>
      <c r="G566" s="941" t="s">
        <v>2694</v>
      </c>
      <c r="H566" s="942">
        <v>620</v>
      </c>
      <c r="I566" s="901" t="s">
        <v>2614</v>
      </c>
      <c r="O566" s="943">
        <v>2</v>
      </c>
      <c r="P566" s="944">
        <v>34669</v>
      </c>
      <c r="Q566" s="945">
        <v>7.0000000000000007E-2</v>
      </c>
      <c r="R566" s="946">
        <f t="shared" si="86"/>
        <v>3.5000000000000004</v>
      </c>
      <c r="S566" s="945">
        <v>0.03</v>
      </c>
      <c r="T566" s="947">
        <f t="shared" si="87"/>
        <v>1.35</v>
      </c>
      <c r="AR566">
        <v>90</v>
      </c>
    </row>
    <row r="567" spans="1:45" s="901" customFormat="1" ht="13.2">
      <c r="A567"/>
      <c r="D567" s="1163" t="s">
        <v>3618</v>
      </c>
      <c r="G567" s="941"/>
      <c r="H567" s="942"/>
      <c r="O567" s="943"/>
      <c r="P567" s="944"/>
      <c r="Q567" s="945"/>
      <c r="R567" s="946"/>
      <c r="S567" s="945"/>
      <c r="T567" s="947"/>
      <c r="AR567"/>
    </row>
    <row r="568" spans="1:45" s="901" customFormat="1" ht="13.2">
      <c r="A568"/>
      <c r="D568" s="1159" t="s">
        <v>3672</v>
      </c>
      <c r="G568" s="941"/>
      <c r="H568" s="942"/>
      <c r="O568" s="943"/>
      <c r="P568" s="944"/>
      <c r="Q568" s="945"/>
      <c r="R568" s="946"/>
      <c r="S568" s="945"/>
      <c r="T568" s="947"/>
      <c r="AR568"/>
    </row>
    <row r="569" spans="1:45" s="886" customFormat="1" ht="13.2">
      <c r="A569"/>
      <c r="B569" s="910"/>
      <c r="C569" s="910" t="s">
        <v>2597</v>
      </c>
      <c r="D569" s="910" t="str">
        <f ca="1">CELL("Address",Elec_Rates!D$112)</f>
        <v>[E25_0062_Quintano_Foods_Elec_ELV_As_Awarded.xlsx]Elec_Rates!$D$112</v>
      </c>
      <c r="E569" s="911"/>
      <c r="F569" s="911"/>
      <c r="G569" s="912" t="s">
        <v>2598</v>
      </c>
      <c r="H569" s="912"/>
      <c r="I569" s="912"/>
      <c r="J569" s="912"/>
      <c r="K569" s="913"/>
      <c r="L569" s="911"/>
      <c r="M569" s="911"/>
      <c r="N569" s="911"/>
      <c r="O569" s="914"/>
      <c r="P569" s="911"/>
      <c r="Q569" s="915"/>
      <c r="R569" s="916"/>
      <c r="S569" s="915"/>
      <c r="T569" s="917"/>
      <c r="U569" s="918"/>
      <c r="AR569"/>
      <c r="AS569" s="911"/>
    </row>
    <row r="570" spans="1:45" s="886" customFormat="1" ht="11.4">
      <c r="A570" s="919">
        <v>1</v>
      </c>
      <c r="B570" s="920">
        <v>1</v>
      </c>
      <c r="C570" s="920">
        <f>$A570*$B570</f>
        <v>1</v>
      </c>
      <c r="D570" s="921" t="str">
        <f>Elec_Rates!$D$112</f>
        <v>009# Power points rate (Galvanised conduit)</v>
      </c>
      <c r="E570" s="921"/>
      <c r="F570" s="921" t="s">
        <v>2599</v>
      </c>
      <c r="G570" s="922" t="s">
        <v>2601</v>
      </c>
      <c r="H570" s="922"/>
      <c r="I570" s="922"/>
      <c r="J570" s="922"/>
      <c r="K570" s="923"/>
      <c r="L570" s="918"/>
      <c r="M570" s="918"/>
      <c r="N570" s="918"/>
      <c r="O570" s="924"/>
      <c r="P570" s="921"/>
      <c r="Q570" s="925">
        <f ca="1">$B570*Elec_Rates!$R$112</f>
        <v>64.069999999999993</v>
      </c>
      <c r="R570" s="916">
        <f ca="1">$A570*Q570</f>
        <v>64.069999999999993</v>
      </c>
      <c r="S570" s="925">
        <f ca="1">$B570*Elec_Rates!$T$112</f>
        <v>3.02</v>
      </c>
      <c r="T570" s="917">
        <f ca="1">$A570*S570</f>
        <v>3.02</v>
      </c>
      <c r="U570" s="926"/>
      <c r="AR570" s="919">
        <v>1</v>
      </c>
      <c r="AS570" s="921" t="s">
        <v>2599</v>
      </c>
    </row>
    <row r="571" spans="1:45" s="901" customFormat="1" ht="13.2">
      <c r="A571" s="116">
        <v>1</v>
      </c>
      <c r="B571" s="901" t="s">
        <v>141</v>
      </c>
      <c r="D571" s="901" t="s">
        <v>2874</v>
      </c>
      <c r="E571" s="901" t="s">
        <v>3424</v>
      </c>
      <c r="F571" s="1054" t="s">
        <v>3431</v>
      </c>
      <c r="G571" s="941" t="s">
        <v>2875</v>
      </c>
      <c r="H571" s="942">
        <v>705</v>
      </c>
      <c r="I571" s="901" t="s">
        <v>2872</v>
      </c>
      <c r="J571" s="901" t="s">
        <v>2876</v>
      </c>
      <c r="O571" s="943">
        <v>3</v>
      </c>
      <c r="P571" s="944">
        <v>34700</v>
      </c>
      <c r="Q571" s="945">
        <v>7.6</v>
      </c>
      <c r="R571" s="946">
        <f>$A571*Q571</f>
        <v>7.6</v>
      </c>
      <c r="S571" s="945">
        <v>0.17</v>
      </c>
      <c r="T571" s="947">
        <f>$A571*S571*$T$1</f>
        <v>0.15300000000000002</v>
      </c>
      <c r="AR571" s="116">
        <v>1</v>
      </c>
      <c r="AS571" s="1054" t="s">
        <v>3431</v>
      </c>
    </row>
    <row r="572" spans="1:45" s="901" customFormat="1" ht="13.2">
      <c r="A572" s="116">
        <v>1</v>
      </c>
      <c r="B572" s="901" t="s">
        <v>141</v>
      </c>
      <c r="D572" s="901" t="s">
        <v>3667</v>
      </c>
      <c r="F572" s="1054" t="s">
        <v>3683</v>
      </c>
      <c r="G572" s="941" t="s">
        <v>3668</v>
      </c>
      <c r="H572" s="942">
        <v>900</v>
      </c>
      <c r="I572" s="901" t="s">
        <v>2596</v>
      </c>
      <c r="O572" s="943">
        <v>3</v>
      </c>
      <c r="P572" s="944"/>
      <c r="Q572" s="1063"/>
      <c r="R572" s="946">
        <f>$A572*Q572</f>
        <v>0</v>
      </c>
      <c r="S572" s="945">
        <v>8</v>
      </c>
      <c r="T572" s="947">
        <f>$A572*S572*$T$1</f>
        <v>7.2</v>
      </c>
      <c r="U572" s="901" t="s">
        <v>2764</v>
      </c>
      <c r="AR572" s="116">
        <v>1</v>
      </c>
      <c r="AS572" s="1054" t="s">
        <v>3683</v>
      </c>
    </row>
    <row r="573" spans="1:45" s="901" customFormat="1" ht="13.2">
      <c r="A573">
        <v>1</v>
      </c>
      <c r="B573" s="901" t="s">
        <v>141</v>
      </c>
      <c r="D573" s="901" t="s">
        <v>2758</v>
      </c>
      <c r="G573" s="941" t="s">
        <v>2760</v>
      </c>
      <c r="H573" s="942">
        <v>501</v>
      </c>
      <c r="I573" s="901" t="s">
        <v>2607</v>
      </c>
      <c r="K573" s="901" t="s">
        <v>2761</v>
      </c>
      <c r="O573" s="943">
        <v>1</v>
      </c>
      <c r="P573" s="944"/>
      <c r="Q573" s="945">
        <v>100</v>
      </c>
      <c r="R573" s="946">
        <f>$A573*Q573</f>
        <v>100</v>
      </c>
      <c r="S573" s="945"/>
      <c r="T573" s="947">
        <f>$A573*S573*$T$1</f>
        <v>0</v>
      </c>
      <c r="AR573">
        <v>1</v>
      </c>
    </row>
    <row r="574" spans="1:45" s="901" customFormat="1" ht="13.2">
      <c r="A574"/>
      <c r="D574" s="1159" t="s">
        <v>3669</v>
      </c>
      <c r="G574" s="941"/>
      <c r="H574" s="942"/>
      <c r="O574" s="943"/>
      <c r="P574" s="944"/>
      <c r="Q574" s="945"/>
      <c r="R574" s="946"/>
      <c r="S574" s="945"/>
      <c r="T574" s="947"/>
      <c r="AR574"/>
    </row>
    <row r="575" spans="1:45" s="886" customFormat="1" ht="13.2">
      <c r="A575"/>
      <c r="B575" s="910"/>
      <c r="C575" s="910" t="s">
        <v>2597</v>
      </c>
      <c r="D575" s="910" t="str">
        <f ca="1">CELL("Address",Elec_Rates!D$1005)</f>
        <v>[E25_0062_Quintano_Foods_Elec_ELV_As_Awarded.xlsx]Elec_Rates!$D$1005</v>
      </c>
      <c r="E575" s="911"/>
      <c r="F575" s="911"/>
      <c r="G575" s="912" t="s">
        <v>2598</v>
      </c>
      <c r="H575" s="912"/>
      <c r="I575" s="912"/>
      <c r="J575" s="912"/>
      <c r="K575" s="913"/>
      <c r="L575" s="911"/>
      <c r="M575" s="911"/>
      <c r="N575" s="911"/>
      <c r="O575" s="914"/>
      <c r="P575" s="911"/>
      <c r="Q575" s="915"/>
      <c r="R575" s="916"/>
      <c r="S575" s="915"/>
      <c r="T575" s="917"/>
      <c r="U575" s="918"/>
      <c r="AR575"/>
      <c r="AS575" s="911"/>
    </row>
    <row r="576" spans="1:45" s="886" customFormat="1" ht="11.4">
      <c r="A576" s="919">
        <v>6</v>
      </c>
      <c r="B576" s="920">
        <v>1</v>
      </c>
      <c r="C576" s="920">
        <f>$A576*$B576</f>
        <v>6</v>
      </c>
      <c r="D576" s="921" t="str">
        <f>Elec_Rates!$D$1005</f>
        <v>089# Galvanised Conduit point for Data at level 0</v>
      </c>
      <c r="E576" s="921"/>
      <c r="F576" s="921" t="s">
        <v>2599</v>
      </c>
      <c r="G576" s="922" t="s">
        <v>2600</v>
      </c>
      <c r="H576" s="922"/>
      <c r="I576" s="922"/>
      <c r="J576" s="922"/>
      <c r="K576" s="923"/>
      <c r="L576" s="918"/>
      <c r="M576" s="918"/>
      <c r="N576" s="918"/>
      <c r="O576" s="924"/>
      <c r="P576" s="921"/>
      <c r="Q576" s="925">
        <f ca="1">$B576*Elec_Rates!$R$1005</f>
        <v>38</v>
      </c>
      <c r="R576" s="916">
        <f ca="1">$A576*Q576</f>
        <v>228</v>
      </c>
      <c r="S576" s="925">
        <f ca="1">$B576*Elec_Rates!$T$1005</f>
        <v>2.25</v>
      </c>
      <c r="T576" s="917">
        <f ca="1">$A576*S576</f>
        <v>13.5</v>
      </c>
      <c r="U576" s="926"/>
      <c r="AR576" s="919">
        <v>10</v>
      </c>
      <c r="AS576" s="921" t="s">
        <v>2599</v>
      </c>
    </row>
    <row r="577" spans="1:45" s="901" customFormat="1" ht="13.2">
      <c r="A577" s="116">
        <v>12</v>
      </c>
      <c r="B577" s="901" t="s">
        <v>141</v>
      </c>
      <c r="D577" s="901" t="s">
        <v>3678</v>
      </c>
      <c r="G577" s="941" t="s">
        <v>3679</v>
      </c>
      <c r="H577" s="942">
        <v>821</v>
      </c>
      <c r="I577" s="901" t="s">
        <v>2607</v>
      </c>
      <c r="O577" s="943">
        <v>3</v>
      </c>
      <c r="P577" s="944">
        <v>38707</v>
      </c>
      <c r="Q577" s="945">
        <v>15</v>
      </c>
      <c r="R577" s="946">
        <f>$A577*Q577</f>
        <v>180</v>
      </c>
      <c r="S577" s="945">
        <v>0.1</v>
      </c>
      <c r="T577" s="947">
        <f>$A577*S577*$T$1</f>
        <v>1.0800000000000003</v>
      </c>
      <c r="AR577" s="116">
        <v>12</v>
      </c>
    </row>
    <row r="578" spans="1:45" s="520" customFormat="1" ht="13.2">
      <c r="A578" s="748"/>
      <c r="B578"/>
      <c r="C578" s="748"/>
      <c r="D578" s="1163" t="s">
        <v>3671</v>
      </c>
      <c r="F578" s="753"/>
      <c r="G578" s="3"/>
      <c r="H578" s="753"/>
      <c r="I578" s="754"/>
      <c r="J578" s="753"/>
      <c r="K578" s="753"/>
      <c r="L578" s="753"/>
      <c r="M578" s="753"/>
      <c r="N578" s="753"/>
      <c r="O578" s="753"/>
      <c r="P578" s="753"/>
      <c r="Q578" s="51"/>
      <c r="R578" s="530"/>
      <c r="S578" s="757"/>
      <c r="T578" s="753"/>
      <c r="AR578" s="748"/>
      <c r="AS578" s="753"/>
    </row>
    <row r="579" spans="1:45" s="901" customFormat="1" ht="13.2">
      <c r="A579">
        <v>5</v>
      </c>
      <c r="B579" s="901" t="s">
        <v>141</v>
      </c>
      <c r="D579" s="901" t="s">
        <v>2830</v>
      </c>
      <c r="F579" s="901" t="s">
        <v>3424</v>
      </c>
      <c r="G579" s="941" t="s">
        <v>2829</v>
      </c>
      <c r="H579" s="942">
        <v>510</v>
      </c>
      <c r="I579" s="901" t="s">
        <v>2825</v>
      </c>
      <c r="K579" s="901" t="s">
        <v>2826</v>
      </c>
      <c r="O579" s="943">
        <v>2</v>
      </c>
      <c r="P579" s="944">
        <v>35696</v>
      </c>
      <c r="Q579" s="1224">
        <f>16943.89/9</f>
        <v>1882.6544444444444</v>
      </c>
      <c r="R579" s="946">
        <f>$A579*Q579</f>
        <v>9413.2722222222219</v>
      </c>
      <c r="S579" s="945">
        <v>2</v>
      </c>
      <c r="T579" s="947">
        <f>$A579*S579*$T$1</f>
        <v>9</v>
      </c>
      <c r="AR579">
        <v>9</v>
      </c>
      <c r="AS579" s="901" t="s">
        <v>3424</v>
      </c>
    </row>
    <row r="580" spans="1:45" s="901" customFormat="1" ht="13.2">
      <c r="A580">
        <v>5</v>
      </c>
      <c r="B580" s="901" t="s">
        <v>141</v>
      </c>
      <c r="D580" s="901" t="s">
        <v>2758</v>
      </c>
      <c r="G580" s="941" t="s">
        <v>2760</v>
      </c>
      <c r="H580" s="942">
        <v>501</v>
      </c>
      <c r="I580" s="901" t="s">
        <v>2607</v>
      </c>
      <c r="K580" s="901" t="s">
        <v>2761</v>
      </c>
      <c r="O580" s="943">
        <v>1</v>
      </c>
      <c r="P580" s="944"/>
      <c r="Q580" s="945">
        <v>20</v>
      </c>
      <c r="R580" s="946">
        <f>$A580*Q580</f>
        <v>100</v>
      </c>
      <c r="S580" s="945"/>
      <c r="T580" s="947">
        <f>$A580*S580*$T$1</f>
        <v>0</v>
      </c>
      <c r="AR580">
        <v>9</v>
      </c>
    </row>
    <row r="581" spans="1:45" s="901" customFormat="1" ht="13.2">
      <c r="A581" s="116">
        <v>5</v>
      </c>
      <c r="B581" s="901" t="s">
        <v>141</v>
      </c>
      <c r="D581" s="901" t="s">
        <v>2745</v>
      </c>
      <c r="G581" s="941" t="s">
        <v>2746</v>
      </c>
      <c r="H581" s="942">
        <v>875</v>
      </c>
      <c r="I581" s="901" t="s">
        <v>2607</v>
      </c>
      <c r="K581" s="901" t="s">
        <v>2747</v>
      </c>
      <c r="O581" s="943">
        <v>3</v>
      </c>
      <c r="P581" s="944">
        <v>34820</v>
      </c>
      <c r="Q581" s="945">
        <v>5</v>
      </c>
      <c r="R581" s="946">
        <f>$A581*Q581</f>
        <v>25</v>
      </c>
      <c r="S581" s="945">
        <v>0.05</v>
      </c>
      <c r="T581" s="947">
        <f>$A581*S581*$T$1</f>
        <v>0.22500000000000001</v>
      </c>
      <c r="AR581" s="116">
        <v>9</v>
      </c>
    </row>
    <row r="582" spans="1:45" s="901" customFormat="1" ht="13.2">
      <c r="A582" s="116"/>
      <c r="D582" s="1163" t="s">
        <v>3729</v>
      </c>
      <c r="G582" s="941"/>
      <c r="H582" s="942"/>
      <c r="O582" s="943"/>
      <c r="P582" s="944"/>
      <c r="Q582" s="945"/>
      <c r="R582" s="946"/>
      <c r="S582" s="945"/>
      <c r="T582" s="947"/>
      <c r="AR582" s="116"/>
    </row>
    <row r="583" spans="1:45" s="901" customFormat="1" ht="13.2">
      <c r="A583">
        <v>1</v>
      </c>
      <c r="B583" s="901" t="s">
        <v>141</v>
      </c>
      <c r="D583" s="901" t="s">
        <v>3682</v>
      </c>
      <c r="E583" s="901" t="s">
        <v>3731</v>
      </c>
      <c r="F583" s="901" t="s">
        <v>3733</v>
      </c>
      <c r="G583" s="941" t="s">
        <v>3730</v>
      </c>
      <c r="H583" s="942">
        <v>510</v>
      </c>
      <c r="I583" s="901" t="s">
        <v>2607</v>
      </c>
      <c r="K583" s="901" t="s">
        <v>2826</v>
      </c>
      <c r="O583" s="943">
        <v>2</v>
      </c>
      <c r="P583" s="944">
        <v>39177</v>
      </c>
      <c r="Q583" s="945">
        <v>500</v>
      </c>
      <c r="R583" s="946">
        <f>$A583*Q583</f>
        <v>500</v>
      </c>
      <c r="S583" s="945">
        <v>4</v>
      </c>
      <c r="T583" s="947">
        <f>$A583*S583*$T$1</f>
        <v>3.6</v>
      </c>
      <c r="AR583">
        <v>1</v>
      </c>
      <c r="AS583" s="901" t="s">
        <v>3733</v>
      </c>
    </row>
    <row r="584" spans="1:45" s="901" customFormat="1" ht="13.2">
      <c r="A584" s="116"/>
      <c r="D584" s="1163" t="s">
        <v>3680</v>
      </c>
      <c r="G584" s="941"/>
      <c r="H584" s="942"/>
      <c r="O584" s="943"/>
      <c r="P584" s="944"/>
      <c r="Q584" s="945"/>
      <c r="R584" s="946"/>
      <c r="S584" s="945"/>
      <c r="T584" s="947"/>
      <c r="AR584" s="116"/>
    </row>
    <row r="585" spans="1:45" s="901" customFormat="1" ht="13.2">
      <c r="A585" s="116">
        <v>1</v>
      </c>
      <c r="B585" s="901" t="s">
        <v>141</v>
      </c>
      <c r="D585" s="901" t="s">
        <v>3676</v>
      </c>
      <c r="G585" s="941" t="s">
        <v>3677</v>
      </c>
      <c r="H585" s="942">
        <v>821</v>
      </c>
      <c r="I585" s="901" t="s">
        <v>2607</v>
      </c>
      <c r="O585" s="943">
        <v>3</v>
      </c>
      <c r="P585" s="944">
        <v>39030</v>
      </c>
      <c r="Q585" s="945">
        <v>200</v>
      </c>
      <c r="R585" s="946">
        <f>$A585*Q585</f>
        <v>200</v>
      </c>
      <c r="S585" s="945">
        <v>1</v>
      </c>
      <c r="T585" s="947">
        <f>$A585*S585*$T$1</f>
        <v>0.9</v>
      </c>
      <c r="AR585" s="116">
        <v>1</v>
      </c>
    </row>
    <row r="586" spans="1:45" s="901" customFormat="1" ht="13.2">
      <c r="A586">
        <v>1</v>
      </c>
      <c r="B586" s="901" t="s">
        <v>141</v>
      </c>
      <c r="D586" s="901" t="s">
        <v>2758</v>
      </c>
      <c r="G586" s="941" t="s">
        <v>2760</v>
      </c>
      <c r="H586" s="942">
        <v>501</v>
      </c>
      <c r="I586" s="901" t="s">
        <v>2607</v>
      </c>
      <c r="K586" s="901" t="s">
        <v>2761</v>
      </c>
      <c r="O586" s="943">
        <v>1</v>
      </c>
      <c r="P586" s="944"/>
      <c r="Q586" s="945">
        <v>50</v>
      </c>
      <c r="R586" s="946">
        <f>$A586*Q586</f>
        <v>50</v>
      </c>
      <c r="S586" s="945"/>
      <c r="T586" s="947">
        <f>$A586*S586*$T$1</f>
        <v>0</v>
      </c>
      <c r="AR586">
        <v>1</v>
      </c>
    </row>
    <row r="587" spans="1:45" s="901" customFormat="1" ht="13.2">
      <c r="A587">
        <v>1</v>
      </c>
      <c r="B587" s="901" t="s">
        <v>141</v>
      </c>
      <c r="D587" s="901" t="s">
        <v>2831</v>
      </c>
      <c r="F587" s="901" t="s">
        <v>3681</v>
      </c>
      <c r="G587" s="941" t="s">
        <v>2832</v>
      </c>
      <c r="H587" s="942">
        <v>570</v>
      </c>
      <c r="I587" s="901" t="s">
        <v>2607</v>
      </c>
      <c r="O587" s="943">
        <v>2</v>
      </c>
      <c r="P587" s="944">
        <v>38443</v>
      </c>
      <c r="Q587" s="945">
        <v>100</v>
      </c>
      <c r="R587" s="946">
        <f>$A587*Q587</f>
        <v>100</v>
      </c>
      <c r="S587" s="945">
        <v>0.5</v>
      </c>
      <c r="T587" s="947">
        <f>$A587*S587*$T$1</f>
        <v>0.45</v>
      </c>
      <c r="AR587">
        <v>1</v>
      </c>
      <c r="AS587" s="901" t="s">
        <v>3681</v>
      </c>
    </row>
    <row r="588" spans="1:45" s="901" customFormat="1" ht="13.2">
      <c r="A588" s="1204">
        <v>0</v>
      </c>
      <c r="B588" s="901" t="s">
        <v>141</v>
      </c>
      <c r="D588" s="901" t="s">
        <v>2831</v>
      </c>
      <c r="F588" s="901" t="s">
        <v>3682</v>
      </c>
      <c r="G588" s="941" t="s">
        <v>2832</v>
      </c>
      <c r="H588" s="942">
        <v>570</v>
      </c>
      <c r="I588" s="901" t="s">
        <v>2607</v>
      </c>
      <c r="O588" s="943">
        <v>2</v>
      </c>
      <c r="P588" s="944">
        <v>38443</v>
      </c>
      <c r="Q588" s="945">
        <v>1000</v>
      </c>
      <c r="R588" s="946">
        <f>$A588*Q588</f>
        <v>0</v>
      </c>
      <c r="S588" s="945">
        <v>2</v>
      </c>
      <c r="T588" s="947">
        <f>$A588*S588*$T$1</f>
        <v>0</v>
      </c>
      <c r="AR588" s="1204">
        <v>0</v>
      </c>
      <c r="AS588" s="901" t="s">
        <v>3682</v>
      </c>
    </row>
    <row r="589" spans="1:45" s="520" customFormat="1" ht="14.1" customHeight="1">
      <c r="A589" s="813"/>
      <c r="B589" s="530"/>
      <c r="C589" s="530"/>
      <c r="D589" s="530"/>
      <c r="E589" s="530"/>
      <c r="F589" s="530"/>
      <c r="G589" s="530"/>
      <c r="H589" s="810"/>
      <c r="I589" s="530"/>
      <c r="J589" s="52"/>
      <c r="K589" s="815"/>
      <c r="L589" s="816"/>
      <c r="M589" s="530"/>
      <c r="N589" s="530"/>
      <c r="O589" s="52"/>
      <c r="P589" s="530"/>
      <c r="Q589" s="530"/>
      <c r="R589" s="817">
        <f>$A589*Q589</f>
        <v>0</v>
      </c>
      <c r="S589" s="530"/>
      <c r="T589" s="760">
        <f>$A589*S589*$T$1</f>
        <v>0</v>
      </c>
      <c r="AR589" s="813"/>
      <c r="AS589" s="530"/>
    </row>
    <row r="590" spans="1:45" s="520" customFormat="1" ht="12">
      <c r="A590" s="818" t="s">
        <v>145</v>
      </c>
      <c r="B590" s="819">
        <f>(R589+T589)</f>
        <v>0</v>
      </c>
      <c r="C590" s="758"/>
      <c r="G590" s="820"/>
      <c r="H590" s="820"/>
      <c r="I590" s="820"/>
      <c r="J590" s="820"/>
      <c r="K590" s="821" t="s">
        <v>3</v>
      </c>
      <c r="L590" s="822" t="s">
        <v>2055</v>
      </c>
      <c r="M590" s="820"/>
      <c r="N590" s="820"/>
      <c r="O590" s="820"/>
      <c r="P590" s="820"/>
      <c r="Q590" s="823"/>
      <c r="R590" s="824">
        <f ca="1">SUM(R562:R589)</f>
        <v>11086.246222222222</v>
      </c>
      <c r="S590" s="825"/>
      <c r="T590" s="824">
        <f ca="1">SUM(T562:T589)</f>
        <v>45.068000000000005</v>
      </c>
      <c r="AG590" s="826">
        <f ca="1">ROUND($R590*$S$2,2)</f>
        <v>13650.98</v>
      </c>
      <c r="AR590" s="818" t="s">
        <v>145</v>
      </c>
    </row>
    <row r="591" spans="1:45" s="520" customFormat="1" ht="12" customHeight="1">
      <c r="A591" s="827"/>
      <c r="B591" s="828"/>
      <c r="C591" s="829"/>
      <c r="D591" s="829" t="str">
        <f>$F$3</f>
        <v>ELV Installation (NAS Ltd)</v>
      </c>
      <c r="E591" s="829">
        <f>ROUND(($R597*$S$3 + ($T597*$T$3)), 2)</f>
        <v>813.87</v>
      </c>
      <c r="F591" s="830">
        <f ca="1">$F559-SUMIF($L561:$P581,"SUBI",$F561:$F581)</f>
        <v>813.85000000000036</v>
      </c>
      <c r="G591" s="519"/>
      <c r="H591" s="519"/>
      <c r="I591" s="519"/>
      <c r="J591" s="519"/>
      <c r="K591" s="811" t="s">
        <v>5</v>
      </c>
      <c r="L591" s="812" t="s">
        <v>2055</v>
      </c>
      <c r="M591" s="519"/>
      <c r="N591" s="519"/>
      <c r="O591" s="519"/>
      <c r="P591" s="519"/>
      <c r="Q591" s="519"/>
      <c r="R591" s="831"/>
      <c r="S591" s="519"/>
      <c r="T591" s="831"/>
      <c r="AR591" s="827"/>
      <c r="AS591" s="830">
        <v>1356.4200000000019</v>
      </c>
    </row>
    <row r="592" spans="1:45" s="901" customFormat="1" ht="13.2">
      <c r="A592" s="903">
        <v>6</v>
      </c>
      <c r="B592" s="904" t="s">
        <v>863</v>
      </c>
      <c r="C592" s="904"/>
      <c r="D592" s="904" t="s">
        <v>2594</v>
      </c>
      <c r="E592" s="904" t="s">
        <v>3670</v>
      </c>
      <c r="F592" s="904" t="s">
        <v>3507</v>
      </c>
      <c r="G592" s="905" t="s">
        <v>2595</v>
      </c>
      <c r="H592" s="902">
        <v>960</v>
      </c>
      <c r="I592" s="904" t="s">
        <v>2596</v>
      </c>
      <c r="J592" s="904"/>
      <c r="K592" s="904"/>
      <c r="L592" s="904"/>
      <c r="M592" s="904"/>
      <c r="N592" s="904"/>
      <c r="O592" s="902">
        <v>4</v>
      </c>
      <c r="P592" s="906">
        <v>38274</v>
      </c>
      <c r="Q592" s="1198">
        <f>99*0.95</f>
        <v>94.05</v>
      </c>
      <c r="R592" s="908">
        <f t="shared" ref="R592:R596" si="88">$A592*Q592</f>
        <v>564.29999999999995</v>
      </c>
      <c r="S592" s="907"/>
      <c r="T592" s="909">
        <f t="shared" ref="T592:T596" si="89">$A592*S592*$T$1</f>
        <v>0</v>
      </c>
      <c r="AR592" s="903">
        <v>10</v>
      </c>
      <c r="AS592" s="904" t="s">
        <v>3507</v>
      </c>
    </row>
    <row r="593" spans="1:45" s="901" customFormat="1" ht="13.2">
      <c r="A593" s="903">
        <v>6</v>
      </c>
      <c r="B593" s="904" t="s">
        <v>863</v>
      </c>
      <c r="C593" s="904"/>
      <c r="D593" s="904" t="s">
        <v>2594</v>
      </c>
      <c r="E593" s="904" t="s">
        <v>3674</v>
      </c>
      <c r="F593" s="904" t="s">
        <v>3507</v>
      </c>
      <c r="G593" s="905" t="s">
        <v>2595</v>
      </c>
      <c r="H593" s="902">
        <v>960</v>
      </c>
      <c r="I593" s="904" t="s">
        <v>2596</v>
      </c>
      <c r="J593" s="904"/>
      <c r="K593" s="904"/>
      <c r="L593" s="904"/>
      <c r="M593" s="904"/>
      <c r="N593" s="904"/>
      <c r="O593" s="902">
        <v>4</v>
      </c>
      <c r="P593" s="906">
        <v>38274</v>
      </c>
      <c r="Q593" s="1198">
        <f>9*0.95</f>
        <v>8.5499999999999989</v>
      </c>
      <c r="R593" s="908">
        <f t="shared" si="88"/>
        <v>51.3</v>
      </c>
      <c r="S593" s="907"/>
      <c r="T593" s="909">
        <f t="shared" si="89"/>
        <v>0</v>
      </c>
      <c r="AR593" s="903">
        <v>10</v>
      </c>
      <c r="AS593" s="904" t="s">
        <v>3507</v>
      </c>
    </row>
    <row r="594" spans="1:45" s="901" customFormat="1" ht="13.2">
      <c r="A594" s="903">
        <v>6</v>
      </c>
      <c r="B594" s="904" t="s">
        <v>863</v>
      </c>
      <c r="C594" s="904"/>
      <c r="D594" s="904" t="s">
        <v>2594</v>
      </c>
      <c r="E594" s="904" t="s">
        <v>3673</v>
      </c>
      <c r="F594" s="904" t="s">
        <v>3507</v>
      </c>
      <c r="G594" s="905" t="s">
        <v>2595</v>
      </c>
      <c r="H594" s="902">
        <v>960</v>
      </c>
      <c r="I594" s="904" t="s">
        <v>2596</v>
      </c>
      <c r="J594" s="904"/>
      <c r="K594" s="904"/>
      <c r="L594" s="904"/>
      <c r="M594" s="904"/>
      <c r="N594" s="904"/>
      <c r="O594" s="902">
        <v>4</v>
      </c>
      <c r="P594" s="906">
        <v>38274</v>
      </c>
      <c r="Q594" s="1198">
        <f>3*0.95</f>
        <v>2.8499999999999996</v>
      </c>
      <c r="R594" s="908">
        <f t="shared" si="88"/>
        <v>17.099999999999998</v>
      </c>
      <c r="S594" s="907"/>
      <c r="T594" s="909">
        <f t="shared" si="89"/>
        <v>0</v>
      </c>
      <c r="AR594" s="903">
        <v>10</v>
      </c>
      <c r="AS594" s="904" t="s">
        <v>3507</v>
      </c>
    </row>
    <row r="595" spans="1:45" s="901" customFormat="1" ht="13.2">
      <c r="A595" s="903">
        <v>6</v>
      </c>
      <c r="B595" s="904" t="s">
        <v>863</v>
      </c>
      <c r="C595" s="904"/>
      <c r="D595" s="904" t="s">
        <v>2594</v>
      </c>
      <c r="E595" s="904" t="s">
        <v>3675</v>
      </c>
      <c r="F595" s="904" t="s">
        <v>3507</v>
      </c>
      <c r="G595" s="905" t="s">
        <v>2595</v>
      </c>
      <c r="H595" s="902">
        <v>960</v>
      </c>
      <c r="I595" s="904" t="s">
        <v>2596</v>
      </c>
      <c r="J595" s="904"/>
      <c r="K595" s="904"/>
      <c r="L595" s="904"/>
      <c r="M595" s="904"/>
      <c r="N595" s="904"/>
      <c r="O595" s="902">
        <v>4</v>
      </c>
      <c r="P595" s="906">
        <v>38274</v>
      </c>
      <c r="Q595" s="1198">
        <f>15.5*0.95</f>
        <v>14.725</v>
      </c>
      <c r="R595" s="908">
        <f t="shared" si="88"/>
        <v>88.35</v>
      </c>
      <c r="S595" s="907"/>
      <c r="T595" s="909">
        <f t="shared" si="89"/>
        <v>0</v>
      </c>
      <c r="AR595" s="903">
        <v>10</v>
      </c>
      <c r="AS595" s="904" t="s">
        <v>3507</v>
      </c>
    </row>
    <row r="596" spans="1:45" s="520" customFormat="1" ht="13.2">
      <c r="A596" s="813"/>
      <c r="B596" s="530"/>
      <c r="C596" s="530"/>
      <c r="D596" s="3"/>
      <c r="E596" s="530"/>
      <c r="F596" s="530"/>
      <c r="G596" s="530"/>
      <c r="H596" s="530"/>
      <c r="I596" s="530"/>
      <c r="J596" s="530"/>
      <c r="K596" s="530"/>
      <c r="L596" s="816"/>
      <c r="M596" s="530"/>
      <c r="N596" s="530"/>
      <c r="O596" s="530"/>
      <c r="P596" s="530"/>
      <c r="Q596" s="530"/>
      <c r="R596" s="817">
        <f t="shared" si="88"/>
        <v>0</v>
      </c>
      <c r="S596" s="530"/>
      <c r="T596" s="760">
        <f t="shared" si="89"/>
        <v>0</v>
      </c>
      <c r="AR596" s="813"/>
      <c r="AS596" s="530"/>
    </row>
    <row r="597" spans="1:45" s="520" customFormat="1" ht="12" customHeight="1">
      <c r="A597" s="845" t="s">
        <v>145</v>
      </c>
      <c r="B597" s="846">
        <f>(R596+T596)</f>
        <v>0</v>
      </c>
      <c r="C597" s="847"/>
      <c r="D597" s="847"/>
      <c r="E597" s="847"/>
      <c r="F597" s="847"/>
      <c r="G597" s="823"/>
      <c r="H597" s="823"/>
      <c r="I597" s="823"/>
      <c r="J597" s="823"/>
      <c r="K597" s="848" t="s">
        <v>5</v>
      </c>
      <c r="L597" s="849" t="s">
        <v>2055</v>
      </c>
      <c r="M597" s="823"/>
      <c r="N597" s="823"/>
      <c r="O597" s="823"/>
      <c r="P597" s="823"/>
      <c r="Q597" s="823"/>
      <c r="R597" s="824">
        <f>SUM(R591:R596)</f>
        <v>721.05</v>
      </c>
      <c r="S597" s="825"/>
      <c r="T597" s="824">
        <f>SUM(T591:T596)</f>
        <v>0</v>
      </c>
      <c r="AG597" s="850">
        <f>ROUND($R597*$S$3,2)</f>
        <v>813.87</v>
      </c>
      <c r="AR597" s="845" t="s">
        <v>145</v>
      </c>
      <c r="AS597" s="847"/>
    </row>
    <row r="598" spans="1:45" s="520" customFormat="1" ht="12.75" customHeight="1">
      <c r="A598" s="851"/>
      <c r="B598" s="852"/>
      <c r="E598" s="758"/>
      <c r="F598" s="853"/>
      <c r="G598" s="758"/>
      <c r="H598" s="758"/>
      <c r="I598" s="519"/>
      <c r="J598" s="758"/>
      <c r="K598" s="758"/>
      <c r="L598" s="854"/>
      <c r="M598" s="855"/>
      <c r="N598" s="855"/>
      <c r="O598" s="855"/>
      <c r="P598" s="855"/>
      <c r="Q598" s="778"/>
      <c r="R598" s="831"/>
      <c r="S598" s="758"/>
      <c r="T598" s="831"/>
      <c r="AR598" s="851"/>
      <c r="AS598" s="853"/>
    </row>
    <row r="599" spans="1:45" s="520" customFormat="1" ht="13.5" customHeight="1" thickBot="1">
      <c r="A599" s="856"/>
      <c r="B599" s="857"/>
      <c r="C599" s="531"/>
      <c r="D599" s="531"/>
      <c r="E599" s="763"/>
      <c r="F599" s="764"/>
      <c r="G599" s="763" t="s">
        <v>146</v>
      </c>
      <c r="H599" s="763"/>
      <c r="I599" s="765"/>
      <c r="J599" s="763"/>
      <c r="K599" s="763"/>
      <c r="L599" s="858" t="s">
        <v>143</v>
      </c>
      <c r="M599" s="766"/>
      <c r="N599" s="766"/>
      <c r="O599" s="766"/>
      <c r="P599" s="766"/>
      <c r="Q599" s="767"/>
      <c r="R599" s="859">
        <f ca="1">SUMIF($L560:$L598,"SUBI",R560:R598)</f>
        <v>11807.296222222221</v>
      </c>
      <c r="S599" s="763"/>
      <c r="T599" s="859">
        <f ca="1">SUMIF($L560:$L598,"SUBI",T560:T598)</f>
        <v>45.068000000000005</v>
      </c>
      <c r="U599" s="531"/>
      <c r="V599" s="531"/>
      <c r="W599" s="531"/>
      <c r="X599" s="531"/>
      <c r="Y599" s="531"/>
      <c r="Z599" s="531"/>
      <c r="AA599" s="531"/>
      <c r="AB599" s="531"/>
      <c r="AC599" s="531"/>
      <c r="AD599" s="531"/>
      <c r="AE599" s="531"/>
      <c r="AF599" s="531"/>
      <c r="AG599" s="531"/>
      <c r="AH599" s="531"/>
      <c r="AI599" s="531"/>
      <c r="AJ599" s="531"/>
      <c r="AK599" s="531"/>
      <c r="AL599" s="531"/>
      <c r="AM599" s="531"/>
      <c r="AN599" s="531"/>
      <c r="AO599" s="531"/>
      <c r="AR599" s="856"/>
      <c r="AS599" s="764"/>
    </row>
    <row r="600" spans="1:45" s="520" customFormat="1" thickTop="1">
      <c r="A600" s="51"/>
      <c r="B600" s="51"/>
      <c r="C600" s="3"/>
      <c r="D600" s="3"/>
      <c r="E600" s="51"/>
      <c r="F600" s="51"/>
      <c r="G600" s="51"/>
      <c r="H600" s="51"/>
      <c r="I600" s="51"/>
      <c r="J600" s="51"/>
      <c r="K600" s="51" t="s">
        <v>134</v>
      </c>
      <c r="L600" s="51"/>
      <c r="M600" s="51"/>
      <c r="N600" s="51"/>
      <c r="O600" s="52"/>
      <c r="P600" s="51"/>
      <c r="Q600" s="51"/>
      <c r="R600" s="51"/>
      <c r="S600" s="51"/>
      <c r="T600" s="51"/>
      <c r="AR600" s="51"/>
      <c r="AS600" s="51"/>
    </row>
    <row r="601" spans="1:45" s="520" customFormat="1" ht="12">
      <c r="A601" s="51"/>
      <c r="B601" s="51"/>
      <c r="C601" s="51" t="s">
        <v>135</v>
      </c>
      <c r="D601" s="37"/>
      <c r="E601" s="51"/>
      <c r="F601" s="51"/>
      <c r="G601" s="51"/>
      <c r="H601" s="51"/>
      <c r="I601" s="51"/>
      <c r="J601" s="51"/>
      <c r="K601" s="51"/>
      <c r="L601" s="51"/>
      <c r="M601" s="51"/>
      <c r="N601" s="51"/>
      <c r="O601" s="52"/>
      <c r="P601" s="51"/>
      <c r="Q601" s="51"/>
      <c r="R601" s="51"/>
      <c r="S601" s="51"/>
      <c r="T601" s="51"/>
      <c r="AR601" s="51"/>
      <c r="AS601" s="51"/>
    </row>
    <row r="602" spans="1:45" s="520" customFormat="1" ht="39.9" customHeight="1">
      <c r="A602" s="51"/>
      <c r="B602" s="51"/>
      <c r="C602" s="51"/>
      <c r="D602" s="1453" t="s">
        <v>498</v>
      </c>
      <c r="E602" s="1452"/>
      <c r="F602" s="1452"/>
      <c r="G602" s="1452"/>
      <c r="H602" s="1452"/>
      <c r="I602" s="1452"/>
      <c r="J602" s="1452"/>
      <c r="K602" s="1452"/>
      <c r="L602" s="1452"/>
      <c r="M602" s="1452"/>
      <c r="N602" s="1452"/>
      <c r="O602" s="1452"/>
      <c r="P602" s="1452"/>
      <c r="Q602" s="1452"/>
      <c r="R602" s="1452"/>
      <c r="S602" s="1452"/>
      <c r="T602" s="1452"/>
      <c r="AR602" s="51"/>
    </row>
    <row r="603" spans="1:45" s="3" customFormat="1" thickBot="1">
      <c r="A603" s="531"/>
      <c r="O603" s="107"/>
      <c r="AR603" s="531"/>
    </row>
    <row r="604" spans="1:45" s="520" customFormat="1" thickTop="1">
      <c r="A604" s="51"/>
      <c r="B604" s="51"/>
      <c r="C604" s="3"/>
      <c r="D604" s="3"/>
      <c r="E604" s="51"/>
      <c r="F604" s="51"/>
      <c r="G604" s="51"/>
      <c r="H604" s="51"/>
      <c r="I604" s="51"/>
      <c r="J604" s="51"/>
      <c r="K604" s="51" t="s">
        <v>134</v>
      </c>
      <c r="L604" s="51"/>
      <c r="M604" s="51"/>
      <c r="N604" s="51"/>
      <c r="O604" s="52"/>
      <c r="P604" s="51"/>
      <c r="Q604" s="51"/>
      <c r="R604" s="51"/>
      <c r="S604" s="51"/>
      <c r="T604" s="51"/>
      <c r="AR604" s="51"/>
      <c r="AS604" s="51"/>
    </row>
    <row r="605" spans="1:45" s="520" customFormat="1" ht="12">
      <c r="A605" s="51"/>
      <c r="B605" s="51"/>
      <c r="C605" s="51" t="s">
        <v>135</v>
      </c>
      <c r="D605" s="37"/>
      <c r="E605" s="51"/>
      <c r="F605" s="51"/>
      <c r="G605" s="51"/>
      <c r="H605" s="51"/>
      <c r="I605" s="51"/>
      <c r="J605" s="51"/>
      <c r="K605" s="51"/>
      <c r="L605" s="51"/>
      <c r="M605" s="51"/>
      <c r="N605" s="51"/>
      <c r="O605" s="52"/>
      <c r="P605" s="51"/>
      <c r="Q605" s="51"/>
      <c r="R605" s="51"/>
      <c r="S605" s="51"/>
      <c r="T605" s="51"/>
      <c r="AR605" s="51"/>
      <c r="AS605" s="51"/>
    </row>
    <row r="606" spans="1:45" s="520" customFormat="1" ht="12">
      <c r="A606" s="51"/>
      <c r="B606" s="51"/>
      <c r="C606" s="51"/>
      <c r="D606" s="37" t="s">
        <v>499</v>
      </c>
      <c r="E606" s="51"/>
      <c r="F606" s="51"/>
      <c r="G606" s="51"/>
      <c r="H606" s="51"/>
      <c r="I606" s="51"/>
      <c r="J606" s="51"/>
      <c r="K606" s="51"/>
      <c r="L606" s="51"/>
      <c r="M606" s="51"/>
      <c r="N606" s="51"/>
      <c r="O606" s="52"/>
      <c r="P606" s="51"/>
      <c r="Q606" s="51"/>
      <c r="R606" s="51"/>
      <c r="S606" s="38"/>
      <c r="T606" s="38"/>
      <c r="AR606" s="51"/>
      <c r="AS606" s="51"/>
    </row>
    <row r="607" spans="1:45" s="3" customFormat="1" thickBot="1">
      <c r="A607" s="531"/>
      <c r="O607" s="107"/>
      <c r="AR607" s="531"/>
    </row>
    <row r="608" spans="1:45" s="520" customFormat="1" ht="12" thickTop="1">
      <c r="A608" s="51"/>
      <c r="B608" s="41"/>
      <c r="C608" s="51"/>
      <c r="E608" s="42" t="s">
        <v>138</v>
      </c>
      <c r="F608" s="42" t="s">
        <v>139</v>
      </c>
      <c r="G608" s="51"/>
      <c r="H608" s="51"/>
      <c r="I608" s="51"/>
      <c r="J608" s="51"/>
      <c r="K608" s="51" t="s">
        <v>140</v>
      </c>
      <c r="L608" s="51"/>
      <c r="M608" s="51"/>
      <c r="N608" s="51"/>
      <c r="O608" s="52"/>
      <c r="P608" s="51"/>
      <c r="Q608" s="51"/>
      <c r="R608" s="51"/>
      <c r="S608" s="51"/>
      <c r="T608" s="41"/>
      <c r="AG608" s="521" t="s">
        <v>268</v>
      </c>
      <c r="AH608" s="521" t="s">
        <v>269</v>
      </c>
      <c r="AI608" s="521" t="s">
        <v>270</v>
      </c>
      <c r="AJ608" s="521" t="s">
        <v>271</v>
      </c>
      <c r="AK608" s="521" t="s">
        <v>272</v>
      </c>
      <c r="AM608" s="745" t="s">
        <v>281</v>
      </c>
      <c r="AN608" s="746" t="s">
        <v>282</v>
      </c>
      <c r="AO608" s="522" t="s">
        <v>278</v>
      </c>
      <c r="AR608" s="51"/>
      <c r="AS608" s="42" t="s">
        <v>139</v>
      </c>
    </row>
    <row r="609" spans="1:45" s="520" customFormat="1" ht="12" customHeight="1">
      <c r="A609" s="747">
        <v>25</v>
      </c>
      <c r="B609" s="523" t="s">
        <v>320</v>
      </c>
      <c r="C609" s="748"/>
      <c r="D609" s="749" t="s">
        <v>1147</v>
      </c>
      <c r="E609" s="1425">
        <f ca="1">IF(AND($A609=0,$A$1="DIF"),0, ROUND(ROUND(($R620*$S$10+($T620*$T$10))/$A609,2)*$C$10,2))</f>
        <v>1473.3</v>
      </c>
      <c r="F609" s="1426">
        <f ca="1">ROUND($A609*$E609,2)</f>
        <v>36832.5</v>
      </c>
      <c r="G609" s="752" t="s">
        <v>142</v>
      </c>
      <c r="H609" s="753"/>
      <c r="I609" s="754"/>
      <c r="J609" s="753"/>
      <c r="K609" s="753" t="s">
        <v>17</v>
      </c>
      <c r="L609" s="755" t="s">
        <v>143</v>
      </c>
      <c r="M609" s="755"/>
      <c r="N609" s="755"/>
      <c r="O609" s="755"/>
      <c r="P609" s="755"/>
      <c r="Q609" s="51"/>
      <c r="T609" s="1430" t="str">
        <f ca="1">IF(AND($R620=0,$T620=0),"0.00","mu: "&amp; ROUND(F609/$C$10/($R620+$T620*$D$9),2))</f>
        <v>mu: 1.18</v>
      </c>
      <c r="W609" s="524"/>
      <c r="AG609" s="1427">
        <f ca="1">IF($E609=0,0,ROUND($R620*$S$10*$C$10/$A609,2))</f>
        <v>1389.05</v>
      </c>
      <c r="AH609" s="1427">
        <f ca="1">$AG609*$A609</f>
        <v>34726.25</v>
      </c>
      <c r="AI609" s="1428">
        <f ca="1">$E609-$AG609</f>
        <v>84.25</v>
      </c>
      <c r="AJ609" s="1428">
        <f ca="1">$A609*$AI609</f>
        <v>2106.25</v>
      </c>
      <c r="AK609" s="1429">
        <f ca="1">ROUND(($AG609+$AI609)*$A609,2)</f>
        <v>36832.5</v>
      </c>
      <c r="AM609" s="527">
        <f ca="1">ROUND(R620,2)</f>
        <v>29428</v>
      </c>
      <c r="AN609" s="528">
        <f ca="1">ROUND(T620,2)</f>
        <v>65</v>
      </c>
      <c r="AO609" s="529">
        <f ca="1">ROUND(AM609+AN609,2)*A609</f>
        <v>737325</v>
      </c>
      <c r="AR609" s="747">
        <v>25</v>
      </c>
      <c r="AS609" s="751">
        <v>39088</v>
      </c>
    </row>
    <row r="610" spans="1:45" s="520" customFormat="1" ht="36">
      <c r="A610" s="748"/>
      <c r="B610"/>
      <c r="C610" s="748"/>
      <c r="D610" s="769" t="s">
        <v>1148</v>
      </c>
      <c r="F610" s="753"/>
      <c r="G610" s="3"/>
      <c r="H610" s="753"/>
      <c r="I610" s="754"/>
      <c r="J610" s="753"/>
      <c r="K610" s="753" t="s">
        <v>144</v>
      </c>
      <c r="L610" s="753"/>
      <c r="M610" s="753"/>
      <c r="N610" s="753"/>
      <c r="O610" s="753"/>
      <c r="P610" s="753"/>
      <c r="Q610" s="51"/>
      <c r="R610" s="530"/>
      <c r="S610" s="757"/>
      <c r="T610" s="753"/>
      <c r="AR610" s="748"/>
      <c r="AS610" s="753"/>
    </row>
    <row r="611" spans="1:45" s="886" customFormat="1" ht="13.2">
      <c r="A611"/>
      <c r="B611" s="910"/>
      <c r="C611" s="910" t="s">
        <v>2597</v>
      </c>
      <c r="D611" s="910" t="str">
        <f ca="1">CELL("Address",Elec_Rates!D$237)</f>
        <v>[E25_0062_Quintano_Foods_Elec_ELV_As_Awarded.xlsx]Elec_Rates!$D$237</v>
      </c>
      <c r="E611" s="911"/>
      <c r="F611" s="911"/>
      <c r="G611" s="912" t="s">
        <v>2598</v>
      </c>
      <c r="H611" s="912"/>
      <c r="I611" s="912"/>
      <c r="J611" s="912"/>
      <c r="K611" s="913"/>
      <c r="L611" s="911"/>
      <c r="M611" s="911"/>
      <c r="N611" s="911"/>
      <c r="O611" s="914"/>
      <c r="P611" s="911"/>
      <c r="Q611" s="915"/>
      <c r="R611" s="916"/>
      <c r="S611" s="915"/>
      <c r="T611" s="917"/>
      <c r="U611" s="918"/>
      <c r="AR611"/>
      <c r="AS611" s="911"/>
    </row>
    <row r="612" spans="1:45" s="886" customFormat="1" ht="11.4">
      <c r="A612" s="919">
        <v>25</v>
      </c>
      <c r="B612" s="920">
        <v>1</v>
      </c>
      <c r="C612" s="920">
        <f>$A612*$B612</f>
        <v>25</v>
      </c>
      <c r="D612" s="921" t="str">
        <f>Elec_Rates!$D$237</f>
        <v>023# 5 x 300mm2  F120 Fire Resistant Cable (BS7846) - XLPE/SWA/LSZH</v>
      </c>
      <c r="E612" s="921"/>
      <c r="F612" s="921" t="s">
        <v>2599</v>
      </c>
      <c r="G612" s="922" t="s">
        <v>2600</v>
      </c>
      <c r="H612" s="922"/>
      <c r="I612" s="922"/>
      <c r="J612" s="922"/>
      <c r="K612" s="923"/>
      <c r="L612" s="918"/>
      <c r="M612" s="918"/>
      <c r="N612" s="918"/>
      <c r="O612" s="924"/>
      <c r="P612" s="921"/>
      <c r="Q612" s="925">
        <f ca="1">$B612*Elec_Rates!$R$237</f>
        <v>294.27999999999997</v>
      </c>
      <c r="R612" s="916">
        <f ca="1">$A612*Q612</f>
        <v>7356.9999999999991</v>
      </c>
      <c r="S612" s="925">
        <f ca="1">$B612*Elec_Rates!$T$237</f>
        <v>0.65</v>
      </c>
      <c r="T612" s="917">
        <f ca="1">$A612*S612</f>
        <v>16.25</v>
      </c>
      <c r="U612" s="926"/>
      <c r="AR612" s="919">
        <v>25</v>
      </c>
      <c r="AS612" s="921" t="s">
        <v>2599</v>
      </c>
    </row>
    <row r="613" spans="1:45" s="886" customFormat="1" ht="13.2">
      <c r="A613"/>
      <c r="B613" s="910"/>
      <c r="C613" s="910" t="s">
        <v>2597</v>
      </c>
      <c r="D613" s="910" t="str">
        <f ca="1">CELL("Address",Elec_Rates!D$237)</f>
        <v>[E25_0062_Quintano_Foods_Elec_ELV_As_Awarded.xlsx]Elec_Rates!$D$237</v>
      </c>
      <c r="E613" s="911"/>
      <c r="F613" s="911"/>
      <c r="G613" s="912" t="s">
        <v>2598</v>
      </c>
      <c r="H613" s="912"/>
      <c r="I613" s="912"/>
      <c r="J613" s="912"/>
      <c r="K613" s="913"/>
      <c r="L613" s="911"/>
      <c r="M613" s="911"/>
      <c r="N613" s="911"/>
      <c r="O613" s="914"/>
      <c r="P613" s="911"/>
      <c r="Q613" s="915"/>
      <c r="R613" s="916"/>
      <c r="S613" s="915"/>
      <c r="T613" s="917"/>
      <c r="U613" s="918"/>
      <c r="AR613"/>
      <c r="AS613" s="911"/>
    </row>
    <row r="614" spans="1:45" s="886" customFormat="1" ht="11.4">
      <c r="A614" s="919">
        <v>25</v>
      </c>
      <c r="B614" s="920">
        <v>1</v>
      </c>
      <c r="C614" s="920">
        <f>$A614*$B614</f>
        <v>25</v>
      </c>
      <c r="D614" s="921" t="str">
        <f>Elec_Rates!$D$237</f>
        <v>023# 5 x 300mm2  F120 Fire Resistant Cable (BS7846) - XLPE/SWA/LSZH</v>
      </c>
      <c r="E614" s="921"/>
      <c r="F614" s="921" t="s">
        <v>2599</v>
      </c>
      <c r="G614" s="922" t="s">
        <v>2600</v>
      </c>
      <c r="H614" s="922"/>
      <c r="I614" s="922"/>
      <c r="J614" s="922"/>
      <c r="K614" s="923"/>
      <c r="L614" s="918"/>
      <c r="M614" s="918"/>
      <c r="N614" s="918"/>
      <c r="O614" s="924"/>
      <c r="P614" s="921"/>
      <c r="Q614" s="925">
        <f ca="1">$B614*Elec_Rates!$R$237</f>
        <v>294.27999999999997</v>
      </c>
      <c r="R614" s="916">
        <f ca="1">$A614*Q614</f>
        <v>7356.9999999999991</v>
      </c>
      <c r="S614" s="925">
        <f ca="1">$B614*Elec_Rates!$T$237</f>
        <v>0.65</v>
      </c>
      <c r="T614" s="917">
        <f ca="1">$A614*S614</f>
        <v>16.25</v>
      </c>
      <c r="U614" s="926"/>
      <c r="AR614" s="919">
        <v>25</v>
      </c>
      <c r="AS614" s="921" t="s">
        <v>2599</v>
      </c>
    </row>
    <row r="615" spans="1:45" s="886" customFormat="1" ht="13.2">
      <c r="A615"/>
      <c r="B615" s="910"/>
      <c r="C615" s="910" t="s">
        <v>2597</v>
      </c>
      <c r="D615" s="910" t="str">
        <f ca="1">CELL("Address",Elec_Rates!D$237)</f>
        <v>[E25_0062_Quintano_Foods_Elec_ELV_As_Awarded.xlsx]Elec_Rates!$D$237</v>
      </c>
      <c r="E615" s="911"/>
      <c r="F615" s="911"/>
      <c r="G615" s="912" t="s">
        <v>2598</v>
      </c>
      <c r="H615" s="912"/>
      <c r="I615" s="912"/>
      <c r="J615" s="912"/>
      <c r="K615" s="913"/>
      <c r="L615" s="911"/>
      <c r="M615" s="911"/>
      <c r="N615" s="911"/>
      <c r="O615" s="914"/>
      <c r="P615" s="911"/>
      <c r="Q615" s="915"/>
      <c r="R615" s="916"/>
      <c r="S615" s="915"/>
      <c r="T615" s="917"/>
      <c r="U615" s="918"/>
      <c r="AR615"/>
      <c r="AS615" s="911"/>
    </row>
    <row r="616" spans="1:45" s="886" customFormat="1" ht="11.4">
      <c r="A616" s="919">
        <v>25</v>
      </c>
      <c r="B616" s="920">
        <v>1</v>
      </c>
      <c r="C616" s="920">
        <f>$A616*$B616</f>
        <v>25</v>
      </c>
      <c r="D616" s="921" t="str">
        <f>Elec_Rates!$D$237</f>
        <v>023# 5 x 300mm2  F120 Fire Resistant Cable (BS7846) - XLPE/SWA/LSZH</v>
      </c>
      <c r="E616" s="921"/>
      <c r="F616" s="921" t="s">
        <v>2599</v>
      </c>
      <c r="G616" s="922" t="s">
        <v>2600</v>
      </c>
      <c r="H616" s="922"/>
      <c r="I616" s="922"/>
      <c r="J616" s="922"/>
      <c r="K616" s="923"/>
      <c r="L616" s="918"/>
      <c r="M616" s="918"/>
      <c r="N616" s="918"/>
      <c r="O616" s="924"/>
      <c r="P616" s="921"/>
      <c r="Q616" s="925">
        <f ca="1">$B616*Elec_Rates!$R$237</f>
        <v>294.27999999999997</v>
      </c>
      <c r="R616" s="916">
        <f ca="1">$A616*Q616</f>
        <v>7356.9999999999991</v>
      </c>
      <c r="S616" s="925">
        <f ca="1">$B616*Elec_Rates!$T$237</f>
        <v>0.65</v>
      </c>
      <c r="T616" s="917">
        <f ca="1">$A616*S616</f>
        <v>16.25</v>
      </c>
      <c r="U616" s="926"/>
      <c r="AR616" s="919">
        <v>25</v>
      </c>
      <c r="AS616" s="921" t="s">
        <v>2599</v>
      </c>
    </row>
    <row r="617" spans="1:45" s="886" customFormat="1" ht="13.2">
      <c r="A617"/>
      <c r="B617" s="910"/>
      <c r="C617" s="910" t="s">
        <v>2597</v>
      </c>
      <c r="D617" s="910" t="str">
        <f ca="1">CELL("Address",Elec_Rates!D$237)</f>
        <v>[E25_0062_Quintano_Foods_Elec_ELV_As_Awarded.xlsx]Elec_Rates!$D$237</v>
      </c>
      <c r="E617" s="911"/>
      <c r="F617" s="911"/>
      <c r="G617" s="912" t="s">
        <v>2598</v>
      </c>
      <c r="H617" s="912"/>
      <c r="I617" s="912"/>
      <c r="J617" s="912"/>
      <c r="K617" s="913"/>
      <c r="L617" s="911"/>
      <c r="M617" s="911"/>
      <c r="N617" s="911"/>
      <c r="O617" s="914"/>
      <c r="P617" s="911"/>
      <c r="Q617" s="915"/>
      <c r="R617" s="916"/>
      <c r="S617" s="915"/>
      <c r="T617" s="917"/>
      <c r="U617" s="918"/>
      <c r="AR617"/>
      <c r="AS617" s="911"/>
    </row>
    <row r="618" spans="1:45" s="886" customFormat="1" ht="11.4">
      <c r="A618" s="919">
        <v>25</v>
      </c>
      <c r="B618" s="920">
        <v>1</v>
      </c>
      <c r="C618" s="920">
        <f>$A618*$B618</f>
        <v>25</v>
      </c>
      <c r="D618" s="921" t="str">
        <f>Elec_Rates!$D$237</f>
        <v>023# 5 x 300mm2  F120 Fire Resistant Cable (BS7846) - XLPE/SWA/LSZH</v>
      </c>
      <c r="E618" s="921"/>
      <c r="F618" s="921" t="s">
        <v>2599</v>
      </c>
      <c r="G618" s="922" t="s">
        <v>2600</v>
      </c>
      <c r="H618" s="922"/>
      <c r="I618" s="922"/>
      <c r="J618" s="922"/>
      <c r="K618" s="923"/>
      <c r="L618" s="918"/>
      <c r="M618" s="918"/>
      <c r="N618" s="918"/>
      <c r="O618" s="924"/>
      <c r="P618" s="921"/>
      <c r="Q618" s="925">
        <f ca="1">$B618*Elec_Rates!$R$237</f>
        <v>294.27999999999997</v>
      </c>
      <c r="R618" s="916">
        <f ca="1">$A618*Q618</f>
        <v>7356.9999999999991</v>
      </c>
      <c r="S618" s="925">
        <f ca="1">$B618*Elec_Rates!$T$237</f>
        <v>0.65</v>
      </c>
      <c r="T618" s="917">
        <f ca="1">$A618*S618</f>
        <v>16.25</v>
      </c>
      <c r="U618" s="926"/>
      <c r="AR618" s="919">
        <v>25</v>
      </c>
      <c r="AS618" s="921" t="s">
        <v>2599</v>
      </c>
    </row>
    <row r="619" spans="1:45" s="520" customFormat="1" ht="12">
      <c r="A619" s="758"/>
      <c r="B619" s="758"/>
      <c r="C619" s="758"/>
      <c r="D619" s="758"/>
      <c r="E619" s="758"/>
      <c r="F619" s="753"/>
      <c r="G619" s="758"/>
      <c r="H619" s="758"/>
      <c r="I619" s="519"/>
      <c r="J619" s="758"/>
      <c r="K619" s="758"/>
      <c r="L619" s="758"/>
      <c r="M619" s="758"/>
      <c r="N619" s="758"/>
      <c r="O619" s="758"/>
      <c r="P619" s="758"/>
      <c r="Q619" s="519"/>
      <c r="R619" s="759">
        <f>$A619*Q619</f>
        <v>0</v>
      </c>
      <c r="S619" s="519"/>
      <c r="T619" s="760">
        <f>$A619*S619*$T$1</f>
        <v>0</v>
      </c>
      <c r="AR619" s="758"/>
      <c r="AS619" s="753"/>
    </row>
    <row r="620" spans="1:45" s="520" customFormat="1" ht="12.6" thickBot="1">
      <c r="A620" s="761" t="s">
        <v>145</v>
      </c>
      <c r="B620" s="762">
        <f>(R619+T619)</f>
        <v>0</v>
      </c>
      <c r="C620" s="763"/>
      <c r="D620" s="763"/>
      <c r="E620" s="763"/>
      <c r="F620" s="764"/>
      <c r="G620" s="763" t="s">
        <v>146</v>
      </c>
      <c r="H620" s="763"/>
      <c r="I620" s="765"/>
      <c r="J620" s="763"/>
      <c r="K620" s="763" t="s">
        <v>17</v>
      </c>
      <c r="L620" s="766" t="s">
        <v>143</v>
      </c>
      <c r="M620" s="766"/>
      <c r="N620" s="766"/>
      <c r="O620" s="766"/>
      <c r="P620" s="766"/>
      <c r="Q620" s="767"/>
      <c r="R620" s="768">
        <f ca="1">SUM(R610:R619)</f>
        <v>29427.999999999996</v>
      </c>
      <c r="S620" s="763"/>
      <c r="T620" s="768">
        <f ca="1">SUM(T610:T619)</f>
        <v>65</v>
      </c>
      <c r="U620" s="531"/>
      <c r="V620" s="531"/>
      <c r="W620" s="531"/>
      <c r="X620" s="531"/>
      <c r="Y620" s="531"/>
      <c r="Z620" s="531"/>
      <c r="AA620" s="531"/>
      <c r="AB620" s="531"/>
      <c r="AC620" s="531"/>
      <c r="AD620" s="531"/>
      <c r="AE620" s="531"/>
      <c r="AF620" s="531"/>
      <c r="AG620" s="531"/>
      <c r="AH620" s="531"/>
      <c r="AI620" s="531"/>
      <c r="AJ620" s="531"/>
      <c r="AK620" s="531"/>
      <c r="AL620" s="531"/>
      <c r="AM620" s="531"/>
      <c r="AN620" s="531"/>
      <c r="AO620" s="531"/>
      <c r="AR620" s="761" t="s">
        <v>145</v>
      </c>
      <c r="AS620" s="764"/>
    </row>
    <row r="621" spans="1:45" s="520" customFormat="1" thickTop="1">
      <c r="A621" s="51"/>
      <c r="B621" s="51"/>
      <c r="C621" s="3"/>
      <c r="D621" s="3"/>
      <c r="E621" s="51"/>
      <c r="F621" s="51"/>
      <c r="G621" s="51"/>
      <c r="H621" s="51"/>
      <c r="I621" s="51"/>
      <c r="J621" s="51"/>
      <c r="K621" s="51" t="s">
        <v>134</v>
      </c>
      <c r="L621" s="51"/>
      <c r="M621" s="51"/>
      <c r="N621" s="51"/>
      <c r="O621" s="52"/>
      <c r="P621" s="51"/>
      <c r="Q621" s="51"/>
      <c r="R621" s="51"/>
      <c r="S621" s="51"/>
      <c r="T621" s="51"/>
      <c r="AR621" s="51"/>
      <c r="AS621" s="51"/>
    </row>
    <row r="622" spans="1:45" s="520" customFormat="1" ht="12">
      <c r="A622" s="51"/>
      <c r="B622" s="51"/>
      <c r="C622" s="51" t="s">
        <v>135</v>
      </c>
      <c r="D622" s="37"/>
      <c r="E622" s="51"/>
      <c r="F622" s="51"/>
      <c r="G622" s="51"/>
      <c r="H622" s="51"/>
      <c r="I622" s="51"/>
      <c r="J622" s="51"/>
      <c r="K622" s="51"/>
      <c r="L622" s="51"/>
      <c r="M622" s="51"/>
      <c r="N622" s="51"/>
      <c r="O622" s="52"/>
      <c r="P622" s="51"/>
      <c r="Q622" s="51"/>
      <c r="R622" s="51"/>
      <c r="S622" s="51"/>
      <c r="T622" s="51"/>
      <c r="AR622" s="51"/>
      <c r="AS622" s="51"/>
    </row>
    <row r="623" spans="1:45" s="520" customFormat="1" ht="12">
      <c r="A623" s="51"/>
      <c r="B623" s="51"/>
      <c r="C623" s="51"/>
      <c r="D623" s="37" t="s">
        <v>501</v>
      </c>
      <c r="E623" s="51"/>
      <c r="F623" s="51"/>
      <c r="G623" s="51"/>
      <c r="H623" s="51"/>
      <c r="I623" s="51"/>
      <c r="J623" s="51"/>
      <c r="K623" s="51"/>
      <c r="L623" s="51"/>
      <c r="M623" s="51"/>
      <c r="N623" s="51"/>
      <c r="O623" s="52"/>
      <c r="P623" s="51"/>
      <c r="Q623" s="51"/>
      <c r="R623" s="51"/>
      <c r="S623" s="38"/>
      <c r="T623" s="38"/>
      <c r="AR623" s="51"/>
      <c r="AS623" s="51"/>
    </row>
    <row r="624" spans="1:45" s="3" customFormat="1" thickBot="1">
      <c r="A624" s="531"/>
      <c r="O624" s="107"/>
      <c r="AR624" s="531"/>
    </row>
    <row r="625" spans="1:45" s="520" customFormat="1" ht="12" thickTop="1">
      <c r="A625" s="51"/>
      <c r="B625" s="41"/>
      <c r="C625" s="51"/>
      <c r="E625" s="42" t="s">
        <v>138</v>
      </c>
      <c r="F625" s="42" t="s">
        <v>139</v>
      </c>
      <c r="G625" s="51"/>
      <c r="H625" s="51"/>
      <c r="I625" s="51"/>
      <c r="J625" s="51"/>
      <c r="K625" s="51" t="s">
        <v>140</v>
      </c>
      <c r="L625" s="51"/>
      <c r="M625" s="51"/>
      <c r="N625" s="51"/>
      <c r="O625" s="52"/>
      <c r="P625" s="51"/>
      <c r="Q625" s="51"/>
      <c r="R625" s="51"/>
      <c r="S625" s="51"/>
      <c r="T625" s="41"/>
      <c r="AG625" s="521" t="s">
        <v>268</v>
      </c>
      <c r="AH625" s="521" t="s">
        <v>269</v>
      </c>
      <c r="AI625" s="521" t="s">
        <v>270</v>
      </c>
      <c r="AJ625" s="521" t="s">
        <v>271</v>
      </c>
      <c r="AK625" s="521" t="s">
        <v>272</v>
      </c>
      <c r="AM625" s="745" t="s">
        <v>281</v>
      </c>
      <c r="AN625" s="746" t="s">
        <v>282</v>
      </c>
      <c r="AO625" s="522" t="s">
        <v>278</v>
      </c>
      <c r="AR625" s="51"/>
      <c r="AS625" s="42" t="s">
        <v>139</v>
      </c>
    </row>
    <row r="626" spans="1:45" s="520" customFormat="1" ht="12" customHeight="1">
      <c r="A626" s="747">
        <v>15</v>
      </c>
      <c r="B626" s="523" t="s">
        <v>320</v>
      </c>
      <c r="C626" s="748"/>
      <c r="D626" s="749" t="s">
        <v>1149</v>
      </c>
      <c r="E626" s="1425">
        <f ca="1">IF(AND($A626=0,$A$1="DIF"),0, ROUND(ROUND(($R633*$S$10+($T633*$T$10))/$A626,2)*$C$10,2))</f>
        <v>0</v>
      </c>
      <c r="F626" s="1426">
        <f ca="1">ROUND($A626*$E626,2)</f>
        <v>0</v>
      </c>
      <c r="G626" s="752" t="s">
        <v>142</v>
      </c>
      <c r="H626" s="753"/>
      <c r="I626" s="754"/>
      <c r="J626" s="753"/>
      <c r="K626" s="753" t="s">
        <v>17</v>
      </c>
      <c r="L626" s="755" t="s">
        <v>143</v>
      </c>
      <c r="M626" s="755"/>
      <c r="N626" s="755"/>
      <c r="O626" s="755"/>
      <c r="P626" s="755"/>
      <c r="Q626" s="1058" t="s">
        <v>3848</v>
      </c>
      <c r="T626" s="1430" t="str">
        <f ca="1">IF(AND($R633=0,$T633=0),"0.00","mu: "&amp; ROUND(F626/$C$10/($R633+$T633*$D$9),2))</f>
        <v>0.00</v>
      </c>
      <c r="W626" s="524"/>
      <c r="AG626" s="1427">
        <f ca="1">IF($E626=0,0,ROUND($R633*$S$10*$C$10/$A626,2))</f>
        <v>0</v>
      </c>
      <c r="AH626" s="1427">
        <f ca="1">$AG626*$A626</f>
        <v>0</v>
      </c>
      <c r="AI626" s="1428">
        <f ca="1">$E626-$AG626</f>
        <v>0</v>
      </c>
      <c r="AJ626" s="1428">
        <f ca="1">$A626*$AI626</f>
        <v>0</v>
      </c>
      <c r="AK626" s="1429">
        <f ca="1">ROUND(($AG626+$AI626)*$A626,2)</f>
        <v>0</v>
      </c>
      <c r="AM626" s="527">
        <f ca="1">ROUND(R633,2)</f>
        <v>0</v>
      </c>
      <c r="AN626" s="528">
        <f ca="1">ROUND(T633,2)</f>
        <v>0</v>
      </c>
      <c r="AO626" s="529">
        <f ca="1">ROUND(AM626+AN626,2)*A626</f>
        <v>0</v>
      </c>
      <c r="AR626" s="747">
        <v>15</v>
      </c>
      <c r="AS626" s="751">
        <v>8884.2000000000007</v>
      </c>
    </row>
    <row r="627" spans="1:45" s="520" customFormat="1" ht="39.9" customHeight="1">
      <c r="A627" s="748"/>
      <c r="B627"/>
      <c r="C627" s="748"/>
      <c r="D627" s="1451" t="s">
        <v>1150</v>
      </c>
      <c r="E627" s="1452"/>
      <c r="F627" s="1452"/>
      <c r="G627" s="1452"/>
      <c r="H627" s="1452"/>
      <c r="I627" s="1452"/>
      <c r="J627" s="1452"/>
      <c r="K627" s="1452"/>
      <c r="L627" s="1452"/>
      <c r="M627" s="1452"/>
      <c r="N627" s="1452"/>
      <c r="O627" s="1452"/>
      <c r="P627" s="1452"/>
      <c r="Q627" s="1452"/>
      <c r="R627" s="1452"/>
      <c r="S627" s="1452"/>
      <c r="T627" s="1452"/>
      <c r="AR627" s="748"/>
    </row>
    <row r="628" spans="1:45" s="1336" customFormat="1" ht="13.2">
      <c r="A628" s="1086"/>
      <c r="B628" s="1328"/>
      <c r="C628" s="1328" t="s">
        <v>2597</v>
      </c>
      <c r="D628" s="1328" t="str">
        <f ca="1">CELL("Address",Elec_Rates!D$249)</f>
        <v>[E25_0062_Quintano_Foods_Elec_ELV_As_Awarded.xlsx]Elec_Rates!$D$249</v>
      </c>
      <c r="E628" s="1060"/>
      <c r="F628" s="1060"/>
      <c r="G628" s="1329" t="s">
        <v>2598</v>
      </c>
      <c r="H628" s="1329"/>
      <c r="I628" s="1329"/>
      <c r="J628" s="1329"/>
      <c r="K628" s="1330"/>
      <c r="L628" s="1060"/>
      <c r="M628" s="1060"/>
      <c r="N628" s="1060"/>
      <c r="O628" s="1331"/>
      <c r="P628" s="1060"/>
      <c r="Q628" s="1332"/>
      <c r="R628" s="1333"/>
      <c r="S628" s="1332"/>
      <c r="T628" s="1334"/>
      <c r="U628" s="1335"/>
      <c r="AR628" s="1086"/>
      <c r="AS628" s="1060"/>
    </row>
    <row r="629" spans="1:45" s="1336" customFormat="1" ht="11.4">
      <c r="A629" s="1337">
        <v>0</v>
      </c>
      <c r="B629" s="1338">
        <v>1</v>
      </c>
      <c r="C629" s="1338">
        <f>$A629*$B629</f>
        <v>0</v>
      </c>
      <c r="D629" s="1339" t="str">
        <f>Elec_Rates!$D$249</f>
        <v>024# 5 x 240mm2  F120 Fire Resistant Cable (BS7846) -  XLPE/SWA/LSZH</v>
      </c>
      <c r="E629" s="1339"/>
      <c r="F629" s="1339" t="s">
        <v>2599</v>
      </c>
      <c r="G629" s="1340" t="s">
        <v>2601</v>
      </c>
      <c r="H629" s="1340"/>
      <c r="I629" s="1340"/>
      <c r="J629" s="1340"/>
      <c r="K629" s="1341"/>
      <c r="L629" s="1335"/>
      <c r="M629" s="1335"/>
      <c r="N629" s="1335"/>
      <c r="O629" s="1342"/>
      <c r="P629" s="1339"/>
      <c r="Q629" s="1343">
        <f ca="1">$B629*Elec_Rates!$R$249</f>
        <v>209.82</v>
      </c>
      <c r="R629" s="1333">
        <f ca="1">$A629*Q629</f>
        <v>0</v>
      </c>
      <c r="S629" s="1343">
        <f ca="1">$B629*Elec_Rates!$T$249</f>
        <v>0.43</v>
      </c>
      <c r="T629" s="1334">
        <f ca="1">$A629*S629</f>
        <v>0</v>
      </c>
      <c r="U629" s="1344"/>
      <c r="AR629" s="1337">
        <v>15</v>
      </c>
      <c r="AS629" s="1339" t="s">
        <v>2599</v>
      </c>
    </row>
    <row r="630" spans="1:45" s="1336" customFormat="1" ht="13.2">
      <c r="A630" s="1086"/>
      <c r="B630" s="1328"/>
      <c r="C630" s="1328" t="s">
        <v>2597</v>
      </c>
      <c r="D630" s="1328" t="str">
        <f ca="1">CELL("Address",Elec_Rates!D$249)</f>
        <v>[E25_0062_Quintano_Foods_Elec_ELV_As_Awarded.xlsx]Elec_Rates!$D$249</v>
      </c>
      <c r="E630" s="1060"/>
      <c r="F630" s="1060"/>
      <c r="G630" s="1329" t="s">
        <v>2598</v>
      </c>
      <c r="H630" s="1329"/>
      <c r="I630" s="1329"/>
      <c r="J630" s="1329"/>
      <c r="K630" s="1330"/>
      <c r="L630" s="1060"/>
      <c r="M630" s="1060"/>
      <c r="N630" s="1060"/>
      <c r="O630" s="1331"/>
      <c r="P630" s="1060"/>
      <c r="Q630" s="1332"/>
      <c r="R630" s="1333"/>
      <c r="S630" s="1332"/>
      <c r="T630" s="1334"/>
      <c r="U630" s="1335"/>
      <c r="AR630" s="1086"/>
      <c r="AS630" s="1060"/>
    </row>
    <row r="631" spans="1:45" s="1336" customFormat="1" ht="11.4">
      <c r="A631" s="1337">
        <v>0</v>
      </c>
      <c r="B631" s="1338">
        <v>1</v>
      </c>
      <c r="C631" s="1338">
        <f>$A631*$B631</f>
        <v>0</v>
      </c>
      <c r="D631" s="1339" t="str">
        <f>Elec_Rates!$D$249</f>
        <v>024# 5 x 240mm2  F120 Fire Resistant Cable (BS7846) -  XLPE/SWA/LSZH</v>
      </c>
      <c r="E631" s="1339"/>
      <c r="F631" s="1339" t="s">
        <v>2599</v>
      </c>
      <c r="G631" s="1340" t="s">
        <v>2601</v>
      </c>
      <c r="H631" s="1340"/>
      <c r="I631" s="1340"/>
      <c r="J631" s="1340"/>
      <c r="K631" s="1341"/>
      <c r="L631" s="1335"/>
      <c r="M631" s="1335"/>
      <c r="N631" s="1335"/>
      <c r="O631" s="1342"/>
      <c r="P631" s="1339"/>
      <c r="Q631" s="1343">
        <f ca="1">$B631*Elec_Rates!$R$249</f>
        <v>209.82</v>
      </c>
      <c r="R631" s="1333">
        <f ca="1">$A631*Q631</f>
        <v>0</v>
      </c>
      <c r="S631" s="1343">
        <f ca="1">$B631*Elec_Rates!$T$249</f>
        <v>0.43</v>
      </c>
      <c r="T631" s="1334">
        <f ca="1">$A631*S631</f>
        <v>0</v>
      </c>
      <c r="U631" s="1344"/>
      <c r="AR631" s="1337">
        <v>15</v>
      </c>
      <c r="AS631" s="1339" t="s">
        <v>2599</v>
      </c>
    </row>
    <row r="632" spans="1:45" s="520" customFormat="1" ht="12">
      <c r="A632" s="758"/>
      <c r="B632" s="758"/>
      <c r="C632" s="758"/>
      <c r="D632" s="758"/>
      <c r="E632" s="758"/>
      <c r="F632" s="753"/>
      <c r="G632" s="758"/>
      <c r="H632" s="758"/>
      <c r="I632" s="519"/>
      <c r="J632" s="758"/>
      <c r="K632" s="758"/>
      <c r="L632" s="758"/>
      <c r="M632" s="758"/>
      <c r="N632" s="758"/>
      <c r="O632" s="758"/>
      <c r="P632" s="758"/>
      <c r="Q632" s="519"/>
      <c r="R632" s="759">
        <f>$A632*Q632</f>
        <v>0</v>
      </c>
      <c r="S632" s="519"/>
      <c r="T632" s="760">
        <f>$A632*S632*$T$1</f>
        <v>0</v>
      </c>
      <c r="AR632" s="758"/>
      <c r="AS632" s="753"/>
    </row>
    <row r="633" spans="1:45" s="520" customFormat="1" ht="12.6" thickBot="1">
      <c r="A633" s="761" t="s">
        <v>145</v>
      </c>
      <c r="B633" s="762">
        <f>(R632+T632)</f>
        <v>0</v>
      </c>
      <c r="C633" s="763"/>
      <c r="D633" s="763"/>
      <c r="E633" s="763"/>
      <c r="F633" s="764"/>
      <c r="G633" s="763" t="s">
        <v>146</v>
      </c>
      <c r="H633" s="763"/>
      <c r="I633" s="765"/>
      <c r="J633" s="763"/>
      <c r="K633" s="763" t="s">
        <v>17</v>
      </c>
      <c r="L633" s="766" t="s">
        <v>143</v>
      </c>
      <c r="M633" s="766"/>
      <c r="N633" s="766"/>
      <c r="O633" s="766"/>
      <c r="P633" s="766"/>
      <c r="Q633" s="767"/>
      <c r="R633" s="768">
        <f ca="1">SUM(R627:R632)</f>
        <v>0</v>
      </c>
      <c r="S633" s="763"/>
      <c r="T633" s="768">
        <f ca="1">SUM(T627:T632)</f>
        <v>0</v>
      </c>
      <c r="U633" s="531"/>
      <c r="V633" s="531"/>
      <c r="W633" s="531"/>
      <c r="X633" s="531"/>
      <c r="Y633" s="531"/>
      <c r="Z633" s="531"/>
      <c r="AA633" s="531"/>
      <c r="AB633" s="531"/>
      <c r="AC633" s="531"/>
      <c r="AD633" s="531"/>
      <c r="AE633" s="531"/>
      <c r="AF633" s="531"/>
      <c r="AG633" s="531"/>
      <c r="AH633" s="531"/>
      <c r="AI633" s="531"/>
      <c r="AJ633" s="531"/>
      <c r="AK633" s="531"/>
      <c r="AL633" s="531"/>
      <c r="AM633" s="531"/>
      <c r="AN633" s="531"/>
      <c r="AO633" s="531"/>
      <c r="AR633" s="761" t="s">
        <v>145</v>
      </c>
      <c r="AS633" s="764"/>
    </row>
    <row r="634" spans="1:45" s="520" customFormat="1" ht="12" thickTop="1">
      <c r="A634" s="51"/>
      <c r="B634" s="41"/>
      <c r="C634" s="51"/>
      <c r="E634" s="42" t="s">
        <v>138</v>
      </c>
      <c r="F634" s="42" t="s">
        <v>139</v>
      </c>
      <c r="G634" s="51"/>
      <c r="H634" s="51"/>
      <c r="I634" s="51"/>
      <c r="J634" s="51"/>
      <c r="K634" s="51" t="s">
        <v>140</v>
      </c>
      <c r="L634" s="51"/>
      <c r="M634" s="51"/>
      <c r="N634" s="51"/>
      <c r="O634" s="52"/>
      <c r="P634" s="51"/>
      <c r="Q634" s="51"/>
      <c r="R634" s="51"/>
      <c r="S634" s="51"/>
      <c r="T634" s="41"/>
      <c r="AG634" s="521" t="s">
        <v>268</v>
      </c>
      <c r="AH634" s="521" t="s">
        <v>269</v>
      </c>
      <c r="AI634" s="521" t="s">
        <v>270</v>
      </c>
      <c r="AJ634" s="521" t="s">
        <v>271</v>
      </c>
      <c r="AK634" s="521" t="s">
        <v>272</v>
      </c>
      <c r="AM634" s="745" t="s">
        <v>281</v>
      </c>
      <c r="AN634" s="746" t="s">
        <v>282</v>
      </c>
      <c r="AO634" s="522" t="s">
        <v>278</v>
      </c>
      <c r="AR634" s="51"/>
      <c r="AS634" s="42" t="s">
        <v>139</v>
      </c>
    </row>
    <row r="635" spans="1:45" s="520" customFormat="1" ht="12" customHeight="1">
      <c r="A635" s="747">
        <v>15</v>
      </c>
      <c r="B635" s="523" t="s">
        <v>320</v>
      </c>
      <c r="C635" s="748"/>
      <c r="D635" s="749" t="s">
        <v>3859</v>
      </c>
      <c r="E635" s="1425">
        <f ca="1">IF(AND($A635=0,$A$1="DIF"),0, ROUND(ROUND(($R642*$S$10+($T642*$T$10))/$A635,2)*$C$10,2))</f>
        <v>523.05999999999995</v>
      </c>
      <c r="F635" s="1426">
        <f ca="1">ROUND($A635*$E635,2)</f>
        <v>7845.9</v>
      </c>
      <c r="G635" s="752" t="s">
        <v>142</v>
      </c>
      <c r="H635" s="753"/>
      <c r="I635" s="754"/>
      <c r="J635" s="753"/>
      <c r="K635" s="753" t="s">
        <v>17</v>
      </c>
      <c r="L635" s="755" t="s">
        <v>143</v>
      </c>
      <c r="M635" s="755"/>
      <c r="N635" s="755"/>
      <c r="O635" s="755"/>
      <c r="P635" s="755"/>
      <c r="Q635" s="1058"/>
      <c r="T635" s="1430" t="str">
        <f ca="1">IF(AND($R642=0,$T642=0),"0.00","mu: "&amp; ROUND(F635/$C$10/($R642+$T642*$D$9),2))</f>
        <v>mu: 1.18</v>
      </c>
      <c r="W635" s="524"/>
      <c r="AG635" s="1427">
        <f ca="1">IF($E635=0,0,ROUND($R642*$S$10*$C$10/$A635,2))</f>
        <v>495.19</v>
      </c>
      <c r="AH635" s="1427">
        <f ca="1">$AG635*$A635</f>
        <v>7427.85</v>
      </c>
      <c r="AI635" s="1428">
        <f ca="1">$E635-$AG635</f>
        <v>27.869999999999948</v>
      </c>
      <c r="AJ635" s="1428">
        <f ca="1">$A635*$AI635</f>
        <v>418.04999999999922</v>
      </c>
      <c r="AK635" s="1429">
        <f ca="1">ROUND(($AG635+$AI635)*$A635,2)</f>
        <v>7845.9</v>
      </c>
      <c r="AM635" s="527">
        <f ca="1">ROUND(R642,2)</f>
        <v>6294.6</v>
      </c>
      <c r="AN635" s="528">
        <f ca="1">ROUND(T642,2)</f>
        <v>12.9</v>
      </c>
      <c r="AO635" s="529">
        <f ca="1">ROUND(AM635+AN635,2)*A635</f>
        <v>94612.5</v>
      </c>
      <c r="AR635" s="747">
        <v>15</v>
      </c>
      <c r="AS635" s="751">
        <v>8884.2000000000007</v>
      </c>
    </row>
    <row r="636" spans="1:45" s="520" customFormat="1" ht="39.9" customHeight="1">
      <c r="A636" s="748"/>
      <c r="B636"/>
      <c r="C636" s="748"/>
      <c r="D636" s="1451" t="s">
        <v>1150</v>
      </c>
      <c r="E636" s="1452"/>
      <c r="F636" s="1452"/>
      <c r="G636" s="1452"/>
      <c r="H636" s="1452"/>
      <c r="I636" s="1452"/>
      <c r="J636" s="1452"/>
      <c r="K636" s="1452"/>
      <c r="L636" s="1452"/>
      <c r="M636" s="1452"/>
      <c r="N636" s="1452"/>
      <c r="O636" s="1452"/>
      <c r="P636" s="1452"/>
      <c r="Q636" s="1452"/>
      <c r="R636" s="1452"/>
      <c r="S636" s="1452"/>
      <c r="T636" s="1452"/>
      <c r="AR636" s="748"/>
    </row>
    <row r="637" spans="1:45" s="886" customFormat="1" ht="13.2">
      <c r="A637" s="535"/>
      <c r="B637" s="910"/>
      <c r="C637" s="910" t="s">
        <v>2597</v>
      </c>
      <c r="D637" s="910" t="str">
        <f ca="1">CELL("Address",Elec_Rates!D$249)</f>
        <v>[E25_0062_Quintano_Foods_Elec_ELV_As_Awarded.xlsx]Elec_Rates!$D$249</v>
      </c>
      <c r="E637" s="911"/>
      <c r="F637" s="911"/>
      <c r="G637" s="912" t="s">
        <v>2598</v>
      </c>
      <c r="H637" s="912"/>
      <c r="I637" s="912"/>
      <c r="J637" s="912"/>
      <c r="K637" s="913"/>
      <c r="L637" s="911"/>
      <c r="M637" s="911"/>
      <c r="N637" s="911"/>
      <c r="O637" s="914"/>
      <c r="P637" s="911"/>
      <c r="Q637" s="915"/>
      <c r="R637" s="916"/>
      <c r="S637" s="915"/>
      <c r="T637" s="917"/>
      <c r="U637" s="918"/>
      <c r="AR637" s="535"/>
      <c r="AS637" s="911"/>
    </row>
    <row r="638" spans="1:45" s="886" customFormat="1" ht="11.4">
      <c r="A638" s="919">
        <v>15</v>
      </c>
      <c r="B638" s="920">
        <v>1</v>
      </c>
      <c r="C638" s="920">
        <f>$A638*$B638</f>
        <v>15</v>
      </c>
      <c r="D638" s="921" t="str">
        <f>Elec_Rates!$D$249</f>
        <v>024# 5 x 240mm2  F120 Fire Resistant Cable (BS7846) -  XLPE/SWA/LSZH</v>
      </c>
      <c r="E638" s="921"/>
      <c r="F638" s="921" t="s">
        <v>2599</v>
      </c>
      <c r="G638" s="922" t="s">
        <v>2601</v>
      </c>
      <c r="H638" s="922"/>
      <c r="I638" s="922"/>
      <c r="J638" s="922"/>
      <c r="K638" s="923"/>
      <c r="L638" s="918"/>
      <c r="M638" s="918"/>
      <c r="N638" s="918"/>
      <c r="O638" s="924"/>
      <c r="P638" s="921"/>
      <c r="Q638" s="925">
        <f ca="1">$B638*Elec_Rates!$R$249</f>
        <v>209.82</v>
      </c>
      <c r="R638" s="916">
        <f ca="1">$A638*Q638</f>
        <v>3147.2999999999997</v>
      </c>
      <c r="S638" s="925">
        <f ca="1">$B638*Elec_Rates!$T$249</f>
        <v>0.43</v>
      </c>
      <c r="T638" s="917">
        <f ca="1">$A638*S638</f>
        <v>6.45</v>
      </c>
      <c r="U638" s="926"/>
      <c r="AR638" s="919">
        <v>15</v>
      </c>
      <c r="AS638" s="921" t="s">
        <v>2599</v>
      </c>
    </row>
    <row r="639" spans="1:45" s="886" customFormat="1" ht="13.2">
      <c r="A639" s="535"/>
      <c r="B639" s="910"/>
      <c r="C639" s="910" t="s">
        <v>2597</v>
      </c>
      <c r="D639" s="910" t="str">
        <f ca="1">CELL("Address",Elec_Rates!D$249)</f>
        <v>[E25_0062_Quintano_Foods_Elec_ELV_As_Awarded.xlsx]Elec_Rates!$D$249</v>
      </c>
      <c r="E639" s="911"/>
      <c r="F639" s="911"/>
      <c r="G639" s="912" t="s">
        <v>2598</v>
      </c>
      <c r="H639" s="912"/>
      <c r="I639" s="912"/>
      <c r="J639" s="912"/>
      <c r="K639" s="913"/>
      <c r="L639" s="911"/>
      <c r="M639" s="911"/>
      <c r="N639" s="911"/>
      <c r="O639" s="914"/>
      <c r="P639" s="911"/>
      <c r="Q639" s="915"/>
      <c r="R639" s="916"/>
      <c r="S639" s="915"/>
      <c r="T639" s="917"/>
      <c r="U639" s="918"/>
      <c r="AR639" s="535"/>
      <c r="AS639" s="911"/>
    </row>
    <row r="640" spans="1:45" s="886" customFormat="1" ht="11.4">
      <c r="A640" s="919">
        <v>15</v>
      </c>
      <c r="B640" s="920">
        <v>1</v>
      </c>
      <c r="C640" s="920">
        <f>$A640*$B640</f>
        <v>15</v>
      </c>
      <c r="D640" s="921" t="str">
        <f>Elec_Rates!$D$249</f>
        <v>024# 5 x 240mm2  F120 Fire Resistant Cable (BS7846) -  XLPE/SWA/LSZH</v>
      </c>
      <c r="E640" s="921"/>
      <c r="F640" s="921" t="s">
        <v>2599</v>
      </c>
      <c r="G640" s="922" t="s">
        <v>2601</v>
      </c>
      <c r="H640" s="922"/>
      <c r="I640" s="922"/>
      <c r="J640" s="922"/>
      <c r="K640" s="923"/>
      <c r="L640" s="918"/>
      <c r="M640" s="918"/>
      <c r="N640" s="918"/>
      <c r="O640" s="924"/>
      <c r="P640" s="921"/>
      <c r="Q640" s="925">
        <f ca="1">$B640*Elec_Rates!$R$249</f>
        <v>209.82</v>
      </c>
      <c r="R640" s="916">
        <f ca="1">$A640*Q640</f>
        <v>3147.2999999999997</v>
      </c>
      <c r="S640" s="925">
        <f ca="1">$B640*Elec_Rates!$T$249</f>
        <v>0.43</v>
      </c>
      <c r="T640" s="917">
        <f ca="1">$A640*S640</f>
        <v>6.45</v>
      </c>
      <c r="U640" s="926"/>
      <c r="AR640" s="919">
        <v>15</v>
      </c>
      <c r="AS640" s="921" t="s">
        <v>2599</v>
      </c>
    </row>
    <row r="641" spans="1:45" s="520" customFormat="1" ht="12">
      <c r="A641" s="758"/>
      <c r="B641" s="758"/>
      <c r="C641" s="758"/>
      <c r="D641" s="758"/>
      <c r="E641" s="758"/>
      <c r="F641" s="753"/>
      <c r="G641" s="758"/>
      <c r="H641" s="758"/>
      <c r="I641" s="519"/>
      <c r="J641" s="758"/>
      <c r="K641" s="758"/>
      <c r="L641" s="758"/>
      <c r="M641" s="758"/>
      <c r="N641" s="758"/>
      <c r="O641" s="758"/>
      <c r="P641" s="758"/>
      <c r="Q641" s="519"/>
      <c r="R641" s="759">
        <f>$A641*Q641</f>
        <v>0</v>
      </c>
      <c r="S641" s="519"/>
      <c r="T641" s="760">
        <f>$A641*S641*$T$1</f>
        <v>0</v>
      </c>
      <c r="AR641" s="758"/>
      <c r="AS641" s="753"/>
    </row>
    <row r="642" spans="1:45" s="520" customFormat="1" ht="12.6" thickBot="1">
      <c r="A642" s="761" t="s">
        <v>145</v>
      </c>
      <c r="B642" s="762">
        <f>(R641+T641)</f>
        <v>0</v>
      </c>
      <c r="C642" s="763"/>
      <c r="D642" s="763"/>
      <c r="E642" s="763"/>
      <c r="F642" s="764"/>
      <c r="G642" s="763" t="s">
        <v>146</v>
      </c>
      <c r="H642" s="763"/>
      <c r="I642" s="765"/>
      <c r="J642" s="763"/>
      <c r="K642" s="763" t="s">
        <v>17</v>
      </c>
      <c r="L642" s="766" t="s">
        <v>143</v>
      </c>
      <c r="M642" s="766"/>
      <c r="N642" s="766"/>
      <c r="O642" s="766"/>
      <c r="P642" s="766"/>
      <c r="Q642" s="767"/>
      <c r="R642" s="768">
        <f ca="1">SUM(R636:R641)</f>
        <v>6294.5999999999995</v>
      </c>
      <c r="S642" s="763"/>
      <c r="T642" s="768">
        <f ca="1">SUM(T636:T641)</f>
        <v>12.9</v>
      </c>
      <c r="U642" s="531"/>
      <c r="V642" s="531"/>
      <c r="W642" s="531"/>
      <c r="X642" s="531"/>
      <c r="Y642" s="531"/>
      <c r="Z642" s="531"/>
      <c r="AA642" s="531"/>
      <c r="AB642" s="531"/>
      <c r="AC642" s="531"/>
      <c r="AD642" s="531"/>
      <c r="AE642" s="531"/>
      <c r="AF642" s="531"/>
      <c r="AG642" s="531"/>
      <c r="AH642" s="531"/>
      <c r="AI642" s="531"/>
      <c r="AJ642" s="531"/>
      <c r="AK642" s="531"/>
      <c r="AL642" s="531"/>
      <c r="AM642" s="531"/>
      <c r="AN642" s="531"/>
      <c r="AO642" s="531"/>
      <c r="AR642" s="761" t="s">
        <v>145</v>
      </c>
      <c r="AS642" s="764"/>
    </row>
    <row r="643" spans="1:45" s="520" customFormat="1" thickTop="1">
      <c r="A643" s="51"/>
      <c r="B643" s="51"/>
      <c r="C643" s="3"/>
      <c r="D643" s="3"/>
      <c r="E643" s="51"/>
      <c r="F643" s="51"/>
      <c r="G643" s="51"/>
      <c r="H643" s="51"/>
      <c r="I643" s="51"/>
      <c r="J643" s="51"/>
      <c r="K643" s="51" t="s">
        <v>134</v>
      </c>
      <c r="L643" s="51"/>
      <c r="M643" s="51"/>
      <c r="N643" s="51"/>
      <c r="O643" s="52"/>
      <c r="P643" s="51"/>
      <c r="Q643" s="51"/>
      <c r="R643" s="51"/>
      <c r="S643" s="51"/>
      <c r="T643" s="51"/>
      <c r="AR643" s="51"/>
      <c r="AS643" s="51"/>
    </row>
    <row r="644" spans="1:45" s="520" customFormat="1" ht="12">
      <c r="A644" s="51"/>
      <c r="B644" s="51"/>
      <c r="C644" s="51" t="s">
        <v>135</v>
      </c>
      <c r="D644" s="37"/>
      <c r="E644" s="51"/>
      <c r="F644" s="51"/>
      <c r="G644" s="51"/>
      <c r="H644" s="51"/>
      <c r="I644" s="51"/>
      <c r="J644" s="51"/>
      <c r="K644" s="51"/>
      <c r="L644" s="51"/>
      <c r="M644" s="51"/>
      <c r="N644" s="51"/>
      <c r="O644" s="52"/>
      <c r="P644" s="51"/>
      <c r="Q644" s="51"/>
      <c r="R644" s="51"/>
      <c r="S644" s="51"/>
      <c r="T644" s="51"/>
      <c r="AR644" s="51"/>
      <c r="AS644" s="51"/>
    </row>
    <row r="645" spans="1:45" s="520" customFormat="1" ht="12">
      <c r="A645" s="51"/>
      <c r="B645" s="51"/>
      <c r="C645" s="51"/>
      <c r="D645" s="37" t="s">
        <v>503</v>
      </c>
      <c r="E645" s="51"/>
      <c r="F645" s="51"/>
      <c r="G645" s="51"/>
      <c r="H645" s="51"/>
      <c r="I645" s="51"/>
      <c r="J645" s="51"/>
      <c r="K645" s="51"/>
      <c r="L645" s="51"/>
      <c r="M645" s="51"/>
      <c r="N645" s="51"/>
      <c r="O645" s="52"/>
      <c r="P645" s="51"/>
      <c r="Q645" s="51"/>
      <c r="R645" s="51"/>
      <c r="S645" s="38"/>
      <c r="T645" s="38"/>
      <c r="AR645" s="51"/>
      <c r="AS645" s="51"/>
    </row>
    <row r="646" spans="1:45" s="3" customFormat="1" thickBot="1">
      <c r="A646" s="531"/>
      <c r="O646" s="107"/>
      <c r="AR646" s="531"/>
    </row>
    <row r="647" spans="1:45" s="520" customFormat="1" ht="12" thickTop="1">
      <c r="A647" s="51"/>
      <c r="B647" s="41"/>
      <c r="C647" s="51"/>
      <c r="E647" s="42" t="s">
        <v>138</v>
      </c>
      <c r="F647" s="42" t="s">
        <v>139</v>
      </c>
      <c r="G647" s="51"/>
      <c r="H647" s="51"/>
      <c r="I647" s="51"/>
      <c r="J647" s="51"/>
      <c r="K647" s="51" t="s">
        <v>140</v>
      </c>
      <c r="L647" s="51"/>
      <c r="M647" s="51"/>
      <c r="N647" s="51"/>
      <c r="O647" s="52"/>
      <c r="P647" s="51"/>
      <c r="Q647" s="51"/>
      <c r="R647" s="51"/>
      <c r="S647" s="51"/>
      <c r="T647" s="41"/>
      <c r="AG647" s="521" t="s">
        <v>268</v>
      </c>
      <c r="AH647" s="521" t="s">
        <v>269</v>
      </c>
      <c r="AI647" s="521" t="s">
        <v>270</v>
      </c>
      <c r="AJ647" s="521" t="s">
        <v>271</v>
      </c>
      <c r="AK647" s="521" t="s">
        <v>272</v>
      </c>
      <c r="AM647" s="745" t="s">
        <v>281</v>
      </c>
      <c r="AN647" s="746" t="s">
        <v>282</v>
      </c>
      <c r="AO647" s="522" t="s">
        <v>278</v>
      </c>
      <c r="AR647" s="51"/>
      <c r="AS647" s="42" t="s">
        <v>139</v>
      </c>
    </row>
    <row r="648" spans="1:45" s="520" customFormat="1" ht="12" customHeight="1">
      <c r="A648" s="747">
        <v>15</v>
      </c>
      <c r="B648" s="523" t="s">
        <v>320</v>
      </c>
      <c r="C648" s="748"/>
      <c r="D648" s="749" t="s">
        <v>1151</v>
      </c>
      <c r="E648" s="1425">
        <f ca="1">IF(AND($A648=0,$A$1="DIF"),0, ROUND(ROUND(($R655*$S$10+($T655*$T$10))/$A648,2)*$C$10,2))</f>
        <v>0</v>
      </c>
      <c r="F648" s="1426">
        <f ca="1">ROUND($A648*$E648,2)</f>
        <v>0</v>
      </c>
      <c r="G648" s="752" t="s">
        <v>142</v>
      </c>
      <c r="H648" s="753"/>
      <c r="I648" s="754"/>
      <c r="J648" s="753"/>
      <c r="K648" s="753" t="s">
        <v>17</v>
      </c>
      <c r="L648" s="755" t="s">
        <v>143</v>
      </c>
      <c r="M648" s="755"/>
      <c r="N648" s="755"/>
      <c r="O648" s="755"/>
      <c r="P648" s="755"/>
      <c r="Q648" s="1058" t="s">
        <v>3848</v>
      </c>
      <c r="T648" s="1430" t="str">
        <f ca="1">IF(AND($R655=0,$T655=0),"0.00","mu: "&amp; ROUND(F648/$C$10/($R655+$T655*$D$9),2))</f>
        <v>0.00</v>
      </c>
      <c r="W648" s="524"/>
      <c r="AG648" s="1427">
        <f ca="1">IF($E648=0,0,ROUND($R655*$S$10*$C$10/$A648,2))</f>
        <v>0</v>
      </c>
      <c r="AH648" s="1427">
        <f ca="1">$AG648*$A648</f>
        <v>0</v>
      </c>
      <c r="AI648" s="1428">
        <f ca="1">$E648-$AG648</f>
        <v>0</v>
      </c>
      <c r="AJ648" s="1428">
        <f ca="1">$A648*$AI648</f>
        <v>0</v>
      </c>
      <c r="AK648" s="1429">
        <f ca="1">ROUND(($AG648+$AI648)*$A648,2)</f>
        <v>0</v>
      </c>
      <c r="AM648" s="527">
        <f ca="1">ROUND(R655,2)</f>
        <v>0</v>
      </c>
      <c r="AN648" s="528">
        <f ca="1">ROUND(T655,2)</f>
        <v>0</v>
      </c>
      <c r="AO648" s="529">
        <f ca="1">ROUND(AM648+AN648,2)*A648</f>
        <v>0</v>
      </c>
      <c r="AR648" s="747">
        <v>15</v>
      </c>
      <c r="AS648" s="751">
        <v>8884.2000000000007</v>
      </c>
    </row>
    <row r="649" spans="1:45" s="520" customFormat="1" ht="39.9" customHeight="1">
      <c r="A649" s="748"/>
      <c r="B649"/>
      <c r="C649" s="748"/>
      <c r="D649" s="1451" t="s">
        <v>1150</v>
      </c>
      <c r="E649" s="1452"/>
      <c r="F649" s="1452"/>
      <c r="G649" s="1452"/>
      <c r="H649" s="1452"/>
      <c r="I649" s="1452"/>
      <c r="J649" s="1452"/>
      <c r="K649" s="1452"/>
      <c r="L649" s="1452"/>
      <c r="M649" s="1452"/>
      <c r="N649" s="1452"/>
      <c r="O649" s="1452"/>
      <c r="P649" s="1452"/>
      <c r="Q649" s="1452"/>
      <c r="R649" s="1452"/>
      <c r="S649" s="1452"/>
      <c r="T649" s="1452"/>
      <c r="AR649" s="748"/>
    </row>
    <row r="650" spans="1:45" s="1336" customFormat="1" ht="13.2">
      <c r="A650" s="1086"/>
      <c r="B650" s="1328"/>
      <c r="C650" s="1328" t="s">
        <v>2597</v>
      </c>
      <c r="D650" s="1328" t="str">
        <f ca="1">CELL("Address",Elec_Rates!D$249)</f>
        <v>[E25_0062_Quintano_Foods_Elec_ELV_As_Awarded.xlsx]Elec_Rates!$D$249</v>
      </c>
      <c r="E650" s="1060"/>
      <c r="F650" s="1060"/>
      <c r="G650" s="1329" t="s">
        <v>2598</v>
      </c>
      <c r="H650" s="1329"/>
      <c r="I650" s="1329"/>
      <c r="J650" s="1329"/>
      <c r="K650" s="1330"/>
      <c r="L650" s="1060"/>
      <c r="M650" s="1060"/>
      <c r="N650" s="1060"/>
      <c r="O650" s="1331"/>
      <c r="P650" s="1060"/>
      <c r="Q650" s="1332"/>
      <c r="R650" s="1333"/>
      <c r="S650" s="1332"/>
      <c r="T650" s="1334"/>
      <c r="U650" s="1335"/>
      <c r="AR650" s="1086"/>
      <c r="AS650" s="1060"/>
    </row>
    <row r="651" spans="1:45" s="1336" customFormat="1" ht="11.4">
      <c r="A651" s="1337">
        <v>0</v>
      </c>
      <c r="B651" s="1338">
        <v>1</v>
      </c>
      <c r="C651" s="1338">
        <f>$A651*$B651</f>
        <v>0</v>
      </c>
      <c r="D651" s="1339" t="str">
        <f>Elec_Rates!$D$249</f>
        <v>024# 5 x 240mm2  F120 Fire Resistant Cable (BS7846) -  XLPE/SWA/LSZH</v>
      </c>
      <c r="E651" s="1339"/>
      <c r="F651" s="1339" t="s">
        <v>2599</v>
      </c>
      <c r="G651" s="1340" t="s">
        <v>2601</v>
      </c>
      <c r="H651" s="1340"/>
      <c r="I651" s="1340"/>
      <c r="J651" s="1340"/>
      <c r="K651" s="1341"/>
      <c r="L651" s="1335"/>
      <c r="M651" s="1335"/>
      <c r="N651" s="1335"/>
      <c r="O651" s="1342"/>
      <c r="P651" s="1339"/>
      <c r="Q651" s="1343">
        <f ca="1">$B651*Elec_Rates!$R$249</f>
        <v>209.82</v>
      </c>
      <c r="R651" s="1333">
        <f ca="1">$A651*Q651</f>
        <v>0</v>
      </c>
      <c r="S651" s="1343">
        <f ca="1">$B651*Elec_Rates!$T$249</f>
        <v>0.43</v>
      </c>
      <c r="T651" s="1334">
        <f ca="1">$A651*S651</f>
        <v>0</v>
      </c>
      <c r="U651" s="1344"/>
      <c r="AR651" s="1337">
        <v>15</v>
      </c>
      <c r="AS651" s="1339" t="s">
        <v>2599</v>
      </c>
    </row>
    <row r="652" spans="1:45" s="1336" customFormat="1" ht="13.2">
      <c r="A652" s="1086"/>
      <c r="B652" s="1328"/>
      <c r="C652" s="1328" t="s">
        <v>2597</v>
      </c>
      <c r="D652" s="1328" t="str">
        <f ca="1">CELL("Address",Elec_Rates!D$249)</f>
        <v>[E25_0062_Quintano_Foods_Elec_ELV_As_Awarded.xlsx]Elec_Rates!$D$249</v>
      </c>
      <c r="E652" s="1060"/>
      <c r="F652" s="1060"/>
      <c r="G652" s="1329" t="s">
        <v>2598</v>
      </c>
      <c r="H652" s="1329"/>
      <c r="I652" s="1329"/>
      <c r="J652" s="1329"/>
      <c r="K652" s="1330"/>
      <c r="L652" s="1060"/>
      <c r="M652" s="1060"/>
      <c r="N652" s="1060"/>
      <c r="O652" s="1331"/>
      <c r="P652" s="1060"/>
      <c r="Q652" s="1332"/>
      <c r="R652" s="1333"/>
      <c r="S652" s="1332"/>
      <c r="T652" s="1334"/>
      <c r="U652" s="1335"/>
      <c r="AR652" s="1086"/>
      <c r="AS652" s="1060"/>
    </row>
    <row r="653" spans="1:45" s="1336" customFormat="1" ht="11.4">
      <c r="A653" s="1337">
        <v>0</v>
      </c>
      <c r="B653" s="1338">
        <v>1</v>
      </c>
      <c r="C653" s="1338">
        <f>$A653*$B653</f>
        <v>0</v>
      </c>
      <c r="D653" s="1339" t="str">
        <f>Elec_Rates!$D$249</f>
        <v>024# 5 x 240mm2  F120 Fire Resistant Cable (BS7846) -  XLPE/SWA/LSZH</v>
      </c>
      <c r="E653" s="1339"/>
      <c r="F653" s="1339" t="s">
        <v>2599</v>
      </c>
      <c r="G653" s="1340" t="s">
        <v>2601</v>
      </c>
      <c r="H653" s="1340"/>
      <c r="I653" s="1340"/>
      <c r="J653" s="1340"/>
      <c r="K653" s="1341"/>
      <c r="L653" s="1335"/>
      <c r="M653" s="1335"/>
      <c r="N653" s="1335"/>
      <c r="O653" s="1342"/>
      <c r="P653" s="1339"/>
      <c r="Q653" s="1343">
        <f ca="1">$B653*Elec_Rates!$R$249</f>
        <v>209.82</v>
      </c>
      <c r="R653" s="1333">
        <f ca="1">$A653*Q653</f>
        <v>0</v>
      </c>
      <c r="S653" s="1343">
        <f ca="1">$B653*Elec_Rates!$T$249</f>
        <v>0.43</v>
      </c>
      <c r="T653" s="1334">
        <f ca="1">$A653*S653</f>
        <v>0</v>
      </c>
      <c r="U653" s="1344"/>
      <c r="AR653" s="1337">
        <v>15</v>
      </c>
      <c r="AS653" s="1339" t="s">
        <v>2599</v>
      </c>
    </row>
    <row r="654" spans="1:45" s="520" customFormat="1" ht="12">
      <c r="A654" s="758"/>
      <c r="B654" s="758"/>
      <c r="C654" s="758"/>
      <c r="D654" s="758"/>
      <c r="E654" s="758"/>
      <c r="F654" s="753"/>
      <c r="G654" s="758"/>
      <c r="H654" s="758"/>
      <c r="I654" s="519"/>
      <c r="J654" s="758"/>
      <c r="K654" s="758"/>
      <c r="L654" s="758"/>
      <c r="M654" s="758"/>
      <c r="N654" s="758"/>
      <c r="O654" s="758"/>
      <c r="P654" s="758"/>
      <c r="Q654" s="519"/>
      <c r="R654" s="759">
        <f>$A654*Q654</f>
        <v>0</v>
      </c>
      <c r="S654" s="519"/>
      <c r="T654" s="760">
        <f>$A654*S654*$T$1</f>
        <v>0</v>
      </c>
      <c r="AR654" s="758"/>
      <c r="AS654" s="753"/>
    </row>
    <row r="655" spans="1:45" s="520" customFormat="1" ht="12.6" thickBot="1">
      <c r="A655" s="761" t="s">
        <v>145</v>
      </c>
      <c r="B655" s="762">
        <f>(R654+T654)</f>
        <v>0</v>
      </c>
      <c r="C655" s="763"/>
      <c r="D655" s="763"/>
      <c r="E655" s="763"/>
      <c r="F655" s="764"/>
      <c r="G655" s="763" t="s">
        <v>146</v>
      </c>
      <c r="H655" s="763"/>
      <c r="I655" s="765"/>
      <c r="J655" s="763"/>
      <c r="K655" s="763" t="s">
        <v>17</v>
      </c>
      <c r="L655" s="766" t="s">
        <v>143</v>
      </c>
      <c r="M655" s="766"/>
      <c r="N655" s="766"/>
      <c r="O655" s="766"/>
      <c r="P655" s="766"/>
      <c r="Q655" s="767"/>
      <c r="R655" s="768">
        <f ca="1">SUM(R649:R654)</f>
        <v>0</v>
      </c>
      <c r="S655" s="763"/>
      <c r="T655" s="768">
        <f ca="1">SUM(T649:T654)</f>
        <v>0</v>
      </c>
      <c r="U655" s="531"/>
      <c r="V655" s="531"/>
      <c r="W655" s="531"/>
      <c r="X655" s="531"/>
      <c r="Y655" s="531"/>
      <c r="Z655" s="531"/>
      <c r="AA655" s="531"/>
      <c r="AB655" s="531"/>
      <c r="AC655" s="531"/>
      <c r="AD655" s="531"/>
      <c r="AE655" s="531"/>
      <c r="AF655" s="531"/>
      <c r="AG655" s="531"/>
      <c r="AH655" s="531"/>
      <c r="AI655" s="531"/>
      <c r="AJ655" s="531"/>
      <c r="AK655" s="531"/>
      <c r="AL655" s="531"/>
      <c r="AM655" s="531"/>
      <c r="AN655" s="531"/>
      <c r="AO655" s="531"/>
      <c r="AR655" s="761" t="s">
        <v>145</v>
      </c>
      <c r="AS655" s="764"/>
    </row>
    <row r="656" spans="1:45" s="520" customFormat="1" thickTop="1">
      <c r="A656" s="51"/>
      <c r="B656" s="51"/>
      <c r="C656" s="3"/>
      <c r="D656" s="3"/>
      <c r="E656" s="51"/>
      <c r="F656" s="51"/>
      <c r="G656" s="51"/>
      <c r="H656" s="51"/>
      <c r="I656" s="51"/>
      <c r="J656" s="51"/>
      <c r="K656" s="51" t="s">
        <v>134</v>
      </c>
      <c r="L656" s="51"/>
      <c r="M656" s="51"/>
      <c r="N656" s="51"/>
      <c r="O656" s="52"/>
      <c r="P656" s="51"/>
      <c r="Q656" s="51"/>
      <c r="R656" s="51"/>
      <c r="S656" s="51"/>
      <c r="T656" s="51"/>
      <c r="AR656" s="51"/>
      <c r="AS656" s="51"/>
    </row>
    <row r="657" spans="1:45" s="520" customFormat="1" ht="12">
      <c r="A657" s="51"/>
      <c r="B657" s="51"/>
      <c r="C657" s="51" t="s">
        <v>135</v>
      </c>
      <c r="D657" s="37"/>
      <c r="E657" s="51"/>
      <c r="F657" s="51"/>
      <c r="G657" s="51"/>
      <c r="H657" s="51"/>
      <c r="I657" s="51"/>
      <c r="J657" s="51"/>
      <c r="K657" s="51"/>
      <c r="L657" s="51"/>
      <c r="M657" s="51"/>
      <c r="N657" s="51"/>
      <c r="O657" s="52"/>
      <c r="P657" s="51"/>
      <c r="Q657" s="51"/>
      <c r="R657" s="51"/>
      <c r="S657" s="51"/>
      <c r="T657" s="51"/>
      <c r="AR657" s="51"/>
      <c r="AS657" s="51"/>
    </row>
    <row r="658" spans="1:45" s="520" customFormat="1" ht="12">
      <c r="A658" s="51"/>
      <c r="B658" s="51"/>
      <c r="C658" s="51"/>
      <c r="D658" s="37" t="s">
        <v>504</v>
      </c>
      <c r="E658" s="51"/>
      <c r="F658" s="51"/>
      <c r="G658" s="51"/>
      <c r="H658" s="51"/>
      <c r="I658" s="51"/>
      <c r="J658" s="51"/>
      <c r="K658" s="51"/>
      <c r="L658" s="51"/>
      <c r="M658" s="51"/>
      <c r="N658" s="51"/>
      <c r="O658" s="52"/>
      <c r="P658" s="51"/>
      <c r="Q658" s="51"/>
      <c r="R658" s="51"/>
      <c r="S658" s="38"/>
      <c r="T658" s="38"/>
      <c r="AR658" s="51"/>
      <c r="AS658" s="51"/>
    </row>
    <row r="659" spans="1:45" s="3" customFormat="1" thickBot="1">
      <c r="A659" s="531"/>
      <c r="O659" s="107"/>
      <c r="AR659" s="531"/>
    </row>
    <row r="660" spans="1:45" s="520" customFormat="1" ht="12" thickTop="1">
      <c r="A660" s="51"/>
      <c r="B660" s="41"/>
      <c r="C660" s="51"/>
      <c r="E660" s="42" t="s">
        <v>138</v>
      </c>
      <c r="F660" s="42" t="s">
        <v>139</v>
      </c>
      <c r="G660" s="51"/>
      <c r="H660" s="51"/>
      <c r="I660" s="51"/>
      <c r="J660" s="51"/>
      <c r="K660" s="51" t="s">
        <v>140</v>
      </c>
      <c r="L660" s="51"/>
      <c r="M660" s="51"/>
      <c r="N660" s="51"/>
      <c r="O660" s="52"/>
      <c r="P660" s="51"/>
      <c r="Q660" s="51"/>
      <c r="R660" s="51"/>
      <c r="S660" s="51"/>
      <c r="T660" s="41"/>
      <c r="AG660" s="521" t="s">
        <v>268</v>
      </c>
      <c r="AH660" s="521" t="s">
        <v>269</v>
      </c>
      <c r="AI660" s="521" t="s">
        <v>270</v>
      </c>
      <c r="AJ660" s="521" t="s">
        <v>271</v>
      </c>
      <c r="AK660" s="521" t="s">
        <v>272</v>
      </c>
      <c r="AM660" s="745" t="s">
        <v>281</v>
      </c>
      <c r="AN660" s="746" t="s">
        <v>282</v>
      </c>
      <c r="AO660" s="522" t="s">
        <v>278</v>
      </c>
      <c r="AR660" s="51"/>
      <c r="AS660" s="42" t="s">
        <v>139</v>
      </c>
    </row>
    <row r="661" spans="1:45" s="520" customFormat="1" ht="12" customHeight="1">
      <c r="A661" s="747">
        <v>155</v>
      </c>
      <c r="B661" s="523" t="s">
        <v>320</v>
      </c>
      <c r="C661" s="748"/>
      <c r="D661" s="749" t="s">
        <v>1152</v>
      </c>
      <c r="E661" s="1425">
        <f ca="1">IF(AND($A661=0,$A$1="DIF"),0, ROUND(ROUND(($R668*$S$10+($T668*$T$10))/$A661,2)*$C$10,2))</f>
        <v>0</v>
      </c>
      <c r="F661" s="1426">
        <f ca="1">ROUND($A661*$E661,2)</f>
        <v>0</v>
      </c>
      <c r="G661" s="752" t="s">
        <v>142</v>
      </c>
      <c r="H661" s="753"/>
      <c r="I661" s="754"/>
      <c r="J661" s="753"/>
      <c r="K661" s="753" t="s">
        <v>17</v>
      </c>
      <c r="L661" s="755" t="s">
        <v>143</v>
      </c>
      <c r="M661" s="755"/>
      <c r="N661" s="755"/>
      <c r="O661" s="755"/>
      <c r="P661" s="755"/>
      <c r="Q661" s="1058" t="s">
        <v>3848</v>
      </c>
      <c r="T661" s="1430" t="str">
        <f ca="1">IF(AND($R668=0,$T668=0),"0.00","mu: "&amp; ROUND(F661/$C$10/($R668+$T668*$D$9),2))</f>
        <v>0.00</v>
      </c>
      <c r="W661" s="524"/>
      <c r="AG661" s="1427">
        <f ca="1">IF($E661=0,0,ROUND($R668*$S$10*$C$10/$A661,2))</f>
        <v>0</v>
      </c>
      <c r="AH661" s="1427">
        <f ca="1">$AG661*$A661</f>
        <v>0</v>
      </c>
      <c r="AI661" s="1428">
        <f ca="1">$E661-$AG661</f>
        <v>0</v>
      </c>
      <c r="AJ661" s="1428">
        <f ca="1">$A661*$AI661</f>
        <v>0</v>
      </c>
      <c r="AK661" s="1429">
        <f ca="1">ROUND(($AG661+$AI661)*$A661,2)</f>
        <v>0</v>
      </c>
      <c r="AM661" s="527">
        <f ca="1">ROUND(R668,2)</f>
        <v>0</v>
      </c>
      <c r="AN661" s="528">
        <f ca="1">ROUND(T668,2)</f>
        <v>0</v>
      </c>
      <c r="AO661" s="529">
        <f ca="1">ROUND(AM661+AN661,2)*A661</f>
        <v>0</v>
      </c>
      <c r="AR661" s="747">
        <v>155</v>
      </c>
      <c r="AS661" s="751">
        <v>91803.4</v>
      </c>
    </row>
    <row r="662" spans="1:45" s="520" customFormat="1" ht="39.9" customHeight="1">
      <c r="A662" s="748"/>
      <c r="B662"/>
      <c r="C662" s="748"/>
      <c r="D662" s="1451" t="s">
        <v>1153</v>
      </c>
      <c r="E662" s="1452"/>
      <c r="F662" s="1452"/>
      <c r="G662" s="1452"/>
      <c r="H662" s="1452"/>
      <c r="I662" s="1452"/>
      <c r="J662" s="1452"/>
      <c r="K662" s="1452"/>
      <c r="L662" s="1452"/>
      <c r="M662" s="1452"/>
      <c r="N662" s="1452"/>
      <c r="O662" s="1452"/>
      <c r="P662" s="1452"/>
      <c r="Q662" s="1452"/>
      <c r="R662" s="1452"/>
      <c r="S662" s="1452"/>
      <c r="T662" s="1452"/>
      <c r="AR662" s="748"/>
    </row>
    <row r="663" spans="1:45" s="1336" customFormat="1" ht="13.2">
      <c r="A663" s="1086"/>
      <c r="B663" s="1328"/>
      <c r="C663" s="1328" t="s">
        <v>2597</v>
      </c>
      <c r="D663" s="1328" t="str">
        <f ca="1">CELL("Address",Elec_Rates!D$249)</f>
        <v>[E25_0062_Quintano_Foods_Elec_ELV_As_Awarded.xlsx]Elec_Rates!$D$249</v>
      </c>
      <c r="E663" s="1060"/>
      <c r="F663" s="1060"/>
      <c r="G663" s="1329" t="s">
        <v>2598</v>
      </c>
      <c r="H663" s="1329"/>
      <c r="I663" s="1329"/>
      <c r="J663" s="1329"/>
      <c r="K663" s="1330"/>
      <c r="L663" s="1060"/>
      <c r="M663" s="1060"/>
      <c r="N663" s="1060"/>
      <c r="O663" s="1331"/>
      <c r="P663" s="1060"/>
      <c r="Q663" s="1332"/>
      <c r="R663" s="1333"/>
      <c r="S663" s="1332"/>
      <c r="T663" s="1334"/>
      <c r="U663" s="1335"/>
      <c r="AR663" s="1086"/>
      <c r="AS663" s="1060"/>
    </row>
    <row r="664" spans="1:45" s="1336" customFormat="1" ht="11.4">
      <c r="A664" s="1337">
        <v>0</v>
      </c>
      <c r="B664" s="1338">
        <v>1</v>
      </c>
      <c r="C664" s="1338">
        <f>$A664*$B664</f>
        <v>0</v>
      </c>
      <c r="D664" s="1339" t="str">
        <f>Elec_Rates!$D$249</f>
        <v>024# 5 x 240mm2  F120 Fire Resistant Cable (BS7846) -  XLPE/SWA/LSZH</v>
      </c>
      <c r="E664" s="1339"/>
      <c r="F664" s="1339" t="s">
        <v>2599</v>
      </c>
      <c r="G664" s="1340" t="s">
        <v>2601</v>
      </c>
      <c r="H664" s="1340"/>
      <c r="I664" s="1340"/>
      <c r="J664" s="1340"/>
      <c r="K664" s="1341"/>
      <c r="L664" s="1335"/>
      <c r="M664" s="1335"/>
      <c r="N664" s="1335"/>
      <c r="O664" s="1342"/>
      <c r="P664" s="1339"/>
      <c r="Q664" s="1343">
        <f ca="1">$B664*Elec_Rates!$R$249</f>
        <v>209.82</v>
      </c>
      <c r="R664" s="1333">
        <f ca="1">$A664*Q664</f>
        <v>0</v>
      </c>
      <c r="S664" s="1343">
        <f ca="1">$B664*Elec_Rates!$T$249</f>
        <v>0.43</v>
      </c>
      <c r="T664" s="1334">
        <f ca="1">$A664*S664</f>
        <v>0</v>
      </c>
      <c r="U664" s="1344"/>
      <c r="AR664" s="1337">
        <v>155</v>
      </c>
      <c r="AS664" s="1339" t="s">
        <v>2599</v>
      </c>
    </row>
    <row r="665" spans="1:45" s="1336" customFormat="1" ht="13.2">
      <c r="A665" s="1086"/>
      <c r="B665" s="1328"/>
      <c r="C665" s="1328" t="s">
        <v>2597</v>
      </c>
      <c r="D665" s="1328" t="str">
        <f ca="1">CELL("Address",Elec_Rates!D$249)</f>
        <v>[E25_0062_Quintano_Foods_Elec_ELV_As_Awarded.xlsx]Elec_Rates!$D$249</v>
      </c>
      <c r="E665" s="1060"/>
      <c r="F665" s="1060"/>
      <c r="G665" s="1329" t="s">
        <v>2598</v>
      </c>
      <c r="H665" s="1329"/>
      <c r="I665" s="1329"/>
      <c r="J665" s="1329"/>
      <c r="K665" s="1330"/>
      <c r="L665" s="1060"/>
      <c r="M665" s="1060"/>
      <c r="N665" s="1060"/>
      <c r="O665" s="1331"/>
      <c r="P665" s="1060"/>
      <c r="Q665" s="1332"/>
      <c r="R665" s="1333"/>
      <c r="S665" s="1332"/>
      <c r="T665" s="1334"/>
      <c r="U665" s="1335"/>
      <c r="AR665" s="1086"/>
      <c r="AS665" s="1060"/>
    </row>
    <row r="666" spans="1:45" s="1336" customFormat="1" ht="11.4">
      <c r="A666" s="1337">
        <v>0</v>
      </c>
      <c r="B666" s="1338">
        <v>1</v>
      </c>
      <c r="C666" s="1338">
        <f>$A666*$B666</f>
        <v>0</v>
      </c>
      <c r="D666" s="1339" t="str">
        <f>Elec_Rates!$D$249</f>
        <v>024# 5 x 240mm2  F120 Fire Resistant Cable (BS7846) -  XLPE/SWA/LSZH</v>
      </c>
      <c r="E666" s="1339"/>
      <c r="F666" s="1339" t="s">
        <v>2599</v>
      </c>
      <c r="G666" s="1340" t="s">
        <v>2601</v>
      </c>
      <c r="H666" s="1340"/>
      <c r="I666" s="1340"/>
      <c r="J666" s="1340"/>
      <c r="K666" s="1341"/>
      <c r="L666" s="1335"/>
      <c r="M666" s="1335"/>
      <c r="N666" s="1335"/>
      <c r="O666" s="1342"/>
      <c r="P666" s="1339"/>
      <c r="Q666" s="1343">
        <f ca="1">$B666*Elec_Rates!$R$249</f>
        <v>209.82</v>
      </c>
      <c r="R666" s="1333">
        <f ca="1">$A666*Q666</f>
        <v>0</v>
      </c>
      <c r="S666" s="1343">
        <f ca="1">$B666*Elec_Rates!$T$249</f>
        <v>0.43</v>
      </c>
      <c r="T666" s="1334">
        <f ca="1">$A666*S666</f>
        <v>0</v>
      </c>
      <c r="U666" s="1344"/>
      <c r="AR666" s="1337">
        <v>155</v>
      </c>
      <c r="AS666" s="1339" t="s">
        <v>2599</v>
      </c>
    </row>
    <row r="667" spans="1:45" s="520" customFormat="1" ht="12">
      <c r="A667" s="758"/>
      <c r="B667" s="758"/>
      <c r="C667" s="758"/>
      <c r="D667" s="758"/>
      <c r="E667" s="758"/>
      <c r="F667" s="753"/>
      <c r="G667" s="758"/>
      <c r="H667" s="758"/>
      <c r="I667" s="519"/>
      <c r="J667" s="758"/>
      <c r="K667" s="758"/>
      <c r="L667" s="758"/>
      <c r="M667" s="758"/>
      <c r="N667" s="758"/>
      <c r="O667" s="758"/>
      <c r="P667" s="758"/>
      <c r="Q667" s="519"/>
      <c r="R667" s="759">
        <f>$A667*Q667</f>
        <v>0</v>
      </c>
      <c r="S667" s="519"/>
      <c r="T667" s="760">
        <f>$A667*S667*$T$1</f>
        <v>0</v>
      </c>
      <c r="AR667" s="758"/>
      <c r="AS667" s="753"/>
    </row>
    <row r="668" spans="1:45" s="520" customFormat="1" ht="12.6" thickBot="1">
      <c r="A668" s="761" t="s">
        <v>145</v>
      </c>
      <c r="B668" s="762">
        <f>(R667+T667)</f>
        <v>0</v>
      </c>
      <c r="C668" s="763"/>
      <c r="D668" s="763"/>
      <c r="E668" s="763"/>
      <c r="F668" s="764"/>
      <c r="G668" s="763" t="s">
        <v>146</v>
      </c>
      <c r="H668" s="763"/>
      <c r="I668" s="765"/>
      <c r="J668" s="763"/>
      <c r="K668" s="763" t="s">
        <v>17</v>
      </c>
      <c r="L668" s="766" t="s">
        <v>143</v>
      </c>
      <c r="M668" s="766"/>
      <c r="N668" s="766"/>
      <c r="O668" s="766"/>
      <c r="P668" s="766"/>
      <c r="Q668" s="767"/>
      <c r="R668" s="768">
        <f ca="1">SUM(R662:R667)</f>
        <v>0</v>
      </c>
      <c r="S668" s="763"/>
      <c r="T668" s="768">
        <f ca="1">SUM(T662:T667)</f>
        <v>0</v>
      </c>
      <c r="U668" s="531"/>
      <c r="V668" s="531"/>
      <c r="W668" s="531"/>
      <c r="X668" s="531"/>
      <c r="Y668" s="531"/>
      <c r="Z668" s="531"/>
      <c r="AA668" s="531"/>
      <c r="AB668" s="531"/>
      <c r="AC668" s="531"/>
      <c r="AD668" s="531"/>
      <c r="AE668" s="531"/>
      <c r="AF668" s="531"/>
      <c r="AG668" s="531"/>
      <c r="AH668" s="531"/>
      <c r="AI668" s="531"/>
      <c r="AJ668" s="531"/>
      <c r="AK668" s="531"/>
      <c r="AL668" s="531"/>
      <c r="AM668" s="531"/>
      <c r="AN668" s="531"/>
      <c r="AO668" s="531"/>
      <c r="AR668" s="761" t="s">
        <v>145</v>
      </c>
      <c r="AS668" s="764"/>
    </row>
    <row r="669" spans="1:45" s="520" customFormat="1" ht="12" thickTop="1">
      <c r="A669" s="51"/>
      <c r="B669" s="41"/>
      <c r="C669" s="51"/>
      <c r="E669" s="42" t="s">
        <v>138</v>
      </c>
      <c r="F669" s="42" t="s">
        <v>139</v>
      </c>
      <c r="G669" s="51"/>
      <c r="H669" s="51"/>
      <c r="I669" s="51"/>
      <c r="J669" s="51"/>
      <c r="K669" s="51" t="s">
        <v>140</v>
      </c>
      <c r="L669" s="51"/>
      <c r="M669" s="51"/>
      <c r="N669" s="51"/>
      <c r="O669" s="52"/>
      <c r="P669" s="51"/>
      <c r="Q669" s="51"/>
      <c r="R669" s="51"/>
      <c r="S669" s="51"/>
      <c r="T669" s="41"/>
      <c r="AG669" s="521" t="s">
        <v>268</v>
      </c>
      <c r="AH669" s="521" t="s">
        <v>269</v>
      </c>
      <c r="AI669" s="521" t="s">
        <v>270</v>
      </c>
      <c r="AJ669" s="521" t="s">
        <v>271</v>
      </c>
      <c r="AK669" s="521" t="s">
        <v>272</v>
      </c>
      <c r="AM669" s="745" t="s">
        <v>281</v>
      </c>
      <c r="AN669" s="746" t="s">
        <v>282</v>
      </c>
      <c r="AO669" s="522" t="s">
        <v>278</v>
      </c>
      <c r="AR669" s="51"/>
      <c r="AS669" s="42" t="s">
        <v>139</v>
      </c>
    </row>
    <row r="670" spans="1:45" s="520" customFormat="1" ht="12" customHeight="1">
      <c r="A670" s="747">
        <v>55</v>
      </c>
      <c r="B670" s="523" t="s">
        <v>320</v>
      </c>
      <c r="C670" s="748"/>
      <c r="D670" s="749" t="s">
        <v>3861</v>
      </c>
      <c r="E670" s="1425">
        <f ca="1">IF(AND($A670=0,$A$1="DIF"),0, ROUND(ROUND(($R675*$S$10+($T675*$T$10))/$A670,2)*$C$10,2))</f>
        <v>246.96</v>
      </c>
      <c r="F670" s="1426">
        <f ca="1">ROUND($A670*$E670,2)</f>
        <v>13582.8</v>
      </c>
      <c r="G670" s="752" t="s">
        <v>142</v>
      </c>
      <c r="H670" s="753"/>
      <c r="I670" s="754"/>
      <c r="J670" s="753"/>
      <c r="K670" s="753" t="s">
        <v>17</v>
      </c>
      <c r="L670" s="755" t="s">
        <v>143</v>
      </c>
      <c r="M670" s="755"/>
      <c r="N670" s="755"/>
      <c r="O670" s="755"/>
      <c r="P670" s="755"/>
      <c r="Q670" s="1058"/>
      <c r="T670" s="1430" t="str">
        <f ca="1">IF(AND($R675=0,$T675=0),"0.00","mu: "&amp; ROUND(F670/$C$10/($R675+$T675*$D$9),2))</f>
        <v>mu: 1.18</v>
      </c>
      <c r="W670" s="524"/>
      <c r="AG670" s="1427">
        <f ca="1">IF($E670=0,0,ROUND($R675*$S$10*$C$10/$A670,2))</f>
        <v>233.35</v>
      </c>
      <c r="AH670" s="1427">
        <f ca="1">$AG670*$A670</f>
        <v>12834.25</v>
      </c>
      <c r="AI670" s="1428">
        <f ca="1">$E670-$AG670</f>
        <v>13.610000000000014</v>
      </c>
      <c r="AJ670" s="1428">
        <f ca="1">$A670*$AI670</f>
        <v>748.55000000000075</v>
      </c>
      <c r="AK670" s="1429">
        <f ca="1">ROUND(($AG670+$AI670)*$A670,2)</f>
        <v>13582.8</v>
      </c>
      <c r="AM670" s="527">
        <f ca="1">ROUND(R675,2)</f>
        <v>10876.25</v>
      </c>
      <c r="AN670" s="528">
        <f ca="1">ROUND(T675,2)</f>
        <v>23.1</v>
      </c>
      <c r="AO670" s="529">
        <f ca="1">ROUND(AM670+AN670,2)*A670</f>
        <v>599464.25</v>
      </c>
      <c r="AR670" s="747">
        <v>155</v>
      </c>
      <c r="AS670" s="751">
        <v>91803.4</v>
      </c>
    </row>
    <row r="671" spans="1:45" s="520" customFormat="1" ht="39.9" customHeight="1">
      <c r="A671" s="748"/>
      <c r="B671"/>
      <c r="C671" s="748"/>
      <c r="D671" s="1451" t="s">
        <v>3860</v>
      </c>
      <c r="E671" s="1452"/>
      <c r="F671" s="1452"/>
      <c r="G671" s="1452"/>
      <c r="H671" s="1452"/>
      <c r="I671" s="1452"/>
      <c r="J671" s="1452"/>
      <c r="K671" s="1452"/>
      <c r="L671" s="1452"/>
      <c r="M671" s="1452"/>
      <c r="N671" s="1452"/>
      <c r="O671" s="1452"/>
      <c r="P671" s="1452"/>
      <c r="Q671" s="1452"/>
      <c r="R671" s="1452"/>
      <c r="S671" s="1452"/>
      <c r="T671" s="1452"/>
      <c r="AR671" s="748"/>
    </row>
    <row r="672" spans="1:45" s="886" customFormat="1" ht="13.2">
      <c r="A672"/>
      <c r="B672" s="910"/>
      <c r="C672" s="910" t="s">
        <v>2597</v>
      </c>
      <c r="D672" s="910" t="str">
        <f ca="1">CELL("Address",Elec_Rates!D$1057)</f>
        <v>[E25_0062_Quintano_Foods_Elec_ELV_As_Awarded.xlsx]Elec_Rates!$D$1057</v>
      </c>
      <c r="E672" s="911"/>
      <c r="F672" s="911"/>
      <c r="G672" s="912" t="s">
        <v>2598</v>
      </c>
      <c r="H672" s="912"/>
      <c r="I672" s="912"/>
      <c r="J672" s="912"/>
      <c r="K672" s="913"/>
      <c r="L672" s="911"/>
      <c r="M672" s="911"/>
      <c r="N672" s="911"/>
      <c r="O672" s="914"/>
      <c r="P672" s="911"/>
      <c r="Q672" s="915"/>
      <c r="R672" s="916"/>
      <c r="S672" s="915"/>
      <c r="T672" s="917"/>
      <c r="U672" s="918"/>
    </row>
    <row r="673" spans="1:45" s="886" customFormat="1" ht="11.4">
      <c r="A673" s="919">
        <v>55</v>
      </c>
      <c r="B673" s="920">
        <v>1</v>
      </c>
      <c r="C673" s="920">
        <f>$A673*$B673</f>
        <v>55</v>
      </c>
      <c r="D673" s="921" t="str">
        <f>Elec_Rates!$D$1057</f>
        <v>024# 5 x 185mm2  F120 Fire Resistant Cable (BS7846) -  XLPE/SWA/LSZH</v>
      </c>
      <c r="E673" s="921"/>
      <c r="F673" s="921" t="s">
        <v>2599</v>
      </c>
      <c r="G673" s="922" t="s">
        <v>2600</v>
      </c>
      <c r="H673" s="922"/>
      <c r="I673" s="922"/>
      <c r="J673" s="922"/>
      <c r="K673" s="923"/>
      <c r="L673" s="918"/>
      <c r="M673" s="918"/>
      <c r="N673" s="918"/>
      <c r="O673" s="924"/>
      <c r="P673" s="921"/>
      <c r="Q673" s="925">
        <f ca="1">$B673*Elec_Rates!$R$1057</f>
        <v>197.75</v>
      </c>
      <c r="R673" s="916">
        <f ca="1">$A673*Q673</f>
        <v>10876.25</v>
      </c>
      <c r="S673" s="925">
        <f ca="1">$B673*Elec_Rates!$T$1057</f>
        <v>0.42</v>
      </c>
      <c r="T673" s="917">
        <f ca="1">$A673*S673</f>
        <v>23.099999999999998</v>
      </c>
      <c r="U673" s="926"/>
    </row>
    <row r="674" spans="1:45" s="520" customFormat="1" ht="12">
      <c r="A674" s="758"/>
      <c r="B674" s="758"/>
      <c r="C674" s="758"/>
      <c r="D674" s="758"/>
      <c r="E674" s="758"/>
      <c r="F674" s="753"/>
      <c r="G674" s="758"/>
      <c r="H674" s="758"/>
      <c r="I674" s="519"/>
      <c r="J674" s="758"/>
      <c r="K674" s="758"/>
      <c r="L674" s="758"/>
      <c r="M674" s="758"/>
      <c r="N674" s="758"/>
      <c r="O674" s="758"/>
      <c r="P674" s="758"/>
      <c r="Q674" s="519"/>
      <c r="R674" s="759">
        <f>$A674*Q674</f>
        <v>0</v>
      </c>
      <c r="S674" s="519"/>
      <c r="T674" s="760">
        <f>$A674*S674*$T$1</f>
        <v>0</v>
      </c>
      <c r="AR674" s="758"/>
      <c r="AS674" s="753"/>
    </row>
    <row r="675" spans="1:45" s="520" customFormat="1" ht="12.6" thickBot="1">
      <c r="A675" s="761" t="s">
        <v>145</v>
      </c>
      <c r="B675" s="762">
        <f>(R674+T674)</f>
        <v>0</v>
      </c>
      <c r="C675" s="763"/>
      <c r="D675" s="763"/>
      <c r="E675" s="763"/>
      <c r="F675" s="764"/>
      <c r="G675" s="763" t="s">
        <v>146</v>
      </c>
      <c r="H675" s="763"/>
      <c r="I675" s="765"/>
      <c r="J675" s="763"/>
      <c r="K675" s="763" t="s">
        <v>17</v>
      </c>
      <c r="L675" s="766" t="s">
        <v>143</v>
      </c>
      <c r="M675" s="766"/>
      <c r="N675" s="766"/>
      <c r="O675" s="766"/>
      <c r="P675" s="766"/>
      <c r="Q675" s="767"/>
      <c r="R675" s="768">
        <f ca="1">SUM(R671:R674)</f>
        <v>10876.25</v>
      </c>
      <c r="S675" s="763"/>
      <c r="T675" s="768">
        <f ca="1">SUM(T671:T674)</f>
        <v>23.099999999999998</v>
      </c>
      <c r="U675" s="531"/>
      <c r="V675" s="531"/>
      <c r="W675" s="531"/>
      <c r="X675" s="531"/>
      <c r="Y675" s="531"/>
      <c r="Z675" s="531"/>
      <c r="AA675" s="531"/>
      <c r="AB675" s="531"/>
      <c r="AC675" s="531"/>
      <c r="AD675" s="531"/>
      <c r="AE675" s="531"/>
      <c r="AF675" s="531"/>
      <c r="AG675" s="531"/>
      <c r="AH675" s="531"/>
      <c r="AI675" s="531"/>
      <c r="AJ675" s="531"/>
      <c r="AK675" s="531"/>
      <c r="AL675" s="531"/>
      <c r="AM675" s="531"/>
      <c r="AN675" s="531"/>
      <c r="AO675" s="531"/>
      <c r="AR675" s="761" t="s">
        <v>145</v>
      </c>
      <c r="AS675" s="764"/>
    </row>
    <row r="676" spans="1:45" s="520" customFormat="1" ht="12" thickTop="1">
      <c r="A676" s="51"/>
      <c r="B676" s="41"/>
      <c r="C676" s="51"/>
      <c r="E676" s="42" t="s">
        <v>138</v>
      </c>
      <c r="F676" s="42" t="s">
        <v>139</v>
      </c>
      <c r="G676" s="51"/>
      <c r="H676" s="51"/>
      <c r="I676" s="51"/>
      <c r="J676" s="51"/>
      <c r="K676" s="51" t="s">
        <v>140</v>
      </c>
      <c r="L676" s="51"/>
      <c r="M676" s="51"/>
      <c r="N676" s="51"/>
      <c r="O676" s="52"/>
      <c r="P676" s="51"/>
      <c r="Q676" s="51"/>
      <c r="R676" s="51"/>
      <c r="S676" s="51"/>
      <c r="T676" s="41"/>
      <c r="AG676" s="521" t="s">
        <v>268</v>
      </c>
      <c r="AH676" s="521" t="s">
        <v>269</v>
      </c>
      <c r="AI676" s="521" t="s">
        <v>270</v>
      </c>
      <c r="AJ676" s="521" t="s">
        <v>271</v>
      </c>
      <c r="AK676" s="521" t="s">
        <v>272</v>
      </c>
      <c r="AM676" s="745" t="s">
        <v>281</v>
      </c>
      <c r="AN676" s="746" t="s">
        <v>282</v>
      </c>
      <c r="AO676" s="522" t="s">
        <v>278</v>
      </c>
      <c r="AR676" s="51"/>
      <c r="AS676" s="42" t="s">
        <v>139</v>
      </c>
    </row>
    <row r="677" spans="1:45" s="520" customFormat="1" ht="12" customHeight="1">
      <c r="A677" s="747">
        <v>115</v>
      </c>
      <c r="B677" s="523" t="s">
        <v>320</v>
      </c>
      <c r="C677" s="748"/>
      <c r="D677" s="749" t="s">
        <v>1154</v>
      </c>
      <c r="E677" s="1425">
        <f ca="1">IF(AND($A677=0,$A$1="DIF"),0, ROUND(ROUND(($R682*$S$10+($T682*$T$10))/$A677,2)*$C$10,2))</f>
        <v>0</v>
      </c>
      <c r="F677" s="1426">
        <f ca="1">ROUND($A677*$E677,2)</f>
        <v>0</v>
      </c>
      <c r="G677" s="752" t="s">
        <v>142</v>
      </c>
      <c r="H677" s="753"/>
      <c r="I677" s="754"/>
      <c r="J677" s="753"/>
      <c r="K677" s="753" t="s">
        <v>17</v>
      </c>
      <c r="L677" s="755" t="s">
        <v>143</v>
      </c>
      <c r="M677" s="755"/>
      <c r="N677" s="755"/>
      <c r="O677" s="755"/>
      <c r="P677" s="755"/>
      <c r="Q677" s="1058" t="s">
        <v>3848</v>
      </c>
      <c r="T677" s="1430" t="str">
        <f ca="1">IF(AND($R682=0,$T682=0),"0.00","mu: "&amp; ROUND(F677/$C$10/($R682+$T682*$D$9),2))</f>
        <v>0.00</v>
      </c>
      <c r="W677" s="524"/>
      <c r="AG677" s="1427">
        <f ca="1">IF($E677=0,0,ROUND($R682*$S$10*$C$10/$A677,2))</f>
        <v>0</v>
      </c>
      <c r="AH677" s="1427">
        <f ca="1">$AG677*$A677</f>
        <v>0</v>
      </c>
      <c r="AI677" s="1428">
        <f ca="1">$E677-$AG677</f>
        <v>0</v>
      </c>
      <c r="AJ677" s="1428">
        <f ca="1">$A677*$AI677</f>
        <v>0</v>
      </c>
      <c r="AK677" s="1429">
        <f ca="1">ROUND(($AG677+$AI677)*$A677,2)</f>
        <v>0</v>
      </c>
      <c r="AM677" s="527">
        <f ca="1">ROUND(R682,2)</f>
        <v>0</v>
      </c>
      <c r="AN677" s="528">
        <f ca="1">ROUND(T682,2)</f>
        <v>0</v>
      </c>
      <c r="AO677" s="529">
        <f ca="1">ROUND(AM677+AN677,2)*A677</f>
        <v>0</v>
      </c>
      <c r="AR677" s="747">
        <v>115</v>
      </c>
      <c r="AS677" s="751">
        <v>9048.2000000000007</v>
      </c>
    </row>
    <row r="678" spans="1:45" s="520" customFormat="1" ht="39.9" customHeight="1">
      <c r="A678" s="748"/>
      <c r="B678"/>
      <c r="C678" s="748"/>
      <c r="D678" s="1451" t="s">
        <v>1155</v>
      </c>
      <c r="E678" s="1452"/>
      <c r="F678" s="1452"/>
      <c r="G678" s="1452"/>
      <c r="H678" s="1452"/>
      <c r="I678" s="1452"/>
      <c r="J678" s="1452"/>
      <c r="K678" s="1452"/>
      <c r="L678" s="1452"/>
      <c r="M678" s="1452"/>
      <c r="N678" s="1452"/>
      <c r="O678" s="1452"/>
      <c r="P678" s="1452"/>
      <c r="Q678" s="1452"/>
      <c r="R678" s="1452"/>
      <c r="S678" s="1452"/>
      <c r="T678" s="1452"/>
      <c r="AR678" s="748"/>
    </row>
    <row r="679" spans="1:45" s="1336" customFormat="1" ht="13.2">
      <c r="A679" s="1086"/>
      <c r="B679" s="1328"/>
      <c r="C679" s="1328" t="s">
        <v>2597</v>
      </c>
      <c r="D679" s="1328" t="str">
        <f ca="1">CELL("Address",Elec_Rates!D$335)</f>
        <v>[E25_0062_Quintano_Foods_Elec_ELV_As_Awarded.xlsx]Elec_Rates!$D$335</v>
      </c>
      <c r="E679" s="1060"/>
      <c r="F679" s="1060"/>
      <c r="G679" s="1329" t="s">
        <v>2598</v>
      </c>
      <c r="H679" s="1329"/>
      <c r="I679" s="1329"/>
      <c r="J679" s="1329"/>
      <c r="K679" s="1330"/>
      <c r="L679" s="1060"/>
      <c r="M679" s="1060"/>
      <c r="N679" s="1060"/>
      <c r="O679" s="1331"/>
      <c r="P679" s="1060"/>
      <c r="Q679" s="1332"/>
      <c r="R679" s="1333"/>
      <c r="S679" s="1332"/>
      <c r="T679" s="1334"/>
      <c r="U679" s="1335"/>
      <c r="AR679" s="1086"/>
      <c r="AS679" s="1060"/>
    </row>
    <row r="680" spans="1:45" s="1336" customFormat="1" ht="11.4">
      <c r="A680" s="1337">
        <v>0</v>
      </c>
      <c r="B680" s="1338">
        <v>1</v>
      </c>
      <c r="C680" s="1338">
        <f>$A680*$B680</f>
        <v>0</v>
      </c>
      <c r="D680" s="1339" t="str">
        <f>Elec_Rates!$D$335</f>
        <v>032# 5 x 50mm2  F120 Fire Resistant Cable (BS7846) - XLPE/SWA/LSZH</v>
      </c>
      <c r="E680" s="1339"/>
      <c r="F680" s="1339" t="s">
        <v>2599</v>
      </c>
      <c r="G680" s="1340" t="s">
        <v>2601</v>
      </c>
      <c r="H680" s="1340"/>
      <c r="I680" s="1340"/>
      <c r="J680" s="1340"/>
      <c r="K680" s="1341"/>
      <c r="L680" s="1335"/>
      <c r="M680" s="1335"/>
      <c r="N680" s="1335"/>
      <c r="O680" s="1342"/>
      <c r="P680" s="1339"/>
      <c r="Q680" s="1343">
        <f ca="1">$B680*Elec_Rates!$R$335</f>
        <v>59.5</v>
      </c>
      <c r="R680" s="1333">
        <f ca="1">$A680*Q680</f>
        <v>0</v>
      </c>
      <c r="S680" s="1343">
        <f ca="1">$B680*Elec_Rates!$T$335</f>
        <v>0.15</v>
      </c>
      <c r="T680" s="1334">
        <f ca="1">$A680*S680</f>
        <v>0</v>
      </c>
      <c r="U680" s="1344"/>
      <c r="AR680" s="1337">
        <v>115</v>
      </c>
      <c r="AS680" s="1339" t="s">
        <v>2599</v>
      </c>
    </row>
    <row r="681" spans="1:45" s="520" customFormat="1" ht="12">
      <c r="A681" s="758"/>
      <c r="B681" s="758"/>
      <c r="C681" s="758"/>
      <c r="D681" s="758"/>
      <c r="E681" s="758"/>
      <c r="F681" s="753"/>
      <c r="G681" s="758"/>
      <c r="H681" s="758"/>
      <c r="I681" s="519"/>
      <c r="J681" s="758"/>
      <c r="K681" s="758"/>
      <c r="L681" s="758"/>
      <c r="M681" s="758"/>
      <c r="N681" s="758"/>
      <c r="O681" s="758"/>
      <c r="P681" s="758"/>
      <c r="Q681" s="519"/>
      <c r="R681" s="759">
        <f>$A681*Q681</f>
        <v>0</v>
      </c>
      <c r="S681" s="519"/>
      <c r="T681" s="760">
        <f>$A681*S681*$T$1</f>
        <v>0</v>
      </c>
      <c r="AR681" s="758"/>
      <c r="AS681" s="753"/>
    </row>
    <row r="682" spans="1:45" s="520" customFormat="1" ht="12.6" thickBot="1">
      <c r="A682" s="761" t="s">
        <v>145</v>
      </c>
      <c r="B682" s="762">
        <f>(R681+T681)</f>
        <v>0</v>
      </c>
      <c r="C682" s="763"/>
      <c r="D682" s="763"/>
      <c r="E682" s="763"/>
      <c r="F682" s="764"/>
      <c r="G682" s="763" t="s">
        <v>146</v>
      </c>
      <c r="H682" s="763"/>
      <c r="I682" s="765"/>
      <c r="J682" s="763"/>
      <c r="K682" s="763" t="s">
        <v>17</v>
      </c>
      <c r="L682" s="766" t="s">
        <v>143</v>
      </c>
      <c r="M682" s="766"/>
      <c r="N682" s="766"/>
      <c r="O682" s="766"/>
      <c r="P682" s="766"/>
      <c r="Q682" s="767"/>
      <c r="R682" s="768">
        <f ca="1">SUM(R678:R681)</f>
        <v>0</v>
      </c>
      <c r="S682" s="763"/>
      <c r="T682" s="768">
        <f ca="1">SUM(T678:T681)</f>
        <v>0</v>
      </c>
      <c r="U682" s="531"/>
      <c r="V682" s="531"/>
      <c r="W682" s="531"/>
      <c r="X682" s="531"/>
      <c r="Y682" s="531"/>
      <c r="Z682" s="531"/>
      <c r="AA682" s="531"/>
      <c r="AB682" s="531"/>
      <c r="AC682" s="531"/>
      <c r="AD682" s="531"/>
      <c r="AE682" s="531"/>
      <c r="AF682" s="531"/>
      <c r="AG682" s="531"/>
      <c r="AH682" s="531"/>
      <c r="AI682" s="531"/>
      <c r="AJ682" s="531"/>
      <c r="AK682" s="531"/>
      <c r="AL682" s="531"/>
      <c r="AM682" s="531"/>
      <c r="AN682" s="531"/>
      <c r="AO682" s="531"/>
      <c r="AR682" s="761" t="s">
        <v>145</v>
      </c>
      <c r="AS682" s="764"/>
    </row>
    <row r="683" spans="1:45" s="520" customFormat="1" ht="12" thickTop="1">
      <c r="A683" s="51"/>
      <c r="B683" s="41"/>
      <c r="C683" s="51"/>
      <c r="E683" s="42" t="s">
        <v>138</v>
      </c>
      <c r="F683" s="42" t="s">
        <v>139</v>
      </c>
      <c r="G683" s="51"/>
      <c r="H683" s="51"/>
      <c r="I683" s="51"/>
      <c r="J683" s="51"/>
      <c r="K683" s="51" t="s">
        <v>140</v>
      </c>
      <c r="L683" s="51"/>
      <c r="M683" s="51"/>
      <c r="N683" s="51"/>
      <c r="O683" s="52"/>
      <c r="P683" s="51"/>
      <c r="Q683" s="51"/>
      <c r="R683" s="51"/>
      <c r="S683" s="51"/>
      <c r="T683" s="41"/>
      <c r="AG683" s="521" t="s">
        <v>268</v>
      </c>
      <c r="AH683" s="521" t="s">
        <v>269</v>
      </c>
      <c r="AI683" s="521" t="s">
        <v>270</v>
      </c>
      <c r="AJ683" s="521" t="s">
        <v>271</v>
      </c>
      <c r="AK683" s="521" t="s">
        <v>272</v>
      </c>
      <c r="AM683" s="745" t="s">
        <v>281</v>
      </c>
      <c r="AN683" s="746" t="s">
        <v>282</v>
      </c>
      <c r="AO683" s="522" t="s">
        <v>278</v>
      </c>
      <c r="AR683" s="51"/>
      <c r="AS683" s="42" t="s">
        <v>139</v>
      </c>
    </row>
    <row r="684" spans="1:45" s="520" customFormat="1" ht="12" customHeight="1">
      <c r="A684" s="747">
        <v>90</v>
      </c>
      <c r="B684" s="523" t="s">
        <v>320</v>
      </c>
      <c r="C684" s="748"/>
      <c r="D684" s="749" t="s">
        <v>3864</v>
      </c>
      <c r="E684" s="750">
        <f ca="1">IF(AND($A684=0,$A$1="DIF"),0, ROUND(ROUND(($R689*$S$2+($T689*$T$2))/$A684,2)*$C$2,2))</f>
        <v>55.61</v>
      </c>
      <c r="F684" s="751">
        <f ca="1">ROUND($A684*$E684,2)</f>
        <v>5004.8999999999996</v>
      </c>
      <c r="G684" s="752" t="s">
        <v>142</v>
      </c>
      <c r="H684" s="753"/>
      <c r="I684" s="754"/>
      <c r="J684" s="753"/>
      <c r="K684" s="753" t="s">
        <v>3</v>
      </c>
      <c r="L684" s="755" t="s">
        <v>143</v>
      </c>
      <c r="M684" s="755"/>
      <c r="N684" s="755"/>
      <c r="O684" s="755"/>
      <c r="P684" s="755"/>
      <c r="Q684" s="1058"/>
      <c r="T684" s="756" t="str">
        <f ca="1">IF(AND($R689=0,$T689=0),"0.00","mu: "&amp; ROUND(F684/$C$2/($R689+$T689*$D$9),2))</f>
        <v>mu: 1.23</v>
      </c>
      <c r="W684" s="524"/>
      <c r="AG684" s="481">
        <f ca="1">IF($E684=0,0,ROUND($R689*$S$2*$C$2/$A684,2))</f>
        <v>47.49</v>
      </c>
      <c r="AH684" s="481">
        <f ca="1">$AG684*$A684</f>
        <v>4274.1000000000004</v>
      </c>
      <c r="AI684" s="525">
        <f ca="1">$E684-$AG684</f>
        <v>8.1199999999999974</v>
      </c>
      <c r="AJ684" s="525">
        <f ca="1">$A684*$AI684</f>
        <v>730.79999999999973</v>
      </c>
      <c r="AK684" s="526">
        <f ca="1">ROUND(($AG684+$AI684)*$A684,2)</f>
        <v>5004.8999999999996</v>
      </c>
      <c r="AM684" s="527">
        <f ca="1">ROUND(R689,2)</f>
        <v>3471.3</v>
      </c>
      <c r="AN684" s="528">
        <f ca="1">ROUND(T689,2)</f>
        <v>21.6</v>
      </c>
      <c r="AO684" s="529">
        <f ca="1">ROUND(AM684+AN684,2)*A684</f>
        <v>314361</v>
      </c>
      <c r="AR684" s="747">
        <v>115</v>
      </c>
      <c r="AS684" s="751">
        <v>9048.2000000000007</v>
      </c>
    </row>
    <row r="685" spans="1:45" s="520" customFormat="1" ht="39.9" customHeight="1">
      <c r="A685" s="748"/>
      <c r="B685"/>
      <c r="C685" s="748"/>
      <c r="D685" s="1451" t="s">
        <v>1215</v>
      </c>
      <c r="E685" s="1452"/>
      <c r="F685" s="1452"/>
      <c r="G685" s="1452"/>
      <c r="H685" s="1452"/>
      <c r="I685" s="1452"/>
      <c r="J685" s="1452"/>
      <c r="K685" s="1452"/>
      <c r="L685" s="1452"/>
      <c r="M685" s="1452"/>
      <c r="N685" s="1452"/>
      <c r="O685" s="1452"/>
      <c r="P685" s="1452"/>
      <c r="Q685" s="1452"/>
      <c r="R685" s="1452"/>
      <c r="S685" s="1452"/>
      <c r="T685" s="1452"/>
      <c r="AR685" s="748"/>
    </row>
    <row r="686" spans="1:45" s="886" customFormat="1" ht="13.2">
      <c r="A686"/>
      <c r="B686" s="910"/>
      <c r="C686" s="910" t="s">
        <v>2597</v>
      </c>
      <c r="D686" s="910" t="str">
        <f ca="1">CELL("Address",Elec_Rates!D$345)</f>
        <v>[E25_0062_Quintano_Foods_Elec_ELV_As_Awarded.xlsx]Elec_Rates!$D$345</v>
      </c>
      <c r="E686" s="911"/>
      <c r="F686" s="911"/>
      <c r="G686" s="912" t="s">
        <v>2598</v>
      </c>
      <c r="H686" s="912"/>
      <c r="I686" s="912"/>
      <c r="J686" s="912"/>
      <c r="K686" s="913"/>
      <c r="L686" s="911"/>
      <c r="M686" s="911"/>
      <c r="N686" s="911"/>
      <c r="O686" s="914"/>
      <c r="P686" s="911"/>
      <c r="Q686" s="915"/>
      <c r="R686" s="916"/>
      <c r="S686" s="915"/>
      <c r="T686" s="917"/>
      <c r="U686" s="918"/>
    </row>
    <row r="687" spans="1:45" s="886" customFormat="1" ht="11.4">
      <c r="A687" s="919">
        <v>90</v>
      </c>
      <c r="B687" s="920">
        <v>1</v>
      </c>
      <c r="C687" s="920">
        <f>$A687*$B687</f>
        <v>90</v>
      </c>
      <c r="D687" s="921" t="str">
        <f>Elec_Rates!$D$345</f>
        <v>033# 5 x 35mm2 F120 Fire Resistant Cable (BS7846) -  XLPE/SWA/LSZH</v>
      </c>
      <c r="E687" s="921"/>
      <c r="F687" s="921" t="s">
        <v>2599</v>
      </c>
      <c r="G687" s="922" t="s">
        <v>2601</v>
      </c>
      <c r="H687" s="922"/>
      <c r="I687" s="922"/>
      <c r="J687" s="922"/>
      <c r="K687" s="923"/>
      <c r="L687" s="918"/>
      <c r="M687" s="918"/>
      <c r="N687" s="918"/>
      <c r="O687" s="924"/>
      <c r="P687" s="921"/>
      <c r="Q687" s="925">
        <f ca="1">$B687*Elec_Rates!$R$345</f>
        <v>38.57</v>
      </c>
      <c r="R687" s="916">
        <f ca="1">$A687*Q687</f>
        <v>3471.3</v>
      </c>
      <c r="S687" s="925">
        <f ca="1">$B687*Elec_Rates!$T$345</f>
        <v>0.24</v>
      </c>
      <c r="T687" s="917">
        <f ca="1">$A687*S687</f>
        <v>21.599999999999998</v>
      </c>
      <c r="U687" s="926"/>
    </row>
    <row r="688" spans="1:45" s="520" customFormat="1" ht="12">
      <c r="A688" s="758"/>
      <c r="B688" s="758"/>
      <c r="C688" s="758"/>
      <c r="D688" s="758"/>
      <c r="E688" s="758"/>
      <c r="F688" s="753"/>
      <c r="G688" s="758"/>
      <c r="H688" s="758"/>
      <c r="I688" s="519"/>
      <c r="J688" s="758"/>
      <c r="K688" s="758"/>
      <c r="L688" s="758"/>
      <c r="M688" s="758"/>
      <c r="N688" s="758"/>
      <c r="O688" s="758"/>
      <c r="P688" s="758"/>
      <c r="Q688" s="519"/>
      <c r="R688" s="759">
        <f>$A688*Q688</f>
        <v>0</v>
      </c>
      <c r="S688" s="519"/>
      <c r="T688" s="760">
        <f>$A688*S688*$T$1</f>
        <v>0</v>
      </c>
      <c r="AR688" s="758"/>
      <c r="AS688" s="753"/>
    </row>
    <row r="689" spans="1:45" s="520" customFormat="1" ht="12.6" thickBot="1">
      <c r="A689" s="761" t="s">
        <v>145</v>
      </c>
      <c r="B689" s="762">
        <f>(R688+T688)</f>
        <v>0</v>
      </c>
      <c r="C689" s="763"/>
      <c r="D689" s="763"/>
      <c r="E689" s="763"/>
      <c r="F689" s="764"/>
      <c r="G689" s="763" t="s">
        <v>146</v>
      </c>
      <c r="H689" s="763"/>
      <c r="I689" s="765"/>
      <c r="J689" s="763"/>
      <c r="K689" s="763" t="s">
        <v>3</v>
      </c>
      <c r="L689" s="766" t="s">
        <v>143</v>
      </c>
      <c r="M689" s="766"/>
      <c r="N689" s="766"/>
      <c r="O689" s="766"/>
      <c r="P689" s="766"/>
      <c r="Q689" s="767"/>
      <c r="R689" s="768">
        <f ca="1">SUM(R685:R688)</f>
        <v>3471.3</v>
      </c>
      <c r="S689" s="763"/>
      <c r="T689" s="768">
        <f ca="1">SUM(T685:T688)</f>
        <v>21.599999999999998</v>
      </c>
      <c r="U689" s="531"/>
      <c r="V689" s="531"/>
      <c r="W689" s="531"/>
      <c r="X689" s="531"/>
      <c r="Y689" s="531"/>
      <c r="Z689" s="531"/>
      <c r="AA689" s="531"/>
      <c r="AB689" s="531"/>
      <c r="AC689" s="531"/>
      <c r="AD689" s="531"/>
      <c r="AE689" s="531"/>
      <c r="AF689" s="531"/>
      <c r="AG689" s="531"/>
      <c r="AH689" s="531"/>
      <c r="AI689" s="531"/>
      <c r="AJ689" s="531"/>
      <c r="AK689" s="531"/>
      <c r="AL689" s="531"/>
      <c r="AM689" s="531"/>
      <c r="AN689" s="531"/>
      <c r="AO689" s="531"/>
      <c r="AR689" s="761" t="s">
        <v>145</v>
      </c>
      <c r="AS689" s="764"/>
    </row>
    <row r="690" spans="1:45" s="520" customFormat="1" ht="12" thickTop="1">
      <c r="A690" s="51"/>
      <c r="B690" s="41"/>
      <c r="C690" s="51"/>
      <c r="E690" s="42" t="s">
        <v>138</v>
      </c>
      <c r="F690" s="42" t="s">
        <v>139</v>
      </c>
      <c r="G690" s="51"/>
      <c r="H690" s="51"/>
      <c r="I690" s="51"/>
      <c r="J690" s="51"/>
      <c r="K690" s="51" t="s">
        <v>140</v>
      </c>
      <c r="L690" s="51"/>
      <c r="M690" s="51"/>
      <c r="N690" s="51"/>
      <c r="O690" s="52"/>
      <c r="P690" s="51"/>
      <c r="Q690" s="51"/>
      <c r="R690" s="51"/>
      <c r="S690" s="51"/>
      <c r="T690" s="41"/>
      <c r="AG690" s="521" t="s">
        <v>268</v>
      </c>
      <c r="AH690" s="521" t="s">
        <v>269</v>
      </c>
      <c r="AI690" s="521" t="s">
        <v>270</v>
      </c>
      <c r="AJ690" s="521" t="s">
        <v>271</v>
      </c>
      <c r="AK690" s="521" t="s">
        <v>272</v>
      </c>
      <c r="AM690" s="745" t="s">
        <v>281</v>
      </c>
      <c r="AN690" s="746" t="s">
        <v>282</v>
      </c>
      <c r="AO690" s="522" t="s">
        <v>278</v>
      </c>
      <c r="AR690" s="51"/>
      <c r="AS690" s="42" t="s">
        <v>139</v>
      </c>
    </row>
    <row r="691" spans="1:45" s="520" customFormat="1" ht="12" customHeight="1">
      <c r="A691" s="747">
        <v>15</v>
      </c>
      <c r="B691" s="523" t="s">
        <v>320</v>
      </c>
      <c r="C691" s="748"/>
      <c r="D691" s="749" t="s">
        <v>3865</v>
      </c>
      <c r="E691" s="750">
        <f ca="1">IF(AND($A691=0,$A$1="DIF"),0, ROUND(ROUND(($R696*$S$2+($T696*$T$2))/$A691,2)*$C$2,2))</f>
        <v>35.24</v>
      </c>
      <c r="F691" s="751">
        <f ca="1">ROUND($A691*$E691,2)</f>
        <v>528.6</v>
      </c>
      <c r="G691" s="752" t="s">
        <v>142</v>
      </c>
      <c r="H691" s="753"/>
      <c r="I691" s="754"/>
      <c r="J691" s="753"/>
      <c r="K691" s="753" t="s">
        <v>3</v>
      </c>
      <c r="L691" s="755" t="s">
        <v>143</v>
      </c>
      <c r="M691" s="755"/>
      <c r="N691" s="755"/>
      <c r="O691" s="755"/>
      <c r="P691" s="755"/>
      <c r="Q691" s="1058"/>
      <c r="T691" s="756" t="str">
        <f ca="1">IF(AND($R696=0,$T696=0),"0.00","mu: "&amp; ROUND(F691/$C$2/($R696+$T696*$D$9),2))</f>
        <v>mu: 1.23</v>
      </c>
      <c r="W691" s="524"/>
      <c r="AG691" s="481">
        <f ca="1">IF($E691=0,0,ROUND($R696*$S$2*$C$2/$A691,2))</f>
        <v>31.52</v>
      </c>
      <c r="AH691" s="481">
        <f ca="1">$AG691*$A691</f>
        <v>472.8</v>
      </c>
      <c r="AI691" s="525">
        <f ca="1">$E691-$AG691</f>
        <v>3.7200000000000024</v>
      </c>
      <c r="AJ691" s="525">
        <f ca="1">$A691*$AI691</f>
        <v>55.80000000000004</v>
      </c>
      <c r="AK691" s="526">
        <f ca="1">ROUND(($AG691+$AI691)*$A691,2)</f>
        <v>528.6</v>
      </c>
      <c r="AM691" s="527">
        <f ca="1">ROUND(R696,2)</f>
        <v>384</v>
      </c>
      <c r="AN691" s="528">
        <f ca="1">ROUND(T696,2)</f>
        <v>1.65</v>
      </c>
      <c r="AO691" s="529">
        <f ca="1">ROUND(AM691+AN691,2)*A691</f>
        <v>5784.75</v>
      </c>
      <c r="AR691" s="747">
        <v>115</v>
      </c>
      <c r="AS691" s="751">
        <v>9048.2000000000007</v>
      </c>
    </row>
    <row r="692" spans="1:45" s="520" customFormat="1" ht="39.9" customHeight="1">
      <c r="A692" s="748"/>
      <c r="B692"/>
      <c r="C692" s="748"/>
      <c r="D692" s="1451" t="s">
        <v>3866</v>
      </c>
      <c r="E692" s="1452"/>
      <c r="F692" s="1452"/>
      <c r="G692" s="1452"/>
      <c r="H692" s="1452"/>
      <c r="I692" s="1452"/>
      <c r="J692" s="1452"/>
      <c r="K692" s="1452"/>
      <c r="L692" s="1452"/>
      <c r="M692" s="1452"/>
      <c r="N692" s="1452"/>
      <c r="O692" s="1452"/>
      <c r="P692" s="1452"/>
      <c r="Q692" s="1452"/>
      <c r="R692" s="1452"/>
      <c r="S692" s="1452"/>
      <c r="T692" s="1452"/>
      <c r="AR692" s="748"/>
    </row>
    <row r="693" spans="1:45" s="886" customFormat="1" ht="13.2">
      <c r="A693"/>
      <c r="B693" s="910"/>
      <c r="C693" s="910" t="s">
        <v>2597</v>
      </c>
      <c r="D693" s="910" t="str">
        <f ca="1">CELL("Address",Elec_Rates!D$385)</f>
        <v>[E25_0062_Quintano_Foods_Elec_ELV_As_Awarded.xlsx]Elec_Rates!$D$385</v>
      </c>
      <c r="E693" s="911"/>
      <c r="F693" s="911"/>
      <c r="G693" s="912" t="s">
        <v>2598</v>
      </c>
      <c r="H693" s="912"/>
      <c r="I693" s="912"/>
      <c r="J693" s="912"/>
      <c r="K693" s="913"/>
      <c r="L693" s="911"/>
      <c r="M693" s="911"/>
      <c r="N693" s="911"/>
      <c r="O693" s="914"/>
      <c r="P693" s="911"/>
      <c r="Q693" s="915"/>
      <c r="R693" s="916"/>
      <c r="S693" s="915"/>
      <c r="T693" s="917"/>
      <c r="U693" s="918"/>
    </row>
    <row r="694" spans="1:45" s="886" customFormat="1" ht="11.4">
      <c r="A694" s="919">
        <v>15</v>
      </c>
      <c r="B694" s="920">
        <v>1</v>
      </c>
      <c r="C694" s="920">
        <f>$A694*$B694</f>
        <v>15</v>
      </c>
      <c r="D694" s="921" t="str">
        <f>Elec_Rates!$D$385</f>
        <v>037# 5 x 16mm2 F120 Fire Resistant Cable (BS7846) -  XLPE/SWA/LSZH</v>
      </c>
      <c r="E694" s="921"/>
      <c r="F694" s="921" t="s">
        <v>2599</v>
      </c>
      <c r="G694" s="922" t="s">
        <v>2600</v>
      </c>
      <c r="H694" s="922"/>
      <c r="I694" s="922"/>
      <c r="J694" s="922"/>
      <c r="K694" s="923"/>
      <c r="L694" s="918"/>
      <c r="M694" s="918"/>
      <c r="N694" s="918"/>
      <c r="O694" s="924"/>
      <c r="P694" s="921"/>
      <c r="Q694" s="925">
        <f ca="1">$B694*Elec_Rates!$R$385</f>
        <v>25.6</v>
      </c>
      <c r="R694" s="916">
        <f ca="1">$A694*Q694</f>
        <v>384</v>
      </c>
      <c r="S694" s="925">
        <f ca="1">$B694*Elec_Rates!$T$385</f>
        <v>0.11</v>
      </c>
      <c r="T694" s="917">
        <f ca="1">$A694*S694</f>
        <v>1.65</v>
      </c>
      <c r="U694" s="926"/>
    </row>
    <row r="695" spans="1:45" s="520" customFormat="1" ht="12">
      <c r="A695" s="758"/>
      <c r="B695" s="758"/>
      <c r="C695" s="758"/>
      <c r="D695" s="758"/>
      <c r="E695" s="758"/>
      <c r="F695" s="753"/>
      <c r="G695" s="758"/>
      <c r="H695" s="758"/>
      <c r="I695" s="519"/>
      <c r="J695" s="758"/>
      <c r="K695" s="758"/>
      <c r="L695" s="758"/>
      <c r="M695" s="758"/>
      <c r="N695" s="758"/>
      <c r="O695" s="758"/>
      <c r="P695" s="758"/>
      <c r="Q695" s="519"/>
      <c r="R695" s="759">
        <f>$A695*Q695</f>
        <v>0</v>
      </c>
      <c r="S695" s="519"/>
      <c r="T695" s="760">
        <f>$A695*S695*$T$1</f>
        <v>0</v>
      </c>
      <c r="AR695" s="758"/>
      <c r="AS695" s="753"/>
    </row>
    <row r="696" spans="1:45" s="520" customFormat="1" ht="12.6" thickBot="1">
      <c r="A696" s="761" t="s">
        <v>145</v>
      </c>
      <c r="B696" s="762">
        <f>(R695+T695)</f>
        <v>0</v>
      </c>
      <c r="C696" s="763"/>
      <c r="D696" s="763"/>
      <c r="E696" s="763"/>
      <c r="F696" s="764"/>
      <c r="G696" s="763" t="s">
        <v>146</v>
      </c>
      <c r="H696" s="763"/>
      <c r="I696" s="765"/>
      <c r="J696" s="763"/>
      <c r="K696" s="763" t="s">
        <v>3</v>
      </c>
      <c r="L696" s="766" t="s">
        <v>143</v>
      </c>
      <c r="M696" s="766"/>
      <c r="N696" s="766"/>
      <c r="O696" s="766"/>
      <c r="P696" s="766"/>
      <c r="Q696" s="767"/>
      <c r="R696" s="768">
        <f ca="1">SUM(R692:R695)</f>
        <v>384</v>
      </c>
      <c r="S696" s="763"/>
      <c r="T696" s="768">
        <f ca="1">SUM(T692:T695)</f>
        <v>1.65</v>
      </c>
      <c r="U696" s="531"/>
      <c r="V696" s="531"/>
      <c r="W696" s="531"/>
      <c r="X696" s="531"/>
      <c r="Y696" s="531"/>
      <c r="Z696" s="531"/>
      <c r="AA696" s="531"/>
      <c r="AB696" s="531"/>
      <c r="AC696" s="531"/>
      <c r="AD696" s="531"/>
      <c r="AE696" s="531"/>
      <c r="AF696" s="531"/>
      <c r="AG696" s="531"/>
      <c r="AH696" s="531"/>
      <c r="AI696" s="531"/>
      <c r="AJ696" s="531"/>
      <c r="AK696" s="531"/>
      <c r="AL696" s="531"/>
      <c r="AM696" s="531"/>
      <c r="AN696" s="531"/>
      <c r="AO696" s="531"/>
      <c r="AR696" s="761" t="s">
        <v>145</v>
      </c>
      <c r="AS696" s="764"/>
    </row>
    <row r="697" spans="1:45" s="520" customFormat="1" ht="12" thickTop="1">
      <c r="A697" s="51"/>
      <c r="B697" s="41"/>
      <c r="C697" s="51"/>
      <c r="E697" s="42" t="s">
        <v>138</v>
      </c>
      <c r="F697" s="42" t="s">
        <v>139</v>
      </c>
      <c r="G697" s="51"/>
      <c r="H697" s="51"/>
      <c r="I697" s="51"/>
      <c r="J697" s="51"/>
      <c r="K697" s="51" t="s">
        <v>140</v>
      </c>
      <c r="L697" s="51"/>
      <c r="M697" s="51"/>
      <c r="N697" s="51"/>
      <c r="O697" s="52"/>
      <c r="P697" s="51"/>
      <c r="Q697" s="51"/>
      <c r="R697" s="51"/>
      <c r="S697" s="51"/>
      <c r="T697" s="41"/>
      <c r="AG697" s="521" t="s">
        <v>268</v>
      </c>
      <c r="AH697" s="521" t="s">
        <v>269</v>
      </c>
      <c r="AI697" s="521" t="s">
        <v>270</v>
      </c>
      <c r="AJ697" s="521" t="s">
        <v>271</v>
      </c>
      <c r="AK697" s="521" t="s">
        <v>272</v>
      </c>
      <c r="AM697" s="745" t="s">
        <v>281</v>
      </c>
      <c r="AN697" s="746" t="s">
        <v>282</v>
      </c>
      <c r="AO697" s="522" t="s">
        <v>278</v>
      </c>
      <c r="AR697" s="51"/>
      <c r="AS697" s="42" t="s">
        <v>139</v>
      </c>
    </row>
    <row r="698" spans="1:45" s="520" customFormat="1" ht="12" customHeight="1">
      <c r="A698" s="747">
        <v>110</v>
      </c>
      <c r="B698" s="523" t="s">
        <v>320</v>
      </c>
      <c r="C698" s="748"/>
      <c r="D698" s="749" t="s">
        <v>1156</v>
      </c>
      <c r="E698" s="1425">
        <f ca="1">IF(AND($A698=0,$A$1="DIF"),0, ROUND(ROUND(($R709*$S$10+($T709*$T$10))/$A698,2)*$C$10,2))</f>
        <v>0</v>
      </c>
      <c r="F698" s="1426">
        <f ca="1">ROUND($A698*$E698,2)</f>
        <v>0</v>
      </c>
      <c r="G698" s="752" t="s">
        <v>142</v>
      </c>
      <c r="H698" s="753"/>
      <c r="I698" s="754"/>
      <c r="J698" s="753"/>
      <c r="K698" s="753" t="s">
        <v>17</v>
      </c>
      <c r="L698" s="755" t="s">
        <v>143</v>
      </c>
      <c r="M698" s="755"/>
      <c r="N698" s="755"/>
      <c r="O698" s="755"/>
      <c r="P698" s="755"/>
      <c r="Q698" s="1058" t="s">
        <v>3848</v>
      </c>
      <c r="T698" s="1430" t="str">
        <f ca="1">IF(AND($R709=0,$T709=0),"0.00","mu: "&amp; ROUND(F698/$C$10/($R709+$T709*$D$9),2))</f>
        <v>0.00</v>
      </c>
      <c r="W698" s="524"/>
      <c r="AG698" s="1427">
        <f ca="1">IF($E698=0,0,ROUND($R709*$S$10*$C$10/$A698,2))</f>
        <v>0</v>
      </c>
      <c r="AH698" s="1427">
        <f ca="1">$AG698*$A698</f>
        <v>0</v>
      </c>
      <c r="AI698" s="1428">
        <f ca="1">$E698-$AG698</f>
        <v>0</v>
      </c>
      <c r="AJ698" s="1428">
        <f ca="1">$A698*$AI698</f>
        <v>0</v>
      </c>
      <c r="AK698" s="1429">
        <f ca="1">ROUND(($AG698+$AI698)*$A698,2)</f>
        <v>0</v>
      </c>
      <c r="AM698" s="527">
        <f ca="1">ROUND(R709,2)</f>
        <v>0</v>
      </c>
      <c r="AN698" s="528">
        <f ca="1">ROUND(T709,2)</f>
        <v>0</v>
      </c>
      <c r="AO698" s="529">
        <f ca="1">ROUND(AM698+AN698,2)*A698</f>
        <v>0</v>
      </c>
      <c r="AR698" s="747">
        <v>110</v>
      </c>
      <c r="AS698" s="751">
        <v>130301.6</v>
      </c>
    </row>
    <row r="699" spans="1:45" s="520" customFormat="1" ht="36">
      <c r="A699" s="748"/>
      <c r="B699"/>
      <c r="C699" s="748"/>
      <c r="D699" s="769" t="s">
        <v>1157</v>
      </c>
      <c r="F699" s="753"/>
      <c r="G699" s="3"/>
      <c r="H699" s="753"/>
      <c r="I699" s="754"/>
      <c r="J699" s="753"/>
      <c r="K699" s="753" t="s">
        <v>144</v>
      </c>
      <c r="L699" s="753"/>
      <c r="M699" s="753"/>
      <c r="N699" s="753"/>
      <c r="O699" s="753"/>
      <c r="P699" s="753"/>
      <c r="Q699" s="51"/>
      <c r="R699" s="530"/>
      <c r="S699" s="757"/>
      <c r="T699" s="753"/>
      <c r="AR699" s="748"/>
      <c r="AS699" s="753"/>
    </row>
    <row r="700" spans="1:45" s="1336" customFormat="1" ht="13.2">
      <c r="A700" s="1086"/>
      <c r="B700" s="1328"/>
      <c r="C700" s="1328" t="s">
        <v>2597</v>
      </c>
      <c r="D700" s="1328" t="str">
        <f ca="1">CELL("Address",Elec_Rates!D$249)</f>
        <v>[E25_0062_Quintano_Foods_Elec_ELV_As_Awarded.xlsx]Elec_Rates!$D$249</v>
      </c>
      <c r="E700" s="1060"/>
      <c r="F700" s="1060"/>
      <c r="G700" s="1329" t="s">
        <v>2598</v>
      </c>
      <c r="H700" s="1329"/>
      <c r="I700" s="1329"/>
      <c r="J700" s="1329"/>
      <c r="K700" s="1330"/>
      <c r="L700" s="1060"/>
      <c r="M700" s="1060"/>
      <c r="N700" s="1060"/>
      <c r="O700" s="1331"/>
      <c r="P700" s="1060"/>
      <c r="Q700" s="1332"/>
      <c r="R700" s="1333"/>
      <c r="S700" s="1332"/>
      <c r="T700" s="1334"/>
      <c r="U700" s="1335"/>
      <c r="AR700" s="1086"/>
      <c r="AS700" s="1060"/>
    </row>
    <row r="701" spans="1:45" s="1336" customFormat="1" ht="11.4">
      <c r="A701" s="1337">
        <v>0</v>
      </c>
      <c r="B701" s="1338">
        <v>1</v>
      </c>
      <c r="C701" s="1338">
        <f>$A701*$B701</f>
        <v>0</v>
      </c>
      <c r="D701" s="1339" t="str">
        <f>Elec_Rates!$D$249</f>
        <v>024# 5 x 240mm2  F120 Fire Resistant Cable (BS7846) -  XLPE/SWA/LSZH</v>
      </c>
      <c r="E701" s="1339"/>
      <c r="F701" s="1339" t="s">
        <v>2599</v>
      </c>
      <c r="G701" s="1340" t="s">
        <v>2601</v>
      </c>
      <c r="H701" s="1340"/>
      <c r="I701" s="1340"/>
      <c r="J701" s="1340"/>
      <c r="K701" s="1341"/>
      <c r="L701" s="1335"/>
      <c r="M701" s="1335"/>
      <c r="N701" s="1335"/>
      <c r="O701" s="1342"/>
      <c r="P701" s="1339"/>
      <c r="Q701" s="1343">
        <f ca="1">$B701*Elec_Rates!$R$249</f>
        <v>209.82</v>
      </c>
      <c r="R701" s="1333">
        <f ca="1">$A701*Q701</f>
        <v>0</v>
      </c>
      <c r="S701" s="1343">
        <f ca="1">$B701*Elec_Rates!$T$249</f>
        <v>0.43</v>
      </c>
      <c r="T701" s="1334">
        <f ca="1">$A701*S701</f>
        <v>0</v>
      </c>
      <c r="U701" s="1344"/>
      <c r="AR701" s="1337">
        <v>110</v>
      </c>
      <c r="AS701" s="1339" t="s">
        <v>2599</v>
      </c>
    </row>
    <row r="702" spans="1:45" s="1336" customFormat="1" ht="13.2">
      <c r="A702" s="1086"/>
      <c r="B702" s="1328"/>
      <c r="C702" s="1328" t="s">
        <v>2597</v>
      </c>
      <c r="D702" s="1328" t="str">
        <f ca="1">CELL("Address",Elec_Rates!D$249)</f>
        <v>[E25_0062_Quintano_Foods_Elec_ELV_As_Awarded.xlsx]Elec_Rates!$D$249</v>
      </c>
      <c r="E702" s="1060"/>
      <c r="F702" s="1060"/>
      <c r="G702" s="1329" t="s">
        <v>2598</v>
      </c>
      <c r="H702" s="1329"/>
      <c r="I702" s="1329"/>
      <c r="J702" s="1329"/>
      <c r="K702" s="1330"/>
      <c r="L702" s="1060"/>
      <c r="M702" s="1060"/>
      <c r="N702" s="1060"/>
      <c r="O702" s="1331"/>
      <c r="P702" s="1060"/>
      <c r="Q702" s="1332"/>
      <c r="R702" s="1333"/>
      <c r="S702" s="1332"/>
      <c r="T702" s="1334"/>
      <c r="U702" s="1335"/>
      <c r="AR702" s="1086"/>
      <c r="AS702" s="1060"/>
    </row>
    <row r="703" spans="1:45" s="1336" customFormat="1" ht="11.4">
      <c r="A703" s="1337">
        <v>0</v>
      </c>
      <c r="B703" s="1338">
        <v>1</v>
      </c>
      <c r="C703" s="1338">
        <f>$A703*$B703</f>
        <v>0</v>
      </c>
      <c r="D703" s="1339" t="str">
        <f>Elec_Rates!$D$249</f>
        <v>024# 5 x 240mm2  F120 Fire Resistant Cable (BS7846) -  XLPE/SWA/LSZH</v>
      </c>
      <c r="E703" s="1339"/>
      <c r="F703" s="1339" t="s">
        <v>2599</v>
      </c>
      <c r="G703" s="1340" t="s">
        <v>2601</v>
      </c>
      <c r="H703" s="1340"/>
      <c r="I703" s="1340"/>
      <c r="J703" s="1340"/>
      <c r="K703" s="1341"/>
      <c r="L703" s="1335"/>
      <c r="M703" s="1335"/>
      <c r="N703" s="1335"/>
      <c r="O703" s="1342"/>
      <c r="P703" s="1339"/>
      <c r="Q703" s="1343">
        <f ca="1">$B703*Elec_Rates!$R$249</f>
        <v>209.82</v>
      </c>
      <c r="R703" s="1333">
        <f ca="1">$A703*Q703</f>
        <v>0</v>
      </c>
      <c r="S703" s="1343">
        <f ca="1">$B703*Elec_Rates!$T$249</f>
        <v>0.43</v>
      </c>
      <c r="T703" s="1334">
        <f ca="1">$A703*S703</f>
        <v>0</v>
      </c>
      <c r="U703" s="1344"/>
      <c r="AR703" s="1337">
        <v>110</v>
      </c>
      <c r="AS703" s="1339" t="s">
        <v>2599</v>
      </c>
    </row>
    <row r="704" spans="1:45" s="1336" customFormat="1" ht="13.2">
      <c r="A704" s="1086"/>
      <c r="B704" s="1328"/>
      <c r="C704" s="1328" t="s">
        <v>2597</v>
      </c>
      <c r="D704" s="1328" t="str">
        <f ca="1">CELL("Address",Elec_Rates!D$249)</f>
        <v>[E25_0062_Quintano_Foods_Elec_ELV_As_Awarded.xlsx]Elec_Rates!$D$249</v>
      </c>
      <c r="E704" s="1060"/>
      <c r="F704" s="1060"/>
      <c r="G704" s="1329" t="s">
        <v>2598</v>
      </c>
      <c r="H704" s="1329"/>
      <c r="I704" s="1329"/>
      <c r="J704" s="1329"/>
      <c r="K704" s="1330"/>
      <c r="L704" s="1060"/>
      <c r="M704" s="1060"/>
      <c r="N704" s="1060"/>
      <c r="O704" s="1331"/>
      <c r="P704" s="1060"/>
      <c r="Q704" s="1332"/>
      <c r="R704" s="1333"/>
      <c r="S704" s="1332"/>
      <c r="T704" s="1334"/>
      <c r="U704" s="1335"/>
      <c r="AR704" s="1086"/>
      <c r="AS704" s="1060"/>
    </row>
    <row r="705" spans="1:45" s="1336" customFormat="1" ht="11.4">
      <c r="A705" s="1337">
        <v>0</v>
      </c>
      <c r="B705" s="1338">
        <v>1</v>
      </c>
      <c r="C705" s="1338">
        <f>$A705*$B705</f>
        <v>0</v>
      </c>
      <c r="D705" s="1339" t="str">
        <f>Elec_Rates!$D$249</f>
        <v>024# 5 x 240mm2  F120 Fire Resistant Cable (BS7846) -  XLPE/SWA/LSZH</v>
      </c>
      <c r="E705" s="1339"/>
      <c r="F705" s="1339" t="s">
        <v>2599</v>
      </c>
      <c r="G705" s="1340" t="s">
        <v>2601</v>
      </c>
      <c r="H705" s="1340"/>
      <c r="I705" s="1340"/>
      <c r="J705" s="1340"/>
      <c r="K705" s="1341"/>
      <c r="L705" s="1335"/>
      <c r="M705" s="1335"/>
      <c r="N705" s="1335"/>
      <c r="O705" s="1342"/>
      <c r="P705" s="1339"/>
      <c r="Q705" s="1343">
        <f ca="1">$B705*Elec_Rates!$R$249</f>
        <v>209.82</v>
      </c>
      <c r="R705" s="1333">
        <f ca="1">$A705*Q705</f>
        <v>0</v>
      </c>
      <c r="S705" s="1343">
        <f ca="1">$B705*Elec_Rates!$T$249</f>
        <v>0.43</v>
      </c>
      <c r="T705" s="1334">
        <f ca="1">$A705*S705</f>
        <v>0</v>
      </c>
      <c r="U705" s="1344"/>
      <c r="AR705" s="1337">
        <v>110</v>
      </c>
      <c r="AS705" s="1339" t="s">
        <v>2599</v>
      </c>
    </row>
    <row r="706" spans="1:45" s="1336" customFormat="1" ht="13.2">
      <c r="A706" s="1086"/>
      <c r="B706" s="1328"/>
      <c r="C706" s="1328" t="s">
        <v>2597</v>
      </c>
      <c r="D706" s="1328" t="str">
        <f ca="1">CELL("Address",Elec_Rates!D$249)</f>
        <v>[E25_0062_Quintano_Foods_Elec_ELV_As_Awarded.xlsx]Elec_Rates!$D$249</v>
      </c>
      <c r="E706" s="1060"/>
      <c r="F706" s="1060"/>
      <c r="G706" s="1329" t="s">
        <v>2598</v>
      </c>
      <c r="H706" s="1329"/>
      <c r="I706" s="1329"/>
      <c r="J706" s="1329"/>
      <c r="K706" s="1330"/>
      <c r="L706" s="1060"/>
      <c r="M706" s="1060"/>
      <c r="N706" s="1060"/>
      <c r="O706" s="1331"/>
      <c r="P706" s="1060"/>
      <c r="Q706" s="1332"/>
      <c r="R706" s="1333"/>
      <c r="S706" s="1332"/>
      <c r="T706" s="1334"/>
      <c r="U706" s="1335"/>
      <c r="AR706" s="1086"/>
      <c r="AS706" s="1060"/>
    </row>
    <row r="707" spans="1:45" s="1336" customFormat="1" ht="11.4">
      <c r="A707" s="1337">
        <v>0</v>
      </c>
      <c r="B707" s="1338">
        <v>1</v>
      </c>
      <c r="C707" s="1338">
        <f>$A707*$B707</f>
        <v>0</v>
      </c>
      <c r="D707" s="1339" t="str">
        <f>Elec_Rates!$D$249</f>
        <v>024# 5 x 240mm2  F120 Fire Resistant Cable (BS7846) -  XLPE/SWA/LSZH</v>
      </c>
      <c r="E707" s="1339"/>
      <c r="F707" s="1339" t="s">
        <v>2599</v>
      </c>
      <c r="G707" s="1340" t="s">
        <v>2601</v>
      </c>
      <c r="H707" s="1340"/>
      <c r="I707" s="1340"/>
      <c r="J707" s="1340"/>
      <c r="K707" s="1341"/>
      <c r="L707" s="1335"/>
      <c r="M707" s="1335"/>
      <c r="N707" s="1335"/>
      <c r="O707" s="1342"/>
      <c r="P707" s="1339"/>
      <c r="Q707" s="1343">
        <f ca="1">$B707*Elec_Rates!$R$249</f>
        <v>209.82</v>
      </c>
      <c r="R707" s="1333">
        <f ca="1">$A707*Q707</f>
        <v>0</v>
      </c>
      <c r="S707" s="1343">
        <f ca="1">$B707*Elec_Rates!$T$249</f>
        <v>0.43</v>
      </c>
      <c r="T707" s="1334">
        <f ca="1">$A707*S707</f>
        <v>0</v>
      </c>
      <c r="U707" s="1344"/>
      <c r="AR707" s="1337">
        <v>110</v>
      </c>
      <c r="AS707" s="1339" t="s">
        <v>2599</v>
      </c>
    </row>
    <row r="708" spans="1:45" s="520" customFormat="1" ht="12">
      <c r="A708" s="758"/>
      <c r="B708" s="758"/>
      <c r="C708" s="758"/>
      <c r="D708" s="758"/>
      <c r="E708" s="758"/>
      <c r="F708" s="753"/>
      <c r="G708" s="758"/>
      <c r="H708" s="758"/>
      <c r="I708" s="519"/>
      <c r="J708" s="758"/>
      <c r="K708" s="758"/>
      <c r="L708" s="758"/>
      <c r="M708" s="758"/>
      <c r="N708" s="758"/>
      <c r="O708" s="758"/>
      <c r="P708" s="758"/>
      <c r="Q708" s="519"/>
      <c r="R708" s="759">
        <f>$A708*Q708</f>
        <v>0</v>
      </c>
      <c r="S708" s="519"/>
      <c r="T708" s="760">
        <f>$A708*S708*$T$1</f>
        <v>0</v>
      </c>
      <c r="AR708" s="758"/>
      <c r="AS708" s="753"/>
    </row>
    <row r="709" spans="1:45" s="520" customFormat="1" ht="12.6" thickBot="1">
      <c r="A709" s="761" t="s">
        <v>145</v>
      </c>
      <c r="B709" s="762">
        <f>(R708+T708)</f>
        <v>0</v>
      </c>
      <c r="C709" s="763"/>
      <c r="D709" s="763"/>
      <c r="E709" s="763"/>
      <c r="F709" s="764"/>
      <c r="G709" s="763" t="s">
        <v>146</v>
      </c>
      <c r="H709" s="763"/>
      <c r="I709" s="765"/>
      <c r="J709" s="763"/>
      <c r="K709" s="763" t="s">
        <v>17</v>
      </c>
      <c r="L709" s="766" t="s">
        <v>143</v>
      </c>
      <c r="M709" s="766"/>
      <c r="N709" s="766"/>
      <c r="O709" s="766"/>
      <c r="P709" s="766"/>
      <c r="Q709" s="767"/>
      <c r="R709" s="768">
        <f ca="1">SUM(R699:R708)</f>
        <v>0</v>
      </c>
      <c r="S709" s="763"/>
      <c r="T709" s="768">
        <f ca="1">SUM(T699:T708)</f>
        <v>0</v>
      </c>
      <c r="U709" s="531"/>
      <c r="V709" s="531"/>
      <c r="W709" s="531"/>
      <c r="X709" s="531"/>
      <c r="Y709" s="531"/>
      <c r="Z709" s="531"/>
      <c r="AA709" s="531"/>
      <c r="AB709" s="531"/>
      <c r="AC709" s="531"/>
      <c r="AD709" s="531"/>
      <c r="AE709" s="531"/>
      <c r="AF709" s="531"/>
      <c r="AG709" s="531"/>
      <c r="AH709" s="531"/>
      <c r="AI709" s="531"/>
      <c r="AJ709" s="531"/>
      <c r="AK709" s="531"/>
      <c r="AL709" s="531"/>
      <c r="AM709" s="531"/>
      <c r="AN709" s="531"/>
      <c r="AO709" s="531"/>
      <c r="AR709" s="761" t="s">
        <v>145</v>
      </c>
      <c r="AS709" s="764"/>
    </row>
    <row r="710" spans="1:45" s="520" customFormat="1" ht="12" thickTop="1">
      <c r="A710" s="51"/>
      <c r="B710" s="41"/>
      <c r="C710" s="51"/>
      <c r="E710" s="42" t="s">
        <v>138</v>
      </c>
      <c r="F710" s="42" t="s">
        <v>139</v>
      </c>
      <c r="G710" s="51"/>
      <c r="H710" s="51"/>
      <c r="I710" s="51"/>
      <c r="J710" s="51"/>
      <c r="K710" s="51" t="s">
        <v>140</v>
      </c>
      <c r="L710" s="51"/>
      <c r="M710" s="51"/>
      <c r="N710" s="51"/>
      <c r="O710" s="52"/>
      <c r="P710" s="51"/>
      <c r="Q710" s="51"/>
      <c r="R710" s="51"/>
      <c r="S710" s="51"/>
      <c r="T710" s="41"/>
      <c r="AG710" s="521" t="s">
        <v>268</v>
      </c>
      <c r="AH710" s="521" t="s">
        <v>269</v>
      </c>
      <c r="AI710" s="521" t="s">
        <v>270</v>
      </c>
      <c r="AJ710" s="521" t="s">
        <v>271</v>
      </c>
      <c r="AK710" s="521" t="s">
        <v>272</v>
      </c>
      <c r="AM710" s="745" t="s">
        <v>281</v>
      </c>
      <c r="AN710" s="746" t="s">
        <v>282</v>
      </c>
      <c r="AO710" s="522" t="s">
        <v>278</v>
      </c>
      <c r="AR710" s="51"/>
      <c r="AS710" s="42" t="s">
        <v>139</v>
      </c>
    </row>
    <row r="711" spans="1:45" s="520" customFormat="1" ht="12" customHeight="1">
      <c r="A711" s="747">
        <v>90</v>
      </c>
      <c r="B711" s="523" t="s">
        <v>320</v>
      </c>
      <c r="C711" s="748"/>
      <c r="D711" s="749" t="s">
        <v>4066</v>
      </c>
      <c r="E711" s="1425">
        <f ca="1">IF(AND($A711=0,$A$1="DIF"),0, ROUND(ROUND(($R720*$S$10+($T720*$T$10))/$A711,2)*$C$10,2))</f>
        <v>784.59</v>
      </c>
      <c r="F711" s="1426">
        <f ca="1">ROUND($A711*$E711,2)</f>
        <v>70613.100000000006</v>
      </c>
      <c r="G711" s="752" t="s">
        <v>142</v>
      </c>
      <c r="H711" s="753"/>
      <c r="I711" s="754"/>
      <c r="J711" s="753"/>
      <c r="K711" s="753" t="s">
        <v>17</v>
      </c>
      <c r="L711" s="755" t="s">
        <v>143</v>
      </c>
      <c r="M711" s="755"/>
      <c r="N711" s="755"/>
      <c r="O711" s="755"/>
      <c r="P711" s="755"/>
      <c r="Q711" s="1058"/>
      <c r="T711" s="1430" t="str">
        <f ca="1">IF(AND($R720=0,$T720=0),"0.00","mu: "&amp; ROUND(F711/$C$10/($R720+$T720*$D$9),2))</f>
        <v>mu: 1.18</v>
      </c>
      <c r="W711" s="524"/>
      <c r="AG711" s="1427">
        <f ca="1">IF($E711=0,0,ROUND($R720*$S$10*$C$10/$A711,2))</f>
        <v>742.79</v>
      </c>
      <c r="AH711" s="1427">
        <f ca="1">$AG711*$A711</f>
        <v>66851.099999999991</v>
      </c>
      <c r="AI711" s="1428">
        <f ca="1">$E711-$AG711</f>
        <v>41.800000000000068</v>
      </c>
      <c r="AJ711" s="1428">
        <f ca="1">$A711*$AI711</f>
        <v>3762.0000000000064</v>
      </c>
      <c r="AK711" s="1429">
        <f ca="1">ROUND(($AG711+$AI711)*$A711,2)</f>
        <v>70613.100000000006</v>
      </c>
      <c r="AM711" s="527">
        <f ca="1">ROUND(R720,2)</f>
        <v>56651.4</v>
      </c>
      <c r="AN711" s="528">
        <f ca="1">ROUND(T720,2)</f>
        <v>116.1</v>
      </c>
      <c r="AO711" s="529">
        <f ca="1">ROUND(AM711+AN711,2)*A711</f>
        <v>5109075</v>
      </c>
      <c r="AR711" s="747">
        <v>110</v>
      </c>
      <c r="AS711" s="751">
        <v>130301.6</v>
      </c>
    </row>
    <row r="712" spans="1:45" s="520" customFormat="1" ht="36">
      <c r="A712" s="748"/>
      <c r="B712"/>
      <c r="C712" s="748"/>
      <c r="D712" s="769" t="s">
        <v>3867</v>
      </c>
      <c r="F712" s="753"/>
      <c r="G712" s="3"/>
      <c r="H712" s="753"/>
      <c r="I712" s="754"/>
      <c r="J712" s="753"/>
      <c r="K712" s="753" t="s">
        <v>144</v>
      </c>
      <c r="L712" s="753"/>
      <c r="M712" s="753"/>
      <c r="N712" s="753"/>
      <c r="O712" s="753"/>
      <c r="P712" s="753"/>
      <c r="Q712" s="51"/>
      <c r="R712" s="530"/>
      <c r="S712" s="757"/>
      <c r="T712" s="753"/>
      <c r="AR712" s="748"/>
      <c r="AS712" s="753"/>
    </row>
    <row r="713" spans="1:45" s="886" customFormat="1" ht="13.2">
      <c r="A713"/>
      <c r="B713" s="910"/>
      <c r="C713" s="910" t="s">
        <v>2597</v>
      </c>
      <c r="D713" s="910" t="str">
        <f ca="1">CELL("Address",Elec_Rates!D$249)</f>
        <v>[E25_0062_Quintano_Foods_Elec_ELV_As_Awarded.xlsx]Elec_Rates!$D$249</v>
      </c>
      <c r="E713" s="911"/>
      <c r="F713" s="911"/>
      <c r="G713" s="912" t="s">
        <v>2598</v>
      </c>
      <c r="H713" s="912"/>
      <c r="I713" s="912"/>
      <c r="J713" s="912"/>
      <c r="K713" s="913"/>
      <c r="L713" s="911"/>
      <c r="M713" s="911"/>
      <c r="N713" s="911"/>
      <c r="O713" s="914"/>
      <c r="P713" s="911"/>
      <c r="Q713" s="915"/>
      <c r="R713" s="916"/>
      <c r="S713" s="915"/>
      <c r="T713" s="917"/>
      <c r="U713" s="918"/>
      <c r="AR713"/>
      <c r="AS713" s="911"/>
    </row>
    <row r="714" spans="1:45" s="886" customFormat="1" ht="11.4">
      <c r="A714" s="919">
        <v>90</v>
      </c>
      <c r="B714" s="920">
        <v>1</v>
      </c>
      <c r="C714" s="920">
        <f>$A714*$B714</f>
        <v>90</v>
      </c>
      <c r="D714" s="921" t="str">
        <f>Elec_Rates!$D$249</f>
        <v>024# 5 x 240mm2  F120 Fire Resistant Cable (BS7846) -  XLPE/SWA/LSZH</v>
      </c>
      <c r="E714" s="921"/>
      <c r="F714" s="921" t="s">
        <v>2599</v>
      </c>
      <c r="G714" s="922" t="s">
        <v>2601</v>
      </c>
      <c r="H714" s="922"/>
      <c r="I714" s="922"/>
      <c r="J714" s="922"/>
      <c r="K714" s="923"/>
      <c r="L714" s="918"/>
      <c r="M714" s="918"/>
      <c r="N714" s="918"/>
      <c r="O714" s="924"/>
      <c r="P714" s="921"/>
      <c r="Q714" s="925">
        <f ca="1">$B714*Elec_Rates!$R$249</f>
        <v>209.82</v>
      </c>
      <c r="R714" s="916">
        <f ca="1">$A714*Q714</f>
        <v>18883.8</v>
      </c>
      <c r="S714" s="925">
        <f ca="1">$B714*Elec_Rates!$T$249</f>
        <v>0.43</v>
      </c>
      <c r="T714" s="917">
        <f ca="1">$A714*S714</f>
        <v>38.700000000000003</v>
      </c>
      <c r="U714" s="926"/>
      <c r="AR714" s="919">
        <v>110</v>
      </c>
      <c r="AS714" s="921" t="s">
        <v>2599</v>
      </c>
    </row>
    <row r="715" spans="1:45" s="886" customFormat="1" ht="13.2">
      <c r="A715"/>
      <c r="B715" s="910"/>
      <c r="C715" s="910" t="s">
        <v>2597</v>
      </c>
      <c r="D715" s="910" t="str">
        <f ca="1">CELL("Address",Elec_Rates!D$249)</f>
        <v>[E25_0062_Quintano_Foods_Elec_ELV_As_Awarded.xlsx]Elec_Rates!$D$249</v>
      </c>
      <c r="E715" s="911"/>
      <c r="F715" s="911"/>
      <c r="G715" s="912" t="s">
        <v>2598</v>
      </c>
      <c r="H715" s="912"/>
      <c r="I715" s="912"/>
      <c r="J715" s="912"/>
      <c r="K715" s="913"/>
      <c r="L715" s="911"/>
      <c r="M715" s="911"/>
      <c r="N715" s="911"/>
      <c r="O715" s="914"/>
      <c r="P715" s="911"/>
      <c r="Q715" s="915"/>
      <c r="R715" s="916"/>
      <c r="S715" s="915"/>
      <c r="T715" s="917"/>
      <c r="U715" s="918"/>
      <c r="AR715"/>
      <c r="AS715" s="911"/>
    </row>
    <row r="716" spans="1:45" s="886" customFormat="1" ht="11.4">
      <c r="A716" s="919">
        <v>90</v>
      </c>
      <c r="B716" s="920">
        <v>1</v>
      </c>
      <c r="C716" s="920">
        <f>$A716*$B716</f>
        <v>90</v>
      </c>
      <c r="D716" s="921" t="str">
        <f>Elec_Rates!$D$249</f>
        <v>024# 5 x 240mm2  F120 Fire Resistant Cable (BS7846) -  XLPE/SWA/LSZH</v>
      </c>
      <c r="E716" s="921"/>
      <c r="F716" s="921" t="s">
        <v>2599</v>
      </c>
      <c r="G716" s="922" t="s">
        <v>2601</v>
      </c>
      <c r="H716" s="922"/>
      <c r="I716" s="922"/>
      <c r="J716" s="922"/>
      <c r="K716" s="923"/>
      <c r="L716" s="918"/>
      <c r="M716" s="918"/>
      <c r="N716" s="918"/>
      <c r="O716" s="924"/>
      <c r="P716" s="921"/>
      <c r="Q716" s="925">
        <f ca="1">$B716*Elec_Rates!$R$249</f>
        <v>209.82</v>
      </c>
      <c r="R716" s="916">
        <f ca="1">$A716*Q716</f>
        <v>18883.8</v>
      </c>
      <c r="S716" s="925">
        <f ca="1">$B716*Elec_Rates!$T$249</f>
        <v>0.43</v>
      </c>
      <c r="T716" s="917">
        <f ca="1">$A716*S716</f>
        <v>38.700000000000003</v>
      </c>
      <c r="U716" s="926"/>
      <c r="AR716" s="919">
        <v>110</v>
      </c>
      <c r="AS716" s="921" t="s">
        <v>2599</v>
      </c>
    </row>
    <row r="717" spans="1:45" s="886" customFormat="1" ht="13.2">
      <c r="A717"/>
      <c r="B717" s="910"/>
      <c r="C717" s="910" t="s">
        <v>2597</v>
      </c>
      <c r="D717" s="910" t="str">
        <f ca="1">CELL("Address",Elec_Rates!D$249)</f>
        <v>[E25_0062_Quintano_Foods_Elec_ELV_As_Awarded.xlsx]Elec_Rates!$D$249</v>
      </c>
      <c r="E717" s="911"/>
      <c r="F717" s="911"/>
      <c r="G717" s="912" t="s">
        <v>2598</v>
      </c>
      <c r="H717" s="912"/>
      <c r="I717" s="912"/>
      <c r="J717" s="912"/>
      <c r="K717" s="913"/>
      <c r="L717" s="911"/>
      <c r="M717" s="911"/>
      <c r="N717" s="911"/>
      <c r="O717" s="914"/>
      <c r="P717" s="911"/>
      <c r="Q717" s="915"/>
      <c r="R717" s="916"/>
      <c r="S717" s="915"/>
      <c r="T717" s="917"/>
      <c r="U717" s="918"/>
      <c r="AR717"/>
      <c r="AS717" s="911"/>
    </row>
    <row r="718" spans="1:45" s="886" customFormat="1" ht="11.4">
      <c r="A718" s="919">
        <v>90</v>
      </c>
      <c r="B718" s="920">
        <v>1</v>
      </c>
      <c r="C718" s="920">
        <f>$A718*$B718</f>
        <v>90</v>
      </c>
      <c r="D718" s="921" t="str">
        <f>Elec_Rates!$D$249</f>
        <v>024# 5 x 240mm2  F120 Fire Resistant Cable (BS7846) -  XLPE/SWA/LSZH</v>
      </c>
      <c r="E718" s="921"/>
      <c r="F718" s="921" t="s">
        <v>2599</v>
      </c>
      <c r="G718" s="922" t="s">
        <v>2601</v>
      </c>
      <c r="H718" s="922"/>
      <c r="I718" s="922"/>
      <c r="J718" s="922"/>
      <c r="K718" s="923"/>
      <c r="L718" s="918"/>
      <c r="M718" s="918"/>
      <c r="N718" s="918"/>
      <c r="O718" s="924"/>
      <c r="P718" s="921"/>
      <c r="Q718" s="925">
        <f ca="1">$B718*Elec_Rates!$R$249</f>
        <v>209.82</v>
      </c>
      <c r="R718" s="916">
        <f ca="1">$A718*Q718</f>
        <v>18883.8</v>
      </c>
      <c r="S718" s="925">
        <f ca="1">$B718*Elec_Rates!$T$249</f>
        <v>0.43</v>
      </c>
      <c r="T718" s="917">
        <f ca="1">$A718*S718</f>
        <v>38.700000000000003</v>
      </c>
      <c r="U718" s="926"/>
      <c r="AR718" s="919">
        <v>110</v>
      </c>
      <c r="AS718" s="921" t="s">
        <v>2599</v>
      </c>
    </row>
    <row r="719" spans="1:45" s="520" customFormat="1" ht="12">
      <c r="A719" s="758"/>
      <c r="B719" s="758"/>
      <c r="C719" s="758"/>
      <c r="D719" s="758"/>
      <c r="E719" s="758"/>
      <c r="F719" s="753"/>
      <c r="G719" s="758"/>
      <c r="H719" s="758"/>
      <c r="I719" s="519"/>
      <c r="J719" s="758"/>
      <c r="K719" s="758"/>
      <c r="L719" s="758"/>
      <c r="M719" s="758"/>
      <c r="N719" s="758"/>
      <c r="O719" s="758"/>
      <c r="P719" s="758"/>
      <c r="Q719" s="519"/>
      <c r="R719" s="759">
        <f>$A719*Q719</f>
        <v>0</v>
      </c>
      <c r="S719" s="519"/>
      <c r="T719" s="760">
        <f>$A719*S719*$T$1</f>
        <v>0</v>
      </c>
      <c r="AR719" s="758"/>
      <c r="AS719" s="753"/>
    </row>
    <row r="720" spans="1:45" s="520" customFormat="1" ht="12.6" thickBot="1">
      <c r="A720" s="761" t="s">
        <v>145</v>
      </c>
      <c r="B720" s="762">
        <f>(R719+T719)</f>
        <v>0</v>
      </c>
      <c r="C720" s="763"/>
      <c r="D720" s="763"/>
      <c r="E720" s="763"/>
      <c r="F720" s="764"/>
      <c r="G720" s="763" t="s">
        <v>146</v>
      </c>
      <c r="H720" s="763"/>
      <c r="I720" s="765"/>
      <c r="J720" s="763"/>
      <c r="K720" s="763" t="s">
        <v>17</v>
      </c>
      <c r="L720" s="766" t="s">
        <v>143</v>
      </c>
      <c r="M720" s="766"/>
      <c r="N720" s="766"/>
      <c r="O720" s="766"/>
      <c r="P720" s="766"/>
      <c r="Q720" s="767"/>
      <c r="R720" s="768">
        <f ca="1">SUM(R712:R719)</f>
        <v>56651.399999999994</v>
      </c>
      <c r="S720" s="763"/>
      <c r="T720" s="768">
        <f ca="1">SUM(T712:T719)</f>
        <v>116.10000000000001</v>
      </c>
      <c r="U720" s="531"/>
      <c r="V720" s="531"/>
      <c r="W720" s="531"/>
      <c r="X720" s="531"/>
      <c r="Y720" s="531"/>
      <c r="Z720" s="531"/>
      <c r="AA720" s="531"/>
      <c r="AB720" s="531"/>
      <c r="AC720" s="531"/>
      <c r="AD720" s="531"/>
      <c r="AE720" s="531"/>
      <c r="AF720" s="531"/>
      <c r="AG720" s="531"/>
      <c r="AH720" s="531"/>
      <c r="AI720" s="531"/>
      <c r="AJ720" s="531"/>
      <c r="AK720" s="531"/>
      <c r="AL720" s="531"/>
      <c r="AM720" s="531"/>
      <c r="AN720" s="531"/>
      <c r="AO720" s="531"/>
      <c r="AR720" s="761" t="s">
        <v>145</v>
      </c>
      <c r="AS720" s="764"/>
    </row>
    <row r="721" spans="1:45" s="520" customFormat="1" thickTop="1">
      <c r="A721" s="51"/>
      <c r="B721" s="51"/>
      <c r="C721" s="3"/>
      <c r="D721" s="3"/>
      <c r="E721" s="51"/>
      <c r="F721" s="51"/>
      <c r="G721" s="51"/>
      <c r="H721" s="51"/>
      <c r="I721" s="51"/>
      <c r="J721" s="51"/>
      <c r="K721" s="51" t="s">
        <v>134</v>
      </c>
      <c r="L721" s="51"/>
      <c r="M721" s="51"/>
      <c r="N721" s="51"/>
      <c r="O721" s="52"/>
      <c r="P721" s="51"/>
      <c r="Q721" s="51"/>
      <c r="R721" s="51"/>
      <c r="S721" s="51"/>
      <c r="T721" s="51"/>
      <c r="AR721" s="51"/>
      <c r="AS721" s="51"/>
    </row>
    <row r="722" spans="1:45" s="520" customFormat="1" ht="12">
      <c r="A722" s="51"/>
      <c r="B722" s="51"/>
      <c r="C722" s="51" t="s">
        <v>135</v>
      </c>
      <c r="D722" s="37"/>
      <c r="E722" s="51"/>
      <c r="F722" s="51"/>
      <c r="G722" s="51"/>
      <c r="H722" s="51"/>
      <c r="I722" s="51"/>
      <c r="J722" s="51"/>
      <c r="K722" s="51"/>
      <c r="L722" s="51"/>
      <c r="M722" s="51"/>
      <c r="N722" s="51"/>
      <c r="O722" s="52"/>
      <c r="P722" s="51"/>
      <c r="Q722" s="51"/>
      <c r="R722" s="51"/>
      <c r="S722" s="51"/>
      <c r="T722" s="51"/>
      <c r="AR722" s="51"/>
      <c r="AS722" s="51"/>
    </row>
    <row r="723" spans="1:45" s="520" customFormat="1" ht="12">
      <c r="A723" s="51"/>
      <c r="B723" s="51"/>
      <c r="C723" s="51"/>
      <c r="D723" s="37" t="s">
        <v>508</v>
      </c>
      <c r="E723" s="51"/>
      <c r="F723" s="51"/>
      <c r="G723" s="51"/>
      <c r="H723" s="51"/>
      <c r="I723" s="51"/>
      <c r="J723" s="51"/>
      <c r="K723" s="51"/>
      <c r="L723" s="51"/>
      <c r="M723" s="51"/>
      <c r="N723" s="51"/>
      <c r="O723" s="52"/>
      <c r="P723" s="51"/>
      <c r="Q723" s="51"/>
      <c r="R723" s="51"/>
      <c r="S723" s="38"/>
      <c r="T723" s="38"/>
      <c r="AR723" s="51"/>
      <c r="AS723" s="51"/>
    </row>
    <row r="724" spans="1:45" s="3" customFormat="1" thickBot="1">
      <c r="A724" s="531"/>
      <c r="O724" s="107"/>
      <c r="AR724" s="531"/>
    </row>
    <row r="725" spans="1:45" s="520" customFormat="1" ht="12" thickTop="1">
      <c r="A725" s="51"/>
      <c r="B725" s="41"/>
      <c r="C725" s="51"/>
      <c r="E725" s="42" t="s">
        <v>138</v>
      </c>
      <c r="F725" s="42" t="s">
        <v>139</v>
      </c>
      <c r="G725" s="51"/>
      <c r="H725" s="51"/>
      <c r="I725" s="51"/>
      <c r="J725" s="51"/>
      <c r="K725" s="51" t="s">
        <v>140</v>
      </c>
      <c r="L725" s="51"/>
      <c r="M725" s="51"/>
      <c r="N725" s="51"/>
      <c r="O725" s="52"/>
      <c r="P725" s="51"/>
      <c r="Q725" s="51"/>
      <c r="R725" s="51"/>
      <c r="S725" s="51"/>
      <c r="T725" s="41"/>
      <c r="AG725" s="521" t="s">
        <v>268</v>
      </c>
      <c r="AH725" s="521" t="s">
        <v>269</v>
      </c>
      <c r="AI725" s="521" t="s">
        <v>270</v>
      </c>
      <c r="AJ725" s="521" t="s">
        <v>271</v>
      </c>
      <c r="AK725" s="521" t="s">
        <v>272</v>
      </c>
      <c r="AM725" s="745" t="s">
        <v>281</v>
      </c>
      <c r="AN725" s="746" t="s">
        <v>282</v>
      </c>
      <c r="AO725" s="522" t="s">
        <v>278</v>
      </c>
      <c r="AR725" s="51"/>
      <c r="AS725" s="42" t="s">
        <v>139</v>
      </c>
    </row>
    <row r="726" spans="1:45" s="520" customFormat="1" ht="12" customHeight="1">
      <c r="A726" s="747">
        <v>25</v>
      </c>
      <c r="B726" s="523" t="s">
        <v>320</v>
      </c>
      <c r="C726" s="748"/>
      <c r="D726" s="749" t="s">
        <v>1158</v>
      </c>
      <c r="E726" s="1425">
        <f ca="1">IF(AND($A726=0,$A$1="DIF"),0, ROUND(ROUND(($R733*$S$10+($T733*$T$10))/$A726,2)*$C$10,2))</f>
        <v>0</v>
      </c>
      <c r="F726" s="1426">
        <f ca="1">ROUND($A726*$E726,2)</f>
        <v>0</v>
      </c>
      <c r="G726" s="752" t="s">
        <v>142</v>
      </c>
      <c r="H726" s="753"/>
      <c r="I726" s="754"/>
      <c r="J726" s="753"/>
      <c r="K726" s="753" t="s">
        <v>17</v>
      </c>
      <c r="L726" s="755" t="s">
        <v>143</v>
      </c>
      <c r="M726" s="755"/>
      <c r="N726" s="755"/>
      <c r="O726" s="755"/>
      <c r="P726" s="755"/>
      <c r="Q726" s="1058" t="s">
        <v>3848</v>
      </c>
      <c r="T726" s="1430" t="str">
        <f ca="1">IF(AND($R733=0,$T733=0),"0.00","mu: "&amp; ROUND(F726/$C$10/($R733+$T733*$D$9),2))</f>
        <v>0.00</v>
      </c>
      <c r="W726" s="524"/>
      <c r="AG726" s="1427">
        <f ca="1">IF($E726=0,0,ROUND($R733*$S$10*$C$10/$A726,2))</f>
        <v>0</v>
      </c>
      <c r="AH726" s="1427">
        <f ca="1">$AG726*$A726</f>
        <v>0</v>
      </c>
      <c r="AI726" s="1428">
        <f ca="1">$E726-$AG726</f>
        <v>0</v>
      </c>
      <c r="AJ726" s="1428">
        <f ca="1">$A726*$AI726</f>
        <v>0</v>
      </c>
      <c r="AK726" s="1429">
        <f ca="1">ROUND(($AG726+$AI726)*$A726,2)</f>
        <v>0</v>
      </c>
      <c r="AM726" s="527">
        <f ca="1">ROUND(R733,2)</f>
        <v>0</v>
      </c>
      <c r="AN726" s="528">
        <f ca="1">ROUND(T733,2)</f>
        <v>0</v>
      </c>
      <c r="AO726" s="529">
        <f ca="1">ROUND(AM726+AN726,2)*A726</f>
        <v>0</v>
      </c>
      <c r="AR726" s="747">
        <v>25</v>
      </c>
      <c r="AS726" s="751">
        <v>7016.5</v>
      </c>
    </row>
    <row r="727" spans="1:45" s="520" customFormat="1" ht="39.9" customHeight="1">
      <c r="A727" s="748"/>
      <c r="B727"/>
      <c r="C727" s="748"/>
      <c r="D727" s="1451" t="s">
        <v>1159</v>
      </c>
      <c r="E727" s="1452"/>
      <c r="F727" s="1452"/>
      <c r="G727" s="1452"/>
      <c r="H727" s="1452"/>
      <c r="I727" s="1452"/>
      <c r="J727" s="1452"/>
      <c r="K727" s="1452"/>
      <c r="L727" s="1452"/>
      <c r="M727" s="1452"/>
      <c r="N727" s="1452"/>
      <c r="O727" s="1452"/>
      <c r="P727" s="1452"/>
      <c r="Q727" s="1452"/>
      <c r="R727" s="1452"/>
      <c r="S727" s="1452"/>
      <c r="T727" s="1452"/>
      <c r="AR727" s="748"/>
    </row>
    <row r="728" spans="1:45" s="1336" customFormat="1" ht="13.2">
      <c r="A728" s="1086"/>
      <c r="B728" s="1328"/>
      <c r="C728" s="1328" t="s">
        <v>2597</v>
      </c>
      <c r="D728" s="1328" t="str">
        <f ca="1">CELL("Address",Elec_Rates!D$281)</f>
        <v>[E25_0062_Quintano_Foods_Elec_ELV_As_Awarded.xlsx]Elec_Rates!$D$281</v>
      </c>
      <c r="E728" s="1060"/>
      <c r="F728" s="1060"/>
      <c r="G728" s="1329" t="s">
        <v>2598</v>
      </c>
      <c r="H728" s="1329"/>
      <c r="I728" s="1329"/>
      <c r="J728" s="1329"/>
      <c r="K728" s="1330"/>
      <c r="L728" s="1060"/>
      <c r="M728" s="1060"/>
      <c r="N728" s="1060"/>
      <c r="O728" s="1331"/>
      <c r="P728" s="1060"/>
      <c r="Q728" s="1332"/>
      <c r="R728" s="1333"/>
      <c r="S728" s="1332"/>
      <c r="T728" s="1334"/>
      <c r="U728" s="1335"/>
      <c r="AR728" s="1086"/>
      <c r="AS728" s="1060"/>
    </row>
    <row r="729" spans="1:45" s="1336" customFormat="1" ht="11.4">
      <c r="A729" s="1337">
        <v>0</v>
      </c>
      <c r="B729" s="1338">
        <v>1</v>
      </c>
      <c r="C729" s="1338">
        <f>$A729*$B729</f>
        <v>0</v>
      </c>
      <c r="D729" s="1339" t="str">
        <f>Elec_Rates!$D$281</f>
        <v>027# 5 x 120mm2 F120 Fire Resistant Cable (BS7846) -  XLPE/SWA/LSZH</v>
      </c>
      <c r="E729" s="1339"/>
      <c r="F729" s="1339" t="s">
        <v>2599</v>
      </c>
      <c r="G729" s="1340" t="s">
        <v>2601</v>
      </c>
      <c r="H729" s="1340"/>
      <c r="I729" s="1340"/>
      <c r="J729" s="1340"/>
      <c r="K729" s="1341"/>
      <c r="L729" s="1335"/>
      <c r="M729" s="1335"/>
      <c r="N729" s="1335"/>
      <c r="O729" s="1342"/>
      <c r="P729" s="1339"/>
      <c r="Q729" s="1343">
        <f ca="1">$B729*Elec_Rates!$R$281</f>
        <v>104.63</v>
      </c>
      <c r="R729" s="1333">
        <f ca="1">$A729*Q729</f>
        <v>0</v>
      </c>
      <c r="S729" s="1343">
        <f ca="1">$B729*Elec_Rates!$T$281</f>
        <v>0.31</v>
      </c>
      <c r="T729" s="1334">
        <f ca="1">$A729*S729</f>
        <v>0</v>
      </c>
      <c r="U729" s="1344"/>
      <c r="AR729" s="1337">
        <v>25</v>
      </c>
      <c r="AS729" s="1339" t="s">
        <v>2599</v>
      </c>
    </row>
    <row r="730" spans="1:45" s="1336" customFormat="1" ht="13.2">
      <c r="A730" s="1086"/>
      <c r="B730" s="1328"/>
      <c r="C730" s="1328" t="s">
        <v>2597</v>
      </c>
      <c r="D730" s="1328" t="str">
        <f ca="1">CELL("Address",Elec_Rates!D$281)</f>
        <v>[E25_0062_Quintano_Foods_Elec_ELV_As_Awarded.xlsx]Elec_Rates!$D$281</v>
      </c>
      <c r="E730" s="1060"/>
      <c r="F730" s="1060"/>
      <c r="G730" s="1329" t="s">
        <v>2598</v>
      </c>
      <c r="H730" s="1329"/>
      <c r="I730" s="1329"/>
      <c r="J730" s="1329"/>
      <c r="K730" s="1330"/>
      <c r="L730" s="1060"/>
      <c r="M730" s="1060"/>
      <c r="N730" s="1060"/>
      <c r="O730" s="1331"/>
      <c r="P730" s="1060"/>
      <c r="Q730" s="1332"/>
      <c r="R730" s="1333"/>
      <c r="S730" s="1332"/>
      <c r="T730" s="1334"/>
      <c r="U730" s="1335"/>
      <c r="AR730" s="1086"/>
      <c r="AS730" s="1060"/>
    </row>
    <row r="731" spans="1:45" s="1336" customFormat="1" ht="11.4">
      <c r="A731" s="1337">
        <v>0</v>
      </c>
      <c r="B731" s="1338">
        <v>1</v>
      </c>
      <c r="C731" s="1338">
        <f>$A731*$B731</f>
        <v>0</v>
      </c>
      <c r="D731" s="1339" t="str">
        <f>Elec_Rates!$D$281</f>
        <v>027# 5 x 120mm2 F120 Fire Resistant Cable (BS7846) -  XLPE/SWA/LSZH</v>
      </c>
      <c r="E731" s="1339"/>
      <c r="F731" s="1339" t="s">
        <v>2599</v>
      </c>
      <c r="G731" s="1340" t="s">
        <v>2601</v>
      </c>
      <c r="H731" s="1340"/>
      <c r="I731" s="1340"/>
      <c r="J731" s="1340"/>
      <c r="K731" s="1341"/>
      <c r="L731" s="1335"/>
      <c r="M731" s="1335"/>
      <c r="N731" s="1335"/>
      <c r="O731" s="1342"/>
      <c r="P731" s="1339"/>
      <c r="Q731" s="1343">
        <f ca="1">$B731*Elec_Rates!$R$281</f>
        <v>104.63</v>
      </c>
      <c r="R731" s="1333">
        <f ca="1">$A731*Q731</f>
        <v>0</v>
      </c>
      <c r="S731" s="1343">
        <f ca="1">$B731*Elec_Rates!$T$281</f>
        <v>0.31</v>
      </c>
      <c r="T731" s="1334">
        <f ca="1">$A731*S731</f>
        <v>0</v>
      </c>
      <c r="U731" s="1344"/>
      <c r="AR731" s="1337">
        <v>25</v>
      </c>
      <c r="AS731" s="1339" t="s">
        <v>2599</v>
      </c>
    </row>
    <row r="732" spans="1:45" s="520" customFormat="1" ht="12">
      <c r="A732" s="758"/>
      <c r="B732" s="758"/>
      <c r="C732" s="758"/>
      <c r="D732" s="758"/>
      <c r="E732" s="758"/>
      <c r="F732" s="753"/>
      <c r="G732" s="758"/>
      <c r="H732" s="758"/>
      <c r="I732" s="519"/>
      <c r="J732" s="758"/>
      <c r="K732" s="758"/>
      <c r="L732" s="758"/>
      <c r="M732" s="758"/>
      <c r="N732" s="758"/>
      <c r="O732" s="758"/>
      <c r="P732" s="758"/>
      <c r="Q732" s="519"/>
      <c r="R732" s="759">
        <f>$A732*Q732</f>
        <v>0</v>
      </c>
      <c r="S732" s="519"/>
      <c r="T732" s="760">
        <f>$A732*S732*$T$1</f>
        <v>0</v>
      </c>
      <c r="AR732" s="758"/>
      <c r="AS732" s="753"/>
    </row>
    <row r="733" spans="1:45" s="520" customFormat="1" ht="12.6" thickBot="1">
      <c r="A733" s="761" t="s">
        <v>145</v>
      </c>
      <c r="B733" s="762">
        <f>(R732+T732)</f>
        <v>0</v>
      </c>
      <c r="C733" s="763"/>
      <c r="D733" s="763"/>
      <c r="E733" s="763"/>
      <c r="F733" s="764"/>
      <c r="G733" s="763" t="s">
        <v>146</v>
      </c>
      <c r="H733" s="763"/>
      <c r="I733" s="765"/>
      <c r="J733" s="763"/>
      <c r="K733" s="763" t="s">
        <v>17</v>
      </c>
      <c r="L733" s="766" t="s">
        <v>143</v>
      </c>
      <c r="M733" s="766"/>
      <c r="N733" s="766"/>
      <c r="O733" s="766"/>
      <c r="P733" s="766"/>
      <c r="Q733" s="767"/>
      <c r="R733" s="768">
        <f ca="1">SUM(R727:R732)</f>
        <v>0</v>
      </c>
      <c r="S733" s="763"/>
      <c r="T733" s="768">
        <f ca="1">SUM(T727:T732)</f>
        <v>0</v>
      </c>
      <c r="U733" s="531"/>
      <c r="V733" s="531"/>
      <c r="W733" s="531"/>
      <c r="X733" s="531"/>
      <c r="Y733" s="531"/>
      <c r="Z733" s="531"/>
      <c r="AA733" s="531"/>
      <c r="AB733" s="531"/>
      <c r="AC733" s="531"/>
      <c r="AD733" s="531"/>
      <c r="AE733" s="531"/>
      <c r="AF733" s="531"/>
      <c r="AG733" s="531"/>
      <c r="AH733" s="531"/>
      <c r="AI733" s="531"/>
      <c r="AJ733" s="531"/>
      <c r="AK733" s="531"/>
      <c r="AL733" s="531"/>
      <c r="AM733" s="531"/>
      <c r="AN733" s="531"/>
      <c r="AO733" s="531"/>
      <c r="AR733" s="761" t="s">
        <v>145</v>
      </c>
      <c r="AS733" s="764"/>
    </row>
    <row r="734" spans="1:45" s="520" customFormat="1" ht="12" thickTop="1">
      <c r="A734" s="51"/>
      <c r="B734" s="41"/>
      <c r="C734" s="51"/>
      <c r="E734" s="42" t="s">
        <v>138</v>
      </c>
      <c r="F734" s="42" t="s">
        <v>139</v>
      </c>
      <c r="G734" s="51"/>
      <c r="H734" s="51"/>
      <c r="I734" s="51"/>
      <c r="J734" s="51"/>
      <c r="K734" s="51" t="s">
        <v>140</v>
      </c>
      <c r="L734" s="51"/>
      <c r="M734" s="51"/>
      <c r="N734" s="51"/>
      <c r="O734" s="52"/>
      <c r="P734" s="51"/>
      <c r="Q734" s="51"/>
      <c r="R734" s="51"/>
      <c r="S734" s="51"/>
      <c r="T734" s="41"/>
      <c r="AG734" s="521" t="s">
        <v>268</v>
      </c>
      <c r="AH734" s="521" t="s">
        <v>269</v>
      </c>
      <c r="AI734" s="521" t="s">
        <v>270</v>
      </c>
      <c r="AJ734" s="521" t="s">
        <v>271</v>
      </c>
      <c r="AK734" s="521" t="s">
        <v>272</v>
      </c>
      <c r="AM734" s="745" t="s">
        <v>281</v>
      </c>
      <c r="AN734" s="746" t="s">
        <v>282</v>
      </c>
      <c r="AO734" s="522" t="s">
        <v>278</v>
      </c>
      <c r="AR734" s="51"/>
      <c r="AS734" s="42" t="s">
        <v>139</v>
      </c>
    </row>
    <row r="735" spans="1:45" s="520" customFormat="1" ht="12" customHeight="1">
      <c r="A735" s="747">
        <v>20</v>
      </c>
      <c r="B735" s="523" t="s">
        <v>320</v>
      </c>
      <c r="C735" s="748"/>
      <c r="D735" s="749" t="s">
        <v>1160</v>
      </c>
      <c r="E735" s="1425">
        <f ca="1">IF(AND($A735=0,$A$1="DIF"),0, ROUND(ROUND(($R740*$S$10+($T740*$T$10))/$A735,2)*$C$10,2))</f>
        <v>107.91</v>
      </c>
      <c r="F735" s="1426">
        <f ca="1">ROUND($A735*$E735,2)</f>
        <v>2158.1999999999998</v>
      </c>
      <c r="G735" s="752" t="s">
        <v>142</v>
      </c>
      <c r="H735" s="753"/>
      <c r="I735" s="754"/>
      <c r="J735" s="753"/>
      <c r="K735" s="753" t="s">
        <v>17</v>
      </c>
      <c r="L735" s="755" t="s">
        <v>143</v>
      </c>
      <c r="M735" s="755"/>
      <c r="N735" s="755"/>
      <c r="O735" s="755"/>
      <c r="P735" s="755"/>
      <c r="Q735" s="51"/>
      <c r="T735" s="1430" t="str">
        <f ca="1">IF(AND($R740=0,$T740=0),"0.00","mu: "&amp; ROUND(F735/$C$10/($R740+$T740*$D$9),2))</f>
        <v>mu: 1.18</v>
      </c>
      <c r="W735" s="524"/>
      <c r="AG735" s="1427">
        <f ca="1">IF($E735=0,0,ROUND($R740*$S$10*$C$10/$A735,2))</f>
        <v>99.16</v>
      </c>
      <c r="AH735" s="1427">
        <f ca="1">$AG735*$A735</f>
        <v>1983.1999999999998</v>
      </c>
      <c r="AI735" s="1428">
        <f ca="1">$E735-$AG735</f>
        <v>8.75</v>
      </c>
      <c r="AJ735" s="1428">
        <f ca="1">$A735*$AI735</f>
        <v>175</v>
      </c>
      <c r="AK735" s="1429">
        <f ca="1">ROUND(($AG735+$AI735)*$A735,2)</f>
        <v>2158.1999999999998</v>
      </c>
      <c r="AM735" s="527">
        <f ca="1">ROUND(R740,2)</f>
        <v>1680.6</v>
      </c>
      <c r="AN735" s="528">
        <f ca="1">ROUND(T740,2)</f>
        <v>5.4</v>
      </c>
      <c r="AO735" s="529">
        <f ca="1">ROUND(AM735+AN735,2)*A735</f>
        <v>33720</v>
      </c>
      <c r="AR735" s="747">
        <v>20</v>
      </c>
      <c r="AS735" s="751">
        <v>2272.1999999999998</v>
      </c>
    </row>
    <row r="736" spans="1:45" s="520" customFormat="1" ht="39.9" customHeight="1">
      <c r="A736" s="748"/>
      <c r="B736"/>
      <c r="C736" s="748"/>
      <c r="D736" s="1451" t="s">
        <v>1161</v>
      </c>
      <c r="E736" s="1452"/>
      <c r="F736" s="1452"/>
      <c r="G736" s="1452"/>
      <c r="H736" s="1452"/>
      <c r="I736" s="1452"/>
      <c r="J736" s="1452"/>
      <c r="K736" s="1452"/>
      <c r="L736" s="1452"/>
      <c r="M736" s="1452"/>
      <c r="N736" s="1452"/>
      <c r="O736" s="1452"/>
      <c r="P736" s="1452"/>
      <c r="Q736" s="1452"/>
      <c r="R736" s="1452"/>
      <c r="S736" s="1452"/>
      <c r="T736" s="1452"/>
      <c r="AR736" s="748"/>
    </row>
    <row r="737" spans="1:45" s="886" customFormat="1" ht="13.2">
      <c r="A737"/>
      <c r="B737" s="910"/>
      <c r="C737" s="910" t="s">
        <v>2597</v>
      </c>
      <c r="D737" s="910" t="str">
        <f ca="1">CELL("Address",Elec_Rates!D$303)</f>
        <v>[E25_0062_Quintano_Foods_Elec_ELV_As_Awarded.xlsx]Elec_Rates!$D$303</v>
      </c>
      <c r="E737" s="911"/>
      <c r="F737" s="911"/>
      <c r="G737" s="912" t="s">
        <v>2598</v>
      </c>
      <c r="H737" s="912"/>
      <c r="I737" s="912"/>
      <c r="J737" s="912"/>
      <c r="K737" s="913"/>
      <c r="L737" s="911"/>
      <c r="M737" s="911"/>
      <c r="N737" s="911"/>
      <c r="O737" s="914"/>
      <c r="P737" s="911"/>
      <c r="Q737" s="915"/>
      <c r="R737" s="916"/>
      <c r="S737" s="915"/>
      <c r="T737" s="917"/>
      <c r="U737" s="918"/>
      <c r="AR737"/>
      <c r="AS737" s="911"/>
    </row>
    <row r="738" spans="1:45" s="886" customFormat="1" ht="11.4">
      <c r="A738" s="919">
        <v>20</v>
      </c>
      <c r="B738" s="920">
        <v>1</v>
      </c>
      <c r="C738" s="920">
        <f>$A738*$B738</f>
        <v>20</v>
      </c>
      <c r="D738" s="921" t="str">
        <f>Elec_Rates!$D$303</f>
        <v>029# 5 x 95mm2 F120 Fire Resistant Cable (BS7846) -  XLPE/SWA/LSZH</v>
      </c>
      <c r="E738" s="921"/>
      <c r="F738" s="921" t="s">
        <v>2599</v>
      </c>
      <c r="G738" s="922" t="s">
        <v>2601</v>
      </c>
      <c r="H738" s="922"/>
      <c r="I738" s="922"/>
      <c r="J738" s="922"/>
      <c r="K738" s="923"/>
      <c r="L738" s="918"/>
      <c r="M738" s="918"/>
      <c r="N738" s="918"/>
      <c r="O738" s="924"/>
      <c r="P738" s="921"/>
      <c r="Q738" s="925">
        <f ca="1">$B738*Elec_Rates!$R$303</f>
        <v>84.03</v>
      </c>
      <c r="R738" s="916">
        <f ca="1">$A738*Q738</f>
        <v>1680.6</v>
      </c>
      <c r="S738" s="925">
        <f ca="1">$B738*Elec_Rates!$T$303</f>
        <v>0.27</v>
      </c>
      <c r="T738" s="917">
        <f ca="1">$A738*S738</f>
        <v>5.4</v>
      </c>
      <c r="U738" s="926"/>
      <c r="AR738" s="919">
        <v>20</v>
      </c>
      <c r="AS738" s="921" t="s">
        <v>2599</v>
      </c>
    </row>
    <row r="739" spans="1:45" s="520" customFormat="1" ht="12">
      <c r="A739" s="51"/>
      <c r="B739" s="758"/>
      <c r="C739" s="758"/>
      <c r="D739" s="758"/>
      <c r="E739" s="758"/>
      <c r="F739" s="753"/>
      <c r="G739" s="758"/>
      <c r="H739" s="758"/>
      <c r="I739" s="519"/>
      <c r="J739" s="758"/>
      <c r="K739" s="758"/>
      <c r="L739" s="758"/>
      <c r="M739" s="758"/>
      <c r="N739" s="758"/>
      <c r="O739" s="758"/>
      <c r="P739" s="758"/>
      <c r="Q739" s="519"/>
      <c r="R739" s="759">
        <f>$A739*Q739</f>
        <v>0</v>
      </c>
      <c r="S739" s="519"/>
      <c r="T739" s="760">
        <f>$A739*S739*$T$1</f>
        <v>0</v>
      </c>
      <c r="AR739" s="51"/>
      <c r="AS739" s="753"/>
    </row>
    <row r="740" spans="1:45" s="520" customFormat="1" ht="12.6" thickBot="1">
      <c r="A740" s="761" t="s">
        <v>145</v>
      </c>
      <c r="B740" s="762">
        <f>(R739+T739)</f>
        <v>0</v>
      </c>
      <c r="C740" s="763"/>
      <c r="D740" s="763"/>
      <c r="E740" s="763"/>
      <c r="F740" s="764"/>
      <c r="G740" s="763" t="s">
        <v>146</v>
      </c>
      <c r="H740" s="763"/>
      <c r="I740" s="765"/>
      <c r="J740" s="763"/>
      <c r="K740" s="763" t="s">
        <v>17</v>
      </c>
      <c r="L740" s="766" t="s">
        <v>143</v>
      </c>
      <c r="M740" s="766"/>
      <c r="N740" s="766"/>
      <c r="O740" s="766"/>
      <c r="P740" s="766"/>
      <c r="Q740" s="767"/>
      <c r="R740" s="768">
        <f ca="1">SUM(R736:R739)</f>
        <v>1680.6</v>
      </c>
      <c r="S740" s="763"/>
      <c r="T740" s="768">
        <f ca="1">SUM(T736:T739)</f>
        <v>5.4</v>
      </c>
      <c r="U740" s="531"/>
      <c r="V740" s="531"/>
      <c r="W740" s="531"/>
      <c r="X740" s="531"/>
      <c r="Y740" s="531"/>
      <c r="Z740" s="531"/>
      <c r="AA740" s="531"/>
      <c r="AB740" s="531"/>
      <c r="AC740" s="531"/>
      <c r="AD740" s="531"/>
      <c r="AE740" s="531"/>
      <c r="AF740" s="531"/>
      <c r="AG740" s="531"/>
      <c r="AH740" s="531"/>
      <c r="AI740" s="531"/>
      <c r="AJ740" s="531"/>
      <c r="AK740" s="531"/>
      <c r="AL740" s="531"/>
      <c r="AM740" s="531"/>
      <c r="AN740" s="531"/>
      <c r="AO740" s="531"/>
      <c r="AR740" s="761" t="s">
        <v>145</v>
      </c>
      <c r="AS740" s="764"/>
    </row>
    <row r="741" spans="1:45" s="520" customFormat="1" ht="12" thickTop="1">
      <c r="A741" s="51"/>
      <c r="B741" s="41"/>
      <c r="C741" s="51"/>
      <c r="E741" s="42" t="s">
        <v>138</v>
      </c>
      <c r="F741" s="42" t="s">
        <v>139</v>
      </c>
      <c r="G741" s="51"/>
      <c r="H741" s="51"/>
      <c r="I741" s="51"/>
      <c r="J741" s="51"/>
      <c r="K741" s="51" t="s">
        <v>140</v>
      </c>
      <c r="L741" s="51"/>
      <c r="M741" s="51"/>
      <c r="N741" s="51"/>
      <c r="O741" s="52"/>
      <c r="P741" s="51"/>
      <c r="Q741" s="51"/>
      <c r="R741" s="51"/>
      <c r="S741" s="51"/>
      <c r="T741" s="41"/>
      <c r="AG741" s="521" t="s">
        <v>268</v>
      </c>
      <c r="AH741" s="521" t="s">
        <v>269</v>
      </c>
      <c r="AI741" s="521" t="s">
        <v>270</v>
      </c>
      <c r="AJ741" s="521" t="s">
        <v>271</v>
      </c>
      <c r="AK741" s="521" t="s">
        <v>272</v>
      </c>
      <c r="AM741" s="745" t="s">
        <v>281</v>
      </c>
      <c r="AN741" s="746" t="s">
        <v>282</v>
      </c>
      <c r="AO741" s="522" t="s">
        <v>278</v>
      </c>
      <c r="AR741" s="51"/>
      <c r="AS741" s="42" t="s">
        <v>139</v>
      </c>
    </row>
    <row r="742" spans="1:45" s="520" customFormat="1" ht="12" customHeight="1">
      <c r="A742" s="747">
        <v>20</v>
      </c>
      <c r="B742" s="523" t="s">
        <v>320</v>
      </c>
      <c r="C742" s="748"/>
      <c r="D742" s="749" t="s">
        <v>1162</v>
      </c>
      <c r="E742" s="750">
        <f ca="1">IF(AND($A742=0,$A$1="DIF"),0, ROUND(ROUND(($R747*$S$2+($T747*$T$2))/$A742,2)*$C$2,2))</f>
        <v>35.24</v>
      </c>
      <c r="F742" s="751">
        <f ca="1">ROUND($A742*$E742,2)</f>
        <v>704.8</v>
      </c>
      <c r="G742" s="752" t="s">
        <v>142</v>
      </c>
      <c r="H742" s="753"/>
      <c r="I742" s="754"/>
      <c r="J742" s="753"/>
      <c r="K742" s="753" t="s">
        <v>3</v>
      </c>
      <c r="L742" s="755" t="s">
        <v>143</v>
      </c>
      <c r="M742" s="755"/>
      <c r="N742" s="755"/>
      <c r="O742" s="755"/>
      <c r="P742" s="755"/>
      <c r="Q742" s="51"/>
      <c r="T742" s="756" t="str">
        <f ca="1">IF(AND($R747=0,$T747=0),"0.00","mu: "&amp; ROUND(F742/$C$2/($R747+$T747*$D$9),2))</f>
        <v>mu: 1.23</v>
      </c>
      <c r="W742" s="524"/>
      <c r="AG742" s="481">
        <f ca="1">IF($E742=0,0,ROUND($R747*$S$2*$C$2/$A742,2))</f>
        <v>31.52</v>
      </c>
      <c r="AH742" s="481">
        <f ca="1">$AG742*$A742</f>
        <v>630.4</v>
      </c>
      <c r="AI742" s="525">
        <f ca="1">$E742-$AG742</f>
        <v>3.7200000000000024</v>
      </c>
      <c r="AJ742" s="525">
        <f ca="1">$A742*$AI742</f>
        <v>74.400000000000048</v>
      </c>
      <c r="AK742" s="526">
        <f ca="1">ROUND(($AG742+$AI742)*$A742,2)</f>
        <v>704.8</v>
      </c>
      <c r="AM742" s="527">
        <f ca="1">ROUND(R747,2)</f>
        <v>512</v>
      </c>
      <c r="AN742" s="528">
        <f ca="1">ROUND(T747,2)</f>
        <v>2.2000000000000002</v>
      </c>
      <c r="AO742" s="529">
        <f ca="1">ROUND(AM742+AN742,2)*A742</f>
        <v>10284</v>
      </c>
      <c r="AR742" s="747">
        <v>20</v>
      </c>
      <c r="AS742" s="751">
        <v>711.6</v>
      </c>
    </row>
    <row r="743" spans="1:45" s="520" customFormat="1" ht="39.9" customHeight="1">
      <c r="A743" s="748"/>
      <c r="B743"/>
      <c r="C743" s="748"/>
      <c r="D743" s="1451" t="s">
        <v>1163</v>
      </c>
      <c r="E743" s="1452"/>
      <c r="F743" s="1452"/>
      <c r="G743" s="1452"/>
      <c r="H743" s="1452"/>
      <c r="I743" s="1452"/>
      <c r="J743" s="1452"/>
      <c r="K743" s="1452"/>
      <c r="L743" s="1452"/>
      <c r="M743" s="1452"/>
      <c r="N743" s="1452"/>
      <c r="O743" s="1452"/>
      <c r="P743" s="1452"/>
      <c r="Q743" s="1452"/>
      <c r="R743" s="1452"/>
      <c r="S743" s="1452"/>
      <c r="T743" s="1452"/>
      <c r="AR743" s="748"/>
    </row>
    <row r="744" spans="1:45" s="886" customFormat="1" ht="13.2">
      <c r="A744"/>
      <c r="B744" s="910"/>
      <c r="C744" s="910" t="s">
        <v>2597</v>
      </c>
      <c r="D744" s="910" t="str">
        <f ca="1">CELL("Address",Elec_Rates!D$385)</f>
        <v>[E25_0062_Quintano_Foods_Elec_ELV_As_Awarded.xlsx]Elec_Rates!$D$385</v>
      </c>
      <c r="E744" s="911"/>
      <c r="F744" s="911"/>
      <c r="G744" s="912" t="s">
        <v>2598</v>
      </c>
      <c r="H744" s="912"/>
      <c r="I744" s="912"/>
      <c r="J744" s="912"/>
      <c r="K744" s="913"/>
      <c r="L744" s="911"/>
      <c r="M744" s="911"/>
      <c r="N744" s="911"/>
      <c r="O744" s="914"/>
      <c r="P744" s="911"/>
      <c r="Q744" s="915"/>
      <c r="R744" s="916"/>
      <c r="S744" s="915"/>
      <c r="T744" s="917"/>
      <c r="U744" s="918"/>
      <c r="AR744"/>
      <c r="AS744" s="911"/>
    </row>
    <row r="745" spans="1:45" s="886" customFormat="1" ht="11.4">
      <c r="A745" s="919">
        <v>20</v>
      </c>
      <c r="B745" s="920">
        <v>1</v>
      </c>
      <c r="C745" s="920">
        <f>$A745*$B745</f>
        <v>20</v>
      </c>
      <c r="D745" s="921" t="str">
        <f>Elec_Rates!$D$385</f>
        <v>037# 5 x 16mm2 F120 Fire Resistant Cable (BS7846) -  XLPE/SWA/LSZH</v>
      </c>
      <c r="E745" s="921"/>
      <c r="F745" s="921" t="s">
        <v>2599</v>
      </c>
      <c r="G745" s="922" t="s">
        <v>2601</v>
      </c>
      <c r="H745" s="922"/>
      <c r="I745" s="922"/>
      <c r="J745" s="922"/>
      <c r="K745" s="923"/>
      <c r="L745" s="918"/>
      <c r="M745" s="918"/>
      <c r="N745" s="918"/>
      <c r="O745" s="924"/>
      <c r="P745" s="921"/>
      <c r="Q745" s="925">
        <f ca="1">$B745*Elec_Rates!$R$385</f>
        <v>25.6</v>
      </c>
      <c r="R745" s="916">
        <f ca="1">$A745*Q745</f>
        <v>512</v>
      </c>
      <c r="S745" s="925">
        <f ca="1">$B745*Elec_Rates!$T$385</f>
        <v>0.11</v>
      </c>
      <c r="T745" s="917">
        <f ca="1">$A745*S745</f>
        <v>2.2000000000000002</v>
      </c>
      <c r="U745" s="926"/>
      <c r="AR745" s="919">
        <v>20</v>
      </c>
      <c r="AS745" s="921" t="s">
        <v>2599</v>
      </c>
    </row>
    <row r="746" spans="1:45" s="520" customFormat="1" ht="12">
      <c r="A746" s="51"/>
      <c r="B746" s="758"/>
      <c r="C746" s="758"/>
      <c r="D746" s="758"/>
      <c r="E746" s="758"/>
      <c r="F746" s="753"/>
      <c r="G746" s="758"/>
      <c r="H746" s="758"/>
      <c r="I746" s="519"/>
      <c r="J746" s="758"/>
      <c r="K746" s="758"/>
      <c r="L746" s="758"/>
      <c r="M746" s="758"/>
      <c r="N746" s="758"/>
      <c r="O746" s="758"/>
      <c r="P746" s="758"/>
      <c r="Q746" s="519"/>
      <c r="R746" s="759">
        <f>$A746*Q746</f>
        <v>0</v>
      </c>
      <c r="S746" s="519"/>
      <c r="T746" s="760">
        <f>$A746*S746*$T$1</f>
        <v>0</v>
      </c>
      <c r="AR746" s="51"/>
      <c r="AS746" s="753"/>
    </row>
    <row r="747" spans="1:45" s="520" customFormat="1" ht="12.6" thickBot="1">
      <c r="A747" s="761" t="s">
        <v>145</v>
      </c>
      <c r="B747" s="762">
        <f>(R746+T746)</f>
        <v>0</v>
      </c>
      <c r="C747" s="763"/>
      <c r="D747" s="763"/>
      <c r="E747" s="763"/>
      <c r="F747" s="764"/>
      <c r="G747" s="763" t="s">
        <v>146</v>
      </c>
      <c r="H747" s="763"/>
      <c r="I747" s="765"/>
      <c r="J747" s="763"/>
      <c r="K747" s="763" t="s">
        <v>3</v>
      </c>
      <c r="L747" s="766" t="s">
        <v>143</v>
      </c>
      <c r="M747" s="766"/>
      <c r="N747" s="766"/>
      <c r="O747" s="766"/>
      <c r="P747" s="766"/>
      <c r="Q747" s="767"/>
      <c r="R747" s="768">
        <f ca="1">SUM(R743:R746)</f>
        <v>512</v>
      </c>
      <c r="S747" s="763"/>
      <c r="T747" s="768">
        <f ca="1">SUM(T743:T746)</f>
        <v>2.2000000000000002</v>
      </c>
      <c r="U747" s="531"/>
      <c r="V747" s="531"/>
      <c r="W747" s="531"/>
      <c r="X747" s="531"/>
      <c r="Y747" s="531"/>
      <c r="Z747" s="531"/>
      <c r="AA747" s="531"/>
      <c r="AB747" s="531"/>
      <c r="AC747" s="531"/>
      <c r="AD747" s="531"/>
      <c r="AE747" s="531"/>
      <c r="AF747" s="531"/>
      <c r="AG747" s="531"/>
      <c r="AH747" s="531"/>
      <c r="AI747" s="531"/>
      <c r="AJ747" s="531"/>
      <c r="AK747" s="531"/>
      <c r="AL747" s="531"/>
      <c r="AM747" s="531"/>
      <c r="AN747" s="531"/>
      <c r="AO747" s="531"/>
      <c r="AR747" s="761" t="s">
        <v>145</v>
      </c>
      <c r="AS747" s="764"/>
    </row>
    <row r="748" spans="1:45" s="520" customFormat="1" ht="12" thickTop="1">
      <c r="A748" s="51"/>
      <c r="B748" s="41"/>
      <c r="C748" s="51"/>
      <c r="E748" s="42" t="s">
        <v>138</v>
      </c>
      <c r="F748" s="42" t="s">
        <v>139</v>
      </c>
      <c r="G748" s="51"/>
      <c r="H748" s="51"/>
      <c r="I748" s="51"/>
      <c r="J748" s="51"/>
      <c r="K748" s="51" t="s">
        <v>140</v>
      </c>
      <c r="L748" s="51"/>
      <c r="M748" s="51"/>
      <c r="N748" s="51"/>
      <c r="O748" s="52"/>
      <c r="P748" s="51"/>
      <c r="Q748" s="51"/>
      <c r="R748" s="51"/>
      <c r="S748" s="51"/>
      <c r="T748" s="41"/>
      <c r="AG748" s="521" t="s">
        <v>268</v>
      </c>
      <c r="AH748" s="521" t="s">
        <v>269</v>
      </c>
      <c r="AI748" s="521" t="s">
        <v>270</v>
      </c>
      <c r="AJ748" s="521" t="s">
        <v>271</v>
      </c>
      <c r="AK748" s="521" t="s">
        <v>272</v>
      </c>
      <c r="AM748" s="745" t="s">
        <v>281</v>
      </c>
      <c r="AN748" s="746" t="s">
        <v>282</v>
      </c>
      <c r="AO748" s="522" t="s">
        <v>278</v>
      </c>
      <c r="AR748" s="51"/>
      <c r="AS748" s="42" t="s">
        <v>139</v>
      </c>
    </row>
    <row r="749" spans="1:45" s="520" customFormat="1" ht="12" customHeight="1">
      <c r="A749" s="747">
        <v>20</v>
      </c>
      <c r="B749" s="523" t="s">
        <v>320</v>
      </c>
      <c r="C749" s="748"/>
      <c r="D749" s="749" t="s">
        <v>1164</v>
      </c>
      <c r="E749" s="750">
        <f ca="1">IF(AND($A749=0,$A$1="DIF"),0, ROUND(ROUND(($R754*$S$2+($T754*$T$2))/$A749,2)*$C$2,2))</f>
        <v>55.61</v>
      </c>
      <c r="F749" s="751">
        <f ca="1">ROUND($A749*$E749,2)</f>
        <v>1112.2</v>
      </c>
      <c r="G749" s="752" t="s">
        <v>142</v>
      </c>
      <c r="H749" s="753"/>
      <c r="I749" s="754"/>
      <c r="J749" s="753"/>
      <c r="K749" s="753" t="s">
        <v>3</v>
      </c>
      <c r="L749" s="755" t="s">
        <v>143</v>
      </c>
      <c r="M749" s="755"/>
      <c r="N749" s="755"/>
      <c r="O749" s="755"/>
      <c r="P749" s="755"/>
      <c r="Q749" s="51"/>
      <c r="T749" s="756" t="str">
        <f ca="1">IF(AND($R754=0,$T754=0),"0.00","mu: "&amp; ROUND(F749/$C$2/($R754+$T754*$D$9),2))</f>
        <v>mu: 1.23</v>
      </c>
      <c r="W749" s="524"/>
      <c r="AG749" s="481">
        <f ca="1">IF($E749=0,0,ROUND($R754*$S$2*$C$2/$A749,2))</f>
        <v>47.49</v>
      </c>
      <c r="AH749" s="481">
        <f ca="1">$AG749*$A749</f>
        <v>949.80000000000007</v>
      </c>
      <c r="AI749" s="525">
        <f ca="1">$E749-$AG749</f>
        <v>8.1199999999999974</v>
      </c>
      <c r="AJ749" s="525">
        <f ca="1">$A749*$AI749</f>
        <v>162.39999999999995</v>
      </c>
      <c r="AK749" s="526">
        <f ca="1">ROUND(($AG749+$AI749)*$A749,2)</f>
        <v>1112.2</v>
      </c>
      <c r="AM749" s="527">
        <f ca="1">ROUND(R754,2)</f>
        <v>771.4</v>
      </c>
      <c r="AN749" s="528">
        <f ca="1">ROUND(T754,2)</f>
        <v>4.8</v>
      </c>
      <c r="AO749" s="529">
        <f ca="1">ROUND(AM749+AN749,2)*A749</f>
        <v>15524</v>
      </c>
      <c r="AR749" s="747">
        <v>20</v>
      </c>
      <c r="AS749" s="751">
        <v>1125.5999999999999</v>
      </c>
    </row>
    <row r="750" spans="1:45" s="520" customFormat="1" ht="39.9" customHeight="1">
      <c r="A750" s="748"/>
      <c r="B750"/>
      <c r="C750" s="748"/>
      <c r="D750" s="1451" t="s">
        <v>1165</v>
      </c>
      <c r="E750" s="1452"/>
      <c r="F750" s="1452"/>
      <c r="G750" s="1452"/>
      <c r="H750" s="1452"/>
      <c r="I750" s="1452"/>
      <c r="J750" s="1452"/>
      <c r="K750" s="1452"/>
      <c r="L750" s="1452"/>
      <c r="M750" s="1452"/>
      <c r="N750" s="1452"/>
      <c r="O750" s="1452"/>
      <c r="P750" s="1452"/>
      <c r="Q750" s="1452"/>
      <c r="R750" s="1452"/>
      <c r="S750" s="1452"/>
      <c r="T750" s="1452"/>
      <c r="AR750" s="748"/>
    </row>
    <row r="751" spans="1:45" s="886" customFormat="1" ht="13.2">
      <c r="A751"/>
      <c r="B751" s="910"/>
      <c r="C751" s="910" t="s">
        <v>2597</v>
      </c>
      <c r="D751" s="910" t="str">
        <f ca="1">CELL("Address",Elec_Rates!D$345)</f>
        <v>[E25_0062_Quintano_Foods_Elec_ELV_As_Awarded.xlsx]Elec_Rates!$D$345</v>
      </c>
      <c r="E751" s="911"/>
      <c r="F751" s="911"/>
      <c r="G751" s="912" t="s">
        <v>2598</v>
      </c>
      <c r="H751" s="912"/>
      <c r="I751" s="912"/>
      <c r="J751" s="912"/>
      <c r="K751" s="913"/>
      <c r="L751" s="911"/>
      <c r="M751" s="911"/>
      <c r="N751" s="911"/>
      <c r="O751" s="914"/>
      <c r="P751" s="911"/>
      <c r="Q751" s="915"/>
      <c r="R751" s="916"/>
      <c r="S751" s="915"/>
      <c r="T751" s="917"/>
      <c r="U751" s="918"/>
      <c r="AR751"/>
      <c r="AS751" s="911"/>
    </row>
    <row r="752" spans="1:45" s="886" customFormat="1" ht="11.4">
      <c r="A752" s="919">
        <v>20</v>
      </c>
      <c r="B752" s="920">
        <v>1</v>
      </c>
      <c r="C752" s="920">
        <f>$A752*$B752</f>
        <v>20</v>
      </c>
      <c r="D752" s="921" t="str">
        <f>Elec_Rates!$D$345</f>
        <v>033# 5 x 35mm2 F120 Fire Resistant Cable (BS7846) -  XLPE/SWA/LSZH</v>
      </c>
      <c r="E752" s="921"/>
      <c r="F752" s="921" t="s">
        <v>2599</v>
      </c>
      <c r="G752" s="922" t="s">
        <v>2601</v>
      </c>
      <c r="H752" s="922"/>
      <c r="I752" s="922"/>
      <c r="J752" s="922"/>
      <c r="K752" s="923"/>
      <c r="L752" s="918"/>
      <c r="M752" s="918"/>
      <c r="N752" s="918"/>
      <c r="O752" s="924"/>
      <c r="P752" s="921"/>
      <c r="Q752" s="925">
        <f ca="1">$B752*Elec_Rates!$R$345</f>
        <v>38.57</v>
      </c>
      <c r="R752" s="916">
        <f ca="1">$A752*Q752</f>
        <v>771.4</v>
      </c>
      <c r="S752" s="925">
        <f ca="1">$B752*Elec_Rates!$T$345</f>
        <v>0.24</v>
      </c>
      <c r="T752" s="917">
        <f ca="1">$A752*S752</f>
        <v>4.8</v>
      </c>
      <c r="U752" s="926"/>
      <c r="AR752" s="919">
        <v>20</v>
      </c>
      <c r="AS752" s="921" t="s">
        <v>2599</v>
      </c>
    </row>
    <row r="753" spans="1:45" s="520" customFormat="1" ht="12">
      <c r="A753" s="758"/>
      <c r="B753" s="758"/>
      <c r="C753" s="758"/>
      <c r="D753" s="758"/>
      <c r="E753" s="758"/>
      <c r="F753" s="753"/>
      <c r="G753" s="758"/>
      <c r="H753" s="758"/>
      <c r="I753" s="519"/>
      <c r="J753" s="758"/>
      <c r="K753" s="758"/>
      <c r="L753" s="758"/>
      <c r="M753" s="758"/>
      <c r="N753" s="758"/>
      <c r="O753" s="758"/>
      <c r="P753" s="758"/>
      <c r="Q753" s="519"/>
      <c r="R753" s="759">
        <f>$A753*Q753</f>
        <v>0</v>
      </c>
      <c r="S753" s="519"/>
      <c r="T753" s="760">
        <f>$A753*S753*$T$1</f>
        <v>0</v>
      </c>
      <c r="AR753" s="758"/>
      <c r="AS753" s="753"/>
    </row>
    <row r="754" spans="1:45" s="520" customFormat="1" ht="12.6" thickBot="1">
      <c r="A754" s="761" t="s">
        <v>145</v>
      </c>
      <c r="B754" s="762">
        <f>(R753+T753)</f>
        <v>0</v>
      </c>
      <c r="C754" s="763"/>
      <c r="D754" s="763"/>
      <c r="E754" s="763"/>
      <c r="F754" s="764"/>
      <c r="G754" s="763" t="s">
        <v>146</v>
      </c>
      <c r="H754" s="763"/>
      <c r="I754" s="765"/>
      <c r="J754" s="763"/>
      <c r="K754" s="763" t="s">
        <v>3</v>
      </c>
      <c r="L754" s="766" t="s">
        <v>143</v>
      </c>
      <c r="M754" s="766"/>
      <c r="N754" s="766"/>
      <c r="O754" s="766"/>
      <c r="P754" s="766"/>
      <c r="Q754" s="767"/>
      <c r="R754" s="768">
        <f ca="1">SUM(R750:R753)</f>
        <v>771.4</v>
      </c>
      <c r="S754" s="763"/>
      <c r="T754" s="768">
        <f ca="1">SUM(T750:T753)</f>
        <v>4.8</v>
      </c>
      <c r="U754" s="531"/>
      <c r="V754" s="531"/>
      <c r="W754" s="531"/>
      <c r="X754" s="531"/>
      <c r="Y754" s="531"/>
      <c r="Z754" s="531"/>
      <c r="AA754" s="531"/>
      <c r="AB754" s="531"/>
      <c r="AC754" s="531"/>
      <c r="AD754" s="531"/>
      <c r="AE754" s="531"/>
      <c r="AF754" s="531"/>
      <c r="AG754" s="531"/>
      <c r="AH754" s="531"/>
      <c r="AI754" s="531"/>
      <c r="AJ754" s="531"/>
      <c r="AK754" s="531"/>
      <c r="AL754" s="531"/>
      <c r="AM754" s="531"/>
      <c r="AN754" s="531"/>
      <c r="AO754" s="531"/>
      <c r="AR754" s="761" t="s">
        <v>145</v>
      </c>
      <c r="AS754" s="764"/>
    </row>
    <row r="755" spans="1:45" s="520" customFormat="1" ht="12" thickTop="1">
      <c r="A755" s="48" t="s">
        <v>148</v>
      </c>
      <c r="D755" s="13"/>
      <c r="E755" s="42"/>
      <c r="O755" s="771"/>
      <c r="AR755" s="48" t="s">
        <v>148</v>
      </c>
    </row>
    <row r="756" spans="1:45" s="520" customFormat="1" ht="13.2">
      <c r="B756" s="3"/>
      <c r="O756" s="771"/>
    </row>
    <row r="757" spans="1:45" s="520" customFormat="1" ht="12">
      <c r="B757" s="772">
        <f ca="1">$F757/$C$2-($R757*$S$2+$T757*$T$2)</f>
        <v>-6046.5179173334036</v>
      </c>
      <c r="D757" s="773" t="s">
        <v>3620</v>
      </c>
      <c r="E757" s="774"/>
      <c r="F757" s="775">
        <f ca="1">SUMIF($L463:$L755,"ITEM",F463:F755)</f>
        <v>168539.54000000004</v>
      </c>
      <c r="G757" s="758"/>
      <c r="H757" s="758"/>
      <c r="I757" s="519"/>
      <c r="J757" s="758"/>
      <c r="K757" s="758"/>
      <c r="L757" s="755" t="s">
        <v>157</v>
      </c>
      <c r="M757" s="755"/>
      <c r="N757" s="755"/>
      <c r="O757" s="755"/>
      <c r="P757" s="755"/>
      <c r="R757" s="775">
        <f ca="1">SUMIF($L463:$L755,"ITEM",R463:R755)</f>
        <v>132270.59022222224</v>
      </c>
      <c r="S757" s="776"/>
      <c r="T757" s="775">
        <f ca="1">SUMIF($L463:$L755,"ITEM",T463:T755)</f>
        <v>346.48099999999999</v>
      </c>
      <c r="AS757" s="775">
        <v>344155.08</v>
      </c>
    </row>
    <row r="758" spans="1:45" s="520" customFormat="1" ht="13.2">
      <c r="A758" s="51"/>
      <c r="B758" s="49" t="s">
        <v>1064</v>
      </c>
      <c r="C758" s="51"/>
      <c r="D758" s="3"/>
      <c r="F758" s="777" t="s">
        <v>158</v>
      </c>
      <c r="G758" s="758"/>
      <c r="H758" s="758"/>
      <c r="I758" s="519"/>
      <c r="J758" s="758"/>
      <c r="K758" s="758"/>
      <c r="L758" s="758"/>
      <c r="M758" s="758"/>
      <c r="N758" s="758"/>
      <c r="O758" s="758"/>
      <c r="P758" s="758"/>
      <c r="Q758" s="778"/>
      <c r="R758" s="777" t="s">
        <v>159</v>
      </c>
      <c r="S758" s="38"/>
      <c r="T758" s="777" t="s">
        <v>160</v>
      </c>
      <c r="AR758" s="51"/>
      <c r="AS758" s="777" t="s">
        <v>158</v>
      </c>
    </row>
    <row r="759" spans="1:45" s="520" customFormat="1" ht="13.2">
      <c r="A759" s="758"/>
      <c r="B759" s="3"/>
      <c r="C759" s="758"/>
      <c r="D759" s="3"/>
      <c r="E759" s="3"/>
      <c r="G759" s="3"/>
      <c r="H759" s="3"/>
      <c r="I759" s="3"/>
      <c r="J759" s="3"/>
      <c r="K759" s="3"/>
      <c r="L759" s="3"/>
      <c r="M759" s="3"/>
      <c r="N759" s="3"/>
      <c r="O759" s="107"/>
      <c r="P759" s="3"/>
      <c r="Q759" s="3"/>
      <c r="R759" s="3"/>
      <c r="S759" s="3"/>
      <c r="T759" s="3"/>
      <c r="AR759" s="758"/>
    </row>
    <row r="760" spans="1:45" s="520" customFormat="1" ht="12" thickBot="1">
      <c r="A760" s="531"/>
      <c r="B760" s="763"/>
      <c r="C760" s="763"/>
      <c r="D760" s="531"/>
      <c r="E760" s="39"/>
      <c r="F760" s="779"/>
      <c r="G760" s="763"/>
      <c r="H760" s="763"/>
      <c r="I760" s="765"/>
      <c r="J760" s="763"/>
      <c r="K760" s="763"/>
      <c r="L760" s="766"/>
      <c r="M760" s="766"/>
      <c r="N760" s="766"/>
      <c r="O760" s="766"/>
      <c r="P760" s="766"/>
      <c r="Q760" s="767"/>
      <c r="R760" s="779"/>
      <c r="S760" s="780"/>
      <c r="T760" s="779"/>
      <c r="U760" s="531"/>
      <c r="V760" s="531"/>
      <c r="W760" s="531"/>
      <c r="X760" s="531"/>
      <c r="Y760" s="531"/>
      <c r="Z760" s="531"/>
      <c r="AA760" s="531"/>
      <c r="AB760" s="531"/>
      <c r="AC760" s="531"/>
      <c r="AD760" s="531"/>
      <c r="AE760" s="531"/>
      <c r="AF760" s="531"/>
      <c r="AG760" s="531"/>
      <c r="AH760" s="531"/>
      <c r="AI760" s="531"/>
      <c r="AJ760" s="531"/>
      <c r="AK760" s="531"/>
      <c r="AR760" s="531"/>
      <c r="AS760" s="779"/>
    </row>
    <row r="761" spans="1:45" s="520" customFormat="1" thickTop="1">
      <c r="A761" s="51"/>
      <c r="B761" s="51"/>
      <c r="C761" s="3"/>
      <c r="D761" s="3"/>
      <c r="E761" s="51"/>
      <c r="F761" s="51"/>
      <c r="G761" s="51"/>
      <c r="H761" s="51"/>
      <c r="I761" s="51"/>
      <c r="J761" s="51"/>
      <c r="K761" s="51" t="s">
        <v>134</v>
      </c>
      <c r="L761" s="51"/>
      <c r="M761" s="51"/>
      <c r="N761" s="51"/>
      <c r="O761" s="52"/>
      <c r="P761" s="51"/>
      <c r="Q761" s="51"/>
      <c r="R761" s="51"/>
      <c r="S761" s="51"/>
      <c r="T761" s="51"/>
      <c r="AR761" s="51"/>
      <c r="AS761" s="51"/>
    </row>
    <row r="762" spans="1:45" s="520" customFormat="1" ht="12">
      <c r="A762" s="51"/>
      <c r="B762" s="51"/>
      <c r="C762" s="51" t="s">
        <v>135</v>
      </c>
      <c r="D762" s="37"/>
      <c r="E762" s="51"/>
      <c r="F762" s="51"/>
      <c r="G762" s="51"/>
      <c r="H762" s="51"/>
      <c r="I762" s="51"/>
      <c r="J762" s="51"/>
      <c r="K762" s="51"/>
      <c r="L762" s="51"/>
      <c r="M762" s="51"/>
      <c r="N762" s="51"/>
      <c r="O762" s="52"/>
      <c r="P762" s="51"/>
      <c r="Q762" s="51"/>
      <c r="R762" s="51"/>
      <c r="S762" s="51"/>
      <c r="T762" s="51"/>
      <c r="AR762" s="51"/>
      <c r="AS762" s="51"/>
    </row>
    <row r="763" spans="1:45" s="520" customFormat="1" ht="39.9" customHeight="1">
      <c r="A763" s="51"/>
      <c r="B763" s="51"/>
      <c r="C763" s="51"/>
      <c r="D763" s="1453" t="s">
        <v>498</v>
      </c>
      <c r="E763" s="1452"/>
      <c r="F763" s="1452"/>
      <c r="G763" s="1452"/>
      <c r="H763" s="1452"/>
      <c r="I763" s="1452"/>
      <c r="J763" s="1452"/>
      <c r="K763" s="1452"/>
      <c r="L763" s="1452"/>
      <c r="M763" s="1452"/>
      <c r="N763" s="1452"/>
      <c r="O763" s="1452"/>
      <c r="P763" s="1452"/>
      <c r="Q763" s="1452"/>
      <c r="R763" s="1452"/>
      <c r="S763" s="1452"/>
      <c r="T763" s="1452"/>
      <c r="AR763" s="51"/>
    </row>
    <row r="764" spans="1:45" s="3" customFormat="1" thickBot="1">
      <c r="A764" s="531"/>
      <c r="O764" s="107"/>
      <c r="AR764" s="531"/>
    </row>
    <row r="765" spans="1:45" s="520" customFormat="1" thickTop="1">
      <c r="A765" s="51"/>
      <c r="B765" s="51"/>
      <c r="C765" s="3"/>
      <c r="D765" s="3"/>
      <c r="E765" s="51"/>
      <c r="F765" s="51"/>
      <c r="G765" s="51"/>
      <c r="H765" s="51"/>
      <c r="I765" s="51"/>
      <c r="J765" s="51"/>
      <c r="K765" s="51" t="s">
        <v>134</v>
      </c>
      <c r="L765" s="51"/>
      <c r="M765" s="51"/>
      <c r="N765" s="51"/>
      <c r="O765" s="52"/>
      <c r="P765" s="51"/>
      <c r="Q765" s="51"/>
      <c r="R765" s="51"/>
      <c r="S765" s="51"/>
      <c r="T765" s="51"/>
      <c r="AR765" s="51"/>
      <c r="AS765" s="51"/>
    </row>
    <row r="766" spans="1:45" s="520" customFormat="1" ht="12">
      <c r="A766" s="51"/>
      <c r="B766" s="51"/>
      <c r="C766" s="51" t="s">
        <v>135</v>
      </c>
      <c r="D766" s="37"/>
      <c r="E766" s="51"/>
      <c r="F766" s="51"/>
      <c r="G766" s="51"/>
      <c r="H766" s="51"/>
      <c r="I766" s="51"/>
      <c r="J766" s="51"/>
      <c r="K766" s="51"/>
      <c r="L766" s="51"/>
      <c r="M766" s="51"/>
      <c r="N766" s="51"/>
      <c r="O766" s="52"/>
      <c r="P766" s="51"/>
      <c r="Q766" s="51"/>
      <c r="R766" s="51"/>
      <c r="S766" s="51"/>
      <c r="T766" s="51"/>
      <c r="AR766" s="51"/>
      <c r="AS766" s="51"/>
    </row>
    <row r="767" spans="1:45" s="520" customFormat="1" ht="12">
      <c r="A767" s="51"/>
      <c r="B767" s="51"/>
      <c r="C767" s="51"/>
      <c r="D767" s="37" t="s">
        <v>514</v>
      </c>
      <c r="E767" s="51"/>
      <c r="F767" s="51"/>
      <c r="G767" s="51"/>
      <c r="H767" s="51"/>
      <c r="I767" s="51"/>
      <c r="J767" s="51"/>
      <c r="K767" s="51"/>
      <c r="L767" s="51"/>
      <c r="M767" s="51"/>
      <c r="N767" s="51"/>
      <c r="O767" s="52"/>
      <c r="P767" s="51"/>
      <c r="Q767" s="51"/>
      <c r="R767" s="51"/>
      <c r="S767" s="38"/>
      <c r="T767" s="38"/>
      <c r="AR767" s="51"/>
      <c r="AS767" s="51"/>
    </row>
    <row r="768" spans="1:45" s="3" customFormat="1" thickBot="1">
      <c r="A768" s="531"/>
      <c r="O768" s="107"/>
      <c r="AR768" s="531"/>
    </row>
    <row r="769" spans="1:45" s="520" customFormat="1" ht="12" thickTop="1">
      <c r="A769" s="51"/>
      <c r="B769" s="41"/>
      <c r="C769" s="51"/>
      <c r="E769" s="42" t="s">
        <v>138</v>
      </c>
      <c r="F769" s="42" t="s">
        <v>139</v>
      </c>
      <c r="G769" s="51"/>
      <c r="H769" s="51"/>
      <c r="I769" s="51"/>
      <c r="J769" s="51"/>
      <c r="K769" s="51" t="s">
        <v>140</v>
      </c>
      <c r="L769" s="51"/>
      <c r="M769" s="51"/>
      <c r="N769" s="51"/>
      <c r="O769" s="52"/>
      <c r="P769" s="51"/>
      <c r="Q769" s="51"/>
      <c r="R769" s="51"/>
      <c r="S769" s="51"/>
      <c r="T769" s="41"/>
      <c r="AG769" s="521" t="s">
        <v>268</v>
      </c>
      <c r="AH769" s="521" t="s">
        <v>269</v>
      </c>
      <c r="AI769" s="521" t="s">
        <v>270</v>
      </c>
      <c r="AJ769" s="521" t="s">
        <v>271</v>
      </c>
      <c r="AK769" s="521" t="s">
        <v>272</v>
      </c>
      <c r="AM769" s="745" t="s">
        <v>281</v>
      </c>
      <c r="AN769" s="746" t="s">
        <v>282</v>
      </c>
      <c r="AO769" s="522" t="s">
        <v>278</v>
      </c>
      <c r="AR769" s="51"/>
      <c r="AS769" s="42" t="s">
        <v>139</v>
      </c>
    </row>
    <row r="770" spans="1:45" s="520" customFormat="1" ht="12" customHeight="1">
      <c r="A770" s="747">
        <v>15</v>
      </c>
      <c r="B770" s="523" t="s">
        <v>320</v>
      </c>
      <c r="C770" s="748"/>
      <c r="D770" s="749" t="s">
        <v>1166</v>
      </c>
      <c r="E770" s="1425">
        <f ca="1">IF(AND($A770=0,$A$1="DIF"),0, ROUND(ROUND(($R775*$S$10+($T775*$T$10))/$A770,2)*$C$10,2))</f>
        <v>108.02</v>
      </c>
      <c r="F770" s="1426">
        <f ca="1">ROUND($A770*$E770,2)</f>
        <v>1620.3</v>
      </c>
      <c r="G770" s="752" t="s">
        <v>142</v>
      </c>
      <c r="H770" s="753"/>
      <c r="I770" s="754"/>
      <c r="J770" s="753"/>
      <c r="K770" s="753" t="s">
        <v>17</v>
      </c>
      <c r="L770" s="755" t="s">
        <v>143</v>
      </c>
      <c r="M770" s="755"/>
      <c r="N770" s="755"/>
      <c r="O770" s="755"/>
      <c r="P770" s="755"/>
      <c r="Q770" s="51"/>
      <c r="T770" s="1430" t="str">
        <f ca="1">IF(AND($R775=0,$T775=0),"0.00","mu: "&amp; ROUND(F770/$C$10/($R775+$T775*$D$9),2))</f>
        <v>mu: 1.18</v>
      </c>
      <c r="W770" s="524"/>
      <c r="AG770" s="1427">
        <f ca="1">IF($E770=0,0,ROUND($R775*$S$10*$C$10/$A770,2))</f>
        <v>96.35</v>
      </c>
      <c r="AH770" s="1427">
        <f ca="1">$AG770*$A770</f>
        <v>1445.25</v>
      </c>
      <c r="AI770" s="1428">
        <f ca="1">$E770-$AG770</f>
        <v>11.670000000000002</v>
      </c>
      <c r="AJ770" s="1428">
        <f ca="1">$A770*$AI770</f>
        <v>175.05</v>
      </c>
      <c r="AK770" s="1429">
        <f ca="1">ROUND(($AG770+$AI770)*$A770,2)</f>
        <v>1620.3</v>
      </c>
      <c r="AM770" s="527">
        <f ca="1">ROUND(R775,2)</f>
        <v>1224.75</v>
      </c>
      <c r="AN770" s="528">
        <f ca="1">ROUND(T775,2)</f>
        <v>5.4</v>
      </c>
      <c r="AO770" s="529">
        <f ca="1">ROUND(AM770+AN770,2)*A770</f>
        <v>18452.25</v>
      </c>
      <c r="AR770" s="747">
        <v>15</v>
      </c>
      <c r="AS770" s="751">
        <v>1710.9</v>
      </c>
    </row>
    <row r="771" spans="1:45" s="520" customFormat="1" ht="13.2">
      <c r="A771" s="748"/>
      <c r="B771"/>
      <c r="C771" s="748"/>
      <c r="D771" s="749" t="s">
        <v>1167</v>
      </c>
      <c r="F771" s="753"/>
      <c r="G771" s="3"/>
      <c r="H771" s="753"/>
      <c r="I771" s="754"/>
      <c r="J771" s="753"/>
      <c r="K771" s="753" t="s">
        <v>144</v>
      </c>
      <c r="L771" s="753"/>
      <c r="M771" s="753"/>
      <c r="N771" s="753"/>
      <c r="O771" s="753"/>
      <c r="P771" s="753"/>
      <c r="Q771" s="51"/>
      <c r="R771" s="530"/>
      <c r="S771" s="757"/>
      <c r="T771" s="753"/>
      <c r="AR771" s="748"/>
      <c r="AS771" s="753"/>
    </row>
    <row r="772" spans="1:45" s="886" customFormat="1" ht="13.2">
      <c r="A772"/>
      <c r="B772" s="910"/>
      <c r="C772" s="910" t="s">
        <v>2597</v>
      </c>
      <c r="D772" s="910" t="str">
        <f ca="1">CELL("Address",Elec_Rates!D$293)</f>
        <v>[E25_0062_Quintano_Foods_Elec_ELV_As_Awarded.xlsx]Elec_Rates!$D$293</v>
      </c>
      <c r="E772" s="911"/>
      <c r="F772" s="911"/>
      <c r="G772" s="912" t="s">
        <v>2598</v>
      </c>
      <c r="H772" s="912"/>
      <c r="I772" s="912"/>
      <c r="J772" s="912"/>
      <c r="K772" s="913"/>
      <c r="L772" s="911"/>
      <c r="M772" s="911"/>
      <c r="N772" s="911"/>
      <c r="O772" s="914"/>
      <c r="P772" s="911"/>
      <c r="Q772" s="915"/>
      <c r="R772" s="916"/>
      <c r="S772" s="915"/>
      <c r="T772" s="917"/>
      <c r="U772" s="918"/>
      <c r="AR772"/>
      <c r="AS772" s="911"/>
    </row>
    <row r="773" spans="1:45" s="886" customFormat="1" ht="11.4">
      <c r="A773" s="919">
        <v>15</v>
      </c>
      <c r="B773" s="920">
        <v>1</v>
      </c>
      <c r="C773" s="920">
        <f>$A773*$B773</f>
        <v>15</v>
      </c>
      <c r="D773" s="921" t="str">
        <f>Elec_Rates!$D$293</f>
        <v>028# 5 x 120mm2 XLPE/SWA/LSZH</v>
      </c>
      <c r="E773" s="921"/>
      <c r="F773" s="921" t="s">
        <v>2599</v>
      </c>
      <c r="G773" s="922" t="s">
        <v>2601</v>
      </c>
      <c r="H773" s="922"/>
      <c r="I773" s="922"/>
      <c r="J773" s="922"/>
      <c r="K773" s="923"/>
      <c r="L773" s="918"/>
      <c r="M773" s="918"/>
      <c r="N773" s="918"/>
      <c r="O773" s="924"/>
      <c r="P773" s="921"/>
      <c r="Q773" s="925">
        <f ca="1">$B773*Elec_Rates!$R$293</f>
        <v>81.650000000000006</v>
      </c>
      <c r="R773" s="916">
        <f ca="1">$A773*Q773</f>
        <v>1224.75</v>
      </c>
      <c r="S773" s="925">
        <f ca="1">$B773*Elec_Rates!$T$293</f>
        <v>0.36</v>
      </c>
      <c r="T773" s="917">
        <f ca="1">$A773*S773</f>
        <v>5.3999999999999995</v>
      </c>
      <c r="U773" s="926"/>
      <c r="AR773" s="919">
        <v>15</v>
      </c>
      <c r="AS773" s="921" t="s">
        <v>2599</v>
      </c>
    </row>
    <row r="774" spans="1:45" s="520" customFormat="1" ht="12">
      <c r="A774" s="758"/>
      <c r="B774" s="758"/>
      <c r="C774" s="758"/>
      <c r="D774" s="758"/>
      <c r="E774" s="758"/>
      <c r="F774" s="753"/>
      <c r="G774" s="758"/>
      <c r="H774" s="758"/>
      <c r="I774" s="519"/>
      <c r="J774" s="758"/>
      <c r="K774" s="758"/>
      <c r="L774" s="758"/>
      <c r="M774" s="758"/>
      <c r="N774" s="758"/>
      <c r="O774" s="758"/>
      <c r="P774" s="758"/>
      <c r="Q774" s="519"/>
      <c r="R774" s="759">
        <f>$A774*Q774</f>
        <v>0</v>
      </c>
      <c r="S774" s="519"/>
      <c r="T774" s="760">
        <f>$A774*S774*$T$1</f>
        <v>0</v>
      </c>
      <c r="AR774" s="758"/>
      <c r="AS774" s="753"/>
    </row>
    <row r="775" spans="1:45" s="520" customFormat="1" ht="12.6" thickBot="1">
      <c r="A775" s="761" t="s">
        <v>145</v>
      </c>
      <c r="B775" s="762">
        <f>(R774+T774)</f>
        <v>0</v>
      </c>
      <c r="C775" s="763"/>
      <c r="D775" s="763"/>
      <c r="E775" s="763"/>
      <c r="F775" s="764"/>
      <c r="G775" s="763" t="s">
        <v>146</v>
      </c>
      <c r="H775" s="763"/>
      <c r="I775" s="765"/>
      <c r="J775" s="763"/>
      <c r="K775" s="763" t="s">
        <v>17</v>
      </c>
      <c r="L775" s="766" t="s">
        <v>143</v>
      </c>
      <c r="M775" s="766"/>
      <c r="N775" s="766"/>
      <c r="O775" s="766"/>
      <c r="P775" s="766"/>
      <c r="Q775" s="767"/>
      <c r="R775" s="768">
        <f ca="1">SUM(R771:R774)</f>
        <v>1224.75</v>
      </c>
      <c r="S775" s="763"/>
      <c r="T775" s="768">
        <f ca="1">SUM(T771:T774)</f>
        <v>5.3999999999999995</v>
      </c>
      <c r="U775" s="531"/>
      <c r="V775" s="531"/>
      <c r="W775" s="531"/>
      <c r="X775" s="531"/>
      <c r="Y775" s="531"/>
      <c r="Z775" s="531"/>
      <c r="AA775" s="531"/>
      <c r="AB775" s="531"/>
      <c r="AC775" s="531"/>
      <c r="AD775" s="531"/>
      <c r="AE775" s="531"/>
      <c r="AF775" s="531"/>
      <c r="AG775" s="531"/>
      <c r="AH775" s="531"/>
      <c r="AI775" s="531"/>
      <c r="AJ775" s="531"/>
      <c r="AK775" s="531"/>
      <c r="AL775" s="531"/>
      <c r="AM775" s="531"/>
      <c r="AN775" s="531"/>
      <c r="AO775" s="531"/>
      <c r="AR775" s="761" t="s">
        <v>145</v>
      </c>
      <c r="AS775" s="764"/>
    </row>
    <row r="776" spans="1:45" s="520" customFormat="1" ht="12" thickTop="1">
      <c r="A776" s="51"/>
      <c r="B776" s="41"/>
      <c r="C776" s="51"/>
      <c r="E776" s="42" t="s">
        <v>138</v>
      </c>
      <c r="F776" s="42" t="s">
        <v>139</v>
      </c>
      <c r="G776" s="51"/>
      <c r="H776" s="51"/>
      <c r="I776" s="51"/>
      <c r="J776" s="51"/>
      <c r="K776" s="51" t="s">
        <v>140</v>
      </c>
      <c r="L776" s="51"/>
      <c r="M776" s="51"/>
      <c r="N776" s="51"/>
      <c r="O776" s="52"/>
      <c r="P776" s="51"/>
      <c r="Q776" s="51"/>
      <c r="R776" s="51"/>
      <c r="S776" s="51"/>
      <c r="T776" s="41"/>
      <c r="AG776" s="521" t="s">
        <v>268</v>
      </c>
      <c r="AH776" s="521" t="s">
        <v>269</v>
      </c>
      <c r="AI776" s="521" t="s">
        <v>270</v>
      </c>
      <c r="AJ776" s="521" t="s">
        <v>271</v>
      </c>
      <c r="AK776" s="521" t="s">
        <v>272</v>
      </c>
      <c r="AM776" s="745" t="s">
        <v>281</v>
      </c>
      <c r="AN776" s="746" t="s">
        <v>282</v>
      </c>
      <c r="AO776" s="522" t="s">
        <v>278</v>
      </c>
      <c r="AR776" s="51"/>
      <c r="AS776" s="42" t="s">
        <v>139</v>
      </c>
    </row>
    <row r="777" spans="1:45" s="520" customFormat="1" ht="12" customHeight="1">
      <c r="A777" s="747">
        <v>20</v>
      </c>
      <c r="B777" s="523" t="s">
        <v>320</v>
      </c>
      <c r="C777" s="748"/>
      <c r="D777" s="749" t="s">
        <v>1168</v>
      </c>
      <c r="E777" s="750">
        <f ca="1">IF(AND($A777=0,$A$1="DIF"),0, ROUND(ROUND(($R782*$S$2+($T782*$T$2))/$A777,2)*$C$2,2))</f>
        <v>39.06</v>
      </c>
      <c r="F777" s="751">
        <f ca="1">ROUND($A777*$E777,2)</f>
        <v>781.2</v>
      </c>
      <c r="G777" s="752" t="s">
        <v>142</v>
      </c>
      <c r="H777" s="753"/>
      <c r="I777" s="754"/>
      <c r="J777" s="753"/>
      <c r="K777" s="753" t="s">
        <v>3</v>
      </c>
      <c r="L777" s="755" t="s">
        <v>143</v>
      </c>
      <c r="M777" s="755"/>
      <c r="N777" s="755"/>
      <c r="O777" s="755"/>
      <c r="P777" s="755"/>
      <c r="Q777" s="51"/>
      <c r="T777" s="756" t="str">
        <f ca="1">IF(AND($R782=0,$T782=0),"0.00","mu: "&amp; ROUND(F777/$C$2/($R782+$T782*$D$9),2))</f>
        <v>mu: 1.23</v>
      </c>
      <c r="W777" s="524"/>
      <c r="AG777" s="481">
        <f ca="1">IF($E777=0,0,ROUND($R782*$S$2*$C$2/$A777,2))</f>
        <v>35.340000000000003</v>
      </c>
      <c r="AH777" s="481">
        <f ca="1">$AG777*$A777</f>
        <v>706.80000000000007</v>
      </c>
      <c r="AI777" s="525">
        <f ca="1">$E777-$AG777</f>
        <v>3.7199999999999989</v>
      </c>
      <c r="AJ777" s="525">
        <f ca="1">$A777*$AI777</f>
        <v>74.399999999999977</v>
      </c>
      <c r="AK777" s="526">
        <f ca="1">ROUND(($AG777+$AI777)*$A777,2)</f>
        <v>781.2</v>
      </c>
      <c r="AM777" s="527">
        <f ca="1">ROUND(R782,2)</f>
        <v>574</v>
      </c>
      <c r="AN777" s="528">
        <f ca="1">ROUND(T782,2)</f>
        <v>2.2000000000000002</v>
      </c>
      <c r="AO777" s="529">
        <f ca="1">ROUND(AM777+AN777,2)*A777</f>
        <v>11524</v>
      </c>
      <c r="AR777" s="747">
        <v>20</v>
      </c>
      <c r="AS777" s="751">
        <v>794.8</v>
      </c>
    </row>
    <row r="778" spans="1:45" s="520" customFormat="1" ht="36">
      <c r="A778" s="748"/>
      <c r="B778"/>
      <c r="C778" s="748"/>
      <c r="D778" s="769" t="s">
        <v>1169</v>
      </c>
      <c r="F778" s="753"/>
      <c r="G778" s="3"/>
      <c r="H778" s="753"/>
      <c r="I778" s="754"/>
      <c r="J778" s="753"/>
      <c r="K778" s="753" t="s">
        <v>144</v>
      </c>
      <c r="L778" s="753"/>
      <c r="M778" s="753"/>
      <c r="N778" s="753"/>
      <c r="O778" s="753"/>
      <c r="P778" s="753"/>
      <c r="Q778" s="51"/>
      <c r="R778" s="530"/>
      <c r="S778" s="757"/>
      <c r="T778" s="753"/>
      <c r="AR778" s="748"/>
      <c r="AS778" s="753"/>
    </row>
    <row r="779" spans="1:45" s="886" customFormat="1" ht="13.2">
      <c r="A779"/>
      <c r="B779" s="910"/>
      <c r="C779" s="910" t="s">
        <v>2597</v>
      </c>
      <c r="D779" s="910" t="str">
        <f ca="1">CELL("Address",Elec_Rates!D$365)</f>
        <v>[E25_0062_Quintano_Foods_Elec_ELV_As_Awarded.xlsx]Elec_Rates!$D$365</v>
      </c>
      <c r="E779" s="911"/>
      <c r="F779" s="911"/>
      <c r="G779" s="912" t="s">
        <v>2598</v>
      </c>
      <c r="H779" s="912"/>
      <c r="I779" s="912"/>
      <c r="J779" s="912"/>
      <c r="K779" s="913"/>
      <c r="L779" s="911"/>
      <c r="M779" s="911"/>
      <c r="N779" s="911"/>
      <c r="O779" s="914"/>
      <c r="P779" s="911"/>
      <c r="Q779" s="915"/>
      <c r="R779" s="916"/>
      <c r="S779" s="915"/>
      <c r="T779" s="917"/>
      <c r="U779" s="918"/>
      <c r="AR779"/>
      <c r="AS779" s="911"/>
    </row>
    <row r="780" spans="1:45" s="886" customFormat="1" ht="11.4">
      <c r="A780" s="919">
        <v>20</v>
      </c>
      <c r="B780" s="920">
        <v>1</v>
      </c>
      <c r="C780" s="920">
        <f>$A780*$B780</f>
        <v>20</v>
      </c>
      <c r="D780" s="921" t="str">
        <f>Elec_Rates!$D$365</f>
        <v>035# 5 x 25mm2 F120 Fire Resistant Cable (BS7846) -  XLPE/SWA/LSZH</v>
      </c>
      <c r="E780" s="921"/>
      <c r="F780" s="921" t="s">
        <v>2599</v>
      </c>
      <c r="G780" s="922" t="s">
        <v>2601</v>
      </c>
      <c r="H780" s="922"/>
      <c r="I780" s="922"/>
      <c r="J780" s="922"/>
      <c r="K780" s="923"/>
      <c r="L780" s="918"/>
      <c r="M780" s="918"/>
      <c r="N780" s="918"/>
      <c r="O780" s="924"/>
      <c r="P780" s="921"/>
      <c r="Q780" s="925">
        <f ca="1">$B780*Elec_Rates!$R$365</f>
        <v>28.7</v>
      </c>
      <c r="R780" s="916">
        <f ca="1">$A780*Q780</f>
        <v>574</v>
      </c>
      <c r="S780" s="925">
        <f ca="1">$B780*Elec_Rates!$T$365</f>
        <v>0.11</v>
      </c>
      <c r="T780" s="917">
        <f ca="1">$A780*S780</f>
        <v>2.2000000000000002</v>
      </c>
      <c r="U780" s="926"/>
      <c r="AR780" s="919">
        <v>20</v>
      </c>
      <c r="AS780" s="921" t="s">
        <v>2599</v>
      </c>
    </row>
    <row r="781" spans="1:45" s="520" customFormat="1" ht="12">
      <c r="A781" s="758"/>
      <c r="B781" s="758"/>
      <c r="C781" s="758"/>
      <c r="D781" s="758"/>
      <c r="E781" s="758"/>
      <c r="F781" s="753"/>
      <c r="G781" s="758"/>
      <c r="H781" s="758"/>
      <c r="I781" s="519"/>
      <c r="J781" s="758"/>
      <c r="K781" s="758"/>
      <c r="L781" s="758"/>
      <c r="M781" s="758"/>
      <c r="N781" s="758"/>
      <c r="O781" s="758"/>
      <c r="P781" s="758"/>
      <c r="Q781" s="519"/>
      <c r="R781" s="759">
        <f>$A781*Q781</f>
        <v>0</v>
      </c>
      <c r="S781" s="519"/>
      <c r="T781" s="760">
        <f>$A781*S781*$T$1</f>
        <v>0</v>
      </c>
      <c r="AR781" s="758"/>
      <c r="AS781" s="753"/>
    </row>
    <row r="782" spans="1:45" s="520" customFormat="1" ht="12.6" thickBot="1">
      <c r="A782" s="761" t="s">
        <v>145</v>
      </c>
      <c r="B782" s="762">
        <f>(R781+T781)</f>
        <v>0</v>
      </c>
      <c r="C782" s="763"/>
      <c r="D782" s="763"/>
      <c r="E782" s="763"/>
      <c r="F782" s="764"/>
      <c r="G782" s="763" t="s">
        <v>146</v>
      </c>
      <c r="H782" s="763"/>
      <c r="I782" s="765"/>
      <c r="J782" s="763"/>
      <c r="K782" s="763" t="s">
        <v>3</v>
      </c>
      <c r="L782" s="766" t="s">
        <v>143</v>
      </c>
      <c r="M782" s="766"/>
      <c r="N782" s="766"/>
      <c r="O782" s="766"/>
      <c r="P782" s="766"/>
      <c r="Q782" s="767"/>
      <c r="R782" s="768">
        <f ca="1">SUM(R778:R781)</f>
        <v>574</v>
      </c>
      <c r="S782" s="763"/>
      <c r="T782" s="768">
        <f ca="1">SUM(T778:T781)</f>
        <v>2.2000000000000002</v>
      </c>
      <c r="U782" s="531"/>
      <c r="V782" s="531"/>
      <c r="W782" s="531"/>
      <c r="X782" s="531"/>
      <c r="Y782" s="531"/>
      <c r="Z782" s="531"/>
      <c r="AA782" s="531"/>
      <c r="AB782" s="531"/>
      <c r="AC782" s="531"/>
      <c r="AD782" s="531"/>
      <c r="AE782" s="531"/>
      <c r="AF782" s="531"/>
      <c r="AG782" s="531"/>
      <c r="AH782" s="531"/>
      <c r="AI782" s="531"/>
      <c r="AJ782" s="531"/>
      <c r="AK782" s="531"/>
      <c r="AL782" s="531"/>
      <c r="AM782" s="531"/>
      <c r="AN782" s="531"/>
      <c r="AO782" s="531"/>
      <c r="AR782" s="761" t="s">
        <v>145</v>
      </c>
      <c r="AS782" s="764"/>
    </row>
    <row r="783" spans="1:45" s="520" customFormat="1" ht="12" thickTop="1">
      <c r="A783" s="51"/>
      <c r="B783" s="41"/>
      <c r="C783" s="51"/>
      <c r="E783" s="42" t="s">
        <v>138</v>
      </c>
      <c r="F783" s="42" t="s">
        <v>139</v>
      </c>
      <c r="G783" s="51"/>
      <c r="H783" s="51"/>
      <c r="I783" s="51"/>
      <c r="J783" s="51"/>
      <c r="K783" s="51" t="s">
        <v>140</v>
      </c>
      <c r="L783" s="51"/>
      <c r="M783" s="51"/>
      <c r="N783" s="51"/>
      <c r="O783" s="52"/>
      <c r="P783" s="51"/>
      <c r="Q783" s="51"/>
      <c r="R783" s="51"/>
      <c r="S783" s="51"/>
      <c r="T783" s="41"/>
      <c r="AG783" s="521" t="s">
        <v>268</v>
      </c>
      <c r="AH783" s="521" t="s">
        <v>269</v>
      </c>
      <c r="AI783" s="521" t="s">
        <v>270</v>
      </c>
      <c r="AJ783" s="521" t="s">
        <v>271</v>
      </c>
      <c r="AK783" s="521" t="s">
        <v>272</v>
      </c>
      <c r="AM783" s="745" t="s">
        <v>281</v>
      </c>
      <c r="AN783" s="746" t="s">
        <v>282</v>
      </c>
      <c r="AO783" s="522" t="s">
        <v>278</v>
      </c>
      <c r="AR783" s="51"/>
      <c r="AS783" s="42" t="s">
        <v>139</v>
      </c>
    </row>
    <row r="784" spans="1:45" s="520" customFormat="1" ht="12" customHeight="1">
      <c r="A784" s="747">
        <v>25</v>
      </c>
      <c r="B784" s="523" t="s">
        <v>320</v>
      </c>
      <c r="C784" s="748"/>
      <c r="D784" s="749" t="s">
        <v>1170</v>
      </c>
      <c r="E784" s="750">
        <f ca="1">IF(AND($A784=0,$A$1="DIF"),0, ROUND(ROUND(($R789*$S$2+($T789*$T$2))/$A784,2)*$C$2,2))</f>
        <v>34.36</v>
      </c>
      <c r="F784" s="751">
        <f ca="1">ROUND($A784*$E784,2)</f>
        <v>859</v>
      </c>
      <c r="G784" s="752" t="s">
        <v>142</v>
      </c>
      <c r="H784" s="753"/>
      <c r="I784" s="754"/>
      <c r="J784" s="753"/>
      <c r="K784" s="753" t="s">
        <v>3</v>
      </c>
      <c r="L784" s="755" t="s">
        <v>143</v>
      </c>
      <c r="M784" s="755"/>
      <c r="N784" s="755"/>
      <c r="O784" s="755"/>
      <c r="P784" s="755"/>
      <c r="Q784" s="51"/>
      <c r="T784" s="756" t="str">
        <f ca="1">IF(AND($R789=0,$T789=0),"0.00","mu: "&amp; ROUND(F784/$C$2/($R789+$T789*$D$9),2))</f>
        <v>mu: 1.23</v>
      </c>
      <c r="W784" s="524"/>
      <c r="AG784" s="481">
        <f ca="1">IF($E784=0,0,ROUND($R789*$S$2*$C$2/$A784,2))</f>
        <v>28.95</v>
      </c>
      <c r="AH784" s="481">
        <f ca="1">$AG784*$A784</f>
        <v>723.75</v>
      </c>
      <c r="AI784" s="525">
        <f ca="1">$E784-$AG784</f>
        <v>5.41</v>
      </c>
      <c r="AJ784" s="525">
        <f ca="1">$A784*$AI784</f>
        <v>135.25</v>
      </c>
      <c r="AK784" s="526">
        <f ca="1">ROUND(($AG784+$AI784)*$A784,2)</f>
        <v>859</v>
      </c>
      <c r="AM784" s="527">
        <f ca="1">ROUND(R789,2)</f>
        <v>587.75</v>
      </c>
      <c r="AN784" s="528">
        <f ca="1">ROUND(T789,2)</f>
        <v>4</v>
      </c>
      <c r="AO784" s="529">
        <f ca="1">ROUND(AM784+AN784,2)*A784</f>
        <v>14793.75</v>
      </c>
      <c r="AR784" s="747">
        <v>25</v>
      </c>
      <c r="AS784" s="751">
        <v>876</v>
      </c>
    </row>
    <row r="785" spans="1:45" s="520" customFormat="1" ht="13.2">
      <c r="A785" s="748"/>
      <c r="B785"/>
      <c r="C785" s="748"/>
      <c r="D785" s="749" t="s">
        <v>1171</v>
      </c>
      <c r="F785" s="753"/>
      <c r="G785" s="3"/>
      <c r="H785" s="753"/>
      <c r="I785" s="754"/>
      <c r="J785" s="753"/>
      <c r="K785" s="753" t="s">
        <v>144</v>
      </c>
      <c r="L785" s="753"/>
      <c r="M785" s="753"/>
      <c r="N785" s="753"/>
      <c r="O785" s="753"/>
      <c r="P785" s="753"/>
      <c r="Q785" s="51"/>
      <c r="R785" s="530"/>
      <c r="S785" s="757"/>
      <c r="T785" s="753"/>
      <c r="AR785" s="748"/>
      <c r="AS785" s="753"/>
    </row>
    <row r="786" spans="1:45" s="886" customFormat="1" ht="13.2">
      <c r="A786"/>
      <c r="B786" s="910"/>
      <c r="C786" s="910" t="s">
        <v>2597</v>
      </c>
      <c r="D786" s="910" t="str">
        <f ca="1">CELL("Address",Elec_Rates!D$355)</f>
        <v>[E25_0062_Quintano_Foods_Elec_ELV_As_Awarded.xlsx]Elec_Rates!$D$355</v>
      </c>
      <c r="E786" s="911"/>
      <c r="F786" s="911"/>
      <c r="G786" s="912" t="s">
        <v>2598</v>
      </c>
      <c r="H786" s="912"/>
      <c r="I786" s="912"/>
      <c r="J786" s="912"/>
      <c r="K786" s="913"/>
      <c r="L786" s="911"/>
      <c r="M786" s="911"/>
      <c r="N786" s="911"/>
      <c r="O786" s="914"/>
      <c r="P786" s="911"/>
      <c r="Q786" s="915"/>
      <c r="R786" s="916"/>
      <c r="S786" s="915"/>
      <c r="T786" s="917"/>
      <c r="U786" s="918"/>
      <c r="AR786"/>
      <c r="AS786" s="911"/>
    </row>
    <row r="787" spans="1:45" s="886" customFormat="1" ht="11.4">
      <c r="A787" s="919">
        <v>25</v>
      </c>
      <c r="B787" s="920">
        <v>1</v>
      </c>
      <c r="C787" s="920">
        <f>$A787*$B787</f>
        <v>25</v>
      </c>
      <c r="D787" s="921" t="str">
        <f>Elec_Rates!$D$355</f>
        <v>034# 5 x 35mm2 XLPE/SWA/LSZH</v>
      </c>
      <c r="E787" s="921"/>
      <c r="F787" s="921" t="s">
        <v>2599</v>
      </c>
      <c r="G787" s="922" t="s">
        <v>2601</v>
      </c>
      <c r="H787" s="922"/>
      <c r="I787" s="922"/>
      <c r="J787" s="922"/>
      <c r="K787" s="923"/>
      <c r="L787" s="918"/>
      <c r="M787" s="918"/>
      <c r="N787" s="918"/>
      <c r="O787" s="924"/>
      <c r="P787" s="921"/>
      <c r="Q787" s="925">
        <f ca="1">$B787*Elec_Rates!$R$355</f>
        <v>23.51</v>
      </c>
      <c r="R787" s="916">
        <f ca="1">$A787*Q787</f>
        <v>587.75</v>
      </c>
      <c r="S787" s="925">
        <f ca="1">$B787*Elec_Rates!$T$355</f>
        <v>0.16</v>
      </c>
      <c r="T787" s="917">
        <f ca="1">$A787*S787</f>
        <v>4</v>
      </c>
      <c r="U787" s="926"/>
      <c r="AR787" s="919">
        <v>25</v>
      </c>
      <c r="AS787" s="921" t="s">
        <v>2599</v>
      </c>
    </row>
    <row r="788" spans="1:45" s="520" customFormat="1" ht="12">
      <c r="A788" s="758"/>
      <c r="B788" s="758"/>
      <c r="C788" s="758"/>
      <c r="D788" s="758"/>
      <c r="E788" s="758"/>
      <c r="F788" s="753"/>
      <c r="G788" s="758"/>
      <c r="H788" s="758"/>
      <c r="I788" s="519"/>
      <c r="J788" s="758"/>
      <c r="K788" s="758"/>
      <c r="L788" s="758"/>
      <c r="M788" s="758"/>
      <c r="N788" s="758"/>
      <c r="O788" s="758"/>
      <c r="P788" s="758"/>
      <c r="Q788" s="519"/>
      <c r="R788" s="759">
        <f>$A788*Q788</f>
        <v>0</v>
      </c>
      <c r="S788" s="519"/>
      <c r="T788" s="760">
        <f>$A788*S788*$T$1</f>
        <v>0</v>
      </c>
      <c r="AR788" s="758"/>
      <c r="AS788" s="753"/>
    </row>
    <row r="789" spans="1:45" s="520" customFormat="1" ht="12.6" thickBot="1">
      <c r="A789" s="761" t="s">
        <v>145</v>
      </c>
      <c r="B789" s="762">
        <f>(R788+T788)</f>
        <v>0</v>
      </c>
      <c r="C789" s="763"/>
      <c r="D789" s="763"/>
      <c r="E789" s="763"/>
      <c r="F789" s="764"/>
      <c r="G789" s="763" t="s">
        <v>146</v>
      </c>
      <c r="H789" s="763"/>
      <c r="I789" s="765"/>
      <c r="J789" s="763"/>
      <c r="K789" s="763" t="s">
        <v>3</v>
      </c>
      <c r="L789" s="766" t="s">
        <v>143</v>
      </c>
      <c r="M789" s="766"/>
      <c r="N789" s="766"/>
      <c r="O789" s="766"/>
      <c r="P789" s="766"/>
      <c r="Q789" s="767"/>
      <c r="R789" s="768">
        <f ca="1">SUM(R785:R788)</f>
        <v>587.75</v>
      </c>
      <c r="S789" s="763"/>
      <c r="T789" s="768">
        <f ca="1">SUM(T785:T788)</f>
        <v>4</v>
      </c>
      <c r="U789" s="531"/>
      <c r="V789" s="531"/>
      <c r="W789" s="531"/>
      <c r="X789" s="531"/>
      <c r="Y789" s="531"/>
      <c r="Z789" s="531"/>
      <c r="AA789" s="531"/>
      <c r="AB789" s="531"/>
      <c r="AC789" s="531"/>
      <c r="AD789" s="531"/>
      <c r="AE789" s="531"/>
      <c r="AF789" s="531"/>
      <c r="AG789" s="531"/>
      <c r="AH789" s="531"/>
      <c r="AI789" s="531"/>
      <c r="AJ789" s="531"/>
      <c r="AK789" s="531"/>
      <c r="AL789" s="531"/>
      <c r="AM789" s="531"/>
      <c r="AN789" s="531"/>
      <c r="AO789" s="531"/>
      <c r="AR789" s="761" t="s">
        <v>145</v>
      </c>
      <c r="AS789" s="764"/>
    </row>
    <row r="790" spans="1:45" s="520" customFormat="1" ht="12" thickTop="1">
      <c r="A790" s="51"/>
      <c r="B790" s="41"/>
      <c r="C790" s="51"/>
      <c r="E790" s="42" t="s">
        <v>138</v>
      </c>
      <c r="F790" s="42" t="s">
        <v>139</v>
      </c>
      <c r="G790" s="51"/>
      <c r="H790" s="51"/>
      <c r="I790" s="51"/>
      <c r="J790" s="51"/>
      <c r="K790" s="51" t="s">
        <v>140</v>
      </c>
      <c r="L790" s="51"/>
      <c r="M790" s="51"/>
      <c r="N790" s="51"/>
      <c r="O790" s="52"/>
      <c r="P790" s="51"/>
      <c r="Q790" s="51"/>
      <c r="R790" s="51"/>
      <c r="S790" s="51"/>
      <c r="T790" s="41"/>
      <c r="AG790" s="521" t="s">
        <v>268</v>
      </c>
      <c r="AH790" s="521" t="s">
        <v>269</v>
      </c>
      <c r="AI790" s="521" t="s">
        <v>270</v>
      </c>
      <c r="AJ790" s="521" t="s">
        <v>271</v>
      </c>
      <c r="AK790" s="521" t="s">
        <v>272</v>
      </c>
      <c r="AM790" s="745" t="s">
        <v>281</v>
      </c>
      <c r="AN790" s="746" t="s">
        <v>282</v>
      </c>
      <c r="AO790" s="522" t="s">
        <v>278</v>
      </c>
      <c r="AR790" s="51"/>
      <c r="AS790" s="42" t="s">
        <v>139</v>
      </c>
    </row>
    <row r="791" spans="1:45" s="520" customFormat="1" ht="12" customHeight="1">
      <c r="A791" s="747">
        <v>155</v>
      </c>
      <c r="B791" s="523" t="s">
        <v>320</v>
      </c>
      <c r="C791" s="748"/>
      <c r="D791" s="749" t="s">
        <v>1172</v>
      </c>
      <c r="E791" s="1425">
        <f ca="1">IF(AND($A791=0,$A$1="DIF"),0, ROUND(ROUND(($R796*$S$10+($T796*$T$10))/$A791,2)*$C$10,2))</f>
        <v>93.48</v>
      </c>
      <c r="F791" s="1426">
        <f ca="1">ROUND($A791*$E791,2)</f>
        <v>14489.4</v>
      </c>
      <c r="G791" s="752" t="s">
        <v>142</v>
      </c>
      <c r="H791" s="753"/>
      <c r="I791" s="754"/>
      <c r="J791" s="753"/>
      <c r="K791" s="753" t="s">
        <v>17</v>
      </c>
      <c r="L791" s="755" t="s">
        <v>143</v>
      </c>
      <c r="M791" s="755"/>
      <c r="N791" s="755"/>
      <c r="O791" s="755"/>
      <c r="P791" s="755"/>
      <c r="Q791" s="51"/>
      <c r="T791" s="1430" t="str">
        <f ca="1">IF(AND($R796=0,$T796=0),"0.00","mu: "&amp; ROUND(F791/$C$10/($R796+$T796*$D$9),2))</f>
        <v>mu: 1.18</v>
      </c>
      <c r="W791" s="524"/>
      <c r="AG791" s="1427">
        <f ca="1">IF($E791=0,0,ROUND($R796*$S$10*$C$10/$A791,2))</f>
        <v>88.29</v>
      </c>
      <c r="AH791" s="1427">
        <f ca="1">$AG791*$A791</f>
        <v>13684.95</v>
      </c>
      <c r="AI791" s="1428">
        <f ca="1">$E791-$AG791</f>
        <v>5.1899999999999977</v>
      </c>
      <c r="AJ791" s="1428">
        <f ca="1">$A791*$AI791</f>
        <v>804.44999999999959</v>
      </c>
      <c r="AK791" s="1429">
        <f ca="1">ROUND(($AG791+$AI791)*$A791,2)</f>
        <v>14489.4</v>
      </c>
      <c r="AM791" s="527">
        <f ca="1">ROUND(R796,2)</f>
        <v>11597.1</v>
      </c>
      <c r="AN791" s="528">
        <f ca="1">ROUND(T796,2)</f>
        <v>24.8</v>
      </c>
      <c r="AO791" s="529">
        <f ca="1">ROUND(AM791+AN791,2)*A791</f>
        <v>1801394.5</v>
      </c>
      <c r="AR791" s="747">
        <v>155</v>
      </c>
      <c r="AS791" s="751">
        <v>15224.1</v>
      </c>
    </row>
    <row r="792" spans="1:45" s="520" customFormat="1" ht="36">
      <c r="A792" s="748"/>
      <c r="B792"/>
      <c r="C792" s="748"/>
      <c r="D792" s="769" t="s">
        <v>1173</v>
      </c>
      <c r="F792" s="753"/>
      <c r="G792" s="3"/>
      <c r="H792" s="753"/>
      <c r="I792" s="754"/>
      <c r="J792" s="753"/>
      <c r="K792" s="753" t="s">
        <v>144</v>
      </c>
      <c r="L792" s="753"/>
      <c r="M792" s="753"/>
      <c r="N792" s="753"/>
      <c r="O792" s="753"/>
      <c r="P792" s="753"/>
      <c r="Q792" s="51"/>
      <c r="R792" s="530"/>
      <c r="S792" s="757"/>
      <c r="T792" s="753"/>
      <c r="AR792" s="748"/>
      <c r="AS792" s="753"/>
    </row>
    <row r="793" spans="1:45" s="886" customFormat="1" ht="13.2">
      <c r="A793"/>
      <c r="B793" s="910"/>
      <c r="C793" s="910" t="s">
        <v>2597</v>
      </c>
      <c r="D793" s="910" t="str">
        <f ca="1">CELL("Address",Elec_Rates!D$325)</f>
        <v>[E25_0062_Quintano_Foods_Elec_ELV_As_Awarded.xlsx]Elec_Rates!$D$325</v>
      </c>
      <c r="E793" s="911"/>
      <c r="F793" s="911"/>
      <c r="G793" s="912" t="s">
        <v>2598</v>
      </c>
      <c r="H793" s="912"/>
      <c r="I793" s="912"/>
      <c r="J793" s="912"/>
      <c r="K793" s="913"/>
      <c r="L793" s="911"/>
      <c r="M793" s="911"/>
      <c r="N793" s="911"/>
      <c r="O793" s="914"/>
      <c r="P793" s="911"/>
      <c r="Q793" s="915"/>
      <c r="R793" s="916"/>
      <c r="S793" s="915"/>
      <c r="T793" s="917"/>
      <c r="U793" s="918"/>
      <c r="AR793"/>
      <c r="AS793" s="911"/>
    </row>
    <row r="794" spans="1:45" s="886" customFormat="1" ht="11.4">
      <c r="A794" s="919">
        <v>155</v>
      </c>
      <c r="B794" s="920">
        <v>1</v>
      </c>
      <c r="C794" s="920">
        <f>$A794*$B794</f>
        <v>155</v>
      </c>
      <c r="D794" s="921" t="str">
        <f>Elec_Rates!$D$325</f>
        <v>031# 5 x 70mm2  F120 Fire Resistant Cable (BS7846) - XLPE/SWA/LSZH</v>
      </c>
      <c r="E794" s="921"/>
      <c r="F794" s="921" t="s">
        <v>2599</v>
      </c>
      <c r="G794" s="922" t="s">
        <v>2601</v>
      </c>
      <c r="H794" s="922"/>
      <c r="I794" s="922"/>
      <c r="J794" s="922"/>
      <c r="K794" s="923"/>
      <c r="L794" s="918"/>
      <c r="M794" s="918"/>
      <c r="N794" s="918"/>
      <c r="O794" s="924"/>
      <c r="P794" s="921"/>
      <c r="Q794" s="925">
        <f ca="1">$B794*Elec_Rates!$R$325</f>
        <v>74.819999999999993</v>
      </c>
      <c r="R794" s="916">
        <f ca="1">$A794*Q794</f>
        <v>11597.099999999999</v>
      </c>
      <c r="S794" s="925">
        <f ca="1">$B794*Elec_Rates!$T$325</f>
        <v>0.16</v>
      </c>
      <c r="T794" s="917">
        <f ca="1">$A794*S794</f>
        <v>24.8</v>
      </c>
      <c r="U794" s="926"/>
      <c r="AR794" s="919">
        <v>155</v>
      </c>
      <c r="AS794" s="921" t="s">
        <v>2599</v>
      </c>
    </row>
    <row r="795" spans="1:45" s="520" customFormat="1" ht="12">
      <c r="A795" s="758"/>
      <c r="B795" s="758"/>
      <c r="C795" s="758"/>
      <c r="D795" s="758"/>
      <c r="E795" s="758"/>
      <c r="F795" s="753"/>
      <c r="G795" s="758"/>
      <c r="H795" s="758"/>
      <c r="I795" s="519"/>
      <c r="J795" s="758"/>
      <c r="K795" s="758"/>
      <c r="L795" s="758"/>
      <c r="M795" s="758"/>
      <c r="N795" s="758"/>
      <c r="O795" s="758"/>
      <c r="P795" s="758"/>
      <c r="Q795" s="519"/>
      <c r="R795" s="759">
        <f>$A795*Q795</f>
        <v>0</v>
      </c>
      <c r="S795" s="519"/>
      <c r="T795" s="760">
        <f>$A795*S795*$T$1</f>
        <v>0</v>
      </c>
      <c r="AR795" s="758"/>
      <c r="AS795" s="753"/>
    </row>
    <row r="796" spans="1:45" s="520" customFormat="1" ht="12.6" thickBot="1">
      <c r="A796" s="761" t="s">
        <v>145</v>
      </c>
      <c r="B796" s="762">
        <f>(R795+T795)</f>
        <v>0</v>
      </c>
      <c r="C796" s="763"/>
      <c r="D796" s="763"/>
      <c r="E796" s="763"/>
      <c r="F796" s="764"/>
      <c r="G796" s="763" t="s">
        <v>146</v>
      </c>
      <c r="H796" s="763"/>
      <c r="I796" s="765"/>
      <c r="J796" s="763"/>
      <c r="K796" s="763" t="s">
        <v>17</v>
      </c>
      <c r="L796" s="766" t="s">
        <v>143</v>
      </c>
      <c r="M796" s="766"/>
      <c r="N796" s="766"/>
      <c r="O796" s="766"/>
      <c r="P796" s="766"/>
      <c r="Q796" s="767"/>
      <c r="R796" s="768">
        <f ca="1">SUM(R792:R795)</f>
        <v>11597.099999999999</v>
      </c>
      <c r="S796" s="763"/>
      <c r="T796" s="768">
        <f ca="1">SUM(T792:T795)</f>
        <v>24.8</v>
      </c>
      <c r="U796" s="531"/>
      <c r="V796" s="531"/>
      <c r="W796" s="531"/>
      <c r="X796" s="531"/>
      <c r="Y796" s="531"/>
      <c r="Z796" s="531"/>
      <c r="AA796" s="531"/>
      <c r="AB796" s="531"/>
      <c r="AC796" s="531"/>
      <c r="AD796" s="531"/>
      <c r="AE796" s="531"/>
      <c r="AF796" s="531"/>
      <c r="AG796" s="531"/>
      <c r="AH796" s="531"/>
      <c r="AI796" s="531"/>
      <c r="AJ796" s="531"/>
      <c r="AK796" s="531"/>
      <c r="AL796" s="531"/>
      <c r="AM796" s="531"/>
      <c r="AN796" s="531"/>
      <c r="AO796" s="531"/>
      <c r="AR796" s="761" t="s">
        <v>145</v>
      </c>
      <c r="AS796" s="764"/>
    </row>
    <row r="797" spans="1:45" s="520" customFormat="1" ht="12" thickTop="1">
      <c r="A797" s="51"/>
      <c r="B797" s="41"/>
      <c r="C797" s="51"/>
      <c r="E797" s="42" t="s">
        <v>138</v>
      </c>
      <c r="F797" s="42" t="s">
        <v>139</v>
      </c>
      <c r="G797" s="51"/>
      <c r="H797" s="51"/>
      <c r="I797" s="51"/>
      <c r="J797" s="51"/>
      <c r="K797" s="51" t="s">
        <v>140</v>
      </c>
      <c r="L797" s="51"/>
      <c r="M797" s="51"/>
      <c r="N797" s="51"/>
      <c r="O797" s="52"/>
      <c r="P797" s="51"/>
      <c r="Q797" s="51"/>
      <c r="R797" s="51"/>
      <c r="S797" s="51"/>
      <c r="T797" s="41"/>
      <c r="AG797" s="521" t="s">
        <v>268</v>
      </c>
      <c r="AH797" s="521" t="s">
        <v>269</v>
      </c>
      <c r="AI797" s="521" t="s">
        <v>270</v>
      </c>
      <c r="AJ797" s="521" t="s">
        <v>271</v>
      </c>
      <c r="AK797" s="521" t="s">
        <v>272</v>
      </c>
      <c r="AM797" s="745" t="s">
        <v>281</v>
      </c>
      <c r="AN797" s="746" t="s">
        <v>282</v>
      </c>
      <c r="AO797" s="522" t="s">
        <v>278</v>
      </c>
      <c r="AR797" s="51"/>
      <c r="AS797" s="42" t="s">
        <v>139</v>
      </c>
    </row>
    <row r="798" spans="1:45" s="520" customFormat="1" ht="12" customHeight="1">
      <c r="A798" s="747">
        <v>120</v>
      </c>
      <c r="B798" s="523" t="s">
        <v>320</v>
      </c>
      <c r="C798" s="748"/>
      <c r="D798" s="749" t="s">
        <v>1174</v>
      </c>
      <c r="E798" s="750">
        <f ca="1">IF(AND($A798=0,$A$1="DIF"),0, ROUND(ROUND(($R803*$S$2+($T803*$T$2))/$A798,2)*$C$2,2))</f>
        <v>34.36</v>
      </c>
      <c r="F798" s="751">
        <f ca="1">ROUND($A798*$E798,2)</f>
        <v>4123.2</v>
      </c>
      <c r="G798" s="752" t="s">
        <v>142</v>
      </c>
      <c r="H798" s="753"/>
      <c r="I798" s="754"/>
      <c r="J798" s="753"/>
      <c r="K798" s="753" t="s">
        <v>3</v>
      </c>
      <c r="L798" s="755" t="s">
        <v>143</v>
      </c>
      <c r="M798" s="755"/>
      <c r="N798" s="755"/>
      <c r="O798" s="755"/>
      <c r="P798" s="755"/>
      <c r="Q798" s="51"/>
      <c r="T798" s="756" t="str">
        <f ca="1">IF(AND($R803=0,$T803=0),"0.00","mu: "&amp; ROUND(F798/$C$2/($R803+$T803*$D$9),2))</f>
        <v>mu: 1.23</v>
      </c>
      <c r="W798" s="524"/>
      <c r="AG798" s="481">
        <f ca="1">IF($E798=0,0,ROUND($R803*$S$2*$C$2/$A798,2))</f>
        <v>28.95</v>
      </c>
      <c r="AH798" s="481">
        <f ca="1">$AG798*$A798</f>
        <v>3474</v>
      </c>
      <c r="AI798" s="525">
        <f ca="1">$E798-$AG798</f>
        <v>5.41</v>
      </c>
      <c r="AJ798" s="525">
        <f ca="1">$A798*$AI798</f>
        <v>649.20000000000005</v>
      </c>
      <c r="AK798" s="526">
        <f ca="1">ROUND(($AG798+$AI798)*$A798,2)</f>
        <v>4123.2</v>
      </c>
      <c r="AM798" s="527">
        <f ca="1">ROUND(R803,2)</f>
        <v>2821.2</v>
      </c>
      <c r="AN798" s="528">
        <f ca="1">ROUND(T803,2)</f>
        <v>19.2</v>
      </c>
      <c r="AO798" s="529">
        <f ca="1">ROUND(AM798+AN798,2)*A798</f>
        <v>340848</v>
      </c>
      <c r="AR798" s="747">
        <v>120</v>
      </c>
      <c r="AS798" s="751">
        <v>4204.8</v>
      </c>
    </row>
    <row r="799" spans="1:45" s="520" customFormat="1" ht="13.2">
      <c r="A799" s="748"/>
      <c r="B799"/>
      <c r="C799" s="748"/>
      <c r="D799" s="749" t="s">
        <v>1175</v>
      </c>
      <c r="F799" s="753"/>
      <c r="G799" s="3"/>
      <c r="H799" s="753"/>
      <c r="I799" s="754"/>
      <c r="J799" s="753"/>
      <c r="K799" s="753" t="s">
        <v>144</v>
      </c>
      <c r="L799" s="753"/>
      <c r="M799" s="753"/>
      <c r="N799" s="753"/>
      <c r="O799" s="753"/>
      <c r="P799" s="753"/>
      <c r="Q799" s="51"/>
      <c r="R799" s="530"/>
      <c r="S799" s="757"/>
      <c r="T799" s="753"/>
      <c r="AR799" s="748"/>
      <c r="AS799" s="753"/>
    </row>
    <row r="800" spans="1:45" s="886" customFormat="1" ht="13.2">
      <c r="A800"/>
      <c r="B800" s="910"/>
      <c r="C800" s="910" t="s">
        <v>2597</v>
      </c>
      <c r="D800" s="910" t="str">
        <f ca="1">CELL("Address",Elec_Rates!D$355)</f>
        <v>[E25_0062_Quintano_Foods_Elec_ELV_As_Awarded.xlsx]Elec_Rates!$D$355</v>
      </c>
      <c r="E800" s="911"/>
      <c r="F800" s="911"/>
      <c r="G800" s="912" t="s">
        <v>2598</v>
      </c>
      <c r="H800" s="912"/>
      <c r="I800" s="912"/>
      <c r="J800" s="912"/>
      <c r="K800" s="913"/>
      <c r="L800" s="911"/>
      <c r="M800" s="911"/>
      <c r="N800" s="911"/>
      <c r="O800" s="914"/>
      <c r="P800" s="911"/>
      <c r="Q800" s="915"/>
      <c r="R800" s="916"/>
      <c r="S800" s="915"/>
      <c r="T800" s="917"/>
      <c r="U800" s="918"/>
      <c r="AR800"/>
      <c r="AS800" s="911"/>
    </row>
    <row r="801" spans="1:45" s="886" customFormat="1" ht="11.4">
      <c r="A801" s="919">
        <v>120</v>
      </c>
      <c r="B801" s="920">
        <v>1</v>
      </c>
      <c r="C801" s="920">
        <f>$A801*$B801</f>
        <v>120</v>
      </c>
      <c r="D801" s="921" t="str">
        <f>Elec_Rates!$D$355</f>
        <v>034# 5 x 35mm2 XLPE/SWA/LSZH</v>
      </c>
      <c r="E801" s="921"/>
      <c r="F801" s="921" t="s">
        <v>2599</v>
      </c>
      <c r="G801" s="922" t="s">
        <v>2601</v>
      </c>
      <c r="H801" s="922"/>
      <c r="I801" s="922"/>
      <c r="J801" s="922"/>
      <c r="K801" s="923"/>
      <c r="L801" s="918"/>
      <c r="M801" s="918"/>
      <c r="N801" s="918"/>
      <c r="O801" s="924"/>
      <c r="P801" s="921"/>
      <c r="Q801" s="925">
        <f ca="1">$B801*Elec_Rates!$R$355</f>
        <v>23.51</v>
      </c>
      <c r="R801" s="916">
        <f ca="1">$A801*Q801</f>
        <v>2821.2000000000003</v>
      </c>
      <c r="S801" s="925">
        <f ca="1">$B801*Elec_Rates!$T$355</f>
        <v>0.16</v>
      </c>
      <c r="T801" s="917">
        <f ca="1">$A801*S801</f>
        <v>19.2</v>
      </c>
      <c r="U801" s="926"/>
      <c r="AR801" s="919">
        <v>120</v>
      </c>
      <c r="AS801" s="921" t="s">
        <v>2599</v>
      </c>
    </row>
    <row r="802" spans="1:45" s="520" customFormat="1" ht="12">
      <c r="A802" s="758"/>
      <c r="B802" s="758"/>
      <c r="C802" s="758"/>
      <c r="D802" s="758"/>
      <c r="E802" s="758"/>
      <c r="F802" s="753"/>
      <c r="G802" s="758"/>
      <c r="H802" s="758"/>
      <c r="I802" s="519"/>
      <c r="J802" s="758"/>
      <c r="K802" s="758"/>
      <c r="L802" s="758"/>
      <c r="M802" s="758"/>
      <c r="N802" s="758"/>
      <c r="O802" s="758"/>
      <c r="P802" s="758"/>
      <c r="Q802" s="519"/>
      <c r="R802" s="759">
        <f>$A802*Q802</f>
        <v>0</v>
      </c>
      <c r="S802" s="519"/>
      <c r="T802" s="760">
        <f>$A802*S802*$T$1</f>
        <v>0</v>
      </c>
      <c r="AR802" s="758"/>
      <c r="AS802" s="753"/>
    </row>
    <row r="803" spans="1:45" s="520" customFormat="1" ht="12.6" thickBot="1">
      <c r="A803" s="761" t="s">
        <v>145</v>
      </c>
      <c r="B803" s="762">
        <f>(R802+T802)</f>
        <v>0</v>
      </c>
      <c r="C803" s="763"/>
      <c r="D803" s="763"/>
      <c r="E803" s="763"/>
      <c r="F803" s="764"/>
      <c r="G803" s="763" t="s">
        <v>146</v>
      </c>
      <c r="H803" s="763"/>
      <c r="I803" s="765"/>
      <c r="J803" s="763"/>
      <c r="K803" s="763" t="s">
        <v>3</v>
      </c>
      <c r="L803" s="766" t="s">
        <v>143</v>
      </c>
      <c r="M803" s="766"/>
      <c r="N803" s="766"/>
      <c r="O803" s="766"/>
      <c r="P803" s="766"/>
      <c r="Q803" s="767"/>
      <c r="R803" s="768">
        <f ca="1">SUM(R799:R802)</f>
        <v>2821.2000000000003</v>
      </c>
      <c r="S803" s="763"/>
      <c r="T803" s="768">
        <f ca="1">SUM(T799:T802)</f>
        <v>19.2</v>
      </c>
      <c r="U803" s="531"/>
      <c r="V803" s="531"/>
      <c r="W803" s="531"/>
      <c r="X803" s="531"/>
      <c r="Y803" s="531"/>
      <c r="Z803" s="531"/>
      <c r="AA803" s="531"/>
      <c r="AB803" s="531"/>
      <c r="AC803" s="531"/>
      <c r="AD803" s="531"/>
      <c r="AE803" s="531"/>
      <c r="AF803" s="531"/>
      <c r="AG803" s="531"/>
      <c r="AH803" s="531"/>
      <c r="AI803" s="531"/>
      <c r="AJ803" s="531"/>
      <c r="AK803" s="531"/>
      <c r="AL803" s="531"/>
      <c r="AM803" s="531"/>
      <c r="AN803" s="531"/>
      <c r="AO803" s="531"/>
      <c r="AR803" s="761" t="s">
        <v>145</v>
      </c>
      <c r="AS803" s="764"/>
    </row>
    <row r="804" spans="1:45" s="520" customFormat="1" ht="12" thickTop="1">
      <c r="A804" s="51"/>
      <c r="B804" s="41"/>
      <c r="C804" s="51"/>
      <c r="E804" s="42" t="s">
        <v>138</v>
      </c>
      <c r="F804" s="42" t="s">
        <v>139</v>
      </c>
      <c r="G804" s="51"/>
      <c r="H804" s="51"/>
      <c r="I804" s="51"/>
      <c r="J804" s="51"/>
      <c r="K804" s="51" t="s">
        <v>140</v>
      </c>
      <c r="L804" s="51"/>
      <c r="M804" s="51"/>
      <c r="N804" s="51"/>
      <c r="O804" s="52"/>
      <c r="P804" s="51"/>
      <c r="Q804" s="51"/>
      <c r="R804" s="51"/>
      <c r="S804" s="51"/>
      <c r="T804" s="41"/>
      <c r="AG804" s="521" t="s">
        <v>268</v>
      </c>
      <c r="AH804" s="521" t="s">
        <v>269</v>
      </c>
      <c r="AI804" s="521" t="s">
        <v>270</v>
      </c>
      <c r="AJ804" s="521" t="s">
        <v>271</v>
      </c>
      <c r="AK804" s="521" t="s">
        <v>272</v>
      </c>
      <c r="AM804" s="745" t="s">
        <v>281</v>
      </c>
      <c r="AN804" s="746" t="s">
        <v>282</v>
      </c>
      <c r="AO804" s="522" t="s">
        <v>278</v>
      </c>
      <c r="AR804" s="51"/>
      <c r="AS804" s="42" t="s">
        <v>139</v>
      </c>
    </row>
    <row r="805" spans="1:45" s="520" customFormat="1" ht="12" customHeight="1">
      <c r="A805" s="747">
        <v>155</v>
      </c>
      <c r="B805" s="523" t="s">
        <v>320</v>
      </c>
      <c r="C805" s="748"/>
      <c r="D805" s="749" t="s">
        <v>1176</v>
      </c>
      <c r="E805" s="1425">
        <f ca="1">IF(AND($A805=0,$A$1="DIF"),0, ROUND(ROUND(($R810*$S$10+($T810*$T$10))/$A805,2)*$C$10,2))</f>
        <v>119</v>
      </c>
      <c r="F805" s="1426">
        <f ca="1">ROUND($A805*$E805,2)</f>
        <v>18445</v>
      </c>
      <c r="G805" s="752" t="s">
        <v>142</v>
      </c>
      <c r="H805" s="753"/>
      <c r="I805" s="754"/>
      <c r="J805" s="753"/>
      <c r="K805" s="753" t="s">
        <v>17</v>
      </c>
      <c r="L805" s="755" t="s">
        <v>143</v>
      </c>
      <c r="M805" s="755"/>
      <c r="N805" s="755"/>
      <c r="O805" s="755"/>
      <c r="P805" s="755"/>
      <c r="Q805" s="51"/>
      <c r="T805" s="1430" t="str">
        <f ca="1">IF(AND($R810=0,$T810=0),"0.00","mu: "&amp; ROUND(F805/$C$10/($R810+$T810*$D$9),2))</f>
        <v>mu: 1.18</v>
      </c>
      <c r="W805" s="524"/>
      <c r="AG805" s="1427">
        <f ca="1">IF($E805=0,0,ROUND($R810*$S$10*$C$10/$A805,2))</f>
        <v>112.2</v>
      </c>
      <c r="AH805" s="1427">
        <f ca="1">$AG805*$A805</f>
        <v>17391</v>
      </c>
      <c r="AI805" s="1428">
        <f ca="1">$E805-$AG805</f>
        <v>6.7999999999999972</v>
      </c>
      <c r="AJ805" s="1428">
        <f ca="1">$A805*$AI805</f>
        <v>1053.9999999999995</v>
      </c>
      <c r="AK805" s="1429">
        <f ca="1">ROUND(($AG805+$AI805)*$A805,2)</f>
        <v>18445</v>
      </c>
      <c r="AM805" s="527">
        <f ca="1">ROUND(R810,2)</f>
        <v>14737.4</v>
      </c>
      <c r="AN805" s="528">
        <f ca="1">ROUND(T810,2)</f>
        <v>32.549999999999997</v>
      </c>
      <c r="AO805" s="529">
        <f ca="1">ROUND(AM805+AN805,2)*A805</f>
        <v>2289342.25</v>
      </c>
      <c r="AR805" s="747">
        <v>155</v>
      </c>
      <c r="AS805" s="751">
        <v>19404.45</v>
      </c>
    </row>
    <row r="806" spans="1:45" s="520" customFormat="1" ht="13.2">
      <c r="A806" s="748"/>
      <c r="B806"/>
      <c r="C806" s="748"/>
      <c r="D806" s="749" t="s">
        <v>1177</v>
      </c>
      <c r="F806" s="753"/>
      <c r="G806" s="3"/>
      <c r="H806" s="753"/>
      <c r="I806" s="754"/>
      <c r="J806" s="753"/>
      <c r="K806" s="753" t="s">
        <v>144</v>
      </c>
      <c r="L806" s="753"/>
      <c r="M806" s="753"/>
      <c r="N806" s="753"/>
      <c r="O806" s="753"/>
      <c r="P806" s="753"/>
      <c r="Q806" s="51"/>
      <c r="R806" s="530"/>
      <c r="S806" s="757"/>
      <c r="T806" s="753"/>
      <c r="AR806" s="748"/>
      <c r="AS806" s="753"/>
    </row>
    <row r="807" spans="1:45" s="886" customFormat="1" ht="13.2">
      <c r="A807"/>
      <c r="B807" s="910"/>
      <c r="C807" s="910" t="s">
        <v>2597</v>
      </c>
      <c r="D807" s="910" t="str">
        <f ca="1">CELL("Address",Elec_Rates!D$271)</f>
        <v>[E25_0062_Quintano_Foods_Elec_ELV_As_Awarded.xlsx]Elec_Rates!$D$271</v>
      </c>
      <c r="E807" s="911"/>
      <c r="F807" s="911"/>
      <c r="G807" s="912" t="s">
        <v>2598</v>
      </c>
      <c r="H807" s="912"/>
      <c r="I807" s="912"/>
      <c r="J807" s="912"/>
      <c r="K807" s="913"/>
      <c r="L807" s="911"/>
      <c r="M807" s="911"/>
      <c r="N807" s="911"/>
      <c r="O807" s="914"/>
      <c r="P807" s="911"/>
      <c r="Q807" s="915"/>
      <c r="R807" s="916"/>
      <c r="S807" s="915"/>
      <c r="T807" s="917"/>
      <c r="U807" s="918"/>
      <c r="AR807"/>
      <c r="AS807" s="911"/>
    </row>
    <row r="808" spans="1:45" s="886" customFormat="1" ht="11.4">
      <c r="A808" s="919">
        <v>155</v>
      </c>
      <c r="B808" s="920">
        <v>1</v>
      </c>
      <c r="C808" s="920">
        <f>$A808*$B808</f>
        <v>155</v>
      </c>
      <c r="D808" s="921" t="str">
        <f>Elec_Rates!$D$271</f>
        <v>026# 5 x 150mm2 XLPE/SWA/LSZH</v>
      </c>
      <c r="E808" s="921"/>
      <c r="F808" s="921" t="s">
        <v>2599</v>
      </c>
      <c r="G808" s="922" t="s">
        <v>2601</v>
      </c>
      <c r="H808" s="922"/>
      <c r="I808" s="922"/>
      <c r="J808" s="922"/>
      <c r="K808" s="923"/>
      <c r="L808" s="918"/>
      <c r="M808" s="918"/>
      <c r="N808" s="918"/>
      <c r="O808" s="924"/>
      <c r="P808" s="921"/>
      <c r="Q808" s="925">
        <f ca="1">$B808*Elec_Rates!$R$271</f>
        <v>95.08</v>
      </c>
      <c r="R808" s="916">
        <f ca="1">$A808*Q808</f>
        <v>14737.4</v>
      </c>
      <c r="S808" s="925">
        <f ca="1">$B808*Elec_Rates!$T$271</f>
        <v>0.21</v>
      </c>
      <c r="T808" s="917">
        <f ca="1">$A808*S808</f>
        <v>32.549999999999997</v>
      </c>
      <c r="U808" s="926"/>
      <c r="AR808" s="919">
        <v>155</v>
      </c>
      <c r="AS808" s="921" t="s">
        <v>2599</v>
      </c>
    </row>
    <row r="809" spans="1:45" s="520" customFormat="1" ht="12">
      <c r="A809" s="758"/>
      <c r="B809" s="758"/>
      <c r="C809" s="758"/>
      <c r="D809" s="758"/>
      <c r="E809" s="758"/>
      <c r="F809" s="753"/>
      <c r="G809" s="758"/>
      <c r="H809" s="758"/>
      <c r="I809" s="519"/>
      <c r="J809" s="758"/>
      <c r="K809" s="758"/>
      <c r="L809" s="758"/>
      <c r="M809" s="758"/>
      <c r="N809" s="758"/>
      <c r="O809" s="758"/>
      <c r="P809" s="758"/>
      <c r="Q809" s="519"/>
      <c r="R809" s="759">
        <f>$A809*Q809</f>
        <v>0</v>
      </c>
      <c r="S809" s="519"/>
      <c r="T809" s="760">
        <f>$A809*S809*$T$1</f>
        <v>0</v>
      </c>
      <c r="AR809" s="758"/>
      <c r="AS809" s="753"/>
    </row>
    <row r="810" spans="1:45" s="520" customFormat="1" ht="12.6" thickBot="1">
      <c r="A810" s="761" t="s">
        <v>145</v>
      </c>
      <c r="B810" s="762">
        <f>(R809+T809)</f>
        <v>0</v>
      </c>
      <c r="C810" s="763"/>
      <c r="D810" s="763"/>
      <c r="E810" s="763"/>
      <c r="F810" s="764"/>
      <c r="G810" s="763" t="s">
        <v>146</v>
      </c>
      <c r="H810" s="763"/>
      <c r="I810" s="765"/>
      <c r="J810" s="763"/>
      <c r="K810" s="763" t="s">
        <v>17</v>
      </c>
      <c r="L810" s="766" t="s">
        <v>143</v>
      </c>
      <c r="M810" s="766"/>
      <c r="N810" s="766"/>
      <c r="O810" s="766"/>
      <c r="P810" s="766"/>
      <c r="Q810" s="767"/>
      <c r="R810" s="768">
        <f ca="1">SUM(R806:R809)</f>
        <v>14737.4</v>
      </c>
      <c r="S810" s="763"/>
      <c r="T810" s="768">
        <f ca="1">SUM(T806:T809)</f>
        <v>32.549999999999997</v>
      </c>
      <c r="U810" s="531"/>
      <c r="V810" s="531"/>
      <c r="W810" s="531"/>
      <c r="X810" s="531"/>
      <c r="Y810" s="531"/>
      <c r="Z810" s="531"/>
      <c r="AA810" s="531"/>
      <c r="AB810" s="531"/>
      <c r="AC810" s="531"/>
      <c r="AD810" s="531"/>
      <c r="AE810" s="531"/>
      <c r="AF810" s="531"/>
      <c r="AG810" s="531"/>
      <c r="AH810" s="531"/>
      <c r="AI810" s="531"/>
      <c r="AJ810" s="531"/>
      <c r="AK810" s="531"/>
      <c r="AL810" s="531"/>
      <c r="AM810" s="531"/>
      <c r="AN810" s="531"/>
      <c r="AO810" s="531"/>
      <c r="AR810" s="761" t="s">
        <v>145</v>
      </c>
      <c r="AS810" s="764"/>
    </row>
    <row r="811" spans="1:45" s="520" customFormat="1" ht="12" thickTop="1">
      <c r="A811" s="51"/>
      <c r="B811" s="41"/>
      <c r="C811" s="51"/>
      <c r="E811" s="42" t="s">
        <v>138</v>
      </c>
      <c r="F811" s="42" t="s">
        <v>139</v>
      </c>
      <c r="G811" s="51"/>
      <c r="H811" s="51"/>
      <c r="I811" s="51"/>
      <c r="J811" s="51"/>
      <c r="K811" s="51" t="s">
        <v>140</v>
      </c>
      <c r="L811" s="51"/>
      <c r="M811" s="51"/>
      <c r="N811" s="51"/>
      <c r="O811" s="52"/>
      <c r="P811" s="51"/>
      <c r="Q811" s="51"/>
      <c r="R811" s="51"/>
      <c r="S811" s="51"/>
      <c r="T811" s="41"/>
      <c r="AG811" s="521" t="s">
        <v>268</v>
      </c>
      <c r="AH811" s="521" t="s">
        <v>269</v>
      </c>
      <c r="AI811" s="521" t="s">
        <v>270</v>
      </c>
      <c r="AJ811" s="521" t="s">
        <v>271</v>
      </c>
      <c r="AK811" s="521" t="s">
        <v>272</v>
      </c>
      <c r="AM811" s="745" t="s">
        <v>281</v>
      </c>
      <c r="AN811" s="746" t="s">
        <v>282</v>
      </c>
      <c r="AO811" s="522" t="s">
        <v>278</v>
      </c>
      <c r="AR811" s="51"/>
      <c r="AS811" s="42" t="s">
        <v>139</v>
      </c>
    </row>
    <row r="812" spans="1:45" s="520" customFormat="1" ht="12" customHeight="1">
      <c r="A812" s="747">
        <v>55</v>
      </c>
      <c r="B812" s="523" t="s">
        <v>320</v>
      </c>
      <c r="C812" s="748"/>
      <c r="D812" s="749" t="s">
        <v>1178</v>
      </c>
      <c r="E812" s="750">
        <f ca="1">IF(AND($A812=0,$A$1="DIF"),0, ROUND(ROUND(($R817*$S$2+($T817*$T$2))/$A812,2)*$C$2,2))</f>
        <v>35.24</v>
      </c>
      <c r="F812" s="751">
        <f ca="1">ROUND($A812*$E812,2)</f>
        <v>1938.2</v>
      </c>
      <c r="G812" s="752" t="s">
        <v>142</v>
      </c>
      <c r="H812" s="753"/>
      <c r="I812" s="754"/>
      <c r="J812" s="753"/>
      <c r="K812" s="753" t="s">
        <v>3</v>
      </c>
      <c r="L812" s="755" t="s">
        <v>143</v>
      </c>
      <c r="M812" s="755"/>
      <c r="N812" s="755"/>
      <c r="O812" s="755"/>
      <c r="P812" s="755"/>
      <c r="Q812" s="51"/>
      <c r="T812" s="756" t="str">
        <f ca="1">IF(AND($R817=0,$T817=0),"0.00","mu: "&amp; ROUND(F812/$C$2/($R817+$T817*$D$9),2))</f>
        <v>mu: 1.23</v>
      </c>
      <c r="W812" s="524"/>
      <c r="AG812" s="481">
        <f ca="1">IF($E812=0,0,ROUND($R817*$S$2*$C$2/$A812,2))</f>
        <v>31.52</v>
      </c>
      <c r="AH812" s="481">
        <f ca="1">$AG812*$A812</f>
        <v>1733.6</v>
      </c>
      <c r="AI812" s="525">
        <f ca="1">$E812-$AG812</f>
        <v>3.7200000000000024</v>
      </c>
      <c r="AJ812" s="525">
        <f ca="1">$A812*$AI812</f>
        <v>204.60000000000014</v>
      </c>
      <c r="AK812" s="526">
        <f ca="1">ROUND(($AG812+$AI812)*$A812,2)</f>
        <v>1938.2</v>
      </c>
      <c r="AM812" s="527">
        <f ca="1">ROUND(R817,2)</f>
        <v>1408</v>
      </c>
      <c r="AN812" s="528">
        <f ca="1">ROUND(T817,2)</f>
        <v>6.05</v>
      </c>
      <c r="AO812" s="529">
        <f ca="1">ROUND(AM812+AN812,2)*A812</f>
        <v>77772.75</v>
      </c>
      <c r="AR812" s="747">
        <v>55</v>
      </c>
      <c r="AS812" s="751">
        <v>1956.9</v>
      </c>
    </row>
    <row r="813" spans="1:45" s="520" customFormat="1" ht="36">
      <c r="A813" s="748"/>
      <c r="B813"/>
      <c r="C813" s="748"/>
      <c r="D813" s="769" t="s">
        <v>1179</v>
      </c>
      <c r="F813" s="753"/>
      <c r="G813" s="3"/>
      <c r="H813" s="753"/>
      <c r="I813" s="754"/>
      <c r="J813" s="753"/>
      <c r="K813" s="753" t="s">
        <v>144</v>
      </c>
      <c r="L813" s="753"/>
      <c r="M813" s="753"/>
      <c r="N813" s="753"/>
      <c r="O813" s="753"/>
      <c r="P813" s="753"/>
      <c r="Q813" s="51"/>
      <c r="R813" s="530"/>
      <c r="S813" s="757"/>
      <c r="T813" s="753"/>
      <c r="AR813" s="748"/>
      <c r="AS813" s="753"/>
    </row>
    <row r="814" spans="1:45" s="886" customFormat="1" ht="13.2">
      <c r="A814"/>
      <c r="B814" s="910"/>
      <c r="C814" s="910" t="s">
        <v>2597</v>
      </c>
      <c r="D814" s="910" t="str">
        <f ca="1">CELL("Address",Elec_Rates!D$385)</f>
        <v>[E25_0062_Quintano_Foods_Elec_ELV_As_Awarded.xlsx]Elec_Rates!$D$385</v>
      </c>
      <c r="E814" s="911"/>
      <c r="F814" s="911"/>
      <c r="G814" s="912" t="s">
        <v>2598</v>
      </c>
      <c r="H814" s="912"/>
      <c r="I814" s="912"/>
      <c r="J814" s="912"/>
      <c r="K814" s="913"/>
      <c r="L814" s="911"/>
      <c r="M814" s="911"/>
      <c r="N814" s="911"/>
      <c r="O814" s="914"/>
      <c r="P814" s="911"/>
      <c r="Q814" s="915"/>
      <c r="R814" s="916"/>
      <c r="S814" s="915"/>
      <c r="T814" s="917"/>
      <c r="U814" s="918"/>
      <c r="AR814"/>
      <c r="AS814" s="911"/>
    </row>
    <row r="815" spans="1:45" s="886" customFormat="1" ht="11.4">
      <c r="A815" s="919">
        <v>55</v>
      </c>
      <c r="B815" s="920">
        <v>1</v>
      </c>
      <c r="C815" s="920">
        <f>$A815*$B815</f>
        <v>55</v>
      </c>
      <c r="D815" s="921" t="str">
        <f>Elec_Rates!$D$385</f>
        <v>037# 5 x 16mm2 F120 Fire Resistant Cable (BS7846) -  XLPE/SWA/LSZH</v>
      </c>
      <c r="E815" s="921"/>
      <c r="F815" s="921" t="s">
        <v>2599</v>
      </c>
      <c r="G815" s="922" t="s">
        <v>2601</v>
      </c>
      <c r="H815" s="922"/>
      <c r="I815" s="922"/>
      <c r="J815" s="922"/>
      <c r="K815" s="923"/>
      <c r="L815" s="918"/>
      <c r="M815" s="918"/>
      <c r="N815" s="918"/>
      <c r="O815" s="924"/>
      <c r="P815" s="921"/>
      <c r="Q815" s="925">
        <f ca="1">$B815*Elec_Rates!$R$385</f>
        <v>25.6</v>
      </c>
      <c r="R815" s="916">
        <f ca="1">$A815*Q815</f>
        <v>1408</v>
      </c>
      <c r="S815" s="925">
        <f ca="1">$B815*Elec_Rates!$T$385</f>
        <v>0.11</v>
      </c>
      <c r="T815" s="917">
        <f ca="1">$A815*S815</f>
        <v>6.05</v>
      </c>
      <c r="U815" s="926"/>
      <c r="AR815" s="919">
        <v>55</v>
      </c>
      <c r="AS815" s="921" t="s">
        <v>2599</v>
      </c>
    </row>
    <row r="816" spans="1:45" s="520" customFormat="1" ht="12">
      <c r="A816" s="758"/>
      <c r="B816" s="758"/>
      <c r="C816" s="758"/>
      <c r="D816" s="758"/>
      <c r="E816" s="758"/>
      <c r="F816" s="753"/>
      <c r="G816" s="758"/>
      <c r="H816" s="758"/>
      <c r="I816" s="519"/>
      <c r="J816" s="758"/>
      <c r="K816" s="758"/>
      <c r="L816" s="758"/>
      <c r="M816" s="758"/>
      <c r="N816" s="758"/>
      <c r="O816" s="758"/>
      <c r="P816" s="758"/>
      <c r="Q816" s="519"/>
      <c r="R816" s="759">
        <f>$A816*Q816</f>
        <v>0</v>
      </c>
      <c r="S816" s="519"/>
      <c r="T816" s="760">
        <f>$A816*S816*$T$1</f>
        <v>0</v>
      </c>
      <c r="AR816" s="758"/>
      <c r="AS816" s="753"/>
    </row>
    <row r="817" spans="1:45" s="520" customFormat="1" ht="12.6" thickBot="1">
      <c r="A817" s="761" t="s">
        <v>145</v>
      </c>
      <c r="B817" s="762">
        <f>(R816+T816)</f>
        <v>0</v>
      </c>
      <c r="C817" s="763"/>
      <c r="D817" s="763"/>
      <c r="E817" s="763"/>
      <c r="F817" s="764"/>
      <c r="G817" s="763" t="s">
        <v>146</v>
      </c>
      <c r="H817" s="763"/>
      <c r="I817" s="765"/>
      <c r="J817" s="763"/>
      <c r="K817" s="763" t="s">
        <v>3</v>
      </c>
      <c r="L817" s="766" t="s">
        <v>143</v>
      </c>
      <c r="M817" s="766"/>
      <c r="N817" s="766"/>
      <c r="O817" s="766"/>
      <c r="P817" s="766"/>
      <c r="Q817" s="767"/>
      <c r="R817" s="768">
        <f ca="1">SUM(R813:R816)</f>
        <v>1408</v>
      </c>
      <c r="S817" s="763"/>
      <c r="T817" s="768">
        <f ca="1">SUM(T813:T816)</f>
        <v>6.05</v>
      </c>
      <c r="U817" s="531"/>
      <c r="V817" s="531"/>
      <c r="W817" s="531"/>
      <c r="X817" s="531"/>
      <c r="Y817" s="531"/>
      <c r="Z817" s="531"/>
      <c r="AA817" s="531"/>
      <c r="AB817" s="531"/>
      <c r="AC817" s="531"/>
      <c r="AD817" s="531"/>
      <c r="AE817" s="531"/>
      <c r="AF817" s="531"/>
      <c r="AG817" s="531"/>
      <c r="AH817" s="531"/>
      <c r="AI817" s="531"/>
      <c r="AJ817" s="531"/>
      <c r="AK817" s="531"/>
      <c r="AL817" s="531"/>
      <c r="AM817" s="531"/>
      <c r="AN817" s="531"/>
      <c r="AO817" s="531"/>
      <c r="AR817" s="761" t="s">
        <v>145</v>
      </c>
      <c r="AS817" s="764"/>
    </row>
    <row r="818" spans="1:45" s="520" customFormat="1" ht="12" thickTop="1">
      <c r="A818" s="51"/>
      <c r="B818" s="41"/>
      <c r="C818" s="51"/>
      <c r="E818" s="42" t="s">
        <v>138</v>
      </c>
      <c r="F818" s="42" t="s">
        <v>139</v>
      </c>
      <c r="G818" s="51"/>
      <c r="H818" s="51"/>
      <c r="I818" s="51"/>
      <c r="J818" s="51"/>
      <c r="K818" s="51" t="s">
        <v>140</v>
      </c>
      <c r="L818" s="51"/>
      <c r="M818" s="51"/>
      <c r="N818" s="51"/>
      <c r="O818" s="52"/>
      <c r="P818" s="51"/>
      <c r="Q818" s="51"/>
      <c r="R818" s="51"/>
      <c r="S818" s="51"/>
      <c r="T818" s="41"/>
      <c r="AG818" s="521" t="s">
        <v>268</v>
      </c>
      <c r="AH818" s="521" t="s">
        <v>269</v>
      </c>
      <c r="AI818" s="521" t="s">
        <v>270</v>
      </c>
      <c r="AJ818" s="521" t="s">
        <v>271</v>
      </c>
      <c r="AK818" s="521" t="s">
        <v>272</v>
      </c>
      <c r="AM818" s="745" t="s">
        <v>281</v>
      </c>
      <c r="AN818" s="746" t="s">
        <v>282</v>
      </c>
      <c r="AO818" s="522" t="s">
        <v>278</v>
      </c>
      <c r="AR818" s="51"/>
      <c r="AS818" s="42" t="s">
        <v>139</v>
      </c>
    </row>
    <row r="819" spans="1:45" s="520" customFormat="1" ht="12" customHeight="1">
      <c r="A819" s="747">
        <v>130</v>
      </c>
      <c r="B819" s="523" t="s">
        <v>320</v>
      </c>
      <c r="C819" s="748"/>
      <c r="D819" s="749" t="s">
        <v>1180</v>
      </c>
      <c r="E819" s="1425">
        <f ca="1">IF(AND($A819=0,$A$1="DIF"),0, ROUND(ROUND(($R824*$S$10+($T824*$T$10))/$A819,2)*$C$10,2))</f>
        <v>107.91</v>
      </c>
      <c r="F819" s="1426">
        <f ca="1">ROUND($A819*$E819,2)</f>
        <v>14028.3</v>
      </c>
      <c r="G819" s="752" t="s">
        <v>142</v>
      </c>
      <c r="H819" s="753"/>
      <c r="I819" s="754"/>
      <c r="J819" s="753"/>
      <c r="K819" s="753" t="s">
        <v>17</v>
      </c>
      <c r="L819" s="755" t="s">
        <v>143</v>
      </c>
      <c r="M819" s="755"/>
      <c r="N819" s="755"/>
      <c r="O819" s="755"/>
      <c r="P819" s="755"/>
      <c r="Q819" s="51"/>
      <c r="T819" s="1430" t="str">
        <f ca="1">IF(AND($R824=0,$T824=0),"0.00","mu: "&amp; ROUND(F819/$C$10/($R824+$T824*$D$9),2))</f>
        <v>mu: 1.18</v>
      </c>
      <c r="W819" s="524"/>
      <c r="AG819" s="1427">
        <f ca="1">IF($E819=0,0,ROUND($R824*$S$10*$C$10/$A819,2))</f>
        <v>99.16</v>
      </c>
      <c r="AH819" s="1427">
        <f ca="1">$AG819*$A819</f>
        <v>12890.8</v>
      </c>
      <c r="AI819" s="1428">
        <f ca="1">$E819-$AG819</f>
        <v>8.75</v>
      </c>
      <c r="AJ819" s="1428">
        <f ca="1">$A819*$AI819</f>
        <v>1137.5</v>
      </c>
      <c r="AK819" s="1429">
        <f ca="1">ROUND(($AG819+$AI819)*$A819,2)</f>
        <v>14028.3</v>
      </c>
      <c r="AM819" s="527">
        <f ca="1">ROUND(R824,2)</f>
        <v>10923.9</v>
      </c>
      <c r="AN819" s="528">
        <f ca="1">ROUND(T824,2)</f>
        <v>35.1</v>
      </c>
      <c r="AO819" s="529">
        <f ca="1">ROUND(AM819+AN819,2)*A819</f>
        <v>1424670</v>
      </c>
      <c r="AR819" s="747">
        <v>130</v>
      </c>
      <c r="AS819" s="751">
        <v>14769.3</v>
      </c>
    </row>
    <row r="820" spans="1:45" s="520" customFormat="1" ht="36">
      <c r="A820" s="748"/>
      <c r="B820"/>
      <c r="C820" s="748"/>
      <c r="D820" s="769" t="s">
        <v>1181</v>
      </c>
      <c r="F820" s="753"/>
      <c r="G820" s="3"/>
      <c r="H820" s="753"/>
      <c r="I820" s="754"/>
      <c r="J820" s="753"/>
      <c r="K820" s="753" t="s">
        <v>144</v>
      </c>
      <c r="L820" s="753"/>
      <c r="M820" s="753"/>
      <c r="N820" s="753"/>
      <c r="O820" s="753"/>
      <c r="P820" s="753"/>
      <c r="Q820" s="51"/>
      <c r="R820" s="530"/>
      <c r="S820" s="757"/>
      <c r="T820" s="753"/>
      <c r="AR820" s="748"/>
      <c r="AS820" s="753"/>
    </row>
    <row r="821" spans="1:45" s="886" customFormat="1" ht="13.2">
      <c r="A821"/>
      <c r="B821" s="910"/>
      <c r="C821" s="910" t="s">
        <v>2597</v>
      </c>
      <c r="D821" s="910" t="str">
        <f ca="1">CELL("Address",Elec_Rates!D$303)</f>
        <v>[E25_0062_Quintano_Foods_Elec_ELV_As_Awarded.xlsx]Elec_Rates!$D$303</v>
      </c>
      <c r="E821" s="911"/>
      <c r="F821" s="911"/>
      <c r="G821" s="912" t="s">
        <v>2598</v>
      </c>
      <c r="H821" s="912"/>
      <c r="I821" s="912"/>
      <c r="J821" s="912"/>
      <c r="K821" s="913"/>
      <c r="L821" s="911"/>
      <c r="M821" s="911"/>
      <c r="N821" s="911"/>
      <c r="O821" s="914"/>
      <c r="P821" s="911"/>
      <c r="Q821" s="915"/>
      <c r="R821" s="916"/>
      <c r="S821" s="915"/>
      <c r="T821" s="917"/>
      <c r="U821" s="918"/>
      <c r="AR821"/>
      <c r="AS821" s="911"/>
    </row>
    <row r="822" spans="1:45" s="886" customFormat="1" ht="11.4">
      <c r="A822" s="919">
        <v>130</v>
      </c>
      <c r="B822" s="920">
        <v>1</v>
      </c>
      <c r="C822" s="920">
        <f>$A822*$B822</f>
        <v>130</v>
      </c>
      <c r="D822" s="921" t="str">
        <f>Elec_Rates!$D$303</f>
        <v>029# 5 x 95mm2 F120 Fire Resistant Cable (BS7846) -  XLPE/SWA/LSZH</v>
      </c>
      <c r="E822" s="921"/>
      <c r="F822" s="921" t="s">
        <v>2599</v>
      </c>
      <c r="G822" s="922" t="s">
        <v>2601</v>
      </c>
      <c r="H822" s="922"/>
      <c r="I822" s="922"/>
      <c r="J822" s="922"/>
      <c r="K822" s="923"/>
      <c r="L822" s="918"/>
      <c r="M822" s="918"/>
      <c r="N822" s="918"/>
      <c r="O822" s="924"/>
      <c r="P822" s="921"/>
      <c r="Q822" s="925">
        <f ca="1">$B822*Elec_Rates!$R$303</f>
        <v>84.03</v>
      </c>
      <c r="R822" s="916">
        <f ca="1">$A822*Q822</f>
        <v>10923.9</v>
      </c>
      <c r="S822" s="925">
        <f ca="1">$B822*Elec_Rates!$T$303</f>
        <v>0.27</v>
      </c>
      <c r="T822" s="917">
        <f ca="1">$A822*S822</f>
        <v>35.1</v>
      </c>
      <c r="U822" s="926"/>
      <c r="AR822" s="919">
        <v>130</v>
      </c>
      <c r="AS822" s="921" t="s">
        <v>2599</v>
      </c>
    </row>
    <row r="823" spans="1:45" s="520" customFormat="1" ht="12">
      <c r="A823" s="758"/>
      <c r="B823" s="758"/>
      <c r="C823" s="758"/>
      <c r="D823" s="758"/>
      <c r="E823" s="758"/>
      <c r="F823" s="753"/>
      <c r="G823" s="758"/>
      <c r="H823" s="758"/>
      <c r="I823" s="519"/>
      <c r="J823" s="758"/>
      <c r="K823" s="758"/>
      <c r="L823" s="758"/>
      <c r="M823" s="758"/>
      <c r="N823" s="758"/>
      <c r="O823" s="758"/>
      <c r="P823" s="758"/>
      <c r="Q823" s="519"/>
      <c r="R823" s="759">
        <f>$A823*Q823</f>
        <v>0</v>
      </c>
      <c r="S823" s="519"/>
      <c r="T823" s="760">
        <f>$A823*S823*$T$1</f>
        <v>0</v>
      </c>
      <c r="AR823" s="758"/>
      <c r="AS823" s="753"/>
    </row>
    <row r="824" spans="1:45" s="520" customFormat="1" ht="12.6" thickBot="1">
      <c r="A824" s="761" t="s">
        <v>145</v>
      </c>
      <c r="B824" s="762">
        <f>(R823+T823)</f>
        <v>0</v>
      </c>
      <c r="C824" s="763"/>
      <c r="D824" s="763"/>
      <c r="E824" s="763"/>
      <c r="F824" s="764"/>
      <c r="G824" s="763" t="s">
        <v>146</v>
      </c>
      <c r="H824" s="763"/>
      <c r="I824" s="765"/>
      <c r="J824" s="763"/>
      <c r="K824" s="763" t="s">
        <v>17</v>
      </c>
      <c r="L824" s="766" t="s">
        <v>143</v>
      </c>
      <c r="M824" s="766"/>
      <c r="N824" s="766"/>
      <c r="O824" s="766"/>
      <c r="P824" s="766"/>
      <c r="Q824" s="767"/>
      <c r="R824" s="768">
        <f ca="1">SUM(R820:R823)</f>
        <v>10923.9</v>
      </c>
      <c r="S824" s="763"/>
      <c r="T824" s="768">
        <f ca="1">SUM(T820:T823)</f>
        <v>35.1</v>
      </c>
      <c r="U824" s="531"/>
      <c r="V824" s="531"/>
      <c r="W824" s="531"/>
      <c r="X824" s="531"/>
      <c r="Y824" s="531"/>
      <c r="Z824" s="531"/>
      <c r="AA824" s="531"/>
      <c r="AB824" s="531"/>
      <c r="AC824" s="531"/>
      <c r="AD824" s="531"/>
      <c r="AE824" s="531"/>
      <c r="AF824" s="531"/>
      <c r="AG824" s="531"/>
      <c r="AH824" s="531"/>
      <c r="AI824" s="531"/>
      <c r="AJ824" s="531"/>
      <c r="AK824" s="531"/>
      <c r="AL824" s="531"/>
      <c r="AM824" s="531"/>
      <c r="AN824" s="531"/>
      <c r="AO824" s="531"/>
      <c r="AR824" s="761" t="s">
        <v>145</v>
      </c>
      <c r="AS824" s="764"/>
    </row>
    <row r="825" spans="1:45" s="520" customFormat="1" ht="12" thickTop="1">
      <c r="A825" s="51"/>
      <c r="B825" s="41"/>
      <c r="C825" s="51"/>
      <c r="E825" s="42" t="s">
        <v>138</v>
      </c>
      <c r="F825" s="42" t="s">
        <v>139</v>
      </c>
      <c r="G825" s="51"/>
      <c r="H825" s="51"/>
      <c r="I825" s="51"/>
      <c r="J825" s="51"/>
      <c r="K825" s="51" t="s">
        <v>140</v>
      </c>
      <c r="L825" s="51"/>
      <c r="M825" s="51"/>
      <c r="N825" s="51"/>
      <c r="O825" s="52"/>
      <c r="P825" s="51"/>
      <c r="Q825" s="51"/>
      <c r="R825" s="51"/>
      <c r="S825" s="51"/>
      <c r="T825" s="41"/>
      <c r="AG825" s="521" t="s">
        <v>268</v>
      </c>
      <c r="AH825" s="521" t="s">
        <v>269</v>
      </c>
      <c r="AI825" s="521" t="s">
        <v>270</v>
      </c>
      <c r="AJ825" s="521" t="s">
        <v>271</v>
      </c>
      <c r="AK825" s="521" t="s">
        <v>272</v>
      </c>
      <c r="AM825" s="745" t="s">
        <v>281</v>
      </c>
      <c r="AN825" s="746" t="s">
        <v>282</v>
      </c>
      <c r="AO825" s="522" t="s">
        <v>278</v>
      </c>
      <c r="AR825" s="51"/>
      <c r="AS825" s="42" t="s">
        <v>139</v>
      </c>
    </row>
    <row r="826" spans="1:45" s="520" customFormat="1" ht="12" customHeight="1">
      <c r="A826" s="747">
        <v>140</v>
      </c>
      <c r="B826" s="523" t="s">
        <v>320</v>
      </c>
      <c r="C826" s="748"/>
      <c r="D826" s="749" t="s">
        <v>1182</v>
      </c>
      <c r="E826" s="1425">
        <f ca="1">IF(AND($A826=0,$A$1="DIF"),0, ROUND(ROUND(($R831*$S$10+($T831*$T$10))/$A826,2)*$C$10,2))</f>
        <v>148.19</v>
      </c>
      <c r="F826" s="1426">
        <f ca="1">ROUND($A826*$E826,2)</f>
        <v>20746.599999999999</v>
      </c>
      <c r="G826" s="752" t="s">
        <v>142</v>
      </c>
      <c r="H826" s="753"/>
      <c r="I826" s="754"/>
      <c r="J826" s="753"/>
      <c r="K826" s="753" t="s">
        <v>17</v>
      </c>
      <c r="L826" s="755" t="s">
        <v>143</v>
      </c>
      <c r="M826" s="755"/>
      <c r="N826" s="755"/>
      <c r="O826" s="755"/>
      <c r="P826" s="755"/>
      <c r="Q826" s="51"/>
      <c r="T826" s="1430" t="str">
        <f ca="1">IF(AND($R831=0,$T831=0),"0.00","mu: "&amp; ROUND(F826/$C$10/($R831+$T831*$D$9),2))</f>
        <v>mu: 1.18</v>
      </c>
      <c r="W826" s="524"/>
      <c r="AG826" s="1427">
        <f ca="1">IF($E826=0,0,ROUND($R831*$S$10*$C$10/$A826,2))</f>
        <v>140.41</v>
      </c>
      <c r="AH826" s="1427">
        <f ca="1">$AG826*$A826</f>
        <v>19657.399999999998</v>
      </c>
      <c r="AI826" s="1428">
        <f ca="1">$E826-$AG826</f>
        <v>7.7800000000000011</v>
      </c>
      <c r="AJ826" s="1428">
        <f ca="1">$A826*$AI826</f>
        <v>1089.2000000000003</v>
      </c>
      <c r="AK826" s="1429">
        <f ca="1">ROUND(($AG826+$AI826)*$A826,2)</f>
        <v>20746.599999999999</v>
      </c>
      <c r="AM826" s="527">
        <f ca="1">ROUND(R831,2)</f>
        <v>16658.599999999999</v>
      </c>
      <c r="AN826" s="528">
        <f ca="1">ROUND(T831,2)</f>
        <v>33.6</v>
      </c>
      <c r="AO826" s="529">
        <f ca="1">ROUND(AM826+AN826,2)*A826</f>
        <v>2336908</v>
      </c>
      <c r="AR826" s="747">
        <v>140</v>
      </c>
      <c r="AS826" s="751">
        <v>21791</v>
      </c>
    </row>
    <row r="827" spans="1:45" s="520" customFormat="1" ht="13.2">
      <c r="A827" s="748"/>
      <c r="B827"/>
      <c r="C827" s="748"/>
      <c r="D827" s="749" t="s">
        <v>1183</v>
      </c>
      <c r="F827" s="753"/>
      <c r="G827" s="3"/>
      <c r="H827" s="753"/>
      <c r="I827" s="754"/>
      <c r="J827" s="753"/>
      <c r="K827" s="753" t="s">
        <v>144</v>
      </c>
      <c r="L827" s="753"/>
      <c r="M827" s="753"/>
      <c r="N827" s="753"/>
      <c r="O827" s="753"/>
      <c r="P827" s="753"/>
      <c r="Q827" s="51"/>
      <c r="R827" s="530"/>
      <c r="S827" s="757"/>
      <c r="T827" s="753"/>
      <c r="AR827" s="748"/>
      <c r="AS827" s="753"/>
    </row>
    <row r="828" spans="1:45" s="886" customFormat="1" ht="13.2">
      <c r="A828"/>
      <c r="B828" s="910"/>
      <c r="C828" s="910" t="s">
        <v>2597</v>
      </c>
      <c r="D828" s="910" t="str">
        <f ca="1">CELL("Address",Elec_Rates!D$261)</f>
        <v>[E25_0062_Quintano_Foods_Elec_ELV_As_Awarded.xlsx]Elec_Rates!$D$261</v>
      </c>
      <c r="E828" s="911"/>
      <c r="F828" s="911"/>
      <c r="G828" s="912" t="s">
        <v>2598</v>
      </c>
      <c r="H828" s="912"/>
      <c r="I828" s="912"/>
      <c r="J828" s="912"/>
      <c r="K828" s="913"/>
      <c r="L828" s="911"/>
      <c r="M828" s="911"/>
      <c r="N828" s="911"/>
      <c r="O828" s="914"/>
      <c r="P828" s="911"/>
      <c r="Q828" s="915"/>
      <c r="R828" s="916"/>
      <c r="S828" s="915"/>
      <c r="T828" s="917"/>
      <c r="U828" s="918"/>
      <c r="AR828"/>
      <c r="AS828" s="911"/>
    </row>
    <row r="829" spans="1:45" s="886" customFormat="1" ht="11.4">
      <c r="A829" s="919">
        <v>140</v>
      </c>
      <c r="B829" s="920">
        <v>1</v>
      </c>
      <c r="C829" s="920">
        <f>$A829*$B829</f>
        <v>140</v>
      </c>
      <c r="D829" s="921" t="str">
        <f>Elec_Rates!$D$261</f>
        <v>025# 5 x 185mm2 XLPE/SWA/LSZH</v>
      </c>
      <c r="E829" s="921"/>
      <c r="F829" s="921" t="s">
        <v>2599</v>
      </c>
      <c r="G829" s="922" t="s">
        <v>2601</v>
      </c>
      <c r="H829" s="922"/>
      <c r="I829" s="922"/>
      <c r="J829" s="922"/>
      <c r="K829" s="923"/>
      <c r="L829" s="918"/>
      <c r="M829" s="918"/>
      <c r="N829" s="918"/>
      <c r="O829" s="924"/>
      <c r="P829" s="921"/>
      <c r="Q829" s="925">
        <f ca="1">$B829*Elec_Rates!$R$261</f>
        <v>118.99</v>
      </c>
      <c r="R829" s="916">
        <f ca="1">$A829*Q829</f>
        <v>16658.599999999999</v>
      </c>
      <c r="S829" s="925">
        <f ca="1">$B829*Elec_Rates!$T$261</f>
        <v>0.24</v>
      </c>
      <c r="T829" s="917">
        <f ca="1">$A829*S829</f>
        <v>33.6</v>
      </c>
      <c r="U829" s="926"/>
      <c r="AR829" s="919">
        <v>140</v>
      </c>
      <c r="AS829" s="921" t="s">
        <v>2599</v>
      </c>
    </row>
    <row r="830" spans="1:45" s="520" customFormat="1" ht="12">
      <c r="A830" s="758"/>
      <c r="B830" s="758"/>
      <c r="C830" s="758"/>
      <c r="D830" s="758"/>
      <c r="E830" s="758"/>
      <c r="F830" s="753"/>
      <c r="G830" s="758"/>
      <c r="H830" s="758"/>
      <c r="I830" s="519"/>
      <c r="J830" s="758"/>
      <c r="K830" s="758"/>
      <c r="L830" s="758"/>
      <c r="M830" s="758"/>
      <c r="N830" s="758"/>
      <c r="O830" s="758"/>
      <c r="P830" s="758"/>
      <c r="Q830" s="519"/>
      <c r="R830" s="759">
        <f>$A830*Q830</f>
        <v>0</v>
      </c>
      <c r="S830" s="519"/>
      <c r="T830" s="760">
        <f>$A830*S830*$T$1</f>
        <v>0</v>
      </c>
      <c r="AR830" s="758"/>
      <c r="AS830" s="753"/>
    </row>
    <row r="831" spans="1:45" s="520" customFormat="1" ht="12.6" thickBot="1">
      <c r="A831" s="761" t="s">
        <v>145</v>
      </c>
      <c r="B831" s="762">
        <f>(R830+T830)</f>
        <v>0</v>
      </c>
      <c r="C831" s="763"/>
      <c r="D831" s="763"/>
      <c r="E831" s="763"/>
      <c r="F831" s="764"/>
      <c r="G831" s="763" t="s">
        <v>146</v>
      </c>
      <c r="H831" s="763"/>
      <c r="I831" s="765"/>
      <c r="J831" s="763"/>
      <c r="K831" s="763" t="s">
        <v>17</v>
      </c>
      <c r="L831" s="766" t="s">
        <v>143</v>
      </c>
      <c r="M831" s="766"/>
      <c r="N831" s="766"/>
      <c r="O831" s="766"/>
      <c r="P831" s="766"/>
      <c r="Q831" s="767"/>
      <c r="R831" s="768">
        <f ca="1">SUM(R827:R830)</f>
        <v>16658.599999999999</v>
      </c>
      <c r="S831" s="763"/>
      <c r="T831" s="768">
        <f ca="1">SUM(T827:T830)</f>
        <v>33.6</v>
      </c>
      <c r="U831" s="531"/>
      <c r="V831" s="531"/>
      <c r="W831" s="531"/>
      <c r="X831" s="531"/>
      <c r="Y831" s="531"/>
      <c r="Z831" s="531"/>
      <c r="AA831" s="531"/>
      <c r="AB831" s="531"/>
      <c r="AC831" s="531"/>
      <c r="AD831" s="531"/>
      <c r="AE831" s="531"/>
      <c r="AF831" s="531"/>
      <c r="AG831" s="531"/>
      <c r="AH831" s="531"/>
      <c r="AI831" s="531"/>
      <c r="AJ831" s="531"/>
      <c r="AK831" s="531"/>
      <c r="AL831" s="531"/>
      <c r="AM831" s="531"/>
      <c r="AN831" s="531"/>
      <c r="AO831" s="531"/>
      <c r="AR831" s="761" t="s">
        <v>145</v>
      </c>
      <c r="AS831" s="764"/>
    </row>
    <row r="832" spans="1:45" s="520" customFormat="1" ht="12" thickTop="1">
      <c r="A832" s="51"/>
      <c r="B832" s="41"/>
      <c r="C832" s="51"/>
      <c r="E832" s="42" t="s">
        <v>138</v>
      </c>
      <c r="F832" s="42" t="s">
        <v>139</v>
      </c>
      <c r="G832" s="51"/>
      <c r="H832" s="51"/>
      <c r="I832" s="51"/>
      <c r="J832" s="51"/>
      <c r="K832" s="51" t="s">
        <v>140</v>
      </c>
      <c r="L832" s="51"/>
      <c r="M832" s="51"/>
      <c r="N832" s="51"/>
      <c r="O832" s="52"/>
      <c r="P832" s="51"/>
      <c r="Q832" s="51"/>
      <c r="R832" s="51"/>
      <c r="S832" s="51"/>
      <c r="T832" s="41"/>
      <c r="AG832" s="521" t="s">
        <v>268</v>
      </c>
      <c r="AH832" s="521" t="s">
        <v>269</v>
      </c>
      <c r="AI832" s="521" t="s">
        <v>270</v>
      </c>
      <c r="AJ832" s="521" t="s">
        <v>271</v>
      </c>
      <c r="AK832" s="521" t="s">
        <v>272</v>
      </c>
      <c r="AM832" s="745" t="s">
        <v>281</v>
      </c>
      <c r="AN832" s="746" t="s">
        <v>282</v>
      </c>
      <c r="AO832" s="522" t="s">
        <v>278</v>
      </c>
      <c r="AR832" s="51"/>
      <c r="AS832" s="42" t="s">
        <v>139</v>
      </c>
    </row>
    <row r="833" spans="1:45" s="520" customFormat="1" ht="12" customHeight="1">
      <c r="A833" s="747">
        <v>140</v>
      </c>
      <c r="B833" s="523" t="s">
        <v>320</v>
      </c>
      <c r="C833" s="748"/>
      <c r="D833" s="749" t="s">
        <v>1184</v>
      </c>
      <c r="E833" s="750">
        <f ca="1">IF(AND($A833=0,$A$1="DIF"),0, ROUND(ROUND(($R838*$S$2+($T838*$T$2))/$A833,2)*$C$2,2))</f>
        <v>35.24</v>
      </c>
      <c r="F833" s="751">
        <f ca="1">ROUND($A833*$E833,2)</f>
        <v>4933.6000000000004</v>
      </c>
      <c r="G833" s="752" t="s">
        <v>142</v>
      </c>
      <c r="H833" s="753"/>
      <c r="I833" s="754"/>
      <c r="J833" s="753"/>
      <c r="K833" s="753" t="s">
        <v>3</v>
      </c>
      <c r="L833" s="755" t="s">
        <v>143</v>
      </c>
      <c r="M833" s="755"/>
      <c r="N833" s="755"/>
      <c r="O833" s="755"/>
      <c r="P833" s="755"/>
      <c r="Q833" s="51"/>
      <c r="T833" s="756" t="str">
        <f ca="1">IF(AND($R838=0,$T838=0),"0.00","mu: "&amp; ROUND(F833/$C$2/($R838+$T838*$D$9),2))</f>
        <v>mu: 1.23</v>
      </c>
      <c r="W833" s="524"/>
      <c r="AG833" s="481">
        <f ca="1">IF($E833=0,0,ROUND($R838*$S$2*$C$2/$A833,2))</f>
        <v>31.52</v>
      </c>
      <c r="AH833" s="481">
        <f ca="1">$AG833*$A833</f>
        <v>4412.8</v>
      </c>
      <c r="AI833" s="525">
        <f ca="1">$E833-$AG833</f>
        <v>3.7200000000000024</v>
      </c>
      <c r="AJ833" s="525">
        <f ca="1">$A833*$AI833</f>
        <v>520.8000000000003</v>
      </c>
      <c r="AK833" s="526">
        <f ca="1">ROUND(($AG833+$AI833)*$A833,2)</f>
        <v>4933.6000000000004</v>
      </c>
      <c r="AM833" s="527">
        <f ca="1">ROUND(R838,2)</f>
        <v>3584</v>
      </c>
      <c r="AN833" s="528">
        <f ca="1">ROUND(T838,2)</f>
        <v>15.4</v>
      </c>
      <c r="AO833" s="529">
        <f ca="1">ROUND(AM833+AN833,2)*A833</f>
        <v>503916</v>
      </c>
      <c r="AR833" s="747">
        <v>140</v>
      </c>
      <c r="AS833" s="751">
        <v>4981.2</v>
      </c>
    </row>
    <row r="834" spans="1:45" s="520" customFormat="1" ht="13.2">
      <c r="A834" s="748"/>
      <c r="B834"/>
      <c r="C834" s="748"/>
      <c r="D834" s="749" t="s">
        <v>1185</v>
      </c>
      <c r="F834" s="753"/>
      <c r="G834" s="3"/>
      <c r="H834" s="753"/>
      <c r="I834" s="754"/>
      <c r="J834" s="753"/>
      <c r="K834" s="753" t="s">
        <v>144</v>
      </c>
      <c r="L834" s="753"/>
      <c r="M834" s="753"/>
      <c r="N834" s="753"/>
      <c r="O834" s="753"/>
      <c r="P834" s="753"/>
      <c r="Q834" s="51"/>
      <c r="R834" s="530"/>
      <c r="S834" s="757"/>
      <c r="T834" s="753"/>
      <c r="AR834" s="748"/>
      <c r="AS834" s="753"/>
    </row>
    <row r="835" spans="1:45" s="886" customFormat="1" ht="13.2">
      <c r="A835"/>
      <c r="B835" s="910"/>
      <c r="C835" s="910" t="s">
        <v>2597</v>
      </c>
      <c r="D835" s="910" t="str">
        <f ca="1">CELL("Address",Elec_Rates!D$385)</f>
        <v>[E25_0062_Quintano_Foods_Elec_ELV_As_Awarded.xlsx]Elec_Rates!$D$385</v>
      </c>
      <c r="E835" s="911"/>
      <c r="F835" s="911"/>
      <c r="G835" s="912" t="s">
        <v>2598</v>
      </c>
      <c r="H835" s="912"/>
      <c r="I835" s="912"/>
      <c r="J835" s="912"/>
      <c r="K835" s="913"/>
      <c r="L835" s="911"/>
      <c r="M835" s="911"/>
      <c r="N835" s="911"/>
      <c r="O835" s="914"/>
      <c r="P835" s="911"/>
      <c r="Q835" s="915"/>
      <c r="R835" s="916"/>
      <c r="S835" s="915"/>
      <c r="T835" s="917"/>
      <c r="U835" s="918"/>
      <c r="AR835"/>
      <c r="AS835" s="911"/>
    </row>
    <row r="836" spans="1:45" s="886" customFormat="1" ht="11.4">
      <c r="A836" s="919">
        <v>140</v>
      </c>
      <c r="B836" s="920">
        <v>1</v>
      </c>
      <c r="C836" s="920">
        <f>$A836*$B836</f>
        <v>140</v>
      </c>
      <c r="D836" s="921" t="str">
        <f>Elec_Rates!$D$385</f>
        <v>037# 5 x 16mm2 F120 Fire Resistant Cable (BS7846) -  XLPE/SWA/LSZH</v>
      </c>
      <c r="E836" s="921"/>
      <c r="F836" s="921" t="s">
        <v>2599</v>
      </c>
      <c r="G836" s="922" t="s">
        <v>2601</v>
      </c>
      <c r="H836" s="922"/>
      <c r="I836" s="922"/>
      <c r="J836" s="922"/>
      <c r="K836" s="923"/>
      <c r="L836" s="918"/>
      <c r="M836" s="918"/>
      <c r="N836" s="918"/>
      <c r="O836" s="924"/>
      <c r="P836" s="921"/>
      <c r="Q836" s="925">
        <f ca="1">$B836*Elec_Rates!$R$385</f>
        <v>25.6</v>
      </c>
      <c r="R836" s="916">
        <f ca="1">$A836*Q836</f>
        <v>3584</v>
      </c>
      <c r="S836" s="925">
        <f ca="1">$B836*Elec_Rates!$T$385</f>
        <v>0.11</v>
      </c>
      <c r="T836" s="917">
        <f ca="1">$A836*S836</f>
        <v>15.4</v>
      </c>
      <c r="U836" s="926"/>
      <c r="AR836" s="919">
        <v>140</v>
      </c>
      <c r="AS836" s="921" t="s">
        <v>2599</v>
      </c>
    </row>
    <row r="837" spans="1:45" s="520" customFormat="1" ht="12">
      <c r="A837" s="758"/>
      <c r="B837" s="758"/>
      <c r="C837" s="758"/>
      <c r="D837" s="758"/>
      <c r="E837" s="758"/>
      <c r="F837" s="753"/>
      <c r="G837" s="758"/>
      <c r="H837" s="758"/>
      <c r="I837" s="519"/>
      <c r="J837" s="758"/>
      <c r="K837" s="758"/>
      <c r="L837" s="758"/>
      <c r="M837" s="758"/>
      <c r="N837" s="758"/>
      <c r="O837" s="758"/>
      <c r="P837" s="758"/>
      <c r="Q837" s="519"/>
      <c r="R837" s="759">
        <f>$A837*Q837</f>
        <v>0</v>
      </c>
      <c r="S837" s="519"/>
      <c r="T837" s="760">
        <f>$A837*S837*$T$1</f>
        <v>0</v>
      </c>
      <c r="AR837" s="758"/>
      <c r="AS837" s="753"/>
    </row>
    <row r="838" spans="1:45" s="520" customFormat="1" ht="12.6" thickBot="1">
      <c r="A838" s="761" t="s">
        <v>145</v>
      </c>
      <c r="B838" s="762">
        <f>(R837+T837)</f>
        <v>0</v>
      </c>
      <c r="C838" s="763"/>
      <c r="D838" s="763"/>
      <c r="E838" s="763"/>
      <c r="F838" s="764"/>
      <c r="G838" s="763" t="s">
        <v>146</v>
      </c>
      <c r="H838" s="763"/>
      <c r="I838" s="765"/>
      <c r="J838" s="763"/>
      <c r="K838" s="763" t="s">
        <v>3</v>
      </c>
      <c r="L838" s="766" t="s">
        <v>143</v>
      </c>
      <c r="M838" s="766"/>
      <c r="N838" s="766"/>
      <c r="O838" s="766"/>
      <c r="P838" s="766"/>
      <c r="Q838" s="767"/>
      <c r="R838" s="768">
        <f ca="1">SUM(R834:R837)</f>
        <v>3584</v>
      </c>
      <c r="S838" s="763"/>
      <c r="T838" s="768">
        <f ca="1">SUM(T834:T837)</f>
        <v>15.4</v>
      </c>
      <c r="U838" s="531"/>
      <c r="V838" s="531"/>
      <c r="W838" s="531"/>
      <c r="X838" s="531"/>
      <c r="Y838" s="531"/>
      <c r="Z838" s="531"/>
      <c r="AA838" s="531"/>
      <c r="AB838" s="531"/>
      <c r="AC838" s="531"/>
      <c r="AD838" s="531"/>
      <c r="AE838" s="531"/>
      <c r="AF838" s="531"/>
      <c r="AG838" s="531"/>
      <c r="AH838" s="531"/>
      <c r="AI838" s="531"/>
      <c r="AJ838" s="531"/>
      <c r="AK838" s="531"/>
      <c r="AL838" s="531"/>
      <c r="AM838" s="531"/>
      <c r="AN838" s="531"/>
      <c r="AO838" s="531"/>
      <c r="AR838" s="761" t="s">
        <v>145</v>
      </c>
      <c r="AS838" s="764"/>
    </row>
    <row r="839" spans="1:45" s="520" customFormat="1" ht="12" thickTop="1">
      <c r="A839" s="51"/>
      <c r="B839" s="41"/>
      <c r="C839" s="51"/>
      <c r="E839" s="42" t="s">
        <v>138</v>
      </c>
      <c r="F839" s="42" t="s">
        <v>139</v>
      </c>
      <c r="G839" s="51"/>
      <c r="H839" s="51"/>
      <c r="I839" s="51"/>
      <c r="J839" s="51"/>
      <c r="K839" s="51" t="s">
        <v>140</v>
      </c>
      <c r="L839" s="51"/>
      <c r="M839" s="51"/>
      <c r="N839" s="51"/>
      <c r="O839" s="52"/>
      <c r="P839" s="51"/>
      <c r="Q839" s="51"/>
      <c r="R839" s="51"/>
      <c r="S839" s="51"/>
      <c r="T839" s="41"/>
      <c r="AG839" s="521" t="s">
        <v>268</v>
      </c>
      <c r="AH839" s="521" t="s">
        <v>269</v>
      </c>
      <c r="AI839" s="521" t="s">
        <v>270</v>
      </c>
      <c r="AJ839" s="521" t="s">
        <v>271</v>
      </c>
      <c r="AK839" s="521" t="s">
        <v>272</v>
      </c>
      <c r="AM839" s="745" t="s">
        <v>281</v>
      </c>
      <c r="AN839" s="746" t="s">
        <v>282</v>
      </c>
      <c r="AO839" s="522" t="s">
        <v>278</v>
      </c>
      <c r="AR839" s="51"/>
      <c r="AS839" s="42" t="s">
        <v>139</v>
      </c>
    </row>
    <row r="840" spans="1:45" s="520" customFormat="1" ht="12" customHeight="1">
      <c r="A840" s="747">
        <v>125</v>
      </c>
      <c r="B840" s="523" t="s">
        <v>320</v>
      </c>
      <c r="C840" s="748"/>
      <c r="D840" s="749" t="s">
        <v>1186</v>
      </c>
      <c r="E840" s="1425">
        <f ca="1">IF(AND($A840=0,$A$1="DIF"),0, ROUND(ROUND(($R845*$S$10+($T845*$T$10))/$A840,2)*$C$10,2))</f>
        <v>75.069999999999993</v>
      </c>
      <c r="F840" s="1426">
        <f ca="1">ROUND($A840*$E840,2)</f>
        <v>9383.75</v>
      </c>
      <c r="G840" s="752" t="s">
        <v>142</v>
      </c>
      <c r="H840" s="753"/>
      <c r="I840" s="754"/>
      <c r="J840" s="753"/>
      <c r="K840" s="753" t="s">
        <v>17</v>
      </c>
      <c r="L840" s="755" t="s">
        <v>143</v>
      </c>
      <c r="M840" s="755"/>
      <c r="N840" s="755"/>
      <c r="O840" s="755"/>
      <c r="P840" s="755"/>
      <c r="Q840" s="51"/>
      <c r="T840" s="1430" t="str">
        <f ca="1">IF(AND($R845=0,$T845=0),"0.00","mu: "&amp; ROUND(F840/$C$10/($R845+$T845*$D$9),2))</f>
        <v>mu: 1.18</v>
      </c>
      <c r="W840" s="524"/>
      <c r="AG840" s="1427">
        <f ca="1">IF($E840=0,0,ROUND($R845*$S$10*$C$10/$A840,2))</f>
        <v>70.209999999999994</v>
      </c>
      <c r="AH840" s="1427">
        <f ca="1">$AG840*$A840</f>
        <v>8776.25</v>
      </c>
      <c r="AI840" s="1428">
        <f ca="1">$E840-$AG840</f>
        <v>4.8599999999999994</v>
      </c>
      <c r="AJ840" s="1428">
        <f ca="1">$A840*$AI840</f>
        <v>607.49999999999989</v>
      </c>
      <c r="AK840" s="1429">
        <f ca="1">ROUND(($AG840+$AI840)*$A840,2)</f>
        <v>9383.75</v>
      </c>
      <c r="AM840" s="527">
        <f ca="1">ROUND(R845,2)</f>
        <v>7437.5</v>
      </c>
      <c r="AN840" s="528">
        <f ca="1">ROUND(T845,2)</f>
        <v>18.75</v>
      </c>
      <c r="AO840" s="529">
        <f ca="1">ROUND(AM840+AN840,2)*A840</f>
        <v>932031.25</v>
      </c>
      <c r="AR840" s="747">
        <v>125</v>
      </c>
      <c r="AS840" s="751">
        <v>9835</v>
      </c>
    </row>
    <row r="841" spans="1:45" s="520" customFormat="1" ht="36">
      <c r="A841" s="748"/>
      <c r="B841"/>
      <c r="C841" s="748"/>
      <c r="D841" s="769" t="s">
        <v>1187</v>
      </c>
      <c r="F841" s="753"/>
      <c r="G841" s="3"/>
      <c r="H841" s="753"/>
      <c r="I841" s="754"/>
      <c r="J841" s="753"/>
      <c r="K841" s="753" t="s">
        <v>144</v>
      </c>
      <c r="L841" s="753"/>
      <c r="M841" s="753"/>
      <c r="N841" s="753"/>
      <c r="O841" s="753"/>
      <c r="P841" s="753"/>
      <c r="Q841" s="51"/>
      <c r="R841" s="530"/>
      <c r="S841" s="757"/>
      <c r="T841" s="753"/>
      <c r="AR841" s="748"/>
      <c r="AS841" s="753"/>
    </row>
    <row r="842" spans="1:45" s="886" customFormat="1" ht="13.2">
      <c r="A842"/>
      <c r="B842" s="910"/>
      <c r="C842" s="910" t="s">
        <v>2597</v>
      </c>
      <c r="D842" s="910" t="str">
        <f ca="1">CELL("Address",Elec_Rates!D$335)</f>
        <v>[E25_0062_Quintano_Foods_Elec_ELV_As_Awarded.xlsx]Elec_Rates!$D$335</v>
      </c>
      <c r="E842" s="911"/>
      <c r="F842" s="911"/>
      <c r="G842" s="912" t="s">
        <v>2598</v>
      </c>
      <c r="H842" s="912"/>
      <c r="I842" s="912"/>
      <c r="J842" s="912"/>
      <c r="K842" s="913"/>
      <c r="L842" s="911"/>
      <c r="M842" s="911"/>
      <c r="N842" s="911"/>
      <c r="O842" s="914"/>
      <c r="P842" s="911"/>
      <c r="Q842" s="915"/>
      <c r="R842" s="916"/>
      <c r="S842" s="915"/>
      <c r="T842" s="917"/>
      <c r="U842" s="918"/>
      <c r="AR842"/>
      <c r="AS842" s="911"/>
    </row>
    <row r="843" spans="1:45" s="886" customFormat="1" ht="11.4">
      <c r="A843" s="919">
        <v>125</v>
      </c>
      <c r="B843" s="920">
        <v>1</v>
      </c>
      <c r="C843" s="920">
        <f>$A843*$B843</f>
        <v>125</v>
      </c>
      <c r="D843" s="921" t="str">
        <f>Elec_Rates!$D$335</f>
        <v>032# 5 x 50mm2  F120 Fire Resistant Cable (BS7846) - XLPE/SWA/LSZH</v>
      </c>
      <c r="E843" s="921"/>
      <c r="F843" s="921" t="s">
        <v>2599</v>
      </c>
      <c r="G843" s="922" t="s">
        <v>2601</v>
      </c>
      <c r="H843" s="922"/>
      <c r="I843" s="922"/>
      <c r="J843" s="922"/>
      <c r="K843" s="923"/>
      <c r="L843" s="918"/>
      <c r="M843" s="918"/>
      <c r="N843" s="918"/>
      <c r="O843" s="924"/>
      <c r="P843" s="921"/>
      <c r="Q843" s="925">
        <f ca="1">$B843*Elec_Rates!$R$335</f>
        <v>59.5</v>
      </c>
      <c r="R843" s="916">
        <f ca="1">$A843*Q843</f>
        <v>7437.5</v>
      </c>
      <c r="S843" s="925">
        <f ca="1">$B843*Elec_Rates!$T$335</f>
        <v>0.15</v>
      </c>
      <c r="T843" s="917">
        <f ca="1">$A843*S843</f>
        <v>18.75</v>
      </c>
      <c r="U843" s="926"/>
      <c r="AR843" s="919">
        <v>125</v>
      </c>
      <c r="AS843" s="921" t="s">
        <v>2599</v>
      </c>
    </row>
    <row r="844" spans="1:45" s="520" customFormat="1" ht="12">
      <c r="A844" s="758"/>
      <c r="B844" s="758"/>
      <c r="C844" s="758"/>
      <c r="D844" s="758"/>
      <c r="E844" s="758"/>
      <c r="F844" s="753"/>
      <c r="G844" s="758"/>
      <c r="H844" s="758"/>
      <c r="I844" s="519"/>
      <c r="J844" s="758"/>
      <c r="K844" s="758"/>
      <c r="L844" s="758"/>
      <c r="M844" s="758"/>
      <c r="N844" s="758"/>
      <c r="O844" s="758"/>
      <c r="P844" s="758"/>
      <c r="Q844" s="519"/>
      <c r="R844" s="759">
        <f>$A844*Q844</f>
        <v>0</v>
      </c>
      <c r="S844" s="519"/>
      <c r="T844" s="760">
        <f>$A844*S844*$T$1</f>
        <v>0</v>
      </c>
      <c r="AR844" s="758"/>
      <c r="AS844" s="753"/>
    </row>
    <row r="845" spans="1:45" s="520" customFormat="1" ht="12.6" thickBot="1">
      <c r="A845" s="761" t="s">
        <v>145</v>
      </c>
      <c r="B845" s="762">
        <f>(R844+T844)</f>
        <v>0</v>
      </c>
      <c r="C845" s="763"/>
      <c r="D845" s="763"/>
      <c r="E845" s="763"/>
      <c r="F845" s="764"/>
      <c r="G845" s="763" t="s">
        <v>146</v>
      </c>
      <c r="H845" s="763"/>
      <c r="I845" s="765"/>
      <c r="J845" s="763"/>
      <c r="K845" s="763" t="s">
        <v>17</v>
      </c>
      <c r="L845" s="766" t="s">
        <v>143</v>
      </c>
      <c r="M845" s="766"/>
      <c r="N845" s="766"/>
      <c r="O845" s="766"/>
      <c r="P845" s="766"/>
      <c r="Q845" s="767"/>
      <c r="R845" s="768">
        <f ca="1">SUM(R841:R844)</f>
        <v>7437.5</v>
      </c>
      <c r="S845" s="763"/>
      <c r="T845" s="768">
        <f ca="1">SUM(T841:T844)</f>
        <v>18.75</v>
      </c>
      <c r="U845" s="531"/>
      <c r="V845" s="531"/>
      <c r="W845" s="531"/>
      <c r="X845" s="531"/>
      <c r="Y845" s="531"/>
      <c r="Z845" s="531"/>
      <c r="AA845" s="531"/>
      <c r="AB845" s="531"/>
      <c r="AC845" s="531"/>
      <c r="AD845" s="531"/>
      <c r="AE845" s="531"/>
      <c r="AF845" s="531"/>
      <c r="AG845" s="531"/>
      <c r="AH845" s="531"/>
      <c r="AI845" s="531"/>
      <c r="AJ845" s="531"/>
      <c r="AK845" s="531"/>
      <c r="AL845" s="531"/>
      <c r="AM845" s="531"/>
      <c r="AN845" s="531"/>
      <c r="AO845" s="531"/>
      <c r="AR845" s="761" t="s">
        <v>145</v>
      </c>
      <c r="AS845" s="764"/>
    </row>
    <row r="846" spans="1:45" s="520" customFormat="1" ht="12" thickTop="1">
      <c r="A846" s="51"/>
      <c r="B846" s="41"/>
      <c r="C846" s="51"/>
      <c r="E846" s="42" t="s">
        <v>138</v>
      </c>
      <c r="F846" s="42" t="s">
        <v>139</v>
      </c>
      <c r="G846" s="51"/>
      <c r="H846" s="51"/>
      <c r="I846" s="51"/>
      <c r="J846" s="51"/>
      <c r="K846" s="51" t="s">
        <v>140</v>
      </c>
      <c r="L846" s="51"/>
      <c r="M846" s="51"/>
      <c r="N846" s="51"/>
      <c r="O846" s="52"/>
      <c r="P846" s="51"/>
      <c r="Q846" s="51"/>
      <c r="R846" s="51"/>
      <c r="S846" s="51"/>
      <c r="T846" s="41"/>
      <c r="AG846" s="521" t="s">
        <v>268</v>
      </c>
      <c r="AH846" s="521" t="s">
        <v>269</v>
      </c>
      <c r="AI846" s="521" t="s">
        <v>270</v>
      </c>
      <c r="AJ846" s="521" t="s">
        <v>271</v>
      </c>
      <c r="AK846" s="521" t="s">
        <v>272</v>
      </c>
      <c r="AM846" s="745" t="s">
        <v>281</v>
      </c>
      <c r="AN846" s="746" t="s">
        <v>282</v>
      </c>
      <c r="AO846" s="522" t="s">
        <v>278</v>
      </c>
      <c r="AR846" s="51"/>
      <c r="AS846" s="42" t="s">
        <v>139</v>
      </c>
    </row>
    <row r="847" spans="1:45" s="520" customFormat="1" ht="12" customHeight="1">
      <c r="A847" s="747">
        <v>125</v>
      </c>
      <c r="B847" s="523" t="s">
        <v>320</v>
      </c>
      <c r="C847" s="748"/>
      <c r="D847" s="749" t="s">
        <v>1188</v>
      </c>
      <c r="E847" s="1425">
        <f ca="1">IF(AND($A847=0,$A$1="DIF"),0, ROUND(ROUND(($R852*$S$10+($T852*$T$10))/$A847,2)*$C$10,2))</f>
        <v>75.069999999999993</v>
      </c>
      <c r="F847" s="1426">
        <f ca="1">ROUND($A847*$E847,2)</f>
        <v>9383.75</v>
      </c>
      <c r="G847" s="752" t="s">
        <v>142</v>
      </c>
      <c r="H847" s="753"/>
      <c r="I847" s="754"/>
      <c r="J847" s="753"/>
      <c r="K847" s="753" t="s">
        <v>17</v>
      </c>
      <c r="L847" s="755" t="s">
        <v>143</v>
      </c>
      <c r="M847" s="755"/>
      <c r="N847" s="755"/>
      <c r="O847" s="755"/>
      <c r="P847" s="755"/>
      <c r="Q847" s="51"/>
      <c r="T847" s="1430" t="str">
        <f ca="1">IF(AND($R852=0,$T852=0),"0.00","mu: "&amp; ROUND(F847/$C$10/($R852+$T852*$D$9),2))</f>
        <v>mu: 1.18</v>
      </c>
      <c r="W847" s="524"/>
      <c r="AG847" s="1427">
        <f ca="1">IF($E847=0,0,ROUND($R852*$S$10*$C$10/$A847,2))</f>
        <v>70.209999999999994</v>
      </c>
      <c r="AH847" s="1427">
        <f ca="1">$AG847*$A847</f>
        <v>8776.25</v>
      </c>
      <c r="AI847" s="1428">
        <f ca="1">$E847-$AG847</f>
        <v>4.8599999999999994</v>
      </c>
      <c r="AJ847" s="1428">
        <f ca="1">$A847*$AI847</f>
        <v>607.49999999999989</v>
      </c>
      <c r="AK847" s="1429">
        <f ca="1">ROUND(($AG847+$AI847)*$A847,2)</f>
        <v>9383.75</v>
      </c>
      <c r="AM847" s="527">
        <f ca="1">ROUND(R852,2)</f>
        <v>7437.5</v>
      </c>
      <c r="AN847" s="528">
        <f ca="1">ROUND(T852,2)</f>
        <v>18.75</v>
      </c>
      <c r="AO847" s="529">
        <f ca="1">ROUND(AM847+AN847,2)*A847</f>
        <v>932031.25</v>
      </c>
      <c r="AR847" s="747">
        <v>125</v>
      </c>
      <c r="AS847" s="751">
        <v>9835</v>
      </c>
    </row>
    <row r="848" spans="1:45" s="520" customFormat="1" ht="36">
      <c r="A848" s="748"/>
      <c r="B848"/>
      <c r="C848" s="748"/>
      <c r="D848" s="769" t="s">
        <v>1189</v>
      </c>
      <c r="F848" s="753"/>
      <c r="G848" s="3"/>
      <c r="H848" s="753"/>
      <c r="I848" s="754"/>
      <c r="J848" s="753"/>
      <c r="K848" s="753" t="s">
        <v>144</v>
      </c>
      <c r="L848" s="753"/>
      <c r="M848" s="753"/>
      <c r="N848" s="753"/>
      <c r="O848" s="753"/>
      <c r="P848" s="753"/>
      <c r="Q848" s="51"/>
      <c r="R848" s="530"/>
      <c r="S848" s="757"/>
      <c r="T848" s="753"/>
      <c r="AR848" s="748"/>
      <c r="AS848" s="753"/>
    </row>
    <row r="849" spans="1:45" s="886" customFormat="1" ht="13.2">
      <c r="A849"/>
      <c r="B849" s="910"/>
      <c r="C849" s="910" t="s">
        <v>2597</v>
      </c>
      <c r="D849" s="910" t="str">
        <f ca="1">CELL("Address",Elec_Rates!D$335)</f>
        <v>[E25_0062_Quintano_Foods_Elec_ELV_As_Awarded.xlsx]Elec_Rates!$D$335</v>
      </c>
      <c r="E849" s="911"/>
      <c r="F849" s="911"/>
      <c r="G849" s="912" t="s">
        <v>2598</v>
      </c>
      <c r="H849" s="912"/>
      <c r="I849" s="912"/>
      <c r="J849" s="912"/>
      <c r="K849" s="913"/>
      <c r="L849" s="911"/>
      <c r="M849" s="911"/>
      <c r="N849" s="911"/>
      <c r="O849" s="914"/>
      <c r="P849" s="911"/>
      <c r="Q849" s="915"/>
      <c r="R849" s="916"/>
      <c r="S849" s="915"/>
      <c r="T849" s="917"/>
      <c r="U849" s="918"/>
      <c r="AR849"/>
      <c r="AS849" s="911"/>
    </row>
    <row r="850" spans="1:45" s="886" customFormat="1" ht="11.4">
      <c r="A850" s="919">
        <v>125</v>
      </c>
      <c r="B850" s="920">
        <v>1</v>
      </c>
      <c r="C850" s="920">
        <f>$A850*$B850</f>
        <v>125</v>
      </c>
      <c r="D850" s="921" t="str">
        <f>Elec_Rates!$D$335</f>
        <v>032# 5 x 50mm2  F120 Fire Resistant Cable (BS7846) - XLPE/SWA/LSZH</v>
      </c>
      <c r="E850" s="921"/>
      <c r="F850" s="921" t="s">
        <v>2599</v>
      </c>
      <c r="G850" s="922" t="s">
        <v>2601</v>
      </c>
      <c r="H850" s="922"/>
      <c r="I850" s="922"/>
      <c r="J850" s="922"/>
      <c r="K850" s="923"/>
      <c r="L850" s="918"/>
      <c r="M850" s="918"/>
      <c r="N850" s="918"/>
      <c r="O850" s="924"/>
      <c r="P850" s="921"/>
      <c r="Q850" s="925">
        <f ca="1">$B850*Elec_Rates!$R$335</f>
        <v>59.5</v>
      </c>
      <c r="R850" s="916">
        <f ca="1">$A850*Q850</f>
        <v>7437.5</v>
      </c>
      <c r="S850" s="925">
        <f ca="1">$B850*Elec_Rates!$T$335</f>
        <v>0.15</v>
      </c>
      <c r="T850" s="917">
        <f ca="1">$A850*S850</f>
        <v>18.75</v>
      </c>
      <c r="U850" s="926"/>
      <c r="AR850" s="919">
        <v>125</v>
      </c>
      <c r="AS850" s="921" t="s">
        <v>2599</v>
      </c>
    </row>
    <row r="851" spans="1:45" s="520" customFormat="1" ht="12">
      <c r="A851" s="758"/>
      <c r="B851" s="758"/>
      <c r="C851" s="758"/>
      <c r="D851" s="758"/>
      <c r="E851" s="758"/>
      <c r="F851" s="753"/>
      <c r="G851" s="758"/>
      <c r="H851" s="758"/>
      <c r="I851" s="519"/>
      <c r="J851" s="758"/>
      <c r="K851" s="758"/>
      <c r="L851" s="758"/>
      <c r="M851" s="758"/>
      <c r="N851" s="758"/>
      <c r="O851" s="758"/>
      <c r="P851" s="758"/>
      <c r="Q851" s="519"/>
      <c r="R851" s="759">
        <f>$A851*Q851</f>
        <v>0</v>
      </c>
      <c r="S851" s="519"/>
      <c r="T851" s="760">
        <f>$A851*S851*$T$1</f>
        <v>0</v>
      </c>
      <c r="AR851" s="758"/>
      <c r="AS851" s="753"/>
    </row>
    <row r="852" spans="1:45" s="520" customFormat="1" ht="12.6" thickBot="1">
      <c r="A852" s="761" t="s">
        <v>145</v>
      </c>
      <c r="B852" s="762">
        <f>(R851+T851)</f>
        <v>0</v>
      </c>
      <c r="C852" s="763"/>
      <c r="D852" s="763"/>
      <c r="E852" s="763"/>
      <c r="F852" s="764"/>
      <c r="G852" s="763" t="s">
        <v>146</v>
      </c>
      <c r="H852" s="763"/>
      <c r="I852" s="765"/>
      <c r="J852" s="763"/>
      <c r="K852" s="763" t="s">
        <v>17</v>
      </c>
      <c r="L852" s="766" t="s">
        <v>143</v>
      </c>
      <c r="M852" s="766"/>
      <c r="N852" s="766"/>
      <c r="O852" s="766"/>
      <c r="P852" s="766"/>
      <c r="Q852" s="767"/>
      <c r="R852" s="768">
        <f ca="1">SUM(R848:R851)</f>
        <v>7437.5</v>
      </c>
      <c r="S852" s="763"/>
      <c r="T852" s="768">
        <f ca="1">SUM(T848:T851)</f>
        <v>18.75</v>
      </c>
      <c r="U852" s="531"/>
      <c r="V852" s="531"/>
      <c r="W852" s="531"/>
      <c r="X852" s="531"/>
      <c r="Y852" s="531"/>
      <c r="Z852" s="531"/>
      <c r="AA852" s="531"/>
      <c r="AB852" s="531"/>
      <c r="AC852" s="531"/>
      <c r="AD852" s="531"/>
      <c r="AE852" s="531"/>
      <c r="AF852" s="531"/>
      <c r="AG852" s="531"/>
      <c r="AH852" s="531"/>
      <c r="AI852" s="531"/>
      <c r="AJ852" s="531"/>
      <c r="AK852" s="531"/>
      <c r="AL852" s="531"/>
      <c r="AM852" s="531"/>
      <c r="AN852" s="531"/>
      <c r="AO852" s="531"/>
      <c r="AR852" s="761" t="s">
        <v>145</v>
      </c>
      <c r="AS852" s="764"/>
    </row>
    <row r="853" spans="1:45" s="520" customFormat="1" ht="12" thickTop="1">
      <c r="A853" s="51"/>
      <c r="B853" s="41"/>
      <c r="C853" s="51"/>
      <c r="E853" s="42" t="s">
        <v>138</v>
      </c>
      <c r="F853" s="42" t="s">
        <v>139</v>
      </c>
      <c r="G853" s="51"/>
      <c r="H853" s="51"/>
      <c r="I853" s="51"/>
      <c r="J853" s="51"/>
      <c r="K853" s="51" t="s">
        <v>140</v>
      </c>
      <c r="L853" s="51"/>
      <c r="M853" s="51"/>
      <c r="N853" s="51"/>
      <c r="O853" s="52"/>
      <c r="P853" s="51"/>
      <c r="Q853" s="51"/>
      <c r="R853" s="51"/>
      <c r="S853" s="51"/>
      <c r="T853" s="41"/>
      <c r="AG853" s="521" t="s">
        <v>268</v>
      </c>
      <c r="AH853" s="521" t="s">
        <v>269</v>
      </c>
      <c r="AI853" s="521" t="s">
        <v>270</v>
      </c>
      <c r="AJ853" s="521" t="s">
        <v>271</v>
      </c>
      <c r="AK853" s="521" t="s">
        <v>272</v>
      </c>
      <c r="AM853" s="745" t="s">
        <v>281</v>
      </c>
      <c r="AN853" s="746" t="s">
        <v>282</v>
      </c>
      <c r="AO853" s="522" t="s">
        <v>278</v>
      </c>
      <c r="AR853" s="51"/>
      <c r="AS853" s="42" t="s">
        <v>139</v>
      </c>
    </row>
    <row r="854" spans="1:45" s="520" customFormat="1" ht="12" customHeight="1">
      <c r="A854" s="747">
        <v>105</v>
      </c>
      <c r="B854" s="523" t="s">
        <v>320</v>
      </c>
      <c r="C854" s="748"/>
      <c r="D854" s="749" t="s">
        <v>1190</v>
      </c>
      <c r="E854" s="1425">
        <f ca="1">IF(AND($A854=0,$A$1="DIF"),0, ROUND(ROUND(($R859*$S$10+($T859*$T$10))/$A854,2)*$C$10,2))</f>
        <v>148.19</v>
      </c>
      <c r="F854" s="1426">
        <f ca="1">ROUND($A854*$E854,2)</f>
        <v>15559.95</v>
      </c>
      <c r="G854" s="752" t="s">
        <v>142</v>
      </c>
      <c r="H854" s="753"/>
      <c r="I854" s="754"/>
      <c r="J854" s="753"/>
      <c r="K854" s="753" t="s">
        <v>17</v>
      </c>
      <c r="L854" s="755" t="s">
        <v>143</v>
      </c>
      <c r="M854" s="755"/>
      <c r="N854" s="755"/>
      <c r="O854" s="755"/>
      <c r="P854" s="755"/>
      <c r="Q854" s="51"/>
      <c r="T854" s="1430" t="str">
        <f ca="1">IF(AND($R859=0,$T859=0),"0.00","mu: "&amp; ROUND(F854/$C$10/($R859+$T859*$D$9),2))</f>
        <v>mu: 1.18</v>
      </c>
      <c r="W854" s="524"/>
      <c r="AG854" s="1427">
        <f ca="1">IF($E854=0,0,ROUND($R859*$S$10*$C$10/$A854,2))</f>
        <v>140.41</v>
      </c>
      <c r="AH854" s="1427">
        <f ca="1">$AG854*$A854</f>
        <v>14743.05</v>
      </c>
      <c r="AI854" s="1428">
        <f ca="1">$E854-$AG854</f>
        <v>7.7800000000000011</v>
      </c>
      <c r="AJ854" s="1428">
        <f ca="1">$A854*$AI854</f>
        <v>816.90000000000009</v>
      </c>
      <c r="AK854" s="1429">
        <f ca="1">ROUND(($AG854+$AI854)*$A854,2)</f>
        <v>15559.95</v>
      </c>
      <c r="AM854" s="527">
        <f ca="1">ROUND(R859,2)</f>
        <v>12493.95</v>
      </c>
      <c r="AN854" s="528">
        <f ca="1">ROUND(T859,2)</f>
        <v>25.2</v>
      </c>
      <c r="AO854" s="529">
        <f ca="1">ROUND(AM854+AN854,2)*A854</f>
        <v>1314510.75</v>
      </c>
      <c r="AR854" s="747">
        <v>105</v>
      </c>
      <c r="AS854" s="751">
        <v>16343.25</v>
      </c>
    </row>
    <row r="855" spans="1:45" s="520" customFormat="1" ht="13.2">
      <c r="A855" s="748"/>
      <c r="B855"/>
      <c r="C855" s="748"/>
      <c r="D855" s="749" t="s">
        <v>1191</v>
      </c>
      <c r="F855" s="753"/>
      <c r="G855" s="3"/>
      <c r="H855" s="753"/>
      <c r="I855" s="754"/>
      <c r="J855" s="753"/>
      <c r="K855" s="753" t="s">
        <v>144</v>
      </c>
      <c r="L855" s="753"/>
      <c r="M855" s="753"/>
      <c r="N855" s="753"/>
      <c r="O855" s="753"/>
      <c r="P855" s="753"/>
      <c r="Q855" s="51"/>
      <c r="R855" s="530"/>
      <c r="S855" s="757"/>
      <c r="T855" s="753"/>
      <c r="AR855" s="748"/>
      <c r="AS855" s="753"/>
    </row>
    <row r="856" spans="1:45" s="886" customFormat="1" ht="13.2">
      <c r="A856"/>
      <c r="B856" s="910"/>
      <c r="C856" s="910" t="s">
        <v>2597</v>
      </c>
      <c r="D856" s="910" t="str">
        <f ca="1">CELL("Address",Elec_Rates!D$261)</f>
        <v>[E25_0062_Quintano_Foods_Elec_ELV_As_Awarded.xlsx]Elec_Rates!$D$261</v>
      </c>
      <c r="E856" s="911"/>
      <c r="F856" s="911"/>
      <c r="G856" s="912" t="s">
        <v>2598</v>
      </c>
      <c r="H856" s="912"/>
      <c r="I856" s="912"/>
      <c r="J856" s="912"/>
      <c r="K856" s="913"/>
      <c r="L856" s="911"/>
      <c r="M856" s="911"/>
      <c r="N856" s="911"/>
      <c r="O856" s="914"/>
      <c r="P856" s="911"/>
      <c r="Q856" s="915"/>
      <c r="R856" s="916"/>
      <c r="S856" s="915"/>
      <c r="T856" s="917"/>
      <c r="U856" s="918"/>
      <c r="AR856"/>
      <c r="AS856" s="911"/>
    </row>
    <row r="857" spans="1:45" s="886" customFormat="1" ht="11.4">
      <c r="A857" s="919">
        <v>105</v>
      </c>
      <c r="B857" s="920">
        <v>1</v>
      </c>
      <c r="C857" s="920">
        <f>$A857*$B857</f>
        <v>105</v>
      </c>
      <c r="D857" s="921" t="str">
        <f>Elec_Rates!$D$261</f>
        <v>025# 5 x 185mm2 XLPE/SWA/LSZH</v>
      </c>
      <c r="E857" s="921"/>
      <c r="F857" s="921" t="s">
        <v>2599</v>
      </c>
      <c r="G857" s="922" t="s">
        <v>2601</v>
      </c>
      <c r="H857" s="922"/>
      <c r="I857" s="922"/>
      <c r="J857" s="922"/>
      <c r="K857" s="923"/>
      <c r="L857" s="918"/>
      <c r="M857" s="918"/>
      <c r="N857" s="918"/>
      <c r="O857" s="924"/>
      <c r="P857" s="921"/>
      <c r="Q857" s="925">
        <f ca="1">$B857*Elec_Rates!$R$261</f>
        <v>118.99</v>
      </c>
      <c r="R857" s="916">
        <f ca="1">$A857*Q857</f>
        <v>12493.949999999999</v>
      </c>
      <c r="S857" s="925">
        <f ca="1">$B857*Elec_Rates!$T$261</f>
        <v>0.24</v>
      </c>
      <c r="T857" s="917">
        <f ca="1">$A857*S857</f>
        <v>25.2</v>
      </c>
      <c r="U857" s="926"/>
      <c r="AR857" s="919">
        <v>105</v>
      </c>
      <c r="AS857" s="921" t="s">
        <v>2599</v>
      </c>
    </row>
    <row r="858" spans="1:45" s="520" customFormat="1" ht="12">
      <c r="A858" s="758"/>
      <c r="B858" s="758"/>
      <c r="C858" s="758"/>
      <c r="D858" s="758"/>
      <c r="E858" s="758"/>
      <c r="F858" s="753"/>
      <c r="G858" s="758"/>
      <c r="H858" s="758"/>
      <c r="I858" s="519"/>
      <c r="J858" s="758"/>
      <c r="K858" s="758"/>
      <c r="L858" s="758"/>
      <c r="M858" s="758"/>
      <c r="N858" s="758"/>
      <c r="O858" s="758"/>
      <c r="P858" s="758"/>
      <c r="Q858" s="519"/>
      <c r="R858" s="759">
        <f>$A858*Q858</f>
        <v>0</v>
      </c>
      <c r="S858" s="519"/>
      <c r="T858" s="760">
        <f>$A858*S858*$T$1</f>
        <v>0</v>
      </c>
      <c r="AR858" s="758"/>
      <c r="AS858" s="753"/>
    </row>
    <row r="859" spans="1:45" s="520" customFormat="1" ht="12.6" thickBot="1">
      <c r="A859" s="761" t="s">
        <v>145</v>
      </c>
      <c r="B859" s="762">
        <f>(R858+T858)</f>
        <v>0</v>
      </c>
      <c r="C859" s="763"/>
      <c r="D859" s="763"/>
      <c r="E859" s="763"/>
      <c r="F859" s="764"/>
      <c r="G859" s="763" t="s">
        <v>146</v>
      </c>
      <c r="H859" s="763"/>
      <c r="I859" s="765"/>
      <c r="J859" s="763"/>
      <c r="K859" s="763" t="s">
        <v>17</v>
      </c>
      <c r="L859" s="766" t="s">
        <v>143</v>
      </c>
      <c r="M859" s="766"/>
      <c r="N859" s="766"/>
      <c r="O859" s="766"/>
      <c r="P859" s="766"/>
      <c r="Q859" s="767"/>
      <c r="R859" s="768">
        <f ca="1">SUM(R855:R858)</f>
        <v>12493.949999999999</v>
      </c>
      <c r="S859" s="763"/>
      <c r="T859" s="768">
        <f ca="1">SUM(T855:T858)</f>
        <v>25.2</v>
      </c>
      <c r="U859" s="531"/>
      <c r="V859" s="531"/>
      <c r="W859" s="531"/>
      <c r="X859" s="531"/>
      <c r="Y859" s="531"/>
      <c r="Z859" s="531"/>
      <c r="AA859" s="531"/>
      <c r="AB859" s="531"/>
      <c r="AC859" s="531"/>
      <c r="AD859" s="531"/>
      <c r="AE859" s="531"/>
      <c r="AF859" s="531"/>
      <c r="AG859" s="531"/>
      <c r="AH859" s="531"/>
      <c r="AI859" s="531"/>
      <c r="AJ859" s="531"/>
      <c r="AK859" s="531"/>
      <c r="AL859" s="531"/>
      <c r="AM859" s="531"/>
      <c r="AN859" s="531"/>
      <c r="AO859" s="531"/>
      <c r="AR859" s="761" t="s">
        <v>145</v>
      </c>
      <c r="AS859" s="764"/>
    </row>
    <row r="860" spans="1:45" s="520" customFormat="1" ht="12" thickTop="1">
      <c r="A860" s="51"/>
      <c r="B860" s="41"/>
      <c r="C860" s="51"/>
      <c r="E860" s="42" t="s">
        <v>138</v>
      </c>
      <c r="F860" s="42" t="s">
        <v>139</v>
      </c>
      <c r="G860" s="51"/>
      <c r="H860" s="51"/>
      <c r="I860" s="51"/>
      <c r="J860" s="51"/>
      <c r="K860" s="51" t="s">
        <v>140</v>
      </c>
      <c r="L860" s="51"/>
      <c r="M860" s="51"/>
      <c r="N860" s="51"/>
      <c r="O860" s="52"/>
      <c r="P860" s="51"/>
      <c r="Q860" s="51"/>
      <c r="R860" s="51"/>
      <c r="S860" s="51"/>
      <c r="T860" s="41"/>
      <c r="AG860" s="521" t="s">
        <v>268</v>
      </c>
      <c r="AH860" s="521" t="s">
        <v>269</v>
      </c>
      <c r="AI860" s="521" t="s">
        <v>270</v>
      </c>
      <c r="AJ860" s="521" t="s">
        <v>271</v>
      </c>
      <c r="AK860" s="521" t="s">
        <v>272</v>
      </c>
      <c r="AM860" s="745" t="s">
        <v>281</v>
      </c>
      <c r="AN860" s="746" t="s">
        <v>282</v>
      </c>
      <c r="AO860" s="522" t="s">
        <v>278</v>
      </c>
      <c r="AR860" s="51"/>
      <c r="AS860" s="42" t="s">
        <v>139</v>
      </c>
    </row>
    <row r="861" spans="1:45" s="520" customFormat="1" ht="12" customHeight="1">
      <c r="A861" s="747">
        <v>85</v>
      </c>
      <c r="B861" s="523" t="s">
        <v>320</v>
      </c>
      <c r="C861" s="748"/>
      <c r="D861" s="749" t="s">
        <v>1192</v>
      </c>
      <c r="E861" s="1425">
        <f ca="1">IF(AND($A861=0,$A$1="DIF"),0, ROUND(ROUND(($R866*$S$10+($T866*$T$10))/$A861,2)*$C$10,2))</f>
        <v>148.19</v>
      </c>
      <c r="F861" s="1426">
        <f ca="1">ROUND($A861*$E861,2)</f>
        <v>12596.15</v>
      </c>
      <c r="G861" s="752" t="s">
        <v>142</v>
      </c>
      <c r="H861" s="753"/>
      <c r="I861" s="754"/>
      <c r="J861" s="753"/>
      <c r="K861" s="753" t="s">
        <v>17</v>
      </c>
      <c r="L861" s="755" t="s">
        <v>143</v>
      </c>
      <c r="M861" s="755"/>
      <c r="N861" s="755"/>
      <c r="O861" s="755"/>
      <c r="P861" s="755"/>
      <c r="Q861" s="51"/>
      <c r="T861" s="1430" t="str">
        <f ca="1">IF(AND($R866=0,$T866=0),"0.00","mu: "&amp; ROUND(F861/$C$10/($R866+$T866*$D$9),2))</f>
        <v>mu: 1.18</v>
      </c>
      <c r="W861" s="524"/>
      <c r="AG861" s="1427">
        <f ca="1">IF($E861=0,0,ROUND($R866*$S$10*$C$10/$A861,2))</f>
        <v>140.41</v>
      </c>
      <c r="AH861" s="1427">
        <f ca="1">$AG861*$A861</f>
        <v>11934.85</v>
      </c>
      <c r="AI861" s="1428">
        <f ca="1">$E861-$AG861</f>
        <v>7.7800000000000011</v>
      </c>
      <c r="AJ861" s="1428">
        <f ca="1">$A861*$AI861</f>
        <v>661.30000000000007</v>
      </c>
      <c r="AK861" s="1429">
        <f ca="1">ROUND(($AG861+$AI861)*$A861,2)</f>
        <v>12596.15</v>
      </c>
      <c r="AM861" s="527">
        <f ca="1">ROUND(R866,2)</f>
        <v>10114.15</v>
      </c>
      <c r="AN861" s="528">
        <f ca="1">ROUND(T866,2)</f>
        <v>20.399999999999999</v>
      </c>
      <c r="AO861" s="529">
        <f ca="1">ROUND(AM861+AN861,2)*A861</f>
        <v>861436.74999999988</v>
      </c>
      <c r="AR861" s="747">
        <v>85</v>
      </c>
      <c r="AS861" s="751">
        <v>13230.25</v>
      </c>
    </row>
    <row r="862" spans="1:45" s="520" customFormat="1" ht="13.2">
      <c r="A862" s="748"/>
      <c r="B862"/>
      <c r="C862" s="748"/>
      <c r="D862" s="749" t="s">
        <v>1193</v>
      </c>
      <c r="F862" s="753"/>
      <c r="G862" s="3"/>
      <c r="H862" s="753"/>
      <c r="I862" s="754"/>
      <c r="J862" s="753"/>
      <c r="K862" s="753" t="s">
        <v>144</v>
      </c>
      <c r="L862" s="753"/>
      <c r="M862" s="753"/>
      <c r="N862" s="753"/>
      <c r="O862" s="753"/>
      <c r="P862" s="753"/>
      <c r="Q862" s="51"/>
      <c r="R862" s="530"/>
      <c r="S862" s="757"/>
      <c r="T862" s="753"/>
      <c r="AR862" s="748"/>
      <c r="AS862" s="753"/>
    </row>
    <row r="863" spans="1:45" s="886" customFormat="1" ht="13.2">
      <c r="A863"/>
      <c r="B863" s="910"/>
      <c r="C863" s="910" t="s">
        <v>2597</v>
      </c>
      <c r="D863" s="910" t="str">
        <f ca="1">CELL("Address",Elec_Rates!D$261)</f>
        <v>[E25_0062_Quintano_Foods_Elec_ELV_As_Awarded.xlsx]Elec_Rates!$D$261</v>
      </c>
      <c r="E863" s="911"/>
      <c r="F863" s="911"/>
      <c r="G863" s="912" t="s">
        <v>2598</v>
      </c>
      <c r="H863" s="912"/>
      <c r="I863" s="912"/>
      <c r="J863" s="912"/>
      <c r="K863" s="913"/>
      <c r="L863" s="911"/>
      <c r="M863" s="911"/>
      <c r="N863" s="911"/>
      <c r="O863" s="914"/>
      <c r="P863" s="911"/>
      <c r="Q863" s="915"/>
      <c r="R863" s="916"/>
      <c r="S863" s="915"/>
      <c r="T863" s="917"/>
      <c r="U863" s="918"/>
      <c r="AR863"/>
      <c r="AS863" s="911"/>
    </row>
    <row r="864" spans="1:45" s="886" customFormat="1" ht="11.4">
      <c r="A864" s="919">
        <v>85</v>
      </c>
      <c r="B864" s="920">
        <v>1</v>
      </c>
      <c r="C864" s="920">
        <f>$A864*$B864</f>
        <v>85</v>
      </c>
      <c r="D864" s="921" t="str">
        <f>Elec_Rates!$D$261</f>
        <v>025# 5 x 185mm2 XLPE/SWA/LSZH</v>
      </c>
      <c r="E864" s="921"/>
      <c r="F864" s="921" t="s">
        <v>2599</v>
      </c>
      <c r="G864" s="922" t="s">
        <v>2601</v>
      </c>
      <c r="H864" s="922"/>
      <c r="I864" s="922"/>
      <c r="J864" s="922"/>
      <c r="K864" s="923"/>
      <c r="L864" s="918"/>
      <c r="M864" s="918"/>
      <c r="N864" s="918"/>
      <c r="O864" s="924"/>
      <c r="P864" s="921"/>
      <c r="Q864" s="925">
        <f ca="1">$B864*Elec_Rates!$R$261</f>
        <v>118.99</v>
      </c>
      <c r="R864" s="916">
        <f ca="1">$A864*Q864</f>
        <v>10114.15</v>
      </c>
      <c r="S864" s="925">
        <f ca="1">$B864*Elec_Rates!$T$261</f>
        <v>0.24</v>
      </c>
      <c r="T864" s="917">
        <f ca="1">$A864*S864</f>
        <v>20.399999999999999</v>
      </c>
      <c r="U864" s="926"/>
      <c r="AR864" s="919">
        <v>85</v>
      </c>
      <c r="AS864" s="921" t="s">
        <v>2599</v>
      </c>
    </row>
    <row r="865" spans="1:45" s="520" customFormat="1" ht="12">
      <c r="A865" s="758"/>
      <c r="B865" s="758"/>
      <c r="C865" s="758"/>
      <c r="D865" s="758"/>
      <c r="E865" s="758"/>
      <c r="F865" s="753"/>
      <c r="G865" s="758"/>
      <c r="H865" s="758"/>
      <c r="I865" s="519"/>
      <c r="J865" s="758"/>
      <c r="K865" s="758"/>
      <c r="L865" s="758"/>
      <c r="M865" s="758"/>
      <c r="N865" s="758"/>
      <c r="O865" s="758"/>
      <c r="P865" s="758"/>
      <c r="Q865" s="519"/>
      <c r="R865" s="759">
        <f>$A865*Q865</f>
        <v>0</v>
      </c>
      <c r="S865" s="519"/>
      <c r="T865" s="760">
        <f>$A865*S865*$T$1</f>
        <v>0</v>
      </c>
      <c r="AR865" s="758"/>
      <c r="AS865" s="753"/>
    </row>
    <row r="866" spans="1:45" s="520" customFormat="1" ht="12.6" thickBot="1">
      <c r="A866" s="761" t="s">
        <v>145</v>
      </c>
      <c r="B866" s="762">
        <f>(R865+T865)</f>
        <v>0</v>
      </c>
      <c r="C866" s="763"/>
      <c r="D866" s="763"/>
      <c r="E866" s="763"/>
      <c r="F866" s="764"/>
      <c r="G866" s="763" t="s">
        <v>146</v>
      </c>
      <c r="H866" s="763"/>
      <c r="I866" s="765"/>
      <c r="J866" s="763"/>
      <c r="K866" s="763" t="s">
        <v>17</v>
      </c>
      <c r="L866" s="766" t="s">
        <v>143</v>
      </c>
      <c r="M866" s="766"/>
      <c r="N866" s="766"/>
      <c r="O866" s="766"/>
      <c r="P866" s="766"/>
      <c r="Q866" s="767"/>
      <c r="R866" s="768">
        <f ca="1">SUM(R862:R865)</f>
        <v>10114.15</v>
      </c>
      <c r="S866" s="763"/>
      <c r="T866" s="768">
        <f ca="1">SUM(T862:T865)</f>
        <v>20.399999999999999</v>
      </c>
      <c r="U866" s="531"/>
      <c r="V866" s="531"/>
      <c r="W866" s="531"/>
      <c r="X866" s="531"/>
      <c r="Y866" s="531"/>
      <c r="Z866" s="531"/>
      <c r="AA866" s="531"/>
      <c r="AB866" s="531"/>
      <c r="AC866" s="531"/>
      <c r="AD866" s="531"/>
      <c r="AE866" s="531"/>
      <c r="AF866" s="531"/>
      <c r="AG866" s="531"/>
      <c r="AH866" s="531"/>
      <c r="AI866" s="531"/>
      <c r="AJ866" s="531"/>
      <c r="AK866" s="531"/>
      <c r="AL866" s="531"/>
      <c r="AM866" s="531"/>
      <c r="AN866" s="531"/>
      <c r="AO866" s="531"/>
      <c r="AR866" s="761" t="s">
        <v>145</v>
      </c>
      <c r="AS866" s="764"/>
    </row>
    <row r="867" spans="1:45" s="520" customFormat="1" ht="12" thickTop="1">
      <c r="A867" s="51"/>
      <c r="B867" s="41"/>
      <c r="C867" s="51"/>
      <c r="E867" s="42" t="s">
        <v>138</v>
      </c>
      <c r="F867" s="42" t="s">
        <v>139</v>
      </c>
      <c r="G867" s="51"/>
      <c r="H867" s="51"/>
      <c r="I867" s="51"/>
      <c r="J867" s="51"/>
      <c r="K867" s="51" t="s">
        <v>140</v>
      </c>
      <c r="L867" s="51"/>
      <c r="M867" s="51"/>
      <c r="N867" s="51"/>
      <c r="O867" s="52"/>
      <c r="P867" s="51"/>
      <c r="Q867" s="51"/>
      <c r="R867" s="51"/>
      <c r="S867" s="51"/>
      <c r="T867" s="41"/>
      <c r="AG867" s="521" t="s">
        <v>268</v>
      </c>
      <c r="AH867" s="521" t="s">
        <v>269</v>
      </c>
      <c r="AI867" s="521" t="s">
        <v>270</v>
      </c>
      <c r="AJ867" s="521" t="s">
        <v>271</v>
      </c>
      <c r="AK867" s="521" t="s">
        <v>272</v>
      </c>
      <c r="AM867" s="745" t="s">
        <v>281</v>
      </c>
      <c r="AN867" s="746" t="s">
        <v>282</v>
      </c>
      <c r="AO867" s="522" t="s">
        <v>278</v>
      </c>
      <c r="AR867" s="51"/>
      <c r="AS867" s="42" t="s">
        <v>139</v>
      </c>
    </row>
    <row r="868" spans="1:45" s="520" customFormat="1" ht="12" customHeight="1">
      <c r="A868" s="747">
        <v>105</v>
      </c>
      <c r="B868" s="523" t="s">
        <v>320</v>
      </c>
      <c r="C868" s="748"/>
      <c r="D868" s="749" t="s">
        <v>1194</v>
      </c>
      <c r="E868" s="750">
        <f ca="1">IF(AND($A868=0,$A$1="DIF"),0, ROUND(ROUND(($R873*$S$2+($T873*$T$2))/$A868,2)*$C$2,2))</f>
        <v>34.36</v>
      </c>
      <c r="F868" s="751">
        <f ca="1">ROUND($A868*$E868,2)</f>
        <v>3607.8</v>
      </c>
      <c r="G868" s="752" t="s">
        <v>142</v>
      </c>
      <c r="H868" s="753"/>
      <c r="I868" s="754"/>
      <c r="J868" s="753"/>
      <c r="K868" s="753" t="s">
        <v>3</v>
      </c>
      <c r="L868" s="755" t="s">
        <v>143</v>
      </c>
      <c r="M868" s="755"/>
      <c r="N868" s="755"/>
      <c r="O868" s="755"/>
      <c r="P868" s="755"/>
      <c r="Q868" s="51"/>
      <c r="T868" s="756" t="str">
        <f ca="1">IF(AND($R873=0,$T873=0),"0.00","mu: "&amp; ROUND(F868/$C$2/($R873+$T873*$D$9),2))</f>
        <v>mu: 1.23</v>
      </c>
      <c r="W868" s="524"/>
      <c r="AG868" s="481">
        <f ca="1">IF($E868=0,0,ROUND($R873*$S$2*$C$2/$A868,2))</f>
        <v>28.95</v>
      </c>
      <c r="AH868" s="481">
        <f ca="1">$AG868*$A868</f>
        <v>3039.75</v>
      </c>
      <c r="AI868" s="525">
        <f ca="1">$E868-$AG868</f>
        <v>5.41</v>
      </c>
      <c r="AJ868" s="525">
        <f ca="1">$A868*$AI868</f>
        <v>568.05000000000007</v>
      </c>
      <c r="AK868" s="526">
        <f ca="1">ROUND(($AG868+$AI868)*$A868,2)</f>
        <v>3607.8</v>
      </c>
      <c r="AM868" s="527">
        <f ca="1">ROUND(R873,2)</f>
        <v>2468.5500000000002</v>
      </c>
      <c r="AN868" s="528">
        <f ca="1">ROUND(T873,2)</f>
        <v>16.8</v>
      </c>
      <c r="AO868" s="529">
        <f ca="1">ROUND(AM868+AN868,2)*A868</f>
        <v>260961.75</v>
      </c>
      <c r="AR868" s="747">
        <v>105</v>
      </c>
      <c r="AS868" s="751">
        <v>3679.2</v>
      </c>
    </row>
    <row r="869" spans="1:45" s="520" customFormat="1" ht="13.2">
      <c r="A869" s="748"/>
      <c r="B869"/>
      <c r="C869" s="748"/>
      <c r="D869" s="749" t="s">
        <v>1195</v>
      </c>
      <c r="F869" s="753"/>
      <c r="G869" s="3"/>
      <c r="H869" s="753"/>
      <c r="I869" s="754"/>
      <c r="J869" s="753"/>
      <c r="K869" s="753" t="s">
        <v>144</v>
      </c>
      <c r="L869" s="753"/>
      <c r="M869" s="753"/>
      <c r="N869" s="753"/>
      <c r="O869" s="753"/>
      <c r="P869" s="753"/>
      <c r="Q869" s="51"/>
      <c r="R869" s="530"/>
      <c r="S869" s="757"/>
      <c r="T869" s="753"/>
      <c r="AR869" s="748"/>
      <c r="AS869" s="753"/>
    </row>
    <row r="870" spans="1:45" s="886" customFormat="1" ht="13.2">
      <c r="A870"/>
      <c r="B870" s="910"/>
      <c r="C870" s="910" t="s">
        <v>2597</v>
      </c>
      <c r="D870" s="910" t="str">
        <f ca="1">CELL("Address",Elec_Rates!D$355)</f>
        <v>[E25_0062_Quintano_Foods_Elec_ELV_As_Awarded.xlsx]Elec_Rates!$D$355</v>
      </c>
      <c r="E870" s="911"/>
      <c r="F870" s="911"/>
      <c r="G870" s="912" t="s">
        <v>2598</v>
      </c>
      <c r="H870" s="912"/>
      <c r="I870" s="912"/>
      <c r="J870" s="912"/>
      <c r="K870" s="913"/>
      <c r="L870" s="911"/>
      <c r="M870" s="911"/>
      <c r="N870" s="911"/>
      <c r="O870" s="914"/>
      <c r="P870" s="911"/>
      <c r="Q870" s="915"/>
      <c r="R870" s="916"/>
      <c r="S870" s="915"/>
      <c r="T870" s="917"/>
      <c r="U870" s="918"/>
      <c r="AR870"/>
      <c r="AS870" s="911"/>
    </row>
    <row r="871" spans="1:45" s="886" customFormat="1" ht="11.4">
      <c r="A871" s="919">
        <v>105</v>
      </c>
      <c r="B871" s="920">
        <v>1</v>
      </c>
      <c r="C871" s="920">
        <f>$A871*$B871</f>
        <v>105</v>
      </c>
      <c r="D871" s="921" t="str">
        <f>Elec_Rates!$D$355</f>
        <v>034# 5 x 35mm2 XLPE/SWA/LSZH</v>
      </c>
      <c r="E871" s="921"/>
      <c r="F871" s="921" t="s">
        <v>2599</v>
      </c>
      <c r="G871" s="922" t="s">
        <v>2601</v>
      </c>
      <c r="H871" s="922"/>
      <c r="I871" s="922"/>
      <c r="J871" s="922"/>
      <c r="K871" s="923"/>
      <c r="L871" s="918"/>
      <c r="M871" s="918"/>
      <c r="N871" s="918"/>
      <c r="O871" s="924"/>
      <c r="P871" s="921"/>
      <c r="Q871" s="925">
        <f ca="1">$B871*Elec_Rates!$R$355</f>
        <v>23.51</v>
      </c>
      <c r="R871" s="916">
        <f ca="1">$A871*Q871</f>
        <v>2468.5500000000002</v>
      </c>
      <c r="S871" s="925">
        <f ca="1">$B871*Elec_Rates!$T$355</f>
        <v>0.16</v>
      </c>
      <c r="T871" s="917">
        <f ca="1">$A871*S871</f>
        <v>16.8</v>
      </c>
      <c r="U871" s="926"/>
      <c r="AR871" s="919">
        <v>105</v>
      </c>
      <c r="AS871" s="921" t="s">
        <v>2599</v>
      </c>
    </row>
    <row r="872" spans="1:45" s="520" customFormat="1" ht="12">
      <c r="A872" s="758"/>
      <c r="B872" s="758"/>
      <c r="C872" s="758"/>
      <c r="D872" s="758"/>
      <c r="E872" s="758"/>
      <c r="F872" s="753"/>
      <c r="G872" s="758"/>
      <c r="H872" s="758"/>
      <c r="I872" s="519"/>
      <c r="J872" s="758"/>
      <c r="K872" s="758"/>
      <c r="L872" s="758"/>
      <c r="M872" s="758"/>
      <c r="N872" s="758"/>
      <c r="O872" s="758"/>
      <c r="P872" s="758"/>
      <c r="Q872" s="519"/>
      <c r="R872" s="759">
        <f>$A872*Q872</f>
        <v>0</v>
      </c>
      <c r="S872" s="519"/>
      <c r="T872" s="760">
        <f>$A872*S872*$T$1</f>
        <v>0</v>
      </c>
      <c r="AR872" s="758"/>
      <c r="AS872" s="753"/>
    </row>
    <row r="873" spans="1:45" s="520" customFormat="1" ht="12.6" thickBot="1">
      <c r="A873" s="761" t="s">
        <v>145</v>
      </c>
      <c r="B873" s="762">
        <f>(R872+T872)</f>
        <v>0</v>
      </c>
      <c r="C873" s="763"/>
      <c r="D873" s="763"/>
      <c r="E873" s="763"/>
      <c r="F873" s="764"/>
      <c r="G873" s="763" t="s">
        <v>146</v>
      </c>
      <c r="H873" s="763"/>
      <c r="I873" s="765"/>
      <c r="J873" s="763"/>
      <c r="K873" s="763" t="s">
        <v>3</v>
      </c>
      <c r="L873" s="766" t="s">
        <v>143</v>
      </c>
      <c r="M873" s="766"/>
      <c r="N873" s="766"/>
      <c r="O873" s="766"/>
      <c r="P873" s="766"/>
      <c r="Q873" s="767"/>
      <c r="R873" s="768">
        <f ca="1">SUM(R869:R872)</f>
        <v>2468.5500000000002</v>
      </c>
      <c r="S873" s="763"/>
      <c r="T873" s="768">
        <f ca="1">SUM(T869:T872)</f>
        <v>16.8</v>
      </c>
      <c r="U873" s="531"/>
      <c r="V873" s="531"/>
      <c r="W873" s="531"/>
      <c r="X873" s="531"/>
      <c r="Y873" s="531"/>
      <c r="Z873" s="531"/>
      <c r="AA873" s="531"/>
      <c r="AB873" s="531"/>
      <c r="AC873" s="531"/>
      <c r="AD873" s="531"/>
      <c r="AE873" s="531"/>
      <c r="AF873" s="531"/>
      <c r="AG873" s="531"/>
      <c r="AH873" s="531"/>
      <c r="AI873" s="531"/>
      <c r="AJ873" s="531"/>
      <c r="AK873" s="531"/>
      <c r="AL873" s="531"/>
      <c r="AM873" s="531"/>
      <c r="AN873" s="531"/>
      <c r="AO873" s="531"/>
      <c r="AR873" s="761" t="s">
        <v>145</v>
      </c>
      <c r="AS873" s="764"/>
    </row>
    <row r="874" spans="1:45" s="520" customFormat="1" ht="12" thickTop="1">
      <c r="A874" s="51"/>
      <c r="B874" s="41"/>
      <c r="C874" s="51"/>
      <c r="E874" s="42" t="s">
        <v>138</v>
      </c>
      <c r="F874" s="42" t="s">
        <v>139</v>
      </c>
      <c r="G874" s="51"/>
      <c r="H874" s="51"/>
      <c r="I874" s="51"/>
      <c r="J874" s="51"/>
      <c r="K874" s="51" t="s">
        <v>140</v>
      </c>
      <c r="L874" s="51"/>
      <c r="M874" s="51"/>
      <c r="N874" s="51"/>
      <c r="O874" s="52"/>
      <c r="P874" s="51"/>
      <c r="Q874" s="51"/>
      <c r="R874" s="51"/>
      <c r="S874" s="51"/>
      <c r="T874" s="41"/>
      <c r="AG874" s="521" t="s">
        <v>268</v>
      </c>
      <c r="AH874" s="521" t="s">
        <v>269</v>
      </c>
      <c r="AI874" s="521" t="s">
        <v>270</v>
      </c>
      <c r="AJ874" s="521" t="s">
        <v>271</v>
      </c>
      <c r="AK874" s="521" t="s">
        <v>272</v>
      </c>
      <c r="AM874" s="745" t="s">
        <v>281</v>
      </c>
      <c r="AN874" s="746" t="s">
        <v>282</v>
      </c>
      <c r="AO874" s="522" t="s">
        <v>278</v>
      </c>
      <c r="AR874" s="51"/>
      <c r="AS874" s="42" t="s">
        <v>139</v>
      </c>
    </row>
    <row r="875" spans="1:45" s="520" customFormat="1" ht="12" customHeight="1">
      <c r="A875" s="747">
        <v>150</v>
      </c>
      <c r="B875" s="523" t="s">
        <v>320</v>
      </c>
      <c r="C875" s="748"/>
      <c r="D875" s="749" t="s">
        <v>1196</v>
      </c>
      <c r="E875" s="750">
        <f ca="1">IF(AND($A875=0,$A$1="DIF"),0, ROUND(ROUND(($R880*$S$2+($T880*$T$2))/$A875,2)*$C$2,2))</f>
        <v>39.06</v>
      </c>
      <c r="F875" s="751">
        <f ca="1">ROUND($A875*$E875,2)</f>
        <v>5859</v>
      </c>
      <c r="G875" s="752" t="s">
        <v>142</v>
      </c>
      <c r="H875" s="753"/>
      <c r="I875" s="754"/>
      <c r="J875" s="753"/>
      <c r="K875" s="753" t="s">
        <v>3</v>
      </c>
      <c r="L875" s="755" t="s">
        <v>143</v>
      </c>
      <c r="M875" s="755"/>
      <c r="N875" s="755"/>
      <c r="O875" s="755"/>
      <c r="P875" s="755"/>
      <c r="Q875" s="51"/>
      <c r="T875" s="756" t="str">
        <f ca="1">IF(AND($R880=0,$T880=0),"0.00","mu: "&amp; ROUND(F875/$C$2/($R880+$T880*$D$9),2))</f>
        <v>mu: 1.23</v>
      </c>
      <c r="W875" s="524"/>
      <c r="AG875" s="481">
        <f ca="1">IF($E875=0,0,ROUND($R880*$S$2*$C$2/$A875,2))</f>
        <v>35.340000000000003</v>
      </c>
      <c r="AH875" s="481">
        <f ca="1">$AG875*$A875</f>
        <v>5301.0000000000009</v>
      </c>
      <c r="AI875" s="525">
        <f ca="1">$E875-$AG875</f>
        <v>3.7199999999999989</v>
      </c>
      <c r="AJ875" s="525">
        <f ca="1">$A875*$AI875</f>
        <v>557.99999999999977</v>
      </c>
      <c r="AK875" s="526">
        <f ca="1">ROUND(($AG875+$AI875)*$A875,2)</f>
        <v>5859</v>
      </c>
      <c r="AM875" s="527">
        <f ca="1">ROUND(R880,2)</f>
        <v>4305</v>
      </c>
      <c r="AN875" s="528">
        <f ca="1">ROUND(T880,2)</f>
        <v>16.5</v>
      </c>
      <c r="AO875" s="529">
        <f ca="1">ROUND(AM875+AN875,2)*A875</f>
        <v>648225</v>
      </c>
      <c r="AR875" s="747">
        <v>150</v>
      </c>
      <c r="AS875" s="751">
        <v>5961</v>
      </c>
    </row>
    <row r="876" spans="1:45" s="520" customFormat="1" ht="36">
      <c r="A876" s="748"/>
      <c r="B876"/>
      <c r="C876" s="748"/>
      <c r="D876" s="769" t="s">
        <v>1197</v>
      </c>
      <c r="F876" s="753"/>
      <c r="G876" s="3"/>
      <c r="H876" s="753"/>
      <c r="I876" s="754"/>
      <c r="J876" s="753"/>
      <c r="K876" s="753" t="s">
        <v>144</v>
      </c>
      <c r="L876" s="753"/>
      <c r="M876" s="753"/>
      <c r="N876" s="753"/>
      <c r="O876" s="753"/>
      <c r="P876" s="753"/>
      <c r="Q876" s="51"/>
      <c r="R876" s="530"/>
      <c r="S876" s="757"/>
      <c r="T876" s="753"/>
      <c r="AR876" s="748"/>
      <c r="AS876" s="753"/>
    </row>
    <row r="877" spans="1:45" s="886" customFormat="1" ht="13.2">
      <c r="A877"/>
      <c r="B877" s="910"/>
      <c r="C877" s="910" t="s">
        <v>2597</v>
      </c>
      <c r="D877" s="910" t="str">
        <f ca="1">CELL("Address",Elec_Rates!D$365)</f>
        <v>[E25_0062_Quintano_Foods_Elec_ELV_As_Awarded.xlsx]Elec_Rates!$D$365</v>
      </c>
      <c r="E877" s="911"/>
      <c r="F877" s="911"/>
      <c r="G877" s="912" t="s">
        <v>2598</v>
      </c>
      <c r="H877" s="912"/>
      <c r="I877" s="912"/>
      <c r="J877" s="912"/>
      <c r="K877" s="913"/>
      <c r="L877" s="911"/>
      <c r="M877" s="911"/>
      <c r="N877" s="911"/>
      <c r="O877" s="914"/>
      <c r="P877" s="911"/>
      <c r="Q877" s="915"/>
      <c r="R877" s="916"/>
      <c r="S877" s="915"/>
      <c r="T877" s="917"/>
      <c r="U877" s="918"/>
      <c r="AR877"/>
      <c r="AS877" s="911"/>
    </row>
    <row r="878" spans="1:45" s="886" customFormat="1" ht="11.4">
      <c r="A878" s="919">
        <v>150</v>
      </c>
      <c r="B878" s="920">
        <v>1</v>
      </c>
      <c r="C878" s="920">
        <f>$A878*$B878</f>
        <v>150</v>
      </c>
      <c r="D878" s="921" t="str">
        <f>Elec_Rates!$D$365</f>
        <v>035# 5 x 25mm2 F120 Fire Resistant Cable (BS7846) -  XLPE/SWA/LSZH</v>
      </c>
      <c r="E878" s="921"/>
      <c r="F878" s="921" t="s">
        <v>2599</v>
      </c>
      <c r="G878" s="922" t="s">
        <v>2601</v>
      </c>
      <c r="H878" s="922"/>
      <c r="I878" s="922"/>
      <c r="J878" s="922"/>
      <c r="K878" s="923"/>
      <c r="L878" s="918"/>
      <c r="M878" s="918"/>
      <c r="N878" s="918"/>
      <c r="O878" s="924"/>
      <c r="P878" s="921"/>
      <c r="Q878" s="925">
        <f ca="1">$B878*Elec_Rates!$R$365</f>
        <v>28.7</v>
      </c>
      <c r="R878" s="916">
        <f ca="1">$A878*Q878</f>
        <v>4305</v>
      </c>
      <c r="S878" s="925">
        <f ca="1">$B878*Elec_Rates!$T$365</f>
        <v>0.11</v>
      </c>
      <c r="T878" s="917">
        <f ca="1">$A878*S878</f>
        <v>16.5</v>
      </c>
      <c r="U878" s="926"/>
      <c r="AR878" s="919">
        <v>150</v>
      </c>
      <c r="AS878" s="921" t="s">
        <v>2599</v>
      </c>
    </row>
    <row r="879" spans="1:45" s="520" customFormat="1" ht="12">
      <c r="A879" s="758"/>
      <c r="B879" s="758"/>
      <c r="C879" s="758"/>
      <c r="D879" s="758"/>
      <c r="E879" s="758"/>
      <c r="F879" s="753"/>
      <c r="G879" s="758"/>
      <c r="H879" s="758"/>
      <c r="I879" s="519"/>
      <c r="J879" s="758"/>
      <c r="K879" s="758"/>
      <c r="L879" s="758"/>
      <c r="M879" s="758"/>
      <c r="N879" s="758"/>
      <c r="O879" s="758"/>
      <c r="P879" s="758"/>
      <c r="Q879" s="519"/>
      <c r="R879" s="759">
        <f>$A879*Q879</f>
        <v>0</v>
      </c>
      <c r="S879" s="519"/>
      <c r="T879" s="760">
        <f>$A879*S879*$T$1</f>
        <v>0</v>
      </c>
      <c r="AR879" s="758"/>
      <c r="AS879" s="753"/>
    </row>
    <row r="880" spans="1:45" s="520" customFormat="1" ht="12.6" thickBot="1">
      <c r="A880" s="761" t="s">
        <v>145</v>
      </c>
      <c r="B880" s="762">
        <f>(R879+T879)</f>
        <v>0</v>
      </c>
      <c r="C880" s="763"/>
      <c r="D880" s="763"/>
      <c r="E880" s="763"/>
      <c r="F880" s="764"/>
      <c r="G880" s="763" t="s">
        <v>146</v>
      </c>
      <c r="H880" s="763"/>
      <c r="I880" s="765"/>
      <c r="J880" s="763"/>
      <c r="K880" s="763" t="s">
        <v>3</v>
      </c>
      <c r="L880" s="766" t="s">
        <v>143</v>
      </c>
      <c r="M880" s="766"/>
      <c r="N880" s="766"/>
      <c r="O880" s="766"/>
      <c r="P880" s="766"/>
      <c r="Q880" s="767"/>
      <c r="R880" s="768">
        <f ca="1">SUM(R876:R879)</f>
        <v>4305</v>
      </c>
      <c r="S880" s="763"/>
      <c r="T880" s="768">
        <f ca="1">SUM(T876:T879)</f>
        <v>16.5</v>
      </c>
      <c r="U880" s="531"/>
      <c r="V880" s="531"/>
      <c r="W880" s="531"/>
      <c r="X880" s="531"/>
      <c r="Y880" s="531"/>
      <c r="Z880" s="531"/>
      <c r="AA880" s="531"/>
      <c r="AB880" s="531"/>
      <c r="AC880" s="531"/>
      <c r="AD880" s="531"/>
      <c r="AE880" s="531"/>
      <c r="AF880" s="531"/>
      <c r="AG880" s="531"/>
      <c r="AH880" s="531"/>
      <c r="AI880" s="531"/>
      <c r="AJ880" s="531"/>
      <c r="AK880" s="531"/>
      <c r="AL880" s="531"/>
      <c r="AM880" s="531"/>
      <c r="AN880" s="531"/>
      <c r="AO880" s="531"/>
      <c r="AR880" s="761" t="s">
        <v>145</v>
      </c>
      <c r="AS880" s="764"/>
    </row>
    <row r="881" spans="1:45" s="520" customFormat="1" ht="12" thickTop="1">
      <c r="A881" s="51"/>
      <c r="B881" s="41"/>
      <c r="C881" s="51"/>
      <c r="E881" s="42" t="s">
        <v>138</v>
      </c>
      <c r="F881" s="42" t="s">
        <v>139</v>
      </c>
      <c r="G881" s="51"/>
      <c r="H881" s="51"/>
      <c r="I881" s="51"/>
      <c r="J881" s="51"/>
      <c r="K881" s="51" t="s">
        <v>140</v>
      </c>
      <c r="L881" s="51"/>
      <c r="M881" s="51"/>
      <c r="N881" s="51"/>
      <c r="O881" s="52"/>
      <c r="P881" s="51"/>
      <c r="Q881" s="51"/>
      <c r="R881" s="51"/>
      <c r="S881" s="51"/>
      <c r="T881" s="41"/>
      <c r="AG881" s="521" t="s">
        <v>268</v>
      </c>
      <c r="AH881" s="521" t="s">
        <v>269</v>
      </c>
      <c r="AI881" s="521" t="s">
        <v>270</v>
      </c>
      <c r="AJ881" s="521" t="s">
        <v>271</v>
      </c>
      <c r="AK881" s="521" t="s">
        <v>272</v>
      </c>
      <c r="AM881" s="745" t="s">
        <v>281</v>
      </c>
      <c r="AN881" s="746" t="s">
        <v>282</v>
      </c>
      <c r="AO881" s="522" t="s">
        <v>278</v>
      </c>
      <c r="AR881" s="51"/>
      <c r="AS881" s="42" t="s">
        <v>139</v>
      </c>
    </row>
    <row r="882" spans="1:45" s="520" customFormat="1" ht="12" customHeight="1">
      <c r="A882" s="747">
        <v>60</v>
      </c>
      <c r="B882" s="523" t="s">
        <v>320</v>
      </c>
      <c r="C882" s="748"/>
      <c r="D882" s="749" t="s">
        <v>1198</v>
      </c>
      <c r="E882" s="750">
        <f ca="1">IF(AND($A882=0,$A$1="DIF"),0, ROUND(ROUND(($R887*$S$2+($T887*$T$2))/$A882,2)*$C$2,2))</f>
        <v>18.22</v>
      </c>
      <c r="F882" s="751">
        <f ca="1">ROUND($A882*$E882,2)</f>
        <v>1093.2</v>
      </c>
      <c r="G882" s="752" t="s">
        <v>142</v>
      </c>
      <c r="H882" s="753"/>
      <c r="I882" s="754"/>
      <c r="J882" s="753"/>
      <c r="K882" s="753" t="s">
        <v>3</v>
      </c>
      <c r="L882" s="755" t="s">
        <v>143</v>
      </c>
      <c r="M882" s="755"/>
      <c r="N882" s="755"/>
      <c r="O882" s="755"/>
      <c r="P882" s="755"/>
      <c r="Q882" s="51"/>
      <c r="T882" s="756" t="str">
        <f ca="1">IF(AND($R887=0,$T887=0),"0.00","mu: "&amp; ROUND(F882/$C$2/($R887+$T887*$D$9),2))</f>
        <v>mu: 1.23</v>
      </c>
      <c r="W882" s="524"/>
      <c r="AG882" s="481">
        <f ca="1">IF($E882=0,0,ROUND($R887*$S$2*$C$2/$A882,2))</f>
        <v>14.84</v>
      </c>
      <c r="AH882" s="481">
        <f ca="1">$AG882*$A882</f>
        <v>890.4</v>
      </c>
      <c r="AI882" s="525">
        <f ca="1">$E882-$AG882</f>
        <v>3.379999999999999</v>
      </c>
      <c r="AJ882" s="525">
        <f ca="1">$A882*$AI882</f>
        <v>202.79999999999995</v>
      </c>
      <c r="AK882" s="526">
        <f ca="1">ROUND(($AG882+$AI882)*$A882,2)</f>
        <v>1093.2</v>
      </c>
      <c r="AM882" s="527">
        <f ca="1">ROUND(R887,2)</f>
        <v>723</v>
      </c>
      <c r="AN882" s="528">
        <f ca="1">ROUND(T887,2)</f>
        <v>6</v>
      </c>
      <c r="AO882" s="529">
        <f ca="1">ROUND(AM882+AN882,2)*A882</f>
        <v>43740</v>
      </c>
      <c r="AR882" s="747">
        <v>60</v>
      </c>
      <c r="AS882" s="751">
        <v>1113.5999999999999</v>
      </c>
    </row>
    <row r="883" spans="1:45" s="520" customFormat="1" ht="13.2">
      <c r="A883" s="748"/>
      <c r="B883"/>
      <c r="C883" s="748"/>
      <c r="D883" s="749" t="s">
        <v>1199</v>
      </c>
      <c r="F883" s="753"/>
      <c r="G883" s="3"/>
      <c r="H883" s="753"/>
      <c r="I883" s="754"/>
      <c r="J883" s="753"/>
      <c r="K883" s="753" t="s">
        <v>144</v>
      </c>
      <c r="L883" s="753"/>
      <c r="M883" s="753"/>
      <c r="N883" s="753"/>
      <c r="O883" s="753"/>
      <c r="P883" s="753"/>
      <c r="Q883" s="51"/>
      <c r="R883" s="530"/>
      <c r="S883" s="757"/>
      <c r="T883" s="753"/>
      <c r="AR883" s="748"/>
      <c r="AS883" s="753"/>
    </row>
    <row r="884" spans="1:45" s="886" customFormat="1" ht="13.2">
      <c r="A884"/>
      <c r="B884" s="910"/>
      <c r="C884" s="910" t="s">
        <v>2597</v>
      </c>
      <c r="D884" s="910" t="str">
        <f ca="1">CELL("Address",Elec_Rates!D$395)</f>
        <v>[E25_0062_Quintano_Foods_Elec_ELV_As_Awarded.xlsx]Elec_Rates!$D$395</v>
      </c>
      <c r="E884" s="911"/>
      <c r="F884" s="911"/>
      <c r="G884" s="912" t="s">
        <v>2598</v>
      </c>
      <c r="H884" s="912"/>
      <c r="I884" s="912"/>
      <c r="J884" s="912"/>
      <c r="K884" s="913"/>
      <c r="L884" s="911"/>
      <c r="M884" s="911"/>
      <c r="N884" s="911"/>
      <c r="O884" s="914"/>
      <c r="P884" s="911"/>
      <c r="Q884" s="915"/>
      <c r="R884" s="916"/>
      <c r="S884" s="915"/>
      <c r="T884" s="917"/>
      <c r="U884" s="918"/>
      <c r="AR884"/>
      <c r="AS884" s="911"/>
    </row>
    <row r="885" spans="1:45" s="886" customFormat="1" ht="11.4">
      <c r="A885" s="919">
        <v>60</v>
      </c>
      <c r="B885" s="920">
        <v>1</v>
      </c>
      <c r="C885" s="920">
        <f>$A885*$B885</f>
        <v>60</v>
      </c>
      <c r="D885" s="921" t="str">
        <f>Elec_Rates!$D$395</f>
        <v>038# 5 x 16mm2 XLPE/SWA/LSZH</v>
      </c>
      <c r="E885" s="921"/>
      <c r="F885" s="921" t="s">
        <v>2599</v>
      </c>
      <c r="G885" s="922" t="s">
        <v>2601</v>
      </c>
      <c r="H885" s="922"/>
      <c r="I885" s="922"/>
      <c r="J885" s="922"/>
      <c r="K885" s="923"/>
      <c r="L885" s="918"/>
      <c r="M885" s="918"/>
      <c r="N885" s="918"/>
      <c r="O885" s="924"/>
      <c r="P885" s="921"/>
      <c r="Q885" s="925">
        <f ca="1">$B885*Elec_Rates!$R$395</f>
        <v>12.05</v>
      </c>
      <c r="R885" s="916">
        <f ca="1">$A885*Q885</f>
        <v>723</v>
      </c>
      <c r="S885" s="925">
        <f ca="1">$B885*Elec_Rates!$T$395</f>
        <v>0.1</v>
      </c>
      <c r="T885" s="917">
        <f ca="1">$A885*S885</f>
        <v>6</v>
      </c>
      <c r="U885" s="926"/>
      <c r="AR885" s="919">
        <v>60</v>
      </c>
      <c r="AS885" s="921" t="s">
        <v>2599</v>
      </c>
    </row>
    <row r="886" spans="1:45" s="520" customFormat="1" ht="12">
      <c r="A886" s="758"/>
      <c r="B886" s="758"/>
      <c r="C886" s="758"/>
      <c r="D886" s="758"/>
      <c r="E886" s="758"/>
      <c r="F886" s="753"/>
      <c r="G886" s="758"/>
      <c r="H886" s="758"/>
      <c r="I886" s="519"/>
      <c r="J886" s="758"/>
      <c r="K886" s="758"/>
      <c r="L886" s="758"/>
      <c r="M886" s="758"/>
      <c r="N886" s="758"/>
      <c r="O886" s="758"/>
      <c r="P886" s="758"/>
      <c r="Q886" s="519"/>
      <c r="R886" s="759">
        <f>$A886*Q886</f>
        <v>0</v>
      </c>
      <c r="S886" s="519"/>
      <c r="T886" s="760">
        <f>$A886*S886*$T$1</f>
        <v>0</v>
      </c>
      <c r="AR886" s="758"/>
      <c r="AS886" s="753"/>
    </row>
    <row r="887" spans="1:45" s="520" customFormat="1" ht="12.6" thickBot="1">
      <c r="A887" s="761" t="s">
        <v>145</v>
      </c>
      <c r="B887" s="762">
        <f>(R886+T886)</f>
        <v>0</v>
      </c>
      <c r="C887" s="763"/>
      <c r="D887" s="763"/>
      <c r="E887" s="763"/>
      <c r="F887" s="764"/>
      <c r="G887" s="763" t="s">
        <v>146</v>
      </c>
      <c r="H887" s="763"/>
      <c r="I887" s="765"/>
      <c r="J887" s="763"/>
      <c r="K887" s="763" t="s">
        <v>3</v>
      </c>
      <c r="L887" s="766" t="s">
        <v>143</v>
      </c>
      <c r="M887" s="766"/>
      <c r="N887" s="766"/>
      <c r="O887" s="766"/>
      <c r="P887" s="766"/>
      <c r="Q887" s="767"/>
      <c r="R887" s="768">
        <f ca="1">SUM(R883:R886)</f>
        <v>723</v>
      </c>
      <c r="S887" s="763"/>
      <c r="T887" s="768">
        <f ca="1">SUM(T883:T886)</f>
        <v>6</v>
      </c>
      <c r="U887" s="531"/>
      <c r="V887" s="531"/>
      <c r="W887" s="531"/>
      <c r="X887" s="531"/>
      <c r="Y887" s="531"/>
      <c r="Z887" s="531"/>
      <c r="AA887" s="531"/>
      <c r="AB887" s="531"/>
      <c r="AC887" s="531"/>
      <c r="AD887" s="531"/>
      <c r="AE887" s="531"/>
      <c r="AF887" s="531"/>
      <c r="AG887" s="531"/>
      <c r="AH887" s="531"/>
      <c r="AI887" s="531"/>
      <c r="AJ887" s="531"/>
      <c r="AK887" s="531"/>
      <c r="AL887" s="531"/>
      <c r="AM887" s="531"/>
      <c r="AN887" s="531"/>
      <c r="AO887" s="531"/>
      <c r="AR887" s="761" t="s">
        <v>145</v>
      </c>
      <c r="AS887" s="764"/>
    </row>
    <row r="888" spans="1:45" s="520" customFormat="1" ht="12" thickTop="1">
      <c r="A888" s="51"/>
      <c r="B888" s="41"/>
      <c r="C888" s="51"/>
      <c r="E888" s="42" t="s">
        <v>138</v>
      </c>
      <c r="F888" s="42" t="s">
        <v>139</v>
      </c>
      <c r="G888" s="51"/>
      <c r="H888" s="51"/>
      <c r="I888" s="51"/>
      <c r="J888" s="51"/>
      <c r="K888" s="51" t="s">
        <v>140</v>
      </c>
      <c r="L888" s="51"/>
      <c r="M888" s="51"/>
      <c r="N888" s="51"/>
      <c r="O888" s="52"/>
      <c r="P888" s="51"/>
      <c r="Q888" s="51"/>
      <c r="R888" s="51"/>
      <c r="S888" s="51"/>
      <c r="T888" s="41"/>
      <c r="AG888" s="521" t="s">
        <v>268</v>
      </c>
      <c r="AH888" s="521" t="s">
        <v>269</v>
      </c>
      <c r="AI888" s="521" t="s">
        <v>270</v>
      </c>
      <c r="AJ888" s="521" t="s">
        <v>271</v>
      </c>
      <c r="AK888" s="521" t="s">
        <v>272</v>
      </c>
      <c r="AM888" s="745" t="s">
        <v>281</v>
      </c>
      <c r="AN888" s="746" t="s">
        <v>282</v>
      </c>
      <c r="AO888" s="522" t="s">
        <v>278</v>
      </c>
      <c r="AR888" s="51"/>
      <c r="AS888" s="42" t="s">
        <v>139</v>
      </c>
    </row>
    <row r="889" spans="1:45" s="520" customFormat="1" ht="12" customHeight="1">
      <c r="A889" s="747">
        <v>60</v>
      </c>
      <c r="B889" s="523" t="s">
        <v>320</v>
      </c>
      <c r="C889" s="748"/>
      <c r="D889" s="749" t="s">
        <v>1200</v>
      </c>
      <c r="E889" s="750">
        <f ca="1">IF(AND($A889=0,$A$1="DIF"),0, ROUND(ROUND(($R894*$S$2+($T894*$T$2))/A889,2)*$C$2,2))</f>
        <v>35.24</v>
      </c>
      <c r="F889" s="751">
        <f ca="1">ROUND($A889*$E889,2)</f>
        <v>2114.4</v>
      </c>
      <c r="G889" s="752" t="s">
        <v>142</v>
      </c>
      <c r="H889" s="753"/>
      <c r="I889" s="754"/>
      <c r="J889" s="753"/>
      <c r="K889" s="753" t="s">
        <v>3</v>
      </c>
      <c r="L889" s="755" t="s">
        <v>143</v>
      </c>
      <c r="M889" s="755"/>
      <c r="N889" s="755"/>
      <c r="O889" s="755"/>
      <c r="P889" s="755"/>
      <c r="Q889" s="51"/>
      <c r="T889" s="756" t="str">
        <f ca="1">IF(AND($R894=0,$T894=0),"0.00","mu :" &amp; ROUND($F889/$C$2/($R894+$T894*$D$9),2))</f>
        <v>mu :1.23</v>
      </c>
      <c r="W889" s="524"/>
      <c r="AG889" s="481">
        <f ca="1">IF($E889=0,0,ROUND($R894*$S$2*$C$2/$A889,2))</f>
        <v>31.52</v>
      </c>
      <c r="AH889" s="481">
        <f ca="1">$AG889*$A889</f>
        <v>1891.2</v>
      </c>
      <c r="AI889" s="525">
        <f ca="1">$E889-$AG889</f>
        <v>3.7200000000000024</v>
      </c>
      <c r="AJ889" s="525">
        <f ca="1">$A889*$AI889</f>
        <v>223.20000000000016</v>
      </c>
      <c r="AK889" s="526">
        <f ca="1">ROUND(($AG889+$AI889)*$A889,2)</f>
        <v>2114.4</v>
      </c>
      <c r="AM889" s="527">
        <f ca="1">ROUND(R894,2)</f>
        <v>1536</v>
      </c>
      <c r="AN889" s="528">
        <f ca="1">ROUND(T894,2)</f>
        <v>6.6</v>
      </c>
      <c r="AO889" s="529">
        <f ca="1">ROUND(AM889+AN889,2)*A889</f>
        <v>92556</v>
      </c>
      <c r="AR889" s="747">
        <v>60</v>
      </c>
      <c r="AS889" s="751">
        <v>2134.8000000000002</v>
      </c>
    </row>
    <row r="890" spans="1:45" s="520" customFormat="1" ht="42.6" customHeight="1">
      <c r="A890" s="748"/>
      <c r="B890"/>
      <c r="C890" s="748"/>
      <c r="D890" s="769" t="s">
        <v>1201</v>
      </c>
      <c r="F890" s="753"/>
      <c r="G890" s="3"/>
      <c r="H890" s="753"/>
      <c r="I890" s="754"/>
      <c r="J890" s="753"/>
      <c r="K890" s="753" t="s">
        <v>144</v>
      </c>
      <c r="L890" s="753"/>
      <c r="M890" s="753"/>
      <c r="N890" s="753"/>
      <c r="O890" s="753"/>
      <c r="P890" s="753"/>
      <c r="Q890" s="51"/>
      <c r="R890" s="530"/>
      <c r="S890" s="757"/>
      <c r="T890" s="753"/>
      <c r="AR890" s="748"/>
      <c r="AS890" s="753"/>
    </row>
    <row r="891" spans="1:45" s="886" customFormat="1" ht="13.2">
      <c r="A891"/>
      <c r="B891" s="910"/>
      <c r="C891" s="910" t="s">
        <v>2597</v>
      </c>
      <c r="D891" s="910" t="str">
        <f ca="1">CELL("Address",Elec_Rates!D$385)</f>
        <v>[E25_0062_Quintano_Foods_Elec_ELV_As_Awarded.xlsx]Elec_Rates!$D$385</v>
      </c>
      <c r="E891" s="911"/>
      <c r="F891" s="911"/>
      <c r="G891" s="912" t="s">
        <v>2598</v>
      </c>
      <c r="H891" s="912"/>
      <c r="I891" s="912"/>
      <c r="J891" s="912"/>
      <c r="K891" s="913"/>
      <c r="L891" s="911"/>
      <c r="M891" s="911"/>
      <c r="N891" s="911"/>
      <c r="O891" s="914"/>
      <c r="P891" s="911"/>
      <c r="Q891" s="915"/>
      <c r="R891" s="916"/>
      <c r="S891" s="915"/>
      <c r="T891" s="917"/>
      <c r="U891" s="918"/>
      <c r="AR891"/>
      <c r="AS891" s="911"/>
    </row>
    <row r="892" spans="1:45" s="886" customFormat="1" ht="11.4">
      <c r="A892" s="919">
        <v>60</v>
      </c>
      <c r="B892" s="920">
        <v>1</v>
      </c>
      <c r="C892" s="920">
        <f>$A892*$B892</f>
        <v>60</v>
      </c>
      <c r="D892" s="921" t="str">
        <f>Elec_Rates!$D$385</f>
        <v>037# 5 x 16mm2 F120 Fire Resistant Cable (BS7846) -  XLPE/SWA/LSZH</v>
      </c>
      <c r="E892" s="921"/>
      <c r="F892" s="921" t="s">
        <v>2599</v>
      </c>
      <c r="G892" s="922" t="s">
        <v>2601</v>
      </c>
      <c r="H892" s="922"/>
      <c r="I892" s="922"/>
      <c r="J892" s="922"/>
      <c r="K892" s="923"/>
      <c r="L892" s="918"/>
      <c r="M892" s="918"/>
      <c r="N892" s="918"/>
      <c r="O892" s="924"/>
      <c r="P892" s="921"/>
      <c r="Q892" s="925">
        <f ca="1">$B892*Elec_Rates!$R$385</f>
        <v>25.6</v>
      </c>
      <c r="R892" s="916">
        <f ca="1">$A892*Q892</f>
        <v>1536</v>
      </c>
      <c r="S892" s="925">
        <f ca="1">$B892*Elec_Rates!$T$385</f>
        <v>0.11</v>
      </c>
      <c r="T892" s="917">
        <f ca="1">$A892*S892</f>
        <v>6.6</v>
      </c>
      <c r="U892" s="926"/>
      <c r="AR892" s="919">
        <v>60</v>
      </c>
      <c r="AS892" s="921" t="s">
        <v>2599</v>
      </c>
    </row>
    <row r="893" spans="1:45" s="520" customFormat="1" ht="12">
      <c r="A893" s="758"/>
      <c r="B893" s="758"/>
      <c r="C893" s="758"/>
      <c r="D893" s="758"/>
      <c r="E893" s="758"/>
      <c r="F893" s="753"/>
      <c r="G893" s="758"/>
      <c r="H893" s="758"/>
      <c r="I893" s="519"/>
      <c r="J893" s="758"/>
      <c r="K893" s="758"/>
      <c r="L893" s="758"/>
      <c r="M893" s="758"/>
      <c r="N893" s="758"/>
      <c r="O893" s="758"/>
      <c r="P893" s="758"/>
      <c r="Q893" s="519"/>
      <c r="R893" s="759">
        <f>$A893*Q893</f>
        <v>0</v>
      </c>
      <c r="S893" s="519"/>
      <c r="T893" s="760">
        <f>$A893*S893*$T$1</f>
        <v>0</v>
      </c>
      <c r="AR893" s="758"/>
      <c r="AS893" s="753"/>
    </row>
    <row r="894" spans="1:45" s="520" customFormat="1" ht="12.6" thickBot="1">
      <c r="A894" s="761" t="s">
        <v>145</v>
      </c>
      <c r="B894" s="762">
        <f>(R893+T893)</f>
        <v>0</v>
      </c>
      <c r="C894" s="763"/>
      <c r="D894" s="763"/>
      <c r="E894" s="763"/>
      <c r="F894" s="764"/>
      <c r="G894" s="763" t="s">
        <v>146</v>
      </c>
      <c r="H894" s="763"/>
      <c r="I894" s="765"/>
      <c r="J894" s="763"/>
      <c r="K894" s="763" t="s">
        <v>3</v>
      </c>
      <c r="L894" s="766" t="s">
        <v>143</v>
      </c>
      <c r="M894" s="766"/>
      <c r="N894" s="766"/>
      <c r="O894" s="766"/>
      <c r="P894" s="766"/>
      <c r="Q894" s="767"/>
      <c r="R894" s="768">
        <f ca="1">SUM(R890:R893)</f>
        <v>1536</v>
      </c>
      <c r="S894" s="763"/>
      <c r="T894" s="768">
        <f ca="1">SUM(T890:T893)</f>
        <v>6.6</v>
      </c>
      <c r="U894" s="531"/>
      <c r="V894" s="531"/>
      <c r="W894" s="531"/>
      <c r="X894" s="531"/>
      <c r="Y894" s="531"/>
      <c r="Z894" s="531"/>
      <c r="AA894" s="531"/>
      <c r="AB894" s="531"/>
      <c r="AC894" s="531"/>
      <c r="AD894" s="531"/>
      <c r="AE894" s="531"/>
      <c r="AF894" s="531"/>
      <c r="AG894" s="531"/>
      <c r="AH894" s="531"/>
      <c r="AI894" s="531"/>
      <c r="AJ894" s="531"/>
      <c r="AK894" s="531"/>
      <c r="AL894" s="531"/>
      <c r="AM894" s="531"/>
      <c r="AN894" s="531"/>
      <c r="AO894" s="531"/>
      <c r="AR894" s="761" t="s">
        <v>145</v>
      </c>
      <c r="AS894" s="764"/>
    </row>
    <row r="895" spans="1:45" s="520" customFormat="1" ht="12" thickTop="1">
      <c r="A895" s="51"/>
      <c r="B895" s="41"/>
      <c r="C895" s="51"/>
      <c r="E895" s="42" t="s">
        <v>138</v>
      </c>
      <c r="F895" s="42" t="s">
        <v>139</v>
      </c>
      <c r="G895" s="51"/>
      <c r="H895" s="51"/>
      <c r="I895" s="51"/>
      <c r="J895" s="51"/>
      <c r="K895" s="51" t="s">
        <v>140</v>
      </c>
      <c r="L895" s="51"/>
      <c r="M895" s="51"/>
      <c r="N895" s="51"/>
      <c r="O895" s="52"/>
      <c r="P895" s="51"/>
      <c r="Q895" s="51"/>
      <c r="R895" s="51"/>
      <c r="S895" s="51"/>
      <c r="T895" s="41"/>
      <c r="AG895" s="521" t="s">
        <v>268</v>
      </c>
      <c r="AH895" s="521" t="s">
        <v>269</v>
      </c>
      <c r="AI895" s="521" t="s">
        <v>270</v>
      </c>
      <c r="AJ895" s="521" t="s">
        <v>271</v>
      </c>
      <c r="AK895" s="521" t="s">
        <v>272</v>
      </c>
      <c r="AM895" s="745" t="s">
        <v>281</v>
      </c>
      <c r="AN895" s="746" t="s">
        <v>282</v>
      </c>
      <c r="AO895" s="522" t="s">
        <v>278</v>
      </c>
      <c r="AR895" s="51"/>
      <c r="AS895" s="42" t="s">
        <v>139</v>
      </c>
    </row>
    <row r="896" spans="1:45" s="520" customFormat="1" ht="12" customHeight="1">
      <c r="A896" s="747">
        <v>85</v>
      </c>
      <c r="B896" s="523" t="s">
        <v>320</v>
      </c>
      <c r="C896" s="748"/>
      <c r="D896" s="749" t="s">
        <v>1202</v>
      </c>
      <c r="E896" s="1425">
        <f ca="1">IF(AND($A896=0,$A$1="DIF"),0, ROUND(ROUND(($R903*$S$10+($T903*$T$10))/$A896,2)*$C$10,2))</f>
        <v>159.77000000000001</v>
      </c>
      <c r="F896" s="1426">
        <f ca="1">ROUND($A896*$E896,2)</f>
        <v>13580.45</v>
      </c>
      <c r="G896" s="752" t="s">
        <v>142</v>
      </c>
      <c r="H896" s="753"/>
      <c r="I896" s="754"/>
      <c r="J896" s="753"/>
      <c r="K896" s="753" t="s">
        <v>17</v>
      </c>
      <c r="L896" s="755" t="s">
        <v>143</v>
      </c>
      <c r="M896" s="755"/>
      <c r="N896" s="755"/>
      <c r="O896" s="755"/>
      <c r="P896" s="755"/>
      <c r="Q896" s="51"/>
      <c r="T896" s="1430" t="str">
        <f ca="1">IF(AND($R903=0,$T903=0),"0.00","mu: "&amp; ROUND(F896/$C$10/($R903+$T903*$D$9),2))</f>
        <v>mu: 1.18</v>
      </c>
      <c r="W896" s="524"/>
      <c r="AG896" s="1427">
        <f ca="1">IF($E896=0,0,ROUND($R903*$S$10*$C$10/$A896,2))</f>
        <v>147.46</v>
      </c>
      <c r="AH896" s="1427">
        <f ca="1">$AG896*$A896</f>
        <v>12534.1</v>
      </c>
      <c r="AI896" s="1428">
        <f ca="1">$E896-$AG896</f>
        <v>12.310000000000002</v>
      </c>
      <c r="AJ896" s="1428">
        <f ca="1">$A896*$AI896</f>
        <v>1046.3500000000001</v>
      </c>
      <c r="AK896" s="1429">
        <f ca="1">ROUND(($AG896+$AI896)*$A896,2)</f>
        <v>13580.45</v>
      </c>
      <c r="AM896" s="527">
        <f ca="1">ROUND(R903,2)</f>
        <v>10621.6</v>
      </c>
      <c r="AN896" s="528">
        <f ca="1">ROUND(T903,2)</f>
        <v>32.299999999999997</v>
      </c>
      <c r="AO896" s="529">
        <f ca="1">ROUND(AM896+AN896,2)*A896</f>
        <v>905581.5</v>
      </c>
      <c r="AR896" s="747">
        <v>85</v>
      </c>
      <c r="AS896" s="751">
        <v>14285.95</v>
      </c>
    </row>
    <row r="897" spans="1:45" s="520" customFormat="1" ht="13.2">
      <c r="A897" s="748"/>
      <c r="B897"/>
      <c r="C897" s="748"/>
      <c r="D897" s="749" t="s">
        <v>1203</v>
      </c>
      <c r="F897" s="753"/>
      <c r="G897" s="3"/>
      <c r="H897" s="753"/>
      <c r="I897" s="754"/>
      <c r="J897" s="753"/>
      <c r="K897" s="753" t="s">
        <v>144</v>
      </c>
      <c r="L897" s="753"/>
      <c r="M897" s="753"/>
      <c r="N897" s="753"/>
      <c r="O897" s="753"/>
      <c r="P897" s="753"/>
      <c r="Q897" s="51"/>
      <c r="R897" s="530"/>
      <c r="S897" s="757"/>
      <c r="T897" s="753"/>
      <c r="AR897" s="748"/>
      <c r="AS897" s="753"/>
    </row>
    <row r="898" spans="1:45" s="886" customFormat="1" ht="13.2">
      <c r="A898"/>
      <c r="B898" s="910"/>
      <c r="C898" s="910" t="s">
        <v>2597</v>
      </c>
      <c r="D898" s="910" t="str">
        <f ca="1">CELL("Address",Elec_Rates!D$315)</f>
        <v>[E25_0062_Quintano_Foods_Elec_ELV_As_Awarded.xlsx]Elec_Rates!$D$315</v>
      </c>
      <c r="E898" s="911"/>
      <c r="F898" s="911"/>
      <c r="G898" s="912" t="s">
        <v>2598</v>
      </c>
      <c r="H898" s="912"/>
      <c r="I898" s="912"/>
      <c r="J898" s="912"/>
      <c r="K898" s="913"/>
      <c r="L898" s="911"/>
      <c r="M898" s="911"/>
      <c r="N898" s="911"/>
      <c r="O898" s="914"/>
      <c r="P898" s="911"/>
      <c r="Q898" s="915"/>
      <c r="R898" s="916"/>
      <c r="S898" s="915"/>
      <c r="T898" s="917"/>
      <c r="U898" s="918"/>
      <c r="AR898"/>
      <c r="AS898" s="911"/>
    </row>
    <row r="899" spans="1:45" s="886" customFormat="1" ht="11.4">
      <c r="A899" s="919">
        <v>85</v>
      </c>
      <c r="B899" s="920">
        <v>1</v>
      </c>
      <c r="C899" s="920">
        <f>$A899*$B899</f>
        <v>85</v>
      </c>
      <c r="D899" s="921" t="str">
        <f>Elec_Rates!$D$315</f>
        <v>030# 5 x 95mm2 XLPE/SWA/LSZH</v>
      </c>
      <c r="E899" s="921"/>
      <c r="F899" s="921" t="s">
        <v>2599</v>
      </c>
      <c r="G899" s="922" t="s">
        <v>2601</v>
      </c>
      <c r="H899" s="922"/>
      <c r="I899" s="922"/>
      <c r="J899" s="922"/>
      <c r="K899" s="923"/>
      <c r="L899" s="918"/>
      <c r="M899" s="918"/>
      <c r="N899" s="918"/>
      <c r="O899" s="924"/>
      <c r="P899" s="921"/>
      <c r="Q899" s="925">
        <f ca="1">$B899*Elec_Rates!$R$315</f>
        <v>62.48</v>
      </c>
      <c r="R899" s="916">
        <f ca="1">$A899*Q899</f>
        <v>5310.8</v>
      </c>
      <c r="S899" s="925">
        <f ca="1">$B899*Elec_Rates!$T$315</f>
        <v>0.19</v>
      </c>
      <c r="T899" s="917">
        <f ca="1">$A899*S899</f>
        <v>16.149999999999999</v>
      </c>
      <c r="U899" s="926"/>
      <c r="AR899" s="919">
        <v>85</v>
      </c>
      <c r="AS899" s="921" t="s">
        <v>2599</v>
      </c>
    </row>
    <row r="900" spans="1:45" s="886" customFormat="1" ht="13.2">
      <c r="A900"/>
      <c r="B900" s="910"/>
      <c r="C900" s="910" t="s">
        <v>2597</v>
      </c>
      <c r="D900" s="910" t="str">
        <f ca="1">CELL("Address",Elec_Rates!D$315)</f>
        <v>[E25_0062_Quintano_Foods_Elec_ELV_As_Awarded.xlsx]Elec_Rates!$D$315</v>
      </c>
      <c r="E900" s="911"/>
      <c r="F900" s="911"/>
      <c r="G900" s="912" t="s">
        <v>2598</v>
      </c>
      <c r="H900" s="912"/>
      <c r="I900" s="912"/>
      <c r="J900" s="912"/>
      <c r="K900" s="913"/>
      <c r="L900" s="911"/>
      <c r="M900" s="911"/>
      <c r="N900" s="911"/>
      <c r="O900" s="914"/>
      <c r="P900" s="911"/>
      <c r="Q900" s="915"/>
      <c r="R900" s="916"/>
      <c r="S900" s="915"/>
      <c r="T900" s="917"/>
      <c r="U900" s="918"/>
      <c r="AR900"/>
      <c r="AS900" s="911"/>
    </row>
    <row r="901" spans="1:45" s="886" customFormat="1" ht="11.4">
      <c r="A901" s="919">
        <v>85</v>
      </c>
      <c r="B901" s="920">
        <v>1</v>
      </c>
      <c r="C901" s="920">
        <f>$A901*$B901</f>
        <v>85</v>
      </c>
      <c r="D901" s="921" t="str">
        <f>Elec_Rates!$D$315</f>
        <v>030# 5 x 95mm2 XLPE/SWA/LSZH</v>
      </c>
      <c r="E901" s="921"/>
      <c r="F901" s="921" t="s">
        <v>2599</v>
      </c>
      <c r="G901" s="922" t="s">
        <v>2601</v>
      </c>
      <c r="H901" s="922"/>
      <c r="I901" s="922"/>
      <c r="J901" s="922"/>
      <c r="K901" s="923"/>
      <c r="L901" s="918"/>
      <c r="M901" s="918"/>
      <c r="N901" s="918"/>
      <c r="O901" s="924"/>
      <c r="P901" s="921"/>
      <c r="Q901" s="925">
        <f ca="1">$B901*Elec_Rates!$R$315</f>
        <v>62.48</v>
      </c>
      <c r="R901" s="916">
        <f ca="1">$A901*Q901</f>
        <v>5310.8</v>
      </c>
      <c r="S901" s="925">
        <f ca="1">$B901*Elec_Rates!$T$315</f>
        <v>0.19</v>
      </c>
      <c r="T901" s="917">
        <f ca="1">$A901*S901</f>
        <v>16.149999999999999</v>
      </c>
      <c r="U901" s="926"/>
      <c r="AR901" s="919">
        <v>85</v>
      </c>
      <c r="AS901" s="921" t="s">
        <v>2599</v>
      </c>
    </row>
    <row r="902" spans="1:45" s="520" customFormat="1" ht="12">
      <c r="A902" s="758"/>
      <c r="B902" s="758"/>
      <c r="C902" s="758"/>
      <c r="D902" s="758"/>
      <c r="E902" s="758"/>
      <c r="F902" s="753"/>
      <c r="G902" s="758"/>
      <c r="H902" s="758"/>
      <c r="I902" s="519"/>
      <c r="J902" s="758"/>
      <c r="K902" s="758"/>
      <c r="L902" s="758"/>
      <c r="M902" s="758"/>
      <c r="N902" s="758"/>
      <c r="O902" s="758"/>
      <c r="P902" s="758"/>
      <c r="Q902" s="519"/>
      <c r="R902" s="759">
        <f>$A902*Q902</f>
        <v>0</v>
      </c>
      <c r="S902" s="519"/>
      <c r="T902" s="760">
        <f>$A902*S902*$T$1</f>
        <v>0</v>
      </c>
      <c r="AR902" s="758"/>
      <c r="AS902" s="753"/>
    </row>
    <row r="903" spans="1:45" s="520" customFormat="1" ht="12.6" thickBot="1">
      <c r="A903" s="761" t="s">
        <v>145</v>
      </c>
      <c r="B903" s="762">
        <f>(R902+T902)</f>
        <v>0</v>
      </c>
      <c r="C903" s="763"/>
      <c r="D903" s="763"/>
      <c r="E903" s="763"/>
      <c r="F903" s="764"/>
      <c r="G903" s="763" t="s">
        <v>146</v>
      </c>
      <c r="H903" s="763"/>
      <c r="I903" s="765"/>
      <c r="J903" s="763"/>
      <c r="K903" s="763" t="s">
        <v>17</v>
      </c>
      <c r="L903" s="766" t="s">
        <v>143</v>
      </c>
      <c r="M903" s="766"/>
      <c r="N903" s="766"/>
      <c r="O903" s="766"/>
      <c r="P903" s="766"/>
      <c r="Q903" s="767"/>
      <c r="R903" s="768">
        <f ca="1">SUM(R897:R902)</f>
        <v>10621.6</v>
      </c>
      <c r="S903" s="763"/>
      <c r="T903" s="768">
        <f ca="1">SUM(T897:T902)</f>
        <v>32.299999999999997</v>
      </c>
      <c r="U903" s="531"/>
      <c r="V903" s="531"/>
      <c r="W903" s="531"/>
      <c r="X903" s="531"/>
      <c r="Y903" s="531"/>
      <c r="Z903" s="531"/>
      <c r="AA903" s="531"/>
      <c r="AB903" s="531"/>
      <c r="AC903" s="531"/>
      <c r="AD903" s="531"/>
      <c r="AE903" s="531"/>
      <c r="AF903" s="531"/>
      <c r="AG903" s="531"/>
      <c r="AH903" s="531"/>
      <c r="AI903" s="531"/>
      <c r="AJ903" s="531"/>
      <c r="AK903" s="531"/>
      <c r="AL903" s="531"/>
      <c r="AM903" s="531"/>
      <c r="AN903" s="531"/>
      <c r="AO903" s="531"/>
      <c r="AR903" s="761" t="s">
        <v>145</v>
      </c>
      <c r="AS903" s="764"/>
    </row>
    <row r="904" spans="1:45" s="520" customFormat="1" ht="12" thickTop="1">
      <c r="A904" s="51"/>
      <c r="B904" s="41"/>
      <c r="C904" s="51"/>
      <c r="E904" s="42" t="s">
        <v>138</v>
      </c>
      <c r="F904" s="42" t="s">
        <v>139</v>
      </c>
      <c r="G904" s="51"/>
      <c r="H904" s="51"/>
      <c r="I904" s="51"/>
      <c r="J904" s="51"/>
      <c r="K904" s="51" t="s">
        <v>140</v>
      </c>
      <c r="L904" s="51"/>
      <c r="M904" s="51"/>
      <c r="N904" s="51"/>
      <c r="O904" s="52"/>
      <c r="P904" s="51"/>
      <c r="Q904" s="51"/>
      <c r="R904" s="51"/>
      <c r="S904" s="51"/>
      <c r="T904" s="41"/>
      <c r="AG904" s="521" t="s">
        <v>268</v>
      </c>
      <c r="AH904" s="521" t="s">
        <v>269</v>
      </c>
      <c r="AI904" s="521" t="s">
        <v>270</v>
      </c>
      <c r="AJ904" s="521" t="s">
        <v>271</v>
      </c>
      <c r="AK904" s="521" t="s">
        <v>272</v>
      </c>
      <c r="AM904" s="745" t="s">
        <v>281</v>
      </c>
      <c r="AN904" s="746" t="s">
        <v>282</v>
      </c>
      <c r="AO904" s="522" t="s">
        <v>278</v>
      </c>
      <c r="AR904" s="51"/>
      <c r="AS904" s="42" t="s">
        <v>139</v>
      </c>
    </row>
    <row r="905" spans="1:45" s="520" customFormat="1" ht="12" customHeight="1">
      <c r="A905" s="747">
        <v>120</v>
      </c>
      <c r="B905" s="523" t="s">
        <v>320</v>
      </c>
      <c r="C905" s="748"/>
      <c r="D905" s="749" t="s">
        <v>1204</v>
      </c>
      <c r="E905" s="750">
        <f ca="1">IF(AND($A905=0,$A$1="DIF"),0, ROUND(ROUND(($R910*$S$2+($T910*$T$2))/A905,2)*$C$2,2))</f>
        <v>18.22</v>
      </c>
      <c r="F905" s="751">
        <f ca="1">ROUND($A905*$E905,2)</f>
        <v>2186.4</v>
      </c>
      <c r="G905" s="752" t="s">
        <v>142</v>
      </c>
      <c r="H905" s="753"/>
      <c r="I905" s="754"/>
      <c r="J905" s="753"/>
      <c r="K905" s="753" t="s">
        <v>3</v>
      </c>
      <c r="L905" s="755" t="s">
        <v>143</v>
      </c>
      <c r="M905" s="755"/>
      <c r="N905" s="755"/>
      <c r="O905" s="755"/>
      <c r="P905" s="755"/>
      <c r="Q905" s="51"/>
      <c r="T905" s="756" t="str">
        <f ca="1">IF(AND($R910=0,$T910=0),"0.00","mu :" &amp; ROUND($F905/$C$2/($R910+$T910*$D$9),2))</f>
        <v>mu :1.23</v>
      </c>
      <c r="W905" s="524"/>
      <c r="AG905" s="481">
        <f ca="1">IF($E905=0,0,ROUND($R910*$S$2*$C$2/$A905,2))</f>
        <v>14.84</v>
      </c>
      <c r="AH905" s="481">
        <f ca="1">$AG905*$A905</f>
        <v>1780.8</v>
      </c>
      <c r="AI905" s="525">
        <f ca="1">$E905-$AG905</f>
        <v>3.379999999999999</v>
      </c>
      <c r="AJ905" s="525">
        <f ca="1">$A905*$AI905</f>
        <v>405.59999999999991</v>
      </c>
      <c r="AK905" s="526">
        <f ca="1">ROUND(($AG905+$AI905)*$A905,2)</f>
        <v>2186.4</v>
      </c>
      <c r="AM905" s="527">
        <f ca="1">ROUND(R910,2)</f>
        <v>1446</v>
      </c>
      <c r="AN905" s="528">
        <f ca="1">ROUND(T910,2)</f>
        <v>12</v>
      </c>
      <c r="AO905" s="529">
        <f ca="1">ROUND(AM905+AN905,2)*A905</f>
        <v>174960</v>
      </c>
      <c r="AR905" s="747">
        <v>120</v>
      </c>
      <c r="AS905" s="751">
        <v>2227.1999999999998</v>
      </c>
    </row>
    <row r="906" spans="1:45" s="520" customFormat="1" ht="13.2">
      <c r="A906" s="748"/>
      <c r="B906"/>
      <c r="C906" s="748"/>
      <c r="D906" s="749" t="s">
        <v>1205</v>
      </c>
      <c r="F906" s="753"/>
      <c r="G906" s="3"/>
      <c r="H906" s="753"/>
      <c r="I906" s="754"/>
      <c r="J906" s="753"/>
      <c r="K906" s="753" t="s">
        <v>144</v>
      </c>
      <c r="L906" s="753"/>
      <c r="M906" s="753"/>
      <c r="N906" s="753"/>
      <c r="O906" s="753"/>
      <c r="P906" s="753"/>
      <c r="Q906" s="51"/>
      <c r="R906" s="530"/>
      <c r="S906" s="757"/>
      <c r="T906" s="753"/>
      <c r="AR906" s="748"/>
      <c r="AS906" s="753"/>
    </row>
    <row r="907" spans="1:45" s="886" customFormat="1" ht="13.2">
      <c r="A907"/>
      <c r="B907" s="910"/>
      <c r="C907" s="910" t="s">
        <v>2597</v>
      </c>
      <c r="D907" s="910" t="str">
        <f ca="1">CELL("Address",Elec_Rates!D$395)</f>
        <v>[E25_0062_Quintano_Foods_Elec_ELV_As_Awarded.xlsx]Elec_Rates!$D$395</v>
      </c>
      <c r="E907" s="911"/>
      <c r="F907" s="911"/>
      <c r="G907" s="912" t="s">
        <v>2598</v>
      </c>
      <c r="H907" s="912"/>
      <c r="I907" s="912"/>
      <c r="J907" s="912"/>
      <c r="K907" s="913"/>
      <c r="L907" s="911"/>
      <c r="M907" s="911"/>
      <c r="N907" s="911"/>
      <c r="O907" s="914"/>
      <c r="P907" s="911"/>
      <c r="Q907" s="915"/>
      <c r="R907" s="916"/>
      <c r="S907" s="915"/>
      <c r="T907" s="917"/>
      <c r="U907" s="918"/>
      <c r="AR907"/>
      <c r="AS907" s="911"/>
    </row>
    <row r="908" spans="1:45" s="886" customFormat="1" ht="11.4">
      <c r="A908" s="919">
        <v>120</v>
      </c>
      <c r="B908" s="920">
        <v>1</v>
      </c>
      <c r="C908" s="920">
        <f>$A908*$B908</f>
        <v>120</v>
      </c>
      <c r="D908" s="921" t="str">
        <f>Elec_Rates!$D$395</f>
        <v>038# 5 x 16mm2 XLPE/SWA/LSZH</v>
      </c>
      <c r="E908" s="921"/>
      <c r="F908" s="921" t="s">
        <v>2599</v>
      </c>
      <c r="G908" s="922" t="s">
        <v>2601</v>
      </c>
      <c r="H908" s="922"/>
      <c r="I908" s="922"/>
      <c r="J908" s="922"/>
      <c r="K908" s="923"/>
      <c r="L908" s="918"/>
      <c r="M908" s="918"/>
      <c r="N908" s="918"/>
      <c r="O908" s="924"/>
      <c r="P908" s="921"/>
      <c r="Q908" s="925">
        <f ca="1">$B908*Elec_Rates!$R$395</f>
        <v>12.05</v>
      </c>
      <c r="R908" s="916">
        <f ca="1">$A908*Q908</f>
        <v>1446</v>
      </c>
      <c r="S908" s="925">
        <f ca="1">$B908*Elec_Rates!$T$395</f>
        <v>0.1</v>
      </c>
      <c r="T908" s="917">
        <f ca="1">$A908*S908</f>
        <v>12</v>
      </c>
      <c r="U908" s="926"/>
      <c r="AR908" s="919">
        <v>120</v>
      </c>
      <c r="AS908" s="921" t="s">
        <v>2599</v>
      </c>
    </row>
    <row r="909" spans="1:45" s="520" customFormat="1" ht="12">
      <c r="A909" s="758"/>
      <c r="B909" s="758"/>
      <c r="C909" s="758"/>
      <c r="D909" s="758"/>
      <c r="E909" s="758"/>
      <c r="F909" s="753"/>
      <c r="G909" s="758"/>
      <c r="H909" s="758"/>
      <c r="I909" s="519"/>
      <c r="J909" s="758"/>
      <c r="K909" s="758"/>
      <c r="L909" s="758"/>
      <c r="M909" s="758"/>
      <c r="N909" s="758"/>
      <c r="O909" s="758"/>
      <c r="P909" s="758"/>
      <c r="Q909" s="519"/>
      <c r="R909" s="759">
        <f>$A909*Q909</f>
        <v>0</v>
      </c>
      <c r="S909" s="519"/>
      <c r="T909" s="760">
        <f>$A909*S909*$T$1</f>
        <v>0</v>
      </c>
      <c r="AR909" s="758"/>
      <c r="AS909" s="753"/>
    </row>
    <row r="910" spans="1:45" s="520" customFormat="1" ht="12.6" thickBot="1">
      <c r="A910" s="761" t="s">
        <v>145</v>
      </c>
      <c r="B910" s="762">
        <f>(R909+T909)</f>
        <v>0</v>
      </c>
      <c r="C910" s="763"/>
      <c r="D910" s="763"/>
      <c r="E910" s="763"/>
      <c r="F910" s="764"/>
      <c r="G910" s="763" t="s">
        <v>146</v>
      </c>
      <c r="H910" s="763"/>
      <c r="I910" s="765"/>
      <c r="J910" s="763"/>
      <c r="K910" s="763" t="s">
        <v>3</v>
      </c>
      <c r="L910" s="766" t="s">
        <v>143</v>
      </c>
      <c r="M910" s="766"/>
      <c r="N910" s="766"/>
      <c r="O910" s="766"/>
      <c r="P910" s="766"/>
      <c r="Q910" s="767"/>
      <c r="R910" s="768">
        <f ca="1">SUM(R906:R909)</f>
        <v>1446</v>
      </c>
      <c r="S910" s="763"/>
      <c r="T910" s="768">
        <f ca="1">SUM(T906:T909)</f>
        <v>12</v>
      </c>
      <c r="U910" s="531"/>
      <c r="V910" s="531"/>
      <c r="W910" s="531"/>
      <c r="X910" s="531"/>
      <c r="Y910" s="531"/>
      <c r="Z910" s="531"/>
      <c r="AA910" s="531"/>
      <c r="AB910" s="531"/>
      <c r="AC910" s="531"/>
      <c r="AD910" s="531"/>
      <c r="AE910" s="531"/>
      <c r="AF910" s="531"/>
      <c r="AG910" s="531"/>
      <c r="AH910" s="531"/>
      <c r="AI910" s="531"/>
      <c r="AJ910" s="531"/>
      <c r="AK910" s="531"/>
      <c r="AL910" s="531"/>
      <c r="AM910" s="531"/>
      <c r="AN910" s="531"/>
      <c r="AO910" s="531"/>
      <c r="AR910" s="761" t="s">
        <v>145</v>
      </c>
      <c r="AS910" s="764"/>
    </row>
    <row r="911" spans="1:45" s="520" customFormat="1" ht="12" thickTop="1">
      <c r="A911" s="51"/>
      <c r="B911" s="41"/>
      <c r="C911" s="51"/>
      <c r="E911" s="42" t="s">
        <v>138</v>
      </c>
      <c r="F911" s="42" t="s">
        <v>139</v>
      </c>
      <c r="G911" s="51"/>
      <c r="H911" s="51"/>
      <c r="I911" s="51"/>
      <c r="J911" s="51"/>
      <c r="K911" s="51" t="s">
        <v>140</v>
      </c>
      <c r="L911" s="51"/>
      <c r="M911" s="51"/>
      <c r="N911" s="51"/>
      <c r="O911" s="52"/>
      <c r="P911" s="51"/>
      <c r="Q911" s="51"/>
      <c r="R911" s="51"/>
      <c r="S911" s="51"/>
      <c r="T911" s="41"/>
      <c r="AG911" s="521" t="s">
        <v>268</v>
      </c>
      <c r="AH911" s="521" t="s">
        <v>269</v>
      </c>
      <c r="AI911" s="521" t="s">
        <v>270</v>
      </c>
      <c r="AJ911" s="521" t="s">
        <v>271</v>
      </c>
      <c r="AK911" s="521" t="s">
        <v>272</v>
      </c>
      <c r="AM911" s="745" t="s">
        <v>281</v>
      </c>
      <c r="AN911" s="746" t="s">
        <v>282</v>
      </c>
      <c r="AO911" s="522" t="s">
        <v>278</v>
      </c>
      <c r="AR911" s="51"/>
      <c r="AS911" s="42" t="s">
        <v>139</v>
      </c>
    </row>
    <row r="912" spans="1:45" s="520" customFormat="1" ht="12" customHeight="1">
      <c r="A912" s="747">
        <v>120</v>
      </c>
      <c r="B912" s="523" t="s">
        <v>320</v>
      </c>
      <c r="C912" s="748"/>
      <c r="D912" s="749" t="s">
        <v>1206</v>
      </c>
      <c r="E912" s="1425">
        <f ca="1">IF(AND($A912=0,$A$1="DIF"),0, ROUND(ROUND(($R917*$S$10+($T917*$T$10))/$A912,2)*$C$10,2))</f>
        <v>79.89</v>
      </c>
      <c r="F912" s="1426">
        <f ca="1">ROUND($A912*$E912,2)</f>
        <v>9586.7999999999993</v>
      </c>
      <c r="G912" s="752" t="s">
        <v>142</v>
      </c>
      <c r="H912" s="753"/>
      <c r="I912" s="754"/>
      <c r="J912" s="753"/>
      <c r="K912" s="753" t="s">
        <v>17</v>
      </c>
      <c r="L912" s="755" t="s">
        <v>143</v>
      </c>
      <c r="M912" s="755"/>
      <c r="N912" s="755"/>
      <c r="O912" s="755"/>
      <c r="P912" s="755"/>
      <c r="Q912" s="51"/>
      <c r="T912" s="1430" t="str">
        <f ca="1">IF(AND($R917=0,$T917=0),"0.00","mu: "&amp; ROUND(F912/$C$10/($R917+$T917*$D$9),2))</f>
        <v>mu: 1.18</v>
      </c>
      <c r="W912" s="524"/>
      <c r="AG912" s="1427">
        <f ca="1">IF($E912=0,0,ROUND($R917*$S$10*$C$10/$A912,2))</f>
        <v>73.73</v>
      </c>
      <c r="AH912" s="1427">
        <f ca="1">$AG912*$A912</f>
        <v>8847.6</v>
      </c>
      <c r="AI912" s="1428">
        <f ca="1">$E912-$AG912</f>
        <v>6.1599999999999966</v>
      </c>
      <c r="AJ912" s="1428">
        <f ca="1">$A912*$AI912</f>
        <v>739.19999999999959</v>
      </c>
      <c r="AK912" s="1429">
        <f ca="1">ROUND(($AG912+$AI912)*$A912,2)</f>
        <v>9586.7999999999993</v>
      </c>
      <c r="AM912" s="527">
        <f ca="1">ROUND(R917,2)</f>
        <v>7497.6</v>
      </c>
      <c r="AN912" s="528">
        <f ca="1">ROUND(T917,2)</f>
        <v>22.8</v>
      </c>
      <c r="AO912" s="529">
        <f ca="1">ROUND(AM912+AN912,2)*A912</f>
        <v>902448</v>
      </c>
      <c r="AR912" s="747">
        <v>120</v>
      </c>
      <c r="AS912" s="751">
        <v>10084.799999999999</v>
      </c>
    </row>
    <row r="913" spans="1:45" s="520" customFormat="1" ht="13.2">
      <c r="A913" s="748"/>
      <c r="B913"/>
      <c r="C913" s="748"/>
      <c r="D913" s="749" t="s">
        <v>1207</v>
      </c>
      <c r="F913" s="753"/>
      <c r="G913" s="3"/>
      <c r="H913" s="753"/>
      <c r="I913" s="754"/>
      <c r="J913" s="753"/>
      <c r="K913" s="753" t="s">
        <v>144</v>
      </c>
      <c r="L913" s="753"/>
      <c r="M913" s="753"/>
      <c r="N913" s="753"/>
      <c r="O913" s="753"/>
      <c r="P913" s="753"/>
      <c r="Q913" s="51"/>
      <c r="R913" s="530"/>
      <c r="S913" s="757"/>
      <c r="T913" s="753"/>
      <c r="AR913" s="748"/>
      <c r="AS913" s="753"/>
    </row>
    <row r="914" spans="1:45" s="886" customFormat="1" ht="13.2">
      <c r="A914"/>
      <c r="B914" s="910"/>
      <c r="C914" s="910" t="s">
        <v>2597</v>
      </c>
      <c r="D914" s="910" t="str">
        <f ca="1">CELL("Address",Elec_Rates!D$315)</f>
        <v>[E25_0062_Quintano_Foods_Elec_ELV_As_Awarded.xlsx]Elec_Rates!$D$315</v>
      </c>
      <c r="E914" s="911"/>
      <c r="F914" s="911"/>
      <c r="G914" s="912" t="s">
        <v>2598</v>
      </c>
      <c r="H914" s="912"/>
      <c r="I914" s="912"/>
      <c r="J914" s="912"/>
      <c r="K914" s="913"/>
      <c r="L914" s="911"/>
      <c r="M914" s="911"/>
      <c r="N914" s="911"/>
      <c r="O914" s="914"/>
      <c r="P914" s="911"/>
      <c r="Q914" s="915"/>
      <c r="R914" s="916"/>
      <c r="S914" s="915"/>
      <c r="T914" s="917"/>
      <c r="U914" s="918"/>
      <c r="AR914"/>
      <c r="AS914" s="911"/>
    </row>
    <row r="915" spans="1:45" s="886" customFormat="1" ht="11.4">
      <c r="A915" s="919">
        <v>120</v>
      </c>
      <c r="B915" s="920">
        <v>1</v>
      </c>
      <c r="C915" s="920">
        <f>$A915*$B915</f>
        <v>120</v>
      </c>
      <c r="D915" s="921" t="str">
        <f>Elec_Rates!$D$315</f>
        <v>030# 5 x 95mm2 XLPE/SWA/LSZH</v>
      </c>
      <c r="E915" s="921"/>
      <c r="F915" s="921" t="s">
        <v>2599</v>
      </c>
      <c r="G915" s="922" t="s">
        <v>2601</v>
      </c>
      <c r="H915" s="922"/>
      <c r="I915" s="922"/>
      <c r="J915" s="922"/>
      <c r="K915" s="923"/>
      <c r="L915" s="918"/>
      <c r="M915" s="918"/>
      <c r="N915" s="918"/>
      <c r="O915" s="924"/>
      <c r="P915" s="921"/>
      <c r="Q915" s="925">
        <f ca="1">$B915*Elec_Rates!$R$315</f>
        <v>62.48</v>
      </c>
      <c r="R915" s="916">
        <f ca="1">$A915*Q915</f>
        <v>7497.5999999999995</v>
      </c>
      <c r="S915" s="925">
        <f ca="1">$B915*Elec_Rates!$T$315</f>
        <v>0.19</v>
      </c>
      <c r="T915" s="917">
        <f ca="1">$A915*S915</f>
        <v>22.8</v>
      </c>
      <c r="U915" s="926"/>
      <c r="AR915" s="919">
        <v>120</v>
      </c>
      <c r="AS915" s="921" t="s">
        <v>2599</v>
      </c>
    </row>
    <row r="916" spans="1:45" s="520" customFormat="1" ht="12">
      <c r="A916" s="758"/>
      <c r="B916" s="758"/>
      <c r="C916" s="758"/>
      <c r="D916" s="758"/>
      <c r="E916" s="758"/>
      <c r="F916" s="753"/>
      <c r="G916" s="758"/>
      <c r="H916" s="758"/>
      <c r="I916" s="519"/>
      <c r="J916" s="758"/>
      <c r="K916" s="758"/>
      <c r="L916" s="758"/>
      <c r="M916" s="758"/>
      <c r="N916" s="758"/>
      <c r="O916" s="758"/>
      <c r="P916" s="758"/>
      <c r="Q916" s="519"/>
      <c r="R916" s="759">
        <f>$A916*Q916</f>
        <v>0</v>
      </c>
      <c r="S916" s="519"/>
      <c r="T916" s="760">
        <f>$A916*S916*$T$1</f>
        <v>0</v>
      </c>
      <c r="AR916" s="758"/>
      <c r="AS916" s="753"/>
    </row>
    <row r="917" spans="1:45" s="520" customFormat="1" ht="12.6" thickBot="1">
      <c r="A917" s="761" t="s">
        <v>145</v>
      </c>
      <c r="B917" s="762">
        <f>(R916+T916)</f>
        <v>0</v>
      </c>
      <c r="C917" s="763"/>
      <c r="D917" s="763"/>
      <c r="E917" s="763"/>
      <c r="F917" s="764"/>
      <c r="G917" s="763" t="s">
        <v>146</v>
      </c>
      <c r="H917" s="763"/>
      <c r="I917" s="765"/>
      <c r="J917" s="763"/>
      <c r="K917" s="763" t="s">
        <v>17</v>
      </c>
      <c r="L917" s="766" t="s">
        <v>143</v>
      </c>
      <c r="M917" s="766"/>
      <c r="N917" s="766"/>
      <c r="O917" s="766"/>
      <c r="P917" s="766"/>
      <c r="Q917" s="767"/>
      <c r="R917" s="768">
        <f ca="1">SUM(R913:R916)</f>
        <v>7497.5999999999995</v>
      </c>
      <c r="S917" s="763"/>
      <c r="T917" s="768">
        <f ca="1">SUM(T913:T916)</f>
        <v>22.8</v>
      </c>
      <c r="U917" s="531"/>
      <c r="V917" s="531"/>
      <c r="W917" s="531"/>
      <c r="X917" s="531"/>
      <c r="Y917" s="531"/>
      <c r="Z917" s="531"/>
      <c r="AA917" s="531"/>
      <c r="AB917" s="531"/>
      <c r="AC917" s="531"/>
      <c r="AD917" s="531"/>
      <c r="AE917" s="531"/>
      <c r="AF917" s="531"/>
      <c r="AG917" s="531"/>
      <c r="AH917" s="531"/>
      <c r="AI917" s="531"/>
      <c r="AJ917" s="531"/>
      <c r="AK917" s="531"/>
      <c r="AL917" s="531"/>
      <c r="AM917" s="531"/>
      <c r="AN917" s="531"/>
      <c r="AO917" s="531"/>
      <c r="AR917" s="761" t="s">
        <v>145</v>
      </c>
      <c r="AS917" s="764"/>
    </row>
    <row r="918" spans="1:45" s="520" customFormat="1" ht="12" thickTop="1">
      <c r="A918" s="51"/>
      <c r="B918" s="41"/>
      <c r="C918" s="51"/>
      <c r="E918" s="42" t="s">
        <v>138</v>
      </c>
      <c r="F918" s="42" t="s">
        <v>139</v>
      </c>
      <c r="G918" s="51"/>
      <c r="H918" s="51"/>
      <c r="I918" s="51"/>
      <c r="J918" s="51"/>
      <c r="K918" s="51" t="s">
        <v>140</v>
      </c>
      <c r="L918" s="51"/>
      <c r="M918" s="51"/>
      <c r="N918" s="51"/>
      <c r="O918" s="52"/>
      <c r="P918" s="51"/>
      <c r="Q918" s="51"/>
      <c r="R918" s="51"/>
      <c r="S918" s="51"/>
      <c r="T918" s="41"/>
      <c r="AG918" s="521" t="s">
        <v>268</v>
      </c>
      <c r="AH918" s="521" t="s">
        <v>269</v>
      </c>
      <c r="AI918" s="521" t="s">
        <v>270</v>
      </c>
      <c r="AJ918" s="521" t="s">
        <v>271</v>
      </c>
      <c r="AK918" s="521" t="s">
        <v>272</v>
      </c>
      <c r="AM918" s="745" t="s">
        <v>281</v>
      </c>
      <c r="AN918" s="746" t="s">
        <v>282</v>
      </c>
      <c r="AO918" s="522" t="s">
        <v>278</v>
      </c>
      <c r="AR918" s="51"/>
      <c r="AS918" s="42" t="s">
        <v>139</v>
      </c>
    </row>
    <row r="919" spans="1:45" s="520" customFormat="1" ht="12" customHeight="1">
      <c r="A919" s="747">
        <v>85</v>
      </c>
      <c r="B919" s="523" t="s">
        <v>320</v>
      </c>
      <c r="C919" s="748"/>
      <c r="D919" s="749" t="s">
        <v>1208</v>
      </c>
      <c r="E919" s="750">
        <f ca="1">IF(AND($A919=0,$A$1="DIF"),0, ROUND(ROUND(($R924*$S$2+($T924*$T$2))/A919,2)*$C$2,2))</f>
        <v>14.65</v>
      </c>
      <c r="F919" s="751">
        <f ca="1">ROUND($A919*$E919,2)</f>
        <v>1245.25</v>
      </c>
      <c r="G919" s="752" t="s">
        <v>142</v>
      </c>
      <c r="H919" s="753"/>
      <c r="I919" s="754"/>
      <c r="J919" s="753"/>
      <c r="K919" s="753" t="s">
        <v>3</v>
      </c>
      <c r="L919" s="755" t="s">
        <v>143</v>
      </c>
      <c r="M919" s="755"/>
      <c r="N919" s="755"/>
      <c r="O919" s="755"/>
      <c r="P919" s="755"/>
      <c r="Q919" s="51"/>
      <c r="T919" s="756" t="str">
        <f ca="1">IF(AND($R924=0,$T924=0),"0.00","mu :" &amp; ROUND($F919/$C$2/($R924+$T924*$D$9),2))</f>
        <v>mu :1.23</v>
      </c>
      <c r="W919" s="524"/>
      <c r="AG919" s="481">
        <f ca="1">IF($E919=0,0,ROUND($R924*$S$2*$C$2/$A919,2))</f>
        <v>10.59</v>
      </c>
      <c r="AH919" s="481">
        <f ca="1">$AG919*$A919</f>
        <v>900.15</v>
      </c>
      <c r="AI919" s="525">
        <f ca="1">$E919-$AG919</f>
        <v>4.0600000000000005</v>
      </c>
      <c r="AJ919" s="525">
        <f ca="1">$A919*$AI919</f>
        <v>345.1</v>
      </c>
      <c r="AK919" s="526">
        <f ca="1">ROUND(($AG919+$AI919)*$A919,2)</f>
        <v>1245.25</v>
      </c>
      <c r="AM919" s="527">
        <f ca="1">ROUND(R924,2)</f>
        <v>731</v>
      </c>
      <c r="AN919" s="528">
        <f ca="1">ROUND(T924,2)</f>
        <v>10.199999999999999</v>
      </c>
      <c r="AO919" s="529">
        <f ca="1">ROUND(AM919+AN919,2)*A919</f>
        <v>63002.000000000007</v>
      </c>
      <c r="AR919" s="747">
        <v>85</v>
      </c>
      <c r="AS919" s="751">
        <v>1274.1500000000001</v>
      </c>
    </row>
    <row r="920" spans="1:45" s="520" customFormat="1" ht="13.2">
      <c r="A920" s="748"/>
      <c r="B920"/>
      <c r="C920" s="748"/>
      <c r="D920" s="749" t="s">
        <v>1209</v>
      </c>
      <c r="F920" s="753"/>
      <c r="G920" s="3"/>
      <c r="H920" s="753"/>
      <c r="I920" s="754"/>
      <c r="J920" s="753"/>
      <c r="K920" s="753" t="s">
        <v>144</v>
      </c>
      <c r="L920" s="753"/>
      <c r="M920" s="753"/>
      <c r="N920" s="753"/>
      <c r="O920" s="753"/>
      <c r="P920" s="753"/>
      <c r="Q920" s="51"/>
      <c r="R920" s="530"/>
      <c r="S920" s="757"/>
      <c r="T920" s="753"/>
      <c r="AR920" s="748"/>
      <c r="AS920" s="753"/>
    </row>
    <row r="921" spans="1:45" s="886" customFormat="1" ht="13.2">
      <c r="A921"/>
      <c r="B921" s="910"/>
      <c r="C921" s="910" t="s">
        <v>2597</v>
      </c>
      <c r="D921" s="910" t="str">
        <f ca="1">CELL("Address",Elec_Rates!D$417)</f>
        <v>[E25_0062_Quintano_Foods_Elec_ELV_As_Awarded.xlsx]Elec_Rates!$D$417</v>
      </c>
      <c r="E921" s="911"/>
      <c r="F921" s="911"/>
      <c r="G921" s="912" t="s">
        <v>2598</v>
      </c>
      <c r="H921" s="912"/>
      <c r="I921" s="912"/>
      <c r="J921" s="912"/>
      <c r="K921" s="913"/>
      <c r="L921" s="911"/>
      <c r="M921" s="911"/>
      <c r="N921" s="911"/>
      <c r="O921" s="914"/>
      <c r="P921" s="911"/>
      <c r="Q921" s="915"/>
      <c r="R921" s="916"/>
      <c r="S921" s="915"/>
      <c r="T921" s="917"/>
      <c r="U921" s="918"/>
      <c r="AR921"/>
      <c r="AS921" s="911"/>
    </row>
    <row r="922" spans="1:45" s="886" customFormat="1" ht="11.4">
      <c r="A922" s="919">
        <v>85</v>
      </c>
      <c r="B922" s="920">
        <v>1</v>
      </c>
      <c r="C922" s="920">
        <f>$A922*$B922</f>
        <v>85</v>
      </c>
      <c r="D922" s="921" t="str">
        <f>Elec_Rates!$D$417</f>
        <v>040# 5 x 10mm2 XLPE/SWA/LSZH</v>
      </c>
      <c r="E922" s="921"/>
      <c r="F922" s="921" t="s">
        <v>2599</v>
      </c>
      <c r="G922" s="922" t="s">
        <v>2601</v>
      </c>
      <c r="H922" s="922"/>
      <c r="I922" s="922"/>
      <c r="J922" s="922"/>
      <c r="K922" s="923"/>
      <c r="L922" s="918"/>
      <c r="M922" s="918"/>
      <c r="N922" s="918"/>
      <c r="O922" s="924"/>
      <c r="P922" s="921"/>
      <c r="Q922" s="925">
        <f ca="1">$B922*Elec_Rates!$R$417</f>
        <v>8.6</v>
      </c>
      <c r="R922" s="916">
        <f ca="1">$A922*Q922</f>
        <v>731</v>
      </c>
      <c r="S922" s="925">
        <f ca="1">$B922*Elec_Rates!$T$417</f>
        <v>0.12</v>
      </c>
      <c r="T922" s="917">
        <f ca="1">$A922*S922</f>
        <v>10.199999999999999</v>
      </c>
      <c r="U922" s="926"/>
      <c r="AR922" s="919">
        <v>85</v>
      </c>
      <c r="AS922" s="921" t="s">
        <v>2599</v>
      </c>
    </row>
    <row r="923" spans="1:45" s="520" customFormat="1" ht="12">
      <c r="A923" s="758"/>
      <c r="B923" s="758"/>
      <c r="C923" s="758"/>
      <c r="D923" s="758"/>
      <c r="E923" s="758"/>
      <c r="F923" s="753"/>
      <c r="G923" s="758"/>
      <c r="H923" s="758"/>
      <c r="I923" s="519"/>
      <c r="J923" s="758"/>
      <c r="K923" s="758"/>
      <c r="L923" s="758"/>
      <c r="M923" s="758"/>
      <c r="N923" s="758"/>
      <c r="O923" s="758"/>
      <c r="P923" s="758"/>
      <c r="Q923" s="519"/>
      <c r="R923" s="759">
        <f>$A923*Q923</f>
        <v>0</v>
      </c>
      <c r="S923" s="519"/>
      <c r="T923" s="760">
        <f>$A923*S923*$T$1</f>
        <v>0</v>
      </c>
      <c r="AR923" s="758"/>
      <c r="AS923" s="753"/>
    </row>
    <row r="924" spans="1:45" s="520" customFormat="1" ht="12.6" thickBot="1">
      <c r="A924" s="761" t="s">
        <v>145</v>
      </c>
      <c r="B924" s="762">
        <f>(R923+T923)</f>
        <v>0</v>
      </c>
      <c r="C924" s="763"/>
      <c r="D924" s="763"/>
      <c r="E924" s="763"/>
      <c r="F924" s="764"/>
      <c r="G924" s="763" t="s">
        <v>146</v>
      </c>
      <c r="H924" s="763"/>
      <c r="I924" s="765"/>
      <c r="J924" s="763"/>
      <c r="K924" s="763" t="s">
        <v>3</v>
      </c>
      <c r="L924" s="766" t="s">
        <v>143</v>
      </c>
      <c r="M924" s="766"/>
      <c r="N924" s="766"/>
      <c r="O924" s="766"/>
      <c r="P924" s="766"/>
      <c r="Q924" s="767"/>
      <c r="R924" s="768">
        <f ca="1">SUM(R920:R923)</f>
        <v>731</v>
      </c>
      <c r="S924" s="763"/>
      <c r="T924" s="768">
        <f ca="1">SUM(T920:T923)</f>
        <v>10.199999999999999</v>
      </c>
      <c r="U924" s="531"/>
      <c r="V924" s="531"/>
      <c r="W924" s="531"/>
      <c r="X924" s="531"/>
      <c r="Y924" s="531"/>
      <c r="Z924" s="531"/>
      <c r="AA924" s="531"/>
      <c r="AB924" s="531"/>
      <c r="AC924" s="531"/>
      <c r="AD924" s="531"/>
      <c r="AE924" s="531"/>
      <c r="AF924" s="531"/>
      <c r="AG924" s="531"/>
      <c r="AH924" s="531"/>
      <c r="AI924" s="531"/>
      <c r="AJ924" s="531"/>
      <c r="AK924" s="531"/>
      <c r="AL924" s="531"/>
      <c r="AM924" s="531"/>
      <c r="AN924" s="531"/>
      <c r="AO924" s="531"/>
      <c r="AR924" s="761" t="s">
        <v>145</v>
      </c>
      <c r="AS924" s="764"/>
    </row>
    <row r="925" spans="1:45" s="520" customFormat="1" ht="12" thickTop="1">
      <c r="A925" s="51"/>
      <c r="B925" s="41"/>
      <c r="C925" s="51"/>
      <c r="E925" s="42" t="s">
        <v>138</v>
      </c>
      <c r="F925" s="42" t="s">
        <v>139</v>
      </c>
      <c r="G925" s="51"/>
      <c r="H925" s="51"/>
      <c r="I925" s="51"/>
      <c r="J925" s="51"/>
      <c r="K925" s="51" t="s">
        <v>140</v>
      </c>
      <c r="L925" s="51"/>
      <c r="M925" s="51"/>
      <c r="N925" s="51"/>
      <c r="O925" s="52"/>
      <c r="P925" s="51"/>
      <c r="Q925" s="51"/>
      <c r="R925" s="51"/>
      <c r="S925" s="51"/>
      <c r="T925" s="41"/>
      <c r="AG925" s="521" t="s">
        <v>268</v>
      </c>
      <c r="AH925" s="521" t="s">
        <v>269</v>
      </c>
      <c r="AI925" s="521" t="s">
        <v>270</v>
      </c>
      <c r="AJ925" s="521" t="s">
        <v>271</v>
      </c>
      <c r="AK925" s="521" t="s">
        <v>272</v>
      </c>
      <c r="AM925" s="745" t="s">
        <v>281</v>
      </c>
      <c r="AN925" s="746" t="s">
        <v>282</v>
      </c>
      <c r="AO925" s="522" t="s">
        <v>278</v>
      </c>
      <c r="AR925" s="51"/>
      <c r="AS925" s="42" t="s">
        <v>139</v>
      </c>
    </row>
    <row r="926" spans="1:45" s="520" customFormat="1" ht="12" customHeight="1">
      <c r="A926" s="747">
        <v>125</v>
      </c>
      <c r="B926" s="523" t="s">
        <v>320</v>
      </c>
      <c r="C926" s="748"/>
      <c r="D926" s="749" t="s">
        <v>1210</v>
      </c>
      <c r="E926" s="750">
        <f ca="1">IF(AND($A926=0,$A$1="DIF"),0, ROUND(ROUND(($R931*$S$2+($T931*$T$2))/A926,2)*$C$2,2))</f>
        <v>39.06</v>
      </c>
      <c r="F926" s="751">
        <f ca="1">ROUND($A926*$E926,2)</f>
        <v>4882.5</v>
      </c>
      <c r="G926" s="752" t="s">
        <v>142</v>
      </c>
      <c r="H926" s="753"/>
      <c r="I926" s="754"/>
      <c r="J926" s="753"/>
      <c r="K926" s="753" t="s">
        <v>3</v>
      </c>
      <c r="L926" s="755" t="s">
        <v>143</v>
      </c>
      <c r="M926" s="755"/>
      <c r="N926" s="755"/>
      <c r="O926" s="755"/>
      <c r="P926" s="755"/>
      <c r="Q926" s="51"/>
      <c r="T926" s="756" t="str">
        <f ca="1">IF(AND($R931=0,$T931=0),"0.00","mu :" &amp; ROUND($F926/$C$2/($R931+$T931*$D$9),2))</f>
        <v>mu :1.23</v>
      </c>
      <c r="W926" s="524"/>
      <c r="AG926" s="481">
        <f ca="1">IF($E926=0,0,ROUND($R931*$S$2*$C$2/$A926,2))</f>
        <v>35.340000000000003</v>
      </c>
      <c r="AH926" s="481">
        <f ca="1">$AG926*$A926</f>
        <v>4417.5</v>
      </c>
      <c r="AI926" s="525">
        <f ca="1">$E926-$AG926</f>
        <v>3.7199999999999989</v>
      </c>
      <c r="AJ926" s="525">
        <f ca="1">$A926*$AI926</f>
        <v>464.99999999999989</v>
      </c>
      <c r="AK926" s="526">
        <f ca="1">ROUND(($AG926+$AI926)*$A926,2)</f>
        <v>4882.5</v>
      </c>
      <c r="AM926" s="527">
        <f ca="1">ROUND(R931,2)</f>
        <v>3587.5</v>
      </c>
      <c r="AN926" s="528">
        <f ca="1">ROUND(T931,2)</f>
        <v>13.75</v>
      </c>
      <c r="AO926" s="529">
        <f ca="1">ROUND(AM926+AN926,2)*A926</f>
        <v>450156.25</v>
      </c>
      <c r="AR926" s="747">
        <v>125</v>
      </c>
      <c r="AS926" s="751">
        <v>4967.5</v>
      </c>
    </row>
    <row r="927" spans="1:45" s="520" customFormat="1" ht="39.9" customHeight="1">
      <c r="A927" s="748"/>
      <c r="B927"/>
      <c r="C927" s="748"/>
      <c r="D927" s="1451" t="s">
        <v>1211</v>
      </c>
      <c r="E927" s="1452"/>
      <c r="F927" s="1452"/>
      <c r="G927" s="1452"/>
      <c r="H927" s="1452"/>
      <c r="I927" s="1452"/>
      <c r="J927" s="1452"/>
      <c r="K927" s="1452"/>
      <c r="L927" s="1452"/>
      <c r="M927" s="1452"/>
      <c r="N927" s="1452"/>
      <c r="O927" s="1452"/>
      <c r="P927" s="1452"/>
      <c r="Q927" s="1452"/>
      <c r="R927" s="1452"/>
      <c r="S927" s="1452"/>
      <c r="T927" s="1452"/>
      <c r="AR927" s="748"/>
    </row>
    <row r="928" spans="1:45" s="886" customFormat="1" ht="13.2">
      <c r="A928"/>
      <c r="B928" s="910"/>
      <c r="C928" s="910" t="s">
        <v>2597</v>
      </c>
      <c r="D928" s="910" t="str">
        <f ca="1">CELL("Address",Elec_Rates!D$365)</f>
        <v>[E25_0062_Quintano_Foods_Elec_ELV_As_Awarded.xlsx]Elec_Rates!$D$365</v>
      </c>
      <c r="E928" s="911"/>
      <c r="F928" s="911"/>
      <c r="G928" s="912" t="s">
        <v>2598</v>
      </c>
      <c r="H928" s="912"/>
      <c r="I928" s="912"/>
      <c r="J928" s="912"/>
      <c r="K928" s="913"/>
      <c r="L928" s="911"/>
      <c r="M928" s="911"/>
      <c r="N928" s="911"/>
      <c r="O928" s="914"/>
      <c r="P928" s="911"/>
      <c r="Q928" s="915"/>
      <c r="R928" s="916"/>
      <c r="S928" s="915"/>
      <c r="T928" s="917"/>
      <c r="U928" s="918"/>
      <c r="AR928"/>
      <c r="AS928" s="911"/>
    </row>
    <row r="929" spans="1:45" s="886" customFormat="1" ht="11.4">
      <c r="A929" s="919">
        <v>125</v>
      </c>
      <c r="B929" s="920">
        <v>1</v>
      </c>
      <c r="C929" s="920">
        <f>$A929*$B929</f>
        <v>125</v>
      </c>
      <c r="D929" s="921" t="str">
        <f>Elec_Rates!$D$365</f>
        <v>035# 5 x 25mm2 F120 Fire Resistant Cable (BS7846) -  XLPE/SWA/LSZH</v>
      </c>
      <c r="E929" s="921"/>
      <c r="F929" s="921" t="s">
        <v>2599</v>
      </c>
      <c r="G929" s="922" t="s">
        <v>2601</v>
      </c>
      <c r="H929" s="922"/>
      <c r="I929" s="922"/>
      <c r="J929" s="922"/>
      <c r="K929" s="923"/>
      <c r="L929" s="918"/>
      <c r="M929" s="918"/>
      <c r="N929" s="918"/>
      <c r="O929" s="924"/>
      <c r="P929" s="921"/>
      <c r="Q929" s="925">
        <f ca="1">$B929*Elec_Rates!$R$365</f>
        <v>28.7</v>
      </c>
      <c r="R929" s="916">
        <f ca="1">$A929*Q929</f>
        <v>3587.5</v>
      </c>
      <c r="S929" s="925">
        <f ca="1">$B929*Elec_Rates!$T$365</f>
        <v>0.11</v>
      </c>
      <c r="T929" s="917">
        <f ca="1">$A929*S929</f>
        <v>13.75</v>
      </c>
      <c r="U929" s="926"/>
      <c r="AR929" s="919">
        <v>125</v>
      </c>
      <c r="AS929" s="921" t="s">
        <v>2599</v>
      </c>
    </row>
    <row r="930" spans="1:45" s="520" customFormat="1" ht="12">
      <c r="A930" s="758"/>
      <c r="B930" s="758"/>
      <c r="C930" s="758"/>
      <c r="D930" s="758"/>
      <c r="E930" s="758"/>
      <c r="F930" s="753"/>
      <c r="G930" s="758"/>
      <c r="H930" s="758"/>
      <c r="I930" s="519"/>
      <c r="J930" s="758"/>
      <c r="K930" s="758"/>
      <c r="L930" s="758"/>
      <c r="M930" s="758"/>
      <c r="N930" s="758"/>
      <c r="O930" s="758"/>
      <c r="P930" s="758"/>
      <c r="Q930" s="519"/>
      <c r="R930" s="759">
        <f>$A930*Q930</f>
        <v>0</v>
      </c>
      <c r="S930" s="519"/>
      <c r="T930" s="760">
        <f>$A930*S930*$T$1</f>
        <v>0</v>
      </c>
      <c r="AR930" s="758"/>
      <c r="AS930" s="753"/>
    </row>
    <row r="931" spans="1:45" s="520" customFormat="1" ht="12.6" thickBot="1">
      <c r="A931" s="761" t="s">
        <v>145</v>
      </c>
      <c r="B931" s="762">
        <f>(R930+T930)</f>
        <v>0</v>
      </c>
      <c r="C931" s="763"/>
      <c r="D931" s="763"/>
      <c r="E931" s="763"/>
      <c r="F931" s="764"/>
      <c r="G931" s="763" t="s">
        <v>146</v>
      </c>
      <c r="H931" s="763"/>
      <c r="I931" s="765"/>
      <c r="J931" s="763"/>
      <c r="K931" s="763" t="s">
        <v>3</v>
      </c>
      <c r="L931" s="766" t="s">
        <v>143</v>
      </c>
      <c r="M931" s="766"/>
      <c r="N931" s="766"/>
      <c r="O931" s="766"/>
      <c r="P931" s="766"/>
      <c r="Q931" s="767"/>
      <c r="R931" s="768">
        <f ca="1">SUM(R927:R930)</f>
        <v>3587.5</v>
      </c>
      <c r="S931" s="763"/>
      <c r="T931" s="768">
        <f ca="1">SUM(T927:T930)</f>
        <v>13.75</v>
      </c>
      <c r="U931" s="531"/>
      <c r="V931" s="531"/>
      <c r="W931" s="531"/>
      <c r="X931" s="531"/>
      <c r="Y931" s="531"/>
      <c r="Z931" s="531"/>
      <c r="AA931" s="531"/>
      <c r="AB931" s="531"/>
      <c r="AC931" s="531"/>
      <c r="AD931" s="531"/>
      <c r="AE931" s="531"/>
      <c r="AF931" s="531"/>
      <c r="AG931" s="531"/>
      <c r="AH931" s="531"/>
      <c r="AI931" s="531"/>
      <c r="AJ931" s="531"/>
      <c r="AK931" s="531"/>
      <c r="AL931" s="531"/>
      <c r="AM931" s="531"/>
      <c r="AN931" s="531"/>
      <c r="AO931" s="531"/>
      <c r="AR931" s="761" t="s">
        <v>145</v>
      </c>
      <c r="AS931" s="764"/>
    </row>
    <row r="932" spans="1:45" s="520" customFormat="1" ht="12" thickTop="1">
      <c r="A932" s="51"/>
      <c r="B932" s="41"/>
      <c r="C932" s="51"/>
      <c r="E932" s="42" t="s">
        <v>138</v>
      </c>
      <c r="F932" s="42" t="s">
        <v>139</v>
      </c>
      <c r="G932" s="51"/>
      <c r="H932" s="51"/>
      <c r="I932" s="51"/>
      <c r="J932" s="51"/>
      <c r="K932" s="51" t="s">
        <v>140</v>
      </c>
      <c r="L932" s="51"/>
      <c r="M932" s="51"/>
      <c r="N932" s="51"/>
      <c r="O932" s="52"/>
      <c r="P932" s="51"/>
      <c r="Q932" s="51"/>
      <c r="R932" s="51"/>
      <c r="S932" s="51"/>
      <c r="T932" s="41"/>
      <c r="AG932" s="521" t="s">
        <v>268</v>
      </c>
      <c r="AH932" s="521" t="s">
        <v>269</v>
      </c>
      <c r="AI932" s="521" t="s">
        <v>270</v>
      </c>
      <c r="AJ932" s="521" t="s">
        <v>271</v>
      </c>
      <c r="AK932" s="521" t="s">
        <v>272</v>
      </c>
      <c r="AM932" s="745" t="s">
        <v>281</v>
      </c>
      <c r="AN932" s="746" t="s">
        <v>282</v>
      </c>
      <c r="AO932" s="522" t="s">
        <v>278</v>
      </c>
      <c r="AR932" s="51"/>
      <c r="AS932" s="42" t="s">
        <v>139</v>
      </c>
    </row>
    <row r="933" spans="1:45" s="520" customFormat="1" ht="12" customHeight="1">
      <c r="A933" s="747">
        <v>140</v>
      </c>
      <c r="B933" s="523" t="s">
        <v>320</v>
      </c>
      <c r="C933" s="748"/>
      <c r="D933" s="749" t="s">
        <v>1212</v>
      </c>
      <c r="E933" s="1425">
        <f ca="1">IF(AND($A933=0,$A$1="DIF"),0, ROUND(ROUND(($R940*$S$10+($T940*$T$10))/$A933,2)*$C$10,2))</f>
        <v>0</v>
      </c>
      <c r="F933" s="1426">
        <f ca="1">ROUND($A933*$E933,2)</f>
        <v>0</v>
      </c>
      <c r="G933" s="752" t="s">
        <v>142</v>
      </c>
      <c r="H933" s="753"/>
      <c r="I933" s="754"/>
      <c r="J933" s="753"/>
      <c r="K933" s="753" t="s">
        <v>17</v>
      </c>
      <c r="L933" s="755" t="s">
        <v>143</v>
      </c>
      <c r="M933" s="755"/>
      <c r="N933" s="755"/>
      <c r="O933" s="755"/>
      <c r="P933" s="755"/>
      <c r="Q933" s="1058" t="s">
        <v>3848</v>
      </c>
      <c r="T933" s="1430" t="str">
        <f ca="1">IF(AND($R940=0,$T940=0),"0.00","mu: "&amp; ROUND(F933/$C$10/($R940+$T940*$D$9),2))</f>
        <v>0.00</v>
      </c>
      <c r="W933" s="524"/>
      <c r="AG933" s="1427">
        <f ca="1">IF($E933=0,0,ROUND($R940*$S$10*$C$10/$A933,2))</f>
        <v>0</v>
      </c>
      <c r="AH933" s="1427">
        <f ca="1">$AG933*$A933</f>
        <v>0</v>
      </c>
      <c r="AI933" s="1428">
        <f ca="1">$E933-$AG933</f>
        <v>0</v>
      </c>
      <c r="AJ933" s="1428">
        <f ca="1">$A933*$AI933</f>
        <v>0</v>
      </c>
      <c r="AK933" s="1429">
        <f ca="1">ROUND(($AG933+$AI933)*$A933,2)</f>
        <v>0</v>
      </c>
      <c r="AM933" s="527">
        <f ca="1">ROUND(R940,2)</f>
        <v>0</v>
      </c>
      <c r="AN933" s="528">
        <f ca="1">ROUND(T940,2)</f>
        <v>0</v>
      </c>
      <c r="AO933" s="529">
        <f ca="1">ROUND(AM933+AN933,2)*A933</f>
        <v>0</v>
      </c>
      <c r="AR933" s="747">
        <v>140</v>
      </c>
      <c r="AS933" s="751">
        <v>39292.400000000001</v>
      </c>
    </row>
    <row r="934" spans="1:45" s="520" customFormat="1" ht="39.9" customHeight="1">
      <c r="A934" s="748"/>
      <c r="B934"/>
      <c r="C934" s="748"/>
      <c r="D934" s="1451" t="s">
        <v>1159</v>
      </c>
      <c r="E934" s="1452"/>
      <c r="F934" s="1452"/>
      <c r="G934" s="1452"/>
      <c r="H934" s="1452"/>
      <c r="I934" s="1452"/>
      <c r="J934" s="1452"/>
      <c r="K934" s="1452"/>
      <c r="L934" s="1452"/>
      <c r="M934" s="1452"/>
      <c r="N934" s="1452"/>
      <c r="O934" s="1452"/>
      <c r="P934" s="1452"/>
      <c r="Q934" s="1452"/>
      <c r="R934" s="1452"/>
      <c r="S934" s="1452"/>
      <c r="T934" s="1452"/>
      <c r="AR934" s="748"/>
    </row>
    <row r="935" spans="1:45" s="1336" customFormat="1" ht="14.4" customHeight="1">
      <c r="A935" s="1086"/>
      <c r="B935" s="1328"/>
      <c r="C935" s="1328" t="s">
        <v>2597</v>
      </c>
      <c r="D935" s="1328" t="str">
        <f ca="1">CELL("Address",Elec_Rates!D$281)</f>
        <v>[E25_0062_Quintano_Foods_Elec_ELV_As_Awarded.xlsx]Elec_Rates!$D$281</v>
      </c>
      <c r="E935" s="1060"/>
      <c r="F935" s="1060"/>
      <c r="G935" s="1329" t="s">
        <v>2598</v>
      </c>
      <c r="H935" s="1329"/>
      <c r="I935" s="1329"/>
      <c r="J935" s="1329"/>
      <c r="K935" s="1330"/>
      <c r="L935" s="1060"/>
      <c r="M935" s="1060"/>
      <c r="N935" s="1060"/>
      <c r="O935" s="1331"/>
      <c r="P935" s="1060"/>
      <c r="Q935" s="1332"/>
      <c r="R935" s="1333"/>
      <c r="S935" s="1332"/>
      <c r="T935" s="1334"/>
      <c r="U935" s="1335"/>
      <c r="AR935" s="1086"/>
      <c r="AS935" s="1060"/>
    </row>
    <row r="936" spans="1:45" s="1336" customFormat="1" ht="11.4">
      <c r="A936" s="1337">
        <v>0</v>
      </c>
      <c r="B936" s="1338">
        <v>1</v>
      </c>
      <c r="C936" s="1338">
        <f>$A936*$B936</f>
        <v>0</v>
      </c>
      <c r="D936" s="1339" t="str">
        <f>Elec_Rates!$D$281</f>
        <v>027# 5 x 120mm2 F120 Fire Resistant Cable (BS7846) -  XLPE/SWA/LSZH</v>
      </c>
      <c r="E936" s="1339"/>
      <c r="F936" s="1339" t="s">
        <v>2599</v>
      </c>
      <c r="G936" s="1340" t="s">
        <v>2601</v>
      </c>
      <c r="H936" s="1340"/>
      <c r="I936" s="1340"/>
      <c r="J936" s="1340"/>
      <c r="K936" s="1341"/>
      <c r="L936" s="1335"/>
      <c r="M936" s="1335"/>
      <c r="N936" s="1335"/>
      <c r="O936" s="1342"/>
      <c r="P936" s="1339"/>
      <c r="Q936" s="1343">
        <f ca="1">$B936*Elec_Rates!$R$281</f>
        <v>104.63</v>
      </c>
      <c r="R936" s="1333">
        <f ca="1">$A936*Q936</f>
        <v>0</v>
      </c>
      <c r="S936" s="1343">
        <f ca="1">$B936*Elec_Rates!$T$281</f>
        <v>0.31</v>
      </c>
      <c r="T936" s="1334">
        <f ca="1">$A936*S936</f>
        <v>0</v>
      </c>
      <c r="U936" s="1344"/>
      <c r="AR936" s="1337">
        <v>140</v>
      </c>
      <c r="AS936" s="1339" t="s">
        <v>2599</v>
      </c>
    </row>
    <row r="937" spans="1:45" s="1336" customFormat="1" ht="14.4" customHeight="1">
      <c r="A937" s="1086"/>
      <c r="B937" s="1328"/>
      <c r="C937" s="1328" t="s">
        <v>2597</v>
      </c>
      <c r="D937" s="1328" t="str">
        <f ca="1">CELL("Address",Elec_Rates!D$281)</f>
        <v>[E25_0062_Quintano_Foods_Elec_ELV_As_Awarded.xlsx]Elec_Rates!$D$281</v>
      </c>
      <c r="E937" s="1060"/>
      <c r="F937" s="1060"/>
      <c r="G937" s="1329" t="s">
        <v>2598</v>
      </c>
      <c r="H937" s="1329"/>
      <c r="I937" s="1329"/>
      <c r="J937" s="1329"/>
      <c r="K937" s="1330"/>
      <c r="L937" s="1060"/>
      <c r="M937" s="1060"/>
      <c r="N937" s="1060"/>
      <c r="O937" s="1331"/>
      <c r="P937" s="1060"/>
      <c r="Q937" s="1332"/>
      <c r="R937" s="1333"/>
      <c r="S937" s="1332"/>
      <c r="T937" s="1334"/>
      <c r="U937" s="1335"/>
      <c r="AR937" s="1086"/>
      <c r="AS937" s="1060"/>
    </row>
    <row r="938" spans="1:45" s="1336" customFormat="1" ht="11.4">
      <c r="A938" s="1337">
        <v>0</v>
      </c>
      <c r="B938" s="1338">
        <v>1</v>
      </c>
      <c r="C938" s="1338">
        <f>$A938*$B938</f>
        <v>0</v>
      </c>
      <c r="D938" s="1339" t="str">
        <f>Elec_Rates!$D$281</f>
        <v>027# 5 x 120mm2 F120 Fire Resistant Cable (BS7846) -  XLPE/SWA/LSZH</v>
      </c>
      <c r="E938" s="1339"/>
      <c r="F938" s="1339" t="s">
        <v>2599</v>
      </c>
      <c r="G938" s="1340" t="s">
        <v>2601</v>
      </c>
      <c r="H938" s="1340"/>
      <c r="I938" s="1340"/>
      <c r="J938" s="1340"/>
      <c r="K938" s="1341"/>
      <c r="L938" s="1335"/>
      <c r="M938" s="1335"/>
      <c r="N938" s="1335"/>
      <c r="O938" s="1342"/>
      <c r="P938" s="1339"/>
      <c r="Q938" s="1343">
        <f ca="1">$B938*Elec_Rates!$R$281</f>
        <v>104.63</v>
      </c>
      <c r="R938" s="1333">
        <f ca="1">$A938*Q938</f>
        <v>0</v>
      </c>
      <c r="S938" s="1343">
        <f ca="1">$B938*Elec_Rates!$T$281</f>
        <v>0.31</v>
      </c>
      <c r="T938" s="1334">
        <f ca="1">$A938*S938</f>
        <v>0</v>
      </c>
      <c r="U938" s="1344"/>
      <c r="AR938" s="1337">
        <v>140</v>
      </c>
      <c r="AS938" s="1339" t="s">
        <v>2599</v>
      </c>
    </row>
    <row r="939" spans="1:45" s="520" customFormat="1" ht="12">
      <c r="A939" s="758"/>
      <c r="B939" s="758"/>
      <c r="C939" s="758"/>
      <c r="D939" s="758"/>
      <c r="E939" s="758"/>
      <c r="F939" s="753"/>
      <c r="G939" s="758"/>
      <c r="H939" s="758"/>
      <c r="I939" s="519"/>
      <c r="J939" s="758"/>
      <c r="K939" s="758"/>
      <c r="L939" s="758"/>
      <c r="M939" s="758"/>
      <c r="N939" s="758"/>
      <c r="O939" s="758"/>
      <c r="P939" s="758"/>
      <c r="Q939" s="519"/>
      <c r="R939" s="759">
        <f>$A939*Q939</f>
        <v>0</v>
      </c>
      <c r="S939" s="519"/>
      <c r="T939" s="760">
        <f>$A939*S939*$T$1</f>
        <v>0</v>
      </c>
      <c r="AR939" s="758"/>
      <c r="AS939" s="753"/>
    </row>
    <row r="940" spans="1:45" s="520" customFormat="1" ht="12.6" thickBot="1">
      <c r="A940" s="761" t="s">
        <v>145</v>
      </c>
      <c r="B940" s="762">
        <f>(R939+T939)</f>
        <v>0</v>
      </c>
      <c r="C940" s="763"/>
      <c r="D940" s="763"/>
      <c r="E940" s="763"/>
      <c r="F940" s="764"/>
      <c r="G940" s="763" t="s">
        <v>146</v>
      </c>
      <c r="H940" s="763"/>
      <c r="I940" s="765"/>
      <c r="J940" s="763"/>
      <c r="K940" s="763" t="s">
        <v>17</v>
      </c>
      <c r="L940" s="766" t="s">
        <v>143</v>
      </c>
      <c r="M940" s="766"/>
      <c r="N940" s="766"/>
      <c r="O940" s="766"/>
      <c r="P940" s="766"/>
      <c r="Q940" s="767"/>
      <c r="R940" s="768">
        <f ca="1">SUM(R934:R939)</f>
        <v>0</v>
      </c>
      <c r="S940" s="763"/>
      <c r="T940" s="768">
        <f ca="1">SUM(T934:T939)</f>
        <v>0</v>
      </c>
      <c r="U940" s="531"/>
      <c r="V940" s="531"/>
      <c r="W940" s="531"/>
      <c r="X940" s="531"/>
      <c r="Y940" s="531"/>
      <c r="Z940" s="531"/>
      <c r="AA940" s="531"/>
      <c r="AB940" s="531"/>
      <c r="AC940" s="531"/>
      <c r="AD940" s="531"/>
      <c r="AE940" s="531"/>
      <c r="AF940" s="531"/>
      <c r="AG940" s="531"/>
      <c r="AH940" s="531"/>
      <c r="AI940" s="531"/>
      <c r="AJ940" s="531"/>
      <c r="AK940" s="531"/>
      <c r="AL940" s="531"/>
      <c r="AM940" s="531"/>
      <c r="AN940" s="531"/>
      <c r="AO940" s="531"/>
      <c r="AR940" s="761" t="s">
        <v>145</v>
      </c>
      <c r="AS940" s="764"/>
    </row>
    <row r="941" spans="1:45" s="520" customFormat="1" ht="12" thickTop="1">
      <c r="A941" s="51"/>
      <c r="B941" s="41"/>
      <c r="C941" s="51"/>
      <c r="E941" s="42" t="s">
        <v>138</v>
      </c>
      <c r="F941" s="42" t="s">
        <v>139</v>
      </c>
      <c r="G941" s="51"/>
      <c r="H941" s="51"/>
      <c r="I941" s="51"/>
      <c r="J941" s="51"/>
      <c r="K941" s="51" t="s">
        <v>140</v>
      </c>
      <c r="L941" s="51"/>
      <c r="M941" s="51"/>
      <c r="N941" s="51"/>
      <c r="O941" s="52"/>
      <c r="P941" s="51"/>
      <c r="Q941" s="51"/>
      <c r="R941" s="51"/>
      <c r="S941" s="51"/>
      <c r="T941" s="41"/>
      <c r="AG941" s="521" t="s">
        <v>268</v>
      </c>
      <c r="AH941" s="521" t="s">
        <v>269</v>
      </c>
      <c r="AI941" s="521" t="s">
        <v>270</v>
      </c>
      <c r="AJ941" s="521" t="s">
        <v>271</v>
      </c>
      <c r="AK941" s="521" t="s">
        <v>272</v>
      </c>
      <c r="AM941" s="745" t="s">
        <v>281</v>
      </c>
      <c r="AN941" s="746" t="s">
        <v>282</v>
      </c>
      <c r="AO941" s="522" t="s">
        <v>278</v>
      </c>
      <c r="AR941" s="51"/>
      <c r="AS941" s="42" t="s">
        <v>139</v>
      </c>
    </row>
    <row r="942" spans="1:45" s="520" customFormat="1" ht="12" customHeight="1">
      <c r="A942" s="747">
        <v>150</v>
      </c>
      <c r="B942" s="523" t="s">
        <v>320</v>
      </c>
      <c r="C942" s="748"/>
      <c r="D942" s="749" t="s">
        <v>1212</v>
      </c>
      <c r="E942" s="1425">
        <f ca="1">IF(AND($A942=0,$A$1="DIF"),0, ROUND(ROUND(($R949*$S$10+($T949*$T$10))/$A942,2)*$C$10,2))</f>
        <v>267.02999999999997</v>
      </c>
      <c r="F942" s="1426">
        <f ca="1">ROUND($A942*$E942,2)</f>
        <v>40054.5</v>
      </c>
      <c r="G942" s="752" t="s">
        <v>142</v>
      </c>
      <c r="H942" s="753"/>
      <c r="I942" s="754"/>
      <c r="J942" s="753"/>
      <c r="K942" s="753" t="s">
        <v>17</v>
      </c>
      <c r="L942" s="755" t="s">
        <v>143</v>
      </c>
      <c r="M942" s="755"/>
      <c r="N942" s="755"/>
      <c r="O942" s="755"/>
      <c r="P942" s="755"/>
      <c r="Q942" s="1058"/>
      <c r="T942" s="1430" t="str">
        <f ca="1">IF(AND($R949=0,$T949=0),"0.00","mu: "&amp; ROUND(F942/$C$10/($R949+$T949*$D$9),2))</f>
        <v>mu: 1.18</v>
      </c>
      <c r="W942" s="524"/>
      <c r="AG942" s="1427">
        <f ca="1">IF($E942=0,0,ROUND($R949*$S$10*$C$10/$A942,2))</f>
        <v>246.93</v>
      </c>
      <c r="AH942" s="1427">
        <f ca="1">$AG942*$A942</f>
        <v>37039.5</v>
      </c>
      <c r="AI942" s="1428">
        <f ca="1">$E942-$AG942</f>
        <v>20.099999999999966</v>
      </c>
      <c r="AJ942" s="1428">
        <f ca="1">$A942*$AI942</f>
        <v>3014.999999999995</v>
      </c>
      <c r="AK942" s="1429">
        <f ca="1">ROUND(($AG942+$AI942)*$A942,2)</f>
        <v>40054.5</v>
      </c>
      <c r="AM942" s="527">
        <f ca="1">ROUND(R949,2)</f>
        <v>31389</v>
      </c>
      <c r="AN942" s="528">
        <f ca="1">ROUND(T949,2)</f>
        <v>93</v>
      </c>
      <c r="AO942" s="529">
        <f ca="1">ROUND(AM942+AN942,2)*A942</f>
        <v>4722300</v>
      </c>
      <c r="AR942" s="747">
        <v>140</v>
      </c>
      <c r="AS942" s="751">
        <v>39292.400000000001</v>
      </c>
    </row>
    <row r="943" spans="1:45" s="520" customFormat="1" ht="39.9" customHeight="1">
      <c r="A943" s="748"/>
      <c r="B943"/>
      <c r="C943" s="748"/>
      <c r="D943" s="1451" t="s">
        <v>3868</v>
      </c>
      <c r="E943" s="1452"/>
      <c r="F943" s="1452"/>
      <c r="G943" s="1452"/>
      <c r="H943" s="1452"/>
      <c r="I943" s="1452"/>
      <c r="J943" s="1452"/>
      <c r="K943" s="1452"/>
      <c r="L943" s="1452"/>
      <c r="M943" s="1452"/>
      <c r="N943" s="1452"/>
      <c r="O943" s="1452"/>
      <c r="P943" s="1452"/>
      <c r="Q943" s="1452"/>
      <c r="R943" s="1452"/>
      <c r="S943" s="1452"/>
      <c r="T943" s="1452"/>
      <c r="AR943" s="748"/>
    </row>
    <row r="944" spans="1:45" s="886" customFormat="1" ht="14.4" customHeight="1">
      <c r="A944" s="535"/>
      <c r="B944" s="910"/>
      <c r="C944" s="910" t="s">
        <v>2597</v>
      </c>
      <c r="D944" s="910" t="str">
        <f ca="1">CELL("Address",Elec_Rates!D$281)</f>
        <v>[E25_0062_Quintano_Foods_Elec_ELV_As_Awarded.xlsx]Elec_Rates!$D$281</v>
      </c>
      <c r="E944" s="911"/>
      <c r="F944" s="911"/>
      <c r="G944" s="912" t="s">
        <v>2598</v>
      </c>
      <c r="H944" s="912"/>
      <c r="I944" s="912"/>
      <c r="J944" s="912"/>
      <c r="K944" s="913"/>
      <c r="L944" s="911"/>
      <c r="M944" s="911"/>
      <c r="N944" s="911"/>
      <c r="O944" s="914"/>
      <c r="P944" s="911"/>
      <c r="Q944" s="915"/>
      <c r="R944" s="916"/>
      <c r="S944" s="915"/>
      <c r="T944" s="917"/>
      <c r="U944" s="918"/>
      <c r="AR944" s="535"/>
      <c r="AS944" s="911"/>
    </row>
    <row r="945" spans="1:45" s="886" customFormat="1" ht="11.4">
      <c r="A945" s="919">
        <v>150</v>
      </c>
      <c r="B945" s="920">
        <v>1</v>
      </c>
      <c r="C945" s="920">
        <f>$A945*$B945</f>
        <v>150</v>
      </c>
      <c r="D945" s="921" t="str">
        <f>Elec_Rates!$D$281</f>
        <v>027# 5 x 120mm2 F120 Fire Resistant Cable (BS7846) -  XLPE/SWA/LSZH</v>
      </c>
      <c r="E945" s="921"/>
      <c r="F945" s="921" t="s">
        <v>2599</v>
      </c>
      <c r="G945" s="922" t="s">
        <v>2601</v>
      </c>
      <c r="H945" s="922"/>
      <c r="I945" s="922"/>
      <c r="J945" s="922"/>
      <c r="K945" s="923"/>
      <c r="L945" s="918"/>
      <c r="M945" s="918"/>
      <c r="N945" s="918"/>
      <c r="O945" s="924"/>
      <c r="P945" s="921"/>
      <c r="Q945" s="925">
        <f ca="1">$B945*Elec_Rates!$R$281</f>
        <v>104.63</v>
      </c>
      <c r="R945" s="916">
        <f ca="1">$A945*Q945</f>
        <v>15694.5</v>
      </c>
      <c r="S945" s="925">
        <f ca="1">$B945*Elec_Rates!$T$281</f>
        <v>0.31</v>
      </c>
      <c r="T945" s="917">
        <f ca="1">$A945*S945</f>
        <v>46.5</v>
      </c>
      <c r="U945" s="926"/>
      <c r="AR945" s="919">
        <v>140</v>
      </c>
      <c r="AS945" s="921" t="s">
        <v>2599</v>
      </c>
    </row>
    <row r="946" spans="1:45" s="886" customFormat="1" ht="14.4" customHeight="1">
      <c r="A946" s="535"/>
      <c r="B946" s="910"/>
      <c r="C946" s="910" t="s">
        <v>2597</v>
      </c>
      <c r="D946" s="910" t="str">
        <f ca="1">CELL("Address",Elec_Rates!D$281)</f>
        <v>[E25_0062_Quintano_Foods_Elec_ELV_As_Awarded.xlsx]Elec_Rates!$D$281</v>
      </c>
      <c r="E946" s="911"/>
      <c r="F946" s="911"/>
      <c r="G946" s="912" t="s">
        <v>2598</v>
      </c>
      <c r="H946" s="912"/>
      <c r="I946" s="912"/>
      <c r="J946" s="912"/>
      <c r="K946" s="913"/>
      <c r="L946" s="911"/>
      <c r="M946" s="911"/>
      <c r="N946" s="911"/>
      <c r="O946" s="914"/>
      <c r="P946" s="911"/>
      <c r="Q946" s="915"/>
      <c r="R946" s="916"/>
      <c r="S946" s="915"/>
      <c r="T946" s="917"/>
      <c r="U946" s="918"/>
      <c r="AR946" s="535"/>
      <c r="AS946" s="911"/>
    </row>
    <row r="947" spans="1:45" s="886" customFormat="1" ht="11.4">
      <c r="A947" s="919">
        <v>150</v>
      </c>
      <c r="B947" s="920">
        <v>1</v>
      </c>
      <c r="C947" s="920">
        <f>$A947*$B947</f>
        <v>150</v>
      </c>
      <c r="D947" s="921" t="str">
        <f>Elec_Rates!$D$281</f>
        <v>027# 5 x 120mm2 F120 Fire Resistant Cable (BS7846) -  XLPE/SWA/LSZH</v>
      </c>
      <c r="E947" s="921"/>
      <c r="F947" s="921" t="s">
        <v>2599</v>
      </c>
      <c r="G947" s="922" t="s">
        <v>2601</v>
      </c>
      <c r="H947" s="922"/>
      <c r="I947" s="922"/>
      <c r="J947" s="922"/>
      <c r="K947" s="923"/>
      <c r="L947" s="918"/>
      <c r="M947" s="918"/>
      <c r="N947" s="918"/>
      <c r="O947" s="924"/>
      <c r="P947" s="921"/>
      <c r="Q947" s="925">
        <f ca="1">$B947*Elec_Rates!$R$281</f>
        <v>104.63</v>
      </c>
      <c r="R947" s="916">
        <f ca="1">$A947*Q947</f>
        <v>15694.5</v>
      </c>
      <c r="S947" s="925">
        <f ca="1">$B947*Elec_Rates!$T$281</f>
        <v>0.31</v>
      </c>
      <c r="T947" s="917">
        <f ca="1">$A947*S947</f>
        <v>46.5</v>
      </c>
      <c r="U947" s="926"/>
      <c r="AR947" s="919">
        <v>140</v>
      </c>
      <c r="AS947" s="921" t="s">
        <v>2599</v>
      </c>
    </row>
    <row r="948" spans="1:45" s="520" customFormat="1" ht="12">
      <c r="A948" s="758"/>
      <c r="B948" s="758"/>
      <c r="C948" s="758"/>
      <c r="D948" s="758"/>
      <c r="E948" s="758"/>
      <c r="F948" s="753"/>
      <c r="G948" s="758"/>
      <c r="H948" s="758"/>
      <c r="I948" s="519"/>
      <c r="J948" s="758"/>
      <c r="K948" s="758"/>
      <c r="L948" s="758"/>
      <c r="M948" s="758"/>
      <c r="N948" s="758"/>
      <c r="O948" s="758"/>
      <c r="P948" s="758"/>
      <c r="Q948" s="519"/>
      <c r="R948" s="759">
        <f>$A948*Q948</f>
        <v>0</v>
      </c>
      <c r="S948" s="519"/>
      <c r="T948" s="760">
        <f>$A948*S948*$T$1</f>
        <v>0</v>
      </c>
      <c r="AR948" s="758"/>
      <c r="AS948" s="753"/>
    </row>
    <row r="949" spans="1:45" s="520" customFormat="1" ht="12.6" thickBot="1">
      <c r="A949" s="761" t="s">
        <v>145</v>
      </c>
      <c r="B949" s="762">
        <f>(R948+T948)</f>
        <v>0</v>
      </c>
      <c r="C949" s="763"/>
      <c r="D949" s="763"/>
      <c r="E949" s="763"/>
      <c r="F949" s="764"/>
      <c r="G949" s="763" t="s">
        <v>146</v>
      </c>
      <c r="H949" s="763"/>
      <c r="I949" s="765"/>
      <c r="J949" s="763"/>
      <c r="K949" s="763" t="s">
        <v>17</v>
      </c>
      <c r="L949" s="766" t="s">
        <v>143</v>
      </c>
      <c r="M949" s="766"/>
      <c r="N949" s="766"/>
      <c r="O949" s="766"/>
      <c r="P949" s="766"/>
      <c r="Q949" s="767"/>
      <c r="R949" s="768">
        <f ca="1">SUM(R943:R948)</f>
        <v>31389</v>
      </c>
      <c r="S949" s="763"/>
      <c r="T949" s="768">
        <f ca="1">SUM(T943:T948)</f>
        <v>93</v>
      </c>
      <c r="U949" s="531"/>
      <c r="V949" s="531"/>
      <c r="W949" s="531"/>
      <c r="X949" s="531"/>
      <c r="Y949" s="531"/>
      <c r="Z949" s="531"/>
      <c r="AA949" s="531"/>
      <c r="AB949" s="531"/>
      <c r="AC949" s="531"/>
      <c r="AD949" s="531"/>
      <c r="AE949" s="531"/>
      <c r="AF949" s="531"/>
      <c r="AG949" s="531"/>
      <c r="AH949" s="531"/>
      <c r="AI949" s="531"/>
      <c r="AJ949" s="531"/>
      <c r="AK949" s="531"/>
      <c r="AL949" s="531"/>
      <c r="AM949" s="531"/>
      <c r="AN949" s="531"/>
      <c r="AO949" s="531"/>
      <c r="AR949" s="761" t="s">
        <v>145</v>
      </c>
      <c r="AS949" s="764"/>
    </row>
    <row r="950" spans="1:45" s="520" customFormat="1" ht="12" thickTop="1">
      <c r="A950" s="51"/>
      <c r="B950" s="41"/>
      <c r="C950" s="51"/>
      <c r="E950" s="42" t="s">
        <v>138</v>
      </c>
      <c r="F950" s="42" t="s">
        <v>139</v>
      </c>
      <c r="G950" s="51"/>
      <c r="H950" s="51"/>
      <c r="I950" s="51"/>
      <c r="J950" s="51"/>
      <c r="K950" s="51" t="s">
        <v>140</v>
      </c>
      <c r="L950" s="51"/>
      <c r="M950" s="51"/>
      <c r="N950" s="51"/>
      <c r="O950" s="52"/>
      <c r="P950" s="51"/>
      <c r="Q950" s="51"/>
      <c r="R950" s="51"/>
      <c r="S950" s="51"/>
      <c r="T950" s="41"/>
      <c r="AG950" s="521" t="s">
        <v>268</v>
      </c>
      <c r="AH950" s="521" t="s">
        <v>269</v>
      </c>
      <c r="AI950" s="521" t="s">
        <v>270</v>
      </c>
      <c r="AJ950" s="521" t="s">
        <v>271</v>
      </c>
      <c r="AK950" s="521" t="s">
        <v>272</v>
      </c>
      <c r="AM950" s="745" t="s">
        <v>281</v>
      </c>
      <c r="AN950" s="746" t="s">
        <v>282</v>
      </c>
      <c r="AO950" s="522" t="s">
        <v>278</v>
      </c>
      <c r="AR950" s="51"/>
      <c r="AS950" s="42" t="s">
        <v>139</v>
      </c>
    </row>
    <row r="951" spans="1:45" s="520" customFormat="1" ht="12" customHeight="1">
      <c r="A951" s="747">
        <v>130</v>
      </c>
      <c r="B951" s="523" t="s">
        <v>320</v>
      </c>
      <c r="C951" s="748"/>
      <c r="D951" s="749" t="s">
        <v>1213</v>
      </c>
      <c r="E951" s="1425">
        <f ca="1">IF(AND($A951=0,$A$1="DIF"),0, ROUND(ROUND(($R956*$S$10+($T956*$T$10))/$A951,2)*$C$10,2))</f>
        <v>107.91</v>
      </c>
      <c r="F951" s="1426">
        <f ca="1">ROUND($A951*$E951,2)</f>
        <v>14028.3</v>
      </c>
      <c r="G951" s="752" t="s">
        <v>142</v>
      </c>
      <c r="H951" s="753"/>
      <c r="I951" s="754"/>
      <c r="J951" s="753"/>
      <c r="K951" s="753" t="s">
        <v>17</v>
      </c>
      <c r="L951" s="755" t="s">
        <v>143</v>
      </c>
      <c r="M951" s="755"/>
      <c r="N951" s="755"/>
      <c r="O951" s="755"/>
      <c r="P951" s="755"/>
      <c r="Q951" s="51"/>
      <c r="T951" s="1430" t="str">
        <f ca="1">IF(AND($R956=0,$T956=0),"0.00","mu: "&amp; ROUND(F951/$C$10/($R956+$T956*$D$9),2))</f>
        <v>mu: 1.18</v>
      </c>
      <c r="W951" s="524"/>
      <c r="AG951" s="1427">
        <f ca="1">IF($E951=0,0,ROUND($R956*$S$10*$C$10/$A951,2))</f>
        <v>99.16</v>
      </c>
      <c r="AH951" s="1427">
        <f ca="1">$AG951*$A951</f>
        <v>12890.8</v>
      </c>
      <c r="AI951" s="1428">
        <f ca="1">$E951-$AG951</f>
        <v>8.75</v>
      </c>
      <c r="AJ951" s="1428">
        <f ca="1">$A951*$AI951</f>
        <v>1137.5</v>
      </c>
      <c r="AK951" s="1429">
        <f ca="1">ROUND(($AG951+$AI951)*$A951,2)</f>
        <v>14028.3</v>
      </c>
      <c r="AM951" s="527">
        <f ca="1">ROUND(R956,2)</f>
        <v>10923.9</v>
      </c>
      <c r="AN951" s="528">
        <f ca="1">ROUND(T956,2)</f>
        <v>35.1</v>
      </c>
      <c r="AO951" s="529">
        <f ca="1">ROUND(AM951+AN951,2)*A951</f>
        <v>1424670</v>
      </c>
      <c r="AR951" s="747">
        <v>130</v>
      </c>
      <c r="AS951" s="751">
        <v>14769.3</v>
      </c>
    </row>
    <row r="952" spans="1:45" s="520" customFormat="1" ht="39.9" customHeight="1">
      <c r="A952" s="748"/>
      <c r="B952"/>
      <c r="C952" s="748"/>
      <c r="D952" s="1451" t="s">
        <v>1161</v>
      </c>
      <c r="E952" s="1452"/>
      <c r="F952" s="1452"/>
      <c r="G952" s="1452"/>
      <c r="H952" s="1452"/>
      <c r="I952" s="1452"/>
      <c r="J952" s="1452"/>
      <c r="K952" s="1452"/>
      <c r="L952" s="1452"/>
      <c r="M952" s="1452"/>
      <c r="N952" s="1452"/>
      <c r="O952" s="1452"/>
      <c r="P952" s="1452"/>
      <c r="Q952" s="1452"/>
      <c r="R952" s="1452"/>
      <c r="S952" s="1452"/>
      <c r="T952" s="1452"/>
      <c r="AR952" s="748"/>
    </row>
    <row r="953" spans="1:45" s="886" customFormat="1" ht="13.2">
      <c r="A953"/>
      <c r="B953" s="910"/>
      <c r="C953" s="910" t="s">
        <v>2597</v>
      </c>
      <c r="D953" s="910" t="str">
        <f ca="1">CELL("Address",Elec_Rates!D$303)</f>
        <v>[E25_0062_Quintano_Foods_Elec_ELV_As_Awarded.xlsx]Elec_Rates!$D$303</v>
      </c>
      <c r="E953" s="911"/>
      <c r="F953" s="911"/>
      <c r="G953" s="912" t="s">
        <v>2598</v>
      </c>
      <c r="H953" s="912"/>
      <c r="I953" s="912"/>
      <c r="J953" s="912"/>
      <c r="K953" s="913"/>
      <c r="L953" s="911"/>
      <c r="M953" s="911"/>
      <c r="N953" s="911"/>
      <c r="O953" s="914"/>
      <c r="P953" s="911"/>
      <c r="Q953" s="915"/>
      <c r="R953" s="916"/>
      <c r="S953" s="915"/>
      <c r="T953" s="917"/>
      <c r="U953" s="918"/>
      <c r="AR953"/>
      <c r="AS953" s="911"/>
    </row>
    <row r="954" spans="1:45" s="886" customFormat="1" ht="11.4">
      <c r="A954" s="919">
        <v>130</v>
      </c>
      <c r="B954" s="920">
        <v>1</v>
      </c>
      <c r="C954" s="920">
        <f>$A954*$B954</f>
        <v>130</v>
      </c>
      <c r="D954" s="921" t="str">
        <f>Elec_Rates!$D$303</f>
        <v>029# 5 x 95mm2 F120 Fire Resistant Cable (BS7846) -  XLPE/SWA/LSZH</v>
      </c>
      <c r="E954" s="921"/>
      <c r="F954" s="921" t="s">
        <v>2599</v>
      </c>
      <c r="G954" s="922" t="s">
        <v>2601</v>
      </c>
      <c r="H954" s="922"/>
      <c r="I954" s="922"/>
      <c r="J954" s="922"/>
      <c r="K954" s="923"/>
      <c r="L954" s="918"/>
      <c r="M954" s="918"/>
      <c r="N954" s="918"/>
      <c r="O954" s="924"/>
      <c r="P954" s="921"/>
      <c r="Q954" s="925">
        <f ca="1">$B954*Elec_Rates!$R$303</f>
        <v>84.03</v>
      </c>
      <c r="R954" s="916">
        <f ca="1">$A954*Q954</f>
        <v>10923.9</v>
      </c>
      <c r="S954" s="925">
        <f ca="1">$B954*Elec_Rates!$T$303</f>
        <v>0.27</v>
      </c>
      <c r="T954" s="917">
        <f ca="1">$A954*S954</f>
        <v>35.1</v>
      </c>
      <c r="U954" s="926"/>
      <c r="AR954" s="919">
        <v>130</v>
      </c>
      <c r="AS954" s="921" t="s">
        <v>2599</v>
      </c>
    </row>
    <row r="955" spans="1:45" s="520" customFormat="1" ht="12">
      <c r="A955" s="758"/>
      <c r="B955" s="758"/>
      <c r="C955" s="758"/>
      <c r="D955" s="758"/>
      <c r="E955" s="758"/>
      <c r="F955" s="753"/>
      <c r="G955" s="758"/>
      <c r="H955" s="758"/>
      <c r="I955" s="519"/>
      <c r="J955" s="758"/>
      <c r="K955" s="758"/>
      <c r="L955" s="758"/>
      <c r="M955" s="758"/>
      <c r="N955" s="758"/>
      <c r="O955" s="758"/>
      <c r="P955" s="758"/>
      <c r="Q955" s="519"/>
      <c r="R955" s="759">
        <f>$A955*Q955</f>
        <v>0</v>
      </c>
      <c r="S955" s="519"/>
      <c r="T955" s="760">
        <f>$A955*S955*$T$1</f>
        <v>0</v>
      </c>
      <c r="AR955" s="758"/>
      <c r="AS955" s="753"/>
    </row>
    <row r="956" spans="1:45" s="520" customFormat="1" ht="12.6" thickBot="1">
      <c r="A956" s="761" t="s">
        <v>145</v>
      </c>
      <c r="B956" s="762">
        <f>(R955+T955)</f>
        <v>0</v>
      </c>
      <c r="C956" s="763"/>
      <c r="D956" s="763"/>
      <c r="E956" s="763"/>
      <c r="F956" s="764"/>
      <c r="G956" s="763" t="s">
        <v>146</v>
      </c>
      <c r="H956" s="763"/>
      <c r="I956" s="765"/>
      <c r="J956" s="763"/>
      <c r="K956" s="763" t="s">
        <v>17</v>
      </c>
      <c r="L956" s="766" t="s">
        <v>143</v>
      </c>
      <c r="M956" s="766"/>
      <c r="N956" s="766"/>
      <c r="O956" s="766"/>
      <c r="P956" s="766"/>
      <c r="Q956" s="767"/>
      <c r="R956" s="768">
        <f ca="1">SUM(R952:R955)</f>
        <v>10923.9</v>
      </c>
      <c r="S956" s="763"/>
      <c r="T956" s="768">
        <f ca="1">SUM(T952:T955)</f>
        <v>35.1</v>
      </c>
      <c r="U956" s="531"/>
      <c r="V956" s="531"/>
      <c r="W956" s="531"/>
      <c r="X956" s="531"/>
      <c r="Y956" s="531"/>
      <c r="Z956" s="531"/>
      <c r="AA956" s="531"/>
      <c r="AB956" s="531"/>
      <c r="AC956" s="531"/>
      <c r="AD956" s="531"/>
      <c r="AE956" s="531"/>
      <c r="AF956" s="531"/>
      <c r="AG956" s="531"/>
      <c r="AH956" s="531"/>
      <c r="AI956" s="531"/>
      <c r="AJ956" s="531"/>
      <c r="AK956" s="531"/>
      <c r="AL956" s="531"/>
      <c r="AM956" s="531"/>
      <c r="AN956" s="531"/>
      <c r="AO956" s="531"/>
      <c r="AR956" s="761" t="s">
        <v>145</v>
      </c>
      <c r="AS956" s="764"/>
    </row>
    <row r="957" spans="1:45" s="520" customFormat="1" ht="12" thickTop="1">
      <c r="A957" s="51"/>
      <c r="B957" s="41"/>
      <c r="C957" s="51"/>
      <c r="E957" s="42" t="s">
        <v>138</v>
      </c>
      <c r="F957" s="42" t="s">
        <v>139</v>
      </c>
      <c r="G957" s="51"/>
      <c r="H957" s="51"/>
      <c r="I957" s="51"/>
      <c r="J957" s="51"/>
      <c r="K957" s="51" t="s">
        <v>140</v>
      </c>
      <c r="L957" s="51"/>
      <c r="M957" s="51"/>
      <c r="N957" s="51"/>
      <c r="O957" s="52"/>
      <c r="P957" s="51"/>
      <c r="Q957" s="51"/>
      <c r="R957" s="51"/>
      <c r="S957" s="51"/>
      <c r="T957" s="41"/>
      <c r="AG957" s="521" t="s">
        <v>268</v>
      </c>
      <c r="AH957" s="521" t="s">
        <v>269</v>
      </c>
      <c r="AI957" s="521" t="s">
        <v>270</v>
      </c>
      <c r="AJ957" s="521" t="s">
        <v>271</v>
      </c>
      <c r="AK957" s="521" t="s">
        <v>272</v>
      </c>
      <c r="AM957" s="745" t="s">
        <v>281</v>
      </c>
      <c r="AN957" s="746" t="s">
        <v>282</v>
      </c>
      <c r="AO957" s="522" t="s">
        <v>278</v>
      </c>
      <c r="AR957" s="51"/>
      <c r="AS957" s="42" t="s">
        <v>139</v>
      </c>
    </row>
    <row r="958" spans="1:45" s="520" customFormat="1" ht="12" customHeight="1">
      <c r="A958" s="747">
        <v>20</v>
      </c>
      <c r="B958" s="523" t="s">
        <v>320</v>
      </c>
      <c r="C958" s="748"/>
      <c r="D958" s="749" t="s">
        <v>1214</v>
      </c>
      <c r="E958" s="750">
        <f ca="1">IF(AND($A958=0,$A$1="DIF"),0, ROUND(ROUND(($R963*$S$2+($T963*$T$2))/A958,2)*$C$2,2))</f>
        <v>55.61</v>
      </c>
      <c r="F958" s="751">
        <f ca="1">ROUND($A958*$E958,2)</f>
        <v>1112.2</v>
      </c>
      <c r="G958" s="752" t="s">
        <v>142</v>
      </c>
      <c r="H958" s="753"/>
      <c r="I958" s="754"/>
      <c r="J958" s="753"/>
      <c r="K958" s="753" t="s">
        <v>3</v>
      </c>
      <c r="L958" s="755" t="s">
        <v>143</v>
      </c>
      <c r="M958" s="755"/>
      <c r="N958" s="755"/>
      <c r="O958" s="755"/>
      <c r="P958" s="755"/>
      <c r="Q958" s="51"/>
      <c r="T958" s="756" t="str">
        <f ca="1">IF(AND($R963=0,$T963=0),"0.00","mu :" &amp; ROUND($F958/$C$2/($R963+$T963*$D$9),2))</f>
        <v>mu :1.23</v>
      </c>
      <c r="W958" s="524"/>
      <c r="AG958" s="481">
        <f ca="1">IF($E958=0,0,ROUND($R963*$S$2*$C$2/$A958,2))</f>
        <v>47.49</v>
      </c>
      <c r="AH958" s="481">
        <f ca="1">$AG958*$A958</f>
        <v>949.80000000000007</v>
      </c>
      <c r="AI958" s="525">
        <f ca="1">$E958-$AG958</f>
        <v>8.1199999999999974</v>
      </c>
      <c r="AJ958" s="525">
        <f ca="1">$A958*$AI958</f>
        <v>162.39999999999995</v>
      </c>
      <c r="AK958" s="526">
        <f ca="1">ROUND(($AG958+$AI958)*$A958,2)</f>
        <v>1112.2</v>
      </c>
      <c r="AM958" s="527">
        <f ca="1">ROUND(R963,2)</f>
        <v>771.4</v>
      </c>
      <c r="AN958" s="528">
        <f ca="1">ROUND(T963,2)</f>
        <v>4.8</v>
      </c>
      <c r="AO958" s="529">
        <f ca="1">ROUND(AM958+AN958,2)*A958</f>
        <v>15524</v>
      </c>
      <c r="AR958" s="747">
        <v>20</v>
      </c>
      <c r="AS958" s="751">
        <v>1125.5999999999999</v>
      </c>
    </row>
    <row r="959" spans="1:45" s="520" customFormat="1" ht="39.9" customHeight="1">
      <c r="A959" s="748"/>
      <c r="B959"/>
      <c r="C959" s="748"/>
      <c r="D959" s="1451" t="s">
        <v>1215</v>
      </c>
      <c r="E959" s="1452"/>
      <c r="F959" s="1452"/>
      <c r="G959" s="1452"/>
      <c r="H959" s="1452"/>
      <c r="I959" s="1452"/>
      <c r="J959" s="1452"/>
      <c r="K959" s="1452"/>
      <c r="L959" s="1452"/>
      <c r="M959" s="1452"/>
      <c r="N959" s="1452"/>
      <c r="O959" s="1452"/>
      <c r="P959" s="1452"/>
      <c r="Q959" s="1452"/>
      <c r="R959" s="1452"/>
      <c r="S959" s="1452"/>
      <c r="T959" s="1452"/>
      <c r="AR959" s="748"/>
    </row>
    <row r="960" spans="1:45" s="886" customFormat="1" ht="13.2">
      <c r="A960"/>
      <c r="B960" s="910"/>
      <c r="C960" s="910" t="s">
        <v>2597</v>
      </c>
      <c r="D960" s="910" t="str">
        <f ca="1">CELL("Address",Elec_Rates!D$345)</f>
        <v>[E25_0062_Quintano_Foods_Elec_ELV_As_Awarded.xlsx]Elec_Rates!$D$345</v>
      </c>
      <c r="E960" s="911"/>
      <c r="F960" s="911"/>
      <c r="G960" s="912" t="s">
        <v>2598</v>
      </c>
      <c r="H960" s="912"/>
      <c r="I960" s="912"/>
      <c r="J960" s="912"/>
      <c r="K960" s="913"/>
      <c r="L960" s="911"/>
      <c r="M960" s="911"/>
      <c r="N960" s="911"/>
      <c r="O960" s="914"/>
      <c r="P960" s="911"/>
      <c r="Q960" s="915"/>
      <c r="R960" s="916"/>
      <c r="S960" s="915"/>
      <c r="T960" s="917"/>
      <c r="U960" s="918"/>
      <c r="AR960"/>
      <c r="AS960" s="911"/>
    </row>
    <row r="961" spans="1:45" s="886" customFormat="1" ht="11.4">
      <c r="A961" s="919">
        <v>20</v>
      </c>
      <c r="B961" s="920">
        <v>1</v>
      </c>
      <c r="C961" s="920">
        <f>$A961*$B961</f>
        <v>20</v>
      </c>
      <c r="D961" s="921" t="str">
        <f>Elec_Rates!$D$345</f>
        <v>033# 5 x 35mm2 F120 Fire Resistant Cable (BS7846) -  XLPE/SWA/LSZH</v>
      </c>
      <c r="E961" s="921"/>
      <c r="F961" s="921" t="s">
        <v>2599</v>
      </c>
      <c r="G961" s="922" t="s">
        <v>2601</v>
      </c>
      <c r="H961" s="922"/>
      <c r="I961" s="922"/>
      <c r="J961" s="922"/>
      <c r="K961" s="923"/>
      <c r="L961" s="918"/>
      <c r="M961" s="918"/>
      <c r="N961" s="918"/>
      <c r="O961" s="924"/>
      <c r="P961" s="921"/>
      <c r="Q961" s="925">
        <f ca="1">$B961*Elec_Rates!$R$345</f>
        <v>38.57</v>
      </c>
      <c r="R961" s="916">
        <f ca="1">$A961*Q961</f>
        <v>771.4</v>
      </c>
      <c r="S961" s="925">
        <f ca="1">$B961*Elec_Rates!$T$345</f>
        <v>0.24</v>
      </c>
      <c r="T961" s="917">
        <f ca="1">$A961*S961</f>
        <v>4.8</v>
      </c>
      <c r="U961" s="926"/>
      <c r="AR961" s="919">
        <v>20</v>
      </c>
      <c r="AS961" s="921" t="s">
        <v>2599</v>
      </c>
    </row>
    <row r="962" spans="1:45" s="520" customFormat="1" ht="12">
      <c r="A962" s="758"/>
      <c r="B962" s="758"/>
      <c r="C962" s="758"/>
      <c r="D962" s="758"/>
      <c r="E962" s="758"/>
      <c r="F962" s="753"/>
      <c r="G962" s="758"/>
      <c r="H962" s="758"/>
      <c r="I962" s="519"/>
      <c r="J962" s="758"/>
      <c r="K962" s="758"/>
      <c r="L962" s="758"/>
      <c r="M962" s="758"/>
      <c r="N962" s="758"/>
      <c r="O962" s="758"/>
      <c r="P962" s="758"/>
      <c r="Q962" s="519"/>
      <c r="R962" s="759">
        <f>$A962*Q962</f>
        <v>0</v>
      </c>
      <c r="S962" s="519"/>
      <c r="T962" s="760">
        <f>$A962*S962*$T$1</f>
        <v>0</v>
      </c>
      <c r="AR962" s="758"/>
      <c r="AS962" s="753"/>
    </row>
    <row r="963" spans="1:45" s="520" customFormat="1" ht="12.6" thickBot="1">
      <c r="A963" s="761" t="s">
        <v>145</v>
      </c>
      <c r="B963" s="762">
        <f>(R962+T962)</f>
        <v>0</v>
      </c>
      <c r="C963" s="763"/>
      <c r="D963" s="763"/>
      <c r="E963" s="763"/>
      <c r="F963" s="764"/>
      <c r="G963" s="763" t="s">
        <v>146</v>
      </c>
      <c r="H963" s="763"/>
      <c r="I963" s="765"/>
      <c r="J963" s="763"/>
      <c r="K963" s="763" t="s">
        <v>3</v>
      </c>
      <c r="L963" s="766" t="s">
        <v>143</v>
      </c>
      <c r="M963" s="766"/>
      <c r="N963" s="766"/>
      <c r="O963" s="766"/>
      <c r="P963" s="766"/>
      <c r="Q963" s="767"/>
      <c r="R963" s="768">
        <f ca="1">SUM(R959:R962)</f>
        <v>771.4</v>
      </c>
      <c r="S963" s="763"/>
      <c r="T963" s="768">
        <f ca="1">SUM(T959:T962)</f>
        <v>4.8</v>
      </c>
      <c r="U963" s="531"/>
      <c r="V963" s="531"/>
      <c r="W963" s="531"/>
      <c r="X963" s="531"/>
      <c r="Y963" s="531"/>
      <c r="Z963" s="531"/>
      <c r="AA963" s="531"/>
      <c r="AB963" s="531"/>
      <c r="AC963" s="531"/>
      <c r="AD963" s="531"/>
      <c r="AE963" s="531"/>
      <c r="AF963" s="531"/>
      <c r="AG963" s="531"/>
      <c r="AH963" s="531"/>
      <c r="AI963" s="531"/>
      <c r="AJ963" s="531"/>
      <c r="AK963" s="531"/>
      <c r="AL963" s="531"/>
      <c r="AM963" s="531"/>
      <c r="AN963" s="531"/>
      <c r="AO963" s="531"/>
      <c r="AR963" s="761" t="s">
        <v>145</v>
      </c>
      <c r="AS963" s="764"/>
    </row>
    <row r="964" spans="1:45" s="520" customFormat="1" ht="12" thickTop="1">
      <c r="A964" s="51"/>
      <c r="B964" s="41"/>
      <c r="C964" s="51"/>
      <c r="E964" s="42" t="s">
        <v>138</v>
      </c>
      <c r="F964" s="42" t="s">
        <v>139</v>
      </c>
      <c r="G964" s="51"/>
      <c r="H964" s="51"/>
      <c r="I964" s="51"/>
      <c r="J964" s="51"/>
      <c r="K964" s="51" t="s">
        <v>140</v>
      </c>
      <c r="L964" s="51"/>
      <c r="M964" s="51"/>
      <c r="N964" s="51"/>
      <c r="O964" s="52"/>
      <c r="P964" s="51"/>
      <c r="Q964" s="51"/>
      <c r="R964" s="51"/>
      <c r="S964" s="51"/>
      <c r="T964" s="41"/>
      <c r="AG964" s="521" t="s">
        <v>268</v>
      </c>
      <c r="AH964" s="521" t="s">
        <v>269</v>
      </c>
      <c r="AI964" s="521" t="s">
        <v>270</v>
      </c>
      <c r="AJ964" s="521" t="s">
        <v>271</v>
      </c>
      <c r="AK964" s="521" t="s">
        <v>272</v>
      </c>
      <c r="AM964" s="745" t="s">
        <v>281</v>
      </c>
      <c r="AN964" s="746" t="s">
        <v>282</v>
      </c>
      <c r="AO964" s="522" t="s">
        <v>278</v>
      </c>
      <c r="AR964" s="51"/>
      <c r="AS964" s="42" t="s">
        <v>139</v>
      </c>
    </row>
    <row r="965" spans="1:45" s="520" customFormat="1" ht="12" customHeight="1">
      <c r="A965" s="747">
        <v>115</v>
      </c>
      <c r="B965" s="523" t="s">
        <v>320</v>
      </c>
      <c r="C965" s="748"/>
      <c r="D965" s="749" t="s">
        <v>1216</v>
      </c>
      <c r="E965" s="1425">
        <f ca="1">IF(AND($A965=0,$A$1="DIF"),0, ROUND(ROUND(($R970*$S$10+($T970*$T$10))/$A965,2)*$C$10,2))</f>
        <v>75.069999999999993</v>
      </c>
      <c r="F965" s="1426">
        <f ca="1">ROUND($A965*$E965,2)</f>
        <v>8633.0499999999993</v>
      </c>
      <c r="G965" s="752" t="s">
        <v>142</v>
      </c>
      <c r="H965" s="753"/>
      <c r="I965" s="754"/>
      <c r="J965" s="753"/>
      <c r="K965" s="753" t="s">
        <v>17</v>
      </c>
      <c r="L965" s="755" t="s">
        <v>143</v>
      </c>
      <c r="M965" s="755"/>
      <c r="N965" s="755"/>
      <c r="O965" s="755"/>
      <c r="P965" s="755"/>
      <c r="Q965" s="51"/>
      <c r="T965" s="1430" t="str">
        <f ca="1">IF(AND($R970=0,$T970=0),"0.00","mu: "&amp; ROUND(F965/$C$10/($R970+$T970*$D$9),2))</f>
        <v>mu: 1.18</v>
      </c>
      <c r="W965" s="524"/>
      <c r="AG965" s="1427">
        <f ca="1">IF($E965=0,0,ROUND($R970*$S$10*$C$10/$A965,2))</f>
        <v>70.209999999999994</v>
      </c>
      <c r="AH965" s="1427">
        <f ca="1">$AG965*$A965</f>
        <v>8074.15</v>
      </c>
      <c r="AI965" s="1428">
        <f ca="1">$E965-$AG965</f>
        <v>4.8599999999999994</v>
      </c>
      <c r="AJ965" s="1428">
        <f ca="1">$A965*$AI965</f>
        <v>558.9</v>
      </c>
      <c r="AK965" s="1429">
        <f ca="1">ROUND(($AG965+$AI965)*$A965,2)</f>
        <v>8633.0499999999993</v>
      </c>
      <c r="AM965" s="527">
        <f ca="1">ROUND(R970,2)</f>
        <v>6842.5</v>
      </c>
      <c r="AN965" s="528">
        <f ca="1">ROUND(T970,2)</f>
        <v>17.25</v>
      </c>
      <c r="AO965" s="529">
        <f ca="1">ROUND(AM965+AN965,2)*A965</f>
        <v>788871.25</v>
      </c>
      <c r="AR965" s="747">
        <v>115</v>
      </c>
      <c r="AS965" s="751">
        <v>9048.2000000000007</v>
      </c>
    </row>
    <row r="966" spans="1:45" s="520" customFormat="1" ht="39.9" customHeight="1">
      <c r="A966" s="748"/>
      <c r="B966"/>
      <c r="C966" s="748"/>
      <c r="D966" s="1451" t="s">
        <v>1217</v>
      </c>
      <c r="E966" s="1452"/>
      <c r="F966" s="1452"/>
      <c r="G966" s="1452"/>
      <c r="H966" s="1452"/>
      <c r="I966" s="1452"/>
      <c r="J966" s="1452"/>
      <c r="K966" s="1452"/>
      <c r="L966" s="1452"/>
      <c r="M966" s="1452"/>
      <c r="N966" s="1452"/>
      <c r="O966" s="1452"/>
      <c r="P966" s="1452"/>
      <c r="Q966" s="1452"/>
      <c r="R966" s="1452"/>
      <c r="S966" s="1452"/>
      <c r="T966" s="1452"/>
      <c r="AR966" s="748"/>
    </row>
    <row r="967" spans="1:45" s="886" customFormat="1" ht="13.2">
      <c r="A967"/>
      <c r="B967" s="910"/>
      <c r="C967" s="910" t="s">
        <v>2597</v>
      </c>
      <c r="D967" s="910" t="str">
        <f ca="1">CELL("Address",Elec_Rates!D$335)</f>
        <v>[E25_0062_Quintano_Foods_Elec_ELV_As_Awarded.xlsx]Elec_Rates!$D$335</v>
      </c>
      <c r="E967" s="911"/>
      <c r="F967" s="911"/>
      <c r="G967" s="912" t="s">
        <v>2598</v>
      </c>
      <c r="H967" s="912"/>
      <c r="I967" s="912"/>
      <c r="J967" s="912"/>
      <c r="K967" s="913"/>
      <c r="L967" s="911"/>
      <c r="M967" s="911"/>
      <c r="N967" s="911"/>
      <c r="O967" s="914"/>
      <c r="P967" s="911"/>
      <c r="Q967" s="915"/>
      <c r="R967" s="916"/>
      <c r="S967" s="915"/>
      <c r="T967" s="917"/>
      <c r="U967" s="918"/>
      <c r="AR967"/>
      <c r="AS967" s="911"/>
    </row>
    <row r="968" spans="1:45" s="886" customFormat="1" ht="11.4">
      <c r="A968" s="919">
        <v>115</v>
      </c>
      <c r="B968" s="920">
        <v>1</v>
      </c>
      <c r="C968" s="920">
        <f>$A968*$B968</f>
        <v>115</v>
      </c>
      <c r="D968" s="921" t="str">
        <f>Elec_Rates!$D$335</f>
        <v>032# 5 x 50mm2  F120 Fire Resistant Cable (BS7846) - XLPE/SWA/LSZH</v>
      </c>
      <c r="E968" s="921"/>
      <c r="F968" s="921" t="s">
        <v>2599</v>
      </c>
      <c r="G968" s="922" t="s">
        <v>2601</v>
      </c>
      <c r="H968" s="922"/>
      <c r="I968" s="922"/>
      <c r="J968" s="922"/>
      <c r="K968" s="923"/>
      <c r="L968" s="918"/>
      <c r="M968" s="918"/>
      <c r="N968" s="918"/>
      <c r="O968" s="924"/>
      <c r="P968" s="921"/>
      <c r="Q968" s="925">
        <f ca="1">$B968*Elec_Rates!$R$335</f>
        <v>59.5</v>
      </c>
      <c r="R968" s="916">
        <f ca="1">$A968*Q968</f>
        <v>6842.5</v>
      </c>
      <c r="S968" s="925">
        <f ca="1">$B968*Elec_Rates!$T$335</f>
        <v>0.15</v>
      </c>
      <c r="T968" s="917">
        <f ca="1">$A968*S968</f>
        <v>17.25</v>
      </c>
      <c r="U968" s="926"/>
      <c r="AR968" s="919">
        <v>115</v>
      </c>
      <c r="AS968" s="921" t="s">
        <v>2599</v>
      </c>
    </row>
    <row r="969" spans="1:45" s="520" customFormat="1" ht="12">
      <c r="A969" s="758"/>
      <c r="B969" s="758"/>
      <c r="C969" s="758"/>
      <c r="D969" s="758"/>
      <c r="E969" s="758"/>
      <c r="F969" s="753"/>
      <c r="G969" s="758"/>
      <c r="H969" s="758"/>
      <c r="I969" s="519"/>
      <c r="J969" s="758"/>
      <c r="K969" s="758"/>
      <c r="L969" s="758"/>
      <c r="M969" s="758"/>
      <c r="N969" s="758"/>
      <c r="O969" s="758"/>
      <c r="P969" s="758"/>
      <c r="Q969" s="519"/>
      <c r="R969" s="759">
        <f>$A969*Q969</f>
        <v>0</v>
      </c>
      <c r="S969" s="519"/>
      <c r="T969" s="760">
        <f>$A969*S969*$T$1</f>
        <v>0</v>
      </c>
      <c r="AR969" s="758"/>
      <c r="AS969" s="753"/>
    </row>
    <row r="970" spans="1:45" s="520" customFormat="1" ht="12.6" thickBot="1">
      <c r="A970" s="761" t="s">
        <v>145</v>
      </c>
      <c r="B970" s="762">
        <f>(R969+T969)</f>
        <v>0</v>
      </c>
      <c r="C970" s="763"/>
      <c r="D970" s="763"/>
      <c r="E970" s="763"/>
      <c r="F970" s="764"/>
      <c r="G970" s="763" t="s">
        <v>146</v>
      </c>
      <c r="H970" s="763"/>
      <c r="I970" s="765"/>
      <c r="J970" s="763"/>
      <c r="K970" s="763" t="s">
        <v>17</v>
      </c>
      <c r="L970" s="766" t="s">
        <v>143</v>
      </c>
      <c r="M970" s="766"/>
      <c r="N970" s="766"/>
      <c r="O970" s="766"/>
      <c r="P970" s="766"/>
      <c r="Q970" s="767"/>
      <c r="R970" s="768">
        <f ca="1">SUM(R966:R969)</f>
        <v>6842.5</v>
      </c>
      <c r="S970" s="763"/>
      <c r="T970" s="768">
        <f ca="1">SUM(T966:T969)</f>
        <v>17.25</v>
      </c>
      <c r="U970" s="531"/>
      <c r="V970" s="531"/>
      <c r="W970" s="531"/>
      <c r="X970" s="531"/>
      <c r="Y970" s="531"/>
      <c r="Z970" s="531"/>
      <c r="AA970" s="531"/>
      <c r="AB970" s="531"/>
      <c r="AC970" s="531"/>
      <c r="AD970" s="531"/>
      <c r="AE970" s="531"/>
      <c r="AF970" s="531"/>
      <c r="AG970" s="531"/>
      <c r="AH970" s="531"/>
      <c r="AI970" s="531"/>
      <c r="AJ970" s="531"/>
      <c r="AK970" s="531"/>
      <c r="AL970" s="531"/>
      <c r="AM970" s="531"/>
      <c r="AN970" s="531"/>
      <c r="AO970" s="531"/>
      <c r="AR970" s="761" t="s">
        <v>145</v>
      </c>
      <c r="AS970" s="764"/>
    </row>
    <row r="971" spans="1:45" s="520" customFormat="1" ht="12" thickTop="1">
      <c r="A971" s="51"/>
      <c r="B971" s="41"/>
      <c r="C971" s="51"/>
      <c r="E971" s="42" t="s">
        <v>138</v>
      </c>
      <c r="F971" s="42" t="s">
        <v>139</v>
      </c>
      <c r="G971" s="51"/>
      <c r="H971" s="51"/>
      <c r="I971" s="51"/>
      <c r="J971" s="51"/>
      <c r="K971" s="51" t="s">
        <v>140</v>
      </c>
      <c r="L971" s="51"/>
      <c r="M971" s="51"/>
      <c r="N971" s="51"/>
      <c r="O971" s="52"/>
      <c r="P971" s="51"/>
      <c r="Q971" s="51"/>
      <c r="R971" s="51"/>
      <c r="S971" s="51"/>
      <c r="T971" s="41"/>
      <c r="AG971" s="521" t="s">
        <v>268</v>
      </c>
      <c r="AH971" s="521" t="s">
        <v>269</v>
      </c>
      <c r="AI971" s="521" t="s">
        <v>270</v>
      </c>
      <c r="AJ971" s="521" t="s">
        <v>271</v>
      </c>
      <c r="AK971" s="521" t="s">
        <v>272</v>
      </c>
      <c r="AM971" s="745" t="s">
        <v>281</v>
      </c>
      <c r="AN971" s="746" t="s">
        <v>282</v>
      </c>
      <c r="AO971" s="522" t="s">
        <v>278</v>
      </c>
      <c r="AR971" s="51"/>
      <c r="AS971" s="42" t="s">
        <v>139</v>
      </c>
    </row>
    <row r="972" spans="1:45" s="520" customFormat="1" ht="12" customHeight="1">
      <c r="A972" s="747">
        <v>85</v>
      </c>
      <c r="B972" s="523" t="s">
        <v>320</v>
      </c>
      <c r="C972" s="748"/>
      <c r="D972" s="749" t="s">
        <v>3869</v>
      </c>
      <c r="E972" s="750">
        <f ca="1">IF(AND($A972=0,$A$1="DIF"),0, ROUND(ROUND(($R977*$S$2+($T977*$T$2))/A972,2)*$C$2,2))</f>
        <v>35.24</v>
      </c>
      <c r="F972" s="751">
        <f ca="1">ROUND($A972*$E972,2)</f>
        <v>2995.4</v>
      </c>
      <c r="G972" s="752" t="s">
        <v>142</v>
      </c>
      <c r="H972" s="753"/>
      <c r="I972" s="754"/>
      <c r="J972" s="753"/>
      <c r="K972" s="753" t="s">
        <v>3</v>
      </c>
      <c r="L972" s="755" t="s">
        <v>143</v>
      </c>
      <c r="M972" s="755"/>
      <c r="N972" s="755"/>
      <c r="O972" s="755"/>
      <c r="P972" s="755"/>
      <c r="Q972" s="51"/>
      <c r="T972" s="756" t="str">
        <f ca="1">IF(AND($R977=0,$T977=0),"0.00","mu :" &amp; ROUND($F972/$C$2/($R977+$T977*$D$9),2))</f>
        <v>mu :1.23</v>
      </c>
      <c r="W972" s="524"/>
      <c r="AG972" s="481">
        <f ca="1">IF($E972=0,0,ROUND($R977*$S$2*$C$2/$A972,2))</f>
        <v>31.52</v>
      </c>
      <c r="AH972" s="481">
        <f ca="1">$AG972*$A972</f>
        <v>2679.2</v>
      </c>
      <c r="AI972" s="525">
        <f ca="1">$E972-$AG972</f>
        <v>3.7200000000000024</v>
      </c>
      <c r="AJ972" s="525">
        <f ca="1">$A972*$AI972</f>
        <v>316.20000000000022</v>
      </c>
      <c r="AK972" s="526">
        <f ca="1">ROUND(($AG972+$AI972)*$A972,2)</f>
        <v>2995.4</v>
      </c>
      <c r="AM972" s="527">
        <f ca="1">ROUND(R977,2)</f>
        <v>2176</v>
      </c>
      <c r="AN972" s="528">
        <f ca="1">ROUND(T977,2)</f>
        <v>9.35</v>
      </c>
      <c r="AO972" s="529">
        <f ca="1">ROUND(AM972+AN972,2)*A972</f>
        <v>185754.75</v>
      </c>
      <c r="AR972" s="747">
        <v>115</v>
      </c>
      <c r="AS972" s="751">
        <v>9048.2000000000007</v>
      </c>
    </row>
    <row r="973" spans="1:45" s="520" customFormat="1" ht="39.9" customHeight="1">
      <c r="A973" s="748"/>
      <c r="B973"/>
      <c r="C973" s="748"/>
      <c r="D973" s="1451" t="s">
        <v>3870</v>
      </c>
      <c r="E973" s="1452"/>
      <c r="F973" s="1452"/>
      <c r="G973" s="1452"/>
      <c r="H973" s="1452"/>
      <c r="I973" s="1452"/>
      <c r="J973" s="1452"/>
      <c r="K973" s="1452"/>
      <c r="L973" s="1452"/>
      <c r="M973" s="1452"/>
      <c r="N973" s="1452"/>
      <c r="O973" s="1452"/>
      <c r="P973" s="1452"/>
      <c r="Q973" s="1452"/>
      <c r="R973" s="1452"/>
      <c r="S973" s="1452"/>
      <c r="T973" s="1452"/>
      <c r="AR973" s="748"/>
    </row>
    <row r="974" spans="1:45" s="886" customFormat="1" ht="13.2">
      <c r="A974"/>
      <c r="B974" s="910"/>
      <c r="C974" s="910" t="s">
        <v>2597</v>
      </c>
      <c r="D974" s="910" t="str">
        <f ca="1">CELL("Address",Elec_Rates!D$385)</f>
        <v>[E25_0062_Quintano_Foods_Elec_ELV_As_Awarded.xlsx]Elec_Rates!$D$385</v>
      </c>
      <c r="E974" s="911"/>
      <c r="F974" s="911"/>
      <c r="G974" s="912" t="s">
        <v>2598</v>
      </c>
      <c r="H974" s="912"/>
      <c r="I974" s="912"/>
      <c r="J974" s="912"/>
      <c r="K974" s="913"/>
      <c r="L974" s="911"/>
      <c r="M974" s="911"/>
      <c r="N974" s="911"/>
      <c r="O974" s="914"/>
      <c r="P974" s="911"/>
      <c r="Q974" s="915"/>
      <c r="R974" s="916"/>
      <c r="S974" s="915"/>
      <c r="T974" s="917"/>
      <c r="U974" s="918"/>
      <c r="AR974"/>
      <c r="AS974" s="911"/>
    </row>
    <row r="975" spans="1:45" s="886" customFormat="1" ht="11.4">
      <c r="A975" s="919">
        <v>85</v>
      </c>
      <c r="B975" s="920">
        <v>1</v>
      </c>
      <c r="C975" s="920">
        <f>$A975*$B975</f>
        <v>85</v>
      </c>
      <c r="D975" s="921" t="str">
        <f>Elec_Rates!$D$385</f>
        <v>037# 5 x 16mm2 F120 Fire Resistant Cable (BS7846) -  XLPE/SWA/LSZH</v>
      </c>
      <c r="E975" s="921"/>
      <c r="F975" s="921" t="s">
        <v>2599</v>
      </c>
      <c r="G975" s="922" t="s">
        <v>2601</v>
      </c>
      <c r="H975" s="922"/>
      <c r="I975" s="922"/>
      <c r="J975" s="922"/>
      <c r="K975" s="923"/>
      <c r="L975" s="918"/>
      <c r="M975" s="918"/>
      <c r="N975" s="918"/>
      <c r="O975" s="924"/>
      <c r="P975" s="921"/>
      <c r="Q975" s="925">
        <f ca="1">$B975*Elec_Rates!$R$385</f>
        <v>25.6</v>
      </c>
      <c r="R975" s="916">
        <f ca="1">$A975*Q975</f>
        <v>2176</v>
      </c>
      <c r="S975" s="925">
        <f ca="1">$B975*Elec_Rates!$T$385</f>
        <v>0.11</v>
      </c>
      <c r="T975" s="917">
        <f ca="1">$A975*S975</f>
        <v>9.35</v>
      </c>
      <c r="U975" s="926"/>
      <c r="AR975" s="919">
        <v>60</v>
      </c>
      <c r="AS975" s="921" t="s">
        <v>2599</v>
      </c>
    </row>
    <row r="976" spans="1:45" s="520" customFormat="1" ht="12">
      <c r="A976" s="758"/>
      <c r="B976" s="758"/>
      <c r="C976" s="758"/>
      <c r="D976" s="758"/>
      <c r="E976" s="758"/>
      <c r="F976" s="753"/>
      <c r="G976" s="758"/>
      <c r="H976" s="758"/>
      <c r="I976" s="519"/>
      <c r="J976" s="758"/>
      <c r="K976" s="758"/>
      <c r="L976" s="758"/>
      <c r="M976" s="758"/>
      <c r="N976" s="758"/>
      <c r="O976" s="758"/>
      <c r="P976" s="758"/>
      <c r="Q976" s="519"/>
      <c r="R976" s="759">
        <f>$A976*Q976</f>
        <v>0</v>
      </c>
      <c r="S976" s="519"/>
      <c r="T976" s="760">
        <f>$A976*S976*$T$1</f>
        <v>0</v>
      </c>
      <c r="AR976" s="758"/>
      <c r="AS976" s="753"/>
    </row>
    <row r="977" spans="1:45" s="520" customFormat="1" ht="12.6" thickBot="1">
      <c r="A977" s="761" t="s">
        <v>145</v>
      </c>
      <c r="B977" s="762">
        <f>(R976+T976)</f>
        <v>0</v>
      </c>
      <c r="C977" s="763"/>
      <c r="D977" s="763"/>
      <c r="E977" s="763"/>
      <c r="F977" s="764"/>
      <c r="G977" s="763" t="s">
        <v>146</v>
      </c>
      <c r="H977" s="763"/>
      <c r="I977" s="765"/>
      <c r="J977" s="763"/>
      <c r="K977" s="763" t="s">
        <v>3</v>
      </c>
      <c r="L977" s="766" t="s">
        <v>143</v>
      </c>
      <c r="M977" s="766"/>
      <c r="N977" s="766"/>
      <c r="O977" s="766"/>
      <c r="P977" s="766"/>
      <c r="Q977" s="767"/>
      <c r="R977" s="768">
        <f ca="1">SUM(R973:R976)</f>
        <v>2176</v>
      </c>
      <c r="S977" s="763"/>
      <c r="T977" s="768">
        <f ca="1">SUM(T973:T976)</f>
        <v>9.35</v>
      </c>
      <c r="U977" s="531"/>
      <c r="V977" s="531"/>
      <c r="W977" s="531"/>
      <c r="X977" s="531"/>
      <c r="Y977" s="531"/>
      <c r="Z977" s="531"/>
      <c r="AA977" s="531"/>
      <c r="AB977" s="531"/>
      <c r="AC977" s="531"/>
      <c r="AD977" s="531"/>
      <c r="AE977" s="531"/>
      <c r="AF977" s="531"/>
      <c r="AG977" s="531"/>
      <c r="AH977" s="531"/>
      <c r="AI977" s="531"/>
      <c r="AJ977" s="531"/>
      <c r="AK977" s="531"/>
      <c r="AL977" s="531"/>
      <c r="AM977" s="531"/>
      <c r="AN977" s="531"/>
      <c r="AO977" s="531"/>
      <c r="AR977" s="761" t="s">
        <v>145</v>
      </c>
      <c r="AS977" s="764"/>
    </row>
    <row r="978" spans="1:45" s="520" customFormat="1" ht="12" thickTop="1">
      <c r="A978" s="51"/>
      <c r="B978" s="41"/>
      <c r="C978" s="51"/>
      <c r="E978" s="42" t="s">
        <v>138</v>
      </c>
      <c r="F978" s="42" t="s">
        <v>139</v>
      </c>
      <c r="G978" s="51"/>
      <c r="H978" s="51"/>
      <c r="I978" s="51"/>
      <c r="J978" s="51"/>
      <c r="K978" s="51" t="s">
        <v>140</v>
      </c>
      <c r="L978" s="51"/>
      <c r="M978" s="51"/>
      <c r="N978" s="51"/>
      <c r="O978" s="52"/>
      <c r="P978" s="51"/>
      <c r="Q978" s="51"/>
      <c r="R978" s="51"/>
      <c r="S978" s="51"/>
      <c r="T978" s="41"/>
      <c r="AG978" s="521" t="s">
        <v>268</v>
      </c>
      <c r="AH978" s="521" t="s">
        <v>269</v>
      </c>
      <c r="AI978" s="521" t="s">
        <v>270</v>
      </c>
      <c r="AJ978" s="521" t="s">
        <v>271</v>
      </c>
      <c r="AK978" s="521" t="s">
        <v>272</v>
      </c>
      <c r="AM978" s="745" t="s">
        <v>281</v>
      </c>
      <c r="AN978" s="746" t="s">
        <v>282</v>
      </c>
      <c r="AO978" s="522" t="s">
        <v>278</v>
      </c>
      <c r="AR978" s="51"/>
      <c r="AS978" s="42" t="s">
        <v>139</v>
      </c>
    </row>
    <row r="979" spans="1:45" s="520" customFormat="1" ht="12" customHeight="1">
      <c r="A979" s="747">
        <v>145</v>
      </c>
      <c r="B979" s="523" t="s">
        <v>320</v>
      </c>
      <c r="C979" s="748"/>
      <c r="D979" s="749" t="s">
        <v>1218</v>
      </c>
      <c r="E979" s="1425">
        <f ca="1">IF(AND($A979=0,$A$1="DIF"),0, ROUND(ROUND(($R984*$S$10+($T984*$T$10))/$A979,2)*$C$10,2))</f>
        <v>133.51</v>
      </c>
      <c r="F979" s="1426">
        <f ca="1">ROUND($A979*$E979,2)</f>
        <v>19358.95</v>
      </c>
      <c r="G979" s="752" t="s">
        <v>142</v>
      </c>
      <c r="H979" s="753"/>
      <c r="I979" s="754"/>
      <c r="J979" s="753"/>
      <c r="K979" s="753" t="s">
        <v>17</v>
      </c>
      <c r="L979" s="755" t="s">
        <v>143</v>
      </c>
      <c r="M979" s="755"/>
      <c r="N979" s="755"/>
      <c r="O979" s="755"/>
      <c r="P979" s="755"/>
      <c r="Q979" s="51"/>
      <c r="T979" s="1430" t="str">
        <f ca="1">IF(AND($R984=0,$T984=0),"0.00","mu: "&amp; ROUND(F979/$C$10/($R984+$T984*$D$9),2))</f>
        <v>mu: 1.18</v>
      </c>
      <c r="W979" s="524"/>
      <c r="AG979" s="1427">
        <f ca="1">IF($E979=0,0,ROUND($R984*$S$10*$C$10/$A979,2))</f>
        <v>123.47</v>
      </c>
      <c r="AH979" s="1427">
        <f ca="1">$AG979*$A979</f>
        <v>17903.150000000001</v>
      </c>
      <c r="AI979" s="1428">
        <f ca="1">$E979-$AG979</f>
        <v>10.039999999999992</v>
      </c>
      <c r="AJ979" s="1428">
        <f ca="1">$A979*$AI979</f>
        <v>1455.7999999999988</v>
      </c>
      <c r="AK979" s="1429">
        <f ca="1">ROUND(($AG979+$AI979)*$A979,2)</f>
        <v>19358.95</v>
      </c>
      <c r="AM979" s="527">
        <f ca="1">ROUND(R984,2)</f>
        <v>15171.35</v>
      </c>
      <c r="AN979" s="528">
        <f ca="1">ROUND(T984,2)</f>
        <v>44.95</v>
      </c>
      <c r="AO979" s="529">
        <f ca="1">ROUND(AM979+AN979,2)*A979</f>
        <v>2206363.5</v>
      </c>
      <c r="AR979" s="747">
        <v>145</v>
      </c>
      <c r="AS979" s="751">
        <v>20347.849999999999</v>
      </c>
    </row>
    <row r="980" spans="1:45" s="520" customFormat="1" ht="39.9" customHeight="1">
      <c r="A980" s="748"/>
      <c r="B980"/>
      <c r="C980" s="748"/>
      <c r="D980" s="1451" t="s">
        <v>1219</v>
      </c>
      <c r="E980" s="1452"/>
      <c r="F980" s="1452"/>
      <c r="G980" s="1452"/>
      <c r="H980" s="1452"/>
      <c r="I980" s="1452"/>
      <c r="J980" s="1452"/>
      <c r="K980" s="1452"/>
      <c r="L980" s="1452"/>
      <c r="M980" s="1452"/>
      <c r="N980" s="1452"/>
      <c r="O980" s="1452"/>
      <c r="P980" s="1452"/>
      <c r="Q980" s="1452"/>
      <c r="R980" s="1452"/>
      <c r="S980" s="1452"/>
      <c r="T980" s="1452"/>
      <c r="AR980" s="748"/>
    </row>
    <row r="981" spans="1:45" s="886" customFormat="1" ht="13.2">
      <c r="A981"/>
      <c r="B981" s="910"/>
      <c r="C981" s="910" t="s">
        <v>2597</v>
      </c>
      <c r="D981" s="910" t="str">
        <f ca="1">CELL("Address",Elec_Rates!D$281)</f>
        <v>[E25_0062_Quintano_Foods_Elec_ELV_As_Awarded.xlsx]Elec_Rates!$D$281</v>
      </c>
      <c r="E981" s="911"/>
      <c r="F981" s="911"/>
      <c r="G981" s="912" t="s">
        <v>2598</v>
      </c>
      <c r="H981" s="912"/>
      <c r="I981" s="912"/>
      <c r="J981" s="912"/>
      <c r="K981" s="913"/>
      <c r="L981" s="911"/>
      <c r="M981" s="911"/>
      <c r="N981" s="911"/>
      <c r="O981" s="914"/>
      <c r="P981" s="911"/>
      <c r="Q981" s="915"/>
      <c r="R981" s="916"/>
      <c r="S981" s="915"/>
      <c r="T981" s="917"/>
      <c r="U981" s="918"/>
      <c r="AR981"/>
      <c r="AS981" s="911"/>
    </row>
    <row r="982" spans="1:45" s="886" customFormat="1" ht="11.4">
      <c r="A982" s="919">
        <v>145</v>
      </c>
      <c r="B982" s="920">
        <v>1</v>
      </c>
      <c r="C982" s="920">
        <f>$A982*$B982</f>
        <v>145</v>
      </c>
      <c r="D982" s="921" t="str">
        <f>Elec_Rates!$D$281</f>
        <v>027# 5 x 120mm2 F120 Fire Resistant Cable (BS7846) -  XLPE/SWA/LSZH</v>
      </c>
      <c r="E982" s="921"/>
      <c r="F982" s="921" t="s">
        <v>2599</v>
      </c>
      <c r="G982" s="922" t="s">
        <v>2601</v>
      </c>
      <c r="H982" s="922"/>
      <c r="I982" s="922"/>
      <c r="J982" s="922"/>
      <c r="K982" s="923"/>
      <c r="L982" s="918"/>
      <c r="M982" s="918"/>
      <c r="N982" s="918"/>
      <c r="O982" s="924"/>
      <c r="P982" s="921"/>
      <c r="Q982" s="925">
        <f ca="1">$B982*Elec_Rates!$R$281</f>
        <v>104.63</v>
      </c>
      <c r="R982" s="916">
        <f ca="1">$A982*Q982</f>
        <v>15171.349999999999</v>
      </c>
      <c r="S982" s="925">
        <f ca="1">$B982*Elec_Rates!$T$281</f>
        <v>0.31</v>
      </c>
      <c r="T982" s="917">
        <f ca="1">$A982*S982</f>
        <v>44.95</v>
      </c>
      <c r="U982" s="926"/>
      <c r="AR982" s="919">
        <v>145</v>
      </c>
      <c r="AS982" s="921" t="s">
        <v>2599</v>
      </c>
    </row>
    <row r="983" spans="1:45" s="520" customFormat="1" ht="12">
      <c r="A983" s="758"/>
      <c r="B983" s="758"/>
      <c r="C983" s="758"/>
      <c r="D983" s="758"/>
      <c r="E983" s="758"/>
      <c r="F983" s="753"/>
      <c r="G983" s="758"/>
      <c r="H983" s="758"/>
      <c r="I983" s="519"/>
      <c r="J983" s="758"/>
      <c r="K983" s="758"/>
      <c r="L983" s="758"/>
      <c r="M983" s="758"/>
      <c r="N983" s="758"/>
      <c r="O983" s="758"/>
      <c r="P983" s="758"/>
      <c r="Q983" s="519"/>
      <c r="R983" s="759">
        <f>$A983*Q983</f>
        <v>0</v>
      </c>
      <c r="S983" s="519"/>
      <c r="T983" s="760">
        <f>$A983*S983*$T$1</f>
        <v>0</v>
      </c>
      <c r="AR983" s="758"/>
      <c r="AS983" s="753"/>
    </row>
    <row r="984" spans="1:45" s="520" customFormat="1" ht="12.6" thickBot="1">
      <c r="A984" s="761" t="s">
        <v>145</v>
      </c>
      <c r="B984" s="762">
        <f>(R983+T983)</f>
        <v>0</v>
      </c>
      <c r="C984" s="763"/>
      <c r="D984" s="763"/>
      <c r="E984" s="763"/>
      <c r="F984" s="764"/>
      <c r="G984" s="763" t="s">
        <v>146</v>
      </c>
      <c r="H984" s="763"/>
      <c r="I984" s="765"/>
      <c r="J984" s="763"/>
      <c r="K984" s="763" t="s">
        <v>17</v>
      </c>
      <c r="L984" s="766" t="s">
        <v>143</v>
      </c>
      <c r="M984" s="766"/>
      <c r="N984" s="766"/>
      <c r="O984" s="766"/>
      <c r="P984" s="766"/>
      <c r="Q984" s="767"/>
      <c r="R984" s="768">
        <f ca="1">SUM(R980:R983)</f>
        <v>15171.349999999999</v>
      </c>
      <c r="S984" s="763"/>
      <c r="T984" s="768">
        <f ca="1">SUM(T980:T983)</f>
        <v>44.95</v>
      </c>
      <c r="U984" s="531"/>
      <c r="V984" s="531"/>
      <c r="W984" s="531"/>
      <c r="X984" s="531"/>
      <c r="Y984" s="531"/>
      <c r="Z984" s="531"/>
      <c r="AA984" s="531"/>
      <c r="AB984" s="531"/>
      <c r="AC984" s="531"/>
      <c r="AD984" s="531"/>
      <c r="AE984" s="531"/>
      <c r="AF984" s="531"/>
      <c r="AG984" s="531"/>
      <c r="AH984" s="531"/>
      <c r="AI984" s="531"/>
      <c r="AJ984" s="531"/>
      <c r="AK984" s="531"/>
      <c r="AL984" s="531"/>
      <c r="AM984" s="531"/>
      <c r="AN984" s="531"/>
      <c r="AO984" s="531"/>
      <c r="AR984" s="761" t="s">
        <v>145</v>
      </c>
      <c r="AS984" s="764"/>
    </row>
    <row r="985" spans="1:45" s="520" customFormat="1" thickTop="1">
      <c r="A985" s="51"/>
      <c r="B985" s="51"/>
      <c r="C985" s="3"/>
      <c r="D985" s="3"/>
      <c r="E985" s="51"/>
      <c r="F985" s="51"/>
      <c r="G985" s="51"/>
      <c r="H985" s="51"/>
      <c r="I985" s="51"/>
      <c r="J985" s="51"/>
      <c r="K985" s="51" t="s">
        <v>134</v>
      </c>
      <c r="L985" s="51"/>
      <c r="M985" s="51"/>
      <c r="N985" s="51"/>
      <c r="O985" s="52"/>
      <c r="P985" s="51"/>
      <c r="Q985" s="51"/>
      <c r="R985" s="51"/>
      <c r="S985" s="51"/>
      <c r="T985" s="51"/>
      <c r="AR985" s="51"/>
      <c r="AS985" s="51"/>
    </row>
    <row r="986" spans="1:45" s="520" customFormat="1" ht="12">
      <c r="A986" s="51"/>
      <c r="B986" s="51"/>
      <c r="C986" s="51" t="s">
        <v>135</v>
      </c>
      <c r="D986" s="37"/>
      <c r="E986" s="51"/>
      <c r="F986" s="51"/>
      <c r="G986" s="51"/>
      <c r="H986" s="51"/>
      <c r="I986" s="51"/>
      <c r="J986" s="51"/>
      <c r="K986" s="51"/>
      <c r="L986" s="51"/>
      <c r="M986" s="51"/>
      <c r="N986" s="51"/>
      <c r="O986" s="52"/>
      <c r="P986" s="51"/>
      <c r="Q986" s="51"/>
      <c r="R986" s="51"/>
      <c r="S986" s="51"/>
      <c r="T986" s="51"/>
      <c r="AR986" s="51"/>
      <c r="AS986" s="51"/>
    </row>
    <row r="987" spans="1:45" s="520" customFormat="1" ht="12">
      <c r="A987" s="51"/>
      <c r="B987" s="51"/>
      <c r="C987" s="51"/>
      <c r="D987" s="37" t="s">
        <v>463</v>
      </c>
      <c r="E987" s="51"/>
      <c r="F987" s="51"/>
      <c r="G987" s="51"/>
      <c r="H987" s="51"/>
      <c r="I987" s="51"/>
      <c r="J987" s="51"/>
      <c r="K987" s="51"/>
      <c r="L987" s="51"/>
      <c r="M987" s="51"/>
      <c r="N987" s="51"/>
      <c r="O987" s="52"/>
      <c r="P987" s="51"/>
      <c r="Q987" s="51"/>
      <c r="R987" s="51"/>
      <c r="S987" s="38"/>
      <c r="T987" s="38"/>
      <c r="AR987" s="51"/>
      <c r="AS987" s="51"/>
    </row>
    <row r="988" spans="1:45" s="3" customFormat="1" thickBot="1">
      <c r="A988" s="531"/>
      <c r="O988" s="107"/>
      <c r="AR988" s="531"/>
    </row>
    <row r="989" spans="1:45" s="520" customFormat="1" ht="12" thickTop="1">
      <c r="A989" s="51"/>
      <c r="B989" s="41"/>
      <c r="C989" s="51"/>
      <c r="E989" s="42" t="s">
        <v>138</v>
      </c>
      <c r="F989" s="42" t="s">
        <v>139</v>
      </c>
      <c r="G989" s="51"/>
      <c r="H989" s="51"/>
      <c r="I989" s="51"/>
      <c r="J989" s="51"/>
      <c r="K989" s="51" t="s">
        <v>140</v>
      </c>
      <c r="L989" s="51"/>
      <c r="M989" s="51"/>
      <c r="N989" s="51"/>
      <c r="O989" s="52"/>
      <c r="P989" s="51"/>
      <c r="Q989" s="51"/>
      <c r="R989" s="51"/>
      <c r="S989" s="51"/>
      <c r="T989" s="41"/>
      <c r="AG989" s="521" t="s">
        <v>268</v>
      </c>
      <c r="AH989" s="521" t="s">
        <v>269</v>
      </c>
      <c r="AI989" s="521" t="s">
        <v>270</v>
      </c>
      <c r="AJ989" s="521" t="s">
        <v>271</v>
      </c>
      <c r="AK989" s="521" t="s">
        <v>272</v>
      </c>
      <c r="AM989" s="745" t="s">
        <v>281</v>
      </c>
      <c r="AN989" s="746" t="s">
        <v>282</v>
      </c>
      <c r="AO989" s="522" t="s">
        <v>278</v>
      </c>
      <c r="AR989" s="51"/>
      <c r="AS989" s="42" t="s">
        <v>139</v>
      </c>
    </row>
    <row r="990" spans="1:45" s="520" customFormat="1" ht="12" customHeight="1">
      <c r="A990" s="747">
        <v>1</v>
      </c>
      <c r="B990" s="523" t="s">
        <v>141</v>
      </c>
      <c r="C990" s="748"/>
      <c r="D990" s="749" t="s">
        <v>1220</v>
      </c>
      <c r="E990" s="750">
        <f ca="1">IF(AND($A990=0,$A$1="DIF"),0, ROUND(ROUND(($R995*$S$2+($T995*$T$2))/A990,2)*$C$2,2))</f>
        <v>104.97</v>
      </c>
      <c r="F990" s="751">
        <f ca="1">ROUND($A990*$E990,2)</f>
        <v>104.97</v>
      </c>
      <c r="G990" s="752" t="s">
        <v>142</v>
      </c>
      <c r="H990" s="753"/>
      <c r="I990" s="754"/>
      <c r="J990" s="753"/>
      <c r="K990" s="753" t="s">
        <v>3</v>
      </c>
      <c r="L990" s="755" t="s">
        <v>143</v>
      </c>
      <c r="M990" s="755"/>
      <c r="N990" s="755"/>
      <c r="O990" s="755"/>
      <c r="P990" s="755"/>
      <c r="Q990" s="51"/>
      <c r="T990" s="756" t="str">
        <f ca="1">IF(AND($R995=0,$T995=0),"0.00","mu :" &amp; ROUND($F990/$C$2/($R995+$T995*$D$9),2))</f>
        <v>mu :1.23</v>
      </c>
      <c r="W990" s="524"/>
      <c r="AG990" s="481">
        <f ca="1">IF($E990=0,0,ROUND($R995*$S$2*$C$2/$A990,2))</f>
        <v>72.849999999999994</v>
      </c>
      <c r="AH990" s="481">
        <f ca="1">$AG990*$A990</f>
        <v>72.849999999999994</v>
      </c>
      <c r="AI990" s="525">
        <f ca="1">$E990-$AG990</f>
        <v>32.120000000000005</v>
      </c>
      <c r="AJ990" s="525">
        <f ca="1">$A990*$AI990</f>
        <v>32.120000000000005</v>
      </c>
      <c r="AK990" s="526">
        <f ca="1">ROUND(($AG990+$AI990)*$A990,2)</f>
        <v>104.97</v>
      </c>
      <c r="AM990" s="527">
        <f ca="1">ROUND(R995,2)</f>
        <v>59.16</v>
      </c>
      <c r="AN990" s="528">
        <f ca="1">ROUND(T995,2)</f>
        <v>0.95</v>
      </c>
      <c r="AO990" s="529">
        <f ca="1">ROUND(AM990+AN990,2)*A990</f>
        <v>60.11</v>
      </c>
      <c r="AR990" s="747">
        <v>1</v>
      </c>
      <c r="AS990" s="751">
        <v>108.35</v>
      </c>
    </row>
    <row r="991" spans="1:45" s="520" customFormat="1" ht="13.2">
      <c r="A991" s="748"/>
      <c r="B991"/>
      <c r="C991" s="748"/>
      <c r="D991" s="749" t="s">
        <v>1221</v>
      </c>
      <c r="F991" s="753"/>
      <c r="G991" s="3"/>
      <c r="H991" s="753"/>
      <c r="I991" s="754"/>
      <c r="J991" s="753"/>
      <c r="K991" s="753" t="s">
        <v>144</v>
      </c>
      <c r="L991" s="753"/>
      <c r="M991" s="753"/>
      <c r="N991" s="753"/>
      <c r="O991" s="753"/>
      <c r="P991" s="753"/>
      <c r="Q991" s="51"/>
      <c r="R991" s="530"/>
      <c r="S991" s="757"/>
      <c r="T991" s="753"/>
      <c r="AR991" s="748"/>
      <c r="AS991" s="753"/>
    </row>
    <row r="992" spans="1:45" s="520" customFormat="1" ht="12">
      <c r="A992" s="51"/>
      <c r="B992" s="758"/>
      <c r="C992" s="753" t="s">
        <v>2597</v>
      </c>
      <c r="D992" s="753" t="str">
        <f ca="1">CELL("Address",Elec_Rates!$D$219)</f>
        <v>[E25_0062_Quintano_Foods_Elec_ELV_As_Awarded.xlsx]Elec_Rates!$D$219</v>
      </c>
      <c r="E992" s="758"/>
      <c r="F992" s="753"/>
      <c r="G992" s="1049" t="s">
        <v>2598</v>
      </c>
      <c r="H992" s="1050"/>
      <c r="I992" s="1051"/>
      <c r="J992" s="1050"/>
      <c r="K992" s="1050"/>
      <c r="L992" s="758"/>
      <c r="M992" s="758"/>
      <c r="N992" s="758"/>
      <c r="O992" s="758"/>
      <c r="P992" s="758"/>
      <c r="Q992" s="519"/>
      <c r="R992" s="759"/>
      <c r="S992" s="519"/>
      <c r="T992" s="760"/>
      <c r="AR992" s="51"/>
      <c r="AS992" s="753"/>
    </row>
    <row r="993" spans="1:45" s="520" customFormat="1" ht="11.4">
      <c r="A993" s="51">
        <v>1</v>
      </c>
      <c r="B993" s="519">
        <v>1</v>
      </c>
      <c r="C993" s="519">
        <f>$A993*$B993</f>
        <v>1</v>
      </c>
      <c r="D993" s="1048" t="str">
        <f>Elec_Rates!$D$219</f>
        <v>021# 3-Phase 40A Isolator</v>
      </c>
      <c r="E993" s="1048"/>
      <c r="F993" s="1048" t="s">
        <v>2733</v>
      </c>
      <c r="G993" s="1050" t="s">
        <v>2600</v>
      </c>
      <c r="H993" s="1050"/>
      <c r="I993" s="1051"/>
      <c r="J993" s="1050"/>
      <c r="K993" s="1050"/>
      <c r="L993" s="758"/>
      <c r="M993" s="758"/>
      <c r="N993" s="758"/>
      <c r="O993" s="758"/>
      <c r="P993" s="758"/>
      <c r="Q993" s="1052">
        <f ca="1">$B993*Elec_Rates!$R$219</f>
        <v>59.16</v>
      </c>
      <c r="R993" s="759">
        <f ca="1">$A993*Q993</f>
        <v>59.16</v>
      </c>
      <c r="S993" s="1052">
        <f ca="1">$B993*Elec_Rates!$T$219</f>
        <v>0.95</v>
      </c>
      <c r="T993" s="917">
        <f ca="1">$A993*S993</f>
        <v>0.95</v>
      </c>
      <c r="AR993" s="51">
        <v>1</v>
      </c>
      <c r="AS993" s="1048" t="s">
        <v>2733</v>
      </c>
    </row>
    <row r="994" spans="1:45" s="520" customFormat="1" ht="12">
      <c r="A994" s="758"/>
      <c r="B994" s="758"/>
      <c r="C994" s="758"/>
      <c r="D994" s="758"/>
      <c r="E994" s="758"/>
      <c r="F994" s="753"/>
      <c r="G994" s="758"/>
      <c r="H994" s="758"/>
      <c r="I994" s="519"/>
      <c r="J994" s="758"/>
      <c r="K994" s="758"/>
      <c r="L994" s="758"/>
      <c r="M994" s="758"/>
      <c r="N994" s="758"/>
      <c r="O994" s="758"/>
      <c r="P994" s="758"/>
      <c r="Q994" s="519"/>
      <c r="R994" s="759">
        <f>$A994*Q994</f>
        <v>0</v>
      </c>
      <c r="S994" s="519"/>
      <c r="T994" s="760">
        <f>$A994*S994*$T$1</f>
        <v>0</v>
      </c>
      <c r="AR994" s="758"/>
      <c r="AS994" s="753"/>
    </row>
    <row r="995" spans="1:45" s="520" customFormat="1" ht="12.6" thickBot="1">
      <c r="A995" s="761" t="s">
        <v>145</v>
      </c>
      <c r="B995" s="762">
        <f>(R994+T994)</f>
        <v>0</v>
      </c>
      <c r="C995" s="763"/>
      <c r="D995" s="763"/>
      <c r="E995" s="763"/>
      <c r="F995" s="764"/>
      <c r="G995" s="763" t="s">
        <v>146</v>
      </c>
      <c r="H995" s="763"/>
      <c r="I995" s="765"/>
      <c r="J995" s="763"/>
      <c r="K995" s="763" t="s">
        <v>3</v>
      </c>
      <c r="L995" s="766" t="s">
        <v>143</v>
      </c>
      <c r="M995" s="766"/>
      <c r="N995" s="766"/>
      <c r="O995" s="766"/>
      <c r="P995" s="766"/>
      <c r="Q995" s="767"/>
      <c r="R995" s="768">
        <f ca="1">SUM(R991:R994)</f>
        <v>59.16</v>
      </c>
      <c r="S995" s="763"/>
      <c r="T995" s="768">
        <f ca="1">SUM(T991:T994)</f>
        <v>0.95</v>
      </c>
      <c r="U995" s="531"/>
      <c r="V995" s="531"/>
      <c r="W995" s="531"/>
      <c r="X995" s="531"/>
      <c r="Y995" s="531"/>
      <c r="Z995" s="531"/>
      <c r="AA995" s="531"/>
      <c r="AB995" s="531"/>
      <c r="AC995" s="531"/>
      <c r="AD995" s="531"/>
      <c r="AE995" s="531"/>
      <c r="AF995" s="531"/>
      <c r="AG995" s="531"/>
      <c r="AH995" s="531"/>
      <c r="AI995" s="531"/>
      <c r="AJ995" s="531"/>
      <c r="AK995" s="531"/>
      <c r="AL995" s="531"/>
      <c r="AM995" s="531"/>
      <c r="AN995" s="531"/>
      <c r="AO995" s="531"/>
      <c r="AR995" s="761" t="s">
        <v>145</v>
      </c>
      <c r="AS995" s="764"/>
    </row>
    <row r="996" spans="1:45" s="520" customFormat="1" thickTop="1">
      <c r="A996" s="51"/>
      <c r="B996" s="51"/>
      <c r="C996" s="3"/>
      <c r="D996" s="3"/>
      <c r="E996" s="51"/>
      <c r="F996" s="51"/>
      <c r="G996" s="51"/>
      <c r="H996" s="51"/>
      <c r="I996" s="51"/>
      <c r="J996" s="51"/>
      <c r="K996" s="51" t="s">
        <v>134</v>
      </c>
      <c r="L996" s="51"/>
      <c r="M996" s="51"/>
      <c r="N996" s="51"/>
      <c r="O996" s="52"/>
      <c r="P996" s="51"/>
      <c r="Q996" s="51"/>
      <c r="R996" s="51"/>
      <c r="S996" s="51"/>
      <c r="T996" s="51"/>
      <c r="AR996" s="51"/>
      <c r="AS996" s="51"/>
    </row>
    <row r="997" spans="1:45" s="520" customFormat="1" ht="12">
      <c r="A997" s="51"/>
      <c r="B997" s="51"/>
      <c r="C997" s="51" t="s">
        <v>135</v>
      </c>
      <c r="D997" s="37"/>
      <c r="E997" s="51"/>
      <c r="F997" s="51"/>
      <c r="G997" s="51"/>
      <c r="H997" s="51"/>
      <c r="I997" s="51"/>
      <c r="J997" s="51"/>
      <c r="K997" s="51"/>
      <c r="L997" s="51"/>
      <c r="M997" s="51"/>
      <c r="N997" s="51"/>
      <c r="O997" s="52"/>
      <c r="P997" s="51"/>
      <c r="Q997" s="51"/>
      <c r="R997" s="51"/>
      <c r="S997" s="51"/>
      <c r="T997" s="51"/>
      <c r="AR997" s="51"/>
      <c r="AS997" s="51"/>
    </row>
    <row r="998" spans="1:45" s="520" customFormat="1" ht="39.9" customHeight="1">
      <c r="A998" s="51"/>
      <c r="B998" s="51"/>
      <c r="C998" s="51"/>
      <c r="D998" s="1453" t="s">
        <v>498</v>
      </c>
      <c r="E998" s="1452"/>
      <c r="F998" s="1452"/>
      <c r="G998" s="1452"/>
      <c r="H998" s="1452"/>
      <c r="I998" s="1452"/>
      <c r="J998" s="1452"/>
      <c r="K998" s="1452"/>
      <c r="L998" s="1452"/>
      <c r="M998" s="1452"/>
      <c r="N998" s="1452"/>
      <c r="O998" s="1452"/>
      <c r="P998" s="1452"/>
      <c r="Q998" s="1452"/>
      <c r="R998" s="1452"/>
      <c r="S998" s="1452"/>
      <c r="T998" s="1452"/>
      <c r="AR998" s="51"/>
    </row>
    <row r="999" spans="1:45" s="3" customFormat="1" thickBot="1">
      <c r="A999" s="531"/>
      <c r="O999" s="107"/>
      <c r="AR999" s="531"/>
    </row>
    <row r="1000" spans="1:45" s="520" customFormat="1" thickTop="1">
      <c r="A1000" s="51"/>
      <c r="B1000" s="51"/>
      <c r="C1000" s="3"/>
      <c r="D1000" s="3"/>
      <c r="E1000" s="51"/>
      <c r="F1000" s="51"/>
      <c r="G1000" s="51"/>
      <c r="H1000" s="51"/>
      <c r="I1000" s="51"/>
      <c r="J1000" s="51"/>
      <c r="K1000" s="51" t="s">
        <v>134</v>
      </c>
      <c r="L1000" s="51"/>
      <c r="M1000" s="51"/>
      <c r="N1000" s="51"/>
      <c r="O1000" s="52"/>
      <c r="P1000" s="51"/>
      <c r="Q1000" s="51"/>
      <c r="R1000" s="51"/>
      <c r="S1000" s="51"/>
      <c r="T1000" s="51"/>
      <c r="AR1000" s="51"/>
      <c r="AS1000" s="51"/>
    </row>
    <row r="1001" spans="1:45" s="520" customFormat="1" ht="12">
      <c r="A1001" s="51"/>
      <c r="B1001" s="51"/>
      <c r="C1001" s="51" t="s">
        <v>135</v>
      </c>
      <c r="D1001" s="37"/>
      <c r="E1001" s="51"/>
      <c r="F1001" s="51"/>
      <c r="G1001" s="51"/>
      <c r="H1001" s="51"/>
      <c r="I1001" s="51"/>
      <c r="J1001" s="51"/>
      <c r="K1001" s="51"/>
      <c r="L1001" s="51"/>
      <c r="M1001" s="51"/>
      <c r="N1001" s="51"/>
      <c r="O1001" s="52"/>
      <c r="P1001" s="51"/>
      <c r="Q1001" s="51"/>
      <c r="R1001" s="51"/>
      <c r="S1001" s="51"/>
      <c r="T1001" s="51"/>
      <c r="AR1001" s="51"/>
      <c r="AS1001" s="51"/>
    </row>
    <row r="1002" spans="1:45" s="520" customFormat="1" ht="12">
      <c r="A1002" s="51"/>
      <c r="B1002" s="51"/>
      <c r="C1002" s="51"/>
      <c r="D1002" s="37" t="s">
        <v>542</v>
      </c>
      <c r="E1002" s="51"/>
      <c r="F1002" s="51"/>
      <c r="G1002" s="51"/>
      <c r="H1002" s="51"/>
      <c r="I1002" s="51"/>
      <c r="J1002" s="51"/>
      <c r="K1002" s="51"/>
      <c r="L1002" s="51"/>
      <c r="M1002" s="51"/>
      <c r="N1002" s="51"/>
      <c r="O1002" s="52"/>
      <c r="P1002" s="51"/>
      <c r="Q1002" s="51"/>
      <c r="R1002" s="51"/>
      <c r="S1002" s="38"/>
      <c r="T1002" s="38"/>
      <c r="AR1002" s="51"/>
      <c r="AS1002" s="51"/>
    </row>
    <row r="1003" spans="1:45" s="3" customFormat="1" thickBot="1">
      <c r="A1003" s="531"/>
      <c r="O1003" s="107"/>
      <c r="AR1003" s="531"/>
    </row>
    <row r="1004" spans="1:45" s="520" customFormat="1" ht="12" thickTop="1">
      <c r="A1004" s="51"/>
      <c r="B1004" s="41"/>
      <c r="C1004" s="51"/>
      <c r="E1004" s="42" t="s">
        <v>138</v>
      </c>
      <c r="F1004" s="42" t="s">
        <v>139</v>
      </c>
      <c r="G1004" s="51"/>
      <c r="H1004" s="51"/>
      <c r="I1004" s="51"/>
      <c r="J1004" s="51"/>
      <c r="K1004" s="51" t="s">
        <v>140</v>
      </c>
      <c r="L1004" s="51"/>
      <c r="M1004" s="51"/>
      <c r="N1004" s="51"/>
      <c r="O1004" s="52"/>
      <c r="P1004" s="51"/>
      <c r="Q1004" s="51"/>
      <c r="R1004" s="51"/>
      <c r="S1004" s="51"/>
      <c r="T1004" s="41"/>
      <c r="AG1004" s="521" t="s">
        <v>268</v>
      </c>
      <c r="AH1004" s="521" t="s">
        <v>269</v>
      </c>
      <c r="AI1004" s="521" t="s">
        <v>270</v>
      </c>
      <c r="AJ1004" s="521" t="s">
        <v>271</v>
      </c>
      <c r="AK1004" s="521" t="s">
        <v>272</v>
      </c>
      <c r="AM1004" s="745" t="s">
        <v>281</v>
      </c>
      <c r="AN1004" s="746" t="s">
        <v>282</v>
      </c>
      <c r="AO1004" s="522" t="s">
        <v>278</v>
      </c>
      <c r="AR1004" s="51"/>
      <c r="AS1004" s="42" t="s">
        <v>139</v>
      </c>
    </row>
    <row r="1005" spans="1:45" s="520" customFormat="1" ht="12" customHeight="1">
      <c r="A1005" s="747">
        <v>10</v>
      </c>
      <c r="B1005" s="523" t="s">
        <v>320</v>
      </c>
      <c r="C1005" s="748"/>
      <c r="D1005" s="749" t="s">
        <v>1222</v>
      </c>
      <c r="E1005" s="1425">
        <f ca="1">IF(AND($A1005=0,$A$1="DIF"),0, ROUND(ROUND(($R1012*$S$10+($T1012*$T$10))/$A1005,2)*$C$10,2))</f>
        <v>0</v>
      </c>
      <c r="F1005" s="1426">
        <f ca="1">ROUND($A1005*$E1005,2)</f>
        <v>0</v>
      </c>
      <c r="G1005" s="752" t="s">
        <v>142</v>
      </c>
      <c r="H1005" s="753"/>
      <c r="I1005" s="754"/>
      <c r="J1005" s="753"/>
      <c r="K1005" s="753" t="s">
        <v>17</v>
      </c>
      <c r="L1005" s="755" t="s">
        <v>143</v>
      </c>
      <c r="M1005" s="755"/>
      <c r="N1005" s="755"/>
      <c r="O1005" s="755"/>
      <c r="P1005" s="755"/>
      <c r="Q1005" s="1058" t="s">
        <v>3848</v>
      </c>
      <c r="T1005" s="1430" t="str">
        <f ca="1">IF(AND($R1012=0,$T1012=0),"0.00","mu: "&amp; ROUND(F1005/$C$10/($R1012+$T1012*$D$9),2))</f>
        <v>0.00</v>
      </c>
      <c r="W1005" s="524"/>
      <c r="AG1005" s="1427">
        <f ca="1">IF($E1005=0,0,ROUND($R1012*$S$10*$C$10/$A1005,2))</f>
        <v>0</v>
      </c>
      <c r="AH1005" s="1427">
        <f ca="1">$AG1005*$A1005</f>
        <v>0</v>
      </c>
      <c r="AI1005" s="1428">
        <f ca="1">$E1005-$AG1005</f>
        <v>0</v>
      </c>
      <c r="AJ1005" s="1428">
        <f ca="1">$A1005*$AI1005</f>
        <v>0</v>
      </c>
      <c r="AK1005" s="1429">
        <f ca="1">ROUND(($AG1005+$AI1005)*$A1005,2)</f>
        <v>0</v>
      </c>
      <c r="AM1005" s="527">
        <f ca="1">ROUND(R1012,2)</f>
        <v>0</v>
      </c>
      <c r="AN1005" s="528">
        <f ca="1">ROUND(T1012,2)</f>
        <v>0</v>
      </c>
      <c r="AO1005" s="529">
        <f ca="1">ROUND(AM1005+AN1005,2)*A1005</f>
        <v>0</v>
      </c>
      <c r="AR1005" s="747">
        <v>10</v>
      </c>
      <c r="AS1005" s="751">
        <v>2806.6</v>
      </c>
    </row>
    <row r="1006" spans="1:45" s="520" customFormat="1" ht="39.9" customHeight="1">
      <c r="A1006" s="748"/>
      <c r="B1006"/>
      <c r="C1006" s="748"/>
      <c r="D1006" s="1451" t="s">
        <v>1223</v>
      </c>
      <c r="E1006" s="1452"/>
      <c r="F1006" s="1452"/>
      <c r="G1006" s="1452"/>
      <c r="H1006" s="1452"/>
      <c r="I1006" s="1452"/>
      <c r="J1006" s="1452"/>
      <c r="K1006" s="1452"/>
      <c r="L1006" s="1452"/>
      <c r="M1006" s="1452"/>
      <c r="N1006" s="1452"/>
      <c r="O1006" s="1452"/>
      <c r="P1006" s="1452"/>
      <c r="Q1006" s="1452"/>
      <c r="R1006" s="1452"/>
      <c r="S1006" s="1452"/>
      <c r="T1006" s="1452"/>
      <c r="AR1006" s="748"/>
    </row>
    <row r="1007" spans="1:45" s="1336" customFormat="1" ht="13.2">
      <c r="A1007" s="1086"/>
      <c r="B1007" s="1328"/>
      <c r="C1007" s="1328" t="s">
        <v>2597</v>
      </c>
      <c r="D1007" s="1328" t="str">
        <f ca="1">CELL("Address",Elec_Rates!D$281)</f>
        <v>[E25_0062_Quintano_Foods_Elec_ELV_As_Awarded.xlsx]Elec_Rates!$D$281</v>
      </c>
      <c r="E1007" s="1060"/>
      <c r="F1007" s="1060"/>
      <c r="G1007" s="1329" t="s">
        <v>2598</v>
      </c>
      <c r="H1007" s="1329"/>
      <c r="I1007" s="1329"/>
      <c r="J1007" s="1329"/>
      <c r="K1007" s="1330"/>
      <c r="L1007" s="1060"/>
      <c r="M1007" s="1060"/>
      <c r="N1007" s="1060"/>
      <c r="O1007" s="1331"/>
      <c r="P1007" s="1060"/>
      <c r="Q1007" s="1332"/>
      <c r="R1007" s="1333"/>
      <c r="S1007" s="1332"/>
      <c r="T1007" s="1334"/>
      <c r="U1007" s="1335"/>
      <c r="AR1007" s="1086"/>
      <c r="AS1007" s="1060"/>
    </row>
    <row r="1008" spans="1:45" s="1336" customFormat="1" ht="11.4">
      <c r="A1008" s="1337">
        <v>0</v>
      </c>
      <c r="B1008" s="1338">
        <v>1</v>
      </c>
      <c r="C1008" s="1338">
        <f>$A1008*$B1008</f>
        <v>0</v>
      </c>
      <c r="D1008" s="1339" t="str">
        <f>Elec_Rates!$D$281</f>
        <v>027# 5 x 120mm2 F120 Fire Resistant Cable (BS7846) -  XLPE/SWA/LSZH</v>
      </c>
      <c r="E1008" s="1339"/>
      <c r="F1008" s="1339" t="s">
        <v>2599</v>
      </c>
      <c r="G1008" s="1340" t="s">
        <v>2601</v>
      </c>
      <c r="H1008" s="1340"/>
      <c r="I1008" s="1340"/>
      <c r="J1008" s="1340"/>
      <c r="K1008" s="1341"/>
      <c r="L1008" s="1335"/>
      <c r="M1008" s="1335"/>
      <c r="N1008" s="1335"/>
      <c r="O1008" s="1342"/>
      <c r="P1008" s="1339"/>
      <c r="Q1008" s="1343">
        <f ca="1">$B1008*Elec_Rates!$R$281</f>
        <v>104.63</v>
      </c>
      <c r="R1008" s="1333">
        <f ca="1">$A1008*Q1008</f>
        <v>0</v>
      </c>
      <c r="S1008" s="1343">
        <f ca="1">$B1008*Elec_Rates!$T$281</f>
        <v>0.31</v>
      </c>
      <c r="T1008" s="1334">
        <f ca="1">$A1008*S1008</f>
        <v>0</v>
      </c>
      <c r="U1008" s="1344"/>
      <c r="AR1008" s="1337">
        <v>10</v>
      </c>
      <c r="AS1008" s="1339" t="s">
        <v>2599</v>
      </c>
    </row>
    <row r="1009" spans="1:45" s="1336" customFormat="1" ht="13.2">
      <c r="A1009" s="1086"/>
      <c r="B1009" s="1328"/>
      <c r="C1009" s="1328" t="s">
        <v>2597</v>
      </c>
      <c r="D1009" s="1328" t="str">
        <f ca="1">CELL("Address",Elec_Rates!D$281)</f>
        <v>[E25_0062_Quintano_Foods_Elec_ELV_As_Awarded.xlsx]Elec_Rates!$D$281</v>
      </c>
      <c r="E1009" s="1060"/>
      <c r="F1009" s="1060"/>
      <c r="G1009" s="1329" t="s">
        <v>2598</v>
      </c>
      <c r="H1009" s="1329"/>
      <c r="I1009" s="1329"/>
      <c r="J1009" s="1329"/>
      <c r="K1009" s="1330"/>
      <c r="L1009" s="1060"/>
      <c r="M1009" s="1060"/>
      <c r="N1009" s="1060"/>
      <c r="O1009" s="1331"/>
      <c r="P1009" s="1060"/>
      <c r="Q1009" s="1332"/>
      <c r="R1009" s="1333"/>
      <c r="S1009" s="1332"/>
      <c r="T1009" s="1334"/>
      <c r="U1009" s="1335"/>
      <c r="AR1009" s="1086"/>
      <c r="AS1009" s="1060"/>
    </row>
    <row r="1010" spans="1:45" s="1336" customFormat="1" ht="11.4">
      <c r="A1010" s="1337">
        <v>0</v>
      </c>
      <c r="B1010" s="1338">
        <v>1</v>
      </c>
      <c r="C1010" s="1338">
        <f>$A1010*$B1010</f>
        <v>0</v>
      </c>
      <c r="D1010" s="1339" t="str">
        <f>Elec_Rates!$D$281</f>
        <v>027# 5 x 120mm2 F120 Fire Resistant Cable (BS7846) -  XLPE/SWA/LSZH</v>
      </c>
      <c r="E1010" s="1339"/>
      <c r="F1010" s="1339" t="s">
        <v>2599</v>
      </c>
      <c r="G1010" s="1340" t="s">
        <v>2601</v>
      </c>
      <c r="H1010" s="1340"/>
      <c r="I1010" s="1340"/>
      <c r="J1010" s="1340"/>
      <c r="K1010" s="1341"/>
      <c r="L1010" s="1335"/>
      <c r="M1010" s="1335"/>
      <c r="N1010" s="1335"/>
      <c r="O1010" s="1342"/>
      <c r="P1010" s="1339"/>
      <c r="Q1010" s="1343">
        <f ca="1">$B1010*Elec_Rates!$R$281</f>
        <v>104.63</v>
      </c>
      <c r="R1010" s="1333">
        <f ca="1">$A1010*Q1010</f>
        <v>0</v>
      </c>
      <c r="S1010" s="1343">
        <f ca="1">$B1010*Elec_Rates!$T$281</f>
        <v>0.31</v>
      </c>
      <c r="T1010" s="1334">
        <f ca="1">$A1010*S1010</f>
        <v>0</v>
      </c>
      <c r="U1010" s="1344"/>
      <c r="AR1010" s="1337">
        <v>10</v>
      </c>
      <c r="AS1010" s="1339" t="s">
        <v>2599</v>
      </c>
    </row>
    <row r="1011" spans="1:45" s="520" customFormat="1" ht="12">
      <c r="A1011" s="758"/>
      <c r="B1011" s="758"/>
      <c r="C1011" s="758"/>
      <c r="D1011" s="758"/>
      <c r="E1011" s="758"/>
      <c r="F1011" s="753"/>
      <c r="G1011" s="758"/>
      <c r="H1011" s="758"/>
      <c r="I1011" s="519"/>
      <c r="J1011" s="758"/>
      <c r="K1011" s="758"/>
      <c r="L1011" s="758"/>
      <c r="M1011" s="758"/>
      <c r="N1011" s="758"/>
      <c r="O1011" s="758"/>
      <c r="P1011" s="758"/>
      <c r="Q1011" s="519"/>
      <c r="R1011" s="759">
        <f>$A1011*Q1011</f>
        <v>0</v>
      </c>
      <c r="S1011" s="519"/>
      <c r="T1011" s="760">
        <f>$A1011*S1011*$T$1</f>
        <v>0</v>
      </c>
      <c r="AR1011" s="758"/>
      <c r="AS1011" s="753"/>
    </row>
    <row r="1012" spans="1:45" s="520" customFormat="1" ht="12.6" thickBot="1">
      <c r="A1012" s="761" t="s">
        <v>145</v>
      </c>
      <c r="B1012" s="762">
        <f>(R1011+T1011)</f>
        <v>0</v>
      </c>
      <c r="C1012" s="763"/>
      <c r="D1012" s="763"/>
      <c r="E1012" s="763"/>
      <c r="F1012" s="764"/>
      <c r="G1012" s="763" t="s">
        <v>146</v>
      </c>
      <c r="H1012" s="763"/>
      <c r="I1012" s="765"/>
      <c r="J1012" s="763"/>
      <c r="K1012" s="763" t="s">
        <v>17</v>
      </c>
      <c r="L1012" s="766" t="s">
        <v>143</v>
      </c>
      <c r="M1012" s="766"/>
      <c r="N1012" s="766"/>
      <c r="O1012" s="766"/>
      <c r="P1012" s="766"/>
      <c r="Q1012" s="767"/>
      <c r="R1012" s="768">
        <f ca="1">SUM(R1006:R1011)</f>
        <v>0</v>
      </c>
      <c r="S1012" s="763"/>
      <c r="T1012" s="768">
        <f ca="1">SUM(T1006:T1011)</f>
        <v>0</v>
      </c>
      <c r="U1012" s="531"/>
      <c r="V1012" s="531"/>
      <c r="W1012" s="531"/>
      <c r="X1012" s="531"/>
      <c r="Y1012" s="531"/>
      <c r="Z1012" s="531"/>
      <c r="AA1012" s="531"/>
      <c r="AB1012" s="531"/>
      <c r="AC1012" s="531"/>
      <c r="AD1012" s="531"/>
      <c r="AE1012" s="531"/>
      <c r="AF1012" s="531"/>
      <c r="AG1012" s="531"/>
      <c r="AH1012" s="531"/>
      <c r="AI1012" s="531"/>
      <c r="AJ1012" s="531"/>
      <c r="AK1012" s="531"/>
      <c r="AL1012" s="531"/>
      <c r="AM1012" s="531"/>
      <c r="AN1012" s="531"/>
      <c r="AO1012" s="531"/>
      <c r="AR1012" s="761" t="s">
        <v>145</v>
      </c>
      <c r="AS1012" s="764"/>
    </row>
    <row r="1013" spans="1:45" s="520" customFormat="1" ht="12" thickTop="1">
      <c r="A1013" s="51"/>
      <c r="B1013" s="41"/>
      <c r="C1013" s="51"/>
      <c r="E1013" s="42" t="s">
        <v>138</v>
      </c>
      <c r="F1013" s="42" t="s">
        <v>139</v>
      </c>
      <c r="G1013" s="51"/>
      <c r="H1013" s="51"/>
      <c r="I1013" s="51"/>
      <c r="J1013" s="51"/>
      <c r="K1013" s="51" t="s">
        <v>140</v>
      </c>
      <c r="L1013" s="51"/>
      <c r="M1013" s="51"/>
      <c r="N1013" s="51"/>
      <c r="O1013" s="52"/>
      <c r="P1013" s="51"/>
      <c r="Q1013" s="51"/>
      <c r="R1013" s="51"/>
      <c r="S1013" s="51"/>
      <c r="T1013" s="41"/>
      <c r="AG1013" s="521" t="s">
        <v>268</v>
      </c>
      <c r="AH1013" s="521" t="s">
        <v>269</v>
      </c>
      <c r="AI1013" s="521" t="s">
        <v>270</v>
      </c>
      <c r="AJ1013" s="521" t="s">
        <v>271</v>
      </c>
      <c r="AK1013" s="521" t="s">
        <v>272</v>
      </c>
      <c r="AM1013" s="745" t="s">
        <v>281</v>
      </c>
      <c r="AN1013" s="746" t="s">
        <v>282</v>
      </c>
      <c r="AO1013" s="522" t="s">
        <v>278</v>
      </c>
      <c r="AR1013" s="51"/>
      <c r="AS1013" s="42" t="s">
        <v>139</v>
      </c>
    </row>
    <row r="1014" spans="1:45" s="520" customFormat="1" ht="12" customHeight="1">
      <c r="A1014" s="747">
        <v>10</v>
      </c>
      <c r="B1014" s="523" t="s">
        <v>320</v>
      </c>
      <c r="C1014" s="748"/>
      <c r="D1014" s="749" t="s">
        <v>1224</v>
      </c>
      <c r="E1014" s="1425">
        <f ca="1">IF(AND($A1014=0,$A$1="DIF"),0, ROUND(ROUND(($R1019*$S$10+($T1019*$T$10))/$A1014,2)*$C$10,2))</f>
        <v>107.91</v>
      </c>
      <c r="F1014" s="1426">
        <f ca="1">ROUND($A1014*$E1014,2)</f>
        <v>1079.0999999999999</v>
      </c>
      <c r="G1014" s="752" t="s">
        <v>142</v>
      </c>
      <c r="H1014" s="753"/>
      <c r="I1014" s="754"/>
      <c r="J1014" s="753"/>
      <c r="K1014" s="753" t="s">
        <v>17</v>
      </c>
      <c r="L1014" s="755" t="s">
        <v>143</v>
      </c>
      <c r="M1014" s="755"/>
      <c r="N1014" s="755"/>
      <c r="O1014" s="755"/>
      <c r="P1014" s="755"/>
      <c r="Q1014" s="51"/>
      <c r="T1014" s="1430" t="str">
        <f ca="1">IF(AND($R1019=0,$T1019=0),"0.00","mu: "&amp; ROUND(F1014/$C$10/($R1019+$T1019*$D$9),2))</f>
        <v>mu: 1.18</v>
      </c>
      <c r="W1014" s="524"/>
      <c r="AG1014" s="1427">
        <f ca="1">IF($E1014=0,0,ROUND($R1019*$S$10*$C$10/$A1014,2))</f>
        <v>99.16</v>
      </c>
      <c r="AH1014" s="1427">
        <f ca="1">$AG1014*$A1014</f>
        <v>991.59999999999991</v>
      </c>
      <c r="AI1014" s="1428">
        <f ca="1">$E1014-$AG1014</f>
        <v>8.75</v>
      </c>
      <c r="AJ1014" s="1428">
        <f ca="1">$A1014*$AI1014</f>
        <v>87.5</v>
      </c>
      <c r="AK1014" s="1429">
        <f ca="1">ROUND(($AG1014+$AI1014)*$A1014,2)</f>
        <v>1079.0999999999999</v>
      </c>
      <c r="AM1014" s="527">
        <f ca="1">ROUND(R1019,2)</f>
        <v>840.3</v>
      </c>
      <c r="AN1014" s="528">
        <f ca="1">ROUND(T1019,2)</f>
        <v>2.7</v>
      </c>
      <c r="AO1014" s="529">
        <f ca="1">ROUND(AM1014+AN1014,2)*A1014</f>
        <v>8430</v>
      </c>
      <c r="AR1014" s="747">
        <v>10</v>
      </c>
      <c r="AS1014" s="751">
        <v>1136.0999999999999</v>
      </c>
    </row>
    <row r="1015" spans="1:45" s="520" customFormat="1" ht="39.9" customHeight="1">
      <c r="A1015" s="748"/>
      <c r="B1015"/>
      <c r="C1015" s="748"/>
      <c r="D1015" s="1451" t="s">
        <v>1225</v>
      </c>
      <c r="E1015" s="1452"/>
      <c r="F1015" s="1452"/>
      <c r="G1015" s="1452"/>
      <c r="H1015" s="1452"/>
      <c r="I1015" s="1452"/>
      <c r="J1015" s="1452"/>
      <c r="K1015" s="1452"/>
      <c r="L1015" s="1452"/>
      <c r="M1015" s="1452"/>
      <c r="N1015" s="1452"/>
      <c r="O1015" s="1452"/>
      <c r="P1015" s="1452"/>
      <c r="Q1015" s="1452"/>
      <c r="R1015" s="1452"/>
      <c r="S1015" s="1452"/>
      <c r="T1015" s="1452"/>
      <c r="AR1015" s="748"/>
    </row>
    <row r="1016" spans="1:45" s="886" customFormat="1" ht="13.2">
      <c r="A1016"/>
      <c r="B1016" s="910"/>
      <c r="C1016" s="910" t="s">
        <v>2597</v>
      </c>
      <c r="D1016" s="910" t="str">
        <f ca="1">CELL("Address",Elec_Rates!D$303)</f>
        <v>[E25_0062_Quintano_Foods_Elec_ELV_As_Awarded.xlsx]Elec_Rates!$D$303</v>
      </c>
      <c r="E1016" s="911"/>
      <c r="F1016" s="911"/>
      <c r="G1016" s="912" t="s">
        <v>2598</v>
      </c>
      <c r="H1016" s="912"/>
      <c r="I1016" s="912"/>
      <c r="J1016" s="912"/>
      <c r="K1016" s="913"/>
      <c r="L1016" s="911"/>
      <c r="M1016" s="911"/>
      <c r="N1016" s="911"/>
      <c r="O1016" s="914"/>
      <c r="P1016" s="911"/>
      <c r="Q1016" s="915"/>
      <c r="R1016" s="916"/>
      <c r="S1016" s="915"/>
      <c r="T1016" s="917"/>
      <c r="U1016" s="918"/>
      <c r="AR1016"/>
      <c r="AS1016" s="911"/>
    </row>
    <row r="1017" spans="1:45" s="886" customFormat="1" ht="11.4">
      <c r="A1017" s="919">
        <v>10</v>
      </c>
      <c r="B1017" s="920">
        <v>1</v>
      </c>
      <c r="C1017" s="920">
        <f>$A1017*$B1017</f>
        <v>10</v>
      </c>
      <c r="D1017" s="921" t="str">
        <f>Elec_Rates!$D$303</f>
        <v>029# 5 x 95mm2 F120 Fire Resistant Cable (BS7846) -  XLPE/SWA/LSZH</v>
      </c>
      <c r="E1017" s="921"/>
      <c r="F1017" s="921" t="s">
        <v>2599</v>
      </c>
      <c r="G1017" s="922" t="s">
        <v>2601</v>
      </c>
      <c r="H1017" s="922"/>
      <c r="I1017" s="922"/>
      <c r="J1017" s="922"/>
      <c r="K1017" s="923"/>
      <c r="L1017" s="918"/>
      <c r="M1017" s="918"/>
      <c r="N1017" s="918"/>
      <c r="O1017" s="924"/>
      <c r="P1017" s="921"/>
      <c r="Q1017" s="925">
        <f ca="1">$B1017*Elec_Rates!$R$303</f>
        <v>84.03</v>
      </c>
      <c r="R1017" s="916">
        <f ca="1">$A1017*Q1017</f>
        <v>840.3</v>
      </c>
      <c r="S1017" s="925">
        <f ca="1">$B1017*Elec_Rates!$T$303</f>
        <v>0.27</v>
      </c>
      <c r="T1017" s="917">
        <f ca="1">$A1017*S1017</f>
        <v>2.7</v>
      </c>
      <c r="U1017" s="926"/>
      <c r="AR1017" s="919">
        <v>10</v>
      </c>
      <c r="AS1017" s="921" t="s">
        <v>2599</v>
      </c>
    </row>
    <row r="1018" spans="1:45" s="520" customFormat="1" ht="12">
      <c r="A1018" s="758"/>
      <c r="B1018" s="758"/>
      <c r="C1018" s="758"/>
      <c r="D1018" s="758"/>
      <c r="E1018" s="758"/>
      <c r="F1018" s="753"/>
      <c r="G1018" s="758"/>
      <c r="H1018" s="758"/>
      <c r="I1018" s="519"/>
      <c r="J1018" s="758"/>
      <c r="K1018" s="758"/>
      <c r="L1018" s="758"/>
      <c r="M1018" s="758"/>
      <c r="N1018" s="758"/>
      <c r="O1018" s="758"/>
      <c r="P1018" s="758"/>
      <c r="Q1018" s="519"/>
      <c r="R1018" s="759">
        <f>$A1018*Q1018</f>
        <v>0</v>
      </c>
      <c r="S1018" s="519"/>
      <c r="T1018" s="760">
        <f>$A1018*S1018*$T$1</f>
        <v>0</v>
      </c>
      <c r="AR1018" s="758"/>
      <c r="AS1018" s="753"/>
    </row>
    <row r="1019" spans="1:45" s="520" customFormat="1" ht="12.6" thickBot="1">
      <c r="A1019" s="761" t="s">
        <v>145</v>
      </c>
      <c r="B1019" s="762">
        <f>(R1018+T1018)</f>
        <v>0</v>
      </c>
      <c r="C1019" s="763"/>
      <c r="D1019" s="763"/>
      <c r="E1019" s="763"/>
      <c r="F1019" s="764"/>
      <c r="G1019" s="763" t="s">
        <v>146</v>
      </c>
      <c r="H1019" s="763"/>
      <c r="I1019" s="765"/>
      <c r="J1019" s="763"/>
      <c r="K1019" s="763" t="s">
        <v>17</v>
      </c>
      <c r="L1019" s="766" t="s">
        <v>143</v>
      </c>
      <c r="M1019" s="766"/>
      <c r="N1019" s="766"/>
      <c r="O1019" s="766"/>
      <c r="P1019" s="766"/>
      <c r="Q1019" s="767"/>
      <c r="R1019" s="768">
        <f ca="1">SUM(R1015:R1018)</f>
        <v>840.3</v>
      </c>
      <c r="S1019" s="763"/>
      <c r="T1019" s="768">
        <f ca="1">SUM(T1015:T1018)</f>
        <v>2.7</v>
      </c>
      <c r="U1019" s="531"/>
      <c r="V1019" s="531"/>
      <c r="W1019" s="531"/>
      <c r="X1019" s="531"/>
      <c r="Y1019" s="531"/>
      <c r="Z1019" s="531"/>
      <c r="AA1019" s="531"/>
      <c r="AB1019" s="531"/>
      <c r="AC1019" s="531"/>
      <c r="AD1019" s="531"/>
      <c r="AE1019" s="531"/>
      <c r="AF1019" s="531"/>
      <c r="AG1019" s="531"/>
      <c r="AH1019" s="531"/>
      <c r="AI1019" s="531"/>
      <c r="AJ1019" s="531"/>
      <c r="AK1019" s="531"/>
      <c r="AL1019" s="531"/>
      <c r="AM1019" s="531"/>
      <c r="AN1019" s="531"/>
      <c r="AO1019" s="531"/>
      <c r="AR1019" s="761" t="s">
        <v>145</v>
      </c>
      <c r="AS1019" s="764"/>
    </row>
    <row r="1020" spans="1:45" s="520" customFormat="1" ht="12" thickTop="1">
      <c r="A1020" s="51"/>
      <c r="B1020" s="41"/>
      <c r="C1020" s="51"/>
      <c r="E1020" s="42" t="s">
        <v>138</v>
      </c>
      <c r="F1020" s="42" t="s">
        <v>139</v>
      </c>
      <c r="G1020" s="51"/>
      <c r="H1020" s="51"/>
      <c r="I1020" s="51"/>
      <c r="J1020" s="51"/>
      <c r="K1020" s="51" t="s">
        <v>140</v>
      </c>
      <c r="L1020" s="51"/>
      <c r="M1020" s="51"/>
      <c r="N1020" s="51"/>
      <c r="O1020" s="52"/>
      <c r="P1020" s="51"/>
      <c r="Q1020" s="51"/>
      <c r="R1020" s="51"/>
      <c r="S1020" s="51"/>
      <c r="T1020" s="41"/>
      <c r="AG1020" s="521" t="s">
        <v>268</v>
      </c>
      <c r="AH1020" s="521" t="s">
        <v>269</v>
      </c>
      <c r="AI1020" s="521" t="s">
        <v>270</v>
      </c>
      <c r="AJ1020" s="521" t="s">
        <v>271</v>
      </c>
      <c r="AK1020" s="521" t="s">
        <v>272</v>
      </c>
      <c r="AM1020" s="745" t="s">
        <v>281</v>
      </c>
      <c r="AN1020" s="746" t="s">
        <v>282</v>
      </c>
      <c r="AO1020" s="522" t="s">
        <v>278</v>
      </c>
      <c r="AR1020" s="51"/>
      <c r="AS1020" s="42" t="s">
        <v>139</v>
      </c>
    </row>
    <row r="1021" spans="1:45" s="520" customFormat="1" ht="12" customHeight="1">
      <c r="A1021" s="747">
        <v>10</v>
      </c>
      <c r="B1021" s="523" t="s">
        <v>320</v>
      </c>
      <c r="C1021" s="748"/>
      <c r="D1021" s="749" t="s">
        <v>1226</v>
      </c>
      <c r="E1021" s="750">
        <f ca="1">IF(AND($A1021=0,$A$1="DIF"),0, ROUND(ROUND(($R1026*$S$2+($T1026*$T$2))/A1021,2)*$C$2,2))</f>
        <v>35.24</v>
      </c>
      <c r="F1021" s="751">
        <f ca="1">ROUND($A1021*$E1021,2)</f>
        <v>352.4</v>
      </c>
      <c r="G1021" s="752" t="s">
        <v>142</v>
      </c>
      <c r="H1021" s="753"/>
      <c r="I1021" s="754"/>
      <c r="J1021" s="753"/>
      <c r="K1021" s="753" t="s">
        <v>3</v>
      </c>
      <c r="L1021" s="755" t="s">
        <v>143</v>
      </c>
      <c r="M1021" s="755"/>
      <c r="N1021" s="755"/>
      <c r="O1021" s="755"/>
      <c r="P1021" s="755"/>
      <c r="Q1021" s="51"/>
      <c r="T1021" s="756" t="str">
        <f ca="1">IF(AND($R1026=0,$T1026=0),"0.00","mu :" &amp; ROUND($F1021/$C$2/($R1026+$T1026*$D$9),2))</f>
        <v>mu :1.23</v>
      </c>
      <c r="W1021" s="524"/>
      <c r="AG1021" s="481">
        <f ca="1">IF($E1021=0,0,ROUND($R1026*$S$2*$C$2/$A1021,2))</f>
        <v>31.52</v>
      </c>
      <c r="AH1021" s="481">
        <f ca="1">$AG1021*$A1021</f>
        <v>315.2</v>
      </c>
      <c r="AI1021" s="525">
        <f ca="1">$E1021-$AG1021</f>
        <v>3.7200000000000024</v>
      </c>
      <c r="AJ1021" s="525">
        <f ca="1">$A1021*$AI1021</f>
        <v>37.200000000000024</v>
      </c>
      <c r="AK1021" s="526">
        <f ca="1">ROUND(($AG1021+$AI1021)*$A1021,2)</f>
        <v>352.4</v>
      </c>
      <c r="AM1021" s="527">
        <f ca="1">ROUND(R1026,2)</f>
        <v>256</v>
      </c>
      <c r="AN1021" s="528">
        <f ca="1">ROUND(T1026,2)</f>
        <v>1.1000000000000001</v>
      </c>
      <c r="AO1021" s="529">
        <f ca="1">ROUND(AM1021+AN1021,2)*A1021</f>
        <v>2571</v>
      </c>
      <c r="AR1021" s="747">
        <v>10</v>
      </c>
      <c r="AS1021" s="751">
        <v>355.8</v>
      </c>
    </row>
    <row r="1022" spans="1:45" s="520" customFormat="1" ht="39.9" customHeight="1">
      <c r="A1022" s="748"/>
      <c r="B1022"/>
      <c r="C1022" s="748"/>
      <c r="D1022" s="1451" t="s">
        <v>1227</v>
      </c>
      <c r="E1022" s="1452"/>
      <c r="F1022" s="1452"/>
      <c r="G1022" s="1452"/>
      <c r="H1022" s="1452"/>
      <c r="I1022" s="1452"/>
      <c r="J1022" s="1452"/>
      <c r="K1022" s="1452"/>
      <c r="L1022" s="1452"/>
      <c r="M1022" s="1452"/>
      <c r="N1022" s="1452"/>
      <c r="O1022" s="1452"/>
      <c r="P1022" s="1452"/>
      <c r="Q1022" s="1452"/>
      <c r="R1022" s="1452"/>
      <c r="S1022" s="1452"/>
      <c r="T1022" s="1452"/>
      <c r="AR1022" s="748"/>
    </row>
    <row r="1023" spans="1:45" s="886" customFormat="1" ht="13.2">
      <c r="A1023"/>
      <c r="B1023" s="910"/>
      <c r="C1023" s="910" t="s">
        <v>2597</v>
      </c>
      <c r="D1023" s="910" t="str">
        <f ca="1">CELL("Address",Elec_Rates!D$385)</f>
        <v>[E25_0062_Quintano_Foods_Elec_ELV_As_Awarded.xlsx]Elec_Rates!$D$385</v>
      </c>
      <c r="E1023" s="911"/>
      <c r="F1023" s="911"/>
      <c r="G1023" s="912" t="s">
        <v>2598</v>
      </c>
      <c r="H1023" s="912"/>
      <c r="I1023" s="912"/>
      <c r="J1023" s="912"/>
      <c r="K1023" s="913"/>
      <c r="L1023" s="911"/>
      <c r="M1023" s="911"/>
      <c r="N1023" s="911"/>
      <c r="O1023" s="914"/>
      <c r="P1023" s="911"/>
      <c r="Q1023" s="915"/>
      <c r="R1023" s="916"/>
      <c r="S1023" s="915"/>
      <c r="T1023" s="917"/>
      <c r="U1023" s="918"/>
      <c r="AR1023"/>
      <c r="AS1023" s="911"/>
    </row>
    <row r="1024" spans="1:45" s="886" customFormat="1" ht="11.4">
      <c r="A1024" s="919">
        <v>10</v>
      </c>
      <c r="B1024" s="920">
        <v>1</v>
      </c>
      <c r="C1024" s="920">
        <f>$A1024*$B1024</f>
        <v>10</v>
      </c>
      <c r="D1024" s="921" t="str">
        <f>Elec_Rates!$D$385</f>
        <v>037# 5 x 16mm2 F120 Fire Resistant Cable (BS7846) -  XLPE/SWA/LSZH</v>
      </c>
      <c r="E1024" s="921"/>
      <c r="F1024" s="921" t="s">
        <v>2599</v>
      </c>
      <c r="G1024" s="922" t="s">
        <v>2601</v>
      </c>
      <c r="H1024" s="922"/>
      <c r="I1024" s="922"/>
      <c r="J1024" s="922"/>
      <c r="K1024" s="923"/>
      <c r="L1024" s="918"/>
      <c r="M1024" s="918"/>
      <c r="N1024" s="918"/>
      <c r="O1024" s="924"/>
      <c r="P1024" s="921"/>
      <c r="Q1024" s="925">
        <f ca="1">$B1024*Elec_Rates!$R$385</f>
        <v>25.6</v>
      </c>
      <c r="R1024" s="916">
        <f ca="1">$A1024*Q1024</f>
        <v>256</v>
      </c>
      <c r="S1024" s="925">
        <f ca="1">$B1024*Elec_Rates!$T$385</f>
        <v>0.11</v>
      </c>
      <c r="T1024" s="917">
        <f ca="1">$A1024*S1024</f>
        <v>1.1000000000000001</v>
      </c>
      <c r="U1024" s="926"/>
      <c r="AR1024" s="919">
        <v>10</v>
      </c>
      <c r="AS1024" s="921" t="s">
        <v>2599</v>
      </c>
    </row>
    <row r="1025" spans="1:45" s="520" customFormat="1" ht="12">
      <c r="A1025" s="758"/>
      <c r="B1025" s="758"/>
      <c r="C1025" s="758"/>
      <c r="D1025" s="758"/>
      <c r="E1025" s="758"/>
      <c r="F1025" s="753"/>
      <c r="G1025" s="758"/>
      <c r="H1025" s="758"/>
      <c r="I1025" s="519"/>
      <c r="J1025" s="758"/>
      <c r="K1025" s="758"/>
      <c r="L1025" s="758"/>
      <c r="M1025" s="758"/>
      <c r="N1025" s="758"/>
      <c r="O1025" s="758"/>
      <c r="P1025" s="758"/>
      <c r="Q1025" s="519"/>
      <c r="R1025" s="759">
        <f>$A1025*Q1025</f>
        <v>0</v>
      </c>
      <c r="S1025" s="519"/>
      <c r="T1025" s="760">
        <f>$A1025*S1025*$T$1</f>
        <v>0</v>
      </c>
      <c r="AR1025" s="758"/>
      <c r="AS1025" s="753"/>
    </row>
    <row r="1026" spans="1:45" s="520" customFormat="1" ht="12.6" thickBot="1">
      <c r="A1026" s="761" t="s">
        <v>145</v>
      </c>
      <c r="B1026" s="762">
        <f>(R1025+T1025)</f>
        <v>0</v>
      </c>
      <c r="C1026" s="763"/>
      <c r="D1026" s="763"/>
      <c r="E1026" s="763"/>
      <c r="F1026" s="764"/>
      <c r="G1026" s="763" t="s">
        <v>146</v>
      </c>
      <c r="H1026" s="763"/>
      <c r="I1026" s="765"/>
      <c r="J1026" s="763"/>
      <c r="K1026" s="763" t="s">
        <v>3</v>
      </c>
      <c r="L1026" s="766" t="s">
        <v>143</v>
      </c>
      <c r="M1026" s="766"/>
      <c r="N1026" s="766"/>
      <c r="O1026" s="766"/>
      <c r="P1026" s="766"/>
      <c r="Q1026" s="767"/>
      <c r="R1026" s="768">
        <f ca="1">SUM(R1022:R1025)</f>
        <v>256</v>
      </c>
      <c r="S1026" s="763"/>
      <c r="T1026" s="768">
        <f ca="1">SUM(T1022:T1025)</f>
        <v>1.1000000000000001</v>
      </c>
      <c r="U1026" s="531"/>
      <c r="V1026" s="531"/>
      <c r="W1026" s="531"/>
      <c r="X1026" s="531"/>
      <c r="Y1026" s="531"/>
      <c r="Z1026" s="531"/>
      <c r="AA1026" s="531"/>
      <c r="AB1026" s="531"/>
      <c r="AC1026" s="531"/>
      <c r="AD1026" s="531"/>
      <c r="AE1026" s="531"/>
      <c r="AF1026" s="531"/>
      <c r="AG1026" s="531"/>
      <c r="AH1026" s="531"/>
      <c r="AI1026" s="531"/>
      <c r="AJ1026" s="531"/>
      <c r="AK1026" s="531"/>
      <c r="AL1026" s="531"/>
      <c r="AM1026" s="531"/>
      <c r="AN1026" s="531"/>
      <c r="AO1026" s="531"/>
      <c r="AR1026" s="761" t="s">
        <v>145</v>
      </c>
      <c r="AS1026" s="764"/>
    </row>
    <row r="1027" spans="1:45" s="520" customFormat="1" ht="12" thickTop="1">
      <c r="A1027" s="51"/>
      <c r="B1027" s="41"/>
      <c r="C1027" s="51"/>
      <c r="E1027" s="42" t="s">
        <v>138</v>
      </c>
      <c r="F1027" s="42" t="s">
        <v>139</v>
      </c>
      <c r="G1027" s="51"/>
      <c r="H1027" s="51"/>
      <c r="I1027" s="51"/>
      <c r="J1027" s="51"/>
      <c r="K1027" s="51" t="s">
        <v>140</v>
      </c>
      <c r="L1027" s="51"/>
      <c r="M1027" s="51"/>
      <c r="N1027" s="51"/>
      <c r="O1027" s="52"/>
      <c r="P1027" s="51"/>
      <c r="Q1027" s="51"/>
      <c r="R1027" s="51"/>
      <c r="S1027" s="51"/>
      <c r="T1027" s="41"/>
      <c r="AG1027" s="521" t="s">
        <v>268</v>
      </c>
      <c r="AH1027" s="521" t="s">
        <v>269</v>
      </c>
      <c r="AI1027" s="521" t="s">
        <v>270</v>
      </c>
      <c r="AJ1027" s="521" t="s">
        <v>271</v>
      </c>
      <c r="AK1027" s="521" t="s">
        <v>272</v>
      </c>
      <c r="AM1027" s="745" t="s">
        <v>281</v>
      </c>
      <c r="AN1027" s="746" t="s">
        <v>282</v>
      </c>
      <c r="AO1027" s="522" t="s">
        <v>278</v>
      </c>
      <c r="AR1027" s="51"/>
      <c r="AS1027" s="42" t="s">
        <v>139</v>
      </c>
    </row>
    <row r="1028" spans="1:45" s="520" customFormat="1" ht="12" customHeight="1">
      <c r="A1028" s="747">
        <v>10</v>
      </c>
      <c r="B1028" s="523" t="s">
        <v>320</v>
      </c>
      <c r="C1028" s="748"/>
      <c r="D1028" s="749" t="s">
        <v>1228</v>
      </c>
      <c r="E1028" s="750">
        <f ca="1">IF(AND($A1028=0,$A$1="DIF"),0, ROUND(ROUND(($R1033*$S$2+($T1033*$T$2))/A1028,2)*$C$2,2))</f>
        <v>55.61</v>
      </c>
      <c r="F1028" s="751">
        <f ca="1">ROUND($A1028*$E1028,2)</f>
        <v>556.1</v>
      </c>
      <c r="G1028" s="752" t="s">
        <v>142</v>
      </c>
      <c r="H1028" s="753"/>
      <c r="I1028" s="754"/>
      <c r="J1028" s="753"/>
      <c r="K1028" s="753" t="s">
        <v>3</v>
      </c>
      <c r="L1028" s="755" t="s">
        <v>143</v>
      </c>
      <c r="M1028" s="755"/>
      <c r="N1028" s="755"/>
      <c r="O1028" s="755"/>
      <c r="P1028" s="755"/>
      <c r="Q1028" s="51"/>
      <c r="T1028" s="756" t="str">
        <f ca="1">IF(AND($R1033=0,$T1033=0),"0.00","mu :" &amp; ROUND($F1028/$C$2/($R1033+$T1033*$D$9),2))</f>
        <v>mu :1.23</v>
      </c>
      <c r="W1028" s="524"/>
      <c r="AG1028" s="481">
        <f ca="1">IF($E1028=0,0,ROUND($R1033*$S$2*$C$2/$A1028,2))</f>
        <v>47.49</v>
      </c>
      <c r="AH1028" s="481">
        <f ca="1">$AG1028*$A1028</f>
        <v>474.90000000000003</v>
      </c>
      <c r="AI1028" s="525">
        <f ca="1">$E1028-$AG1028</f>
        <v>8.1199999999999974</v>
      </c>
      <c r="AJ1028" s="525">
        <f ca="1">$A1028*$AI1028</f>
        <v>81.199999999999974</v>
      </c>
      <c r="AK1028" s="526">
        <f ca="1">ROUND(($AG1028+$AI1028)*$A1028,2)</f>
        <v>556.1</v>
      </c>
      <c r="AM1028" s="527">
        <f ca="1">ROUND(R1033,2)</f>
        <v>385.7</v>
      </c>
      <c r="AN1028" s="528">
        <f ca="1">ROUND(T1033,2)</f>
        <v>2.4</v>
      </c>
      <c r="AO1028" s="529">
        <f ca="1">ROUND(AM1028+AN1028,2)*A1028</f>
        <v>3881</v>
      </c>
      <c r="AR1028" s="747">
        <v>10</v>
      </c>
      <c r="AS1028" s="751">
        <v>562.79999999999995</v>
      </c>
    </row>
    <row r="1029" spans="1:45" s="520" customFormat="1" ht="39.9" customHeight="1">
      <c r="A1029" s="748"/>
      <c r="B1029"/>
      <c r="C1029" s="748"/>
      <c r="D1029" s="1451" t="s">
        <v>1229</v>
      </c>
      <c r="E1029" s="1452"/>
      <c r="F1029" s="1452"/>
      <c r="G1029" s="1452"/>
      <c r="H1029" s="1452"/>
      <c r="I1029" s="1452"/>
      <c r="J1029" s="1452"/>
      <c r="K1029" s="1452"/>
      <c r="L1029" s="1452"/>
      <c r="M1029" s="1452"/>
      <c r="N1029" s="1452"/>
      <c r="O1029" s="1452"/>
      <c r="P1029" s="1452"/>
      <c r="Q1029" s="1452"/>
      <c r="R1029" s="1452"/>
      <c r="S1029" s="1452"/>
      <c r="T1029" s="1452"/>
      <c r="AR1029" s="748"/>
    </row>
    <row r="1030" spans="1:45" s="886" customFormat="1" ht="13.2">
      <c r="A1030"/>
      <c r="B1030" s="910"/>
      <c r="C1030" s="910" t="s">
        <v>2597</v>
      </c>
      <c r="D1030" s="910" t="str">
        <f ca="1">CELL("Address",Elec_Rates!D$345)</f>
        <v>[E25_0062_Quintano_Foods_Elec_ELV_As_Awarded.xlsx]Elec_Rates!$D$345</v>
      </c>
      <c r="E1030" s="911"/>
      <c r="F1030" s="911"/>
      <c r="G1030" s="912" t="s">
        <v>2598</v>
      </c>
      <c r="H1030" s="912"/>
      <c r="I1030" s="912"/>
      <c r="J1030" s="912"/>
      <c r="K1030" s="913"/>
      <c r="L1030" s="911"/>
      <c r="M1030" s="911"/>
      <c r="N1030" s="911"/>
      <c r="O1030" s="914"/>
      <c r="P1030" s="911"/>
      <c r="Q1030" s="915"/>
      <c r="R1030" s="916"/>
      <c r="S1030" s="915"/>
      <c r="T1030" s="917"/>
      <c r="U1030" s="918"/>
      <c r="AR1030"/>
      <c r="AS1030" s="911"/>
    </row>
    <row r="1031" spans="1:45" s="886" customFormat="1" ht="11.4">
      <c r="A1031" s="919">
        <v>10</v>
      </c>
      <c r="B1031" s="920">
        <v>1</v>
      </c>
      <c r="C1031" s="920">
        <f>$A1031*$B1031</f>
        <v>10</v>
      </c>
      <c r="D1031" s="921" t="str">
        <f>Elec_Rates!$D$345</f>
        <v>033# 5 x 35mm2 F120 Fire Resistant Cable (BS7846) -  XLPE/SWA/LSZH</v>
      </c>
      <c r="E1031" s="921"/>
      <c r="F1031" s="921" t="s">
        <v>2599</v>
      </c>
      <c r="G1031" s="922" t="s">
        <v>2601</v>
      </c>
      <c r="H1031" s="922"/>
      <c r="I1031" s="922"/>
      <c r="J1031" s="922"/>
      <c r="K1031" s="923"/>
      <c r="L1031" s="918"/>
      <c r="M1031" s="918"/>
      <c r="N1031" s="918"/>
      <c r="O1031" s="924"/>
      <c r="P1031" s="921"/>
      <c r="Q1031" s="925">
        <f ca="1">$B1031*Elec_Rates!$R$345</f>
        <v>38.57</v>
      </c>
      <c r="R1031" s="916">
        <f ca="1">$A1031*Q1031</f>
        <v>385.7</v>
      </c>
      <c r="S1031" s="925">
        <f ca="1">$B1031*Elec_Rates!$T$345</f>
        <v>0.24</v>
      </c>
      <c r="T1031" s="917">
        <f ca="1">$A1031*S1031</f>
        <v>2.4</v>
      </c>
      <c r="U1031" s="926"/>
      <c r="AR1031" s="919">
        <v>10</v>
      </c>
      <c r="AS1031" s="921" t="s">
        <v>2599</v>
      </c>
    </row>
    <row r="1032" spans="1:45" s="520" customFormat="1" ht="12">
      <c r="A1032" s="758"/>
      <c r="B1032" s="758"/>
      <c r="C1032" s="758"/>
      <c r="D1032" s="758"/>
      <c r="E1032" s="758"/>
      <c r="F1032" s="753"/>
      <c r="G1032" s="758"/>
      <c r="H1032" s="758"/>
      <c r="I1032" s="519"/>
      <c r="J1032" s="758"/>
      <c r="K1032" s="758"/>
      <c r="L1032" s="758"/>
      <c r="M1032" s="758"/>
      <c r="N1032" s="758"/>
      <c r="O1032" s="758"/>
      <c r="P1032" s="758"/>
      <c r="Q1032" s="519"/>
      <c r="R1032" s="759">
        <f>$A1032*Q1032</f>
        <v>0</v>
      </c>
      <c r="S1032" s="519"/>
      <c r="T1032" s="760">
        <f>$A1032*S1032*$T$1</f>
        <v>0</v>
      </c>
      <c r="AR1032" s="758"/>
      <c r="AS1032" s="753"/>
    </row>
    <row r="1033" spans="1:45" s="520" customFormat="1" ht="12.6" thickBot="1">
      <c r="A1033" s="761" t="s">
        <v>145</v>
      </c>
      <c r="B1033" s="762">
        <f>(R1032+T1032)</f>
        <v>0</v>
      </c>
      <c r="C1033" s="763"/>
      <c r="D1033" s="763"/>
      <c r="E1033" s="763"/>
      <c r="F1033" s="764"/>
      <c r="G1033" s="763" t="s">
        <v>146</v>
      </c>
      <c r="H1033" s="763"/>
      <c r="I1033" s="765"/>
      <c r="J1033" s="763"/>
      <c r="K1033" s="763" t="s">
        <v>3</v>
      </c>
      <c r="L1033" s="766" t="s">
        <v>143</v>
      </c>
      <c r="M1033" s="766"/>
      <c r="N1033" s="766"/>
      <c r="O1033" s="766"/>
      <c r="P1033" s="766"/>
      <c r="Q1033" s="767"/>
      <c r="R1033" s="768">
        <f ca="1">SUM(R1029:R1032)</f>
        <v>385.7</v>
      </c>
      <c r="S1033" s="763"/>
      <c r="T1033" s="768">
        <f ca="1">SUM(T1029:T1032)</f>
        <v>2.4</v>
      </c>
      <c r="U1033" s="531"/>
      <c r="V1033" s="531"/>
      <c r="W1033" s="531"/>
      <c r="X1033" s="531"/>
      <c r="Y1033" s="531"/>
      <c r="Z1033" s="531"/>
      <c r="AA1033" s="531"/>
      <c r="AB1033" s="531"/>
      <c r="AC1033" s="531"/>
      <c r="AD1033" s="531"/>
      <c r="AE1033" s="531"/>
      <c r="AF1033" s="531"/>
      <c r="AG1033" s="531"/>
      <c r="AH1033" s="531"/>
      <c r="AI1033" s="531"/>
      <c r="AJ1033" s="531"/>
      <c r="AK1033" s="531"/>
      <c r="AL1033" s="531"/>
      <c r="AM1033" s="531"/>
      <c r="AN1033" s="531"/>
      <c r="AO1033" s="531"/>
      <c r="AR1033" s="761" t="s">
        <v>145</v>
      </c>
      <c r="AS1033" s="764"/>
    </row>
    <row r="1034" spans="1:45" s="520" customFormat="1" ht="12" thickTop="1">
      <c r="A1034" s="51"/>
      <c r="B1034" s="41"/>
      <c r="C1034" s="51"/>
      <c r="E1034" s="42" t="s">
        <v>138</v>
      </c>
      <c r="F1034" s="42" t="s">
        <v>139</v>
      </c>
      <c r="G1034" s="51"/>
      <c r="H1034" s="51"/>
      <c r="I1034" s="51"/>
      <c r="J1034" s="51"/>
      <c r="K1034" s="51" t="s">
        <v>140</v>
      </c>
      <c r="L1034" s="51"/>
      <c r="M1034" s="51"/>
      <c r="N1034" s="51"/>
      <c r="O1034" s="52"/>
      <c r="P1034" s="51"/>
      <c r="Q1034" s="51"/>
      <c r="R1034" s="51"/>
      <c r="S1034" s="51"/>
      <c r="T1034" s="41"/>
      <c r="AG1034" s="521" t="s">
        <v>268</v>
      </c>
      <c r="AH1034" s="521" t="s">
        <v>269</v>
      </c>
      <c r="AI1034" s="521" t="s">
        <v>270</v>
      </c>
      <c r="AJ1034" s="521" t="s">
        <v>271</v>
      </c>
      <c r="AK1034" s="521" t="s">
        <v>272</v>
      </c>
      <c r="AM1034" s="745" t="s">
        <v>281</v>
      </c>
      <c r="AN1034" s="746" t="s">
        <v>282</v>
      </c>
      <c r="AO1034" s="522" t="s">
        <v>278</v>
      </c>
      <c r="AR1034" s="51"/>
      <c r="AS1034" s="42" t="s">
        <v>139</v>
      </c>
    </row>
    <row r="1035" spans="1:45" s="520" customFormat="1" ht="12" customHeight="1">
      <c r="A1035" s="747">
        <v>10</v>
      </c>
      <c r="B1035" s="523" t="s">
        <v>320</v>
      </c>
      <c r="C1035" s="748"/>
      <c r="D1035" s="749" t="s">
        <v>1230</v>
      </c>
      <c r="E1035" s="750">
        <f ca="1">IF(AND($A1035=0,$A$1="DIF"),0, ROUND(ROUND(($R1040*$S$2+($T1040*$T$2))/A1035,2)*$C$2,2))</f>
        <v>55.61</v>
      </c>
      <c r="F1035" s="751">
        <f ca="1">ROUND($A1035*$E1035,2)</f>
        <v>556.1</v>
      </c>
      <c r="G1035" s="752" t="s">
        <v>142</v>
      </c>
      <c r="H1035" s="753"/>
      <c r="I1035" s="754"/>
      <c r="J1035" s="753"/>
      <c r="K1035" s="753" t="s">
        <v>3</v>
      </c>
      <c r="L1035" s="755" t="s">
        <v>143</v>
      </c>
      <c r="M1035" s="755"/>
      <c r="N1035" s="755"/>
      <c r="O1035" s="755"/>
      <c r="P1035" s="755"/>
      <c r="Q1035" s="51"/>
      <c r="T1035" s="756" t="str">
        <f ca="1">IF(AND($R1040=0,$T1040=0),"0.00","mu :" &amp; ROUND($F1035/$C$2/($R1040+$T1040*$D$9),2))</f>
        <v>mu :1.23</v>
      </c>
      <c r="W1035" s="524"/>
      <c r="AG1035" s="481">
        <f ca="1">IF($E1035=0,0,ROUND($R1040*$S$2*$C$2/$A1035,2))</f>
        <v>47.49</v>
      </c>
      <c r="AH1035" s="481">
        <f ca="1">$AG1035*$A1035</f>
        <v>474.90000000000003</v>
      </c>
      <c r="AI1035" s="525">
        <f ca="1">$E1035-$AG1035</f>
        <v>8.1199999999999974</v>
      </c>
      <c r="AJ1035" s="525">
        <f ca="1">$A1035*$AI1035</f>
        <v>81.199999999999974</v>
      </c>
      <c r="AK1035" s="526">
        <f ca="1">ROUND(($AG1035+$AI1035)*$A1035,2)</f>
        <v>556.1</v>
      </c>
      <c r="AM1035" s="527">
        <f ca="1">ROUND(R1040,2)</f>
        <v>385.7</v>
      </c>
      <c r="AN1035" s="528">
        <f ca="1">ROUND(T1040,2)</f>
        <v>2.4</v>
      </c>
      <c r="AO1035" s="529">
        <f ca="1">ROUND(AM1035+AN1035,2)*A1035</f>
        <v>3881</v>
      </c>
      <c r="AR1035" s="747">
        <v>10</v>
      </c>
      <c r="AS1035" s="751">
        <v>562.79999999999995</v>
      </c>
    </row>
    <row r="1036" spans="1:45" s="520" customFormat="1" ht="39.9" customHeight="1">
      <c r="A1036" s="748"/>
      <c r="B1036"/>
      <c r="C1036" s="748"/>
      <c r="D1036" s="1451" t="s">
        <v>1231</v>
      </c>
      <c r="E1036" s="1452"/>
      <c r="F1036" s="1452"/>
      <c r="G1036" s="1452"/>
      <c r="H1036" s="1452"/>
      <c r="I1036" s="1452"/>
      <c r="J1036" s="1452"/>
      <c r="K1036" s="1452"/>
      <c r="L1036" s="1452"/>
      <c r="M1036" s="1452"/>
      <c r="N1036" s="1452"/>
      <c r="O1036" s="1452"/>
      <c r="P1036" s="1452"/>
      <c r="Q1036" s="1452"/>
      <c r="R1036" s="1452"/>
      <c r="S1036" s="1452"/>
      <c r="T1036" s="1452"/>
      <c r="AR1036" s="748"/>
    </row>
    <row r="1037" spans="1:45" s="886" customFormat="1" ht="13.2">
      <c r="A1037"/>
      <c r="B1037" s="910"/>
      <c r="C1037" s="910" t="s">
        <v>2597</v>
      </c>
      <c r="D1037" s="910" t="str">
        <f ca="1">CELL("Address",Elec_Rates!D$345)</f>
        <v>[E25_0062_Quintano_Foods_Elec_ELV_As_Awarded.xlsx]Elec_Rates!$D$345</v>
      </c>
      <c r="E1037" s="911"/>
      <c r="F1037" s="911"/>
      <c r="G1037" s="912" t="s">
        <v>2598</v>
      </c>
      <c r="H1037" s="912"/>
      <c r="I1037" s="912"/>
      <c r="J1037" s="912"/>
      <c r="K1037" s="913"/>
      <c r="L1037" s="911"/>
      <c r="M1037" s="911"/>
      <c r="N1037" s="911"/>
      <c r="O1037" s="914"/>
      <c r="P1037" s="911"/>
      <c r="Q1037" s="915"/>
      <c r="R1037" s="916"/>
      <c r="S1037" s="915"/>
      <c r="T1037" s="917"/>
      <c r="U1037" s="918"/>
      <c r="AR1037"/>
      <c r="AS1037" s="911"/>
    </row>
    <row r="1038" spans="1:45" s="886" customFormat="1" ht="11.4">
      <c r="A1038" s="919">
        <v>10</v>
      </c>
      <c r="B1038" s="920">
        <v>1</v>
      </c>
      <c r="C1038" s="920">
        <f>$A1038*$B1038</f>
        <v>10</v>
      </c>
      <c r="D1038" s="921" t="str">
        <f>Elec_Rates!$D$345</f>
        <v>033# 5 x 35mm2 F120 Fire Resistant Cable (BS7846) -  XLPE/SWA/LSZH</v>
      </c>
      <c r="E1038" s="921"/>
      <c r="F1038" s="921" t="s">
        <v>2599</v>
      </c>
      <c r="G1038" s="922" t="s">
        <v>2601</v>
      </c>
      <c r="H1038" s="922"/>
      <c r="I1038" s="922"/>
      <c r="J1038" s="922"/>
      <c r="K1038" s="923"/>
      <c r="L1038" s="918"/>
      <c r="M1038" s="918"/>
      <c r="N1038" s="918"/>
      <c r="O1038" s="924"/>
      <c r="P1038" s="921"/>
      <c r="Q1038" s="925">
        <f ca="1">$B1038*Elec_Rates!$R$345</f>
        <v>38.57</v>
      </c>
      <c r="R1038" s="916">
        <f ca="1">$A1038*Q1038</f>
        <v>385.7</v>
      </c>
      <c r="S1038" s="925">
        <f ca="1">$B1038*Elec_Rates!$T$345</f>
        <v>0.24</v>
      </c>
      <c r="T1038" s="917">
        <f ca="1">$A1038*S1038</f>
        <v>2.4</v>
      </c>
      <c r="U1038" s="926"/>
      <c r="AR1038" s="919">
        <v>10</v>
      </c>
      <c r="AS1038" s="921" t="s">
        <v>2599</v>
      </c>
    </row>
    <row r="1039" spans="1:45" s="520" customFormat="1" ht="12">
      <c r="A1039" s="758"/>
      <c r="B1039" s="758"/>
      <c r="C1039" s="758"/>
      <c r="D1039" s="758"/>
      <c r="E1039" s="758"/>
      <c r="F1039" s="753"/>
      <c r="G1039" s="758"/>
      <c r="H1039" s="758"/>
      <c r="I1039" s="519"/>
      <c r="J1039" s="758"/>
      <c r="K1039" s="758"/>
      <c r="L1039" s="758"/>
      <c r="M1039" s="758"/>
      <c r="N1039" s="758"/>
      <c r="O1039" s="758"/>
      <c r="P1039" s="758"/>
      <c r="Q1039" s="519"/>
      <c r="R1039" s="759">
        <f>$A1039*Q1039</f>
        <v>0</v>
      </c>
      <c r="S1039" s="519"/>
      <c r="T1039" s="760">
        <f>$A1039*S1039*$T$1</f>
        <v>0</v>
      </c>
      <c r="AR1039" s="758"/>
      <c r="AS1039" s="753"/>
    </row>
    <row r="1040" spans="1:45" s="520" customFormat="1" ht="12.6" thickBot="1">
      <c r="A1040" s="761" t="s">
        <v>145</v>
      </c>
      <c r="B1040" s="762">
        <f>(R1039+T1039)</f>
        <v>0</v>
      </c>
      <c r="C1040" s="763"/>
      <c r="D1040" s="763"/>
      <c r="E1040" s="763"/>
      <c r="F1040" s="764"/>
      <c r="G1040" s="763" t="s">
        <v>146</v>
      </c>
      <c r="H1040" s="763"/>
      <c r="I1040" s="765"/>
      <c r="J1040" s="763"/>
      <c r="K1040" s="763" t="s">
        <v>3</v>
      </c>
      <c r="L1040" s="766" t="s">
        <v>143</v>
      </c>
      <c r="M1040" s="766"/>
      <c r="N1040" s="766"/>
      <c r="O1040" s="766"/>
      <c r="P1040" s="766"/>
      <c r="Q1040" s="767"/>
      <c r="R1040" s="768">
        <f ca="1">SUM(R1036:R1039)</f>
        <v>385.7</v>
      </c>
      <c r="S1040" s="763"/>
      <c r="T1040" s="768">
        <f ca="1">SUM(T1036:T1039)</f>
        <v>2.4</v>
      </c>
      <c r="U1040" s="531"/>
      <c r="V1040" s="531"/>
      <c r="W1040" s="531"/>
      <c r="X1040" s="531"/>
      <c r="Y1040" s="531"/>
      <c r="Z1040" s="531"/>
      <c r="AA1040" s="531"/>
      <c r="AB1040" s="531"/>
      <c r="AC1040" s="531"/>
      <c r="AD1040" s="531"/>
      <c r="AE1040" s="531"/>
      <c r="AF1040" s="531"/>
      <c r="AG1040" s="531"/>
      <c r="AH1040" s="531"/>
      <c r="AI1040" s="531"/>
      <c r="AJ1040" s="531"/>
      <c r="AK1040" s="531"/>
      <c r="AL1040" s="531"/>
      <c r="AM1040" s="531"/>
      <c r="AN1040" s="531"/>
      <c r="AO1040" s="531"/>
      <c r="AR1040" s="761" t="s">
        <v>145</v>
      </c>
      <c r="AS1040" s="764"/>
    </row>
    <row r="1041" spans="1:45" s="520" customFormat="1" ht="12" thickTop="1">
      <c r="A1041" s="51"/>
      <c r="B1041" s="41"/>
      <c r="C1041" s="51"/>
      <c r="E1041" s="42" t="s">
        <v>138</v>
      </c>
      <c r="F1041" s="42" t="s">
        <v>139</v>
      </c>
      <c r="G1041" s="51"/>
      <c r="H1041" s="51"/>
      <c r="I1041" s="51"/>
      <c r="J1041" s="51"/>
      <c r="K1041" s="51" t="s">
        <v>140</v>
      </c>
      <c r="L1041" s="51"/>
      <c r="M1041" s="51"/>
      <c r="N1041" s="51"/>
      <c r="O1041" s="52"/>
      <c r="P1041" s="51"/>
      <c r="Q1041" s="51"/>
      <c r="R1041" s="51"/>
      <c r="S1041" s="51"/>
      <c r="T1041" s="41"/>
      <c r="AG1041" s="521" t="s">
        <v>268</v>
      </c>
      <c r="AH1041" s="521" t="s">
        <v>269</v>
      </c>
      <c r="AI1041" s="521" t="s">
        <v>270</v>
      </c>
      <c r="AJ1041" s="521" t="s">
        <v>271</v>
      </c>
      <c r="AK1041" s="521" t="s">
        <v>272</v>
      </c>
      <c r="AM1041" s="745" t="s">
        <v>281</v>
      </c>
      <c r="AN1041" s="746" t="s">
        <v>282</v>
      </c>
      <c r="AO1041" s="522" t="s">
        <v>278</v>
      </c>
      <c r="AR1041" s="51"/>
      <c r="AS1041" s="42" t="s">
        <v>139</v>
      </c>
    </row>
    <row r="1042" spans="1:45" s="520" customFormat="1" ht="12" customHeight="1">
      <c r="A1042" s="747">
        <v>10</v>
      </c>
      <c r="B1042" s="523" t="s">
        <v>320</v>
      </c>
      <c r="C1042" s="748"/>
      <c r="D1042" s="749" t="s">
        <v>3871</v>
      </c>
      <c r="E1042" s="750">
        <f ca="1">IF(AND($A1042=0,$A$1="DIF"),0, ROUND(ROUND(($R1047*$S$2+($T1047*$T$2))/A1042,2)*$C$2,2))</f>
        <v>35.24</v>
      </c>
      <c r="F1042" s="751">
        <f ca="1">ROUND($A1042*$E1042,2)</f>
        <v>352.4</v>
      </c>
      <c r="G1042" s="752" t="s">
        <v>142</v>
      </c>
      <c r="H1042" s="753"/>
      <c r="I1042" s="754"/>
      <c r="J1042" s="753"/>
      <c r="K1042" s="753" t="s">
        <v>3</v>
      </c>
      <c r="L1042" s="755" t="s">
        <v>143</v>
      </c>
      <c r="M1042" s="755"/>
      <c r="N1042" s="755"/>
      <c r="O1042" s="755"/>
      <c r="P1042" s="755"/>
      <c r="Q1042" s="51"/>
      <c r="T1042" s="756" t="str">
        <f ca="1">IF(AND($R1047=0,$T1047=0),"0.00","mu :" &amp; ROUND($F1042/$C$2/($R1047+$T1047*$D$9),2))</f>
        <v>mu :1.23</v>
      </c>
      <c r="W1042" s="524"/>
      <c r="AG1042" s="481">
        <f ca="1">IF($E1042=0,0,ROUND($R1047*$S$2*$C$2/$A1042,2))</f>
        <v>31.52</v>
      </c>
      <c r="AH1042" s="481">
        <f ca="1">$AG1042*$A1042</f>
        <v>315.2</v>
      </c>
      <c r="AI1042" s="525">
        <f ca="1">$E1042-$AG1042</f>
        <v>3.7200000000000024</v>
      </c>
      <c r="AJ1042" s="525">
        <f ca="1">$A1042*$AI1042</f>
        <v>37.200000000000024</v>
      </c>
      <c r="AK1042" s="526">
        <f ca="1">ROUND(($AG1042+$AI1042)*$A1042,2)</f>
        <v>352.4</v>
      </c>
      <c r="AM1042" s="527">
        <f ca="1">ROUND(R1047,2)</f>
        <v>256</v>
      </c>
      <c r="AN1042" s="528">
        <f ca="1">ROUND(T1047,2)</f>
        <v>1.1000000000000001</v>
      </c>
      <c r="AO1042" s="529">
        <f ca="1">ROUND(AM1042+AN1042,2)*A1042</f>
        <v>2571</v>
      </c>
      <c r="AR1042" s="747">
        <v>10</v>
      </c>
      <c r="AS1042" s="751">
        <v>562.79999999999995</v>
      </c>
    </row>
    <row r="1043" spans="1:45" s="520" customFormat="1" ht="39.9" customHeight="1">
      <c r="A1043" s="748"/>
      <c r="B1043"/>
      <c r="C1043" s="748"/>
      <c r="D1043" s="1451" t="s">
        <v>3872</v>
      </c>
      <c r="E1043" s="1452"/>
      <c r="F1043" s="1452"/>
      <c r="G1043" s="1452"/>
      <c r="H1043" s="1452"/>
      <c r="I1043" s="1452"/>
      <c r="J1043" s="1452"/>
      <c r="K1043" s="1452"/>
      <c r="L1043" s="1452"/>
      <c r="M1043" s="1452"/>
      <c r="N1043" s="1452"/>
      <c r="O1043" s="1452"/>
      <c r="P1043" s="1452"/>
      <c r="Q1043" s="1452"/>
      <c r="R1043" s="1452"/>
      <c r="S1043" s="1452"/>
      <c r="T1043" s="1452"/>
      <c r="AR1043" s="748"/>
    </row>
    <row r="1044" spans="1:45" s="886" customFormat="1" ht="13.2">
      <c r="A1044"/>
      <c r="B1044" s="910"/>
      <c r="C1044" s="910" t="s">
        <v>2597</v>
      </c>
      <c r="D1044" s="910" t="str">
        <f ca="1">CELL("Address",Elec_Rates!D$385)</f>
        <v>[E25_0062_Quintano_Foods_Elec_ELV_As_Awarded.xlsx]Elec_Rates!$D$385</v>
      </c>
      <c r="E1044" s="911"/>
      <c r="F1044" s="911"/>
      <c r="G1044" s="912" t="s">
        <v>2598</v>
      </c>
      <c r="H1044" s="912"/>
      <c r="I1044" s="912"/>
      <c r="J1044" s="912"/>
      <c r="K1044" s="913"/>
      <c r="L1044" s="911"/>
      <c r="M1044" s="911"/>
      <c r="N1044" s="911"/>
      <c r="O1044" s="914"/>
      <c r="P1044" s="911"/>
      <c r="Q1044" s="915"/>
      <c r="R1044" s="916"/>
      <c r="S1044" s="915"/>
      <c r="T1044" s="917"/>
      <c r="U1044" s="918"/>
      <c r="AR1044"/>
      <c r="AS1044" s="911"/>
    </row>
    <row r="1045" spans="1:45" s="886" customFormat="1" ht="11.4">
      <c r="A1045" s="919">
        <v>10</v>
      </c>
      <c r="B1045" s="920">
        <v>1</v>
      </c>
      <c r="C1045" s="920">
        <f>$A1045*$B1045</f>
        <v>10</v>
      </c>
      <c r="D1045" s="921" t="str">
        <f>Elec_Rates!$D$385</f>
        <v>037# 5 x 16mm2 F120 Fire Resistant Cable (BS7846) -  XLPE/SWA/LSZH</v>
      </c>
      <c r="E1045" s="921"/>
      <c r="F1045" s="921" t="s">
        <v>2599</v>
      </c>
      <c r="G1045" s="922" t="s">
        <v>2601</v>
      </c>
      <c r="H1045" s="922"/>
      <c r="I1045" s="922"/>
      <c r="J1045" s="922"/>
      <c r="K1045" s="923"/>
      <c r="L1045" s="918"/>
      <c r="M1045" s="918"/>
      <c r="N1045" s="918"/>
      <c r="O1045" s="924"/>
      <c r="P1045" s="921"/>
      <c r="Q1045" s="925">
        <f ca="1">$B1045*Elec_Rates!$R$385</f>
        <v>25.6</v>
      </c>
      <c r="R1045" s="916">
        <f ca="1">$A1045*Q1045</f>
        <v>256</v>
      </c>
      <c r="S1045" s="925">
        <f ca="1">$B1045*Elec_Rates!$T$385</f>
        <v>0.11</v>
      </c>
      <c r="T1045" s="917">
        <f ca="1">$A1045*S1045</f>
        <v>1.1000000000000001</v>
      </c>
      <c r="U1045" s="926"/>
      <c r="AR1045" s="919">
        <v>10</v>
      </c>
      <c r="AS1045" s="921" t="s">
        <v>2599</v>
      </c>
    </row>
    <row r="1046" spans="1:45" s="520" customFormat="1" ht="12">
      <c r="A1046" s="758"/>
      <c r="B1046" s="758"/>
      <c r="C1046" s="758"/>
      <c r="D1046" s="758"/>
      <c r="E1046" s="758"/>
      <c r="F1046" s="753"/>
      <c r="G1046" s="758"/>
      <c r="H1046" s="758"/>
      <c r="I1046" s="519"/>
      <c r="J1046" s="758"/>
      <c r="K1046" s="758"/>
      <c r="L1046" s="758"/>
      <c r="M1046" s="758"/>
      <c r="N1046" s="758"/>
      <c r="O1046" s="758"/>
      <c r="P1046" s="758"/>
      <c r="Q1046" s="519"/>
      <c r="R1046" s="759">
        <f>$A1046*Q1046</f>
        <v>0</v>
      </c>
      <c r="S1046" s="519"/>
      <c r="T1046" s="760">
        <f>$A1046*S1046*$T$1</f>
        <v>0</v>
      </c>
      <c r="AR1046" s="758"/>
      <c r="AS1046" s="753"/>
    </row>
    <row r="1047" spans="1:45" s="520" customFormat="1" ht="12.6" thickBot="1">
      <c r="A1047" s="761" t="s">
        <v>145</v>
      </c>
      <c r="B1047" s="762">
        <f>(R1046+T1046)</f>
        <v>0</v>
      </c>
      <c r="C1047" s="763"/>
      <c r="D1047" s="763"/>
      <c r="E1047" s="763"/>
      <c r="F1047" s="764"/>
      <c r="G1047" s="763" t="s">
        <v>146</v>
      </c>
      <c r="H1047" s="763"/>
      <c r="I1047" s="765"/>
      <c r="J1047" s="763"/>
      <c r="K1047" s="763" t="s">
        <v>3</v>
      </c>
      <c r="L1047" s="766" t="s">
        <v>143</v>
      </c>
      <c r="M1047" s="766"/>
      <c r="N1047" s="766"/>
      <c r="O1047" s="766"/>
      <c r="P1047" s="766"/>
      <c r="Q1047" s="767"/>
      <c r="R1047" s="768">
        <f ca="1">SUM(R1043:R1046)</f>
        <v>256</v>
      </c>
      <c r="S1047" s="763"/>
      <c r="T1047" s="768">
        <f ca="1">SUM(T1043:T1046)</f>
        <v>1.1000000000000001</v>
      </c>
      <c r="U1047" s="531"/>
      <c r="V1047" s="531"/>
      <c r="W1047" s="531"/>
      <c r="X1047" s="531"/>
      <c r="Y1047" s="531"/>
      <c r="Z1047" s="531"/>
      <c r="AA1047" s="531"/>
      <c r="AB1047" s="531"/>
      <c r="AC1047" s="531"/>
      <c r="AD1047" s="531"/>
      <c r="AE1047" s="531"/>
      <c r="AF1047" s="531"/>
      <c r="AG1047" s="531"/>
      <c r="AH1047" s="531"/>
      <c r="AI1047" s="531"/>
      <c r="AJ1047" s="531"/>
      <c r="AK1047" s="531"/>
      <c r="AL1047" s="531"/>
      <c r="AM1047" s="531"/>
      <c r="AN1047" s="531"/>
      <c r="AO1047" s="531"/>
      <c r="AR1047" s="761" t="s">
        <v>145</v>
      </c>
      <c r="AS1047" s="764"/>
    </row>
    <row r="1048" spans="1:45" s="520" customFormat="1" thickTop="1">
      <c r="A1048" s="51"/>
      <c r="B1048" s="51"/>
      <c r="C1048" s="3"/>
      <c r="D1048" s="3"/>
      <c r="E1048" s="51"/>
      <c r="F1048" s="51"/>
      <c r="G1048" s="51"/>
      <c r="H1048" s="51"/>
      <c r="I1048" s="51"/>
      <c r="J1048" s="51"/>
      <c r="K1048" s="51" t="s">
        <v>134</v>
      </c>
      <c r="L1048" s="51"/>
      <c r="M1048" s="51"/>
      <c r="N1048" s="51"/>
      <c r="O1048" s="52"/>
      <c r="P1048" s="51"/>
      <c r="Q1048" s="51"/>
      <c r="R1048" s="51"/>
      <c r="S1048" s="51"/>
      <c r="T1048" s="51"/>
      <c r="AR1048" s="51"/>
      <c r="AS1048" s="51"/>
    </row>
    <row r="1049" spans="1:45" s="520" customFormat="1" ht="12">
      <c r="A1049" s="51"/>
      <c r="B1049" s="51"/>
      <c r="C1049" s="51" t="s">
        <v>135</v>
      </c>
      <c r="D1049" s="37"/>
      <c r="E1049" s="51"/>
      <c r="F1049" s="51"/>
      <c r="G1049" s="51"/>
      <c r="H1049" s="51"/>
      <c r="I1049" s="51"/>
      <c r="J1049" s="51"/>
      <c r="K1049" s="51"/>
      <c r="L1049" s="51"/>
      <c r="M1049" s="51"/>
      <c r="N1049" s="51"/>
      <c r="O1049" s="52"/>
      <c r="P1049" s="51"/>
      <c r="Q1049" s="51"/>
      <c r="R1049" s="51"/>
      <c r="S1049" s="51"/>
      <c r="T1049" s="51"/>
      <c r="AR1049" s="51"/>
      <c r="AS1049" s="51"/>
    </row>
    <row r="1050" spans="1:45" s="520" customFormat="1" ht="12">
      <c r="A1050" s="51"/>
      <c r="B1050" s="51"/>
      <c r="C1050" s="51"/>
      <c r="D1050" s="37" t="s">
        <v>463</v>
      </c>
      <c r="E1050" s="51"/>
      <c r="F1050" s="51"/>
      <c r="G1050" s="51"/>
      <c r="H1050" s="51"/>
      <c r="I1050" s="51"/>
      <c r="J1050" s="51"/>
      <c r="K1050" s="51"/>
      <c r="L1050" s="51"/>
      <c r="M1050" s="51"/>
      <c r="N1050" s="51"/>
      <c r="O1050" s="52"/>
      <c r="P1050" s="51"/>
      <c r="Q1050" s="51"/>
      <c r="R1050" s="51"/>
      <c r="S1050" s="38"/>
      <c r="T1050" s="38"/>
      <c r="AR1050" s="51"/>
      <c r="AS1050" s="51"/>
    </row>
    <row r="1051" spans="1:45" s="3" customFormat="1" thickBot="1">
      <c r="A1051" s="531"/>
      <c r="O1051" s="107"/>
      <c r="AR1051" s="531"/>
    </row>
    <row r="1052" spans="1:45" s="520" customFormat="1" ht="12" thickTop="1">
      <c r="A1052" s="51"/>
      <c r="B1052" s="41"/>
      <c r="C1052" s="51"/>
      <c r="E1052" s="42" t="s">
        <v>138</v>
      </c>
      <c r="F1052" s="42" t="s">
        <v>139</v>
      </c>
      <c r="G1052" s="51"/>
      <c r="H1052" s="51"/>
      <c r="I1052" s="51"/>
      <c r="J1052" s="51"/>
      <c r="K1052" s="51" t="s">
        <v>140</v>
      </c>
      <c r="L1052" s="51"/>
      <c r="M1052" s="51"/>
      <c r="N1052" s="51"/>
      <c r="O1052" s="52"/>
      <c r="P1052" s="51"/>
      <c r="Q1052" s="51"/>
      <c r="R1052" s="51"/>
      <c r="S1052" s="51"/>
      <c r="T1052" s="41"/>
      <c r="AG1052" s="521" t="s">
        <v>268</v>
      </c>
      <c r="AH1052" s="521" t="s">
        <v>269</v>
      </c>
      <c r="AI1052" s="521" t="s">
        <v>270</v>
      </c>
      <c r="AJ1052" s="521" t="s">
        <v>271</v>
      </c>
      <c r="AK1052" s="521" t="s">
        <v>272</v>
      </c>
      <c r="AM1052" s="745" t="s">
        <v>281</v>
      </c>
      <c r="AN1052" s="746" t="s">
        <v>282</v>
      </c>
      <c r="AO1052" s="522" t="s">
        <v>278</v>
      </c>
      <c r="AR1052" s="51"/>
      <c r="AS1052" s="42" t="s">
        <v>139</v>
      </c>
    </row>
    <row r="1053" spans="1:45" s="520" customFormat="1" ht="12" customHeight="1">
      <c r="A1053" s="747">
        <v>1</v>
      </c>
      <c r="B1053" s="523" t="s">
        <v>141</v>
      </c>
      <c r="C1053" s="748"/>
      <c r="D1053" s="749" t="s">
        <v>1232</v>
      </c>
      <c r="E1053" s="750">
        <f ca="1">IF(AND($A1053=0,$A$1="DIF"),0, ROUND(ROUND(($R1058*$S$2+($T1058*$T$2))/A1053,2)*$C$2,2))</f>
        <v>104.97</v>
      </c>
      <c r="F1053" s="751">
        <f ca="1">ROUND($A1053*$E1053,2)</f>
        <v>104.97</v>
      </c>
      <c r="G1053" s="752" t="s">
        <v>142</v>
      </c>
      <c r="H1053" s="753"/>
      <c r="I1053" s="754"/>
      <c r="J1053" s="753"/>
      <c r="K1053" s="753" t="s">
        <v>3</v>
      </c>
      <c r="L1053" s="755" t="s">
        <v>143</v>
      </c>
      <c r="M1053" s="755"/>
      <c r="N1053" s="755"/>
      <c r="O1053" s="755"/>
      <c r="P1053" s="755"/>
      <c r="Q1053" s="51"/>
      <c r="T1053" s="756" t="str">
        <f ca="1">IF(AND($R1058=0,$T1058=0),"0.00","mu :" &amp; ROUND($F1053/$C$2/($R1058+$T1058*$D$9),2))</f>
        <v>mu :1.23</v>
      </c>
      <c r="W1053" s="524"/>
      <c r="AG1053" s="481">
        <f ca="1">IF($E1053=0,0,ROUND($R1058*$S$2*$C$2/$A1053,2))</f>
        <v>72.849999999999994</v>
      </c>
      <c r="AH1053" s="481">
        <f ca="1">$AG1053*$A1053</f>
        <v>72.849999999999994</v>
      </c>
      <c r="AI1053" s="525">
        <f ca="1">$E1053-$AG1053</f>
        <v>32.120000000000005</v>
      </c>
      <c r="AJ1053" s="525">
        <f ca="1">$A1053*$AI1053</f>
        <v>32.120000000000005</v>
      </c>
      <c r="AK1053" s="526">
        <f ca="1">ROUND(($AG1053+$AI1053)*$A1053,2)</f>
        <v>104.97</v>
      </c>
      <c r="AM1053" s="527">
        <f ca="1">ROUND(R1058,2)</f>
        <v>59.16</v>
      </c>
      <c r="AN1053" s="528">
        <f ca="1">ROUND(T1058,2)</f>
        <v>0.95</v>
      </c>
      <c r="AO1053" s="529">
        <f ca="1">ROUND(AM1053+AN1053,2)*A1053</f>
        <v>60.11</v>
      </c>
      <c r="AR1053" s="747">
        <v>1</v>
      </c>
      <c r="AS1053" s="751">
        <v>108.35</v>
      </c>
    </row>
    <row r="1054" spans="1:45" s="520" customFormat="1" ht="13.2">
      <c r="A1054" s="748"/>
      <c r="B1054"/>
      <c r="C1054" s="748"/>
      <c r="D1054" s="749" t="s">
        <v>1233</v>
      </c>
      <c r="F1054" s="753"/>
      <c r="G1054" s="3"/>
      <c r="H1054" s="753"/>
      <c r="I1054" s="754"/>
      <c r="J1054" s="753"/>
      <c r="K1054" s="753" t="s">
        <v>144</v>
      </c>
      <c r="L1054" s="753"/>
      <c r="M1054" s="753"/>
      <c r="N1054" s="753"/>
      <c r="O1054" s="753"/>
      <c r="P1054" s="753"/>
      <c r="Q1054" s="51"/>
      <c r="R1054" s="530"/>
      <c r="S1054" s="757"/>
      <c r="T1054" s="753"/>
      <c r="AR1054" s="748"/>
      <c r="AS1054" s="753"/>
    </row>
    <row r="1055" spans="1:45" s="520" customFormat="1" ht="12">
      <c r="A1055" s="51"/>
      <c r="B1055" s="758"/>
      <c r="C1055" s="753" t="s">
        <v>2597</v>
      </c>
      <c r="D1055" s="753" t="str">
        <f ca="1">CELL("Address",Elec_Rates!$D$228)</f>
        <v>[E25_0062_Quintano_Foods_Elec_ELV_As_Awarded.xlsx]Elec_Rates!$D$228</v>
      </c>
      <c r="E1055" s="758"/>
      <c r="F1055" s="753"/>
      <c r="G1055" s="1049" t="s">
        <v>2598</v>
      </c>
      <c r="H1055" s="1050"/>
      <c r="I1055" s="1051"/>
      <c r="J1055" s="1050"/>
      <c r="K1055" s="1050"/>
      <c r="L1055" s="758"/>
      <c r="M1055" s="758"/>
      <c r="N1055" s="758"/>
      <c r="O1055" s="758"/>
      <c r="P1055" s="758"/>
      <c r="Q1055" s="519"/>
      <c r="R1055" s="759"/>
      <c r="S1055" s="519"/>
      <c r="T1055" s="760"/>
      <c r="AR1055" s="51"/>
      <c r="AS1055" s="753"/>
    </row>
    <row r="1056" spans="1:45" s="520" customFormat="1" ht="11.4">
      <c r="A1056" s="51">
        <v>1</v>
      </c>
      <c r="B1056" s="519">
        <v>1</v>
      </c>
      <c r="C1056" s="519">
        <f>$A1056*$B1056</f>
        <v>1</v>
      </c>
      <c r="D1056" s="1048" t="str">
        <f>Elec_Rates!$D$228</f>
        <v>022# 3-Phase 63A Isolator</v>
      </c>
      <c r="E1056" s="1048"/>
      <c r="F1056" s="1048" t="s">
        <v>2733</v>
      </c>
      <c r="G1056" s="1050" t="s">
        <v>2600</v>
      </c>
      <c r="H1056" s="1050"/>
      <c r="I1056" s="1051"/>
      <c r="J1056" s="1050"/>
      <c r="K1056" s="1050"/>
      <c r="L1056" s="758"/>
      <c r="M1056" s="758"/>
      <c r="N1056" s="758"/>
      <c r="O1056" s="758"/>
      <c r="P1056" s="758"/>
      <c r="Q1056" s="1052">
        <f ca="1">$B1056*Elec_Rates!$R$228</f>
        <v>59.16</v>
      </c>
      <c r="R1056" s="759">
        <f ca="1">$A1056*Q1056</f>
        <v>59.16</v>
      </c>
      <c r="S1056" s="1052">
        <f ca="1">$B1056*Elec_Rates!$T$228</f>
        <v>0.95</v>
      </c>
      <c r="T1056" s="917">
        <f ca="1">$A1056*S1056</f>
        <v>0.95</v>
      </c>
      <c r="AR1056" s="51">
        <v>1</v>
      </c>
      <c r="AS1056" s="1048" t="s">
        <v>2733</v>
      </c>
    </row>
    <row r="1057" spans="1:45" s="520" customFormat="1" ht="12">
      <c r="A1057" s="758"/>
      <c r="B1057" s="758"/>
      <c r="C1057" s="758"/>
      <c r="D1057" s="758"/>
      <c r="E1057" s="758"/>
      <c r="F1057" s="753"/>
      <c r="G1057" s="758"/>
      <c r="H1057" s="758"/>
      <c r="I1057" s="519"/>
      <c r="J1057" s="758"/>
      <c r="K1057" s="758"/>
      <c r="L1057" s="758"/>
      <c r="M1057" s="758"/>
      <c r="N1057" s="758"/>
      <c r="O1057" s="758"/>
      <c r="P1057" s="758"/>
      <c r="Q1057" s="519"/>
      <c r="R1057" s="759">
        <f>$A1057*Q1057</f>
        <v>0</v>
      </c>
      <c r="S1057" s="519"/>
      <c r="T1057" s="760">
        <f>$A1057*S1057*$T$1</f>
        <v>0</v>
      </c>
      <c r="AR1057" s="758"/>
      <c r="AS1057" s="753"/>
    </row>
    <row r="1058" spans="1:45" s="520" customFormat="1" ht="12.6" thickBot="1">
      <c r="A1058" s="761" t="s">
        <v>145</v>
      </c>
      <c r="B1058" s="762">
        <f>(R1057+T1057)</f>
        <v>0</v>
      </c>
      <c r="C1058" s="763"/>
      <c r="D1058" s="763"/>
      <c r="E1058" s="763"/>
      <c r="F1058" s="764"/>
      <c r="G1058" s="763" t="s">
        <v>146</v>
      </c>
      <c r="H1058" s="763"/>
      <c r="I1058" s="765"/>
      <c r="J1058" s="763"/>
      <c r="K1058" s="763" t="s">
        <v>3</v>
      </c>
      <c r="L1058" s="766" t="s">
        <v>143</v>
      </c>
      <c r="M1058" s="766"/>
      <c r="N1058" s="766"/>
      <c r="O1058" s="766"/>
      <c r="P1058" s="766"/>
      <c r="Q1058" s="767"/>
      <c r="R1058" s="768">
        <f ca="1">SUM(R1054:R1057)</f>
        <v>59.16</v>
      </c>
      <c r="S1058" s="763"/>
      <c r="T1058" s="768">
        <f ca="1">SUM(T1054:T1057)</f>
        <v>0.95</v>
      </c>
      <c r="U1058" s="531"/>
      <c r="V1058" s="531"/>
      <c r="W1058" s="531"/>
      <c r="X1058" s="531"/>
      <c r="Y1058" s="531"/>
      <c r="Z1058" s="531"/>
      <c r="AA1058" s="531"/>
      <c r="AB1058" s="531"/>
      <c r="AC1058" s="531"/>
      <c r="AD1058" s="531"/>
      <c r="AE1058" s="531"/>
      <c r="AF1058" s="531"/>
      <c r="AG1058" s="531"/>
      <c r="AH1058" s="531"/>
      <c r="AI1058" s="531"/>
      <c r="AJ1058" s="531"/>
      <c r="AK1058" s="531"/>
      <c r="AL1058" s="531"/>
      <c r="AM1058" s="531"/>
      <c r="AN1058" s="531"/>
      <c r="AO1058" s="531"/>
      <c r="AR1058" s="761" t="s">
        <v>145</v>
      </c>
      <c r="AS1058" s="764"/>
    </row>
    <row r="1059" spans="1:45" s="520" customFormat="1" ht="12" thickTop="1">
      <c r="A1059" s="51"/>
      <c r="B1059" s="41"/>
      <c r="C1059" s="51"/>
      <c r="E1059" s="42" t="s">
        <v>138</v>
      </c>
      <c r="F1059" s="42" t="s">
        <v>139</v>
      </c>
      <c r="G1059" s="51"/>
      <c r="H1059" s="51"/>
      <c r="I1059" s="51"/>
      <c r="J1059" s="51"/>
      <c r="K1059" s="51" t="s">
        <v>140</v>
      </c>
      <c r="L1059" s="51"/>
      <c r="M1059" s="51"/>
      <c r="N1059" s="51"/>
      <c r="O1059" s="52"/>
      <c r="P1059" s="51"/>
      <c r="Q1059" s="51"/>
      <c r="R1059" s="51"/>
      <c r="S1059" s="51"/>
      <c r="T1059" s="41"/>
      <c r="AG1059" s="521" t="s">
        <v>268</v>
      </c>
      <c r="AH1059" s="521" t="s">
        <v>269</v>
      </c>
      <c r="AI1059" s="521" t="s">
        <v>270</v>
      </c>
      <c r="AJ1059" s="521" t="s">
        <v>271</v>
      </c>
      <c r="AK1059" s="521" t="s">
        <v>272</v>
      </c>
      <c r="AM1059" s="745" t="s">
        <v>281</v>
      </c>
      <c r="AN1059" s="746" t="s">
        <v>282</v>
      </c>
      <c r="AO1059" s="522" t="s">
        <v>278</v>
      </c>
      <c r="AR1059" s="51"/>
      <c r="AS1059" s="42" t="s">
        <v>139</v>
      </c>
    </row>
    <row r="1060" spans="1:45" s="520" customFormat="1" ht="12" customHeight="1">
      <c r="A1060" s="747">
        <v>1</v>
      </c>
      <c r="B1060" s="523" t="s">
        <v>141</v>
      </c>
      <c r="C1060" s="748"/>
      <c r="D1060" s="749" t="s">
        <v>1234</v>
      </c>
      <c r="E1060" s="750">
        <f>IF(AND($A1060=0,$A$1="DIF"),0, ROUND(ROUND(($R1066*$S$2+($T1066*$T$2))/A1060,2)*$C$2,2))</f>
        <v>479.59</v>
      </c>
      <c r="F1060" s="751">
        <f>ROUND($A1060*$E1060,2)</f>
        <v>479.59</v>
      </c>
      <c r="G1060" s="752" t="s">
        <v>142</v>
      </c>
      <c r="H1060" s="753"/>
      <c r="I1060" s="754"/>
      <c r="J1060" s="753"/>
      <c r="K1060" s="753" t="s">
        <v>3</v>
      </c>
      <c r="L1060" s="755" t="s">
        <v>143</v>
      </c>
      <c r="M1060" s="755"/>
      <c r="N1060" s="755"/>
      <c r="O1060" s="755"/>
      <c r="P1060" s="755"/>
      <c r="Q1060" s="51"/>
      <c r="T1060" s="756" t="str">
        <f>IF(AND($R1066=0,$T1066=0),"0.00","mu :" &amp; ROUND($F1060/$C$2/($R1066+$T1066*$D$9),2))</f>
        <v>mu :1.23</v>
      </c>
      <c r="W1060" s="524"/>
      <c r="AG1060" s="481">
        <f>IF($E1060=0,0,ROUND($R1066*$S$2*$C$2/$A1060,2))</f>
        <v>424.81</v>
      </c>
      <c r="AH1060" s="481">
        <f>$AG1060*$A1060</f>
        <v>424.81</v>
      </c>
      <c r="AI1060" s="525">
        <f>$E1060-$AG1060</f>
        <v>54.779999999999973</v>
      </c>
      <c r="AJ1060" s="525">
        <f>$A1060*$AI1060</f>
        <v>54.779999999999973</v>
      </c>
      <c r="AK1060" s="526">
        <f>ROUND(($AG1060+$AI1060)*$A1060,2)</f>
        <v>479.59</v>
      </c>
      <c r="AM1060" s="527">
        <f>ROUND(R1066,2)</f>
        <v>345</v>
      </c>
      <c r="AN1060" s="528">
        <f>ROUND(T1066,2)</f>
        <v>1.62</v>
      </c>
      <c r="AO1060" s="529">
        <f>ROUND(AM1060+AN1060,2)*A1060</f>
        <v>346.62</v>
      </c>
      <c r="AR1060" s="747">
        <v>1</v>
      </c>
      <c r="AS1060" s="751">
        <v>485.68</v>
      </c>
    </row>
    <row r="1061" spans="1:45" s="520" customFormat="1" ht="13.2">
      <c r="A1061" s="748"/>
      <c r="B1061"/>
      <c r="C1061" s="748"/>
      <c r="D1061" s="749" t="s">
        <v>1235</v>
      </c>
      <c r="F1061" s="753"/>
      <c r="G1061" s="3"/>
      <c r="H1061" s="753"/>
      <c r="I1061" s="754"/>
      <c r="J1061" s="753"/>
      <c r="K1061" s="753" t="s">
        <v>144</v>
      </c>
      <c r="L1061" s="753"/>
      <c r="M1061" s="753"/>
      <c r="N1061" s="753"/>
      <c r="O1061" s="753"/>
      <c r="P1061" s="753"/>
      <c r="Q1061" s="51"/>
      <c r="R1061" s="530"/>
      <c r="S1061" s="757"/>
      <c r="T1061" s="753"/>
      <c r="AR1061" s="748"/>
      <c r="AS1061" s="753"/>
    </row>
    <row r="1062" spans="1:45" s="901" customFormat="1" ht="13.2">
      <c r="A1062">
        <v>1</v>
      </c>
      <c r="B1062" s="901" t="s">
        <v>141</v>
      </c>
      <c r="D1062" s="901" t="s">
        <v>2839</v>
      </c>
      <c r="G1062" s="941" t="s">
        <v>2840</v>
      </c>
      <c r="H1062" s="942">
        <v>510</v>
      </c>
      <c r="I1062" s="901" t="s">
        <v>2607</v>
      </c>
      <c r="K1062" s="901" t="s">
        <v>2738</v>
      </c>
      <c r="O1062" s="943">
        <v>2</v>
      </c>
      <c r="P1062" s="944">
        <v>38208</v>
      </c>
      <c r="Q1062" s="945">
        <v>330</v>
      </c>
      <c r="R1062" s="946">
        <f>$A1062*Q1062</f>
        <v>330</v>
      </c>
      <c r="S1062" s="945">
        <v>1.75</v>
      </c>
      <c r="T1062" s="947">
        <f>$A1062*S1062*$T$1</f>
        <v>1.575</v>
      </c>
      <c r="AR1062">
        <v>1</v>
      </c>
    </row>
    <row r="1063" spans="1:45" s="901" customFormat="1" ht="13.2">
      <c r="A1063">
        <v>1</v>
      </c>
      <c r="B1063" s="901" t="s">
        <v>141</v>
      </c>
      <c r="D1063" s="901" t="s">
        <v>2758</v>
      </c>
      <c r="G1063" s="941" t="s">
        <v>2760</v>
      </c>
      <c r="H1063" s="942">
        <v>501</v>
      </c>
      <c r="I1063" s="901" t="s">
        <v>2607</v>
      </c>
      <c r="K1063" s="901" t="s">
        <v>2761</v>
      </c>
      <c r="O1063" s="943">
        <v>1</v>
      </c>
      <c r="P1063" s="944"/>
      <c r="Q1063" s="945">
        <v>10</v>
      </c>
      <c r="R1063" s="946">
        <f>$A1063*Q1063</f>
        <v>10</v>
      </c>
      <c r="S1063" s="945"/>
      <c r="T1063" s="947">
        <f>$A1063*S1063*$T$1</f>
        <v>0</v>
      </c>
      <c r="AR1063">
        <v>1</v>
      </c>
    </row>
    <row r="1064" spans="1:45" s="901" customFormat="1" ht="13.2">
      <c r="A1064">
        <v>1</v>
      </c>
      <c r="B1064" s="901" t="s">
        <v>141</v>
      </c>
      <c r="D1064" s="901" t="s">
        <v>2745</v>
      </c>
      <c r="G1064" s="941" t="s">
        <v>2746</v>
      </c>
      <c r="H1064" s="942">
        <v>875</v>
      </c>
      <c r="I1064" s="901" t="s">
        <v>2607</v>
      </c>
      <c r="K1064" s="901" t="s">
        <v>2747</v>
      </c>
      <c r="O1064" s="943">
        <v>3</v>
      </c>
      <c r="P1064" s="944">
        <v>34820</v>
      </c>
      <c r="Q1064" s="945">
        <v>5</v>
      </c>
      <c r="R1064" s="946">
        <f>$A1064*Q1064</f>
        <v>5</v>
      </c>
      <c r="S1064" s="945">
        <v>0.05</v>
      </c>
      <c r="T1064" s="947">
        <f>$A1064*S1064*$T$1</f>
        <v>4.5000000000000005E-2</v>
      </c>
      <c r="AR1064">
        <v>1</v>
      </c>
    </row>
    <row r="1065" spans="1:45" s="520" customFormat="1" ht="12">
      <c r="A1065" s="758"/>
      <c r="B1065" s="758"/>
      <c r="C1065" s="758"/>
      <c r="D1065" s="758"/>
      <c r="E1065" s="758"/>
      <c r="F1065" s="753"/>
      <c r="G1065" s="758"/>
      <c r="H1065" s="758"/>
      <c r="I1065" s="519"/>
      <c r="J1065" s="758"/>
      <c r="K1065" s="758"/>
      <c r="L1065" s="758"/>
      <c r="M1065" s="758"/>
      <c r="N1065" s="758"/>
      <c r="O1065" s="758"/>
      <c r="P1065" s="758"/>
      <c r="Q1065" s="519"/>
      <c r="R1065" s="759">
        <f>$A1065*Q1065</f>
        <v>0</v>
      </c>
      <c r="S1065" s="519"/>
      <c r="T1065" s="760">
        <f>$A1065*S1065*$T$1</f>
        <v>0</v>
      </c>
      <c r="AR1065" s="758"/>
      <c r="AS1065" s="753"/>
    </row>
    <row r="1066" spans="1:45" s="520" customFormat="1" ht="12.6" thickBot="1">
      <c r="A1066" s="761" t="s">
        <v>145</v>
      </c>
      <c r="B1066" s="762">
        <f>(R1065+T1065)</f>
        <v>0</v>
      </c>
      <c r="C1066" s="763"/>
      <c r="D1066" s="763"/>
      <c r="E1066" s="763"/>
      <c r="F1066" s="764"/>
      <c r="G1066" s="763" t="s">
        <v>146</v>
      </c>
      <c r="H1066" s="763"/>
      <c r="I1066" s="765"/>
      <c r="J1066" s="763"/>
      <c r="K1066" s="763" t="s">
        <v>3</v>
      </c>
      <c r="L1066" s="766" t="s">
        <v>143</v>
      </c>
      <c r="M1066" s="766"/>
      <c r="N1066" s="766"/>
      <c r="O1066" s="766"/>
      <c r="P1066" s="766"/>
      <c r="Q1066" s="767"/>
      <c r="R1066" s="768">
        <f>SUM(R1061:R1065)</f>
        <v>345</v>
      </c>
      <c r="S1066" s="763"/>
      <c r="T1066" s="768">
        <f>SUM(T1061:T1065)</f>
        <v>1.6199999999999999</v>
      </c>
      <c r="U1066" s="531"/>
      <c r="V1066" s="531"/>
      <c r="W1066" s="531"/>
      <c r="X1066" s="531"/>
      <c r="Y1066" s="531"/>
      <c r="Z1066" s="531"/>
      <c r="AA1066" s="531"/>
      <c r="AB1066" s="531"/>
      <c r="AC1066" s="531"/>
      <c r="AD1066" s="531"/>
      <c r="AE1066" s="531"/>
      <c r="AF1066" s="531"/>
      <c r="AG1066" s="531"/>
      <c r="AH1066" s="531"/>
      <c r="AI1066" s="531"/>
      <c r="AJ1066" s="531"/>
      <c r="AK1066" s="531"/>
      <c r="AL1066" s="531"/>
      <c r="AM1066" s="531"/>
      <c r="AN1066" s="531"/>
      <c r="AO1066" s="531"/>
      <c r="AR1066" s="761" t="s">
        <v>145</v>
      </c>
      <c r="AS1066" s="764"/>
    </row>
    <row r="1067" spans="1:45" s="520" customFormat="1" ht="12" thickTop="1">
      <c r="A1067" s="51"/>
      <c r="B1067" s="41"/>
      <c r="C1067" s="51"/>
      <c r="E1067" s="42" t="s">
        <v>138</v>
      </c>
      <c r="F1067" s="42" t="s">
        <v>139</v>
      </c>
      <c r="G1067" s="51"/>
      <c r="H1067" s="51"/>
      <c r="I1067" s="51"/>
      <c r="J1067" s="51"/>
      <c r="K1067" s="51" t="s">
        <v>140</v>
      </c>
      <c r="L1067" s="51"/>
      <c r="M1067" s="51"/>
      <c r="N1067" s="51"/>
      <c r="O1067" s="52"/>
      <c r="P1067" s="51"/>
      <c r="Q1067" s="51"/>
      <c r="R1067" s="51"/>
      <c r="S1067" s="51"/>
      <c r="T1067" s="41"/>
      <c r="AG1067" s="521" t="s">
        <v>268</v>
      </c>
      <c r="AH1067" s="521" t="s">
        <v>269</v>
      </c>
      <c r="AI1067" s="521" t="s">
        <v>270</v>
      </c>
      <c r="AJ1067" s="521" t="s">
        <v>271</v>
      </c>
      <c r="AK1067" s="521" t="s">
        <v>272</v>
      </c>
      <c r="AM1067" s="745" t="s">
        <v>281</v>
      </c>
      <c r="AN1067" s="746" t="s">
        <v>282</v>
      </c>
      <c r="AO1067" s="522" t="s">
        <v>278</v>
      </c>
      <c r="AR1067" s="51"/>
      <c r="AS1067" s="42" t="s">
        <v>139</v>
      </c>
    </row>
    <row r="1068" spans="1:45" s="520" customFormat="1" ht="12" customHeight="1">
      <c r="A1068" s="747">
        <v>1</v>
      </c>
      <c r="B1068" s="523" t="s">
        <v>141</v>
      </c>
      <c r="C1068" s="748"/>
      <c r="D1068" s="749" t="s">
        <v>1236</v>
      </c>
      <c r="E1068" s="750">
        <f>IF(AND($A1068=0,$A$1="DIF"),0, ROUND(ROUND(($R1074*$S$2+($T1074*$T$2))/A1068,2)*$C$2,2))</f>
        <v>1607.31</v>
      </c>
      <c r="F1068" s="751">
        <f>ROUND($A1068*$E1068,2)</f>
        <v>1607.31</v>
      </c>
      <c r="G1068" s="752" t="s">
        <v>142</v>
      </c>
      <c r="H1068" s="753"/>
      <c r="I1068" s="754"/>
      <c r="J1068" s="753"/>
      <c r="K1068" s="753" t="s">
        <v>3</v>
      </c>
      <c r="L1068" s="755" t="s">
        <v>143</v>
      </c>
      <c r="M1068" s="755"/>
      <c r="N1068" s="755"/>
      <c r="O1068" s="755"/>
      <c r="P1068" s="755"/>
      <c r="Q1068" s="51"/>
      <c r="T1068" s="756" t="str">
        <f>IF(AND($R1074=0,$T1074=0),"0.00","mu :" &amp; ROUND($F1068/$C$2/($R1074+$T1074*$D$9),2))</f>
        <v>mu :1.23</v>
      </c>
      <c r="W1068" s="524"/>
      <c r="AG1068" s="481">
        <f>IF($E1068=0,0,ROUND($R1074*$S$2*$C$2/$A1068,2))</f>
        <v>1484.07</v>
      </c>
      <c r="AH1068" s="481">
        <f>$AG1068*$A1068</f>
        <v>1484.07</v>
      </c>
      <c r="AI1068" s="525">
        <f>$E1068-$AG1068</f>
        <v>123.24000000000001</v>
      </c>
      <c r="AJ1068" s="525">
        <f>$A1068*$AI1068</f>
        <v>123.24000000000001</v>
      </c>
      <c r="AK1068" s="526">
        <f>ROUND(($AG1068+$AI1068)*$A1068,2)</f>
        <v>1607.31</v>
      </c>
      <c r="AM1068" s="527">
        <f>ROUND(R1074,2)</f>
        <v>1205.24</v>
      </c>
      <c r="AN1068" s="528">
        <f>ROUND(T1074,2)</f>
        <v>3.65</v>
      </c>
      <c r="AO1068" s="529">
        <f>ROUND(AM1068+AN1068,2)*A1068</f>
        <v>1208.8900000000001</v>
      </c>
      <c r="AR1068" s="747">
        <v>1</v>
      </c>
      <c r="AS1068" s="751">
        <v>1621.01</v>
      </c>
    </row>
    <row r="1069" spans="1:45" s="520" customFormat="1" ht="13.2">
      <c r="A1069" s="748"/>
      <c r="B1069"/>
      <c r="C1069" s="748"/>
      <c r="D1069" s="749" t="s">
        <v>1237</v>
      </c>
      <c r="F1069" s="753"/>
      <c r="G1069" s="3"/>
      <c r="H1069" s="753"/>
      <c r="I1069" s="754"/>
      <c r="J1069" s="753"/>
      <c r="K1069" s="753" t="s">
        <v>144</v>
      </c>
      <c r="L1069" s="753"/>
      <c r="M1069" s="753"/>
      <c r="N1069" s="753"/>
      <c r="O1069" s="753"/>
      <c r="P1069" s="753"/>
      <c r="Q1069" s="51"/>
      <c r="R1069" s="530"/>
      <c r="S1069" s="757"/>
      <c r="T1069" s="753"/>
      <c r="AR1069" s="748"/>
      <c r="AS1069" s="753"/>
    </row>
    <row r="1070" spans="1:45" s="901" customFormat="1" ht="13.2">
      <c r="A1070">
        <v>1</v>
      </c>
      <c r="B1070" s="901" t="s">
        <v>141</v>
      </c>
      <c r="D1070" s="901" t="s">
        <v>2841</v>
      </c>
      <c r="G1070" s="941" t="s">
        <v>2842</v>
      </c>
      <c r="H1070" s="942">
        <v>510</v>
      </c>
      <c r="I1070" s="901" t="s">
        <v>2607</v>
      </c>
      <c r="K1070" s="901" t="s">
        <v>2738</v>
      </c>
      <c r="O1070" s="943">
        <v>2</v>
      </c>
      <c r="P1070" s="944">
        <v>39233</v>
      </c>
      <c r="Q1070" s="945">
        <v>1180.24</v>
      </c>
      <c r="R1070" s="946">
        <f>$A1070*Q1070</f>
        <v>1180.24</v>
      </c>
      <c r="S1070" s="945">
        <v>4</v>
      </c>
      <c r="T1070" s="947">
        <f>$A1070*S1070*$T$1</f>
        <v>3.6</v>
      </c>
      <c r="AR1070">
        <v>1</v>
      </c>
    </row>
    <row r="1071" spans="1:45" s="901" customFormat="1" ht="13.2">
      <c r="A1071">
        <v>1</v>
      </c>
      <c r="B1071" s="901" t="s">
        <v>141</v>
      </c>
      <c r="D1071" s="901" t="s">
        <v>2758</v>
      </c>
      <c r="G1071" s="941" t="s">
        <v>2760</v>
      </c>
      <c r="H1071" s="942">
        <v>501</v>
      </c>
      <c r="I1071" s="901" t="s">
        <v>2607</v>
      </c>
      <c r="K1071" s="901" t="s">
        <v>2761</v>
      </c>
      <c r="O1071" s="943">
        <v>1</v>
      </c>
      <c r="P1071" s="944"/>
      <c r="Q1071" s="945">
        <v>20</v>
      </c>
      <c r="R1071" s="946">
        <f>$A1071*Q1071</f>
        <v>20</v>
      </c>
      <c r="S1071" s="945"/>
      <c r="T1071" s="947">
        <f>$A1071*S1071*$T$1</f>
        <v>0</v>
      </c>
      <c r="AR1071">
        <v>1</v>
      </c>
    </row>
    <row r="1072" spans="1:45" s="901" customFormat="1" ht="13.2">
      <c r="A1072">
        <v>1</v>
      </c>
      <c r="B1072" s="901" t="s">
        <v>141</v>
      </c>
      <c r="D1072" s="901" t="s">
        <v>2745</v>
      </c>
      <c r="G1072" s="941" t="s">
        <v>2746</v>
      </c>
      <c r="H1072" s="942">
        <v>875</v>
      </c>
      <c r="I1072" s="901" t="s">
        <v>2607</v>
      </c>
      <c r="K1072" s="901" t="s">
        <v>2747</v>
      </c>
      <c r="O1072" s="943">
        <v>3</v>
      </c>
      <c r="P1072" s="944">
        <v>34820</v>
      </c>
      <c r="Q1072" s="945">
        <v>5</v>
      </c>
      <c r="R1072" s="946">
        <f>$A1072*Q1072</f>
        <v>5</v>
      </c>
      <c r="S1072" s="945">
        <v>0.05</v>
      </c>
      <c r="T1072" s="947">
        <f>$A1072*S1072*$T$1</f>
        <v>4.5000000000000005E-2</v>
      </c>
      <c r="AR1072">
        <v>1</v>
      </c>
    </row>
    <row r="1073" spans="1:45" s="520" customFormat="1" ht="12">
      <c r="A1073" s="758"/>
      <c r="B1073" s="758"/>
      <c r="C1073" s="758"/>
      <c r="D1073" s="758"/>
      <c r="E1073" s="758"/>
      <c r="F1073" s="753"/>
      <c r="G1073" s="758"/>
      <c r="H1073" s="758"/>
      <c r="I1073" s="519"/>
      <c r="J1073" s="758"/>
      <c r="K1073" s="758"/>
      <c r="L1073" s="758"/>
      <c r="M1073" s="758"/>
      <c r="N1073" s="758"/>
      <c r="O1073" s="758"/>
      <c r="P1073" s="758"/>
      <c r="Q1073" s="519"/>
      <c r="R1073" s="759">
        <f>$A1073*Q1073</f>
        <v>0</v>
      </c>
      <c r="S1073" s="519"/>
      <c r="T1073" s="760">
        <f>$A1073*S1073*$T$1</f>
        <v>0</v>
      </c>
      <c r="AR1073" s="758"/>
      <c r="AS1073" s="753"/>
    </row>
    <row r="1074" spans="1:45" s="520" customFormat="1" ht="12.6" thickBot="1">
      <c r="A1074" s="761" t="s">
        <v>145</v>
      </c>
      <c r="B1074" s="762">
        <f>(R1073+T1073)</f>
        <v>0</v>
      </c>
      <c r="C1074" s="763"/>
      <c r="D1074" s="763"/>
      <c r="E1074" s="763"/>
      <c r="F1074" s="764"/>
      <c r="G1074" s="763" t="s">
        <v>146</v>
      </c>
      <c r="H1074" s="763"/>
      <c r="I1074" s="765"/>
      <c r="J1074" s="763"/>
      <c r="K1074" s="763" t="s">
        <v>3</v>
      </c>
      <c r="L1074" s="766" t="s">
        <v>143</v>
      </c>
      <c r="M1074" s="766"/>
      <c r="N1074" s="766"/>
      <c r="O1074" s="766"/>
      <c r="P1074" s="766"/>
      <c r="Q1074" s="767"/>
      <c r="R1074" s="768">
        <f>SUM(R1069:R1073)</f>
        <v>1205.24</v>
      </c>
      <c r="S1074" s="763"/>
      <c r="T1074" s="768">
        <f>SUM(T1069:T1073)</f>
        <v>3.645</v>
      </c>
      <c r="U1074" s="531"/>
      <c r="V1074" s="531"/>
      <c r="W1074" s="531"/>
      <c r="X1074" s="531"/>
      <c r="Y1074" s="531"/>
      <c r="Z1074" s="531"/>
      <c r="AA1074" s="531"/>
      <c r="AB1074" s="531"/>
      <c r="AC1074" s="531"/>
      <c r="AD1074" s="531"/>
      <c r="AE1074" s="531"/>
      <c r="AF1074" s="531"/>
      <c r="AG1074" s="531"/>
      <c r="AH1074" s="531"/>
      <c r="AI1074" s="531"/>
      <c r="AJ1074" s="531"/>
      <c r="AK1074" s="531"/>
      <c r="AL1074" s="531"/>
      <c r="AM1074" s="531"/>
      <c r="AN1074" s="531"/>
      <c r="AO1074" s="531"/>
      <c r="AR1074" s="761" t="s">
        <v>145</v>
      </c>
      <c r="AS1074" s="764"/>
    </row>
    <row r="1075" spans="1:45" s="520" customFormat="1" ht="12" thickTop="1">
      <c r="A1075" s="48" t="s">
        <v>148</v>
      </c>
      <c r="D1075" s="13"/>
      <c r="E1075" s="42"/>
      <c r="O1075" s="771"/>
      <c r="AR1075" s="48" t="s">
        <v>148</v>
      </c>
    </row>
    <row r="1076" spans="1:45" s="520" customFormat="1" ht="13.2">
      <c r="B1076" s="3"/>
      <c r="O1076" s="771"/>
    </row>
    <row r="1077" spans="1:45" s="520" customFormat="1" ht="12">
      <c r="B1077" s="772">
        <f ca="1">$F1077/$C$2-($R1077*$S$2+$T1077*$T$2)</f>
        <v>-9675.739238449547</v>
      </c>
      <c r="D1077" s="773" t="s">
        <v>3625</v>
      </c>
      <c r="E1077" s="774"/>
      <c r="F1077" s="775">
        <f ca="1">SUMIF($L761:$L1075,"ITEM",F761:F1075)</f>
        <v>264419.54000000004</v>
      </c>
      <c r="G1077" s="758"/>
      <c r="H1077" s="758"/>
      <c r="I1077" s="519"/>
      <c r="J1077" s="758"/>
      <c r="K1077" s="758"/>
      <c r="L1077" s="755" t="s">
        <v>157</v>
      </c>
      <c r="M1077" s="755"/>
      <c r="N1077" s="755"/>
      <c r="O1077" s="755"/>
      <c r="P1077" s="755"/>
      <c r="R1077" s="775">
        <f ca="1">SUMIF($L761:$L1075,"ITEM",R761:R1075)</f>
        <v>205582.46</v>
      </c>
      <c r="S1077" s="776"/>
      <c r="T1077" s="775">
        <f ca="1">SUMIF($L761:$L1075,"ITEM",T761:T1075)</f>
        <v>619.66500000000019</v>
      </c>
      <c r="AS1077" s="775">
        <v>273015.98999999987</v>
      </c>
    </row>
    <row r="1078" spans="1:45" s="520" customFormat="1" ht="13.2">
      <c r="A1078" s="51"/>
      <c r="B1078" s="49" t="s">
        <v>1064</v>
      </c>
      <c r="C1078" s="51"/>
      <c r="D1078" s="3"/>
      <c r="F1078" s="777" t="s">
        <v>158</v>
      </c>
      <c r="G1078" s="758"/>
      <c r="H1078" s="758"/>
      <c r="I1078" s="519"/>
      <c r="J1078" s="758"/>
      <c r="K1078" s="758"/>
      <c r="L1078" s="758"/>
      <c r="M1078" s="758"/>
      <c r="N1078" s="758"/>
      <c r="O1078" s="758"/>
      <c r="P1078" s="758"/>
      <c r="Q1078" s="778"/>
      <c r="R1078" s="777" t="s">
        <v>159</v>
      </c>
      <c r="S1078" s="38"/>
      <c r="T1078" s="777" t="s">
        <v>160</v>
      </c>
      <c r="AR1078" s="51"/>
      <c r="AS1078" s="777" t="s">
        <v>158</v>
      </c>
    </row>
    <row r="1079" spans="1:45" s="520" customFormat="1" ht="13.2">
      <c r="A1079" s="758"/>
      <c r="B1079" s="3"/>
      <c r="C1079" s="758"/>
      <c r="D1079" s="3"/>
      <c r="E1079" s="3"/>
      <c r="G1079" s="3"/>
      <c r="H1079" s="3"/>
      <c r="I1079" s="3"/>
      <c r="J1079" s="3"/>
      <c r="K1079" s="3"/>
      <c r="L1079" s="3"/>
      <c r="M1079" s="3"/>
      <c r="N1079" s="3"/>
      <c r="O1079" s="107"/>
      <c r="P1079" s="3"/>
      <c r="Q1079" s="3"/>
      <c r="R1079" s="3"/>
      <c r="S1079" s="3"/>
      <c r="T1079" s="3"/>
      <c r="AR1079" s="758"/>
    </row>
    <row r="1080" spans="1:45" s="520" customFormat="1" ht="12" thickBot="1">
      <c r="A1080" s="531"/>
      <c r="B1080" s="763"/>
      <c r="C1080" s="763"/>
      <c r="D1080" s="531"/>
      <c r="E1080" s="39"/>
      <c r="F1080" s="779"/>
      <c r="G1080" s="763"/>
      <c r="H1080" s="763"/>
      <c r="I1080" s="765"/>
      <c r="J1080" s="763"/>
      <c r="K1080" s="763"/>
      <c r="L1080" s="766"/>
      <c r="M1080" s="766"/>
      <c r="N1080" s="766"/>
      <c r="O1080" s="766"/>
      <c r="P1080" s="766"/>
      <c r="Q1080" s="767"/>
      <c r="R1080" s="779"/>
      <c r="S1080" s="780"/>
      <c r="T1080" s="779"/>
      <c r="U1080" s="531"/>
      <c r="V1080" s="531"/>
      <c r="W1080" s="531"/>
      <c r="X1080" s="531"/>
      <c r="Y1080" s="531"/>
      <c r="Z1080" s="531"/>
      <c r="AA1080" s="531"/>
      <c r="AB1080" s="531"/>
      <c r="AC1080" s="531"/>
      <c r="AD1080" s="531"/>
      <c r="AE1080" s="531"/>
      <c r="AF1080" s="531"/>
      <c r="AG1080" s="531"/>
      <c r="AH1080" s="531"/>
      <c r="AI1080" s="531"/>
      <c r="AJ1080" s="531"/>
      <c r="AK1080" s="531"/>
      <c r="AR1080" s="531"/>
      <c r="AS1080" s="779"/>
    </row>
    <row r="1081" spans="1:45" s="520" customFormat="1" thickTop="1">
      <c r="A1081" s="51"/>
      <c r="B1081" s="51"/>
      <c r="C1081" s="3"/>
      <c r="D1081" s="3"/>
      <c r="E1081" s="51"/>
      <c r="F1081" s="51"/>
      <c r="G1081" s="51"/>
      <c r="H1081" s="51"/>
      <c r="I1081" s="51"/>
      <c r="J1081" s="51"/>
      <c r="K1081" s="51" t="s">
        <v>134</v>
      </c>
      <c r="L1081" s="51"/>
      <c r="M1081" s="51"/>
      <c r="N1081" s="51"/>
      <c r="O1081" s="52"/>
      <c r="P1081" s="51"/>
      <c r="Q1081" s="51"/>
      <c r="R1081" s="51"/>
      <c r="S1081" s="51"/>
      <c r="T1081" s="51"/>
      <c r="AR1081" s="51"/>
      <c r="AS1081" s="51"/>
    </row>
    <row r="1082" spans="1:45" s="520" customFormat="1" ht="12">
      <c r="A1082" s="51"/>
      <c r="B1082" s="51"/>
      <c r="C1082" s="51" t="s">
        <v>135</v>
      </c>
      <c r="D1082" s="37"/>
      <c r="E1082" s="51"/>
      <c r="F1082" s="51"/>
      <c r="G1082" s="51"/>
      <c r="H1082" s="51"/>
      <c r="I1082" s="51"/>
      <c r="J1082" s="51"/>
      <c r="K1082" s="51"/>
      <c r="L1082" s="51"/>
      <c r="M1082" s="51"/>
      <c r="N1082" s="51"/>
      <c r="O1082" s="52"/>
      <c r="P1082" s="51"/>
      <c r="Q1082" s="51"/>
      <c r="R1082" s="51"/>
      <c r="S1082" s="51"/>
      <c r="T1082" s="51"/>
      <c r="AR1082" s="51"/>
      <c r="AS1082" s="51"/>
    </row>
    <row r="1083" spans="1:45" s="520" customFormat="1" ht="39.9" customHeight="1">
      <c r="A1083" s="51"/>
      <c r="B1083" s="51"/>
      <c r="C1083" s="51"/>
      <c r="D1083" s="1453" t="s">
        <v>498</v>
      </c>
      <c r="E1083" s="1452"/>
      <c r="F1083" s="1452"/>
      <c r="G1083" s="1452"/>
      <c r="H1083" s="1452"/>
      <c r="I1083" s="1452"/>
      <c r="J1083" s="1452"/>
      <c r="K1083" s="1452"/>
      <c r="L1083" s="1452"/>
      <c r="M1083" s="1452"/>
      <c r="N1083" s="1452"/>
      <c r="O1083" s="1452"/>
      <c r="P1083" s="1452"/>
      <c r="Q1083" s="1452"/>
      <c r="R1083" s="1452"/>
      <c r="S1083" s="1452"/>
      <c r="T1083" s="1452"/>
      <c r="AR1083" s="51"/>
    </row>
    <row r="1084" spans="1:45" s="3" customFormat="1" thickBot="1">
      <c r="A1084" s="531"/>
      <c r="O1084" s="107"/>
      <c r="AR1084" s="531"/>
    </row>
    <row r="1085" spans="1:45" s="520" customFormat="1" thickTop="1">
      <c r="A1085" s="51"/>
      <c r="B1085" s="51"/>
      <c r="C1085" s="3"/>
      <c r="D1085" s="3"/>
      <c r="E1085" s="51"/>
      <c r="F1085" s="51"/>
      <c r="G1085" s="51"/>
      <c r="H1085" s="51"/>
      <c r="I1085" s="51"/>
      <c r="J1085" s="51"/>
      <c r="K1085" s="51" t="s">
        <v>134</v>
      </c>
      <c r="L1085" s="51"/>
      <c r="M1085" s="51"/>
      <c r="N1085" s="51"/>
      <c r="O1085" s="52"/>
      <c r="P1085" s="51"/>
      <c r="Q1085" s="51"/>
      <c r="R1085" s="51"/>
      <c r="S1085" s="51"/>
      <c r="T1085" s="51"/>
      <c r="AR1085" s="51"/>
      <c r="AS1085" s="51"/>
    </row>
    <row r="1086" spans="1:45" s="520" customFormat="1" ht="12">
      <c r="A1086" s="51"/>
      <c r="B1086" s="51"/>
      <c r="C1086" s="51" t="s">
        <v>135</v>
      </c>
      <c r="D1086" s="37"/>
      <c r="E1086" s="51"/>
      <c r="F1086" s="51"/>
      <c r="G1086" s="51"/>
      <c r="H1086" s="51"/>
      <c r="I1086" s="51"/>
      <c r="J1086" s="51"/>
      <c r="K1086" s="51"/>
      <c r="L1086" s="51"/>
      <c r="M1086" s="51"/>
      <c r="N1086" s="51"/>
      <c r="O1086" s="52"/>
      <c r="P1086" s="51"/>
      <c r="Q1086" s="51"/>
      <c r="R1086" s="51"/>
      <c r="S1086" s="51"/>
      <c r="T1086" s="51"/>
      <c r="AR1086" s="51"/>
      <c r="AS1086" s="51"/>
    </row>
    <row r="1087" spans="1:45" s="520" customFormat="1" ht="12">
      <c r="A1087" s="51"/>
      <c r="B1087" s="51"/>
      <c r="C1087" s="51"/>
      <c r="D1087" s="37" t="s">
        <v>552</v>
      </c>
      <c r="E1087" s="51"/>
      <c r="F1087" s="51"/>
      <c r="G1087" s="51"/>
      <c r="H1087" s="51"/>
      <c r="I1087" s="51"/>
      <c r="J1087" s="51"/>
      <c r="K1087" s="51"/>
      <c r="L1087" s="51"/>
      <c r="M1087" s="51"/>
      <c r="N1087" s="51"/>
      <c r="O1087" s="52"/>
      <c r="P1087" s="51"/>
      <c r="Q1087" s="51"/>
      <c r="R1087" s="51"/>
      <c r="S1087" s="38"/>
      <c r="T1087" s="38"/>
      <c r="AR1087" s="51"/>
      <c r="AS1087" s="51"/>
    </row>
    <row r="1088" spans="1:45" s="3" customFormat="1" thickBot="1">
      <c r="A1088" s="531"/>
      <c r="O1088" s="107"/>
      <c r="AR1088" s="531"/>
    </row>
    <row r="1089" spans="1:45" s="520" customFormat="1" ht="12" thickTop="1">
      <c r="A1089" s="51"/>
      <c r="B1089" s="41"/>
      <c r="C1089" s="51"/>
      <c r="E1089" s="42" t="s">
        <v>138</v>
      </c>
      <c r="F1089" s="42" t="s">
        <v>139</v>
      </c>
      <c r="G1089" s="51"/>
      <c r="H1089" s="51"/>
      <c r="I1089" s="51"/>
      <c r="J1089" s="51"/>
      <c r="K1089" s="51" t="s">
        <v>140</v>
      </c>
      <c r="L1089" s="51"/>
      <c r="M1089" s="51"/>
      <c r="N1089" s="51"/>
      <c r="O1089" s="52"/>
      <c r="P1089" s="51"/>
      <c r="Q1089" s="51"/>
      <c r="R1089" s="51"/>
      <c r="S1089" s="51"/>
      <c r="T1089" s="41"/>
      <c r="AG1089" s="521" t="s">
        <v>268</v>
      </c>
      <c r="AH1089" s="521" t="s">
        <v>269</v>
      </c>
      <c r="AI1089" s="521" t="s">
        <v>270</v>
      </c>
      <c r="AJ1089" s="521" t="s">
        <v>271</v>
      </c>
      <c r="AK1089" s="521" t="s">
        <v>272</v>
      </c>
      <c r="AM1089" s="745" t="s">
        <v>281</v>
      </c>
      <c r="AN1089" s="746" t="s">
        <v>282</v>
      </c>
      <c r="AO1089" s="522" t="s">
        <v>278</v>
      </c>
      <c r="AR1089" s="51"/>
      <c r="AS1089" s="42" t="s">
        <v>139</v>
      </c>
    </row>
    <row r="1090" spans="1:45" s="520" customFormat="1" ht="12" customHeight="1">
      <c r="A1090" s="747">
        <v>30</v>
      </c>
      <c r="B1090" s="523" t="s">
        <v>320</v>
      </c>
      <c r="C1090" s="748"/>
      <c r="D1090" s="749" t="s">
        <v>1238</v>
      </c>
      <c r="E1090" s="750">
        <f ca="1">IF(AND($A1090=0,$A$1="DIF"),0, ROUND(ROUND(($R1095*$S$2+($T1095*$T$2))/A1090,2)*$C$2,2))</f>
        <v>5.63</v>
      </c>
      <c r="F1090" s="751">
        <f ca="1">ROUND($A1090*$E1090,2)</f>
        <v>168.9</v>
      </c>
      <c r="G1090" s="752" t="s">
        <v>142</v>
      </c>
      <c r="H1090" s="753"/>
      <c r="I1090" s="754"/>
      <c r="J1090" s="753"/>
      <c r="K1090" s="753" t="s">
        <v>3</v>
      </c>
      <c r="L1090" s="755" t="s">
        <v>143</v>
      </c>
      <c r="M1090" s="755"/>
      <c r="N1090" s="755"/>
      <c r="O1090" s="755"/>
      <c r="P1090" s="755"/>
      <c r="Q1090" s="51"/>
      <c r="T1090" s="756" t="str">
        <f ca="1">IF(AND($R1095=0,$T1095=0),"0.00","mu :" &amp; ROUND($F1090/$C$2/($R1095+$T1095*$D$9),2))</f>
        <v>mu :1.23</v>
      </c>
      <c r="W1090" s="524"/>
      <c r="AG1090" s="481">
        <f ca="1">IF($E1090=0,0,ROUND($R1095*$S$2*$C$2/$A1090,2))</f>
        <v>3.26</v>
      </c>
      <c r="AH1090" s="481">
        <f ca="1">$AG1090*$A1090</f>
        <v>97.8</v>
      </c>
      <c r="AI1090" s="525">
        <f ca="1">$E1090-$AG1090</f>
        <v>2.37</v>
      </c>
      <c r="AJ1090" s="525">
        <f ca="1">$A1090*$AI1090</f>
        <v>71.100000000000009</v>
      </c>
      <c r="AK1090" s="526">
        <f ca="1">ROUND(($AG1090+$AI1090)*$A1090,2)</f>
        <v>168.9</v>
      </c>
      <c r="AM1090" s="527">
        <f ca="1">ROUND(R1095,2)</f>
        <v>79.5</v>
      </c>
      <c r="AN1090" s="528">
        <f ca="1">ROUND(T1095,2)</f>
        <v>2.1</v>
      </c>
      <c r="AO1090" s="529">
        <f ca="1">ROUND(AM1090+AN1090,2)*A1090</f>
        <v>2448</v>
      </c>
      <c r="AR1090" s="747">
        <v>30</v>
      </c>
      <c r="AS1090" s="751">
        <v>179.1</v>
      </c>
    </row>
    <row r="1091" spans="1:45" s="520" customFormat="1" ht="13.2">
      <c r="A1091" s="748"/>
      <c r="B1091"/>
      <c r="C1091" s="748"/>
      <c r="D1091" s="749" t="s">
        <v>1239</v>
      </c>
      <c r="F1091" s="753"/>
      <c r="G1091" s="3"/>
      <c r="H1091" s="753"/>
      <c r="I1091" s="754"/>
      <c r="J1091" s="753"/>
      <c r="K1091" s="753" t="s">
        <v>144</v>
      </c>
      <c r="L1091" s="753"/>
      <c r="M1091" s="753"/>
      <c r="N1091" s="753"/>
      <c r="O1091" s="753"/>
      <c r="P1091" s="753"/>
      <c r="Q1091" s="51"/>
      <c r="R1091" s="530"/>
      <c r="S1091" s="757"/>
      <c r="T1091" s="753"/>
      <c r="AR1091" s="748"/>
      <c r="AS1091" s="753"/>
    </row>
    <row r="1092" spans="1:45" s="886" customFormat="1" ht="13.2">
      <c r="A1092"/>
      <c r="B1092" s="910"/>
      <c r="C1092" s="910" t="s">
        <v>2597</v>
      </c>
      <c r="D1092" s="910" t="str">
        <f ca="1">CELL("Address",Elec_Rates!D$478)</f>
        <v>[E25_0062_Quintano_Foods_Elec_ELV_As_Awarded.xlsx]Elec_Rates!$D$478</v>
      </c>
      <c r="E1092" s="911"/>
      <c r="F1092" s="911"/>
      <c r="G1092" s="912" t="s">
        <v>2598</v>
      </c>
      <c r="H1092" s="912"/>
      <c r="I1092" s="912"/>
      <c r="J1092" s="912"/>
      <c r="K1092" s="913"/>
      <c r="L1092" s="911"/>
      <c r="M1092" s="911"/>
      <c r="N1092" s="911"/>
      <c r="O1092" s="914"/>
      <c r="P1092" s="911"/>
      <c r="Q1092" s="915"/>
      <c r="R1092" s="916"/>
      <c r="S1092" s="915"/>
      <c r="T1092" s="917"/>
      <c r="U1092" s="918"/>
      <c r="AR1092"/>
      <c r="AS1092" s="911"/>
    </row>
    <row r="1093" spans="1:45" s="886" customFormat="1" ht="11.4">
      <c r="A1093" s="919">
        <v>30</v>
      </c>
      <c r="B1093" s="920">
        <v>1</v>
      </c>
      <c r="C1093" s="920">
        <f>$A1093*$B1093</f>
        <v>30</v>
      </c>
      <c r="D1093" s="921" t="str">
        <f>Elec_Rates!$D$478</f>
        <v>046# 3 x 4mm2 XLPE/SWA/LSZH</v>
      </c>
      <c r="E1093" s="921"/>
      <c r="F1093" s="921" t="s">
        <v>2599</v>
      </c>
      <c r="G1093" s="922" t="s">
        <v>2601</v>
      </c>
      <c r="H1093" s="922"/>
      <c r="I1093" s="922"/>
      <c r="J1093" s="922"/>
      <c r="K1093" s="923"/>
      <c r="L1093" s="918"/>
      <c r="M1093" s="918"/>
      <c r="N1093" s="918"/>
      <c r="O1093" s="924"/>
      <c r="P1093" s="921"/>
      <c r="Q1093" s="925">
        <f ca="1">$B1093*Elec_Rates!$R$478</f>
        <v>2.65</v>
      </c>
      <c r="R1093" s="916">
        <f ca="1">$A1093*Q1093</f>
        <v>79.5</v>
      </c>
      <c r="S1093" s="925">
        <f ca="1">$B1093*Elec_Rates!$T$478</f>
        <v>7.0000000000000007E-2</v>
      </c>
      <c r="T1093" s="917">
        <f ca="1">$A1093*S1093</f>
        <v>2.1</v>
      </c>
      <c r="U1093" s="926"/>
      <c r="AR1093" s="919">
        <v>30</v>
      </c>
      <c r="AS1093" s="921" t="s">
        <v>2599</v>
      </c>
    </row>
    <row r="1094" spans="1:45" s="520" customFormat="1" ht="12">
      <c r="A1094" s="758"/>
      <c r="B1094" s="758"/>
      <c r="C1094" s="758"/>
      <c r="D1094" s="758"/>
      <c r="E1094" s="758"/>
      <c r="F1094" s="753"/>
      <c r="G1094" s="758"/>
      <c r="H1094" s="758"/>
      <c r="I1094" s="519"/>
      <c r="J1094" s="758"/>
      <c r="K1094" s="758"/>
      <c r="L1094" s="758"/>
      <c r="M1094" s="758"/>
      <c r="N1094" s="758"/>
      <c r="O1094" s="758"/>
      <c r="P1094" s="758"/>
      <c r="Q1094" s="519"/>
      <c r="R1094" s="759">
        <f>$A1094*Q1094</f>
        <v>0</v>
      </c>
      <c r="S1094" s="519"/>
      <c r="T1094" s="760">
        <f>$A1094*S1094*$T$1</f>
        <v>0</v>
      </c>
      <c r="AR1094" s="758"/>
      <c r="AS1094" s="753"/>
    </row>
    <row r="1095" spans="1:45" s="520" customFormat="1" ht="12.6" thickBot="1">
      <c r="A1095" s="761" t="s">
        <v>145</v>
      </c>
      <c r="B1095" s="762">
        <f>(R1094+T1094)</f>
        <v>0</v>
      </c>
      <c r="C1095" s="763"/>
      <c r="D1095" s="763"/>
      <c r="E1095" s="763"/>
      <c r="F1095" s="764"/>
      <c r="G1095" s="763" t="s">
        <v>146</v>
      </c>
      <c r="H1095" s="763"/>
      <c r="I1095" s="765"/>
      <c r="J1095" s="763"/>
      <c r="K1095" s="763" t="s">
        <v>3</v>
      </c>
      <c r="L1095" s="766" t="s">
        <v>143</v>
      </c>
      <c r="M1095" s="766"/>
      <c r="N1095" s="766"/>
      <c r="O1095" s="766"/>
      <c r="P1095" s="766"/>
      <c r="Q1095" s="767"/>
      <c r="R1095" s="768">
        <f ca="1">SUM(R1091:R1094)</f>
        <v>79.5</v>
      </c>
      <c r="S1095" s="763"/>
      <c r="T1095" s="768">
        <f ca="1">SUM(T1091:T1094)</f>
        <v>2.1</v>
      </c>
      <c r="U1095" s="531"/>
      <c r="V1095" s="531"/>
      <c r="W1095" s="531"/>
      <c r="X1095" s="531"/>
      <c r="Y1095" s="531"/>
      <c r="Z1095" s="531"/>
      <c r="AA1095" s="531"/>
      <c r="AB1095" s="531"/>
      <c r="AC1095" s="531"/>
      <c r="AD1095" s="531"/>
      <c r="AE1095" s="531"/>
      <c r="AF1095" s="531"/>
      <c r="AG1095" s="531"/>
      <c r="AH1095" s="531"/>
      <c r="AI1095" s="531"/>
      <c r="AJ1095" s="531"/>
      <c r="AK1095" s="531"/>
      <c r="AL1095" s="531"/>
      <c r="AM1095" s="531"/>
      <c r="AN1095" s="531"/>
      <c r="AO1095" s="531"/>
      <c r="AR1095" s="761" t="s">
        <v>145</v>
      </c>
      <c r="AS1095" s="764"/>
    </row>
    <row r="1096" spans="1:45" s="520" customFormat="1" ht="12" thickTop="1">
      <c r="A1096" s="51"/>
      <c r="B1096" s="41"/>
      <c r="C1096" s="51"/>
      <c r="E1096" s="42" t="s">
        <v>138</v>
      </c>
      <c r="F1096" s="42" t="s">
        <v>139</v>
      </c>
      <c r="G1096" s="51"/>
      <c r="H1096" s="51"/>
      <c r="I1096" s="51"/>
      <c r="J1096" s="51"/>
      <c r="K1096" s="51" t="s">
        <v>140</v>
      </c>
      <c r="L1096" s="51"/>
      <c r="M1096" s="51"/>
      <c r="N1096" s="51"/>
      <c r="O1096" s="52"/>
      <c r="P1096" s="51"/>
      <c r="Q1096" s="51"/>
      <c r="R1096" s="51"/>
      <c r="S1096" s="51"/>
      <c r="T1096" s="41"/>
      <c r="AG1096" s="521" t="s">
        <v>268</v>
      </c>
      <c r="AH1096" s="521" t="s">
        <v>269</v>
      </c>
      <c r="AI1096" s="521" t="s">
        <v>270</v>
      </c>
      <c r="AJ1096" s="521" t="s">
        <v>271</v>
      </c>
      <c r="AK1096" s="521" t="s">
        <v>272</v>
      </c>
      <c r="AM1096" s="745" t="s">
        <v>281</v>
      </c>
      <c r="AN1096" s="746" t="s">
        <v>282</v>
      </c>
      <c r="AO1096" s="522" t="s">
        <v>278</v>
      </c>
      <c r="AR1096" s="51"/>
      <c r="AS1096" s="42" t="s">
        <v>139</v>
      </c>
    </row>
    <row r="1097" spans="1:45" s="520" customFormat="1" ht="12" customHeight="1">
      <c r="A1097" s="747">
        <v>45</v>
      </c>
      <c r="B1097" s="523" t="s">
        <v>320</v>
      </c>
      <c r="C1097" s="748"/>
      <c r="D1097" s="749" t="s">
        <v>1240</v>
      </c>
      <c r="E1097" s="750">
        <f ca="1">IF(AND($A1097=0,$A$1="DIF"),0, ROUND(ROUND(($R1102*$S$2+($T1102*$T$2))/A1097,2)*$C$2,2))</f>
        <v>5.63</v>
      </c>
      <c r="F1097" s="751">
        <f ca="1">ROUND($A1097*$E1097,2)</f>
        <v>253.35</v>
      </c>
      <c r="G1097" s="752" t="s">
        <v>142</v>
      </c>
      <c r="H1097" s="753"/>
      <c r="I1097" s="754"/>
      <c r="J1097" s="753"/>
      <c r="K1097" s="753" t="s">
        <v>3</v>
      </c>
      <c r="L1097" s="755" t="s">
        <v>143</v>
      </c>
      <c r="M1097" s="755"/>
      <c r="N1097" s="755"/>
      <c r="O1097" s="755"/>
      <c r="P1097" s="755"/>
      <c r="Q1097" s="51"/>
      <c r="T1097" s="756" t="str">
        <f ca="1">IF(AND($R1102=0,$T1102=0),"0.00","mu :" &amp; ROUND($F1097/$C$2/($R1102+$T1102*$D$9),2))</f>
        <v>mu :1.23</v>
      </c>
      <c r="W1097" s="524"/>
      <c r="AG1097" s="481">
        <f ca="1">IF($E1097=0,0,ROUND($R1102*$S$2*$C$2/$A1097,2))</f>
        <v>3.26</v>
      </c>
      <c r="AH1097" s="481">
        <f ca="1">$AG1097*$A1097</f>
        <v>146.69999999999999</v>
      </c>
      <c r="AI1097" s="525">
        <f ca="1">$E1097-$AG1097</f>
        <v>2.37</v>
      </c>
      <c r="AJ1097" s="525">
        <f ca="1">$A1097*$AI1097</f>
        <v>106.65</v>
      </c>
      <c r="AK1097" s="526">
        <f ca="1">ROUND(($AG1097+$AI1097)*$A1097,2)</f>
        <v>253.35</v>
      </c>
      <c r="AM1097" s="527">
        <f ca="1">ROUND(R1102,2)</f>
        <v>119.25</v>
      </c>
      <c r="AN1097" s="528">
        <f ca="1">ROUND(T1102,2)</f>
        <v>3.15</v>
      </c>
      <c r="AO1097" s="529">
        <f ca="1">ROUND(AM1097+AN1097,2)*A1097</f>
        <v>5508</v>
      </c>
      <c r="AR1097" s="747">
        <v>45</v>
      </c>
      <c r="AS1097" s="751">
        <v>268.64999999999998</v>
      </c>
    </row>
    <row r="1098" spans="1:45" s="520" customFormat="1" ht="13.2">
      <c r="A1098" s="748"/>
      <c r="B1098"/>
      <c r="C1098" s="748"/>
      <c r="D1098" s="749" t="s">
        <v>1241</v>
      </c>
      <c r="F1098" s="753"/>
      <c r="G1098" s="3"/>
      <c r="H1098" s="753"/>
      <c r="I1098" s="754"/>
      <c r="J1098" s="753"/>
      <c r="K1098" s="753" t="s">
        <v>144</v>
      </c>
      <c r="L1098" s="753"/>
      <c r="M1098" s="753"/>
      <c r="N1098" s="753"/>
      <c r="O1098" s="753"/>
      <c r="P1098" s="753"/>
      <c r="Q1098" s="51"/>
      <c r="R1098" s="530"/>
      <c r="S1098" s="757"/>
      <c r="T1098" s="753"/>
      <c r="AR1098" s="748"/>
      <c r="AS1098" s="753"/>
    </row>
    <row r="1099" spans="1:45" s="886" customFormat="1" ht="13.2">
      <c r="A1099"/>
      <c r="B1099" s="910"/>
      <c r="C1099" s="910" t="s">
        <v>2597</v>
      </c>
      <c r="D1099" s="910" t="str">
        <f ca="1">CELL("Address",Elec_Rates!D$478)</f>
        <v>[E25_0062_Quintano_Foods_Elec_ELV_As_Awarded.xlsx]Elec_Rates!$D$478</v>
      </c>
      <c r="E1099" s="911"/>
      <c r="F1099" s="911"/>
      <c r="G1099" s="912" t="s">
        <v>2598</v>
      </c>
      <c r="H1099" s="912"/>
      <c r="I1099" s="912"/>
      <c r="J1099" s="912"/>
      <c r="K1099" s="913"/>
      <c r="L1099" s="911"/>
      <c r="M1099" s="911"/>
      <c r="N1099" s="911"/>
      <c r="O1099" s="914"/>
      <c r="P1099" s="911"/>
      <c r="Q1099" s="915"/>
      <c r="R1099" s="916"/>
      <c r="S1099" s="915"/>
      <c r="T1099" s="917"/>
      <c r="U1099" s="918"/>
      <c r="AR1099"/>
      <c r="AS1099" s="911"/>
    </row>
    <row r="1100" spans="1:45" s="886" customFormat="1" ht="11.4">
      <c r="A1100" s="919">
        <v>45</v>
      </c>
      <c r="B1100" s="920">
        <v>1</v>
      </c>
      <c r="C1100" s="920">
        <f>$A1100*$B1100</f>
        <v>45</v>
      </c>
      <c r="D1100" s="921" t="str">
        <f>Elec_Rates!$D$478</f>
        <v>046# 3 x 4mm2 XLPE/SWA/LSZH</v>
      </c>
      <c r="E1100" s="921"/>
      <c r="F1100" s="921" t="s">
        <v>2599</v>
      </c>
      <c r="G1100" s="922" t="s">
        <v>2601</v>
      </c>
      <c r="H1100" s="922"/>
      <c r="I1100" s="922"/>
      <c r="J1100" s="922"/>
      <c r="K1100" s="923"/>
      <c r="L1100" s="918"/>
      <c r="M1100" s="918"/>
      <c r="N1100" s="918"/>
      <c r="O1100" s="924"/>
      <c r="P1100" s="921"/>
      <c r="Q1100" s="925">
        <f ca="1">$B1100*Elec_Rates!$R$478</f>
        <v>2.65</v>
      </c>
      <c r="R1100" s="916">
        <f ca="1">$A1100*Q1100</f>
        <v>119.25</v>
      </c>
      <c r="S1100" s="925">
        <f ca="1">$B1100*Elec_Rates!$T$478</f>
        <v>7.0000000000000007E-2</v>
      </c>
      <c r="T1100" s="917">
        <f ca="1">$A1100*S1100</f>
        <v>3.1500000000000004</v>
      </c>
      <c r="U1100" s="926"/>
      <c r="AR1100" s="919">
        <v>45</v>
      </c>
      <c r="AS1100" s="921" t="s">
        <v>2599</v>
      </c>
    </row>
    <row r="1101" spans="1:45" s="520" customFormat="1" ht="12">
      <c r="A1101" s="758"/>
      <c r="B1101" s="758"/>
      <c r="C1101" s="758"/>
      <c r="D1101" s="758"/>
      <c r="E1101" s="758"/>
      <c r="F1101" s="753"/>
      <c r="G1101" s="758"/>
      <c r="H1101" s="758"/>
      <c r="I1101" s="519"/>
      <c r="J1101" s="758"/>
      <c r="K1101" s="758"/>
      <c r="L1101" s="758"/>
      <c r="M1101" s="758"/>
      <c r="N1101" s="758"/>
      <c r="O1101" s="758"/>
      <c r="P1101" s="758"/>
      <c r="Q1101" s="519"/>
      <c r="R1101" s="759">
        <f>$A1101*Q1101</f>
        <v>0</v>
      </c>
      <c r="S1101" s="519"/>
      <c r="T1101" s="760">
        <f>$A1101*S1101*$T$1</f>
        <v>0</v>
      </c>
      <c r="AR1101" s="758"/>
      <c r="AS1101" s="753"/>
    </row>
    <row r="1102" spans="1:45" s="520" customFormat="1" ht="12.6" thickBot="1">
      <c r="A1102" s="761" t="s">
        <v>145</v>
      </c>
      <c r="B1102" s="762">
        <f>(R1101+T1101)</f>
        <v>0</v>
      </c>
      <c r="C1102" s="763"/>
      <c r="D1102" s="763"/>
      <c r="E1102" s="763"/>
      <c r="F1102" s="764"/>
      <c r="G1102" s="763" t="s">
        <v>146</v>
      </c>
      <c r="H1102" s="763"/>
      <c r="I1102" s="765"/>
      <c r="J1102" s="763"/>
      <c r="K1102" s="763" t="s">
        <v>3</v>
      </c>
      <c r="L1102" s="766" t="s">
        <v>143</v>
      </c>
      <c r="M1102" s="766"/>
      <c r="N1102" s="766"/>
      <c r="O1102" s="766"/>
      <c r="P1102" s="766"/>
      <c r="Q1102" s="767"/>
      <c r="R1102" s="768">
        <f ca="1">SUM(R1098:R1101)</f>
        <v>119.25</v>
      </c>
      <c r="S1102" s="763"/>
      <c r="T1102" s="768">
        <f ca="1">SUM(T1098:T1101)</f>
        <v>3.1500000000000004</v>
      </c>
      <c r="U1102" s="531"/>
      <c r="V1102" s="531"/>
      <c r="W1102" s="531"/>
      <c r="X1102" s="531"/>
      <c r="Y1102" s="531"/>
      <c r="Z1102" s="531"/>
      <c r="AA1102" s="531"/>
      <c r="AB1102" s="531"/>
      <c r="AC1102" s="531"/>
      <c r="AD1102" s="531"/>
      <c r="AE1102" s="531"/>
      <c r="AF1102" s="531"/>
      <c r="AG1102" s="531"/>
      <c r="AH1102" s="531"/>
      <c r="AI1102" s="531"/>
      <c r="AJ1102" s="531"/>
      <c r="AK1102" s="531"/>
      <c r="AL1102" s="531"/>
      <c r="AM1102" s="531"/>
      <c r="AN1102" s="531"/>
      <c r="AO1102" s="531"/>
      <c r="AR1102" s="761" t="s">
        <v>145</v>
      </c>
      <c r="AS1102" s="764"/>
    </row>
    <row r="1103" spans="1:45" s="520" customFormat="1" ht="12" thickTop="1">
      <c r="A1103" s="51"/>
      <c r="B1103" s="41"/>
      <c r="C1103" s="51"/>
      <c r="E1103" s="42" t="s">
        <v>138</v>
      </c>
      <c r="F1103" s="42" t="s">
        <v>139</v>
      </c>
      <c r="G1103" s="51"/>
      <c r="H1103" s="51"/>
      <c r="I1103" s="51"/>
      <c r="J1103" s="51"/>
      <c r="K1103" s="51" t="s">
        <v>140</v>
      </c>
      <c r="L1103" s="51"/>
      <c r="M1103" s="51"/>
      <c r="N1103" s="51"/>
      <c r="O1103" s="52"/>
      <c r="P1103" s="51"/>
      <c r="Q1103" s="51"/>
      <c r="R1103" s="51"/>
      <c r="S1103" s="51"/>
      <c r="T1103" s="41"/>
      <c r="AG1103" s="521" t="s">
        <v>268</v>
      </c>
      <c r="AH1103" s="521" t="s">
        <v>269</v>
      </c>
      <c r="AI1103" s="521" t="s">
        <v>270</v>
      </c>
      <c r="AJ1103" s="521" t="s">
        <v>271</v>
      </c>
      <c r="AK1103" s="521" t="s">
        <v>272</v>
      </c>
      <c r="AM1103" s="745" t="s">
        <v>281</v>
      </c>
      <c r="AN1103" s="746" t="s">
        <v>282</v>
      </c>
      <c r="AO1103" s="522" t="s">
        <v>278</v>
      </c>
      <c r="AR1103" s="51"/>
      <c r="AS1103" s="42" t="s">
        <v>139</v>
      </c>
    </row>
    <row r="1104" spans="1:45" s="520" customFormat="1" ht="12" customHeight="1">
      <c r="A1104" s="747">
        <v>40</v>
      </c>
      <c r="B1104" s="523" t="s">
        <v>320</v>
      </c>
      <c r="C1104" s="748"/>
      <c r="D1104" s="749" t="s">
        <v>1242</v>
      </c>
      <c r="E1104" s="750">
        <f ca="1">IF(AND($A1104=0,$A$1="DIF"),0, ROUND(ROUND(($R1109*$S$2+($T1109*$T$2))/A1104,2)*$C$2,2))</f>
        <v>5.63</v>
      </c>
      <c r="F1104" s="751">
        <f ca="1">ROUND($A1104*$E1104,2)</f>
        <v>225.2</v>
      </c>
      <c r="G1104" s="752" t="s">
        <v>142</v>
      </c>
      <c r="H1104" s="753"/>
      <c r="I1104" s="754"/>
      <c r="J1104" s="753"/>
      <c r="K1104" s="753" t="s">
        <v>3</v>
      </c>
      <c r="L1104" s="755" t="s">
        <v>143</v>
      </c>
      <c r="M1104" s="755"/>
      <c r="N1104" s="755"/>
      <c r="O1104" s="755"/>
      <c r="P1104" s="755"/>
      <c r="Q1104" s="51"/>
      <c r="T1104" s="756" t="str">
        <f ca="1">IF(AND($R1109=0,$T1109=0),"0.00","mu :" &amp; ROUND($F1104/$C$2/($R1109+$T1109*$D$9),2))</f>
        <v>mu :1.23</v>
      </c>
      <c r="W1104" s="524"/>
      <c r="AG1104" s="481">
        <f ca="1">IF($E1104=0,0,ROUND($R1109*$S$2*$C$2/$A1104,2))</f>
        <v>3.26</v>
      </c>
      <c r="AH1104" s="481">
        <f ca="1">$AG1104*$A1104</f>
        <v>130.39999999999998</v>
      </c>
      <c r="AI1104" s="525">
        <f ca="1">$E1104-$AG1104</f>
        <v>2.37</v>
      </c>
      <c r="AJ1104" s="525">
        <f ca="1">$A1104*$AI1104</f>
        <v>94.800000000000011</v>
      </c>
      <c r="AK1104" s="526">
        <f ca="1">ROUND(($AG1104+$AI1104)*$A1104,2)</f>
        <v>225.2</v>
      </c>
      <c r="AM1104" s="527">
        <f ca="1">ROUND(R1109,2)</f>
        <v>106</v>
      </c>
      <c r="AN1104" s="528">
        <f ca="1">ROUND(T1109,2)</f>
        <v>2.8</v>
      </c>
      <c r="AO1104" s="529">
        <f ca="1">ROUND(AM1104+AN1104,2)*A1104</f>
        <v>4352</v>
      </c>
      <c r="AR1104" s="747">
        <v>40</v>
      </c>
      <c r="AS1104" s="751">
        <v>238.8</v>
      </c>
    </row>
    <row r="1105" spans="1:45" s="520" customFormat="1" ht="13.2">
      <c r="A1105" s="748"/>
      <c r="B1105"/>
      <c r="C1105" s="748"/>
      <c r="D1105" s="749" t="s">
        <v>1243</v>
      </c>
      <c r="F1105" s="753"/>
      <c r="G1105" s="3"/>
      <c r="H1105" s="753"/>
      <c r="I1105" s="754"/>
      <c r="J1105" s="753"/>
      <c r="K1105" s="753" t="s">
        <v>144</v>
      </c>
      <c r="L1105" s="753"/>
      <c r="M1105" s="753"/>
      <c r="N1105" s="753"/>
      <c r="O1105" s="753"/>
      <c r="P1105" s="753"/>
      <c r="Q1105" s="51"/>
      <c r="R1105" s="530"/>
      <c r="S1105" s="757"/>
      <c r="T1105" s="753"/>
      <c r="AR1105" s="748"/>
      <c r="AS1105" s="753"/>
    </row>
    <row r="1106" spans="1:45" s="886" customFormat="1" ht="13.2">
      <c r="A1106"/>
      <c r="B1106" s="910"/>
      <c r="C1106" s="910" t="s">
        <v>2597</v>
      </c>
      <c r="D1106" s="910" t="str">
        <f ca="1">CELL("Address",Elec_Rates!D$478)</f>
        <v>[E25_0062_Quintano_Foods_Elec_ELV_As_Awarded.xlsx]Elec_Rates!$D$478</v>
      </c>
      <c r="E1106" s="911"/>
      <c r="F1106" s="911"/>
      <c r="G1106" s="912" t="s">
        <v>2598</v>
      </c>
      <c r="H1106" s="912"/>
      <c r="I1106" s="912"/>
      <c r="J1106" s="912"/>
      <c r="K1106" s="913"/>
      <c r="L1106" s="911"/>
      <c r="M1106" s="911"/>
      <c r="N1106" s="911"/>
      <c r="O1106" s="914"/>
      <c r="P1106" s="911"/>
      <c r="Q1106" s="915"/>
      <c r="R1106" s="916"/>
      <c r="S1106" s="915"/>
      <c r="T1106" s="917"/>
      <c r="U1106" s="918"/>
      <c r="AR1106"/>
      <c r="AS1106" s="911"/>
    </row>
    <row r="1107" spans="1:45" s="886" customFormat="1" ht="11.4">
      <c r="A1107" s="919">
        <v>40</v>
      </c>
      <c r="B1107" s="920">
        <v>1</v>
      </c>
      <c r="C1107" s="920">
        <f>$A1107*$B1107</f>
        <v>40</v>
      </c>
      <c r="D1107" s="921" t="str">
        <f>Elec_Rates!$D$478</f>
        <v>046# 3 x 4mm2 XLPE/SWA/LSZH</v>
      </c>
      <c r="E1107" s="921"/>
      <c r="F1107" s="921" t="s">
        <v>2599</v>
      </c>
      <c r="G1107" s="922" t="s">
        <v>2601</v>
      </c>
      <c r="H1107" s="922"/>
      <c r="I1107" s="922"/>
      <c r="J1107" s="922"/>
      <c r="K1107" s="923"/>
      <c r="L1107" s="918"/>
      <c r="M1107" s="918"/>
      <c r="N1107" s="918"/>
      <c r="O1107" s="924"/>
      <c r="P1107" s="921"/>
      <c r="Q1107" s="925">
        <f ca="1">$B1107*Elec_Rates!$R$478</f>
        <v>2.65</v>
      </c>
      <c r="R1107" s="916">
        <f ca="1">$A1107*Q1107</f>
        <v>106</v>
      </c>
      <c r="S1107" s="925">
        <f ca="1">$B1107*Elec_Rates!$T$478</f>
        <v>7.0000000000000007E-2</v>
      </c>
      <c r="T1107" s="917">
        <f ca="1">$A1107*S1107</f>
        <v>2.8000000000000003</v>
      </c>
      <c r="U1107" s="926"/>
      <c r="AR1107" s="919">
        <v>40</v>
      </c>
      <c r="AS1107" s="921" t="s">
        <v>2599</v>
      </c>
    </row>
    <row r="1108" spans="1:45" s="520" customFormat="1" ht="12">
      <c r="A1108" s="758"/>
      <c r="B1108" s="758"/>
      <c r="C1108" s="758"/>
      <c r="D1108" s="758"/>
      <c r="E1108" s="758"/>
      <c r="F1108" s="753"/>
      <c r="G1108" s="758"/>
      <c r="H1108" s="758"/>
      <c r="I1108" s="519"/>
      <c r="J1108" s="758"/>
      <c r="K1108" s="758"/>
      <c r="L1108" s="758"/>
      <c r="M1108" s="758"/>
      <c r="N1108" s="758"/>
      <c r="O1108" s="758"/>
      <c r="P1108" s="758"/>
      <c r="Q1108" s="519"/>
      <c r="R1108" s="759">
        <f>$A1108*Q1108</f>
        <v>0</v>
      </c>
      <c r="S1108" s="519"/>
      <c r="T1108" s="760">
        <f>$A1108*S1108*$T$1</f>
        <v>0</v>
      </c>
      <c r="AR1108" s="758"/>
      <c r="AS1108" s="753"/>
    </row>
    <row r="1109" spans="1:45" s="520" customFormat="1" ht="12.6" thickBot="1">
      <c r="A1109" s="761" t="s">
        <v>145</v>
      </c>
      <c r="B1109" s="762">
        <f>(R1108+T1108)</f>
        <v>0</v>
      </c>
      <c r="C1109" s="763"/>
      <c r="D1109" s="763"/>
      <c r="E1109" s="763"/>
      <c r="F1109" s="764"/>
      <c r="G1109" s="763" t="s">
        <v>146</v>
      </c>
      <c r="H1109" s="763"/>
      <c r="I1109" s="765"/>
      <c r="J1109" s="763"/>
      <c r="K1109" s="763" t="s">
        <v>3</v>
      </c>
      <c r="L1109" s="766" t="s">
        <v>143</v>
      </c>
      <c r="M1109" s="766"/>
      <c r="N1109" s="766"/>
      <c r="O1109" s="766"/>
      <c r="P1109" s="766"/>
      <c r="Q1109" s="767"/>
      <c r="R1109" s="768">
        <f ca="1">SUM(R1105:R1108)</f>
        <v>106</v>
      </c>
      <c r="S1109" s="763"/>
      <c r="T1109" s="768">
        <f ca="1">SUM(T1105:T1108)</f>
        <v>2.8000000000000003</v>
      </c>
      <c r="U1109" s="531"/>
      <c r="V1109" s="531"/>
      <c r="W1109" s="531"/>
      <c r="X1109" s="531"/>
      <c r="Y1109" s="531"/>
      <c r="Z1109" s="531"/>
      <c r="AA1109" s="531"/>
      <c r="AB1109" s="531"/>
      <c r="AC1109" s="531"/>
      <c r="AD1109" s="531"/>
      <c r="AE1109" s="531"/>
      <c r="AF1109" s="531"/>
      <c r="AG1109" s="531"/>
      <c r="AH1109" s="531"/>
      <c r="AI1109" s="531"/>
      <c r="AJ1109" s="531"/>
      <c r="AK1109" s="531"/>
      <c r="AL1109" s="531"/>
      <c r="AM1109" s="531"/>
      <c r="AN1109" s="531"/>
      <c r="AO1109" s="531"/>
      <c r="AR1109" s="761" t="s">
        <v>145</v>
      </c>
      <c r="AS1109" s="764"/>
    </row>
    <row r="1110" spans="1:45" s="520" customFormat="1" thickTop="1">
      <c r="A1110" s="51"/>
      <c r="B1110" s="51"/>
      <c r="C1110" s="3"/>
      <c r="D1110" s="3"/>
      <c r="E1110" s="51"/>
      <c r="F1110" s="51"/>
      <c r="G1110" s="51"/>
      <c r="H1110" s="51"/>
      <c r="I1110" s="51"/>
      <c r="J1110" s="51"/>
      <c r="K1110" s="51" t="s">
        <v>134</v>
      </c>
      <c r="L1110" s="51"/>
      <c r="M1110" s="51"/>
      <c r="N1110" s="51"/>
      <c r="O1110" s="52"/>
      <c r="P1110" s="51"/>
      <c r="Q1110" s="51"/>
      <c r="R1110" s="51"/>
      <c r="S1110" s="51"/>
      <c r="T1110" s="51"/>
      <c r="AR1110" s="51"/>
      <c r="AS1110" s="51"/>
    </row>
    <row r="1111" spans="1:45" s="520" customFormat="1" ht="12">
      <c r="A1111" s="51"/>
      <c r="B1111" s="51"/>
      <c r="C1111" s="51" t="s">
        <v>135</v>
      </c>
      <c r="D1111" s="37"/>
      <c r="E1111" s="51"/>
      <c r="F1111" s="51"/>
      <c r="G1111" s="51"/>
      <c r="H1111" s="51"/>
      <c r="I1111" s="51"/>
      <c r="J1111" s="51"/>
      <c r="K1111" s="51"/>
      <c r="L1111" s="51"/>
      <c r="M1111" s="51"/>
      <c r="N1111" s="51"/>
      <c r="O1111" s="52"/>
      <c r="P1111" s="51"/>
      <c r="Q1111" s="51"/>
      <c r="R1111" s="51"/>
      <c r="S1111" s="51"/>
      <c r="T1111" s="51"/>
      <c r="AR1111" s="51"/>
      <c r="AS1111" s="51"/>
    </row>
    <row r="1112" spans="1:45" s="520" customFormat="1" ht="12">
      <c r="A1112" s="51"/>
      <c r="B1112" s="51"/>
      <c r="C1112" s="51"/>
      <c r="D1112" s="37" t="s">
        <v>463</v>
      </c>
      <c r="E1112" s="51"/>
      <c r="F1112" s="51"/>
      <c r="G1112" s="51"/>
      <c r="H1112" s="51"/>
      <c r="I1112" s="51"/>
      <c r="J1112" s="51"/>
      <c r="K1112" s="51"/>
      <c r="L1112" s="51"/>
      <c r="M1112" s="51"/>
      <c r="N1112" s="51"/>
      <c r="O1112" s="52"/>
      <c r="P1112" s="51"/>
      <c r="Q1112" s="51"/>
      <c r="R1112" s="51"/>
      <c r="S1112" s="38"/>
      <c r="T1112" s="38"/>
      <c r="AR1112" s="51"/>
      <c r="AS1112" s="51"/>
    </row>
    <row r="1113" spans="1:45" s="3" customFormat="1" thickBot="1">
      <c r="A1113" s="531"/>
      <c r="O1113" s="107"/>
      <c r="AR1113" s="531"/>
    </row>
    <row r="1114" spans="1:45" s="520" customFormat="1" ht="12" thickTop="1">
      <c r="A1114" s="51"/>
      <c r="B1114" s="41"/>
      <c r="C1114" s="51"/>
      <c r="E1114" s="42" t="s">
        <v>138</v>
      </c>
      <c r="F1114" s="42" t="s">
        <v>139</v>
      </c>
      <c r="G1114" s="51"/>
      <c r="H1114" s="51"/>
      <c r="I1114" s="51"/>
      <c r="J1114" s="51"/>
      <c r="K1114" s="51" t="s">
        <v>140</v>
      </c>
      <c r="L1114" s="51"/>
      <c r="M1114" s="51"/>
      <c r="N1114" s="51"/>
      <c r="O1114" s="52"/>
      <c r="P1114" s="51"/>
      <c r="Q1114" s="51"/>
      <c r="R1114" s="51"/>
      <c r="S1114" s="51"/>
      <c r="T1114" s="41"/>
      <c r="AG1114" s="521" t="s">
        <v>268</v>
      </c>
      <c r="AH1114" s="521" t="s">
        <v>269</v>
      </c>
      <c r="AI1114" s="521" t="s">
        <v>270</v>
      </c>
      <c r="AJ1114" s="521" t="s">
        <v>271</v>
      </c>
      <c r="AK1114" s="521" t="s">
        <v>272</v>
      </c>
      <c r="AM1114" s="745" t="s">
        <v>281</v>
      </c>
      <c r="AN1114" s="746" t="s">
        <v>282</v>
      </c>
      <c r="AO1114" s="522" t="s">
        <v>278</v>
      </c>
      <c r="AR1114" s="51"/>
      <c r="AS1114" s="42" t="s">
        <v>139</v>
      </c>
    </row>
    <row r="1115" spans="1:45" s="520" customFormat="1" ht="12" customHeight="1">
      <c r="A1115" s="747">
        <v>3</v>
      </c>
      <c r="B1115" s="523" t="s">
        <v>141</v>
      </c>
      <c r="C1115" s="748"/>
      <c r="D1115" s="749" t="s">
        <v>1244</v>
      </c>
      <c r="E1115" s="750">
        <f ca="1">IF(AND($A1115=0,$A$1="DIF"),0, ROUND(ROUND(($R1120*$S$2+($T1120*$T$2))/A1115,2)*$C$2,2))</f>
        <v>48.45</v>
      </c>
      <c r="F1115" s="751">
        <f ca="1">ROUND($A1115*$E1115,2)</f>
        <v>145.35</v>
      </c>
      <c r="G1115" s="752" t="s">
        <v>142</v>
      </c>
      <c r="H1115" s="753"/>
      <c r="I1115" s="754"/>
      <c r="J1115" s="753"/>
      <c r="K1115" s="753" t="s">
        <v>3</v>
      </c>
      <c r="L1115" s="755" t="s">
        <v>143</v>
      </c>
      <c r="M1115" s="755"/>
      <c r="N1115" s="755"/>
      <c r="O1115" s="755"/>
      <c r="P1115" s="755"/>
      <c r="Q1115" s="51"/>
      <c r="T1115" s="756" t="str">
        <f ca="1">IF(AND($R1120=0,$T1120=0),"0.00","mu :" &amp; ROUND($F1115/$C$2/($R1120+$T1120*$D$9),2))</f>
        <v>mu :1.23</v>
      </c>
      <c r="W1115" s="524"/>
      <c r="AG1115" s="481">
        <f ca="1">IF($E1115=0,0,ROUND($R1120*$S$2*$C$2/$A1115,2))</f>
        <v>31.55</v>
      </c>
      <c r="AH1115" s="481">
        <f ca="1">$AG1115*$A1115</f>
        <v>94.65</v>
      </c>
      <c r="AI1115" s="525">
        <f ca="1">$E1115-$AG1115</f>
        <v>16.900000000000002</v>
      </c>
      <c r="AJ1115" s="525">
        <f ca="1">$A1115*$AI1115</f>
        <v>50.7</v>
      </c>
      <c r="AK1115" s="526">
        <f ca="1">ROUND(($AG1115+$AI1115)*$A1115,2)</f>
        <v>145.35</v>
      </c>
      <c r="AM1115" s="527">
        <f ca="1">ROUND(R1120,2)</f>
        <v>76.86</v>
      </c>
      <c r="AN1115" s="528">
        <f ca="1">ROUND(T1120,2)</f>
        <v>1.5</v>
      </c>
      <c r="AO1115" s="529">
        <f ca="1">ROUND(AM1115+AN1115,2)*A1115</f>
        <v>235.07999999999998</v>
      </c>
      <c r="AR1115" s="747">
        <v>3</v>
      </c>
      <c r="AS1115" s="751">
        <v>150.41999999999999</v>
      </c>
    </row>
    <row r="1116" spans="1:45" s="520" customFormat="1" ht="13.2">
      <c r="A1116" s="748"/>
      <c r="B1116"/>
      <c r="C1116" s="748"/>
      <c r="D1116" s="749" t="s">
        <v>1245</v>
      </c>
      <c r="F1116" s="753"/>
      <c r="G1116" s="3"/>
      <c r="H1116" s="753"/>
      <c r="I1116" s="754"/>
      <c r="J1116" s="753"/>
      <c r="K1116" s="753" t="s">
        <v>144</v>
      </c>
      <c r="L1116" s="753"/>
      <c r="M1116" s="753"/>
      <c r="N1116" s="753"/>
      <c r="O1116" s="753"/>
      <c r="P1116" s="753"/>
      <c r="Q1116" s="51"/>
      <c r="R1116" s="530"/>
      <c r="S1116" s="757"/>
      <c r="T1116" s="753"/>
      <c r="AR1116" s="748"/>
      <c r="AS1116" s="753"/>
    </row>
    <row r="1117" spans="1:45" s="520" customFormat="1" ht="12">
      <c r="A1117" s="51"/>
      <c r="B1117" s="758"/>
      <c r="C1117" s="753" t="s">
        <v>2597</v>
      </c>
      <c r="D1117" s="753" t="str">
        <f ca="1">CELL("Address",Elec_Rates!$D$192)</f>
        <v>[E25_0062_Quintano_Foods_Elec_ELV_As_Awarded.xlsx]Elec_Rates!$D$192</v>
      </c>
      <c r="E1117" s="758"/>
      <c r="F1117" s="753"/>
      <c r="G1117" s="1049" t="s">
        <v>2598</v>
      </c>
      <c r="H1117" s="1050"/>
      <c r="I1117" s="1051"/>
      <c r="J1117" s="1050"/>
      <c r="K1117" s="1050"/>
      <c r="L1117" s="758"/>
      <c r="M1117" s="758"/>
      <c r="N1117" s="758"/>
      <c r="O1117" s="758"/>
      <c r="P1117" s="758"/>
      <c r="Q1117" s="519"/>
      <c r="R1117" s="759"/>
      <c r="S1117" s="519"/>
      <c r="T1117" s="760"/>
      <c r="AR1117" s="51"/>
      <c r="AS1117" s="753"/>
    </row>
    <row r="1118" spans="1:45" s="520" customFormat="1" ht="11.4">
      <c r="A1118" s="51">
        <v>3</v>
      </c>
      <c r="B1118" s="519">
        <v>1</v>
      </c>
      <c r="C1118" s="519">
        <f>$A1118*$B1118</f>
        <v>3</v>
      </c>
      <c r="D1118" s="1048" t="str">
        <f>Elec_Rates!$D$192</f>
        <v>018# 1-Phase 25/32A Isolator</v>
      </c>
      <c r="E1118" s="1048"/>
      <c r="F1118" s="1048" t="s">
        <v>2733</v>
      </c>
      <c r="G1118" s="1050" t="s">
        <v>2600</v>
      </c>
      <c r="H1118" s="1050"/>
      <c r="I1118" s="1051"/>
      <c r="J1118" s="1050"/>
      <c r="K1118" s="1050"/>
      <c r="L1118" s="758"/>
      <c r="M1118" s="758"/>
      <c r="N1118" s="758"/>
      <c r="O1118" s="758"/>
      <c r="P1118" s="758"/>
      <c r="Q1118" s="1052">
        <f ca="1">$B1118*Elec_Rates!$R$192</f>
        <v>25.62</v>
      </c>
      <c r="R1118" s="759">
        <f ca="1">$A1118*Q1118</f>
        <v>76.86</v>
      </c>
      <c r="S1118" s="1052">
        <f ca="1">$B1118*Elec_Rates!$T$192</f>
        <v>0.5</v>
      </c>
      <c r="T1118" s="917">
        <f ca="1">$A1118*S1118</f>
        <v>1.5</v>
      </c>
      <c r="AR1118" s="51">
        <v>3</v>
      </c>
      <c r="AS1118" s="1048" t="s">
        <v>2733</v>
      </c>
    </row>
    <row r="1119" spans="1:45" s="520" customFormat="1" ht="12">
      <c r="A1119" s="758"/>
      <c r="B1119" s="758"/>
      <c r="C1119" s="758"/>
      <c r="D1119" s="758"/>
      <c r="E1119" s="758"/>
      <c r="F1119" s="753"/>
      <c r="G1119" s="758"/>
      <c r="H1119" s="758"/>
      <c r="I1119" s="519"/>
      <c r="J1119" s="758"/>
      <c r="K1119" s="758"/>
      <c r="L1119" s="758"/>
      <c r="M1119" s="758"/>
      <c r="N1119" s="758"/>
      <c r="O1119" s="758"/>
      <c r="P1119" s="758"/>
      <c r="Q1119" s="519"/>
      <c r="R1119" s="759">
        <f>$A1119*Q1119</f>
        <v>0</v>
      </c>
      <c r="S1119" s="519"/>
      <c r="T1119" s="760">
        <f>$A1119*S1119*$T$1</f>
        <v>0</v>
      </c>
      <c r="AR1119" s="758"/>
      <c r="AS1119" s="753"/>
    </row>
    <row r="1120" spans="1:45" s="520" customFormat="1" ht="12.6" thickBot="1">
      <c r="A1120" s="761" t="s">
        <v>145</v>
      </c>
      <c r="B1120" s="762">
        <f>(R1119+T1119)</f>
        <v>0</v>
      </c>
      <c r="C1120" s="763"/>
      <c r="D1120" s="763"/>
      <c r="E1120" s="763"/>
      <c r="F1120" s="764"/>
      <c r="G1120" s="763" t="s">
        <v>146</v>
      </c>
      <c r="H1120" s="763"/>
      <c r="I1120" s="765"/>
      <c r="J1120" s="763"/>
      <c r="K1120" s="763" t="s">
        <v>3</v>
      </c>
      <c r="L1120" s="766" t="s">
        <v>143</v>
      </c>
      <c r="M1120" s="766"/>
      <c r="N1120" s="766"/>
      <c r="O1120" s="766"/>
      <c r="P1120" s="766"/>
      <c r="Q1120" s="767"/>
      <c r="R1120" s="768">
        <f ca="1">SUM(R1116:R1119)</f>
        <v>76.86</v>
      </c>
      <c r="S1120" s="763"/>
      <c r="T1120" s="768">
        <f ca="1">SUM(T1116:T1119)</f>
        <v>1.5</v>
      </c>
      <c r="U1120" s="531"/>
      <c r="V1120" s="531"/>
      <c r="W1120" s="531"/>
      <c r="X1120" s="531"/>
      <c r="Y1120" s="531"/>
      <c r="Z1120" s="531"/>
      <c r="AA1120" s="531"/>
      <c r="AB1120" s="531"/>
      <c r="AC1120" s="531"/>
      <c r="AD1120" s="531"/>
      <c r="AE1120" s="531"/>
      <c r="AF1120" s="531"/>
      <c r="AG1120" s="531"/>
      <c r="AH1120" s="531"/>
      <c r="AI1120" s="531"/>
      <c r="AJ1120" s="531"/>
      <c r="AK1120" s="531"/>
      <c r="AL1120" s="531"/>
      <c r="AM1120" s="531"/>
      <c r="AN1120" s="531"/>
      <c r="AO1120" s="531"/>
      <c r="AR1120" s="761" t="s">
        <v>145</v>
      </c>
      <c r="AS1120" s="764"/>
    </row>
    <row r="1121" spans="1:45" s="520" customFormat="1" thickTop="1">
      <c r="A1121" s="51"/>
      <c r="B1121" s="51"/>
      <c r="C1121" s="3"/>
      <c r="D1121" s="3"/>
      <c r="E1121" s="51"/>
      <c r="F1121" s="51"/>
      <c r="G1121" s="51"/>
      <c r="H1121" s="51"/>
      <c r="I1121" s="51"/>
      <c r="J1121" s="51"/>
      <c r="K1121" s="51" t="s">
        <v>134</v>
      </c>
      <c r="L1121" s="51"/>
      <c r="M1121" s="51"/>
      <c r="N1121" s="51"/>
      <c r="O1121" s="52"/>
      <c r="P1121" s="51"/>
      <c r="Q1121" s="51"/>
      <c r="R1121" s="51"/>
      <c r="S1121" s="51"/>
      <c r="T1121" s="51"/>
      <c r="AR1121" s="51"/>
      <c r="AS1121" s="51"/>
    </row>
    <row r="1122" spans="1:45" s="520" customFormat="1" ht="12">
      <c r="A1122" s="51"/>
      <c r="B1122" s="51"/>
      <c r="C1122" s="51" t="s">
        <v>135</v>
      </c>
      <c r="D1122" s="37"/>
      <c r="E1122" s="51"/>
      <c r="F1122" s="51"/>
      <c r="G1122" s="51"/>
      <c r="H1122" s="51"/>
      <c r="I1122" s="51"/>
      <c r="J1122" s="51"/>
      <c r="K1122" s="51"/>
      <c r="L1122" s="51"/>
      <c r="M1122" s="51"/>
      <c r="N1122" s="51"/>
      <c r="O1122" s="52"/>
      <c r="P1122" s="51"/>
      <c r="Q1122" s="51"/>
      <c r="R1122" s="51"/>
      <c r="S1122" s="51"/>
      <c r="T1122" s="51"/>
      <c r="AR1122" s="51"/>
      <c r="AS1122" s="51"/>
    </row>
    <row r="1123" spans="1:45" s="520" customFormat="1" ht="39.9" customHeight="1">
      <c r="A1123" s="51"/>
      <c r="B1123" s="51"/>
      <c r="C1123" s="51"/>
      <c r="D1123" s="1453" t="s">
        <v>498</v>
      </c>
      <c r="E1123" s="1452"/>
      <c r="F1123" s="1452"/>
      <c r="G1123" s="1452"/>
      <c r="H1123" s="1452"/>
      <c r="I1123" s="1452"/>
      <c r="J1123" s="1452"/>
      <c r="K1123" s="1452"/>
      <c r="L1123" s="1452"/>
      <c r="M1123" s="1452"/>
      <c r="N1123" s="1452"/>
      <c r="O1123" s="1452"/>
      <c r="P1123" s="1452"/>
      <c r="Q1123" s="1452"/>
      <c r="R1123" s="1452"/>
      <c r="S1123" s="1452"/>
      <c r="T1123" s="1452"/>
      <c r="AR1123" s="51"/>
    </row>
    <row r="1124" spans="1:45" s="3" customFormat="1" thickBot="1">
      <c r="A1124" s="531"/>
      <c r="O1124" s="107"/>
      <c r="AR1124" s="531"/>
    </row>
    <row r="1125" spans="1:45" s="520" customFormat="1" thickTop="1">
      <c r="A1125" s="51"/>
      <c r="B1125" s="51"/>
      <c r="C1125" s="3"/>
      <c r="D1125" s="3"/>
      <c r="E1125" s="51"/>
      <c r="F1125" s="51"/>
      <c r="G1125" s="51"/>
      <c r="H1125" s="51"/>
      <c r="I1125" s="51"/>
      <c r="J1125" s="51"/>
      <c r="K1125" s="51" t="s">
        <v>134</v>
      </c>
      <c r="L1125" s="51"/>
      <c r="M1125" s="51"/>
      <c r="N1125" s="51"/>
      <c r="O1125" s="52"/>
      <c r="P1125" s="51"/>
      <c r="Q1125" s="51"/>
      <c r="R1125" s="51"/>
      <c r="S1125" s="51"/>
      <c r="T1125" s="51"/>
      <c r="AR1125" s="51"/>
      <c r="AS1125" s="51"/>
    </row>
    <row r="1126" spans="1:45" s="520" customFormat="1" ht="12">
      <c r="A1126" s="51"/>
      <c r="B1126" s="51"/>
      <c r="C1126" s="51" t="s">
        <v>135</v>
      </c>
      <c r="D1126" s="37"/>
      <c r="E1126" s="51"/>
      <c r="F1126" s="51"/>
      <c r="G1126" s="51"/>
      <c r="H1126" s="51"/>
      <c r="I1126" s="51"/>
      <c r="J1126" s="51"/>
      <c r="K1126" s="51"/>
      <c r="L1126" s="51"/>
      <c r="M1126" s="51"/>
      <c r="N1126" s="51"/>
      <c r="O1126" s="52"/>
      <c r="P1126" s="51"/>
      <c r="Q1126" s="51"/>
      <c r="R1126" s="51"/>
      <c r="S1126" s="51"/>
      <c r="T1126" s="51"/>
      <c r="AR1126" s="51"/>
      <c r="AS1126" s="51"/>
    </row>
    <row r="1127" spans="1:45" s="520" customFormat="1" ht="12">
      <c r="A1127" s="51"/>
      <c r="B1127" s="51"/>
      <c r="C1127" s="51"/>
      <c r="D1127" s="37" t="s">
        <v>557</v>
      </c>
      <c r="E1127" s="51"/>
      <c r="F1127" s="51"/>
      <c r="G1127" s="51"/>
      <c r="H1127" s="51"/>
      <c r="I1127" s="51"/>
      <c r="J1127" s="51"/>
      <c r="K1127" s="51"/>
      <c r="L1127" s="51"/>
      <c r="M1127" s="51"/>
      <c r="N1127" s="51"/>
      <c r="O1127" s="52"/>
      <c r="P1127" s="51"/>
      <c r="Q1127" s="51"/>
      <c r="R1127" s="51"/>
      <c r="S1127" s="38"/>
      <c r="T1127" s="38"/>
      <c r="AR1127" s="51"/>
      <c r="AS1127" s="51"/>
    </row>
    <row r="1128" spans="1:45" s="3" customFormat="1" thickBot="1">
      <c r="A1128" s="531"/>
      <c r="O1128" s="107"/>
      <c r="AR1128" s="531"/>
    </row>
    <row r="1129" spans="1:45" s="520" customFormat="1" ht="12" thickTop="1">
      <c r="A1129" s="51"/>
      <c r="B1129" s="41"/>
      <c r="C1129" s="51"/>
      <c r="E1129" s="42" t="s">
        <v>138</v>
      </c>
      <c r="F1129" s="42" t="s">
        <v>139</v>
      </c>
      <c r="G1129" s="51"/>
      <c r="H1129" s="51"/>
      <c r="I1129" s="51"/>
      <c r="J1129" s="51"/>
      <c r="K1129" s="51" t="s">
        <v>140</v>
      </c>
      <c r="L1129" s="51"/>
      <c r="M1129" s="51"/>
      <c r="N1129" s="51"/>
      <c r="O1129" s="52"/>
      <c r="P1129" s="51"/>
      <c r="Q1129" s="51"/>
      <c r="R1129" s="51"/>
      <c r="S1129" s="51"/>
      <c r="T1129" s="41"/>
      <c r="AG1129" s="521" t="s">
        <v>268</v>
      </c>
      <c r="AH1129" s="521" t="s">
        <v>269</v>
      </c>
      <c r="AI1129" s="521" t="s">
        <v>270</v>
      </c>
      <c r="AJ1129" s="521" t="s">
        <v>271</v>
      </c>
      <c r="AK1129" s="521" t="s">
        <v>272</v>
      </c>
      <c r="AM1129" s="745" t="s">
        <v>281</v>
      </c>
      <c r="AN1129" s="746" t="s">
        <v>282</v>
      </c>
      <c r="AO1129" s="522" t="s">
        <v>278</v>
      </c>
      <c r="AR1129" s="51"/>
      <c r="AS1129" s="42" t="s">
        <v>139</v>
      </c>
    </row>
    <row r="1130" spans="1:45" s="520" customFormat="1" ht="12" customHeight="1">
      <c r="A1130" s="747">
        <v>40</v>
      </c>
      <c r="B1130" s="523" t="s">
        <v>320</v>
      </c>
      <c r="C1130" s="748"/>
      <c r="D1130" s="749" t="s">
        <v>1246</v>
      </c>
      <c r="E1130" s="750">
        <f ca="1">IF(AND($A1130=0,$A$1="DIF"),0, ROUND(ROUND(($R1135*$S$2+($T1135*$T$2))/A1130,2)*$C$2,2))</f>
        <v>15.95</v>
      </c>
      <c r="F1130" s="751">
        <f ca="1">ROUND($A1130*$E1130,2)</f>
        <v>638</v>
      </c>
      <c r="G1130" s="752" t="s">
        <v>142</v>
      </c>
      <c r="H1130" s="753"/>
      <c r="I1130" s="754"/>
      <c r="J1130" s="753"/>
      <c r="K1130" s="753" t="s">
        <v>3</v>
      </c>
      <c r="L1130" s="755" t="s">
        <v>143</v>
      </c>
      <c r="M1130" s="755"/>
      <c r="N1130" s="755"/>
      <c r="O1130" s="755"/>
      <c r="P1130" s="755"/>
      <c r="Q1130" s="51"/>
      <c r="T1130" s="756" t="str">
        <f ca="1">IF(AND($R1135=0,$T1135=0),"0.00","mu :" &amp; ROUND($F1130/$C$2/($R1135+$T1135*$D$9),2))</f>
        <v>mu :1.23</v>
      </c>
      <c r="W1130" s="524"/>
      <c r="AG1130" s="481">
        <f ca="1">IF($E1130=0,0,ROUND($R1135*$S$2*$C$2/$A1130,2))</f>
        <v>13.58</v>
      </c>
      <c r="AH1130" s="481">
        <f ca="1">$AG1130*$A1130</f>
        <v>543.20000000000005</v>
      </c>
      <c r="AI1130" s="525">
        <f ca="1">$E1130-$AG1130</f>
        <v>2.3699999999999992</v>
      </c>
      <c r="AJ1130" s="525">
        <f ca="1">$A1130*$AI1130</f>
        <v>94.799999999999969</v>
      </c>
      <c r="AK1130" s="526">
        <f ca="1">ROUND(($AG1130+$AI1130)*$A1130,2)</f>
        <v>638</v>
      </c>
      <c r="AM1130" s="527">
        <f ca="1">ROUND(R1135,2)</f>
        <v>441.2</v>
      </c>
      <c r="AN1130" s="528">
        <f ca="1">ROUND(T1135,2)</f>
        <v>2.8</v>
      </c>
      <c r="AO1130" s="529">
        <f ca="1">ROUND(AM1130+AN1130,2)*A1130</f>
        <v>17760</v>
      </c>
      <c r="AR1130" s="747">
        <v>40</v>
      </c>
      <c r="AS1130" s="751">
        <v>651.6</v>
      </c>
    </row>
    <row r="1131" spans="1:45" s="520" customFormat="1" ht="13.2">
      <c r="A1131" s="748"/>
      <c r="B1131"/>
      <c r="C1131" s="748"/>
      <c r="D1131" s="749" t="s">
        <v>1247</v>
      </c>
      <c r="F1131" s="753"/>
      <c r="G1131" s="3"/>
      <c r="H1131" s="753"/>
      <c r="I1131" s="754"/>
      <c r="J1131" s="753"/>
      <c r="K1131" s="753" t="s">
        <v>144</v>
      </c>
      <c r="L1131" s="753"/>
      <c r="M1131" s="753"/>
      <c r="N1131" s="753"/>
      <c r="O1131" s="753"/>
      <c r="P1131" s="753"/>
      <c r="Q1131" s="51"/>
      <c r="R1131" s="530"/>
      <c r="S1131" s="757"/>
      <c r="T1131" s="753"/>
      <c r="AR1131" s="748"/>
      <c r="AS1131" s="753"/>
    </row>
    <row r="1132" spans="1:45" s="886" customFormat="1" ht="13.2">
      <c r="A1132"/>
      <c r="B1132" s="910"/>
      <c r="C1132" s="910" t="s">
        <v>2597</v>
      </c>
      <c r="D1132" s="910" t="str">
        <f ca="1">CELL("Address",Elec_Rates!D$488)</f>
        <v>[E25_0062_Quintano_Foods_Elec_ELV_As_Awarded.xlsx]Elec_Rates!$D$488</v>
      </c>
      <c r="E1132" s="911"/>
      <c r="F1132" s="911"/>
      <c r="G1132" s="912" t="s">
        <v>2598</v>
      </c>
      <c r="H1132" s="912"/>
      <c r="I1132" s="912"/>
      <c r="J1132" s="912"/>
      <c r="K1132" s="913"/>
      <c r="L1132" s="911"/>
      <c r="M1132" s="911"/>
      <c r="N1132" s="911"/>
      <c r="O1132" s="914"/>
      <c r="P1132" s="911"/>
      <c r="Q1132" s="915"/>
      <c r="R1132" s="916"/>
      <c r="S1132" s="915"/>
      <c r="T1132" s="917"/>
      <c r="U1132" s="918"/>
      <c r="AR1132"/>
      <c r="AS1132" s="911"/>
    </row>
    <row r="1133" spans="1:45" s="886" customFormat="1" ht="11.4">
      <c r="A1133" s="919">
        <v>40</v>
      </c>
      <c r="B1133" s="920">
        <v>1</v>
      </c>
      <c r="C1133" s="920">
        <f>$A1133*$B1133</f>
        <v>40</v>
      </c>
      <c r="D1133" s="921" t="str">
        <f>Elec_Rates!$D$488</f>
        <v>047# 5 x 2.5mm2 F120 Fire Resistant Cable (BS7846) -  XLPE/SWA/LSZH</v>
      </c>
      <c r="E1133" s="921"/>
      <c r="F1133" s="921" t="s">
        <v>2599</v>
      </c>
      <c r="G1133" s="922" t="s">
        <v>2601</v>
      </c>
      <c r="H1133" s="922"/>
      <c r="I1133" s="922"/>
      <c r="J1133" s="922"/>
      <c r="K1133" s="923"/>
      <c r="L1133" s="918"/>
      <c r="M1133" s="918"/>
      <c r="N1133" s="918"/>
      <c r="O1133" s="924"/>
      <c r="P1133" s="921"/>
      <c r="Q1133" s="925">
        <f ca="1">$B1133*Elec_Rates!$R$488</f>
        <v>11.03</v>
      </c>
      <c r="R1133" s="916">
        <f ca="1">$A1133*Q1133</f>
        <v>441.2</v>
      </c>
      <c r="S1133" s="925">
        <f ca="1">$B1133*Elec_Rates!$T$488</f>
        <v>7.0000000000000007E-2</v>
      </c>
      <c r="T1133" s="917">
        <f ca="1">$A1133*S1133</f>
        <v>2.8000000000000003</v>
      </c>
      <c r="U1133" s="926"/>
      <c r="AR1133" s="919">
        <v>40</v>
      </c>
      <c r="AS1133" s="921" t="s">
        <v>2599</v>
      </c>
    </row>
    <row r="1134" spans="1:45" s="520" customFormat="1" ht="12">
      <c r="A1134" s="758"/>
      <c r="B1134" s="758"/>
      <c r="C1134" s="758"/>
      <c r="D1134" s="758"/>
      <c r="E1134" s="758"/>
      <c r="F1134" s="753"/>
      <c r="G1134" s="758"/>
      <c r="H1134" s="758"/>
      <c r="I1134" s="519"/>
      <c r="J1134" s="758"/>
      <c r="K1134" s="758"/>
      <c r="L1134" s="758"/>
      <c r="M1134" s="758"/>
      <c r="N1134" s="758"/>
      <c r="O1134" s="758"/>
      <c r="P1134" s="758"/>
      <c r="Q1134" s="519"/>
      <c r="R1134" s="759">
        <f>$A1134*Q1134</f>
        <v>0</v>
      </c>
      <c r="S1134" s="519"/>
      <c r="T1134" s="760">
        <f>$A1134*S1134*$T$1</f>
        <v>0</v>
      </c>
      <c r="AR1134" s="758"/>
      <c r="AS1134" s="753"/>
    </row>
    <row r="1135" spans="1:45" s="520" customFormat="1" ht="12.6" thickBot="1">
      <c r="A1135" s="761" t="s">
        <v>145</v>
      </c>
      <c r="B1135" s="762">
        <f>(R1134+T1134)</f>
        <v>0</v>
      </c>
      <c r="C1135" s="763"/>
      <c r="D1135" s="763"/>
      <c r="E1135" s="763"/>
      <c r="F1135" s="764"/>
      <c r="G1135" s="763" t="s">
        <v>146</v>
      </c>
      <c r="H1135" s="763"/>
      <c r="I1135" s="765"/>
      <c r="J1135" s="763"/>
      <c r="K1135" s="763" t="s">
        <v>3</v>
      </c>
      <c r="L1135" s="766" t="s">
        <v>143</v>
      </c>
      <c r="M1135" s="766"/>
      <c r="N1135" s="766"/>
      <c r="O1135" s="766"/>
      <c r="P1135" s="766"/>
      <c r="Q1135" s="767"/>
      <c r="R1135" s="768">
        <f ca="1">SUM(R1131:R1134)</f>
        <v>441.2</v>
      </c>
      <c r="S1135" s="763"/>
      <c r="T1135" s="768">
        <f ca="1">SUM(T1131:T1134)</f>
        <v>2.8000000000000003</v>
      </c>
      <c r="U1135" s="531"/>
      <c r="V1135" s="531"/>
      <c r="W1135" s="531"/>
      <c r="X1135" s="531"/>
      <c r="Y1135" s="531"/>
      <c r="Z1135" s="531"/>
      <c r="AA1135" s="531"/>
      <c r="AB1135" s="531"/>
      <c r="AC1135" s="531"/>
      <c r="AD1135" s="531"/>
      <c r="AE1135" s="531"/>
      <c r="AF1135" s="531"/>
      <c r="AG1135" s="531"/>
      <c r="AH1135" s="531"/>
      <c r="AI1135" s="531"/>
      <c r="AJ1135" s="531"/>
      <c r="AK1135" s="531"/>
      <c r="AL1135" s="531"/>
      <c r="AM1135" s="531"/>
      <c r="AN1135" s="531"/>
      <c r="AO1135" s="531"/>
      <c r="AR1135" s="761" t="s">
        <v>145</v>
      </c>
      <c r="AS1135" s="764"/>
    </row>
    <row r="1136" spans="1:45" s="520" customFormat="1" ht="12" thickTop="1">
      <c r="A1136" s="51"/>
      <c r="B1136" s="41"/>
      <c r="C1136" s="51"/>
      <c r="E1136" s="42" t="s">
        <v>138</v>
      </c>
      <c r="F1136" s="42" t="s">
        <v>139</v>
      </c>
      <c r="G1136" s="51"/>
      <c r="H1136" s="51"/>
      <c r="I1136" s="51"/>
      <c r="J1136" s="51"/>
      <c r="K1136" s="51" t="s">
        <v>140</v>
      </c>
      <c r="L1136" s="51"/>
      <c r="M1136" s="51"/>
      <c r="N1136" s="51"/>
      <c r="O1136" s="52"/>
      <c r="P1136" s="51"/>
      <c r="Q1136" s="51"/>
      <c r="R1136" s="51"/>
      <c r="S1136" s="51"/>
      <c r="T1136" s="41"/>
      <c r="AG1136" s="521" t="s">
        <v>268</v>
      </c>
      <c r="AH1136" s="521" t="s">
        <v>269</v>
      </c>
      <c r="AI1136" s="521" t="s">
        <v>270</v>
      </c>
      <c r="AJ1136" s="521" t="s">
        <v>271</v>
      </c>
      <c r="AK1136" s="521" t="s">
        <v>272</v>
      </c>
      <c r="AM1136" s="745" t="s">
        <v>281</v>
      </c>
      <c r="AN1136" s="746" t="s">
        <v>282</v>
      </c>
      <c r="AO1136" s="522" t="s">
        <v>278</v>
      </c>
      <c r="AR1136" s="51"/>
      <c r="AS1136" s="42" t="s">
        <v>139</v>
      </c>
    </row>
    <row r="1137" spans="1:45" s="520" customFormat="1" ht="12" customHeight="1">
      <c r="A1137" s="747">
        <v>55</v>
      </c>
      <c r="B1137" s="523" t="s">
        <v>320</v>
      </c>
      <c r="C1137" s="748"/>
      <c r="D1137" s="749" t="s">
        <v>1248</v>
      </c>
      <c r="E1137" s="750">
        <f ca="1">IF(AND($A1137=0,$A$1="DIF"),0, ROUND(ROUND(($R1142*$S$2+($T1142*$T$2))/A1137,2)*$C$2,2))</f>
        <v>15.95</v>
      </c>
      <c r="F1137" s="751">
        <f ca="1">ROUND($A1137*$E1137,2)</f>
        <v>877.25</v>
      </c>
      <c r="G1137" s="752" t="s">
        <v>142</v>
      </c>
      <c r="H1137" s="753"/>
      <c r="I1137" s="754"/>
      <c r="J1137" s="753"/>
      <c r="K1137" s="753" t="s">
        <v>3</v>
      </c>
      <c r="L1137" s="755" t="s">
        <v>143</v>
      </c>
      <c r="M1137" s="755"/>
      <c r="N1137" s="755"/>
      <c r="O1137" s="755"/>
      <c r="P1137" s="755"/>
      <c r="Q1137" s="51"/>
      <c r="T1137" s="756" t="str">
        <f ca="1">IF(AND($R1142=0,$T1142=0),"0.00","mu :" &amp; ROUND($F1137/$C$2/($R1142+$T1142*$D$9),2))</f>
        <v>mu :1.23</v>
      </c>
      <c r="W1137" s="524"/>
      <c r="AG1137" s="481">
        <f ca="1">IF($E1137=0,0,ROUND($R1142*$S$2*$C$2/$A1137,2))</f>
        <v>13.58</v>
      </c>
      <c r="AH1137" s="481">
        <f ca="1">$AG1137*$A1137</f>
        <v>746.9</v>
      </c>
      <c r="AI1137" s="525">
        <f ca="1">$E1137-$AG1137</f>
        <v>2.3699999999999992</v>
      </c>
      <c r="AJ1137" s="525">
        <f ca="1">$A1137*$AI1137</f>
        <v>130.34999999999997</v>
      </c>
      <c r="AK1137" s="526">
        <f ca="1">ROUND(($AG1137+$AI1137)*$A1137,2)</f>
        <v>877.25</v>
      </c>
      <c r="AM1137" s="527">
        <f ca="1">ROUND(R1142,2)</f>
        <v>606.65</v>
      </c>
      <c r="AN1137" s="528">
        <f ca="1">ROUND(T1142,2)</f>
        <v>3.85</v>
      </c>
      <c r="AO1137" s="529">
        <f ca="1">ROUND(AM1137+AN1137,2)*A1137</f>
        <v>33577.5</v>
      </c>
      <c r="AR1137" s="747">
        <v>55</v>
      </c>
      <c r="AS1137" s="751">
        <v>895.95</v>
      </c>
    </row>
    <row r="1138" spans="1:45" s="520" customFormat="1" ht="13.2">
      <c r="A1138" s="748"/>
      <c r="B1138"/>
      <c r="C1138" s="748"/>
      <c r="D1138" s="749" t="s">
        <v>1249</v>
      </c>
      <c r="F1138" s="753"/>
      <c r="G1138" s="3"/>
      <c r="H1138" s="753"/>
      <c r="I1138" s="754"/>
      <c r="J1138" s="753"/>
      <c r="K1138" s="753" t="s">
        <v>144</v>
      </c>
      <c r="L1138" s="753"/>
      <c r="M1138" s="753"/>
      <c r="N1138" s="753"/>
      <c r="O1138" s="753"/>
      <c r="P1138" s="753"/>
      <c r="Q1138" s="51"/>
      <c r="R1138" s="530"/>
      <c r="S1138" s="757"/>
      <c r="T1138" s="753"/>
      <c r="AR1138" s="748"/>
      <c r="AS1138" s="753"/>
    </row>
    <row r="1139" spans="1:45" s="886" customFormat="1" ht="13.2">
      <c r="A1139"/>
      <c r="B1139" s="910"/>
      <c r="C1139" s="910" t="s">
        <v>2597</v>
      </c>
      <c r="D1139" s="910" t="str">
        <f ca="1">CELL("Address",Elec_Rates!D$488)</f>
        <v>[E25_0062_Quintano_Foods_Elec_ELV_As_Awarded.xlsx]Elec_Rates!$D$488</v>
      </c>
      <c r="E1139" s="911"/>
      <c r="F1139" s="911"/>
      <c r="G1139" s="912" t="s">
        <v>2598</v>
      </c>
      <c r="H1139" s="912"/>
      <c r="I1139" s="912"/>
      <c r="J1139" s="912"/>
      <c r="K1139" s="913"/>
      <c r="L1139" s="911"/>
      <c r="M1139" s="911"/>
      <c r="N1139" s="911"/>
      <c r="O1139" s="914"/>
      <c r="P1139" s="911"/>
      <c r="Q1139" s="915"/>
      <c r="R1139" s="916"/>
      <c r="S1139" s="915"/>
      <c r="T1139" s="917"/>
      <c r="U1139" s="918"/>
      <c r="AR1139"/>
      <c r="AS1139" s="911"/>
    </row>
    <row r="1140" spans="1:45" s="886" customFormat="1" ht="11.4">
      <c r="A1140" s="919">
        <v>55</v>
      </c>
      <c r="B1140" s="920">
        <v>1</v>
      </c>
      <c r="C1140" s="920">
        <f>$A1140*$B1140</f>
        <v>55</v>
      </c>
      <c r="D1140" s="921" t="str">
        <f>Elec_Rates!$D$488</f>
        <v>047# 5 x 2.5mm2 F120 Fire Resistant Cable (BS7846) -  XLPE/SWA/LSZH</v>
      </c>
      <c r="E1140" s="921"/>
      <c r="F1140" s="921" t="s">
        <v>2599</v>
      </c>
      <c r="G1140" s="922" t="s">
        <v>2601</v>
      </c>
      <c r="H1140" s="922"/>
      <c r="I1140" s="922"/>
      <c r="J1140" s="922"/>
      <c r="K1140" s="923"/>
      <c r="L1140" s="918"/>
      <c r="M1140" s="918"/>
      <c r="N1140" s="918"/>
      <c r="O1140" s="924"/>
      <c r="P1140" s="921"/>
      <c r="Q1140" s="925">
        <f ca="1">$B1140*Elec_Rates!$R$488</f>
        <v>11.03</v>
      </c>
      <c r="R1140" s="916">
        <f ca="1">$A1140*Q1140</f>
        <v>606.65</v>
      </c>
      <c r="S1140" s="925">
        <f ca="1">$B1140*Elec_Rates!$T$488</f>
        <v>7.0000000000000007E-2</v>
      </c>
      <c r="T1140" s="917">
        <f ca="1">$A1140*S1140</f>
        <v>3.8500000000000005</v>
      </c>
      <c r="U1140" s="926"/>
      <c r="AR1140" s="919">
        <v>55</v>
      </c>
      <c r="AS1140" s="921" t="s">
        <v>2599</v>
      </c>
    </row>
    <row r="1141" spans="1:45" s="520" customFormat="1" ht="12">
      <c r="A1141" s="758"/>
      <c r="B1141" s="758"/>
      <c r="C1141" s="758"/>
      <c r="D1141" s="758"/>
      <c r="E1141" s="758"/>
      <c r="F1141" s="753"/>
      <c r="G1141" s="758"/>
      <c r="H1141" s="758"/>
      <c r="I1141" s="519"/>
      <c r="J1141" s="758"/>
      <c r="K1141" s="758"/>
      <c r="L1141" s="758"/>
      <c r="M1141" s="758"/>
      <c r="N1141" s="758"/>
      <c r="O1141" s="758"/>
      <c r="P1141" s="758"/>
      <c r="Q1141" s="519"/>
      <c r="R1141" s="759">
        <f>$A1141*Q1141</f>
        <v>0</v>
      </c>
      <c r="S1141" s="519"/>
      <c r="T1141" s="760">
        <f>$A1141*S1141*$T$1</f>
        <v>0</v>
      </c>
      <c r="AR1141" s="758"/>
      <c r="AS1141" s="753"/>
    </row>
    <row r="1142" spans="1:45" s="520" customFormat="1" ht="12.6" thickBot="1">
      <c r="A1142" s="761" t="s">
        <v>145</v>
      </c>
      <c r="B1142" s="762">
        <f>(R1141+T1141)</f>
        <v>0</v>
      </c>
      <c r="C1142" s="763"/>
      <c r="D1142" s="763"/>
      <c r="E1142" s="763"/>
      <c r="F1142" s="764"/>
      <c r="G1142" s="763" t="s">
        <v>146</v>
      </c>
      <c r="H1142" s="763"/>
      <c r="I1142" s="765"/>
      <c r="J1142" s="763"/>
      <c r="K1142" s="763" t="s">
        <v>3</v>
      </c>
      <c r="L1142" s="766" t="s">
        <v>143</v>
      </c>
      <c r="M1142" s="766"/>
      <c r="N1142" s="766"/>
      <c r="O1142" s="766"/>
      <c r="P1142" s="766"/>
      <c r="Q1142" s="767"/>
      <c r="R1142" s="768">
        <f ca="1">SUM(R1138:R1141)</f>
        <v>606.65</v>
      </c>
      <c r="S1142" s="763"/>
      <c r="T1142" s="768">
        <f ca="1">SUM(T1138:T1141)</f>
        <v>3.8500000000000005</v>
      </c>
      <c r="U1142" s="531"/>
      <c r="V1142" s="531"/>
      <c r="W1142" s="531"/>
      <c r="X1142" s="531"/>
      <c r="Y1142" s="531"/>
      <c r="Z1142" s="531"/>
      <c r="AA1142" s="531"/>
      <c r="AB1142" s="531"/>
      <c r="AC1142" s="531"/>
      <c r="AD1142" s="531"/>
      <c r="AE1142" s="531"/>
      <c r="AF1142" s="531"/>
      <c r="AG1142" s="531"/>
      <c r="AH1142" s="531"/>
      <c r="AI1142" s="531"/>
      <c r="AJ1142" s="531"/>
      <c r="AK1142" s="531"/>
      <c r="AL1142" s="531"/>
      <c r="AM1142" s="531"/>
      <c r="AN1142" s="531"/>
      <c r="AO1142" s="531"/>
      <c r="AR1142" s="761" t="s">
        <v>145</v>
      </c>
      <c r="AS1142" s="764"/>
    </row>
    <row r="1143" spans="1:45" s="520" customFormat="1" ht="12" thickTop="1">
      <c r="A1143" s="51"/>
      <c r="B1143" s="41"/>
      <c r="C1143" s="51"/>
      <c r="E1143" s="42" t="s">
        <v>138</v>
      </c>
      <c r="F1143" s="42" t="s">
        <v>139</v>
      </c>
      <c r="G1143" s="51"/>
      <c r="H1143" s="51"/>
      <c r="I1143" s="51"/>
      <c r="J1143" s="51"/>
      <c r="K1143" s="51" t="s">
        <v>140</v>
      </c>
      <c r="L1143" s="51"/>
      <c r="M1143" s="51"/>
      <c r="N1143" s="51"/>
      <c r="O1143" s="52"/>
      <c r="P1143" s="51"/>
      <c r="Q1143" s="51"/>
      <c r="R1143" s="51"/>
      <c r="S1143" s="51"/>
      <c r="T1143" s="41"/>
      <c r="AG1143" s="521" t="s">
        <v>268</v>
      </c>
      <c r="AH1143" s="521" t="s">
        <v>269</v>
      </c>
      <c r="AI1143" s="521" t="s">
        <v>270</v>
      </c>
      <c r="AJ1143" s="521" t="s">
        <v>271</v>
      </c>
      <c r="AK1143" s="521" t="s">
        <v>272</v>
      </c>
      <c r="AM1143" s="745" t="s">
        <v>281</v>
      </c>
      <c r="AN1143" s="746" t="s">
        <v>282</v>
      </c>
      <c r="AO1143" s="522" t="s">
        <v>278</v>
      </c>
      <c r="AR1143" s="51"/>
      <c r="AS1143" s="42" t="s">
        <v>139</v>
      </c>
    </row>
    <row r="1144" spans="1:45" s="520" customFormat="1" ht="12" customHeight="1">
      <c r="A1144" s="747">
        <v>50</v>
      </c>
      <c r="B1144" s="523" t="s">
        <v>320</v>
      </c>
      <c r="C1144" s="748"/>
      <c r="D1144" s="749" t="s">
        <v>1250</v>
      </c>
      <c r="E1144" s="750">
        <f ca="1">IF(AND($A1144=0,$A$1="DIF"),0, ROUND(ROUND(($R1149*$S$2+($T1149*$T$2))/A1144,2)*$C$2,2))</f>
        <v>15.95</v>
      </c>
      <c r="F1144" s="751">
        <f ca="1">ROUND($A1144*$E1144,2)</f>
        <v>797.5</v>
      </c>
      <c r="G1144" s="752" t="s">
        <v>142</v>
      </c>
      <c r="H1144" s="753"/>
      <c r="I1144" s="754"/>
      <c r="J1144" s="753"/>
      <c r="K1144" s="753" t="s">
        <v>3</v>
      </c>
      <c r="L1144" s="755" t="s">
        <v>143</v>
      </c>
      <c r="M1144" s="755"/>
      <c r="N1144" s="755"/>
      <c r="O1144" s="755"/>
      <c r="P1144" s="755"/>
      <c r="Q1144" s="51"/>
      <c r="T1144" s="756" t="str">
        <f ca="1">IF(AND($R1149=0,$T1149=0),"0.00","mu :" &amp; ROUND($F1144/$C$2/($R1149+$T1149*$D$9),2))</f>
        <v>mu :1.23</v>
      </c>
      <c r="W1144" s="524"/>
      <c r="AG1144" s="481">
        <f ca="1">IF($E1144=0,0,ROUND($R1149*$S$2*$C$2/$A1144,2))</f>
        <v>13.58</v>
      </c>
      <c r="AH1144" s="481">
        <f ca="1">$AG1144*$A1144</f>
        <v>679</v>
      </c>
      <c r="AI1144" s="525">
        <f ca="1">$E1144-$AG1144</f>
        <v>2.3699999999999992</v>
      </c>
      <c r="AJ1144" s="525">
        <f ca="1">$A1144*$AI1144</f>
        <v>118.49999999999996</v>
      </c>
      <c r="AK1144" s="526">
        <f ca="1">ROUND(($AG1144+$AI1144)*$A1144,2)</f>
        <v>797.5</v>
      </c>
      <c r="AM1144" s="527">
        <f ca="1">ROUND(R1149,2)</f>
        <v>551.5</v>
      </c>
      <c r="AN1144" s="528">
        <f ca="1">ROUND(T1149,2)</f>
        <v>3.5</v>
      </c>
      <c r="AO1144" s="529">
        <f ca="1">ROUND(AM1144+AN1144,2)*A1144</f>
        <v>27750</v>
      </c>
      <c r="AR1144" s="747">
        <v>50</v>
      </c>
      <c r="AS1144" s="751">
        <v>814.5</v>
      </c>
    </row>
    <row r="1145" spans="1:45" s="520" customFormat="1" ht="13.2">
      <c r="A1145" s="748"/>
      <c r="B1145"/>
      <c r="C1145" s="748"/>
      <c r="D1145" s="749" t="s">
        <v>1251</v>
      </c>
      <c r="F1145" s="753"/>
      <c r="G1145" s="3"/>
      <c r="H1145" s="753"/>
      <c r="I1145" s="754"/>
      <c r="J1145" s="753"/>
      <c r="K1145" s="753" t="s">
        <v>144</v>
      </c>
      <c r="L1145" s="753"/>
      <c r="M1145" s="753"/>
      <c r="N1145" s="753"/>
      <c r="O1145" s="753"/>
      <c r="P1145" s="753"/>
      <c r="Q1145" s="51"/>
      <c r="R1145" s="530"/>
      <c r="S1145" s="757"/>
      <c r="T1145" s="753"/>
      <c r="AR1145" s="748"/>
      <c r="AS1145" s="753"/>
    </row>
    <row r="1146" spans="1:45" s="886" customFormat="1" ht="13.2">
      <c r="A1146"/>
      <c r="B1146" s="910"/>
      <c r="C1146" s="910" t="s">
        <v>2597</v>
      </c>
      <c r="D1146" s="910" t="str">
        <f ca="1">CELL("Address",Elec_Rates!D$488)</f>
        <v>[E25_0062_Quintano_Foods_Elec_ELV_As_Awarded.xlsx]Elec_Rates!$D$488</v>
      </c>
      <c r="E1146" s="911"/>
      <c r="F1146" s="911"/>
      <c r="G1146" s="912" t="s">
        <v>2598</v>
      </c>
      <c r="H1146" s="912"/>
      <c r="I1146" s="912"/>
      <c r="J1146" s="912"/>
      <c r="K1146" s="913"/>
      <c r="L1146" s="911"/>
      <c r="M1146" s="911"/>
      <c r="N1146" s="911"/>
      <c r="O1146" s="914"/>
      <c r="P1146" s="911"/>
      <c r="Q1146" s="915"/>
      <c r="R1146" s="916"/>
      <c r="S1146" s="915"/>
      <c r="T1146" s="917"/>
      <c r="U1146" s="918"/>
      <c r="AR1146"/>
      <c r="AS1146" s="911"/>
    </row>
    <row r="1147" spans="1:45" s="886" customFormat="1" ht="11.4">
      <c r="A1147" s="919">
        <v>50</v>
      </c>
      <c r="B1147" s="920">
        <v>1</v>
      </c>
      <c r="C1147" s="920">
        <f>$A1147*$B1147</f>
        <v>50</v>
      </c>
      <c r="D1147" s="921" t="str">
        <f>Elec_Rates!$D$488</f>
        <v>047# 5 x 2.5mm2 F120 Fire Resistant Cable (BS7846) -  XLPE/SWA/LSZH</v>
      </c>
      <c r="E1147" s="921"/>
      <c r="F1147" s="921" t="s">
        <v>2599</v>
      </c>
      <c r="G1147" s="922" t="s">
        <v>2601</v>
      </c>
      <c r="H1147" s="922"/>
      <c r="I1147" s="922"/>
      <c r="J1147" s="922"/>
      <c r="K1147" s="923"/>
      <c r="L1147" s="918"/>
      <c r="M1147" s="918"/>
      <c r="N1147" s="918"/>
      <c r="O1147" s="924"/>
      <c r="P1147" s="921"/>
      <c r="Q1147" s="925">
        <f ca="1">$B1147*Elec_Rates!$R$488</f>
        <v>11.03</v>
      </c>
      <c r="R1147" s="916">
        <f ca="1">$A1147*Q1147</f>
        <v>551.5</v>
      </c>
      <c r="S1147" s="925">
        <f ca="1">$B1147*Elec_Rates!$T$488</f>
        <v>7.0000000000000007E-2</v>
      </c>
      <c r="T1147" s="917">
        <f ca="1">$A1147*S1147</f>
        <v>3.5000000000000004</v>
      </c>
      <c r="U1147" s="926"/>
      <c r="AR1147" s="919">
        <v>50</v>
      </c>
      <c r="AS1147" s="921" t="s">
        <v>2599</v>
      </c>
    </row>
    <row r="1148" spans="1:45" s="520" customFormat="1" ht="12">
      <c r="A1148" s="758"/>
      <c r="B1148" s="758"/>
      <c r="C1148" s="758"/>
      <c r="D1148" s="758"/>
      <c r="E1148" s="758"/>
      <c r="F1148" s="753"/>
      <c r="G1148" s="758"/>
      <c r="H1148" s="758"/>
      <c r="I1148" s="519"/>
      <c r="J1148" s="758"/>
      <c r="K1148" s="758"/>
      <c r="L1148" s="758"/>
      <c r="M1148" s="758"/>
      <c r="N1148" s="758"/>
      <c r="O1148" s="758"/>
      <c r="P1148" s="758"/>
      <c r="Q1148" s="519"/>
      <c r="R1148" s="759">
        <f>$A1148*Q1148</f>
        <v>0</v>
      </c>
      <c r="S1148" s="519"/>
      <c r="T1148" s="760">
        <f>$A1148*S1148*$T$1</f>
        <v>0</v>
      </c>
      <c r="AR1148" s="758"/>
      <c r="AS1148" s="753"/>
    </row>
    <row r="1149" spans="1:45" s="520" customFormat="1" ht="12.6" thickBot="1">
      <c r="A1149" s="761" t="s">
        <v>145</v>
      </c>
      <c r="B1149" s="762">
        <f>(R1148+T1148)</f>
        <v>0</v>
      </c>
      <c r="C1149" s="763"/>
      <c r="D1149" s="763"/>
      <c r="E1149" s="763"/>
      <c r="F1149" s="764"/>
      <c r="G1149" s="763" t="s">
        <v>146</v>
      </c>
      <c r="H1149" s="763"/>
      <c r="I1149" s="765"/>
      <c r="J1149" s="763"/>
      <c r="K1149" s="763" t="s">
        <v>3</v>
      </c>
      <c r="L1149" s="766" t="s">
        <v>143</v>
      </c>
      <c r="M1149" s="766"/>
      <c r="N1149" s="766"/>
      <c r="O1149" s="766"/>
      <c r="P1149" s="766"/>
      <c r="Q1149" s="767"/>
      <c r="R1149" s="768">
        <f ca="1">SUM(R1145:R1148)</f>
        <v>551.5</v>
      </c>
      <c r="S1149" s="763"/>
      <c r="T1149" s="768">
        <f ca="1">SUM(T1145:T1148)</f>
        <v>3.5000000000000004</v>
      </c>
      <c r="U1149" s="531"/>
      <c r="V1149" s="531"/>
      <c r="W1149" s="531"/>
      <c r="X1149" s="531"/>
      <c r="Y1149" s="531"/>
      <c r="Z1149" s="531"/>
      <c r="AA1149" s="531"/>
      <c r="AB1149" s="531"/>
      <c r="AC1149" s="531"/>
      <c r="AD1149" s="531"/>
      <c r="AE1149" s="531"/>
      <c r="AF1149" s="531"/>
      <c r="AG1149" s="531"/>
      <c r="AH1149" s="531"/>
      <c r="AI1149" s="531"/>
      <c r="AJ1149" s="531"/>
      <c r="AK1149" s="531"/>
      <c r="AL1149" s="531"/>
      <c r="AM1149" s="531"/>
      <c r="AN1149" s="531"/>
      <c r="AO1149" s="531"/>
      <c r="AR1149" s="761" t="s">
        <v>145</v>
      </c>
      <c r="AS1149" s="764"/>
    </row>
    <row r="1150" spans="1:45" s="520" customFormat="1" ht="12" thickTop="1">
      <c r="A1150" s="51"/>
      <c r="B1150" s="41"/>
      <c r="C1150" s="51"/>
      <c r="E1150" s="42" t="s">
        <v>138</v>
      </c>
      <c r="F1150" s="42" t="s">
        <v>139</v>
      </c>
      <c r="G1150" s="51"/>
      <c r="H1150" s="51"/>
      <c r="I1150" s="51"/>
      <c r="J1150" s="51"/>
      <c r="K1150" s="51" t="s">
        <v>140</v>
      </c>
      <c r="L1150" s="51"/>
      <c r="M1150" s="51"/>
      <c r="N1150" s="51"/>
      <c r="O1150" s="52"/>
      <c r="P1150" s="51"/>
      <c r="Q1150" s="51"/>
      <c r="R1150" s="51"/>
      <c r="S1150" s="51"/>
      <c r="T1150" s="41"/>
      <c r="AG1150" s="521" t="s">
        <v>268</v>
      </c>
      <c r="AH1150" s="521" t="s">
        <v>269</v>
      </c>
      <c r="AI1150" s="521" t="s">
        <v>270</v>
      </c>
      <c r="AJ1150" s="521" t="s">
        <v>271</v>
      </c>
      <c r="AK1150" s="521" t="s">
        <v>272</v>
      </c>
      <c r="AM1150" s="745" t="s">
        <v>281</v>
      </c>
      <c r="AN1150" s="746" t="s">
        <v>282</v>
      </c>
      <c r="AO1150" s="522" t="s">
        <v>278</v>
      </c>
      <c r="AR1150" s="51"/>
      <c r="AS1150" s="42" t="s">
        <v>139</v>
      </c>
    </row>
    <row r="1151" spans="1:45" s="520" customFormat="1" ht="12" customHeight="1">
      <c r="A1151" s="747">
        <v>35</v>
      </c>
      <c r="B1151" s="523" t="s">
        <v>320</v>
      </c>
      <c r="C1151" s="748"/>
      <c r="D1151" s="749" t="s">
        <v>1252</v>
      </c>
      <c r="E1151" s="750">
        <f ca="1">IF(AND($A1151=0,$A$1="DIF"),0, ROUND(ROUND(($R1156*$S$2+($T1156*$T$2))/A1151,2)*$C$2,2))</f>
        <v>15.95</v>
      </c>
      <c r="F1151" s="751">
        <f ca="1">ROUND($A1151*$E1151,2)</f>
        <v>558.25</v>
      </c>
      <c r="G1151" s="752" t="s">
        <v>142</v>
      </c>
      <c r="H1151" s="753"/>
      <c r="I1151" s="754"/>
      <c r="J1151" s="753"/>
      <c r="K1151" s="753" t="s">
        <v>3</v>
      </c>
      <c r="L1151" s="755" t="s">
        <v>143</v>
      </c>
      <c r="M1151" s="755"/>
      <c r="N1151" s="755"/>
      <c r="O1151" s="755"/>
      <c r="P1151" s="755"/>
      <c r="Q1151" s="51"/>
      <c r="T1151" s="756" t="str">
        <f ca="1">IF(AND($R1156=0,$T1156=0),"0.00","mu :" &amp; ROUND($F1151/$C$2/($R1156+$T1156*$D$9),2))</f>
        <v>mu :1.23</v>
      </c>
      <c r="W1151" s="524"/>
      <c r="AG1151" s="481">
        <f ca="1">IF($E1151=0,0,ROUND($R1156*$S$2*$C$2/$A1151,2))</f>
        <v>13.58</v>
      </c>
      <c r="AH1151" s="481">
        <f ca="1">$AG1151*$A1151</f>
        <v>475.3</v>
      </c>
      <c r="AI1151" s="525">
        <f ca="1">$E1151-$AG1151</f>
        <v>2.3699999999999992</v>
      </c>
      <c r="AJ1151" s="525">
        <f ca="1">$A1151*$AI1151</f>
        <v>82.949999999999974</v>
      </c>
      <c r="AK1151" s="526">
        <f ca="1">ROUND(($AG1151+$AI1151)*$A1151,2)</f>
        <v>558.25</v>
      </c>
      <c r="AM1151" s="527">
        <f ca="1">ROUND(R1156,2)</f>
        <v>386.05</v>
      </c>
      <c r="AN1151" s="528">
        <f ca="1">ROUND(T1156,2)</f>
        <v>2.4500000000000002</v>
      </c>
      <c r="AO1151" s="529">
        <f ca="1">ROUND(AM1151+AN1151,2)*A1151</f>
        <v>13597.5</v>
      </c>
      <c r="AR1151" s="747">
        <v>35</v>
      </c>
      <c r="AS1151" s="751">
        <v>570.15</v>
      </c>
    </row>
    <row r="1152" spans="1:45" s="520" customFormat="1" ht="13.2">
      <c r="A1152" s="748"/>
      <c r="B1152"/>
      <c r="C1152" s="748"/>
      <c r="D1152" s="749" t="s">
        <v>1253</v>
      </c>
      <c r="F1152" s="753"/>
      <c r="G1152" s="3"/>
      <c r="H1152" s="753"/>
      <c r="I1152" s="754"/>
      <c r="J1152" s="753"/>
      <c r="K1152" s="753" t="s">
        <v>144</v>
      </c>
      <c r="L1152" s="753"/>
      <c r="M1152" s="753"/>
      <c r="N1152" s="753"/>
      <c r="O1152" s="753"/>
      <c r="P1152" s="753"/>
      <c r="Q1152" s="51"/>
      <c r="R1152" s="530"/>
      <c r="S1152" s="757"/>
      <c r="T1152" s="753"/>
      <c r="AR1152" s="748"/>
      <c r="AS1152" s="753"/>
    </row>
    <row r="1153" spans="1:45" s="886" customFormat="1" ht="13.2">
      <c r="A1153"/>
      <c r="B1153" s="910"/>
      <c r="C1153" s="910" t="s">
        <v>2597</v>
      </c>
      <c r="D1153" s="910" t="str">
        <f ca="1">CELL("Address",Elec_Rates!D$488)</f>
        <v>[E25_0062_Quintano_Foods_Elec_ELV_As_Awarded.xlsx]Elec_Rates!$D$488</v>
      </c>
      <c r="E1153" s="911"/>
      <c r="F1153" s="911"/>
      <c r="G1153" s="912" t="s">
        <v>2598</v>
      </c>
      <c r="H1153" s="912"/>
      <c r="I1153" s="912"/>
      <c r="J1153" s="912"/>
      <c r="K1153" s="913"/>
      <c r="L1153" s="911"/>
      <c r="M1153" s="911"/>
      <c r="N1153" s="911"/>
      <c r="O1153" s="914"/>
      <c r="P1153" s="911"/>
      <c r="Q1153" s="915"/>
      <c r="R1153" s="916"/>
      <c r="S1153" s="915"/>
      <c r="T1153" s="917"/>
      <c r="U1153" s="918"/>
      <c r="AR1153"/>
      <c r="AS1153" s="911"/>
    </row>
    <row r="1154" spans="1:45" s="886" customFormat="1" ht="11.4">
      <c r="A1154" s="919">
        <v>35</v>
      </c>
      <c r="B1154" s="920">
        <v>1</v>
      </c>
      <c r="C1154" s="920">
        <f>$A1154*$B1154</f>
        <v>35</v>
      </c>
      <c r="D1154" s="921" t="str">
        <f>Elec_Rates!$D$488</f>
        <v>047# 5 x 2.5mm2 F120 Fire Resistant Cable (BS7846) -  XLPE/SWA/LSZH</v>
      </c>
      <c r="E1154" s="921"/>
      <c r="F1154" s="921" t="s">
        <v>2599</v>
      </c>
      <c r="G1154" s="922" t="s">
        <v>2601</v>
      </c>
      <c r="H1154" s="922"/>
      <c r="I1154" s="922"/>
      <c r="J1154" s="922"/>
      <c r="K1154" s="923"/>
      <c r="L1154" s="918"/>
      <c r="M1154" s="918"/>
      <c r="N1154" s="918"/>
      <c r="O1154" s="924"/>
      <c r="P1154" s="921"/>
      <c r="Q1154" s="925">
        <f ca="1">$B1154*Elec_Rates!$R$488</f>
        <v>11.03</v>
      </c>
      <c r="R1154" s="916">
        <f ca="1">$A1154*Q1154</f>
        <v>386.04999999999995</v>
      </c>
      <c r="S1154" s="925">
        <f ca="1">$B1154*Elec_Rates!$T$488</f>
        <v>7.0000000000000007E-2</v>
      </c>
      <c r="T1154" s="917">
        <f ca="1">$A1154*S1154</f>
        <v>2.4500000000000002</v>
      </c>
      <c r="U1154" s="926"/>
      <c r="AR1154" s="919">
        <v>35</v>
      </c>
      <c r="AS1154" s="921" t="s">
        <v>2599</v>
      </c>
    </row>
    <row r="1155" spans="1:45" s="520" customFormat="1" ht="12">
      <c r="A1155" s="758"/>
      <c r="B1155" s="758"/>
      <c r="C1155" s="758"/>
      <c r="D1155" s="758"/>
      <c r="E1155" s="758"/>
      <c r="F1155" s="753"/>
      <c r="G1155" s="758"/>
      <c r="H1155" s="758"/>
      <c r="I1155" s="519"/>
      <c r="J1155" s="758"/>
      <c r="K1155" s="758"/>
      <c r="L1155" s="758"/>
      <c r="M1155" s="758"/>
      <c r="N1155" s="758"/>
      <c r="O1155" s="758"/>
      <c r="P1155" s="758"/>
      <c r="Q1155" s="519"/>
      <c r="R1155" s="759">
        <f>$A1155*Q1155</f>
        <v>0</v>
      </c>
      <c r="S1155" s="519"/>
      <c r="T1155" s="760">
        <f>$A1155*S1155*$T$1</f>
        <v>0</v>
      </c>
      <c r="AR1155" s="758"/>
      <c r="AS1155" s="753"/>
    </row>
    <row r="1156" spans="1:45" s="520" customFormat="1" ht="12.6" thickBot="1">
      <c r="A1156" s="761" t="s">
        <v>145</v>
      </c>
      <c r="B1156" s="762">
        <f>(R1155+T1155)</f>
        <v>0</v>
      </c>
      <c r="C1156" s="763"/>
      <c r="D1156" s="763"/>
      <c r="E1156" s="763"/>
      <c r="F1156" s="764"/>
      <c r="G1156" s="763" t="s">
        <v>146</v>
      </c>
      <c r="H1156" s="763"/>
      <c r="I1156" s="765"/>
      <c r="J1156" s="763"/>
      <c r="K1156" s="763" t="s">
        <v>3</v>
      </c>
      <c r="L1156" s="766" t="s">
        <v>143</v>
      </c>
      <c r="M1156" s="766"/>
      <c r="N1156" s="766"/>
      <c r="O1156" s="766"/>
      <c r="P1156" s="766"/>
      <c r="Q1156" s="767"/>
      <c r="R1156" s="768">
        <f ca="1">SUM(R1152:R1155)</f>
        <v>386.04999999999995</v>
      </c>
      <c r="S1156" s="763"/>
      <c r="T1156" s="768">
        <f ca="1">SUM(T1152:T1155)</f>
        <v>2.4500000000000002</v>
      </c>
      <c r="U1156" s="531"/>
      <c r="V1156" s="531"/>
      <c r="W1156" s="531"/>
      <c r="X1156" s="531"/>
      <c r="Y1156" s="531"/>
      <c r="Z1156" s="531"/>
      <c r="AA1156" s="531"/>
      <c r="AB1156" s="531"/>
      <c r="AC1156" s="531"/>
      <c r="AD1156" s="531"/>
      <c r="AE1156" s="531"/>
      <c r="AF1156" s="531"/>
      <c r="AG1156" s="531"/>
      <c r="AH1156" s="531"/>
      <c r="AI1156" s="531"/>
      <c r="AJ1156" s="531"/>
      <c r="AK1156" s="531"/>
      <c r="AL1156" s="531"/>
      <c r="AM1156" s="531"/>
      <c r="AN1156" s="531"/>
      <c r="AO1156" s="531"/>
      <c r="AR1156" s="761" t="s">
        <v>145</v>
      </c>
      <c r="AS1156" s="764"/>
    </row>
    <row r="1157" spans="1:45" s="520" customFormat="1" ht="12" thickTop="1">
      <c r="A1157" s="51"/>
      <c r="B1157" s="41"/>
      <c r="C1157" s="51"/>
      <c r="E1157" s="42" t="s">
        <v>138</v>
      </c>
      <c r="F1157" s="42" t="s">
        <v>139</v>
      </c>
      <c r="G1157" s="51"/>
      <c r="H1157" s="51"/>
      <c r="I1157" s="51"/>
      <c r="J1157" s="51"/>
      <c r="K1157" s="51" t="s">
        <v>140</v>
      </c>
      <c r="L1157" s="51"/>
      <c r="M1157" s="51"/>
      <c r="N1157" s="51"/>
      <c r="O1157" s="52"/>
      <c r="P1157" s="51"/>
      <c r="Q1157" s="51"/>
      <c r="R1157" s="51"/>
      <c r="S1157" s="51"/>
      <c r="T1157" s="41"/>
      <c r="AG1157" s="521" t="s">
        <v>268</v>
      </c>
      <c r="AH1157" s="521" t="s">
        <v>269</v>
      </c>
      <c r="AI1157" s="521" t="s">
        <v>270</v>
      </c>
      <c r="AJ1157" s="521" t="s">
        <v>271</v>
      </c>
      <c r="AK1157" s="521" t="s">
        <v>272</v>
      </c>
      <c r="AM1157" s="745" t="s">
        <v>281</v>
      </c>
      <c r="AN1157" s="746" t="s">
        <v>282</v>
      </c>
      <c r="AO1157" s="522" t="s">
        <v>278</v>
      </c>
      <c r="AR1157" s="51"/>
      <c r="AS1157" s="42" t="s">
        <v>139</v>
      </c>
    </row>
    <row r="1158" spans="1:45" s="520" customFormat="1" ht="12" customHeight="1">
      <c r="A1158" s="747">
        <v>25</v>
      </c>
      <c r="B1158" s="523" t="s">
        <v>320</v>
      </c>
      <c r="C1158" s="748"/>
      <c r="D1158" s="749" t="s">
        <v>1254</v>
      </c>
      <c r="E1158" s="750">
        <f ca="1">IF(AND($A1158=0,$A$1="DIF"),0, ROUND(ROUND(($R1163*$S$2+($T1163*$T$2))/A1158,2)*$C$2,2))</f>
        <v>15.95</v>
      </c>
      <c r="F1158" s="751">
        <f ca="1">ROUND($A1158*$E1158,2)</f>
        <v>398.75</v>
      </c>
      <c r="G1158" s="752" t="s">
        <v>142</v>
      </c>
      <c r="H1158" s="753"/>
      <c r="I1158" s="754"/>
      <c r="J1158" s="753"/>
      <c r="K1158" s="753" t="s">
        <v>3</v>
      </c>
      <c r="L1158" s="755" t="s">
        <v>143</v>
      </c>
      <c r="M1158" s="755"/>
      <c r="N1158" s="755"/>
      <c r="O1158" s="755"/>
      <c r="P1158" s="755"/>
      <c r="Q1158" s="51"/>
      <c r="T1158" s="756" t="str">
        <f ca="1">IF(AND($R1163=0,$T1163=0),"0.00","mu :" &amp; ROUND($F1158/$C$2/($R1163+$T1163*$D$9),2))</f>
        <v>mu :1.23</v>
      </c>
      <c r="W1158" s="524"/>
      <c r="AG1158" s="481">
        <f ca="1">IF($E1158=0,0,ROUND($R1163*$S$2*$C$2/$A1158,2))</f>
        <v>13.58</v>
      </c>
      <c r="AH1158" s="481">
        <f ca="1">$AG1158*$A1158</f>
        <v>339.5</v>
      </c>
      <c r="AI1158" s="525">
        <f ca="1">$E1158-$AG1158</f>
        <v>2.3699999999999992</v>
      </c>
      <c r="AJ1158" s="525">
        <f ca="1">$A1158*$AI1158</f>
        <v>59.249999999999979</v>
      </c>
      <c r="AK1158" s="526">
        <f ca="1">ROUND(($AG1158+$AI1158)*$A1158,2)</f>
        <v>398.75</v>
      </c>
      <c r="AM1158" s="527">
        <f ca="1">ROUND(R1163,2)</f>
        <v>275.75</v>
      </c>
      <c r="AN1158" s="528">
        <f ca="1">ROUND(T1163,2)</f>
        <v>1.75</v>
      </c>
      <c r="AO1158" s="529">
        <f ca="1">ROUND(AM1158+AN1158,2)*A1158</f>
        <v>6937.5</v>
      </c>
      <c r="AR1158" s="747">
        <v>25</v>
      </c>
      <c r="AS1158" s="751">
        <v>407.25</v>
      </c>
    </row>
    <row r="1159" spans="1:45" s="520" customFormat="1" ht="13.2">
      <c r="A1159" s="748"/>
      <c r="B1159"/>
      <c r="C1159" s="748"/>
      <c r="D1159" s="749" t="s">
        <v>1255</v>
      </c>
      <c r="F1159" s="753"/>
      <c r="G1159" s="3"/>
      <c r="H1159" s="753"/>
      <c r="I1159" s="754"/>
      <c r="J1159" s="753"/>
      <c r="K1159" s="753" t="s">
        <v>144</v>
      </c>
      <c r="L1159" s="753"/>
      <c r="M1159" s="753"/>
      <c r="N1159" s="753"/>
      <c r="O1159" s="753"/>
      <c r="P1159" s="753"/>
      <c r="Q1159" s="51"/>
      <c r="R1159" s="530"/>
      <c r="S1159" s="757"/>
      <c r="T1159" s="753"/>
      <c r="AR1159" s="748"/>
      <c r="AS1159" s="753"/>
    </row>
    <row r="1160" spans="1:45" s="886" customFormat="1" ht="13.2">
      <c r="A1160"/>
      <c r="B1160" s="910"/>
      <c r="C1160" s="910" t="s">
        <v>2597</v>
      </c>
      <c r="D1160" s="910" t="str">
        <f ca="1">CELL("Address",Elec_Rates!D$488)</f>
        <v>[E25_0062_Quintano_Foods_Elec_ELV_As_Awarded.xlsx]Elec_Rates!$D$488</v>
      </c>
      <c r="E1160" s="911"/>
      <c r="F1160" s="911"/>
      <c r="G1160" s="912" t="s">
        <v>2598</v>
      </c>
      <c r="H1160" s="912"/>
      <c r="I1160" s="912"/>
      <c r="J1160" s="912"/>
      <c r="K1160" s="913"/>
      <c r="L1160" s="911"/>
      <c r="M1160" s="911"/>
      <c r="N1160" s="911"/>
      <c r="O1160" s="914"/>
      <c r="P1160" s="911"/>
      <c r="Q1160" s="915"/>
      <c r="R1160" s="916"/>
      <c r="S1160" s="915"/>
      <c r="T1160" s="917"/>
      <c r="U1160" s="918"/>
      <c r="AR1160"/>
      <c r="AS1160" s="911"/>
    </row>
    <row r="1161" spans="1:45" s="886" customFormat="1" ht="11.4">
      <c r="A1161" s="919">
        <v>25</v>
      </c>
      <c r="B1161" s="920">
        <v>1</v>
      </c>
      <c r="C1161" s="920">
        <f>$A1161*$B1161</f>
        <v>25</v>
      </c>
      <c r="D1161" s="921" t="str">
        <f>Elec_Rates!$D$488</f>
        <v>047# 5 x 2.5mm2 F120 Fire Resistant Cable (BS7846) -  XLPE/SWA/LSZH</v>
      </c>
      <c r="E1161" s="921"/>
      <c r="F1161" s="921" t="s">
        <v>2599</v>
      </c>
      <c r="G1161" s="922" t="s">
        <v>2601</v>
      </c>
      <c r="H1161" s="922"/>
      <c r="I1161" s="922"/>
      <c r="J1161" s="922"/>
      <c r="K1161" s="923"/>
      <c r="L1161" s="918"/>
      <c r="M1161" s="918"/>
      <c r="N1161" s="918"/>
      <c r="O1161" s="924"/>
      <c r="P1161" s="921"/>
      <c r="Q1161" s="925">
        <f ca="1">$B1161*Elec_Rates!$R$488</f>
        <v>11.03</v>
      </c>
      <c r="R1161" s="916">
        <f ca="1">$A1161*Q1161</f>
        <v>275.75</v>
      </c>
      <c r="S1161" s="925">
        <f ca="1">$B1161*Elec_Rates!$T$488</f>
        <v>7.0000000000000007E-2</v>
      </c>
      <c r="T1161" s="917">
        <f ca="1">$A1161*S1161</f>
        <v>1.7500000000000002</v>
      </c>
      <c r="U1161" s="926"/>
      <c r="AR1161" s="919">
        <v>25</v>
      </c>
      <c r="AS1161" s="921" t="s">
        <v>2599</v>
      </c>
    </row>
    <row r="1162" spans="1:45" s="520" customFormat="1" ht="12">
      <c r="A1162" s="758"/>
      <c r="B1162" s="758"/>
      <c r="C1162" s="758"/>
      <c r="D1162" s="758"/>
      <c r="E1162" s="758"/>
      <c r="F1162" s="753"/>
      <c r="G1162" s="758"/>
      <c r="H1162" s="758"/>
      <c r="I1162" s="519"/>
      <c r="J1162" s="758"/>
      <c r="K1162" s="758"/>
      <c r="L1162" s="758"/>
      <c r="M1162" s="758"/>
      <c r="N1162" s="758"/>
      <c r="O1162" s="758"/>
      <c r="P1162" s="758"/>
      <c r="Q1162" s="519"/>
      <c r="R1162" s="759">
        <f>$A1162*Q1162</f>
        <v>0</v>
      </c>
      <c r="S1162" s="519"/>
      <c r="T1162" s="760">
        <f>$A1162*S1162*$T$1</f>
        <v>0</v>
      </c>
      <c r="AR1162" s="758"/>
      <c r="AS1162" s="753"/>
    </row>
    <row r="1163" spans="1:45" s="520" customFormat="1" ht="12.6" thickBot="1">
      <c r="A1163" s="761" t="s">
        <v>145</v>
      </c>
      <c r="B1163" s="762">
        <f>(R1162+T1162)</f>
        <v>0</v>
      </c>
      <c r="C1163" s="763"/>
      <c r="D1163" s="763"/>
      <c r="E1163" s="763"/>
      <c r="F1163" s="764"/>
      <c r="G1163" s="763" t="s">
        <v>146</v>
      </c>
      <c r="H1163" s="763"/>
      <c r="I1163" s="765"/>
      <c r="J1163" s="763"/>
      <c r="K1163" s="763" t="s">
        <v>3</v>
      </c>
      <c r="L1163" s="766" t="s">
        <v>143</v>
      </c>
      <c r="M1163" s="766"/>
      <c r="N1163" s="766"/>
      <c r="O1163" s="766"/>
      <c r="P1163" s="766"/>
      <c r="Q1163" s="767"/>
      <c r="R1163" s="768">
        <f ca="1">SUM(R1159:R1162)</f>
        <v>275.75</v>
      </c>
      <c r="S1163" s="763"/>
      <c r="T1163" s="768">
        <f ca="1">SUM(T1159:T1162)</f>
        <v>1.7500000000000002</v>
      </c>
      <c r="U1163" s="531"/>
      <c r="V1163" s="531"/>
      <c r="W1163" s="531"/>
      <c r="X1163" s="531"/>
      <c r="Y1163" s="531"/>
      <c r="Z1163" s="531"/>
      <c r="AA1163" s="531"/>
      <c r="AB1163" s="531"/>
      <c r="AC1163" s="531"/>
      <c r="AD1163" s="531"/>
      <c r="AE1163" s="531"/>
      <c r="AF1163" s="531"/>
      <c r="AG1163" s="531"/>
      <c r="AH1163" s="531"/>
      <c r="AI1163" s="531"/>
      <c r="AJ1163" s="531"/>
      <c r="AK1163" s="531"/>
      <c r="AL1163" s="531"/>
      <c r="AM1163" s="531"/>
      <c r="AN1163" s="531"/>
      <c r="AO1163" s="531"/>
      <c r="AR1163" s="761" t="s">
        <v>145</v>
      </c>
      <c r="AS1163" s="764"/>
    </row>
    <row r="1164" spans="1:45" s="520" customFormat="1" ht="12" thickTop="1">
      <c r="A1164" s="51"/>
      <c r="B1164" s="41"/>
      <c r="C1164" s="51"/>
      <c r="E1164" s="42" t="s">
        <v>138</v>
      </c>
      <c r="F1164" s="42" t="s">
        <v>139</v>
      </c>
      <c r="G1164" s="51"/>
      <c r="H1164" s="51"/>
      <c r="I1164" s="51"/>
      <c r="J1164" s="51"/>
      <c r="K1164" s="51" t="s">
        <v>140</v>
      </c>
      <c r="L1164" s="51"/>
      <c r="M1164" s="51"/>
      <c r="N1164" s="51"/>
      <c r="O1164" s="52"/>
      <c r="P1164" s="51"/>
      <c r="Q1164" s="51"/>
      <c r="R1164" s="51"/>
      <c r="S1164" s="51"/>
      <c r="T1164" s="41"/>
      <c r="AG1164" s="521" t="s">
        <v>268</v>
      </c>
      <c r="AH1164" s="521" t="s">
        <v>269</v>
      </c>
      <c r="AI1164" s="521" t="s">
        <v>270</v>
      </c>
      <c r="AJ1164" s="521" t="s">
        <v>271</v>
      </c>
      <c r="AK1164" s="521" t="s">
        <v>272</v>
      </c>
      <c r="AM1164" s="745" t="s">
        <v>281</v>
      </c>
      <c r="AN1164" s="746" t="s">
        <v>282</v>
      </c>
      <c r="AO1164" s="522" t="s">
        <v>278</v>
      </c>
      <c r="AR1164" s="51"/>
      <c r="AS1164" s="42" t="s">
        <v>139</v>
      </c>
    </row>
    <row r="1165" spans="1:45" s="520" customFormat="1" ht="12" customHeight="1">
      <c r="A1165" s="747">
        <v>45</v>
      </c>
      <c r="B1165" s="523" t="s">
        <v>320</v>
      </c>
      <c r="C1165" s="748"/>
      <c r="D1165" s="749" t="s">
        <v>1256</v>
      </c>
      <c r="E1165" s="750">
        <f ca="1">IF(AND($A1165=0,$A$1="DIF"),0, ROUND(ROUND(($R1170*$S$2+($T1170*$T$2))/A1165,2)*$C$2,2))</f>
        <v>15.95</v>
      </c>
      <c r="F1165" s="751">
        <f ca="1">ROUND($A1165*$E1165,2)</f>
        <v>717.75</v>
      </c>
      <c r="G1165" s="752" t="s">
        <v>142</v>
      </c>
      <c r="H1165" s="753"/>
      <c r="I1165" s="754"/>
      <c r="J1165" s="753"/>
      <c r="K1165" s="753" t="s">
        <v>3</v>
      </c>
      <c r="L1165" s="755" t="s">
        <v>143</v>
      </c>
      <c r="M1165" s="755"/>
      <c r="N1165" s="755"/>
      <c r="O1165" s="755"/>
      <c r="P1165" s="755"/>
      <c r="Q1165" s="51"/>
      <c r="T1165" s="756" t="str">
        <f ca="1">IF(AND($R1170=0,$T1170=0),"0.00","mu :" &amp; ROUND($F1165/$C$2/($R1170+$T1170*$D$9),2))</f>
        <v>mu :1.23</v>
      </c>
      <c r="W1165" s="524"/>
      <c r="AG1165" s="481">
        <f ca="1">IF($E1165=0,0,ROUND($R1170*$S$2*$C$2/$A1165,2))</f>
        <v>13.58</v>
      </c>
      <c r="AH1165" s="481">
        <f ca="1">$AG1165*$A1165</f>
        <v>611.1</v>
      </c>
      <c r="AI1165" s="525">
        <f ca="1">$E1165-$AG1165</f>
        <v>2.3699999999999992</v>
      </c>
      <c r="AJ1165" s="525">
        <f ca="1">$A1165*$AI1165</f>
        <v>106.64999999999996</v>
      </c>
      <c r="AK1165" s="526">
        <f ca="1">ROUND(($AG1165+$AI1165)*$A1165,2)</f>
        <v>717.75</v>
      </c>
      <c r="AM1165" s="527">
        <f ca="1">ROUND(R1170,2)</f>
        <v>496.35</v>
      </c>
      <c r="AN1165" s="528">
        <f ca="1">ROUND(T1170,2)</f>
        <v>3.15</v>
      </c>
      <c r="AO1165" s="529">
        <f ca="1">ROUND(AM1165+AN1165,2)*A1165</f>
        <v>22477.5</v>
      </c>
      <c r="AR1165" s="747">
        <v>45</v>
      </c>
      <c r="AS1165" s="751">
        <v>733.05</v>
      </c>
    </row>
    <row r="1166" spans="1:45" s="520" customFormat="1" ht="13.2">
      <c r="A1166" s="748"/>
      <c r="B1166"/>
      <c r="C1166" s="748"/>
      <c r="D1166" s="749" t="s">
        <v>1257</v>
      </c>
      <c r="F1166" s="753"/>
      <c r="G1166" s="3"/>
      <c r="H1166" s="753"/>
      <c r="I1166" s="754"/>
      <c r="J1166" s="753"/>
      <c r="K1166" s="753" t="s">
        <v>144</v>
      </c>
      <c r="L1166" s="753"/>
      <c r="M1166" s="753"/>
      <c r="N1166" s="753"/>
      <c r="O1166" s="753"/>
      <c r="P1166" s="753"/>
      <c r="Q1166" s="51"/>
      <c r="R1166" s="530"/>
      <c r="S1166" s="757"/>
      <c r="T1166" s="753"/>
      <c r="AR1166" s="748"/>
      <c r="AS1166" s="753"/>
    </row>
    <row r="1167" spans="1:45" s="886" customFormat="1" ht="13.2">
      <c r="A1167"/>
      <c r="B1167" s="910"/>
      <c r="C1167" s="910" t="s">
        <v>2597</v>
      </c>
      <c r="D1167" s="910" t="str">
        <f ca="1">CELL("Address",Elec_Rates!D$488)</f>
        <v>[E25_0062_Quintano_Foods_Elec_ELV_As_Awarded.xlsx]Elec_Rates!$D$488</v>
      </c>
      <c r="E1167" s="911"/>
      <c r="F1167" s="911"/>
      <c r="G1167" s="912" t="s">
        <v>2598</v>
      </c>
      <c r="H1167" s="912"/>
      <c r="I1167" s="912"/>
      <c r="J1167" s="912"/>
      <c r="K1167" s="913"/>
      <c r="L1167" s="911"/>
      <c r="M1167" s="911"/>
      <c r="N1167" s="911"/>
      <c r="O1167" s="914"/>
      <c r="P1167" s="911"/>
      <c r="Q1167" s="915"/>
      <c r="R1167" s="916"/>
      <c r="S1167" s="915"/>
      <c r="T1167" s="917"/>
      <c r="U1167" s="918"/>
      <c r="AR1167"/>
      <c r="AS1167" s="911"/>
    </row>
    <row r="1168" spans="1:45" s="886" customFormat="1" ht="11.4">
      <c r="A1168" s="919">
        <v>45</v>
      </c>
      <c r="B1168" s="920">
        <v>1</v>
      </c>
      <c r="C1168" s="920">
        <f>$A1168*$B1168</f>
        <v>45</v>
      </c>
      <c r="D1168" s="921" t="str">
        <f>Elec_Rates!$D$488</f>
        <v>047# 5 x 2.5mm2 F120 Fire Resistant Cable (BS7846) -  XLPE/SWA/LSZH</v>
      </c>
      <c r="E1168" s="921"/>
      <c r="F1168" s="921" t="s">
        <v>2599</v>
      </c>
      <c r="G1168" s="922" t="s">
        <v>2601</v>
      </c>
      <c r="H1168" s="922"/>
      <c r="I1168" s="922"/>
      <c r="J1168" s="922"/>
      <c r="K1168" s="923"/>
      <c r="L1168" s="918"/>
      <c r="M1168" s="918"/>
      <c r="N1168" s="918"/>
      <c r="O1168" s="924"/>
      <c r="P1168" s="921"/>
      <c r="Q1168" s="925">
        <f ca="1">$B1168*Elec_Rates!$R$488</f>
        <v>11.03</v>
      </c>
      <c r="R1168" s="916">
        <f ca="1">$A1168*Q1168</f>
        <v>496.34999999999997</v>
      </c>
      <c r="S1168" s="925">
        <f ca="1">$B1168*Elec_Rates!$T$488</f>
        <v>7.0000000000000007E-2</v>
      </c>
      <c r="T1168" s="917">
        <f ca="1">$A1168*S1168</f>
        <v>3.1500000000000004</v>
      </c>
      <c r="U1168" s="926"/>
      <c r="AR1168" s="919">
        <v>45</v>
      </c>
      <c r="AS1168" s="921" t="s">
        <v>2599</v>
      </c>
    </row>
    <row r="1169" spans="1:45" s="520" customFormat="1" ht="12">
      <c r="A1169" s="758"/>
      <c r="B1169" s="758"/>
      <c r="C1169" s="758"/>
      <c r="D1169" s="758"/>
      <c r="E1169" s="758"/>
      <c r="F1169" s="753"/>
      <c r="G1169" s="758"/>
      <c r="H1169" s="758"/>
      <c r="I1169" s="519"/>
      <c r="J1169" s="758"/>
      <c r="K1169" s="758"/>
      <c r="L1169" s="758"/>
      <c r="M1169" s="758"/>
      <c r="N1169" s="758"/>
      <c r="O1169" s="758"/>
      <c r="P1169" s="758"/>
      <c r="Q1169" s="519"/>
      <c r="R1169" s="759">
        <f>$A1169*Q1169</f>
        <v>0</v>
      </c>
      <c r="S1169" s="519"/>
      <c r="T1169" s="760">
        <f>$A1169*S1169*$T$1</f>
        <v>0</v>
      </c>
      <c r="AR1169" s="758"/>
      <c r="AS1169" s="753"/>
    </row>
    <row r="1170" spans="1:45" s="520" customFormat="1" ht="12.6" thickBot="1">
      <c r="A1170" s="761" t="s">
        <v>145</v>
      </c>
      <c r="B1170" s="762">
        <f>(R1169+T1169)</f>
        <v>0</v>
      </c>
      <c r="C1170" s="763"/>
      <c r="D1170" s="763"/>
      <c r="E1170" s="763"/>
      <c r="F1170" s="764"/>
      <c r="G1170" s="763" t="s">
        <v>146</v>
      </c>
      <c r="H1170" s="763"/>
      <c r="I1170" s="765"/>
      <c r="J1170" s="763"/>
      <c r="K1170" s="763" t="s">
        <v>3</v>
      </c>
      <c r="L1170" s="766" t="s">
        <v>143</v>
      </c>
      <c r="M1170" s="766"/>
      <c r="N1170" s="766"/>
      <c r="O1170" s="766"/>
      <c r="P1170" s="766"/>
      <c r="Q1170" s="767"/>
      <c r="R1170" s="768">
        <f ca="1">SUM(R1166:R1169)</f>
        <v>496.34999999999997</v>
      </c>
      <c r="S1170" s="763"/>
      <c r="T1170" s="768">
        <f ca="1">SUM(T1166:T1169)</f>
        <v>3.1500000000000004</v>
      </c>
      <c r="U1170" s="531"/>
      <c r="V1170" s="531"/>
      <c r="W1170" s="531"/>
      <c r="X1170" s="531"/>
      <c r="Y1170" s="531"/>
      <c r="Z1170" s="531"/>
      <c r="AA1170" s="531"/>
      <c r="AB1170" s="531"/>
      <c r="AC1170" s="531"/>
      <c r="AD1170" s="531"/>
      <c r="AE1170" s="531"/>
      <c r="AF1170" s="531"/>
      <c r="AG1170" s="531"/>
      <c r="AH1170" s="531"/>
      <c r="AI1170" s="531"/>
      <c r="AJ1170" s="531"/>
      <c r="AK1170" s="531"/>
      <c r="AL1170" s="531"/>
      <c r="AM1170" s="531"/>
      <c r="AN1170" s="531"/>
      <c r="AO1170" s="531"/>
      <c r="AR1170" s="761" t="s">
        <v>145</v>
      </c>
      <c r="AS1170" s="764"/>
    </row>
    <row r="1171" spans="1:45" s="520" customFormat="1" ht="12" thickTop="1">
      <c r="A1171" s="51"/>
      <c r="B1171" s="41"/>
      <c r="C1171" s="51"/>
      <c r="E1171" s="42" t="s">
        <v>138</v>
      </c>
      <c r="F1171" s="42" t="s">
        <v>139</v>
      </c>
      <c r="G1171" s="51"/>
      <c r="H1171" s="51"/>
      <c r="I1171" s="51"/>
      <c r="J1171" s="51"/>
      <c r="K1171" s="51" t="s">
        <v>140</v>
      </c>
      <c r="L1171" s="51"/>
      <c r="M1171" s="51"/>
      <c r="N1171" s="51"/>
      <c r="O1171" s="52"/>
      <c r="P1171" s="51"/>
      <c r="Q1171" s="51"/>
      <c r="R1171" s="51"/>
      <c r="S1171" s="51"/>
      <c r="T1171" s="41"/>
      <c r="AG1171" s="521" t="s">
        <v>268</v>
      </c>
      <c r="AH1171" s="521" t="s">
        <v>269</v>
      </c>
      <c r="AI1171" s="521" t="s">
        <v>270</v>
      </c>
      <c r="AJ1171" s="521" t="s">
        <v>271</v>
      </c>
      <c r="AK1171" s="521" t="s">
        <v>272</v>
      </c>
      <c r="AM1171" s="745" t="s">
        <v>281</v>
      </c>
      <c r="AN1171" s="746" t="s">
        <v>282</v>
      </c>
      <c r="AO1171" s="522" t="s">
        <v>278</v>
      </c>
      <c r="AR1171" s="51"/>
      <c r="AS1171" s="42" t="s">
        <v>139</v>
      </c>
    </row>
    <row r="1172" spans="1:45" s="520" customFormat="1" ht="12" customHeight="1">
      <c r="A1172" s="747">
        <v>65</v>
      </c>
      <c r="B1172" s="523" t="s">
        <v>320</v>
      </c>
      <c r="C1172" s="748"/>
      <c r="D1172" s="749" t="s">
        <v>1258</v>
      </c>
      <c r="E1172" s="750">
        <f ca="1">IF(AND($A1172=0,$A$1="DIF"),0, ROUND(ROUND(($R1177*$S$2+($T1177*$T$2))/A1172,2)*$C$2,2))</f>
        <v>15.95</v>
      </c>
      <c r="F1172" s="751">
        <f ca="1">ROUND($A1172*$E1172,2)</f>
        <v>1036.75</v>
      </c>
      <c r="G1172" s="752" t="s">
        <v>142</v>
      </c>
      <c r="H1172" s="753"/>
      <c r="I1172" s="754"/>
      <c r="J1172" s="753"/>
      <c r="K1172" s="753" t="s">
        <v>3</v>
      </c>
      <c r="L1172" s="755" t="s">
        <v>143</v>
      </c>
      <c r="M1172" s="755"/>
      <c r="N1172" s="755"/>
      <c r="O1172" s="755"/>
      <c r="P1172" s="755"/>
      <c r="Q1172" s="51"/>
      <c r="T1172" s="756" t="str">
        <f ca="1">IF(AND($R1177=0,$T1177=0),"0.00","mu :" &amp; ROUND($F1172/$C$2/($R1177+$T1177*$D$9),2))</f>
        <v>mu :1.23</v>
      </c>
      <c r="W1172" s="524"/>
      <c r="AG1172" s="481">
        <f ca="1">IF($E1172=0,0,ROUND($R1177*$S$2*$C$2/$A1172,2))</f>
        <v>13.58</v>
      </c>
      <c r="AH1172" s="481">
        <f ca="1">$AG1172*$A1172</f>
        <v>882.7</v>
      </c>
      <c r="AI1172" s="525">
        <f ca="1">$E1172-$AG1172</f>
        <v>2.3699999999999992</v>
      </c>
      <c r="AJ1172" s="525">
        <f ca="1">$A1172*$AI1172</f>
        <v>154.04999999999995</v>
      </c>
      <c r="AK1172" s="526">
        <f ca="1">ROUND(($AG1172+$AI1172)*$A1172,2)</f>
        <v>1036.75</v>
      </c>
      <c r="AM1172" s="527">
        <f ca="1">ROUND(R1177,2)</f>
        <v>716.95</v>
      </c>
      <c r="AN1172" s="528">
        <f ca="1">ROUND(T1177,2)</f>
        <v>4.55</v>
      </c>
      <c r="AO1172" s="529">
        <f ca="1">ROUND(AM1172+AN1172,2)*A1172</f>
        <v>46897.5</v>
      </c>
      <c r="AR1172" s="747">
        <v>65</v>
      </c>
      <c r="AS1172" s="751">
        <v>1058.8499999999999</v>
      </c>
    </row>
    <row r="1173" spans="1:45" s="520" customFormat="1" ht="13.2">
      <c r="A1173" s="748"/>
      <c r="B1173"/>
      <c r="C1173" s="748"/>
      <c r="D1173" s="749" t="s">
        <v>1259</v>
      </c>
      <c r="F1173" s="753"/>
      <c r="G1173" s="3"/>
      <c r="H1173" s="753"/>
      <c r="I1173" s="754"/>
      <c r="J1173" s="753"/>
      <c r="K1173" s="753" t="s">
        <v>144</v>
      </c>
      <c r="L1173" s="753"/>
      <c r="M1173" s="753"/>
      <c r="N1173" s="753"/>
      <c r="O1173" s="753"/>
      <c r="P1173" s="753"/>
      <c r="Q1173" s="51"/>
      <c r="R1173" s="530"/>
      <c r="S1173" s="757"/>
      <c r="T1173" s="753"/>
      <c r="AR1173" s="748"/>
      <c r="AS1173" s="753"/>
    </row>
    <row r="1174" spans="1:45" s="886" customFormat="1" ht="13.2">
      <c r="A1174"/>
      <c r="B1174" s="910"/>
      <c r="C1174" s="910" t="s">
        <v>2597</v>
      </c>
      <c r="D1174" s="910" t="str">
        <f ca="1">CELL("Address",Elec_Rates!D$488)</f>
        <v>[E25_0062_Quintano_Foods_Elec_ELV_As_Awarded.xlsx]Elec_Rates!$D$488</v>
      </c>
      <c r="E1174" s="911"/>
      <c r="F1174" s="911"/>
      <c r="G1174" s="912" t="s">
        <v>2598</v>
      </c>
      <c r="H1174" s="912"/>
      <c r="I1174" s="912"/>
      <c r="J1174" s="912"/>
      <c r="K1174" s="913"/>
      <c r="L1174" s="911"/>
      <c r="M1174" s="911"/>
      <c r="N1174" s="911"/>
      <c r="O1174" s="914"/>
      <c r="P1174" s="911"/>
      <c r="Q1174" s="915"/>
      <c r="R1174" s="916"/>
      <c r="S1174" s="915"/>
      <c r="T1174" s="917"/>
      <c r="U1174" s="918"/>
      <c r="AR1174"/>
      <c r="AS1174" s="911"/>
    </row>
    <row r="1175" spans="1:45" s="886" customFormat="1" ht="11.4">
      <c r="A1175" s="919">
        <v>65</v>
      </c>
      <c r="B1175" s="920">
        <v>1</v>
      </c>
      <c r="C1175" s="920">
        <f>$A1175*$B1175</f>
        <v>65</v>
      </c>
      <c r="D1175" s="921" t="str">
        <f>Elec_Rates!$D$488</f>
        <v>047# 5 x 2.5mm2 F120 Fire Resistant Cable (BS7846) -  XLPE/SWA/LSZH</v>
      </c>
      <c r="E1175" s="921"/>
      <c r="F1175" s="921" t="s">
        <v>2599</v>
      </c>
      <c r="G1175" s="922" t="s">
        <v>2601</v>
      </c>
      <c r="H1175" s="922"/>
      <c r="I1175" s="922"/>
      <c r="J1175" s="922"/>
      <c r="K1175" s="923"/>
      <c r="L1175" s="918"/>
      <c r="M1175" s="918"/>
      <c r="N1175" s="918"/>
      <c r="O1175" s="924"/>
      <c r="P1175" s="921"/>
      <c r="Q1175" s="925">
        <f ca="1">$B1175*Elec_Rates!$R$488</f>
        <v>11.03</v>
      </c>
      <c r="R1175" s="916">
        <f ca="1">$A1175*Q1175</f>
        <v>716.94999999999993</v>
      </c>
      <c r="S1175" s="925">
        <f ca="1">$B1175*Elec_Rates!$T$488</f>
        <v>7.0000000000000007E-2</v>
      </c>
      <c r="T1175" s="917">
        <f ca="1">$A1175*S1175</f>
        <v>4.5500000000000007</v>
      </c>
      <c r="U1175" s="926"/>
      <c r="AR1175" s="919">
        <v>65</v>
      </c>
      <c r="AS1175" s="921" t="s">
        <v>2599</v>
      </c>
    </row>
    <row r="1176" spans="1:45" s="520" customFormat="1" ht="12">
      <c r="A1176" s="758"/>
      <c r="B1176" s="758"/>
      <c r="C1176" s="758"/>
      <c r="D1176" s="758"/>
      <c r="E1176" s="758"/>
      <c r="F1176" s="753"/>
      <c r="G1176" s="758"/>
      <c r="H1176" s="758"/>
      <c r="I1176" s="519"/>
      <c r="J1176" s="758"/>
      <c r="K1176" s="758"/>
      <c r="L1176" s="758"/>
      <c r="M1176" s="758"/>
      <c r="N1176" s="758"/>
      <c r="O1176" s="758"/>
      <c r="P1176" s="758"/>
      <c r="Q1176" s="519"/>
      <c r="R1176" s="759">
        <f>$A1176*Q1176</f>
        <v>0</v>
      </c>
      <c r="S1176" s="519"/>
      <c r="T1176" s="760">
        <f>$A1176*S1176*$T$1</f>
        <v>0</v>
      </c>
      <c r="AR1176" s="758"/>
      <c r="AS1176" s="753"/>
    </row>
    <row r="1177" spans="1:45" s="520" customFormat="1" ht="12.6" thickBot="1">
      <c r="A1177" s="761" t="s">
        <v>145</v>
      </c>
      <c r="B1177" s="762">
        <f>(R1176+T1176)</f>
        <v>0</v>
      </c>
      <c r="C1177" s="763"/>
      <c r="D1177" s="763"/>
      <c r="E1177" s="763"/>
      <c r="F1177" s="764"/>
      <c r="G1177" s="763" t="s">
        <v>146</v>
      </c>
      <c r="H1177" s="763"/>
      <c r="I1177" s="765"/>
      <c r="J1177" s="763"/>
      <c r="K1177" s="763" t="s">
        <v>3</v>
      </c>
      <c r="L1177" s="766" t="s">
        <v>143</v>
      </c>
      <c r="M1177" s="766"/>
      <c r="N1177" s="766"/>
      <c r="O1177" s="766"/>
      <c r="P1177" s="766"/>
      <c r="Q1177" s="767"/>
      <c r="R1177" s="768">
        <f ca="1">SUM(R1173:R1176)</f>
        <v>716.94999999999993</v>
      </c>
      <c r="S1177" s="763"/>
      <c r="T1177" s="768">
        <f ca="1">SUM(T1173:T1176)</f>
        <v>4.5500000000000007</v>
      </c>
      <c r="U1177" s="531"/>
      <c r="V1177" s="531"/>
      <c r="W1177" s="531"/>
      <c r="X1177" s="531"/>
      <c r="Y1177" s="531"/>
      <c r="Z1177" s="531"/>
      <c r="AA1177" s="531"/>
      <c r="AB1177" s="531"/>
      <c r="AC1177" s="531"/>
      <c r="AD1177" s="531"/>
      <c r="AE1177" s="531"/>
      <c r="AF1177" s="531"/>
      <c r="AG1177" s="531"/>
      <c r="AH1177" s="531"/>
      <c r="AI1177" s="531"/>
      <c r="AJ1177" s="531"/>
      <c r="AK1177" s="531"/>
      <c r="AL1177" s="531"/>
      <c r="AM1177" s="531"/>
      <c r="AN1177" s="531"/>
      <c r="AO1177" s="531"/>
      <c r="AR1177" s="761" t="s">
        <v>145</v>
      </c>
      <c r="AS1177" s="764"/>
    </row>
    <row r="1178" spans="1:45" s="520" customFormat="1" ht="12" thickTop="1">
      <c r="A1178" s="51"/>
      <c r="B1178" s="41"/>
      <c r="C1178" s="51"/>
      <c r="E1178" s="42" t="s">
        <v>138</v>
      </c>
      <c r="F1178" s="42" t="s">
        <v>139</v>
      </c>
      <c r="G1178" s="51"/>
      <c r="H1178" s="51"/>
      <c r="I1178" s="51"/>
      <c r="J1178" s="51"/>
      <c r="K1178" s="51" t="s">
        <v>140</v>
      </c>
      <c r="L1178" s="51"/>
      <c r="M1178" s="51"/>
      <c r="N1178" s="51"/>
      <c r="O1178" s="52"/>
      <c r="P1178" s="51"/>
      <c r="Q1178" s="51"/>
      <c r="R1178" s="51"/>
      <c r="S1178" s="51"/>
      <c r="T1178" s="41"/>
      <c r="AG1178" s="521" t="s">
        <v>268</v>
      </c>
      <c r="AH1178" s="521" t="s">
        <v>269</v>
      </c>
      <c r="AI1178" s="521" t="s">
        <v>270</v>
      </c>
      <c r="AJ1178" s="521" t="s">
        <v>271</v>
      </c>
      <c r="AK1178" s="521" t="s">
        <v>272</v>
      </c>
      <c r="AM1178" s="745" t="s">
        <v>281</v>
      </c>
      <c r="AN1178" s="746" t="s">
        <v>282</v>
      </c>
      <c r="AO1178" s="522" t="s">
        <v>278</v>
      </c>
      <c r="AR1178" s="51"/>
      <c r="AS1178" s="42" t="s">
        <v>139</v>
      </c>
    </row>
    <row r="1179" spans="1:45" s="520" customFormat="1" ht="12" customHeight="1">
      <c r="A1179" s="747">
        <v>40</v>
      </c>
      <c r="B1179" s="523" t="s">
        <v>320</v>
      </c>
      <c r="C1179" s="748"/>
      <c r="D1179" s="749" t="s">
        <v>1260</v>
      </c>
      <c r="E1179" s="750">
        <f ca="1">IF(AND($A1179=0,$A$1="DIF"),0, ROUND(ROUND(($R1184*$S$2+($T1184*$T$2))/A1179,2)*$C$2,2))</f>
        <v>35.24</v>
      </c>
      <c r="F1179" s="751">
        <f ca="1">ROUND($A1179*$E1179,2)</f>
        <v>1409.6</v>
      </c>
      <c r="G1179" s="752" t="s">
        <v>142</v>
      </c>
      <c r="H1179" s="753"/>
      <c r="I1179" s="754"/>
      <c r="J1179" s="753"/>
      <c r="K1179" s="753" t="s">
        <v>3</v>
      </c>
      <c r="L1179" s="755" t="s">
        <v>143</v>
      </c>
      <c r="M1179" s="755"/>
      <c r="N1179" s="755"/>
      <c r="O1179" s="755"/>
      <c r="P1179" s="755"/>
      <c r="Q1179" s="51"/>
      <c r="T1179" s="756" t="str">
        <f ca="1">IF(AND($R1184=0,$T1184=0),"0.00","mu :" &amp; ROUND($F1179/$C$2/($R1184+$T1184*$D$9),2))</f>
        <v>mu :1.23</v>
      </c>
      <c r="W1179" s="524"/>
      <c r="AG1179" s="481">
        <f ca="1">IF($E1179=0,0,ROUND($R1184*$S$2*$C$2/$A1179,2))</f>
        <v>31.52</v>
      </c>
      <c r="AH1179" s="481">
        <f ca="1">$AG1179*$A1179</f>
        <v>1260.8</v>
      </c>
      <c r="AI1179" s="525">
        <f ca="1">$E1179-$AG1179</f>
        <v>3.7200000000000024</v>
      </c>
      <c r="AJ1179" s="525">
        <f ca="1">$A1179*$AI1179</f>
        <v>148.8000000000001</v>
      </c>
      <c r="AK1179" s="526">
        <f ca="1">ROUND(($AG1179+$AI1179)*$A1179,2)</f>
        <v>1409.6</v>
      </c>
      <c r="AM1179" s="527">
        <f ca="1">ROUND(R1184,2)</f>
        <v>1024</v>
      </c>
      <c r="AN1179" s="528">
        <f ca="1">ROUND(T1184,2)</f>
        <v>4.4000000000000004</v>
      </c>
      <c r="AO1179" s="529">
        <f ca="1">ROUND(AM1179+AN1179,2)*A1179</f>
        <v>41136</v>
      </c>
      <c r="AR1179" s="747">
        <v>40</v>
      </c>
      <c r="AS1179" s="751">
        <v>1423.2</v>
      </c>
    </row>
    <row r="1180" spans="1:45" s="520" customFormat="1" ht="13.2">
      <c r="A1180" s="748"/>
      <c r="B1180"/>
      <c r="C1180" s="748"/>
      <c r="D1180" s="749" t="s">
        <v>1261</v>
      </c>
      <c r="F1180" s="753"/>
      <c r="G1180" s="3"/>
      <c r="H1180" s="753"/>
      <c r="I1180" s="754"/>
      <c r="J1180" s="753"/>
      <c r="K1180" s="753" t="s">
        <v>144</v>
      </c>
      <c r="L1180" s="753"/>
      <c r="M1180" s="753"/>
      <c r="N1180" s="753"/>
      <c r="O1180" s="753"/>
      <c r="P1180" s="753"/>
      <c r="Q1180" s="51"/>
      <c r="R1180" s="530"/>
      <c r="S1180" s="757"/>
      <c r="T1180" s="753"/>
      <c r="AR1180" s="748"/>
      <c r="AS1180" s="753"/>
    </row>
    <row r="1181" spans="1:45" s="886" customFormat="1" ht="13.2">
      <c r="A1181"/>
      <c r="B1181" s="910"/>
      <c r="C1181" s="910" t="s">
        <v>2597</v>
      </c>
      <c r="D1181" s="910" t="str">
        <f ca="1">CELL("Address",Elec_Rates!D$385)</f>
        <v>[E25_0062_Quintano_Foods_Elec_ELV_As_Awarded.xlsx]Elec_Rates!$D$385</v>
      </c>
      <c r="E1181" s="911"/>
      <c r="F1181" s="911"/>
      <c r="G1181" s="912" t="s">
        <v>2598</v>
      </c>
      <c r="H1181" s="912"/>
      <c r="I1181" s="912"/>
      <c r="J1181" s="912"/>
      <c r="K1181" s="913"/>
      <c r="L1181" s="911"/>
      <c r="M1181" s="911"/>
      <c r="N1181" s="911"/>
      <c r="O1181" s="914"/>
      <c r="P1181" s="911"/>
      <c r="Q1181" s="915"/>
      <c r="R1181" s="916"/>
      <c r="S1181" s="915"/>
      <c r="T1181" s="917"/>
      <c r="U1181" s="918"/>
      <c r="AR1181"/>
      <c r="AS1181" s="911"/>
    </row>
    <row r="1182" spans="1:45" s="886" customFormat="1" ht="11.4">
      <c r="A1182" s="919">
        <v>40</v>
      </c>
      <c r="B1182" s="920">
        <v>1</v>
      </c>
      <c r="C1182" s="920">
        <f>$A1182*$B1182</f>
        <v>40</v>
      </c>
      <c r="D1182" s="921" t="str">
        <f>Elec_Rates!$D$385</f>
        <v>037# 5 x 16mm2 F120 Fire Resistant Cable (BS7846) -  XLPE/SWA/LSZH</v>
      </c>
      <c r="E1182" s="921"/>
      <c r="F1182" s="921" t="s">
        <v>2599</v>
      </c>
      <c r="G1182" s="922" t="s">
        <v>2601</v>
      </c>
      <c r="H1182" s="922"/>
      <c r="I1182" s="922"/>
      <c r="J1182" s="922"/>
      <c r="K1182" s="923"/>
      <c r="L1182" s="918"/>
      <c r="M1182" s="918"/>
      <c r="N1182" s="918"/>
      <c r="O1182" s="924"/>
      <c r="P1182" s="921"/>
      <c r="Q1182" s="925">
        <f ca="1">$B1182*Elec_Rates!$R$385</f>
        <v>25.6</v>
      </c>
      <c r="R1182" s="916">
        <f ca="1">$A1182*Q1182</f>
        <v>1024</v>
      </c>
      <c r="S1182" s="925">
        <f ca="1">$B1182*Elec_Rates!$T$385</f>
        <v>0.11</v>
      </c>
      <c r="T1182" s="917">
        <f ca="1">$A1182*S1182</f>
        <v>4.4000000000000004</v>
      </c>
      <c r="U1182" s="926"/>
      <c r="AR1182" s="919">
        <v>40</v>
      </c>
      <c r="AS1182" s="921" t="s">
        <v>2599</v>
      </c>
    </row>
    <row r="1183" spans="1:45" s="520" customFormat="1" ht="12">
      <c r="A1183" s="758"/>
      <c r="B1183" s="758"/>
      <c r="C1183" s="758"/>
      <c r="D1183" s="758"/>
      <c r="E1183" s="758"/>
      <c r="F1183" s="753"/>
      <c r="G1183" s="758"/>
      <c r="H1183" s="758"/>
      <c r="I1183" s="519"/>
      <c r="J1183" s="758"/>
      <c r="K1183" s="758"/>
      <c r="L1183" s="758"/>
      <c r="M1183" s="758"/>
      <c r="N1183" s="758"/>
      <c r="O1183" s="758"/>
      <c r="P1183" s="758"/>
      <c r="Q1183" s="519"/>
      <c r="R1183" s="759">
        <f>$A1183*Q1183</f>
        <v>0</v>
      </c>
      <c r="S1183" s="519"/>
      <c r="T1183" s="760">
        <f>$A1183*S1183*$T$1</f>
        <v>0</v>
      </c>
      <c r="AR1183" s="758"/>
      <c r="AS1183" s="753"/>
    </row>
    <row r="1184" spans="1:45" s="520" customFormat="1" ht="12.6" thickBot="1">
      <c r="A1184" s="761" t="s">
        <v>145</v>
      </c>
      <c r="B1184" s="762">
        <f>(R1183+T1183)</f>
        <v>0</v>
      </c>
      <c r="C1184" s="763"/>
      <c r="D1184" s="763"/>
      <c r="E1184" s="763"/>
      <c r="F1184" s="764"/>
      <c r="G1184" s="763" t="s">
        <v>146</v>
      </c>
      <c r="H1184" s="763"/>
      <c r="I1184" s="765"/>
      <c r="J1184" s="763"/>
      <c r="K1184" s="763" t="s">
        <v>3</v>
      </c>
      <c r="L1184" s="766" t="s">
        <v>143</v>
      </c>
      <c r="M1184" s="766"/>
      <c r="N1184" s="766"/>
      <c r="O1184" s="766"/>
      <c r="P1184" s="766"/>
      <c r="Q1184" s="767"/>
      <c r="R1184" s="768">
        <f ca="1">SUM(R1180:R1183)</f>
        <v>1024</v>
      </c>
      <c r="S1184" s="763"/>
      <c r="T1184" s="768">
        <f ca="1">SUM(T1180:T1183)</f>
        <v>4.4000000000000004</v>
      </c>
      <c r="U1184" s="531"/>
      <c r="V1184" s="531"/>
      <c r="W1184" s="531"/>
      <c r="X1184" s="531"/>
      <c r="Y1184" s="531"/>
      <c r="Z1184" s="531"/>
      <c r="AA1184" s="531"/>
      <c r="AB1184" s="531"/>
      <c r="AC1184" s="531"/>
      <c r="AD1184" s="531"/>
      <c r="AE1184" s="531"/>
      <c r="AF1184" s="531"/>
      <c r="AG1184" s="531"/>
      <c r="AH1184" s="531"/>
      <c r="AI1184" s="531"/>
      <c r="AJ1184" s="531"/>
      <c r="AK1184" s="531"/>
      <c r="AL1184" s="531"/>
      <c r="AM1184" s="531"/>
      <c r="AN1184" s="531"/>
      <c r="AO1184" s="531"/>
      <c r="AR1184" s="761" t="s">
        <v>145</v>
      </c>
      <c r="AS1184" s="764"/>
    </row>
    <row r="1185" spans="1:45" s="520" customFormat="1" ht="12" thickTop="1">
      <c r="A1185" s="51"/>
      <c r="B1185" s="41"/>
      <c r="C1185" s="51"/>
      <c r="E1185" s="42" t="s">
        <v>138</v>
      </c>
      <c r="F1185" s="42" t="s">
        <v>139</v>
      </c>
      <c r="G1185" s="51"/>
      <c r="H1185" s="51"/>
      <c r="I1185" s="51"/>
      <c r="J1185" s="51"/>
      <c r="K1185" s="51" t="s">
        <v>140</v>
      </c>
      <c r="L1185" s="51"/>
      <c r="M1185" s="51"/>
      <c r="N1185" s="51"/>
      <c r="O1185" s="52"/>
      <c r="P1185" s="51"/>
      <c r="Q1185" s="51"/>
      <c r="R1185" s="51"/>
      <c r="S1185" s="51"/>
      <c r="T1185" s="41"/>
      <c r="AG1185" s="521" t="s">
        <v>268</v>
      </c>
      <c r="AH1185" s="521" t="s">
        <v>269</v>
      </c>
      <c r="AI1185" s="521" t="s">
        <v>270</v>
      </c>
      <c r="AJ1185" s="521" t="s">
        <v>271</v>
      </c>
      <c r="AK1185" s="521" t="s">
        <v>272</v>
      </c>
      <c r="AM1185" s="745" t="s">
        <v>281</v>
      </c>
      <c r="AN1185" s="746" t="s">
        <v>282</v>
      </c>
      <c r="AO1185" s="522" t="s">
        <v>278</v>
      </c>
      <c r="AR1185" s="51"/>
      <c r="AS1185" s="42" t="s">
        <v>139</v>
      </c>
    </row>
    <row r="1186" spans="1:45" s="520" customFormat="1" ht="12" customHeight="1">
      <c r="A1186" s="747">
        <v>40</v>
      </c>
      <c r="B1186" s="523" t="s">
        <v>320</v>
      </c>
      <c r="C1186" s="748"/>
      <c r="D1186" s="749" t="s">
        <v>1262</v>
      </c>
      <c r="E1186" s="750">
        <f ca="1">IF(AND($A1186=0,$A$1="DIF"),0, ROUND(ROUND(($R1191*$S$2+($T1191*$T$2))/A1186,2)*$C$2,2))</f>
        <v>35.24</v>
      </c>
      <c r="F1186" s="751">
        <f ca="1">ROUND($A1186*$E1186,2)</f>
        <v>1409.6</v>
      </c>
      <c r="G1186" s="752" t="s">
        <v>142</v>
      </c>
      <c r="H1186" s="753"/>
      <c r="I1186" s="754"/>
      <c r="J1186" s="753"/>
      <c r="K1186" s="753" t="s">
        <v>3</v>
      </c>
      <c r="L1186" s="755" t="s">
        <v>143</v>
      </c>
      <c r="M1186" s="755"/>
      <c r="N1186" s="755"/>
      <c r="O1186" s="755"/>
      <c r="P1186" s="755"/>
      <c r="Q1186" s="51"/>
      <c r="T1186" s="756" t="str">
        <f ca="1">IF(AND($R1191=0,$T1191=0),"0.00","mu :" &amp; ROUND($F1186/$C$2/($R1191+$T1191*$D$9),2))</f>
        <v>mu :1.23</v>
      </c>
      <c r="W1186" s="524"/>
      <c r="AG1186" s="481">
        <f ca="1">IF($E1186=0,0,ROUND($R1191*$S$2*$C$2/$A1186,2))</f>
        <v>31.52</v>
      </c>
      <c r="AH1186" s="481">
        <f ca="1">$AG1186*$A1186</f>
        <v>1260.8</v>
      </c>
      <c r="AI1186" s="525">
        <f ca="1">$E1186-$AG1186</f>
        <v>3.7200000000000024</v>
      </c>
      <c r="AJ1186" s="525">
        <f ca="1">$A1186*$AI1186</f>
        <v>148.8000000000001</v>
      </c>
      <c r="AK1186" s="526">
        <f ca="1">ROUND(($AG1186+$AI1186)*$A1186,2)</f>
        <v>1409.6</v>
      </c>
      <c r="AM1186" s="527">
        <f ca="1">ROUND(R1191,2)</f>
        <v>1024</v>
      </c>
      <c r="AN1186" s="528">
        <f ca="1">ROUND(T1191,2)</f>
        <v>4.4000000000000004</v>
      </c>
      <c r="AO1186" s="529">
        <f ca="1">ROUND(AM1186+AN1186,2)*A1186</f>
        <v>41136</v>
      </c>
      <c r="AR1186" s="747">
        <v>40</v>
      </c>
      <c r="AS1186" s="751">
        <v>1423.2</v>
      </c>
    </row>
    <row r="1187" spans="1:45" s="520" customFormat="1" ht="13.2">
      <c r="A1187" s="748"/>
      <c r="B1187"/>
      <c r="C1187" s="748"/>
      <c r="D1187" s="749" t="s">
        <v>1263</v>
      </c>
      <c r="F1187" s="753"/>
      <c r="G1187" s="3"/>
      <c r="H1187" s="753"/>
      <c r="I1187" s="754"/>
      <c r="J1187" s="753"/>
      <c r="K1187" s="753" t="s">
        <v>144</v>
      </c>
      <c r="L1187" s="753"/>
      <c r="M1187" s="753"/>
      <c r="N1187" s="753"/>
      <c r="O1187" s="753"/>
      <c r="P1187" s="753"/>
      <c r="Q1187" s="51"/>
      <c r="R1187" s="530"/>
      <c r="S1187" s="757"/>
      <c r="T1187" s="753"/>
      <c r="AR1187" s="748"/>
      <c r="AS1187" s="753"/>
    </row>
    <row r="1188" spans="1:45" s="886" customFormat="1" ht="13.2">
      <c r="A1188"/>
      <c r="B1188" s="910"/>
      <c r="C1188" s="910" t="s">
        <v>2597</v>
      </c>
      <c r="D1188" s="910" t="str">
        <f ca="1">CELL("Address",Elec_Rates!D$385)</f>
        <v>[E25_0062_Quintano_Foods_Elec_ELV_As_Awarded.xlsx]Elec_Rates!$D$385</v>
      </c>
      <c r="E1188" s="911"/>
      <c r="F1188" s="911"/>
      <c r="G1188" s="912" t="s">
        <v>2598</v>
      </c>
      <c r="H1188" s="912"/>
      <c r="I1188" s="912"/>
      <c r="J1188" s="912"/>
      <c r="K1188" s="913"/>
      <c r="L1188" s="911"/>
      <c r="M1188" s="911"/>
      <c r="N1188" s="911"/>
      <c r="O1188" s="914"/>
      <c r="P1188" s="911"/>
      <c r="Q1188" s="915"/>
      <c r="R1188" s="916"/>
      <c r="S1188" s="915"/>
      <c r="T1188" s="917"/>
      <c r="U1188" s="918"/>
      <c r="AR1188"/>
      <c r="AS1188" s="911"/>
    </row>
    <row r="1189" spans="1:45" s="886" customFormat="1" ht="11.4">
      <c r="A1189" s="919">
        <v>40</v>
      </c>
      <c r="B1189" s="920">
        <v>1</v>
      </c>
      <c r="C1189" s="920">
        <f>$A1189*$B1189</f>
        <v>40</v>
      </c>
      <c r="D1189" s="921" t="str">
        <f>Elec_Rates!$D$385</f>
        <v>037# 5 x 16mm2 F120 Fire Resistant Cable (BS7846) -  XLPE/SWA/LSZH</v>
      </c>
      <c r="E1189" s="921"/>
      <c r="F1189" s="921" t="s">
        <v>2599</v>
      </c>
      <c r="G1189" s="922" t="s">
        <v>2601</v>
      </c>
      <c r="H1189" s="922"/>
      <c r="I1189" s="922"/>
      <c r="J1189" s="922"/>
      <c r="K1189" s="923"/>
      <c r="L1189" s="918"/>
      <c r="M1189" s="918"/>
      <c r="N1189" s="918"/>
      <c r="O1189" s="924"/>
      <c r="P1189" s="921"/>
      <c r="Q1189" s="925">
        <f ca="1">$B1189*Elec_Rates!$R$385</f>
        <v>25.6</v>
      </c>
      <c r="R1189" s="916">
        <f ca="1">$A1189*Q1189</f>
        <v>1024</v>
      </c>
      <c r="S1189" s="925">
        <f ca="1">$B1189*Elec_Rates!$T$385</f>
        <v>0.11</v>
      </c>
      <c r="T1189" s="917">
        <f ca="1">$A1189*S1189</f>
        <v>4.4000000000000004</v>
      </c>
      <c r="U1189" s="926"/>
      <c r="AR1189" s="919">
        <v>40</v>
      </c>
      <c r="AS1189" s="921" t="s">
        <v>2599</v>
      </c>
    </row>
    <row r="1190" spans="1:45" s="520" customFormat="1" ht="12">
      <c r="A1190" s="758"/>
      <c r="B1190" s="758"/>
      <c r="C1190" s="758"/>
      <c r="D1190" s="758"/>
      <c r="E1190" s="758"/>
      <c r="F1190" s="753"/>
      <c r="G1190" s="758"/>
      <c r="H1190" s="758"/>
      <c r="I1190" s="519"/>
      <c r="J1190" s="758"/>
      <c r="K1190" s="758"/>
      <c r="L1190" s="758"/>
      <c r="M1190" s="758"/>
      <c r="N1190" s="758"/>
      <c r="O1190" s="758"/>
      <c r="P1190" s="758"/>
      <c r="Q1190" s="519"/>
      <c r="R1190" s="759">
        <f>$A1190*Q1190</f>
        <v>0</v>
      </c>
      <c r="S1190" s="519"/>
      <c r="T1190" s="760">
        <f>$A1190*S1190*$T$1</f>
        <v>0</v>
      </c>
      <c r="AR1190" s="758"/>
      <c r="AS1190" s="753"/>
    </row>
    <row r="1191" spans="1:45" s="520" customFormat="1" ht="12.6" thickBot="1">
      <c r="A1191" s="761" t="s">
        <v>145</v>
      </c>
      <c r="B1191" s="762">
        <f>(R1190+T1190)</f>
        <v>0</v>
      </c>
      <c r="C1191" s="763"/>
      <c r="D1191" s="763"/>
      <c r="E1191" s="763"/>
      <c r="F1191" s="764"/>
      <c r="G1191" s="763" t="s">
        <v>146</v>
      </c>
      <c r="H1191" s="763"/>
      <c r="I1191" s="765"/>
      <c r="J1191" s="763"/>
      <c r="K1191" s="763" t="s">
        <v>3</v>
      </c>
      <c r="L1191" s="766" t="s">
        <v>143</v>
      </c>
      <c r="M1191" s="766"/>
      <c r="N1191" s="766"/>
      <c r="O1191" s="766"/>
      <c r="P1191" s="766"/>
      <c r="Q1191" s="767"/>
      <c r="R1191" s="768">
        <f ca="1">SUM(R1187:R1190)</f>
        <v>1024</v>
      </c>
      <c r="S1191" s="763"/>
      <c r="T1191" s="768">
        <f ca="1">SUM(T1187:T1190)</f>
        <v>4.4000000000000004</v>
      </c>
      <c r="U1191" s="531"/>
      <c r="V1191" s="531"/>
      <c r="W1191" s="531"/>
      <c r="X1191" s="531"/>
      <c r="Y1191" s="531"/>
      <c r="Z1191" s="531"/>
      <c r="AA1191" s="531"/>
      <c r="AB1191" s="531"/>
      <c r="AC1191" s="531"/>
      <c r="AD1191" s="531"/>
      <c r="AE1191" s="531"/>
      <c r="AF1191" s="531"/>
      <c r="AG1191" s="531"/>
      <c r="AH1191" s="531"/>
      <c r="AI1191" s="531"/>
      <c r="AJ1191" s="531"/>
      <c r="AK1191" s="531"/>
      <c r="AL1191" s="531"/>
      <c r="AM1191" s="531"/>
      <c r="AN1191" s="531"/>
      <c r="AO1191" s="531"/>
      <c r="AR1191" s="761" t="s">
        <v>145</v>
      </c>
      <c r="AS1191" s="764"/>
    </row>
    <row r="1192" spans="1:45" s="520" customFormat="1" ht="12" thickTop="1">
      <c r="A1192" s="51"/>
      <c r="B1192" s="41"/>
      <c r="C1192" s="51"/>
      <c r="E1192" s="42" t="s">
        <v>138</v>
      </c>
      <c r="F1192" s="42" t="s">
        <v>139</v>
      </c>
      <c r="G1192" s="51"/>
      <c r="H1192" s="51"/>
      <c r="I1192" s="51"/>
      <c r="J1192" s="51"/>
      <c r="K1192" s="51" t="s">
        <v>140</v>
      </c>
      <c r="L1192" s="51"/>
      <c r="M1192" s="51"/>
      <c r="N1192" s="51"/>
      <c r="O1192" s="52"/>
      <c r="P1192" s="51"/>
      <c r="Q1192" s="51"/>
      <c r="R1192" s="51"/>
      <c r="S1192" s="51"/>
      <c r="T1192" s="41"/>
      <c r="AG1192" s="521" t="s">
        <v>268</v>
      </c>
      <c r="AH1192" s="521" t="s">
        <v>269</v>
      </c>
      <c r="AI1192" s="521" t="s">
        <v>270</v>
      </c>
      <c r="AJ1192" s="521" t="s">
        <v>271</v>
      </c>
      <c r="AK1192" s="521" t="s">
        <v>272</v>
      </c>
      <c r="AM1192" s="745" t="s">
        <v>281</v>
      </c>
      <c r="AN1192" s="746" t="s">
        <v>282</v>
      </c>
      <c r="AO1192" s="522" t="s">
        <v>278</v>
      </c>
      <c r="AR1192" s="51"/>
      <c r="AS1192" s="42" t="s">
        <v>139</v>
      </c>
    </row>
    <row r="1193" spans="1:45" s="520" customFormat="1" ht="12" customHeight="1">
      <c r="A1193" s="747">
        <v>40</v>
      </c>
      <c r="B1193" s="523" t="s">
        <v>320</v>
      </c>
      <c r="C1193" s="748"/>
      <c r="D1193" s="749" t="s">
        <v>1264</v>
      </c>
      <c r="E1193" s="750">
        <f ca="1">IF(AND($A1193=0,$A$1="DIF"),0, ROUND(ROUND(($R1198*$S$2+($T1198*$T$2))/A1193,2)*$C$2,2))</f>
        <v>5.63</v>
      </c>
      <c r="F1193" s="751">
        <f ca="1">ROUND($A1193*$E1193,2)</f>
        <v>225.2</v>
      </c>
      <c r="G1193" s="752" t="s">
        <v>142</v>
      </c>
      <c r="H1193" s="753"/>
      <c r="I1193" s="754"/>
      <c r="J1193" s="753"/>
      <c r="K1193" s="753" t="s">
        <v>3</v>
      </c>
      <c r="L1193" s="755" t="s">
        <v>143</v>
      </c>
      <c r="M1193" s="755"/>
      <c r="N1193" s="755"/>
      <c r="O1193" s="755"/>
      <c r="P1193" s="755"/>
      <c r="Q1193" s="51"/>
      <c r="T1193" s="756" t="str">
        <f ca="1">IF(AND($R1198=0,$T1198=0),"0.00","mu :" &amp; ROUND($F1193/$C$2/($R1198+$T1198*$D$9),2))</f>
        <v>mu :1.23</v>
      </c>
      <c r="W1193" s="524"/>
      <c r="AG1193" s="481">
        <f ca="1">IF($E1193=0,0,ROUND($R1198*$S$2*$C$2/$A1193,2))</f>
        <v>3.26</v>
      </c>
      <c r="AH1193" s="481">
        <f ca="1">$AG1193*$A1193</f>
        <v>130.39999999999998</v>
      </c>
      <c r="AI1193" s="525">
        <f ca="1">$E1193-$AG1193</f>
        <v>2.37</v>
      </c>
      <c r="AJ1193" s="525">
        <f ca="1">$A1193*$AI1193</f>
        <v>94.800000000000011</v>
      </c>
      <c r="AK1193" s="526">
        <f ca="1">ROUND(($AG1193+$AI1193)*$A1193,2)</f>
        <v>225.2</v>
      </c>
      <c r="AM1193" s="527">
        <f ca="1">ROUND(R1198,2)</f>
        <v>106</v>
      </c>
      <c r="AN1193" s="528">
        <f ca="1">ROUND(T1198,2)</f>
        <v>2.8</v>
      </c>
      <c r="AO1193" s="529">
        <f ca="1">ROUND(AM1193+AN1193,2)*A1193</f>
        <v>4352</v>
      </c>
      <c r="AR1193" s="747">
        <v>40</v>
      </c>
      <c r="AS1193" s="751">
        <v>238.8</v>
      </c>
    </row>
    <row r="1194" spans="1:45" s="520" customFormat="1" ht="13.2">
      <c r="A1194" s="748"/>
      <c r="B1194"/>
      <c r="C1194" s="748"/>
      <c r="D1194" s="749" t="s">
        <v>1265</v>
      </c>
      <c r="F1194" s="753"/>
      <c r="G1194" s="3"/>
      <c r="H1194" s="753"/>
      <c r="I1194" s="754"/>
      <c r="J1194" s="753"/>
      <c r="K1194" s="753" t="s">
        <v>144</v>
      </c>
      <c r="L1194" s="753"/>
      <c r="M1194" s="753"/>
      <c r="N1194" s="753"/>
      <c r="O1194" s="753"/>
      <c r="P1194" s="753"/>
      <c r="Q1194" s="51"/>
      <c r="R1194" s="530"/>
      <c r="S1194" s="757"/>
      <c r="T1194" s="753"/>
      <c r="AR1194" s="748"/>
      <c r="AS1194" s="753"/>
    </row>
    <row r="1195" spans="1:45" s="886" customFormat="1" ht="13.2">
      <c r="A1195"/>
      <c r="B1195" s="910"/>
      <c r="C1195" s="910" t="s">
        <v>2597</v>
      </c>
      <c r="D1195" s="910" t="str">
        <f ca="1">CELL("Address",Elec_Rates!D$478)</f>
        <v>[E25_0062_Quintano_Foods_Elec_ELV_As_Awarded.xlsx]Elec_Rates!$D$478</v>
      </c>
      <c r="E1195" s="911"/>
      <c r="F1195" s="911"/>
      <c r="G1195" s="912" t="s">
        <v>2598</v>
      </c>
      <c r="H1195" s="912"/>
      <c r="I1195" s="912"/>
      <c r="J1195" s="912"/>
      <c r="K1195" s="913"/>
      <c r="L1195" s="911"/>
      <c r="M1195" s="911"/>
      <c r="N1195" s="911"/>
      <c r="O1195" s="914"/>
      <c r="P1195" s="911"/>
      <c r="Q1195" s="915"/>
      <c r="R1195" s="916"/>
      <c r="S1195" s="915"/>
      <c r="T1195" s="917"/>
      <c r="U1195" s="918"/>
      <c r="AR1195"/>
      <c r="AS1195" s="911"/>
    </row>
    <row r="1196" spans="1:45" s="886" customFormat="1" ht="11.4">
      <c r="A1196" s="919">
        <v>40</v>
      </c>
      <c r="B1196" s="920">
        <v>1</v>
      </c>
      <c r="C1196" s="920">
        <f>$A1196*$B1196</f>
        <v>40</v>
      </c>
      <c r="D1196" s="921" t="str">
        <f>Elec_Rates!$D$478</f>
        <v>046# 3 x 4mm2 XLPE/SWA/LSZH</v>
      </c>
      <c r="E1196" s="921"/>
      <c r="F1196" s="921" t="s">
        <v>2599</v>
      </c>
      <c r="G1196" s="922" t="s">
        <v>2601</v>
      </c>
      <c r="H1196" s="922"/>
      <c r="I1196" s="922"/>
      <c r="J1196" s="922"/>
      <c r="K1196" s="923"/>
      <c r="L1196" s="918"/>
      <c r="M1196" s="918"/>
      <c r="N1196" s="918"/>
      <c r="O1196" s="924"/>
      <c r="P1196" s="921"/>
      <c r="Q1196" s="925">
        <f ca="1">$B1196*Elec_Rates!$R$478</f>
        <v>2.65</v>
      </c>
      <c r="R1196" s="916">
        <f ca="1">$A1196*Q1196</f>
        <v>106</v>
      </c>
      <c r="S1196" s="925">
        <f ca="1">$B1196*Elec_Rates!$T$478</f>
        <v>7.0000000000000007E-2</v>
      </c>
      <c r="T1196" s="917">
        <f ca="1">$A1196*S1196</f>
        <v>2.8000000000000003</v>
      </c>
      <c r="U1196" s="926"/>
      <c r="AR1196" s="919">
        <v>40</v>
      </c>
      <c r="AS1196" s="921" t="s">
        <v>2599</v>
      </c>
    </row>
    <row r="1197" spans="1:45" s="520" customFormat="1" ht="12">
      <c r="A1197" s="758"/>
      <c r="B1197" s="758"/>
      <c r="C1197" s="758"/>
      <c r="D1197" s="758"/>
      <c r="E1197" s="758"/>
      <c r="F1197" s="753"/>
      <c r="G1197" s="758"/>
      <c r="H1197" s="758"/>
      <c r="I1197" s="519"/>
      <c r="J1197" s="758"/>
      <c r="K1197" s="758"/>
      <c r="L1197" s="758"/>
      <c r="M1197" s="758"/>
      <c r="N1197" s="758"/>
      <c r="O1197" s="758"/>
      <c r="P1197" s="758"/>
      <c r="Q1197" s="519"/>
      <c r="R1197" s="759">
        <f>$A1197*Q1197</f>
        <v>0</v>
      </c>
      <c r="S1197" s="519"/>
      <c r="T1197" s="760">
        <f>$A1197*S1197*$T$1</f>
        <v>0</v>
      </c>
      <c r="AR1197" s="758"/>
      <c r="AS1197" s="753"/>
    </row>
    <row r="1198" spans="1:45" s="520" customFormat="1" ht="12.6" thickBot="1">
      <c r="A1198" s="761" t="s">
        <v>145</v>
      </c>
      <c r="B1198" s="762">
        <f>(R1197+T1197)</f>
        <v>0</v>
      </c>
      <c r="C1198" s="763"/>
      <c r="D1198" s="763"/>
      <c r="E1198" s="763"/>
      <c r="F1198" s="764"/>
      <c r="G1198" s="763" t="s">
        <v>146</v>
      </c>
      <c r="H1198" s="763"/>
      <c r="I1198" s="765"/>
      <c r="J1198" s="763"/>
      <c r="K1198" s="763" t="s">
        <v>3</v>
      </c>
      <c r="L1198" s="766" t="s">
        <v>143</v>
      </c>
      <c r="M1198" s="766"/>
      <c r="N1198" s="766"/>
      <c r="O1198" s="766"/>
      <c r="P1198" s="766"/>
      <c r="Q1198" s="767"/>
      <c r="R1198" s="768">
        <f ca="1">SUM(R1194:R1197)</f>
        <v>106</v>
      </c>
      <c r="S1198" s="763"/>
      <c r="T1198" s="768">
        <f ca="1">SUM(T1194:T1197)</f>
        <v>2.8000000000000003</v>
      </c>
      <c r="U1198" s="531"/>
      <c r="V1198" s="531"/>
      <c r="W1198" s="531"/>
      <c r="X1198" s="531"/>
      <c r="Y1198" s="531"/>
      <c r="Z1198" s="531"/>
      <c r="AA1198" s="531"/>
      <c r="AB1198" s="531"/>
      <c r="AC1198" s="531"/>
      <c r="AD1198" s="531"/>
      <c r="AE1198" s="531"/>
      <c r="AF1198" s="531"/>
      <c r="AG1198" s="531"/>
      <c r="AH1198" s="531"/>
      <c r="AI1198" s="531"/>
      <c r="AJ1198" s="531"/>
      <c r="AK1198" s="531"/>
      <c r="AL1198" s="531"/>
      <c r="AM1198" s="531"/>
      <c r="AN1198" s="531"/>
      <c r="AO1198" s="531"/>
      <c r="AR1198" s="761" t="s">
        <v>145</v>
      </c>
      <c r="AS1198" s="764"/>
    </row>
    <row r="1199" spans="1:45" s="520" customFormat="1" thickTop="1">
      <c r="A1199" s="51"/>
      <c r="B1199" s="51"/>
      <c r="C1199" s="3"/>
      <c r="D1199" s="3"/>
      <c r="E1199" s="51"/>
      <c r="F1199" s="51"/>
      <c r="G1199" s="51"/>
      <c r="H1199" s="51"/>
      <c r="I1199" s="51"/>
      <c r="J1199" s="51"/>
      <c r="K1199" s="51" t="s">
        <v>134</v>
      </c>
      <c r="L1199" s="51"/>
      <c r="M1199" s="51"/>
      <c r="N1199" s="51"/>
      <c r="O1199" s="52"/>
      <c r="P1199" s="51"/>
      <c r="Q1199" s="51"/>
      <c r="R1199" s="51"/>
      <c r="S1199" s="51"/>
      <c r="T1199" s="51"/>
      <c r="AR1199" s="51"/>
      <c r="AS1199" s="51"/>
    </row>
    <row r="1200" spans="1:45" s="520" customFormat="1" ht="12">
      <c r="A1200" s="51"/>
      <c r="B1200" s="51"/>
      <c r="C1200" s="51" t="s">
        <v>135</v>
      </c>
      <c r="D1200" s="37"/>
      <c r="E1200" s="51"/>
      <c r="F1200" s="51"/>
      <c r="G1200" s="51"/>
      <c r="H1200" s="51"/>
      <c r="I1200" s="51"/>
      <c r="J1200" s="51"/>
      <c r="K1200" s="51"/>
      <c r="L1200" s="51"/>
      <c r="M1200" s="51"/>
      <c r="N1200" s="51"/>
      <c r="O1200" s="52"/>
      <c r="P1200" s="51"/>
      <c r="Q1200" s="51"/>
      <c r="R1200" s="51"/>
      <c r="S1200" s="51"/>
      <c r="T1200" s="51"/>
      <c r="AR1200" s="51"/>
      <c r="AS1200" s="51"/>
    </row>
    <row r="1201" spans="1:45" s="520" customFormat="1" ht="12">
      <c r="A1201" s="51"/>
      <c r="B1201" s="51"/>
      <c r="C1201" s="51"/>
      <c r="D1201" s="37" t="s">
        <v>463</v>
      </c>
      <c r="E1201" s="51"/>
      <c r="F1201" s="51"/>
      <c r="G1201" s="51"/>
      <c r="H1201" s="51"/>
      <c r="I1201" s="51"/>
      <c r="J1201" s="51"/>
      <c r="K1201" s="51"/>
      <c r="L1201" s="51"/>
      <c r="M1201" s="51"/>
      <c r="N1201" s="51"/>
      <c r="O1201" s="52"/>
      <c r="P1201" s="51"/>
      <c r="Q1201" s="51"/>
      <c r="R1201" s="51"/>
      <c r="S1201" s="38"/>
      <c r="T1201" s="38"/>
      <c r="AR1201" s="51"/>
      <c r="AS1201" s="51"/>
    </row>
    <row r="1202" spans="1:45" s="3" customFormat="1" thickBot="1">
      <c r="A1202" s="531"/>
      <c r="O1202" s="107"/>
      <c r="AR1202" s="531"/>
    </row>
    <row r="1203" spans="1:45" s="520" customFormat="1" ht="12" thickTop="1">
      <c r="A1203" s="51"/>
      <c r="B1203" s="41"/>
      <c r="C1203" s="51"/>
      <c r="E1203" s="42" t="s">
        <v>138</v>
      </c>
      <c r="F1203" s="42" t="s">
        <v>139</v>
      </c>
      <c r="G1203" s="51"/>
      <c r="H1203" s="51"/>
      <c r="I1203" s="51"/>
      <c r="J1203" s="51"/>
      <c r="K1203" s="51" t="s">
        <v>140</v>
      </c>
      <c r="L1203" s="51"/>
      <c r="M1203" s="51"/>
      <c r="N1203" s="51"/>
      <c r="O1203" s="52"/>
      <c r="P1203" s="51"/>
      <c r="Q1203" s="51"/>
      <c r="R1203" s="51"/>
      <c r="S1203" s="51"/>
      <c r="T1203" s="41"/>
      <c r="AG1203" s="521" t="s">
        <v>268</v>
      </c>
      <c r="AH1203" s="521" t="s">
        <v>269</v>
      </c>
      <c r="AI1203" s="521" t="s">
        <v>270</v>
      </c>
      <c r="AJ1203" s="521" t="s">
        <v>271</v>
      </c>
      <c r="AK1203" s="521" t="s">
        <v>272</v>
      </c>
      <c r="AM1203" s="745" t="s">
        <v>281</v>
      </c>
      <c r="AN1203" s="746" t="s">
        <v>282</v>
      </c>
      <c r="AO1203" s="522" t="s">
        <v>278</v>
      </c>
      <c r="AR1203" s="51"/>
      <c r="AS1203" s="42" t="s">
        <v>139</v>
      </c>
    </row>
    <row r="1204" spans="1:45" s="520" customFormat="1" ht="12" customHeight="1">
      <c r="A1204" s="747">
        <v>7</v>
      </c>
      <c r="B1204" s="523" t="s">
        <v>141</v>
      </c>
      <c r="C1204" s="748"/>
      <c r="D1204" s="749" t="s">
        <v>1266</v>
      </c>
      <c r="E1204" s="750">
        <f>IF(AND($A1204=0,$A$1="DIF"),0, ROUND(ROUND(($R1210*$S$2+($T1210*$T$2))/A1204,2)*$C$2,2))</f>
        <v>327.48</v>
      </c>
      <c r="F1204" s="751">
        <f>ROUND($A1204*$E1204,2)</f>
        <v>2292.36</v>
      </c>
      <c r="G1204" s="752" t="s">
        <v>142</v>
      </c>
      <c r="H1204" s="753"/>
      <c r="I1204" s="754"/>
      <c r="J1204" s="753"/>
      <c r="K1204" s="753" t="s">
        <v>3</v>
      </c>
      <c r="L1204" s="755" t="s">
        <v>143</v>
      </c>
      <c r="M1204" s="755"/>
      <c r="N1204" s="755"/>
      <c r="O1204" s="755"/>
      <c r="P1204" s="755"/>
      <c r="Q1204" s="1058" t="s">
        <v>3717</v>
      </c>
      <c r="T1204" s="756" t="str">
        <f>IF(AND($R1210=0,$T1210=0),"0.00","mu :" &amp; ROUND($F1204/$C$2/($R1210+$T1210*$D$9),2))</f>
        <v>mu :1.23</v>
      </c>
      <c r="W1204" s="524"/>
      <c r="AG1204" s="481">
        <f>IF($E1204=0,0,ROUND($R1210*$S$2*$C$2/$A1204,2))</f>
        <v>295.52</v>
      </c>
      <c r="AH1204" s="481">
        <f>$AG1204*$A1204</f>
        <v>2068.64</v>
      </c>
      <c r="AI1204" s="525">
        <f>$E1204-$AG1204</f>
        <v>31.960000000000036</v>
      </c>
      <c r="AJ1204" s="525">
        <f>$A1204*$AI1204</f>
        <v>223.72000000000025</v>
      </c>
      <c r="AK1204" s="526">
        <f>ROUND(($AG1204+$AI1204)*$A1204,2)</f>
        <v>2292.36</v>
      </c>
      <c r="AM1204" s="527">
        <f>ROUND(R1210,2)</f>
        <v>1680</v>
      </c>
      <c r="AN1204" s="528">
        <f>ROUND(T1210,2)</f>
        <v>6.62</v>
      </c>
      <c r="AO1204" s="529">
        <f>ROUND(AM1204+AN1204,2)*A1204</f>
        <v>11806.34</v>
      </c>
      <c r="AR1204" s="747">
        <v>7</v>
      </c>
      <c r="AS1204" s="751">
        <v>2317.21</v>
      </c>
    </row>
    <row r="1205" spans="1:45" s="520" customFormat="1" ht="13.2">
      <c r="A1205" s="748"/>
      <c r="B1205"/>
      <c r="C1205" s="748"/>
      <c r="D1205" s="749" t="s">
        <v>1267</v>
      </c>
      <c r="F1205" s="753"/>
      <c r="G1205" s="3"/>
      <c r="H1205" s="753"/>
      <c r="I1205" s="754"/>
      <c r="J1205" s="753"/>
      <c r="K1205" s="753" t="s">
        <v>144</v>
      </c>
      <c r="L1205" s="753"/>
      <c r="M1205" s="753"/>
      <c r="N1205" s="753"/>
      <c r="O1205" s="753"/>
      <c r="P1205" s="753"/>
      <c r="Q1205" s="51"/>
      <c r="R1205" s="530"/>
      <c r="S1205" s="757"/>
      <c r="T1205" s="753"/>
      <c r="AR1205" s="748"/>
      <c r="AS1205" s="753"/>
    </row>
    <row r="1206" spans="1:45" s="901" customFormat="1" ht="13.2">
      <c r="A1206">
        <v>7</v>
      </c>
      <c r="B1206" s="901" t="s">
        <v>141</v>
      </c>
      <c r="D1206" s="901" t="s">
        <v>3719</v>
      </c>
      <c r="F1206" s="1054" t="s">
        <v>3718</v>
      </c>
      <c r="G1206" s="941" t="s">
        <v>2843</v>
      </c>
      <c r="H1206" s="942">
        <v>510</v>
      </c>
      <c r="I1206" s="901" t="s">
        <v>2736</v>
      </c>
      <c r="J1206" s="901" t="s">
        <v>2844</v>
      </c>
      <c r="K1206" s="901" t="s">
        <v>2845</v>
      </c>
      <c r="O1206" s="943">
        <v>2</v>
      </c>
      <c r="P1206" s="944">
        <v>36880</v>
      </c>
      <c r="Q1206" s="945">
        <v>225</v>
      </c>
      <c r="R1206" s="946">
        <f>$A1206*Q1206</f>
        <v>1575</v>
      </c>
      <c r="S1206" s="945">
        <v>0.5</v>
      </c>
      <c r="T1206" s="947">
        <f>$A1206*S1206*$T$1</f>
        <v>3.15</v>
      </c>
      <c r="AR1206">
        <v>7</v>
      </c>
      <c r="AS1206" s="1054" t="s">
        <v>3718</v>
      </c>
    </row>
    <row r="1207" spans="1:45" s="901" customFormat="1" ht="13.2">
      <c r="A1207">
        <v>7</v>
      </c>
      <c r="B1207" s="901" t="s">
        <v>141</v>
      </c>
      <c r="D1207" s="901" t="s">
        <v>3720</v>
      </c>
      <c r="G1207" s="941" t="s">
        <v>3721</v>
      </c>
      <c r="H1207" s="942">
        <v>501</v>
      </c>
      <c r="I1207" s="901" t="s">
        <v>2607</v>
      </c>
      <c r="K1207" s="901" t="s">
        <v>3722</v>
      </c>
      <c r="O1207" s="943">
        <v>1</v>
      </c>
      <c r="P1207" s="944">
        <v>38136</v>
      </c>
      <c r="Q1207" s="945">
        <v>10</v>
      </c>
      <c r="R1207" s="946">
        <f>$A1207*Q1207</f>
        <v>70</v>
      </c>
      <c r="S1207" s="945">
        <v>0.5</v>
      </c>
      <c r="T1207" s="947">
        <f>$A1207*S1207*$T$1</f>
        <v>3.15</v>
      </c>
      <c r="AR1207">
        <v>7</v>
      </c>
    </row>
    <row r="1208" spans="1:45" s="901" customFormat="1" ht="13.2">
      <c r="A1208" s="116">
        <v>7</v>
      </c>
      <c r="B1208" s="901" t="s">
        <v>141</v>
      </c>
      <c r="D1208" s="901" t="s">
        <v>2745</v>
      </c>
      <c r="G1208" s="941" t="s">
        <v>2746</v>
      </c>
      <c r="H1208" s="942">
        <v>875</v>
      </c>
      <c r="I1208" s="901" t="s">
        <v>2607</v>
      </c>
      <c r="K1208" s="901" t="s">
        <v>2747</v>
      </c>
      <c r="O1208" s="943">
        <v>3</v>
      </c>
      <c r="P1208" s="944">
        <v>34820</v>
      </c>
      <c r="Q1208" s="945">
        <v>5</v>
      </c>
      <c r="R1208" s="946">
        <f>$A1208*Q1208</f>
        <v>35</v>
      </c>
      <c r="S1208" s="945">
        <v>0.05</v>
      </c>
      <c r="T1208" s="947">
        <f>$A1208*S1208*$T$1</f>
        <v>0.31500000000000006</v>
      </c>
      <c r="AR1208" s="116">
        <v>7</v>
      </c>
    </row>
    <row r="1209" spans="1:45" s="520" customFormat="1" ht="12">
      <c r="A1209" s="758"/>
      <c r="B1209" s="758"/>
      <c r="C1209" s="758"/>
      <c r="D1209" s="758"/>
      <c r="E1209" s="758"/>
      <c r="F1209" s="753"/>
      <c r="G1209" s="758"/>
      <c r="H1209" s="758"/>
      <c r="I1209" s="519"/>
      <c r="J1209" s="758"/>
      <c r="K1209" s="758"/>
      <c r="L1209" s="758"/>
      <c r="M1209" s="758"/>
      <c r="N1209" s="758"/>
      <c r="O1209" s="758"/>
      <c r="P1209" s="758"/>
      <c r="Q1209" s="519"/>
      <c r="R1209" s="759">
        <f>$A1209*Q1209</f>
        <v>0</v>
      </c>
      <c r="S1209" s="519"/>
      <c r="T1209" s="760">
        <f>$A1209*S1209*$T$1</f>
        <v>0</v>
      </c>
      <c r="AR1209" s="758"/>
      <c r="AS1209" s="753"/>
    </row>
    <row r="1210" spans="1:45" s="520" customFormat="1" ht="12.6" thickBot="1">
      <c r="A1210" s="761" t="s">
        <v>145</v>
      </c>
      <c r="B1210" s="762">
        <f>(R1209+T1209)</f>
        <v>0</v>
      </c>
      <c r="C1210" s="763"/>
      <c r="D1210" s="763"/>
      <c r="E1210" s="763"/>
      <c r="F1210" s="764"/>
      <c r="G1210" s="763" t="s">
        <v>146</v>
      </c>
      <c r="H1210" s="763"/>
      <c r="I1210" s="765"/>
      <c r="J1210" s="763"/>
      <c r="K1210" s="763" t="s">
        <v>3</v>
      </c>
      <c r="L1210" s="766" t="s">
        <v>143</v>
      </c>
      <c r="M1210" s="766"/>
      <c r="N1210" s="766"/>
      <c r="O1210" s="766"/>
      <c r="P1210" s="766"/>
      <c r="Q1210" s="767"/>
      <c r="R1210" s="768">
        <f>SUM(R1205:R1209)</f>
        <v>1680</v>
      </c>
      <c r="S1210" s="763"/>
      <c r="T1210" s="768">
        <f>SUM(T1205:T1209)</f>
        <v>6.6150000000000002</v>
      </c>
      <c r="U1210" s="531"/>
      <c r="V1210" s="531"/>
      <c r="W1210" s="531"/>
      <c r="X1210" s="531"/>
      <c r="Y1210" s="531"/>
      <c r="Z1210" s="531"/>
      <c r="AA1210" s="531"/>
      <c r="AB1210" s="531"/>
      <c r="AC1210" s="531"/>
      <c r="AD1210" s="531"/>
      <c r="AE1210" s="531"/>
      <c r="AF1210" s="531"/>
      <c r="AG1210" s="531"/>
      <c r="AH1210" s="531"/>
      <c r="AI1210" s="531"/>
      <c r="AJ1210" s="531"/>
      <c r="AK1210" s="531"/>
      <c r="AL1210" s="531"/>
      <c r="AM1210" s="531"/>
      <c r="AN1210" s="531"/>
      <c r="AO1210" s="531"/>
      <c r="AR1210" s="761" t="s">
        <v>145</v>
      </c>
      <c r="AS1210" s="764"/>
    </row>
    <row r="1211" spans="1:45" s="520" customFormat="1" ht="12" thickTop="1">
      <c r="A1211" s="51"/>
      <c r="B1211" s="41"/>
      <c r="C1211" s="51"/>
      <c r="E1211" s="42" t="s">
        <v>138</v>
      </c>
      <c r="F1211" s="42" t="s">
        <v>139</v>
      </c>
      <c r="G1211" s="51"/>
      <c r="H1211" s="51"/>
      <c r="I1211" s="51"/>
      <c r="J1211" s="51"/>
      <c r="K1211" s="51" t="s">
        <v>140</v>
      </c>
      <c r="L1211" s="51"/>
      <c r="M1211" s="51"/>
      <c r="N1211" s="51"/>
      <c r="O1211" s="52"/>
      <c r="P1211" s="51"/>
      <c r="Q1211" s="51"/>
      <c r="R1211" s="51"/>
      <c r="S1211" s="51"/>
      <c r="T1211" s="41"/>
      <c r="AG1211" s="521" t="s">
        <v>268</v>
      </c>
      <c r="AH1211" s="521" t="s">
        <v>269</v>
      </c>
      <c r="AI1211" s="521" t="s">
        <v>270</v>
      </c>
      <c r="AJ1211" s="521" t="s">
        <v>271</v>
      </c>
      <c r="AK1211" s="521" t="s">
        <v>272</v>
      </c>
      <c r="AM1211" s="745" t="s">
        <v>281</v>
      </c>
      <c r="AN1211" s="746" t="s">
        <v>282</v>
      </c>
      <c r="AO1211" s="522" t="s">
        <v>278</v>
      </c>
      <c r="AR1211" s="51"/>
      <c r="AS1211" s="42" t="s">
        <v>139</v>
      </c>
    </row>
    <row r="1212" spans="1:45" s="520" customFormat="1" ht="12" customHeight="1">
      <c r="A1212" s="747">
        <v>2</v>
      </c>
      <c r="B1212" s="523" t="s">
        <v>141</v>
      </c>
      <c r="C1212" s="748"/>
      <c r="D1212" s="749" t="s">
        <v>1268</v>
      </c>
      <c r="E1212" s="750">
        <f>IF(AND($A1212=0,$A$1="DIF"),0, ROUND(ROUND(($R1218*$S$2+($T1218*$T$2))/A1212,2)*$C$2,2))</f>
        <v>496.61</v>
      </c>
      <c r="F1212" s="751">
        <f>ROUND($A1212*$E1212,2)</f>
        <v>993.22</v>
      </c>
      <c r="G1212" s="752" t="s">
        <v>142</v>
      </c>
      <c r="H1212" s="753"/>
      <c r="I1212" s="754"/>
      <c r="J1212" s="753"/>
      <c r="K1212" s="753" t="s">
        <v>3</v>
      </c>
      <c r="L1212" s="755" t="s">
        <v>143</v>
      </c>
      <c r="M1212" s="755"/>
      <c r="N1212" s="755"/>
      <c r="O1212" s="755"/>
      <c r="P1212" s="755"/>
      <c r="Q1212" s="1058" t="s">
        <v>3717</v>
      </c>
      <c r="T1212" s="756" t="str">
        <f>IF(AND($R1218=0,$T1218=0),"0.00","mu :" &amp; ROUND($F1212/$C$2/($R1218+$T1218*$D$9),2))</f>
        <v>mu :1.23</v>
      </c>
      <c r="W1212" s="524"/>
      <c r="AG1212" s="481">
        <f>IF($E1212=0,0,ROUND($R1218*$S$2*$C$2/$A1212,2))</f>
        <v>449.44</v>
      </c>
      <c r="AH1212" s="481">
        <f>$AG1212*$A1212</f>
        <v>898.88</v>
      </c>
      <c r="AI1212" s="525">
        <f>$E1212-$AG1212</f>
        <v>47.170000000000016</v>
      </c>
      <c r="AJ1212" s="525">
        <f>$A1212*$AI1212</f>
        <v>94.340000000000032</v>
      </c>
      <c r="AK1212" s="526">
        <f>ROUND(($AG1212+$AI1212)*$A1212,2)</f>
        <v>993.22</v>
      </c>
      <c r="AM1212" s="527">
        <f>ROUND(R1218,2)</f>
        <v>730</v>
      </c>
      <c r="AN1212" s="528">
        <f>ROUND(T1218,2)</f>
        <v>2.79</v>
      </c>
      <c r="AO1212" s="529">
        <f>ROUND(AM1212+AN1212,2)*A1212</f>
        <v>1465.58</v>
      </c>
      <c r="AR1212" s="747">
        <v>2</v>
      </c>
      <c r="AS1212" s="751">
        <v>1003.7</v>
      </c>
    </row>
    <row r="1213" spans="1:45" s="520" customFormat="1" ht="13.2">
      <c r="A1213" s="748"/>
      <c r="B1213"/>
      <c r="C1213" s="748"/>
      <c r="D1213" s="749" t="s">
        <v>1233</v>
      </c>
      <c r="F1213" s="753"/>
      <c r="G1213" s="3"/>
      <c r="H1213" s="753"/>
      <c r="I1213" s="754"/>
      <c r="J1213" s="753"/>
      <c r="K1213" s="753" t="s">
        <v>144</v>
      </c>
      <c r="L1213" s="753"/>
      <c r="M1213" s="753"/>
      <c r="N1213" s="753"/>
      <c r="O1213" s="753"/>
      <c r="P1213" s="753"/>
      <c r="Q1213" s="51"/>
      <c r="R1213" s="530"/>
      <c r="S1213" s="757"/>
      <c r="T1213" s="753"/>
      <c r="AR1213" s="748"/>
      <c r="AS1213" s="753"/>
    </row>
    <row r="1214" spans="1:45" s="901" customFormat="1" ht="13.2">
      <c r="A1214">
        <v>2</v>
      </c>
      <c r="B1214" s="901" t="s">
        <v>141</v>
      </c>
      <c r="D1214" s="901" t="s">
        <v>2734</v>
      </c>
      <c r="F1214" s="1054" t="s">
        <v>3718</v>
      </c>
      <c r="G1214" s="941" t="s">
        <v>2735</v>
      </c>
      <c r="H1214" s="942">
        <v>510</v>
      </c>
      <c r="I1214" s="901" t="s">
        <v>2736</v>
      </c>
      <c r="J1214" s="901" t="s">
        <v>2737</v>
      </c>
      <c r="K1214" s="901" t="s">
        <v>2738</v>
      </c>
      <c r="O1214" s="943">
        <v>2</v>
      </c>
      <c r="P1214" s="944">
        <v>36880</v>
      </c>
      <c r="Q1214" s="945">
        <v>350</v>
      </c>
      <c r="R1214" s="946">
        <f>$A1214*Q1214</f>
        <v>700</v>
      </c>
      <c r="S1214" s="945">
        <v>1</v>
      </c>
      <c r="T1214" s="947">
        <f>$A1214*S1214*$T$1</f>
        <v>1.8</v>
      </c>
      <c r="AR1214">
        <v>2</v>
      </c>
      <c r="AS1214" s="1054" t="s">
        <v>3718</v>
      </c>
    </row>
    <row r="1215" spans="1:45" s="901" customFormat="1" ht="13.2">
      <c r="A1215">
        <v>2</v>
      </c>
      <c r="B1215" s="901" t="s">
        <v>141</v>
      </c>
      <c r="D1215" s="901" t="s">
        <v>3720</v>
      </c>
      <c r="G1215" s="941" t="s">
        <v>3721</v>
      </c>
      <c r="H1215" s="942">
        <v>501</v>
      </c>
      <c r="I1215" s="901" t="s">
        <v>2607</v>
      </c>
      <c r="K1215" s="901" t="s">
        <v>3722</v>
      </c>
      <c r="O1215" s="943">
        <v>1</v>
      </c>
      <c r="P1215" s="944">
        <v>38136</v>
      </c>
      <c r="Q1215" s="945">
        <v>10</v>
      </c>
      <c r="R1215" s="946">
        <f>$A1215*Q1215</f>
        <v>20</v>
      </c>
      <c r="S1215" s="945">
        <v>0.5</v>
      </c>
      <c r="T1215" s="947">
        <f>$A1215*S1215*$T$1</f>
        <v>0.9</v>
      </c>
      <c r="AR1215">
        <v>2</v>
      </c>
    </row>
    <row r="1216" spans="1:45" s="901" customFormat="1" ht="13.2">
      <c r="A1216">
        <v>2</v>
      </c>
      <c r="B1216" s="901" t="s">
        <v>141</v>
      </c>
      <c r="D1216" s="901" t="s">
        <v>2745</v>
      </c>
      <c r="G1216" s="941" t="s">
        <v>2746</v>
      </c>
      <c r="H1216" s="942">
        <v>875</v>
      </c>
      <c r="I1216" s="901" t="s">
        <v>2607</v>
      </c>
      <c r="K1216" s="901" t="s">
        <v>2747</v>
      </c>
      <c r="O1216" s="943">
        <v>3</v>
      </c>
      <c r="P1216" s="944">
        <v>34820</v>
      </c>
      <c r="Q1216" s="945">
        <v>5</v>
      </c>
      <c r="R1216" s="946">
        <f>$A1216*Q1216</f>
        <v>10</v>
      </c>
      <c r="S1216" s="945">
        <v>0.05</v>
      </c>
      <c r="T1216" s="947">
        <f>$A1216*S1216*$T$1</f>
        <v>9.0000000000000011E-2</v>
      </c>
      <c r="AR1216">
        <v>2</v>
      </c>
    </row>
    <row r="1217" spans="1:45" s="520" customFormat="1" ht="12">
      <c r="A1217" s="758"/>
      <c r="B1217" s="758"/>
      <c r="C1217" s="758"/>
      <c r="D1217" s="758"/>
      <c r="E1217" s="758"/>
      <c r="F1217" s="753"/>
      <c r="G1217" s="758"/>
      <c r="H1217" s="758"/>
      <c r="I1217" s="519"/>
      <c r="J1217" s="758"/>
      <c r="K1217" s="758"/>
      <c r="L1217" s="758"/>
      <c r="M1217" s="758"/>
      <c r="N1217" s="758"/>
      <c r="O1217" s="758"/>
      <c r="P1217" s="758"/>
      <c r="Q1217" s="519"/>
      <c r="R1217" s="759">
        <f>$A1217*Q1217</f>
        <v>0</v>
      </c>
      <c r="S1217" s="519"/>
      <c r="T1217" s="760">
        <f>$A1217*S1217*$T$1</f>
        <v>0</v>
      </c>
      <c r="AR1217" s="758"/>
      <c r="AS1217" s="753"/>
    </row>
    <row r="1218" spans="1:45" s="520" customFormat="1" ht="12.6" thickBot="1">
      <c r="A1218" s="761" t="s">
        <v>145</v>
      </c>
      <c r="B1218" s="762">
        <f>(R1217+T1217)</f>
        <v>0</v>
      </c>
      <c r="C1218" s="763"/>
      <c r="D1218" s="763"/>
      <c r="E1218" s="763"/>
      <c r="F1218" s="764"/>
      <c r="G1218" s="763" t="s">
        <v>146</v>
      </c>
      <c r="H1218" s="763"/>
      <c r="I1218" s="765"/>
      <c r="J1218" s="763"/>
      <c r="K1218" s="763" t="s">
        <v>3</v>
      </c>
      <c r="L1218" s="766" t="s">
        <v>143</v>
      </c>
      <c r="M1218" s="766"/>
      <c r="N1218" s="766"/>
      <c r="O1218" s="766"/>
      <c r="P1218" s="766"/>
      <c r="Q1218" s="767"/>
      <c r="R1218" s="768">
        <f>SUM(R1213:R1217)</f>
        <v>730</v>
      </c>
      <c r="S1218" s="763"/>
      <c r="T1218" s="768">
        <f>SUM(T1213:T1217)</f>
        <v>2.79</v>
      </c>
      <c r="U1218" s="531"/>
      <c r="V1218" s="531"/>
      <c r="W1218" s="531"/>
      <c r="X1218" s="531"/>
      <c r="Y1218" s="531"/>
      <c r="Z1218" s="531"/>
      <c r="AA1218" s="531"/>
      <c r="AB1218" s="531"/>
      <c r="AC1218" s="531"/>
      <c r="AD1218" s="531"/>
      <c r="AE1218" s="531"/>
      <c r="AF1218" s="531"/>
      <c r="AG1218" s="531"/>
      <c r="AH1218" s="531"/>
      <c r="AI1218" s="531"/>
      <c r="AJ1218" s="531"/>
      <c r="AK1218" s="531"/>
      <c r="AL1218" s="531"/>
      <c r="AM1218" s="531"/>
      <c r="AN1218" s="531"/>
      <c r="AO1218" s="531"/>
      <c r="AR1218" s="761" t="s">
        <v>145</v>
      </c>
      <c r="AS1218" s="764"/>
    </row>
    <row r="1219" spans="1:45" s="520" customFormat="1" ht="12" thickTop="1">
      <c r="A1219" s="51"/>
      <c r="B1219" s="41"/>
      <c r="C1219" s="51"/>
      <c r="E1219" s="42" t="s">
        <v>138</v>
      </c>
      <c r="F1219" s="42" t="s">
        <v>139</v>
      </c>
      <c r="G1219" s="51"/>
      <c r="H1219" s="51"/>
      <c r="I1219" s="51"/>
      <c r="J1219" s="51"/>
      <c r="K1219" s="51" t="s">
        <v>140</v>
      </c>
      <c r="L1219" s="51"/>
      <c r="M1219" s="51"/>
      <c r="N1219" s="51"/>
      <c r="O1219" s="52"/>
      <c r="P1219" s="51"/>
      <c r="Q1219" s="51"/>
      <c r="R1219" s="51"/>
      <c r="S1219" s="51"/>
      <c r="T1219" s="41"/>
      <c r="AG1219" s="521" t="s">
        <v>268</v>
      </c>
      <c r="AH1219" s="521" t="s">
        <v>269</v>
      </c>
      <c r="AI1219" s="521" t="s">
        <v>270</v>
      </c>
      <c r="AJ1219" s="521" t="s">
        <v>271</v>
      </c>
      <c r="AK1219" s="521" t="s">
        <v>272</v>
      </c>
      <c r="AM1219" s="745" t="s">
        <v>281</v>
      </c>
      <c r="AN1219" s="746" t="s">
        <v>282</v>
      </c>
      <c r="AO1219" s="522" t="s">
        <v>278</v>
      </c>
      <c r="AR1219" s="51"/>
      <c r="AS1219" s="42" t="s">
        <v>139</v>
      </c>
    </row>
    <row r="1220" spans="1:45" s="520" customFormat="1" ht="12" customHeight="1">
      <c r="A1220" s="747">
        <v>1</v>
      </c>
      <c r="B1220" s="523" t="s">
        <v>141</v>
      </c>
      <c r="C1220" s="748"/>
      <c r="D1220" s="749" t="s">
        <v>1269</v>
      </c>
      <c r="E1220" s="750">
        <f ca="1">IF(AND($A1220=0,$A$1="DIF"),0, ROUND(ROUND(($R1225*$S$2+($T1225*$T$2))/A1220,2)*$C$2,2))</f>
        <v>48.45</v>
      </c>
      <c r="F1220" s="751">
        <f ca="1">ROUND($A1220*$E1220,2)</f>
        <v>48.45</v>
      </c>
      <c r="G1220" s="752" t="s">
        <v>142</v>
      </c>
      <c r="H1220" s="753"/>
      <c r="I1220" s="754"/>
      <c r="J1220" s="753"/>
      <c r="K1220" s="753" t="s">
        <v>3</v>
      </c>
      <c r="L1220" s="755" t="s">
        <v>143</v>
      </c>
      <c r="M1220" s="755"/>
      <c r="N1220" s="755"/>
      <c r="O1220" s="755"/>
      <c r="P1220" s="755"/>
      <c r="Q1220" s="51"/>
      <c r="T1220" s="756" t="str">
        <f ca="1">IF(AND($R1225=0,$T1225=0),"0.00","mu :" &amp; ROUND($F1220/$C$2/($R1225+$T1225*$D$9),2))</f>
        <v>mu :1.23</v>
      </c>
      <c r="W1220" s="524"/>
      <c r="AG1220" s="481">
        <f ca="1">IF($E1220=0,0,ROUND($R1225*$S$2*$C$2/$A1220,2))</f>
        <v>31.55</v>
      </c>
      <c r="AH1220" s="481">
        <f ca="1">$AG1220*$A1220</f>
        <v>31.55</v>
      </c>
      <c r="AI1220" s="525">
        <f ca="1">$E1220-$AG1220</f>
        <v>16.900000000000002</v>
      </c>
      <c r="AJ1220" s="525">
        <f ca="1">$A1220*$AI1220</f>
        <v>16.900000000000002</v>
      </c>
      <c r="AK1220" s="526">
        <f ca="1">ROUND(($AG1220+$AI1220)*$A1220,2)</f>
        <v>48.45</v>
      </c>
      <c r="AM1220" s="527">
        <f ca="1">ROUND(R1225,2)</f>
        <v>25.62</v>
      </c>
      <c r="AN1220" s="528">
        <f ca="1">ROUND(T1225,2)</f>
        <v>0.5</v>
      </c>
      <c r="AO1220" s="529">
        <f ca="1">ROUND(AM1220+AN1220,2)*A1220</f>
        <v>26.12</v>
      </c>
      <c r="AR1220" s="747">
        <v>1</v>
      </c>
      <c r="AS1220" s="751">
        <v>50.14</v>
      </c>
    </row>
    <row r="1221" spans="1:45" s="520" customFormat="1" ht="13.2">
      <c r="A1221" s="748"/>
      <c r="B1221"/>
      <c r="C1221" s="748"/>
      <c r="D1221" s="749" t="s">
        <v>1270</v>
      </c>
      <c r="F1221" s="753"/>
      <c r="G1221" s="3"/>
      <c r="H1221" s="753"/>
      <c r="I1221" s="754"/>
      <c r="J1221" s="753"/>
      <c r="K1221" s="753" t="s">
        <v>144</v>
      </c>
      <c r="L1221" s="753"/>
      <c r="M1221" s="753"/>
      <c r="N1221" s="753"/>
      <c r="O1221" s="753"/>
      <c r="P1221" s="753"/>
      <c r="Q1221" s="51"/>
      <c r="R1221" s="530"/>
      <c r="S1221" s="757"/>
      <c r="T1221" s="753"/>
      <c r="AR1221" s="748"/>
      <c r="AS1221" s="753"/>
    </row>
    <row r="1222" spans="1:45" s="520" customFormat="1" ht="12">
      <c r="A1222" s="51"/>
      <c r="B1222" s="758"/>
      <c r="C1222" s="753" t="s">
        <v>2597</v>
      </c>
      <c r="D1222" s="753" t="str">
        <f ca="1">CELL("Address",Elec_Rates!$D$192)</f>
        <v>[E25_0062_Quintano_Foods_Elec_ELV_As_Awarded.xlsx]Elec_Rates!$D$192</v>
      </c>
      <c r="E1222" s="758"/>
      <c r="F1222" s="753"/>
      <c r="G1222" s="1049" t="s">
        <v>2598</v>
      </c>
      <c r="H1222" s="1050"/>
      <c r="I1222" s="1051"/>
      <c r="J1222" s="1050"/>
      <c r="K1222" s="1050"/>
      <c r="L1222" s="758"/>
      <c r="M1222" s="758"/>
      <c r="N1222" s="758"/>
      <c r="O1222" s="758"/>
      <c r="P1222" s="758"/>
      <c r="Q1222" s="519"/>
      <c r="R1222" s="759"/>
      <c r="S1222" s="519"/>
      <c r="T1222" s="760"/>
      <c r="AR1222" s="51"/>
      <c r="AS1222" s="753"/>
    </row>
    <row r="1223" spans="1:45" s="520" customFormat="1" ht="11.4">
      <c r="A1223" s="51">
        <v>1</v>
      </c>
      <c r="B1223" s="519">
        <v>1</v>
      </c>
      <c r="C1223" s="519">
        <f>$A1223*$B1223</f>
        <v>1</v>
      </c>
      <c r="D1223" s="1048" t="str">
        <f>Elec_Rates!$D$192</f>
        <v>018# 1-Phase 25/32A Isolator</v>
      </c>
      <c r="E1223" s="1048"/>
      <c r="F1223" s="1048" t="s">
        <v>2733</v>
      </c>
      <c r="G1223" s="1050" t="s">
        <v>2600</v>
      </c>
      <c r="H1223" s="1050"/>
      <c r="I1223" s="1051"/>
      <c r="J1223" s="1050"/>
      <c r="K1223" s="1050"/>
      <c r="L1223" s="758"/>
      <c r="M1223" s="758"/>
      <c r="N1223" s="758"/>
      <c r="O1223" s="758"/>
      <c r="P1223" s="758"/>
      <c r="Q1223" s="1052">
        <f ca="1">$B1223*Elec_Rates!$R$192</f>
        <v>25.62</v>
      </c>
      <c r="R1223" s="759">
        <f ca="1">$A1223*Q1223</f>
        <v>25.62</v>
      </c>
      <c r="S1223" s="1052">
        <f ca="1">$B1223*Elec_Rates!$T$192</f>
        <v>0.5</v>
      </c>
      <c r="T1223" s="917">
        <f ca="1">$A1223*S1223</f>
        <v>0.5</v>
      </c>
      <c r="AR1223" s="51">
        <v>1</v>
      </c>
      <c r="AS1223" s="1048" t="s">
        <v>2733</v>
      </c>
    </row>
    <row r="1224" spans="1:45" s="520" customFormat="1" ht="12">
      <c r="A1224" s="758"/>
      <c r="B1224" s="758"/>
      <c r="C1224" s="758"/>
      <c r="D1224" s="758"/>
      <c r="E1224" s="758"/>
      <c r="F1224" s="753"/>
      <c r="G1224" s="758"/>
      <c r="H1224" s="758"/>
      <c r="I1224" s="519"/>
      <c r="J1224" s="758"/>
      <c r="K1224" s="758"/>
      <c r="L1224" s="758"/>
      <c r="M1224" s="758"/>
      <c r="N1224" s="758"/>
      <c r="O1224" s="758"/>
      <c r="P1224" s="758"/>
      <c r="Q1224" s="519"/>
      <c r="R1224" s="759">
        <f>$A1224*Q1224</f>
        <v>0</v>
      </c>
      <c r="S1224" s="519"/>
      <c r="T1224" s="760">
        <f>$A1224*S1224*$T$1</f>
        <v>0</v>
      </c>
      <c r="AR1224" s="758"/>
      <c r="AS1224" s="753"/>
    </row>
    <row r="1225" spans="1:45" s="520" customFormat="1" ht="12.6" thickBot="1">
      <c r="A1225" s="761" t="s">
        <v>145</v>
      </c>
      <c r="B1225" s="762">
        <f>(R1224+T1224)</f>
        <v>0</v>
      </c>
      <c r="C1225" s="763"/>
      <c r="D1225" s="763"/>
      <c r="E1225" s="763"/>
      <c r="F1225" s="764"/>
      <c r="G1225" s="763" t="s">
        <v>146</v>
      </c>
      <c r="H1225" s="763"/>
      <c r="I1225" s="765"/>
      <c r="J1225" s="763"/>
      <c r="K1225" s="763" t="s">
        <v>3</v>
      </c>
      <c r="L1225" s="766" t="s">
        <v>143</v>
      </c>
      <c r="M1225" s="766"/>
      <c r="N1225" s="766"/>
      <c r="O1225" s="766"/>
      <c r="P1225" s="766"/>
      <c r="Q1225" s="767"/>
      <c r="R1225" s="768">
        <f ca="1">SUM(R1221:R1224)</f>
        <v>25.62</v>
      </c>
      <c r="S1225" s="763"/>
      <c r="T1225" s="768">
        <f ca="1">SUM(T1221:T1224)</f>
        <v>0.5</v>
      </c>
      <c r="U1225" s="531"/>
      <c r="V1225" s="531"/>
      <c r="W1225" s="531"/>
      <c r="X1225" s="531"/>
      <c r="Y1225" s="531"/>
      <c r="Z1225" s="531"/>
      <c r="AA1225" s="531"/>
      <c r="AB1225" s="531"/>
      <c r="AC1225" s="531"/>
      <c r="AD1225" s="531"/>
      <c r="AE1225" s="531"/>
      <c r="AF1225" s="531"/>
      <c r="AG1225" s="531"/>
      <c r="AH1225" s="531"/>
      <c r="AI1225" s="531"/>
      <c r="AJ1225" s="531"/>
      <c r="AK1225" s="531"/>
      <c r="AL1225" s="531"/>
      <c r="AM1225" s="531"/>
      <c r="AN1225" s="531"/>
      <c r="AO1225" s="531"/>
      <c r="AR1225" s="761" t="s">
        <v>145</v>
      </c>
      <c r="AS1225" s="764"/>
    </row>
    <row r="1226" spans="1:45" s="520" customFormat="1" thickTop="1">
      <c r="A1226" s="51"/>
      <c r="B1226" s="51"/>
      <c r="C1226" s="3"/>
      <c r="D1226" s="3"/>
      <c r="E1226" s="51"/>
      <c r="F1226" s="51"/>
      <c r="G1226" s="51"/>
      <c r="H1226" s="51"/>
      <c r="I1226" s="51"/>
      <c r="J1226" s="51"/>
      <c r="K1226" s="51" t="s">
        <v>134</v>
      </c>
      <c r="L1226" s="51"/>
      <c r="M1226" s="51"/>
      <c r="N1226" s="51"/>
      <c r="O1226" s="52"/>
      <c r="P1226" s="51"/>
      <c r="Q1226" s="51"/>
      <c r="R1226" s="51"/>
      <c r="S1226" s="51"/>
      <c r="T1226" s="51"/>
      <c r="AR1226" s="51"/>
      <c r="AS1226" s="51"/>
    </row>
    <row r="1227" spans="1:45" s="520" customFormat="1" ht="12">
      <c r="A1227" s="51"/>
      <c r="B1227" s="51"/>
      <c r="C1227" s="51" t="s">
        <v>135</v>
      </c>
      <c r="D1227" s="37"/>
      <c r="E1227" s="51"/>
      <c r="F1227" s="51"/>
      <c r="G1227" s="51"/>
      <c r="H1227" s="51"/>
      <c r="I1227" s="51"/>
      <c r="J1227" s="51"/>
      <c r="K1227" s="51"/>
      <c r="L1227" s="51"/>
      <c r="M1227" s="51"/>
      <c r="N1227" s="51"/>
      <c r="O1227" s="52"/>
      <c r="P1227" s="51"/>
      <c r="Q1227" s="51"/>
      <c r="R1227" s="51"/>
      <c r="S1227" s="51"/>
      <c r="T1227" s="51"/>
      <c r="AR1227" s="51"/>
      <c r="AS1227" s="51"/>
    </row>
    <row r="1228" spans="1:45" s="520" customFormat="1" ht="39.9" customHeight="1">
      <c r="A1228" s="51"/>
      <c r="B1228" s="51"/>
      <c r="C1228" s="51"/>
      <c r="D1228" s="1453" t="s">
        <v>498</v>
      </c>
      <c r="E1228" s="1452"/>
      <c r="F1228" s="1452"/>
      <c r="G1228" s="1452"/>
      <c r="H1228" s="1452"/>
      <c r="I1228" s="1452"/>
      <c r="J1228" s="1452"/>
      <c r="K1228" s="1452"/>
      <c r="L1228" s="1452"/>
      <c r="M1228" s="1452"/>
      <c r="N1228" s="1452"/>
      <c r="O1228" s="1452"/>
      <c r="P1228" s="1452"/>
      <c r="Q1228" s="1452"/>
      <c r="R1228" s="1452"/>
      <c r="S1228" s="1452"/>
      <c r="T1228" s="1452"/>
      <c r="AR1228" s="51"/>
    </row>
    <row r="1229" spans="1:45" s="3" customFormat="1" thickBot="1">
      <c r="A1229" s="531"/>
      <c r="O1229" s="107"/>
      <c r="AR1229" s="531"/>
    </row>
    <row r="1230" spans="1:45" s="520" customFormat="1" thickTop="1">
      <c r="A1230" s="51"/>
      <c r="B1230" s="51"/>
      <c r="C1230" s="3"/>
      <c r="D1230" s="3"/>
      <c r="E1230" s="51"/>
      <c r="F1230" s="51"/>
      <c r="G1230" s="51"/>
      <c r="H1230" s="51"/>
      <c r="I1230" s="51"/>
      <c r="J1230" s="51"/>
      <c r="K1230" s="51" t="s">
        <v>134</v>
      </c>
      <c r="L1230" s="51"/>
      <c r="M1230" s="51"/>
      <c r="N1230" s="51"/>
      <c r="O1230" s="52"/>
      <c r="P1230" s="51"/>
      <c r="Q1230" s="51"/>
      <c r="R1230" s="51"/>
      <c r="S1230" s="51"/>
      <c r="T1230" s="51"/>
      <c r="AR1230" s="51"/>
      <c r="AS1230" s="51"/>
    </row>
    <row r="1231" spans="1:45" s="520" customFormat="1" ht="12">
      <c r="A1231" s="51"/>
      <c r="B1231" s="51"/>
      <c r="C1231" s="51" t="s">
        <v>135</v>
      </c>
      <c r="D1231" s="37"/>
      <c r="E1231" s="51"/>
      <c r="F1231" s="51"/>
      <c r="G1231" s="51"/>
      <c r="H1231" s="51"/>
      <c r="I1231" s="51"/>
      <c r="J1231" s="51"/>
      <c r="K1231" s="51"/>
      <c r="L1231" s="51"/>
      <c r="M1231" s="51"/>
      <c r="N1231" s="51"/>
      <c r="O1231" s="52"/>
      <c r="P1231" s="51"/>
      <c r="Q1231" s="51"/>
      <c r="R1231" s="51"/>
      <c r="S1231" s="51"/>
      <c r="T1231" s="51"/>
      <c r="AR1231" s="51"/>
      <c r="AS1231" s="51"/>
    </row>
    <row r="1232" spans="1:45" s="520" customFormat="1" ht="12">
      <c r="A1232" s="51"/>
      <c r="B1232" s="51"/>
      <c r="C1232" s="51"/>
      <c r="D1232" s="37" t="s">
        <v>570</v>
      </c>
      <c r="E1232" s="51"/>
      <c r="F1232" s="51"/>
      <c r="G1232" s="51"/>
      <c r="H1232" s="51"/>
      <c r="I1232" s="51"/>
      <c r="J1232" s="51"/>
      <c r="K1232" s="51"/>
      <c r="L1232" s="51"/>
      <c r="M1232" s="51"/>
      <c r="N1232" s="51"/>
      <c r="O1232" s="52"/>
      <c r="P1232" s="51"/>
      <c r="Q1232" s="51"/>
      <c r="R1232" s="51"/>
      <c r="S1232" s="38"/>
      <c r="T1232" s="38"/>
      <c r="AR1232" s="51"/>
      <c r="AS1232" s="51"/>
    </row>
    <row r="1233" spans="1:45" s="3" customFormat="1" thickBot="1">
      <c r="A1233" s="531"/>
      <c r="O1233" s="107"/>
      <c r="AR1233" s="531"/>
    </row>
    <row r="1234" spans="1:45" s="520" customFormat="1" ht="12" thickTop="1">
      <c r="A1234" s="51"/>
      <c r="B1234" s="41"/>
      <c r="C1234" s="51"/>
      <c r="E1234" s="42" t="s">
        <v>138</v>
      </c>
      <c r="F1234" s="42" t="s">
        <v>139</v>
      </c>
      <c r="G1234" s="51"/>
      <c r="H1234" s="51"/>
      <c r="I1234" s="51"/>
      <c r="J1234" s="51"/>
      <c r="K1234" s="51" t="s">
        <v>140</v>
      </c>
      <c r="L1234" s="51"/>
      <c r="M1234" s="51"/>
      <c r="N1234" s="51"/>
      <c r="O1234" s="52"/>
      <c r="P1234" s="51"/>
      <c r="Q1234" s="51"/>
      <c r="R1234" s="51"/>
      <c r="S1234" s="51"/>
      <c r="T1234" s="41"/>
      <c r="AG1234" s="521" t="s">
        <v>268</v>
      </c>
      <c r="AH1234" s="521" t="s">
        <v>269</v>
      </c>
      <c r="AI1234" s="521" t="s">
        <v>270</v>
      </c>
      <c r="AJ1234" s="521" t="s">
        <v>271</v>
      </c>
      <c r="AK1234" s="521" t="s">
        <v>272</v>
      </c>
      <c r="AM1234" s="745" t="s">
        <v>281</v>
      </c>
      <c r="AN1234" s="746" t="s">
        <v>282</v>
      </c>
      <c r="AO1234" s="522" t="s">
        <v>278</v>
      </c>
      <c r="AR1234" s="51"/>
      <c r="AS1234" s="42" t="s">
        <v>139</v>
      </c>
    </row>
    <row r="1235" spans="1:45" s="520" customFormat="1" ht="12" customHeight="1">
      <c r="A1235" s="747">
        <v>40</v>
      </c>
      <c r="B1235" s="523" t="s">
        <v>320</v>
      </c>
      <c r="C1235" s="748"/>
      <c r="D1235" s="749" t="s">
        <v>1271</v>
      </c>
      <c r="E1235" s="750">
        <f ca="1">IF(AND($A1235=0,$A$1="DIF"),0, ROUND(ROUND(($R1240*$S$2+($T1240*$T$2))/A1235,2)*$C$2,2))</f>
        <v>9.9499999999999993</v>
      </c>
      <c r="F1235" s="751">
        <f ca="1">ROUND($A1235*$E1235,2)</f>
        <v>398</v>
      </c>
      <c r="G1235" s="752" t="s">
        <v>142</v>
      </c>
      <c r="H1235" s="753"/>
      <c r="I1235" s="754"/>
      <c r="J1235" s="753"/>
      <c r="K1235" s="753" t="s">
        <v>3</v>
      </c>
      <c r="L1235" s="755" t="s">
        <v>143</v>
      </c>
      <c r="M1235" s="755"/>
      <c r="N1235" s="755"/>
      <c r="O1235" s="755"/>
      <c r="P1235" s="755"/>
      <c r="Q1235" s="51"/>
      <c r="T1235" s="756" t="str">
        <f ca="1">IF(AND($R1240=0,$T1240=0),"0.00","mu :" &amp; ROUND($F1235/$C$2/($R1240+$T1240*$D$9),2))</f>
        <v>mu :1.23</v>
      </c>
      <c r="W1235" s="524"/>
      <c r="AG1235" s="481">
        <f ca="1">IF($E1235=0,0,ROUND($R1240*$S$2*$C$2/$A1235,2))</f>
        <v>6.91</v>
      </c>
      <c r="AH1235" s="481">
        <f ca="1">$AG1235*$A1235</f>
        <v>276.39999999999998</v>
      </c>
      <c r="AI1235" s="525">
        <f ca="1">$E1235-$AG1235</f>
        <v>3.0399999999999991</v>
      </c>
      <c r="AJ1235" s="525">
        <f ca="1">$A1235*$AI1235</f>
        <v>121.59999999999997</v>
      </c>
      <c r="AK1235" s="526">
        <f ca="1">ROUND(($AG1235+$AI1235)*$A1235,2)</f>
        <v>398</v>
      </c>
      <c r="AM1235" s="527">
        <f ca="1">ROUND(R1240,2)</f>
        <v>224.4</v>
      </c>
      <c r="AN1235" s="528">
        <f ca="1">ROUND(T1240,2)</f>
        <v>3.6</v>
      </c>
      <c r="AO1235" s="529">
        <f ca="1">ROUND(AM1235+AN1235,2)*A1235</f>
        <v>9120</v>
      </c>
      <c r="AR1235" s="747">
        <v>40</v>
      </c>
      <c r="AS1235" s="751">
        <v>411.6</v>
      </c>
    </row>
    <row r="1236" spans="1:45" s="520" customFormat="1" ht="13.2">
      <c r="A1236" s="748"/>
      <c r="B1236"/>
      <c r="C1236" s="748"/>
      <c r="D1236" s="749" t="s">
        <v>1272</v>
      </c>
      <c r="F1236" s="753"/>
      <c r="G1236" s="3"/>
      <c r="H1236" s="753"/>
      <c r="I1236" s="754"/>
      <c r="J1236" s="753"/>
      <c r="K1236" s="753" t="s">
        <v>144</v>
      </c>
      <c r="L1236" s="753"/>
      <c r="M1236" s="753"/>
      <c r="N1236" s="753"/>
      <c r="O1236" s="753"/>
      <c r="P1236" s="753"/>
      <c r="Q1236" s="51"/>
      <c r="R1236" s="530"/>
      <c r="S1236" s="757"/>
      <c r="T1236" s="753"/>
      <c r="AR1236" s="748"/>
      <c r="AS1236" s="753"/>
    </row>
    <row r="1237" spans="1:45" s="886" customFormat="1" ht="13.2">
      <c r="A1237"/>
      <c r="B1237" s="910"/>
      <c r="C1237" s="910" t="s">
        <v>2597</v>
      </c>
      <c r="D1237" s="910" t="str">
        <f ca="1">CELL("Address",Elec_Rates!D$437)</f>
        <v>[E25_0062_Quintano_Foods_Elec_ELV_As_Awarded.xlsx]Elec_Rates!$D$437</v>
      </c>
      <c r="E1237" s="911"/>
      <c r="F1237" s="911"/>
      <c r="G1237" s="912" t="s">
        <v>2598</v>
      </c>
      <c r="H1237" s="912"/>
      <c r="I1237" s="912"/>
      <c r="J1237" s="912"/>
      <c r="K1237" s="913"/>
      <c r="L1237" s="911"/>
      <c r="M1237" s="911"/>
      <c r="N1237" s="911"/>
      <c r="O1237" s="914"/>
      <c r="P1237" s="911"/>
      <c r="Q1237" s="915"/>
      <c r="R1237" s="916"/>
      <c r="S1237" s="915"/>
      <c r="T1237" s="917"/>
      <c r="U1237" s="918"/>
      <c r="AR1237"/>
      <c r="AS1237" s="911"/>
    </row>
    <row r="1238" spans="1:45" s="886" customFormat="1" ht="11.4">
      <c r="A1238" s="919">
        <v>40</v>
      </c>
      <c r="B1238" s="920">
        <v>1</v>
      </c>
      <c r="C1238" s="920">
        <f>$A1238*$B1238</f>
        <v>40</v>
      </c>
      <c r="D1238" s="921" t="str">
        <f>Elec_Rates!$D$437</f>
        <v>042# 5 x 6mm2 XLPE/SWA/LSZH</v>
      </c>
      <c r="E1238" s="921"/>
      <c r="F1238" s="921" t="s">
        <v>2599</v>
      </c>
      <c r="G1238" s="922" t="s">
        <v>2601</v>
      </c>
      <c r="H1238" s="922"/>
      <c r="I1238" s="922"/>
      <c r="J1238" s="922"/>
      <c r="K1238" s="923"/>
      <c r="L1238" s="918"/>
      <c r="M1238" s="918"/>
      <c r="N1238" s="918"/>
      <c r="O1238" s="924"/>
      <c r="P1238" s="921"/>
      <c r="Q1238" s="925">
        <f ca="1">$B1238*Elec_Rates!$R$437</f>
        <v>5.61</v>
      </c>
      <c r="R1238" s="916">
        <f ca="1">$A1238*Q1238</f>
        <v>224.4</v>
      </c>
      <c r="S1238" s="925">
        <f ca="1">$B1238*Elec_Rates!$T$437</f>
        <v>0.09</v>
      </c>
      <c r="T1238" s="917">
        <f ca="1">$A1238*S1238</f>
        <v>3.5999999999999996</v>
      </c>
      <c r="U1238" s="926"/>
      <c r="AR1238" s="919">
        <v>40</v>
      </c>
      <c r="AS1238" s="921" t="s">
        <v>2599</v>
      </c>
    </row>
    <row r="1239" spans="1:45" s="520" customFormat="1" ht="12">
      <c r="A1239" s="758"/>
      <c r="B1239" s="758"/>
      <c r="C1239" s="758"/>
      <c r="D1239" s="758"/>
      <c r="E1239" s="758"/>
      <c r="F1239" s="753"/>
      <c r="G1239" s="758"/>
      <c r="H1239" s="758"/>
      <c r="I1239" s="519"/>
      <c r="J1239" s="758"/>
      <c r="K1239" s="758"/>
      <c r="L1239" s="758"/>
      <c r="M1239" s="758"/>
      <c r="N1239" s="758"/>
      <c r="O1239" s="758"/>
      <c r="P1239" s="758"/>
      <c r="Q1239" s="519"/>
      <c r="R1239" s="759">
        <f>$A1239*Q1239</f>
        <v>0</v>
      </c>
      <c r="S1239" s="519"/>
      <c r="T1239" s="760">
        <f>$A1239*S1239*$T$1</f>
        <v>0</v>
      </c>
      <c r="AR1239" s="758"/>
      <c r="AS1239" s="753"/>
    </row>
    <row r="1240" spans="1:45" s="520" customFormat="1" ht="12.6" thickBot="1">
      <c r="A1240" s="761" t="s">
        <v>145</v>
      </c>
      <c r="B1240" s="762">
        <f>(R1239+T1239)</f>
        <v>0</v>
      </c>
      <c r="C1240" s="763"/>
      <c r="D1240" s="763"/>
      <c r="E1240" s="763"/>
      <c r="F1240" s="764"/>
      <c r="G1240" s="763" t="s">
        <v>146</v>
      </c>
      <c r="H1240" s="763"/>
      <c r="I1240" s="765"/>
      <c r="J1240" s="763"/>
      <c r="K1240" s="763" t="s">
        <v>3</v>
      </c>
      <c r="L1240" s="766" t="s">
        <v>143</v>
      </c>
      <c r="M1240" s="766"/>
      <c r="N1240" s="766"/>
      <c r="O1240" s="766"/>
      <c r="P1240" s="766"/>
      <c r="Q1240" s="767"/>
      <c r="R1240" s="768">
        <f ca="1">SUM(R1236:R1239)</f>
        <v>224.4</v>
      </c>
      <c r="S1240" s="763"/>
      <c r="T1240" s="768">
        <f ca="1">SUM(T1236:T1239)</f>
        <v>3.5999999999999996</v>
      </c>
      <c r="U1240" s="531"/>
      <c r="V1240" s="531"/>
      <c r="W1240" s="531"/>
      <c r="X1240" s="531"/>
      <c r="Y1240" s="531"/>
      <c r="Z1240" s="531"/>
      <c r="AA1240" s="531"/>
      <c r="AB1240" s="531"/>
      <c r="AC1240" s="531"/>
      <c r="AD1240" s="531"/>
      <c r="AE1240" s="531"/>
      <c r="AF1240" s="531"/>
      <c r="AG1240" s="531"/>
      <c r="AH1240" s="531"/>
      <c r="AI1240" s="531"/>
      <c r="AJ1240" s="531"/>
      <c r="AK1240" s="531"/>
      <c r="AL1240" s="531"/>
      <c r="AM1240" s="531"/>
      <c r="AN1240" s="531"/>
      <c r="AO1240" s="531"/>
      <c r="AR1240" s="761" t="s">
        <v>145</v>
      </c>
      <c r="AS1240" s="764"/>
    </row>
    <row r="1241" spans="1:45" s="520" customFormat="1" ht="12" thickTop="1">
      <c r="A1241" s="51"/>
      <c r="B1241" s="41"/>
      <c r="C1241" s="51"/>
      <c r="E1241" s="42" t="s">
        <v>138</v>
      </c>
      <c r="F1241" s="42" t="s">
        <v>139</v>
      </c>
      <c r="G1241" s="51"/>
      <c r="H1241" s="51"/>
      <c r="I1241" s="51"/>
      <c r="J1241" s="51"/>
      <c r="K1241" s="51" t="s">
        <v>140</v>
      </c>
      <c r="L1241" s="51"/>
      <c r="M1241" s="51"/>
      <c r="N1241" s="51"/>
      <c r="O1241" s="52"/>
      <c r="P1241" s="51"/>
      <c r="Q1241" s="51"/>
      <c r="R1241" s="51"/>
      <c r="S1241" s="51"/>
      <c r="T1241" s="41"/>
      <c r="AG1241" s="521" t="s">
        <v>268</v>
      </c>
      <c r="AH1241" s="521" t="s">
        <v>269</v>
      </c>
      <c r="AI1241" s="521" t="s">
        <v>270</v>
      </c>
      <c r="AJ1241" s="521" t="s">
        <v>271</v>
      </c>
      <c r="AK1241" s="521" t="s">
        <v>272</v>
      </c>
      <c r="AM1241" s="745" t="s">
        <v>281</v>
      </c>
      <c r="AN1241" s="746" t="s">
        <v>282</v>
      </c>
      <c r="AO1241" s="522" t="s">
        <v>278</v>
      </c>
      <c r="AR1241" s="51"/>
      <c r="AS1241" s="42" t="s">
        <v>139</v>
      </c>
    </row>
    <row r="1242" spans="1:45" s="520" customFormat="1" ht="12" customHeight="1">
      <c r="A1242" s="747">
        <v>45</v>
      </c>
      <c r="B1242" s="523" t="s">
        <v>320</v>
      </c>
      <c r="C1242" s="748"/>
      <c r="D1242" s="749" t="s">
        <v>1273</v>
      </c>
      <c r="E1242" s="750">
        <f ca="1">IF(AND($A1242=0,$A$1="DIF"),0, ROUND(ROUND(($R1247*$S$2+($T1247*$T$2))/A1242,2)*$C$2,2))</f>
        <v>0</v>
      </c>
      <c r="F1242" s="751">
        <f ca="1">ROUND($A1242*$E1242,2)</f>
        <v>0</v>
      </c>
      <c r="G1242" s="752" t="s">
        <v>142</v>
      </c>
      <c r="H1242" s="753"/>
      <c r="I1242" s="754"/>
      <c r="J1242" s="753"/>
      <c r="K1242" s="753" t="s">
        <v>3</v>
      </c>
      <c r="L1242" s="755" t="s">
        <v>143</v>
      </c>
      <c r="M1242" s="755"/>
      <c r="N1242" s="755"/>
      <c r="O1242" s="755"/>
      <c r="P1242" s="755"/>
      <c r="Q1242" s="1058" t="s">
        <v>3848</v>
      </c>
      <c r="T1242" s="756" t="str">
        <f ca="1">IF(AND($R1247=0,$T1247=0),"0.00","mu :" &amp; ROUND($F1242/$C$2/($R1247+$T1247*$D$9),2))</f>
        <v>0.00</v>
      </c>
      <c r="W1242" s="524"/>
      <c r="AG1242" s="481">
        <f ca="1">IF($E1242=0,0,ROUND($R1247*$S$2*$C$2/$A1242,2))</f>
        <v>0</v>
      </c>
      <c r="AH1242" s="481">
        <f ca="1">$AG1242*$A1242</f>
        <v>0</v>
      </c>
      <c r="AI1242" s="525">
        <f ca="1">$E1242-$AG1242</f>
        <v>0</v>
      </c>
      <c r="AJ1242" s="525">
        <f ca="1">$A1242*$AI1242</f>
        <v>0</v>
      </c>
      <c r="AK1242" s="526">
        <f ca="1">ROUND(($AG1242+$AI1242)*$A1242,2)</f>
        <v>0</v>
      </c>
      <c r="AM1242" s="527">
        <f ca="1">ROUND(R1247,2)</f>
        <v>0</v>
      </c>
      <c r="AN1242" s="528">
        <f ca="1">ROUND(T1247,2)</f>
        <v>0</v>
      </c>
      <c r="AO1242" s="529">
        <f ca="1">ROUND(AM1242+AN1242,2)*A1242</f>
        <v>0</v>
      </c>
      <c r="AR1242" s="747">
        <v>45</v>
      </c>
      <c r="AS1242" s="751">
        <v>463.05</v>
      </c>
    </row>
    <row r="1243" spans="1:45" s="520" customFormat="1" ht="13.2">
      <c r="A1243" s="748"/>
      <c r="B1243"/>
      <c r="C1243" s="748"/>
      <c r="D1243" s="749" t="s">
        <v>1274</v>
      </c>
      <c r="F1243" s="753"/>
      <c r="G1243" s="3"/>
      <c r="H1243" s="753"/>
      <c r="I1243" s="754"/>
      <c r="J1243" s="753"/>
      <c r="K1243" s="753" t="s">
        <v>144</v>
      </c>
      <c r="L1243" s="753"/>
      <c r="M1243" s="753"/>
      <c r="N1243" s="753"/>
      <c r="O1243" s="753"/>
      <c r="P1243" s="753"/>
      <c r="Q1243" s="51"/>
      <c r="R1243" s="530"/>
      <c r="S1243" s="757"/>
      <c r="T1243" s="753"/>
      <c r="AR1243" s="748"/>
      <c r="AS1243" s="753"/>
    </row>
    <row r="1244" spans="1:45" s="1336" customFormat="1" ht="13.2">
      <c r="A1244" s="1086"/>
      <c r="B1244" s="1328"/>
      <c r="C1244" s="1328" t="s">
        <v>2597</v>
      </c>
      <c r="D1244" s="1328" t="str">
        <f ca="1">CELL("Address",Elec_Rates!D$437)</f>
        <v>[E25_0062_Quintano_Foods_Elec_ELV_As_Awarded.xlsx]Elec_Rates!$D$437</v>
      </c>
      <c r="E1244" s="1060"/>
      <c r="F1244" s="1060"/>
      <c r="G1244" s="1329" t="s">
        <v>2598</v>
      </c>
      <c r="H1244" s="1329"/>
      <c r="I1244" s="1329"/>
      <c r="J1244" s="1329"/>
      <c r="K1244" s="1330"/>
      <c r="L1244" s="1060"/>
      <c r="M1244" s="1060"/>
      <c r="N1244" s="1060"/>
      <c r="O1244" s="1331"/>
      <c r="P1244" s="1060"/>
      <c r="Q1244" s="1332"/>
      <c r="R1244" s="1333"/>
      <c r="S1244" s="1332"/>
      <c r="T1244" s="1334"/>
      <c r="U1244" s="1335"/>
      <c r="AR1244" s="1086"/>
      <c r="AS1244" s="1060"/>
    </row>
    <row r="1245" spans="1:45" s="1336" customFormat="1" ht="11.4">
      <c r="A1245" s="1337">
        <v>0</v>
      </c>
      <c r="B1245" s="1338">
        <v>1</v>
      </c>
      <c r="C1245" s="1338">
        <f>$A1245*$B1245</f>
        <v>0</v>
      </c>
      <c r="D1245" s="1339" t="str">
        <f>Elec_Rates!$D$437</f>
        <v>042# 5 x 6mm2 XLPE/SWA/LSZH</v>
      </c>
      <c r="E1245" s="1339"/>
      <c r="F1245" s="1339" t="s">
        <v>2599</v>
      </c>
      <c r="G1245" s="1340" t="s">
        <v>2601</v>
      </c>
      <c r="H1245" s="1340"/>
      <c r="I1245" s="1340"/>
      <c r="J1245" s="1340"/>
      <c r="K1245" s="1341"/>
      <c r="L1245" s="1335"/>
      <c r="M1245" s="1335"/>
      <c r="N1245" s="1335"/>
      <c r="O1245" s="1342"/>
      <c r="P1245" s="1339"/>
      <c r="Q1245" s="1343">
        <f ca="1">$B1245*Elec_Rates!$R$437</f>
        <v>5.61</v>
      </c>
      <c r="R1245" s="1333">
        <f ca="1">$A1245*Q1245</f>
        <v>0</v>
      </c>
      <c r="S1245" s="1343">
        <f ca="1">$B1245*Elec_Rates!$T$437</f>
        <v>0.09</v>
      </c>
      <c r="T1245" s="1334">
        <f ca="1">$A1245*S1245</f>
        <v>0</v>
      </c>
      <c r="U1245" s="1344"/>
      <c r="AR1245" s="1337">
        <v>45</v>
      </c>
      <c r="AS1245" s="1339" t="s">
        <v>2599</v>
      </c>
    </row>
    <row r="1246" spans="1:45" s="520" customFormat="1" ht="12">
      <c r="A1246" s="758"/>
      <c r="B1246" s="758"/>
      <c r="C1246" s="758"/>
      <c r="D1246" s="758"/>
      <c r="E1246" s="758"/>
      <c r="F1246" s="753"/>
      <c r="G1246" s="758"/>
      <c r="H1246" s="758"/>
      <c r="I1246" s="519"/>
      <c r="J1246" s="758"/>
      <c r="K1246" s="758"/>
      <c r="L1246" s="758"/>
      <c r="M1246" s="758"/>
      <c r="N1246" s="758"/>
      <c r="O1246" s="758"/>
      <c r="P1246" s="758"/>
      <c r="Q1246" s="519"/>
      <c r="R1246" s="759">
        <f>$A1246*Q1246</f>
        <v>0</v>
      </c>
      <c r="S1246" s="519"/>
      <c r="T1246" s="760">
        <f>$A1246*S1246*$T$1</f>
        <v>0</v>
      </c>
      <c r="AR1246" s="758"/>
      <c r="AS1246" s="753"/>
    </row>
    <row r="1247" spans="1:45" s="520" customFormat="1" ht="12.6" thickBot="1">
      <c r="A1247" s="761" t="s">
        <v>145</v>
      </c>
      <c r="B1247" s="762">
        <f>(R1246+T1246)</f>
        <v>0</v>
      </c>
      <c r="C1247" s="763"/>
      <c r="D1247" s="763"/>
      <c r="E1247" s="763"/>
      <c r="F1247" s="764"/>
      <c r="G1247" s="763" t="s">
        <v>146</v>
      </c>
      <c r="H1247" s="763"/>
      <c r="I1247" s="765"/>
      <c r="J1247" s="763"/>
      <c r="K1247" s="763" t="s">
        <v>3</v>
      </c>
      <c r="L1247" s="766" t="s">
        <v>143</v>
      </c>
      <c r="M1247" s="766"/>
      <c r="N1247" s="766"/>
      <c r="O1247" s="766"/>
      <c r="P1247" s="766"/>
      <c r="Q1247" s="767"/>
      <c r="R1247" s="768">
        <f ca="1">SUM(R1243:R1246)</f>
        <v>0</v>
      </c>
      <c r="S1247" s="763"/>
      <c r="T1247" s="768">
        <f ca="1">SUM(T1243:T1246)</f>
        <v>0</v>
      </c>
      <c r="U1247" s="531"/>
      <c r="V1247" s="531"/>
      <c r="W1247" s="531"/>
      <c r="X1247" s="531"/>
      <c r="Y1247" s="531"/>
      <c r="Z1247" s="531"/>
      <c r="AA1247" s="531"/>
      <c r="AB1247" s="531"/>
      <c r="AC1247" s="531"/>
      <c r="AD1247" s="531"/>
      <c r="AE1247" s="531"/>
      <c r="AF1247" s="531"/>
      <c r="AG1247" s="531"/>
      <c r="AH1247" s="531"/>
      <c r="AI1247" s="531"/>
      <c r="AJ1247" s="531"/>
      <c r="AK1247" s="531"/>
      <c r="AL1247" s="531"/>
      <c r="AM1247" s="531"/>
      <c r="AN1247" s="531"/>
      <c r="AO1247" s="531"/>
      <c r="AR1247" s="761" t="s">
        <v>145</v>
      </c>
      <c r="AS1247" s="764"/>
    </row>
    <row r="1248" spans="1:45" s="520" customFormat="1" ht="12" thickTop="1">
      <c r="A1248" s="51"/>
      <c r="B1248" s="41"/>
      <c r="C1248" s="51"/>
      <c r="E1248" s="42" t="s">
        <v>138</v>
      </c>
      <c r="F1248" s="42" t="s">
        <v>139</v>
      </c>
      <c r="G1248" s="51"/>
      <c r="H1248" s="51"/>
      <c r="I1248" s="51"/>
      <c r="J1248" s="51"/>
      <c r="K1248" s="51" t="s">
        <v>140</v>
      </c>
      <c r="L1248" s="51"/>
      <c r="M1248" s="51"/>
      <c r="N1248" s="51"/>
      <c r="O1248" s="52"/>
      <c r="P1248" s="51"/>
      <c r="Q1248" s="51"/>
      <c r="R1248" s="51"/>
      <c r="S1248" s="51"/>
      <c r="T1248" s="41"/>
      <c r="AG1248" s="521" t="s">
        <v>268</v>
      </c>
      <c r="AH1248" s="521" t="s">
        <v>269</v>
      </c>
      <c r="AI1248" s="521" t="s">
        <v>270</v>
      </c>
      <c r="AJ1248" s="521" t="s">
        <v>271</v>
      </c>
      <c r="AK1248" s="521" t="s">
        <v>272</v>
      </c>
      <c r="AM1248" s="745" t="s">
        <v>281</v>
      </c>
      <c r="AN1248" s="746" t="s">
        <v>282</v>
      </c>
      <c r="AO1248" s="522" t="s">
        <v>278</v>
      </c>
      <c r="AR1248" s="51"/>
      <c r="AS1248" s="42" t="s">
        <v>139</v>
      </c>
    </row>
    <row r="1249" spans="1:45" s="520" customFormat="1" ht="12" customHeight="1">
      <c r="A1249" s="747">
        <v>50</v>
      </c>
      <c r="B1249" s="523" t="s">
        <v>320</v>
      </c>
      <c r="C1249" s="748"/>
      <c r="D1249" s="749" t="s">
        <v>1275</v>
      </c>
      <c r="E1249" s="750">
        <f ca="1">IF(AND($A1249=0,$A$1="DIF"),0, ROUND(ROUND(($R1254*$S$2+($T1254*$T$2))/A1249,2)*$C$2,2))</f>
        <v>9.9499999999999993</v>
      </c>
      <c r="F1249" s="751">
        <f ca="1">ROUND($A1249*$E1249,2)</f>
        <v>497.5</v>
      </c>
      <c r="G1249" s="752" t="s">
        <v>142</v>
      </c>
      <c r="H1249" s="753"/>
      <c r="I1249" s="754"/>
      <c r="J1249" s="753"/>
      <c r="K1249" s="753" t="s">
        <v>3</v>
      </c>
      <c r="L1249" s="755" t="s">
        <v>143</v>
      </c>
      <c r="M1249" s="755"/>
      <c r="N1249" s="755"/>
      <c r="O1249" s="755"/>
      <c r="P1249" s="755"/>
      <c r="Q1249" s="51"/>
      <c r="T1249" s="756" t="str">
        <f ca="1">IF(AND($R1254=0,$T1254=0),"0.00","mu :" &amp; ROUND($F1249/$C$2/($R1254+$T1254*$D$9),2))</f>
        <v>mu :1.23</v>
      </c>
      <c r="W1249" s="524"/>
      <c r="AG1249" s="481">
        <f ca="1">IF($E1249=0,0,ROUND($R1254*$S$2*$C$2/$A1249,2))</f>
        <v>6.91</v>
      </c>
      <c r="AH1249" s="481">
        <f ca="1">$AG1249*$A1249</f>
        <v>345.5</v>
      </c>
      <c r="AI1249" s="525">
        <f ca="1">$E1249-$AG1249</f>
        <v>3.0399999999999991</v>
      </c>
      <c r="AJ1249" s="525">
        <f ca="1">$A1249*$AI1249</f>
        <v>151.99999999999994</v>
      </c>
      <c r="AK1249" s="526">
        <f ca="1">ROUND(($AG1249+$AI1249)*$A1249,2)</f>
        <v>497.5</v>
      </c>
      <c r="AM1249" s="527">
        <f ca="1">ROUND(R1254,2)</f>
        <v>280.5</v>
      </c>
      <c r="AN1249" s="528">
        <f ca="1">ROUND(T1254,2)</f>
        <v>4.5</v>
      </c>
      <c r="AO1249" s="529">
        <f ca="1">ROUND(AM1249+AN1249,2)*A1249</f>
        <v>14250</v>
      </c>
      <c r="AR1249" s="747">
        <v>50</v>
      </c>
      <c r="AS1249" s="751">
        <v>514.5</v>
      </c>
    </row>
    <row r="1250" spans="1:45" s="520" customFormat="1" ht="13.2">
      <c r="A1250" s="748"/>
      <c r="B1250"/>
      <c r="C1250" s="748"/>
      <c r="D1250" s="749" t="s">
        <v>1276</v>
      </c>
      <c r="F1250" s="753"/>
      <c r="G1250" s="3"/>
      <c r="H1250" s="753"/>
      <c r="I1250" s="754"/>
      <c r="J1250" s="753"/>
      <c r="K1250" s="753" t="s">
        <v>144</v>
      </c>
      <c r="L1250" s="753"/>
      <c r="M1250" s="753"/>
      <c r="N1250" s="753"/>
      <c r="O1250" s="753"/>
      <c r="P1250" s="753"/>
      <c r="Q1250" s="51"/>
      <c r="R1250" s="530"/>
      <c r="S1250" s="757"/>
      <c r="T1250" s="753"/>
      <c r="AR1250" s="748"/>
      <c r="AS1250" s="753"/>
    </row>
    <row r="1251" spans="1:45" s="886" customFormat="1" ht="13.2">
      <c r="A1251"/>
      <c r="B1251" s="910"/>
      <c r="C1251" s="910" t="s">
        <v>2597</v>
      </c>
      <c r="D1251" s="910" t="str">
        <f ca="1">CELL("Address",Elec_Rates!D$437)</f>
        <v>[E25_0062_Quintano_Foods_Elec_ELV_As_Awarded.xlsx]Elec_Rates!$D$437</v>
      </c>
      <c r="E1251" s="911"/>
      <c r="F1251" s="911"/>
      <c r="G1251" s="912" t="s">
        <v>2598</v>
      </c>
      <c r="H1251" s="912"/>
      <c r="I1251" s="912"/>
      <c r="J1251" s="912"/>
      <c r="K1251" s="913"/>
      <c r="L1251" s="911"/>
      <c r="M1251" s="911"/>
      <c r="N1251" s="911"/>
      <c r="O1251" s="914"/>
      <c r="P1251" s="911"/>
      <c r="Q1251" s="915"/>
      <c r="R1251" s="916"/>
      <c r="S1251" s="915"/>
      <c r="T1251" s="917"/>
      <c r="U1251" s="918"/>
      <c r="AR1251"/>
      <c r="AS1251" s="911"/>
    </row>
    <row r="1252" spans="1:45" s="886" customFormat="1" ht="11.4">
      <c r="A1252" s="919">
        <v>50</v>
      </c>
      <c r="B1252" s="920">
        <v>1</v>
      </c>
      <c r="C1252" s="920">
        <f>$A1252*$B1252</f>
        <v>50</v>
      </c>
      <c r="D1252" s="921" t="str">
        <f>Elec_Rates!$D$437</f>
        <v>042# 5 x 6mm2 XLPE/SWA/LSZH</v>
      </c>
      <c r="E1252" s="921"/>
      <c r="F1252" s="921" t="s">
        <v>2599</v>
      </c>
      <c r="G1252" s="922" t="s">
        <v>2601</v>
      </c>
      <c r="H1252" s="922"/>
      <c r="I1252" s="922"/>
      <c r="J1252" s="922"/>
      <c r="K1252" s="923"/>
      <c r="L1252" s="918"/>
      <c r="M1252" s="918"/>
      <c r="N1252" s="918"/>
      <c r="O1252" s="924"/>
      <c r="P1252" s="921"/>
      <c r="Q1252" s="925">
        <f ca="1">$B1252*Elec_Rates!$R$437</f>
        <v>5.61</v>
      </c>
      <c r="R1252" s="916">
        <f ca="1">$A1252*Q1252</f>
        <v>280.5</v>
      </c>
      <c r="S1252" s="925">
        <f ca="1">$B1252*Elec_Rates!$T$437</f>
        <v>0.09</v>
      </c>
      <c r="T1252" s="917">
        <f ca="1">$A1252*S1252</f>
        <v>4.5</v>
      </c>
      <c r="U1252" s="926"/>
      <c r="AR1252" s="919">
        <v>50</v>
      </c>
      <c r="AS1252" s="921" t="s">
        <v>2599</v>
      </c>
    </row>
    <row r="1253" spans="1:45" s="520" customFormat="1" ht="12">
      <c r="A1253" s="758"/>
      <c r="B1253" s="758"/>
      <c r="C1253" s="758"/>
      <c r="D1253" s="758"/>
      <c r="E1253" s="758"/>
      <c r="F1253" s="753"/>
      <c r="G1253" s="758"/>
      <c r="H1253" s="758"/>
      <c r="I1253" s="519"/>
      <c r="J1253" s="758"/>
      <c r="K1253" s="758"/>
      <c r="L1253" s="758"/>
      <c r="M1253" s="758"/>
      <c r="N1253" s="758"/>
      <c r="O1253" s="758"/>
      <c r="P1253" s="758"/>
      <c r="Q1253" s="519"/>
      <c r="R1253" s="759">
        <f>$A1253*Q1253</f>
        <v>0</v>
      </c>
      <c r="S1253" s="519"/>
      <c r="T1253" s="760">
        <f>$A1253*S1253*$T$1</f>
        <v>0</v>
      </c>
      <c r="AR1253" s="758"/>
      <c r="AS1253" s="753"/>
    </row>
    <row r="1254" spans="1:45" s="520" customFormat="1" ht="12.6" thickBot="1">
      <c r="A1254" s="761" t="s">
        <v>145</v>
      </c>
      <c r="B1254" s="762">
        <f>(R1253+T1253)</f>
        <v>0</v>
      </c>
      <c r="C1254" s="763"/>
      <c r="D1254" s="763"/>
      <c r="E1254" s="763"/>
      <c r="F1254" s="764"/>
      <c r="G1254" s="763" t="s">
        <v>146</v>
      </c>
      <c r="H1254" s="763"/>
      <c r="I1254" s="765"/>
      <c r="J1254" s="763"/>
      <c r="K1254" s="763" t="s">
        <v>3</v>
      </c>
      <c r="L1254" s="766" t="s">
        <v>143</v>
      </c>
      <c r="M1254" s="766"/>
      <c r="N1254" s="766"/>
      <c r="O1254" s="766"/>
      <c r="P1254" s="766"/>
      <c r="Q1254" s="767"/>
      <c r="R1254" s="768">
        <f ca="1">SUM(R1250:R1253)</f>
        <v>280.5</v>
      </c>
      <c r="S1254" s="763"/>
      <c r="T1254" s="768">
        <f ca="1">SUM(T1250:T1253)</f>
        <v>4.5</v>
      </c>
      <c r="U1254" s="531"/>
      <c r="V1254" s="531"/>
      <c r="W1254" s="531"/>
      <c r="X1254" s="531"/>
      <c r="Y1254" s="531"/>
      <c r="Z1254" s="531"/>
      <c r="AA1254" s="531"/>
      <c r="AB1254" s="531"/>
      <c r="AC1254" s="531"/>
      <c r="AD1254" s="531"/>
      <c r="AE1254" s="531"/>
      <c r="AF1254" s="531"/>
      <c r="AG1254" s="531"/>
      <c r="AH1254" s="531"/>
      <c r="AI1254" s="531"/>
      <c r="AJ1254" s="531"/>
      <c r="AK1254" s="531"/>
      <c r="AL1254" s="531"/>
      <c r="AM1254" s="531"/>
      <c r="AN1254" s="531"/>
      <c r="AO1254" s="531"/>
      <c r="AR1254" s="761" t="s">
        <v>145</v>
      </c>
      <c r="AS1254" s="764"/>
    </row>
    <row r="1255" spans="1:45" s="520" customFormat="1" ht="12" thickTop="1">
      <c r="A1255" s="51"/>
      <c r="B1255" s="41"/>
      <c r="C1255" s="51"/>
      <c r="E1255" s="42" t="s">
        <v>138</v>
      </c>
      <c r="F1255" s="42" t="s">
        <v>139</v>
      </c>
      <c r="G1255" s="51"/>
      <c r="H1255" s="51"/>
      <c r="I1255" s="51"/>
      <c r="J1255" s="51"/>
      <c r="K1255" s="51" t="s">
        <v>140</v>
      </c>
      <c r="L1255" s="51"/>
      <c r="M1255" s="51"/>
      <c r="N1255" s="51"/>
      <c r="O1255" s="52"/>
      <c r="P1255" s="51"/>
      <c r="Q1255" s="51"/>
      <c r="R1255" s="51"/>
      <c r="S1255" s="51"/>
      <c r="T1255" s="41"/>
      <c r="AG1255" s="521" t="s">
        <v>268</v>
      </c>
      <c r="AH1255" s="521" t="s">
        <v>269</v>
      </c>
      <c r="AI1255" s="521" t="s">
        <v>270</v>
      </c>
      <c r="AJ1255" s="521" t="s">
        <v>271</v>
      </c>
      <c r="AK1255" s="521" t="s">
        <v>272</v>
      </c>
      <c r="AM1255" s="745" t="s">
        <v>281</v>
      </c>
      <c r="AN1255" s="746" t="s">
        <v>282</v>
      </c>
      <c r="AO1255" s="522" t="s">
        <v>278</v>
      </c>
      <c r="AR1255" s="51"/>
      <c r="AS1255" s="42" t="s">
        <v>139</v>
      </c>
    </row>
    <row r="1256" spans="1:45" s="520" customFormat="1" ht="12" customHeight="1">
      <c r="A1256" s="747">
        <v>55</v>
      </c>
      <c r="B1256" s="523" t="s">
        <v>320</v>
      </c>
      <c r="C1256" s="748"/>
      <c r="D1256" s="749" t="s">
        <v>1277</v>
      </c>
      <c r="E1256" s="750">
        <f ca="1">IF(AND($A1256=0,$A$1="DIF"),0, ROUND(ROUND(($R1261*$S$2+($T1261*$T$2))/A1256,2)*$C$2,2))</f>
        <v>9.9499999999999993</v>
      </c>
      <c r="F1256" s="751">
        <f ca="1">ROUND($A1256*$E1256,2)</f>
        <v>547.25</v>
      </c>
      <c r="G1256" s="752" t="s">
        <v>142</v>
      </c>
      <c r="H1256" s="753"/>
      <c r="I1256" s="754"/>
      <c r="J1256" s="753"/>
      <c r="K1256" s="753" t="s">
        <v>3</v>
      </c>
      <c r="L1256" s="755" t="s">
        <v>143</v>
      </c>
      <c r="M1256" s="755"/>
      <c r="N1256" s="755"/>
      <c r="O1256" s="755"/>
      <c r="P1256" s="755"/>
      <c r="Q1256" s="51"/>
      <c r="T1256" s="756" t="str">
        <f ca="1">IF(AND($R1261=0,$T1261=0),"0.00","mu :" &amp; ROUND($F1256/$C$2/($R1261+$T1261*$D$9),2))</f>
        <v>mu :1.23</v>
      </c>
      <c r="W1256" s="524"/>
      <c r="AG1256" s="481">
        <f ca="1">IF($E1256=0,0,ROUND($R1261*$S$2*$C$2/$A1256,2))</f>
        <v>6.91</v>
      </c>
      <c r="AH1256" s="481">
        <f ca="1">$AG1256*$A1256</f>
        <v>380.05</v>
      </c>
      <c r="AI1256" s="525">
        <f ca="1">$E1256-$AG1256</f>
        <v>3.0399999999999991</v>
      </c>
      <c r="AJ1256" s="525">
        <f ca="1">$A1256*$AI1256</f>
        <v>167.19999999999996</v>
      </c>
      <c r="AK1256" s="526">
        <f ca="1">ROUND(($AG1256+$AI1256)*$A1256,2)</f>
        <v>547.25</v>
      </c>
      <c r="AM1256" s="527">
        <f ca="1">ROUND(R1261,2)</f>
        <v>308.55</v>
      </c>
      <c r="AN1256" s="528">
        <f ca="1">ROUND(T1261,2)</f>
        <v>4.95</v>
      </c>
      <c r="AO1256" s="529">
        <f ca="1">ROUND(AM1256+AN1256,2)*A1256</f>
        <v>17242.5</v>
      </c>
      <c r="AR1256" s="747">
        <v>55</v>
      </c>
      <c r="AS1256" s="751">
        <v>565.95000000000005</v>
      </c>
    </row>
    <row r="1257" spans="1:45" s="520" customFormat="1" ht="13.2">
      <c r="A1257" s="748"/>
      <c r="B1257"/>
      <c r="C1257" s="748"/>
      <c r="D1257" s="749" t="s">
        <v>1278</v>
      </c>
      <c r="F1257" s="753"/>
      <c r="G1257" s="3"/>
      <c r="H1257" s="753"/>
      <c r="I1257" s="754"/>
      <c r="J1257" s="753"/>
      <c r="K1257" s="753" t="s">
        <v>144</v>
      </c>
      <c r="L1257" s="753"/>
      <c r="M1257" s="753"/>
      <c r="N1257" s="753"/>
      <c r="O1257" s="753"/>
      <c r="P1257" s="753"/>
      <c r="Q1257" s="51"/>
      <c r="R1257" s="530"/>
      <c r="S1257" s="757"/>
      <c r="T1257" s="753"/>
      <c r="AR1257" s="748"/>
      <c r="AS1257" s="753"/>
    </row>
    <row r="1258" spans="1:45" s="886" customFormat="1" ht="13.2">
      <c r="A1258"/>
      <c r="B1258" s="910"/>
      <c r="C1258" s="910" t="s">
        <v>2597</v>
      </c>
      <c r="D1258" s="910" t="str">
        <f ca="1">CELL("Address",Elec_Rates!D$437)</f>
        <v>[E25_0062_Quintano_Foods_Elec_ELV_As_Awarded.xlsx]Elec_Rates!$D$437</v>
      </c>
      <c r="E1258" s="911"/>
      <c r="F1258" s="911"/>
      <c r="G1258" s="912" t="s">
        <v>2598</v>
      </c>
      <c r="H1258" s="912"/>
      <c r="I1258" s="912"/>
      <c r="J1258" s="912"/>
      <c r="K1258" s="913"/>
      <c r="L1258" s="911"/>
      <c r="M1258" s="911"/>
      <c r="N1258" s="911"/>
      <c r="O1258" s="914"/>
      <c r="P1258" s="911"/>
      <c r="Q1258" s="915"/>
      <c r="R1258" s="916"/>
      <c r="S1258" s="915"/>
      <c r="T1258" s="917"/>
      <c r="U1258" s="918"/>
      <c r="AR1258"/>
      <c r="AS1258" s="911"/>
    </row>
    <row r="1259" spans="1:45" s="886" customFormat="1" ht="11.4">
      <c r="A1259" s="919">
        <v>55</v>
      </c>
      <c r="B1259" s="920">
        <v>1</v>
      </c>
      <c r="C1259" s="920">
        <f>$A1259*$B1259</f>
        <v>55</v>
      </c>
      <c r="D1259" s="921" t="str">
        <f>Elec_Rates!$D$437</f>
        <v>042# 5 x 6mm2 XLPE/SWA/LSZH</v>
      </c>
      <c r="E1259" s="921"/>
      <c r="F1259" s="921" t="s">
        <v>2599</v>
      </c>
      <c r="G1259" s="922" t="s">
        <v>2601</v>
      </c>
      <c r="H1259" s="922"/>
      <c r="I1259" s="922"/>
      <c r="J1259" s="922"/>
      <c r="K1259" s="923"/>
      <c r="L1259" s="918"/>
      <c r="M1259" s="918"/>
      <c r="N1259" s="918"/>
      <c r="O1259" s="924"/>
      <c r="P1259" s="921"/>
      <c r="Q1259" s="925">
        <f ca="1">$B1259*Elec_Rates!$R$437</f>
        <v>5.61</v>
      </c>
      <c r="R1259" s="916">
        <f ca="1">$A1259*Q1259</f>
        <v>308.55</v>
      </c>
      <c r="S1259" s="925">
        <f ca="1">$B1259*Elec_Rates!$T$437</f>
        <v>0.09</v>
      </c>
      <c r="T1259" s="917">
        <f ca="1">$A1259*S1259</f>
        <v>4.95</v>
      </c>
      <c r="U1259" s="926"/>
      <c r="AR1259" s="919">
        <v>55</v>
      </c>
      <c r="AS1259" s="921" t="s">
        <v>2599</v>
      </c>
    </row>
    <row r="1260" spans="1:45" s="520" customFormat="1" ht="12">
      <c r="A1260" s="758"/>
      <c r="B1260" s="758"/>
      <c r="C1260" s="758"/>
      <c r="D1260" s="758"/>
      <c r="E1260" s="758"/>
      <c r="F1260" s="753"/>
      <c r="G1260" s="758"/>
      <c r="H1260" s="758"/>
      <c r="I1260" s="519"/>
      <c r="J1260" s="758"/>
      <c r="K1260" s="758"/>
      <c r="L1260" s="758"/>
      <c r="M1260" s="758"/>
      <c r="N1260" s="758"/>
      <c r="O1260" s="758"/>
      <c r="P1260" s="758"/>
      <c r="Q1260" s="519"/>
      <c r="R1260" s="759">
        <f>$A1260*Q1260</f>
        <v>0</v>
      </c>
      <c r="S1260" s="519"/>
      <c r="T1260" s="760">
        <f>$A1260*S1260*$T$1</f>
        <v>0</v>
      </c>
      <c r="AR1260" s="758"/>
      <c r="AS1260" s="753"/>
    </row>
    <row r="1261" spans="1:45" s="520" customFormat="1" ht="12.6" thickBot="1">
      <c r="A1261" s="761" t="s">
        <v>145</v>
      </c>
      <c r="B1261" s="762">
        <f>(R1260+T1260)</f>
        <v>0</v>
      </c>
      <c r="C1261" s="763"/>
      <c r="D1261" s="763"/>
      <c r="E1261" s="763"/>
      <c r="F1261" s="764"/>
      <c r="G1261" s="763" t="s">
        <v>146</v>
      </c>
      <c r="H1261" s="763"/>
      <c r="I1261" s="765"/>
      <c r="J1261" s="763"/>
      <c r="K1261" s="763" t="s">
        <v>3</v>
      </c>
      <c r="L1261" s="766" t="s">
        <v>143</v>
      </c>
      <c r="M1261" s="766"/>
      <c r="N1261" s="766"/>
      <c r="O1261" s="766"/>
      <c r="P1261" s="766"/>
      <c r="Q1261" s="767"/>
      <c r="R1261" s="768">
        <f ca="1">SUM(R1257:R1260)</f>
        <v>308.55</v>
      </c>
      <c r="S1261" s="763"/>
      <c r="T1261" s="768">
        <f ca="1">SUM(T1257:T1260)</f>
        <v>4.95</v>
      </c>
      <c r="U1261" s="531"/>
      <c r="V1261" s="531"/>
      <c r="W1261" s="531"/>
      <c r="X1261" s="531"/>
      <c r="Y1261" s="531"/>
      <c r="Z1261" s="531"/>
      <c r="AA1261" s="531"/>
      <c r="AB1261" s="531"/>
      <c r="AC1261" s="531"/>
      <c r="AD1261" s="531"/>
      <c r="AE1261" s="531"/>
      <c r="AF1261" s="531"/>
      <c r="AG1261" s="531"/>
      <c r="AH1261" s="531"/>
      <c r="AI1261" s="531"/>
      <c r="AJ1261" s="531"/>
      <c r="AK1261" s="531"/>
      <c r="AL1261" s="531"/>
      <c r="AM1261" s="531"/>
      <c r="AN1261" s="531"/>
      <c r="AO1261" s="531"/>
      <c r="AR1261" s="761" t="s">
        <v>145</v>
      </c>
      <c r="AS1261" s="764"/>
    </row>
    <row r="1262" spans="1:45" s="520" customFormat="1" ht="12" thickTop="1">
      <c r="A1262" s="51"/>
      <c r="B1262" s="41"/>
      <c r="C1262" s="51"/>
      <c r="E1262" s="42" t="s">
        <v>138</v>
      </c>
      <c r="F1262" s="42" t="s">
        <v>139</v>
      </c>
      <c r="G1262" s="51"/>
      <c r="H1262" s="51"/>
      <c r="I1262" s="51"/>
      <c r="J1262" s="51"/>
      <c r="K1262" s="51" t="s">
        <v>140</v>
      </c>
      <c r="L1262" s="51"/>
      <c r="M1262" s="51"/>
      <c r="N1262" s="51"/>
      <c r="O1262" s="52"/>
      <c r="P1262" s="51"/>
      <c r="Q1262" s="51"/>
      <c r="R1262" s="51"/>
      <c r="S1262" s="51"/>
      <c r="T1262" s="41"/>
      <c r="AG1262" s="521" t="s">
        <v>268</v>
      </c>
      <c r="AH1262" s="521" t="s">
        <v>269</v>
      </c>
      <c r="AI1262" s="521" t="s">
        <v>270</v>
      </c>
      <c r="AJ1262" s="521" t="s">
        <v>271</v>
      </c>
      <c r="AK1262" s="521" t="s">
        <v>272</v>
      </c>
      <c r="AM1262" s="745" t="s">
        <v>281</v>
      </c>
      <c r="AN1262" s="746" t="s">
        <v>282</v>
      </c>
      <c r="AO1262" s="522" t="s">
        <v>278</v>
      </c>
      <c r="AR1262" s="51"/>
      <c r="AS1262" s="42" t="s">
        <v>139</v>
      </c>
    </row>
    <row r="1263" spans="1:45" s="520" customFormat="1" ht="12" customHeight="1">
      <c r="A1263" s="747">
        <v>20</v>
      </c>
      <c r="B1263" s="523" t="s">
        <v>320</v>
      </c>
      <c r="C1263" s="748"/>
      <c r="D1263" s="749" t="s">
        <v>1279</v>
      </c>
      <c r="E1263" s="750">
        <f ca="1">IF(AND($A1263=0,$A$1="DIF"),0, ROUND(ROUND(($R1268*$S$2+($T1268*$T$2))/A1263,2)*$C$2,2))</f>
        <v>0</v>
      </c>
      <c r="F1263" s="751">
        <f ca="1">ROUND($A1263*$E1263,2)</f>
        <v>0</v>
      </c>
      <c r="G1263" s="752" t="s">
        <v>142</v>
      </c>
      <c r="H1263" s="753"/>
      <c r="I1263" s="754"/>
      <c r="J1263" s="753"/>
      <c r="K1263" s="753" t="s">
        <v>3</v>
      </c>
      <c r="L1263" s="755" t="s">
        <v>143</v>
      </c>
      <c r="M1263" s="755"/>
      <c r="N1263" s="755"/>
      <c r="O1263" s="755"/>
      <c r="P1263" s="755"/>
      <c r="Q1263" s="1058" t="s">
        <v>3848</v>
      </c>
      <c r="T1263" s="756" t="str">
        <f ca="1">IF(AND($R1268=0,$T1268=0),"0.00","mu :" &amp; ROUND($F1263/$C$2/($R1268+$T1268*$D$9),2))</f>
        <v>0.00</v>
      </c>
      <c r="W1263" s="524"/>
      <c r="AG1263" s="481">
        <f ca="1">IF($E1263=0,0,ROUND($R1268*$S$2*$C$2/$A1263,2))</f>
        <v>0</v>
      </c>
      <c r="AH1263" s="481">
        <f ca="1">$AG1263*$A1263</f>
        <v>0</v>
      </c>
      <c r="AI1263" s="525">
        <f ca="1">$E1263-$AG1263</f>
        <v>0</v>
      </c>
      <c r="AJ1263" s="525">
        <f ca="1">$A1263*$AI1263</f>
        <v>0</v>
      </c>
      <c r="AK1263" s="526">
        <f ca="1">ROUND(($AG1263+$AI1263)*$A1263,2)</f>
        <v>0</v>
      </c>
      <c r="AM1263" s="527">
        <f ca="1">ROUND(R1268,2)</f>
        <v>0</v>
      </c>
      <c r="AN1263" s="528">
        <f ca="1">ROUND(T1268,2)</f>
        <v>0</v>
      </c>
      <c r="AO1263" s="529">
        <f ca="1">ROUND(AM1263+AN1263,2)*A1263</f>
        <v>0</v>
      </c>
      <c r="AR1263" s="747">
        <v>20</v>
      </c>
      <c r="AS1263" s="751">
        <v>205.8</v>
      </c>
    </row>
    <row r="1264" spans="1:45" s="520" customFormat="1" ht="13.2">
      <c r="A1264" s="748"/>
      <c r="B1264"/>
      <c r="C1264" s="748"/>
      <c r="D1264" s="749" t="s">
        <v>1280</v>
      </c>
      <c r="F1264" s="753"/>
      <c r="G1264" s="3"/>
      <c r="H1264" s="753"/>
      <c r="I1264" s="754"/>
      <c r="J1264" s="753"/>
      <c r="K1264" s="753" t="s">
        <v>144</v>
      </c>
      <c r="L1264" s="753"/>
      <c r="M1264" s="753"/>
      <c r="N1264" s="753"/>
      <c r="O1264" s="753"/>
      <c r="P1264" s="753"/>
      <c r="Q1264" s="51"/>
      <c r="R1264" s="530"/>
      <c r="S1264" s="757"/>
      <c r="T1264" s="753"/>
      <c r="AR1264" s="748"/>
      <c r="AS1264" s="753"/>
    </row>
    <row r="1265" spans="1:45" s="1336" customFormat="1" ht="13.2">
      <c r="A1265" s="1086"/>
      <c r="B1265" s="1328"/>
      <c r="C1265" s="1328" t="s">
        <v>2597</v>
      </c>
      <c r="D1265" s="1328" t="str">
        <f ca="1">CELL("Address",Elec_Rates!D$437)</f>
        <v>[E25_0062_Quintano_Foods_Elec_ELV_As_Awarded.xlsx]Elec_Rates!$D$437</v>
      </c>
      <c r="E1265" s="1060"/>
      <c r="F1265" s="1060"/>
      <c r="G1265" s="1329" t="s">
        <v>2598</v>
      </c>
      <c r="H1265" s="1329"/>
      <c r="I1265" s="1329"/>
      <c r="J1265" s="1329"/>
      <c r="K1265" s="1330"/>
      <c r="L1265" s="1060"/>
      <c r="M1265" s="1060"/>
      <c r="N1265" s="1060"/>
      <c r="O1265" s="1331"/>
      <c r="P1265" s="1060"/>
      <c r="Q1265" s="1332"/>
      <c r="R1265" s="1333"/>
      <c r="S1265" s="1332"/>
      <c r="T1265" s="1334"/>
      <c r="U1265" s="1335"/>
      <c r="AR1265" s="1086"/>
      <c r="AS1265" s="1060"/>
    </row>
    <row r="1266" spans="1:45" s="1336" customFormat="1" ht="11.4">
      <c r="A1266" s="1337">
        <v>0</v>
      </c>
      <c r="B1266" s="1338">
        <v>1</v>
      </c>
      <c r="C1266" s="1338">
        <f>$A1266*$B1266</f>
        <v>0</v>
      </c>
      <c r="D1266" s="1339" t="str">
        <f>Elec_Rates!$D$437</f>
        <v>042# 5 x 6mm2 XLPE/SWA/LSZH</v>
      </c>
      <c r="E1266" s="1339"/>
      <c r="F1266" s="1339" t="s">
        <v>2599</v>
      </c>
      <c r="G1266" s="1340" t="s">
        <v>2601</v>
      </c>
      <c r="H1266" s="1340"/>
      <c r="I1266" s="1340"/>
      <c r="J1266" s="1340"/>
      <c r="K1266" s="1341"/>
      <c r="L1266" s="1335"/>
      <c r="M1266" s="1335"/>
      <c r="N1266" s="1335"/>
      <c r="O1266" s="1342"/>
      <c r="P1266" s="1339"/>
      <c r="Q1266" s="1343">
        <f ca="1">$B1266*Elec_Rates!$R$437</f>
        <v>5.61</v>
      </c>
      <c r="R1266" s="1333">
        <f ca="1">$A1266*Q1266</f>
        <v>0</v>
      </c>
      <c r="S1266" s="1343">
        <f ca="1">$B1266*Elec_Rates!$T$437</f>
        <v>0.09</v>
      </c>
      <c r="T1266" s="1334">
        <f ca="1">$A1266*S1266</f>
        <v>0</v>
      </c>
      <c r="U1266" s="1344"/>
      <c r="AR1266" s="1337">
        <v>20</v>
      </c>
      <c r="AS1266" s="1339" t="s">
        <v>2599</v>
      </c>
    </row>
    <row r="1267" spans="1:45" s="520" customFormat="1" ht="12">
      <c r="A1267" s="758"/>
      <c r="B1267" s="758"/>
      <c r="C1267" s="758"/>
      <c r="D1267" s="758"/>
      <c r="E1267" s="758"/>
      <c r="F1267" s="753"/>
      <c r="G1267" s="758"/>
      <c r="H1267" s="758"/>
      <c r="I1267" s="519"/>
      <c r="J1267" s="758"/>
      <c r="K1267" s="758"/>
      <c r="L1267" s="758"/>
      <c r="M1267" s="758"/>
      <c r="N1267" s="758"/>
      <c r="O1267" s="758"/>
      <c r="P1267" s="758"/>
      <c r="Q1267" s="519"/>
      <c r="R1267" s="759">
        <f>$A1267*Q1267</f>
        <v>0</v>
      </c>
      <c r="S1267" s="519"/>
      <c r="T1267" s="760">
        <f>$A1267*S1267*$T$1</f>
        <v>0</v>
      </c>
      <c r="AR1267" s="758"/>
      <c r="AS1267" s="753"/>
    </row>
    <row r="1268" spans="1:45" s="520" customFormat="1" ht="12.6" thickBot="1">
      <c r="A1268" s="761" t="s">
        <v>145</v>
      </c>
      <c r="B1268" s="762">
        <f>(R1267+T1267)</f>
        <v>0</v>
      </c>
      <c r="C1268" s="763"/>
      <c r="D1268" s="763"/>
      <c r="E1268" s="763"/>
      <c r="F1268" s="764"/>
      <c r="G1268" s="763" t="s">
        <v>146</v>
      </c>
      <c r="H1268" s="763"/>
      <c r="I1268" s="765"/>
      <c r="J1268" s="763"/>
      <c r="K1268" s="763" t="s">
        <v>3</v>
      </c>
      <c r="L1268" s="766" t="s">
        <v>143</v>
      </c>
      <c r="M1268" s="766"/>
      <c r="N1268" s="766"/>
      <c r="O1268" s="766"/>
      <c r="P1268" s="766"/>
      <c r="Q1268" s="767"/>
      <c r="R1268" s="768">
        <f ca="1">SUM(R1264:R1267)</f>
        <v>0</v>
      </c>
      <c r="S1268" s="763"/>
      <c r="T1268" s="768">
        <f ca="1">SUM(T1264:T1267)</f>
        <v>0</v>
      </c>
      <c r="U1268" s="531"/>
      <c r="V1268" s="531"/>
      <c r="W1268" s="531"/>
      <c r="X1268" s="531"/>
      <c r="Y1268" s="531"/>
      <c r="Z1268" s="531"/>
      <c r="AA1268" s="531"/>
      <c r="AB1268" s="531"/>
      <c r="AC1268" s="531"/>
      <c r="AD1268" s="531"/>
      <c r="AE1268" s="531"/>
      <c r="AF1268" s="531"/>
      <c r="AG1268" s="531"/>
      <c r="AH1268" s="531"/>
      <c r="AI1268" s="531"/>
      <c r="AJ1268" s="531"/>
      <c r="AK1268" s="531"/>
      <c r="AL1268" s="531"/>
      <c r="AM1268" s="531"/>
      <c r="AN1268" s="531"/>
      <c r="AO1268" s="531"/>
      <c r="AR1268" s="761" t="s">
        <v>145</v>
      </c>
      <c r="AS1268" s="764"/>
    </row>
    <row r="1269" spans="1:45" s="520" customFormat="1" ht="12" thickTop="1">
      <c r="A1269" s="51"/>
      <c r="B1269" s="41"/>
      <c r="C1269" s="51"/>
      <c r="E1269" s="42" t="s">
        <v>138</v>
      </c>
      <c r="F1269" s="42" t="s">
        <v>139</v>
      </c>
      <c r="G1269" s="51"/>
      <c r="H1269" s="51"/>
      <c r="I1269" s="51"/>
      <c r="J1269" s="51"/>
      <c r="K1269" s="51" t="s">
        <v>140</v>
      </c>
      <c r="L1269" s="51"/>
      <c r="M1269" s="51"/>
      <c r="N1269" s="51"/>
      <c r="O1269" s="52"/>
      <c r="P1269" s="51"/>
      <c r="Q1269" s="51"/>
      <c r="R1269" s="51"/>
      <c r="S1269" s="51"/>
      <c r="T1269" s="41"/>
      <c r="AG1269" s="521" t="s">
        <v>268</v>
      </c>
      <c r="AH1269" s="521" t="s">
        <v>269</v>
      </c>
      <c r="AI1269" s="521" t="s">
        <v>270</v>
      </c>
      <c r="AJ1269" s="521" t="s">
        <v>271</v>
      </c>
      <c r="AK1269" s="521" t="s">
        <v>272</v>
      </c>
      <c r="AM1269" s="745" t="s">
        <v>281</v>
      </c>
      <c r="AN1269" s="746" t="s">
        <v>282</v>
      </c>
      <c r="AO1269" s="522" t="s">
        <v>278</v>
      </c>
      <c r="AR1269" s="51"/>
      <c r="AS1269" s="42" t="s">
        <v>139</v>
      </c>
    </row>
    <row r="1270" spans="1:45" s="520" customFormat="1" ht="12" customHeight="1">
      <c r="A1270" s="747">
        <v>20</v>
      </c>
      <c r="B1270" s="523" t="s">
        <v>320</v>
      </c>
      <c r="C1270" s="748"/>
      <c r="D1270" s="749" t="s">
        <v>1281</v>
      </c>
      <c r="E1270" s="750">
        <f ca="1">IF(AND($A1270=0,$A$1="DIF"),0, ROUND(ROUND(($R1275*$S$2+($T1275*$T$2))/A1270,2)*$C$2,2))</f>
        <v>9.9499999999999993</v>
      </c>
      <c r="F1270" s="751">
        <f ca="1">ROUND($A1270*$E1270,2)</f>
        <v>199</v>
      </c>
      <c r="G1270" s="752" t="s">
        <v>142</v>
      </c>
      <c r="H1270" s="753"/>
      <c r="I1270" s="754"/>
      <c r="J1270" s="753"/>
      <c r="K1270" s="753" t="s">
        <v>3</v>
      </c>
      <c r="L1270" s="755" t="s">
        <v>143</v>
      </c>
      <c r="M1270" s="755"/>
      <c r="N1270" s="755"/>
      <c r="O1270" s="755"/>
      <c r="P1270" s="755"/>
      <c r="Q1270" s="51"/>
      <c r="T1270" s="756" t="str">
        <f ca="1">IF(AND($R1275=0,$T1275=0),"0.00","mu :" &amp; ROUND($F1270/$C$2/($R1275+$T1275*$D$9),2))</f>
        <v>mu :1.23</v>
      </c>
      <c r="W1270" s="524"/>
      <c r="AG1270" s="481">
        <f ca="1">IF($E1270=0,0,ROUND($R1275*$S$2*$C$2/$A1270,2))</f>
        <v>6.91</v>
      </c>
      <c r="AH1270" s="481">
        <f ca="1">$AG1270*$A1270</f>
        <v>138.19999999999999</v>
      </c>
      <c r="AI1270" s="525">
        <f ca="1">$E1270-$AG1270</f>
        <v>3.0399999999999991</v>
      </c>
      <c r="AJ1270" s="525">
        <f ca="1">$A1270*$AI1270</f>
        <v>60.799999999999983</v>
      </c>
      <c r="AK1270" s="526">
        <f ca="1">ROUND(($AG1270+$AI1270)*$A1270,2)</f>
        <v>199</v>
      </c>
      <c r="AM1270" s="527">
        <f ca="1">ROUND(R1275,2)</f>
        <v>112.2</v>
      </c>
      <c r="AN1270" s="528">
        <f ca="1">ROUND(T1275,2)</f>
        <v>1.8</v>
      </c>
      <c r="AO1270" s="529">
        <f ca="1">ROUND(AM1270+AN1270,2)*A1270</f>
        <v>2280</v>
      </c>
      <c r="AR1270" s="747">
        <v>20</v>
      </c>
      <c r="AS1270" s="751">
        <v>205.8</v>
      </c>
    </row>
    <row r="1271" spans="1:45" s="520" customFormat="1" ht="13.2">
      <c r="A1271" s="748"/>
      <c r="B1271"/>
      <c r="C1271" s="748"/>
      <c r="D1271" s="749" t="s">
        <v>1282</v>
      </c>
      <c r="F1271" s="753"/>
      <c r="G1271" s="3"/>
      <c r="H1271" s="753"/>
      <c r="I1271" s="754"/>
      <c r="J1271" s="753"/>
      <c r="K1271" s="753" t="s">
        <v>144</v>
      </c>
      <c r="L1271" s="753"/>
      <c r="M1271" s="753"/>
      <c r="N1271" s="753"/>
      <c r="O1271" s="753"/>
      <c r="P1271" s="753"/>
      <c r="Q1271" s="51"/>
      <c r="R1271" s="530"/>
      <c r="S1271" s="757"/>
      <c r="T1271" s="753"/>
      <c r="AR1271" s="748"/>
      <c r="AS1271" s="753"/>
    </row>
    <row r="1272" spans="1:45" s="886" customFormat="1" ht="13.2">
      <c r="A1272"/>
      <c r="B1272" s="910"/>
      <c r="C1272" s="910" t="s">
        <v>2597</v>
      </c>
      <c r="D1272" s="910" t="str">
        <f ca="1">CELL("Address",Elec_Rates!D$437)</f>
        <v>[E25_0062_Quintano_Foods_Elec_ELV_As_Awarded.xlsx]Elec_Rates!$D$437</v>
      </c>
      <c r="E1272" s="911"/>
      <c r="F1272" s="911"/>
      <c r="G1272" s="912" t="s">
        <v>2598</v>
      </c>
      <c r="H1272" s="912"/>
      <c r="I1272" s="912"/>
      <c r="J1272" s="912"/>
      <c r="K1272" s="913"/>
      <c r="L1272" s="911"/>
      <c r="M1272" s="911"/>
      <c r="N1272" s="911"/>
      <c r="O1272" s="914"/>
      <c r="P1272" s="911"/>
      <c r="Q1272" s="915"/>
      <c r="R1272" s="916"/>
      <c r="S1272" s="915"/>
      <c r="T1272" s="917"/>
      <c r="U1272" s="918"/>
      <c r="AR1272"/>
      <c r="AS1272" s="911"/>
    </row>
    <row r="1273" spans="1:45" s="886" customFormat="1" ht="11.4">
      <c r="A1273" s="919">
        <v>20</v>
      </c>
      <c r="B1273" s="920">
        <v>1</v>
      </c>
      <c r="C1273" s="920">
        <f>$A1273*$B1273</f>
        <v>20</v>
      </c>
      <c r="D1273" s="921" t="str">
        <f>Elec_Rates!$D$437</f>
        <v>042# 5 x 6mm2 XLPE/SWA/LSZH</v>
      </c>
      <c r="E1273" s="921"/>
      <c r="F1273" s="921" t="s">
        <v>2599</v>
      </c>
      <c r="G1273" s="922" t="s">
        <v>2601</v>
      </c>
      <c r="H1273" s="922"/>
      <c r="I1273" s="922"/>
      <c r="J1273" s="922"/>
      <c r="K1273" s="923"/>
      <c r="L1273" s="918"/>
      <c r="M1273" s="918"/>
      <c r="N1273" s="918"/>
      <c r="O1273" s="924"/>
      <c r="P1273" s="921"/>
      <c r="Q1273" s="925">
        <f ca="1">$B1273*Elec_Rates!$R$437</f>
        <v>5.61</v>
      </c>
      <c r="R1273" s="916">
        <f ca="1">$A1273*Q1273</f>
        <v>112.2</v>
      </c>
      <c r="S1273" s="925">
        <f ca="1">$B1273*Elec_Rates!$T$437</f>
        <v>0.09</v>
      </c>
      <c r="T1273" s="917">
        <f ca="1">$A1273*S1273</f>
        <v>1.7999999999999998</v>
      </c>
      <c r="U1273" s="926"/>
      <c r="AR1273" s="919">
        <v>20</v>
      </c>
      <c r="AS1273" s="921" t="s">
        <v>2599</v>
      </c>
    </row>
    <row r="1274" spans="1:45" s="520" customFormat="1" ht="12">
      <c r="A1274" s="758"/>
      <c r="B1274" s="758"/>
      <c r="C1274" s="758"/>
      <c r="D1274" s="758"/>
      <c r="E1274" s="758"/>
      <c r="F1274" s="753"/>
      <c r="G1274" s="758"/>
      <c r="H1274" s="758"/>
      <c r="I1274" s="519"/>
      <c r="J1274" s="758"/>
      <c r="K1274" s="758"/>
      <c r="L1274" s="758"/>
      <c r="M1274" s="758"/>
      <c r="N1274" s="758"/>
      <c r="O1274" s="758"/>
      <c r="P1274" s="758"/>
      <c r="Q1274" s="519"/>
      <c r="R1274" s="759">
        <f>$A1274*Q1274</f>
        <v>0</v>
      </c>
      <c r="S1274" s="519"/>
      <c r="T1274" s="760">
        <f>$A1274*S1274*$T$1</f>
        <v>0</v>
      </c>
      <c r="AR1274" s="758"/>
      <c r="AS1274" s="753"/>
    </row>
    <row r="1275" spans="1:45" s="520" customFormat="1" ht="12.6" thickBot="1">
      <c r="A1275" s="761" t="s">
        <v>145</v>
      </c>
      <c r="B1275" s="762">
        <f>(R1274+T1274)</f>
        <v>0</v>
      </c>
      <c r="C1275" s="763"/>
      <c r="D1275" s="763"/>
      <c r="E1275" s="763"/>
      <c r="F1275" s="764"/>
      <c r="G1275" s="763" t="s">
        <v>146</v>
      </c>
      <c r="H1275" s="763"/>
      <c r="I1275" s="765"/>
      <c r="J1275" s="763"/>
      <c r="K1275" s="763" t="s">
        <v>3</v>
      </c>
      <c r="L1275" s="766" t="s">
        <v>143</v>
      </c>
      <c r="M1275" s="766"/>
      <c r="N1275" s="766"/>
      <c r="O1275" s="766"/>
      <c r="P1275" s="766"/>
      <c r="Q1275" s="767"/>
      <c r="R1275" s="768">
        <f ca="1">SUM(R1271:R1274)</f>
        <v>112.2</v>
      </c>
      <c r="S1275" s="763"/>
      <c r="T1275" s="768">
        <f ca="1">SUM(T1271:T1274)</f>
        <v>1.7999999999999998</v>
      </c>
      <c r="U1275" s="531"/>
      <c r="V1275" s="531"/>
      <c r="W1275" s="531"/>
      <c r="X1275" s="531"/>
      <c r="Y1275" s="531"/>
      <c r="Z1275" s="531"/>
      <c r="AA1275" s="531"/>
      <c r="AB1275" s="531"/>
      <c r="AC1275" s="531"/>
      <c r="AD1275" s="531"/>
      <c r="AE1275" s="531"/>
      <c r="AF1275" s="531"/>
      <c r="AG1275" s="531"/>
      <c r="AH1275" s="531"/>
      <c r="AI1275" s="531"/>
      <c r="AJ1275" s="531"/>
      <c r="AK1275" s="531"/>
      <c r="AL1275" s="531"/>
      <c r="AM1275" s="531"/>
      <c r="AN1275" s="531"/>
      <c r="AO1275" s="531"/>
      <c r="AR1275" s="761" t="s">
        <v>145</v>
      </c>
      <c r="AS1275" s="764"/>
    </row>
    <row r="1276" spans="1:45" s="520" customFormat="1" ht="12" thickTop="1">
      <c r="A1276" s="51"/>
      <c r="B1276" s="41"/>
      <c r="C1276" s="51"/>
      <c r="E1276" s="42" t="s">
        <v>138</v>
      </c>
      <c r="F1276" s="42" t="s">
        <v>139</v>
      </c>
      <c r="G1276" s="51"/>
      <c r="H1276" s="51"/>
      <c r="I1276" s="51"/>
      <c r="J1276" s="51"/>
      <c r="K1276" s="51" t="s">
        <v>140</v>
      </c>
      <c r="L1276" s="51"/>
      <c r="M1276" s="51"/>
      <c r="N1276" s="51"/>
      <c r="O1276" s="52"/>
      <c r="P1276" s="51"/>
      <c r="Q1276" s="51"/>
      <c r="R1276" s="51"/>
      <c r="S1276" s="51"/>
      <c r="T1276" s="41"/>
      <c r="AG1276" s="521" t="s">
        <v>268</v>
      </c>
      <c r="AH1276" s="521" t="s">
        <v>269</v>
      </c>
      <c r="AI1276" s="521" t="s">
        <v>270</v>
      </c>
      <c r="AJ1276" s="521" t="s">
        <v>271</v>
      </c>
      <c r="AK1276" s="521" t="s">
        <v>272</v>
      </c>
      <c r="AM1276" s="745" t="s">
        <v>281</v>
      </c>
      <c r="AN1276" s="746" t="s">
        <v>282</v>
      </c>
      <c r="AO1276" s="522" t="s">
        <v>278</v>
      </c>
      <c r="AR1276" s="51"/>
      <c r="AS1276" s="42" t="s">
        <v>139</v>
      </c>
    </row>
    <row r="1277" spans="1:45" s="520" customFormat="1" ht="12" customHeight="1">
      <c r="A1277" s="747">
        <v>45</v>
      </c>
      <c r="B1277" s="523" t="s">
        <v>320</v>
      </c>
      <c r="C1277" s="748"/>
      <c r="D1277" s="749" t="s">
        <v>1283</v>
      </c>
      <c r="E1277" s="750">
        <f ca="1">IF(AND($A1277=0,$A$1="DIF"),0, ROUND(ROUND(($R1282*$S$2+($T1282*$T$2))/A1277,2)*$C$2,2))</f>
        <v>0</v>
      </c>
      <c r="F1277" s="751">
        <f ca="1">ROUND($A1277*$E1277,2)</f>
        <v>0</v>
      </c>
      <c r="G1277" s="752" t="s">
        <v>142</v>
      </c>
      <c r="H1277" s="753"/>
      <c r="I1277" s="754"/>
      <c r="J1277" s="753"/>
      <c r="K1277" s="753" t="s">
        <v>3</v>
      </c>
      <c r="L1277" s="755" t="s">
        <v>143</v>
      </c>
      <c r="M1277" s="755"/>
      <c r="N1277" s="755"/>
      <c r="O1277" s="755"/>
      <c r="P1277" s="755"/>
      <c r="Q1277" s="1058" t="s">
        <v>3848</v>
      </c>
      <c r="T1277" s="756" t="str">
        <f ca="1">IF(AND($R1282=0,$T1282=0),"0.00","mu :" &amp; ROUND($F1277/$C$2/($R1282+$T1282*$D$9),2))</f>
        <v>0.00</v>
      </c>
      <c r="W1277" s="524"/>
      <c r="AG1277" s="481">
        <f ca="1">IF($E1277=0,0,ROUND($R1282*$S$2*$C$2/$A1277,2))</f>
        <v>0</v>
      </c>
      <c r="AH1277" s="481">
        <f ca="1">$AG1277*$A1277</f>
        <v>0</v>
      </c>
      <c r="AI1277" s="525">
        <f ca="1">$E1277-$AG1277</f>
        <v>0</v>
      </c>
      <c r="AJ1277" s="525">
        <f ca="1">$A1277*$AI1277</f>
        <v>0</v>
      </c>
      <c r="AK1277" s="526">
        <f ca="1">ROUND(($AG1277+$AI1277)*$A1277,2)</f>
        <v>0</v>
      </c>
      <c r="AM1277" s="527">
        <f ca="1">ROUND(R1282,2)</f>
        <v>0</v>
      </c>
      <c r="AN1277" s="528">
        <f ca="1">ROUND(T1282,2)</f>
        <v>0</v>
      </c>
      <c r="AO1277" s="529">
        <f ca="1">ROUND(AM1277+AN1277,2)*A1277</f>
        <v>0</v>
      </c>
      <c r="AR1277" s="747">
        <v>45</v>
      </c>
      <c r="AS1277" s="751">
        <v>463.05</v>
      </c>
    </row>
    <row r="1278" spans="1:45" s="520" customFormat="1" ht="13.2">
      <c r="A1278" s="748"/>
      <c r="B1278"/>
      <c r="C1278" s="748"/>
      <c r="D1278" s="749" t="s">
        <v>1284</v>
      </c>
      <c r="F1278" s="753"/>
      <c r="G1278" s="3"/>
      <c r="H1278" s="753"/>
      <c r="I1278" s="754"/>
      <c r="J1278" s="753"/>
      <c r="K1278" s="753" t="s">
        <v>144</v>
      </c>
      <c r="L1278" s="753"/>
      <c r="M1278" s="753"/>
      <c r="N1278" s="753"/>
      <c r="O1278" s="753"/>
      <c r="P1278" s="753"/>
      <c r="Q1278" s="51"/>
      <c r="R1278" s="530"/>
      <c r="S1278" s="757"/>
      <c r="T1278" s="753"/>
      <c r="AR1278" s="748"/>
      <c r="AS1278" s="753"/>
    </row>
    <row r="1279" spans="1:45" s="1336" customFormat="1" ht="13.2">
      <c r="A1279" s="1086"/>
      <c r="B1279" s="1328"/>
      <c r="C1279" s="1328" t="s">
        <v>2597</v>
      </c>
      <c r="D1279" s="1328" t="str">
        <f ca="1">CELL("Address",Elec_Rates!D$437)</f>
        <v>[E25_0062_Quintano_Foods_Elec_ELV_As_Awarded.xlsx]Elec_Rates!$D$437</v>
      </c>
      <c r="E1279" s="1060"/>
      <c r="F1279" s="1060"/>
      <c r="G1279" s="1329" t="s">
        <v>2598</v>
      </c>
      <c r="H1279" s="1329"/>
      <c r="I1279" s="1329"/>
      <c r="J1279" s="1329"/>
      <c r="K1279" s="1330"/>
      <c r="L1279" s="1060"/>
      <c r="M1279" s="1060"/>
      <c r="N1279" s="1060"/>
      <c r="O1279" s="1331"/>
      <c r="P1279" s="1060"/>
      <c r="Q1279" s="1332"/>
      <c r="R1279" s="1333"/>
      <c r="S1279" s="1332"/>
      <c r="T1279" s="1334"/>
      <c r="U1279" s="1335"/>
      <c r="AR1279" s="1086"/>
      <c r="AS1279" s="1060"/>
    </row>
    <row r="1280" spans="1:45" s="1336" customFormat="1" ht="11.4">
      <c r="A1280" s="1337">
        <v>0</v>
      </c>
      <c r="B1280" s="1338">
        <v>1</v>
      </c>
      <c r="C1280" s="1338">
        <f>$A1280*$B1280</f>
        <v>0</v>
      </c>
      <c r="D1280" s="1339" t="str">
        <f>Elec_Rates!$D$437</f>
        <v>042# 5 x 6mm2 XLPE/SWA/LSZH</v>
      </c>
      <c r="E1280" s="1339"/>
      <c r="F1280" s="1339" t="s">
        <v>2599</v>
      </c>
      <c r="G1280" s="1340" t="s">
        <v>2601</v>
      </c>
      <c r="H1280" s="1340"/>
      <c r="I1280" s="1340"/>
      <c r="J1280" s="1340"/>
      <c r="K1280" s="1341"/>
      <c r="L1280" s="1335"/>
      <c r="M1280" s="1335"/>
      <c r="N1280" s="1335"/>
      <c r="O1280" s="1342"/>
      <c r="P1280" s="1339"/>
      <c r="Q1280" s="1343">
        <f ca="1">$B1280*Elec_Rates!$R$437</f>
        <v>5.61</v>
      </c>
      <c r="R1280" s="1333">
        <f ca="1">$A1280*Q1280</f>
        <v>0</v>
      </c>
      <c r="S1280" s="1343">
        <f ca="1">$B1280*Elec_Rates!$T$437</f>
        <v>0.09</v>
      </c>
      <c r="T1280" s="1334">
        <f ca="1">$A1280*S1280</f>
        <v>0</v>
      </c>
      <c r="U1280" s="1344"/>
      <c r="AR1280" s="1337">
        <v>45</v>
      </c>
      <c r="AS1280" s="1339" t="s">
        <v>2599</v>
      </c>
    </row>
    <row r="1281" spans="1:45" s="520" customFormat="1" ht="12">
      <c r="A1281" s="758"/>
      <c r="B1281" s="758"/>
      <c r="C1281" s="758"/>
      <c r="D1281" s="758"/>
      <c r="E1281" s="758"/>
      <c r="F1281" s="753"/>
      <c r="G1281" s="758"/>
      <c r="H1281" s="758"/>
      <c r="I1281" s="519"/>
      <c r="J1281" s="758"/>
      <c r="K1281" s="758"/>
      <c r="L1281" s="758"/>
      <c r="M1281" s="758"/>
      <c r="N1281" s="758"/>
      <c r="O1281" s="758"/>
      <c r="P1281" s="758"/>
      <c r="Q1281" s="519"/>
      <c r="R1281" s="759">
        <f>$A1281*Q1281</f>
        <v>0</v>
      </c>
      <c r="S1281" s="519"/>
      <c r="T1281" s="760">
        <f>$A1281*S1281*$T$1</f>
        <v>0</v>
      </c>
      <c r="AR1281" s="758"/>
      <c r="AS1281" s="753"/>
    </row>
    <row r="1282" spans="1:45" s="520" customFormat="1" ht="12.6" thickBot="1">
      <c r="A1282" s="761" t="s">
        <v>145</v>
      </c>
      <c r="B1282" s="762">
        <f>(R1281+T1281)</f>
        <v>0</v>
      </c>
      <c r="C1282" s="763"/>
      <c r="D1282" s="763"/>
      <c r="E1282" s="763"/>
      <c r="F1282" s="764"/>
      <c r="G1282" s="763" t="s">
        <v>146</v>
      </c>
      <c r="H1282" s="763"/>
      <c r="I1282" s="765"/>
      <c r="J1282" s="763"/>
      <c r="K1282" s="763" t="s">
        <v>3</v>
      </c>
      <c r="L1282" s="766" t="s">
        <v>143</v>
      </c>
      <c r="M1282" s="766"/>
      <c r="N1282" s="766"/>
      <c r="O1282" s="766"/>
      <c r="P1282" s="766"/>
      <c r="Q1282" s="767"/>
      <c r="R1282" s="768">
        <f ca="1">SUM(R1278:R1281)</f>
        <v>0</v>
      </c>
      <c r="S1282" s="763"/>
      <c r="T1282" s="768">
        <f ca="1">SUM(T1278:T1281)</f>
        <v>0</v>
      </c>
      <c r="U1282" s="531"/>
      <c r="V1282" s="531"/>
      <c r="W1282" s="531"/>
      <c r="X1282" s="531"/>
      <c r="Y1282" s="531"/>
      <c r="Z1282" s="531"/>
      <c r="AA1282" s="531"/>
      <c r="AB1282" s="531"/>
      <c r="AC1282" s="531"/>
      <c r="AD1282" s="531"/>
      <c r="AE1282" s="531"/>
      <c r="AF1282" s="531"/>
      <c r="AG1282" s="531"/>
      <c r="AH1282" s="531"/>
      <c r="AI1282" s="531"/>
      <c r="AJ1282" s="531"/>
      <c r="AK1282" s="531"/>
      <c r="AL1282" s="531"/>
      <c r="AM1282" s="531"/>
      <c r="AN1282" s="531"/>
      <c r="AO1282" s="531"/>
      <c r="AR1282" s="761" t="s">
        <v>145</v>
      </c>
      <c r="AS1282" s="764"/>
    </row>
    <row r="1283" spans="1:45" s="520" customFormat="1" ht="12" thickTop="1">
      <c r="A1283" s="51"/>
      <c r="B1283" s="41"/>
      <c r="C1283" s="51"/>
      <c r="E1283" s="42" t="s">
        <v>138</v>
      </c>
      <c r="F1283" s="42" t="s">
        <v>139</v>
      </c>
      <c r="G1283" s="51"/>
      <c r="H1283" s="51"/>
      <c r="I1283" s="51"/>
      <c r="J1283" s="51"/>
      <c r="K1283" s="51" t="s">
        <v>140</v>
      </c>
      <c r="L1283" s="51"/>
      <c r="M1283" s="51"/>
      <c r="N1283" s="51"/>
      <c r="O1283" s="52"/>
      <c r="P1283" s="51"/>
      <c r="Q1283" s="51"/>
      <c r="R1283" s="51"/>
      <c r="S1283" s="51"/>
      <c r="T1283" s="41"/>
      <c r="AG1283" s="521" t="s">
        <v>268</v>
      </c>
      <c r="AH1283" s="521" t="s">
        <v>269</v>
      </c>
      <c r="AI1283" s="521" t="s">
        <v>270</v>
      </c>
      <c r="AJ1283" s="521" t="s">
        <v>271</v>
      </c>
      <c r="AK1283" s="521" t="s">
        <v>272</v>
      </c>
      <c r="AM1283" s="745" t="s">
        <v>281</v>
      </c>
      <c r="AN1283" s="746" t="s">
        <v>282</v>
      </c>
      <c r="AO1283" s="522" t="s">
        <v>278</v>
      </c>
      <c r="AR1283" s="51"/>
      <c r="AS1283" s="42" t="s">
        <v>139</v>
      </c>
    </row>
    <row r="1284" spans="1:45" s="520" customFormat="1" ht="12" customHeight="1">
      <c r="A1284" s="747">
        <v>50</v>
      </c>
      <c r="B1284" s="523" t="s">
        <v>320</v>
      </c>
      <c r="C1284" s="748"/>
      <c r="D1284" s="749" t="s">
        <v>1285</v>
      </c>
      <c r="E1284" s="750">
        <f ca="1">IF(AND($A1284=0,$A$1="DIF"),0, ROUND(ROUND(($R1289*$S$2+($T1289*$T$2))/A1284,2)*$C$2,2))</f>
        <v>9.9499999999999993</v>
      </c>
      <c r="F1284" s="751">
        <f ca="1">ROUND($A1284*$E1284,2)</f>
        <v>497.5</v>
      </c>
      <c r="G1284" s="752" t="s">
        <v>142</v>
      </c>
      <c r="H1284" s="753"/>
      <c r="I1284" s="754"/>
      <c r="J1284" s="753"/>
      <c r="K1284" s="753" t="s">
        <v>3</v>
      </c>
      <c r="L1284" s="755" t="s">
        <v>143</v>
      </c>
      <c r="M1284" s="755"/>
      <c r="N1284" s="755"/>
      <c r="O1284" s="755"/>
      <c r="P1284" s="755"/>
      <c r="Q1284" s="51"/>
      <c r="T1284" s="756" t="str">
        <f ca="1">IF(AND($R1289=0,$T1289=0),"0.00","mu :" &amp; ROUND($F1284/$C$2/($R1289+$T1289*$D$9),2))</f>
        <v>mu :1.23</v>
      </c>
      <c r="W1284" s="524"/>
      <c r="AG1284" s="481">
        <f ca="1">IF($E1284=0,0,ROUND($R1289*$S$2*$C$2/$A1284,2))</f>
        <v>6.91</v>
      </c>
      <c r="AH1284" s="481">
        <f ca="1">$AG1284*$A1284</f>
        <v>345.5</v>
      </c>
      <c r="AI1284" s="525">
        <f ca="1">$E1284-$AG1284</f>
        <v>3.0399999999999991</v>
      </c>
      <c r="AJ1284" s="525">
        <f ca="1">$A1284*$AI1284</f>
        <v>151.99999999999994</v>
      </c>
      <c r="AK1284" s="526">
        <f ca="1">ROUND(($AG1284+$AI1284)*$A1284,2)</f>
        <v>497.5</v>
      </c>
      <c r="AM1284" s="527">
        <f ca="1">ROUND(R1289,2)</f>
        <v>280.5</v>
      </c>
      <c r="AN1284" s="528">
        <f ca="1">ROUND(T1289,2)</f>
        <v>4.5</v>
      </c>
      <c r="AO1284" s="529">
        <f ca="1">ROUND(AM1284+AN1284,2)*A1284</f>
        <v>14250</v>
      </c>
      <c r="AR1284" s="747">
        <v>50</v>
      </c>
      <c r="AS1284" s="751">
        <v>514.5</v>
      </c>
    </row>
    <row r="1285" spans="1:45" s="520" customFormat="1" ht="13.2">
      <c r="A1285" s="748"/>
      <c r="B1285"/>
      <c r="C1285" s="748"/>
      <c r="D1285" s="749" t="s">
        <v>1286</v>
      </c>
      <c r="F1285" s="753"/>
      <c r="G1285" s="3"/>
      <c r="H1285" s="753"/>
      <c r="I1285" s="754"/>
      <c r="J1285" s="753"/>
      <c r="K1285" s="753" t="s">
        <v>144</v>
      </c>
      <c r="L1285" s="753"/>
      <c r="M1285" s="753"/>
      <c r="N1285" s="753"/>
      <c r="O1285" s="753"/>
      <c r="P1285" s="753"/>
      <c r="Q1285" s="51"/>
      <c r="R1285" s="530"/>
      <c r="S1285" s="757"/>
      <c r="T1285" s="753"/>
      <c r="AR1285" s="748"/>
      <c r="AS1285" s="753"/>
    </row>
    <row r="1286" spans="1:45" s="886" customFormat="1" ht="13.2">
      <c r="A1286"/>
      <c r="B1286" s="910"/>
      <c r="C1286" s="910" t="s">
        <v>2597</v>
      </c>
      <c r="D1286" s="910" t="str">
        <f ca="1">CELL("Address",Elec_Rates!D$437)</f>
        <v>[E25_0062_Quintano_Foods_Elec_ELV_As_Awarded.xlsx]Elec_Rates!$D$437</v>
      </c>
      <c r="E1286" s="911"/>
      <c r="F1286" s="911"/>
      <c r="G1286" s="912" t="s">
        <v>2598</v>
      </c>
      <c r="H1286" s="912"/>
      <c r="I1286" s="912"/>
      <c r="J1286" s="912"/>
      <c r="K1286" s="913"/>
      <c r="L1286" s="911"/>
      <c r="M1286" s="911"/>
      <c r="N1286" s="911"/>
      <c r="O1286" s="914"/>
      <c r="P1286" s="911"/>
      <c r="Q1286" s="915"/>
      <c r="R1286" s="916"/>
      <c r="S1286" s="915"/>
      <c r="T1286" s="917"/>
      <c r="U1286" s="918"/>
      <c r="AR1286"/>
      <c r="AS1286" s="911"/>
    </row>
    <row r="1287" spans="1:45" s="886" customFormat="1" ht="11.4">
      <c r="A1287" s="919">
        <v>50</v>
      </c>
      <c r="B1287" s="920">
        <v>1</v>
      </c>
      <c r="C1287" s="920">
        <f>$A1287*$B1287</f>
        <v>50</v>
      </c>
      <c r="D1287" s="921" t="str">
        <f>Elec_Rates!$D$437</f>
        <v>042# 5 x 6mm2 XLPE/SWA/LSZH</v>
      </c>
      <c r="E1287" s="921"/>
      <c r="F1287" s="921" t="s">
        <v>2599</v>
      </c>
      <c r="G1287" s="922" t="s">
        <v>2601</v>
      </c>
      <c r="H1287" s="922"/>
      <c r="I1287" s="922"/>
      <c r="J1287" s="922"/>
      <c r="K1287" s="923"/>
      <c r="L1287" s="918"/>
      <c r="M1287" s="918"/>
      <c r="N1287" s="918"/>
      <c r="O1287" s="924"/>
      <c r="P1287" s="921"/>
      <c r="Q1287" s="925">
        <f ca="1">$B1287*Elec_Rates!$R$437</f>
        <v>5.61</v>
      </c>
      <c r="R1287" s="916">
        <f ca="1">$A1287*Q1287</f>
        <v>280.5</v>
      </c>
      <c r="S1287" s="925">
        <f ca="1">$B1287*Elec_Rates!$T$437</f>
        <v>0.09</v>
      </c>
      <c r="T1287" s="917">
        <f ca="1">$A1287*S1287</f>
        <v>4.5</v>
      </c>
      <c r="U1287" s="926"/>
      <c r="AR1287" s="919">
        <v>50</v>
      </c>
      <c r="AS1287" s="921" t="s">
        <v>2599</v>
      </c>
    </row>
    <row r="1288" spans="1:45" s="520" customFormat="1" ht="12">
      <c r="A1288" s="758"/>
      <c r="B1288" s="758"/>
      <c r="C1288" s="758"/>
      <c r="D1288" s="758"/>
      <c r="E1288" s="758"/>
      <c r="F1288" s="753"/>
      <c r="G1288" s="758"/>
      <c r="H1288" s="758"/>
      <c r="I1288" s="519"/>
      <c r="J1288" s="758"/>
      <c r="K1288" s="758"/>
      <c r="L1288" s="758"/>
      <c r="M1288" s="758"/>
      <c r="N1288" s="758"/>
      <c r="O1288" s="758"/>
      <c r="P1288" s="758"/>
      <c r="Q1288" s="519"/>
      <c r="R1288" s="759">
        <f>$A1288*Q1288</f>
        <v>0</v>
      </c>
      <c r="S1288" s="519"/>
      <c r="T1288" s="760">
        <f>$A1288*S1288*$T$1</f>
        <v>0</v>
      </c>
      <c r="AR1288" s="758"/>
      <c r="AS1288" s="753"/>
    </row>
    <row r="1289" spans="1:45" s="520" customFormat="1" ht="12.6" thickBot="1">
      <c r="A1289" s="761" t="s">
        <v>145</v>
      </c>
      <c r="B1289" s="762">
        <f>(R1288+T1288)</f>
        <v>0</v>
      </c>
      <c r="C1289" s="763"/>
      <c r="D1289" s="763"/>
      <c r="E1289" s="763"/>
      <c r="F1289" s="764"/>
      <c r="G1289" s="763" t="s">
        <v>146</v>
      </c>
      <c r="H1289" s="763"/>
      <c r="I1289" s="765"/>
      <c r="J1289" s="763"/>
      <c r="K1289" s="763" t="s">
        <v>3</v>
      </c>
      <c r="L1289" s="766" t="s">
        <v>143</v>
      </c>
      <c r="M1289" s="766"/>
      <c r="N1289" s="766"/>
      <c r="O1289" s="766"/>
      <c r="P1289" s="766"/>
      <c r="Q1289" s="767"/>
      <c r="R1289" s="768">
        <f ca="1">SUM(R1285:R1288)</f>
        <v>280.5</v>
      </c>
      <c r="S1289" s="763"/>
      <c r="T1289" s="768">
        <f ca="1">SUM(T1285:T1288)</f>
        <v>4.5</v>
      </c>
      <c r="U1289" s="531"/>
      <c r="V1289" s="531"/>
      <c r="W1289" s="531"/>
      <c r="X1289" s="531"/>
      <c r="Y1289" s="531"/>
      <c r="Z1289" s="531"/>
      <c r="AA1289" s="531"/>
      <c r="AB1289" s="531"/>
      <c r="AC1289" s="531"/>
      <c r="AD1289" s="531"/>
      <c r="AE1289" s="531"/>
      <c r="AF1289" s="531"/>
      <c r="AG1289" s="531"/>
      <c r="AH1289" s="531"/>
      <c r="AI1289" s="531"/>
      <c r="AJ1289" s="531"/>
      <c r="AK1289" s="531"/>
      <c r="AL1289" s="531"/>
      <c r="AM1289" s="531"/>
      <c r="AN1289" s="531"/>
      <c r="AO1289" s="531"/>
      <c r="AR1289" s="761" t="s">
        <v>145</v>
      </c>
      <c r="AS1289" s="764"/>
    </row>
    <row r="1290" spans="1:45" s="520" customFormat="1" ht="12" thickTop="1">
      <c r="A1290" s="51"/>
      <c r="B1290" s="41"/>
      <c r="C1290" s="51"/>
      <c r="E1290" s="42" t="s">
        <v>138</v>
      </c>
      <c r="F1290" s="42" t="s">
        <v>139</v>
      </c>
      <c r="G1290" s="51"/>
      <c r="H1290" s="51"/>
      <c r="I1290" s="51"/>
      <c r="J1290" s="51"/>
      <c r="K1290" s="51" t="s">
        <v>140</v>
      </c>
      <c r="L1290" s="51"/>
      <c r="M1290" s="51"/>
      <c r="N1290" s="51"/>
      <c r="O1290" s="52"/>
      <c r="P1290" s="51"/>
      <c r="Q1290" s="51"/>
      <c r="R1290" s="51"/>
      <c r="S1290" s="51"/>
      <c r="T1290" s="41"/>
      <c r="AG1290" s="521" t="s">
        <v>268</v>
      </c>
      <c r="AH1290" s="521" t="s">
        <v>269</v>
      </c>
      <c r="AI1290" s="521" t="s">
        <v>270</v>
      </c>
      <c r="AJ1290" s="521" t="s">
        <v>271</v>
      </c>
      <c r="AK1290" s="521" t="s">
        <v>272</v>
      </c>
      <c r="AM1290" s="745" t="s">
        <v>281</v>
      </c>
      <c r="AN1290" s="746" t="s">
        <v>282</v>
      </c>
      <c r="AO1290" s="522" t="s">
        <v>278</v>
      </c>
      <c r="AR1290" s="51"/>
      <c r="AS1290" s="42" t="s">
        <v>139</v>
      </c>
    </row>
    <row r="1291" spans="1:45" s="520" customFormat="1" ht="12" customHeight="1">
      <c r="A1291" s="747">
        <v>50</v>
      </c>
      <c r="B1291" s="523" t="s">
        <v>320</v>
      </c>
      <c r="C1291" s="748"/>
      <c r="D1291" s="749" t="s">
        <v>1287</v>
      </c>
      <c r="E1291" s="750">
        <f ca="1">IF(AND($A1291=0,$A$1="DIF"),0, ROUND(ROUND(($R1296*$S$2+($T1296*$T$2))/A1291,2)*$C$2,2))</f>
        <v>0</v>
      </c>
      <c r="F1291" s="751">
        <f ca="1">ROUND($A1291*$E1291,2)</f>
        <v>0</v>
      </c>
      <c r="G1291" s="752" t="s">
        <v>142</v>
      </c>
      <c r="H1291" s="753"/>
      <c r="I1291" s="754"/>
      <c r="J1291" s="753"/>
      <c r="K1291" s="753" t="s">
        <v>3</v>
      </c>
      <c r="L1291" s="755" t="s">
        <v>143</v>
      </c>
      <c r="M1291" s="755"/>
      <c r="N1291" s="755"/>
      <c r="O1291" s="755"/>
      <c r="P1291" s="755"/>
      <c r="Q1291" s="1058" t="s">
        <v>3848</v>
      </c>
      <c r="T1291" s="756" t="str">
        <f ca="1">IF(AND($R1296=0,$T1296=0),"0.00","mu :" &amp; ROUND($F1291/$C$2/($R1296+$T1296*$D$9),2))</f>
        <v>0.00</v>
      </c>
      <c r="W1291" s="524"/>
      <c r="AG1291" s="481">
        <f ca="1">IF($E1291=0,0,ROUND($R1296*$S$2*$C$2/$A1291,2))</f>
        <v>0</v>
      </c>
      <c r="AH1291" s="481">
        <f ca="1">$AG1291*$A1291</f>
        <v>0</v>
      </c>
      <c r="AI1291" s="525">
        <f ca="1">$E1291-$AG1291</f>
        <v>0</v>
      </c>
      <c r="AJ1291" s="525">
        <f ca="1">$A1291*$AI1291</f>
        <v>0</v>
      </c>
      <c r="AK1291" s="526">
        <f ca="1">ROUND(($AG1291+$AI1291)*$A1291,2)</f>
        <v>0</v>
      </c>
      <c r="AM1291" s="527">
        <f ca="1">ROUND(R1296,2)</f>
        <v>0</v>
      </c>
      <c r="AN1291" s="528">
        <f ca="1">ROUND(T1296,2)</f>
        <v>0</v>
      </c>
      <c r="AO1291" s="529">
        <f ca="1">ROUND(AM1291+AN1291,2)*A1291</f>
        <v>0</v>
      </c>
      <c r="AR1291" s="747">
        <v>50</v>
      </c>
      <c r="AS1291" s="751">
        <v>514.5</v>
      </c>
    </row>
    <row r="1292" spans="1:45" s="520" customFormat="1" ht="13.2">
      <c r="A1292" s="748"/>
      <c r="B1292"/>
      <c r="C1292" s="748"/>
      <c r="D1292" s="749" t="s">
        <v>1288</v>
      </c>
      <c r="F1292" s="753"/>
      <c r="G1292" s="3"/>
      <c r="H1292" s="753"/>
      <c r="I1292" s="754"/>
      <c r="J1292" s="753"/>
      <c r="K1292" s="753" t="s">
        <v>144</v>
      </c>
      <c r="L1292" s="753"/>
      <c r="M1292" s="753"/>
      <c r="N1292" s="753"/>
      <c r="O1292" s="753"/>
      <c r="P1292" s="753"/>
      <c r="Q1292" s="51"/>
      <c r="R1292" s="530"/>
      <c r="S1292" s="757"/>
      <c r="T1292" s="753"/>
      <c r="AR1292" s="748"/>
      <c r="AS1292" s="753"/>
    </row>
    <row r="1293" spans="1:45" s="1336" customFormat="1" ht="13.2">
      <c r="A1293" s="1086"/>
      <c r="B1293" s="1328"/>
      <c r="C1293" s="1328" t="s">
        <v>2597</v>
      </c>
      <c r="D1293" s="1328" t="str">
        <f ca="1">CELL("Address",Elec_Rates!D$437)</f>
        <v>[E25_0062_Quintano_Foods_Elec_ELV_As_Awarded.xlsx]Elec_Rates!$D$437</v>
      </c>
      <c r="E1293" s="1060"/>
      <c r="F1293" s="1060"/>
      <c r="G1293" s="1329" t="s">
        <v>2598</v>
      </c>
      <c r="H1293" s="1329"/>
      <c r="I1293" s="1329"/>
      <c r="J1293" s="1329"/>
      <c r="K1293" s="1330"/>
      <c r="L1293" s="1060"/>
      <c r="M1293" s="1060"/>
      <c r="N1293" s="1060"/>
      <c r="O1293" s="1331"/>
      <c r="P1293" s="1060"/>
      <c r="Q1293" s="1332"/>
      <c r="R1293" s="1333"/>
      <c r="S1293" s="1332"/>
      <c r="T1293" s="1334"/>
      <c r="U1293" s="1335"/>
      <c r="AR1293" s="1086"/>
      <c r="AS1293" s="1060"/>
    </row>
    <row r="1294" spans="1:45" s="1336" customFormat="1" ht="11.4">
      <c r="A1294" s="1337">
        <v>0</v>
      </c>
      <c r="B1294" s="1338">
        <v>1</v>
      </c>
      <c r="C1294" s="1338">
        <f>$A1294*$B1294</f>
        <v>0</v>
      </c>
      <c r="D1294" s="1339" t="str">
        <f>Elec_Rates!$D$437</f>
        <v>042# 5 x 6mm2 XLPE/SWA/LSZH</v>
      </c>
      <c r="E1294" s="1339"/>
      <c r="F1294" s="1339" t="s">
        <v>2599</v>
      </c>
      <c r="G1294" s="1340" t="s">
        <v>2601</v>
      </c>
      <c r="H1294" s="1340"/>
      <c r="I1294" s="1340"/>
      <c r="J1294" s="1340"/>
      <c r="K1294" s="1341"/>
      <c r="L1294" s="1335"/>
      <c r="M1294" s="1335"/>
      <c r="N1294" s="1335"/>
      <c r="O1294" s="1342"/>
      <c r="P1294" s="1339"/>
      <c r="Q1294" s="1343">
        <f ca="1">$B1294*Elec_Rates!$R$437</f>
        <v>5.61</v>
      </c>
      <c r="R1294" s="1333">
        <f ca="1">$A1294*Q1294</f>
        <v>0</v>
      </c>
      <c r="S1294" s="1343">
        <f ca="1">$B1294*Elec_Rates!$T$437</f>
        <v>0.09</v>
      </c>
      <c r="T1294" s="1334">
        <f ca="1">$A1294*S1294</f>
        <v>0</v>
      </c>
      <c r="U1294" s="1344"/>
      <c r="AR1294" s="1337">
        <v>50</v>
      </c>
      <c r="AS1294" s="1339" t="s">
        <v>2599</v>
      </c>
    </row>
    <row r="1295" spans="1:45" s="520" customFormat="1" ht="12">
      <c r="A1295" s="758"/>
      <c r="B1295" s="758"/>
      <c r="C1295" s="758"/>
      <c r="D1295" s="758"/>
      <c r="E1295" s="758"/>
      <c r="F1295" s="753"/>
      <c r="G1295" s="758"/>
      <c r="H1295" s="758"/>
      <c r="I1295" s="519"/>
      <c r="J1295" s="758"/>
      <c r="K1295" s="758"/>
      <c r="L1295" s="758"/>
      <c r="M1295" s="758"/>
      <c r="N1295" s="758"/>
      <c r="O1295" s="758"/>
      <c r="P1295" s="758"/>
      <c r="Q1295" s="519"/>
      <c r="R1295" s="759">
        <f>$A1295*Q1295</f>
        <v>0</v>
      </c>
      <c r="S1295" s="519"/>
      <c r="T1295" s="760">
        <f>$A1295*S1295*$T$1</f>
        <v>0</v>
      </c>
      <c r="AR1295" s="758"/>
      <c r="AS1295" s="753"/>
    </row>
    <row r="1296" spans="1:45" s="520" customFormat="1" ht="12.6" thickBot="1">
      <c r="A1296" s="761" t="s">
        <v>145</v>
      </c>
      <c r="B1296" s="762">
        <f>(R1295+T1295)</f>
        <v>0</v>
      </c>
      <c r="C1296" s="763"/>
      <c r="D1296" s="763"/>
      <c r="E1296" s="763"/>
      <c r="F1296" s="764"/>
      <c r="G1296" s="763" t="s">
        <v>146</v>
      </c>
      <c r="H1296" s="763"/>
      <c r="I1296" s="765"/>
      <c r="J1296" s="763"/>
      <c r="K1296" s="763" t="s">
        <v>3</v>
      </c>
      <c r="L1296" s="766" t="s">
        <v>143</v>
      </c>
      <c r="M1296" s="766"/>
      <c r="N1296" s="766"/>
      <c r="O1296" s="766"/>
      <c r="P1296" s="766"/>
      <c r="Q1296" s="767"/>
      <c r="R1296" s="768">
        <f ca="1">SUM(R1292:R1295)</f>
        <v>0</v>
      </c>
      <c r="S1296" s="763"/>
      <c r="T1296" s="768">
        <f ca="1">SUM(T1292:T1295)</f>
        <v>0</v>
      </c>
      <c r="U1296" s="531"/>
      <c r="V1296" s="531"/>
      <c r="W1296" s="531"/>
      <c r="X1296" s="531"/>
      <c r="Y1296" s="531"/>
      <c r="Z1296" s="531"/>
      <c r="AA1296" s="531"/>
      <c r="AB1296" s="531"/>
      <c r="AC1296" s="531"/>
      <c r="AD1296" s="531"/>
      <c r="AE1296" s="531"/>
      <c r="AF1296" s="531"/>
      <c r="AG1296" s="531"/>
      <c r="AH1296" s="531"/>
      <c r="AI1296" s="531"/>
      <c r="AJ1296" s="531"/>
      <c r="AK1296" s="531"/>
      <c r="AL1296" s="531"/>
      <c r="AM1296" s="531"/>
      <c r="AN1296" s="531"/>
      <c r="AO1296" s="531"/>
      <c r="AR1296" s="761" t="s">
        <v>145</v>
      </c>
      <c r="AS1296" s="764"/>
    </row>
    <row r="1297" spans="1:45" s="520" customFormat="1" thickTop="1">
      <c r="A1297" s="51"/>
      <c r="B1297" s="51"/>
      <c r="C1297" s="3"/>
      <c r="D1297" s="3"/>
      <c r="E1297" s="51"/>
      <c r="F1297" s="51"/>
      <c r="G1297" s="51"/>
      <c r="H1297" s="51"/>
      <c r="I1297" s="51"/>
      <c r="J1297" s="51"/>
      <c r="K1297" s="51" t="s">
        <v>134</v>
      </c>
      <c r="L1297" s="51"/>
      <c r="M1297" s="51"/>
      <c r="N1297" s="51"/>
      <c r="O1297" s="52"/>
      <c r="P1297" s="51"/>
      <c r="Q1297" s="51"/>
      <c r="R1297" s="51"/>
      <c r="S1297" s="51"/>
      <c r="T1297" s="51"/>
      <c r="AR1297" s="51"/>
      <c r="AS1297" s="51"/>
    </row>
    <row r="1298" spans="1:45" s="520" customFormat="1" ht="12">
      <c r="A1298" s="51"/>
      <c r="B1298" s="51"/>
      <c r="C1298" s="51" t="s">
        <v>135</v>
      </c>
      <c r="D1298" s="37"/>
      <c r="E1298" s="51"/>
      <c r="F1298" s="51"/>
      <c r="G1298" s="51"/>
      <c r="H1298" s="51"/>
      <c r="I1298" s="51"/>
      <c r="J1298" s="51"/>
      <c r="K1298" s="51"/>
      <c r="L1298" s="51"/>
      <c r="M1298" s="51"/>
      <c r="N1298" s="51"/>
      <c r="O1298" s="52"/>
      <c r="P1298" s="51"/>
      <c r="Q1298" s="51"/>
      <c r="R1298" s="51"/>
      <c r="S1298" s="51"/>
      <c r="T1298" s="51"/>
      <c r="AR1298" s="51"/>
      <c r="AS1298" s="51"/>
    </row>
    <row r="1299" spans="1:45" s="520" customFormat="1" ht="12">
      <c r="A1299" s="51"/>
      <c r="B1299" s="51"/>
      <c r="C1299" s="51"/>
      <c r="D1299" s="37" t="s">
        <v>463</v>
      </c>
      <c r="E1299" s="51"/>
      <c r="F1299" s="51"/>
      <c r="G1299" s="51"/>
      <c r="H1299" s="51"/>
      <c r="I1299" s="51"/>
      <c r="J1299" s="51"/>
      <c r="K1299" s="51"/>
      <c r="L1299" s="51"/>
      <c r="M1299" s="51"/>
      <c r="N1299" s="51"/>
      <c r="O1299" s="52"/>
      <c r="P1299" s="51"/>
      <c r="Q1299" s="51"/>
      <c r="R1299" s="51"/>
      <c r="S1299" s="38"/>
      <c r="T1299" s="38"/>
      <c r="AR1299" s="51"/>
      <c r="AS1299" s="51"/>
    </row>
    <row r="1300" spans="1:45" s="3" customFormat="1" thickBot="1">
      <c r="A1300" s="531"/>
      <c r="O1300" s="107"/>
      <c r="AR1300" s="531"/>
    </row>
    <row r="1301" spans="1:45" s="520" customFormat="1" ht="12" thickTop="1">
      <c r="A1301" s="51"/>
      <c r="B1301" s="41"/>
      <c r="C1301" s="51"/>
      <c r="E1301" s="42" t="s">
        <v>138</v>
      </c>
      <c r="F1301" s="42" t="s">
        <v>139</v>
      </c>
      <c r="G1301" s="51"/>
      <c r="H1301" s="51"/>
      <c r="I1301" s="51"/>
      <c r="J1301" s="51"/>
      <c r="K1301" s="51" t="s">
        <v>140</v>
      </c>
      <c r="L1301" s="51"/>
      <c r="M1301" s="51"/>
      <c r="N1301" s="51"/>
      <c r="O1301" s="52"/>
      <c r="P1301" s="51"/>
      <c r="Q1301" s="51"/>
      <c r="R1301" s="51"/>
      <c r="S1301" s="51"/>
      <c r="T1301" s="41"/>
      <c r="AG1301" s="521" t="s">
        <v>268</v>
      </c>
      <c r="AH1301" s="521" t="s">
        <v>269</v>
      </c>
      <c r="AI1301" s="521" t="s">
        <v>270</v>
      </c>
      <c r="AJ1301" s="521" t="s">
        <v>271</v>
      </c>
      <c r="AK1301" s="521" t="s">
        <v>272</v>
      </c>
      <c r="AM1301" s="745" t="s">
        <v>281</v>
      </c>
      <c r="AN1301" s="746" t="s">
        <v>282</v>
      </c>
      <c r="AO1301" s="522" t="s">
        <v>278</v>
      </c>
      <c r="AR1301" s="51"/>
      <c r="AS1301" s="42" t="s">
        <v>139</v>
      </c>
    </row>
    <row r="1302" spans="1:45" s="520" customFormat="1" ht="12" customHeight="1">
      <c r="A1302" s="747">
        <v>5</v>
      </c>
      <c r="B1302" s="523" t="s">
        <v>141</v>
      </c>
      <c r="C1302" s="748"/>
      <c r="D1302" s="749" t="s">
        <v>1289</v>
      </c>
      <c r="E1302" s="750">
        <f ca="1">IF(AND($A1302=0,$A$1="DIF"),0, ROUND(ROUND(($R1307*$S$2+($T1307*$T$2))/A1302,2)*$C$2,2))</f>
        <v>104.97</v>
      </c>
      <c r="F1302" s="751">
        <f ca="1">ROUND($A1302*$E1302,2)</f>
        <v>524.85</v>
      </c>
      <c r="G1302" s="752" t="s">
        <v>142</v>
      </c>
      <c r="H1302" s="753"/>
      <c r="I1302" s="754"/>
      <c r="J1302" s="753"/>
      <c r="K1302" s="753" t="s">
        <v>3</v>
      </c>
      <c r="L1302" s="755" t="s">
        <v>143</v>
      </c>
      <c r="M1302" s="755"/>
      <c r="N1302" s="755"/>
      <c r="O1302" s="755"/>
      <c r="P1302" s="755"/>
      <c r="Q1302" s="51"/>
      <c r="T1302" s="756" t="str">
        <f ca="1">IF(AND($R1307=0,$T1307=0),"0.00","mu :" &amp; ROUND($F1302/$C$2/($R1307+$T1307*$D$9),2))</f>
        <v>mu :1.23</v>
      </c>
      <c r="W1302" s="524"/>
      <c r="AG1302" s="481">
        <f ca="1">IF($E1302=0,0,ROUND($R1307*$S$2*$C$2/$A1302,2))</f>
        <v>72.849999999999994</v>
      </c>
      <c r="AH1302" s="481">
        <f ca="1">$AG1302*$A1302</f>
        <v>364.25</v>
      </c>
      <c r="AI1302" s="525">
        <f ca="1">$E1302-$AG1302</f>
        <v>32.120000000000005</v>
      </c>
      <c r="AJ1302" s="525">
        <f ca="1">$A1302*$AI1302</f>
        <v>160.60000000000002</v>
      </c>
      <c r="AK1302" s="526">
        <f ca="1">ROUND(($AG1302+$AI1302)*$A1302,2)</f>
        <v>524.85</v>
      </c>
      <c r="AM1302" s="527">
        <f ca="1">ROUND(R1307,2)</f>
        <v>295.8</v>
      </c>
      <c r="AN1302" s="528">
        <f ca="1">ROUND(T1307,2)</f>
        <v>4.75</v>
      </c>
      <c r="AO1302" s="529">
        <f ca="1">ROUND(AM1302+AN1302,2)*A1302</f>
        <v>1502.75</v>
      </c>
      <c r="AR1302" s="747">
        <v>9</v>
      </c>
      <c r="AS1302" s="751">
        <v>975.15</v>
      </c>
    </row>
    <row r="1303" spans="1:45" s="520" customFormat="1" ht="13.2">
      <c r="A1303" s="748"/>
      <c r="B1303"/>
      <c r="C1303" s="748"/>
      <c r="D1303" s="749" t="s">
        <v>1221</v>
      </c>
      <c r="F1303" s="753"/>
      <c r="G1303" s="3"/>
      <c r="H1303" s="753"/>
      <c r="I1303" s="754"/>
      <c r="J1303" s="753"/>
      <c r="K1303" s="753" t="s">
        <v>144</v>
      </c>
      <c r="L1303" s="753"/>
      <c r="M1303" s="753"/>
      <c r="N1303" s="753"/>
      <c r="O1303" s="753"/>
      <c r="P1303" s="753"/>
      <c r="Q1303" s="51"/>
      <c r="R1303" s="530"/>
      <c r="S1303" s="757"/>
      <c r="T1303" s="753"/>
      <c r="AR1303" s="748"/>
      <c r="AS1303" s="753"/>
    </row>
    <row r="1304" spans="1:45" s="520" customFormat="1" ht="12">
      <c r="A1304" s="51"/>
      <c r="B1304" s="758"/>
      <c r="C1304" s="753" t="s">
        <v>2597</v>
      </c>
      <c r="D1304" s="753" t="str">
        <f ca="1">CELL("Address",Elec_Rates!$D$219)</f>
        <v>[E25_0062_Quintano_Foods_Elec_ELV_As_Awarded.xlsx]Elec_Rates!$D$219</v>
      </c>
      <c r="E1304" s="758"/>
      <c r="F1304" s="753"/>
      <c r="G1304" s="1049" t="s">
        <v>2598</v>
      </c>
      <c r="H1304" s="1050"/>
      <c r="I1304" s="1051"/>
      <c r="J1304" s="1050"/>
      <c r="K1304" s="1050"/>
      <c r="L1304" s="758"/>
      <c r="M1304" s="758"/>
      <c r="N1304" s="758"/>
      <c r="O1304" s="758"/>
      <c r="P1304" s="758"/>
      <c r="Q1304" s="519"/>
      <c r="R1304" s="759"/>
      <c r="S1304" s="519"/>
      <c r="T1304" s="760"/>
      <c r="AR1304" s="51"/>
      <c r="AS1304" s="753"/>
    </row>
    <row r="1305" spans="1:45" s="520" customFormat="1" ht="11.4">
      <c r="A1305" s="51">
        <v>5</v>
      </c>
      <c r="B1305" s="519">
        <v>1</v>
      </c>
      <c r="C1305" s="519">
        <f>$A1305*$B1305</f>
        <v>5</v>
      </c>
      <c r="D1305" s="1048" t="str">
        <f>Elec_Rates!$D$219</f>
        <v>021# 3-Phase 40A Isolator</v>
      </c>
      <c r="E1305" s="1048"/>
      <c r="F1305" s="1048" t="s">
        <v>2733</v>
      </c>
      <c r="G1305" s="1050" t="s">
        <v>2600</v>
      </c>
      <c r="H1305" s="1050"/>
      <c r="I1305" s="1051"/>
      <c r="J1305" s="1050"/>
      <c r="K1305" s="1050"/>
      <c r="L1305" s="758"/>
      <c r="M1305" s="758"/>
      <c r="N1305" s="758"/>
      <c r="O1305" s="758"/>
      <c r="P1305" s="758"/>
      <c r="Q1305" s="1052">
        <f ca="1">$B1305*Elec_Rates!$R$219</f>
        <v>59.16</v>
      </c>
      <c r="R1305" s="759">
        <f ca="1">$A1305*Q1305</f>
        <v>295.79999999999995</v>
      </c>
      <c r="S1305" s="1052">
        <f ca="1">$B1305*Elec_Rates!$T$219</f>
        <v>0.95</v>
      </c>
      <c r="T1305" s="917">
        <f ca="1">$A1305*S1305</f>
        <v>4.75</v>
      </c>
      <c r="AR1305" s="51">
        <v>9</v>
      </c>
      <c r="AS1305" s="1048" t="s">
        <v>2733</v>
      </c>
    </row>
    <row r="1306" spans="1:45" s="520" customFormat="1" ht="12">
      <c r="A1306" s="758"/>
      <c r="B1306" s="758"/>
      <c r="C1306" s="758"/>
      <c r="D1306" s="758"/>
      <c r="E1306" s="758"/>
      <c r="F1306" s="753"/>
      <c r="G1306" s="758"/>
      <c r="H1306" s="758"/>
      <c r="I1306" s="519"/>
      <c r="J1306" s="758"/>
      <c r="K1306" s="758"/>
      <c r="L1306" s="758"/>
      <c r="M1306" s="758"/>
      <c r="N1306" s="758"/>
      <c r="O1306" s="758"/>
      <c r="P1306" s="758"/>
      <c r="Q1306" s="519"/>
      <c r="R1306" s="759">
        <f>$A1306*Q1306</f>
        <v>0</v>
      </c>
      <c r="S1306" s="519"/>
      <c r="T1306" s="760">
        <f>$A1306*S1306*$T$1</f>
        <v>0</v>
      </c>
      <c r="AR1306" s="758"/>
      <c r="AS1306" s="753"/>
    </row>
    <row r="1307" spans="1:45" s="520" customFormat="1" ht="12.6" thickBot="1">
      <c r="A1307" s="761" t="s">
        <v>145</v>
      </c>
      <c r="B1307" s="762">
        <f>(R1306+T1306)</f>
        <v>0</v>
      </c>
      <c r="C1307" s="763"/>
      <c r="D1307" s="763"/>
      <c r="E1307" s="763"/>
      <c r="F1307" s="764"/>
      <c r="G1307" s="763" t="s">
        <v>146</v>
      </c>
      <c r="H1307" s="763"/>
      <c r="I1307" s="765"/>
      <c r="J1307" s="763"/>
      <c r="K1307" s="763" t="s">
        <v>3</v>
      </c>
      <c r="L1307" s="766" t="s">
        <v>143</v>
      </c>
      <c r="M1307" s="766"/>
      <c r="N1307" s="766"/>
      <c r="O1307" s="766"/>
      <c r="P1307" s="766"/>
      <c r="Q1307" s="767"/>
      <c r="R1307" s="768">
        <f ca="1">SUM(R1303:R1306)</f>
        <v>295.79999999999995</v>
      </c>
      <c r="S1307" s="763"/>
      <c r="T1307" s="768">
        <f ca="1">SUM(T1303:T1306)</f>
        <v>4.75</v>
      </c>
      <c r="U1307" s="531"/>
      <c r="V1307" s="531"/>
      <c r="W1307" s="531"/>
      <c r="X1307" s="531"/>
      <c r="Y1307" s="531"/>
      <c r="Z1307" s="531"/>
      <c r="AA1307" s="531"/>
      <c r="AB1307" s="531"/>
      <c r="AC1307" s="531"/>
      <c r="AD1307" s="531"/>
      <c r="AE1307" s="531"/>
      <c r="AF1307" s="531"/>
      <c r="AG1307" s="531"/>
      <c r="AH1307" s="531"/>
      <c r="AI1307" s="531"/>
      <c r="AJ1307" s="531"/>
      <c r="AK1307" s="531"/>
      <c r="AL1307" s="531"/>
      <c r="AM1307" s="531"/>
      <c r="AN1307" s="531"/>
      <c r="AO1307" s="531"/>
      <c r="AR1307" s="761" t="s">
        <v>145</v>
      </c>
      <c r="AS1307" s="764"/>
    </row>
    <row r="1308" spans="1:45" s="520" customFormat="1" thickTop="1">
      <c r="A1308" s="51"/>
      <c r="B1308" s="51"/>
      <c r="C1308" s="3"/>
      <c r="D1308" s="3"/>
      <c r="E1308" s="51"/>
      <c r="F1308" s="51"/>
      <c r="G1308" s="51"/>
      <c r="H1308" s="51"/>
      <c r="I1308" s="51"/>
      <c r="J1308" s="51"/>
      <c r="K1308" s="51" t="s">
        <v>134</v>
      </c>
      <c r="L1308" s="51"/>
      <c r="M1308" s="51"/>
      <c r="N1308" s="51"/>
      <c r="O1308" s="52"/>
      <c r="P1308" s="51"/>
      <c r="Q1308" s="51"/>
      <c r="R1308" s="51"/>
      <c r="S1308" s="51"/>
      <c r="T1308" s="51"/>
      <c r="AR1308" s="51"/>
      <c r="AS1308" s="51"/>
    </row>
    <row r="1309" spans="1:45" s="520" customFormat="1" ht="12">
      <c r="A1309" s="51"/>
      <c r="B1309" s="51"/>
      <c r="C1309" s="51" t="s">
        <v>135</v>
      </c>
      <c r="D1309" s="37"/>
      <c r="E1309" s="51"/>
      <c r="F1309" s="51"/>
      <c r="G1309" s="51"/>
      <c r="H1309" s="51"/>
      <c r="I1309" s="51"/>
      <c r="J1309" s="51"/>
      <c r="K1309" s="51"/>
      <c r="L1309" s="51"/>
      <c r="M1309" s="51"/>
      <c r="N1309" s="51"/>
      <c r="O1309" s="52"/>
      <c r="P1309" s="51"/>
      <c r="Q1309" s="51"/>
      <c r="R1309" s="51"/>
      <c r="S1309" s="51"/>
      <c r="T1309" s="51"/>
      <c r="AR1309" s="51"/>
      <c r="AS1309" s="51"/>
    </row>
    <row r="1310" spans="1:45" s="520" customFormat="1" ht="39.9" customHeight="1">
      <c r="A1310" s="51"/>
      <c r="B1310" s="51"/>
      <c r="C1310" s="51"/>
      <c r="D1310" s="1453" t="s">
        <v>498</v>
      </c>
      <c r="E1310" s="1452"/>
      <c r="F1310" s="1452"/>
      <c r="G1310" s="1452"/>
      <c r="H1310" s="1452"/>
      <c r="I1310" s="1452"/>
      <c r="J1310" s="1452"/>
      <c r="K1310" s="1452"/>
      <c r="L1310" s="1452"/>
      <c r="M1310" s="1452"/>
      <c r="N1310" s="1452"/>
      <c r="O1310" s="1452"/>
      <c r="P1310" s="1452"/>
      <c r="Q1310" s="1452"/>
      <c r="R1310" s="1452"/>
      <c r="S1310" s="1452"/>
      <c r="T1310" s="1452"/>
      <c r="AR1310" s="51"/>
    </row>
    <row r="1311" spans="1:45" s="3" customFormat="1" thickBot="1">
      <c r="A1311" s="531"/>
      <c r="O1311" s="107"/>
      <c r="AR1311" s="531"/>
    </row>
    <row r="1312" spans="1:45" s="520" customFormat="1" thickTop="1">
      <c r="A1312" s="51"/>
      <c r="B1312" s="51"/>
      <c r="C1312" s="3"/>
      <c r="D1312" s="3"/>
      <c r="E1312" s="51"/>
      <c r="F1312" s="51"/>
      <c r="G1312" s="51"/>
      <c r="H1312" s="51"/>
      <c r="I1312" s="51"/>
      <c r="J1312" s="51"/>
      <c r="K1312" s="51" t="s">
        <v>134</v>
      </c>
      <c r="L1312" s="51"/>
      <c r="M1312" s="51"/>
      <c r="N1312" s="51"/>
      <c r="O1312" s="52"/>
      <c r="P1312" s="51"/>
      <c r="Q1312" s="51"/>
      <c r="R1312" s="51"/>
      <c r="S1312" s="51"/>
      <c r="T1312" s="51"/>
      <c r="AR1312" s="51"/>
      <c r="AS1312" s="51"/>
    </row>
    <row r="1313" spans="1:45" s="520" customFormat="1" ht="12">
      <c r="A1313" s="51"/>
      <c r="B1313" s="51"/>
      <c r="C1313" s="51" t="s">
        <v>135</v>
      </c>
      <c r="D1313" s="37"/>
      <c r="E1313" s="51"/>
      <c r="F1313" s="51"/>
      <c r="G1313" s="51"/>
      <c r="H1313" s="51"/>
      <c r="I1313" s="51"/>
      <c r="J1313" s="51"/>
      <c r="K1313" s="51"/>
      <c r="L1313" s="51"/>
      <c r="M1313" s="51"/>
      <c r="N1313" s="51"/>
      <c r="O1313" s="52"/>
      <c r="P1313" s="51"/>
      <c r="Q1313" s="51"/>
      <c r="R1313" s="51"/>
      <c r="S1313" s="51"/>
      <c r="T1313" s="51"/>
      <c r="AR1313" s="51"/>
      <c r="AS1313" s="51"/>
    </row>
    <row r="1314" spans="1:45" s="520" customFormat="1" ht="12">
      <c r="A1314" s="51"/>
      <c r="B1314" s="51"/>
      <c r="C1314" s="51"/>
      <c r="D1314" s="37" t="s">
        <v>580</v>
      </c>
      <c r="E1314" s="51"/>
      <c r="F1314" s="51"/>
      <c r="G1314" s="51"/>
      <c r="H1314" s="51"/>
      <c r="I1314" s="51"/>
      <c r="J1314" s="51"/>
      <c r="K1314" s="51"/>
      <c r="L1314" s="51"/>
      <c r="M1314" s="51"/>
      <c r="N1314" s="51"/>
      <c r="O1314" s="52"/>
      <c r="P1314" s="51"/>
      <c r="Q1314" s="51"/>
      <c r="R1314" s="51"/>
      <c r="S1314" s="38"/>
      <c r="T1314" s="38"/>
      <c r="AR1314" s="51"/>
      <c r="AS1314" s="51"/>
    </row>
    <row r="1315" spans="1:45" s="3" customFormat="1" thickBot="1">
      <c r="A1315" s="531"/>
      <c r="O1315" s="107"/>
      <c r="AR1315" s="531"/>
    </row>
    <row r="1316" spans="1:45" s="520" customFormat="1" ht="12" thickTop="1">
      <c r="A1316" s="51"/>
      <c r="B1316" s="41"/>
      <c r="C1316" s="51"/>
      <c r="E1316" s="42" t="s">
        <v>138</v>
      </c>
      <c r="F1316" s="42" t="s">
        <v>139</v>
      </c>
      <c r="G1316" s="51"/>
      <c r="H1316" s="51"/>
      <c r="I1316" s="51"/>
      <c r="J1316" s="51"/>
      <c r="K1316" s="51" t="s">
        <v>140</v>
      </c>
      <c r="L1316" s="51"/>
      <c r="M1316" s="51"/>
      <c r="N1316" s="51"/>
      <c r="O1316" s="52"/>
      <c r="P1316" s="51"/>
      <c r="Q1316" s="51"/>
      <c r="R1316" s="51"/>
      <c r="S1316" s="51"/>
      <c r="T1316" s="41"/>
      <c r="AG1316" s="521" t="s">
        <v>268</v>
      </c>
      <c r="AH1316" s="521" t="s">
        <v>269</v>
      </c>
      <c r="AI1316" s="521" t="s">
        <v>270</v>
      </c>
      <c r="AJ1316" s="521" t="s">
        <v>271</v>
      </c>
      <c r="AK1316" s="521" t="s">
        <v>272</v>
      </c>
      <c r="AM1316" s="745" t="s">
        <v>281</v>
      </c>
      <c r="AN1316" s="746" t="s">
        <v>282</v>
      </c>
      <c r="AO1316" s="522" t="s">
        <v>278</v>
      </c>
      <c r="AR1316" s="51"/>
      <c r="AS1316" s="42" t="s">
        <v>139</v>
      </c>
    </row>
    <row r="1317" spans="1:45" s="520" customFormat="1" ht="12" customHeight="1">
      <c r="A1317" s="747">
        <v>35</v>
      </c>
      <c r="B1317" s="523" t="s">
        <v>320</v>
      </c>
      <c r="C1317" s="748"/>
      <c r="D1317" s="749" t="s">
        <v>1290</v>
      </c>
      <c r="E1317" s="750">
        <f ca="1">IF(AND($A1317=0,$A$1="DIF"),0, ROUND(ROUND(($R1322*$S$2+($T1322*$T$2))/A1317,2)*$C$2,2))</f>
        <v>5.93</v>
      </c>
      <c r="F1317" s="751">
        <f ca="1">ROUND($A1317*$E1317,2)</f>
        <v>207.55</v>
      </c>
      <c r="G1317" s="752" t="s">
        <v>142</v>
      </c>
      <c r="H1317" s="753"/>
      <c r="I1317" s="754"/>
      <c r="J1317" s="753"/>
      <c r="K1317" s="753" t="s">
        <v>3</v>
      </c>
      <c r="L1317" s="755" t="s">
        <v>143</v>
      </c>
      <c r="M1317" s="755"/>
      <c r="N1317" s="755"/>
      <c r="O1317" s="755"/>
      <c r="P1317" s="755"/>
      <c r="Q1317" s="51"/>
      <c r="T1317" s="756" t="str">
        <f ca="1">IF(AND($R1322=0,$T1322=0),"0.00","mu :" &amp; ROUND($F1317/$C$2/($R1322+$T1322*$D$9),2))</f>
        <v>mu :1.23</v>
      </c>
      <c r="W1317" s="524"/>
      <c r="AG1317" s="481">
        <f ca="1">IF($E1317=0,0,ROUND($R1322*$S$2*$C$2/$A1317,2))</f>
        <v>3.56</v>
      </c>
      <c r="AH1317" s="481">
        <f ca="1">$AG1317*$A1317</f>
        <v>124.60000000000001</v>
      </c>
      <c r="AI1317" s="525">
        <f ca="1">$E1317-$AG1317</f>
        <v>2.3699999999999997</v>
      </c>
      <c r="AJ1317" s="525">
        <f ca="1">$A1317*$AI1317</f>
        <v>82.949999999999989</v>
      </c>
      <c r="AK1317" s="526">
        <f ca="1">ROUND(($AG1317+$AI1317)*$A1317,2)</f>
        <v>207.55</v>
      </c>
      <c r="AM1317" s="527">
        <f ca="1">ROUND(R1322,2)</f>
        <v>101.15</v>
      </c>
      <c r="AN1317" s="528">
        <f ca="1">ROUND(T1322,2)</f>
        <v>2.4500000000000002</v>
      </c>
      <c r="AO1317" s="529">
        <f ca="1">ROUND(AM1317+AN1317,2)*A1317</f>
        <v>3626</v>
      </c>
      <c r="AR1317" s="747">
        <v>35</v>
      </c>
      <c r="AS1317" s="751">
        <v>207.55</v>
      </c>
    </row>
    <row r="1318" spans="1:45" s="520" customFormat="1" ht="13.2">
      <c r="A1318" s="748"/>
      <c r="B1318"/>
      <c r="C1318" s="748"/>
      <c r="D1318" s="749" t="s">
        <v>1291</v>
      </c>
      <c r="F1318" s="753"/>
      <c r="G1318" s="3"/>
      <c r="H1318" s="753"/>
      <c r="I1318" s="754"/>
      <c r="J1318" s="753"/>
      <c r="K1318" s="753" t="s">
        <v>144</v>
      </c>
      <c r="L1318" s="753"/>
      <c r="M1318" s="753"/>
      <c r="N1318" s="753"/>
      <c r="O1318" s="753"/>
      <c r="P1318" s="753"/>
      <c r="Q1318" s="51"/>
      <c r="R1318" s="530"/>
      <c r="S1318" s="757"/>
      <c r="T1318" s="753"/>
      <c r="AR1318" s="748"/>
      <c r="AS1318" s="753"/>
    </row>
    <row r="1319" spans="1:45" s="886" customFormat="1" ht="13.2">
      <c r="A1319"/>
      <c r="B1319" s="910"/>
      <c r="C1319" s="910" t="s">
        <v>2597</v>
      </c>
      <c r="D1319" s="910" t="str">
        <f ca="1">CELL("Address",Elec_Rates!D$510)</f>
        <v>[E25_0062_Quintano_Foods_Elec_ELV_As_Awarded.xlsx]Elec_Rates!$D$510</v>
      </c>
      <c r="E1319" s="911"/>
      <c r="F1319" s="911"/>
      <c r="G1319" s="912" t="s">
        <v>2598</v>
      </c>
      <c r="H1319" s="912"/>
      <c r="I1319" s="912"/>
      <c r="J1319" s="912"/>
      <c r="K1319" s="913"/>
      <c r="L1319" s="911"/>
      <c r="M1319" s="911"/>
      <c r="N1319" s="911"/>
      <c r="O1319" s="914"/>
      <c r="P1319" s="911"/>
      <c r="Q1319" s="915"/>
      <c r="R1319" s="916"/>
      <c r="S1319" s="915"/>
      <c r="T1319" s="917"/>
      <c r="U1319" s="918"/>
      <c r="AR1319"/>
      <c r="AS1319" s="911"/>
    </row>
    <row r="1320" spans="1:45" s="886" customFormat="1" ht="11.4">
      <c r="A1320" s="919">
        <v>35</v>
      </c>
      <c r="B1320" s="920">
        <v>1</v>
      </c>
      <c r="C1320" s="920">
        <f>$A1320*$B1320</f>
        <v>35</v>
      </c>
      <c r="D1320" s="921" t="str">
        <f>Elec_Rates!$D$510</f>
        <v>048# 5 x 2.5mm2 XLPE/SWA/LSZH</v>
      </c>
      <c r="E1320" s="921"/>
      <c r="F1320" s="921" t="s">
        <v>2599</v>
      </c>
      <c r="G1320" s="922" t="s">
        <v>2601</v>
      </c>
      <c r="H1320" s="922"/>
      <c r="I1320" s="922"/>
      <c r="J1320" s="922"/>
      <c r="K1320" s="923"/>
      <c r="L1320" s="918"/>
      <c r="M1320" s="918"/>
      <c r="N1320" s="918"/>
      <c r="O1320" s="924"/>
      <c r="P1320" s="921"/>
      <c r="Q1320" s="925">
        <f ca="1">$B1320*Elec_Rates!$R$510</f>
        <v>2.89</v>
      </c>
      <c r="R1320" s="916">
        <f ca="1">$A1320*Q1320</f>
        <v>101.15</v>
      </c>
      <c r="S1320" s="925">
        <f ca="1">$B1320*Elec_Rates!$T$510</f>
        <v>7.0000000000000007E-2</v>
      </c>
      <c r="T1320" s="917">
        <f ca="1">$A1320*S1320</f>
        <v>2.4500000000000002</v>
      </c>
      <c r="U1320" s="926"/>
      <c r="AR1320" s="919">
        <v>35</v>
      </c>
      <c r="AS1320" s="921" t="s">
        <v>2599</v>
      </c>
    </row>
    <row r="1321" spans="1:45" s="520" customFormat="1" ht="12">
      <c r="A1321" s="758"/>
      <c r="B1321" s="758"/>
      <c r="C1321" s="758"/>
      <c r="D1321" s="758"/>
      <c r="E1321" s="758"/>
      <c r="F1321" s="753"/>
      <c r="G1321" s="758"/>
      <c r="H1321" s="758"/>
      <c r="I1321" s="519"/>
      <c r="J1321" s="758"/>
      <c r="K1321" s="758"/>
      <c r="L1321" s="758"/>
      <c r="M1321" s="758"/>
      <c r="N1321" s="758"/>
      <c r="O1321" s="758"/>
      <c r="P1321" s="758"/>
      <c r="Q1321" s="519"/>
      <c r="R1321" s="759">
        <f>$A1321*Q1321</f>
        <v>0</v>
      </c>
      <c r="S1321" s="519"/>
      <c r="T1321" s="760">
        <f>$A1321*S1321*$T$1</f>
        <v>0</v>
      </c>
      <c r="AR1321" s="758"/>
      <c r="AS1321" s="753"/>
    </row>
    <row r="1322" spans="1:45" s="520" customFormat="1" ht="12.6" thickBot="1">
      <c r="A1322" s="761" t="s">
        <v>145</v>
      </c>
      <c r="B1322" s="762">
        <f>(R1321+T1321)</f>
        <v>0</v>
      </c>
      <c r="C1322" s="763"/>
      <c r="D1322" s="763"/>
      <c r="E1322" s="763"/>
      <c r="F1322" s="764"/>
      <c r="G1322" s="763" t="s">
        <v>146</v>
      </c>
      <c r="H1322" s="763"/>
      <c r="I1322" s="765"/>
      <c r="J1322" s="763"/>
      <c r="K1322" s="763" t="s">
        <v>3</v>
      </c>
      <c r="L1322" s="766" t="s">
        <v>143</v>
      </c>
      <c r="M1322" s="766"/>
      <c r="N1322" s="766"/>
      <c r="O1322" s="766"/>
      <c r="P1322" s="766"/>
      <c r="Q1322" s="767"/>
      <c r="R1322" s="768">
        <f ca="1">SUM(R1318:R1321)</f>
        <v>101.15</v>
      </c>
      <c r="S1322" s="763"/>
      <c r="T1322" s="768">
        <f ca="1">SUM(T1318:T1321)</f>
        <v>2.4500000000000002</v>
      </c>
      <c r="U1322" s="531"/>
      <c r="V1322" s="531"/>
      <c r="W1322" s="531"/>
      <c r="X1322" s="531"/>
      <c r="Y1322" s="531"/>
      <c r="Z1322" s="531"/>
      <c r="AA1322" s="531"/>
      <c r="AB1322" s="531"/>
      <c r="AC1322" s="531"/>
      <c r="AD1322" s="531"/>
      <c r="AE1322" s="531"/>
      <c r="AF1322" s="531"/>
      <c r="AG1322" s="531"/>
      <c r="AH1322" s="531"/>
      <c r="AI1322" s="531"/>
      <c r="AJ1322" s="531"/>
      <c r="AK1322" s="531"/>
      <c r="AL1322" s="531"/>
      <c r="AM1322" s="531"/>
      <c r="AN1322" s="531"/>
      <c r="AO1322" s="531"/>
      <c r="AR1322" s="761" t="s">
        <v>145</v>
      </c>
      <c r="AS1322" s="764"/>
    </row>
    <row r="1323" spans="1:45" s="520" customFormat="1" ht="12" thickTop="1">
      <c r="A1323" s="51"/>
      <c r="B1323" s="41"/>
      <c r="C1323" s="51"/>
      <c r="E1323" s="42" t="s">
        <v>138</v>
      </c>
      <c r="F1323" s="42" t="s">
        <v>139</v>
      </c>
      <c r="G1323" s="51"/>
      <c r="H1323" s="51"/>
      <c r="I1323" s="51"/>
      <c r="J1323" s="51"/>
      <c r="K1323" s="51" t="s">
        <v>140</v>
      </c>
      <c r="L1323" s="51"/>
      <c r="M1323" s="51"/>
      <c r="N1323" s="51"/>
      <c r="O1323" s="52"/>
      <c r="P1323" s="51"/>
      <c r="Q1323" s="51"/>
      <c r="R1323" s="51"/>
      <c r="S1323" s="51"/>
      <c r="T1323" s="41"/>
      <c r="AG1323" s="521" t="s">
        <v>268</v>
      </c>
      <c r="AH1323" s="521" t="s">
        <v>269</v>
      </c>
      <c r="AI1323" s="521" t="s">
        <v>270</v>
      </c>
      <c r="AJ1323" s="521" t="s">
        <v>271</v>
      </c>
      <c r="AK1323" s="521" t="s">
        <v>272</v>
      </c>
      <c r="AM1323" s="745" t="s">
        <v>281</v>
      </c>
      <c r="AN1323" s="746" t="s">
        <v>282</v>
      </c>
      <c r="AO1323" s="522" t="s">
        <v>278</v>
      </c>
      <c r="AR1323" s="51"/>
      <c r="AS1323" s="42" t="s">
        <v>139</v>
      </c>
    </row>
    <row r="1324" spans="1:45" s="520" customFormat="1" ht="12" customHeight="1">
      <c r="A1324" s="747">
        <v>35</v>
      </c>
      <c r="B1324" s="523" t="s">
        <v>320</v>
      </c>
      <c r="C1324" s="748"/>
      <c r="D1324" s="749" t="s">
        <v>1292</v>
      </c>
      <c r="E1324" s="750">
        <f ca="1">IF(AND($A1324=0,$A$1="DIF"),0, ROUND(ROUND(($R1329*$S$2+($T1329*$T$2))/A1324,2)*$C$2,2))</f>
        <v>5.93</v>
      </c>
      <c r="F1324" s="751">
        <f ca="1">ROUND($A1324*$E1324,2)</f>
        <v>207.55</v>
      </c>
      <c r="G1324" s="752" t="s">
        <v>142</v>
      </c>
      <c r="H1324" s="753"/>
      <c r="I1324" s="754"/>
      <c r="J1324" s="753"/>
      <c r="K1324" s="753" t="s">
        <v>3</v>
      </c>
      <c r="L1324" s="755" t="s">
        <v>143</v>
      </c>
      <c r="M1324" s="755"/>
      <c r="N1324" s="755"/>
      <c r="O1324" s="755"/>
      <c r="P1324" s="755"/>
      <c r="Q1324" s="51"/>
      <c r="T1324" s="756" t="str">
        <f ca="1">IF(AND($R1329=0,$T1329=0),"0.00","mu :" &amp; ROUND($F1324/$C$2/($R1329+$T1329*$D$9),2))</f>
        <v>mu :1.23</v>
      </c>
      <c r="W1324" s="524"/>
      <c r="AG1324" s="481">
        <f ca="1">IF($E1324=0,0,ROUND($R1329*$S$2*$C$2/$A1324,2))</f>
        <v>3.56</v>
      </c>
      <c r="AH1324" s="481">
        <f ca="1">$AG1324*$A1324</f>
        <v>124.60000000000001</v>
      </c>
      <c r="AI1324" s="525">
        <f ca="1">$E1324-$AG1324</f>
        <v>2.3699999999999997</v>
      </c>
      <c r="AJ1324" s="525">
        <f ca="1">$A1324*$AI1324</f>
        <v>82.949999999999989</v>
      </c>
      <c r="AK1324" s="526">
        <f ca="1">ROUND(($AG1324+$AI1324)*$A1324,2)</f>
        <v>207.55</v>
      </c>
      <c r="AM1324" s="527">
        <f ca="1">ROUND(R1329,2)</f>
        <v>101.15</v>
      </c>
      <c r="AN1324" s="528">
        <f ca="1">ROUND(T1329,2)</f>
        <v>2.4500000000000002</v>
      </c>
      <c r="AO1324" s="529">
        <f ca="1">ROUND(AM1324+AN1324,2)*A1324</f>
        <v>3626</v>
      </c>
      <c r="AR1324" s="747">
        <v>35</v>
      </c>
      <c r="AS1324" s="751">
        <v>207.55</v>
      </c>
    </row>
    <row r="1325" spans="1:45" s="520" customFormat="1" ht="13.2">
      <c r="A1325" s="748"/>
      <c r="B1325"/>
      <c r="C1325" s="748"/>
      <c r="D1325" s="749" t="s">
        <v>1293</v>
      </c>
      <c r="F1325" s="753"/>
      <c r="G1325" s="3"/>
      <c r="H1325" s="753"/>
      <c r="I1325" s="754"/>
      <c r="J1325" s="753"/>
      <c r="K1325" s="753" t="s">
        <v>144</v>
      </c>
      <c r="L1325" s="753"/>
      <c r="M1325" s="753"/>
      <c r="N1325" s="753"/>
      <c r="O1325" s="753"/>
      <c r="P1325" s="753"/>
      <c r="Q1325" s="51"/>
      <c r="R1325" s="530"/>
      <c r="S1325" s="757"/>
      <c r="T1325" s="753"/>
      <c r="AR1325" s="748"/>
      <c r="AS1325" s="753"/>
    </row>
    <row r="1326" spans="1:45" s="886" customFormat="1" ht="13.2">
      <c r="A1326"/>
      <c r="B1326" s="910"/>
      <c r="C1326" s="910" t="s">
        <v>2597</v>
      </c>
      <c r="D1326" s="910" t="str">
        <f ca="1">CELL("Address",Elec_Rates!D$510)</f>
        <v>[E25_0062_Quintano_Foods_Elec_ELV_As_Awarded.xlsx]Elec_Rates!$D$510</v>
      </c>
      <c r="E1326" s="911"/>
      <c r="F1326" s="911"/>
      <c r="G1326" s="912" t="s">
        <v>2598</v>
      </c>
      <c r="H1326" s="912"/>
      <c r="I1326" s="912"/>
      <c r="J1326" s="912"/>
      <c r="K1326" s="913"/>
      <c r="L1326" s="911"/>
      <c r="M1326" s="911"/>
      <c r="N1326" s="911"/>
      <c r="O1326" s="914"/>
      <c r="P1326" s="911"/>
      <c r="Q1326" s="915"/>
      <c r="R1326" s="916"/>
      <c r="S1326" s="915"/>
      <c r="T1326" s="917"/>
      <c r="U1326" s="918"/>
      <c r="AR1326"/>
      <c r="AS1326" s="911"/>
    </row>
    <row r="1327" spans="1:45" s="886" customFormat="1" ht="11.4">
      <c r="A1327" s="919">
        <v>35</v>
      </c>
      <c r="B1327" s="920">
        <v>1</v>
      </c>
      <c r="C1327" s="920">
        <f>$A1327*$B1327</f>
        <v>35</v>
      </c>
      <c r="D1327" s="921" t="str">
        <f>Elec_Rates!$D$510</f>
        <v>048# 5 x 2.5mm2 XLPE/SWA/LSZH</v>
      </c>
      <c r="E1327" s="921"/>
      <c r="F1327" s="921" t="s">
        <v>2599</v>
      </c>
      <c r="G1327" s="922" t="s">
        <v>2601</v>
      </c>
      <c r="H1327" s="922"/>
      <c r="I1327" s="922"/>
      <c r="J1327" s="922"/>
      <c r="K1327" s="923"/>
      <c r="L1327" s="918"/>
      <c r="M1327" s="918"/>
      <c r="N1327" s="918"/>
      <c r="O1327" s="924"/>
      <c r="P1327" s="921"/>
      <c r="Q1327" s="925">
        <f ca="1">$B1327*Elec_Rates!$R$510</f>
        <v>2.89</v>
      </c>
      <c r="R1327" s="916">
        <f ca="1">$A1327*Q1327</f>
        <v>101.15</v>
      </c>
      <c r="S1327" s="925">
        <f ca="1">$B1327*Elec_Rates!$T$510</f>
        <v>7.0000000000000007E-2</v>
      </c>
      <c r="T1327" s="917">
        <f ca="1">$A1327*S1327</f>
        <v>2.4500000000000002</v>
      </c>
      <c r="U1327" s="926"/>
      <c r="AR1327" s="919">
        <v>35</v>
      </c>
      <c r="AS1327" s="921" t="s">
        <v>2599</v>
      </c>
    </row>
    <row r="1328" spans="1:45" s="520" customFormat="1" ht="12">
      <c r="A1328" s="758"/>
      <c r="B1328" s="758"/>
      <c r="C1328" s="758"/>
      <c r="D1328" s="758"/>
      <c r="E1328" s="758"/>
      <c r="F1328" s="753"/>
      <c r="G1328" s="758"/>
      <c r="H1328" s="758"/>
      <c r="I1328" s="519"/>
      <c r="J1328" s="758"/>
      <c r="K1328" s="758"/>
      <c r="L1328" s="758"/>
      <c r="M1328" s="758"/>
      <c r="N1328" s="758"/>
      <c r="O1328" s="758"/>
      <c r="P1328" s="758"/>
      <c r="Q1328" s="519"/>
      <c r="R1328" s="759">
        <f>$A1328*Q1328</f>
        <v>0</v>
      </c>
      <c r="S1328" s="519"/>
      <c r="T1328" s="760">
        <f>$A1328*S1328*$T$1</f>
        <v>0</v>
      </c>
      <c r="AR1328" s="758"/>
      <c r="AS1328" s="753"/>
    </row>
    <row r="1329" spans="1:45" s="520" customFormat="1" ht="12.6" thickBot="1">
      <c r="A1329" s="761" t="s">
        <v>145</v>
      </c>
      <c r="B1329" s="762">
        <f>(R1328+T1328)</f>
        <v>0</v>
      </c>
      <c r="C1329" s="763"/>
      <c r="D1329" s="763"/>
      <c r="E1329" s="763"/>
      <c r="F1329" s="764"/>
      <c r="G1329" s="763" t="s">
        <v>146</v>
      </c>
      <c r="H1329" s="763"/>
      <c r="I1329" s="765"/>
      <c r="J1329" s="763"/>
      <c r="K1329" s="763" t="s">
        <v>3</v>
      </c>
      <c r="L1329" s="766" t="s">
        <v>143</v>
      </c>
      <c r="M1329" s="766"/>
      <c r="N1329" s="766"/>
      <c r="O1329" s="766"/>
      <c r="P1329" s="766"/>
      <c r="Q1329" s="767"/>
      <c r="R1329" s="768">
        <f ca="1">SUM(R1325:R1328)</f>
        <v>101.15</v>
      </c>
      <c r="S1329" s="763"/>
      <c r="T1329" s="768">
        <f ca="1">SUM(T1325:T1328)</f>
        <v>2.4500000000000002</v>
      </c>
      <c r="U1329" s="531"/>
      <c r="V1329" s="531"/>
      <c r="W1329" s="531"/>
      <c r="X1329" s="531"/>
      <c r="Y1329" s="531"/>
      <c r="Z1329" s="531"/>
      <c r="AA1329" s="531"/>
      <c r="AB1329" s="531"/>
      <c r="AC1329" s="531"/>
      <c r="AD1329" s="531"/>
      <c r="AE1329" s="531"/>
      <c r="AF1329" s="531"/>
      <c r="AG1329" s="531"/>
      <c r="AH1329" s="531"/>
      <c r="AI1329" s="531"/>
      <c r="AJ1329" s="531"/>
      <c r="AK1329" s="531"/>
      <c r="AL1329" s="531"/>
      <c r="AM1329" s="531"/>
      <c r="AN1329" s="531"/>
      <c r="AO1329" s="531"/>
      <c r="AR1329" s="761" t="s">
        <v>145</v>
      </c>
      <c r="AS1329" s="764"/>
    </row>
    <row r="1330" spans="1:45" s="520" customFormat="1" ht="12" thickTop="1">
      <c r="A1330" s="51"/>
      <c r="B1330" s="41"/>
      <c r="C1330" s="51"/>
      <c r="E1330" s="42" t="s">
        <v>138</v>
      </c>
      <c r="F1330" s="42" t="s">
        <v>139</v>
      </c>
      <c r="G1330" s="51"/>
      <c r="H1330" s="51"/>
      <c r="I1330" s="51"/>
      <c r="J1330" s="51"/>
      <c r="K1330" s="51" t="s">
        <v>140</v>
      </c>
      <c r="L1330" s="51"/>
      <c r="M1330" s="51"/>
      <c r="N1330" s="51"/>
      <c r="O1330" s="52"/>
      <c r="P1330" s="51"/>
      <c r="Q1330" s="51"/>
      <c r="R1330" s="51"/>
      <c r="S1330" s="51"/>
      <c r="T1330" s="41"/>
      <c r="AG1330" s="521" t="s">
        <v>268</v>
      </c>
      <c r="AH1330" s="521" t="s">
        <v>269</v>
      </c>
      <c r="AI1330" s="521" t="s">
        <v>270</v>
      </c>
      <c r="AJ1330" s="521" t="s">
        <v>271</v>
      </c>
      <c r="AK1330" s="521" t="s">
        <v>272</v>
      </c>
      <c r="AM1330" s="745" t="s">
        <v>281</v>
      </c>
      <c r="AN1330" s="746" t="s">
        <v>282</v>
      </c>
      <c r="AO1330" s="522" t="s">
        <v>278</v>
      </c>
      <c r="AR1330" s="51"/>
      <c r="AS1330" s="42" t="s">
        <v>139</v>
      </c>
    </row>
    <row r="1331" spans="1:45" s="520" customFormat="1" ht="12" customHeight="1">
      <c r="A1331" s="747">
        <v>35</v>
      </c>
      <c r="B1331" s="523" t="s">
        <v>320</v>
      </c>
      <c r="C1331" s="748"/>
      <c r="D1331" s="749" t="s">
        <v>1294</v>
      </c>
      <c r="E1331" s="750">
        <f ca="1">IF(AND($A1331=0,$A$1="DIF"),0, ROUND(ROUND(($R1336*$S$2+($T1336*$T$2))/A1331,2)*$C$2,2))</f>
        <v>5.93</v>
      </c>
      <c r="F1331" s="751">
        <f ca="1">ROUND($A1331*$E1331,2)</f>
        <v>207.55</v>
      </c>
      <c r="G1331" s="752" t="s">
        <v>142</v>
      </c>
      <c r="H1331" s="753"/>
      <c r="I1331" s="754"/>
      <c r="J1331" s="753"/>
      <c r="K1331" s="753" t="s">
        <v>3</v>
      </c>
      <c r="L1331" s="755" t="s">
        <v>143</v>
      </c>
      <c r="M1331" s="755"/>
      <c r="N1331" s="755"/>
      <c r="O1331" s="755"/>
      <c r="P1331" s="755"/>
      <c r="Q1331" s="51"/>
      <c r="T1331" s="756" t="str">
        <f ca="1">IF(AND($R1336=0,$T1336=0),"0.00","mu :" &amp; ROUND($F1331/$C$2/($R1336+$T1336*$D$9),2))</f>
        <v>mu :1.23</v>
      </c>
      <c r="W1331" s="524"/>
      <c r="AG1331" s="481">
        <f ca="1">IF($E1331=0,0,ROUND($R1336*$S$2*$C$2/$A1331,2))</f>
        <v>3.56</v>
      </c>
      <c r="AH1331" s="481">
        <f ca="1">$AG1331*$A1331</f>
        <v>124.60000000000001</v>
      </c>
      <c r="AI1331" s="525">
        <f ca="1">$E1331-$AG1331</f>
        <v>2.3699999999999997</v>
      </c>
      <c r="AJ1331" s="525">
        <f ca="1">$A1331*$AI1331</f>
        <v>82.949999999999989</v>
      </c>
      <c r="AK1331" s="526">
        <f ca="1">ROUND(($AG1331+$AI1331)*$A1331,2)</f>
        <v>207.55</v>
      </c>
      <c r="AM1331" s="527">
        <f ca="1">ROUND(R1336,2)</f>
        <v>101.15</v>
      </c>
      <c r="AN1331" s="528">
        <f ca="1">ROUND(T1336,2)</f>
        <v>2.4500000000000002</v>
      </c>
      <c r="AO1331" s="529">
        <f ca="1">ROUND(AM1331+AN1331,2)*A1331</f>
        <v>3626</v>
      </c>
      <c r="AR1331" s="747">
        <v>35</v>
      </c>
      <c r="AS1331" s="751">
        <v>207.55</v>
      </c>
    </row>
    <row r="1332" spans="1:45" s="520" customFormat="1" ht="13.2">
      <c r="A1332" s="748"/>
      <c r="B1332"/>
      <c r="C1332" s="748"/>
      <c r="D1332" s="749" t="s">
        <v>1295</v>
      </c>
      <c r="F1332" s="753"/>
      <c r="G1332" s="3"/>
      <c r="H1332" s="753"/>
      <c r="I1332" s="754"/>
      <c r="J1332" s="753"/>
      <c r="K1332" s="753" t="s">
        <v>144</v>
      </c>
      <c r="L1332" s="753"/>
      <c r="M1332" s="753"/>
      <c r="N1332" s="753"/>
      <c r="O1332" s="753"/>
      <c r="P1332" s="753"/>
      <c r="Q1332" s="51"/>
      <c r="R1332" s="530"/>
      <c r="S1332" s="757"/>
      <c r="T1332" s="753"/>
      <c r="AR1332" s="748"/>
      <c r="AS1332" s="753"/>
    </row>
    <row r="1333" spans="1:45" s="886" customFormat="1" ht="13.2">
      <c r="A1333"/>
      <c r="B1333" s="910"/>
      <c r="C1333" s="910" t="s">
        <v>2597</v>
      </c>
      <c r="D1333" s="910" t="str">
        <f ca="1">CELL("Address",Elec_Rates!D$510)</f>
        <v>[E25_0062_Quintano_Foods_Elec_ELV_As_Awarded.xlsx]Elec_Rates!$D$510</v>
      </c>
      <c r="E1333" s="911"/>
      <c r="F1333" s="911"/>
      <c r="G1333" s="912" t="s">
        <v>2598</v>
      </c>
      <c r="H1333" s="912"/>
      <c r="I1333" s="912"/>
      <c r="J1333" s="912"/>
      <c r="K1333" s="913"/>
      <c r="L1333" s="911"/>
      <c r="M1333" s="911"/>
      <c r="N1333" s="911"/>
      <c r="O1333" s="914"/>
      <c r="P1333" s="911"/>
      <c r="Q1333" s="915"/>
      <c r="R1333" s="916"/>
      <c r="S1333" s="915"/>
      <c r="T1333" s="917"/>
      <c r="U1333" s="918"/>
      <c r="AR1333"/>
      <c r="AS1333" s="911"/>
    </row>
    <row r="1334" spans="1:45" s="886" customFormat="1" ht="11.4">
      <c r="A1334" s="919">
        <v>35</v>
      </c>
      <c r="B1334" s="920">
        <v>1</v>
      </c>
      <c r="C1334" s="920">
        <f>$A1334*$B1334</f>
        <v>35</v>
      </c>
      <c r="D1334" s="921" t="str">
        <f>Elec_Rates!$D$510</f>
        <v>048# 5 x 2.5mm2 XLPE/SWA/LSZH</v>
      </c>
      <c r="E1334" s="921"/>
      <c r="F1334" s="921" t="s">
        <v>2599</v>
      </c>
      <c r="G1334" s="922" t="s">
        <v>2601</v>
      </c>
      <c r="H1334" s="922"/>
      <c r="I1334" s="922"/>
      <c r="J1334" s="922"/>
      <c r="K1334" s="923"/>
      <c r="L1334" s="918"/>
      <c r="M1334" s="918"/>
      <c r="N1334" s="918"/>
      <c r="O1334" s="924"/>
      <c r="P1334" s="921"/>
      <c r="Q1334" s="925">
        <f ca="1">$B1334*Elec_Rates!$R$510</f>
        <v>2.89</v>
      </c>
      <c r="R1334" s="916">
        <f ca="1">$A1334*Q1334</f>
        <v>101.15</v>
      </c>
      <c r="S1334" s="925">
        <f ca="1">$B1334*Elec_Rates!$T$510</f>
        <v>7.0000000000000007E-2</v>
      </c>
      <c r="T1334" s="917">
        <f ca="1">$A1334*S1334</f>
        <v>2.4500000000000002</v>
      </c>
      <c r="U1334" s="926"/>
      <c r="AR1334" s="919">
        <v>35</v>
      </c>
      <c r="AS1334" s="921" t="s">
        <v>2599</v>
      </c>
    </row>
    <row r="1335" spans="1:45" s="520" customFormat="1" ht="12">
      <c r="A1335" s="758"/>
      <c r="B1335" s="758"/>
      <c r="C1335" s="758"/>
      <c r="D1335" s="758"/>
      <c r="E1335" s="758"/>
      <c r="F1335" s="753"/>
      <c r="G1335" s="758"/>
      <c r="H1335" s="758"/>
      <c r="I1335" s="519"/>
      <c r="J1335" s="758"/>
      <c r="K1335" s="758"/>
      <c r="L1335" s="758"/>
      <c r="M1335" s="758"/>
      <c r="N1335" s="758"/>
      <c r="O1335" s="758"/>
      <c r="P1335" s="758"/>
      <c r="Q1335" s="519"/>
      <c r="R1335" s="759">
        <f>$A1335*Q1335</f>
        <v>0</v>
      </c>
      <c r="S1335" s="519"/>
      <c r="T1335" s="760">
        <f>$A1335*S1335*$T$1</f>
        <v>0</v>
      </c>
      <c r="AR1335" s="758"/>
      <c r="AS1335" s="753"/>
    </row>
    <row r="1336" spans="1:45" s="520" customFormat="1" ht="12.6" thickBot="1">
      <c r="A1336" s="761" t="s">
        <v>145</v>
      </c>
      <c r="B1336" s="762">
        <f>(R1335+T1335)</f>
        <v>0</v>
      </c>
      <c r="C1336" s="763"/>
      <c r="D1336" s="763"/>
      <c r="E1336" s="763"/>
      <c r="F1336" s="764"/>
      <c r="G1336" s="763" t="s">
        <v>146</v>
      </c>
      <c r="H1336" s="763"/>
      <c r="I1336" s="765"/>
      <c r="J1336" s="763"/>
      <c r="K1336" s="763" t="s">
        <v>3</v>
      </c>
      <c r="L1336" s="766" t="s">
        <v>143</v>
      </c>
      <c r="M1336" s="766"/>
      <c r="N1336" s="766"/>
      <c r="O1336" s="766"/>
      <c r="P1336" s="766"/>
      <c r="Q1336" s="767"/>
      <c r="R1336" s="768">
        <f ca="1">SUM(R1332:R1335)</f>
        <v>101.15</v>
      </c>
      <c r="S1336" s="763"/>
      <c r="T1336" s="768">
        <f ca="1">SUM(T1332:T1335)</f>
        <v>2.4500000000000002</v>
      </c>
      <c r="U1336" s="531"/>
      <c r="V1336" s="531"/>
      <c r="W1336" s="531"/>
      <c r="X1336" s="531"/>
      <c r="Y1336" s="531"/>
      <c r="Z1336" s="531"/>
      <c r="AA1336" s="531"/>
      <c r="AB1336" s="531"/>
      <c r="AC1336" s="531"/>
      <c r="AD1336" s="531"/>
      <c r="AE1336" s="531"/>
      <c r="AF1336" s="531"/>
      <c r="AG1336" s="531"/>
      <c r="AH1336" s="531"/>
      <c r="AI1336" s="531"/>
      <c r="AJ1336" s="531"/>
      <c r="AK1336" s="531"/>
      <c r="AL1336" s="531"/>
      <c r="AM1336" s="531"/>
      <c r="AN1336" s="531"/>
      <c r="AO1336" s="531"/>
      <c r="AR1336" s="761" t="s">
        <v>145</v>
      </c>
      <c r="AS1336" s="764"/>
    </row>
    <row r="1337" spans="1:45" s="520" customFormat="1" ht="12" thickTop="1">
      <c r="A1337" s="51"/>
      <c r="B1337" s="41"/>
      <c r="C1337" s="51"/>
      <c r="E1337" s="42" t="s">
        <v>138</v>
      </c>
      <c r="F1337" s="42" t="s">
        <v>139</v>
      </c>
      <c r="G1337" s="51"/>
      <c r="H1337" s="51"/>
      <c r="I1337" s="51"/>
      <c r="J1337" s="51"/>
      <c r="K1337" s="51" t="s">
        <v>140</v>
      </c>
      <c r="L1337" s="51"/>
      <c r="M1337" s="51"/>
      <c r="N1337" s="51"/>
      <c r="O1337" s="52"/>
      <c r="P1337" s="51"/>
      <c r="Q1337" s="51"/>
      <c r="R1337" s="51"/>
      <c r="S1337" s="51"/>
      <c r="T1337" s="41"/>
      <c r="AG1337" s="521" t="s">
        <v>268</v>
      </c>
      <c r="AH1337" s="521" t="s">
        <v>269</v>
      </c>
      <c r="AI1337" s="521" t="s">
        <v>270</v>
      </c>
      <c r="AJ1337" s="521" t="s">
        <v>271</v>
      </c>
      <c r="AK1337" s="521" t="s">
        <v>272</v>
      </c>
      <c r="AM1337" s="745" t="s">
        <v>281</v>
      </c>
      <c r="AN1337" s="746" t="s">
        <v>282</v>
      </c>
      <c r="AO1337" s="522" t="s">
        <v>278</v>
      </c>
      <c r="AR1337" s="51"/>
      <c r="AS1337" s="42" t="s">
        <v>139</v>
      </c>
    </row>
    <row r="1338" spans="1:45" s="520" customFormat="1" ht="12" customHeight="1">
      <c r="A1338" s="747">
        <v>40</v>
      </c>
      <c r="B1338" s="523" t="s">
        <v>320</v>
      </c>
      <c r="C1338" s="748"/>
      <c r="D1338" s="749" t="s">
        <v>1296</v>
      </c>
      <c r="E1338" s="750">
        <f ca="1">IF(AND($A1338=0,$A$1="DIF"),0, ROUND(ROUND(($R1343*$S$2+($T1343*$T$2))/A1338,2)*$C$2,2))</f>
        <v>5.93</v>
      </c>
      <c r="F1338" s="751">
        <f ca="1">ROUND($A1338*$E1338,2)</f>
        <v>237.2</v>
      </c>
      <c r="G1338" s="752" t="s">
        <v>142</v>
      </c>
      <c r="H1338" s="753"/>
      <c r="I1338" s="754"/>
      <c r="J1338" s="753"/>
      <c r="K1338" s="753" t="s">
        <v>3</v>
      </c>
      <c r="L1338" s="755" t="s">
        <v>143</v>
      </c>
      <c r="M1338" s="755"/>
      <c r="N1338" s="755"/>
      <c r="O1338" s="755"/>
      <c r="P1338" s="755"/>
      <c r="Q1338" s="51"/>
      <c r="T1338" s="756" t="str">
        <f ca="1">IF(AND($R1343=0,$T1343=0),"0.00","mu :" &amp; ROUND($F1338/$C$2/($R1343+$T1343*$D$9),2))</f>
        <v>mu :1.23</v>
      </c>
      <c r="W1338" s="524"/>
      <c r="AG1338" s="481">
        <f ca="1">IF($E1338=0,0,ROUND($R1343*$S$2*$C$2/$A1338,2))</f>
        <v>3.56</v>
      </c>
      <c r="AH1338" s="481">
        <f ca="1">$AG1338*$A1338</f>
        <v>142.4</v>
      </c>
      <c r="AI1338" s="525">
        <f ca="1">$E1338-$AG1338</f>
        <v>2.3699999999999997</v>
      </c>
      <c r="AJ1338" s="525">
        <f ca="1">$A1338*$AI1338</f>
        <v>94.799999999999983</v>
      </c>
      <c r="AK1338" s="526">
        <f ca="1">ROUND(($AG1338+$AI1338)*$A1338,2)</f>
        <v>237.2</v>
      </c>
      <c r="AM1338" s="527">
        <f ca="1">ROUND(R1343,2)</f>
        <v>115.6</v>
      </c>
      <c r="AN1338" s="528">
        <f ca="1">ROUND(T1343,2)</f>
        <v>2.8</v>
      </c>
      <c r="AO1338" s="529">
        <f ca="1">ROUND(AM1338+AN1338,2)*A1338</f>
        <v>4736</v>
      </c>
      <c r="AR1338" s="747">
        <v>40</v>
      </c>
      <c r="AS1338" s="751">
        <v>237.2</v>
      </c>
    </row>
    <row r="1339" spans="1:45" s="520" customFormat="1" ht="13.2">
      <c r="A1339" s="748"/>
      <c r="B1339"/>
      <c r="C1339" s="748"/>
      <c r="D1339" s="749" t="s">
        <v>1297</v>
      </c>
      <c r="F1339" s="753"/>
      <c r="G1339" s="3"/>
      <c r="H1339" s="753"/>
      <c r="I1339" s="754"/>
      <c r="J1339" s="753"/>
      <c r="K1339" s="753" t="s">
        <v>144</v>
      </c>
      <c r="L1339" s="753"/>
      <c r="M1339" s="753"/>
      <c r="N1339" s="753"/>
      <c r="O1339" s="753"/>
      <c r="P1339" s="753"/>
      <c r="Q1339" s="51"/>
      <c r="R1339" s="530"/>
      <c r="S1339" s="757"/>
      <c r="T1339" s="753"/>
      <c r="AR1339" s="748"/>
      <c r="AS1339" s="753"/>
    </row>
    <row r="1340" spans="1:45" s="886" customFormat="1" ht="13.2">
      <c r="A1340"/>
      <c r="B1340" s="910"/>
      <c r="C1340" s="910" t="s">
        <v>2597</v>
      </c>
      <c r="D1340" s="910" t="str">
        <f ca="1">CELL("Address",Elec_Rates!D$510)</f>
        <v>[E25_0062_Quintano_Foods_Elec_ELV_As_Awarded.xlsx]Elec_Rates!$D$510</v>
      </c>
      <c r="E1340" s="911"/>
      <c r="F1340" s="911"/>
      <c r="G1340" s="912" t="s">
        <v>2598</v>
      </c>
      <c r="H1340" s="912"/>
      <c r="I1340" s="912"/>
      <c r="J1340" s="912"/>
      <c r="K1340" s="913"/>
      <c r="L1340" s="911"/>
      <c r="M1340" s="911"/>
      <c r="N1340" s="911"/>
      <c r="O1340" s="914"/>
      <c r="P1340" s="911"/>
      <c r="Q1340" s="915"/>
      <c r="R1340" s="916"/>
      <c r="S1340" s="915"/>
      <c r="T1340" s="917"/>
      <c r="U1340" s="918"/>
      <c r="AR1340"/>
      <c r="AS1340" s="911"/>
    </row>
    <row r="1341" spans="1:45" s="886" customFormat="1" ht="11.4">
      <c r="A1341" s="919">
        <v>40</v>
      </c>
      <c r="B1341" s="920">
        <v>1</v>
      </c>
      <c r="C1341" s="920">
        <f>$A1341*$B1341</f>
        <v>40</v>
      </c>
      <c r="D1341" s="921" t="str">
        <f>Elec_Rates!$D$510</f>
        <v>048# 5 x 2.5mm2 XLPE/SWA/LSZH</v>
      </c>
      <c r="E1341" s="921"/>
      <c r="F1341" s="921" t="s">
        <v>2599</v>
      </c>
      <c r="G1341" s="922" t="s">
        <v>2601</v>
      </c>
      <c r="H1341" s="922"/>
      <c r="I1341" s="922"/>
      <c r="J1341" s="922"/>
      <c r="K1341" s="923"/>
      <c r="L1341" s="918"/>
      <c r="M1341" s="918"/>
      <c r="N1341" s="918"/>
      <c r="O1341" s="924"/>
      <c r="P1341" s="921"/>
      <c r="Q1341" s="925">
        <f ca="1">$B1341*Elec_Rates!$R$510</f>
        <v>2.89</v>
      </c>
      <c r="R1341" s="916">
        <f ca="1">$A1341*Q1341</f>
        <v>115.60000000000001</v>
      </c>
      <c r="S1341" s="925">
        <f ca="1">$B1341*Elec_Rates!$T$510</f>
        <v>7.0000000000000007E-2</v>
      </c>
      <c r="T1341" s="917">
        <f ca="1">$A1341*S1341</f>
        <v>2.8000000000000003</v>
      </c>
      <c r="U1341" s="926"/>
      <c r="AR1341" s="919">
        <v>40</v>
      </c>
      <c r="AS1341" s="921" t="s">
        <v>2599</v>
      </c>
    </row>
    <row r="1342" spans="1:45" s="520" customFormat="1" ht="12">
      <c r="A1342" s="758"/>
      <c r="B1342" s="758"/>
      <c r="C1342" s="758"/>
      <c r="D1342" s="758"/>
      <c r="E1342" s="758"/>
      <c r="F1342" s="753"/>
      <c r="G1342" s="758"/>
      <c r="H1342" s="758"/>
      <c r="I1342" s="519"/>
      <c r="J1342" s="758"/>
      <c r="K1342" s="758"/>
      <c r="L1342" s="758"/>
      <c r="M1342" s="758"/>
      <c r="N1342" s="758"/>
      <c r="O1342" s="758"/>
      <c r="P1342" s="758"/>
      <c r="Q1342" s="519"/>
      <c r="R1342" s="759">
        <f>$A1342*Q1342</f>
        <v>0</v>
      </c>
      <c r="S1342" s="519"/>
      <c r="T1342" s="760">
        <f>$A1342*S1342*$T$1</f>
        <v>0</v>
      </c>
      <c r="AR1342" s="758"/>
      <c r="AS1342" s="753"/>
    </row>
    <row r="1343" spans="1:45" s="520" customFormat="1" ht="12.6" thickBot="1">
      <c r="A1343" s="761" t="s">
        <v>145</v>
      </c>
      <c r="B1343" s="762">
        <f>(R1342+T1342)</f>
        <v>0</v>
      </c>
      <c r="C1343" s="763"/>
      <c r="D1343" s="763"/>
      <c r="E1343" s="763"/>
      <c r="F1343" s="764"/>
      <c r="G1343" s="763" t="s">
        <v>146</v>
      </c>
      <c r="H1343" s="763"/>
      <c r="I1343" s="765"/>
      <c r="J1343" s="763"/>
      <c r="K1343" s="763" t="s">
        <v>3</v>
      </c>
      <c r="L1343" s="766" t="s">
        <v>143</v>
      </c>
      <c r="M1343" s="766"/>
      <c r="N1343" s="766"/>
      <c r="O1343" s="766"/>
      <c r="P1343" s="766"/>
      <c r="Q1343" s="767"/>
      <c r="R1343" s="768">
        <f ca="1">SUM(R1339:R1342)</f>
        <v>115.60000000000001</v>
      </c>
      <c r="S1343" s="763"/>
      <c r="T1343" s="768">
        <f ca="1">SUM(T1339:T1342)</f>
        <v>2.8000000000000003</v>
      </c>
      <c r="U1343" s="531"/>
      <c r="V1343" s="531"/>
      <c r="W1343" s="531"/>
      <c r="X1343" s="531"/>
      <c r="Y1343" s="531"/>
      <c r="Z1343" s="531"/>
      <c r="AA1343" s="531"/>
      <c r="AB1343" s="531"/>
      <c r="AC1343" s="531"/>
      <c r="AD1343" s="531"/>
      <c r="AE1343" s="531"/>
      <c r="AF1343" s="531"/>
      <c r="AG1343" s="531"/>
      <c r="AH1343" s="531"/>
      <c r="AI1343" s="531"/>
      <c r="AJ1343" s="531"/>
      <c r="AK1343" s="531"/>
      <c r="AL1343" s="531"/>
      <c r="AM1343" s="531"/>
      <c r="AN1343" s="531"/>
      <c r="AO1343" s="531"/>
      <c r="AR1343" s="761" t="s">
        <v>145</v>
      </c>
      <c r="AS1343" s="764"/>
    </row>
    <row r="1344" spans="1:45" s="520" customFormat="1" ht="12" thickTop="1">
      <c r="A1344" s="51"/>
      <c r="B1344" s="41"/>
      <c r="C1344" s="51"/>
      <c r="E1344" s="42" t="s">
        <v>138</v>
      </c>
      <c r="F1344" s="42" t="s">
        <v>139</v>
      </c>
      <c r="G1344" s="51"/>
      <c r="H1344" s="51"/>
      <c r="I1344" s="51"/>
      <c r="J1344" s="51"/>
      <c r="K1344" s="51" t="s">
        <v>140</v>
      </c>
      <c r="L1344" s="51"/>
      <c r="M1344" s="51"/>
      <c r="N1344" s="51"/>
      <c r="O1344" s="52"/>
      <c r="P1344" s="51"/>
      <c r="Q1344" s="51"/>
      <c r="R1344" s="51"/>
      <c r="S1344" s="51"/>
      <c r="T1344" s="41"/>
      <c r="AG1344" s="521" t="s">
        <v>268</v>
      </c>
      <c r="AH1344" s="521" t="s">
        <v>269</v>
      </c>
      <c r="AI1344" s="521" t="s">
        <v>270</v>
      </c>
      <c r="AJ1344" s="521" t="s">
        <v>271</v>
      </c>
      <c r="AK1344" s="521" t="s">
        <v>272</v>
      </c>
      <c r="AM1344" s="745" t="s">
        <v>281</v>
      </c>
      <c r="AN1344" s="746" t="s">
        <v>282</v>
      </c>
      <c r="AO1344" s="522" t="s">
        <v>278</v>
      </c>
      <c r="AR1344" s="51"/>
      <c r="AS1344" s="42" t="s">
        <v>139</v>
      </c>
    </row>
    <row r="1345" spans="1:45" s="520" customFormat="1" ht="12" customHeight="1">
      <c r="A1345" s="747">
        <v>45</v>
      </c>
      <c r="B1345" s="523" t="s">
        <v>320</v>
      </c>
      <c r="C1345" s="748"/>
      <c r="D1345" s="749" t="s">
        <v>1298</v>
      </c>
      <c r="E1345" s="750">
        <f ca="1">IF(AND($A1345=0,$A$1="DIF"),0, ROUND(ROUND(($R1350*$S$2+($T1350*$T$2))/A1345,2)*$C$2,2))</f>
        <v>5.93</v>
      </c>
      <c r="F1345" s="751">
        <f ca="1">ROUND($A1345*$E1345,2)</f>
        <v>266.85000000000002</v>
      </c>
      <c r="G1345" s="752" t="s">
        <v>142</v>
      </c>
      <c r="H1345" s="753"/>
      <c r="I1345" s="754"/>
      <c r="J1345" s="753"/>
      <c r="K1345" s="753" t="s">
        <v>3</v>
      </c>
      <c r="L1345" s="755" t="s">
        <v>143</v>
      </c>
      <c r="M1345" s="755"/>
      <c r="N1345" s="755"/>
      <c r="O1345" s="755"/>
      <c r="P1345" s="755"/>
      <c r="Q1345" s="51"/>
      <c r="T1345" s="756" t="str">
        <f ca="1">IF(AND($R1350=0,$T1350=0),"0.00","mu :" &amp; ROUND($F1345/$C$2/($R1350+$T1350*$D$9),2))</f>
        <v>mu :1.23</v>
      </c>
      <c r="W1345" s="524"/>
      <c r="AG1345" s="481">
        <f ca="1">IF($E1345=0,0,ROUND($R1350*$S$2*$C$2/$A1345,2))</f>
        <v>3.56</v>
      </c>
      <c r="AH1345" s="481">
        <f ca="1">$AG1345*$A1345</f>
        <v>160.19999999999999</v>
      </c>
      <c r="AI1345" s="525">
        <f ca="1">$E1345-$AG1345</f>
        <v>2.3699999999999997</v>
      </c>
      <c r="AJ1345" s="525">
        <f ca="1">$A1345*$AI1345</f>
        <v>106.64999999999999</v>
      </c>
      <c r="AK1345" s="526">
        <f ca="1">ROUND(($AG1345+$AI1345)*$A1345,2)</f>
        <v>266.85000000000002</v>
      </c>
      <c r="AM1345" s="527">
        <f ca="1">ROUND(R1350,2)</f>
        <v>130.05000000000001</v>
      </c>
      <c r="AN1345" s="528">
        <f ca="1">ROUND(T1350,2)</f>
        <v>3.15</v>
      </c>
      <c r="AO1345" s="529">
        <f ca="1">ROUND(AM1345+AN1345,2)*A1345</f>
        <v>5993.9999999999991</v>
      </c>
      <c r="AR1345" s="747">
        <v>45</v>
      </c>
      <c r="AS1345" s="751">
        <v>266.85000000000002</v>
      </c>
    </row>
    <row r="1346" spans="1:45" s="520" customFormat="1" ht="13.2">
      <c r="A1346" s="748"/>
      <c r="B1346"/>
      <c r="C1346" s="748"/>
      <c r="D1346" s="749" t="s">
        <v>1299</v>
      </c>
      <c r="F1346" s="753"/>
      <c r="G1346" s="3"/>
      <c r="H1346" s="753"/>
      <c r="I1346" s="754"/>
      <c r="J1346" s="753"/>
      <c r="K1346" s="753" t="s">
        <v>144</v>
      </c>
      <c r="L1346" s="753"/>
      <c r="M1346" s="753"/>
      <c r="N1346" s="753"/>
      <c r="O1346" s="753"/>
      <c r="P1346" s="753"/>
      <c r="Q1346" s="51"/>
      <c r="R1346" s="530"/>
      <c r="S1346" s="757"/>
      <c r="T1346" s="753"/>
      <c r="AR1346" s="748"/>
      <c r="AS1346" s="753"/>
    </row>
    <row r="1347" spans="1:45" s="886" customFormat="1" ht="13.2">
      <c r="A1347"/>
      <c r="B1347" s="910"/>
      <c r="C1347" s="910" t="s">
        <v>2597</v>
      </c>
      <c r="D1347" s="910" t="str">
        <f ca="1">CELL("Address",Elec_Rates!D$510)</f>
        <v>[E25_0062_Quintano_Foods_Elec_ELV_As_Awarded.xlsx]Elec_Rates!$D$510</v>
      </c>
      <c r="E1347" s="911"/>
      <c r="F1347" s="911"/>
      <c r="G1347" s="912" t="s">
        <v>2598</v>
      </c>
      <c r="H1347" s="912"/>
      <c r="I1347" s="912"/>
      <c r="J1347" s="912"/>
      <c r="K1347" s="913"/>
      <c r="L1347" s="911"/>
      <c r="M1347" s="911"/>
      <c r="N1347" s="911"/>
      <c r="O1347" s="914"/>
      <c r="P1347" s="911"/>
      <c r="Q1347" s="915"/>
      <c r="R1347" s="916"/>
      <c r="S1347" s="915"/>
      <c r="T1347" s="917"/>
      <c r="U1347" s="918"/>
      <c r="AR1347"/>
      <c r="AS1347" s="911"/>
    </row>
    <row r="1348" spans="1:45" s="886" customFormat="1" ht="11.4">
      <c r="A1348" s="919">
        <v>45</v>
      </c>
      <c r="B1348" s="920">
        <v>1</v>
      </c>
      <c r="C1348" s="920">
        <f>$A1348*$B1348</f>
        <v>45</v>
      </c>
      <c r="D1348" s="921" t="str">
        <f>Elec_Rates!$D$510</f>
        <v>048# 5 x 2.5mm2 XLPE/SWA/LSZH</v>
      </c>
      <c r="E1348" s="921"/>
      <c r="F1348" s="921" t="s">
        <v>2599</v>
      </c>
      <c r="G1348" s="922" t="s">
        <v>2601</v>
      </c>
      <c r="H1348" s="922"/>
      <c r="I1348" s="922"/>
      <c r="J1348" s="922"/>
      <c r="K1348" s="923"/>
      <c r="L1348" s="918"/>
      <c r="M1348" s="918"/>
      <c r="N1348" s="918"/>
      <c r="O1348" s="924"/>
      <c r="P1348" s="921"/>
      <c r="Q1348" s="925">
        <f ca="1">$B1348*Elec_Rates!$R$510</f>
        <v>2.89</v>
      </c>
      <c r="R1348" s="916">
        <f ca="1">$A1348*Q1348</f>
        <v>130.05000000000001</v>
      </c>
      <c r="S1348" s="925">
        <f ca="1">$B1348*Elec_Rates!$T$510</f>
        <v>7.0000000000000007E-2</v>
      </c>
      <c r="T1348" s="917">
        <f ca="1">$A1348*S1348</f>
        <v>3.1500000000000004</v>
      </c>
      <c r="U1348" s="926"/>
      <c r="AR1348" s="919">
        <v>45</v>
      </c>
      <c r="AS1348" s="921" t="s">
        <v>2599</v>
      </c>
    </row>
    <row r="1349" spans="1:45" s="520" customFormat="1" ht="12">
      <c r="A1349" s="758"/>
      <c r="B1349" s="758"/>
      <c r="C1349" s="758"/>
      <c r="D1349" s="758"/>
      <c r="E1349" s="758"/>
      <c r="F1349" s="753"/>
      <c r="G1349" s="758"/>
      <c r="H1349" s="758"/>
      <c r="I1349" s="519"/>
      <c r="J1349" s="758"/>
      <c r="K1349" s="758"/>
      <c r="L1349" s="758"/>
      <c r="M1349" s="758"/>
      <c r="N1349" s="758"/>
      <c r="O1349" s="758"/>
      <c r="P1349" s="758"/>
      <c r="Q1349" s="519"/>
      <c r="R1349" s="759">
        <f>$A1349*Q1349</f>
        <v>0</v>
      </c>
      <c r="S1349" s="519"/>
      <c r="T1349" s="760">
        <f>$A1349*S1349*$T$1</f>
        <v>0</v>
      </c>
      <c r="AR1349" s="758"/>
      <c r="AS1349" s="753"/>
    </row>
    <row r="1350" spans="1:45" s="520" customFormat="1" ht="12.6" thickBot="1">
      <c r="A1350" s="761" t="s">
        <v>145</v>
      </c>
      <c r="B1350" s="762">
        <f>(R1349+T1349)</f>
        <v>0</v>
      </c>
      <c r="C1350" s="763"/>
      <c r="D1350" s="763"/>
      <c r="E1350" s="763"/>
      <c r="F1350" s="764"/>
      <c r="G1350" s="763" t="s">
        <v>146</v>
      </c>
      <c r="H1350" s="763"/>
      <c r="I1350" s="765"/>
      <c r="J1350" s="763"/>
      <c r="K1350" s="763" t="s">
        <v>3</v>
      </c>
      <c r="L1350" s="766" t="s">
        <v>143</v>
      </c>
      <c r="M1350" s="766"/>
      <c r="N1350" s="766"/>
      <c r="O1350" s="766"/>
      <c r="P1350" s="766"/>
      <c r="Q1350" s="767"/>
      <c r="R1350" s="768">
        <f ca="1">SUM(R1346:R1349)</f>
        <v>130.05000000000001</v>
      </c>
      <c r="S1350" s="763"/>
      <c r="T1350" s="768">
        <f ca="1">SUM(T1346:T1349)</f>
        <v>3.1500000000000004</v>
      </c>
      <c r="U1350" s="531"/>
      <c r="V1350" s="531"/>
      <c r="W1350" s="531"/>
      <c r="X1350" s="531"/>
      <c r="Y1350" s="531"/>
      <c r="Z1350" s="531"/>
      <c r="AA1350" s="531"/>
      <c r="AB1350" s="531"/>
      <c r="AC1350" s="531"/>
      <c r="AD1350" s="531"/>
      <c r="AE1350" s="531"/>
      <c r="AF1350" s="531"/>
      <c r="AG1350" s="531"/>
      <c r="AH1350" s="531"/>
      <c r="AI1350" s="531"/>
      <c r="AJ1350" s="531"/>
      <c r="AK1350" s="531"/>
      <c r="AL1350" s="531"/>
      <c r="AM1350" s="531"/>
      <c r="AN1350" s="531"/>
      <c r="AO1350" s="531"/>
      <c r="AR1350" s="761" t="s">
        <v>145</v>
      </c>
      <c r="AS1350" s="764"/>
    </row>
    <row r="1351" spans="1:45" s="520" customFormat="1" thickTop="1">
      <c r="A1351" s="51"/>
      <c r="B1351" s="51"/>
      <c r="C1351" s="3"/>
      <c r="D1351" s="3"/>
      <c r="E1351" s="51"/>
      <c r="F1351" s="51"/>
      <c r="G1351" s="51"/>
      <c r="H1351" s="51"/>
      <c r="I1351" s="51"/>
      <c r="J1351" s="51"/>
      <c r="K1351" s="51" t="s">
        <v>134</v>
      </c>
      <c r="L1351" s="51"/>
      <c r="M1351" s="51"/>
      <c r="N1351" s="51"/>
      <c r="O1351" s="52"/>
      <c r="P1351" s="51"/>
      <c r="Q1351" s="51"/>
      <c r="R1351" s="51"/>
      <c r="S1351" s="51"/>
      <c r="T1351" s="51"/>
      <c r="AR1351" s="51"/>
      <c r="AS1351" s="51"/>
    </row>
    <row r="1352" spans="1:45" s="520" customFormat="1" ht="12">
      <c r="A1352" s="51"/>
      <c r="B1352" s="51"/>
      <c r="C1352" s="51" t="s">
        <v>135</v>
      </c>
      <c r="D1352" s="37"/>
      <c r="E1352" s="51"/>
      <c r="F1352" s="51"/>
      <c r="G1352" s="51"/>
      <c r="H1352" s="51"/>
      <c r="I1352" s="51"/>
      <c r="J1352" s="51"/>
      <c r="K1352" s="51"/>
      <c r="L1352" s="51"/>
      <c r="M1352" s="51"/>
      <c r="N1352" s="51"/>
      <c r="O1352" s="52"/>
      <c r="P1352" s="51"/>
      <c r="Q1352" s="51"/>
      <c r="R1352" s="51"/>
      <c r="S1352" s="51"/>
      <c r="T1352" s="51"/>
      <c r="AR1352" s="51"/>
      <c r="AS1352" s="51"/>
    </row>
    <row r="1353" spans="1:45" s="520" customFormat="1" ht="12">
      <c r="A1353" s="51"/>
      <c r="B1353" s="51"/>
      <c r="C1353" s="51"/>
      <c r="D1353" s="37" t="s">
        <v>463</v>
      </c>
      <c r="E1353" s="51"/>
      <c r="F1353" s="51"/>
      <c r="G1353" s="51"/>
      <c r="H1353" s="51"/>
      <c r="I1353" s="51"/>
      <c r="J1353" s="51"/>
      <c r="K1353" s="51"/>
      <c r="L1353" s="51"/>
      <c r="M1353" s="51"/>
      <c r="N1353" s="51"/>
      <c r="O1353" s="52"/>
      <c r="P1353" s="51"/>
      <c r="Q1353" s="51"/>
      <c r="R1353" s="51"/>
      <c r="S1353" s="38"/>
      <c r="T1353" s="38"/>
      <c r="AR1353" s="51"/>
      <c r="AS1353" s="51"/>
    </row>
    <row r="1354" spans="1:45" s="3" customFormat="1" thickBot="1">
      <c r="A1354" s="531"/>
      <c r="O1354" s="107"/>
      <c r="AR1354" s="531"/>
    </row>
    <row r="1355" spans="1:45" s="520" customFormat="1" ht="12" thickTop="1">
      <c r="A1355" s="51"/>
      <c r="B1355" s="41"/>
      <c r="C1355" s="51"/>
      <c r="E1355" s="42" t="s">
        <v>138</v>
      </c>
      <c r="F1355" s="42" t="s">
        <v>139</v>
      </c>
      <c r="G1355" s="51"/>
      <c r="H1355" s="51"/>
      <c r="I1355" s="51"/>
      <c r="J1355" s="51"/>
      <c r="K1355" s="51" t="s">
        <v>140</v>
      </c>
      <c r="L1355" s="51"/>
      <c r="M1355" s="51"/>
      <c r="N1355" s="51"/>
      <c r="O1355" s="52"/>
      <c r="P1355" s="51"/>
      <c r="Q1355" s="51"/>
      <c r="R1355" s="51"/>
      <c r="S1355" s="51"/>
      <c r="T1355" s="41"/>
      <c r="AG1355" s="521" t="s">
        <v>268</v>
      </c>
      <c r="AH1355" s="521" t="s">
        <v>269</v>
      </c>
      <c r="AI1355" s="521" t="s">
        <v>270</v>
      </c>
      <c r="AJ1355" s="521" t="s">
        <v>271</v>
      </c>
      <c r="AK1355" s="521" t="s">
        <v>272</v>
      </c>
      <c r="AM1355" s="745" t="s">
        <v>281</v>
      </c>
      <c r="AN1355" s="746" t="s">
        <v>282</v>
      </c>
      <c r="AO1355" s="522" t="s">
        <v>278</v>
      </c>
      <c r="AR1355" s="51"/>
      <c r="AS1355" s="42" t="s">
        <v>139</v>
      </c>
    </row>
    <row r="1356" spans="1:45" s="520" customFormat="1" ht="12" customHeight="1">
      <c r="A1356" s="747">
        <v>1</v>
      </c>
      <c r="B1356" s="523" t="s">
        <v>141</v>
      </c>
      <c r="C1356" s="748"/>
      <c r="D1356" s="749" t="s">
        <v>1300</v>
      </c>
      <c r="E1356" s="750">
        <f ca="1">IF(AND($A1356=0,$A$1="DIF"),0, ROUND(ROUND(($R1361*$S$2+($T1361*$T$2))/A1356,2)*$C$2,2))</f>
        <v>48.53</v>
      </c>
      <c r="F1356" s="751">
        <f ca="1">ROUND($A1356*$E1356,2)</f>
        <v>48.53</v>
      </c>
      <c r="G1356" s="752" t="s">
        <v>142</v>
      </c>
      <c r="H1356" s="753"/>
      <c r="I1356" s="754"/>
      <c r="J1356" s="753"/>
      <c r="K1356" s="753" t="s">
        <v>3</v>
      </c>
      <c r="L1356" s="755" t="s">
        <v>143</v>
      </c>
      <c r="M1356" s="755"/>
      <c r="N1356" s="755"/>
      <c r="O1356" s="755"/>
      <c r="P1356" s="755"/>
      <c r="Q1356" s="51"/>
      <c r="T1356" s="756" t="str">
        <f ca="1">IF(AND($R1361=0,$T1361=0),"0.00","mu :" &amp; ROUND($F1356/$C$2/($R1361+$T1361*$D$9),2))</f>
        <v>mu :1.23</v>
      </c>
      <c r="W1356" s="524"/>
      <c r="AG1356" s="481">
        <f ca="1">IF($E1356=0,0,ROUND($R1361*$S$2*$C$2/$A1356,2))</f>
        <v>31.62</v>
      </c>
      <c r="AH1356" s="481">
        <f ca="1">$AG1356*$A1356</f>
        <v>31.62</v>
      </c>
      <c r="AI1356" s="525">
        <f ca="1">$E1356-$AG1356</f>
        <v>16.91</v>
      </c>
      <c r="AJ1356" s="525">
        <f ca="1">$A1356*$AI1356</f>
        <v>16.91</v>
      </c>
      <c r="AK1356" s="526">
        <f ca="1">ROUND(($AG1356+$AI1356)*$A1356,2)</f>
        <v>48.53</v>
      </c>
      <c r="AM1356" s="527">
        <f ca="1">ROUND(R1361,2)</f>
        <v>25.68</v>
      </c>
      <c r="AN1356" s="528">
        <f ca="1">ROUND(T1361,2)</f>
        <v>0.5</v>
      </c>
      <c r="AO1356" s="529">
        <f ca="1">ROUND(AM1356+AN1356,2)*A1356</f>
        <v>26.18</v>
      </c>
      <c r="AR1356" s="747">
        <v>1</v>
      </c>
      <c r="AS1356" s="751">
        <v>50.22</v>
      </c>
    </row>
    <row r="1357" spans="1:45" s="520" customFormat="1" ht="13.2">
      <c r="A1357" s="748"/>
      <c r="B1357"/>
      <c r="C1357" s="748"/>
      <c r="D1357" s="749" t="s">
        <v>1267</v>
      </c>
      <c r="F1357" s="753"/>
      <c r="G1357" s="3"/>
      <c r="H1357" s="753"/>
      <c r="I1357" s="754"/>
      <c r="J1357" s="753"/>
      <c r="K1357" s="753" t="s">
        <v>144</v>
      </c>
      <c r="L1357" s="753"/>
      <c r="M1357" s="753"/>
      <c r="N1357" s="753"/>
      <c r="O1357" s="753"/>
      <c r="P1357" s="753"/>
      <c r="Q1357" s="51"/>
      <c r="R1357" s="530"/>
      <c r="S1357" s="757"/>
      <c r="T1357" s="753"/>
      <c r="AR1357" s="748"/>
      <c r="AS1357" s="753"/>
    </row>
    <row r="1358" spans="1:45" s="886" customFormat="1" ht="13.2">
      <c r="A1358"/>
      <c r="B1358" s="910"/>
      <c r="C1358" s="910" t="s">
        <v>2597</v>
      </c>
      <c r="D1358" s="910" t="str">
        <f ca="1">CELL("Address",Elec_Rates!D$201)</f>
        <v>[E25_0062_Quintano_Foods_Elec_ELV_As_Awarded.xlsx]Elec_Rates!$D$201</v>
      </c>
      <c r="E1358" s="911"/>
      <c r="F1358" s="911"/>
      <c r="G1358" s="912" t="s">
        <v>2598</v>
      </c>
      <c r="H1358" s="912"/>
      <c r="I1358" s="912"/>
      <c r="J1358" s="912"/>
      <c r="K1358" s="913"/>
      <c r="L1358" s="911"/>
      <c r="M1358" s="911"/>
      <c r="N1358" s="911"/>
      <c r="O1358" s="914"/>
      <c r="P1358" s="911"/>
      <c r="Q1358" s="915"/>
      <c r="R1358" s="916"/>
      <c r="S1358" s="915"/>
      <c r="T1358" s="917"/>
      <c r="U1358" s="918"/>
      <c r="AR1358"/>
      <c r="AS1358" s="911"/>
    </row>
    <row r="1359" spans="1:45" s="886" customFormat="1" ht="11.4">
      <c r="A1359" s="919">
        <v>1</v>
      </c>
      <c r="B1359" s="920">
        <v>1</v>
      </c>
      <c r="C1359" s="920">
        <f>$A1359*$B1359</f>
        <v>1</v>
      </c>
      <c r="D1359" s="921" t="str">
        <f>Elec_Rates!$D$201</f>
        <v>019# 3-Phase 16A Isolator</v>
      </c>
      <c r="E1359" s="921"/>
      <c r="F1359" s="921" t="s">
        <v>2599</v>
      </c>
      <c r="G1359" s="922" t="s">
        <v>2600</v>
      </c>
      <c r="H1359" s="922"/>
      <c r="I1359" s="922"/>
      <c r="J1359" s="922"/>
      <c r="K1359" s="923"/>
      <c r="L1359" s="918"/>
      <c r="M1359" s="918"/>
      <c r="N1359" s="918"/>
      <c r="O1359" s="924"/>
      <c r="P1359" s="921"/>
      <c r="Q1359" s="925">
        <f ca="1">$B1359*Elec_Rates!$R$201</f>
        <v>25.68</v>
      </c>
      <c r="R1359" s="916">
        <f ca="1">$A1359*Q1359</f>
        <v>25.68</v>
      </c>
      <c r="S1359" s="925">
        <f ca="1">$B1359*Elec_Rates!$T$201</f>
        <v>0.5</v>
      </c>
      <c r="T1359" s="917">
        <f ca="1">$A1359*S1359</f>
        <v>0.5</v>
      </c>
      <c r="U1359" s="926"/>
      <c r="AR1359" s="919">
        <v>1</v>
      </c>
      <c r="AS1359" s="921" t="s">
        <v>2599</v>
      </c>
    </row>
    <row r="1360" spans="1:45" s="520" customFormat="1" ht="12">
      <c r="A1360" s="758"/>
      <c r="B1360" s="758"/>
      <c r="C1360" s="758"/>
      <c r="D1360" s="758"/>
      <c r="E1360" s="758"/>
      <c r="F1360" s="753"/>
      <c r="G1360" s="758"/>
      <c r="H1360" s="758"/>
      <c r="I1360" s="519"/>
      <c r="J1360" s="758"/>
      <c r="K1360" s="758"/>
      <c r="L1360" s="758"/>
      <c r="M1360" s="758"/>
      <c r="N1360" s="758"/>
      <c r="O1360" s="758"/>
      <c r="P1360" s="758"/>
      <c r="Q1360" s="519"/>
      <c r="R1360" s="759">
        <f>$A1360*Q1360</f>
        <v>0</v>
      </c>
      <c r="S1360" s="519"/>
      <c r="T1360" s="760">
        <f>$A1360*S1360*$T$1</f>
        <v>0</v>
      </c>
      <c r="AR1360" s="758"/>
      <c r="AS1360" s="753"/>
    </row>
    <row r="1361" spans="1:45" s="520" customFormat="1" ht="12.6" thickBot="1">
      <c r="A1361" s="761" t="s">
        <v>145</v>
      </c>
      <c r="B1361" s="762">
        <f>(R1360+T1360)</f>
        <v>0</v>
      </c>
      <c r="C1361" s="763"/>
      <c r="D1361" s="763"/>
      <c r="E1361" s="763"/>
      <c r="F1361" s="764"/>
      <c r="G1361" s="763" t="s">
        <v>146</v>
      </c>
      <c r="H1361" s="763"/>
      <c r="I1361" s="765"/>
      <c r="J1361" s="763"/>
      <c r="K1361" s="763" t="s">
        <v>3</v>
      </c>
      <c r="L1361" s="766" t="s">
        <v>143</v>
      </c>
      <c r="M1361" s="766"/>
      <c r="N1361" s="766"/>
      <c r="O1361" s="766"/>
      <c r="P1361" s="766"/>
      <c r="Q1361" s="767"/>
      <c r="R1361" s="768">
        <f ca="1">SUM(R1357:R1360)</f>
        <v>25.68</v>
      </c>
      <c r="S1361" s="763"/>
      <c r="T1361" s="768">
        <f ca="1">SUM(T1357:T1360)</f>
        <v>0.5</v>
      </c>
      <c r="U1361" s="531"/>
      <c r="V1361" s="531"/>
      <c r="W1361" s="531"/>
      <c r="X1361" s="531"/>
      <c r="Y1361" s="531"/>
      <c r="Z1361" s="531"/>
      <c r="AA1361" s="531"/>
      <c r="AB1361" s="531"/>
      <c r="AC1361" s="531"/>
      <c r="AD1361" s="531"/>
      <c r="AE1361" s="531"/>
      <c r="AF1361" s="531"/>
      <c r="AG1361" s="531"/>
      <c r="AH1361" s="531"/>
      <c r="AI1361" s="531"/>
      <c r="AJ1361" s="531"/>
      <c r="AK1361" s="531"/>
      <c r="AL1361" s="531"/>
      <c r="AM1361" s="531"/>
      <c r="AN1361" s="531"/>
      <c r="AO1361" s="531"/>
      <c r="AR1361" s="761" t="s">
        <v>145</v>
      </c>
      <c r="AS1361" s="764"/>
    </row>
    <row r="1362" spans="1:45" s="520" customFormat="1" ht="12" thickTop="1">
      <c r="A1362" s="51"/>
      <c r="B1362" s="41"/>
      <c r="C1362" s="51"/>
      <c r="E1362" s="42" t="s">
        <v>138</v>
      </c>
      <c r="F1362" s="42" t="s">
        <v>139</v>
      </c>
      <c r="G1362" s="51"/>
      <c r="H1362" s="51"/>
      <c r="I1362" s="51"/>
      <c r="J1362" s="51"/>
      <c r="K1362" s="51" t="s">
        <v>140</v>
      </c>
      <c r="L1362" s="51"/>
      <c r="M1362" s="51"/>
      <c r="N1362" s="51"/>
      <c r="O1362" s="52"/>
      <c r="P1362" s="51"/>
      <c r="Q1362" s="51"/>
      <c r="R1362" s="51"/>
      <c r="S1362" s="51"/>
      <c r="T1362" s="41"/>
      <c r="AG1362" s="521" t="s">
        <v>268</v>
      </c>
      <c r="AH1362" s="521" t="s">
        <v>269</v>
      </c>
      <c r="AI1362" s="521" t="s">
        <v>270</v>
      </c>
      <c r="AJ1362" s="521" t="s">
        <v>271</v>
      </c>
      <c r="AK1362" s="521" t="s">
        <v>272</v>
      </c>
      <c r="AM1362" s="745" t="s">
        <v>281</v>
      </c>
      <c r="AN1362" s="746" t="s">
        <v>282</v>
      </c>
      <c r="AO1362" s="522" t="s">
        <v>278</v>
      </c>
      <c r="AR1362" s="51"/>
      <c r="AS1362" s="42" t="s">
        <v>139</v>
      </c>
    </row>
    <row r="1363" spans="1:45" s="520" customFormat="1" ht="12" customHeight="1">
      <c r="A1363" s="747">
        <v>4</v>
      </c>
      <c r="B1363" s="523" t="s">
        <v>141</v>
      </c>
      <c r="C1363" s="748"/>
      <c r="D1363" s="749" t="s">
        <v>1301</v>
      </c>
      <c r="E1363" s="750">
        <f ca="1">IF(AND($A1363=0,$A$1="DIF"),0, ROUND(ROUND(($R1368*$S$2+($T1368*$T$2))/A1363,2)*$C$2,2))</f>
        <v>54.11</v>
      </c>
      <c r="F1363" s="751">
        <f ca="1">ROUND($A1363*$E1363,2)</f>
        <v>216.44</v>
      </c>
      <c r="G1363" s="752" t="s">
        <v>142</v>
      </c>
      <c r="H1363" s="753"/>
      <c r="I1363" s="754"/>
      <c r="J1363" s="753"/>
      <c r="K1363" s="753" t="s">
        <v>3</v>
      </c>
      <c r="L1363" s="755" t="s">
        <v>143</v>
      </c>
      <c r="M1363" s="755"/>
      <c r="N1363" s="755"/>
      <c r="O1363" s="755"/>
      <c r="P1363" s="755"/>
      <c r="Q1363" s="51"/>
      <c r="T1363" s="756" t="str">
        <f ca="1">IF(AND($R1368=0,$T1368=0),"0.00","mu :" &amp; ROUND($F1363/$C$2/($R1368+$T1368*$D$9),2))</f>
        <v>mu :1.23</v>
      </c>
      <c r="W1363" s="524"/>
      <c r="AG1363" s="481">
        <f ca="1">IF($E1363=0,0,ROUND($R1368*$S$2*$C$2/$A1363,2))</f>
        <v>43.29</v>
      </c>
      <c r="AH1363" s="481">
        <f ca="1">$AG1363*$A1363</f>
        <v>173.16</v>
      </c>
      <c r="AI1363" s="525">
        <f ca="1">$E1363-$AG1363</f>
        <v>10.82</v>
      </c>
      <c r="AJ1363" s="525">
        <f ca="1">$A1363*$AI1363</f>
        <v>43.28</v>
      </c>
      <c r="AK1363" s="526">
        <f ca="1">ROUND(($AG1363+$AI1363)*$A1363,2)</f>
        <v>216.44</v>
      </c>
      <c r="AM1363" s="527">
        <f ca="1">ROUND(R1368,2)</f>
        <v>140.63999999999999</v>
      </c>
      <c r="AN1363" s="528">
        <f ca="1">ROUND(T1368,2)</f>
        <v>1.28</v>
      </c>
      <c r="AO1363" s="529">
        <f ca="1">ROUND(AM1363+AN1363,2)*A1363</f>
        <v>567.67999999999995</v>
      </c>
      <c r="AR1363" s="747">
        <v>4</v>
      </c>
      <c r="AS1363" s="751">
        <v>220.52</v>
      </c>
    </row>
    <row r="1364" spans="1:45" s="520" customFormat="1" ht="13.2">
      <c r="A1364" s="748"/>
      <c r="B1364"/>
      <c r="C1364" s="748"/>
      <c r="D1364" s="749" t="s">
        <v>586</v>
      </c>
      <c r="F1364" s="753"/>
      <c r="G1364" s="3"/>
      <c r="H1364" s="753"/>
      <c r="I1364" s="754"/>
      <c r="J1364" s="753"/>
      <c r="K1364" s="753" t="s">
        <v>144</v>
      </c>
      <c r="L1364" s="753"/>
      <c r="M1364" s="753"/>
      <c r="N1364" s="753"/>
      <c r="O1364" s="753"/>
      <c r="P1364" s="753"/>
      <c r="Q1364" s="51"/>
      <c r="R1364" s="530"/>
      <c r="S1364" s="757"/>
      <c r="T1364" s="753"/>
      <c r="AR1364" s="748"/>
      <c r="AS1364" s="753"/>
    </row>
    <row r="1365" spans="1:45" s="886" customFormat="1" ht="13.2">
      <c r="A1365"/>
      <c r="B1365" s="910"/>
      <c r="C1365" s="910" t="s">
        <v>2597</v>
      </c>
      <c r="D1365" s="910" t="str">
        <f ca="1">CELL("Address",Elec_Rates!D$174)</f>
        <v>[E25_0062_Quintano_Foods_Elec_ELV_As_Awarded.xlsx]Elec_Rates!$D$174</v>
      </c>
      <c r="E1365" s="911"/>
      <c r="F1365" s="911"/>
      <c r="G1365" s="912" t="s">
        <v>2598</v>
      </c>
      <c r="H1365" s="912"/>
      <c r="I1365" s="912"/>
      <c r="J1365" s="912"/>
      <c r="K1365" s="913"/>
      <c r="L1365" s="911"/>
      <c r="M1365" s="911"/>
      <c r="N1365" s="911"/>
      <c r="O1365" s="914"/>
      <c r="P1365" s="911"/>
      <c r="Q1365" s="915"/>
      <c r="R1365" s="916"/>
      <c r="S1365" s="915"/>
      <c r="T1365" s="917"/>
      <c r="U1365" s="918"/>
      <c r="AR1365"/>
      <c r="AS1365" s="911"/>
    </row>
    <row r="1366" spans="1:45" s="886" customFormat="1" ht="11.4">
      <c r="A1366" s="919">
        <v>4</v>
      </c>
      <c r="B1366" s="920">
        <v>1</v>
      </c>
      <c r="C1366" s="920">
        <f>$A1366*$B1366</f>
        <v>4</v>
      </c>
      <c r="D1366" s="921" t="str">
        <f>Elec_Rates!$D$174</f>
        <v>016# 5Pin 16Amp IP67 Interlocked Socket outlet</v>
      </c>
      <c r="E1366" s="921"/>
      <c r="F1366" s="921" t="s">
        <v>2599</v>
      </c>
      <c r="G1366" s="922" t="s">
        <v>2601</v>
      </c>
      <c r="H1366" s="922"/>
      <c r="I1366" s="922"/>
      <c r="J1366" s="922"/>
      <c r="K1366" s="923"/>
      <c r="L1366" s="918"/>
      <c r="M1366" s="918"/>
      <c r="N1366" s="918"/>
      <c r="O1366" s="924"/>
      <c r="P1366" s="921"/>
      <c r="Q1366" s="925">
        <f ca="1">$B1366*Elec_Rates!$R$174</f>
        <v>35.159999999999997</v>
      </c>
      <c r="R1366" s="916">
        <f ca="1">$A1366*Q1366</f>
        <v>140.63999999999999</v>
      </c>
      <c r="S1366" s="925">
        <f ca="1">$B1366*Elec_Rates!$T$174</f>
        <v>0.32</v>
      </c>
      <c r="T1366" s="917">
        <f ca="1">$A1366*S1366</f>
        <v>1.28</v>
      </c>
      <c r="U1366" s="926"/>
      <c r="AR1366" s="919">
        <v>4</v>
      </c>
      <c r="AS1366" s="921" t="s">
        <v>2599</v>
      </c>
    </row>
    <row r="1367" spans="1:45" s="520" customFormat="1" ht="12">
      <c r="A1367" s="758"/>
      <c r="B1367" s="758"/>
      <c r="C1367" s="758"/>
      <c r="D1367" s="758"/>
      <c r="E1367" s="758"/>
      <c r="F1367" s="753"/>
      <c r="G1367" s="758"/>
      <c r="H1367" s="758"/>
      <c r="I1367" s="519"/>
      <c r="J1367" s="758"/>
      <c r="K1367" s="758"/>
      <c r="L1367" s="758"/>
      <c r="M1367" s="758"/>
      <c r="N1367" s="758"/>
      <c r="O1367" s="758"/>
      <c r="P1367" s="758"/>
      <c r="Q1367" s="519"/>
      <c r="R1367" s="759">
        <f>$A1367*Q1367</f>
        <v>0</v>
      </c>
      <c r="S1367" s="519"/>
      <c r="T1367" s="760">
        <f>$A1367*S1367*$T$1</f>
        <v>0</v>
      </c>
      <c r="AR1367" s="758"/>
      <c r="AS1367" s="753"/>
    </row>
    <row r="1368" spans="1:45" s="520" customFormat="1" ht="12.6" thickBot="1">
      <c r="A1368" s="761" t="s">
        <v>145</v>
      </c>
      <c r="B1368" s="762">
        <f>(R1367+T1367)</f>
        <v>0</v>
      </c>
      <c r="C1368" s="763"/>
      <c r="D1368" s="763"/>
      <c r="E1368" s="763"/>
      <c r="F1368" s="764"/>
      <c r="G1368" s="763" t="s">
        <v>146</v>
      </c>
      <c r="H1368" s="763"/>
      <c r="I1368" s="765"/>
      <c r="J1368" s="763"/>
      <c r="K1368" s="763" t="s">
        <v>3</v>
      </c>
      <c r="L1368" s="766" t="s">
        <v>143</v>
      </c>
      <c r="M1368" s="766"/>
      <c r="N1368" s="766"/>
      <c r="O1368" s="766"/>
      <c r="P1368" s="766"/>
      <c r="Q1368" s="767"/>
      <c r="R1368" s="768">
        <f ca="1">SUM(R1364:R1367)</f>
        <v>140.63999999999999</v>
      </c>
      <c r="S1368" s="763"/>
      <c r="T1368" s="768">
        <f ca="1">SUM(T1364:T1367)</f>
        <v>1.28</v>
      </c>
      <c r="U1368" s="531"/>
      <c r="V1368" s="531"/>
      <c r="W1368" s="531"/>
      <c r="X1368" s="531"/>
      <c r="Y1368" s="531"/>
      <c r="Z1368" s="531"/>
      <c r="AA1368" s="531"/>
      <c r="AB1368" s="531"/>
      <c r="AC1368" s="531"/>
      <c r="AD1368" s="531"/>
      <c r="AE1368" s="531"/>
      <c r="AF1368" s="531"/>
      <c r="AG1368" s="531"/>
      <c r="AH1368" s="531"/>
      <c r="AI1368" s="531"/>
      <c r="AJ1368" s="531"/>
      <c r="AK1368" s="531"/>
      <c r="AL1368" s="531"/>
      <c r="AM1368" s="531"/>
      <c r="AN1368" s="531"/>
      <c r="AO1368" s="531"/>
      <c r="AR1368" s="761" t="s">
        <v>145</v>
      </c>
      <c r="AS1368" s="764"/>
    </row>
    <row r="1369" spans="1:45" s="520" customFormat="1" thickTop="1">
      <c r="A1369" s="51"/>
      <c r="B1369" s="51"/>
      <c r="C1369" s="3"/>
      <c r="D1369" s="3"/>
      <c r="E1369" s="51"/>
      <c r="F1369" s="51"/>
      <c r="G1369" s="51"/>
      <c r="H1369" s="51"/>
      <c r="I1369" s="51"/>
      <c r="J1369" s="51"/>
      <c r="K1369" s="51" t="s">
        <v>134</v>
      </c>
      <c r="L1369" s="51"/>
      <c r="M1369" s="51"/>
      <c r="N1369" s="51"/>
      <c r="O1369" s="52"/>
      <c r="P1369" s="51"/>
      <c r="Q1369" s="51"/>
      <c r="R1369" s="51"/>
      <c r="S1369" s="51"/>
      <c r="T1369" s="51"/>
      <c r="AR1369" s="51"/>
      <c r="AS1369" s="51"/>
    </row>
    <row r="1370" spans="1:45" s="520" customFormat="1" ht="12">
      <c r="A1370" s="51"/>
      <c r="B1370" s="51"/>
      <c r="C1370" s="51" t="s">
        <v>135</v>
      </c>
      <c r="D1370" s="37"/>
      <c r="E1370" s="51"/>
      <c r="F1370" s="51"/>
      <c r="G1370" s="51"/>
      <c r="H1370" s="51"/>
      <c r="I1370" s="51"/>
      <c r="J1370" s="51"/>
      <c r="K1370" s="51"/>
      <c r="L1370" s="51"/>
      <c r="M1370" s="51"/>
      <c r="N1370" s="51"/>
      <c r="O1370" s="52"/>
      <c r="P1370" s="51"/>
      <c r="Q1370" s="51"/>
      <c r="R1370" s="51"/>
      <c r="S1370" s="51"/>
      <c r="T1370" s="51"/>
      <c r="AR1370" s="51"/>
      <c r="AS1370" s="51"/>
    </row>
    <row r="1371" spans="1:45" s="520" customFormat="1" ht="39.9" customHeight="1">
      <c r="A1371" s="51"/>
      <c r="B1371" s="51"/>
      <c r="C1371" s="51"/>
      <c r="D1371" s="1453" t="s">
        <v>498</v>
      </c>
      <c r="E1371" s="1452"/>
      <c r="F1371" s="1452"/>
      <c r="G1371" s="1452"/>
      <c r="H1371" s="1452"/>
      <c r="I1371" s="1452"/>
      <c r="J1371" s="1452"/>
      <c r="K1371" s="1452"/>
      <c r="L1371" s="1452"/>
      <c r="M1371" s="1452"/>
      <c r="N1371" s="1452"/>
      <c r="O1371" s="1452"/>
      <c r="P1371" s="1452"/>
      <c r="Q1371" s="1452"/>
      <c r="R1371" s="1452"/>
      <c r="S1371" s="1452"/>
      <c r="T1371" s="1452"/>
      <c r="AR1371" s="51"/>
    </row>
    <row r="1372" spans="1:45" s="3" customFormat="1" thickBot="1">
      <c r="A1372" s="531"/>
      <c r="O1372" s="107"/>
      <c r="AR1372" s="531"/>
    </row>
    <row r="1373" spans="1:45" s="520" customFormat="1" thickTop="1">
      <c r="A1373" s="51"/>
      <c r="B1373" s="51"/>
      <c r="C1373" s="3"/>
      <c r="D1373" s="3"/>
      <c r="E1373" s="51"/>
      <c r="F1373" s="51"/>
      <c r="G1373" s="51"/>
      <c r="H1373" s="51"/>
      <c r="I1373" s="51"/>
      <c r="J1373" s="51"/>
      <c r="K1373" s="51" t="s">
        <v>134</v>
      </c>
      <c r="L1373" s="51"/>
      <c r="M1373" s="51"/>
      <c r="N1373" s="51"/>
      <c r="O1373" s="52"/>
      <c r="P1373" s="51"/>
      <c r="Q1373" s="51"/>
      <c r="R1373" s="51"/>
      <c r="S1373" s="51"/>
      <c r="T1373" s="51"/>
      <c r="AR1373" s="51"/>
      <c r="AS1373" s="51"/>
    </row>
    <row r="1374" spans="1:45" s="520" customFormat="1" ht="12">
      <c r="A1374" s="51"/>
      <c r="B1374" s="51"/>
      <c r="C1374" s="51" t="s">
        <v>135</v>
      </c>
      <c r="D1374" s="37"/>
      <c r="E1374" s="51"/>
      <c r="F1374" s="51"/>
      <c r="G1374" s="51"/>
      <c r="H1374" s="51"/>
      <c r="I1374" s="51"/>
      <c r="J1374" s="51"/>
      <c r="K1374" s="51"/>
      <c r="L1374" s="51"/>
      <c r="M1374" s="51"/>
      <c r="N1374" s="51"/>
      <c r="O1374" s="52"/>
      <c r="P1374" s="51"/>
      <c r="Q1374" s="51"/>
      <c r="R1374" s="51"/>
      <c r="S1374" s="51"/>
      <c r="T1374" s="51"/>
      <c r="AR1374" s="51"/>
      <c r="AS1374" s="51"/>
    </row>
    <row r="1375" spans="1:45" s="520" customFormat="1" ht="12">
      <c r="A1375" s="51"/>
      <c r="B1375" s="51"/>
      <c r="C1375" s="51"/>
      <c r="D1375" s="37" t="s">
        <v>587</v>
      </c>
      <c r="E1375" s="51"/>
      <c r="F1375" s="51"/>
      <c r="G1375" s="51"/>
      <c r="H1375" s="51"/>
      <c r="I1375" s="51"/>
      <c r="J1375" s="51"/>
      <c r="K1375" s="51"/>
      <c r="L1375" s="51"/>
      <c r="M1375" s="51"/>
      <c r="N1375" s="51"/>
      <c r="O1375" s="52"/>
      <c r="P1375" s="51"/>
      <c r="Q1375" s="51"/>
      <c r="R1375" s="51"/>
      <c r="S1375" s="38"/>
      <c r="T1375" s="38"/>
      <c r="AR1375" s="51"/>
      <c r="AS1375" s="51"/>
    </row>
    <row r="1376" spans="1:45" s="3" customFormat="1" thickBot="1">
      <c r="A1376" s="531"/>
      <c r="O1376" s="107"/>
      <c r="AR1376" s="531"/>
    </row>
    <row r="1377" spans="1:45" s="520" customFormat="1" ht="12" thickTop="1">
      <c r="A1377" s="51"/>
      <c r="B1377" s="41"/>
      <c r="C1377" s="51"/>
      <c r="E1377" s="42" t="s">
        <v>138</v>
      </c>
      <c r="F1377" s="42" t="s">
        <v>139</v>
      </c>
      <c r="G1377" s="51"/>
      <c r="H1377" s="51"/>
      <c r="I1377" s="51"/>
      <c r="J1377" s="51"/>
      <c r="K1377" s="51" t="s">
        <v>140</v>
      </c>
      <c r="L1377" s="51"/>
      <c r="M1377" s="51"/>
      <c r="N1377" s="51"/>
      <c r="O1377" s="52"/>
      <c r="P1377" s="51"/>
      <c r="Q1377" s="51"/>
      <c r="R1377" s="51"/>
      <c r="S1377" s="51"/>
      <c r="T1377" s="41"/>
      <c r="AG1377" s="521" t="s">
        <v>268</v>
      </c>
      <c r="AH1377" s="521" t="s">
        <v>269</v>
      </c>
      <c r="AI1377" s="521" t="s">
        <v>270</v>
      </c>
      <c r="AJ1377" s="521" t="s">
        <v>271</v>
      </c>
      <c r="AK1377" s="521" t="s">
        <v>272</v>
      </c>
      <c r="AM1377" s="745" t="s">
        <v>281</v>
      </c>
      <c r="AN1377" s="746" t="s">
        <v>282</v>
      </c>
      <c r="AO1377" s="522" t="s">
        <v>278</v>
      </c>
      <c r="AR1377" s="51"/>
      <c r="AS1377" s="42" t="s">
        <v>139</v>
      </c>
    </row>
    <row r="1378" spans="1:45" s="520" customFormat="1" ht="12" customHeight="1">
      <c r="A1378" s="747">
        <v>75</v>
      </c>
      <c r="B1378" s="523" t="s">
        <v>320</v>
      </c>
      <c r="C1378" s="748"/>
      <c r="D1378" s="749" t="s">
        <v>1302</v>
      </c>
      <c r="E1378" s="750">
        <f ca="1">IF(AND($A1378=0,$A$1="DIF"),0, ROUND(ROUND(($R1383*$S$2+($T1383*$T$2))/A1378,2)*$C$2,2))</f>
        <v>9.9499999999999993</v>
      </c>
      <c r="F1378" s="751">
        <f ca="1">ROUND($A1378*$E1378,2)</f>
        <v>746.25</v>
      </c>
      <c r="G1378" s="752" t="s">
        <v>142</v>
      </c>
      <c r="H1378" s="753"/>
      <c r="I1378" s="754"/>
      <c r="J1378" s="753"/>
      <c r="K1378" s="753" t="s">
        <v>3</v>
      </c>
      <c r="L1378" s="755" t="s">
        <v>143</v>
      </c>
      <c r="M1378" s="755"/>
      <c r="N1378" s="755"/>
      <c r="O1378" s="755"/>
      <c r="P1378" s="755"/>
      <c r="Q1378" s="51"/>
      <c r="T1378" s="756" t="str">
        <f ca="1">IF(AND($R1383=0,$T1383=0),"0.00","mu :" &amp; ROUND($F1378/$C$2/($R1383+$T1383*$D$9),2))</f>
        <v>mu :1.23</v>
      </c>
      <c r="W1378" s="524"/>
      <c r="AG1378" s="481">
        <f ca="1">IF($E1378=0,0,ROUND($R1383*$S$2*$C$2/$A1378,2))</f>
        <v>6.91</v>
      </c>
      <c r="AH1378" s="481">
        <f ca="1">$AG1378*$A1378</f>
        <v>518.25</v>
      </c>
      <c r="AI1378" s="525">
        <f ca="1">$E1378-$AG1378</f>
        <v>3.0399999999999991</v>
      </c>
      <c r="AJ1378" s="525">
        <f ca="1">$A1378*$AI1378</f>
        <v>227.99999999999994</v>
      </c>
      <c r="AK1378" s="526">
        <f ca="1">ROUND(($AG1378+$AI1378)*$A1378,2)</f>
        <v>746.25</v>
      </c>
      <c r="AM1378" s="527">
        <f ca="1">ROUND(R1383,2)</f>
        <v>420.75</v>
      </c>
      <c r="AN1378" s="528">
        <f ca="1">ROUND(T1383,2)</f>
        <v>6.75</v>
      </c>
      <c r="AO1378" s="529">
        <f ca="1">ROUND(AM1378+AN1378,2)*A1378</f>
        <v>32062.5</v>
      </c>
      <c r="AR1378" s="747">
        <v>75</v>
      </c>
      <c r="AS1378" s="751">
        <v>771.75</v>
      </c>
    </row>
    <row r="1379" spans="1:45" s="520" customFormat="1" ht="13.2">
      <c r="A1379" s="748"/>
      <c r="B1379"/>
      <c r="C1379" s="748"/>
      <c r="D1379" s="749" t="s">
        <v>1303</v>
      </c>
      <c r="F1379" s="753"/>
      <c r="G1379" s="3"/>
      <c r="H1379" s="753"/>
      <c r="I1379" s="754"/>
      <c r="J1379" s="753"/>
      <c r="K1379" s="753" t="s">
        <v>144</v>
      </c>
      <c r="L1379" s="753"/>
      <c r="M1379" s="753"/>
      <c r="N1379" s="753"/>
      <c r="O1379" s="753"/>
      <c r="P1379" s="753"/>
      <c r="Q1379" s="51"/>
      <c r="R1379" s="530"/>
      <c r="S1379" s="757"/>
      <c r="T1379" s="753"/>
      <c r="AR1379" s="748"/>
      <c r="AS1379" s="753"/>
    </row>
    <row r="1380" spans="1:45" s="886" customFormat="1" ht="13.2">
      <c r="A1380"/>
      <c r="B1380" s="910"/>
      <c r="C1380" s="910" t="s">
        <v>2597</v>
      </c>
      <c r="D1380" s="910" t="str">
        <f ca="1">CELL("Address",Elec_Rates!D$437)</f>
        <v>[E25_0062_Quintano_Foods_Elec_ELV_As_Awarded.xlsx]Elec_Rates!$D$437</v>
      </c>
      <c r="E1380" s="911"/>
      <c r="F1380" s="911"/>
      <c r="G1380" s="912" t="s">
        <v>2598</v>
      </c>
      <c r="H1380" s="912"/>
      <c r="I1380" s="912"/>
      <c r="J1380" s="912"/>
      <c r="K1380" s="913"/>
      <c r="L1380" s="911"/>
      <c r="M1380" s="911"/>
      <c r="N1380" s="911"/>
      <c r="O1380" s="914"/>
      <c r="P1380" s="911"/>
      <c r="Q1380" s="915"/>
      <c r="R1380" s="916"/>
      <c r="S1380" s="915"/>
      <c r="T1380" s="917"/>
      <c r="U1380" s="918"/>
      <c r="AR1380"/>
      <c r="AS1380" s="911"/>
    </row>
    <row r="1381" spans="1:45" s="886" customFormat="1" ht="11.4">
      <c r="A1381" s="919">
        <v>75</v>
      </c>
      <c r="B1381" s="920">
        <v>1</v>
      </c>
      <c r="C1381" s="920">
        <f>$A1381*$B1381</f>
        <v>75</v>
      </c>
      <c r="D1381" s="921" t="str">
        <f>Elec_Rates!$D$437</f>
        <v>042# 5 x 6mm2 XLPE/SWA/LSZH</v>
      </c>
      <c r="E1381" s="921"/>
      <c r="F1381" s="921" t="s">
        <v>2599</v>
      </c>
      <c r="G1381" s="922" t="s">
        <v>2601</v>
      </c>
      <c r="H1381" s="922"/>
      <c r="I1381" s="922"/>
      <c r="J1381" s="922"/>
      <c r="K1381" s="923"/>
      <c r="L1381" s="918"/>
      <c r="M1381" s="918"/>
      <c r="N1381" s="918"/>
      <c r="O1381" s="924"/>
      <c r="P1381" s="921"/>
      <c r="Q1381" s="925">
        <f ca="1">$B1381*Elec_Rates!$R$437</f>
        <v>5.61</v>
      </c>
      <c r="R1381" s="916">
        <f ca="1">$A1381*Q1381</f>
        <v>420.75</v>
      </c>
      <c r="S1381" s="925">
        <f ca="1">$B1381*Elec_Rates!$T$437</f>
        <v>0.09</v>
      </c>
      <c r="T1381" s="917">
        <f ca="1">$A1381*S1381</f>
        <v>6.75</v>
      </c>
      <c r="U1381" s="926"/>
      <c r="AR1381" s="919">
        <v>75</v>
      </c>
      <c r="AS1381" s="921" t="s">
        <v>2599</v>
      </c>
    </row>
    <row r="1382" spans="1:45" s="520" customFormat="1" ht="12">
      <c r="A1382" s="758"/>
      <c r="B1382" s="758"/>
      <c r="C1382" s="758"/>
      <c r="D1382" s="758"/>
      <c r="E1382" s="758"/>
      <c r="F1382" s="753"/>
      <c r="G1382" s="758"/>
      <c r="H1382" s="758"/>
      <c r="I1382" s="519"/>
      <c r="J1382" s="758"/>
      <c r="K1382" s="758"/>
      <c r="L1382" s="758"/>
      <c r="M1382" s="758"/>
      <c r="N1382" s="758"/>
      <c r="O1382" s="758"/>
      <c r="P1382" s="758"/>
      <c r="Q1382" s="519"/>
      <c r="R1382" s="759">
        <f>$A1382*Q1382</f>
        <v>0</v>
      </c>
      <c r="S1382" s="519"/>
      <c r="T1382" s="760">
        <f>$A1382*S1382*$T$1</f>
        <v>0</v>
      </c>
      <c r="AR1382" s="758"/>
      <c r="AS1382" s="753"/>
    </row>
    <row r="1383" spans="1:45" s="520" customFormat="1" ht="12.6" thickBot="1">
      <c r="A1383" s="761" t="s">
        <v>145</v>
      </c>
      <c r="B1383" s="762">
        <f>(R1382+T1382)</f>
        <v>0</v>
      </c>
      <c r="C1383" s="763"/>
      <c r="D1383" s="763"/>
      <c r="E1383" s="763"/>
      <c r="F1383" s="764"/>
      <c r="G1383" s="763" t="s">
        <v>146</v>
      </c>
      <c r="H1383" s="763"/>
      <c r="I1383" s="765"/>
      <c r="J1383" s="763"/>
      <c r="K1383" s="763" t="s">
        <v>3</v>
      </c>
      <c r="L1383" s="766" t="s">
        <v>143</v>
      </c>
      <c r="M1383" s="766"/>
      <c r="N1383" s="766"/>
      <c r="O1383" s="766"/>
      <c r="P1383" s="766"/>
      <c r="Q1383" s="767"/>
      <c r="R1383" s="768">
        <f ca="1">SUM(R1379:R1382)</f>
        <v>420.75</v>
      </c>
      <c r="S1383" s="763"/>
      <c r="T1383" s="768">
        <f ca="1">SUM(T1379:T1382)</f>
        <v>6.75</v>
      </c>
      <c r="U1383" s="531"/>
      <c r="V1383" s="531"/>
      <c r="W1383" s="531"/>
      <c r="X1383" s="531"/>
      <c r="Y1383" s="531"/>
      <c r="Z1383" s="531"/>
      <c r="AA1383" s="531"/>
      <c r="AB1383" s="531"/>
      <c r="AC1383" s="531"/>
      <c r="AD1383" s="531"/>
      <c r="AE1383" s="531"/>
      <c r="AF1383" s="531"/>
      <c r="AG1383" s="531"/>
      <c r="AH1383" s="531"/>
      <c r="AI1383" s="531"/>
      <c r="AJ1383" s="531"/>
      <c r="AK1383" s="531"/>
      <c r="AL1383" s="531"/>
      <c r="AM1383" s="531"/>
      <c r="AN1383" s="531"/>
      <c r="AO1383" s="531"/>
      <c r="AR1383" s="761" t="s">
        <v>145</v>
      </c>
      <c r="AS1383" s="764"/>
    </row>
    <row r="1384" spans="1:45" s="520" customFormat="1" ht="12" thickTop="1">
      <c r="A1384" s="51"/>
      <c r="B1384" s="41"/>
      <c r="C1384" s="51"/>
      <c r="E1384" s="42" t="s">
        <v>138</v>
      </c>
      <c r="F1384" s="42" t="s">
        <v>139</v>
      </c>
      <c r="G1384" s="51"/>
      <c r="H1384" s="51"/>
      <c r="I1384" s="51"/>
      <c r="J1384" s="51"/>
      <c r="K1384" s="51" t="s">
        <v>140</v>
      </c>
      <c r="L1384" s="51"/>
      <c r="M1384" s="51"/>
      <c r="N1384" s="51"/>
      <c r="O1384" s="52"/>
      <c r="P1384" s="51"/>
      <c r="Q1384" s="51"/>
      <c r="R1384" s="51"/>
      <c r="S1384" s="51"/>
      <c r="T1384" s="41"/>
      <c r="AG1384" s="521" t="s">
        <v>268</v>
      </c>
      <c r="AH1384" s="521" t="s">
        <v>269</v>
      </c>
      <c r="AI1384" s="521" t="s">
        <v>270</v>
      </c>
      <c r="AJ1384" s="521" t="s">
        <v>271</v>
      </c>
      <c r="AK1384" s="521" t="s">
        <v>272</v>
      </c>
      <c r="AM1384" s="745" t="s">
        <v>281</v>
      </c>
      <c r="AN1384" s="746" t="s">
        <v>282</v>
      </c>
      <c r="AO1384" s="522" t="s">
        <v>278</v>
      </c>
      <c r="AR1384" s="51"/>
      <c r="AS1384" s="42" t="s">
        <v>139</v>
      </c>
    </row>
    <row r="1385" spans="1:45" s="520" customFormat="1" ht="12" customHeight="1">
      <c r="A1385" s="747">
        <v>35</v>
      </c>
      <c r="B1385" s="523" t="s">
        <v>320</v>
      </c>
      <c r="C1385" s="748"/>
      <c r="D1385" s="749" t="s">
        <v>1304</v>
      </c>
      <c r="E1385" s="750">
        <f ca="1">IF(AND($A1385=0,$A$1="DIF"),0, ROUND(ROUND(($R1390*$S$2+($T1390*$T$2))/A1385,2)*$C$2,2))</f>
        <v>8.18</v>
      </c>
      <c r="F1385" s="751">
        <f ca="1">ROUND($A1385*$E1385,2)</f>
        <v>286.3</v>
      </c>
      <c r="G1385" s="752" t="s">
        <v>142</v>
      </c>
      <c r="H1385" s="753"/>
      <c r="I1385" s="754"/>
      <c r="J1385" s="753"/>
      <c r="K1385" s="753" t="s">
        <v>3</v>
      </c>
      <c r="L1385" s="755" t="s">
        <v>143</v>
      </c>
      <c r="M1385" s="755"/>
      <c r="N1385" s="755"/>
      <c r="O1385" s="755"/>
      <c r="P1385" s="755"/>
      <c r="Q1385" s="51"/>
      <c r="T1385" s="756" t="str">
        <f ca="1">IF(AND($R1390=0,$T1390=0),"0.00","mu :" &amp; ROUND($F1385/$C$2/($R1390+$T1390*$D$9),2))</f>
        <v>mu :1.23</v>
      </c>
      <c r="W1385" s="524"/>
      <c r="AG1385" s="481">
        <f ca="1">IF($E1385=0,0,ROUND($R1390*$S$2*$C$2/$A1385,2))</f>
        <v>5.13</v>
      </c>
      <c r="AH1385" s="481">
        <f ca="1">$AG1385*$A1385</f>
        <v>179.54999999999998</v>
      </c>
      <c r="AI1385" s="525">
        <f ca="1">$E1385-$AG1385</f>
        <v>3.05</v>
      </c>
      <c r="AJ1385" s="525">
        <f ca="1">$A1385*$AI1385</f>
        <v>106.75</v>
      </c>
      <c r="AK1385" s="526">
        <f ca="1">ROUND(($AG1385+$AI1385)*$A1385,2)</f>
        <v>286.3</v>
      </c>
      <c r="AM1385" s="527">
        <f ca="1">ROUND(R1390,2)</f>
        <v>145.94999999999999</v>
      </c>
      <c r="AN1385" s="528">
        <f ca="1">ROUND(T1390,2)</f>
        <v>3.15</v>
      </c>
      <c r="AO1385" s="529">
        <f ca="1">ROUND(AM1385+AN1385,2)*A1385</f>
        <v>5218.5</v>
      </c>
      <c r="AR1385" s="747">
        <v>35</v>
      </c>
      <c r="AS1385" s="751">
        <v>298.2</v>
      </c>
    </row>
    <row r="1386" spans="1:45" s="520" customFormat="1" ht="13.2">
      <c r="A1386" s="748"/>
      <c r="B1386"/>
      <c r="C1386" s="748"/>
      <c r="D1386" s="749" t="s">
        <v>1305</v>
      </c>
      <c r="F1386" s="753"/>
      <c r="G1386" s="3"/>
      <c r="H1386" s="753"/>
      <c r="I1386" s="754"/>
      <c r="J1386" s="753"/>
      <c r="K1386" s="753" t="s">
        <v>144</v>
      </c>
      <c r="L1386" s="753"/>
      <c r="M1386" s="753"/>
      <c r="N1386" s="753"/>
      <c r="O1386" s="753"/>
      <c r="P1386" s="753"/>
      <c r="Q1386" s="51"/>
      <c r="R1386" s="530"/>
      <c r="S1386" s="757"/>
      <c r="T1386" s="753"/>
      <c r="AR1386" s="748"/>
      <c r="AS1386" s="753"/>
    </row>
    <row r="1387" spans="1:45" s="886" customFormat="1" ht="13.2">
      <c r="A1387"/>
      <c r="B1387" s="910"/>
      <c r="C1387" s="910" t="s">
        <v>2597</v>
      </c>
      <c r="D1387" s="910" t="str">
        <f ca="1">CELL("Address",Elec_Rates!D$468)</f>
        <v>[E25_0062_Quintano_Foods_Elec_ELV_As_Awarded.xlsx]Elec_Rates!$D$468</v>
      </c>
      <c r="E1387" s="911"/>
      <c r="F1387" s="911"/>
      <c r="G1387" s="912" t="s">
        <v>2598</v>
      </c>
      <c r="H1387" s="912"/>
      <c r="I1387" s="912"/>
      <c r="J1387" s="912"/>
      <c r="K1387" s="913"/>
      <c r="L1387" s="911"/>
      <c r="M1387" s="911"/>
      <c r="N1387" s="911"/>
      <c r="O1387" s="914"/>
      <c r="P1387" s="911"/>
      <c r="Q1387" s="915"/>
      <c r="R1387" s="916"/>
      <c r="S1387" s="915"/>
      <c r="T1387" s="917"/>
      <c r="U1387" s="918"/>
      <c r="AR1387"/>
      <c r="AS1387" s="911"/>
    </row>
    <row r="1388" spans="1:45" s="886" customFormat="1" ht="11.4">
      <c r="A1388" s="919">
        <v>35</v>
      </c>
      <c r="B1388" s="920">
        <v>1</v>
      </c>
      <c r="C1388" s="920">
        <f>$A1388*$B1388</f>
        <v>35</v>
      </c>
      <c r="D1388" s="921" t="str">
        <f>Elec_Rates!$D$468</f>
        <v>045# 5 x 4mm2 XLPE/SWA/LSZH</v>
      </c>
      <c r="E1388" s="921"/>
      <c r="F1388" s="921" t="s">
        <v>2599</v>
      </c>
      <c r="G1388" s="922" t="s">
        <v>2601</v>
      </c>
      <c r="H1388" s="922"/>
      <c r="I1388" s="922"/>
      <c r="J1388" s="922"/>
      <c r="K1388" s="923"/>
      <c r="L1388" s="918"/>
      <c r="M1388" s="918"/>
      <c r="N1388" s="918"/>
      <c r="O1388" s="924"/>
      <c r="P1388" s="921"/>
      <c r="Q1388" s="925">
        <f ca="1">$B1388*Elec_Rates!$R$468</f>
        <v>4.17</v>
      </c>
      <c r="R1388" s="916">
        <f ca="1">$A1388*Q1388</f>
        <v>145.94999999999999</v>
      </c>
      <c r="S1388" s="925">
        <f ca="1">$B1388*Elec_Rates!$T$468</f>
        <v>0.09</v>
      </c>
      <c r="T1388" s="917">
        <f ca="1">$A1388*S1388</f>
        <v>3.15</v>
      </c>
      <c r="U1388" s="926"/>
      <c r="AR1388" s="919">
        <v>35</v>
      </c>
      <c r="AS1388" s="921" t="s">
        <v>2599</v>
      </c>
    </row>
    <row r="1389" spans="1:45" s="520" customFormat="1" ht="12">
      <c r="A1389" s="758"/>
      <c r="B1389" s="758"/>
      <c r="C1389" s="758"/>
      <c r="D1389" s="758"/>
      <c r="E1389" s="758"/>
      <c r="F1389" s="753"/>
      <c r="G1389" s="758"/>
      <c r="H1389" s="758"/>
      <c r="I1389" s="519"/>
      <c r="J1389" s="758"/>
      <c r="K1389" s="758"/>
      <c r="L1389" s="758"/>
      <c r="M1389" s="758"/>
      <c r="N1389" s="758"/>
      <c r="O1389" s="758"/>
      <c r="P1389" s="758"/>
      <c r="Q1389" s="519"/>
      <c r="R1389" s="759">
        <f>$A1389*Q1389</f>
        <v>0</v>
      </c>
      <c r="S1389" s="519"/>
      <c r="T1389" s="760">
        <f>$A1389*S1389*$T$1</f>
        <v>0</v>
      </c>
      <c r="AR1389" s="758"/>
      <c r="AS1389" s="753"/>
    </row>
    <row r="1390" spans="1:45" s="520" customFormat="1" ht="12.6" thickBot="1">
      <c r="A1390" s="761" t="s">
        <v>145</v>
      </c>
      <c r="B1390" s="762">
        <f>(R1389+T1389)</f>
        <v>0</v>
      </c>
      <c r="C1390" s="763"/>
      <c r="D1390" s="763"/>
      <c r="E1390" s="763"/>
      <c r="F1390" s="764"/>
      <c r="G1390" s="763" t="s">
        <v>146</v>
      </c>
      <c r="H1390" s="763"/>
      <c r="I1390" s="765"/>
      <c r="J1390" s="763"/>
      <c r="K1390" s="763" t="s">
        <v>3</v>
      </c>
      <c r="L1390" s="766" t="s">
        <v>143</v>
      </c>
      <c r="M1390" s="766"/>
      <c r="N1390" s="766"/>
      <c r="O1390" s="766"/>
      <c r="P1390" s="766"/>
      <c r="Q1390" s="767"/>
      <c r="R1390" s="768">
        <f ca="1">SUM(R1386:R1389)</f>
        <v>145.94999999999999</v>
      </c>
      <c r="S1390" s="763"/>
      <c r="T1390" s="768">
        <f ca="1">SUM(T1386:T1389)</f>
        <v>3.15</v>
      </c>
      <c r="U1390" s="531"/>
      <c r="V1390" s="531"/>
      <c r="W1390" s="531"/>
      <c r="X1390" s="531"/>
      <c r="Y1390" s="531"/>
      <c r="Z1390" s="531"/>
      <c r="AA1390" s="531"/>
      <c r="AB1390" s="531"/>
      <c r="AC1390" s="531"/>
      <c r="AD1390" s="531"/>
      <c r="AE1390" s="531"/>
      <c r="AF1390" s="531"/>
      <c r="AG1390" s="531"/>
      <c r="AH1390" s="531"/>
      <c r="AI1390" s="531"/>
      <c r="AJ1390" s="531"/>
      <c r="AK1390" s="531"/>
      <c r="AL1390" s="531"/>
      <c r="AM1390" s="531"/>
      <c r="AN1390" s="531"/>
      <c r="AO1390" s="531"/>
      <c r="AR1390" s="761" t="s">
        <v>145</v>
      </c>
      <c r="AS1390" s="764"/>
    </row>
    <row r="1391" spans="1:45" s="520" customFormat="1" ht="12" thickTop="1">
      <c r="A1391" s="51"/>
      <c r="B1391" s="41"/>
      <c r="C1391" s="51"/>
      <c r="E1391" s="42" t="s">
        <v>138</v>
      </c>
      <c r="F1391" s="42" t="s">
        <v>139</v>
      </c>
      <c r="G1391" s="51"/>
      <c r="H1391" s="51"/>
      <c r="I1391" s="51"/>
      <c r="J1391" s="51"/>
      <c r="K1391" s="51" t="s">
        <v>140</v>
      </c>
      <c r="L1391" s="51"/>
      <c r="M1391" s="51"/>
      <c r="N1391" s="51"/>
      <c r="O1391" s="52"/>
      <c r="P1391" s="51"/>
      <c r="Q1391" s="51"/>
      <c r="R1391" s="51"/>
      <c r="S1391" s="51"/>
      <c r="T1391" s="41"/>
      <c r="AG1391" s="521" t="s">
        <v>268</v>
      </c>
      <c r="AH1391" s="521" t="s">
        <v>269</v>
      </c>
      <c r="AI1391" s="521" t="s">
        <v>270</v>
      </c>
      <c r="AJ1391" s="521" t="s">
        <v>271</v>
      </c>
      <c r="AK1391" s="521" t="s">
        <v>272</v>
      </c>
      <c r="AM1391" s="745" t="s">
        <v>281</v>
      </c>
      <c r="AN1391" s="746" t="s">
        <v>282</v>
      </c>
      <c r="AO1391" s="522" t="s">
        <v>278</v>
      </c>
      <c r="AR1391" s="51"/>
      <c r="AS1391" s="42" t="s">
        <v>139</v>
      </c>
    </row>
    <row r="1392" spans="1:45" s="520" customFormat="1" ht="12" customHeight="1">
      <c r="A1392" s="747">
        <v>35</v>
      </c>
      <c r="B1392" s="523" t="s">
        <v>320</v>
      </c>
      <c r="C1392" s="748"/>
      <c r="D1392" s="749" t="s">
        <v>1306</v>
      </c>
      <c r="E1392" s="750">
        <f ca="1">IF(AND($A1392=0,$A$1="DIF"),0, ROUND(ROUND(($R1397*$S$2+($T1397*$T$2))/A1392,2)*$C$2,2))</f>
        <v>8.18</v>
      </c>
      <c r="F1392" s="751">
        <f ca="1">ROUND($A1392*$E1392,2)</f>
        <v>286.3</v>
      </c>
      <c r="G1392" s="752" t="s">
        <v>142</v>
      </c>
      <c r="H1392" s="753"/>
      <c r="I1392" s="754"/>
      <c r="J1392" s="753"/>
      <c r="K1392" s="753" t="s">
        <v>3</v>
      </c>
      <c r="L1392" s="755" t="s">
        <v>143</v>
      </c>
      <c r="M1392" s="755"/>
      <c r="N1392" s="755"/>
      <c r="O1392" s="755"/>
      <c r="P1392" s="755"/>
      <c r="Q1392" s="51"/>
      <c r="T1392" s="756" t="str">
        <f ca="1">IF(AND($R1397=0,$T1397=0),"0.00","mu :" &amp; ROUND($F1392/$C$2/($R1397+$T1397*$D$9),2))</f>
        <v>mu :1.23</v>
      </c>
      <c r="W1392" s="524"/>
      <c r="AG1392" s="481">
        <f ca="1">IF($E1392=0,0,ROUND($R1397*$S$2*$C$2/$A1392,2))</f>
        <v>5.13</v>
      </c>
      <c r="AH1392" s="481">
        <f ca="1">$AG1392*$A1392</f>
        <v>179.54999999999998</v>
      </c>
      <c r="AI1392" s="525">
        <f ca="1">$E1392-$AG1392</f>
        <v>3.05</v>
      </c>
      <c r="AJ1392" s="525">
        <f ca="1">$A1392*$AI1392</f>
        <v>106.75</v>
      </c>
      <c r="AK1392" s="526">
        <f ca="1">ROUND(($AG1392+$AI1392)*$A1392,2)</f>
        <v>286.3</v>
      </c>
      <c r="AM1392" s="527">
        <f ca="1">ROUND(R1397,2)</f>
        <v>145.94999999999999</v>
      </c>
      <c r="AN1392" s="528">
        <f ca="1">ROUND(T1397,2)</f>
        <v>3.15</v>
      </c>
      <c r="AO1392" s="529">
        <f ca="1">ROUND(AM1392+AN1392,2)*A1392</f>
        <v>5218.5</v>
      </c>
      <c r="AR1392" s="747">
        <v>35</v>
      </c>
      <c r="AS1392" s="751">
        <v>298.2</v>
      </c>
    </row>
    <row r="1393" spans="1:45" s="520" customFormat="1" ht="13.2">
      <c r="A1393" s="748"/>
      <c r="B1393"/>
      <c r="C1393" s="748"/>
      <c r="D1393" s="749" t="s">
        <v>1307</v>
      </c>
      <c r="F1393" s="753"/>
      <c r="G1393" s="3"/>
      <c r="H1393" s="753"/>
      <c r="I1393" s="754"/>
      <c r="J1393" s="753"/>
      <c r="K1393" s="753" t="s">
        <v>144</v>
      </c>
      <c r="L1393" s="753"/>
      <c r="M1393" s="753"/>
      <c r="N1393" s="753"/>
      <c r="O1393" s="753"/>
      <c r="P1393" s="753"/>
      <c r="Q1393" s="51"/>
      <c r="R1393" s="530"/>
      <c r="S1393" s="757"/>
      <c r="T1393" s="753"/>
      <c r="AR1393" s="748"/>
      <c r="AS1393" s="753"/>
    </row>
    <row r="1394" spans="1:45" s="886" customFormat="1" ht="13.2">
      <c r="A1394"/>
      <c r="B1394" s="910"/>
      <c r="C1394" s="910" t="s">
        <v>2597</v>
      </c>
      <c r="D1394" s="910" t="str">
        <f ca="1">CELL("Address",Elec_Rates!D$468)</f>
        <v>[E25_0062_Quintano_Foods_Elec_ELV_As_Awarded.xlsx]Elec_Rates!$D$468</v>
      </c>
      <c r="E1394" s="911"/>
      <c r="F1394" s="911"/>
      <c r="G1394" s="912" t="s">
        <v>2598</v>
      </c>
      <c r="H1394" s="912"/>
      <c r="I1394" s="912"/>
      <c r="J1394" s="912"/>
      <c r="K1394" s="913"/>
      <c r="L1394" s="911"/>
      <c r="M1394" s="911"/>
      <c r="N1394" s="911"/>
      <c r="O1394" s="914"/>
      <c r="P1394" s="911"/>
      <c r="Q1394" s="915"/>
      <c r="R1394" s="916"/>
      <c r="S1394" s="915"/>
      <c r="T1394" s="917"/>
      <c r="U1394" s="918"/>
      <c r="AR1394"/>
      <c r="AS1394" s="911"/>
    </row>
    <row r="1395" spans="1:45" s="886" customFormat="1" ht="11.4">
      <c r="A1395" s="919">
        <v>35</v>
      </c>
      <c r="B1395" s="920">
        <v>1</v>
      </c>
      <c r="C1395" s="920">
        <f>$A1395*$B1395</f>
        <v>35</v>
      </c>
      <c r="D1395" s="921" t="str">
        <f>Elec_Rates!$D$468</f>
        <v>045# 5 x 4mm2 XLPE/SWA/LSZH</v>
      </c>
      <c r="E1395" s="921"/>
      <c r="F1395" s="921" t="s">
        <v>2599</v>
      </c>
      <c r="G1395" s="922" t="s">
        <v>2601</v>
      </c>
      <c r="H1395" s="922"/>
      <c r="I1395" s="922"/>
      <c r="J1395" s="922"/>
      <c r="K1395" s="923"/>
      <c r="L1395" s="918"/>
      <c r="M1395" s="918"/>
      <c r="N1395" s="918"/>
      <c r="O1395" s="924"/>
      <c r="P1395" s="921"/>
      <c r="Q1395" s="925">
        <f ca="1">$B1395*Elec_Rates!$R$468</f>
        <v>4.17</v>
      </c>
      <c r="R1395" s="916">
        <f ca="1">$A1395*Q1395</f>
        <v>145.94999999999999</v>
      </c>
      <c r="S1395" s="925">
        <f ca="1">$B1395*Elec_Rates!$T$468</f>
        <v>0.09</v>
      </c>
      <c r="T1395" s="917">
        <f ca="1">$A1395*S1395</f>
        <v>3.15</v>
      </c>
      <c r="U1395" s="926"/>
      <c r="AR1395" s="919">
        <v>35</v>
      </c>
      <c r="AS1395" s="921" t="s">
        <v>2599</v>
      </c>
    </row>
    <row r="1396" spans="1:45" s="520" customFormat="1" ht="12">
      <c r="A1396" s="758"/>
      <c r="B1396" s="758"/>
      <c r="C1396" s="758"/>
      <c r="D1396" s="758"/>
      <c r="E1396" s="758"/>
      <c r="F1396" s="753"/>
      <c r="G1396" s="758"/>
      <c r="H1396" s="758"/>
      <c r="I1396" s="519"/>
      <c r="J1396" s="758"/>
      <c r="K1396" s="758"/>
      <c r="L1396" s="758"/>
      <c r="M1396" s="758"/>
      <c r="N1396" s="758"/>
      <c r="O1396" s="758"/>
      <c r="P1396" s="758"/>
      <c r="Q1396" s="519"/>
      <c r="R1396" s="759">
        <f>$A1396*Q1396</f>
        <v>0</v>
      </c>
      <c r="S1396" s="519"/>
      <c r="T1396" s="760">
        <f>$A1396*S1396*$T$1</f>
        <v>0</v>
      </c>
      <c r="AR1396" s="758"/>
      <c r="AS1396" s="753"/>
    </row>
    <row r="1397" spans="1:45" s="520" customFormat="1" ht="12.6" thickBot="1">
      <c r="A1397" s="761" t="s">
        <v>145</v>
      </c>
      <c r="B1397" s="762">
        <f>(R1396+T1396)</f>
        <v>0</v>
      </c>
      <c r="C1397" s="763"/>
      <c r="D1397" s="763"/>
      <c r="E1397" s="763"/>
      <c r="F1397" s="764"/>
      <c r="G1397" s="763" t="s">
        <v>146</v>
      </c>
      <c r="H1397" s="763"/>
      <c r="I1397" s="765"/>
      <c r="J1397" s="763"/>
      <c r="K1397" s="763" t="s">
        <v>3</v>
      </c>
      <c r="L1397" s="766" t="s">
        <v>143</v>
      </c>
      <c r="M1397" s="766"/>
      <c r="N1397" s="766"/>
      <c r="O1397" s="766"/>
      <c r="P1397" s="766"/>
      <c r="Q1397" s="767"/>
      <c r="R1397" s="768">
        <f ca="1">SUM(R1393:R1396)</f>
        <v>145.94999999999999</v>
      </c>
      <c r="S1397" s="763"/>
      <c r="T1397" s="768">
        <f ca="1">SUM(T1393:T1396)</f>
        <v>3.15</v>
      </c>
      <c r="U1397" s="531"/>
      <c r="V1397" s="531"/>
      <c r="W1397" s="531"/>
      <c r="X1397" s="531"/>
      <c r="Y1397" s="531"/>
      <c r="Z1397" s="531"/>
      <c r="AA1397" s="531"/>
      <c r="AB1397" s="531"/>
      <c r="AC1397" s="531"/>
      <c r="AD1397" s="531"/>
      <c r="AE1397" s="531"/>
      <c r="AF1397" s="531"/>
      <c r="AG1397" s="531"/>
      <c r="AH1397" s="531"/>
      <c r="AI1397" s="531"/>
      <c r="AJ1397" s="531"/>
      <c r="AK1397" s="531"/>
      <c r="AL1397" s="531"/>
      <c r="AM1397" s="531"/>
      <c r="AN1397" s="531"/>
      <c r="AO1397" s="531"/>
      <c r="AR1397" s="761" t="s">
        <v>145</v>
      </c>
      <c r="AS1397" s="764"/>
    </row>
    <row r="1398" spans="1:45" s="520" customFormat="1" ht="12" thickTop="1">
      <c r="A1398" s="51"/>
      <c r="B1398" s="41"/>
      <c r="C1398" s="51"/>
      <c r="E1398" s="42" t="s">
        <v>138</v>
      </c>
      <c r="F1398" s="42" t="s">
        <v>139</v>
      </c>
      <c r="G1398" s="51"/>
      <c r="H1398" s="51"/>
      <c r="I1398" s="51"/>
      <c r="J1398" s="51"/>
      <c r="K1398" s="51" t="s">
        <v>140</v>
      </c>
      <c r="L1398" s="51"/>
      <c r="M1398" s="51"/>
      <c r="N1398" s="51"/>
      <c r="O1398" s="52"/>
      <c r="P1398" s="51"/>
      <c r="Q1398" s="51"/>
      <c r="R1398" s="51"/>
      <c r="S1398" s="51"/>
      <c r="T1398" s="41"/>
      <c r="AG1398" s="521" t="s">
        <v>268</v>
      </c>
      <c r="AH1398" s="521" t="s">
        <v>269</v>
      </c>
      <c r="AI1398" s="521" t="s">
        <v>270</v>
      </c>
      <c r="AJ1398" s="521" t="s">
        <v>271</v>
      </c>
      <c r="AK1398" s="521" t="s">
        <v>272</v>
      </c>
      <c r="AM1398" s="745" t="s">
        <v>281</v>
      </c>
      <c r="AN1398" s="746" t="s">
        <v>282</v>
      </c>
      <c r="AO1398" s="522" t="s">
        <v>278</v>
      </c>
      <c r="AR1398" s="51"/>
      <c r="AS1398" s="42" t="s">
        <v>139</v>
      </c>
    </row>
    <row r="1399" spans="1:45" s="520" customFormat="1" ht="12" customHeight="1">
      <c r="A1399" s="747">
        <v>80</v>
      </c>
      <c r="B1399" s="523" t="s">
        <v>320</v>
      </c>
      <c r="C1399" s="748"/>
      <c r="D1399" s="749" t="s">
        <v>1308</v>
      </c>
      <c r="E1399" s="750">
        <f ca="1">IF(AND($A1399=0,$A$1="DIF"),0, ROUND(ROUND(($R1404*$S$2+($T1404*$T$2))/A1399,2)*$C$2,2))</f>
        <v>9.9499999999999993</v>
      </c>
      <c r="F1399" s="751">
        <f ca="1">ROUND($A1399*$E1399,2)</f>
        <v>796</v>
      </c>
      <c r="G1399" s="752" t="s">
        <v>142</v>
      </c>
      <c r="H1399" s="753"/>
      <c r="I1399" s="754"/>
      <c r="J1399" s="753"/>
      <c r="K1399" s="753" t="s">
        <v>3</v>
      </c>
      <c r="L1399" s="755" t="s">
        <v>143</v>
      </c>
      <c r="M1399" s="755"/>
      <c r="N1399" s="755"/>
      <c r="O1399" s="755"/>
      <c r="P1399" s="755"/>
      <c r="Q1399" s="51"/>
      <c r="T1399" s="756" t="str">
        <f ca="1">IF(AND($R1404=0,$T1404=0),"0.00","mu :" &amp; ROUND($F1399/$C$2/($R1404+$T1404*$D$9),2))</f>
        <v>mu :1.23</v>
      </c>
      <c r="W1399" s="524"/>
      <c r="AG1399" s="481">
        <f ca="1">IF($E1399=0,0,ROUND($R1404*$S$2*$C$2/$A1399,2))</f>
        <v>6.91</v>
      </c>
      <c r="AH1399" s="481">
        <f ca="1">$AG1399*$A1399</f>
        <v>552.79999999999995</v>
      </c>
      <c r="AI1399" s="525">
        <f ca="1">$E1399-$AG1399</f>
        <v>3.0399999999999991</v>
      </c>
      <c r="AJ1399" s="525">
        <f ca="1">$A1399*$AI1399</f>
        <v>243.19999999999993</v>
      </c>
      <c r="AK1399" s="526">
        <f ca="1">ROUND(($AG1399+$AI1399)*$A1399,2)</f>
        <v>796</v>
      </c>
      <c r="AM1399" s="527">
        <f ca="1">ROUND(R1404,2)</f>
        <v>448.8</v>
      </c>
      <c r="AN1399" s="528">
        <f ca="1">ROUND(T1404,2)</f>
        <v>7.2</v>
      </c>
      <c r="AO1399" s="529">
        <f ca="1">ROUND(AM1399+AN1399,2)*A1399</f>
        <v>36480</v>
      </c>
      <c r="AR1399" s="747">
        <v>80</v>
      </c>
      <c r="AS1399" s="751">
        <v>823.2</v>
      </c>
    </row>
    <row r="1400" spans="1:45" s="520" customFormat="1" ht="13.2">
      <c r="A1400" s="748"/>
      <c r="B1400"/>
      <c r="C1400" s="748"/>
      <c r="D1400" s="749" t="s">
        <v>1309</v>
      </c>
      <c r="F1400" s="753"/>
      <c r="G1400" s="3"/>
      <c r="H1400" s="753"/>
      <c r="I1400" s="754"/>
      <c r="J1400" s="753"/>
      <c r="K1400" s="753" t="s">
        <v>144</v>
      </c>
      <c r="L1400" s="753"/>
      <c r="M1400" s="753"/>
      <c r="N1400" s="753"/>
      <c r="O1400" s="753"/>
      <c r="P1400" s="753"/>
      <c r="Q1400" s="51"/>
      <c r="R1400" s="530"/>
      <c r="S1400" s="757"/>
      <c r="T1400" s="753"/>
      <c r="AR1400" s="748"/>
      <c r="AS1400" s="753"/>
    </row>
    <row r="1401" spans="1:45" s="886" customFormat="1" ht="13.2">
      <c r="A1401"/>
      <c r="B1401" s="910"/>
      <c r="C1401" s="910" t="s">
        <v>2597</v>
      </c>
      <c r="D1401" s="910" t="str">
        <f ca="1">CELL("Address",Elec_Rates!D$437)</f>
        <v>[E25_0062_Quintano_Foods_Elec_ELV_As_Awarded.xlsx]Elec_Rates!$D$437</v>
      </c>
      <c r="E1401" s="911"/>
      <c r="F1401" s="911"/>
      <c r="G1401" s="912" t="s">
        <v>2598</v>
      </c>
      <c r="H1401" s="912"/>
      <c r="I1401" s="912"/>
      <c r="J1401" s="912"/>
      <c r="K1401" s="913"/>
      <c r="L1401" s="911"/>
      <c r="M1401" s="911"/>
      <c r="N1401" s="911"/>
      <c r="O1401" s="914"/>
      <c r="P1401" s="911"/>
      <c r="Q1401" s="915"/>
      <c r="R1401" s="916"/>
      <c r="S1401" s="915"/>
      <c r="T1401" s="917"/>
      <c r="U1401" s="918"/>
      <c r="AR1401"/>
      <c r="AS1401" s="911"/>
    </row>
    <row r="1402" spans="1:45" s="886" customFormat="1" ht="11.4">
      <c r="A1402" s="919">
        <v>80</v>
      </c>
      <c r="B1402" s="920">
        <v>1</v>
      </c>
      <c r="C1402" s="920">
        <f>$A1402*$B1402</f>
        <v>80</v>
      </c>
      <c r="D1402" s="921" t="str">
        <f>Elec_Rates!$D$437</f>
        <v>042# 5 x 6mm2 XLPE/SWA/LSZH</v>
      </c>
      <c r="E1402" s="921"/>
      <c r="F1402" s="921" t="s">
        <v>2599</v>
      </c>
      <c r="G1402" s="922" t="s">
        <v>2601</v>
      </c>
      <c r="H1402" s="922"/>
      <c r="I1402" s="922"/>
      <c r="J1402" s="922"/>
      <c r="K1402" s="923"/>
      <c r="L1402" s="918"/>
      <c r="M1402" s="918"/>
      <c r="N1402" s="918"/>
      <c r="O1402" s="924"/>
      <c r="P1402" s="921"/>
      <c r="Q1402" s="925">
        <f ca="1">$B1402*Elec_Rates!$R$437</f>
        <v>5.61</v>
      </c>
      <c r="R1402" s="916">
        <f ca="1">$A1402*Q1402</f>
        <v>448.8</v>
      </c>
      <c r="S1402" s="925">
        <f ca="1">$B1402*Elec_Rates!$T$437</f>
        <v>0.09</v>
      </c>
      <c r="T1402" s="917">
        <f ca="1">$A1402*S1402</f>
        <v>7.1999999999999993</v>
      </c>
      <c r="U1402" s="926"/>
      <c r="AR1402" s="919">
        <v>80</v>
      </c>
      <c r="AS1402" s="921" t="s">
        <v>2599</v>
      </c>
    </row>
    <row r="1403" spans="1:45" s="520" customFormat="1" ht="12">
      <c r="A1403" s="758"/>
      <c r="B1403" s="758"/>
      <c r="C1403" s="758"/>
      <c r="D1403" s="758"/>
      <c r="E1403" s="758"/>
      <c r="F1403" s="753"/>
      <c r="G1403" s="758"/>
      <c r="H1403" s="758"/>
      <c r="I1403" s="519"/>
      <c r="J1403" s="758"/>
      <c r="K1403" s="758"/>
      <c r="L1403" s="758"/>
      <c r="M1403" s="758"/>
      <c r="N1403" s="758"/>
      <c r="O1403" s="758"/>
      <c r="P1403" s="758"/>
      <c r="Q1403" s="519"/>
      <c r="R1403" s="759">
        <f>$A1403*Q1403</f>
        <v>0</v>
      </c>
      <c r="S1403" s="519"/>
      <c r="T1403" s="760">
        <f>$A1403*S1403*$T$1</f>
        <v>0</v>
      </c>
      <c r="AR1403" s="758"/>
      <c r="AS1403" s="753"/>
    </row>
    <row r="1404" spans="1:45" s="520" customFormat="1" ht="12.6" thickBot="1">
      <c r="A1404" s="761" t="s">
        <v>145</v>
      </c>
      <c r="B1404" s="762">
        <f>(R1403+T1403)</f>
        <v>0</v>
      </c>
      <c r="C1404" s="763"/>
      <c r="D1404" s="763"/>
      <c r="E1404" s="763"/>
      <c r="F1404" s="764"/>
      <c r="G1404" s="763" t="s">
        <v>146</v>
      </c>
      <c r="H1404" s="763"/>
      <c r="I1404" s="765"/>
      <c r="J1404" s="763"/>
      <c r="K1404" s="763" t="s">
        <v>3</v>
      </c>
      <c r="L1404" s="766" t="s">
        <v>143</v>
      </c>
      <c r="M1404" s="766"/>
      <c r="N1404" s="766"/>
      <c r="O1404" s="766"/>
      <c r="P1404" s="766"/>
      <c r="Q1404" s="767"/>
      <c r="R1404" s="768">
        <f ca="1">SUM(R1400:R1403)</f>
        <v>448.8</v>
      </c>
      <c r="S1404" s="763"/>
      <c r="T1404" s="768">
        <f ca="1">SUM(T1400:T1403)</f>
        <v>7.1999999999999993</v>
      </c>
      <c r="U1404" s="531"/>
      <c r="V1404" s="531"/>
      <c r="W1404" s="531"/>
      <c r="X1404" s="531"/>
      <c r="Y1404" s="531"/>
      <c r="Z1404" s="531"/>
      <c r="AA1404" s="531"/>
      <c r="AB1404" s="531"/>
      <c r="AC1404" s="531"/>
      <c r="AD1404" s="531"/>
      <c r="AE1404" s="531"/>
      <c r="AF1404" s="531"/>
      <c r="AG1404" s="531"/>
      <c r="AH1404" s="531"/>
      <c r="AI1404" s="531"/>
      <c r="AJ1404" s="531"/>
      <c r="AK1404" s="531"/>
      <c r="AL1404" s="531"/>
      <c r="AM1404" s="531"/>
      <c r="AN1404" s="531"/>
      <c r="AO1404" s="531"/>
      <c r="AR1404" s="761" t="s">
        <v>145</v>
      </c>
      <c r="AS1404" s="764"/>
    </row>
    <row r="1405" spans="1:45" s="520" customFormat="1" ht="12" thickTop="1">
      <c r="A1405" s="51"/>
      <c r="B1405" s="41"/>
      <c r="C1405" s="51"/>
      <c r="E1405" s="42" t="s">
        <v>138</v>
      </c>
      <c r="F1405" s="42" t="s">
        <v>139</v>
      </c>
      <c r="G1405" s="51"/>
      <c r="H1405" s="51"/>
      <c r="I1405" s="51"/>
      <c r="J1405" s="51"/>
      <c r="K1405" s="51" t="s">
        <v>140</v>
      </c>
      <c r="L1405" s="51"/>
      <c r="M1405" s="51"/>
      <c r="N1405" s="51"/>
      <c r="O1405" s="52"/>
      <c r="P1405" s="51"/>
      <c r="Q1405" s="51"/>
      <c r="R1405" s="51"/>
      <c r="S1405" s="51"/>
      <c r="T1405" s="41"/>
      <c r="AG1405" s="521" t="s">
        <v>268</v>
      </c>
      <c r="AH1405" s="521" t="s">
        <v>269</v>
      </c>
      <c r="AI1405" s="521" t="s">
        <v>270</v>
      </c>
      <c r="AJ1405" s="521" t="s">
        <v>271</v>
      </c>
      <c r="AK1405" s="521" t="s">
        <v>272</v>
      </c>
      <c r="AM1405" s="745" t="s">
        <v>281</v>
      </c>
      <c r="AN1405" s="746" t="s">
        <v>282</v>
      </c>
      <c r="AO1405" s="522" t="s">
        <v>278</v>
      </c>
      <c r="AR1405" s="51"/>
      <c r="AS1405" s="42" t="s">
        <v>139</v>
      </c>
    </row>
    <row r="1406" spans="1:45" s="520" customFormat="1" ht="12" customHeight="1">
      <c r="A1406" s="747">
        <v>35</v>
      </c>
      <c r="B1406" s="523" t="s">
        <v>320</v>
      </c>
      <c r="C1406" s="748"/>
      <c r="D1406" s="749" t="s">
        <v>1310</v>
      </c>
      <c r="E1406" s="750">
        <f ca="1">IF(AND($A1406=0,$A$1="DIF"),0, ROUND(ROUND(($R1411*$S$2+($T1411*$T$2))/A1406,2)*$C$2,2))</f>
        <v>5.63</v>
      </c>
      <c r="F1406" s="751">
        <f ca="1">ROUND($A1406*$E1406,2)</f>
        <v>197.05</v>
      </c>
      <c r="G1406" s="752" t="s">
        <v>142</v>
      </c>
      <c r="H1406" s="753"/>
      <c r="I1406" s="754"/>
      <c r="J1406" s="753"/>
      <c r="K1406" s="753" t="s">
        <v>3</v>
      </c>
      <c r="L1406" s="755" t="s">
        <v>143</v>
      </c>
      <c r="M1406" s="755"/>
      <c r="N1406" s="755"/>
      <c r="O1406" s="755"/>
      <c r="P1406" s="755"/>
      <c r="Q1406" s="51"/>
      <c r="T1406" s="756" t="str">
        <f ca="1">IF(AND($R1411=0,$T1411=0),"0.00","mu :" &amp; ROUND($F1406/$C$2/($R1411+$T1411*$D$9),2))</f>
        <v>mu :1.23</v>
      </c>
      <c r="W1406" s="524"/>
      <c r="AG1406" s="481">
        <f ca="1">IF($E1406=0,0,ROUND($R1411*$S$2*$C$2/$A1406,2))</f>
        <v>3.26</v>
      </c>
      <c r="AH1406" s="481">
        <f ca="1">$AG1406*$A1406</f>
        <v>114.1</v>
      </c>
      <c r="AI1406" s="525">
        <f ca="1">$E1406-$AG1406</f>
        <v>2.37</v>
      </c>
      <c r="AJ1406" s="525">
        <f ca="1">$A1406*$AI1406</f>
        <v>82.95</v>
      </c>
      <c r="AK1406" s="526">
        <f ca="1">ROUND(($AG1406+$AI1406)*$A1406,2)</f>
        <v>197.05</v>
      </c>
      <c r="AM1406" s="527">
        <f ca="1">ROUND(R1411,2)</f>
        <v>92.75</v>
      </c>
      <c r="AN1406" s="528">
        <f ca="1">ROUND(T1411,2)</f>
        <v>2.4500000000000002</v>
      </c>
      <c r="AO1406" s="529">
        <f ca="1">ROUND(AM1406+AN1406,2)*A1406</f>
        <v>3332</v>
      </c>
      <c r="AR1406" s="747">
        <v>35</v>
      </c>
      <c r="AS1406" s="751">
        <v>208.95</v>
      </c>
    </row>
    <row r="1407" spans="1:45" s="520" customFormat="1" ht="13.2">
      <c r="A1407" s="748"/>
      <c r="B1407"/>
      <c r="C1407" s="748"/>
      <c r="D1407" s="749" t="s">
        <v>1311</v>
      </c>
      <c r="F1407" s="753"/>
      <c r="G1407" s="3"/>
      <c r="H1407" s="753"/>
      <c r="I1407" s="754"/>
      <c r="J1407" s="753"/>
      <c r="K1407" s="753" t="s">
        <v>144</v>
      </c>
      <c r="L1407" s="753"/>
      <c r="M1407" s="753"/>
      <c r="N1407" s="753"/>
      <c r="O1407" s="753"/>
      <c r="P1407" s="753"/>
      <c r="Q1407" s="51"/>
      <c r="R1407" s="530"/>
      <c r="S1407" s="757"/>
      <c r="T1407" s="753"/>
      <c r="AR1407" s="748"/>
      <c r="AS1407" s="753"/>
    </row>
    <row r="1408" spans="1:45" s="886" customFormat="1" ht="13.2">
      <c r="A1408"/>
      <c r="B1408" s="910"/>
      <c r="C1408" s="910" t="s">
        <v>2597</v>
      </c>
      <c r="D1408" s="910" t="str">
        <f ca="1">CELL("Address",Elec_Rates!D$478)</f>
        <v>[E25_0062_Quintano_Foods_Elec_ELV_As_Awarded.xlsx]Elec_Rates!$D$478</v>
      </c>
      <c r="E1408" s="911"/>
      <c r="F1408" s="911"/>
      <c r="G1408" s="912" t="s">
        <v>2598</v>
      </c>
      <c r="H1408" s="912"/>
      <c r="I1408" s="912"/>
      <c r="J1408" s="912"/>
      <c r="K1408" s="913"/>
      <c r="L1408" s="911"/>
      <c r="M1408" s="911"/>
      <c r="N1408" s="911"/>
      <c r="O1408" s="914"/>
      <c r="P1408" s="911"/>
      <c r="Q1408" s="915"/>
      <c r="R1408" s="916"/>
      <c r="S1408" s="915"/>
      <c r="T1408" s="917"/>
      <c r="U1408" s="918"/>
      <c r="AR1408"/>
      <c r="AS1408" s="911"/>
    </row>
    <row r="1409" spans="1:45" s="886" customFormat="1" ht="11.4">
      <c r="A1409" s="919">
        <v>35</v>
      </c>
      <c r="B1409" s="920">
        <v>1</v>
      </c>
      <c r="C1409" s="920">
        <f>$A1409*$B1409</f>
        <v>35</v>
      </c>
      <c r="D1409" s="921" t="str">
        <f>Elec_Rates!$D$478</f>
        <v>046# 3 x 4mm2 XLPE/SWA/LSZH</v>
      </c>
      <c r="E1409" s="921"/>
      <c r="F1409" s="921" t="s">
        <v>2599</v>
      </c>
      <c r="G1409" s="922" t="s">
        <v>2601</v>
      </c>
      <c r="H1409" s="922"/>
      <c r="I1409" s="922"/>
      <c r="J1409" s="922"/>
      <c r="K1409" s="923"/>
      <c r="L1409" s="918"/>
      <c r="M1409" s="918"/>
      <c r="N1409" s="918"/>
      <c r="O1409" s="924"/>
      <c r="P1409" s="921"/>
      <c r="Q1409" s="925">
        <f ca="1">$B1409*Elec_Rates!$R$478</f>
        <v>2.65</v>
      </c>
      <c r="R1409" s="916">
        <f ca="1">$A1409*Q1409</f>
        <v>92.75</v>
      </c>
      <c r="S1409" s="925">
        <f ca="1">$B1409*Elec_Rates!$T$478</f>
        <v>7.0000000000000007E-2</v>
      </c>
      <c r="T1409" s="917">
        <f ca="1">$A1409*S1409</f>
        <v>2.4500000000000002</v>
      </c>
      <c r="U1409" s="926"/>
      <c r="AR1409" s="919">
        <v>35</v>
      </c>
      <c r="AS1409" s="921" t="s">
        <v>2599</v>
      </c>
    </row>
    <row r="1410" spans="1:45" s="520" customFormat="1" ht="12">
      <c r="A1410" s="758"/>
      <c r="B1410" s="758"/>
      <c r="C1410" s="758"/>
      <c r="D1410" s="758"/>
      <c r="E1410" s="758"/>
      <c r="F1410" s="753"/>
      <c r="G1410" s="758"/>
      <c r="H1410" s="758"/>
      <c r="I1410" s="519"/>
      <c r="J1410" s="758"/>
      <c r="K1410" s="758"/>
      <c r="L1410" s="758"/>
      <c r="M1410" s="758"/>
      <c r="N1410" s="758"/>
      <c r="O1410" s="758"/>
      <c r="P1410" s="758"/>
      <c r="Q1410" s="519"/>
      <c r="R1410" s="759">
        <f>$A1410*Q1410</f>
        <v>0</v>
      </c>
      <c r="S1410" s="519"/>
      <c r="T1410" s="760">
        <f>$A1410*S1410*$T$1</f>
        <v>0</v>
      </c>
      <c r="AR1410" s="758"/>
      <c r="AS1410" s="753"/>
    </row>
    <row r="1411" spans="1:45" s="520" customFormat="1" ht="12.6" thickBot="1">
      <c r="A1411" s="761" t="s">
        <v>145</v>
      </c>
      <c r="B1411" s="762">
        <f>(R1410+T1410)</f>
        <v>0</v>
      </c>
      <c r="C1411" s="763"/>
      <c r="D1411" s="763"/>
      <c r="E1411" s="763"/>
      <c r="F1411" s="764"/>
      <c r="G1411" s="763" t="s">
        <v>146</v>
      </c>
      <c r="H1411" s="763"/>
      <c r="I1411" s="765"/>
      <c r="J1411" s="763"/>
      <c r="K1411" s="763" t="s">
        <v>3</v>
      </c>
      <c r="L1411" s="766" t="s">
        <v>143</v>
      </c>
      <c r="M1411" s="766"/>
      <c r="N1411" s="766"/>
      <c r="O1411" s="766"/>
      <c r="P1411" s="766"/>
      <c r="Q1411" s="767"/>
      <c r="R1411" s="768">
        <f ca="1">SUM(R1407:R1410)</f>
        <v>92.75</v>
      </c>
      <c r="S1411" s="763"/>
      <c r="T1411" s="768">
        <f ca="1">SUM(T1407:T1410)</f>
        <v>2.4500000000000002</v>
      </c>
      <c r="U1411" s="531"/>
      <c r="V1411" s="531"/>
      <c r="W1411" s="531"/>
      <c r="X1411" s="531"/>
      <c r="Y1411" s="531"/>
      <c r="Z1411" s="531"/>
      <c r="AA1411" s="531"/>
      <c r="AB1411" s="531"/>
      <c r="AC1411" s="531"/>
      <c r="AD1411" s="531"/>
      <c r="AE1411" s="531"/>
      <c r="AF1411" s="531"/>
      <c r="AG1411" s="531"/>
      <c r="AH1411" s="531"/>
      <c r="AI1411" s="531"/>
      <c r="AJ1411" s="531"/>
      <c r="AK1411" s="531"/>
      <c r="AL1411" s="531"/>
      <c r="AM1411" s="531"/>
      <c r="AN1411" s="531"/>
      <c r="AO1411" s="531"/>
      <c r="AR1411" s="761" t="s">
        <v>145</v>
      </c>
      <c r="AS1411" s="764"/>
    </row>
    <row r="1412" spans="1:45" s="520" customFormat="1" ht="12" thickTop="1">
      <c r="A1412" s="51"/>
      <c r="B1412" s="41"/>
      <c r="C1412" s="51"/>
      <c r="E1412" s="42" t="s">
        <v>138</v>
      </c>
      <c r="F1412" s="42" t="s">
        <v>139</v>
      </c>
      <c r="G1412" s="51"/>
      <c r="H1412" s="51"/>
      <c r="I1412" s="51"/>
      <c r="J1412" s="51"/>
      <c r="K1412" s="51" t="s">
        <v>140</v>
      </c>
      <c r="L1412" s="51"/>
      <c r="M1412" s="51"/>
      <c r="N1412" s="51"/>
      <c r="O1412" s="52"/>
      <c r="P1412" s="51"/>
      <c r="Q1412" s="51"/>
      <c r="R1412" s="51"/>
      <c r="S1412" s="51"/>
      <c r="T1412" s="41"/>
      <c r="AG1412" s="521" t="s">
        <v>268</v>
      </c>
      <c r="AH1412" s="521" t="s">
        <v>269</v>
      </c>
      <c r="AI1412" s="521" t="s">
        <v>270</v>
      </c>
      <c r="AJ1412" s="521" t="s">
        <v>271</v>
      </c>
      <c r="AK1412" s="521" t="s">
        <v>272</v>
      </c>
      <c r="AM1412" s="745" t="s">
        <v>281</v>
      </c>
      <c r="AN1412" s="746" t="s">
        <v>282</v>
      </c>
      <c r="AO1412" s="522" t="s">
        <v>278</v>
      </c>
      <c r="AR1412" s="51"/>
      <c r="AS1412" s="42" t="s">
        <v>139</v>
      </c>
    </row>
    <row r="1413" spans="1:45" s="520" customFormat="1" ht="12" customHeight="1">
      <c r="A1413" s="747">
        <v>35</v>
      </c>
      <c r="B1413" s="523" t="s">
        <v>320</v>
      </c>
      <c r="C1413" s="748"/>
      <c r="D1413" s="749" t="s">
        <v>1312</v>
      </c>
      <c r="E1413" s="750">
        <f ca="1">IF(AND($A1413=0,$A$1="DIF"),0, ROUND(ROUND(($R1418*$S$2+($T1418*$T$2))/A1413,2)*$C$2,2))</f>
        <v>5.63</v>
      </c>
      <c r="F1413" s="751">
        <f ca="1">ROUND($A1413*$E1413,2)</f>
        <v>197.05</v>
      </c>
      <c r="G1413" s="752" t="s">
        <v>142</v>
      </c>
      <c r="H1413" s="753"/>
      <c r="I1413" s="754"/>
      <c r="J1413" s="753"/>
      <c r="K1413" s="753" t="s">
        <v>3</v>
      </c>
      <c r="L1413" s="755" t="s">
        <v>143</v>
      </c>
      <c r="M1413" s="755"/>
      <c r="N1413" s="755"/>
      <c r="O1413" s="755"/>
      <c r="P1413" s="755"/>
      <c r="Q1413" s="51"/>
      <c r="T1413" s="756" t="str">
        <f ca="1">IF(AND($R1418=0,$T1418=0),"0.00","mu :" &amp; ROUND($F1413/$C$2/($R1418+$T1418*$D$9),2))</f>
        <v>mu :1.23</v>
      </c>
      <c r="W1413" s="524"/>
      <c r="AG1413" s="481">
        <f ca="1">IF($E1413=0,0,ROUND($R1418*$S$2*$C$2/$A1413,2))</f>
        <v>3.26</v>
      </c>
      <c r="AH1413" s="481">
        <f ca="1">$AG1413*$A1413</f>
        <v>114.1</v>
      </c>
      <c r="AI1413" s="525">
        <f ca="1">$E1413-$AG1413</f>
        <v>2.37</v>
      </c>
      <c r="AJ1413" s="525">
        <f ca="1">$A1413*$AI1413</f>
        <v>82.95</v>
      </c>
      <c r="AK1413" s="526">
        <f ca="1">ROUND(($AG1413+$AI1413)*$A1413,2)</f>
        <v>197.05</v>
      </c>
      <c r="AM1413" s="527">
        <f ca="1">ROUND(R1418,2)</f>
        <v>92.75</v>
      </c>
      <c r="AN1413" s="528">
        <f ca="1">ROUND(T1418,2)</f>
        <v>2.4500000000000002</v>
      </c>
      <c r="AO1413" s="529">
        <f ca="1">ROUND(AM1413+AN1413,2)*A1413</f>
        <v>3332</v>
      </c>
      <c r="AR1413" s="747">
        <v>35</v>
      </c>
      <c r="AS1413" s="751">
        <v>208.95</v>
      </c>
    </row>
    <row r="1414" spans="1:45" s="520" customFormat="1" ht="13.2">
      <c r="A1414" s="748"/>
      <c r="B1414"/>
      <c r="C1414" s="748"/>
      <c r="D1414" s="749" t="s">
        <v>1313</v>
      </c>
      <c r="F1414" s="753"/>
      <c r="G1414" s="3"/>
      <c r="H1414" s="753"/>
      <c r="I1414" s="754"/>
      <c r="J1414" s="753"/>
      <c r="K1414" s="753" t="s">
        <v>144</v>
      </c>
      <c r="L1414" s="753"/>
      <c r="M1414" s="753"/>
      <c r="N1414" s="753"/>
      <c r="O1414" s="753"/>
      <c r="P1414" s="753"/>
      <c r="Q1414" s="51"/>
      <c r="R1414" s="530"/>
      <c r="S1414" s="757"/>
      <c r="T1414" s="753"/>
      <c r="AR1414" s="748"/>
      <c r="AS1414" s="753"/>
    </row>
    <row r="1415" spans="1:45" s="886" customFormat="1" ht="13.2">
      <c r="A1415"/>
      <c r="B1415" s="910"/>
      <c r="C1415" s="910" t="s">
        <v>2597</v>
      </c>
      <c r="D1415" s="910" t="str">
        <f ca="1">CELL("Address",Elec_Rates!D$478)</f>
        <v>[E25_0062_Quintano_Foods_Elec_ELV_As_Awarded.xlsx]Elec_Rates!$D$478</v>
      </c>
      <c r="E1415" s="911"/>
      <c r="F1415" s="911"/>
      <c r="G1415" s="912" t="s">
        <v>2598</v>
      </c>
      <c r="H1415" s="912"/>
      <c r="I1415" s="912"/>
      <c r="J1415" s="912"/>
      <c r="K1415" s="913"/>
      <c r="L1415" s="911"/>
      <c r="M1415" s="911"/>
      <c r="N1415" s="911"/>
      <c r="O1415" s="914"/>
      <c r="P1415" s="911"/>
      <c r="Q1415" s="915"/>
      <c r="R1415" s="916"/>
      <c r="S1415" s="915"/>
      <c r="T1415" s="917"/>
      <c r="U1415" s="918"/>
      <c r="AR1415"/>
      <c r="AS1415" s="911"/>
    </row>
    <row r="1416" spans="1:45" s="886" customFormat="1" ht="11.4">
      <c r="A1416" s="919">
        <v>35</v>
      </c>
      <c r="B1416" s="920">
        <v>1</v>
      </c>
      <c r="C1416" s="920">
        <f>$A1416*$B1416</f>
        <v>35</v>
      </c>
      <c r="D1416" s="921" t="str">
        <f>Elec_Rates!$D$478</f>
        <v>046# 3 x 4mm2 XLPE/SWA/LSZH</v>
      </c>
      <c r="E1416" s="921"/>
      <c r="F1416" s="921" t="s">
        <v>2599</v>
      </c>
      <c r="G1416" s="922" t="s">
        <v>2601</v>
      </c>
      <c r="H1416" s="922"/>
      <c r="I1416" s="922"/>
      <c r="J1416" s="922"/>
      <c r="K1416" s="923"/>
      <c r="L1416" s="918"/>
      <c r="M1416" s="918"/>
      <c r="N1416" s="918"/>
      <c r="O1416" s="924"/>
      <c r="P1416" s="921"/>
      <c r="Q1416" s="925">
        <f ca="1">$B1416*Elec_Rates!$R$478</f>
        <v>2.65</v>
      </c>
      <c r="R1416" s="916">
        <f ca="1">$A1416*Q1416</f>
        <v>92.75</v>
      </c>
      <c r="S1416" s="925">
        <f ca="1">$B1416*Elec_Rates!$T$478</f>
        <v>7.0000000000000007E-2</v>
      </c>
      <c r="T1416" s="917">
        <f ca="1">$A1416*S1416</f>
        <v>2.4500000000000002</v>
      </c>
      <c r="U1416" s="926"/>
      <c r="AR1416" s="919">
        <v>35</v>
      </c>
      <c r="AS1416" s="921" t="s">
        <v>2599</v>
      </c>
    </row>
    <row r="1417" spans="1:45" s="520" customFormat="1" ht="12">
      <c r="A1417" s="758"/>
      <c r="B1417" s="758"/>
      <c r="C1417" s="758"/>
      <c r="D1417" s="758"/>
      <c r="E1417" s="758"/>
      <c r="F1417" s="753"/>
      <c r="G1417" s="758"/>
      <c r="H1417" s="758"/>
      <c r="I1417" s="519"/>
      <c r="J1417" s="758"/>
      <c r="K1417" s="758"/>
      <c r="L1417" s="758"/>
      <c r="M1417" s="758"/>
      <c r="N1417" s="758"/>
      <c r="O1417" s="758"/>
      <c r="P1417" s="758"/>
      <c r="Q1417" s="519"/>
      <c r="R1417" s="759">
        <f>$A1417*Q1417</f>
        <v>0</v>
      </c>
      <c r="S1417" s="519"/>
      <c r="T1417" s="760">
        <f>$A1417*S1417*$T$1</f>
        <v>0</v>
      </c>
      <c r="AR1417" s="758"/>
      <c r="AS1417" s="753"/>
    </row>
    <row r="1418" spans="1:45" s="520" customFormat="1" ht="12.6" thickBot="1">
      <c r="A1418" s="761" t="s">
        <v>145</v>
      </c>
      <c r="B1418" s="762">
        <f>(R1417+T1417)</f>
        <v>0</v>
      </c>
      <c r="C1418" s="763"/>
      <c r="D1418" s="763"/>
      <c r="E1418" s="763"/>
      <c r="F1418" s="764"/>
      <c r="G1418" s="763" t="s">
        <v>146</v>
      </c>
      <c r="H1418" s="763"/>
      <c r="I1418" s="765"/>
      <c r="J1418" s="763"/>
      <c r="K1418" s="763" t="s">
        <v>3</v>
      </c>
      <c r="L1418" s="766" t="s">
        <v>143</v>
      </c>
      <c r="M1418" s="766"/>
      <c r="N1418" s="766"/>
      <c r="O1418" s="766"/>
      <c r="P1418" s="766"/>
      <c r="Q1418" s="767"/>
      <c r="R1418" s="768">
        <f ca="1">SUM(R1414:R1417)</f>
        <v>92.75</v>
      </c>
      <c r="S1418" s="763"/>
      <c r="T1418" s="768">
        <f ca="1">SUM(T1414:T1417)</f>
        <v>2.4500000000000002</v>
      </c>
      <c r="U1418" s="531"/>
      <c r="V1418" s="531"/>
      <c r="W1418" s="531"/>
      <c r="X1418" s="531"/>
      <c r="Y1418" s="531"/>
      <c r="Z1418" s="531"/>
      <c r="AA1418" s="531"/>
      <c r="AB1418" s="531"/>
      <c r="AC1418" s="531"/>
      <c r="AD1418" s="531"/>
      <c r="AE1418" s="531"/>
      <c r="AF1418" s="531"/>
      <c r="AG1418" s="531"/>
      <c r="AH1418" s="531"/>
      <c r="AI1418" s="531"/>
      <c r="AJ1418" s="531"/>
      <c r="AK1418" s="531"/>
      <c r="AL1418" s="531"/>
      <c r="AM1418" s="531"/>
      <c r="AN1418" s="531"/>
      <c r="AO1418" s="531"/>
      <c r="AR1418" s="761" t="s">
        <v>145</v>
      </c>
      <c r="AS1418" s="764"/>
    </row>
    <row r="1419" spans="1:45" s="520" customFormat="1" ht="12" thickTop="1">
      <c r="A1419" s="51"/>
      <c r="B1419" s="41"/>
      <c r="C1419" s="51"/>
      <c r="E1419" s="42" t="s">
        <v>138</v>
      </c>
      <c r="F1419" s="42" t="s">
        <v>139</v>
      </c>
      <c r="G1419" s="51"/>
      <c r="H1419" s="51"/>
      <c r="I1419" s="51"/>
      <c r="J1419" s="51"/>
      <c r="K1419" s="51" t="s">
        <v>140</v>
      </c>
      <c r="L1419" s="51"/>
      <c r="M1419" s="51"/>
      <c r="N1419" s="51"/>
      <c r="O1419" s="52"/>
      <c r="P1419" s="51"/>
      <c r="Q1419" s="51"/>
      <c r="R1419" s="51"/>
      <c r="S1419" s="51"/>
      <c r="T1419" s="41"/>
      <c r="AG1419" s="521" t="s">
        <v>268</v>
      </c>
      <c r="AH1419" s="521" t="s">
        <v>269</v>
      </c>
      <c r="AI1419" s="521" t="s">
        <v>270</v>
      </c>
      <c r="AJ1419" s="521" t="s">
        <v>271</v>
      </c>
      <c r="AK1419" s="521" t="s">
        <v>272</v>
      </c>
      <c r="AM1419" s="745" t="s">
        <v>281</v>
      </c>
      <c r="AN1419" s="746" t="s">
        <v>282</v>
      </c>
      <c r="AO1419" s="522" t="s">
        <v>278</v>
      </c>
      <c r="AR1419" s="51"/>
      <c r="AS1419" s="42" t="s">
        <v>139</v>
      </c>
    </row>
    <row r="1420" spans="1:45" s="520" customFormat="1" ht="12" customHeight="1">
      <c r="A1420" s="747">
        <v>40</v>
      </c>
      <c r="B1420" s="523" t="s">
        <v>320</v>
      </c>
      <c r="C1420" s="748"/>
      <c r="D1420" s="749" t="s">
        <v>1314</v>
      </c>
      <c r="E1420" s="750">
        <f ca="1">IF(AND($A1420=0,$A$1="DIF"),0, ROUND(ROUND(($R1425*$S$2+($T1425*$T$2))/A1420,2)*$C$2,2))</f>
        <v>5.63</v>
      </c>
      <c r="F1420" s="751">
        <f ca="1">ROUND($A1420*$E1420,2)</f>
        <v>225.2</v>
      </c>
      <c r="G1420" s="752" t="s">
        <v>142</v>
      </c>
      <c r="H1420" s="753"/>
      <c r="I1420" s="754"/>
      <c r="J1420" s="753"/>
      <c r="K1420" s="753" t="s">
        <v>3</v>
      </c>
      <c r="L1420" s="755" t="s">
        <v>143</v>
      </c>
      <c r="M1420" s="755"/>
      <c r="N1420" s="755"/>
      <c r="O1420" s="755"/>
      <c r="P1420" s="755"/>
      <c r="Q1420" s="51"/>
      <c r="T1420" s="756" t="str">
        <f ca="1">IF(AND($R1425=0,$T1425=0),"0.00","mu :" &amp; ROUND($F1420/$C$2/($R1425+$T1425*$D$9),2))</f>
        <v>mu :1.23</v>
      </c>
      <c r="W1420" s="524"/>
      <c r="AG1420" s="481">
        <f ca="1">IF($E1420=0,0,ROUND($R1425*$S$2*$C$2/$A1420,2))</f>
        <v>3.26</v>
      </c>
      <c r="AH1420" s="481">
        <f ca="1">$AG1420*$A1420</f>
        <v>130.39999999999998</v>
      </c>
      <c r="AI1420" s="525">
        <f ca="1">$E1420-$AG1420</f>
        <v>2.37</v>
      </c>
      <c r="AJ1420" s="525">
        <f ca="1">$A1420*$AI1420</f>
        <v>94.800000000000011</v>
      </c>
      <c r="AK1420" s="526">
        <f ca="1">ROUND(($AG1420+$AI1420)*$A1420,2)</f>
        <v>225.2</v>
      </c>
      <c r="AM1420" s="527">
        <f ca="1">ROUND(R1425,2)</f>
        <v>106</v>
      </c>
      <c r="AN1420" s="528">
        <f ca="1">ROUND(T1425,2)</f>
        <v>2.8</v>
      </c>
      <c r="AO1420" s="529">
        <f ca="1">ROUND(AM1420+AN1420,2)*A1420</f>
        <v>4352</v>
      </c>
      <c r="AR1420" s="747">
        <v>40</v>
      </c>
      <c r="AS1420" s="751">
        <v>238.8</v>
      </c>
    </row>
    <row r="1421" spans="1:45" s="520" customFormat="1" ht="13.2">
      <c r="A1421" s="748"/>
      <c r="B1421"/>
      <c r="C1421" s="748"/>
      <c r="D1421" s="749" t="s">
        <v>1315</v>
      </c>
      <c r="F1421" s="753"/>
      <c r="G1421" s="3"/>
      <c r="H1421" s="753"/>
      <c r="I1421" s="754"/>
      <c r="J1421" s="753"/>
      <c r="K1421" s="753" t="s">
        <v>144</v>
      </c>
      <c r="L1421" s="753"/>
      <c r="M1421" s="753"/>
      <c r="N1421" s="753"/>
      <c r="O1421" s="753"/>
      <c r="P1421" s="753"/>
      <c r="Q1421" s="51"/>
      <c r="R1421" s="530"/>
      <c r="S1421" s="757"/>
      <c r="T1421" s="753"/>
      <c r="AR1421" s="748"/>
      <c r="AS1421" s="753"/>
    </row>
    <row r="1422" spans="1:45" s="886" customFormat="1" ht="13.2">
      <c r="A1422"/>
      <c r="B1422" s="910"/>
      <c r="C1422" s="910" t="s">
        <v>2597</v>
      </c>
      <c r="D1422" s="910" t="str">
        <f ca="1">CELL("Address",Elec_Rates!D$478)</f>
        <v>[E25_0062_Quintano_Foods_Elec_ELV_As_Awarded.xlsx]Elec_Rates!$D$478</v>
      </c>
      <c r="E1422" s="911"/>
      <c r="F1422" s="911"/>
      <c r="G1422" s="912" t="s">
        <v>2598</v>
      </c>
      <c r="H1422" s="912"/>
      <c r="I1422" s="912"/>
      <c r="J1422" s="912"/>
      <c r="K1422" s="913"/>
      <c r="L1422" s="911"/>
      <c r="M1422" s="911"/>
      <c r="N1422" s="911"/>
      <c r="O1422" s="914"/>
      <c r="P1422" s="911"/>
      <c r="Q1422" s="915"/>
      <c r="R1422" s="916"/>
      <c r="S1422" s="915"/>
      <c r="T1422" s="917"/>
      <c r="U1422" s="918"/>
      <c r="AR1422"/>
      <c r="AS1422" s="911"/>
    </row>
    <row r="1423" spans="1:45" s="886" customFormat="1" ht="11.4">
      <c r="A1423" s="919">
        <v>40</v>
      </c>
      <c r="B1423" s="920">
        <v>1</v>
      </c>
      <c r="C1423" s="920">
        <f>$A1423*$B1423</f>
        <v>40</v>
      </c>
      <c r="D1423" s="921" t="str">
        <f>Elec_Rates!$D$478</f>
        <v>046# 3 x 4mm2 XLPE/SWA/LSZH</v>
      </c>
      <c r="E1423" s="921"/>
      <c r="F1423" s="921" t="s">
        <v>2599</v>
      </c>
      <c r="G1423" s="922" t="s">
        <v>2601</v>
      </c>
      <c r="H1423" s="922"/>
      <c r="I1423" s="922"/>
      <c r="J1423" s="922"/>
      <c r="K1423" s="923"/>
      <c r="L1423" s="918"/>
      <c r="M1423" s="918"/>
      <c r="N1423" s="918"/>
      <c r="O1423" s="924"/>
      <c r="P1423" s="921"/>
      <c r="Q1423" s="925">
        <f ca="1">$B1423*Elec_Rates!$R$478</f>
        <v>2.65</v>
      </c>
      <c r="R1423" s="916">
        <f ca="1">$A1423*Q1423</f>
        <v>106</v>
      </c>
      <c r="S1423" s="925">
        <f ca="1">$B1423*Elec_Rates!$T$478</f>
        <v>7.0000000000000007E-2</v>
      </c>
      <c r="T1423" s="917">
        <f ca="1">$A1423*S1423</f>
        <v>2.8000000000000003</v>
      </c>
      <c r="U1423" s="926"/>
      <c r="AR1423" s="919">
        <v>40</v>
      </c>
      <c r="AS1423" s="921" t="s">
        <v>2599</v>
      </c>
    </row>
    <row r="1424" spans="1:45" s="520" customFormat="1" ht="12">
      <c r="A1424" s="758"/>
      <c r="B1424" s="758"/>
      <c r="C1424" s="758"/>
      <c r="D1424" s="758"/>
      <c r="E1424" s="758"/>
      <c r="F1424" s="753"/>
      <c r="G1424" s="758"/>
      <c r="H1424" s="758"/>
      <c r="I1424" s="519"/>
      <c r="J1424" s="758"/>
      <c r="K1424" s="758"/>
      <c r="L1424" s="758"/>
      <c r="M1424" s="758"/>
      <c r="N1424" s="758"/>
      <c r="O1424" s="758"/>
      <c r="P1424" s="758"/>
      <c r="Q1424" s="519"/>
      <c r="R1424" s="759">
        <f>$A1424*Q1424</f>
        <v>0</v>
      </c>
      <c r="S1424" s="519"/>
      <c r="T1424" s="760">
        <f>$A1424*S1424*$T$1</f>
        <v>0</v>
      </c>
      <c r="AR1424" s="758"/>
      <c r="AS1424" s="753"/>
    </row>
    <row r="1425" spans="1:45" s="520" customFormat="1" ht="12.6" thickBot="1">
      <c r="A1425" s="761" t="s">
        <v>145</v>
      </c>
      <c r="B1425" s="762">
        <f>(R1424+T1424)</f>
        <v>0</v>
      </c>
      <c r="C1425" s="763"/>
      <c r="D1425" s="763"/>
      <c r="E1425" s="763"/>
      <c r="F1425" s="764"/>
      <c r="G1425" s="763" t="s">
        <v>146</v>
      </c>
      <c r="H1425" s="763"/>
      <c r="I1425" s="765"/>
      <c r="J1425" s="763"/>
      <c r="K1425" s="763" t="s">
        <v>3</v>
      </c>
      <c r="L1425" s="766" t="s">
        <v>143</v>
      </c>
      <c r="M1425" s="766"/>
      <c r="N1425" s="766"/>
      <c r="O1425" s="766"/>
      <c r="P1425" s="766"/>
      <c r="Q1425" s="767"/>
      <c r="R1425" s="768">
        <f ca="1">SUM(R1421:R1424)</f>
        <v>106</v>
      </c>
      <c r="S1425" s="763"/>
      <c r="T1425" s="768">
        <f ca="1">SUM(T1421:T1424)</f>
        <v>2.8000000000000003</v>
      </c>
      <c r="U1425" s="531"/>
      <c r="V1425" s="531"/>
      <c r="W1425" s="531"/>
      <c r="X1425" s="531"/>
      <c r="Y1425" s="531"/>
      <c r="Z1425" s="531"/>
      <c r="AA1425" s="531"/>
      <c r="AB1425" s="531"/>
      <c r="AC1425" s="531"/>
      <c r="AD1425" s="531"/>
      <c r="AE1425" s="531"/>
      <c r="AF1425" s="531"/>
      <c r="AG1425" s="531"/>
      <c r="AH1425" s="531"/>
      <c r="AI1425" s="531"/>
      <c r="AJ1425" s="531"/>
      <c r="AK1425" s="531"/>
      <c r="AL1425" s="531"/>
      <c r="AM1425" s="531"/>
      <c r="AN1425" s="531"/>
      <c r="AO1425" s="531"/>
      <c r="AR1425" s="761" t="s">
        <v>145</v>
      </c>
      <c r="AS1425" s="764"/>
    </row>
    <row r="1426" spans="1:45" s="520" customFormat="1" thickTop="1">
      <c r="A1426" s="51"/>
      <c r="B1426" s="51"/>
      <c r="C1426" s="3"/>
      <c r="D1426" s="3"/>
      <c r="E1426" s="51"/>
      <c r="F1426" s="51"/>
      <c r="G1426" s="51"/>
      <c r="H1426" s="51"/>
      <c r="I1426" s="51"/>
      <c r="J1426" s="51"/>
      <c r="K1426" s="51" t="s">
        <v>134</v>
      </c>
      <c r="L1426" s="51"/>
      <c r="M1426" s="51"/>
      <c r="N1426" s="51"/>
      <c r="O1426" s="52"/>
      <c r="P1426" s="51"/>
      <c r="Q1426" s="51"/>
      <c r="R1426" s="51"/>
      <c r="S1426" s="51"/>
      <c r="T1426" s="51"/>
      <c r="AR1426" s="51"/>
      <c r="AS1426" s="51"/>
    </row>
    <row r="1427" spans="1:45" s="520" customFormat="1" ht="12">
      <c r="A1427" s="51"/>
      <c r="B1427" s="51"/>
      <c r="C1427" s="51" t="s">
        <v>135</v>
      </c>
      <c r="D1427" s="37"/>
      <c r="E1427" s="51"/>
      <c r="F1427" s="51"/>
      <c r="G1427" s="51"/>
      <c r="H1427" s="51"/>
      <c r="I1427" s="51"/>
      <c r="J1427" s="51"/>
      <c r="K1427" s="51"/>
      <c r="L1427" s="51"/>
      <c r="M1427" s="51"/>
      <c r="N1427" s="51"/>
      <c r="O1427" s="52"/>
      <c r="P1427" s="51"/>
      <c r="Q1427" s="51"/>
      <c r="R1427" s="51"/>
      <c r="S1427" s="51"/>
      <c r="T1427" s="51"/>
      <c r="AR1427" s="51"/>
      <c r="AS1427" s="51"/>
    </row>
    <row r="1428" spans="1:45" s="520" customFormat="1" ht="12">
      <c r="A1428" s="51"/>
      <c r="B1428" s="51"/>
      <c r="C1428" s="51"/>
      <c r="D1428" s="37" t="s">
        <v>463</v>
      </c>
      <c r="E1428" s="51"/>
      <c r="F1428" s="51"/>
      <c r="G1428" s="51"/>
      <c r="H1428" s="51"/>
      <c r="I1428" s="51"/>
      <c r="J1428" s="51"/>
      <c r="K1428" s="51"/>
      <c r="L1428" s="51"/>
      <c r="M1428" s="51"/>
      <c r="N1428" s="51"/>
      <c r="O1428" s="52"/>
      <c r="P1428" s="51"/>
      <c r="Q1428" s="51"/>
      <c r="R1428" s="51"/>
      <c r="S1428" s="38"/>
      <c r="T1428" s="38"/>
      <c r="AR1428" s="51"/>
      <c r="AS1428" s="51"/>
    </row>
    <row r="1429" spans="1:45" s="3" customFormat="1" thickBot="1">
      <c r="A1429" s="531"/>
      <c r="O1429" s="107"/>
      <c r="AR1429" s="531"/>
    </row>
    <row r="1430" spans="1:45" s="520" customFormat="1" ht="12" thickTop="1">
      <c r="A1430" s="51"/>
      <c r="B1430" s="41"/>
      <c r="C1430" s="51"/>
      <c r="E1430" s="42" t="s">
        <v>138</v>
      </c>
      <c r="F1430" s="42" t="s">
        <v>139</v>
      </c>
      <c r="G1430" s="51"/>
      <c r="H1430" s="51"/>
      <c r="I1430" s="51"/>
      <c r="J1430" s="51"/>
      <c r="K1430" s="51" t="s">
        <v>140</v>
      </c>
      <c r="L1430" s="51"/>
      <c r="M1430" s="51"/>
      <c r="N1430" s="51"/>
      <c r="O1430" s="52"/>
      <c r="P1430" s="51"/>
      <c r="Q1430" s="51"/>
      <c r="R1430" s="51"/>
      <c r="S1430" s="51"/>
      <c r="T1430" s="41"/>
      <c r="AG1430" s="521" t="s">
        <v>268</v>
      </c>
      <c r="AH1430" s="521" t="s">
        <v>269</v>
      </c>
      <c r="AI1430" s="521" t="s">
        <v>270</v>
      </c>
      <c r="AJ1430" s="521" t="s">
        <v>271</v>
      </c>
      <c r="AK1430" s="521" t="s">
        <v>272</v>
      </c>
      <c r="AM1430" s="745" t="s">
        <v>281</v>
      </c>
      <c r="AN1430" s="746" t="s">
        <v>282</v>
      </c>
      <c r="AO1430" s="522" t="s">
        <v>278</v>
      </c>
      <c r="AR1430" s="51"/>
      <c r="AS1430" s="42" t="s">
        <v>139</v>
      </c>
    </row>
    <row r="1431" spans="1:45" s="520" customFormat="1" ht="12" customHeight="1">
      <c r="A1431" s="747">
        <v>2</v>
      </c>
      <c r="B1431" s="523" t="s">
        <v>141</v>
      </c>
      <c r="C1431" s="748"/>
      <c r="D1431" s="749" t="s">
        <v>1316</v>
      </c>
      <c r="E1431" s="750">
        <f ca="1">IF(AND($A1431=0,$A$1="DIF"),0, ROUND(ROUND(($R1436*$S$2+($T1436*$T$2))/A1431,2)*$C$2,2))</f>
        <v>57.79</v>
      </c>
      <c r="F1431" s="751">
        <f ca="1">ROUND($A1431*$E1431,2)</f>
        <v>115.58</v>
      </c>
      <c r="G1431" s="752" t="s">
        <v>142</v>
      </c>
      <c r="H1431" s="753"/>
      <c r="I1431" s="754"/>
      <c r="J1431" s="753"/>
      <c r="K1431" s="753" t="s">
        <v>3</v>
      </c>
      <c r="L1431" s="755" t="s">
        <v>143</v>
      </c>
      <c r="M1431" s="755"/>
      <c r="N1431" s="755"/>
      <c r="O1431" s="755"/>
      <c r="P1431" s="755"/>
      <c r="Q1431" s="51"/>
      <c r="T1431" s="756" t="str">
        <f ca="1">IF(AND($R1436=0,$T1436=0),"0.00","mu :" &amp; ROUND($F1431/$C$2/($R1436+$T1436*$D$9),2))</f>
        <v>mu :1.23</v>
      </c>
      <c r="W1431" s="524"/>
      <c r="AG1431" s="481">
        <f ca="1">IF($E1431=0,0,ROUND($R1436*$S$2*$C$2/$A1431,2))</f>
        <v>33.44</v>
      </c>
      <c r="AH1431" s="481">
        <f ca="1">$AG1431*$A1431</f>
        <v>66.88</v>
      </c>
      <c r="AI1431" s="525">
        <f ca="1">$E1431-$AG1431</f>
        <v>24.35</v>
      </c>
      <c r="AJ1431" s="525">
        <f ca="1">$A1431*$AI1431</f>
        <v>48.7</v>
      </c>
      <c r="AK1431" s="526">
        <f ca="1">ROUND(($AG1431+$AI1431)*$A1431,2)</f>
        <v>115.58</v>
      </c>
      <c r="AM1431" s="527">
        <f ca="1">ROUND(R1436,2)</f>
        <v>54.32</v>
      </c>
      <c r="AN1431" s="528">
        <f ca="1">ROUND(T1436,2)</f>
        <v>1.44</v>
      </c>
      <c r="AO1431" s="529">
        <f ca="1">ROUND(AM1431+AN1431,2)*A1431</f>
        <v>111.52</v>
      </c>
      <c r="AR1431" s="747">
        <v>2</v>
      </c>
      <c r="AS1431" s="751">
        <v>120.98</v>
      </c>
    </row>
    <row r="1432" spans="1:45" s="520" customFormat="1" ht="13.2">
      <c r="A1432" s="748"/>
      <c r="B1432"/>
      <c r="C1432" s="748"/>
      <c r="D1432" s="749" t="s">
        <v>701</v>
      </c>
      <c r="F1432" s="753"/>
      <c r="G1432" s="3"/>
      <c r="H1432" s="753"/>
      <c r="I1432" s="754"/>
      <c r="J1432" s="753"/>
      <c r="K1432" s="753" t="s">
        <v>144</v>
      </c>
      <c r="L1432" s="753"/>
      <c r="M1432" s="753"/>
      <c r="N1432" s="753"/>
      <c r="O1432" s="753"/>
      <c r="P1432" s="753"/>
      <c r="Q1432" s="51"/>
      <c r="R1432" s="530"/>
      <c r="S1432" s="757"/>
      <c r="T1432" s="753"/>
      <c r="AR1432" s="748"/>
      <c r="AS1432" s="753"/>
    </row>
    <row r="1433" spans="1:45" s="886" customFormat="1" ht="13.2">
      <c r="A1433"/>
      <c r="B1433" s="910"/>
      <c r="C1433" s="910" t="s">
        <v>2597</v>
      </c>
      <c r="D1433" s="910" t="str">
        <f ca="1">CELL("Address",Elec_Rates!D$210)</f>
        <v>[E25_0062_Quintano_Foods_Elec_ELV_As_Awarded.xlsx]Elec_Rates!$D$210</v>
      </c>
      <c r="E1433" s="911"/>
      <c r="F1433" s="911"/>
      <c r="G1433" s="912" t="s">
        <v>2598</v>
      </c>
      <c r="H1433" s="912"/>
      <c r="I1433" s="912"/>
      <c r="J1433" s="912"/>
      <c r="K1433" s="913"/>
      <c r="L1433" s="911"/>
      <c r="M1433" s="911"/>
      <c r="N1433" s="911"/>
      <c r="O1433" s="914"/>
      <c r="P1433" s="911"/>
      <c r="Q1433" s="915"/>
      <c r="R1433" s="916"/>
      <c r="S1433" s="915"/>
      <c r="T1433" s="917"/>
      <c r="U1433" s="918"/>
      <c r="AR1433"/>
      <c r="AS1433" s="911"/>
    </row>
    <row r="1434" spans="1:45" s="886" customFormat="1" ht="11.4">
      <c r="A1434" s="919">
        <v>2</v>
      </c>
      <c r="B1434" s="920">
        <v>1</v>
      </c>
      <c r="C1434" s="920">
        <f>$A1434*$B1434</f>
        <v>2</v>
      </c>
      <c r="D1434" s="921" t="str">
        <f>Elec_Rates!$D$210</f>
        <v>020# 3-Phase 20/25/32A Isolator</v>
      </c>
      <c r="E1434" s="921"/>
      <c r="F1434" s="921" t="s">
        <v>2599</v>
      </c>
      <c r="G1434" s="922" t="s">
        <v>2601</v>
      </c>
      <c r="H1434" s="922"/>
      <c r="I1434" s="922"/>
      <c r="J1434" s="922"/>
      <c r="K1434" s="923"/>
      <c r="L1434" s="918"/>
      <c r="M1434" s="918"/>
      <c r="N1434" s="918"/>
      <c r="O1434" s="924"/>
      <c r="P1434" s="921"/>
      <c r="Q1434" s="925">
        <f ca="1">$B1434*Elec_Rates!$R$210</f>
        <v>27.16</v>
      </c>
      <c r="R1434" s="916">
        <f ca="1">$A1434*Q1434</f>
        <v>54.32</v>
      </c>
      <c r="S1434" s="925">
        <f ca="1">$B1434*Elec_Rates!$T$210</f>
        <v>0.72</v>
      </c>
      <c r="T1434" s="917">
        <f ca="1">$A1434*S1434</f>
        <v>1.44</v>
      </c>
      <c r="U1434" s="926"/>
      <c r="AR1434" s="919">
        <v>2</v>
      </c>
      <c r="AS1434" s="921" t="s">
        <v>2599</v>
      </c>
    </row>
    <row r="1435" spans="1:45" s="520" customFormat="1" ht="12">
      <c r="A1435" s="758"/>
      <c r="B1435" s="758"/>
      <c r="C1435" s="758"/>
      <c r="D1435" s="758"/>
      <c r="E1435" s="758"/>
      <c r="F1435" s="753"/>
      <c r="G1435" s="758"/>
      <c r="H1435" s="758"/>
      <c r="I1435" s="519"/>
      <c r="J1435" s="758"/>
      <c r="K1435" s="758"/>
      <c r="L1435" s="758"/>
      <c r="M1435" s="758"/>
      <c r="N1435" s="758"/>
      <c r="O1435" s="758"/>
      <c r="P1435" s="758"/>
      <c r="Q1435" s="519"/>
      <c r="R1435" s="759">
        <f>$A1435*Q1435</f>
        <v>0</v>
      </c>
      <c r="S1435" s="519"/>
      <c r="T1435" s="760">
        <f>$A1435*S1435*$T$1</f>
        <v>0</v>
      </c>
      <c r="AR1435" s="758"/>
      <c r="AS1435" s="753"/>
    </row>
    <row r="1436" spans="1:45" s="520" customFormat="1" ht="12.6" thickBot="1">
      <c r="A1436" s="761" t="s">
        <v>145</v>
      </c>
      <c r="B1436" s="762">
        <f>(R1435+T1435)</f>
        <v>0</v>
      </c>
      <c r="C1436" s="763"/>
      <c r="D1436" s="763"/>
      <c r="E1436" s="763"/>
      <c r="F1436" s="764"/>
      <c r="G1436" s="763" t="s">
        <v>146</v>
      </c>
      <c r="H1436" s="763"/>
      <c r="I1436" s="765"/>
      <c r="J1436" s="763"/>
      <c r="K1436" s="763" t="s">
        <v>3</v>
      </c>
      <c r="L1436" s="766" t="s">
        <v>143</v>
      </c>
      <c r="M1436" s="766"/>
      <c r="N1436" s="766"/>
      <c r="O1436" s="766"/>
      <c r="P1436" s="766"/>
      <c r="Q1436" s="767"/>
      <c r="R1436" s="768">
        <f ca="1">SUM(R1432:R1435)</f>
        <v>54.32</v>
      </c>
      <c r="S1436" s="763"/>
      <c r="T1436" s="768">
        <f ca="1">SUM(T1432:T1435)</f>
        <v>1.44</v>
      </c>
      <c r="U1436" s="531"/>
      <c r="V1436" s="531"/>
      <c r="W1436" s="531"/>
      <c r="X1436" s="531"/>
      <c r="Y1436" s="531"/>
      <c r="Z1436" s="531"/>
      <c r="AA1436" s="531"/>
      <c r="AB1436" s="531"/>
      <c r="AC1436" s="531"/>
      <c r="AD1436" s="531"/>
      <c r="AE1436" s="531"/>
      <c r="AF1436" s="531"/>
      <c r="AG1436" s="531"/>
      <c r="AH1436" s="531"/>
      <c r="AI1436" s="531"/>
      <c r="AJ1436" s="531"/>
      <c r="AK1436" s="531"/>
      <c r="AL1436" s="531"/>
      <c r="AM1436" s="531"/>
      <c r="AN1436" s="531"/>
      <c r="AO1436" s="531"/>
      <c r="AR1436" s="761" t="s">
        <v>145</v>
      </c>
      <c r="AS1436" s="764"/>
    </row>
    <row r="1437" spans="1:45" s="520" customFormat="1" ht="12" thickTop="1">
      <c r="A1437" s="51"/>
      <c r="B1437" s="41"/>
      <c r="C1437" s="51"/>
      <c r="E1437" s="42" t="s">
        <v>138</v>
      </c>
      <c r="F1437" s="42" t="s">
        <v>139</v>
      </c>
      <c r="G1437" s="51"/>
      <c r="H1437" s="51"/>
      <c r="I1437" s="51"/>
      <c r="J1437" s="51"/>
      <c r="K1437" s="51" t="s">
        <v>140</v>
      </c>
      <c r="L1437" s="51"/>
      <c r="M1437" s="51"/>
      <c r="N1437" s="51"/>
      <c r="O1437" s="52"/>
      <c r="P1437" s="51"/>
      <c r="Q1437" s="51"/>
      <c r="R1437" s="51"/>
      <c r="S1437" s="51"/>
      <c r="T1437" s="41"/>
      <c r="AG1437" s="521" t="s">
        <v>268</v>
      </c>
      <c r="AH1437" s="521" t="s">
        <v>269</v>
      </c>
      <c r="AI1437" s="521" t="s">
        <v>270</v>
      </c>
      <c r="AJ1437" s="521" t="s">
        <v>271</v>
      </c>
      <c r="AK1437" s="521" t="s">
        <v>272</v>
      </c>
      <c r="AM1437" s="745" t="s">
        <v>281</v>
      </c>
      <c r="AN1437" s="746" t="s">
        <v>282</v>
      </c>
      <c r="AO1437" s="522" t="s">
        <v>278</v>
      </c>
      <c r="AR1437" s="51"/>
      <c r="AS1437" s="42" t="s">
        <v>139</v>
      </c>
    </row>
    <row r="1438" spans="1:45" s="520" customFormat="1" ht="12" customHeight="1">
      <c r="A1438" s="747">
        <v>2</v>
      </c>
      <c r="B1438" s="523" t="s">
        <v>141</v>
      </c>
      <c r="C1438" s="748"/>
      <c r="D1438" s="749" t="s">
        <v>1317</v>
      </c>
      <c r="E1438" s="750">
        <f ca="1">IF(AND($A1438=0,$A$1="DIF"),0, ROUND(ROUND(($R1443*$S$2+($T1443*$T$2))/A1438,2)*$C$2,2))</f>
        <v>57.79</v>
      </c>
      <c r="F1438" s="751">
        <f ca="1">ROUND($A1438*$E1438,2)</f>
        <v>115.58</v>
      </c>
      <c r="G1438" s="752" t="s">
        <v>142</v>
      </c>
      <c r="H1438" s="753"/>
      <c r="I1438" s="754"/>
      <c r="J1438" s="753"/>
      <c r="K1438" s="753" t="s">
        <v>3</v>
      </c>
      <c r="L1438" s="755" t="s">
        <v>143</v>
      </c>
      <c r="M1438" s="755"/>
      <c r="N1438" s="755"/>
      <c r="O1438" s="755"/>
      <c r="P1438" s="755"/>
      <c r="Q1438" s="51"/>
      <c r="T1438" s="756" t="str">
        <f ca="1">IF(AND($R1443=0,$T1443=0),"0.00","mu :" &amp; ROUND($F1438/$C$2/($R1443+$T1443*$D$9),2))</f>
        <v>mu :1.23</v>
      </c>
      <c r="W1438" s="524"/>
      <c r="AG1438" s="481">
        <f ca="1">IF($E1438=0,0,ROUND($R1443*$S$2*$C$2/$A1438,2))</f>
        <v>33.44</v>
      </c>
      <c r="AH1438" s="481">
        <f ca="1">$AG1438*$A1438</f>
        <v>66.88</v>
      </c>
      <c r="AI1438" s="525">
        <f ca="1">$E1438-$AG1438</f>
        <v>24.35</v>
      </c>
      <c r="AJ1438" s="525">
        <f ca="1">$A1438*$AI1438</f>
        <v>48.7</v>
      </c>
      <c r="AK1438" s="526">
        <f ca="1">ROUND(($AG1438+$AI1438)*$A1438,2)</f>
        <v>115.58</v>
      </c>
      <c r="AM1438" s="527">
        <f ca="1">ROUND(R1443,2)</f>
        <v>54.32</v>
      </c>
      <c r="AN1438" s="528">
        <f ca="1">ROUND(T1443,2)</f>
        <v>1.44</v>
      </c>
      <c r="AO1438" s="529">
        <f ca="1">ROUND(AM1438+AN1438,2)*A1438</f>
        <v>111.52</v>
      </c>
      <c r="AR1438" s="747">
        <v>2</v>
      </c>
      <c r="AS1438" s="751">
        <v>120.98</v>
      </c>
    </row>
    <row r="1439" spans="1:45" s="520" customFormat="1" ht="13.2">
      <c r="A1439" s="748"/>
      <c r="B1439"/>
      <c r="C1439" s="748"/>
      <c r="D1439" s="749" t="s">
        <v>1318</v>
      </c>
      <c r="F1439" s="753"/>
      <c r="G1439" s="3"/>
      <c r="H1439" s="753"/>
      <c r="I1439" s="754"/>
      <c r="J1439" s="753"/>
      <c r="K1439" s="753" t="s">
        <v>144</v>
      </c>
      <c r="L1439" s="753"/>
      <c r="M1439" s="753"/>
      <c r="N1439" s="753"/>
      <c r="O1439" s="753"/>
      <c r="P1439" s="753"/>
      <c r="Q1439" s="51"/>
      <c r="R1439" s="530"/>
      <c r="S1439" s="757"/>
      <c r="T1439" s="753"/>
      <c r="AR1439" s="748"/>
      <c r="AS1439" s="753"/>
    </row>
    <row r="1440" spans="1:45" s="886" customFormat="1" ht="13.2">
      <c r="A1440"/>
      <c r="B1440" s="910"/>
      <c r="C1440" s="910" t="s">
        <v>2597</v>
      </c>
      <c r="D1440" s="910" t="str">
        <f ca="1">CELL("Address",Elec_Rates!D$210)</f>
        <v>[E25_0062_Quintano_Foods_Elec_ELV_As_Awarded.xlsx]Elec_Rates!$D$210</v>
      </c>
      <c r="E1440" s="911"/>
      <c r="F1440" s="911"/>
      <c r="G1440" s="912" t="s">
        <v>2598</v>
      </c>
      <c r="H1440" s="912"/>
      <c r="I1440" s="912"/>
      <c r="J1440" s="912"/>
      <c r="K1440" s="913"/>
      <c r="L1440" s="911"/>
      <c r="M1440" s="911"/>
      <c r="N1440" s="911"/>
      <c r="O1440" s="914"/>
      <c r="P1440" s="911"/>
      <c r="Q1440" s="915"/>
      <c r="R1440" s="916"/>
      <c r="S1440" s="915"/>
      <c r="T1440" s="917"/>
      <c r="U1440" s="918"/>
      <c r="AR1440"/>
      <c r="AS1440" s="911"/>
    </row>
    <row r="1441" spans="1:45" s="886" customFormat="1" ht="11.4">
      <c r="A1441" s="919">
        <v>2</v>
      </c>
      <c r="B1441" s="920">
        <v>1</v>
      </c>
      <c r="C1441" s="920">
        <f>$A1441*$B1441</f>
        <v>2</v>
      </c>
      <c r="D1441" s="921" t="str">
        <f>Elec_Rates!$D$210</f>
        <v>020# 3-Phase 20/25/32A Isolator</v>
      </c>
      <c r="E1441" s="921"/>
      <c r="F1441" s="921" t="s">
        <v>2599</v>
      </c>
      <c r="G1441" s="922" t="s">
        <v>2601</v>
      </c>
      <c r="H1441" s="922"/>
      <c r="I1441" s="922"/>
      <c r="J1441" s="922"/>
      <c r="K1441" s="923"/>
      <c r="L1441" s="918"/>
      <c r="M1441" s="918"/>
      <c r="N1441" s="918"/>
      <c r="O1441" s="924"/>
      <c r="P1441" s="921"/>
      <c r="Q1441" s="925">
        <f ca="1">$B1441*Elec_Rates!$R$210</f>
        <v>27.16</v>
      </c>
      <c r="R1441" s="916">
        <f ca="1">$A1441*Q1441</f>
        <v>54.32</v>
      </c>
      <c r="S1441" s="925">
        <f ca="1">$B1441*Elec_Rates!$T$210</f>
        <v>0.72</v>
      </c>
      <c r="T1441" s="917">
        <f ca="1">$A1441*S1441</f>
        <v>1.44</v>
      </c>
      <c r="U1441" s="926"/>
      <c r="AR1441" s="919">
        <v>2</v>
      </c>
      <c r="AS1441" s="921" t="s">
        <v>2599</v>
      </c>
    </row>
    <row r="1442" spans="1:45" s="520" customFormat="1" ht="12">
      <c r="A1442" s="758"/>
      <c r="B1442" s="758"/>
      <c r="C1442" s="758"/>
      <c r="D1442" s="758"/>
      <c r="E1442" s="758"/>
      <c r="F1442" s="753"/>
      <c r="G1442" s="758"/>
      <c r="H1442" s="758"/>
      <c r="I1442" s="519"/>
      <c r="J1442" s="758"/>
      <c r="K1442" s="758"/>
      <c r="L1442" s="758"/>
      <c r="M1442" s="758"/>
      <c r="N1442" s="758"/>
      <c r="O1442" s="758"/>
      <c r="P1442" s="758"/>
      <c r="Q1442" s="519"/>
      <c r="R1442" s="759">
        <f>$A1442*Q1442</f>
        <v>0</v>
      </c>
      <c r="S1442" s="519"/>
      <c r="T1442" s="760">
        <f>$A1442*S1442*$T$1</f>
        <v>0</v>
      </c>
      <c r="AR1442" s="758"/>
      <c r="AS1442" s="753"/>
    </row>
    <row r="1443" spans="1:45" s="520" customFormat="1" ht="12.6" thickBot="1">
      <c r="A1443" s="761" t="s">
        <v>145</v>
      </c>
      <c r="B1443" s="762">
        <f>(R1442+T1442)</f>
        <v>0</v>
      </c>
      <c r="C1443" s="763"/>
      <c r="D1443" s="763"/>
      <c r="E1443" s="763"/>
      <c r="F1443" s="764"/>
      <c r="G1443" s="763" t="s">
        <v>146</v>
      </c>
      <c r="H1443" s="763"/>
      <c r="I1443" s="765"/>
      <c r="J1443" s="763"/>
      <c r="K1443" s="763" t="s">
        <v>3</v>
      </c>
      <c r="L1443" s="766" t="s">
        <v>143</v>
      </c>
      <c r="M1443" s="766"/>
      <c r="N1443" s="766"/>
      <c r="O1443" s="766"/>
      <c r="P1443" s="766"/>
      <c r="Q1443" s="767"/>
      <c r="R1443" s="768">
        <f ca="1">SUM(R1439:R1442)</f>
        <v>54.32</v>
      </c>
      <c r="S1443" s="763"/>
      <c r="T1443" s="768">
        <f ca="1">SUM(T1439:T1442)</f>
        <v>1.44</v>
      </c>
      <c r="U1443" s="531"/>
      <c r="V1443" s="531"/>
      <c r="W1443" s="531"/>
      <c r="X1443" s="531"/>
      <c r="Y1443" s="531"/>
      <c r="Z1443" s="531"/>
      <c r="AA1443" s="531"/>
      <c r="AB1443" s="531"/>
      <c r="AC1443" s="531"/>
      <c r="AD1443" s="531"/>
      <c r="AE1443" s="531"/>
      <c r="AF1443" s="531"/>
      <c r="AG1443" s="531"/>
      <c r="AH1443" s="531"/>
      <c r="AI1443" s="531"/>
      <c r="AJ1443" s="531"/>
      <c r="AK1443" s="531"/>
      <c r="AL1443" s="531"/>
      <c r="AM1443" s="531"/>
      <c r="AN1443" s="531"/>
      <c r="AO1443" s="531"/>
      <c r="AR1443" s="761" t="s">
        <v>145</v>
      </c>
      <c r="AS1443" s="764"/>
    </row>
    <row r="1444" spans="1:45" s="520" customFormat="1" ht="12" thickTop="1">
      <c r="A1444" s="51"/>
      <c r="B1444" s="41"/>
      <c r="C1444" s="51"/>
      <c r="E1444" s="42" t="s">
        <v>138</v>
      </c>
      <c r="F1444" s="42" t="s">
        <v>139</v>
      </c>
      <c r="G1444" s="51"/>
      <c r="H1444" s="51"/>
      <c r="I1444" s="51"/>
      <c r="J1444" s="51"/>
      <c r="K1444" s="51" t="s">
        <v>140</v>
      </c>
      <c r="L1444" s="51"/>
      <c r="M1444" s="51"/>
      <c r="N1444" s="51"/>
      <c r="O1444" s="52"/>
      <c r="P1444" s="51"/>
      <c r="Q1444" s="51"/>
      <c r="R1444" s="51"/>
      <c r="S1444" s="51"/>
      <c r="T1444" s="41"/>
      <c r="AG1444" s="521" t="s">
        <v>268</v>
      </c>
      <c r="AH1444" s="521" t="s">
        <v>269</v>
      </c>
      <c r="AI1444" s="521" t="s">
        <v>270</v>
      </c>
      <c r="AJ1444" s="521" t="s">
        <v>271</v>
      </c>
      <c r="AK1444" s="521" t="s">
        <v>272</v>
      </c>
      <c r="AM1444" s="745" t="s">
        <v>281</v>
      </c>
      <c r="AN1444" s="746" t="s">
        <v>282</v>
      </c>
      <c r="AO1444" s="522" t="s">
        <v>278</v>
      </c>
      <c r="AR1444" s="51"/>
      <c r="AS1444" s="42" t="s">
        <v>139</v>
      </c>
    </row>
    <row r="1445" spans="1:45" s="520" customFormat="1" ht="12" customHeight="1">
      <c r="A1445" s="747">
        <v>3</v>
      </c>
      <c r="B1445" s="523" t="s">
        <v>141</v>
      </c>
      <c r="C1445" s="748"/>
      <c r="D1445" s="749" t="s">
        <v>1319</v>
      </c>
      <c r="E1445" s="750">
        <f ca="1">IF(AND($A1445=0,$A$1="DIF"),0, ROUND(ROUND(($R1450*$S$2+($T1450*$T$2))/A1445,2)*$C$2,2))</f>
        <v>48.45</v>
      </c>
      <c r="F1445" s="751">
        <f ca="1">ROUND($A1445*$E1445,2)</f>
        <v>145.35</v>
      </c>
      <c r="G1445" s="752" t="s">
        <v>142</v>
      </c>
      <c r="H1445" s="753"/>
      <c r="I1445" s="754"/>
      <c r="J1445" s="753"/>
      <c r="K1445" s="753" t="s">
        <v>3</v>
      </c>
      <c r="L1445" s="755" t="s">
        <v>143</v>
      </c>
      <c r="M1445" s="755"/>
      <c r="N1445" s="755"/>
      <c r="O1445" s="755"/>
      <c r="P1445" s="755"/>
      <c r="Q1445" s="51"/>
      <c r="T1445" s="756" t="str">
        <f ca="1">IF(AND($R1450=0,$T1450=0),"0.00","mu :" &amp; ROUND($F1445/$C$2/($R1450+$T1450*$D$9),2))</f>
        <v>mu :1.23</v>
      </c>
      <c r="W1445" s="524"/>
      <c r="AG1445" s="481">
        <f ca="1">IF($E1445=0,0,ROUND($R1450*$S$2*$C$2/$A1445,2))</f>
        <v>31.55</v>
      </c>
      <c r="AH1445" s="481">
        <f ca="1">$AG1445*$A1445</f>
        <v>94.65</v>
      </c>
      <c r="AI1445" s="525">
        <f ca="1">$E1445-$AG1445</f>
        <v>16.900000000000002</v>
      </c>
      <c r="AJ1445" s="525">
        <f ca="1">$A1445*$AI1445</f>
        <v>50.7</v>
      </c>
      <c r="AK1445" s="526">
        <f ca="1">ROUND(($AG1445+$AI1445)*$A1445,2)</f>
        <v>145.35</v>
      </c>
      <c r="AM1445" s="527">
        <f ca="1">ROUND(R1450,2)</f>
        <v>76.86</v>
      </c>
      <c r="AN1445" s="528">
        <f ca="1">ROUND(T1450,2)</f>
        <v>1.5</v>
      </c>
      <c r="AO1445" s="529">
        <f ca="1">ROUND(AM1445+AN1445,2)*A1445</f>
        <v>235.07999999999998</v>
      </c>
      <c r="AR1445" s="747">
        <v>3</v>
      </c>
      <c r="AS1445" s="751">
        <v>150.41999999999999</v>
      </c>
    </row>
    <row r="1446" spans="1:45" s="520" customFormat="1" ht="13.2">
      <c r="A1446" s="748"/>
      <c r="B1446"/>
      <c r="C1446" s="748"/>
      <c r="D1446" s="749" t="s">
        <v>1245</v>
      </c>
      <c r="F1446" s="753"/>
      <c r="G1446" s="3"/>
      <c r="H1446" s="753"/>
      <c r="I1446" s="754"/>
      <c r="J1446" s="753"/>
      <c r="K1446" s="753" t="s">
        <v>144</v>
      </c>
      <c r="L1446" s="753"/>
      <c r="M1446" s="753"/>
      <c r="N1446" s="753"/>
      <c r="O1446" s="753"/>
      <c r="P1446" s="753"/>
      <c r="Q1446" s="51"/>
      <c r="R1446" s="530"/>
      <c r="S1446" s="757"/>
      <c r="T1446" s="753"/>
      <c r="AR1446" s="748"/>
      <c r="AS1446" s="753"/>
    </row>
    <row r="1447" spans="1:45" s="520" customFormat="1" ht="12">
      <c r="A1447" s="51"/>
      <c r="B1447" s="758"/>
      <c r="C1447" s="753" t="s">
        <v>2597</v>
      </c>
      <c r="D1447" s="753" t="str">
        <f ca="1">CELL("Address",Elec_Rates!$D$192)</f>
        <v>[E25_0062_Quintano_Foods_Elec_ELV_As_Awarded.xlsx]Elec_Rates!$D$192</v>
      </c>
      <c r="E1447" s="758"/>
      <c r="F1447" s="753"/>
      <c r="G1447" s="1049" t="s">
        <v>2598</v>
      </c>
      <c r="H1447" s="1050"/>
      <c r="I1447" s="1051"/>
      <c r="J1447" s="1050"/>
      <c r="K1447" s="1050"/>
      <c r="L1447" s="758"/>
      <c r="M1447" s="758"/>
      <c r="N1447" s="758"/>
      <c r="O1447" s="758"/>
      <c r="P1447" s="758"/>
      <c r="Q1447" s="519"/>
      <c r="R1447" s="759"/>
      <c r="S1447" s="519"/>
      <c r="T1447" s="760"/>
      <c r="AR1447" s="51"/>
      <c r="AS1447" s="753"/>
    </row>
    <row r="1448" spans="1:45" s="520" customFormat="1" ht="11.4">
      <c r="A1448" s="51">
        <v>3</v>
      </c>
      <c r="B1448" s="519">
        <v>1</v>
      </c>
      <c r="C1448" s="519">
        <f>$A1448*$B1448</f>
        <v>3</v>
      </c>
      <c r="D1448" s="1048" t="str">
        <f>Elec_Rates!$D$192</f>
        <v>018# 1-Phase 25/32A Isolator</v>
      </c>
      <c r="E1448" s="1048"/>
      <c r="F1448" s="1048" t="s">
        <v>2733</v>
      </c>
      <c r="G1448" s="1050" t="s">
        <v>2600</v>
      </c>
      <c r="H1448" s="1050"/>
      <c r="I1448" s="1051"/>
      <c r="J1448" s="1050"/>
      <c r="K1448" s="1050"/>
      <c r="L1448" s="758"/>
      <c r="M1448" s="758"/>
      <c r="N1448" s="758"/>
      <c r="O1448" s="758"/>
      <c r="P1448" s="758"/>
      <c r="Q1448" s="1052">
        <f ca="1">$B1448*Elec_Rates!$R$192</f>
        <v>25.62</v>
      </c>
      <c r="R1448" s="759">
        <f ca="1">$A1448*Q1448</f>
        <v>76.86</v>
      </c>
      <c r="S1448" s="1052">
        <f ca="1">$B1448*Elec_Rates!$T$192</f>
        <v>0.5</v>
      </c>
      <c r="T1448" s="917">
        <f ca="1">$A1448*S1448</f>
        <v>1.5</v>
      </c>
      <c r="AR1448" s="51">
        <v>3</v>
      </c>
      <c r="AS1448" s="1048" t="s">
        <v>2733</v>
      </c>
    </row>
    <row r="1449" spans="1:45" s="520" customFormat="1" ht="12">
      <c r="A1449" s="758"/>
      <c r="B1449" s="758"/>
      <c r="C1449" s="758"/>
      <c r="D1449" s="758"/>
      <c r="E1449" s="758"/>
      <c r="F1449" s="753"/>
      <c r="G1449" s="758"/>
      <c r="H1449" s="758"/>
      <c r="I1449" s="519"/>
      <c r="J1449" s="758"/>
      <c r="K1449" s="758"/>
      <c r="L1449" s="758"/>
      <c r="M1449" s="758"/>
      <c r="N1449" s="758"/>
      <c r="O1449" s="758"/>
      <c r="P1449" s="758"/>
      <c r="Q1449" s="519"/>
      <c r="R1449" s="759">
        <f>$A1449*Q1449</f>
        <v>0</v>
      </c>
      <c r="S1449" s="519"/>
      <c r="T1449" s="760">
        <f>$A1449*S1449*$T$1</f>
        <v>0</v>
      </c>
      <c r="AR1449" s="758"/>
      <c r="AS1449" s="753"/>
    </row>
    <row r="1450" spans="1:45" s="520" customFormat="1" ht="12.6" thickBot="1">
      <c r="A1450" s="761" t="s">
        <v>145</v>
      </c>
      <c r="B1450" s="762">
        <f>(R1449+T1449)</f>
        <v>0</v>
      </c>
      <c r="C1450" s="763"/>
      <c r="D1450" s="763"/>
      <c r="E1450" s="763"/>
      <c r="F1450" s="764"/>
      <c r="G1450" s="763" t="s">
        <v>146</v>
      </c>
      <c r="H1450" s="763"/>
      <c r="I1450" s="765"/>
      <c r="J1450" s="763"/>
      <c r="K1450" s="763" t="s">
        <v>3</v>
      </c>
      <c r="L1450" s="766" t="s">
        <v>143</v>
      </c>
      <c r="M1450" s="766"/>
      <c r="N1450" s="766"/>
      <c r="O1450" s="766"/>
      <c r="P1450" s="766"/>
      <c r="Q1450" s="767"/>
      <c r="R1450" s="768">
        <f ca="1">SUM(R1446:R1449)</f>
        <v>76.86</v>
      </c>
      <c r="S1450" s="763"/>
      <c r="T1450" s="768">
        <f ca="1">SUM(T1446:T1449)</f>
        <v>1.5</v>
      </c>
      <c r="U1450" s="531"/>
      <c r="V1450" s="531"/>
      <c r="W1450" s="531"/>
      <c r="X1450" s="531"/>
      <c r="Y1450" s="531"/>
      <c r="Z1450" s="531"/>
      <c r="AA1450" s="531"/>
      <c r="AB1450" s="531"/>
      <c r="AC1450" s="531"/>
      <c r="AD1450" s="531"/>
      <c r="AE1450" s="531"/>
      <c r="AF1450" s="531"/>
      <c r="AG1450" s="531"/>
      <c r="AH1450" s="531"/>
      <c r="AI1450" s="531"/>
      <c r="AJ1450" s="531"/>
      <c r="AK1450" s="531"/>
      <c r="AL1450" s="531"/>
      <c r="AM1450" s="531"/>
      <c r="AN1450" s="531"/>
      <c r="AO1450" s="531"/>
      <c r="AR1450" s="761" t="s">
        <v>145</v>
      </c>
      <c r="AS1450" s="764"/>
    </row>
    <row r="1451" spans="1:45" s="520" customFormat="1" ht="12" thickTop="1">
      <c r="A1451" s="48" t="s">
        <v>148</v>
      </c>
      <c r="D1451" s="13"/>
      <c r="E1451" s="42"/>
      <c r="O1451" s="771"/>
      <c r="AR1451" s="48" t="s">
        <v>148</v>
      </c>
    </row>
    <row r="1452" spans="1:45" s="520" customFormat="1" ht="13.2">
      <c r="B1452" s="3"/>
      <c r="O1452" s="771"/>
    </row>
    <row r="1453" spans="1:45" s="520" customFormat="1" ht="12">
      <c r="B1453" s="772">
        <f ca="1">$F1453/$C$2-($R1453*$S$2+$T1453*$T$2)</f>
        <v>0.9613959024027281</v>
      </c>
      <c r="D1453" s="773" t="s">
        <v>3624</v>
      </c>
      <c r="E1453" s="774"/>
      <c r="F1453" s="775">
        <f ca="1">SUMIF($L1081:$L1451,"ITEM",F1081:F1451)</f>
        <v>19361.91</v>
      </c>
      <c r="G1453" s="758"/>
      <c r="H1453" s="758"/>
      <c r="I1453" s="519"/>
      <c r="J1453" s="758"/>
      <c r="K1453" s="758"/>
      <c r="L1453" s="755" t="s">
        <v>157</v>
      </c>
      <c r="M1453" s="755"/>
      <c r="N1453" s="755"/>
      <c r="O1453" s="755"/>
      <c r="P1453" s="755"/>
      <c r="R1453" s="775">
        <f ca="1">SUMIF($L1081:$L1451,"ITEM",R1081:R1451)</f>
        <v>12301.499999999998</v>
      </c>
      <c r="S1453" s="776"/>
      <c r="T1453" s="775">
        <f ca="1">SUMIF($L1081:$L1451,"ITEM",T1081:T1451)</f>
        <v>124.61500000000002</v>
      </c>
      <c r="AS1453" s="775">
        <v>21896.339999999997</v>
      </c>
    </row>
    <row r="1454" spans="1:45" s="520" customFormat="1" ht="13.2">
      <c r="A1454" s="51"/>
      <c r="B1454" s="49" t="s">
        <v>1064</v>
      </c>
      <c r="C1454" s="51"/>
      <c r="D1454" s="3"/>
      <c r="F1454" s="777" t="s">
        <v>158</v>
      </c>
      <c r="G1454" s="758"/>
      <c r="H1454" s="758"/>
      <c r="I1454" s="519"/>
      <c r="J1454" s="758"/>
      <c r="K1454" s="758"/>
      <c r="L1454" s="758"/>
      <c r="M1454" s="758"/>
      <c r="N1454" s="758"/>
      <c r="O1454" s="758"/>
      <c r="P1454" s="758"/>
      <c r="Q1454" s="778"/>
      <c r="R1454" s="777" t="s">
        <v>159</v>
      </c>
      <c r="S1454" s="38"/>
      <c r="T1454" s="777" t="s">
        <v>160</v>
      </c>
      <c r="AR1454" s="51"/>
      <c r="AS1454" s="777" t="s">
        <v>158</v>
      </c>
    </row>
    <row r="1455" spans="1:45" s="520" customFormat="1" ht="13.2">
      <c r="A1455" s="758"/>
      <c r="B1455" s="3"/>
      <c r="C1455" s="758"/>
      <c r="D1455" s="3"/>
      <c r="E1455" s="3"/>
      <c r="G1455" s="3"/>
      <c r="H1455" s="3"/>
      <c r="I1455" s="3"/>
      <c r="J1455" s="3"/>
      <c r="K1455" s="3"/>
      <c r="L1455" s="3"/>
      <c r="M1455" s="3"/>
      <c r="N1455" s="3"/>
      <c r="O1455" s="107"/>
      <c r="P1455" s="3"/>
      <c r="Q1455" s="3"/>
      <c r="R1455" s="3"/>
      <c r="S1455" s="3"/>
      <c r="T1455" s="3"/>
      <c r="AR1455" s="758"/>
    </row>
    <row r="1456" spans="1:45" s="520" customFormat="1" ht="12" thickBot="1">
      <c r="A1456" s="531"/>
      <c r="B1456" s="763"/>
      <c r="C1456" s="763"/>
      <c r="D1456" s="531"/>
      <c r="E1456" s="39"/>
      <c r="F1456" s="779"/>
      <c r="G1456" s="763"/>
      <c r="H1456" s="763"/>
      <c r="I1456" s="765"/>
      <c r="J1456" s="763"/>
      <c r="K1456" s="763"/>
      <c r="L1456" s="766"/>
      <c r="M1456" s="766"/>
      <c r="N1456" s="766"/>
      <c r="O1456" s="766"/>
      <c r="P1456" s="766"/>
      <c r="Q1456" s="767"/>
      <c r="R1456" s="779"/>
      <c r="S1456" s="780"/>
      <c r="T1456" s="779"/>
      <c r="U1456" s="531"/>
      <c r="V1456" s="531"/>
      <c r="W1456" s="531"/>
      <c r="X1456" s="531"/>
      <c r="Y1456" s="531"/>
      <c r="Z1456" s="531"/>
      <c r="AA1456" s="531"/>
      <c r="AB1456" s="531"/>
      <c r="AC1456" s="531"/>
      <c r="AD1456" s="531"/>
      <c r="AE1456" s="531"/>
      <c r="AF1456" s="531"/>
      <c r="AG1456" s="531"/>
      <c r="AH1456" s="531"/>
      <c r="AI1456" s="531"/>
      <c r="AJ1456" s="531"/>
      <c r="AK1456" s="531"/>
      <c r="AR1456" s="531"/>
      <c r="AS1456" s="779"/>
    </row>
    <row r="1457" spans="1:45" s="520" customFormat="1" thickTop="1">
      <c r="A1457" s="51"/>
      <c r="B1457" s="51"/>
      <c r="C1457" s="3"/>
      <c r="D1457" s="3"/>
      <c r="E1457" s="51"/>
      <c r="F1457" s="51"/>
      <c r="G1457" s="51"/>
      <c r="H1457" s="51"/>
      <c r="I1457" s="51"/>
      <c r="J1457" s="51"/>
      <c r="K1457" s="51" t="s">
        <v>134</v>
      </c>
      <c r="L1457" s="51"/>
      <c r="M1457" s="51"/>
      <c r="N1457" s="51"/>
      <c r="O1457" s="52"/>
      <c r="P1457" s="51"/>
      <c r="Q1457" s="51"/>
      <c r="R1457" s="51"/>
      <c r="S1457" s="51"/>
      <c r="T1457" s="51"/>
      <c r="AR1457" s="51"/>
      <c r="AS1457" s="51"/>
    </row>
    <row r="1458" spans="1:45" s="520" customFormat="1" ht="12">
      <c r="A1458" s="51"/>
      <c r="B1458" s="51"/>
      <c r="C1458" s="51" t="s">
        <v>135</v>
      </c>
      <c r="D1458" s="37"/>
      <c r="E1458" s="51"/>
      <c r="F1458" s="51"/>
      <c r="G1458" s="51"/>
      <c r="H1458" s="51"/>
      <c r="I1458" s="51"/>
      <c r="J1458" s="51"/>
      <c r="K1458" s="51"/>
      <c r="L1458" s="51"/>
      <c r="M1458" s="51"/>
      <c r="N1458" s="51"/>
      <c r="O1458" s="52"/>
      <c r="P1458" s="51"/>
      <c r="Q1458" s="51"/>
      <c r="R1458" s="51"/>
      <c r="S1458" s="51"/>
      <c r="T1458" s="51"/>
      <c r="AR1458" s="51"/>
      <c r="AS1458" s="51"/>
    </row>
    <row r="1459" spans="1:45" s="520" customFormat="1" ht="39.9" customHeight="1">
      <c r="A1459" s="51"/>
      <c r="B1459" s="51"/>
      <c r="C1459" s="51"/>
      <c r="D1459" s="1453" t="s">
        <v>498</v>
      </c>
      <c r="E1459" s="1452"/>
      <c r="F1459" s="1452"/>
      <c r="G1459" s="1452"/>
      <c r="H1459" s="1452"/>
      <c r="I1459" s="1452"/>
      <c r="J1459" s="1452"/>
      <c r="K1459" s="1452"/>
      <c r="L1459" s="1452"/>
      <c r="M1459" s="1452"/>
      <c r="N1459" s="1452"/>
      <c r="O1459" s="1452"/>
      <c r="P1459" s="1452"/>
      <c r="Q1459" s="1452"/>
      <c r="R1459" s="1452"/>
      <c r="S1459" s="1452"/>
      <c r="T1459" s="1452"/>
      <c r="AR1459" s="51"/>
    </row>
    <row r="1460" spans="1:45" s="3" customFormat="1" thickBot="1">
      <c r="A1460" s="531"/>
      <c r="O1460" s="107"/>
      <c r="AR1460" s="531"/>
    </row>
    <row r="1461" spans="1:45" s="520" customFormat="1" thickTop="1">
      <c r="A1461" s="51"/>
      <c r="B1461" s="51"/>
      <c r="C1461" s="3"/>
      <c r="D1461" s="3"/>
      <c r="E1461" s="51"/>
      <c r="F1461" s="51"/>
      <c r="G1461" s="51"/>
      <c r="H1461" s="51"/>
      <c r="I1461" s="51"/>
      <c r="J1461" s="51"/>
      <c r="K1461" s="51" t="s">
        <v>134</v>
      </c>
      <c r="L1461" s="51"/>
      <c r="M1461" s="51"/>
      <c r="N1461" s="51"/>
      <c r="O1461" s="52"/>
      <c r="P1461" s="51"/>
      <c r="Q1461" s="51"/>
      <c r="R1461" s="51"/>
      <c r="S1461" s="51"/>
      <c r="T1461" s="51"/>
      <c r="AR1461" s="51"/>
      <c r="AS1461" s="51"/>
    </row>
    <row r="1462" spans="1:45" s="520" customFormat="1" ht="12">
      <c r="A1462" s="51"/>
      <c r="B1462" s="51"/>
      <c r="C1462" s="51" t="s">
        <v>135</v>
      </c>
      <c r="D1462" s="37"/>
      <c r="E1462" s="51"/>
      <c r="F1462" s="51"/>
      <c r="G1462" s="51"/>
      <c r="H1462" s="51"/>
      <c r="I1462" s="51"/>
      <c r="J1462" s="51"/>
      <c r="K1462" s="51"/>
      <c r="L1462" s="51"/>
      <c r="M1462" s="51"/>
      <c r="N1462" s="51"/>
      <c r="O1462" s="52"/>
      <c r="P1462" s="51"/>
      <c r="Q1462" s="51"/>
      <c r="R1462" s="51"/>
      <c r="S1462" s="51"/>
      <c r="T1462" s="51"/>
      <c r="AR1462" s="51"/>
      <c r="AS1462" s="51"/>
    </row>
    <row r="1463" spans="1:45" s="520" customFormat="1" ht="12">
      <c r="A1463" s="51"/>
      <c r="B1463" s="51"/>
      <c r="C1463" s="51"/>
      <c r="D1463" s="37" t="s">
        <v>598</v>
      </c>
      <c r="E1463" s="51"/>
      <c r="F1463" s="51"/>
      <c r="G1463" s="51"/>
      <c r="H1463" s="51"/>
      <c r="I1463" s="51"/>
      <c r="J1463" s="51"/>
      <c r="K1463" s="51"/>
      <c r="L1463" s="51"/>
      <c r="M1463" s="51"/>
      <c r="N1463" s="51"/>
      <c r="O1463" s="52"/>
      <c r="P1463" s="51"/>
      <c r="Q1463" s="51"/>
      <c r="R1463" s="51"/>
      <c r="S1463" s="38"/>
      <c r="T1463" s="38"/>
      <c r="AR1463" s="51"/>
      <c r="AS1463" s="51"/>
    </row>
    <row r="1464" spans="1:45" s="3" customFormat="1" thickBot="1">
      <c r="A1464" s="531"/>
      <c r="O1464" s="107"/>
      <c r="AR1464" s="531"/>
    </row>
    <row r="1465" spans="1:45" s="520" customFormat="1" ht="12" thickTop="1">
      <c r="A1465" s="51"/>
      <c r="B1465" s="41"/>
      <c r="C1465" s="51"/>
      <c r="E1465" s="42" t="s">
        <v>138</v>
      </c>
      <c r="F1465" s="42" t="s">
        <v>139</v>
      </c>
      <c r="G1465" s="51"/>
      <c r="H1465" s="51"/>
      <c r="I1465" s="51"/>
      <c r="J1465" s="51"/>
      <c r="K1465" s="51" t="s">
        <v>140</v>
      </c>
      <c r="L1465" s="51"/>
      <c r="M1465" s="51"/>
      <c r="N1465" s="51"/>
      <c r="O1465" s="52"/>
      <c r="P1465" s="51"/>
      <c r="Q1465" s="51"/>
      <c r="R1465" s="51"/>
      <c r="S1465" s="51"/>
      <c r="T1465" s="41"/>
      <c r="AG1465" s="521" t="s">
        <v>268</v>
      </c>
      <c r="AH1465" s="521" t="s">
        <v>269</v>
      </c>
      <c r="AI1465" s="521" t="s">
        <v>270</v>
      </c>
      <c r="AJ1465" s="521" t="s">
        <v>271</v>
      </c>
      <c r="AK1465" s="521" t="s">
        <v>272</v>
      </c>
      <c r="AM1465" s="745" t="s">
        <v>281</v>
      </c>
      <c r="AN1465" s="746" t="s">
        <v>282</v>
      </c>
      <c r="AO1465" s="522" t="s">
        <v>278</v>
      </c>
      <c r="AR1465" s="51"/>
      <c r="AS1465" s="42" t="s">
        <v>139</v>
      </c>
    </row>
    <row r="1466" spans="1:45" s="520" customFormat="1" ht="12" customHeight="1">
      <c r="A1466" s="747">
        <v>25</v>
      </c>
      <c r="B1466" s="523" t="s">
        <v>320</v>
      </c>
      <c r="C1466" s="748"/>
      <c r="D1466" s="749" t="s">
        <v>1320</v>
      </c>
      <c r="E1466" s="750">
        <f ca="1">IF(AND($A1466=0,$A$1="DIF"),0, ROUND(ROUND(($R1471*$S$2+($T1471*$T$2))/A1466,2)*$C$2,2))</f>
        <v>15.95</v>
      </c>
      <c r="F1466" s="751">
        <f ca="1">ROUND($A1466*$E1466,2)</f>
        <v>398.75</v>
      </c>
      <c r="G1466" s="752" t="s">
        <v>142</v>
      </c>
      <c r="H1466" s="753"/>
      <c r="I1466" s="754"/>
      <c r="J1466" s="753"/>
      <c r="K1466" s="753" t="s">
        <v>3</v>
      </c>
      <c r="L1466" s="755" t="s">
        <v>143</v>
      </c>
      <c r="M1466" s="755"/>
      <c r="N1466" s="755"/>
      <c r="O1466" s="755"/>
      <c r="P1466" s="755"/>
      <c r="Q1466" s="51"/>
      <c r="T1466" s="756" t="str">
        <f ca="1">IF(AND($R1471=0,$T1471=0),"0.00","mu :" &amp; ROUND($F1466/$C$2/($R1471+$T1471*$D$9),2))</f>
        <v>mu :1.23</v>
      </c>
      <c r="W1466" s="524"/>
      <c r="AG1466" s="481">
        <f ca="1">IF($E1466=0,0,ROUND($R1471*$S$2*$C$2/$A1466,2))</f>
        <v>13.58</v>
      </c>
      <c r="AH1466" s="481">
        <f ca="1">$AG1466*$A1466</f>
        <v>339.5</v>
      </c>
      <c r="AI1466" s="525">
        <f ca="1">$E1466-$AG1466</f>
        <v>2.3699999999999992</v>
      </c>
      <c r="AJ1466" s="525">
        <f ca="1">$A1466*$AI1466</f>
        <v>59.249999999999979</v>
      </c>
      <c r="AK1466" s="526">
        <f ca="1">ROUND(($AG1466+$AI1466)*$A1466,2)</f>
        <v>398.75</v>
      </c>
      <c r="AM1466" s="527">
        <f ca="1">ROUND(R1471,2)</f>
        <v>275.75</v>
      </c>
      <c r="AN1466" s="528">
        <f ca="1">ROUND(T1471,2)</f>
        <v>1.75</v>
      </c>
      <c r="AO1466" s="529">
        <f ca="1">ROUND(AM1466+AN1466,2)*A1466</f>
        <v>6937.5</v>
      </c>
      <c r="AR1466" s="747">
        <v>25</v>
      </c>
      <c r="AS1466" s="751">
        <v>407.25</v>
      </c>
    </row>
    <row r="1467" spans="1:45" s="520" customFormat="1" ht="13.2">
      <c r="A1467" s="748"/>
      <c r="B1467"/>
      <c r="C1467" s="748"/>
      <c r="D1467" s="749" t="s">
        <v>1247</v>
      </c>
      <c r="F1467" s="753"/>
      <c r="G1467" s="3"/>
      <c r="H1467" s="753"/>
      <c r="I1467" s="754"/>
      <c r="J1467" s="753"/>
      <c r="K1467" s="753" t="s">
        <v>144</v>
      </c>
      <c r="L1467" s="753"/>
      <c r="M1467" s="753"/>
      <c r="N1467" s="753"/>
      <c r="O1467" s="753"/>
      <c r="P1467" s="753"/>
      <c r="Q1467" s="51"/>
      <c r="R1467" s="530"/>
      <c r="S1467" s="757"/>
      <c r="T1467" s="753"/>
      <c r="AR1467" s="748"/>
      <c r="AS1467" s="753"/>
    </row>
    <row r="1468" spans="1:45" s="886" customFormat="1" ht="13.2">
      <c r="A1468"/>
      <c r="B1468" s="910"/>
      <c r="C1468" s="910" t="s">
        <v>2597</v>
      </c>
      <c r="D1468" s="910" t="str">
        <f ca="1">CELL("Address",Elec_Rates!D$488)</f>
        <v>[E25_0062_Quintano_Foods_Elec_ELV_As_Awarded.xlsx]Elec_Rates!$D$488</v>
      </c>
      <c r="E1468" s="911"/>
      <c r="F1468" s="911"/>
      <c r="G1468" s="912" t="s">
        <v>2598</v>
      </c>
      <c r="H1468" s="912"/>
      <c r="I1468" s="912"/>
      <c r="J1468" s="912"/>
      <c r="K1468" s="913"/>
      <c r="L1468" s="911"/>
      <c r="M1468" s="911"/>
      <c r="N1468" s="911"/>
      <c r="O1468" s="914"/>
      <c r="P1468" s="911"/>
      <c r="Q1468" s="915"/>
      <c r="R1468" s="916"/>
      <c r="S1468" s="915"/>
      <c r="T1468" s="917"/>
      <c r="U1468" s="918"/>
      <c r="AR1468"/>
      <c r="AS1468" s="911"/>
    </row>
    <row r="1469" spans="1:45" s="886" customFormat="1" ht="11.4">
      <c r="A1469" s="919">
        <v>25</v>
      </c>
      <c r="B1469" s="920">
        <v>1</v>
      </c>
      <c r="C1469" s="920">
        <f>$A1469*$B1469</f>
        <v>25</v>
      </c>
      <c r="D1469" s="921" t="str">
        <f>Elec_Rates!$D$488</f>
        <v>047# 5 x 2.5mm2 F120 Fire Resistant Cable (BS7846) -  XLPE/SWA/LSZH</v>
      </c>
      <c r="E1469" s="921"/>
      <c r="F1469" s="921" t="s">
        <v>2599</v>
      </c>
      <c r="G1469" s="922" t="s">
        <v>2601</v>
      </c>
      <c r="H1469" s="922"/>
      <c r="I1469" s="922"/>
      <c r="J1469" s="922"/>
      <c r="K1469" s="923"/>
      <c r="L1469" s="918"/>
      <c r="M1469" s="918"/>
      <c r="N1469" s="918"/>
      <c r="O1469" s="924"/>
      <c r="P1469" s="921"/>
      <c r="Q1469" s="925">
        <f ca="1">$B1469*Elec_Rates!$R$488</f>
        <v>11.03</v>
      </c>
      <c r="R1469" s="916">
        <f ca="1">$A1469*Q1469</f>
        <v>275.75</v>
      </c>
      <c r="S1469" s="925">
        <f ca="1">$B1469*Elec_Rates!$T$488</f>
        <v>7.0000000000000007E-2</v>
      </c>
      <c r="T1469" s="917">
        <f ca="1">$A1469*S1469</f>
        <v>1.7500000000000002</v>
      </c>
      <c r="U1469" s="926"/>
      <c r="AR1469" s="919">
        <v>25</v>
      </c>
      <c r="AS1469" s="921" t="s">
        <v>2599</v>
      </c>
    </row>
    <row r="1470" spans="1:45" s="520" customFormat="1" ht="12">
      <c r="A1470" s="758"/>
      <c r="B1470" s="758"/>
      <c r="C1470" s="758"/>
      <c r="D1470" s="758"/>
      <c r="E1470" s="758"/>
      <c r="F1470" s="753"/>
      <c r="G1470" s="758"/>
      <c r="H1470" s="758"/>
      <c r="I1470" s="519"/>
      <c r="J1470" s="758"/>
      <c r="K1470" s="758"/>
      <c r="L1470" s="758"/>
      <c r="M1470" s="758"/>
      <c r="N1470" s="758"/>
      <c r="O1470" s="758"/>
      <c r="P1470" s="758"/>
      <c r="Q1470" s="519"/>
      <c r="R1470" s="759">
        <f>$A1470*Q1470</f>
        <v>0</v>
      </c>
      <c r="S1470" s="519"/>
      <c r="T1470" s="760">
        <f>$A1470*S1470*$T$1</f>
        <v>0</v>
      </c>
      <c r="AR1470" s="758"/>
      <c r="AS1470" s="753"/>
    </row>
    <row r="1471" spans="1:45" s="520" customFormat="1" ht="12.6" thickBot="1">
      <c r="A1471" s="761" t="s">
        <v>145</v>
      </c>
      <c r="B1471" s="762">
        <f>(R1470+T1470)</f>
        <v>0</v>
      </c>
      <c r="C1471" s="763"/>
      <c r="D1471" s="763"/>
      <c r="E1471" s="763"/>
      <c r="F1471" s="764"/>
      <c r="G1471" s="763" t="s">
        <v>146</v>
      </c>
      <c r="H1471" s="763"/>
      <c r="I1471" s="765"/>
      <c r="J1471" s="763"/>
      <c r="K1471" s="763" t="s">
        <v>3</v>
      </c>
      <c r="L1471" s="766" t="s">
        <v>143</v>
      </c>
      <c r="M1471" s="766"/>
      <c r="N1471" s="766"/>
      <c r="O1471" s="766"/>
      <c r="P1471" s="766"/>
      <c r="Q1471" s="767"/>
      <c r="R1471" s="768">
        <f ca="1">SUM(R1467:R1470)</f>
        <v>275.75</v>
      </c>
      <c r="S1471" s="763"/>
      <c r="T1471" s="768">
        <f ca="1">SUM(T1467:T1470)</f>
        <v>1.7500000000000002</v>
      </c>
      <c r="U1471" s="531"/>
      <c r="V1471" s="531"/>
      <c r="W1471" s="531"/>
      <c r="X1471" s="531"/>
      <c r="Y1471" s="531"/>
      <c r="Z1471" s="531"/>
      <c r="AA1471" s="531"/>
      <c r="AB1471" s="531"/>
      <c r="AC1471" s="531"/>
      <c r="AD1471" s="531"/>
      <c r="AE1471" s="531"/>
      <c r="AF1471" s="531"/>
      <c r="AG1471" s="531"/>
      <c r="AH1471" s="531"/>
      <c r="AI1471" s="531"/>
      <c r="AJ1471" s="531"/>
      <c r="AK1471" s="531"/>
      <c r="AL1471" s="531"/>
      <c r="AM1471" s="531"/>
      <c r="AN1471" s="531"/>
      <c r="AO1471" s="531"/>
      <c r="AR1471" s="761" t="s">
        <v>145</v>
      </c>
      <c r="AS1471" s="764"/>
    </row>
    <row r="1472" spans="1:45" s="520" customFormat="1" ht="12" thickTop="1">
      <c r="A1472" s="51"/>
      <c r="B1472" s="41"/>
      <c r="C1472" s="51"/>
      <c r="E1472" s="42" t="s">
        <v>138</v>
      </c>
      <c r="F1472" s="42" t="s">
        <v>139</v>
      </c>
      <c r="G1472" s="51"/>
      <c r="H1472" s="51"/>
      <c r="I1472" s="51"/>
      <c r="J1472" s="51"/>
      <c r="K1472" s="51" t="s">
        <v>140</v>
      </c>
      <c r="L1472" s="51"/>
      <c r="M1472" s="51"/>
      <c r="N1472" s="51"/>
      <c r="O1472" s="52"/>
      <c r="P1472" s="51"/>
      <c r="Q1472" s="51"/>
      <c r="R1472" s="51"/>
      <c r="S1472" s="51"/>
      <c r="T1472" s="41"/>
      <c r="AG1472" s="521" t="s">
        <v>268</v>
      </c>
      <c r="AH1472" s="521" t="s">
        <v>269</v>
      </c>
      <c r="AI1472" s="521" t="s">
        <v>270</v>
      </c>
      <c r="AJ1472" s="521" t="s">
        <v>271</v>
      </c>
      <c r="AK1472" s="521" t="s">
        <v>272</v>
      </c>
      <c r="AM1472" s="745" t="s">
        <v>281</v>
      </c>
      <c r="AN1472" s="746" t="s">
        <v>282</v>
      </c>
      <c r="AO1472" s="522" t="s">
        <v>278</v>
      </c>
      <c r="AR1472" s="51"/>
      <c r="AS1472" s="42" t="s">
        <v>139</v>
      </c>
    </row>
    <row r="1473" spans="1:45" s="520" customFormat="1" ht="12" customHeight="1">
      <c r="A1473" s="747">
        <v>20</v>
      </c>
      <c r="B1473" s="523" t="s">
        <v>320</v>
      </c>
      <c r="C1473" s="748"/>
      <c r="D1473" s="749" t="s">
        <v>1321</v>
      </c>
      <c r="E1473" s="750">
        <f ca="1">IF(AND($A1473=0,$A$1="DIF"),0, ROUND(ROUND(($R1478*$S$2+($T1478*$T$2))/A1473,2)*$C$2,2))</f>
        <v>15.95</v>
      </c>
      <c r="F1473" s="751">
        <f ca="1">ROUND($A1473*$E1473,2)</f>
        <v>319</v>
      </c>
      <c r="G1473" s="752" t="s">
        <v>142</v>
      </c>
      <c r="H1473" s="753"/>
      <c r="I1473" s="754"/>
      <c r="J1473" s="753"/>
      <c r="K1473" s="753" t="s">
        <v>3</v>
      </c>
      <c r="L1473" s="755" t="s">
        <v>143</v>
      </c>
      <c r="M1473" s="755"/>
      <c r="N1473" s="755"/>
      <c r="O1473" s="755"/>
      <c r="P1473" s="755"/>
      <c r="Q1473" s="51"/>
      <c r="T1473" s="756" t="str">
        <f ca="1">IF(AND($R1478=0,$T1478=0),"0.00","mu :" &amp; ROUND($F1473/$C$2/($R1478+$T1478*$D$9),2))</f>
        <v>mu :1.23</v>
      </c>
      <c r="W1473" s="524"/>
      <c r="AG1473" s="481">
        <f ca="1">IF($E1473=0,0,ROUND($R1478*$S$2*$C$2/$A1473,2))</f>
        <v>13.58</v>
      </c>
      <c r="AH1473" s="481">
        <f ca="1">$AG1473*$A1473</f>
        <v>271.60000000000002</v>
      </c>
      <c r="AI1473" s="525">
        <f ca="1">$E1473-$AG1473</f>
        <v>2.3699999999999992</v>
      </c>
      <c r="AJ1473" s="525">
        <f ca="1">$A1473*$AI1473</f>
        <v>47.399999999999984</v>
      </c>
      <c r="AK1473" s="526">
        <f ca="1">ROUND(($AG1473+$AI1473)*$A1473,2)</f>
        <v>319</v>
      </c>
      <c r="AM1473" s="527">
        <f ca="1">ROUND(R1478,2)</f>
        <v>220.6</v>
      </c>
      <c r="AN1473" s="528">
        <f ca="1">ROUND(T1478,2)</f>
        <v>1.4</v>
      </c>
      <c r="AO1473" s="529">
        <f ca="1">ROUND(AM1473+AN1473,2)*A1473</f>
        <v>4440</v>
      </c>
      <c r="AR1473" s="747">
        <v>20</v>
      </c>
      <c r="AS1473" s="751">
        <v>325.8</v>
      </c>
    </row>
    <row r="1474" spans="1:45" s="520" customFormat="1" ht="13.2">
      <c r="A1474" s="748"/>
      <c r="B1474"/>
      <c r="C1474" s="748"/>
      <c r="D1474" s="749" t="s">
        <v>1249</v>
      </c>
      <c r="F1474" s="753"/>
      <c r="G1474" s="3"/>
      <c r="H1474" s="753"/>
      <c r="I1474" s="754"/>
      <c r="J1474" s="753"/>
      <c r="K1474" s="753" t="s">
        <v>144</v>
      </c>
      <c r="L1474" s="753"/>
      <c r="M1474" s="753"/>
      <c r="N1474" s="753"/>
      <c r="O1474" s="753"/>
      <c r="P1474" s="753"/>
      <c r="Q1474" s="51"/>
      <c r="R1474" s="530"/>
      <c r="S1474" s="757"/>
      <c r="T1474" s="753"/>
      <c r="AR1474" s="748"/>
      <c r="AS1474" s="753"/>
    </row>
    <row r="1475" spans="1:45" s="886" customFormat="1" ht="13.2">
      <c r="A1475"/>
      <c r="B1475" s="910"/>
      <c r="C1475" s="910" t="s">
        <v>2597</v>
      </c>
      <c r="D1475" s="910" t="str">
        <f ca="1">CELL("Address",Elec_Rates!D$488)</f>
        <v>[E25_0062_Quintano_Foods_Elec_ELV_As_Awarded.xlsx]Elec_Rates!$D$488</v>
      </c>
      <c r="E1475" s="911"/>
      <c r="F1475" s="911"/>
      <c r="G1475" s="912" t="s">
        <v>2598</v>
      </c>
      <c r="H1475" s="912"/>
      <c r="I1475" s="912"/>
      <c r="J1475" s="912"/>
      <c r="K1475" s="913"/>
      <c r="L1475" s="911"/>
      <c r="M1475" s="911"/>
      <c r="N1475" s="911"/>
      <c r="O1475" s="914"/>
      <c r="P1475" s="911"/>
      <c r="Q1475" s="915"/>
      <c r="R1475" s="916"/>
      <c r="S1475" s="915"/>
      <c r="T1475" s="917"/>
      <c r="U1475" s="918"/>
      <c r="AR1475"/>
      <c r="AS1475" s="911"/>
    </row>
    <row r="1476" spans="1:45" s="886" customFormat="1" ht="11.4">
      <c r="A1476" s="919">
        <v>20</v>
      </c>
      <c r="B1476" s="920">
        <v>1</v>
      </c>
      <c r="C1476" s="920">
        <f>$A1476*$B1476</f>
        <v>20</v>
      </c>
      <c r="D1476" s="921" t="str">
        <f>Elec_Rates!$D$488</f>
        <v>047# 5 x 2.5mm2 F120 Fire Resistant Cable (BS7846) -  XLPE/SWA/LSZH</v>
      </c>
      <c r="E1476" s="921"/>
      <c r="F1476" s="921" t="s">
        <v>2599</v>
      </c>
      <c r="G1476" s="922" t="s">
        <v>2601</v>
      </c>
      <c r="H1476" s="922"/>
      <c r="I1476" s="922"/>
      <c r="J1476" s="922"/>
      <c r="K1476" s="923"/>
      <c r="L1476" s="918"/>
      <c r="M1476" s="918"/>
      <c r="N1476" s="918"/>
      <c r="O1476" s="924"/>
      <c r="P1476" s="921"/>
      <c r="Q1476" s="925">
        <f ca="1">$B1476*Elec_Rates!$R$488</f>
        <v>11.03</v>
      </c>
      <c r="R1476" s="916">
        <f ca="1">$A1476*Q1476</f>
        <v>220.6</v>
      </c>
      <c r="S1476" s="925">
        <f ca="1">$B1476*Elec_Rates!$T$488</f>
        <v>7.0000000000000007E-2</v>
      </c>
      <c r="T1476" s="917">
        <f ca="1">$A1476*S1476</f>
        <v>1.4000000000000001</v>
      </c>
      <c r="U1476" s="926"/>
      <c r="AR1476" s="919">
        <v>20</v>
      </c>
      <c r="AS1476" s="921" t="s">
        <v>2599</v>
      </c>
    </row>
    <row r="1477" spans="1:45" s="520" customFormat="1" ht="12">
      <c r="A1477" s="758"/>
      <c r="B1477" s="758"/>
      <c r="C1477" s="758"/>
      <c r="D1477" s="758"/>
      <c r="E1477" s="758"/>
      <c r="F1477" s="753"/>
      <c r="G1477" s="758"/>
      <c r="H1477" s="758"/>
      <c r="I1477" s="519"/>
      <c r="J1477" s="758"/>
      <c r="K1477" s="758"/>
      <c r="L1477" s="758"/>
      <c r="M1477" s="758"/>
      <c r="N1477" s="758"/>
      <c r="O1477" s="758"/>
      <c r="P1477" s="758"/>
      <c r="Q1477" s="519"/>
      <c r="R1477" s="759">
        <f>$A1477*Q1477</f>
        <v>0</v>
      </c>
      <c r="S1477" s="519"/>
      <c r="T1477" s="760">
        <f>$A1477*S1477*$T$1</f>
        <v>0</v>
      </c>
      <c r="AR1477" s="758"/>
      <c r="AS1477" s="753"/>
    </row>
    <row r="1478" spans="1:45" s="520" customFormat="1" ht="12.6" thickBot="1">
      <c r="A1478" s="761" t="s">
        <v>145</v>
      </c>
      <c r="B1478" s="762">
        <f>(R1477+T1477)</f>
        <v>0</v>
      </c>
      <c r="C1478" s="763"/>
      <c r="D1478" s="763"/>
      <c r="E1478" s="763"/>
      <c r="F1478" s="764"/>
      <c r="G1478" s="763" t="s">
        <v>146</v>
      </c>
      <c r="H1478" s="763"/>
      <c r="I1478" s="765"/>
      <c r="J1478" s="763"/>
      <c r="K1478" s="763" t="s">
        <v>3</v>
      </c>
      <c r="L1478" s="766" t="s">
        <v>143</v>
      </c>
      <c r="M1478" s="766"/>
      <c r="N1478" s="766"/>
      <c r="O1478" s="766"/>
      <c r="P1478" s="766"/>
      <c r="Q1478" s="767"/>
      <c r="R1478" s="768">
        <f ca="1">SUM(R1474:R1477)</f>
        <v>220.6</v>
      </c>
      <c r="S1478" s="763"/>
      <c r="T1478" s="768">
        <f ca="1">SUM(T1474:T1477)</f>
        <v>1.4000000000000001</v>
      </c>
      <c r="U1478" s="531"/>
      <c r="V1478" s="531"/>
      <c r="W1478" s="531"/>
      <c r="X1478" s="531"/>
      <c r="Y1478" s="531"/>
      <c r="Z1478" s="531"/>
      <c r="AA1478" s="531"/>
      <c r="AB1478" s="531"/>
      <c r="AC1478" s="531"/>
      <c r="AD1478" s="531"/>
      <c r="AE1478" s="531"/>
      <c r="AF1478" s="531"/>
      <c r="AG1478" s="531"/>
      <c r="AH1478" s="531"/>
      <c r="AI1478" s="531"/>
      <c r="AJ1478" s="531"/>
      <c r="AK1478" s="531"/>
      <c r="AL1478" s="531"/>
      <c r="AM1478" s="531"/>
      <c r="AN1478" s="531"/>
      <c r="AO1478" s="531"/>
      <c r="AR1478" s="761" t="s">
        <v>145</v>
      </c>
      <c r="AS1478" s="764"/>
    </row>
    <row r="1479" spans="1:45" s="520" customFormat="1" ht="12" thickTop="1">
      <c r="A1479" s="51"/>
      <c r="B1479" s="41"/>
      <c r="C1479" s="51"/>
      <c r="E1479" s="42" t="s">
        <v>138</v>
      </c>
      <c r="F1479" s="42" t="s">
        <v>139</v>
      </c>
      <c r="G1479" s="51"/>
      <c r="H1479" s="51"/>
      <c r="I1479" s="51"/>
      <c r="J1479" s="51"/>
      <c r="K1479" s="51" t="s">
        <v>140</v>
      </c>
      <c r="L1479" s="51"/>
      <c r="M1479" s="51"/>
      <c r="N1479" s="51"/>
      <c r="O1479" s="52"/>
      <c r="P1479" s="51"/>
      <c r="Q1479" s="51"/>
      <c r="R1479" s="51"/>
      <c r="S1479" s="51"/>
      <c r="T1479" s="41"/>
      <c r="AG1479" s="521" t="s">
        <v>268</v>
      </c>
      <c r="AH1479" s="521" t="s">
        <v>269</v>
      </c>
      <c r="AI1479" s="521" t="s">
        <v>270</v>
      </c>
      <c r="AJ1479" s="521" t="s">
        <v>271</v>
      </c>
      <c r="AK1479" s="521" t="s">
        <v>272</v>
      </c>
      <c r="AM1479" s="745" t="s">
        <v>281</v>
      </c>
      <c r="AN1479" s="746" t="s">
        <v>282</v>
      </c>
      <c r="AO1479" s="522" t="s">
        <v>278</v>
      </c>
      <c r="AR1479" s="51"/>
      <c r="AS1479" s="42" t="s">
        <v>139</v>
      </c>
    </row>
    <row r="1480" spans="1:45" s="520" customFormat="1" ht="12" customHeight="1">
      <c r="A1480" s="747">
        <v>55</v>
      </c>
      <c r="B1480" s="523" t="s">
        <v>320</v>
      </c>
      <c r="C1480" s="748"/>
      <c r="D1480" s="749" t="s">
        <v>1322</v>
      </c>
      <c r="E1480" s="750">
        <f ca="1">IF(AND($A1480=0,$A$1="DIF"),0, ROUND(ROUND(($R1485*$S$2+($T1485*$T$2))/A1480,2)*$C$2,2))</f>
        <v>15.95</v>
      </c>
      <c r="F1480" s="751">
        <f ca="1">ROUND($A1480*$E1480,2)</f>
        <v>877.25</v>
      </c>
      <c r="G1480" s="752" t="s">
        <v>142</v>
      </c>
      <c r="H1480" s="753"/>
      <c r="I1480" s="754"/>
      <c r="J1480" s="753"/>
      <c r="K1480" s="753" t="s">
        <v>3</v>
      </c>
      <c r="L1480" s="755" t="s">
        <v>143</v>
      </c>
      <c r="M1480" s="755"/>
      <c r="N1480" s="755"/>
      <c r="O1480" s="755"/>
      <c r="P1480" s="755"/>
      <c r="Q1480" s="51"/>
      <c r="T1480" s="756" t="str">
        <f ca="1">IF(AND($R1485=0,$T1485=0),"0.00","mu :" &amp; ROUND($F1480/$C$2/($R1485+$T1485*$D$9),2))</f>
        <v>mu :1.23</v>
      </c>
      <c r="W1480" s="524"/>
      <c r="AG1480" s="481">
        <f ca="1">IF($E1480=0,0,ROUND($R1485*$S$2*$C$2/$A1480,2))</f>
        <v>13.58</v>
      </c>
      <c r="AH1480" s="481">
        <f ca="1">$AG1480*$A1480</f>
        <v>746.9</v>
      </c>
      <c r="AI1480" s="525">
        <f ca="1">$E1480-$AG1480</f>
        <v>2.3699999999999992</v>
      </c>
      <c r="AJ1480" s="525">
        <f ca="1">$A1480*$AI1480</f>
        <v>130.34999999999997</v>
      </c>
      <c r="AK1480" s="526">
        <f ca="1">ROUND(($AG1480+$AI1480)*$A1480,2)</f>
        <v>877.25</v>
      </c>
      <c r="AM1480" s="527">
        <f ca="1">ROUND(R1485,2)</f>
        <v>606.65</v>
      </c>
      <c r="AN1480" s="528">
        <f ca="1">ROUND(T1485,2)</f>
        <v>3.85</v>
      </c>
      <c r="AO1480" s="529">
        <f ca="1">ROUND(AM1480+AN1480,2)*A1480</f>
        <v>33577.5</v>
      </c>
      <c r="AR1480" s="747">
        <v>55</v>
      </c>
      <c r="AS1480" s="751">
        <v>895.95</v>
      </c>
    </row>
    <row r="1481" spans="1:45" s="520" customFormat="1" ht="13.2">
      <c r="A1481" s="748"/>
      <c r="B1481"/>
      <c r="C1481" s="748"/>
      <c r="D1481" s="749" t="s">
        <v>1251</v>
      </c>
      <c r="F1481" s="753"/>
      <c r="G1481" s="3"/>
      <c r="H1481" s="753"/>
      <c r="I1481" s="754"/>
      <c r="J1481" s="753"/>
      <c r="K1481" s="753" t="s">
        <v>144</v>
      </c>
      <c r="L1481" s="753"/>
      <c r="M1481" s="753"/>
      <c r="N1481" s="753"/>
      <c r="O1481" s="753"/>
      <c r="P1481" s="753"/>
      <c r="Q1481" s="51"/>
      <c r="R1481" s="530"/>
      <c r="S1481" s="757"/>
      <c r="T1481" s="753"/>
      <c r="AR1481" s="748"/>
      <c r="AS1481" s="753"/>
    </row>
    <row r="1482" spans="1:45" s="886" customFormat="1" ht="13.2">
      <c r="A1482"/>
      <c r="B1482" s="910"/>
      <c r="C1482" s="910" t="s">
        <v>2597</v>
      </c>
      <c r="D1482" s="910" t="str">
        <f ca="1">CELL("Address",Elec_Rates!D$488)</f>
        <v>[E25_0062_Quintano_Foods_Elec_ELV_As_Awarded.xlsx]Elec_Rates!$D$488</v>
      </c>
      <c r="E1482" s="911"/>
      <c r="F1482" s="911"/>
      <c r="G1482" s="912" t="s">
        <v>2598</v>
      </c>
      <c r="H1482" s="912"/>
      <c r="I1482" s="912"/>
      <c r="J1482" s="912"/>
      <c r="K1482" s="913"/>
      <c r="L1482" s="911"/>
      <c r="M1482" s="911"/>
      <c r="N1482" s="911"/>
      <c r="O1482" s="914"/>
      <c r="P1482" s="911"/>
      <c r="Q1482" s="915"/>
      <c r="R1482" s="916"/>
      <c r="S1482" s="915"/>
      <c r="T1482" s="917"/>
      <c r="U1482" s="918"/>
      <c r="AR1482"/>
      <c r="AS1482" s="911"/>
    </row>
    <row r="1483" spans="1:45" s="886" customFormat="1" ht="11.4">
      <c r="A1483" s="919">
        <v>55</v>
      </c>
      <c r="B1483" s="920">
        <v>1</v>
      </c>
      <c r="C1483" s="920">
        <f>$A1483*$B1483</f>
        <v>55</v>
      </c>
      <c r="D1483" s="921" t="str">
        <f>Elec_Rates!$D$488</f>
        <v>047# 5 x 2.5mm2 F120 Fire Resistant Cable (BS7846) -  XLPE/SWA/LSZH</v>
      </c>
      <c r="E1483" s="921"/>
      <c r="F1483" s="921" t="s">
        <v>2599</v>
      </c>
      <c r="G1483" s="922" t="s">
        <v>2601</v>
      </c>
      <c r="H1483" s="922"/>
      <c r="I1483" s="922"/>
      <c r="J1483" s="922"/>
      <c r="K1483" s="923"/>
      <c r="L1483" s="918"/>
      <c r="M1483" s="918"/>
      <c r="N1483" s="918"/>
      <c r="O1483" s="924"/>
      <c r="P1483" s="921"/>
      <c r="Q1483" s="925">
        <f ca="1">$B1483*Elec_Rates!$R$488</f>
        <v>11.03</v>
      </c>
      <c r="R1483" s="916">
        <f ca="1">$A1483*Q1483</f>
        <v>606.65</v>
      </c>
      <c r="S1483" s="925">
        <f ca="1">$B1483*Elec_Rates!$T$488</f>
        <v>7.0000000000000007E-2</v>
      </c>
      <c r="T1483" s="917">
        <f ca="1">$A1483*S1483</f>
        <v>3.8500000000000005</v>
      </c>
      <c r="U1483" s="926"/>
      <c r="AR1483" s="919">
        <v>55</v>
      </c>
      <c r="AS1483" s="921" t="s">
        <v>2599</v>
      </c>
    </row>
    <row r="1484" spans="1:45" s="520" customFormat="1" ht="12">
      <c r="A1484" s="758"/>
      <c r="B1484" s="758"/>
      <c r="C1484" s="758"/>
      <c r="D1484" s="758"/>
      <c r="E1484" s="758"/>
      <c r="F1484" s="753"/>
      <c r="G1484" s="758"/>
      <c r="H1484" s="758"/>
      <c r="I1484" s="519"/>
      <c r="J1484" s="758"/>
      <c r="K1484" s="758"/>
      <c r="L1484" s="758"/>
      <c r="M1484" s="758"/>
      <c r="N1484" s="758"/>
      <c r="O1484" s="758"/>
      <c r="P1484" s="758"/>
      <c r="Q1484" s="519"/>
      <c r="R1484" s="759">
        <f>$A1484*Q1484</f>
        <v>0</v>
      </c>
      <c r="S1484" s="519"/>
      <c r="T1484" s="760">
        <f>$A1484*S1484*$T$1</f>
        <v>0</v>
      </c>
      <c r="AR1484" s="758"/>
      <c r="AS1484" s="753"/>
    </row>
    <row r="1485" spans="1:45" s="520" customFormat="1" ht="12.6" thickBot="1">
      <c r="A1485" s="761" t="s">
        <v>145</v>
      </c>
      <c r="B1485" s="762">
        <f>(R1484+T1484)</f>
        <v>0</v>
      </c>
      <c r="C1485" s="763"/>
      <c r="D1485" s="763"/>
      <c r="E1485" s="763"/>
      <c r="F1485" s="764"/>
      <c r="G1485" s="763" t="s">
        <v>146</v>
      </c>
      <c r="H1485" s="763"/>
      <c r="I1485" s="765"/>
      <c r="J1485" s="763"/>
      <c r="K1485" s="763" t="s">
        <v>3</v>
      </c>
      <c r="L1485" s="766" t="s">
        <v>143</v>
      </c>
      <c r="M1485" s="766"/>
      <c r="N1485" s="766"/>
      <c r="O1485" s="766"/>
      <c r="P1485" s="766"/>
      <c r="Q1485" s="767"/>
      <c r="R1485" s="768">
        <f ca="1">SUM(R1481:R1484)</f>
        <v>606.65</v>
      </c>
      <c r="S1485" s="763"/>
      <c r="T1485" s="768">
        <f ca="1">SUM(T1481:T1484)</f>
        <v>3.8500000000000005</v>
      </c>
      <c r="U1485" s="531"/>
      <c r="V1485" s="531"/>
      <c r="W1485" s="531"/>
      <c r="X1485" s="531"/>
      <c r="Y1485" s="531"/>
      <c r="Z1485" s="531"/>
      <c r="AA1485" s="531"/>
      <c r="AB1485" s="531"/>
      <c r="AC1485" s="531"/>
      <c r="AD1485" s="531"/>
      <c r="AE1485" s="531"/>
      <c r="AF1485" s="531"/>
      <c r="AG1485" s="531"/>
      <c r="AH1485" s="531"/>
      <c r="AI1485" s="531"/>
      <c r="AJ1485" s="531"/>
      <c r="AK1485" s="531"/>
      <c r="AL1485" s="531"/>
      <c r="AM1485" s="531"/>
      <c r="AN1485" s="531"/>
      <c r="AO1485" s="531"/>
      <c r="AR1485" s="761" t="s">
        <v>145</v>
      </c>
      <c r="AS1485" s="764"/>
    </row>
    <row r="1486" spans="1:45" s="520" customFormat="1" ht="12" thickTop="1">
      <c r="A1486" s="51"/>
      <c r="B1486" s="41"/>
      <c r="C1486" s="51"/>
      <c r="E1486" s="42" t="s">
        <v>138</v>
      </c>
      <c r="F1486" s="42" t="s">
        <v>139</v>
      </c>
      <c r="G1486" s="51"/>
      <c r="H1486" s="51"/>
      <c r="I1486" s="51"/>
      <c r="J1486" s="51"/>
      <c r="K1486" s="51" t="s">
        <v>140</v>
      </c>
      <c r="L1486" s="51"/>
      <c r="M1486" s="51"/>
      <c r="N1486" s="51"/>
      <c r="O1486" s="52"/>
      <c r="P1486" s="51"/>
      <c r="Q1486" s="51"/>
      <c r="R1486" s="51"/>
      <c r="S1486" s="51"/>
      <c r="T1486" s="41"/>
      <c r="AG1486" s="521" t="s">
        <v>268</v>
      </c>
      <c r="AH1486" s="521" t="s">
        <v>269</v>
      </c>
      <c r="AI1486" s="521" t="s">
        <v>270</v>
      </c>
      <c r="AJ1486" s="521" t="s">
        <v>271</v>
      </c>
      <c r="AK1486" s="521" t="s">
        <v>272</v>
      </c>
      <c r="AM1486" s="745" t="s">
        <v>281</v>
      </c>
      <c r="AN1486" s="746" t="s">
        <v>282</v>
      </c>
      <c r="AO1486" s="522" t="s">
        <v>278</v>
      </c>
      <c r="AR1486" s="51"/>
      <c r="AS1486" s="42" t="s">
        <v>139</v>
      </c>
    </row>
    <row r="1487" spans="1:45" s="520" customFormat="1" ht="12" customHeight="1">
      <c r="A1487" s="747">
        <v>45</v>
      </c>
      <c r="B1487" s="523" t="s">
        <v>320</v>
      </c>
      <c r="C1487" s="748"/>
      <c r="D1487" s="749" t="s">
        <v>1323</v>
      </c>
      <c r="E1487" s="750">
        <f ca="1">IF(AND($A1487=0,$A$1="DIF"),0, ROUND(ROUND(($R1492*$S$2+($T1492*$T$2))/A1487,2)*$C$2,2))</f>
        <v>15.95</v>
      </c>
      <c r="F1487" s="751">
        <f ca="1">ROUND($A1487*$E1487,2)</f>
        <v>717.75</v>
      </c>
      <c r="G1487" s="752" t="s">
        <v>142</v>
      </c>
      <c r="H1487" s="753"/>
      <c r="I1487" s="754"/>
      <c r="J1487" s="753"/>
      <c r="K1487" s="753" t="s">
        <v>3</v>
      </c>
      <c r="L1487" s="755" t="s">
        <v>143</v>
      </c>
      <c r="M1487" s="755"/>
      <c r="N1487" s="755"/>
      <c r="O1487" s="755"/>
      <c r="P1487" s="755"/>
      <c r="Q1487" s="51"/>
      <c r="T1487" s="756" t="str">
        <f ca="1">IF(AND($R1492=0,$T1492=0),"0.00","mu :" &amp; ROUND($F1487/$C$2/($R1492+$T1492*$D$9),2))</f>
        <v>mu :1.23</v>
      </c>
      <c r="W1487" s="524"/>
      <c r="AG1487" s="481">
        <f ca="1">IF($E1487=0,0,ROUND($R1492*$S$2*$C$2/$A1487,2))</f>
        <v>13.58</v>
      </c>
      <c r="AH1487" s="481">
        <f ca="1">$AG1487*$A1487</f>
        <v>611.1</v>
      </c>
      <c r="AI1487" s="525">
        <f ca="1">$E1487-$AG1487</f>
        <v>2.3699999999999992</v>
      </c>
      <c r="AJ1487" s="525">
        <f ca="1">$A1487*$AI1487</f>
        <v>106.64999999999996</v>
      </c>
      <c r="AK1487" s="526">
        <f ca="1">ROUND(($AG1487+$AI1487)*$A1487,2)</f>
        <v>717.75</v>
      </c>
      <c r="AM1487" s="527">
        <f ca="1">ROUND(R1492,2)</f>
        <v>496.35</v>
      </c>
      <c r="AN1487" s="528">
        <f ca="1">ROUND(T1492,2)</f>
        <v>3.15</v>
      </c>
      <c r="AO1487" s="529">
        <f ca="1">ROUND(AM1487+AN1487,2)*A1487</f>
        <v>22477.5</v>
      </c>
      <c r="AR1487" s="747">
        <v>45</v>
      </c>
      <c r="AS1487" s="751">
        <v>733.05</v>
      </c>
    </row>
    <row r="1488" spans="1:45" s="520" customFormat="1" ht="13.2">
      <c r="A1488" s="748"/>
      <c r="B1488"/>
      <c r="C1488" s="748"/>
      <c r="D1488" s="749" t="s">
        <v>1253</v>
      </c>
      <c r="F1488" s="753"/>
      <c r="G1488" s="3"/>
      <c r="H1488" s="753"/>
      <c r="I1488" s="754"/>
      <c r="J1488" s="753"/>
      <c r="K1488" s="753" t="s">
        <v>144</v>
      </c>
      <c r="L1488" s="753"/>
      <c r="M1488" s="753"/>
      <c r="N1488" s="753"/>
      <c r="O1488" s="753"/>
      <c r="P1488" s="753"/>
      <c r="Q1488" s="51"/>
      <c r="R1488" s="530"/>
      <c r="S1488" s="757"/>
      <c r="T1488" s="753"/>
      <c r="AR1488" s="748"/>
      <c r="AS1488" s="753"/>
    </row>
    <row r="1489" spans="1:45" s="886" customFormat="1" ht="13.2">
      <c r="A1489"/>
      <c r="B1489" s="910"/>
      <c r="C1489" s="910" t="s">
        <v>2597</v>
      </c>
      <c r="D1489" s="910" t="str">
        <f ca="1">CELL("Address",Elec_Rates!D$488)</f>
        <v>[E25_0062_Quintano_Foods_Elec_ELV_As_Awarded.xlsx]Elec_Rates!$D$488</v>
      </c>
      <c r="E1489" s="911"/>
      <c r="F1489" s="911"/>
      <c r="G1489" s="912" t="s">
        <v>2598</v>
      </c>
      <c r="H1489" s="912"/>
      <c r="I1489" s="912"/>
      <c r="J1489" s="912"/>
      <c r="K1489" s="913"/>
      <c r="L1489" s="911"/>
      <c r="M1489" s="911"/>
      <c r="N1489" s="911"/>
      <c r="O1489" s="914"/>
      <c r="P1489" s="911"/>
      <c r="Q1489" s="915"/>
      <c r="R1489" s="916"/>
      <c r="S1489" s="915"/>
      <c r="T1489" s="917"/>
      <c r="U1489" s="918"/>
      <c r="AR1489"/>
      <c r="AS1489" s="911"/>
    </row>
    <row r="1490" spans="1:45" s="886" customFormat="1" ht="11.4">
      <c r="A1490" s="919">
        <v>45</v>
      </c>
      <c r="B1490" s="920">
        <v>1</v>
      </c>
      <c r="C1490" s="920">
        <f>$A1490*$B1490</f>
        <v>45</v>
      </c>
      <c r="D1490" s="921" t="str">
        <f>Elec_Rates!$D$488</f>
        <v>047# 5 x 2.5mm2 F120 Fire Resistant Cable (BS7846) -  XLPE/SWA/LSZH</v>
      </c>
      <c r="E1490" s="921"/>
      <c r="F1490" s="921" t="s">
        <v>2599</v>
      </c>
      <c r="G1490" s="922" t="s">
        <v>2601</v>
      </c>
      <c r="H1490" s="922"/>
      <c r="I1490" s="922"/>
      <c r="J1490" s="922"/>
      <c r="K1490" s="923"/>
      <c r="L1490" s="918"/>
      <c r="M1490" s="918"/>
      <c r="N1490" s="918"/>
      <c r="O1490" s="924"/>
      <c r="P1490" s="921"/>
      <c r="Q1490" s="925">
        <f ca="1">$B1490*Elec_Rates!$R$488</f>
        <v>11.03</v>
      </c>
      <c r="R1490" s="916">
        <f ca="1">$A1490*Q1490</f>
        <v>496.34999999999997</v>
      </c>
      <c r="S1490" s="925">
        <f ca="1">$B1490*Elec_Rates!$T$488</f>
        <v>7.0000000000000007E-2</v>
      </c>
      <c r="T1490" s="917">
        <f ca="1">$A1490*S1490</f>
        <v>3.1500000000000004</v>
      </c>
      <c r="U1490" s="926"/>
      <c r="AR1490" s="919">
        <v>45</v>
      </c>
      <c r="AS1490" s="921" t="s">
        <v>2599</v>
      </c>
    </row>
    <row r="1491" spans="1:45" s="520" customFormat="1" ht="12">
      <c r="A1491" s="758"/>
      <c r="B1491" s="758"/>
      <c r="C1491" s="758"/>
      <c r="D1491" s="758"/>
      <c r="E1491" s="758"/>
      <c r="F1491" s="753"/>
      <c r="G1491" s="758"/>
      <c r="H1491" s="758"/>
      <c r="I1491" s="519"/>
      <c r="J1491" s="758"/>
      <c r="K1491" s="758"/>
      <c r="L1491" s="758"/>
      <c r="M1491" s="758"/>
      <c r="N1491" s="758"/>
      <c r="O1491" s="758"/>
      <c r="P1491" s="758"/>
      <c r="Q1491" s="519"/>
      <c r="R1491" s="759">
        <f>$A1491*Q1491</f>
        <v>0</v>
      </c>
      <c r="S1491" s="519"/>
      <c r="T1491" s="760">
        <f>$A1491*S1491*$T$1</f>
        <v>0</v>
      </c>
      <c r="AR1491" s="758"/>
      <c r="AS1491" s="753"/>
    </row>
    <row r="1492" spans="1:45" s="520" customFormat="1" ht="12.6" thickBot="1">
      <c r="A1492" s="761" t="s">
        <v>145</v>
      </c>
      <c r="B1492" s="762">
        <f>(R1491+T1491)</f>
        <v>0</v>
      </c>
      <c r="C1492" s="763"/>
      <c r="D1492" s="763"/>
      <c r="E1492" s="763"/>
      <c r="F1492" s="764"/>
      <c r="G1492" s="763" t="s">
        <v>146</v>
      </c>
      <c r="H1492" s="763"/>
      <c r="I1492" s="765"/>
      <c r="J1492" s="763"/>
      <c r="K1492" s="763" t="s">
        <v>3</v>
      </c>
      <c r="L1492" s="766" t="s">
        <v>143</v>
      </c>
      <c r="M1492" s="766"/>
      <c r="N1492" s="766"/>
      <c r="O1492" s="766"/>
      <c r="P1492" s="766"/>
      <c r="Q1492" s="767"/>
      <c r="R1492" s="768">
        <f ca="1">SUM(R1488:R1491)</f>
        <v>496.34999999999997</v>
      </c>
      <c r="S1492" s="763"/>
      <c r="T1492" s="768">
        <f ca="1">SUM(T1488:T1491)</f>
        <v>3.1500000000000004</v>
      </c>
      <c r="U1492" s="531"/>
      <c r="V1492" s="531"/>
      <c r="W1492" s="531"/>
      <c r="X1492" s="531"/>
      <c r="Y1492" s="531"/>
      <c r="Z1492" s="531"/>
      <c r="AA1492" s="531"/>
      <c r="AB1492" s="531"/>
      <c r="AC1492" s="531"/>
      <c r="AD1492" s="531"/>
      <c r="AE1492" s="531"/>
      <c r="AF1492" s="531"/>
      <c r="AG1492" s="531"/>
      <c r="AH1492" s="531"/>
      <c r="AI1492" s="531"/>
      <c r="AJ1492" s="531"/>
      <c r="AK1492" s="531"/>
      <c r="AL1492" s="531"/>
      <c r="AM1492" s="531"/>
      <c r="AN1492" s="531"/>
      <c r="AO1492" s="531"/>
      <c r="AR1492" s="761" t="s">
        <v>145</v>
      </c>
      <c r="AS1492" s="764"/>
    </row>
    <row r="1493" spans="1:45" s="520" customFormat="1" ht="12" thickTop="1">
      <c r="A1493" s="51"/>
      <c r="B1493" s="41"/>
      <c r="C1493" s="51"/>
      <c r="E1493" s="42" t="s">
        <v>138</v>
      </c>
      <c r="F1493" s="42" t="s">
        <v>139</v>
      </c>
      <c r="G1493" s="51"/>
      <c r="H1493" s="51"/>
      <c r="I1493" s="51"/>
      <c r="J1493" s="51"/>
      <c r="K1493" s="51" t="s">
        <v>140</v>
      </c>
      <c r="L1493" s="51"/>
      <c r="M1493" s="51"/>
      <c r="N1493" s="51"/>
      <c r="O1493" s="52"/>
      <c r="P1493" s="51"/>
      <c r="Q1493" s="51"/>
      <c r="R1493" s="51"/>
      <c r="S1493" s="51"/>
      <c r="T1493" s="41"/>
      <c r="AG1493" s="521" t="s">
        <v>268</v>
      </c>
      <c r="AH1493" s="521" t="s">
        <v>269</v>
      </c>
      <c r="AI1493" s="521" t="s">
        <v>270</v>
      </c>
      <c r="AJ1493" s="521" t="s">
        <v>271</v>
      </c>
      <c r="AK1493" s="521" t="s">
        <v>272</v>
      </c>
      <c r="AM1493" s="745" t="s">
        <v>281</v>
      </c>
      <c r="AN1493" s="746" t="s">
        <v>282</v>
      </c>
      <c r="AO1493" s="522" t="s">
        <v>278</v>
      </c>
      <c r="AR1493" s="51"/>
      <c r="AS1493" s="42" t="s">
        <v>139</v>
      </c>
    </row>
    <row r="1494" spans="1:45" s="520" customFormat="1" ht="12" customHeight="1">
      <c r="A1494" s="747">
        <v>30</v>
      </c>
      <c r="B1494" s="523" t="s">
        <v>320</v>
      </c>
      <c r="C1494" s="748"/>
      <c r="D1494" s="749" t="s">
        <v>1324</v>
      </c>
      <c r="E1494" s="750">
        <f ca="1">IF(AND($A1494=0,$A$1="DIF"),0, ROUND(ROUND(($R1499*$S$2+($T1499*$T$2))/A1494,2)*$C$2,2))</f>
        <v>15.95</v>
      </c>
      <c r="F1494" s="751">
        <f ca="1">ROUND($A1494*$E1494,2)</f>
        <v>478.5</v>
      </c>
      <c r="G1494" s="752" t="s">
        <v>142</v>
      </c>
      <c r="H1494" s="753"/>
      <c r="I1494" s="754"/>
      <c r="J1494" s="753"/>
      <c r="K1494" s="753" t="s">
        <v>3</v>
      </c>
      <c r="L1494" s="755" t="s">
        <v>143</v>
      </c>
      <c r="M1494" s="755"/>
      <c r="N1494" s="755"/>
      <c r="O1494" s="755"/>
      <c r="P1494" s="755"/>
      <c r="Q1494" s="51"/>
      <c r="T1494" s="756" t="str">
        <f ca="1">IF(AND($R1499=0,$T1499=0),"0.00","mu :" &amp; ROUND($F1494/$C$2/($R1499+$T1499*$D$9),2))</f>
        <v>mu :1.23</v>
      </c>
      <c r="W1494" s="524"/>
      <c r="AG1494" s="481">
        <f ca="1">IF($E1494=0,0,ROUND($R1499*$S$2*$C$2/$A1494,2))</f>
        <v>13.58</v>
      </c>
      <c r="AH1494" s="481">
        <f ca="1">$AG1494*$A1494</f>
        <v>407.4</v>
      </c>
      <c r="AI1494" s="525">
        <f ca="1">$E1494-$AG1494</f>
        <v>2.3699999999999992</v>
      </c>
      <c r="AJ1494" s="525">
        <f ca="1">$A1494*$AI1494</f>
        <v>71.09999999999998</v>
      </c>
      <c r="AK1494" s="526">
        <f ca="1">ROUND(($AG1494+$AI1494)*$A1494,2)</f>
        <v>478.5</v>
      </c>
      <c r="AM1494" s="527">
        <f ca="1">ROUND(R1499,2)</f>
        <v>330.9</v>
      </c>
      <c r="AN1494" s="528">
        <f ca="1">ROUND(T1499,2)</f>
        <v>2.1</v>
      </c>
      <c r="AO1494" s="529">
        <f ca="1">ROUND(AM1494+AN1494,2)*A1494</f>
        <v>9990</v>
      </c>
      <c r="AR1494" s="747">
        <v>30</v>
      </c>
      <c r="AS1494" s="751">
        <v>488.7</v>
      </c>
    </row>
    <row r="1495" spans="1:45" s="520" customFormat="1" ht="13.2">
      <c r="A1495" s="748"/>
      <c r="B1495"/>
      <c r="C1495" s="748"/>
      <c r="D1495" s="749" t="s">
        <v>1255</v>
      </c>
      <c r="F1495" s="753"/>
      <c r="G1495" s="3"/>
      <c r="H1495" s="753"/>
      <c r="I1495" s="754"/>
      <c r="J1495" s="753"/>
      <c r="K1495" s="753" t="s">
        <v>144</v>
      </c>
      <c r="L1495" s="753"/>
      <c r="M1495" s="753"/>
      <c r="N1495" s="753"/>
      <c r="O1495" s="753"/>
      <c r="P1495" s="753"/>
      <c r="Q1495" s="51"/>
      <c r="R1495" s="530"/>
      <c r="S1495" s="757"/>
      <c r="T1495" s="753"/>
      <c r="AR1495" s="748"/>
      <c r="AS1495" s="753"/>
    </row>
    <row r="1496" spans="1:45" s="886" customFormat="1" ht="13.2">
      <c r="A1496"/>
      <c r="B1496" s="910"/>
      <c r="C1496" s="910" t="s">
        <v>2597</v>
      </c>
      <c r="D1496" s="910" t="str">
        <f ca="1">CELL("Address",Elec_Rates!D$488)</f>
        <v>[E25_0062_Quintano_Foods_Elec_ELV_As_Awarded.xlsx]Elec_Rates!$D$488</v>
      </c>
      <c r="E1496" s="911"/>
      <c r="F1496" s="911"/>
      <c r="G1496" s="912" t="s">
        <v>2598</v>
      </c>
      <c r="H1496" s="912"/>
      <c r="I1496" s="912"/>
      <c r="J1496" s="912"/>
      <c r="K1496" s="913"/>
      <c r="L1496" s="911"/>
      <c r="M1496" s="911"/>
      <c r="N1496" s="911"/>
      <c r="O1496" s="914"/>
      <c r="P1496" s="911"/>
      <c r="Q1496" s="915"/>
      <c r="R1496" s="916"/>
      <c r="S1496" s="915"/>
      <c r="T1496" s="917"/>
      <c r="U1496" s="918"/>
      <c r="AR1496"/>
      <c r="AS1496" s="911"/>
    </row>
    <row r="1497" spans="1:45" s="886" customFormat="1" ht="11.4">
      <c r="A1497" s="919">
        <v>30</v>
      </c>
      <c r="B1497" s="920">
        <v>1</v>
      </c>
      <c r="C1497" s="920">
        <f>$A1497*$B1497</f>
        <v>30</v>
      </c>
      <c r="D1497" s="921" t="str">
        <f>Elec_Rates!$D$488</f>
        <v>047# 5 x 2.5mm2 F120 Fire Resistant Cable (BS7846) -  XLPE/SWA/LSZH</v>
      </c>
      <c r="E1497" s="921"/>
      <c r="F1497" s="921" t="s">
        <v>2599</v>
      </c>
      <c r="G1497" s="922" t="s">
        <v>2601</v>
      </c>
      <c r="H1497" s="922"/>
      <c r="I1497" s="922"/>
      <c r="J1497" s="922"/>
      <c r="K1497" s="923"/>
      <c r="L1497" s="918"/>
      <c r="M1497" s="918"/>
      <c r="N1497" s="918"/>
      <c r="O1497" s="924"/>
      <c r="P1497" s="921"/>
      <c r="Q1497" s="925">
        <f ca="1">$B1497*Elec_Rates!$R$488</f>
        <v>11.03</v>
      </c>
      <c r="R1497" s="916">
        <f ca="1">$A1497*Q1497</f>
        <v>330.9</v>
      </c>
      <c r="S1497" s="925">
        <f ca="1">$B1497*Elec_Rates!$T$488</f>
        <v>7.0000000000000007E-2</v>
      </c>
      <c r="T1497" s="917">
        <f ca="1">$A1497*S1497</f>
        <v>2.1</v>
      </c>
      <c r="U1497" s="926"/>
      <c r="AR1497" s="919">
        <v>30</v>
      </c>
      <c r="AS1497" s="921" t="s">
        <v>2599</v>
      </c>
    </row>
    <row r="1498" spans="1:45" s="520" customFormat="1" ht="12">
      <c r="A1498" s="758"/>
      <c r="B1498" s="758"/>
      <c r="C1498" s="758"/>
      <c r="D1498" s="758"/>
      <c r="E1498" s="758"/>
      <c r="F1498" s="753"/>
      <c r="G1498" s="758"/>
      <c r="H1498" s="758"/>
      <c r="I1498" s="519"/>
      <c r="J1498" s="758"/>
      <c r="K1498" s="758"/>
      <c r="L1498" s="758"/>
      <c r="M1498" s="758"/>
      <c r="N1498" s="758"/>
      <c r="O1498" s="758"/>
      <c r="P1498" s="758"/>
      <c r="Q1498" s="519"/>
      <c r="R1498" s="759">
        <f>$A1498*Q1498</f>
        <v>0</v>
      </c>
      <c r="S1498" s="519"/>
      <c r="T1498" s="760">
        <f>$A1498*S1498*$T$1</f>
        <v>0</v>
      </c>
      <c r="AR1498" s="758"/>
      <c r="AS1498" s="753"/>
    </row>
    <row r="1499" spans="1:45" s="520" customFormat="1" ht="12.6" thickBot="1">
      <c r="A1499" s="761" t="s">
        <v>145</v>
      </c>
      <c r="B1499" s="762">
        <f>(R1498+T1498)</f>
        <v>0</v>
      </c>
      <c r="C1499" s="763"/>
      <c r="D1499" s="763"/>
      <c r="E1499" s="763"/>
      <c r="F1499" s="764"/>
      <c r="G1499" s="763" t="s">
        <v>146</v>
      </c>
      <c r="H1499" s="763"/>
      <c r="I1499" s="765"/>
      <c r="J1499" s="763"/>
      <c r="K1499" s="763" t="s">
        <v>3</v>
      </c>
      <c r="L1499" s="766" t="s">
        <v>143</v>
      </c>
      <c r="M1499" s="766"/>
      <c r="N1499" s="766"/>
      <c r="O1499" s="766"/>
      <c r="P1499" s="766"/>
      <c r="Q1499" s="767"/>
      <c r="R1499" s="768">
        <f ca="1">SUM(R1495:R1498)</f>
        <v>330.9</v>
      </c>
      <c r="S1499" s="763"/>
      <c r="T1499" s="768">
        <f ca="1">SUM(T1495:T1498)</f>
        <v>2.1</v>
      </c>
      <c r="U1499" s="531"/>
      <c r="V1499" s="531"/>
      <c r="W1499" s="531"/>
      <c r="X1499" s="531"/>
      <c r="Y1499" s="531"/>
      <c r="Z1499" s="531"/>
      <c r="AA1499" s="531"/>
      <c r="AB1499" s="531"/>
      <c r="AC1499" s="531"/>
      <c r="AD1499" s="531"/>
      <c r="AE1499" s="531"/>
      <c r="AF1499" s="531"/>
      <c r="AG1499" s="531"/>
      <c r="AH1499" s="531"/>
      <c r="AI1499" s="531"/>
      <c r="AJ1499" s="531"/>
      <c r="AK1499" s="531"/>
      <c r="AL1499" s="531"/>
      <c r="AM1499" s="531"/>
      <c r="AN1499" s="531"/>
      <c r="AO1499" s="531"/>
      <c r="AR1499" s="761" t="s">
        <v>145</v>
      </c>
      <c r="AS1499" s="764"/>
    </row>
    <row r="1500" spans="1:45" s="520" customFormat="1" ht="12" thickTop="1">
      <c r="A1500" s="51"/>
      <c r="B1500" s="41"/>
      <c r="C1500" s="51"/>
      <c r="E1500" s="42" t="s">
        <v>138</v>
      </c>
      <c r="F1500" s="42" t="s">
        <v>139</v>
      </c>
      <c r="G1500" s="51"/>
      <c r="H1500" s="51"/>
      <c r="I1500" s="51"/>
      <c r="J1500" s="51"/>
      <c r="K1500" s="51" t="s">
        <v>140</v>
      </c>
      <c r="L1500" s="51"/>
      <c r="M1500" s="51"/>
      <c r="N1500" s="51"/>
      <c r="O1500" s="52"/>
      <c r="P1500" s="51"/>
      <c r="Q1500" s="51"/>
      <c r="R1500" s="51"/>
      <c r="S1500" s="51"/>
      <c r="T1500" s="41"/>
      <c r="AG1500" s="521" t="s">
        <v>268</v>
      </c>
      <c r="AH1500" s="521" t="s">
        <v>269</v>
      </c>
      <c r="AI1500" s="521" t="s">
        <v>270</v>
      </c>
      <c r="AJ1500" s="521" t="s">
        <v>271</v>
      </c>
      <c r="AK1500" s="521" t="s">
        <v>272</v>
      </c>
      <c r="AM1500" s="745" t="s">
        <v>281</v>
      </c>
      <c r="AN1500" s="746" t="s">
        <v>282</v>
      </c>
      <c r="AO1500" s="522" t="s">
        <v>278</v>
      </c>
      <c r="AR1500" s="51"/>
      <c r="AS1500" s="42" t="s">
        <v>139</v>
      </c>
    </row>
    <row r="1501" spans="1:45" s="520" customFormat="1" ht="12" customHeight="1">
      <c r="A1501" s="747">
        <v>50</v>
      </c>
      <c r="B1501" s="523" t="s">
        <v>320</v>
      </c>
      <c r="C1501" s="748"/>
      <c r="D1501" s="749" t="s">
        <v>1325</v>
      </c>
      <c r="E1501" s="750">
        <f ca="1">IF(AND($A1501=0,$A$1="DIF"),0, ROUND(ROUND(($R1506*$S$2+($T1506*$T$2))/A1501,2)*$C$2,2))</f>
        <v>15.95</v>
      </c>
      <c r="F1501" s="751">
        <f ca="1">ROUND($A1501*$E1501,2)</f>
        <v>797.5</v>
      </c>
      <c r="G1501" s="752" t="s">
        <v>142</v>
      </c>
      <c r="H1501" s="753"/>
      <c r="I1501" s="754"/>
      <c r="J1501" s="753"/>
      <c r="K1501" s="753" t="s">
        <v>3</v>
      </c>
      <c r="L1501" s="755" t="s">
        <v>143</v>
      </c>
      <c r="M1501" s="755"/>
      <c r="N1501" s="755"/>
      <c r="O1501" s="755"/>
      <c r="P1501" s="755"/>
      <c r="Q1501" s="51"/>
      <c r="T1501" s="756" t="str">
        <f ca="1">IF(AND($R1506=0,$T1506=0),"0.00","mu :" &amp; ROUND($F1501/$C$2/($R1506+$T1506*$D$9),2))</f>
        <v>mu :1.23</v>
      </c>
      <c r="W1501" s="524"/>
      <c r="AG1501" s="481">
        <f ca="1">IF($E1501=0,0,ROUND($R1506*$S$2*$C$2/$A1501,2))</f>
        <v>13.58</v>
      </c>
      <c r="AH1501" s="481">
        <f ca="1">$AG1501*$A1501</f>
        <v>679</v>
      </c>
      <c r="AI1501" s="525">
        <f ca="1">$E1501-$AG1501</f>
        <v>2.3699999999999992</v>
      </c>
      <c r="AJ1501" s="525">
        <f ca="1">$A1501*$AI1501</f>
        <v>118.49999999999996</v>
      </c>
      <c r="AK1501" s="526">
        <f ca="1">ROUND(($AG1501+$AI1501)*$A1501,2)</f>
        <v>797.5</v>
      </c>
      <c r="AM1501" s="527">
        <f ca="1">ROUND(R1506,2)</f>
        <v>551.5</v>
      </c>
      <c r="AN1501" s="528">
        <f ca="1">ROUND(T1506,2)</f>
        <v>3.5</v>
      </c>
      <c r="AO1501" s="529">
        <f ca="1">ROUND(AM1501+AN1501,2)*A1501</f>
        <v>27750</v>
      </c>
      <c r="AR1501" s="747">
        <v>50</v>
      </c>
      <c r="AS1501" s="751">
        <v>814.5</v>
      </c>
    </row>
    <row r="1502" spans="1:45" s="520" customFormat="1" ht="13.2">
      <c r="A1502" s="748"/>
      <c r="B1502"/>
      <c r="C1502" s="748"/>
      <c r="D1502" s="749" t="s">
        <v>1257</v>
      </c>
      <c r="F1502" s="753"/>
      <c r="G1502" s="3"/>
      <c r="H1502" s="753"/>
      <c r="I1502" s="754"/>
      <c r="J1502" s="753"/>
      <c r="K1502" s="753" t="s">
        <v>144</v>
      </c>
      <c r="L1502" s="753"/>
      <c r="M1502" s="753"/>
      <c r="N1502" s="753"/>
      <c r="O1502" s="753"/>
      <c r="P1502" s="753"/>
      <c r="Q1502" s="51"/>
      <c r="R1502" s="530"/>
      <c r="S1502" s="757"/>
      <c r="T1502" s="753"/>
      <c r="AR1502" s="748"/>
      <c r="AS1502" s="753"/>
    </row>
    <row r="1503" spans="1:45" s="886" customFormat="1" ht="13.2">
      <c r="A1503"/>
      <c r="B1503" s="910"/>
      <c r="C1503" s="910" t="s">
        <v>2597</v>
      </c>
      <c r="D1503" s="910" t="str">
        <f ca="1">CELL("Address",Elec_Rates!D$488)</f>
        <v>[E25_0062_Quintano_Foods_Elec_ELV_As_Awarded.xlsx]Elec_Rates!$D$488</v>
      </c>
      <c r="E1503" s="911"/>
      <c r="F1503" s="911"/>
      <c r="G1503" s="912" t="s">
        <v>2598</v>
      </c>
      <c r="H1503" s="912"/>
      <c r="I1503" s="912"/>
      <c r="J1503" s="912"/>
      <c r="K1503" s="913"/>
      <c r="L1503" s="911"/>
      <c r="M1503" s="911"/>
      <c r="N1503" s="911"/>
      <c r="O1503" s="914"/>
      <c r="P1503" s="911"/>
      <c r="Q1503" s="915"/>
      <c r="R1503" s="916"/>
      <c r="S1503" s="915"/>
      <c r="T1503" s="917"/>
      <c r="U1503" s="918"/>
      <c r="AR1503"/>
      <c r="AS1503" s="911"/>
    </row>
    <row r="1504" spans="1:45" s="886" customFormat="1" ht="11.4">
      <c r="A1504" s="919">
        <v>50</v>
      </c>
      <c r="B1504" s="920">
        <v>1</v>
      </c>
      <c r="C1504" s="920">
        <f>$A1504*$B1504</f>
        <v>50</v>
      </c>
      <c r="D1504" s="921" t="str">
        <f>Elec_Rates!$D$488</f>
        <v>047# 5 x 2.5mm2 F120 Fire Resistant Cable (BS7846) -  XLPE/SWA/LSZH</v>
      </c>
      <c r="E1504" s="921"/>
      <c r="F1504" s="921" t="s">
        <v>2599</v>
      </c>
      <c r="G1504" s="922" t="s">
        <v>2601</v>
      </c>
      <c r="H1504" s="922"/>
      <c r="I1504" s="922"/>
      <c r="J1504" s="922"/>
      <c r="K1504" s="923"/>
      <c r="L1504" s="918"/>
      <c r="M1504" s="918"/>
      <c r="N1504" s="918"/>
      <c r="O1504" s="924"/>
      <c r="P1504" s="921"/>
      <c r="Q1504" s="925">
        <f ca="1">$B1504*Elec_Rates!$R$488</f>
        <v>11.03</v>
      </c>
      <c r="R1504" s="916">
        <f ca="1">$A1504*Q1504</f>
        <v>551.5</v>
      </c>
      <c r="S1504" s="925">
        <f ca="1">$B1504*Elec_Rates!$T$488</f>
        <v>7.0000000000000007E-2</v>
      </c>
      <c r="T1504" s="917">
        <f ca="1">$A1504*S1504</f>
        <v>3.5000000000000004</v>
      </c>
      <c r="U1504" s="926"/>
      <c r="AR1504" s="919">
        <v>50</v>
      </c>
      <c r="AS1504" s="921" t="s">
        <v>2599</v>
      </c>
    </row>
    <row r="1505" spans="1:45" s="520" customFormat="1" ht="12">
      <c r="A1505" s="758"/>
      <c r="B1505" s="758"/>
      <c r="C1505" s="758"/>
      <c r="D1505" s="758"/>
      <c r="E1505" s="758"/>
      <c r="F1505" s="753"/>
      <c r="G1505" s="758"/>
      <c r="H1505" s="758"/>
      <c r="I1505" s="519"/>
      <c r="J1505" s="758"/>
      <c r="K1505" s="758"/>
      <c r="L1505" s="758"/>
      <c r="M1505" s="758"/>
      <c r="N1505" s="758"/>
      <c r="O1505" s="758"/>
      <c r="P1505" s="758"/>
      <c r="Q1505" s="519"/>
      <c r="R1505" s="759">
        <f>$A1505*Q1505</f>
        <v>0</v>
      </c>
      <c r="S1505" s="519"/>
      <c r="T1505" s="760">
        <f>$A1505*S1505*$T$1</f>
        <v>0</v>
      </c>
      <c r="AR1505" s="758"/>
      <c r="AS1505" s="753"/>
    </row>
    <row r="1506" spans="1:45" s="520" customFormat="1" ht="12.6" thickBot="1">
      <c r="A1506" s="761" t="s">
        <v>145</v>
      </c>
      <c r="B1506" s="762">
        <f>(R1505+T1505)</f>
        <v>0</v>
      </c>
      <c r="C1506" s="763"/>
      <c r="D1506" s="763"/>
      <c r="E1506" s="763"/>
      <c r="F1506" s="764"/>
      <c r="G1506" s="763" t="s">
        <v>146</v>
      </c>
      <c r="H1506" s="763"/>
      <c r="I1506" s="765"/>
      <c r="J1506" s="763"/>
      <c r="K1506" s="763" t="s">
        <v>3</v>
      </c>
      <c r="L1506" s="766" t="s">
        <v>143</v>
      </c>
      <c r="M1506" s="766"/>
      <c r="N1506" s="766"/>
      <c r="O1506" s="766"/>
      <c r="P1506" s="766"/>
      <c r="Q1506" s="767"/>
      <c r="R1506" s="768">
        <f ca="1">SUM(R1502:R1505)</f>
        <v>551.5</v>
      </c>
      <c r="S1506" s="763"/>
      <c r="T1506" s="768">
        <f ca="1">SUM(T1502:T1505)</f>
        <v>3.5000000000000004</v>
      </c>
      <c r="U1506" s="531"/>
      <c r="V1506" s="531"/>
      <c r="W1506" s="531"/>
      <c r="X1506" s="531"/>
      <c r="Y1506" s="531"/>
      <c r="Z1506" s="531"/>
      <c r="AA1506" s="531"/>
      <c r="AB1506" s="531"/>
      <c r="AC1506" s="531"/>
      <c r="AD1506" s="531"/>
      <c r="AE1506" s="531"/>
      <c r="AF1506" s="531"/>
      <c r="AG1506" s="531"/>
      <c r="AH1506" s="531"/>
      <c r="AI1506" s="531"/>
      <c r="AJ1506" s="531"/>
      <c r="AK1506" s="531"/>
      <c r="AL1506" s="531"/>
      <c r="AM1506" s="531"/>
      <c r="AN1506" s="531"/>
      <c r="AO1506" s="531"/>
      <c r="AR1506" s="761" t="s">
        <v>145</v>
      </c>
      <c r="AS1506" s="764"/>
    </row>
    <row r="1507" spans="1:45" s="520" customFormat="1" ht="12" thickTop="1">
      <c r="A1507" s="51"/>
      <c r="B1507" s="41"/>
      <c r="C1507" s="51"/>
      <c r="E1507" s="42" t="s">
        <v>138</v>
      </c>
      <c r="F1507" s="42" t="s">
        <v>139</v>
      </c>
      <c r="G1507" s="51"/>
      <c r="H1507" s="51"/>
      <c r="I1507" s="51"/>
      <c r="J1507" s="51"/>
      <c r="K1507" s="51" t="s">
        <v>140</v>
      </c>
      <c r="L1507" s="51"/>
      <c r="M1507" s="51"/>
      <c r="N1507" s="51"/>
      <c r="O1507" s="52"/>
      <c r="P1507" s="51"/>
      <c r="Q1507" s="51"/>
      <c r="R1507" s="51"/>
      <c r="S1507" s="51"/>
      <c r="T1507" s="41"/>
      <c r="AG1507" s="521" t="s">
        <v>268</v>
      </c>
      <c r="AH1507" s="521" t="s">
        <v>269</v>
      </c>
      <c r="AI1507" s="521" t="s">
        <v>270</v>
      </c>
      <c r="AJ1507" s="521" t="s">
        <v>271</v>
      </c>
      <c r="AK1507" s="521" t="s">
        <v>272</v>
      </c>
      <c r="AM1507" s="745" t="s">
        <v>281</v>
      </c>
      <c r="AN1507" s="746" t="s">
        <v>282</v>
      </c>
      <c r="AO1507" s="522" t="s">
        <v>278</v>
      </c>
      <c r="AR1507" s="51"/>
      <c r="AS1507" s="42" t="s">
        <v>139</v>
      </c>
    </row>
    <row r="1508" spans="1:45" s="520" customFormat="1" ht="12" customHeight="1">
      <c r="A1508" s="747">
        <v>60</v>
      </c>
      <c r="B1508" s="523" t="s">
        <v>320</v>
      </c>
      <c r="C1508" s="748"/>
      <c r="D1508" s="749" t="s">
        <v>1326</v>
      </c>
      <c r="E1508" s="750">
        <f ca="1">IF(AND($A1508=0,$A$1="DIF"),0, ROUND(ROUND(($R1513*$S$2+($T1513*$T$2))/A1508,2)*$C$2,2))</f>
        <v>15.95</v>
      </c>
      <c r="F1508" s="751">
        <f ca="1">ROUND($A1508*$E1508,2)</f>
        <v>957</v>
      </c>
      <c r="G1508" s="752" t="s">
        <v>142</v>
      </c>
      <c r="H1508" s="753"/>
      <c r="I1508" s="754"/>
      <c r="J1508" s="753"/>
      <c r="K1508" s="753" t="s">
        <v>3</v>
      </c>
      <c r="L1508" s="755" t="s">
        <v>143</v>
      </c>
      <c r="M1508" s="755"/>
      <c r="N1508" s="755"/>
      <c r="O1508" s="755"/>
      <c r="P1508" s="755"/>
      <c r="Q1508" s="51"/>
      <c r="T1508" s="756" t="str">
        <f ca="1">IF(AND($R1513=0,$T1513=0),"0.00","mu :" &amp; ROUND($F1508/$C$2/($R1513+$T1513*$D$9),2))</f>
        <v>mu :1.23</v>
      </c>
      <c r="W1508" s="524"/>
      <c r="AG1508" s="481">
        <f ca="1">IF($E1508=0,0,ROUND($R1513*$S$2*$C$2/$A1508,2))</f>
        <v>13.58</v>
      </c>
      <c r="AH1508" s="481">
        <f ca="1">$AG1508*$A1508</f>
        <v>814.8</v>
      </c>
      <c r="AI1508" s="525">
        <f ca="1">$E1508-$AG1508</f>
        <v>2.3699999999999992</v>
      </c>
      <c r="AJ1508" s="525">
        <f ca="1">$A1508*$AI1508</f>
        <v>142.19999999999996</v>
      </c>
      <c r="AK1508" s="526">
        <f ca="1">ROUND(($AG1508+$AI1508)*$A1508,2)</f>
        <v>957</v>
      </c>
      <c r="AM1508" s="527">
        <f ca="1">ROUND(R1513,2)</f>
        <v>661.8</v>
      </c>
      <c r="AN1508" s="528">
        <f ca="1">ROUND(T1513,2)</f>
        <v>4.2</v>
      </c>
      <c r="AO1508" s="529">
        <f ca="1">ROUND(AM1508+AN1508,2)*A1508</f>
        <v>39960</v>
      </c>
      <c r="AR1508" s="747">
        <v>60</v>
      </c>
      <c r="AS1508" s="751">
        <v>977.4</v>
      </c>
    </row>
    <row r="1509" spans="1:45" s="520" customFormat="1" ht="13.2">
      <c r="A1509" s="748"/>
      <c r="B1509"/>
      <c r="C1509" s="748"/>
      <c r="D1509" s="749" t="s">
        <v>1259</v>
      </c>
      <c r="F1509" s="753"/>
      <c r="G1509" s="3"/>
      <c r="H1509" s="753"/>
      <c r="I1509" s="754"/>
      <c r="J1509" s="753"/>
      <c r="K1509" s="753" t="s">
        <v>144</v>
      </c>
      <c r="L1509" s="753"/>
      <c r="M1509" s="753"/>
      <c r="N1509" s="753"/>
      <c r="O1509" s="753"/>
      <c r="P1509" s="753"/>
      <c r="Q1509" s="51"/>
      <c r="R1509" s="530"/>
      <c r="S1509" s="757"/>
      <c r="T1509" s="753"/>
      <c r="AR1509" s="748"/>
      <c r="AS1509" s="753"/>
    </row>
    <row r="1510" spans="1:45" s="886" customFormat="1" ht="13.2">
      <c r="A1510"/>
      <c r="B1510" s="910"/>
      <c r="C1510" s="910" t="s">
        <v>2597</v>
      </c>
      <c r="D1510" s="910" t="str">
        <f ca="1">CELL("Address",Elec_Rates!D$488)</f>
        <v>[E25_0062_Quintano_Foods_Elec_ELV_As_Awarded.xlsx]Elec_Rates!$D$488</v>
      </c>
      <c r="E1510" s="911"/>
      <c r="F1510" s="911"/>
      <c r="G1510" s="912" t="s">
        <v>2598</v>
      </c>
      <c r="H1510" s="912"/>
      <c r="I1510" s="912"/>
      <c r="J1510" s="912"/>
      <c r="K1510" s="913"/>
      <c r="L1510" s="911"/>
      <c r="M1510" s="911"/>
      <c r="N1510" s="911"/>
      <c r="O1510" s="914"/>
      <c r="P1510" s="911"/>
      <c r="Q1510" s="915"/>
      <c r="R1510" s="916"/>
      <c r="S1510" s="915"/>
      <c r="T1510" s="917"/>
      <c r="U1510" s="918"/>
      <c r="AR1510"/>
      <c r="AS1510" s="911"/>
    </row>
    <row r="1511" spans="1:45" s="886" customFormat="1" ht="11.4">
      <c r="A1511" s="919">
        <v>60</v>
      </c>
      <c r="B1511" s="920">
        <v>1</v>
      </c>
      <c r="C1511" s="920">
        <f>$A1511*$B1511</f>
        <v>60</v>
      </c>
      <c r="D1511" s="921" t="str">
        <f>Elec_Rates!$D$488</f>
        <v>047# 5 x 2.5mm2 F120 Fire Resistant Cable (BS7846) -  XLPE/SWA/LSZH</v>
      </c>
      <c r="E1511" s="921"/>
      <c r="F1511" s="921" t="s">
        <v>2599</v>
      </c>
      <c r="G1511" s="922" t="s">
        <v>2601</v>
      </c>
      <c r="H1511" s="922"/>
      <c r="I1511" s="922"/>
      <c r="J1511" s="922"/>
      <c r="K1511" s="923"/>
      <c r="L1511" s="918"/>
      <c r="M1511" s="918"/>
      <c r="N1511" s="918"/>
      <c r="O1511" s="924"/>
      <c r="P1511" s="921"/>
      <c r="Q1511" s="925">
        <f ca="1">$B1511*Elec_Rates!$R$488</f>
        <v>11.03</v>
      </c>
      <c r="R1511" s="916">
        <f ca="1">$A1511*Q1511</f>
        <v>661.8</v>
      </c>
      <c r="S1511" s="925">
        <f ca="1">$B1511*Elec_Rates!$T$488</f>
        <v>7.0000000000000007E-2</v>
      </c>
      <c r="T1511" s="917">
        <f ca="1">$A1511*S1511</f>
        <v>4.2</v>
      </c>
      <c r="U1511" s="926"/>
      <c r="AR1511" s="919">
        <v>60</v>
      </c>
      <c r="AS1511" s="921" t="s">
        <v>2599</v>
      </c>
    </row>
    <row r="1512" spans="1:45" s="520" customFormat="1" ht="12">
      <c r="A1512" s="758"/>
      <c r="B1512" s="758"/>
      <c r="C1512" s="758"/>
      <c r="D1512" s="758"/>
      <c r="E1512" s="758"/>
      <c r="F1512" s="753"/>
      <c r="G1512" s="758"/>
      <c r="H1512" s="758"/>
      <c r="I1512" s="519"/>
      <c r="J1512" s="758"/>
      <c r="K1512" s="758"/>
      <c r="L1512" s="758"/>
      <c r="M1512" s="758"/>
      <c r="N1512" s="758"/>
      <c r="O1512" s="758"/>
      <c r="P1512" s="758"/>
      <c r="Q1512" s="519"/>
      <c r="R1512" s="759">
        <f>$A1512*Q1512</f>
        <v>0</v>
      </c>
      <c r="S1512" s="519"/>
      <c r="T1512" s="760">
        <f>$A1512*S1512*$T$1</f>
        <v>0</v>
      </c>
      <c r="AR1512" s="758"/>
      <c r="AS1512" s="753"/>
    </row>
    <row r="1513" spans="1:45" s="520" customFormat="1" ht="12.6" thickBot="1">
      <c r="A1513" s="761" t="s">
        <v>145</v>
      </c>
      <c r="B1513" s="762">
        <f>(R1512+T1512)</f>
        <v>0</v>
      </c>
      <c r="C1513" s="763"/>
      <c r="D1513" s="763"/>
      <c r="E1513" s="763"/>
      <c r="F1513" s="764"/>
      <c r="G1513" s="763" t="s">
        <v>146</v>
      </c>
      <c r="H1513" s="763"/>
      <c r="I1513" s="765"/>
      <c r="J1513" s="763"/>
      <c r="K1513" s="763" t="s">
        <v>3</v>
      </c>
      <c r="L1513" s="766" t="s">
        <v>143</v>
      </c>
      <c r="M1513" s="766"/>
      <c r="N1513" s="766"/>
      <c r="O1513" s="766"/>
      <c r="P1513" s="766"/>
      <c r="Q1513" s="767"/>
      <c r="R1513" s="768">
        <f ca="1">SUM(R1509:R1512)</f>
        <v>661.8</v>
      </c>
      <c r="S1513" s="763"/>
      <c r="T1513" s="768">
        <f ca="1">SUM(T1509:T1512)</f>
        <v>4.2</v>
      </c>
      <c r="U1513" s="531"/>
      <c r="V1513" s="531"/>
      <c r="W1513" s="531"/>
      <c r="X1513" s="531"/>
      <c r="Y1513" s="531"/>
      <c r="Z1513" s="531"/>
      <c r="AA1513" s="531"/>
      <c r="AB1513" s="531"/>
      <c r="AC1513" s="531"/>
      <c r="AD1513" s="531"/>
      <c r="AE1513" s="531"/>
      <c r="AF1513" s="531"/>
      <c r="AG1513" s="531"/>
      <c r="AH1513" s="531"/>
      <c r="AI1513" s="531"/>
      <c r="AJ1513" s="531"/>
      <c r="AK1513" s="531"/>
      <c r="AL1513" s="531"/>
      <c r="AM1513" s="531"/>
      <c r="AN1513" s="531"/>
      <c r="AO1513" s="531"/>
      <c r="AR1513" s="761" t="s">
        <v>145</v>
      </c>
      <c r="AS1513" s="764"/>
    </row>
    <row r="1514" spans="1:45" s="520" customFormat="1" ht="12" thickTop="1">
      <c r="A1514" s="51"/>
      <c r="B1514" s="41"/>
      <c r="C1514" s="51"/>
      <c r="E1514" s="42" t="s">
        <v>138</v>
      </c>
      <c r="F1514" s="42" t="s">
        <v>139</v>
      </c>
      <c r="G1514" s="51"/>
      <c r="H1514" s="51"/>
      <c r="I1514" s="51"/>
      <c r="J1514" s="51"/>
      <c r="K1514" s="51" t="s">
        <v>140</v>
      </c>
      <c r="L1514" s="51"/>
      <c r="M1514" s="51"/>
      <c r="N1514" s="51"/>
      <c r="O1514" s="52"/>
      <c r="P1514" s="51"/>
      <c r="Q1514" s="51"/>
      <c r="R1514" s="51"/>
      <c r="S1514" s="51"/>
      <c r="T1514" s="41"/>
      <c r="AG1514" s="521" t="s">
        <v>268</v>
      </c>
      <c r="AH1514" s="521" t="s">
        <v>269</v>
      </c>
      <c r="AI1514" s="521" t="s">
        <v>270</v>
      </c>
      <c r="AJ1514" s="521" t="s">
        <v>271</v>
      </c>
      <c r="AK1514" s="521" t="s">
        <v>272</v>
      </c>
      <c r="AM1514" s="745" t="s">
        <v>281</v>
      </c>
      <c r="AN1514" s="746" t="s">
        <v>282</v>
      </c>
      <c r="AO1514" s="522" t="s">
        <v>278</v>
      </c>
      <c r="AR1514" s="51"/>
      <c r="AS1514" s="42" t="s">
        <v>139</v>
      </c>
    </row>
    <row r="1515" spans="1:45" s="520" customFormat="1" ht="12" customHeight="1">
      <c r="A1515" s="747">
        <v>75</v>
      </c>
      <c r="B1515" s="523" t="s">
        <v>320</v>
      </c>
      <c r="C1515" s="748"/>
      <c r="D1515" s="749" t="s">
        <v>1327</v>
      </c>
      <c r="E1515" s="750">
        <f ca="1">IF(AND($A1515=0,$A$1="DIF"),0, ROUND(ROUND(($R1520*$S$2+($T1520*$T$2))/A1515,2)*$C$2,2))</f>
        <v>15.95</v>
      </c>
      <c r="F1515" s="751">
        <f ca="1">ROUND($A1515*$E1515,2)</f>
        <v>1196.25</v>
      </c>
      <c r="G1515" s="752" t="s">
        <v>142</v>
      </c>
      <c r="H1515" s="753"/>
      <c r="I1515" s="754"/>
      <c r="J1515" s="753"/>
      <c r="K1515" s="753" t="s">
        <v>3</v>
      </c>
      <c r="L1515" s="755" t="s">
        <v>143</v>
      </c>
      <c r="M1515" s="755"/>
      <c r="N1515" s="755"/>
      <c r="O1515" s="755"/>
      <c r="P1515" s="755"/>
      <c r="Q1515" s="51"/>
      <c r="T1515" s="756" t="str">
        <f ca="1">IF(AND($R1520=0,$T1520=0),"0.00","mu :" &amp; ROUND($F1515/$C$2/($R1520+$T1520*$D$9),2))</f>
        <v>mu :1.23</v>
      </c>
      <c r="W1515" s="524"/>
      <c r="AG1515" s="481">
        <f ca="1">IF($E1515=0,0,ROUND($R1520*$S$2*$C$2/$A1515,2))</f>
        <v>13.58</v>
      </c>
      <c r="AH1515" s="481">
        <f ca="1">$AG1515*$A1515</f>
        <v>1018.5</v>
      </c>
      <c r="AI1515" s="525">
        <f ca="1">$E1515-$AG1515</f>
        <v>2.3699999999999992</v>
      </c>
      <c r="AJ1515" s="525">
        <f ca="1">$A1515*$AI1515</f>
        <v>177.74999999999994</v>
      </c>
      <c r="AK1515" s="526">
        <f ca="1">ROUND(($AG1515+$AI1515)*$A1515,2)</f>
        <v>1196.25</v>
      </c>
      <c r="AM1515" s="527">
        <f ca="1">ROUND(R1520,2)</f>
        <v>827.25</v>
      </c>
      <c r="AN1515" s="528">
        <f ca="1">ROUND(T1520,2)</f>
        <v>5.25</v>
      </c>
      <c r="AO1515" s="529">
        <f ca="1">ROUND(AM1515+AN1515,2)*A1515</f>
        <v>62437.5</v>
      </c>
      <c r="AR1515" s="747">
        <v>75</v>
      </c>
      <c r="AS1515" s="751">
        <v>1221.75</v>
      </c>
    </row>
    <row r="1516" spans="1:45" s="520" customFormat="1" ht="13.2">
      <c r="A1516" s="748"/>
      <c r="B1516"/>
      <c r="C1516" s="748"/>
      <c r="D1516" s="749" t="s">
        <v>1328</v>
      </c>
      <c r="F1516" s="753"/>
      <c r="G1516" s="3"/>
      <c r="H1516" s="753"/>
      <c r="I1516" s="754"/>
      <c r="J1516" s="753"/>
      <c r="K1516" s="753" t="s">
        <v>144</v>
      </c>
      <c r="L1516" s="753"/>
      <c r="M1516" s="753"/>
      <c r="N1516" s="753"/>
      <c r="O1516" s="753"/>
      <c r="P1516" s="753"/>
      <c r="Q1516" s="51"/>
      <c r="R1516" s="530"/>
      <c r="S1516" s="757"/>
      <c r="T1516" s="753"/>
      <c r="AR1516" s="748"/>
      <c r="AS1516" s="753"/>
    </row>
    <row r="1517" spans="1:45" s="886" customFormat="1" ht="13.2">
      <c r="A1517"/>
      <c r="B1517" s="910"/>
      <c r="C1517" s="910" t="s">
        <v>2597</v>
      </c>
      <c r="D1517" s="910" t="str">
        <f ca="1">CELL("Address",Elec_Rates!D$488)</f>
        <v>[E25_0062_Quintano_Foods_Elec_ELV_As_Awarded.xlsx]Elec_Rates!$D$488</v>
      </c>
      <c r="E1517" s="911"/>
      <c r="F1517" s="911"/>
      <c r="G1517" s="912" t="s">
        <v>2598</v>
      </c>
      <c r="H1517" s="912"/>
      <c r="I1517" s="912"/>
      <c r="J1517" s="912"/>
      <c r="K1517" s="913"/>
      <c r="L1517" s="911"/>
      <c r="M1517" s="911"/>
      <c r="N1517" s="911"/>
      <c r="O1517" s="914"/>
      <c r="P1517" s="911"/>
      <c r="Q1517" s="915"/>
      <c r="R1517" s="916"/>
      <c r="S1517" s="915"/>
      <c r="T1517" s="917"/>
      <c r="U1517" s="918"/>
      <c r="AR1517"/>
      <c r="AS1517" s="911"/>
    </row>
    <row r="1518" spans="1:45" s="886" customFormat="1" ht="11.4">
      <c r="A1518" s="919">
        <v>75</v>
      </c>
      <c r="B1518" s="920">
        <v>1</v>
      </c>
      <c r="C1518" s="920">
        <f>$A1518*$B1518</f>
        <v>75</v>
      </c>
      <c r="D1518" s="921" t="str">
        <f>Elec_Rates!$D$488</f>
        <v>047# 5 x 2.5mm2 F120 Fire Resistant Cable (BS7846) -  XLPE/SWA/LSZH</v>
      </c>
      <c r="E1518" s="921"/>
      <c r="F1518" s="921" t="s">
        <v>2599</v>
      </c>
      <c r="G1518" s="922" t="s">
        <v>2601</v>
      </c>
      <c r="H1518" s="922"/>
      <c r="I1518" s="922"/>
      <c r="J1518" s="922"/>
      <c r="K1518" s="923"/>
      <c r="L1518" s="918"/>
      <c r="M1518" s="918"/>
      <c r="N1518" s="918"/>
      <c r="O1518" s="924"/>
      <c r="P1518" s="921"/>
      <c r="Q1518" s="925">
        <f ca="1">$B1518*Elec_Rates!$R$488</f>
        <v>11.03</v>
      </c>
      <c r="R1518" s="916">
        <f ca="1">$A1518*Q1518</f>
        <v>827.25</v>
      </c>
      <c r="S1518" s="925">
        <f ca="1">$B1518*Elec_Rates!$T$488</f>
        <v>7.0000000000000007E-2</v>
      </c>
      <c r="T1518" s="917">
        <f ca="1">$A1518*S1518</f>
        <v>5.2500000000000009</v>
      </c>
      <c r="U1518" s="926"/>
      <c r="AR1518" s="919">
        <v>75</v>
      </c>
      <c r="AS1518" s="921" t="s">
        <v>2599</v>
      </c>
    </row>
    <row r="1519" spans="1:45" s="520" customFormat="1" ht="12">
      <c r="A1519" s="758"/>
      <c r="B1519" s="758"/>
      <c r="C1519" s="758"/>
      <c r="D1519" s="758"/>
      <c r="E1519" s="758"/>
      <c r="F1519" s="753"/>
      <c r="G1519" s="758"/>
      <c r="H1519" s="758"/>
      <c r="I1519" s="519"/>
      <c r="J1519" s="758"/>
      <c r="K1519" s="758"/>
      <c r="L1519" s="758"/>
      <c r="M1519" s="758"/>
      <c r="N1519" s="758"/>
      <c r="O1519" s="758"/>
      <c r="P1519" s="758"/>
      <c r="Q1519" s="519"/>
      <c r="R1519" s="759">
        <f>$A1519*Q1519</f>
        <v>0</v>
      </c>
      <c r="S1519" s="519"/>
      <c r="T1519" s="760">
        <f>$A1519*S1519*$T$1</f>
        <v>0</v>
      </c>
      <c r="AR1519" s="758"/>
      <c r="AS1519" s="753"/>
    </row>
    <row r="1520" spans="1:45" s="520" customFormat="1" ht="12.6" thickBot="1">
      <c r="A1520" s="761" t="s">
        <v>145</v>
      </c>
      <c r="B1520" s="762">
        <f>(R1519+T1519)</f>
        <v>0</v>
      </c>
      <c r="C1520" s="763"/>
      <c r="D1520" s="763"/>
      <c r="E1520" s="763"/>
      <c r="F1520" s="764"/>
      <c r="G1520" s="763" t="s">
        <v>146</v>
      </c>
      <c r="H1520" s="763"/>
      <c r="I1520" s="765"/>
      <c r="J1520" s="763"/>
      <c r="K1520" s="763" t="s">
        <v>3</v>
      </c>
      <c r="L1520" s="766" t="s">
        <v>143</v>
      </c>
      <c r="M1520" s="766"/>
      <c r="N1520" s="766"/>
      <c r="O1520" s="766"/>
      <c r="P1520" s="766"/>
      <c r="Q1520" s="767"/>
      <c r="R1520" s="768">
        <f ca="1">SUM(R1516:R1519)</f>
        <v>827.25</v>
      </c>
      <c r="S1520" s="763"/>
      <c r="T1520" s="768">
        <f ca="1">SUM(T1516:T1519)</f>
        <v>5.2500000000000009</v>
      </c>
      <c r="U1520" s="531"/>
      <c r="V1520" s="531"/>
      <c r="W1520" s="531"/>
      <c r="X1520" s="531"/>
      <c r="Y1520" s="531"/>
      <c r="Z1520" s="531"/>
      <c r="AA1520" s="531"/>
      <c r="AB1520" s="531"/>
      <c r="AC1520" s="531"/>
      <c r="AD1520" s="531"/>
      <c r="AE1520" s="531"/>
      <c r="AF1520" s="531"/>
      <c r="AG1520" s="531"/>
      <c r="AH1520" s="531"/>
      <c r="AI1520" s="531"/>
      <c r="AJ1520" s="531"/>
      <c r="AK1520" s="531"/>
      <c r="AL1520" s="531"/>
      <c r="AM1520" s="531"/>
      <c r="AN1520" s="531"/>
      <c r="AO1520" s="531"/>
      <c r="AR1520" s="761" t="s">
        <v>145</v>
      </c>
      <c r="AS1520" s="764"/>
    </row>
    <row r="1521" spans="1:45" s="520" customFormat="1" ht="12" thickTop="1">
      <c r="A1521" s="51"/>
      <c r="B1521" s="41"/>
      <c r="C1521" s="51"/>
      <c r="E1521" s="42" t="s">
        <v>138</v>
      </c>
      <c r="F1521" s="42" t="s">
        <v>139</v>
      </c>
      <c r="G1521" s="51"/>
      <c r="H1521" s="51"/>
      <c r="I1521" s="51"/>
      <c r="J1521" s="51"/>
      <c r="K1521" s="51" t="s">
        <v>140</v>
      </c>
      <c r="L1521" s="51"/>
      <c r="M1521" s="51"/>
      <c r="N1521" s="51"/>
      <c r="O1521" s="52"/>
      <c r="P1521" s="51"/>
      <c r="Q1521" s="51"/>
      <c r="R1521" s="51"/>
      <c r="S1521" s="51"/>
      <c r="T1521" s="41"/>
      <c r="AG1521" s="521" t="s">
        <v>268</v>
      </c>
      <c r="AH1521" s="521" t="s">
        <v>269</v>
      </c>
      <c r="AI1521" s="521" t="s">
        <v>270</v>
      </c>
      <c r="AJ1521" s="521" t="s">
        <v>271</v>
      </c>
      <c r="AK1521" s="521" t="s">
        <v>272</v>
      </c>
      <c r="AM1521" s="745" t="s">
        <v>281</v>
      </c>
      <c r="AN1521" s="746" t="s">
        <v>282</v>
      </c>
      <c r="AO1521" s="522" t="s">
        <v>278</v>
      </c>
      <c r="AR1521" s="51"/>
      <c r="AS1521" s="42" t="s">
        <v>139</v>
      </c>
    </row>
    <row r="1522" spans="1:45" s="520" customFormat="1" ht="12" customHeight="1">
      <c r="A1522" s="747">
        <v>50</v>
      </c>
      <c r="B1522" s="523" t="s">
        <v>320</v>
      </c>
      <c r="C1522" s="748"/>
      <c r="D1522" s="749" t="s">
        <v>1329</v>
      </c>
      <c r="E1522" s="750">
        <f ca="1">IF(AND($A1522=0,$A$1="DIF"),0, ROUND(ROUND(($R1527*$S$2+($T1527*$T$2))/A1522,2)*$C$2,2))</f>
        <v>35.24</v>
      </c>
      <c r="F1522" s="751">
        <f ca="1">ROUND($A1522*$E1522,2)</f>
        <v>1762</v>
      </c>
      <c r="G1522" s="752" t="s">
        <v>142</v>
      </c>
      <c r="H1522" s="753"/>
      <c r="I1522" s="754"/>
      <c r="J1522" s="753"/>
      <c r="K1522" s="753" t="s">
        <v>3</v>
      </c>
      <c r="L1522" s="755" t="s">
        <v>143</v>
      </c>
      <c r="M1522" s="755"/>
      <c r="N1522" s="755"/>
      <c r="O1522" s="755"/>
      <c r="P1522" s="755"/>
      <c r="Q1522" s="51"/>
      <c r="T1522" s="756" t="str">
        <f ca="1">IF(AND($R1527=0,$T1527=0),"0.00","mu :" &amp; ROUND($F1522/$C$2/($R1527+$T1527*$D$9),2))</f>
        <v>mu :1.23</v>
      </c>
      <c r="W1522" s="524"/>
      <c r="AG1522" s="481">
        <f ca="1">IF($E1522=0,0,ROUND($R1527*$S$2*$C$2/$A1522,2))</f>
        <v>31.52</v>
      </c>
      <c r="AH1522" s="481">
        <f ca="1">$AG1522*$A1522</f>
        <v>1576</v>
      </c>
      <c r="AI1522" s="525">
        <f ca="1">$E1522-$AG1522</f>
        <v>3.7200000000000024</v>
      </c>
      <c r="AJ1522" s="525">
        <f ca="1">$A1522*$AI1522</f>
        <v>186.00000000000011</v>
      </c>
      <c r="AK1522" s="526">
        <f ca="1">ROUND(($AG1522+$AI1522)*$A1522,2)</f>
        <v>1762</v>
      </c>
      <c r="AM1522" s="527">
        <f ca="1">ROUND(R1527,2)</f>
        <v>1280</v>
      </c>
      <c r="AN1522" s="528">
        <f ca="1">ROUND(T1527,2)</f>
        <v>5.5</v>
      </c>
      <c r="AO1522" s="529">
        <f ca="1">ROUND(AM1522+AN1522,2)*A1522</f>
        <v>64275</v>
      </c>
      <c r="AR1522" s="747">
        <v>50</v>
      </c>
      <c r="AS1522" s="751">
        <v>1779</v>
      </c>
    </row>
    <row r="1523" spans="1:45" s="520" customFormat="1" ht="13.2">
      <c r="A1523" s="748"/>
      <c r="B1523"/>
      <c r="C1523" s="748"/>
      <c r="D1523" s="749" t="s">
        <v>1330</v>
      </c>
      <c r="F1523" s="753"/>
      <c r="G1523" s="3"/>
      <c r="H1523" s="753"/>
      <c r="I1523" s="754"/>
      <c r="J1523" s="753"/>
      <c r="K1523" s="753" t="s">
        <v>144</v>
      </c>
      <c r="L1523" s="753"/>
      <c r="M1523" s="753"/>
      <c r="N1523" s="753"/>
      <c r="O1523" s="753"/>
      <c r="P1523" s="753"/>
      <c r="Q1523" s="51"/>
      <c r="R1523" s="530"/>
      <c r="S1523" s="757"/>
      <c r="T1523" s="753"/>
      <c r="AR1523" s="748"/>
      <c r="AS1523" s="753"/>
    </row>
    <row r="1524" spans="1:45" s="886" customFormat="1" ht="13.2">
      <c r="A1524"/>
      <c r="B1524" s="910"/>
      <c r="C1524" s="910" t="s">
        <v>2597</v>
      </c>
      <c r="D1524" s="910" t="str">
        <f ca="1">CELL("Address",Elec_Rates!D$385)</f>
        <v>[E25_0062_Quintano_Foods_Elec_ELV_As_Awarded.xlsx]Elec_Rates!$D$385</v>
      </c>
      <c r="E1524" s="911"/>
      <c r="F1524" s="911"/>
      <c r="G1524" s="912" t="s">
        <v>2598</v>
      </c>
      <c r="H1524" s="912"/>
      <c r="I1524" s="912"/>
      <c r="J1524" s="912"/>
      <c r="K1524" s="913"/>
      <c r="L1524" s="911"/>
      <c r="M1524" s="911"/>
      <c r="N1524" s="911"/>
      <c r="O1524" s="914"/>
      <c r="P1524" s="911"/>
      <c r="Q1524" s="915"/>
      <c r="R1524" s="916"/>
      <c r="S1524" s="915"/>
      <c r="T1524" s="917"/>
      <c r="U1524" s="918"/>
      <c r="AR1524"/>
      <c r="AS1524" s="911"/>
    </row>
    <row r="1525" spans="1:45" s="886" customFormat="1" ht="11.4">
      <c r="A1525" s="919">
        <v>50</v>
      </c>
      <c r="B1525" s="920">
        <v>1</v>
      </c>
      <c r="C1525" s="920">
        <f>$A1525*$B1525</f>
        <v>50</v>
      </c>
      <c r="D1525" s="921" t="str">
        <f>Elec_Rates!$D$385</f>
        <v>037# 5 x 16mm2 F120 Fire Resistant Cable (BS7846) -  XLPE/SWA/LSZH</v>
      </c>
      <c r="E1525" s="921"/>
      <c r="F1525" s="921" t="s">
        <v>2599</v>
      </c>
      <c r="G1525" s="922" t="s">
        <v>2601</v>
      </c>
      <c r="H1525" s="922"/>
      <c r="I1525" s="922"/>
      <c r="J1525" s="922"/>
      <c r="K1525" s="923"/>
      <c r="L1525" s="918"/>
      <c r="M1525" s="918"/>
      <c r="N1525" s="918"/>
      <c r="O1525" s="924"/>
      <c r="P1525" s="921"/>
      <c r="Q1525" s="925">
        <f ca="1">$B1525*Elec_Rates!$R$385</f>
        <v>25.6</v>
      </c>
      <c r="R1525" s="916">
        <f ca="1">$A1525*Q1525</f>
        <v>1280</v>
      </c>
      <c r="S1525" s="925">
        <f ca="1">$B1525*Elec_Rates!$T$385</f>
        <v>0.11</v>
      </c>
      <c r="T1525" s="917">
        <f ca="1">$A1525*S1525</f>
        <v>5.5</v>
      </c>
      <c r="U1525" s="926"/>
      <c r="AR1525" s="919">
        <v>50</v>
      </c>
      <c r="AS1525" s="921" t="s">
        <v>2599</v>
      </c>
    </row>
    <row r="1526" spans="1:45" s="520" customFormat="1" ht="12">
      <c r="A1526" s="758"/>
      <c r="B1526" s="758"/>
      <c r="C1526" s="758"/>
      <c r="D1526" s="758"/>
      <c r="E1526" s="758"/>
      <c r="F1526" s="753"/>
      <c r="G1526" s="758"/>
      <c r="H1526" s="758"/>
      <c r="I1526" s="519"/>
      <c r="J1526" s="758"/>
      <c r="K1526" s="758"/>
      <c r="L1526" s="758"/>
      <c r="M1526" s="758"/>
      <c r="N1526" s="758"/>
      <c r="O1526" s="758"/>
      <c r="P1526" s="758"/>
      <c r="Q1526" s="519"/>
      <c r="R1526" s="759">
        <f>$A1526*Q1526</f>
        <v>0</v>
      </c>
      <c r="S1526" s="519"/>
      <c r="T1526" s="760">
        <f>$A1526*S1526*$T$1</f>
        <v>0</v>
      </c>
      <c r="AR1526" s="758"/>
      <c r="AS1526" s="753"/>
    </row>
    <row r="1527" spans="1:45" s="520" customFormat="1" ht="12.6" thickBot="1">
      <c r="A1527" s="761" t="s">
        <v>145</v>
      </c>
      <c r="B1527" s="762">
        <f>(R1526+T1526)</f>
        <v>0</v>
      </c>
      <c r="C1527" s="763"/>
      <c r="D1527" s="763"/>
      <c r="E1527" s="763"/>
      <c r="F1527" s="764"/>
      <c r="G1527" s="763" t="s">
        <v>146</v>
      </c>
      <c r="H1527" s="763"/>
      <c r="I1527" s="765"/>
      <c r="J1527" s="763"/>
      <c r="K1527" s="763" t="s">
        <v>3</v>
      </c>
      <c r="L1527" s="766" t="s">
        <v>143</v>
      </c>
      <c r="M1527" s="766"/>
      <c r="N1527" s="766"/>
      <c r="O1527" s="766"/>
      <c r="P1527" s="766"/>
      <c r="Q1527" s="767"/>
      <c r="R1527" s="768">
        <f ca="1">SUM(R1523:R1526)</f>
        <v>1280</v>
      </c>
      <c r="S1527" s="763"/>
      <c r="T1527" s="768">
        <f ca="1">SUM(T1523:T1526)</f>
        <v>5.5</v>
      </c>
      <c r="U1527" s="531"/>
      <c r="V1527" s="531"/>
      <c r="W1527" s="531"/>
      <c r="X1527" s="531"/>
      <c r="Y1527" s="531"/>
      <c r="Z1527" s="531"/>
      <c r="AA1527" s="531"/>
      <c r="AB1527" s="531"/>
      <c r="AC1527" s="531"/>
      <c r="AD1527" s="531"/>
      <c r="AE1527" s="531"/>
      <c r="AF1527" s="531"/>
      <c r="AG1527" s="531"/>
      <c r="AH1527" s="531"/>
      <c r="AI1527" s="531"/>
      <c r="AJ1527" s="531"/>
      <c r="AK1527" s="531"/>
      <c r="AL1527" s="531"/>
      <c r="AM1527" s="531"/>
      <c r="AN1527" s="531"/>
      <c r="AO1527" s="531"/>
      <c r="AR1527" s="761" t="s">
        <v>145</v>
      </c>
      <c r="AS1527" s="764"/>
    </row>
    <row r="1528" spans="1:45" s="520" customFormat="1" ht="12" thickTop="1">
      <c r="A1528" s="51"/>
      <c r="B1528" s="41"/>
      <c r="C1528" s="51"/>
      <c r="E1528" s="42" t="s">
        <v>138</v>
      </c>
      <c r="F1528" s="42" t="s">
        <v>139</v>
      </c>
      <c r="G1528" s="51"/>
      <c r="H1528" s="51"/>
      <c r="I1528" s="51"/>
      <c r="J1528" s="51"/>
      <c r="K1528" s="51" t="s">
        <v>140</v>
      </c>
      <c r="L1528" s="51"/>
      <c r="M1528" s="51"/>
      <c r="N1528" s="51"/>
      <c r="O1528" s="52"/>
      <c r="P1528" s="51"/>
      <c r="Q1528" s="51"/>
      <c r="R1528" s="51"/>
      <c r="S1528" s="51"/>
      <c r="T1528" s="41"/>
      <c r="AG1528" s="521" t="s">
        <v>268</v>
      </c>
      <c r="AH1528" s="521" t="s">
        <v>269</v>
      </c>
      <c r="AI1528" s="521" t="s">
        <v>270</v>
      </c>
      <c r="AJ1528" s="521" t="s">
        <v>271</v>
      </c>
      <c r="AK1528" s="521" t="s">
        <v>272</v>
      </c>
      <c r="AM1528" s="745" t="s">
        <v>281</v>
      </c>
      <c r="AN1528" s="746" t="s">
        <v>282</v>
      </c>
      <c r="AO1528" s="522" t="s">
        <v>278</v>
      </c>
      <c r="AR1528" s="51"/>
      <c r="AS1528" s="42" t="s">
        <v>139</v>
      </c>
    </row>
    <row r="1529" spans="1:45" s="520" customFormat="1" ht="12" customHeight="1">
      <c r="A1529" s="747">
        <v>50</v>
      </c>
      <c r="B1529" s="523" t="s">
        <v>320</v>
      </c>
      <c r="C1529" s="748"/>
      <c r="D1529" s="749" t="s">
        <v>1331</v>
      </c>
      <c r="E1529" s="750">
        <f ca="1">IF(AND($A1529=0,$A$1="DIF"),0, ROUND(ROUND(($R1534*$S$2+($T1534*$T$2))/A1529,2)*$C$2,2))</f>
        <v>35.24</v>
      </c>
      <c r="F1529" s="751">
        <f ca="1">ROUND($A1529*$E1529,2)</f>
        <v>1762</v>
      </c>
      <c r="G1529" s="752" t="s">
        <v>142</v>
      </c>
      <c r="H1529" s="753"/>
      <c r="I1529" s="754"/>
      <c r="J1529" s="753"/>
      <c r="K1529" s="753" t="s">
        <v>3</v>
      </c>
      <c r="L1529" s="755" t="s">
        <v>143</v>
      </c>
      <c r="M1529" s="755"/>
      <c r="N1529" s="755"/>
      <c r="O1529" s="755"/>
      <c r="P1529" s="755"/>
      <c r="Q1529" s="51"/>
      <c r="T1529" s="756" t="str">
        <f ca="1">IF(AND($R1534=0,$T1534=0),"0.00","mu :" &amp; ROUND($F1529/$C$2/($R1534+$T1534*$D$9),2))</f>
        <v>mu :1.23</v>
      </c>
      <c r="W1529" s="524"/>
      <c r="AG1529" s="481">
        <f ca="1">IF($E1529=0,0,ROUND($R1534*$S$2*$C$2/$A1529,2))</f>
        <v>31.52</v>
      </c>
      <c r="AH1529" s="481">
        <f ca="1">$AG1529*$A1529</f>
        <v>1576</v>
      </c>
      <c r="AI1529" s="525">
        <f ca="1">$E1529-$AG1529</f>
        <v>3.7200000000000024</v>
      </c>
      <c r="AJ1529" s="525">
        <f ca="1">$A1529*$AI1529</f>
        <v>186.00000000000011</v>
      </c>
      <c r="AK1529" s="526">
        <f ca="1">ROUND(($AG1529+$AI1529)*$A1529,2)</f>
        <v>1762</v>
      </c>
      <c r="AM1529" s="527">
        <f ca="1">ROUND(R1534,2)</f>
        <v>1280</v>
      </c>
      <c r="AN1529" s="528">
        <f ca="1">ROUND(T1534,2)</f>
        <v>5.5</v>
      </c>
      <c r="AO1529" s="529">
        <f ca="1">ROUND(AM1529+AN1529,2)*A1529</f>
        <v>64275</v>
      </c>
      <c r="AR1529" s="747">
        <v>50</v>
      </c>
      <c r="AS1529" s="751">
        <v>1779</v>
      </c>
    </row>
    <row r="1530" spans="1:45" s="520" customFormat="1" ht="13.2">
      <c r="A1530" s="748"/>
      <c r="B1530"/>
      <c r="C1530" s="748"/>
      <c r="D1530" s="749" t="s">
        <v>1332</v>
      </c>
      <c r="F1530" s="753"/>
      <c r="G1530" s="3"/>
      <c r="H1530" s="753"/>
      <c r="I1530" s="754"/>
      <c r="J1530" s="753"/>
      <c r="K1530" s="753" t="s">
        <v>144</v>
      </c>
      <c r="L1530" s="753"/>
      <c r="M1530" s="753"/>
      <c r="N1530" s="753"/>
      <c r="O1530" s="753"/>
      <c r="P1530" s="753"/>
      <c r="Q1530" s="51"/>
      <c r="R1530" s="530"/>
      <c r="S1530" s="757"/>
      <c r="T1530" s="753"/>
      <c r="AR1530" s="748"/>
      <c r="AS1530" s="753"/>
    </row>
    <row r="1531" spans="1:45" s="886" customFormat="1" ht="13.2">
      <c r="A1531"/>
      <c r="B1531" s="910"/>
      <c r="C1531" s="910" t="s">
        <v>2597</v>
      </c>
      <c r="D1531" s="910" t="str">
        <f ca="1">CELL("Address",Elec_Rates!D$385)</f>
        <v>[E25_0062_Quintano_Foods_Elec_ELV_As_Awarded.xlsx]Elec_Rates!$D$385</v>
      </c>
      <c r="E1531" s="911"/>
      <c r="F1531" s="911"/>
      <c r="G1531" s="912" t="s">
        <v>2598</v>
      </c>
      <c r="H1531" s="912"/>
      <c r="I1531" s="912"/>
      <c r="J1531" s="912"/>
      <c r="K1531" s="913"/>
      <c r="L1531" s="911"/>
      <c r="M1531" s="911"/>
      <c r="N1531" s="911"/>
      <c r="O1531" s="914"/>
      <c r="P1531" s="911"/>
      <c r="Q1531" s="915"/>
      <c r="R1531" s="916"/>
      <c r="S1531" s="915"/>
      <c r="T1531" s="917"/>
      <c r="U1531" s="918"/>
      <c r="AR1531"/>
      <c r="AS1531" s="911"/>
    </row>
    <row r="1532" spans="1:45" s="886" customFormat="1" ht="11.4">
      <c r="A1532" s="919">
        <v>50</v>
      </c>
      <c r="B1532" s="920">
        <v>1</v>
      </c>
      <c r="C1532" s="920">
        <f>$A1532*$B1532</f>
        <v>50</v>
      </c>
      <c r="D1532" s="921" t="str">
        <f>Elec_Rates!$D$385</f>
        <v>037# 5 x 16mm2 F120 Fire Resistant Cable (BS7846) -  XLPE/SWA/LSZH</v>
      </c>
      <c r="E1532" s="921"/>
      <c r="F1532" s="921" t="s">
        <v>2599</v>
      </c>
      <c r="G1532" s="922" t="s">
        <v>2601</v>
      </c>
      <c r="H1532" s="922"/>
      <c r="I1532" s="922"/>
      <c r="J1532" s="922"/>
      <c r="K1532" s="923"/>
      <c r="L1532" s="918"/>
      <c r="M1532" s="918"/>
      <c r="N1532" s="918"/>
      <c r="O1532" s="924"/>
      <c r="P1532" s="921"/>
      <c r="Q1532" s="925">
        <f ca="1">$B1532*Elec_Rates!$R$385</f>
        <v>25.6</v>
      </c>
      <c r="R1532" s="916">
        <f ca="1">$A1532*Q1532</f>
        <v>1280</v>
      </c>
      <c r="S1532" s="925">
        <f ca="1">$B1532*Elec_Rates!$T$385</f>
        <v>0.11</v>
      </c>
      <c r="T1532" s="917">
        <f ca="1">$A1532*S1532</f>
        <v>5.5</v>
      </c>
      <c r="U1532" s="926"/>
      <c r="AR1532" s="919">
        <v>50</v>
      </c>
      <c r="AS1532" s="921" t="s">
        <v>2599</v>
      </c>
    </row>
    <row r="1533" spans="1:45" s="520" customFormat="1" ht="12">
      <c r="A1533" s="758"/>
      <c r="B1533" s="758"/>
      <c r="C1533" s="758"/>
      <c r="D1533" s="758"/>
      <c r="E1533" s="758"/>
      <c r="F1533" s="753"/>
      <c r="G1533" s="758"/>
      <c r="H1533" s="758"/>
      <c r="I1533" s="519"/>
      <c r="J1533" s="758"/>
      <c r="K1533" s="758"/>
      <c r="L1533" s="758"/>
      <c r="M1533" s="758"/>
      <c r="N1533" s="758"/>
      <c r="O1533" s="758"/>
      <c r="P1533" s="758"/>
      <c r="Q1533" s="519"/>
      <c r="R1533" s="759">
        <f>$A1533*Q1533</f>
        <v>0</v>
      </c>
      <c r="S1533" s="519"/>
      <c r="T1533" s="760">
        <f>$A1533*S1533*$T$1</f>
        <v>0</v>
      </c>
      <c r="AR1533" s="758"/>
      <c r="AS1533" s="753"/>
    </row>
    <row r="1534" spans="1:45" s="520" customFormat="1" ht="12.6" thickBot="1">
      <c r="A1534" s="761" t="s">
        <v>145</v>
      </c>
      <c r="B1534" s="762">
        <f>(R1533+T1533)</f>
        <v>0</v>
      </c>
      <c r="C1534" s="763"/>
      <c r="D1534" s="763"/>
      <c r="E1534" s="763"/>
      <c r="F1534" s="764"/>
      <c r="G1534" s="763" t="s">
        <v>146</v>
      </c>
      <c r="H1534" s="763"/>
      <c r="I1534" s="765"/>
      <c r="J1534" s="763"/>
      <c r="K1534" s="763" t="s">
        <v>3</v>
      </c>
      <c r="L1534" s="766" t="s">
        <v>143</v>
      </c>
      <c r="M1534" s="766"/>
      <c r="N1534" s="766"/>
      <c r="O1534" s="766"/>
      <c r="P1534" s="766"/>
      <c r="Q1534" s="767"/>
      <c r="R1534" s="768">
        <f ca="1">SUM(R1530:R1533)</f>
        <v>1280</v>
      </c>
      <c r="S1534" s="763"/>
      <c r="T1534" s="768">
        <f ca="1">SUM(T1530:T1533)</f>
        <v>5.5</v>
      </c>
      <c r="U1534" s="531"/>
      <c r="V1534" s="531"/>
      <c r="W1534" s="531"/>
      <c r="X1534" s="531"/>
      <c r="Y1534" s="531"/>
      <c r="Z1534" s="531"/>
      <c r="AA1534" s="531"/>
      <c r="AB1534" s="531"/>
      <c r="AC1534" s="531"/>
      <c r="AD1534" s="531"/>
      <c r="AE1534" s="531"/>
      <c r="AF1534" s="531"/>
      <c r="AG1534" s="531"/>
      <c r="AH1534" s="531"/>
      <c r="AI1534" s="531"/>
      <c r="AJ1534" s="531"/>
      <c r="AK1534" s="531"/>
      <c r="AL1534" s="531"/>
      <c r="AM1534" s="531"/>
      <c r="AN1534" s="531"/>
      <c r="AO1534" s="531"/>
      <c r="AR1534" s="761" t="s">
        <v>145</v>
      </c>
      <c r="AS1534" s="764"/>
    </row>
    <row r="1535" spans="1:45" s="520" customFormat="1" thickTop="1">
      <c r="A1535" s="51"/>
      <c r="B1535" s="51"/>
      <c r="C1535" s="3"/>
      <c r="D1535" s="3"/>
      <c r="E1535" s="51"/>
      <c r="F1535" s="51"/>
      <c r="G1535" s="51"/>
      <c r="H1535" s="51"/>
      <c r="I1535" s="51"/>
      <c r="J1535" s="51"/>
      <c r="K1535" s="51" t="s">
        <v>134</v>
      </c>
      <c r="L1535" s="51"/>
      <c r="M1535" s="51"/>
      <c r="N1535" s="51"/>
      <c r="O1535" s="52"/>
      <c r="P1535" s="51"/>
      <c r="Q1535" s="51"/>
      <c r="R1535" s="51"/>
      <c r="S1535" s="51"/>
      <c r="T1535" s="51"/>
      <c r="AR1535" s="51"/>
      <c r="AS1535" s="51"/>
    </row>
    <row r="1536" spans="1:45" s="520" customFormat="1" ht="12">
      <c r="A1536" s="51"/>
      <c r="B1536" s="51"/>
      <c r="C1536" s="51" t="s">
        <v>135</v>
      </c>
      <c r="D1536" s="37"/>
      <c r="E1536" s="51"/>
      <c r="F1536" s="51"/>
      <c r="G1536" s="51"/>
      <c r="H1536" s="51"/>
      <c r="I1536" s="51"/>
      <c r="J1536" s="51"/>
      <c r="K1536" s="51"/>
      <c r="L1536" s="51"/>
      <c r="M1536" s="51"/>
      <c r="N1536" s="51"/>
      <c r="O1536" s="52"/>
      <c r="P1536" s="51"/>
      <c r="Q1536" s="51"/>
      <c r="R1536" s="51"/>
      <c r="S1536" s="51"/>
      <c r="T1536" s="51"/>
      <c r="AR1536" s="51"/>
      <c r="AS1536" s="51"/>
    </row>
    <row r="1537" spans="1:45" s="520" customFormat="1" ht="12">
      <c r="A1537" s="51"/>
      <c r="B1537" s="51"/>
      <c r="C1537" s="51"/>
      <c r="D1537" s="37" t="s">
        <v>463</v>
      </c>
      <c r="E1537" s="51"/>
      <c r="F1537" s="51"/>
      <c r="G1537" s="51"/>
      <c r="H1537" s="51"/>
      <c r="I1537" s="51"/>
      <c r="J1537" s="51"/>
      <c r="K1537" s="51"/>
      <c r="L1537" s="51"/>
      <c r="M1537" s="51"/>
      <c r="N1537" s="51"/>
      <c r="O1537" s="52"/>
      <c r="P1537" s="51"/>
      <c r="Q1537" s="51"/>
      <c r="R1537" s="51"/>
      <c r="S1537" s="38"/>
      <c r="T1537" s="38"/>
      <c r="AR1537" s="51"/>
      <c r="AS1537" s="51"/>
    </row>
    <row r="1538" spans="1:45" s="3" customFormat="1" thickBot="1">
      <c r="A1538" s="531"/>
      <c r="O1538" s="107"/>
      <c r="AR1538" s="531"/>
    </row>
    <row r="1539" spans="1:45" s="520" customFormat="1" ht="12" thickTop="1">
      <c r="A1539" s="51"/>
      <c r="B1539" s="41"/>
      <c r="C1539" s="51"/>
      <c r="E1539" s="42" t="s">
        <v>138</v>
      </c>
      <c r="F1539" s="42" t="s">
        <v>139</v>
      </c>
      <c r="G1539" s="51"/>
      <c r="H1539" s="51"/>
      <c r="I1539" s="51"/>
      <c r="J1539" s="51"/>
      <c r="K1539" s="51" t="s">
        <v>140</v>
      </c>
      <c r="L1539" s="51"/>
      <c r="M1539" s="51"/>
      <c r="N1539" s="51"/>
      <c r="O1539" s="52"/>
      <c r="P1539" s="51"/>
      <c r="Q1539" s="51"/>
      <c r="R1539" s="51"/>
      <c r="S1539" s="51"/>
      <c r="T1539" s="41"/>
      <c r="AG1539" s="521" t="s">
        <v>268</v>
      </c>
      <c r="AH1539" s="521" t="s">
        <v>269</v>
      </c>
      <c r="AI1539" s="521" t="s">
        <v>270</v>
      </c>
      <c r="AJ1539" s="521" t="s">
        <v>271</v>
      </c>
      <c r="AK1539" s="521" t="s">
        <v>272</v>
      </c>
      <c r="AM1539" s="745" t="s">
        <v>281</v>
      </c>
      <c r="AN1539" s="746" t="s">
        <v>282</v>
      </c>
      <c r="AO1539" s="522" t="s">
        <v>278</v>
      </c>
      <c r="AR1539" s="51"/>
      <c r="AS1539" s="42" t="s">
        <v>139</v>
      </c>
    </row>
    <row r="1540" spans="1:45" s="520" customFormat="1" ht="12" customHeight="1">
      <c r="A1540" s="747">
        <v>8</v>
      </c>
      <c r="B1540" s="523" t="s">
        <v>141</v>
      </c>
      <c r="C1540" s="748"/>
      <c r="D1540" s="749" t="s">
        <v>1333</v>
      </c>
      <c r="E1540" s="750">
        <f>IF(AND($A1540=0,$A$1="DIF"),0, ROUND(ROUND(($R1546*$S$2+($T1546*$T$2))/A1540,2)*$C$2,2))</f>
        <v>327.48</v>
      </c>
      <c r="F1540" s="751">
        <f>ROUND($A1540*$E1540,2)</f>
        <v>2619.84</v>
      </c>
      <c r="G1540" s="752" t="s">
        <v>142</v>
      </c>
      <c r="H1540" s="753"/>
      <c r="I1540" s="754"/>
      <c r="J1540" s="753"/>
      <c r="K1540" s="753" t="s">
        <v>3</v>
      </c>
      <c r="L1540" s="755" t="s">
        <v>143</v>
      </c>
      <c r="M1540" s="755"/>
      <c r="N1540" s="755"/>
      <c r="O1540" s="755"/>
      <c r="P1540" s="755"/>
      <c r="Q1540" s="1058" t="s">
        <v>3717</v>
      </c>
      <c r="T1540" s="756" t="str">
        <f>IF(AND($R1546=0,$T1546=0),"0.00","mu :" &amp; ROUND($F1540/$C$2/($R1546+$T1546*$D$9),2))</f>
        <v>mu :1.23</v>
      </c>
      <c r="W1540" s="524"/>
      <c r="AG1540" s="481">
        <f>IF($E1540=0,0,ROUND($R1546*$S$2*$C$2/$A1540,2))</f>
        <v>295.52</v>
      </c>
      <c r="AH1540" s="481">
        <f>$AG1540*$A1540</f>
        <v>2364.16</v>
      </c>
      <c r="AI1540" s="525">
        <f>$E1540-$AG1540</f>
        <v>31.960000000000036</v>
      </c>
      <c r="AJ1540" s="525">
        <f>$A1540*$AI1540</f>
        <v>255.68000000000029</v>
      </c>
      <c r="AK1540" s="526">
        <f>ROUND(($AG1540+$AI1540)*$A1540,2)</f>
        <v>2619.84</v>
      </c>
      <c r="AM1540" s="527">
        <f>ROUND(R1546,2)</f>
        <v>1920</v>
      </c>
      <c r="AN1540" s="528">
        <f>ROUND(T1546,2)</f>
        <v>7.56</v>
      </c>
      <c r="AO1540" s="529">
        <f>ROUND(AM1540+AN1540,2)*A1540</f>
        <v>15420.48</v>
      </c>
      <c r="AR1540" s="747">
        <v>8</v>
      </c>
      <c r="AS1540" s="751">
        <v>2648.24</v>
      </c>
    </row>
    <row r="1541" spans="1:45" s="520" customFormat="1" ht="13.2">
      <c r="A1541" s="748"/>
      <c r="B1541"/>
      <c r="C1541" s="748"/>
      <c r="D1541" s="749" t="s">
        <v>1267</v>
      </c>
      <c r="F1541" s="753"/>
      <c r="G1541" s="3"/>
      <c r="H1541" s="753"/>
      <c r="I1541" s="754"/>
      <c r="J1541" s="753"/>
      <c r="K1541" s="753" t="s">
        <v>144</v>
      </c>
      <c r="L1541" s="753"/>
      <c r="M1541" s="753"/>
      <c r="N1541" s="753"/>
      <c r="O1541" s="753"/>
      <c r="P1541" s="753"/>
      <c r="Q1541" s="51"/>
      <c r="R1541" s="530"/>
      <c r="S1541" s="757"/>
      <c r="T1541" s="753"/>
      <c r="AR1541" s="748"/>
      <c r="AS1541" s="753"/>
    </row>
    <row r="1542" spans="1:45" s="901" customFormat="1" ht="13.2">
      <c r="A1542">
        <v>8</v>
      </c>
      <c r="B1542" s="901" t="s">
        <v>141</v>
      </c>
      <c r="D1542" s="901" t="s">
        <v>3719</v>
      </c>
      <c r="F1542" s="1054" t="s">
        <v>3718</v>
      </c>
      <c r="G1542" s="941" t="s">
        <v>2843</v>
      </c>
      <c r="H1542" s="942">
        <v>510</v>
      </c>
      <c r="I1542" s="901" t="s">
        <v>2736</v>
      </c>
      <c r="J1542" s="901" t="s">
        <v>2844</v>
      </c>
      <c r="K1542" s="901" t="s">
        <v>2845</v>
      </c>
      <c r="O1542" s="943">
        <v>2</v>
      </c>
      <c r="P1542" s="944">
        <v>36880</v>
      </c>
      <c r="Q1542" s="945">
        <v>225</v>
      </c>
      <c r="R1542" s="946">
        <f>$A1542*Q1542</f>
        <v>1800</v>
      </c>
      <c r="S1542" s="945">
        <v>0.5</v>
      </c>
      <c r="T1542" s="947">
        <f>$A1542*S1542*$T$1</f>
        <v>3.6</v>
      </c>
      <c r="AR1542">
        <v>8</v>
      </c>
      <c r="AS1542" s="1054" t="s">
        <v>3718</v>
      </c>
    </row>
    <row r="1543" spans="1:45" s="901" customFormat="1" ht="13.2">
      <c r="A1543">
        <v>8</v>
      </c>
      <c r="B1543" s="901" t="s">
        <v>141</v>
      </c>
      <c r="D1543" s="901" t="s">
        <v>3720</v>
      </c>
      <c r="G1543" s="941" t="s">
        <v>3721</v>
      </c>
      <c r="H1543" s="942">
        <v>501</v>
      </c>
      <c r="I1543" s="901" t="s">
        <v>2607</v>
      </c>
      <c r="K1543" s="901" t="s">
        <v>3722</v>
      </c>
      <c r="O1543" s="943">
        <v>1</v>
      </c>
      <c r="P1543" s="944">
        <v>38136</v>
      </c>
      <c r="Q1543" s="945">
        <v>10</v>
      </c>
      <c r="R1543" s="946">
        <f>$A1543*Q1543</f>
        <v>80</v>
      </c>
      <c r="S1543" s="945">
        <v>0.5</v>
      </c>
      <c r="T1543" s="947">
        <f>$A1543*S1543*$T$1</f>
        <v>3.6</v>
      </c>
      <c r="AR1543">
        <v>8</v>
      </c>
    </row>
    <row r="1544" spans="1:45" s="901" customFormat="1" ht="13.2">
      <c r="A1544" s="116">
        <v>8</v>
      </c>
      <c r="B1544" s="901" t="s">
        <v>141</v>
      </c>
      <c r="D1544" s="901" t="s">
        <v>2745</v>
      </c>
      <c r="G1544" s="941" t="s">
        <v>2746</v>
      </c>
      <c r="H1544" s="942">
        <v>875</v>
      </c>
      <c r="I1544" s="901" t="s">
        <v>2607</v>
      </c>
      <c r="K1544" s="901" t="s">
        <v>2747</v>
      </c>
      <c r="O1544" s="943">
        <v>3</v>
      </c>
      <c r="P1544" s="944">
        <v>34820</v>
      </c>
      <c r="Q1544" s="945">
        <v>5</v>
      </c>
      <c r="R1544" s="946">
        <f>$A1544*Q1544</f>
        <v>40</v>
      </c>
      <c r="S1544" s="945">
        <v>0.05</v>
      </c>
      <c r="T1544" s="947">
        <f>$A1544*S1544*$T$1</f>
        <v>0.36000000000000004</v>
      </c>
      <c r="AR1544" s="116">
        <v>8</v>
      </c>
    </row>
    <row r="1545" spans="1:45" s="520" customFormat="1" ht="12">
      <c r="A1545" s="758"/>
      <c r="B1545" s="758"/>
      <c r="C1545" s="758"/>
      <c r="D1545" s="758"/>
      <c r="E1545" s="758"/>
      <c r="F1545" s="753"/>
      <c r="G1545" s="758"/>
      <c r="H1545" s="758"/>
      <c r="I1545" s="519"/>
      <c r="J1545" s="758"/>
      <c r="K1545" s="758"/>
      <c r="L1545" s="758"/>
      <c r="M1545" s="758"/>
      <c r="N1545" s="758"/>
      <c r="O1545" s="758"/>
      <c r="P1545" s="758"/>
      <c r="Q1545" s="519"/>
      <c r="R1545" s="759">
        <f>$A1545*Q1545</f>
        <v>0</v>
      </c>
      <c r="S1545" s="519"/>
      <c r="T1545" s="760">
        <f>$A1545*S1545*$T$1</f>
        <v>0</v>
      </c>
      <c r="AR1545" s="758"/>
      <c r="AS1545" s="753"/>
    </row>
    <row r="1546" spans="1:45" s="520" customFormat="1" ht="12.6" thickBot="1">
      <c r="A1546" s="761" t="s">
        <v>145</v>
      </c>
      <c r="B1546" s="762">
        <f>(R1545+T1545)</f>
        <v>0</v>
      </c>
      <c r="C1546" s="763"/>
      <c r="D1546" s="763"/>
      <c r="E1546" s="763"/>
      <c r="F1546" s="764"/>
      <c r="G1546" s="763" t="s">
        <v>146</v>
      </c>
      <c r="H1546" s="763"/>
      <c r="I1546" s="765"/>
      <c r="J1546" s="763"/>
      <c r="K1546" s="763" t="s">
        <v>3</v>
      </c>
      <c r="L1546" s="766" t="s">
        <v>143</v>
      </c>
      <c r="M1546" s="766"/>
      <c r="N1546" s="766"/>
      <c r="O1546" s="766"/>
      <c r="P1546" s="766"/>
      <c r="Q1546" s="767"/>
      <c r="R1546" s="768">
        <f>SUM(R1541:R1545)</f>
        <v>1920</v>
      </c>
      <c r="S1546" s="763"/>
      <c r="T1546" s="768">
        <f>SUM(T1541:T1545)</f>
        <v>7.5600000000000005</v>
      </c>
      <c r="U1546" s="531"/>
      <c r="V1546" s="531"/>
      <c r="W1546" s="531"/>
      <c r="X1546" s="531"/>
      <c r="Y1546" s="531"/>
      <c r="Z1546" s="531"/>
      <c r="AA1546" s="531"/>
      <c r="AB1546" s="531"/>
      <c r="AC1546" s="531"/>
      <c r="AD1546" s="531"/>
      <c r="AE1546" s="531"/>
      <c r="AF1546" s="531"/>
      <c r="AG1546" s="531"/>
      <c r="AH1546" s="531"/>
      <c r="AI1546" s="531"/>
      <c r="AJ1546" s="531"/>
      <c r="AK1546" s="531"/>
      <c r="AL1546" s="531"/>
      <c r="AM1546" s="531"/>
      <c r="AN1546" s="531"/>
      <c r="AO1546" s="531"/>
      <c r="AR1546" s="761" t="s">
        <v>145</v>
      </c>
      <c r="AS1546" s="764"/>
    </row>
    <row r="1547" spans="1:45" s="520" customFormat="1" ht="12" thickTop="1">
      <c r="A1547" s="51"/>
      <c r="B1547" s="41"/>
      <c r="C1547" s="51"/>
      <c r="E1547" s="42" t="s">
        <v>138</v>
      </c>
      <c r="F1547" s="42" t="s">
        <v>139</v>
      </c>
      <c r="G1547" s="51"/>
      <c r="H1547" s="51"/>
      <c r="I1547" s="51"/>
      <c r="J1547" s="51"/>
      <c r="K1547" s="51" t="s">
        <v>140</v>
      </c>
      <c r="L1547" s="51"/>
      <c r="M1547" s="51"/>
      <c r="N1547" s="51"/>
      <c r="O1547" s="52"/>
      <c r="P1547" s="51"/>
      <c r="Q1547" s="51"/>
      <c r="R1547" s="51"/>
      <c r="S1547" s="51"/>
      <c r="T1547" s="41"/>
      <c r="AG1547" s="521" t="s">
        <v>268</v>
      </c>
      <c r="AH1547" s="521" t="s">
        <v>269</v>
      </c>
      <c r="AI1547" s="521" t="s">
        <v>270</v>
      </c>
      <c r="AJ1547" s="521" t="s">
        <v>271</v>
      </c>
      <c r="AK1547" s="521" t="s">
        <v>272</v>
      </c>
      <c r="AM1547" s="745" t="s">
        <v>281</v>
      </c>
      <c r="AN1547" s="746" t="s">
        <v>282</v>
      </c>
      <c r="AO1547" s="522" t="s">
        <v>278</v>
      </c>
      <c r="AR1547" s="51"/>
      <c r="AS1547" s="42" t="s">
        <v>139</v>
      </c>
    </row>
    <row r="1548" spans="1:45" s="520" customFormat="1" ht="12" customHeight="1">
      <c r="A1548" s="747">
        <v>2</v>
      </c>
      <c r="B1548" s="523" t="s">
        <v>141</v>
      </c>
      <c r="C1548" s="748"/>
      <c r="D1548" s="749" t="s">
        <v>1334</v>
      </c>
      <c r="E1548" s="750">
        <f>IF(AND($A1548=0,$A$1="DIF"),0, ROUND(ROUND(($R1554*$S$2+($T1554*$T$2))/A1548,2)*$C$2,2))</f>
        <v>496.61</v>
      </c>
      <c r="F1548" s="751">
        <f>ROUND($A1548*$E1548,2)</f>
        <v>993.22</v>
      </c>
      <c r="G1548" s="752" t="s">
        <v>142</v>
      </c>
      <c r="H1548" s="753"/>
      <c r="I1548" s="754"/>
      <c r="J1548" s="753"/>
      <c r="K1548" s="753" t="s">
        <v>3</v>
      </c>
      <c r="L1548" s="755" t="s">
        <v>143</v>
      </c>
      <c r="M1548" s="755"/>
      <c r="N1548" s="755"/>
      <c r="O1548" s="755"/>
      <c r="P1548" s="755"/>
      <c r="Q1548" s="1058" t="s">
        <v>3717</v>
      </c>
      <c r="T1548" s="756" t="str">
        <f>IF(AND($R1554=0,$T1554=0),"0.00","mu :" &amp; ROUND($F1548/$C$2/($R1554+$T1554*$D$9),2))</f>
        <v>mu :1.23</v>
      </c>
      <c r="W1548" s="524"/>
      <c r="AG1548" s="481">
        <f>IF($E1548=0,0,ROUND($R1554*$S$2*$C$2/$A1548,2))</f>
        <v>449.44</v>
      </c>
      <c r="AH1548" s="481">
        <f>$AG1548*$A1548</f>
        <v>898.88</v>
      </c>
      <c r="AI1548" s="525">
        <f>$E1548-$AG1548</f>
        <v>47.170000000000016</v>
      </c>
      <c r="AJ1548" s="525">
        <f>$A1548*$AI1548</f>
        <v>94.340000000000032</v>
      </c>
      <c r="AK1548" s="526">
        <f>ROUND(($AG1548+$AI1548)*$A1548,2)</f>
        <v>993.22</v>
      </c>
      <c r="AM1548" s="527">
        <f>ROUND(R1554,2)</f>
        <v>730</v>
      </c>
      <c r="AN1548" s="528">
        <f>ROUND(T1554,2)</f>
        <v>2.79</v>
      </c>
      <c r="AO1548" s="529">
        <f>ROUND(AM1548+AN1548,2)*A1548</f>
        <v>1465.58</v>
      </c>
      <c r="AR1548" s="747">
        <v>2</v>
      </c>
      <c r="AS1548" s="751">
        <v>1003.7</v>
      </c>
    </row>
    <row r="1549" spans="1:45" s="520" customFormat="1" ht="13.2">
      <c r="A1549" s="748"/>
      <c r="B1549"/>
      <c r="C1549" s="748"/>
      <c r="D1549" s="749" t="s">
        <v>1233</v>
      </c>
      <c r="F1549" s="753"/>
      <c r="G1549" s="3"/>
      <c r="H1549" s="753"/>
      <c r="I1549" s="754"/>
      <c r="J1549" s="753"/>
      <c r="K1549" s="753" t="s">
        <v>144</v>
      </c>
      <c r="L1549" s="753"/>
      <c r="M1549" s="753"/>
      <c r="N1549" s="753"/>
      <c r="O1549" s="753"/>
      <c r="P1549" s="753"/>
      <c r="Q1549" s="51"/>
      <c r="R1549" s="530"/>
      <c r="S1549" s="757"/>
      <c r="T1549" s="753"/>
      <c r="AR1549" s="748"/>
      <c r="AS1549" s="753"/>
    </row>
    <row r="1550" spans="1:45" s="901" customFormat="1" ht="13.2">
      <c r="A1550">
        <v>2</v>
      </c>
      <c r="B1550" s="901" t="s">
        <v>141</v>
      </c>
      <c r="D1550" s="901" t="s">
        <v>2734</v>
      </c>
      <c r="F1550" s="1054" t="s">
        <v>3718</v>
      </c>
      <c r="G1550" s="941" t="s">
        <v>2735</v>
      </c>
      <c r="H1550" s="942">
        <v>510</v>
      </c>
      <c r="I1550" s="901" t="s">
        <v>2736</v>
      </c>
      <c r="J1550" s="901" t="s">
        <v>2737</v>
      </c>
      <c r="K1550" s="901" t="s">
        <v>2738</v>
      </c>
      <c r="O1550" s="943">
        <v>2</v>
      </c>
      <c r="P1550" s="944">
        <v>36880</v>
      </c>
      <c r="Q1550" s="945">
        <v>350</v>
      </c>
      <c r="R1550" s="946">
        <f>$A1550*Q1550</f>
        <v>700</v>
      </c>
      <c r="S1550" s="945">
        <v>1</v>
      </c>
      <c r="T1550" s="947">
        <f>$A1550*S1550*$T$1</f>
        <v>1.8</v>
      </c>
      <c r="AR1550">
        <v>2</v>
      </c>
      <c r="AS1550" s="1054" t="s">
        <v>3718</v>
      </c>
    </row>
    <row r="1551" spans="1:45" s="901" customFormat="1" ht="13.2">
      <c r="A1551">
        <v>2</v>
      </c>
      <c r="B1551" s="901" t="s">
        <v>141</v>
      </c>
      <c r="D1551" s="901" t="s">
        <v>3720</v>
      </c>
      <c r="G1551" s="941" t="s">
        <v>3721</v>
      </c>
      <c r="H1551" s="942">
        <v>501</v>
      </c>
      <c r="I1551" s="901" t="s">
        <v>2607</v>
      </c>
      <c r="K1551" s="901" t="s">
        <v>3722</v>
      </c>
      <c r="O1551" s="943">
        <v>1</v>
      </c>
      <c r="P1551" s="944">
        <v>38136</v>
      </c>
      <c r="Q1551" s="945">
        <v>10</v>
      </c>
      <c r="R1551" s="946">
        <f>$A1551*Q1551</f>
        <v>20</v>
      </c>
      <c r="S1551" s="945">
        <v>0.5</v>
      </c>
      <c r="T1551" s="947">
        <f>$A1551*S1551*$T$1</f>
        <v>0.9</v>
      </c>
      <c r="AR1551">
        <v>2</v>
      </c>
    </row>
    <row r="1552" spans="1:45" s="901" customFormat="1" ht="13.2">
      <c r="A1552">
        <v>2</v>
      </c>
      <c r="B1552" s="901" t="s">
        <v>141</v>
      </c>
      <c r="D1552" s="901" t="s">
        <v>2745</v>
      </c>
      <c r="G1552" s="941" t="s">
        <v>2746</v>
      </c>
      <c r="H1552" s="942">
        <v>875</v>
      </c>
      <c r="I1552" s="901" t="s">
        <v>2607</v>
      </c>
      <c r="K1552" s="901" t="s">
        <v>2747</v>
      </c>
      <c r="O1552" s="943">
        <v>3</v>
      </c>
      <c r="P1552" s="944">
        <v>34820</v>
      </c>
      <c r="Q1552" s="945">
        <v>5</v>
      </c>
      <c r="R1552" s="946">
        <f>$A1552*Q1552</f>
        <v>10</v>
      </c>
      <c r="S1552" s="945">
        <v>0.05</v>
      </c>
      <c r="T1552" s="947">
        <f>$A1552*S1552*$T$1</f>
        <v>9.0000000000000011E-2</v>
      </c>
      <c r="AR1552">
        <v>2</v>
      </c>
    </row>
    <row r="1553" spans="1:45" s="520" customFormat="1" ht="12">
      <c r="A1553" s="758"/>
      <c r="B1553" s="758"/>
      <c r="C1553" s="758"/>
      <c r="D1553" s="758"/>
      <c r="E1553" s="758"/>
      <c r="F1553" s="753"/>
      <c r="G1553" s="758"/>
      <c r="H1553" s="758"/>
      <c r="I1553" s="519"/>
      <c r="J1553" s="758"/>
      <c r="K1553" s="758"/>
      <c r="L1553" s="758"/>
      <c r="M1553" s="758"/>
      <c r="N1553" s="758"/>
      <c r="O1553" s="758"/>
      <c r="P1553" s="758"/>
      <c r="Q1553" s="519"/>
      <c r="R1553" s="759">
        <f>$A1553*Q1553</f>
        <v>0</v>
      </c>
      <c r="S1553" s="519"/>
      <c r="T1553" s="760">
        <f>$A1553*S1553*$T$1</f>
        <v>0</v>
      </c>
      <c r="AR1553" s="758"/>
      <c r="AS1553" s="753"/>
    </row>
    <row r="1554" spans="1:45" s="520" customFormat="1" ht="12.6" thickBot="1">
      <c r="A1554" s="761" t="s">
        <v>145</v>
      </c>
      <c r="B1554" s="762">
        <f>(R1553+T1553)</f>
        <v>0</v>
      </c>
      <c r="C1554" s="763"/>
      <c r="D1554" s="763"/>
      <c r="E1554" s="763"/>
      <c r="F1554" s="764"/>
      <c r="G1554" s="763" t="s">
        <v>146</v>
      </c>
      <c r="H1554" s="763"/>
      <c r="I1554" s="765"/>
      <c r="J1554" s="763"/>
      <c r="K1554" s="763" t="s">
        <v>3</v>
      </c>
      <c r="L1554" s="766" t="s">
        <v>143</v>
      </c>
      <c r="M1554" s="766"/>
      <c r="N1554" s="766"/>
      <c r="O1554" s="766"/>
      <c r="P1554" s="766"/>
      <c r="Q1554" s="767"/>
      <c r="R1554" s="768">
        <f>SUM(R1549:R1553)</f>
        <v>730</v>
      </c>
      <c r="S1554" s="763"/>
      <c r="T1554" s="768">
        <f>SUM(T1549:T1553)</f>
        <v>2.79</v>
      </c>
      <c r="U1554" s="531"/>
      <c r="V1554" s="531"/>
      <c r="W1554" s="531"/>
      <c r="X1554" s="531"/>
      <c r="Y1554" s="531"/>
      <c r="Z1554" s="531"/>
      <c r="AA1554" s="531"/>
      <c r="AB1554" s="531"/>
      <c r="AC1554" s="531"/>
      <c r="AD1554" s="531"/>
      <c r="AE1554" s="531"/>
      <c r="AF1554" s="531"/>
      <c r="AG1554" s="531"/>
      <c r="AH1554" s="531"/>
      <c r="AI1554" s="531"/>
      <c r="AJ1554" s="531"/>
      <c r="AK1554" s="531"/>
      <c r="AL1554" s="531"/>
      <c r="AM1554" s="531"/>
      <c r="AN1554" s="531"/>
      <c r="AO1554" s="531"/>
      <c r="AR1554" s="761" t="s">
        <v>145</v>
      </c>
      <c r="AS1554" s="764"/>
    </row>
    <row r="1555" spans="1:45" s="520" customFormat="1" thickTop="1">
      <c r="A1555" s="51"/>
      <c r="B1555" s="51"/>
      <c r="C1555" s="3"/>
      <c r="D1555" s="3"/>
      <c r="E1555" s="51"/>
      <c r="F1555" s="51"/>
      <c r="G1555" s="51"/>
      <c r="H1555" s="51"/>
      <c r="I1555" s="51"/>
      <c r="J1555" s="51"/>
      <c r="K1555" s="51" t="s">
        <v>134</v>
      </c>
      <c r="L1555" s="51"/>
      <c r="M1555" s="51"/>
      <c r="N1555" s="51"/>
      <c r="O1555" s="52"/>
      <c r="P1555" s="51"/>
      <c r="Q1555" s="51"/>
      <c r="R1555" s="51"/>
      <c r="S1555" s="51"/>
      <c r="T1555" s="51"/>
    </row>
    <row r="1556" spans="1:45" s="520" customFormat="1" ht="12">
      <c r="A1556" s="51"/>
      <c r="B1556" s="51"/>
      <c r="C1556" s="51" t="s">
        <v>135</v>
      </c>
      <c r="D1556" s="37" t="s">
        <v>136</v>
      </c>
      <c r="E1556" s="51"/>
      <c r="F1556" s="51"/>
      <c r="G1556" s="51"/>
      <c r="H1556" s="51"/>
      <c r="I1556" s="51"/>
      <c r="J1556" s="51"/>
      <c r="K1556" s="51"/>
      <c r="L1556" s="51"/>
      <c r="M1556" s="51"/>
      <c r="N1556" s="51"/>
      <c r="O1556" s="52"/>
      <c r="P1556" s="51"/>
      <c r="Q1556" s="51"/>
      <c r="R1556" s="51"/>
      <c r="S1556" s="51"/>
      <c r="T1556" s="51"/>
    </row>
    <row r="1557" spans="1:45" s="520" customFormat="1" ht="12">
      <c r="A1557" s="51"/>
      <c r="B1557" s="51"/>
      <c r="C1557" s="51"/>
      <c r="D1557" s="37" t="s">
        <v>498</v>
      </c>
      <c r="E1557" s="51"/>
      <c r="F1557" s="51"/>
      <c r="G1557" s="51"/>
      <c r="H1557" s="51"/>
      <c r="I1557" s="51"/>
      <c r="J1557" s="51"/>
      <c r="K1557" s="51"/>
      <c r="L1557" s="51"/>
      <c r="M1557" s="51"/>
      <c r="N1557" s="51"/>
      <c r="O1557" s="52"/>
      <c r="P1557" s="51"/>
      <c r="Q1557" s="51"/>
      <c r="R1557" s="51"/>
      <c r="S1557" s="38"/>
      <c r="T1557" s="38"/>
    </row>
    <row r="1558" spans="1:45" s="3" customFormat="1" thickBot="1">
      <c r="A1558" s="531"/>
      <c r="O1558" s="107"/>
    </row>
    <row r="1559" spans="1:45" s="520" customFormat="1" thickTop="1">
      <c r="A1559" s="51"/>
      <c r="B1559" s="51"/>
      <c r="C1559" s="3"/>
      <c r="D1559" s="3"/>
      <c r="E1559" s="51"/>
      <c r="F1559" s="51"/>
      <c r="G1559" s="51"/>
      <c r="H1559" s="51"/>
      <c r="I1559" s="51"/>
      <c r="J1559" s="51"/>
      <c r="K1559" s="51" t="s">
        <v>134</v>
      </c>
      <c r="L1559" s="51"/>
      <c r="M1559" s="51"/>
      <c r="N1559" s="51"/>
      <c r="O1559" s="52"/>
      <c r="P1559" s="51"/>
      <c r="Q1559" s="51"/>
      <c r="R1559" s="51"/>
      <c r="S1559" s="51"/>
      <c r="T1559" s="51"/>
    </row>
    <row r="1560" spans="1:45" s="520" customFormat="1" ht="12">
      <c r="A1560" s="51"/>
      <c r="B1560" s="51"/>
      <c r="C1560" s="51" t="s">
        <v>135</v>
      </c>
      <c r="D1560" s="37" t="s">
        <v>136</v>
      </c>
      <c r="E1560" s="51"/>
      <c r="F1560" s="51"/>
      <c r="G1560" s="51"/>
      <c r="H1560" s="51"/>
      <c r="I1560" s="51"/>
      <c r="J1560" s="51"/>
      <c r="K1560" s="51"/>
      <c r="L1560" s="51"/>
      <c r="M1560" s="51"/>
      <c r="N1560" s="51"/>
      <c r="O1560" s="52"/>
      <c r="P1560" s="51"/>
      <c r="Q1560" s="51"/>
      <c r="R1560" s="51"/>
      <c r="S1560" s="51"/>
      <c r="T1560" s="51"/>
    </row>
    <row r="1561" spans="1:45" s="520" customFormat="1" ht="12">
      <c r="A1561" s="51"/>
      <c r="B1561" s="51"/>
      <c r="C1561" s="51"/>
      <c r="D1561" s="37" t="s">
        <v>3825</v>
      </c>
      <c r="E1561" s="51"/>
      <c r="F1561" s="51"/>
      <c r="G1561" s="51"/>
      <c r="H1561" s="51"/>
      <c r="I1561" s="51"/>
      <c r="J1561" s="51"/>
      <c r="K1561" s="51"/>
      <c r="L1561" s="51"/>
      <c r="M1561" s="51"/>
      <c r="N1561" s="51"/>
      <c r="O1561" s="52"/>
      <c r="P1561" s="51"/>
      <c r="Q1561" s="51"/>
      <c r="R1561" s="51"/>
      <c r="S1561" s="38"/>
      <c r="T1561" s="38"/>
    </row>
    <row r="1562" spans="1:45" s="3" customFormat="1" thickBot="1">
      <c r="A1562" s="531"/>
      <c r="O1562" s="107"/>
    </row>
    <row r="1563" spans="1:45" s="520" customFormat="1" ht="12" thickTop="1">
      <c r="A1563" s="51"/>
      <c r="B1563" s="41"/>
      <c r="C1563" s="51"/>
      <c r="E1563" s="42" t="s">
        <v>138</v>
      </c>
      <c r="F1563" s="42" t="s">
        <v>139</v>
      </c>
      <c r="G1563" s="51"/>
      <c r="H1563" s="51"/>
      <c r="I1563" s="51"/>
      <c r="J1563" s="51"/>
      <c r="K1563" s="51" t="s">
        <v>140</v>
      </c>
      <c r="L1563" s="51"/>
      <c r="M1563" s="51"/>
      <c r="N1563" s="51"/>
      <c r="O1563" s="52"/>
      <c r="P1563" s="51"/>
      <c r="Q1563" s="51"/>
      <c r="R1563" s="51"/>
      <c r="S1563" s="51"/>
      <c r="T1563" s="41"/>
      <c r="AG1563" s="521" t="s">
        <v>268</v>
      </c>
      <c r="AH1563" s="521" t="s">
        <v>269</v>
      </c>
      <c r="AI1563" s="521" t="s">
        <v>270</v>
      </c>
      <c r="AJ1563" s="521" t="s">
        <v>271</v>
      </c>
      <c r="AK1563" s="521" t="s">
        <v>272</v>
      </c>
      <c r="AM1563" s="745" t="s">
        <v>281</v>
      </c>
      <c r="AN1563" s="746" t="s">
        <v>282</v>
      </c>
      <c r="AO1563" s="522" t="s">
        <v>278</v>
      </c>
    </row>
    <row r="1564" spans="1:45" s="520" customFormat="1" ht="12" customHeight="1">
      <c r="A1564" s="747">
        <v>20</v>
      </c>
      <c r="B1564" s="523" t="s">
        <v>141</v>
      </c>
      <c r="C1564" s="748"/>
      <c r="D1564" s="749" t="s">
        <v>3873</v>
      </c>
      <c r="E1564" s="750">
        <f ca="1">IF(AND($A1564=0,$A$1="DIF"),0, ROUND(ROUND(($R1569*$S$2+($T1569*$T$2))/A1564,2)*$C$2,2))</f>
        <v>8.18</v>
      </c>
      <c r="F1564" s="751">
        <f ca="1">ROUND($A1564*$E1564,2)</f>
        <v>163.6</v>
      </c>
      <c r="G1564" s="752" t="s">
        <v>142</v>
      </c>
      <c r="H1564" s="753"/>
      <c r="I1564" s="754"/>
      <c r="J1564" s="753"/>
      <c r="K1564" s="753" t="s">
        <v>3</v>
      </c>
      <c r="L1564" s="755" t="s">
        <v>143</v>
      </c>
      <c r="M1564" s="755"/>
      <c r="N1564" s="755"/>
      <c r="O1564" s="755"/>
      <c r="P1564" s="755"/>
      <c r="Q1564" s="51"/>
      <c r="T1564" s="756" t="str">
        <f ca="1">IF(AND($R1569=0,$T1569=0),"0.00","mu :" &amp; ROUND($F1564/$C$2/($R1569+$T1569*$D$9),2))</f>
        <v>mu :1.23</v>
      </c>
      <c r="W1564" s="524"/>
      <c r="AG1564" s="481">
        <f ca="1">IF($E1564=0,0,ROUND($R1569*$S$2*$C$2/$A1564,2))</f>
        <v>5.13</v>
      </c>
      <c r="AH1564" s="481">
        <f ca="1">$AG1564*$A1564</f>
        <v>102.6</v>
      </c>
      <c r="AI1564" s="525">
        <f ca="1">$E1564-$AG1564</f>
        <v>3.05</v>
      </c>
      <c r="AJ1564" s="525">
        <f ca="1">$A1564*$AI1564</f>
        <v>61</v>
      </c>
      <c r="AK1564" s="526">
        <f ca="1">ROUND(($AG1564+$AI1564)*$A1564,2)</f>
        <v>163.6</v>
      </c>
      <c r="AM1564" s="527">
        <f ca="1">ROUND(R1569,2)</f>
        <v>83.4</v>
      </c>
      <c r="AN1564" s="528">
        <f ca="1">ROUND(T1569,2)</f>
        <v>1.8</v>
      </c>
      <c r="AO1564" s="529">
        <f ca="1">ROUND(AM1564+AN1564,2)*A1564</f>
        <v>1704</v>
      </c>
    </row>
    <row r="1565" spans="1:45" s="520" customFormat="1" ht="13.2">
      <c r="A1565" s="748"/>
      <c r="B1565"/>
      <c r="C1565" s="748"/>
      <c r="D1565" s="749" t="s">
        <v>3875</v>
      </c>
      <c r="F1565" s="753"/>
      <c r="G1565" s="3"/>
      <c r="H1565" s="753"/>
      <c r="I1565" s="754"/>
      <c r="J1565" s="753"/>
      <c r="K1565" s="753" t="s">
        <v>144</v>
      </c>
      <c r="L1565" s="753"/>
      <c r="M1565" s="753"/>
      <c r="N1565" s="753"/>
      <c r="O1565" s="753"/>
      <c r="P1565" s="753"/>
      <c r="Q1565" s="51"/>
      <c r="R1565" s="530"/>
      <c r="S1565" s="757"/>
      <c r="T1565" s="753"/>
    </row>
    <row r="1566" spans="1:45" s="886" customFormat="1" ht="13.2">
      <c r="A1566"/>
      <c r="B1566" s="910"/>
      <c r="C1566" s="910" t="s">
        <v>2597</v>
      </c>
      <c r="D1566" s="910" t="str">
        <f ca="1">CELL("Address",Elec_Rates!D$468)</f>
        <v>[E25_0062_Quintano_Foods_Elec_ELV_As_Awarded.xlsx]Elec_Rates!$D$468</v>
      </c>
      <c r="E1566" s="911"/>
      <c r="F1566" s="911"/>
      <c r="G1566" s="912" t="s">
        <v>2598</v>
      </c>
      <c r="H1566" s="912"/>
      <c r="I1566" s="912"/>
      <c r="J1566" s="912"/>
      <c r="K1566" s="913"/>
      <c r="L1566" s="911"/>
      <c r="M1566" s="911"/>
      <c r="N1566" s="911"/>
      <c r="O1566" s="914"/>
      <c r="P1566" s="911"/>
      <c r="Q1566" s="915"/>
      <c r="R1566" s="916"/>
      <c r="S1566" s="915"/>
      <c r="T1566" s="917"/>
      <c r="U1566" s="918"/>
      <c r="AR1566"/>
      <c r="AS1566" s="911"/>
    </row>
    <row r="1567" spans="1:45" s="886" customFormat="1" ht="11.4">
      <c r="A1567" s="919">
        <v>20</v>
      </c>
      <c r="B1567" s="920">
        <v>1</v>
      </c>
      <c r="C1567" s="920">
        <f>$A1567*$B1567</f>
        <v>20</v>
      </c>
      <c r="D1567" s="921" t="str">
        <f>Elec_Rates!$D$468</f>
        <v>045# 5 x 4mm2 XLPE/SWA/LSZH</v>
      </c>
      <c r="E1567" s="921"/>
      <c r="F1567" s="921" t="s">
        <v>2599</v>
      </c>
      <c r="G1567" s="922" t="s">
        <v>2601</v>
      </c>
      <c r="H1567" s="922"/>
      <c r="I1567" s="922"/>
      <c r="J1567" s="922"/>
      <c r="K1567" s="923"/>
      <c r="L1567" s="918"/>
      <c r="M1567" s="918"/>
      <c r="N1567" s="918"/>
      <c r="O1567" s="924"/>
      <c r="P1567" s="921"/>
      <c r="Q1567" s="925">
        <f ca="1">$B1567*Elec_Rates!$R$468</f>
        <v>4.17</v>
      </c>
      <c r="R1567" s="916">
        <f ca="1">$A1567*Q1567</f>
        <v>83.4</v>
      </c>
      <c r="S1567" s="925">
        <f ca="1">$B1567*Elec_Rates!$T$468</f>
        <v>0.09</v>
      </c>
      <c r="T1567" s="917">
        <f ca="1">$A1567*S1567</f>
        <v>1.7999999999999998</v>
      </c>
      <c r="U1567" s="926"/>
      <c r="AR1567" s="919">
        <v>35</v>
      </c>
      <c r="AS1567" s="921" t="s">
        <v>2599</v>
      </c>
    </row>
    <row r="1568" spans="1:45" s="520" customFormat="1" ht="12">
      <c r="A1568" s="758"/>
      <c r="B1568" s="758"/>
      <c r="C1568" s="758"/>
      <c r="D1568" s="758"/>
      <c r="E1568" s="758"/>
      <c r="F1568" s="753"/>
      <c r="G1568" s="758"/>
      <c r="H1568" s="758"/>
      <c r="I1568" s="519"/>
      <c r="J1568" s="758"/>
      <c r="K1568" s="758"/>
      <c r="L1568" s="758"/>
      <c r="M1568" s="758"/>
      <c r="N1568" s="758"/>
      <c r="O1568" s="758"/>
      <c r="P1568" s="758"/>
      <c r="Q1568" s="519"/>
      <c r="R1568" s="759">
        <f t="shared" ref="R1568" si="90">$A1568*Q1568</f>
        <v>0</v>
      </c>
      <c r="S1568" s="519"/>
      <c r="T1568" s="760">
        <f t="shared" ref="T1568" si="91">$A1568*S1568*$T$1</f>
        <v>0</v>
      </c>
    </row>
    <row r="1569" spans="1:45" s="520" customFormat="1" ht="12.6" thickBot="1">
      <c r="A1569" s="761" t="s">
        <v>145</v>
      </c>
      <c r="B1569" s="762">
        <f>(R1568+T1568)</f>
        <v>0</v>
      </c>
      <c r="C1569" s="763"/>
      <c r="D1569" s="763"/>
      <c r="E1569" s="763"/>
      <c r="F1569" s="764"/>
      <c r="G1569" s="763" t="s">
        <v>146</v>
      </c>
      <c r="H1569" s="763"/>
      <c r="I1569" s="765"/>
      <c r="J1569" s="763"/>
      <c r="K1569" s="763" t="s">
        <v>3</v>
      </c>
      <c r="L1569" s="766" t="s">
        <v>143</v>
      </c>
      <c r="M1569" s="766"/>
      <c r="N1569" s="766"/>
      <c r="O1569" s="766"/>
      <c r="P1569" s="766"/>
      <c r="Q1569" s="767"/>
      <c r="R1569" s="768">
        <f ca="1">SUM(R1565:R1568)</f>
        <v>83.4</v>
      </c>
      <c r="S1569" s="763"/>
      <c r="T1569" s="768">
        <f ca="1">SUM(T1565:T1568)</f>
        <v>1.7999999999999998</v>
      </c>
      <c r="U1569" s="531"/>
      <c r="V1569" s="531"/>
      <c r="W1569" s="531"/>
      <c r="X1569" s="531"/>
      <c r="Y1569" s="531"/>
      <c r="Z1569" s="531"/>
      <c r="AA1569" s="531"/>
      <c r="AB1569" s="531"/>
      <c r="AC1569" s="531"/>
      <c r="AD1569" s="531"/>
      <c r="AE1569" s="531"/>
      <c r="AF1569" s="531"/>
      <c r="AG1569" s="531"/>
      <c r="AH1569" s="531"/>
      <c r="AI1569" s="531"/>
      <c r="AJ1569" s="531"/>
      <c r="AK1569" s="531"/>
      <c r="AL1569" s="531"/>
      <c r="AM1569" s="531"/>
      <c r="AN1569" s="531"/>
      <c r="AO1569" s="531"/>
    </row>
    <row r="1570" spans="1:45" s="520" customFormat="1" ht="12" thickTop="1">
      <c r="A1570" s="51"/>
      <c r="B1570" s="41"/>
      <c r="C1570" s="51"/>
      <c r="E1570" s="42" t="s">
        <v>138</v>
      </c>
      <c r="F1570" s="42" t="s">
        <v>139</v>
      </c>
      <c r="G1570" s="51"/>
      <c r="H1570" s="51"/>
      <c r="I1570" s="51"/>
      <c r="J1570" s="51"/>
      <c r="K1570" s="51" t="s">
        <v>140</v>
      </c>
      <c r="L1570" s="51"/>
      <c r="M1570" s="51"/>
      <c r="N1570" s="51"/>
      <c r="O1570" s="52"/>
      <c r="P1570" s="51"/>
      <c r="Q1570" s="51"/>
      <c r="R1570" s="51"/>
      <c r="S1570" s="51"/>
      <c r="T1570" s="41"/>
      <c r="AG1570" s="521" t="s">
        <v>268</v>
      </c>
      <c r="AH1570" s="521" t="s">
        <v>269</v>
      </c>
      <c r="AI1570" s="521" t="s">
        <v>270</v>
      </c>
      <c r="AJ1570" s="521" t="s">
        <v>271</v>
      </c>
      <c r="AK1570" s="521" t="s">
        <v>272</v>
      </c>
      <c r="AM1570" s="745" t="s">
        <v>281</v>
      </c>
      <c r="AN1570" s="746" t="s">
        <v>282</v>
      </c>
      <c r="AO1570" s="522" t="s">
        <v>278</v>
      </c>
    </row>
    <row r="1571" spans="1:45" s="520" customFormat="1" ht="12" customHeight="1">
      <c r="A1571" s="747">
        <v>20</v>
      </c>
      <c r="B1571" s="523" t="s">
        <v>141</v>
      </c>
      <c r="C1571" s="748"/>
      <c r="D1571" s="749" t="s">
        <v>3874</v>
      </c>
      <c r="E1571" s="750">
        <f ca="1">IF(AND($A1571=0,$A$1="DIF"),0, ROUND(ROUND(($R1576*$S$2+($T1576*$T$2))/A1571,2)*$C$2,2))</f>
        <v>8.18</v>
      </c>
      <c r="F1571" s="751">
        <f ca="1">ROUND($A1571*$E1571,2)</f>
        <v>163.6</v>
      </c>
      <c r="G1571" s="752" t="s">
        <v>142</v>
      </c>
      <c r="H1571" s="753"/>
      <c r="I1571" s="754"/>
      <c r="J1571" s="753"/>
      <c r="K1571" s="753" t="s">
        <v>3</v>
      </c>
      <c r="L1571" s="755" t="s">
        <v>143</v>
      </c>
      <c r="M1571" s="755"/>
      <c r="N1571" s="755"/>
      <c r="O1571" s="755"/>
      <c r="P1571" s="755"/>
      <c r="Q1571" s="51"/>
      <c r="T1571" s="756" t="str">
        <f ca="1">IF(AND($R1576=0,$T1576=0),"0.00","mu :" &amp; ROUND($F1571/$C$2/($R1576+$T1576*$D$9),2))</f>
        <v>mu :1.23</v>
      </c>
      <c r="W1571" s="524"/>
      <c r="AG1571" s="481">
        <f ca="1">IF($E1571=0,0,ROUND($R1576*$S$2*$C$2/$A1571,2))</f>
        <v>5.13</v>
      </c>
      <c r="AH1571" s="481">
        <f ca="1">$AG1571*$A1571</f>
        <v>102.6</v>
      </c>
      <c r="AI1571" s="525">
        <f ca="1">$E1571-$AG1571</f>
        <v>3.05</v>
      </c>
      <c r="AJ1571" s="525">
        <f ca="1">$A1571*$AI1571</f>
        <v>61</v>
      </c>
      <c r="AK1571" s="526">
        <f ca="1">ROUND(($AG1571+$AI1571)*$A1571,2)</f>
        <v>163.6</v>
      </c>
      <c r="AM1571" s="527">
        <f ca="1">ROUND(R1576,2)</f>
        <v>83.4</v>
      </c>
      <c r="AN1571" s="528">
        <f ca="1">ROUND(T1576,2)</f>
        <v>1.8</v>
      </c>
      <c r="AO1571" s="529">
        <f ca="1">ROUND(AM1571+AN1571,2)*A1571</f>
        <v>1704</v>
      </c>
    </row>
    <row r="1572" spans="1:45" s="520" customFormat="1" ht="13.2">
      <c r="A1572" s="748"/>
      <c r="B1572"/>
      <c r="C1572" s="748"/>
      <c r="D1572" s="749" t="s">
        <v>3876</v>
      </c>
      <c r="F1572" s="753"/>
      <c r="G1572" s="3"/>
      <c r="H1572" s="753"/>
      <c r="I1572" s="754"/>
      <c r="J1572" s="753"/>
      <c r="K1572" s="753" t="s">
        <v>144</v>
      </c>
      <c r="L1572" s="753"/>
      <c r="M1572" s="753"/>
      <c r="N1572" s="753"/>
      <c r="O1572" s="753"/>
      <c r="P1572" s="753"/>
      <c r="Q1572" s="51"/>
      <c r="R1572" s="530"/>
      <c r="S1572" s="757"/>
      <c r="T1572" s="753"/>
    </row>
    <row r="1573" spans="1:45" s="886" customFormat="1" ht="13.2">
      <c r="A1573"/>
      <c r="B1573" s="910"/>
      <c r="C1573" s="910" t="s">
        <v>2597</v>
      </c>
      <c r="D1573" s="910" t="str">
        <f ca="1">CELL("Address",Elec_Rates!D$468)</f>
        <v>[E25_0062_Quintano_Foods_Elec_ELV_As_Awarded.xlsx]Elec_Rates!$D$468</v>
      </c>
      <c r="E1573" s="911"/>
      <c r="F1573" s="911"/>
      <c r="G1573" s="912" t="s">
        <v>2598</v>
      </c>
      <c r="H1573" s="912"/>
      <c r="I1573" s="912"/>
      <c r="J1573" s="912"/>
      <c r="K1573" s="913"/>
      <c r="L1573" s="911"/>
      <c r="M1573" s="911"/>
      <c r="N1573" s="911"/>
      <c r="O1573" s="914"/>
      <c r="P1573" s="911"/>
      <c r="Q1573" s="915"/>
      <c r="R1573" s="916"/>
      <c r="S1573" s="915"/>
      <c r="T1573" s="917"/>
      <c r="U1573" s="918"/>
      <c r="AR1573"/>
      <c r="AS1573" s="911"/>
    </row>
    <row r="1574" spans="1:45" s="886" customFormat="1" ht="11.4">
      <c r="A1574" s="919">
        <v>20</v>
      </c>
      <c r="B1574" s="920">
        <v>1</v>
      </c>
      <c r="C1574" s="920">
        <f>$A1574*$B1574</f>
        <v>20</v>
      </c>
      <c r="D1574" s="921" t="str">
        <f>Elec_Rates!$D$468</f>
        <v>045# 5 x 4mm2 XLPE/SWA/LSZH</v>
      </c>
      <c r="E1574" s="921"/>
      <c r="F1574" s="921" t="s">
        <v>2599</v>
      </c>
      <c r="G1574" s="922" t="s">
        <v>2601</v>
      </c>
      <c r="H1574" s="922"/>
      <c r="I1574" s="922"/>
      <c r="J1574" s="922"/>
      <c r="K1574" s="923"/>
      <c r="L1574" s="918"/>
      <c r="M1574" s="918"/>
      <c r="N1574" s="918"/>
      <c r="O1574" s="924"/>
      <c r="P1574" s="921"/>
      <c r="Q1574" s="925">
        <f ca="1">$B1574*Elec_Rates!$R$468</f>
        <v>4.17</v>
      </c>
      <c r="R1574" s="916">
        <f ca="1">$A1574*Q1574</f>
        <v>83.4</v>
      </c>
      <c r="S1574" s="925">
        <f ca="1">$B1574*Elec_Rates!$T$468</f>
        <v>0.09</v>
      </c>
      <c r="T1574" s="917">
        <f ca="1">$A1574*S1574</f>
        <v>1.7999999999999998</v>
      </c>
      <c r="U1574" s="926"/>
      <c r="AR1574" s="919">
        <v>35</v>
      </c>
      <c r="AS1574" s="921" t="s">
        <v>2599</v>
      </c>
    </row>
    <row r="1575" spans="1:45" s="520" customFormat="1" ht="12">
      <c r="A1575" s="758"/>
      <c r="B1575" s="758"/>
      <c r="C1575" s="758"/>
      <c r="D1575" s="758"/>
      <c r="E1575" s="758"/>
      <c r="F1575" s="753"/>
      <c r="G1575" s="758"/>
      <c r="H1575" s="758"/>
      <c r="I1575" s="519"/>
      <c r="J1575" s="758"/>
      <c r="K1575" s="758"/>
      <c r="L1575" s="758"/>
      <c r="M1575" s="758"/>
      <c r="N1575" s="758"/>
      <c r="O1575" s="758"/>
      <c r="P1575" s="758"/>
      <c r="Q1575" s="519"/>
      <c r="R1575" s="759">
        <f t="shared" ref="R1575" si="92">$A1575*Q1575</f>
        <v>0</v>
      </c>
      <c r="S1575" s="519"/>
      <c r="T1575" s="760">
        <f t="shared" ref="T1575" si="93">$A1575*S1575*$T$1</f>
        <v>0</v>
      </c>
    </row>
    <row r="1576" spans="1:45" s="520" customFormat="1" ht="12.6" thickBot="1">
      <c r="A1576" s="761" t="s">
        <v>145</v>
      </c>
      <c r="B1576" s="762">
        <f>(R1575+T1575)</f>
        <v>0</v>
      </c>
      <c r="C1576" s="763"/>
      <c r="D1576" s="763"/>
      <c r="E1576" s="763"/>
      <c r="F1576" s="764"/>
      <c r="G1576" s="763" t="s">
        <v>146</v>
      </c>
      <c r="H1576" s="763"/>
      <c r="I1576" s="765"/>
      <c r="J1576" s="763"/>
      <c r="K1576" s="763" t="s">
        <v>3</v>
      </c>
      <c r="L1576" s="766" t="s">
        <v>143</v>
      </c>
      <c r="M1576" s="766"/>
      <c r="N1576" s="766"/>
      <c r="O1576" s="766"/>
      <c r="P1576" s="766"/>
      <c r="Q1576" s="767"/>
      <c r="R1576" s="768">
        <f ca="1">SUM(R1572:R1575)</f>
        <v>83.4</v>
      </c>
      <c r="S1576" s="763"/>
      <c r="T1576" s="768">
        <f ca="1">SUM(T1572:T1575)</f>
        <v>1.7999999999999998</v>
      </c>
      <c r="U1576" s="531"/>
      <c r="V1576" s="531"/>
      <c r="W1576" s="531"/>
      <c r="X1576" s="531"/>
      <c r="Y1576" s="531"/>
      <c r="Z1576" s="531"/>
      <c r="AA1576" s="531"/>
      <c r="AB1576" s="531"/>
      <c r="AC1576" s="531"/>
      <c r="AD1576" s="531"/>
      <c r="AE1576" s="531"/>
      <c r="AF1576" s="531"/>
      <c r="AG1576" s="531"/>
      <c r="AH1576" s="531"/>
      <c r="AI1576" s="531"/>
      <c r="AJ1576" s="531"/>
      <c r="AK1576" s="531"/>
      <c r="AL1576" s="531"/>
      <c r="AM1576" s="531"/>
      <c r="AN1576" s="531"/>
      <c r="AO1576" s="531"/>
    </row>
    <row r="1577" spans="1:45" s="520" customFormat="1" thickTop="1">
      <c r="A1577" s="51"/>
      <c r="B1577" s="51"/>
      <c r="C1577" s="3"/>
      <c r="D1577" s="3"/>
      <c r="E1577" s="51"/>
      <c r="F1577" s="51"/>
      <c r="G1577" s="51"/>
      <c r="H1577" s="51"/>
      <c r="I1577" s="51"/>
      <c r="J1577" s="51"/>
      <c r="K1577" s="51" t="s">
        <v>134</v>
      </c>
      <c r="L1577" s="51"/>
      <c r="M1577" s="51"/>
      <c r="N1577" s="51"/>
      <c r="O1577" s="52"/>
      <c r="P1577" s="51"/>
      <c r="Q1577" s="51"/>
      <c r="R1577" s="51"/>
      <c r="S1577" s="51"/>
      <c r="T1577" s="51"/>
    </row>
    <row r="1578" spans="1:45" s="520" customFormat="1" ht="12">
      <c r="A1578" s="51"/>
      <c r="B1578" s="51"/>
      <c r="C1578" s="51" t="s">
        <v>135</v>
      </c>
      <c r="D1578" s="37" t="s">
        <v>136</v>
      </c>
      <c r="E1578" s="51"/>
      <c r="F1578" s="51"/>
      <c r="G1578" s="51"/>
      <c r="H1578" s="51"/>
      <c r="I1578" s="51"/>
      <c r="J1578" s="51"/>
      <c r="K1578" s="51"/>
      <c r="L1578" s="51"/>
      <c r="M1578" s="51"/>
      <c r="N1578" s="51"/>
      <c r="O1578" s="52"/>
      <c r="P1578" s="51"/>
      <c r="Q1578" s="51"/>
      <c r="R1578" s="51"/>
      <c r="S1578" s="51"/>
      <c r="T1578" s="51"/>
    </row>
    <row r="1579" spans="1:45" s="520" customFormat="1" ht="12">
      <c r="A1579" s="51"/>
      <c r="B1579" s="51"/>
      <c r="C1579" s="51"/>
      <c r="D1579" s="37" t="s">
        <v>463</v>
      </c>
      <c r="E1579" s="51"/>
      <c r="F1579" s="51"/>
      <c r="G1579" s="51"/>
      <c r="H1579" s="51"/>
      <c r="I1579" s="51"/>
      <c r="J1579" s="51"/>
      <c r="K1579" s="51"/>
      <c r="L1579" s="51"/>
      <c r="M1579" s="51"/>
      <c r="N1579" s="51"/>
      <c r="O1579" s="52"/>
      <c r="P1579" s="51"/>
      <c r="Q1579" s="51"/>
      <c r="R1579" s="51"/>
      <c r="S1579" s="38"/>
      <c r="T1579" s="38"/>
    </row>
    <row r="1580" spans="1:45" s="3" customFormat="1" thickBot="1">
      <c r="A1580" s="531"/>
      <c r="O1580" s="107"/>
    </row>
    <row r="1581" spans="1:45" s="520" customFormat="1" ht="12" thickTop="1">
      <c r="A1581" s="51"/>
      <c r="B1581" s="41"/>
      <c r="C1581" s="51"/>
      <c r="E1581" s="42" t="s">
        <v>138</v>
      </c>
      <c r="F1581" s="42" t="s">
        <v>139</v>
      </c>
      <c r="G1581" s="51"/>
      <c r="H1581" s="51"/>
      <c r="I1581" s="51"/>
      <c r="J1581" s="51"/>
      <c r="K1581" s="51" t="s">
        <v>140</v>
      </c>
      <c r="L1581" s="51"/>
      <c r="M1581" s="51"/>
      <c r="N1581" s="51"/>
      <c r="O1581" s="52"/>
      <c r="P1581" s="51"/>
      <c r="Q1581" s="51"/>
      <c r="R1581" s="51"/>
      <c r="S1581" s="51"/>
      <c r="T1581" s="41"/>
      <c r="AG1581" s="521" t="s">
        <v>268</v>
      </c>
      <c r="AH1581" s="521" t="s">
        <v>269</v>
      </c>
      <c r="AI1581" s="521" t="s">
        <v>270</v>
      </c>
      <c r="AJ1581" s="521" t="s">
        <v>271</v>
      </c>
      <c r="AK1581" s="521" t="s">
        <v>272</v>
      </c>
      <c r="AM1581" s="745" t="s">
        <v>281</v>
      </c>
      <c r="AN1581" s="746" t="s">
        <v>282</v>
      </c>
      <c r="AO1581" s="522" t="s">
        <v>278</v>
      </c>
    </row>
    <row r="1582" spans="1:45" s="520" customFormat="1" ht="12" customHeight="1">
      <c r="A1582" s="747">
        <v>2</v>
      </c>
      <c r="B1582" s="523" t="s">
        <v>141</v>
      </c>
      <c r="C1582" s="748"/>
      <c r="D1582" s="749" t="s">
        <v>3877</v>
      </c>
      <c r="E1582" s="750">
        <f ca="1">IF(AND($A1582=0,$A$1="DIF"),0, ROUND(ROUND(($R1587*$S$2+($T1587*$T$2))/A1582,2)*$C$2,2))</f>
        <v>57.79</v>
      </c>
      <c r="F1582" s="751">
        <f ca="1">ROUND($A1582*$E1582,2)</f>
        <v>115.58</v>
      </c>
      <c r="G1582" s="752" t="s">
        <v>142</v>
      </c>
      <c r="H1582" s="753"/>
      <c r="I1582" s="754"/>
      <c r="J1582" s="753"/>
      <c r="K1582" s="753" t="s">
        <v>3</v>
      </c>
      <c r="L1582" s="755" t="s">
        <v>143</v>
      </c>
      <c r="M1582" s="755"/>
      <c r="N1582" s="755"/>
      <c r="O1582" s="755"/>
      <c r="P1582" s="755"/>
      <c r="Q1582" s="51"/>
      <c r="T1582" s="756" t="str">
        <f ca="1">IF(AND($R1587=0,$T1587=0),"0.00","mu :" &amp; ROUND($F1582/$C$2/($R1587+$T1587*$D$9),2))</f>
        <v>mu :1.23</v>
      </c>
      <c r="W1582" s="524"/>
      <c r="AG1582" s="481">
        <f ca="1">IF($E1582=0,0,ROUND($R1587*$S$2*$C$2/$A1582,2))</f>
        <v>33.44</v>
      </c>
      <c r="AH1582" s="481">
        <f ca="1">$AG1582*$A1582</f>
        <v>66.88</v>
      </c>
      <c r="AI1582" s="525">
        <f ca="1">$E1582-$AG1582</f>
        <v>24.35</v>
      </c>
      <c r="AJ1582" s="525">
        <f ca="1">$A1582*$AI1582</f>
        <v>48.7</v>
      </c>
      <c r="AK1582" s="526">
        <f ca="1">ROUND(($AG1582+$AI1582)*$A1582,2)</f>
        <v>115.58</v>
      </c>
      <c r="AM1582" s="527">
        <f ca="1">ROUND(R1587,2)</f>
        <v>54.32</v>
      </c>
      <c r="AN1582" s="528">
        <f ca="1">ROUND(T1587,2)</f>
        <v>1.44</v>
      </c>
      <c r="AO1582" s="529">
        <f ca="1">ROUND(AM1582+AN1582,2)*A1582</f>
        <v>111.52</v>
      </c>
    </row>
    <row r="1583" spans="1:45" s="520" customFormat="1" ht="13.2">
      <c r="A1583" s="748"/>
      <c r="B1583"/>
      <c r="C1583" s="748"/>
      <c r="D1583" s="749" t="s">
        <v>595</v>
      </c>
      <c r="F1583" s="753"/>
      <c r="G1583" s="3"/>
      <c r="H1583" s="753"/>
      <c r="I1583" s="754"/>
      <c r="J1583" s="753"/>
      <c r="K1583" s="753" t="s">
        <v>144</v>
      </c>
      <c r="L1583" s="753"/>
      <c r="M1583" s="753"/>
      <c r="N1583" s="753"/>
      <c r="O1583" s="753"/>
      <c r="P1583" s="753"/>
      <c r="Q1583" s="51"/>
      <c r="R1583" s="530"/>
      <c r="S1583" s="757"/>
      <c r="T1583" s="753"/>
    </row>
    <row r="1584" spans="1:45" s="886" customFormat="1" ht="13.2">
      <c r="A1584"/>
      <c r="B1584" s="910"/>
      <c r="C1584" s="910" t="s">
        <v>2597</v>
      </c>
      <c r="D1584" s="910" t="str">
        <f ca="1">CELL("Address",Elec_Rates!D$210)</f>
        <v>[E25_0062_Quintano_Foods_Elec_ELV_As_Awarded.xlsx]Elec_Rates!$D$210</v>
      </c>
      <c r="E1584" s="911"/>
      <c r="F1584" s="911"/>
      <c r="G1584" s="912" t="s">
        <v>2598</v>
      </c>
      <c r="H1584" s="912"/>
      <c r="I1584" s="912"/>
      <c r="J1584" s="912"/>
      <c r="K1584" s="913"/>
      <c r="L1584" s="911"/>
      <c r="M1584" s="911"/>
      <c r="N1584" s="911"/>
      <c r="O1584" s="914"/>
      <c r="P1584" s="911"/>
      <c r="Q1584" s="915"/>
      <c r="R1584" s="916"/>
      <c r="S1584" s="915"/>
      <c r="T1584" s="917"/>
      <c r="U1584" s="918"/>
      <c r="AR1584"/>
      <c r="AS1584" s="911"/>
    </row>
    <row r="1585" spans="1:45" s="886" customFormat="1" ht="11.4">
      <c r="A1585" s="919">
        <v>2</v>
      </c>
      <c r="B1585" s="920">
        <v>1</v>
      </c>
      <c r="C1585" s="920">
        <f>$A1585*$B1585</f>
        <v>2</v>
      </c>
      <c r="D1585" s="921" t="str">
        <f>Elec_Rates!$D$210</f>
        <v>020# 3-Phase 20/25/32A Isolator</v>
      </c>
      <c r="E1585" s="921"/>
      <c r="F1585" s="921" t="s">
        <v>2599</v>
      </c>
      <c r="G1585" s="922" t="s">
        <v>2601</v>
      </c>
      <c r="H1585" s="922"/>
      <c r="I1585" s="922"/>
      <c r="J1585" s="922"/>
      <c r="K1585" s="923"/>
      <c r="L1585" s="918"/>
      <c r="M1585" s="918"/>
      <c r="N1585" s="918"/>
      <c r="O1585" s="924"/>
      <c r="P1585" s="921"/>
      <c r="Q1585" s="925">
        <f ca="1">$B1585*Elec_Rates!$R$210</f>
        <v>27.16</v>
      </c>
      <c r="R1585" s="916">
        <f ca="1">$A1585*Q1585</f>
        <v>54.32</v>
      </c>
      <c r="S1585" s="925">
        <f ca="1">$B1585*Elec_Rates!$T$210</f>
        <v>0.72</v>
      </c>
      <c r="T1585" s="917">
        <f ca="1">$A1585*S1585</f>
        <v>1.44</v>
      </c>
      <c r="U1585" s="926"/>
      <c r="AR1585" s="919">
        <v>2</v>
      </c>
      <c r="AS1585" s="921" t="s">
        <v>2599</v>
      </c>
    </row>
    <row r="1586" spans="1:45" s="520" customFormat="1" ht="12">
      <c r="A1586" s="758"/>
      <c r="B1586" s="758"/>
      <c r="C1586" s="758"/>
      <c r="D1586" s="758"/>
      <c r="E1586" s="758"/>
      <c r="F1586" s="753"/>
      <c r="G1586" s="758"/>
      <c r="H1586" s="758"/>
      <c r="I1586" s="519"/>
      <c r="J1586" s="758"/>
      <c r="K1586" s="758"/>
      <c r="L1586" s="758"/>
      <c r="M1586" s="758"/>
      <c r="N1586" s="758"/>
      <c r="O1586" s="758"/>
      <c r="P1586" s="758"/>
      <c r="Q1586" s="519"/>
      <c r="R1586" s="759">
        <f t="shared" ref="R1586" si="94">$A1586*Q1586</f>
        <v>0</v>
      </c>
      <c r="S1586" s="519"/>
      <c r="T1586" s="760">
        <f t="shared" ref="T1586" si="95">$A1586*S1586*$T$1</f>
        <v>0</v>
      </c>
    </row>
    <row r="1587" spans="1:45" s="520" customFormat="1" ht="12.6" thickBot="1">
      <c r="A1587" s="761" t="s">
        <v>145</v>
      </c>
      <c r="B1587" s="762">
        <f>(R1586+T1586)</f>
        <v>0</v>
      </c>
      <c r="C1587" s="763"/>
      <c r="D1587" s="763"/>
      <c r="E1587" s="763"/>
      <c r="F1587" s="764"/>
      <c r="G1587" s="763" t="s">
        <v>146</v>
      </c>
      <c r="H1587" s="763"/>
      <c r="I1587" s="765"/>
      <c r="J1587" s="763"/>
      <c r="K1587" s="763" t="s">
        <v>3</v>
      </c>
      <c r="L1587" s="766" t="s">
        <v>143</v>
      </c>
      <c r="M1587" s="766"/>
      <c r="N1587" s="766"/>
      <c r="O1587" s="766"/>
      <c r="P1587" s="766"/>
      <c r="Q1587" s="767"/>
      <c r="R1587" s="768">
        <f ca="1">SUM(R1583:R1586)</f>
        <v>54.32</v>
      </c>
      <c r="S1587" s="763"/>
      <c r="T1587" s="768">
        <f ca="1">SUM(T1583:T1586)</f>
        <v>1.44</v>
      </c>
      <c r="U1587" s="531"/>
      <c r="V1587" s="531"/>
      <c r="W1587" s="531"/>
      <c r="X1587" s="531"/>
      <c r="Y1587" s="531"/>
      <c r="Z1587" s="531"/>
      <c r="AA1587" s="531"/>
      <c r="AB1587" s="531"/>
      <c r="AC1587" s="531"/>
      <c r="AD1587" s="531"/>
      <c r="AE1587" s="531"/>
      <c r="AF1587" s="531"/>
      <c r="AG1587" s="531"/>
      <c r="AH1587" s="531"/>
      <c r="AI1587" s="531"/>
      <c r="AJ1587" s="531"/>
      <c r="AK1587" s="531"/>
      <c r="AL1587" s="531"/>
      <c r="AM1587" s="531"/>
      <c r="AN1587" s="531"/>
      <c r="AO1587" s="531"/>
    </row>
    <row r="1588" spans="1:45" s="520" customFormat="1" ht="12.6" thickTop="1">
      <c r="A1588" s="51"/>
      <c r="B1588" s="51"/>
      <c r="C1588" s="51" t="s">
        <v>135</v>
      </c>
      <c r="D1588" s="37"/>
      <c r="E1588" s="51"/>
      <c r="F1588" s="51"/>
      <c r="G1588" s="51"/>
      <c r="H1588" s="51"/>
      <c r="I1588" s="51"/>
      <c r="J1588" s="51"/>
      <c r="K1588" s="51"/>
      <c r="L1588" s="51"/>
      <c r="M1588" s="51"/>
      <c r="N1588" s="51"/>
      <c r="O1588" s="52"/>
      <c r="P1588" s="51"/>
      <c r="Q1588" s="51"/>
      <c r="R1588" s="51"/>
      <c r="S1588" s="51"/>
      <c r="T1588" s="51"/>
      <c r="AR1588" s="51"/>
      <c r="AS1588" s="51"/>
    </row>
    <row r="1589" spans="1:45" s="520" customFormat="1" ht="39.9" customHeight="1">
      <c r="A1589" s="51"/>
      <c r="B1589" s="51"/>
      <c r="C1589" s="51"/>
      <c r="D1589" s="1453" t="s">
        <v>498</v>
      </c>
      <c r="E1589" s="1452"/>
      <c r="F1589" s="1452"/>
      <c r="G1589" s="1452"/>
      <c r="H1589" s="1452"/>
      <c r="I1589" s="1452"/>
      <c r="J1589" s="1452"/>
      <c r="K1589" s="1452"/>
      <c r="L1589" s="1452"/>
      <c r="M1589" s="1452"/>
      <c r="N1589" s="1452"/>
      <c r="O1589" s="1452"/>
      <c r="P1589" s="1452"/>
      <c r="Q1589" s="1452"/>
      <c r="R1589" s="1452"/>
      <c r="S1589" s="1452"/>
      <c r="T1589" s="1452"/>
      <c r="AR1589" s="51"/>
    </row>
    <row r="1590" spans="1:45" s="3" customFormat="1" thickBot="1">
      <c r="A1590" s="531"/>
      <c r="O1590" s="107"/>
      <c r="AR1590" s="531"/>
    </row>
    <row r="1591" spans="1:45" s="520" customFormat="1" thickTop="1">
      <c r="A1591" s="51"/>
      <c r="B1591" s="51"/>
      <c r="C1591" s="3"/>
      <c r="D1591" s="3"/>
      <c r="E1591" s="51"/>
      <c r="F1591" s="51"/>
      <c r="G1591" s="51"/>
      <c r="H1591" s="51"/>
      <c r="I1591" s="51"/>
      <c r="J1591" s="51"/>
      <c r="K1591" s="51" t="s">
        <v>134</v>
      </c>
      <c r="L1591" s="51"/>
      <c r="M1591" s="51"/>
      <c r="N1591" s="51"/>
      <c r="O1591" s="52"/>
      <c r="P1591" s="51"/>
      <c r="Q1591" s="51"/>
      <c r="R1591" s="51"/>
      <c r="S1591" s="51"/>
      <c r="T1591" s="51"/>
      <c r="AR1591" s="51"/>
      <c r="AS1591" s="51"/>
    </row>
    <row r="1592" spans="1:45" s="520" customFormat="1" ht="12">
      <c r="A1592" s="51"/>
      <c r="B1592" s="51"/>
      <c r="C1592" s="51" t="s">
        <v>135</v>
      </c>
      <c r="D1592" s="37"/>
      <c r="E1592" s="51"/>
      <c r="F1592" s="51"/>
      <c r="G1592" s="51"/>
      <c r="H1592" s="51"/>
      <c r="I1592" s="51"/>
      <c r="J1592" s="51"/>
      <c r="K1592" s="51"/>
      <c r="L1592" s="51"/>
      <c r="M1592" s="51"/>
      <c r="N1592" s="51"/>
      <c r="O1592" s="52"/>
      <c r="P1592" s="51"/>
      <c r="Q1592" s="51"/>
      <c r="R1592" s="51"/>
      <c r="S1592" s="51"/>
      <c r="T1592" s="51"/>
      <c r="AR1592" s="51"/>
      <c r="AS1592" s="51"/>
    </row>
    <row r="1593" spans="1:45" s="520" customFormat="1" ht="12">
      <c r="A1593" s="51"/>
      <c r="B1593" s="51"/>
      <c r="C1593" s="51"/>
      <c r="D1593" s="37" t="s">
        <v>602</v>
      </c>
      <c r="E1593" s="51"/>
      <c r="F1593" s="51"/>
      <c r="G1593" s="51"/>
      <c r="H1593" s="51"/>
      <c r="I1593" s="51"/>
      <c r="J1593" s="51"/>
      <c r="K1593" s="51"/>
      <c r="L1593" s="51"/>
      <c r="M1593" s="51"/>
      <c r="N1593" s="51"/>
      <c r="O1593" s="52"/>
      <c r="P1593" s="51"/>
      <c r="Q1593" s="51"/>
      <c r="R1593" s="51"/>
      <c r="S1593" s="38"/>
      <c r="T1593" s="38"/>
      <c r="AR1593" s="51"/>
      <c r="AS1593" s="51"/>
    </row>
    <row r="1594" spans="1:45" s="3" customFormat="1" thickBot="1">
      <c r="A1594" s="531"/>
      <c r="O1594" s="107"/>
      <c r="AR1594" s="531"/>
    </row>
    <row r="1595" spans="1:45" s="520" customFormat="1" ht="12" thickTop="1">
      <c r="A1595" s="51"/>
      <c r="B1595" s="41"/>
      <c r="C1595" s="51"/>
      <c r="E1595" s="42" t="s">
        <v>138</v>
      </c>
      <c r="F1595" s="42" t="s">
        <v>139</v>
      </c>
      <c r="G1595" s="51"/>
      <c r="H1595" s="51"/>
      <c r="I1595" s="51"/>
      <c r="J1595" s="51"/>
      <c r="K1595" s="51" t="s">
        <v>140</v>
      </c>
      <c r="L1595" s="51"/>
      <c r="M1595" s="51"/>
      <c r="N1595" s="51"/>
      <c r="O1595" s="52"/>
      <c r="P1595" s="51"/>
      <c r="Q1595" s="51"/>
      <c r="R1595" s="51"/>
      <c r="S1595" s="51"/>
      <c r="T1595" s="41"/>
      <c r="AG1595" s="521" t="s">
        <v>268</v>
      </c>
      <c r="AH1595" s="521" t="s">
        <v>269</v>
      </c>
      <c r="AI1595" s="521" t="s">
        <v>270</v>
      </c>
      <c r="AJ1595" s="521" t="s">
        <v>271</v>
      </c>
      <c r="AK1595" s="521" t="s">
        <v>272</v>
      </c>
      <c r="AM1595" s="745" t="s">
        <v>281</v>
      </c>
      <c r="AN1595" s="746" t="s">
        <v>282</v>
      </c>
      <c r="AO1595" s="522" t="s">
        <v>278</v>
      </c>
      <c r="AR1595" s="51"/>
      <c r="AS1595" s="42" t="s">
        <v>139</v>
      </c>
    </row>
    <row r="1596" spans="1:45" s="520" customFormat="1" ht="12" customHeight="1">
      <c r="A1596" s="747">
        <v>10</v>
      </c>
      <c r="B1596" s="523" t="s">
        <v>320</v>
      </c>
      <c r="C1596" s="748"/>
      <c r="D1596" s="749" t="s">
        <v>1335</v>
      </c>
      <c r="E1596" s="750">
        <f ca="1">IF(AND($A1596=0,$A$1="DIF"),0, ROUND(ROUND(($R1601*$S$2+($T1601*$T$2))/A1596,2)*$C$2,2))</f>
        <v>18.22</v>
      </c>
      <c r="F1596" s="751">
        <f ca="1">ROUND($A1596*$E1596,2)</f>
        <v>182.2</v>
      </c>
      <c r="G1596" s="752" t="s">
        <v>142</v>
      </c>
      <c r="H1596" s="753"/>
      <c r="I1596" s="754"/>
      <c r="J1596" s="753"/>
      <c r="K1596" s="753" t="s">
        <v>3</v>
      </c>
      <c r="L1596" s="755" t="s">
        <v>143</v>
      </c>
      <c r="M1596" s="755"/>
      <c r="N1596" s="755"/>
      <c r="O1596" s="755"/>
      <c r="P1596" s="755"/>
      <c r="Q1596" s="51"/>
      <c r="T1596" s="756" t="str">
        <f ca="1">IF(AND($R1601=0,$T1601=0),"0.00","mu :" &amp; ROUND($F1596/$C$2/($R1601+$T1601*$D$9),2))</f>
        <v>mu :1.23</v>
      </c>
      <c r="W1596" s="524"/>
      <c r="AG1596" s="481">
        <f ca="1">IF($E1596=0,0,ROUND($R1601*$S$2*$C$2/$A1596,2))</f>
        <v>14.84</v>
      </c>
      <c r="AH1596" s="481">
        <f ca="1">$AG1596*$A1596</f>
        <v>148.4</v>
      </c>
      <c r="AI1596" s="525">
        <f ca="1">$E1596-$AG1596</f>
        <v>3.379999999999999</v>
      </c>
      <c r="AJ1596" s="525">
        <f ca="1">$A1596*$AI1596</f>
        <v>33.79999999999999</v>
      </c>
      <c r="AK1596" s="526">
        <f ca="1">ROUND(($AG1596+$AI1596)*$A1596,2)</f>
        <v>182.2</v>
      </c>
      <c r="AM1596" s="527">
        <f ca="1">ROUND(R1601,2)</f>
        <v>120.5</v>
      </c>
      <c r="AN1596" s="528">
        <f ca="1">ROUND(T1601,2)</f>
        <v>1</v>
      </c>
      <c r="AO1596" s="529">
        <f ca="1">ROUND(AM1596+AN1596,2)*A1596</f>
        <v>1215</v>
      </c>
      <c r="AR1596" s="747">
        <v>10</v>
      </c>
      <c r="AS1596" s="751">
        <v>185.6</v>
      </c>
    </row>
    <row r="1597" spans="1:45" s="520" customFormat="1" ht="13.2">
      <c r="A1597" s="748"/>
      <c r="B1597"/>
      <c r="C1597" s="748"/>
      <c r="D1597" s="749" t="s">
        <v>1336</v>
      </c>
      <c r="F1597" s="753"/>
      <c r="G1597" s="3"/>
      <c r="H1597" s="753"/>
      <c r="I1597" s="754"/>
      <c r="J1597" s="753"/>
      <c r="K1597" s="753" t="s">
        <v>144</v>
      </c>
      <c r="L1597" s="753"/>
      <c r="M1597" s="753"/>
      <c r="N1597" s="753"/>
      <c r="O1597" s="753"/>
      <c r="P1597" s="753"/>
      <c r="Q1597" s="51"/>
      <c r="R1597" s="530"/>
      <c r="S1597" s="757"/>
      <c r="T1597" s="753"/>
      <c r="AR1597" s="748"/>
      <c r="AS1597" s="753"/>
    </row>
    <row r="1598" spans="1:45" s="886" customFormat="1" ht="13.2">
      <c r="A1598"/>
      <c r="B1598" s="910"/>
      <c r="C1598" s="910" t="s">
        <v>2597</v>
      </c>
      <c r="D1598" s="910" t="str">
        <f ca="1">CELL("Address",Elec_Rates!D$395)</f>
        <v>[E25_0062_Quintano_Foods_Elec_ELV_As_Awarded.xlsx]Elec_Rates!$D$395</v>
      </c>
      <c r="E1598" s="911"/>
      <c r="F1598" s="911"/>
      <c r="G1598" s="912" t="s">
        <v>2598</v>
      </c>
      <c r="H1598" s="912"/>
      <c r="I1598" s="912"/>
      <c r="J1598" s="912"/>
      <c r="K1598" s="913"/>
      <c r="L1598" s="911"/>
      <c r="M1598" s="911"/>
      <c r="N1598" s="911"/>
      <c r="O1598" s="914"/>
      <c r="P1598" s="911"/>
      <c r="Q1598" s="915"/>
      <c r="R1598" s="916"/>
      <c r="S1598" s="915"/>
      <c r="T1598" s="917"/>
      <c r="U1598" s="918"/>
      <c r="AR1598"/>
      <c r="AS1598" s="911"/>
    </row>
    <row r="1599" spans="1:45" s="886" customFormat="1" ht="11.4">
      <c r="A1599" s="919">
        <v>10</v>
      </c>
      <c r="B1599" s="920">
        <v>1</v>
      </c>
      <c r="C1599" s="920">
        <f>$A1599*$B1599</f>
        <v>10</v>
      </c>
      <c r="D1599" s="921" t="str">
        <f>Elec_Rates!$D$395</f>
        <v>038# 5 x 16mm2 XLPE/SWA/LSZH</v>
      </c>
      <c r="E1599" s="921"/>
      <c r="F1599" s="921" t="s">
        <v>2599</v>
      </c>
      <c r="G1599" s="922" t="s">
        <v>2601</v>
      </c>
      <c r="H1599" s="922"/>
      <c r="I1599" s="922"/>
      <c r="J1599" s="922"/>
      <c r="K1599" s="923"/>
      <c r="L1599" s="918"/>
      <c r="M1599" s="918"/>
      <c r="N1599" s="918"/>
      <c r="O1599" s="924"/>
      <c r="P1599" s="921"/>
      <c r="Q1599" s="925">
        <f ca="1">$B1599*Elec_Rates!$R$395</f>
        <v>12.05</v>
      </c>
      <c r="R1599" s="916">
        <f ca="1">$A1599*Q1599</f>
        <v>120.5</v>
      </c>
      <c r="S1599" s="925">
        <f ca="1">$B1599*Elec_Rates!$T$395</f>
        <v>0.1</v>
      </c>
      <c r="T1599" s="917">
        <f ca="1">$A1599*S1599</f>
        <v>1</v>
      </c>
      <c r="U1599" s="926"/>
      <c r="AR1599" s="919">
        <v>10</v>
      </c>
      <c r="AS1599" s="921" t="s">
        <v>2599</v>
      </c>
    </row>
    <row r="1600" spans="1:45" s="520" customFormat="1" ht="12">
      <c r="A1600" s="758"/>
      <c r="B1600" s="758"/>
      <c r="C1600" s="758"/>
      <c r="D1600" s="758"/>
      <c r="E1600" s="758"/>
      <c r="F1600" s="753"/>
      <c r="G1600" s="758"/>
      <c r="H1600" s="758"/>
      <c r="I1600" s="519"/>
      <c r="J1600" s="758"/>
      <c r="K1600" s="758"/>
      <c r="L1600" s="758"/>
      <c r="M1600" s="758"/>
      <c r="N1600" s="758"/>
      <c r="O1600" s="758"/>
      <c r="P1600" s="758"/>
      <c r="Q1600" s="519"/>
      <c r="R1600" s="759">
        <f>$A1600*Q1600</f>
        <v>0</v>
      </c>
      <c r="S1600" s="519"/>
      <c r="T1600" s="760">
        <f>$A1600*S1600*$T$1</f>
        <v>0</v>
      </c>
      <c r="AR1600" s="758"/>
      <c r="AS1600" s="753"/>
    </row>
    <row r="1601" spans="1:45" s="520" customFormat="1" ht="12.6" thickBot="1">
      <c r="A1601" s="761" t="s">
        <v>145</v>
      </c>
      <c r="B1601" s="762">
        <f>(R1600+T1600)</f>
        <v>0</v>
      </c>
      <c r="C1601" s="763"/>
      <c r="D1601" s="763"/>
      <c r="E1601" s="763"/>
      <c r="F1601" s="764"/>
      <c r="G1601" s="763" t="s">
        <v>146</v>
      </c>
      <c r="H1601" s="763"/>
      <c r="I1601" s="765"/>
      <c r="J1601" s="763"/>
      <c r="K1601" s="763" t="s">
        <v>3</v>
      </c>
      <c r="L1601" s="766" t="s">
        <v>143</v>
      </c>
      <c r="M1601" s="766"/>
      <c r="N1601" s="766"/>
      <c r="O1601" s="766"/>
      <c r="P1601" s="766"/>
      <c r="Q1601" s="767"/>
      <c r="R1601" s="768">
        <f ca="1">SUM(R1597:R1600)</f>
        <v>120.5</v>
      </c>
      <c r="S1601" s="763"/>
      <c r="T1601" s="768">
        <f ca="1">SUM(T1597:T1600)</f>
        <v>1</v>
      </c>
      <c r="U1601" s="531"/>
      <c r="V1601" s="531"/>
      <c r="W1601" s="531"/>
      <c r="X1601" s="531"/>
      <c r="Y1601" s="531"/>
      <c r="Z1601" s="531"/>
      <c r="AA1601" s="531"/>
      <c r="AB1601" s="531"/>
      <c r="AC1601" s="531"/>
      <c r="AD1601" s="531"/>
      <c r="AE1601" s="531"/>
      <c r="AF1601" s="531"/>
      <c r="AG1601" s="531"/>
      <c r="AH1601" s="531"/>
      <c r="AI1601" s="531"/>
      <c r="AJ1601" s="531"/>
      <c r="AK1601" s="531"/>
      <c r="AL1601" s="531"/>
      <c r="AM1601" s="531"/>
      <c r="AN1601" s="531"/>
      <c r="AO1601" s="531"/>
      <c r="AR1601" s="761" t="s">
        <v>145</v>
      </c>
      <c r="AS1601" s="764"/>
    </row>
    <row r="1602" spans="1:45" s="520" customFormat="1" ht="12" thickTop="1">
      <c r="A1602" s="51"/>
      <c r="B1602" s="41"/>
      <c r="C1602" s="51"/>
      <c r="E1602" s="42" t="s">
        <v>138</v>
      </c>
      <c r="F1602" s="42" t="s">
        <v>139</v>
      </c>
      <c r="G1602" s="51"/>
      <c r="H1602" s="51"/>
      <c r="I1602" s="51"/>
      <c r="J1602" s="51"/>
      <c r="K1602" s="51" t="s">
        <v>140</v>
      </c>
      <c r="L1602" s="51"/>
      <c r="M1602" s="51"/>
      <c r="N1602" s="51"/>
      <c r="O1602" s="52"/>
      <c r="P1602" s="51"/>
      <c r="Q1602" s="51"/>
      <c r="R1602" s="51"/>
      <c r="S1602" s="51"/>
      <c r="T1602" s="41"/>
      <c r="AG1602" s="521" t="s">
        <v>268</v>
      </c>
      <c r="AH1602" s="521" t="s">
        <v>269</v>
      </c>
      <c r="AI1602" s="521" t="s">
        <v>270</v>
      </c>
      <c r="AJ1602" s="521" t="s">
        <v>271</v>
      </c>
      <c r="AK1602" s="521" t="s">
        <v>272</v>
      </c>
      <c r="AM1602" s="745" t="s">
        <v>281</v>
      </c>
      <c r="AN1602" s="746" t="s">
        <v>282</v>
      </c>
      <c r="AO1602" s="522" t="s">
        <v>278</v>
      </c>
      <c r="AR1602" s="51"/>
      <c r="AS1602" s="42" t="s">
        <v>139</v>
      </c>
    </row>
    <row r="1603" spans="1:45" s="520" customFormat="1" ht="12" customHeight="1">
      <c r="A1603" s="747">
        <v>50</v>
      </c>
      <c r="B1603" s="523" t="s">
        <v>320</v>
      </c>
      <c r="C1603" s="748"/>
      <c r="D1603" s="749" t="s">
        <v>1337</v>
      </c>
      <c r="E1603" s="750">
        <f ca="1">IF(AND($A1603=0,$A$1="DIF"),0, ROUND(ROUND(($R1608*$S$2+($T1608*$T$2))/A1603,2)*$C$2,2))</f>
        <v>14.65</v>
      </c>
      <c r="F1603" s="751">
        <f ca="1">ROUND($A1603*$E1603,2)</f>
        <v>732.5</v>
      </c>
      <c r="G1603" s="752" t="s">
        <v>142</v>
      </c>
      <c r="H1603" s="753"/>
      <c r="I1603" s="754"/>
      <c r="J1603" s="753"/>
      <c r="K1603" s="753" t="s">
        <v>3</v>
      </c>
      <c r="L1603" s="755" t="s">
        <v>143</v>
      </c>
      <c r="M1603" s="755"/>
      <c r="N1603" s="755"/>
      <c r="O1603" s="755"/>
      <c r="P1603" s="755"/>
      <c r="Q1603" s="51"/>
      <c r="T1603" s="756" t="str">
        <f ca="1">IF(AND($R1608=0,$T1608=0),"0.00","mu :" &amp; ROUND($F1603/$C$2/($R1608+$T1608*$D$9),2))</f>
        <v>mu :1.23</v>
      </c>
      <c r="W1603" s="524"/>
      <c r="AG1603" s="481">
        <f ca="1">IF($E1603=0,0,ROUND($R1608*$S$2*$C$2/$A1603,2))</f>
        <v>10.59</v>
      </c>
      <c r="AH1603" s="481">
        <f ca="1">$AG1603*$A1603</f>
        <v>529.5</v>
      </c>
      <c r="AI1603" s="525">
        <f ca="1">$E1603-$AG1603</f>
        <v>4.0600000000000005</v>
      </c>
      <c r="AJ1603" s="525">
        <f ca="1">$A1603*$AI1603</f>
        <v>203.00000000000003</v>
      </c>
      <c r="AK1603" s="526">
        <f ca="1">ROUND(($AG1603+$AI1603)*$A1603,2)</f>
        <v>732.5</v>
      </c>
      <c r="AM1603" s="527">
        <f ca="1">ROUND(R1608,2)</f>
        <v>430</v>
      </c>
      <c r="AN1603" s="528">
        <f ca="1">ROUND(T1608,2)</f>
        <v>6</v>
      </c>
      <c r="AO1603" s="529">
        <f ca="1">ROUND(AM1603+AN1603,2)*A1603</f>
        <v>21800</v>
      </c>
      <c r="AR1603" s="747">
        <v>50</v>
      </c>
      <c r="AS1603" s="751">
        <v>749.5</v>
      </c>
    </row>
    <row r="1604" spans="1:45" s="520" customFormat="1" ht="13.2">
      <c r="A1604" s="748"/>
      <c r="B1604"/>
      <c r="C1604" s="748"/>
      <c r="D1604" s="749" t="s">
        <v>1338</v>
      </c>
      <c r="F1604" s="753"/>
      <c r="G1604" s="3"/>
      <c r="H1604" s="753"/>
      <c r="I1604" s="754"/>
      <c r="J1604" s="753"/>
      <c r="K1604" s="753" t="s">
        <v>144</v>
      </c>
      <c r="L1604" s="753"/>
      <c r="M1604" s="753"/>
      <c r="N1604" s="753"/>
      <c r="O1604" s="753"/>
      <c r="P1604" s="753"/>
      <c r="Q1604" s="51"/>
      <c r="R1604" s="530"/>
      <c r="S1604" s="757"/>
      <c r="T1604" s="753"/>
      <c r="AR1604" s="748"/>
      <c r="AS1604" s="753"/>
    </row>
    <row r="1605" spans="1:45" s="886" customFormat="1" ht="13.2">
      <c r="A1605"/>
      <c r="B1605" s="910"/>
      <c r="C1605" s="910" t="s">
        <v>2597</v>
      </c>
      <c r="D1605" s="910" t="str">
        <f ca="1">CELL("Address",Elec_Rates!D$417)</f>
        <v>[E25_0062_Quintano_Foods_Elec_ELV_As_Awarded.xlsx]Elec_Rates!$D$417</v>
      </c>
      <c r="E1605" s="911"/>
      <c r="F1605" s="911"/>
      <c r="G1605" s="912" t="s">
        <v>2598</v>
      </c>
      <c r="H1605" s="912"/>
      <c r="I1605" s="912"/>
      <c r="J1605" s="912"/>
      <c r="K1605" s="913"/>
      <c r="L1605" s="911"/>
      <c r="M1605" s="911"/>
      <c r="N1605" s="911"/>
      <c r="O1605" s="914"/>
      <c r="P1605" s="911"/>
      <c r="Q1605" s="915"/>
      <c r="R1605" s="916"/>
      <c r="S1605" s="915"/>
      <c r="T1605" s="917"/>
      <c r="U1605" s="918"/>
      <c r="AR1605"/>
      <c r="AS1605" s="911"/>
    </row>
    <row r="1606" spans="1:45" s="886" customFormat="1" ht="11.4">
      <c r="A1606" s="919">
        <v>50</v>
      </c>
      <c r="B1606" s="920">
        <v>1</v>
      </c>
      <c r="C1606" s="920">
        <f>$A1606*$B1606</f>
        <v>50</v>
      </c>
      <c r="D1606" s="921" t="str">
        <f>Elec_Rates!$D$417</f>
        <v>040# 5 x 10mm2 XLPE/SWA/LSZH</v>
      </c>
      <c r="E1606" s="921"/>
      <c r="F1606" s="921" t="s">
        <v>2599</v>
      </c>
      <c r="G1606" s="922" t="s">
        <v>2601</v>
      </c>
      <c r="H1606" s="922"/>
      <c r="I1606" s="922"/>
      <c r="J1606" s="922"/>
      <c r="K1606" s="923"/>
      <c r="L1606" s="918"/>
      <c r="M1606" s="918"/>
      <c r="N1606" s="918"/>
      <c r="O1606" s="924"/>
      <c r="P1606" s="921"/>
      <c r="Q1606" s="925">
        <f ca="1">$B1606*Elec_Rates!$R$417</f>
        <v>8.6</v>
      </c>
      <c r="R1606" s="916">
        <f ca="1">$A1606*Q1606</f>
        <v>430</v>
      </c>
      <c r="S1606" s="925">
        <f ca="1">$B1606*Elec_Rates!$T$417</f>
        <v>0.12</v>
      </c>
      <c r="T1606" s="917">
        <f ca="1">$A1606*S1606</f>
        <v>6</v>
      </c>
      <c r="U1606" s="926"/>
      <c r="AR1606" s="919">
        <v>50</v>
      </c>
      <c r="AS1606" s="921" t="s">
        <v>2599</v>
      </c>
    </row>
    <row r="1607" spans="1:45" s="520" customFormat="1" ht="12">
      <c r="A1607" s="758"/>
      <c r="B1607" s="758"/>
      <c r="C1607" s="758"/>
      <c r="D1607" s="758"/>
      <c r="E1607" s="758"/>
      <c r="F1607" s="753"/>
      <c r="G1607" s="758"/>
      <c r="H1607" s="758"/>
      <c r="I1607" s="519"/>
      <c r="J1607" s="758"/>
      <c r="K1607" s="758"/>
      <c r="L1607" s="758"/>
      <c r="M1607" s="758"/>
      <c r="N1607" s="758"/>
      <c r="O1607" s="758"/>
      <c r="P1607" s="758"/>
      <c r="Q1607" s="519"/>
      <c r="R1607" s="759">
        <f>$A1607*Q1607</f>
        <v>0</v>
      </c>
      <c r="S1607" s="519"/>
      <c r="T1607" s="760">
        <f>$A1607*S1607*$T$1</f>
        <v>0</v>
      </c>
      <c r="AR1607" s="758"/>
      <c r="AS1607" s="753"/>
    </row>
    <row r="1608" spans="1:45" s="520" customFormat="1" ht="12.6" thickBot="1">
      <c r="A1608" s="761" t="s">
        <v>145</v>
      </c>
      <c r="B1608" s="762">
        <f>(R1607+T1607)</f>
        <v>0</v>
      </c>
      <c r="C1608" s="763"/>
      <c r="D1608" s="763"/>
      <c r="E1608" s="763"/>
      <c r="F1608" s="764"/>
      <c r="G1608" s="763" t="s">
        <v>146</v>
      </c>
      <c r="H1608" s="763"/>
      <c r="I1608" s="765"/>
      <c r="J1608" s="763"/>
      <c r="K1608" s="763" t="s">
        <v>3</v>
      </c>
      <c r="L1608" s="766" t="s">
        <v>143</v>
      </c>
      <c r="M1608" s="766"/>
      <c r="N1608" s="766"/>
      <c r="O1608" s="766"/>
      <c r="P1608" s="766"/>
      <c r="Q1608" s="767"/>
      <c r="R1608" s="768">
        <f ca="1">SUM(R1604:R1607)</f>
        <v>430</v>
      </c>
      <c r="S1608" s="763"/>
      <c r="T1608" s="768">
        <f ca="1">SUM(T1604:T1607)</f>
        <v>6</v>
      </c>
      <c r="U1608" s="531"/>
      <c r="V1608" s="531"/>
      <c r="W1608" s="531"/>
      <c r="X1608" s="531"/>
      <c r="Y1608" s="531"/>
      <c r="Z1608" s="531"/>
      <c r="AA1608" s="531"/>
      <c r="AB1608" s="531"/>
      <c r="AC1608" s="531"/>
      <c r="AD1608" s="531"/>
      <c r="AE1608" s="531"/>
      <c r="AF1608" s="531"/>
      <c r="AG1608" s="531"/>
      <c r="AH1608" s="531"/>
      <c r="AI1608" s="531"/>
      <c r="AJ1608" s="531"/>
      <c r="AK1608" s="531"/>
      <c r="AL1608" s="531"/>
      <c r="AM1608" s="531"/>
      <c r="AN1608" s="531"/>
      <c r="AO1608" s="531"/>
      <c r="AR1608" s="761" t="s">
        <v>145</v>
      </c>
      <c r="AS1608" s="764"/>
    </row>
    <row r="1609" spans="1:45" s="520" customFormat="1" thickTop="1">
      <c r="A1609" s="51"/>
      <c r="B1609" s="51"/>
      <c r="C1609" s="3"/>
      <c r="D1609" s="3"/>
      <c r="E1609" s="51"/>
      <c r="F1609" s="51"/>
      <c r="G1609" s="51"/>
      <c r="H1609" s="51"/>
      <c r="I1609" s="51"/>
      <c r="J1609" s="51"/>
      <c r="K1609" s="51" t="s">
        <v>134</v>
      </c>
      <c r="L1609" s="51"/>
      <c r="M1609" s="51"/>
      <c r="N1609" s="51"/>
      <c r="O1609" s="52"/>
      <c r="P1609" s="51"/>
      <c r="Q1609" s="51"/>
      <c r="R1609" s="51"/>
      <c r="S1609" s="51"/>
      <c r="T1609" s="51"/>
      <c r="AR1609" s="51"/>
      <c r="AS1609" s="51"/>
    </row>
    <row r="1610" spans="1:45" s="520" customFormat="1" ht="12">
      <c r="A1610" s="51"/>
      <c r="B1610" s="51"/>
      <c r="C1610" s="51" t="s">
        <v>135</v>
      </c>
      <c r="D1610" s="37"/>
      <c r="E1610" s="51"/>
      <c r="F1610" s="51"/>
      <c r="G1610" s="51"/>
      <c r="H1610" s="51"/>
      <c r="I1610" s="51"/>
      <c r="J1610" s="51"/>
      <c r="K1610" s="51"/>
      <c r="L1610" s="51"/>
      <c r="M1610" s="51"/>
      <c r="N1610" s="51"/>
      <c r="O1610" s="52"/>
      <c r="P1610" s="51"/>
      <c r="Q1610" s="51"/>
      <c r="R1610" s="51"/>
      <c r="S1610" s="51"/>
      <c r="T1610" s="51"/>
      <c r="AR1610" s="51"/>
      <c r="AS1610" s="51"/>
    </row>
    <row r="1611" spans="1:45" s="520" customFormat="1" ht="12">
      <c r="A1611" s="51"/>
      <c r="B1611" s="51"/>
      <c r="C1611" s="51"/>
      <c r="D1611" s="37" t="s">
        <v>605</v>
      </c>
      <c r="E1611" s="51"/>
      <c r="F1611" s="51"/>
      <c r="G1611" s="51"/>
      <c r="H1611" s="51"/>
      <c r="I1611" s="51"/>
      <c r="J1611" s="51"/>
      <c r="K1611" s="51"/>
      <c r="L1611" s="51"/>
      <c r="M1611" s="51"/>
      <c r="N1611" s="51"/>
      <c r="O1611" s="52"/>
      <c r="P1611" s="51"/>
      <c r="Q1611" s="51"/>
      <c r="R1611" s="51"/>
      <c r="S1611" s="38"/>
      <c r="T1611" s="38"/>
      <c r="AR1611" s="51"/>
      <c r="AS1611" s="51"/>
    </row>
    <row r="1612" spans="1:45" s="3" customFormat="1" thickBot="1">
      <c r="A1612" s="531"/>
      <c r="O1612" s="107"/>
      <c r="AR1612" s="531"/>
    </row>
    <row r="1613" spans="1:45" s="520" customFormat="1" ht="12" thickTop="1">
      <c r="A1613" s="51"/>
      <c r="B1613" s="41"/>
      <c r="C1613" s="51"/>
      <c r="E1613" s="42" t="s">
        <v>138</v>
      </c>
      <c r="F1613" s="42" t="s">
        <v>139</v>
      </c>
      <c r="G1613" s="51"/>
      <c r="H1613" s="51"/>
      <c r="I1613" s="51"/>
      <c r="J1613" s="51"/>
      <c r="K1613" s="51" t="s">
        <v>140</v>
      </c>
      <c r="L1613" s="51"/>
      <c r="M1613" s="51"/>
      <c r="N1613" s="51"/>
      <c r="O1613" s="52"/>
      <c r="P1613" s="51"/>
      <c r="Q1613" s="51"/>
      <c r="R1613" s="51"/>
      <c r="S1613" s="51"/>
      <c r="T1613" s="41"/>
      <c r="AG1613" s="521" t="s">
        <v>268</v>
      </c>
      <c r="AH1613" s="521" t="s">
        <v>269</v>
      </c>
      <c r="AI1613" s="521" t="s">
        <v>270</v>
      </c>
      <c r="AJ1613" s="521" t="s">
        <v>271</v>
      </c>
      <c r="AK1613" s="521" t="s">
        <v>272</v>
      </c>
      <c r="AM1613" s="745" t="s">
        <v>281</v>
      </c>
      <c r="AN1613" s="746" t="s">
        <v>282</v>
      </c>
      <c r="AO1613" s="522" t="s">
        <v>278</v>
      </c>
      <c r="AR1613" s="51"/>
      <c r="AS1613" s="42" t="s">
        <v>139</v>
      </c>
    </row>
    <row r="1614" spans="1:45" s="520" customFormat="1" ht="12" customHeight="1">
      <c r="A1614" s="747">
        <v>20</v>
      </c>
      <c r="B1614" s="523" t="s">
        <v>320</v>
      </c>
      <c r="C1614" s="748"/>
      <c r="D1614" s="749" t="s">
        <v>1339</v>
      </c>
      <c r="E1614" s="750">
        <f ca="1">IF(AND($A1614=0,$A$1="DIF"),0, ROUND(ROUND(($R1619*$S$2+($T1619*$T$2))/A1614,2)*$C$2,2))</f>
        <v>8.18</v>
      </c>
      <c r="F1614" s="751">
        <f ca="1">ROUND($A1614*$E1614,2)</f>
        <v>163.6</v>
      </c>
      <c r="G1614" s="752" t="s">
        <v>142</v>
      </c>
      <c r="H1614" s="753"/>
      <c r="I1614" s="754"/>
      <c r="J1614" s="753"/>
      <c r="K1614" s="753" t="s">
        <v>3</v>
      </c>
      <c r="L1614" s="755" t="s">
        <v>143</v>
      </c>
      <c r="M1614" s="755"/>
      <c r="N1614" s="755"/>
      <c r="O1614" s="755"/>
      <c r="P1614" s="755"/>
      <c r="Q1614" s="51"/>
      <c r="T1614" s="756" t="str">
        <f ca="1">IF(AND($R1619=0,$T1619=0),"0.00","mu :" &amp; ROUND($F1614/$C$2/($R1619+$T1619*$D$9),2))</f>
        <v>mu :1.23</v>
      </c>
      <c r="W1614" s="524"/>
      <c r="AG1614" s="481">
        <f ca="1">IF($E1614=0,0,ROUND($R1619*$S$2*$C$2/$A1614,2))</f>
        <v>5.13</v>
      </c>
      <c r="AH1614" s="481">
        <f ca="1">$AG1614*$A1614</f>
        <v>102.6</v>
      </c>
      <c r="AI1614" s="525">
        <f ca="1">$E1614-$AG1614</f>
        <v>3.05</v>
      </c>
      <c r="AJ1614" s="525">
        <f ca="1">$A1614*$AI1614</f>
        <v>61</v>
      </c>
      <c r="AK1614" s="526">
        <f ca="1">ROUND(($AG1614+$AI1614)*$A1614,2)</f>
        <v>163.6</v>
      </c>
      <c r="AM1614" s="527">
        <f ca="1">ROUND(R1619,2)</f>
        <v>83.4</v>
      </c>
      <c r="AN1614" s="528">
        <f ca="1">ROUND(T1619,2)</f>
        <v>1.8</v>
      </c>
      <c r="AO1614" s="529">
        <f ca="1">ROUND(AM1614+AN1614,2)*A1614</f>
        <v>1704</v>
      </c>
      <c r="AR1614" s="747">
        <v>20</v>
      </c>
      <c r="AS1614" s="751">
        <v>170.4</v>
      </c>
    </row>
    <row r="1615" spans="1:45" s="520" customFormat="1" ht="13.2">
      <c r="A1615" s="748"/>
      <c r="B1615"/>
      <c r="C1615" s="748"/>
      <c r="D1615" s="749" t="s">
        <v>1340</v>
      </c>
      <c r="F1615" s="753"/>
      <c r="G1615" s="3"/>
      <c r="H1615" s="753"/>
      <c r="I1615" s="754"/>
      <c r="J1615" s="753"/>
      <c r="K1615" s="753" t="s">
        <v>144</v>
      </c>
      <c r="L1615" s="753"/>
      <c r="M1615" s="753"/>
      <c r="N1615" s="753"/>
      <c r="O1615" s="753"/>
      <c r="P1615" s="753"/>
      <c r="Q1615" s="51"/>
      <c r="R1615" s="530"/>
      <c r="S1615" s="757"/>
      <c r="T1615" s="753"/>
      <c r="AR1615" s="748"/>
      <c r="AS1615" s="753"/>
    </row>
    <row r="1616" spans="1:45" s="886" customFormat="1" ht="13.2">
      <c r="A1616"/>
      <c r="B1616" s="910"/>
      <c r="C1616" s="910" t="s">
        <v>2597</v>
      </c>
      <c r="D1616" s="910" t="str">
        <f ca="1">CELL("Address",Elec_Rates!D$468)</f>
        <v>[E25_0062_Quintano_Foods_Elec_ELV_As_Awarded.xlsx]Elec_Rates!$D$468</v>
      </c>
      <c r="E1616" s="911"/>
      <c r="F1616" s="911"/>
      <c r="G1616" s="912" t="s">
        <v>2598</v>
      </c>
      <c r="H1616" s="912"/>
      <c r="I1616" s="912"/>
      <c r="J1616" s="912"/>
      <c r="K1616" s="913"/>
      <c r="L1616" s="911"/>
      <c r="M1616" s="911"/>
      <c r="N1616" s="911"/>
      <c r="O1616" s="914"/>
      <c r="P1616" s="911"/>
      <c r="Q1616" s="915"/>
      <c r="R1616" s="916"/>
      <c r="S1616" s="915"/>
      <c r="T1616" s="917"/>
      <c r="U1616" s="918"/>
      <c r="AR1616"/>
      <c r="AS1616" s="911"/>
    </row>
    <row r="1617" spans="1:45" s="886" customFormat="1" ht="11.4">
      <c r="A1617" s="919">
        <v>20</v>
      </c>
      <c r="B1617" s="920">
        <v>1</v>
      </c>
      <c r="C1617" s="920">
        <f>$A1617*$B1617</f>
        <v>20</v>
      </c>
      <c r="D1617" s="921" t="str">
        <f>Elec_Rates!$D$468</f>
        <v>045# 5 x 4mm2 XLPE/SWA/LSZH</v>
      </c>
      <c r="E1617" s="921"/>
      <c r="F1617" s="921" t="s">
        <v>2599</v>
      </c>
      <c r="G1617" s="922" t="s">
        <v>2601</v>
      </c>
      <c r="H1617" s="922"/>
      <c r="I1617" s="922"/>
      <c r="J1617" s="922"/>
      <c r="K1617" s="923"/>
      <c r="L1617" s="918"/>
      <c r="M1617" s="918"/>
      <c r="N1617" s="918"/>
      <c r="O1617" s="924"/>
      <c r="P1617" s="921"/>
      <c r="Q1617" s="925">
        <f ca="1">$B1617*Elec_Rates!$R$468</f>
        <v>4.17</v>
      </c>
      <c r="R1617" s="916">
        <f ca="1">$A1617*Q1617</f>
        <v>83.4</v>
      </c>
      <c r="S1617" s="925">
        <f ca="1">$B1617*Elec_Rates!$T$468</f>
        <v>0.09</v>
      </c>
      <c r="T1617" s="917">
        <f ca="1">$A1617*S1617</f>
        <v>1.7999999999999998</v>
      </c>
      <c r="U1617" s="926"/>
      <c r="AR1617" s="919">
        <v>20</v>
      </c>
      <c r="AS1617" s="921" t="s">
        <v>2599</v>
      </c>
    </row>
    <row r="1618" spans="1:45" s="520" customFormat="1" ht="12">
      <c r="A1618" s="758"/>
      <c r="B1618" s="758"/>
      <c r="C1618" s="758"/>
      <c r="D1618" s="758"/>
      <c r="E1618" s="758"/>
      <c r="F1618" s="753"/>
      <c r="G1618" s="758"/>
      <c r="H1618" s="758"/>
      <c r="I1618" s="519"/>
      <c r="J1618" s="758"/>
      <c r="K1618" s="758"/>
      <c r="L1618" s="758"/>
      <c r="M1618" s="758"/>
      <c r="N1618" s="758"/>
      <c r="O1618" s="758"/>
      <c r="P1618" s="758"/>
      <c r="Q1618" s="519"/>
      <c r="R1618" s="759">
        <f>$A1618*Q1618</f>
        <v>0</v>
      </c>
      <c r="S1618" s="519"/>
      <c r="T1618" s="760">
        <f>$A1618*S1618*$T$1</f>
        <v>0</v>
      </c>
      <c r="AR1618" s="758"/>
      <c r="AS1618" s="753"/>
    </row>
    <row r="1619" spans="1:45" s="520" customFormat="1" ht="12.6" thickBot="1">
      <c r="A1619" s="761" t="s">
        <v>145</v>
      </c>
      <c r="B1619" s="762">
        <f>(R1618+T1618)</f>
        <v>0</v>
      </c>
      <c r="C1619" s="763"/>
      <c r="D1619" s="763"/>
      <c r="E1619" s="763"/>
      <c r="F1619" s="764"/>
      <c r="G1619" s="763" t="s">
        <v>146</v>
      </c>
      <c r="H1619" s="763"/>
      <c r="I1619" s="765"/>
      <c r="J1619" s="763"/>
      <c r="K1619" s="763" t="s">
        <v>3</v>
      </c>
      <c r="L1619" s="766" t="s">
        <v>143</v>
      </c>
      <c r="M1619" s="766"/>
      <c r="N1619" s="766"/>
      <c r="O1619" s="766"/>
      <c r="P1619" s="766"/>
      <c r="Q1619" s="767"/>
      <c r="R1619" s="768">
        <f ca="1">SUM(R1615:R1618)</f>
        <v>83.4</v>
      </c>
      <c r="S1619" s="763"/>
      <c r="T1619" s="768">
        <f ca="1">SUM(T1615:T1618)</f>
        <v>1.7999999999999998</v>
      </c>
      <c r="U1619" s="531"/>
      <c r="V1619" s="531"/>
      <c r="W1619" s="531"/>
      <c r="X1619" s="531"/>
      <c r="Y1619" s="531"/>
      <c r="Z1619" s="531"/>
      <c r="AA1619" s="531"/>
      <c r="AB1619" s="531"/>
      <c r="AC1619" s="531"/>
      <c r="AD1619" s="531"/>
      <c r="AE1619" s="531"/>
      <c r="AF1619" s="531"/>
      <c r="AG1619" s="531"/>
      <c r="AH1619" s="531"/>
      <c r="AI1619" s="531"/>
      <c r="AJ1619" s="531"/>
      <c r="AK1619" s="531"/>
      <c r="AL1619" s="531"/>
      <c r="AM1619" s="531"/>
      <c r="AN1619" s="531"/>
      <c r="AO1619" s="531"/>
      <c r="AR1619" s="761" t="s">
        <v>145</v>
      </c>
      <c r="AS1619" s="764"/>
    </row>
    <row r="1620" spans="1:45" s="520" customFormat="1" ht="12" thickTop="1">
      <c r="A1620" s="51"/>
      <c r="B1620" s="41"/>
      <c r="C1620" s="51"/>
      <c r="E1620" s="42" t="s">
        <v>138</v>
      </c>
      <c r="F1620" s="42" t="s">
        <v>139</v>
      </c>
      <c r="G1620" s="51"/>
      <c r="H1620" s="51"/>
      <c r="I1620" s="51"/>
      <c r="J1620" s="51"/>
      <c r="K1620" s="51" t="s">
        <v>140</v>
      </c>
      <c r="L1620" s="51"/>
      <c r="M1620" s="51"/>
      <c r="N1620" s="51"/>
      <c r="O1620" s="52"/>
      <c r="P1620" s="51"/>
      <c r="Q1620" s="51"/>
      <c r="R1620" s="51"/>
      <c r="S1620" s="51"/>
      <c r="T1620" s="41"/>
      <c r="AG1620" s="521" t="s">
        <v>268</v>
      </c>
      <c r="AH1620" s="521" t="s">
        <v>269</v>
      </c>
      <c r="AI1620" s="521" t="s">
        <v>270</v>
      </c>
      <c r="AJ1620" s="521" t="s">
        <v>271</v>
      </c>
      <c r="AK1620" s="521" t="s">
        <v>272</v>
      </c>
      <c r="AM1620" s="745" t="s">
        <v>281</v>
      </c>
      <c r="AN1620" s="746" t="s">
        <v>282</v>
      </c>
      <c r="AO1620" s="522" t="s">
        <v>278</v>
      </c>
      <c r="AR1620" s="51"/>
      <c r="AS1620" s="42" t="s">
        <v>139</v>
      </c>
    </row>
    <row r="1621" spans="1:45" s="520" customFormat="1" ht="12" customHeight="1">
      <c r="A1621" s="747">
        <v>45</v>
      </c>
      <c r="B1621" s="523" t="s">
        <v>320</v>
      </c>
      <c r="C1621" s="748"/>
      <c r="D1621" s="749" t="s">
        <v>1341</v>
      </c>
      <c r="E1621" s="750">
        <f ca="1">IF(AND($A1621=0,$A$1="DIF"),0, ROUND(ROUND(($R1626*$S$2+($T1626*$T$2))/A1621,2)*$C$2,2))</f>
        <v>8.18</v>
      </c>
      <c r="F1621" s="751">
        <f ca="1">ROUND($A1621*$E1621,2)</f>
        <v>368.1</v>
      </c>
      <c r="G1621" s="752" t="s">
        <v>142</v>
      </c>
      <c r="H1621" s="753"/>
      <c r="I1621" s="754"/>
      <c r="J1621" s="753"/>
      <c r="K1621" s="753" t="s">
        <v>3</v>
      </c>
      <c r="L1621" s="755" t="s">
        <v>143</v>
      </c>
      <c r="M1621" s="755"/>
      <c r="N1621" s="755"/>
      <c r="O1621" s="755"/>
      <c r="P1621" s="755"/>
      <c r="Q1621" s="51"/>
      <c r="T1621" s="756" t="str">
        <f ca="1">IF(AND($R1626=0,$T1626=0),"0.00","mu :" &amp; ROUND($F1621/$C$2/($R1626+$T1626*$D$9),2))</f>
        <v>mu :1.23</v>
      </c>
      <c r="W1621" s="524"/>
      <c r="AG1621" s="481">
        <f ca="1">IF($E1621=0,0,ROUND($R1626*$S$2*$C$2/$A1621,2))</f>
        <v>5.13</v>
      </c>
      <c r="AH1621" s="481">
        <f ca="1">$AG1621*$A1621</f>
        <v>230.85</v>
      </c>
      <c r="AI1621" s="525">
        <f ca="1">$E1621-$AG1621</f>
        <v>3.05</v>
      </c>
      <c r="AJ1621" s="525">
        <f ca="1">$A1621*$AI1621</f>
        <v>137.25</v>
      </c>
      <c r="AK1621" s="526">
        <f ca="1">ROUND(($AG1621+$AI1621)*$A1621,2)</f>
        <v>368.1</v>
      </c>
      <c r="AM1621" s="527">
        <f ca="1">ROUND(R1626,2)</f>
        <v>187.65</v>
      </c>
      <c r="AN1621" s="528">
        <f ca="1">ROUND(T1626,2)</f>
        <v>4.05</v>
      </c>
      <c r="AO1621" s="529">
        <f ca="1">ROUND(AM1621+AN1621,2)*A1621</f>
        <v>8626.5</v>
      </c>
      <c r="AR1621" s="747">
        <v>45</v>
      </c>
      <c r="AS1621" s="751">
        <v>383.4</v>
      </c>
    </row>
    <row r="1622" spans="1:45" s="520" customFormat="1" ht="13.2">
      <c r="A1622" s="748"/>
      <c r="B1622"/>
      <c r="C1622" s="748"/>
      <c r="D1622" s="749" t="s">
        <v>1342</v>
      </c>
      <c r="F1622" s="753"/>
      <c r="G1622" s="3"/>
      <c r="H1622" s="753"/>
      <c r="I1622" s="754"/>
      <c r="J1622" s="753"/>
      <c r="K1622" s="753" t="s">
        <v>144</v>
      </c>
      <c r="L1622" s="753"/>
      <c r="M1622" s="753"/>
      <c r="N1622" s="753"/>
      <c r="O1622" s="753"/>
      <c r="P1622" s="753"/>
      <c r="Q1622" s="51"/>
      <c r="R1622" s="530"/>
      <c r="S1622" s="757"/>
      <c r="T1622" s="753"/>
      <c r="AR1622" s="748"/>
      <c r="AS1622" s="753"/>
    </row>
    <row r="1623" spans="1:45" s="886" customFormat="1" ht="13.2">
      <c r="A1623"/>
      <c r="B1623" s="910"/>
      <c r="C1623" s="910" t="s">
        <v>2597</v>
      </c>
      <c r="D1623" s="910" t="str">
        <f ca="1">CELL("Address",Elec_Rates!D$468)</f>
        <v>[E25_0062_Quintano_Foods_Elec_ELV_As_Awarded.xlsx]Elec_Rates!$D$468</v>
      </c>
      <c r="E1623" s="911"/>
      <c r="F1623" s="911"/>
      <c r="G1623" s="912" t="s">
        <v>2598</v>
      </c>
      <c r="H1623" s="912"/>
      <c r="I1623" s="912"/>
      <c r="J1623" s="912"/>
      <c r="K1623" s="913"/>
      <c r="L1623" s="911"/>
      <c r="M1623" s="911"/>
      <c r="N1623" s="911"/>
      <c r="O1623" s="914"/>
      <c r="P1623" s="911"/>
      <c r="Q1623" s="915"/>
      <c r="R1623" s="916"/>
      <c r="S1623" s="915"/>
      <c r="T1623" s="917"/>
      <c r="U1623" s="918"/>
      <c r="AR1623"/>
      <c r="AS1623" s="911"/>
    </row>
    <row r="1624" spans="1:45" s="886" customFormat="1" ht="11.4">
      <c r="A1624" s="919">
        <v>45</v>
      </c>
      <c r="B1624" s="920">
        <v>1</v>
      </c>
      <c r="C1624" s="920">
        <f>$A1624*$B1624</f>
        <v>45</v>
      </c>
      <c r="D1624" s="921" t="str">
        <f>Elec_Rates!$D$468</f>
        <v>045# 5 x 4mm2 XLPE/SWA/LSZH</v>
      </c>
      <c r="E1624" s="921"/>
      <c r="F1624" s="921" t="s">
        <v>2599</v>
      </c>
      <c r="G1624" s="922" t="s">
        <v>2601</v>
      </c>
      <c r="H1624" s="922"/>
      <c r="I1624" s="922"/>
      <c r="J1624" s="922"/>
      <c r="K1624" s="923"/>
      <c r="L1624" s="918"/>
      <c r="M1624" s="918"/>
      <c r="N1624" s="918"/>
      <c r="O1624" s="924"/>
      <c r="P1624" s="921"/>
      <c r="Q1624" s="925">
        <f ca="1">$B1624*Elec_Rates!$R$468</f>
        <v>4.17</v>
      </c>
      <c r="R1624" s="916">
        <f ca="1">$A1624*Q1624</f>
        <v>187.65</v>
      </c>
      <c r="S1624" s="925">
        <f ca="1">$B1624*Elec_Rates!$T$468</f>
        <v>0.09</v>
      </c>
      <c r="T1624" s="917">
        <f ca="1">$A1624*S1624</f>
        <v>4.05</v>
      </c>
      <c r="U1624" s="926"/>
      <c r="AR1624" s="919">
        <v>45</v>
      </c>
      <c r="AS1624" s="921" t="s">
        <v>2599</v>
      </c>
    </row>
    <row r="1625" spans="1:45" s="520" customFormat="1" ht="12">
      <c r="A1625" s="758"/>
      <c r="B1625" s="758"/>
      <c r="C1625" s="758"/>
      <c r="D1625" s="758"/>
      <c r="E1625" s="758"/>
      <c r="F1625" s="753"/>
      <c r="G1625" s="758"/>
      <c r="H1625" s="758"/>
      <c r="I1625" s="519"/>
      <c r="J1625" s="758"/>
      <c r="K1625" s="758"/>
      <c r="L1625" s="758"/>
      <c r="M1625" s="758"/>
      <c r="N1625" s="758"/>
      <c r="O1625" s="758"/>
      <c r="P1625" s="758"/>
      <c r="Q1625" s="519"/>
      <c r="R1625" s="759">
        <f>$A1625*Q1625</f>
        <v>0</v>
      </c>
      <c r="S1625" s="519"/>
      <c r="T1625" s="760">
        <f>$A1625*S1625*$T$1</f>
        <v>0</v>
      </c>
      <c r="AR1625" s="758"/>
      <c r="AS1625" s="753"/>
    </row>
    <row r="1626" spans="1:45" s="520" customFormat="1" ht="12.6" thickBot="1">
      <c r="A1626" s="761" t="s">
        <v>145</v>
      </c>
      <c r="B1626" s="762">
        <f>(R1625+T1625)</f>
        <v>0</v>
      </c>
      <c r="C1626" s="763"/>
      <c r="D1626" s="763"/>
      <c r="E1626" s="763"/>
      <c r="F1626" s="764"/>
      <c r="G1626" s="763" t="s">
        <v>146</v>
      </c>
      <c r="H1626" s="763"/>
      <c r="I1626" s="765"/>
      <c r="J1626" s="763"/>
      <c r="K1626" s="763" t="s">
        <v>3</v>
      </c>
      <c r="L1626" s="766" t="s">
        <v>143</v>
      </c>
      <c r="M1626" s="766"/>
      <c r="N1626" s="766"/>
      <c r="O1626" s="766"/>
      <c r="P1626" s="766"/>
      <c r="Q1626" s="767"/>
      <c r="R1626" s="768">
        <f ca="1">SUM(R1622:R1625)</f>
        <v>187.65</v>
      </c>
      <c r="S1626" s="763"/>
      <c r="T1626" s="768">
        <f ca="1">SUM(T1622:T1625)</f>
        <v>4.05</v>
      </c>
      <c r="U1626" s="531"/>
      <c r="V1626" s="531"/>
      <c r="W1626" s="531"/>
      <c r="X1626" s="531"/>
      <c r="Y1626" s="531"/>
      <c r="Z1626" s="531"/>
      <c r="AA1626" s="531"/>
      <c r="AB1626" s="531"/>
      <c r="AC1626" s="531"/>
      <c r="AD1626" s="531"/>
      <c r="AE1626" s="531"/>
      <c r="AF1626" s="531"/>
      <c r="AG1626" s="531"/>
      <c r="AH1626" s="531"/>
      <c r="AI1626" s="531"/>
      <c r="AJ1626" s="531"/>
      <c r="AK1626" s="531"/>
      <c r="AL1626" s="531"/>
      <c r="AM1626" s="531"/>
      <c r="AN1626" s="531"/>
      <c r="AO1626" s="531"/>
      <c r="AR1626" s="761" t="s">
        <v>145</v>
      </c>
      <c r="AS1626" s="764"/>
    </row>
    <row r="1627" spans="1:45" s="520" customFormat="1" ht="12" thickTop="1">
      <c r="A1627" s="51"/>
      <c r="B1627" s="41"/>
      <c r="C1627" s="51"/>
      <c r="E1627" s="42" t="s">
        <v>138</v>
      </c>
      <c r="F1627" s="42" t="s">
        <v>139</v>
      </c>
      <c r="G1627" s="51"/>
      <c r="H1627" s="51"/>
      <c r="I1627" s="51"/>
      <c r="J1627" s="51"/>
      <c r="K1627" s="51" t="s">
        <v>140</v>
      </c>
      <c r="L1627" s="51"/>
      <c r="M1627" s="51"/>
      <c r="N1627" s="51"/>
      <c r="O1627" s="52"/>
      <c r="P1627" s="51"/>
      <c r="Q1627" s="51"/>
      <c r="R1627" s="51"/>
      <c r="S1627" s="51"/>
      <c r="T1627" s="41"/>
      <c r="AG1627" s="521" t="s">
        <v>268</v>
      </c>
      <c r="AH1627" s="521" t="s">
        <v>269</v>
      </c>
      <c r="AI1627" s="521" t="s">
        <v>270</v>
      </c>
      <c r="AJ1627" s="521" t="s">
        <v>271</v>
      </c>
      <c r="AK1627" s="521" t="s">
        <v>272</v>
      </c>
      <c r="AM1627" s="745" t="s">
        <v>281</v>
      </c>
      <c r="AN1627" s="746" t="s">
        <v>282</v>
      </c>
      <c r="AO1627" s="522" t="s">
        <v>278</v>
      </c>
      <c r="AR1627" s="51"/>
      <c r="AS1627" s="42" t="s">
        <v>139</v>
      </c>
    </row>
    <row r="1628" spans="1:45" s="520" customFormat="1" ht="12" customHeight="1">
      <c r="A1628" s="747">
        <v>25</v>
      </c>
      <c r="B1628" s="523" t="s">
        <v>320</v>
      </c>
      <c r="C1628" s="748"/>
      <c r="D1628" s="749" t="s">
        <v>1343</v>
      </c>
      <c r="E1628" s="750">
        <f ca="1">IF(AND($A1628=0,$A$1="DIF"),0, ROUND(ROUND(($R1633*$S$2+($T1633*$T$2))/A1628,2)*$C$2,2))</f>
        <v>8.18</v>
      </c>
      <c r="F1628" s="751">
        <f ca="1">ROUND($A1628*$E1628,2)</f>
        <v>204.5</v>
      </c>
      <c r="G1628" s="752" t="s">
        <v>142</v>
      </c>
      <c r="H1628" s="753"/>
      <c r="I1628" s="754"/>
      <c r="J1628" s="753"/>
      <c r="K1628" s="753" t="s">
        <v>3</v>
      </c>
      <c r="L1628" s="755" t="s">
        <v>143</v>
      </c>
      <c r="M1628" s="755"/>
      <c r="N1628" s="755"/>
      <c r="O1628" s="755"/>
      <c r="P1628" s="755"/>
      <c r="Q1628" s="51"/>
      <c r="T1628" s="756" t="str">
        <f ca="1">IF(AND($R1633=0,$T1633=0),"0.00","mu :" &amp; ROUND($F1628/$C$2/($R1633+$T1633*$D$9),2))</f>
        <v>mu :1.23</v>
      </c>
      <c r="W1628" s="524"/>
      <c r="AG1628" s="481">
        <f ca="1">IF($E1628=0,0,ROUND($R1633*$S$2*$C$2/$A1628,2))</f>
        <v>5.13</v>
      </c>
      <c r="AH1628" s="481">
        <f ca="1">$AG1628*$A1628</f>
        <v>128.25</v>
      </c>
      <c r="AI1628" s="525">
        <f ca="1">$E1628-$AG1628</f>
        <v>3.05</v>
      </c>
      <c r="AJ1628" s="525">
        <f ca="1">$A1628*$AI1628</f>
        <v>76.25</v>
      </c>
      <c r="AK1628" s="526">
        <f ca="1">ROUND(($AG1628+$AI1628)*$A1628,2)</f>
        <v>204.5</v>
      </c>
      <c r="AM1628" s="527">
        <f ca="1">ROUND(R1633,2)</f>
        <v>104.25</v>
      </c>
      <c r="AN1628" s="528">
        <f ca="1">ROUND(T1633,2)</f>
        <v>2.25</v>
      </c>
      <c r="AO1628" s="529">
        <f ca="1">ROUND(AM1628+AN1628,2)*A1628</f>
        <v>2662.5</v>
      </c>
      <c r="AR1628" s="747">
        <v>25</v>
      </c>
      <c r="AS1628" s="751">
        <v>213</v>
      </c>
    </row>
    <row r="1629" spans="1:45" s="520" customFormat="1" ht="13.2">
      <c r="A1629" s="748"/>
      <c r="B1629"/>
      <c r="C1629" s="748"/>
      <c r="D1629" s="749" t="s">
        <v>1344</v>
      </c>
      <c r="F1629" s="753"/>
      <c r="G1629" s="3"/>
      <c r="H1629" s="753"/>
      <c r="I1629" s="754"/>
      <c r="J1629" s="753"/>
      <c r="K1629" s="753" t="s">
        <v>144</v>
      </c>
      <c r="L1629" s="753"/>
      <c r="M1629" s="753"/>
      <c r="N1629" s="753"/>
      <c r="O1629" s="753"/>
      <c r="P1629" s="753"/>
      <c r="Q1629" s="51"/>
      <c r="R1629" s="530"/>
      <c r="S1629" s="757"/>
      <c r="T1629" s="753"/>
      <c r="AR1629" s="748"/>
      <c r="AS1629" s="753"/>
    </row>
    <row r="1630" spans="1:45" s="886" customFormat="1" ht="13.2">
      <c r="A1630"/>
      <c r="B1630" s="910"/>
      <c r="C1630" s="910" t="s">
        <v>2597</v>
      </c>
      <c r="D1630" s="910" t="str">
        <f ca="1">CELL("Address",Elec_Rates!D$468)</f>
        <v>[E25_0062_Quintano_Foods_Elec_ELV_As_Awarded.xlsx]Elec_Rates!$D$468</v>
      </c>
      <c r="E1630" s="911"/>
      <c r="F1630" s="911"/>
      <c r="G1630" s="912" t="s">
        <v>2598</v>
      </c>
      <c r="H1630" s="912"/>
      <c r="I1630" s="912"/>
      <c r="J1630" s="912"/>
      <c r="K1630" s="913"/>
      <c r="L1630" s="911"/>
      <c r="M1630" s="911"/>
      <c r="N1630" s="911"/>
      <c r="O1630" s="914"/>
      <c r="P1630" s="911"/>
      <c r="Q1630" s="915"/>
      <c r="R1630" s="916"/>
      <c r="S1630" s="915"/>
      <c r="T1630" s="917"/>
      <c r="U1630" s="918"/>
      <c r="AR1630"/>
      <c r="AS1630" s="911"/>
    </row>
    <row r="1631" spans="1:45" s="886" customFormat="1" ht="11.4">
      <c r="A1631" s="919">
        <v>25</v>
      </c>
      <c r="B1631" s="920">
        <v>1</v>
      </c>
      <c r="C1631" s="920">
        <f>$A1631*$B1631</f>
        <v>25</v>
      </c>
      <c r="D1631" s="921" t="str">
        <f>Elec_Rates!$D$468</f>
        <v>045# 5 x 4mm2 XLPE/SWA/LSZH</v>
      </c>
      <c r="E1631" s="921"/>
      <c r="F1631" s="921" t="s">
        <v>2599</v>
      </c>
      <c r="G1631" s="922" t="s">
        <v>2601</v>
      </c>
      <c r="H1631" s="922"/>
      <c r="I1631" s="922"/>
      <c r="J1631" s="922"/>
      <c r="K1631" s="923"/>
      <c r="L1631" s="918"/>
      <c r="M1631" s="918"/>
      <c r="N1631" s="918"/>
      <c r="O1631" s="924"/>
      <c r="P1631" s="921"/>
      <c r="Q1631" s="925">
        <f ca="1">$B1631*Elec_Rates!$R$468</f>
        <v>4.17</v>
      </c>
      <c r="R1631" s="916">
        <f ca="1">$A1631*Q1631</f>
        <v>104.25</v>
      </c>
      <c r="S1631" s="925">
        <f ca="1">$B1631*Elec_Rates!$T$468</f>
        <v>0.09</v>
      </c>
      <c r="T1631" s="917">
        <f ca="1">$A1631*S1631</f>
        <v>2.25</v>
      </c>
      <c r="U1631" s="926"/>
      <c r="AR1631" s="919">
        <v>25</v>
      </c>
      <c r="AS1631" s="921" t="s">
        <v>2599</v>
      </c>
    </row>
    <row r="1632" spans="1:45" s="520" customFormat="1" ht="12">
      <c r="A1632" s="758"/>
      <c r="B1632" s="758"/>
      <c r="C1632" s="758"/>
      <c r="D1632" s="758"/>
      <c r="E1632" s="758"/>
      <c r="F1632" s="753"/>
      <c r="G1632" s="758"/>
      <c r="H1632" s="758"/>
      <c r="I1632" s="519"/>
      <c r="J1632" s="758"/>
      <c r="K1632" s="758"/>
      <c r="L1632" s="758"/>
      <c r="M1632" s="758"/>
      <c r="N1632" s="758"/>
      <c r="O1632" s="758"/>
      <c r="P1632" s="758"/>
      <c r="Q1632" s="519"/>
      <c r="R1632" s="759">
        <f>$A1632*Q1632</f>
        <v>0</v>
      </c>
      <c r="S1632" s="519"/>
      <c r="T1632" s="760">
        <f>$A1632*S1632*$T$1</f>
        <v>0</v>
      </c>
      <c r="AR1632" s="758"/>
      <c r="AS1632" s="753"/>
    </row>
    <row r="1633" spans="1:45" s="520" customFormat="1" ht="12.6" thickBot="1">
      <c r="A1633" s="761" t="s">
        <v>145</v>
      </c>
      <c r="B1633" s="762">
        <f>(R1632+T1632)</f>
        <v>0</v>
      </c>
      <c r="C1633" s="763"/>
      <c r="D1633" s="763"/>
      <c r="E1633" s="763"/>
      <c r="F1633" s="764"/>
      <c r="G1633" s="763" t="s">
        <v>146</v>
      </c>
      <c r="H1633" s="763"/>
      <c r="I1633" s="765"/>
      <c r="J1633" s="763"/>
      <c r="K1633" s="763" t="s">
        <v>3</v>
      </c>
      <c r="L1633" s="766" t="s">
        <v>143</v>
      </c>
      <c r="M1633" s="766"/>
      <c r="N1633" s="766"/>
      <c r="O1633" s="766"/>
      <c r="P1633" s="766"/>
      <c r="Q1633" s="767"/>
      <c r="R1633" s="768">
        <f ca="1">SUM(R1629:R1632)</f>
        <v>104.25</v>
      </c>
      <c r="S1633" s="763"/>
      <c r="T1633" s="768">
        <f ca="1">SUM(T1629:T1632)</f>
        <v>2.25</v>
      </c>
      <c r="U1633" s="531"/>
      <c r="V1633" s="531"/>
      <c r="W1633" s="531"/>
      <c r="X1633" s="531"/>
      <c r="Y1633" s="531"/>
      <c r="Z1633" s="531"/>
      <c r="AA1633" s="531"/>
      <c r="AB1633" s="531"/>
      <c r="AC1633" s="531"/>
      <c r="AD1633" s="531"/>
      <c r="AE1633" s="531"/>
      <c r="AF1633" s="531"/>
      <c r="AG1633" s="531"/>
      <c r="AH1633" s="531"/>
      <c r="AI1633" s="531"/>
      <c r="AJ1633" s="531"/>
      <c r="AK1633" s="531"/>
      <c r="AL1633" s="531"/>
      <c r="AM1633" s="531"/>
      <c r="AN1633" s="531"/>
      <c r="AO1633" s="531"/>
      <c r="AR1633" s="761" t="s">
        <v>145</v>
      </c>
      <c r="AS1633" s="764"/>
    </row>
    <row r="1634" spans="1:45" s="520" customFormat="1" thickTop="1">
      <c r="A1634" s="51"/>
      <c r="B1634" s="51"/>
      <c r="C1634" s="3"/>
      <c r="D1634" s="3"/>
      <c r="E1634" s="51"/>
      <c r="F1634" s="51"/>
      <c r="G1634" s="51"/>
      <c r="H1634" s="51"/>
      <c r="I1634" s="51"/>
      <c r="J1634" s="51"/>
      <c r="K1634" s="51" t="s">
        <v>134</v>
      </c>
      <c r="L1634" s="51"/>
      <c r="M1634" s="51"/>
      <c r="N1634" s="51"/>
      <c r="O1634" s="52"/>
      <c r="P1634" s="51"/>
      <c r="Q1634" s="51"/>
      <c r="R1634" s="51"/>
      <c r="S1634" s="51"/>
      <c r="T1634" s="51"/>
      <c r="AR1634" s="51"/>
      <c r="AS1634" s="51"/>
    </row>
    <row r="1635" spans="1:45" s="520" customFormat="1" ht="12">
      <c r="A1635" s="51"/>
      <c r="B1635" s="51"/>
      <c r="C1635" s="51" t="s">
        <v>135</v>
      </c>
      <c r="D1635" s="37"/>
      <c r="E1635" s="51"/>
      <c r="F1635" s="51"/>
      <c r="G1635" s="51"/>
      <c r="H1635" s="51"/>
      <c r="I1635" s="51"/>
      <c r="J1635" s="51"/>
      <c r="K1635" s="51"/>
      <c r="L1635" s="51"/>
      <c r="M1635" s="51"/>
      <c r="N1635" s="51"/>
      <c r="O1635" s="52"/>
      <c r="P1635" s="51"/>
      <c r="Q1635" s="51"/>
      <c r="R1635" s="51"/>
      <c r="S1635" s="51"/>
      <c r="T1635" s="51"/>
      <c r="AR1635" s="51"/>
      <c r="AS1635" s="51"/>
    </row>
    <row r="1636" spans="1:45" s="520" customFormat="1" ht="12">
      <c r="A1636" s="51"/>
      <c r="B1636" s="51"/>
      <c r="C1636" s="51"/>
      <c r="D1636" s="37" t="s">
        <v>463</v>
      </c>
      <c r="E1636" s="51"/>
      <c r="F1636" s="51"/>
      <c r="G1636" s="51"/>
      <c r="H1636" s="51"/>
      <c r="I1636" s="51"/>
      <c r="J1636" s="51"/>
      <c r="K1636" s="51"/>
      <c r="L1636" s="51"/>
      <c r="M1636" s="51"/>
      <c r="N1636" s="51"/>
      <c r="O1636" s="52"/>
      <c r="P1636" s="51"/>
      <c r="Q1636" s="51"/>
      <c r="R1636" s="51"/>
      <c r="S1636" s="38"/>
      <c r="T1636" s="38"/>
      <c r="AR1636" s="51"/>
      <c r="AS1636" s="51"/>
    </row>
    <row r="1637" spans="1:45" s="3" customFormat="1" thickBot="1">
      <c r="A1637" s="531"/>
      <c r="O1637" s="107"/>
      <c r="AR1637" s="531"/>
    </row>
    <row r="1638" spans="1:45" s="520" customFormat="1" ht="12" thickTop="1">
      <c r="A1638" s="51"/>
      <c r="B1638" s="41"/>
      <c r="C1638" s="51"/>
      <c r="E1638" s="42" t="s">
        <v>138</v>
      </c>
      <c r="F1638" s="42" t="s">
        <v>139</v>
      </c>
      <c r="G1638" s="51"/>
      <c r="H1638" s="51"/>
      <c r="I1638" s="51"/>
      <c r="J1638" s="51"/>
      <c r="K1638" s="51" t="s">
        <v>140</v>
      </c>
      <c r="L1638" s="51"/>
      <c r="M1638" s="51"/>
      <c r="N1638" s="51"/>
      <c r="O1638" s="52"/>
      <c r="P1638" s="51"/>
      <c r="Q1638" s="51"/>
      <c r="R1638" s="51"/>
      <c r="S1638" s="51"/>
      <c r="T1638" s="41"/>
      <c r="AG1638" s="521" t="s">
        <v>268</v>
      </c>
      <c r="AH1638" s="521" t="s">
        <v>269</v>
      </c>
      <c r="AI1638" s="521" t="s">
        <v>270</v>
      </c>
      <c r="AJ1638" s="521" t="s">
        <v>271</v>
      </c>
      <c r="AK1638" s="521" t="s">
        <v>272</v>
      </c>
      <c r="AM1638" s="745" t="s">
        <v>281</v>
      </c>
      <c r="AN1638" s="746" t="s">
        <v>282</v>
      </c>
      <c r="AO1638" s="522" t="s">
        <v>278</v>
      </c>
      <c r="AR1638" s="51"/>
      <c r="AS1638" s="42" t="s">
        <v>139</v>
      </c>
    </row>
    <row r="1639" spans="1:45" s="520" customFormat="1" ht="12" customHeight="1">
      <c r="A1639" s="747">
        <v>3</v>
      </c>
      <c r="B1639" s="523" t="s">
        <v>141</v>
      </c>
      <c r="C1639" s="748"/>
      <c r="D1639" s="749" t="s">
        <v>1345</v>
      </c>
      <c r="E1639" s="750">
        <f ca="1">IF(AND($A1639=0,$A$1="DIF"),0, ROUND(ROUND(($R1644*$S$2+($T1644*$T$2))/A1639,2)*$C$2,2))</f>
        <v>57.79</v>
      </c>
      <c r="F1639" s="751">
        <f ca="1">ROUND($A1639*$E1639,2)</f>
        <v>173.37</v>
      </c>
      <c r="G1639" s="752" t="s">
        <v>142</v>
      </c>
      <c r="H1639" s="753"/>
      <c r="I1639" s="754"/>
      <c r="J1639" s="753"/>
      <c r="K1639" s="753" t="s">
        <v>3</v>
      </c>
      <c r="L1639" s="755" t="s">
        <v>143</v>
      </c>
      <c r="M1639" s="755"/>
      <c r="N1639" s="755"/>
      <c r="O1639" s="755"/>
      <c r="P1639" s="755"/>
      <c r="Q1639" s="51"/>
      <c r="T1639" s="756" t="str">
        <f ca="1">IF(AND($R1644=0,$T1644=0),"0.00","mu :" &amp; ROUND($F1639/$C$2/($R1644+$T1644*$D$9),2))</f>
        <v>mu :1.23</v>
      </c>
      <c r="W1639" s="524"/>
      <c r="AG1639" s="481">
        <f ca="1">IF($E1639=0,0,ROUND($R1644*$S$2*$C$2/$A1639,2))</f>
        <v>33.44</v>
      </c>
      <c r="AH1639" s="481">
        <f ca="1">$AG1639*$A1639</f>
        <v>100.32</v>
      </c>
      <c r="AI1639" s="525">
        <f ca="1">$E1639-$AG1639</f>
        <v>24.35</v>
      </c>
      <c r="AJ1639" s="525">
        <f ca="1">$A1639*$AI1639</f>
        <v>73.050000000000011</v>
      </c>
      <c r="AK1639" s="526">
        <f ca="1">ROUND(($AG1639+$AI1639)*$A1639,2)</f>
        <v>173.37</v>
      </c>
      <c r="AM1639" s="527">
        <f ca="1">ROUND(R1644,2)</f>
        <v>81.48</v>
      </c>
      <c r="AN1639" s="528">
        <f ca="1">ROUND(T1644,2)</f>
        <v>2.16</v>
      </c>
      <c r="AO1639" s="529">
        <f ca="1">ROUND(AM1639+AN1639,2)*A1639</f>
        <v>250.92000000000002</v>
      </c>
      <c r="AR1639" s="747">
        <v>3</v>
      </c>
      <c r="AS1639" s="751">
        <v>181.47</v>
      </c>
    </row>
    <row r="1640" spans="1:45" s="520" customFormat="1" ht="13.2">
      <c r="A1640" s="748"/>
      <c r="B1640"/>
      <c r="C1640" s="748"/>
      <c r="D1640" s="749" t="s">
        <v>701</v>
      </c>
      <c r="F1640" s="753"/>
      <c r="G1640" s="3"/>
      <c r="H1640" s="753"/>
      <c r="I1640" s="754"/>
      <c r="J1640" s="753"/>
      <c r="K1640" s="753" t="s">
        <v>144</v>
      </c>
      <c r="L1640" s="753"/>
      <c r="M1640" s="753"/>
      <c r="N1640" s="753"/>
      <c r="O1640" s="753"/>
      <c r="P1640" s="753"/>
      <c r="Q1640" s="51"/>
      <c r="R1640" s="530"/>
      <c r="S1640" s="757"/>
      <c r="T1640" s="753"/>
      <c r="AR1640" s="748"/>
      <c r="AS1640" s="753"/>
    </row>
    <row r="1641" spans="1:45" s="886" customFormat="1" ht="13.2">
      <c r="A1641"/>
      <c r="B1641" s="910"/>
      <c r="C1641" s="910" t="s">
        <v>2597</v>
      </c>
      <c r="D1641" s="910" t="str">
        <f ca="1">CELL("Address",Elec_Rates!D$210)</f>
        <v>[E25_0062_Quintano_Foods_Elec_ELV_As_Awarded.xlsx]Elec_Rates!$D$210</v>
      </c>
      <c r="E1641" s="911"/>
      <c r="F1641" s="911"/>
      <c r="G1641" s="912" t="s">
        <v>2598</v>
      </c>
      <c r="H1641" s="912"/>
      <c r="I1641" s="912"/>
      <c r="J1641" s="912"/>
      <c r="K1641" s="913"/>
      <c r="L1641" s="911"/>
      <c r="M1641" s="911"/>
      <c r="N1641" s="911"/>
      <c r="O1641" s="914"/>
      <c r="P1641" s="911"/>
      <c r="Q1641" s="915"/>
      <c r="R1641" s="916"/>
      <c r="S1641" s="915"/>
      <c r="T1641" s="917"/>
      <c r="U1641" s="918"/>
      <c r="AR1641"/>
      <c r="AS1641" s="911"/>
    </row>
    <row r="1642" spans="1:45" s="886" customFormat="1" ht="11.4">
      <c r="A1642" s="919">
        <v>3</v>
      </c>
      <c r="B1642" s="920">
        <v>1</v>
      </c>
      <c r="C1642" s="920">
        <f>$A1642*$B1642</f>
        <v>3</v>
      </c>
      <c r="D1642" s="921" t="str">
        <f>Elec_Rates!$D$210</f>
        <v>020# 3-Phase 20/25/32A Isolator</v>
      </c>
      <c r="E1642" s="921"/>
      <c r="F1642" s="921" t="s">
        <v>2599</v>
      </c>
      <c r="G1642" s="922" t="s">
        <v>2601</v>
      </c>
      <c r="H1642" s="922"/>
      <c r="I1642" s="922"/>
      <c r="J1642" s="922"/>
      <c r="K1642" s="923"/>
      <c r="L1642" s="918"/>
      <c r="M1642" s="918"/>
      <c r="N1642" s="918"/>
      <c r="O1642" s="924"/>
      <c r="P1642" s="921"/>
      <c r="Q1642" s="925">
        <f ca="1">$B1642*Elec_Rates!$R$210</f>
        <v>27.16</v>
      </c>
      <c r="R1642" s="916">
        <f ca="1">$A1642*Q1642</f>
        <v>81.48</v>
      </c>
      <c r="S1642" s="925">
        <f ca="1">$B1642*Elec_Rates!$T$210</f>
        <v>0.72</v>
      </c>
      <c r="T1642" s="917">
        <f ca="1">$A1642*S1642</f>
        <v>2.16</v>
      </c>
      <c r="U1642" s="926"/>
      <c r="AR1642" s="919">
        <v>3</v>
      </c>
      <c r="AS1642" s="921" t="s">
        <v>2599</v>
      </c>
    </row>
    <row r="1643" spans="1:45" s="520" customFormat="1" ht="12">
      <c r="A1643" s="758"/>
      <c r="B1643" s="758"/>
      <c r="C1643" s="758"/>
      <c r="D1643" s="758"/>
      <c r="E1643" s="758"/>
      <c r="F1643" s="753"/>
      <c r="G1643" s="758"/>
      <c r="H1643" s="758"/>
      <c r="I1643" s="519"/>
      <c r="J1643" s="758"/>
      <c r="K1643" s="758"/>
      <c r="L1643" s="758"/>
      <c r="M1643" s="758"/>
      <c r="N1643" s="758"/>
      <c r="O1643" s="758"/>
      <c r="P1643" s="758"/>
      <c r="Q1643" s="519"/>
      <c r="R1643" s="759">
        <f>$A1643*Q1643</f>
        <v>0</v>
      </c>
      <c r="S1643" s="519"/>
      <c r="T1643" s="760">
        <f>$A1643*S1643*$T$1</f>
        <v>0</v>
      </c>
      <c r="AR1643" s="758"/>
      <c r="AS1643" s="753"/>
    </row>
    <row r="1644" spans="1:45" s="520" customFormat="1" ht="12.6" thickBot="1">
      <c r="A1644" s="761" t="s">
        <v>145</v>
      </c>
      <c r="B1644" s="762">
        <f>(R1643+T1643)</f>
        <v>0</v>
      </c>
      <c r="C1644" s="763"/>
      <c r="D1644" s="763"/>
      <c r="E1644" s="763"/>
      <c r="F1644" s="764"/>
      <c r="G1644" s="763" t="s">
        <v>146</v>
      </c>
      <c r="H1644" s="763"/>
      <c r="I1644" s="765"/>
      <c r="J1644" s="763"/>
      <c r="K1644" s="763" t="s">
        <v>3</v>
      </c>
      <c r="L1644" s="766" t="s">
        <v>143</v>
      </c>
      <c r="M1644" s="766"/>
      <c r="N1644" s="766"/>
      <c r="O1644" s="766"/>
      <c r="P1644" s="766"/>
      <c r="Q1644" s="767"/>
      <c r="R1644" s="768">
        <f ca="1">SUM(R1640:R1643)</f>
        <v>81.48</v>
      </c>
      <c r="S1644" s="763"/>
      <c r="T1644" s="768">
        <f ca="1">SUM(T1640:T1643)</f>
        <v>2.16</v>
      </c>
      <c r="U1644" s="531"/>
      <c r="V1644" s="531"/>
      <c r="W1644" s="531"/>
      <c r="X1644" s="531"/>
      <c r="Y1644" s="531"/>
      <c r="Z1644" s="531"/>
      <c r="AA1644" s="531"/>
      <c r="AB1644" s="531"/>
      <c r="AC1644" s="531"/>
      <c r="AD1644" s="531"/>
      <c r="AE1644" s="531"/>
      <c r="AF1644" s="531"/>
      <c r="AG1644" s="531"/>
      <c r="AH1644" s="531"/>
      <c r="AI1644" s="531"/>
      <c r="AJ1644" s="531"/>
      <c r="AK1644" s="531"/>
      <c r="AL1644" s="531"/>
      <c r="AM1644" s="531"/>
      <c r="AN1644" s="531"/>
      <c r="AO1644" s="531"/>
      <c r="AR1644" s="761" t="s">
        <v>145</v>
      </c>
      <c r="AS1644" s="764"/>
    </row>
    <row r="1645" spans="1:45" s="520" customFormat="1" thickTop="1">
      <c r="A1645" s="51"/>
      <c r="B1645" s="51"/>
      <c r="C1645" s="3"/>
      <c r="D1645" s="3"/>
      <c r="E1645" s="51"/>
      <c r="F1645" s="51"/>
      <c r="G1645" s="51"/>
      <c r="H1645" s="51"/>
      <c r="I1645" s="51"/>
      <c r="J1645" s="51"/>
      <c r="K1645" s="51" t="s">
        <v>134</v>
      </c>
      <c r="L1645" s="51"/>
      <c r="M1645" s="51"/>
      <c r="N1645" s="51"/>
      <c r="O1645" s="52"/>
      <c r="P1645" s="51"/>
      <c r="Q1645" s="51"/>
      <c r="R1645" s="51"/>
      <c r="S1645" s="51"/>
      <c r="T1645" s="51"/>
      <c r="AR1645" s="51"/>
      <c r="AS1645" s="51"/>
    </row>
    <row r="1646" spans="1:45" s="520" customFormat="1" ht="12">
      <c r="A1646" s="51"/>
      <c r="B1646" s="51"/>
      <c r="C1646" s="51" t="s">
        <v>135</v>
      </c>
      <c r="D1646" s="37"/>
      <c r="E1646" s="51"/>
      <c r="F1646" s="51"/>
      <c r="G1646" s="51"/>
      <c r="H1646" s="51"/>
      <c r="I1646" s="51"/>
      <c r="J1646" s="51"/>
      <c r="K1646" s="51"/>
      <c r="L1646" s="51"/>
      <c r="M1646" s="51"/>
      <c r="N1646" s="51"/>
      <c r="O1646" s="52"/>
      <c r="P1646" s="51"/>
      <c r="Q1646" s="51"/>
      <c r="R1646" s="51"/>
      <c r="S1646" s="51"/>
      <c r="T1646" s="51"/>
      <c r="AR1646" s="51"/>
      <c r="AS1646" s="51"/>
    </row>
    <row r="1647" spans="1:45" s="520" customFormat="1" ht="39.9" customHeight="1">
      <c r="A1647" s="51"/>
      <c r="B1647" s="51"/>
      <c r="C1647" s="51"/>
      <c r="D1647" s="1453" t="s">
        <v>498</v>
      </c>
      <c r="E1647" s="1452"/>
      <c r="F1647" s="1452"/>
      <c r="G1647" s="1452"/>
      <c r="H1647" s="1452"/>
      <c r="I1647" s="1452"/>
      <c r="J1647" s="1452"/>
      <c r="K1647" s="1452"/>
      <c r="L1647" s="1452"/>
      <c r="M1647" s="1452"/>
      <c r="N1647" s="1452"/>
      <c r="O1647" s="1452"/>
      <c r="P1647" s="1452"/>
      <c r="Q1647" s="1452"/>
      <c r="R1647" s="1452"/>
      <c r="S1647" s="1452"/>
      <c r="T1647" s="1452"/>
      <c r="AR1647" s="51"/>
    </row>
    <row r="1648" spans="1:45" s="3" customFormat="1" thickBot="1">
      <c r="A1648" s="531"/>
      <c r="O1648" s="107"/>
      <c r="AR1648" s="531"/>
    </row>
    <row r="1649" spans="1:45" s="520" customFormat="1" thickTop="1">
      <c r="A1649" s="51"/>
      <c r="B1649" s="51"/>
      <c r="C1649" s="3"/>
      <c r="D1649" s="3"/>
      <c r="E1649" s="51"/>
      <c r="F1649" s="51"/>
      <c r="G1649" s="51"/>
      <c r="H1649" s="51"/>
      <c r="I1649" s="51"/>
      <c r="J1649" s="51"/>
      <c r="K1649" s="51" t="s">
        <v>134</v>
      </c>
      <c r="L1649" s="51"/>
      <c r="M1649" s="51"/>
      <c r="N1649" s="51"/>
      <c r="O1649" s="52"/>
      <c r="P1649" s="51"/>
      <c r="Q1649" s="51"/>
      <c r="R1649" s="51"/>
      <c r="S1649" s="51"/>
      <c r="T1649" s="51"/>
      <c r="AR1649" s="51"/>
      <c r="AS1649" s="51"/>
    </row>
    <row r="1650" spans="1:45" s="520" customFormat="1" ht="12">
      <c r="A1650" s="51"/>
      <c r="B1650" s="51"/>
      <c r="C1650" s="51" t="s">
        <v>135</v>
      </c>
      <c r="D1650" s="37"/>
      <c r="E1650" s="51"/>
      <c r="F1650" s="51"/>
      <c r="G1650" s="51"/>
      <c r="H1650" s="51"/>
      <c r="I1650" s="51"/>
      <c r="J1650" s="51"/>
      <c r="K1650" s="51"/>
      <c r="L1650" s="51"/>
      <c r="M1650" s="51"/>
      <c r="N1650" s="51"/>
      <c r="O1650" s="52"/>
      <c r="P1650" s="51"/>
      <c r="Q1650" s="51"/>
      <c r="R1650" s="51"/>
      <c r="S1650" s="51"/>
      <c r="T1650" s="51"/>
      <c r="AR1650" s="51"/>
      <c r="AS1650" s="51"/>
    </row>
    <row r="1651" spans="1:45" s="520" customFormat="1" ht="12">
      <c r="A1651" s="51"/>
      <c r="B1651" s="51"/>
      <c r="C1651" s="51"/>
      <c r="D1651" s="37" t="s">
        <v>609</v>
      </c>
      <c r="E1651" s="51"/>
      <c r="F1651" s="51"/>
      <c r="G1651" s="51"/>
      <c r="H1651" s="51"/>
      <c r="I1651" s="51"/>
      <c r="J1651" s="51"/>
      <c r="K1651" s="51"/>
      <c r="L1651" s="51"/>
      <c r="M1651" s="51"/>
      <c r="N1651" s="51"/>
      <c r="O1651" s="52"/>
      <c r="P1651" s="51"/>
      <c r="Q1651" s="51"/>
      <c r="R1651" s="51"/>
      <c r="S1651" s="38"/>
      <c r="T1651" s="38"/>
      <c r="AR1651" s="51"/>
      <c r="AS1651" s="51"/>
    </row>
    <row r="1652" spans="1:45" s="3" customFormat="1" thickBot="1">
      <c r="A1652" s="531"/>
      <c r="O1652" s="107"/>
      <c r="AR1652" s="531"/>
    </row>
    <row r="1653" spans="1:45" s="520" customFormat="1" ht="12" thickTop="1">
      <c r="A1653" s="51"/>
      <c r="B1653" s="41"/>
      <c r="C1653" s="51"/>
      <c r="E1653" s="42" t="s">
        <v>138</v>
      </c>
      <c r="F1653" s="42" t="s">
        <v>139</v>
      </c>
      <c r="G1653" s="51"/>
      <c r="H1653" s="51"/>
      <c r="I1653" s="51"/>
      <c r="J1653" s="51"/>
      <c r="K1653" s="51" t="s">
        <v>140</v>
      </c>
      <c r="L1653" s="51"/>
      <c r="M1653" s="51"/>
      <c r="N1653" s="51"/>
      <c r="O1653" s="52"/>
      <c r="P1653" s="51"/>
      <c r="Q1653" s="51"/>
      <c r="R1653" s="51"/>
      <c r="S1653" s="51"/>
      <c r="T1653" s="41"/>
      <c r="AG1653" s="521" t="s">
        <v>268</v>
      </c>
      <c r="AH1653" s="521" t="s">
        <v>269</v>
      </c>
      <c r="AI1653" s="521" t="s">
        <v>270</v>
      </c>
      <c r="AJ1653" s="521" t="s">
        <v>271</v>
      </c>
      <c r="AK1653" s="521" t="s">
        <v>272</v>
      </c>
      <c r="AM1653" s="745" t="s">
        <v>281</v>
      </c>
      <c r="AN1653" s="746" t="s">
        <v>282</v>
      </c>
      <c r="AO1653" s="522" t="s">
        <v>278</v>
      </c>
      <c r="AR1653" s="51"/>
      <c r="AS1653" s="42" t="s">
        <v>139</v>
      </c>
    </row>
    <row r="1654" spans="1:45" s="520" customFormat="1" ht="12" customHeight="1">
      <c r="A1654" s="747">
        <v>75</v>
      </c>
      <c r="B1654" s="523" t="s">
        <v>320</v>
      </c>
      <c r="C1654" s="748"/>
      <c r="D1654" s="749" t="s">
        <v>1346</v>
      </c>
      <c r="E1654" s="750">
        <f ca="1">IF(AND($A1654=0,$A$1="DIF"),0, ROUND(ROUND(($R1659*$S$2+($T1659*$T$2))/A1654,2)*$C$2,2))</f>
        <v>0</v>
      </c>
      <c r="F1654" s="751">
        <f ca="1">ROUND($A1654*$E1654,2)</f>
        <v>0</v>
      </c>
      <c r="G1654" s="752" t="s">
        <v>142</v>
      </c>
      <c r="H1654" s="753"/>
      <c r="I1654" s="754"/>
      <c r="J1654" s="753"/>
      <c r="K1654" s="753" t="s">
        <v>3</v>
      </c>
      <c r="L1654" s="755" t="s">
        <v>143</v>
      </c>
      <c r="M1654" s="755"/>
      <c r="N1654" s="755"/>
      <c r="O1654" s="755"/>
      <c r="P1654" s="755"/>
      <c r="Q1654" s="1058" t="s">
        <v>3848</v>
      </c>
      <c r="T1654" s="756" t="str">
        <f ca="1">IF(AND($R1659=0,$T1659=0),"0.00","mu :" &amp; ROUND($F1654/$C$2/($R1659+$T1659*$D$9),2))</f>
        <v>0.00</v>
      </c>
      <c r="W1654" s="524"/>
      <c r="AG1654" s="481">
        <f ca="1">IF($E1654=0,0,ROUND($R1659*$S$2*$C$2/$A1654,2))</f>
        <v>0</v>
      </c>
      <c r="AH1654" s="481">
        <f ca="1">$AG1654*$A1654</f>
        <v>0</v>
      </c>
      <c r="AI1654" s="525">
        <f ca="1">$E1654-$AG1654</f>
        <v>0</v>
      </c>
      <c r="AJ1654" s="525">
        <f ca="1">$A1654*$AI1654</f>
        <v>0</v>
      </c>
      <c r="AK1654" s="526">
        <f ca="1">ROUND(($AG1654+$AI1654)*$A1654,2)</f>
        <v>0</v>
      </c>
      <c r="AM1654" s="527">
        <f ca="1">ROUND(R1659,2)</f>
        <v>0</v>
      </c>
      <c r="AN1654" s="528">
        <f ca="1">ROUND(T1659,2)</f>
        <v>0</v>
      </c>
      <c r="AO1654" s="529">
        <f ca="1">ROUND(AM1654+AN1654,2)*A1654</f>
        <v>0</v>
      </c>
      <c r="AR1654" s="747">
        <v>75</v>
      </c>
      <c r="AS1654" s="751">
        <v>771.75</v>
      </c>
    </row>
    <row r="1655" spans="1:45" s="520" customFormat="1" ht="13.2">
      <c r="A1655" s="748"/>
      <c r="B1655"/>
      <c r="C1655" s="748"/>
      <c r="D1655" s="749" t="s">
        <v>1347</v>
      </c>
      <c r="F1655" s="753"/>
      <c r="G1655" s="3"/>
      <c r="H1655" s="753"/>
      <c r="I1655" s="754"/>
      <c r="J1655" s="753"/>
      <c r="K1655" s="753" t="s">
        <v>144</v>
      </c>
      <c r="L1655" s="753"/>
      <c r="M1655" s="753"/>
      <c r="N1655" s="753"/>
      <c r="O1655" s="753"/>
      <c r="P1655" s="753"/>
      <c r="Q1655" s="51"/>
      <c r="R1655" s="530"/>
      <c r="S1655" s="757"/>
      <c r="T1655" s="753"/>
      <c r="AR1655" s="748"/>
      <c r="AS1655" s="753"/>
    </row>
    <row r="1656" spans="1:45" s="1336" customFormat="1" ht="13.2">
      <c r="A1656" s="1086"/>
      <c r="B1656" s="1328"/>
      <c r="C1656" s="1328" t="s">
        <v>2597</v>
      </c>
      <c r="D1656" s="1328" t="str">
        <f ca="1">CELL("Address",Elec_Rates!D$437)</f>
        <v>[E25_0062_Quintano_Foods_Elec_ELV_As_Awarded.xlsx]Elec_Rates!$D$437</v>
      </c>
      <c r="E1656" s="1060"/>
      <c r="F1656" s="1060"/>
      <c r="G1656" s="1329" t="s">
        <v>2598</v>
      </c>
      <c r="H1656" s="1329"/>
      <c r="I1656" s="1329"/>
      <c r="J1656" s="1329"/>
      <c r="K1656" s="1330"/>
      <c r="L1656" s="1060"/>
      <c r="M1656" s="1060"/>
      <c r="N1656" s="1060"/>
      <c r="O1656" s="1331"/>
      <c r="P1656" s="1060"/>
      <c r="Q1656" s="1332"/>
      <c r="R1656" s="1333"/>
      <c r="S1656" s="1332"/>
      <c r="T1656" s="1334"/>
      <c r="U1656" s="1335"/>
      <c r="AR1656" s="1086"/>
      <c r="AS1656" s="1060"/>
    </row>
    <row r="1657" spans="1:45" s="1336" customFormat="1" ht="11.4">
      <c r="A1657" s="1337">
        <v>0</v>
      </c>
      <c r="B1657" s="1338">
        <v>1</v>
      </c>
      <c r="C1657" s="1338">
        <f>$A1657*$B1657</f>
        <v>0</v>
      </c>
      <c r="D1657" s="1339" t="str">
        <f>Elec_Rates!$D$437</f>
        <v>042# 5 x 6mm2 XLPE/SWA/LSZH</v>
      </c>
      <c r="E1657" s="1339"/>
      <c r="F1657" s="1339" t="s">
        <v>2599</v>
      </c>
      <c r="G1657" s="1340" t="s">
        <v>2601</v>
      </c>
      <c r="H1657" s="1340"/>
      <c r="I1657" s="1340"/>
      <c r="J1657" s="1340"/>
      <c r="K1657" s="1341"/>
      <c r="L1657" s="1335"/>
      <c r="M1657" s="1335"/>
      <c r="N1657" s="1335"/>
      <c r="O1657" s="1342"/>
      <c r="P1657" s="1339"/>
      <c r="Q1657" s="1343">
        <f ca="1">$B1657*Elec_Rates!$R$437</f>
        <v>5.61</v>
      </c>
      <c r="R1657" s="1333">
        <f ca="1">$A1657*Q1657</f>
        <v>0</v>
      </c>
      <c r="S1657" s="1343">
        <f ca="1">$B1657*Elec_Rates!$T$437</f>
        <v>0.09</v>
      </c>
      <c r="T1657" s="1334">
        <f ca="1">$A1657*S1657</f>
        <v>0</v>
      </c>
      <c r="U1657" s="1344"/>
      <c r="AR1657" s="1337">
        <v>75</v>
      </c>
      <c r="AS1657" s="1339" t="s">
        <v>2599</v>
      </c>
    </row>
    <row r="1658" spans="1:45" s="520" customFormat="1" ht="12">
      <c r="A1658" s="758"/>
      <c r="B1658" s="758"/>
      <c r="C1658" s="758"/>
      <c r="D1658" s="758"/>
      <c r="E1658" s="758"/>
      <c r="F1658" s="753"/>
      <c r="G1658" s="758"/>
      <c r="H1658" s="758"/>
      <c r="I1658" s="519"/>
      <c r="J1658" s="758"/>
      <c r="K1658" s="758"/>
      <c r="L1658" s="758"/>
      <c r="M1658" s="758"/>
      <c r="N1658" s="758"/>
      <c r="O1658" s="758"/>
      <c r="P1658" s="758"/>
      <c r="Q1658" s="519"/>
      <c r="R1658" s="759">
        <f>$A1658*Q1658</f>
        <v>0</v>
      </c>
      <c r="S1658" s="519"/>
      <c r="T1658" s="760">
        <f>$A1658*S1658*$T$1</f>
        <v>0</v>
      </c>
      <c r="AR1658" s="758"/>
      <c r="AS1658" s="753"/>
    </row>
    <row r="1659" spans="1:45" s="520" customFormat="1" ht="12.6" thickBot="1">
      <c r="A1659" s="761" t="s">
        <v>145</v>
      </c>
      <c r="B1659" s="762">
        <f>(R1658+T1658)</f>
        <v>0</v>
      </c>
      <c r="C1659" s="763"/>
      <c r="D1659" s="763"/>
      <c r="E1659" s="763"/>
      <c r="F1659" s="764"/>
      <c r="G1659" s="763" t="s">
        <v>146</v>
      </c>
      <c r="H1659" s="763"/>
      <c r="I1659" s="765"/>
      <c r="J1659" s="763"/>
      <c r="K1659" s="763" t="s">
        <v>3</v>
      </c>
      <c r="L1659" s="766" t="s">
        <v>143</v>
      </c>
      <c r="M1659" s="766"/>
      <c r="N1659" s="766"/>
      <c r="O1659" s="766"/>
      <c r="P1659" s="766"/>
      <c r="Q1659" s="767"/>
      <c r="R1659" s="768">
        <f ca="1">SUM(R1655:R1658)</f>
        <v>0</v>
      </c>
      <c r="S1659" s="763"/>
      <c r="T1659" s="768">
        <f ca="1">SUM(T1655:T1658)</f>
        <v>0</v>
      </c>
      <c r="U1659" s="531"/>
      <c r="V1659" s="531"/>
      <c r="W1659" s="531"/>
      <c r="X1659" s="531"/>
      <c r="Y1659" s="531"/>
      <c r="Z1659" s="531"/>
      <c r="AA1659" s="531"/>
      <c r="AB1659" s="531"/>
      <c r="AC1659" s="531"/>
      <c r="AD1659" s="531"/>
      <c r="AE1659" s="531"/>
      <c r="AF1659" s="531"/>
      <c r="AG1659" s="531"/>
      <c r="AH1659" s="531"/>
      <c r="AI1659" s="531"/>
      <c r="AJ1659" s="531"/>
      <c r="AK1659" s="531"/>
      <c r="AL1659" s="531"/>
      <c r="AM1659" s="531"/>
      <c r="AN1659" s="531"/>
      <c r="AO1659" s="531"/>
      <c r="AR1659" s="761" t="s">
        <v>145</v>
      </c>
      <c r="AS1659" s="764"/>
    </row>
    <row r="1660" spans="1:45" s="520" customFormat="1" ht="12" thickTop="1">
      <c r="A1660" s="51"/>
      <c r="B1660" s="41"/>
      <c r="C1660" s="51"/>
      <c r="E1660" s="42" t="s">
        <v>138</v>
      </c>
      <c r="F1660" s="42" t="s">
        <v>139</v>
      </c>
      <c r="G1660" s="51"/>
      <c r="H1660" s="51"/>
      <c r="I1660" s="51"/>
      <c r="J1660" s="51"/>
      <c r="K1660" s="51" t="s">
        <v>140</v>
      </c>
      <c r="L1660" s="51"/>
      <c r="M1660" s="51"/>
      <c r="N1660" s="51"/>
      <c r="O1660" s="52"/>
      <c r="P1660" s="51"/>
      <c r="Q1660" s="51"/>
      <c r="R1660" s="51"/>
      <c r="S1660" s="51"/>
      <c r="T1660" s="41"/>
      <c r="AG1660" s="521" t="s">
        <v>268</v>
      </c>
      <c r="AH1660" s="521" t="s">
        <v>269</v>
      </c>
      <c r="AI1660" s="521" t="s">
        <v>270</v>
      </c>
      <c r="AJ1660" s="521" t="s">
        <v>271</v>
      </c>
      <c r="AK1660" s="521" t="s">
        <v>272</v>
      </c>
      <c r="AM1660" s="745" t="s">
        <v>281</v>
      </c>
      <c r="AN1660" s="746" t="s">
        <v>282</v>
      </c>
      <c r="AO1660" s="522" t="s">
        <v>278</v>
      </c>
      <c r="AR1660" s="51"/>
      <c r="AS1660" s="42" t="s">
        <v>139</v>
      </c>
    </row>
    <row r="1661" spans="1:45" s="520" customFormat="1" ht="12" customHeight="1">
      <c r="A1661" s="747">
        <v>75</v>
      </c>
      <c r="B1661" s="523" t="s">
        <v>320</v>
      </c>
      <c r="C1661" s="748"/>
      <c r="D1661" s="749" t="s">
        <v>1348</v>
      </c>
      <c r="E1661" s="750">
        <f ca="1">IF(AND($A1661=0,$A$1="DIF"),0, ROUND(ROUND(($R1666*$S$2+($T1666*$T$2))/A1661,2)*$C$2,2))</f>
        <v>0</v>
      </c>
      <c r="F1661" s="751">
        <f ca="1">ROUND($A1661*$E1661,2)</f>
        <v>0</v>
      </c>
      <c r="G1661" s="752" t="s">
        <v>142</v>
      </c>
      <c r="H1661" s="753"/>
      <c r="I1661" s="754"/>
      <c r="J1661" s="753"/>
      <c r="K1661" s="753" t="s">
        <v>3</v>
      </c>
      <c r="L1661" s="755" t="s">
        <v>143</v>
      </c>
      <c r="M1661" s="755"/>
      <c r="N1661" s="755"/>
      <c r="O1661" s="755"/>
      <c r="P1661" s="755"/>
      <c r="Q1661" s="1058" t="s">
        <v>3848</v>
      </c>
      <c r="T1661" s="756" t="str">
        <f ca="1">IF(AND($R1666=0,$T1666=0),"0.00","mu :" &amp; ROUND($F1661/$C$2/($R1666+$T1666*$D$9),2))</f>
        <v>0.00</v>
      </c>
      <c r="W1661" s="524"/>
      <c r="AG1661" s="481">
        <f ca="1">IF($E1661=0,0,ROUND($R1666*$S$2*$C$2/$A1661,2))</f>
        <v>0</v>
      </c>
      <c r="AH1661" s="481">
        <f ca="1">$AG1661*$A1661</f>
        <v>0</v>
      </c>
      <c r="AI1661" s="525">
        <f ca="1">$E1661-$AG1661</f>
        <v>0</v>
      </c>
      <c r="AJ1661" s="525">
        <f ca="1">$A1661*$AI1661</f>
        <v>0</v>
      </c>
      <c r="AK1661" s="526">
        <f ca="1">ROUND(($AG1661+$AI1661)*$A1661,2)</f>
        <v>0</v>
      </c>
      <c r="AM1661" s="527">
        <f ca="1">ROUND(R1666,2)</f>
        <v>0</v>
      </c>
      <c r="AN1661" s="528">
        <f ca="1">ROUND(T1666,2)</f>
        <v>0</v>
      </c>
      <c r="AO1661" s="529">
        <f ca="1">ROUND(AM1661+AN1661,2)*A1661</f>
        <v>0</v>
      </c>
      <c r="AR1661" s="747">
        <v>75</v>
      </c>
      <c r="AS1661" s="751">
        <v>771.75</v>
      </c>
    </row>
    <row r="1662" spans="1:45" s="520" customFormat="1" ht="13.2">
      <c r="A1662" s="748"/>
      <c r="B1662"/>
      <c r="C1662" s="748"/>
      <c r="D1662" s="749" t="s">
        <v>1349</v>
      </c>
      <c r="F1662" s="753"/>
      <c r="G1662" s="3"/>
      <c r="H1662" s="753"/>
      <c r="I1662" s="754"/>
      <c r="J1662" s="753"/>
      <c r="K1662" s="753" t="s">
        <v>144</v>
      </c>
      <c r="L1662" s="753"/>
      <c r="M1662" s="753"/>
      <c r="N1662" s="753"/>
      <c r="O1662" s="753"/>
      <c r="P1662" s="753"/>
      <c r="Q1662" s="51"/>
      <c r="R1662" s="530"/>
      <c r="S1662" s="757"/>
      <c r="T1662" s="753"/>
      <c r="AR1662" s="748"/>
      <c r="AS1662" s="753"/>
    </row>
    <row r="1663" spans="1:45" s="1336" customFormat="1" ht="13.2">
      <c r="A1663" s="1086"/>
      <c r="B1663" s="1328"/>
      <c r="C1663" s="1328" t="s">
        <v>2597</v>
      </c>
      <c r="D1663" s="1328" t="str">
        <f ca="1">CELL("Address",Elec_Rates!D$437)</f>
        <v>[E25_0062_Quintano_Foods_Elec_ELV_As_Awarded.xlsx]Elec_Rates!$D$437</v>
      </c>
      <c r="E1663" s="1060"/>
      <c r="F1663" s="1060"/>
      <c r="G1663" s="1329" t="s">
        <v>2598</v>
      </c>
      <c r="H1663" s="1329"/>
      <c r="I1663" s="1329"/>
      <c r="J1663" s="1329"/>
      <c r="K1663" s="1330"/>
      <c r="L1663" s="1060"/>
      <c r="M1663" s="1060"/>
      <c r="N1663" s="1060"/>
      <c r="O1663" s="1331"/>
      <c r="P1663" s="1060"/>
      <c r="Q1663" s="1332"/>
      <c r="R1663" s="1333"/>
      <c r="S1663" s="1332"/>
      <c r="T1663" s="1334"/>
      <c r="U1663" s="1335"/>
      <c r="AR1663" s="1086"/>
      <c r="AS1663" s="1060"/>
    </row>
    <row r="1664" spans="1:45" s="1336" customFormat="1" ht="11.4">
      <c r="A1664" s="1337">
        <v>0</v>
      </c>
      <c r="B1664" s="1338">
        <v>1</v>
      </c>
      <c r="C1664" s="1338">
        <f>$A1664*$B1664</f>
        <v>0</v>
      </c>
      <c r="D1664" s="1339" t="str">
        <f>Elec_Rates!$D$437</f>
        <v>042# 5 x 6mm2 XLPE/SWA/LSZH</v>
      </c>
      <c r="E1664" s="1339"/>
      <c r="F1664" s="1339" t="s">
        <v>2599</v>
      </c>
      <c r="G1664" s="1340" t="s">
        <v>2601</v>
      </c>
      <c r="H1664" s="1340"/>
      <c r="I1664" s="1340"/>
      <c r="J1664" s="1340"/>
      <c r="K1664" s="1341"/>
      <c r="L1664" s="1335"/>
      <c r="M1664" s="1335"/>
      <c r="N1664" s="1335"/>
      <c r="O1664" s="1342"/>
      <c r="P1664" s="1339"/>
      <c r="Q1664" s="1343">
        <f ca="1">$B1664*Elec_Rates!$R$437</f>
        <v>5.61</v>
      </c>
      <c r="R1664" s="1333">
        <f ca="1">$A1664*Q1664</f>
        <v>0</v>
      </c>
      <c r="S1664" s="1343">
        <f ca="1">$B1664*Elec_Rates!$T$437</f>
        <v>0.09</v>
      </c>
      <c r="T1664" s="1334">
        <f ca="1">$A1664*S1664</f>
        <v>0</v>
      </c>
      <c r="U1664" s="1344"/>
      <c r="AR1664" s="1337">
        <v>75</v>
      </c>
      <c r="AS1664" s="1339" t="s">
        <v>2599</v>
      </c>
    </row>
    <row r="1665" spans="1:45" s="520" customFormat="1" ht="12">
      <c r="A1665" s="758"/>
      <c r="B1665" s="758"/>
      <c r="C1665" s="758"/>
      <c r="D1665" s="758"/>
      <c r="E1665" s="758"/>
      <c r="F1665" s="753"/>
      <c r="G1665" s="758"/>
      <c r="H1665" s="758"/>
      <c r="I1665" s="519"/>
      <c r="J1665" s="758"/>
      <c r="K1665" s="758"/>
      <c r="L1665" s="758"/>
      <c r="M1665" s="758"/>
      <c r="N1665" s="758"/>
      <c r="O1665" s="758"/>
      <c r="P1665" s="758"/>
      <c r="Q1665" s="519"/>
      <c r="R1665" s="759">
        <f>$A1665*Q1665</f>
        <v>0</v>
      </c>
      <c r="S1665" s="519"/>
      <c r="T1665" s="760">
        <f>$A1665*S1665*$T$1</f>
        <v>0</v>
      </c>
      <c r="AR1665" s="758"/>
      <c r="AS1665" s="753"/>
    </row>
    <row r="1666" spans="1:45" s="520" customFormat="1" ht="12.6" thickBot="1">
      <c r="A1666" s="761" t="s">
        <v>145</v>
      </c>
      <c r="B1666" s="762">
        <f>(R1665+T1665)</f>
        <v>0</v>
      </c>
      <c r="C1666" s="763"/>
      <c r="D1666" s="763"/>
      <c r="E1666" s="763"/>
      <c r="F1666" s="764"/>
      <c r="G1666" s="763" t="s">
        <v>146</v>
      </c>
      <c r="H1666" s="763"/>
      <c r="I1666" s="765"/>
      <c r="J1666" s="763"/>
      <c r="K1666" s="763" t="s">
        <v>3</v>
      </c>
      <c r="L1666" s="766" t="s">
        <v>143</v>
      </c>
      <c r="M1666" s="766"/>
      <c r="N1666" s="766"/>
      <c r="O1666" s="766"/>
      <c r="P1666" s="766"/>
      <c r="Q1666" s="767"/>
      <c r="R1666" s="768">
        <f ca="1">SUM(R1662:R1665)</f>
        <v>0</v>
      </c>
      <c r="S1666" s="763"/>
      <c r="T1666" s="768">
        <f ca="1">SUM(T1662:T1665)</f>
        <v>0</v>
      </c>
      <c r="U1666" s="531"/>
      <c r="V1666" s="531"/>
      <c r="W1666" s="531"/>
      <c r="X1666" s="531"/>
      <c r="Y1666" s="531"/>
      <c r="Z1666" s="531"/>
      <c r="AA1666" s="531"/>
      <c r="AB1666" s="531"/>
      <c r="AC1666" s="531"/>
      <c r="AD1666" s="531"/>
      <c r="AE1666" s="531"/>
      <c r="AF1666" s="531"/>
      <c r="AG1666" s="531"/>
      <c r="AH1666" s="531"/>
      <c r="AI1666" s="531"/>
      <c r="AJ1666" s="531"/>
      <c r="AK1666" s="531"/>
      <c r="AL1666" s="531"/>
      <c r="AM1666" s="531"/>
      <c r="AN1666" s="531"/>
      <c r="AO1666" s="531"/>
      <c r="AR1666" s="761" t="s">
        <v>145</v>
      </c>
      <c r="AS1666" s="764"/>
    </row>
    <row r="1667" spans="1:45" s="520" customFormat="1" ht="12" thickTop="1">
      <c r="A1667" s="51"/>
      <c r="B1667" s="41"/>
      <c r="C1667" s="51"/>
      <c r="E1667" s="42" t="s">
        <v>138</v>
      </c>
      <c r="F1667" s="42" t="s">
        <v>139</v>
      </c>
      <c r="G1667" s="51"/>
      <c r="H1667" s="51"/>
      <c r="I1667" s="51"/>
      <c r="J1667" s="51"/>
      <c r="K1667" s="51" t="s">
        <v>140</v>
      </c>
      <c r="L1667" s="51"/>
      <c r="M1667" s="51"/>
      <c r="N1667" s="51"/>
      <c r="O1667" s="52"/>
      <c r="P1667" s="51"/>
      <c r="Q1667" s="51"/>
      <c r="R1667" s="51"/>
      <c r="S1667" s="51"/>
      <c r="T1667" s="41"/>
      <c r="AG1667" s="521" t="s">
        <v>268</v>
      </c>
      <c r="AH1667" s="521" t="s">
        <v>269</v>
      </c>
      <c r="AI1667" s="521" t="s">
        <v>270</v>
      </c>
      <c r="AJ1667" s="521" t="s">
        <v>271</v>
      </c>
      <c r="AK1667" s="521" t="s">
        <v>272</v>
      </c>
      <c r="AM1667" s="745" t="s">
        <v>281</v>
      </c>
      <c r="AN1667" s="746" t="s">
        <v>282</v>
      </c>
      <c r="AO1667" s="522" t="s">
        <v>278</v>
      </c>
      <c r="AR1667" s="51"/>
      <c r="AS1667" s="42" t="s">
        <v>139</v>
      </c>
    </row>
    <row r="1668" spans="1:45" s="520" customFormat="1" ht="12" customHeight="1">
      <c r="A1668" s="747">
        <v>70</v>
      </c>
      <c r="B1668" s="523" t="s">
        <v>320</v>
      </c>
      <c r="C1668" s="748"/>
      <c r="D1668" s="749" t="s">
        <v>1350</v>
      </c>
      <c r="E1668" s="750">
        <f ca="1">IF(AND($A1668=0,$A$1="DIF"),0, ROUND(ROUND(($R1673*$S$2+($T1673*$T$2))/A1668,2)*$C$2,2))</f>
        <v>9.9499999999999993</v>
      </c>
      <c r="F1668" s="751">
        <f ca="1">ROUND($A1668*$E1668,2)</f>
        <v>696.5</v>
      </c>
      <c r="G1668" s="752" t="s">
        <v>142</v>
      </c>
      <c r="H1668" s="753"/>
      <c r="I1668" s="754"/>
      <c r="J1668" s="753"/>
      <c r="K1668" s="753" t="s">
        <v>3</v>
      </c>
      <c r="L1668" s="755" t="s">
        <v>143</v>
      </c>
      <c r="M1668" s="755"/>
      <c r="N1668" s="755"/>
      <c r="O1668" s="755"/>
      <c r="P1668" s="755"/>
      <c r="Q1668" s="51"/>
      <c r="T1668" s="756" t="str">
        <f ca="1">IF(AND($R1673=0,$T1673=0),"0.00","mu :" &amp; ROUND($F1668/$C$2/($R1673+$T1673*$D$9),2))</f>
        <v>mu :1.23</v>
      </c>
      <c r="W1668" s="524"/>
      <c r="AG1668" s="481">
        <f ca="1">IF($E1668=0,0,ROUND($R1673*$S$2*$C$2/$A1668,2))</f>
        <v>6.91</v>
      </c>
      <c r="AH1668" s="481">
        <f ca="1">$AG1668*$A1668</f>
        <v>483.7</v>
      </c>
      <c r="AI1668" s="525">
        <f ca="1">$E1668-$AG1668</f>
        <v>3.0399999999999991</v>
      </c>
      <c r="AJ1668" s="525">
        <f ca="1">$A1668*$AI1668</f>
        <v>212.79999999999995</v>
      </c>
      <c r="AK1668" s="526">
        <f ca="1">ROUND(($AG1668+$AI1668)*$A1668,2)</f>
        <v>696.5</v>
      </c>
      <c r="AM1668" s="527">
        <f ca="1">ROUND(R1673,2)</f>
        <v>392.7</v>
      </c>
      <c r="AN1668" s="528">
        <f ca="1">ROUND(T1673,2)</f>
        <v>6.3</v>
      </c>
      <c r="AO1668" s="529">
        <f ca="1">ROUND(AM1668+AN1668,2)*A1668</f>
        <v>27930</v>
      </c>
      <c r="AR1668" s="747">
        <v>70</v>
      </c>
      <c r="AS1668" s="751">
        <v>720.3</v>
      </c>
    </row>
    <row r="1669" spans="1:45" s="520" customFormat="1" ht="13.2">
      <c r="A1669" s="748"/>
      <c r="B1669"/>
      <c r="C1669" s="748"/>
      <c r="D1669" s="749" t="s">
        <v>1351</v>
      </c>
      <c r="F1669" s="753"/>
      <c r="G1669" s="3"/>
      <c r="H1669" s="753"/>
      <c r="I1669" s="754"/>
      <c r="J1669" s="753"/>
      <c r="K1669" s="753" t="s">
        <v>144</v>
      </c>
      <c r="L1669" s="753"/>
      <c r="M1669" s="753"/>
      <c r="N1669" s="753"/>
      <c r="O1669" s="753"/>
      <c r="P1669" s="753"/>
      <c r="Q1669" s="51"/>
      <c r="R1669" s="530"/>
      <c r="S1669" s="757"/>
      <c r="T1669" s="753"/>
      <c r="AR1669" s="748"/>
      <c r="AS1669" s="753"/>
    </row>
    <row r="1670" spans="1:45" s="886" customFormat="1" ht="13.2">
      <c r="A1670"/>
      <c r="B1670" s="910"/>
      <c r="C1670" s="910" t="s">
        <v>2597</v>
      </c>
      <c r="D1670" s="910" t="str">
        <f ca="1">CELL("Address",Elec_Rates!D$437)</f>
        <v>[E25_0062_Quintano_Foods_Elec_ELV_As_Awarded.xlsx]Elec_Rates!$D$437</v>
      </c>
      <c r="E1670" s="911"/>
      <c r="F1670" s="911"/>
      <c r="G1670" s="912" t="s">
        <v>2598</v>
      </c>
      <c r="H1670" s="912"/>
      <c r="I1670" s="912"/>
      <c r="J1670" s="912"/>
      <c r="K1670" s="913"/>
      <c r="L1670" s="911"/>
      <c r="M1670" s="911"/>
      <c r="N1670" s="911"/>
      <c r="O1670" s="914"/>
      <c r="P1670" s="911"/>
      <c r="Q1670" s="915"/>
      <c r="R1670" s="916"/>
      <c r="S1670" s="915"/>
      <c r="T1670" s="917"/>
      <c r="U1670" s="918"/>
      <c r="AR1670"/>
      <c r="AS1670" s="911"/>
    </row>
    <row r="1671" spans="1:45" s="886" customFormat="1" ht="11.4">
      <c r="A1671" s="919">
        <v>70</v>
      </c>
      <c r="B1671" s="920">
        <v>1</v>
      </c>
      <c r="C1671" s="920">
        <f>$A1671*$B1671</f>
        <v>70</v>
      </c>
      <c r="D1671" s="921" t="str">
        <f>Elec_Rates!$D$437</f>
        <v>042# 5 x 6mm2 XLPE/SWA/LSZH</v>
      </c>
      <c r="E1671" s="921"/>
      <c r="F1671" s="921" t="s">
        <v>2599</v>
      </c>
      <c r="G1671" s="922" t="s">
        <v>2601</v>
      </c>
      <c r="H1671" s="922"/>
      <c r="I1671" s="922"/>
      <c r="J1671" s="922"/>
      <c r="K1671" s="923"/>
      <c r="L1671" s="918"/>
      <c r="M1671" s="918"/>
      <c r="N1671" s="918"/>
      <c r="O1671" s="924"/>
      <c r="P1671" s="921"/>
      <c r="Q1671" s="925">
        <f ca="1">$B1671*Elec_Rates!$R$437</f>
        <v>5.61</v>
      </c>
      <c r="R1671" s="916">
        <f ca="1">$A1671*Q1671</f>
        <v>392.70000000000005</v>
      </c>
      <c r="S1671" s="925">
        <f ca="1">$B1671*Elec_Rates!$T$437</f>
        <v>0.09</v>
      </c>
      <c r="T1671" s="917">
        <f ca="1">$A1671*S1671</f>
        <v>6.3</v>
      </c>
      <c r="U1671" s="926"/>
      <c r="AR1671" s="919">
        <v>70</v>
      </c>
      <c r="AS1671" s="921" t="s">
        <v>2599</v>
      </c>
    </row>
    <row r="1672" spans="1:45" s="520" customFormat="1" ht="12">
      <c r="A1672" s="758"/>
      <c r="B1672" s="758"/>
      <c r="C1672" s="758"/>
      <c r="D1672" s="758"/>
      <c r="E1672" s="758"/>
      <c r="F1672" s="753"/>
      <c r="G1672" s="758"/>
      <c r="H1672" s="758"/>
      <c r="I1672" s="519"/>
      <c r="J1672" s="758"/>
      <c r="K1672" s="758"/>
      <c r="L1672" s="758"/>
      <c r="M1672" s="758"/>
      <c r="N1672" s="758"/>
      <c r="O1672" s="758"/>
      <c r="P1672" s="758"/>
      <c r="Q1672" s="519"/>
      <c r="R1672" s="759">
        <f>$A1672*Q1672</f>
        <v>0</v>
      </c>
      <c r="S1672" s="519"/>
      <c r="T1672" s="760">
        <f>$A1672*S1672*$T$1</f>
        <v>0</v>
      </c>
      <c r="AR1672" s="758"/>
      <c r="AS1672" s="753"/>
    </row>
    <row r="1673" spans="1:45" s="520" customFormat="1" ht="12.6" thickBot="1">
      <c r="A1673" s="761" t="s">
        <v>145</v>
      </c>
      <c r="B1673" s="762">
        <f>(R1672+T1672)</f>
        <v>0</v>
      </c>
      <c r="C1673" s="763"/>
      <c r="D1673" s="763"/>
      <c r="E1673" s="763"/>
      <c r="F1673" s="764"/>
      <c r="G1673" s="763" t="s">
        <v>146</v>
      </c>
      <c r="H1673" s="763"/>
      <c r="I1673" s="765"/>
      <c r="J1673" s="763"/>
      <c r="K1673" s="763" t="s">
        <v>3</v>
      </c>
      <c r="L1673" s="766" t="s">
        <v>143</v>
      </c>
      <c r="M1673" s="766"/>
      <c r="N1673" s="766"/>
      <c r="O1673" s="766"/>
      <c r="P1673" s="766"/>
      <c r="Q1673" s="767"/>
      <c r="R1673" s="768">
        <f ca="1">SUM(R1669:R1672)</f>
        <v>392.70000000000005</v>
      </c>
      <c r="S1673" s="763"/>
      <c r="T1673" s="768">
        <f ca="1">SUM(T1669:T1672)</f>
        <v>6.3</v>
      </c>
      <c r="U1673" s="531"/>
      <c r="V1673" s="531"/>
      <c r="W1673" s="531"/>
      <c r="X1673" s="531"/>
      <c r="Y1673" s="531"/>
      <c r="Z1673" s="531"/>
      <c r="AA1673" s="531"/>
      <c r="AB1673" s="531"/>
      <c r="AC1673" s="531"/>
      <c r="AD1673" s="531"/>
      <c r="AE1673" s="531"/>
      <c r="AF1673" s="531"/>
      <c r="AG1673" s="531"/>
      <c r="AH1673" s="531"/>
      <c r="AI1673" s="531"/>
      <c r="AJ1673" s="531"/>
      <c r="AK1673" s="531"/>
      <c r="AL1673" s="531"/>
      <c r="AM1673" s="531"/>
      <c r="AN1673" s="531"/>
      <c r="AO1673" s="531"/>
      <c r="AR1673" s="761" t="s">
        <v>145</v>
      </c>
      <c r="AS1673" s="764"/>
    </row>
    <row r="1674" spans="1:45" s="520" customFormat="1" ht="12" thickTop="1">
      <c r="A1674" s="51"/>
      <c r="B1674" s="41"/>
      <c r="C1674" s="51"/>
      <c r="E1674" s="42" t="s">
        <v>138</v>
      </c>
      <c r="F1674" s="42" t="s">
        <v>139</v>
      </c>
      <c r="G1674" s="51"/>
      <c r="H1674" s="51"/>
      <c r="I1674" s="51"/>
      <c r="J1674" s="51"/>
      <c r="K1674" s="51" t="s">
        <v>140</v>
      </c>
      <c r="L1674" s="51"/>
      <c r="M1674" s="51"/>
      <c r="N1674" s="51"/>
      <c r="O1674" s="52"/>
      <c r="P1674" s="51"/>
      <c r="Q1674" s="51"/>
      <c r="R1674" s="51"/>
      <c r="S1674" s="51"/>
      <c r="T1674" s="41"/>
      <c r="AG1674" s="521" t="s">
        <v>268</v>
      </c>
      <c r="AH1674" s="521" t="s">
        <v>269</v>
      </c>
      <c r="AI1674" s="521" t="s">
        <v>270</v>
      </c>
      <c r="AJ1674" s="521" t="s">
        <v>271</v>
      </c>
      <c r="AK1674" s="521" t="s">
        <v>272</v>
      </c>
      <c r="AM1674" s="745" t="s">
        <v>281</v>
      </c>
      <c r="AN1674" s="746" t="s">
        <v>282</v>
      </c>
      <c r="AO1674" s="522" t="s">
        <v>278</v>
      </c>
      <c r="AR1674" s="51"/>
      <c r="AS1674" s="42" t="s">
        <v>139</v>
      </c>
    </row>
    <row r="1675" spans="1:45" s="520" customFormat="1" ht="12" customHeight="1">
      <c r="A1675" s="747">
        <v>65</v>
      </c>
      <c r="B1675" s="523" t="s">
        <v>320</v>
      </c>
      <c r="C1675" s="748"/>
      <c r="D1675" s="749" t="s">
        <v>1352</v>
      </c>
      <c r="E1675" s="750">
        <f ca="1">IF(AND($A1675=0,$A$1="DIF"),0, ROUND(ROUND(($R1680*$S$2+($T1680*$T$2))/A1675,2)*$C$2,2))</f>
        <v>0</v>
      </c>
      <c r="F1675" s="751">
        <f ca="1">ROUND($A1675*$E1675,2)</f>
        <v>0</v>
      </c>
      <c r="G1675" s="752" t="s">
        <v>142</v>
      </c>
      <c r="H1675" s="753"/>
      <c r="I1675" s="754"/>
      <c r="J1675" s="753"/>
      <c r="K1675" s="753" t="s">
        <v>3</v>
      </c>
      <c r="L1675" s="755" t="s">
        <v>143</v>
      </c>
      <c r="M1675" s="755"/>
      <c r="N1675" s="755"/>
      <c r="O1675" s="755"/>
      <c r="P1675" s="755"/>
      <c r="Q1675" s="1058" t="s">
        <v>3848</v>
      </c>
      <c r="T1675" s="756" t="str">
        <f ca="1">IF(AND($R1680=0,$T1680=0),"0.00","mu :" &amp; ROUND($F1675/$C$2/($R1680+$T1680*$D$9),2))</f>
        <v>0.00</v>
      </c>
      <c r="W1675" s="524"/>
      <c r="AG1675" s="481">
        <f ca="1">IF($E1675=0,0,ROUND($R1680*$S$2*$C$2/$A1675,2))</f>
        <v>0</v>
      </c>
      <c r="AH1675" s="481">
        <f ca="1">$AG1675*$A1675</f>
        <v>0</v>
      </c>
      <c r="AI1675" s="525">
        <f ca="1">$E1675-$AG1675</f>
        <v>0</v>
      </c>
      <c r="AJ1675" s="525">
        <f ca="1">$A1675*$AI1675</f>
        <v>0</v>
      </c>
      <c r="AK1675" s="526">
        <f ca="1">ROUND(($AG1675+$AI1675)*$A1675,2)</f>
        <v>0</v>
      </c>
      <c r="AM1675" s="527">
        <f ca="1">ROUND(R1680,2)</f>
        <v>0</v>
      </c>
      <c r="AN1675" s="528">
        <f ca="1">ROUND(T1680,2)</f>
        <v>0</v>
      </c>
      <c r="AO1675" s="529">
        <f ca="1">ROUND(AM1675+AN1675,2)*A1675</f>
        <v>0</v>
      </c>
      <c r="AR1675" s="747">
        <v>65</v>
      </c>
      <c r="AS1675" s="751">
        <v>668.85</v>
      </c>
    </row>
    <row r="1676" spans="1:45" s="520" customFormat="1" ht="13.2">
      <c r="A1676" s="748"/>
      <c r="B1676"/>
      <c r="C1676" s="748"/>
      <c r="D1676" s="749" t="s">
        <v>1353</v>
      </c>
      <c r="F1676" s="753"/>
      <c r="G1676" s="3"/>
      <c r="H1676" s="753"/>
      <c r="I1676" s="754"/>
      <c r="J1676" s="753"/>
      <c r="K1676" s="753" t="s">
        <v>144</v>
      </c>
      <c r="L1676" s="753"/>
      <c r="M1676" s="753"/>
      <c r="N1676" s="753"/>
      <c r="O1676" s="753"/>
      <c r="P1676" s="753"/>
      <c r="Q1676" s="51"/>
      <c r="R1676" s="530"/>
      <c r="S1676" s="757"/>
      <c r="T1676" s="753"/>
      <c r="AR1676" s="748"/>
      <c r="AS1676" s="753"/>
    </row>
    <row r="1677" spans="1:45" s="886" customFormat="1" ht="13.2">
      <c r="A1677"/>
      <c r="B1677" s="910"/>
      <c r="C1677" s="910" t="s">
        <v>2597</v>
      </c>
      <c r="D1677" s="910" t="str">
        <f ca="1">CELL("Address",Elec_Rates!D$437)</f>
        <v>[E25_0062_Quintano_Foods_Elec_ELV_As_Awarded.xlsx]Elec_Rates!$D$437</v>
      </c>
      <c r="E1677" s="911"/>
      <c r="F1677" s="911"/>
      <c r="G1677" s="912" t="s">
        <v>2598</v>
      </c>
      <c r="H1677" s="912"/>
      <c r="I1677" s="912"/>
      <c r="J1677" s="912"/>
      <c r="K1677" s="913"/>
      <c r="L1677" s="911"/>
      <c r="M1677" s="911"/>
      <c r="N1677" s="911"/>
      <c r="O1677" s="914"/>
      <c r="P1677" s="911"/>
      <c r="Q1677" s="915"/>
      <c r="R1677" s="916"/>
      <c r="S1677" s="915"/>
      <c r="T1677" s="917"/>
      <c r="U1677" s="918"/>
      <c r="AR1677"/>
      <c r="AS1677" s="911"/>
    </row>
    <row r="1678" spans="1:45" s="886" customFormat="1" ht="11.4">
      <c r="A1678" s="919">
        <v>0</v>
      </c>
      <c r="B1678" s="920">
        <v>1</v>
      </c>
      <c r="C1678" s="920">
        <f>$A1678*$B1678</f>
        <v>0</v>
      </c>
      <c r="D1678" s="921" t="str">
        <f>Elec_Rates!$D$437</f>
        <v>042# 5 x 6mm2 XLPE/SWA/LSZH</v>
      </c>
      <c r="E1678" s="921"/>
      <c r="F1678" s="921" t="s">
        <v>2599</v>
      </c>
      <c r="G1678" s="922" t="s">
        <v>2601</v>
      </c>
      <c r="H1678" s="922"/>
      <c r="I1678" s="922"/>
      <c r="J1678" s="922"/>
      <c r="K1678" s="923"/>
      <c r="L1678" s="918"/>
      <c r="M1678" s="918"/>
      <c r="N1678" s="918"/>
      <c r="O1678" s="924"/>
      <c r="P1678" s="921"/>
      <c r="Q1678" s="925">
        <f ca="1">$B1678*Elec_Rates!$R$437</f>
        <v>5.61</v>
      </c>
      <c r="R1678" s="916">
        <f ca="1">$A1678*Q1678</f>
        <v>0</v>
      </c>
      <c r="S1678" s="925">
        <f ca="1">$B1678*Elec_Rates!$T$437</f>
        <v>0.09</v>
      </c>
      <c r="T1678" s="917">
        <f ca="1">$A1678*S1678</f>
        <v>0</v>
      </c>
      <c r="U1678" s="926"/>
      <c r="AR1678" s="919">
        <v>65</v>
      </c>
      <c r="AS1678" s="921" t="s">
        <v>2599</v>
      </c>
    </row>
    <row r="1679" spans="1:45" s="520" customFormat="1" ht="12">
      <c r="A1679" s="758"/>
      <c r="B1679" s="758"/>
      <c r="C1679" s="758"/>
      <c r="D1679" s="758"/>
      <c r="E1679" s="758"/>
      <c r="F1679" s="753"/>
      <c r="G1679" s="758"/>
      <c r="H1679" s="758"/>
      <c r="I1679" s="519"/>
      <c r="J1679" s="758"/>
      <c r="K1679" s="758"/>
      <c r="L1679" s="758"/>
      <c r="M1679" s="758"/>
      <c r="N1679" s="758"/>
      <c r="O1679" s="758"/>
      <c r="P1679" s="758"/>
      <c r="Q1679" s="519"/>
      <c r="R1679" s="759">
        <f>$A1679*Q1679</f>
        <v>0</v>
      </c>
      <c r="S1679" s="519"/>
      <c r="T1679" s="760">
        <f>$A1679*S1679*$T$1</f>
        <v>0</v>
      </c>
      <c r="AR1679" s="758"/>
      <c r="AS1679" s="753"/>
    </row>
    <row r="1680" spans="1:45" s="520" customFormat="1" ht="12.6" thickBot="1">
      <c r="A1680" s="761" t="s">
        <v>145</v>
      </c>
      <c r="B1680" s="762">
        <f>(R1679+T1679)</f>
        <v>0</v>
      </c>
      <c r="C1680" s="763"/>
      <c r="D1680" s="763"/>
      <c r="E1680" s="763"/>
      <c r="F1680" s="764"/>
      <c r="G1680" s="763" t="s">
        <v>146</v>
      </c>
      <c r="H1680" s="763"/>
      <c r="I1680" s="765"/>
      <c r="J1680" s="763"/>
      <c r="K1680" s="763" t="s">
        <v>3</v>
      </c>
      <c r="L1680" s="766" t="s">
        <v>143</v>
      </c>
      <c r="M1680" s="766"/>
      <c r="N1680" s="766"/>
      <c r="O1680" s="766"/>
      <c r="P1680" s="766"/>
      <c r="Q1680" s="767"/>
      <c r="R1680" s="768">
        <f ca="1">SUM(R1676:R1679)</f>
        <v>0</v>
      </c>
      <c r="S1680" s="763"/>
      <c r="T1680" s="768">
        <f ca="1">SUM(T1676:T1679)</f>
        <v>0</v>
      </c>
      <c r="U1680" s="531"/>
      <c r="V1680" s="531"/>
      <c r="W1680" s="531"/>
      <c r="X1680" s="531"/>
      <c r="Y1680" s="531"/>
      <c r="Z1680" s="531"/>
      <c r="AA1680" s="531"/>
      <c r="AB1680" s="531"/>
      <c r="AC1680" s="531"/>
      <c r="AD1680" s="531"/>
      <c r="AE1680" s="531"/>
      <c r="AF1680" s="531"/>
      <c r="AG1680" s="531"/>
      <c r="AH1680" s="531"/>
      <c r="AI1680" s="531"/>
      <c r="AJ1680" s="531"/>
      <c r="AK1680" s="531"/>
      <c r="AL1680" s="531"/>
      <c r="AM1680" s="531"/>
      <c r="AN1680" s="531"/>
      <c r="AO1680" s="531"/>
      <c r="AR1680" s="761" t="s">
        <v>145</v>
      </c>
      <c r="AS1680" s="764"/>
    </row>
    <row r="1681" spans="1:45" s="520" customFormat="1" ht="12" thickTop="1">
      <c r="A1681" s="51"/>
      <c r="B1681" s="41"/>
      <c r="C1681" s="51"/>
      <c r="E1681" s="42" t="s">
        <v>138</v>
      </c>
      <c r="F1681" s="42" t="s">
        <v>139</v>
      </c>
      <c r="G1681" s="51"/>
      <c r="H1681" s="51"/>
      <c r="I1681" s="51"/>
      <c r="J1681" s="51"/>
      <c r="K1681" s="51" t="s">
        <v>140</v>
      </c>
      <c r="L1681" s="51"/>
      <c r="M1681" s="51"/>
      <c r="N1681" s="51"/>
      <c r="O1681" s="52"/>
      <c r="P1681" s="51"/>
      <c r="Q1681" s="51"/>
      <c r="R1681" s="51"/>
      <c r="S1681" s="51"/>
      <c r="T1681" s="41"/>
      <c r="AG1681" s="521" t="s">
        <v>268</v>
      </c>
      <c r="AH1681" s="521" t="s">
        <v>269</v>
      </c>
      <c r="AI1681" s="521" t="s">
        <v>270</v>
      </c>
      <c r="AJ1681" s="521" t="s">
        <v>271</v>
      </c>
      <c r="AK1681" s="521" t="s">
        <v>272</v>
      </c>
      <c r="AM1681" s="745" t="s">
        <v>281</v>
      </c>
      <c r="AN1681" s="746" t="s">
        <v>282</v>
      </c>
      <c r="AO1681" s="522" t="s">
        <v>278</v>
      </c>
      <c r="AR1681" s="51"/>
      <c r="AS1681" s="42" t="s">
        <v>139</v>
      </c>
    </row>
    <row r="1682" spans="1:45" s="520" customFormat="1" ht="12" customHeight="1">
      <c r="A1682" s="747">
        <v>60</v>
      </c>
      <c r="B1682" s="523" t="s">
        <v>320</v>
      </c>
      <c r="C1682" s="748"/>
      <c r="D1682" s="749" t="s">
        <v>1354</v>
      </c>
      <c r="E1682" s="750">
        <f ca="1">IF(AND($A1682=0,$A$1="DIF"),0, ROUND(ROUND(($R1687*$S$2+($T1687*$T$2))/A1682,2)*$C$2,2))</f>
        <v>9.9499999999999993</v>
      </c>
      <c r="F1682" s="751">
        <f ca="1">ROUND($A1682*$E1682,2)</f>
        <v>597</v>
      </c>
      <c r="G1682" s="752" t="s">
        <v>142</v>
      </c>
      <c r="H1682" s="753"/>
      <c r="I1682" s="754"/>
      <c r="J1682" s="753"/>
      <c r="K1682" s="753" t="s">
        <v>3</v>
      </c>
      <c r="L1682" s="755" t="s">
        <v>143</v>
      </c>
      <c r="M1682" s="755"/>
      <c r="N1682" s="755"/>
      <c r="O1682" s="755"/>
      <c r="P1682" s="755"/>
      <c r="Q1682" s="51"/>
      <c r="T1682" s="756" t="str">
        <f ca="1">IF(AND($R1687=0,$T1687=0),"0.00","mu :" &amp; ROUND($F1682/$C$2/($R1687+$T1687*$D$9),2))</f>
        <v>mu :1.23</v>
      </c>
      <c r="W1682" s="524"/>
      <c r="AG1682" s="481">
        <f ca="1">IF($E1682=0,0,ROUND($R1687*$S$2*$C$2/$A1682,2))</f>
        <v>6.91</v>
      </c>
      <c r="AH1682" s="481">
        <f ca="1">$AG1682*$A1682</f>
        <v>414.6</v>
      </c>
      <c r="AI1682" s="525">
        <f ca="1">$E1682-$AG1682</f>
        <v>3.0399999999999991</v>
      </c>
      <c r="AJ1682" s="525">
        <f ca="1">$A1682*$AI1682</f>
        <v>182.39999999999995</v>
      </c>
      <c r="AK1682" s="526">
        <f ca="1">ROUND(($AG1682+$AI1682)*$A1682,2)</f>
        <v>597</v>
      </c>
      <c r="AM1682" s="527">
        <f ca="1">ROUND(R1687,2)</f>
        <v>336.6</v>
      </c>
      <c r="AN1682" s="528">
        <f ca="1">ROUND(T1687,2)</f>
        <v>5.4</v>
      </c>
      <c r="AO1682" s="529">
        <f ca="1">ROUND(AM1682+AN1682,2)*A1682</f>
        <v>20520</v>
      </c>
      <c r="AR1682" s="747">
        <v>60</v>
      </c>
      <c r="AS1682" s="751">
        <v>617.4</v>
      </c>
    </row>
    <row r="1683" spans="1:45" s="520" customFormat="1" ht="13.2">
      <c r="A1683" s="748"/>
      <c r="B1683"/>
      <c r="C1683" s="748"/>
      <c r="D1683" s="749" t="s">
        <v>1355</v>
      </c>
      <c r="F1683" s="753"/>
      <c r="G1683" s="3"/>
      <c r="H1683" s="753"/>
      <c r="I1683" s="754"/>
      <c r="J1683" s="753"/>
      <c r="K1683" s="753" t="s">
        <v>144</v>
      </c>
      <c r="L1683" s="753"/>
      <c r="M1683" s="753"/>
      <c r="N1683" s="753"/>
      <c r="O1683" s="753"/>
      <c r="P1683" s="753"/>
      <c r="Q1683" s="51"/>
      <c r="R1683" s="530"/>
      <c r="S1683" s="757"/>
      <c r="T1683" s="753"/>
      <c r="AR1683" s="748"/>
      <c r="AS1683" s="753"/>
    </row>
    <row r="1684" spans="1:45" s="886" customFormat="1" ht="13.2">
      <c r="A1684"/>
      <c r="B1684" s="910"/>
      <c r="C1684" s="910" t="s">
        <v>2597</v>
      </c>
      <c r="D1684" s="910" t="str">
        <f ca="1">CELL("Address",Elec_Rates!D$437)</f>
        <v>[E25_0062_Quintano_Foods_Elec_ELV_As_Awarded.xlsx]Elec_Rates!$D$437</v>
      </c>
      <c r="E1684" s="911"/>
      <c r="F1684" s="911"/>
      <c r="G1684" s="912" t="s">
        <v>2598</v>
      </c>
      <c r="H1684" s="912"/>
      <c r="I1684" s="912"/>
      <c r="J1684" s="912"/>
      <c r="K1684" s="913"/>
      <c r="L1684" s="911"/>
      <c r="M1684" s="911"/>
      <c r="N1684" s="911"/>
      <c r="O1684" s="914"/>
      <c r="P1684" s="911"/>
      <c r="Q1684" s="915"/>
      <c r="R1684" s="916"/>
      <c r="S1684" s="915"/>
      <c r="T1684" s="917"/>
      <c r="U1684" s="918"/>
      <c r="AR1684"/>
      <c r="AS1684" s="911"/>
    </row>
    <row r="1685" spans="1:45" s="886" customFormat="1" ht="11.4">
      <c r="A1685" s="919">
        <v>60</v>
      </c>
      <c r="B1685" s="920">
        <v>1</v>
      </c>
      <c r="C1685" s="920">
        <f>$A1685*$B1685</f>
        <v>60</v>
      </c>
      <c r="D1685" s="921" t="str">
        <f>Elec_Rates!$D$437</f>
        <v>042# 5 x 6mm2 XLPE/SWA/LSZH</v>
      </c>
      <c r="E1685" s="921"/>
      <c r="F1685" s="921" t="s">
        <v>2599</v>
      </c>
      <c r="G1685" s="922" t="s">
        <v>2601</v>
      </c>
      <c r="H1685" s="922"/>
      <c r="I1685" s="922"/>
      <c r="J1685" s="922"/>
      <c r="K1685" s="923"/>
      <c r="L1685" s="918"/>
      <c r="M1685" s="918"/>
      <c r="N1685" s="918"/>
      <c r="O1685" s="924"/>
      <c r="P1685" s="921"/>
      <c r="Q1685" s="925">
        <f ca="1">$B1685*Elec_Rates!$R$437</f>
        <v>5.61</v>
      </c>
      <c r="R1685" s="916">
        <f ca="1">$A1685*Q1685</f>
        <v>336.6</v>
      </c>
      <c r="S1685" s="925">
        <f ca="1">$B1685*Elec_Rates!$T$437</f>
        <v>0.09</v>
      </c>
      <c r="T1685" s="917">
        <f ca="1">$A1685*S1685</f>
        <v>5.3999999999999995</v>
      </c>
      <c r="U1685" s="926"/>
      <c r="AR1685" s="919">
        <v>60</v>
      </c>
      <c r="AS1685" s="921" t="s">
        <v>2599</v>
      </c>
    </row>
    <row r="1686" spans="1:45" s="520" customFormat="1" ht="12">
      <c r="A1686" s="758"/>
      <c r="B1686" s="758"/>
      <c r="C1686" s="758"/>
      <c r="D1686" s="758"/>
      <c r="E1686" s="758"/>
      <c r="F1686" s="753"/>
      <c r="G1686" s="758"/>
      <c r="H1686" s="758"/>
      <c r="I1686" s="519"/>
      <c r="J1686" s="758"/>
      <c r="K1686" s="758"/>
      <c r="L1686" s="758"/>
      <c r="M1686" s="758"/>
      <c r="N1686" s="758"/>
      <c r="O1686" s="758"/>
      <c r="P1686" s="758"/>
      <c r="Q1686" s="519"/>
      <c r="R1686" s="759">
        <f>$A1686*Q1686</f>
        <v>0</v>
      </c>
      <c r="S1686" s="519"/>
      <c r="T1686" s="760">
        <f>$A1686*S1686*$T$1</f>
        <v>0</v>
      </c>
      <c r="AR1686" s="758"/>
      <c r="AS1686" s="753"/>
    </row>
    <row r="1687" spans="1:45" s="520" customFormat="1" ht="12.6" thickBot="1">
      <c r="A1687" s="761" t="s">
        <v>145</v>
      </c>
      <c r="B1687" s="762">
        <f>(R1686+T1686)</f>
        <v>0</v>
      </c>
      <c r="C1687" s="763"/>
      <c r="D1687" s="763"/>
      <c r="E1687" s="763"/>
      <c r="F1687" s="764"/>
      <c r="G1687" s="763" t="s">
        <v>146</v>
      </c>
      <c r="H1687" s="763"/>
      <c r="I1687" s="765"/>
      <c r="J1687" s="763"/>
      <c r="K1687" s="763" t="s">
        <v>3</v>
      </c>
      <c r="L1687" s="766" t="s">
        <v>143</v>
      </c>
      <c r="M1687" s="766"/>
      <c r="N1687" s="766"/>
      <c r="O1687" s="766"/>
      <c r="P1687" s="766"/>
      <c r="Q1687" s="767"/>
      <c r="R1687" s="768">
        <f ca="1">SUM(R1683:R1686)</f>
        <v>336.6</v>
      </c>
      <c r="S1687" s="763"/>
      <c r="T1687" s="768">
        <f ca="1">SUM(T1683:T1686)</f>
        <v>5.3999999999999995</v>
      </c>
      <c r="U1687" s="531"/>
      <c r="V1687" s="531"/>
      <c r="W1687" s="531"/>
      <c r="X1687" s="531"/>
      <c r="Y1687" s="531"/>
      <c r="Z1687" s="531"/>
      <c r="AA1687" s="531"/>
      <c r="AB1687" s="531"/>
      <c r="AC1687" s="531"/>
      <c r="AD1687" s="531"/>
      <c r="AE1687" s="531"/>
      <c r="AF1687" s="531"/>
      <c r="AG1687" s="531"/>
      <c r="AH1687" s="531"/>
      <c r="AI1687" s="531"/>
      <c r="AJ1687" s="531"/>
      <c r="AK1687" s="531"/>
      <c r="AL1687" s="531"/>
      <c r="AM1687" s="531"/>
      <c r="AN1687" s="531"/>
      <c r="AO1687" s="531"/>
      <c r="AR1687" s="761" t="s">
        <v>145</v>
      </c>
      <c r="AS1687" s="764"/>
    </row>
    <row r="1688" spans="1:45" s="520" customFormat="1" ht="12" thickTop="1">
      <c r="A1688" s="51"/>
      <c r="B1688" s="41"/>
      <c r="C1688" s="51"/>
      <c r="E1688" s="42" t="s">
        <v>138</v>
      </c>
      <c r="F1688" s="42" t="s">
        <v>139</v>
      </c>
      <c r="G1688" s="51"/>
      <c r="H1688" s="51"/>
      <c r="I1688" s="51"/>
      <c r="J1688" s="51"/>
      <c r="K1688" s="51" t="s">
        <v>140</v>
      </c>
      <c r="L1688" s="51"/>
      <c r="M1688" s="51"/>
      <c r="N1688" s="51"/>
      <c r="O1688" s="52"/>
      <c r="P1688" s="51"/>
      <c r="Q1688" s="51"/>
      <c r="R1688" s="51"/>
      <c r="S1688" s="51"/>
      <c r="T1688" s="41"/>
      <c r="AG1688" s="521" t="s">
        <v>268</v>
      </c>
      <c r="AH1688" s="521" t="s">
        <v>269</v>
      </c>
      <c r="AI1688" s="521" t="s">
        <v>270</v>
      </c>
      <c r="AJ1688" s="521" t="s">
        <v>271</v>
      </c>
      <c r="AK1688" s="521" t="s">
        <v>272</v>
      </c>
      <c r="AM1688" s="745" t="s">
        <v>281</v>
      </c>
      <c r="AN1688" s="746" t="s">
        <v>282</v>
      </c>
      <c r="AO1688" s="522" t="s">
        <v>278</v>
      </c>
      <c r="AR1688" s="51"/>
      <c r="AS1688" s="42" t="s">
        <v>139</v>
      </c>
    </row>
    <row r="1689" spans="1:45" s="520" customFormat="1" ht="12" customHeight="1">
      <c r="A1689" s="747">
        <v>70</v>
      </c>
      <c r="B1689" s="523" t="s">
        <v>320</v>
      </c>
      <c r="C1689" s="748"/>
      <c r="D1689" s="749" t="s">
        <v>1356</v>
      </c>
      <c r="E1689" s="750">
        <f ca="1">IF(AND($A1689=0,$A$1="DIF"),0, ROUND(ROUND(($R1694*$S$2+($T1694*$T$2))/A1689,2)*$C$2,2))</f>
        <v>0</v>
      </c>
      <c r="F1689" s="751">
        <f ca="1">ROUND($A1689*$E1689,2)</f>
        <v>0</v>
      </c>
      <c r="G1689" s="752" t="s">
        <v>142</v>
      </c>
      <c r="H1689" s="753"/>
      <c r="I1689" s="754"/>
      <c r="J1689" s="753"/>
      <c r="K1689" s="753" t="s">
        <v>3</v>
      </c>
      <c r="L1689" s="755" t="s">
        <v>143</v>
      </c>
      <c r="M1689" s="755"/>
      <c r="N1689" s="755"/>
      <c r="O1689" s="755"/>
      <c r="P1689" s="755"/>
      <c r="Q1689" s="1058" t="s">
        <v>3848</v>
      </c>
      <c r="T1689" s="756" t="str">
        <f ca="1">IF(AND($R1694=0,$T1694=0),"0.00","mu :" &amp; ROUND($F1689/$C$2/($R1694+$T1694*$D$9),2))</f>
        <v>0.00</v>
      </c>
      <c r="W1689" s="524"/>
      <c r="AG1689" s="481">
        <f ca="1">IF($E1689=0,0,ROUND($R1694*$S$2*$C$2/$A1689,2))</f>
        <v>0</v>
      </c>
      <c r="AH1689" s="481">
        <f ca="1">$AG1689*$A1689</f>
        <v>0</v>
      </c>
      <c r="AI1689" s="525">
        <f ca="1">$E1689-$AG1689</f>
        <v>0</v>
      </c>
      <c r="AJ1689" s="525">
        <f ca="1">$A1689*$AI1689</f>
        <v>0</v>
      </c>
      <c r="AK1689" s="526">
        <f ca="1">ROUND(($AG1689+$AI1689)*$A1689,2)</f>
        <v>0</v>
      </c>
      <c r="AM1689" s="527">
        <f ca="1">ROUND(R1694,2)</f>
        <v>0</v>
      </c>
      <c r="AN1689" s="528">
        <f ca="1">ROUND(T1694,2)</f>
        <v>0</v>
      </c>
      <c r="AO1689" s="529">
        <f ca="1">ROUND(AM1689+AN1689,2)*A1689</f>
        <v>0</v>
      </c>
      <c r="AR1689" s="747">
        <v>70</v>
      </c>
      <c r="AS1689" s="751">
        <v>720.3</v>
      </c>
    </row>
    <row r="1690" spans="1:45" s="520" customFormat="1" ht="13.2">
      <c r="A1690" s="748"/>
      <c r="B1690"/>
      <c r="C1690" s="748"/>
      <c r="D1690" s="749" t="s">
        <v>1357</v>
      </c>
      <c r="F1690" s="753"/>
      <c r="G1690" s="3"/>
      <c r="H1690" s="753"/>
      <c r="I1690" s="754"/>
      <c r="J1690" s="753"/>
      <c r="K1690" s="753" t="s">
        <v>144</v>
      </c>
      <c r="L1690" s="753"/>
      <c r="M1690" s="753"/>
      <c r="N1690" s="753"/>
      <c r="O1690" s="753"/>
      <c r="P1690" s="753"/>
      <c r="Q1690" s="51"/>
      <c r="R1690" s="530"/>
      <c r="S1690" s="757"/>
      <c r="T1690" s="753"/>
      <c r="AR1690" s="748"/>
      <c r="AS1690" s="753"/>
    </row>
    <row r="1691" spans="1:45" s="1336" customFormat="1" ht="13.2">
      <c r="A1691" s="1086"/>
      <c r="B1691" s="1328"/>
      <c r="C1691" s="1328" t="s">
        <v>2597</v>
      </c>
      <c r="D1691" s="1328" t="str">
        <f ca="1">CELL("Address",Elec_Rates!D$437)</f>
        <v>[E25_0062_Quintano_Foods_Elec_ELV_As_Awarded.xlsx]Elec_Rates!$D$437</v>
      </c>
      <c r="E1691" s="1060"/>
      <c r="F1691" s="1060"/>
      <c r="G1691" s="1329" t="s">
        <v>2598</v>
      </c>
      <c r="H1691" s="1329"/>
      <c r="I1691" s="1329"/>
      <c r="J1691" s="1329"/>
      <c r="K1691" s="1330"/>
      <c r="L1691" s="1060"/>
      <c r="M1691" s="1060"/>
      <c r="N1691" s="1060"/>
      <c r="O1691" s="1331"/>
      <c r="P1691" s="1060"/>
      <c r="Q1691" s="1332"/>
      <c r="R1691" s="1333"/>
      <c r="S1691" s="1332"/>
      <c r="T1691" s="1334"/>
      <c r="U1691" s="1335"/>
      <c r="AR1691" s="1086"/>
      <c r="AS1691" s="1060"/>
    </row>
    <row r="1692" spans="1:45" s="1336" customFormat="1" ht="11.4">
      <c r="A1692" s="1337">
        <v>0</v>
      </c>
      <c r="B1692" s="1338">
        <v>1</v>
      </c>
      <c r="C1692" s="1338">
        <f>$A1692*$B1692</f>
        <v>0</v>
      </c>
      <c r="D1692" s="1339" t="str">
        <f>Elec_Rates!$D$437</f>
        <v>042# 5 x 6mm2 XLPE/SWA/LSZH</v>
      </c>
      <c r="E1692" s="1339"/>
      <c r="F1692" s="1339" t="s">
        <v>2599</v>
      </c>
      <c r="G1692" s="1340" t="s">
        <v>2601</v>
      </c>
      <c r="H1692" s="1340"/>
      <c r="I1692" s="1340"/>
      <c r="J1692" s="1340"/>
      <c r="K1692" s="1341"/>
      <c r="L1692" s="1335"/>
      <c r="M1692" s="1335"/>
      <c r="N1692" s="1335"/>
      <c r="O1692" s="1342"/>
      <c r="P1692" s="1339"/>
      <c r="Q1692" s="1343">
        <f ca="1">$B1692*Elec_Rates!$R$437</f>
        <v>5.61</v>
      </c>
      <c r="R1692" s="1333">
        <f ca="1">$A1692*Q1692</f>
        <v>0</v>
      </c>
      <c r="S1692" s="1343">
        <f ca="1">$B1692*Elec_Rates!$T$437</f>
        <v>0.09</v>
      </c>
      <c r="T1692" s="1334">
        <f ca="1">$A1692*S1692</f>
        <v>0</v>
      </c>
      <c r="U1692" s="1344"/>
      <c r="AR1692" s="1337">
        <v>70</v>
      </c>
      <c r="AS1692" s="1339" t="s">
        <v>2599</v>
      </c>
    </row>
    <row r="1693" spans="1:45" s="520" customFormat="1" ht="12">
      <c r="A1693" s="758"/>
      <c r="B1693" s="758"/>
      <c r="C1693" s="758"/>
      <c r="D1693" s="758"/>
      <c r="E1693" s="758"/>
      <c r="F1693" s="753"/>
      <c r="G1693" s="758"/>
      <c r="H1693" s="758"/>
      <c r="I1693" s="519"/>
      <c r="J1693" s="758"/>
      <c r="K1693" s="758"/>
      <c r="L1693" s="758"/>
      <c r="M1693" s="758"/>
      <c r="N1693" s="758"/>
      <c r="O1693" s="758"/>
      <c r="P1693" s="758"/>
      <c r="Q1693" s="519"/>
      <c r="R1693" s="759">
        <f>$A1693*Q1693</f>
        <v>0</v>
      </c>
      <c r="S1693" s="519"/>
      <c r="T1693" s="760">
        <f>$A1693*S1693*$T$1</f>
        <v>0</v>
      </c>
      <c r="AR1693" s="758"/>
      <c r="AS1693" s="753"/>
    </row>
    <row r="1694" spans="1:45" s="520" customFormat="1" ht="12.6" thickBot="1">
      <c r="A1694" s="761" t="s">
        <v>145</v>
      </c>
      <c r="B1694" s="762">
        <f>(R1693+T1693)</f>
        <v>0</v>
      </c>
      <c r="C1694" s="763"/>
      <c r="D1694" s="763"/>
      <c r="E1694" s="763"/>
      <c r="F1694" s="764"/>
      <c r="G1694" s="763" t="s">
        <v>146</v>
      </c>
      <c r="H1694" s="763"/>
      <c r="I1694" s="765"/>
      <c r="J1694" s="763"/>
      <c r="K1694" s="763" t="s">
        <v>3</v>
      </c>
      <c r="L1694" s="766" t="s">
        <v>143</v>
      </c>
      <c r="M1694" s="766"/>
      <c r="N1694" s="766"/>
      <c r="O1694" s="766"/>
      <c r="P1694" s="766"/>
      <c r="Q1694" s="767"/>
      <c r="R1694" s="768">
        <f ca="1">SUM(R1690:R1693)</f>
        <v>0</v>
      </c>
      <c r="S1694" s="763"/>
      <c r="T1694" s="768">
        <f ca="1">SUM(T1690:T1693)</f>
        <v>0</v>
      </c>
      <c r="U1694" s="531"/>
      <c r="V1694" s="531"/>
      <c r="W1694" s="531"/>
      <c r="X1694" s="531"/>
      <c r="Y1694" s="531"/>
      <c r="Z1694" s="531"/>
      <c r="AA1694" s="531"/>
      <c r="AB1694" s="531"/>
      <c r="AC1694" s="531"/>
      <c r="AD1694" s="531"/>
      <c r="AE1694" s="531"/>
      <c r="AF1694" s="531"/>
      <c r="AG1694" s="531"/>
      <c r="AH1694" s="531"/>
      <c r="AI1694" s="531"/>
      <c r="AJ1694" s="531"/>
      <c r="AK1694" s="531"/>
      <c r="AL1694" s="531"/>
      <c r="AM1694" s="531"/>
      <c r="AN1694" s="531"/>
      <c r="AO1694" s="531"/>
      <c r="AR1694" s="761" t="s">
        <v>145</v>
      </c>
      <c r="AS1694" s="764"/>
    </row>
    <row r="1695" spans="1:45" s="520" customFormat="1" ht="12" thickTop="1">
      <c r="A1695" s="51"/>
      <c r="B1695" s="41"/>
      <c r="C1695" s="51"/>
      <c r="E1695" s="42" t="s">
        <v>138</v>
      </c>
      <c r="F1695" s="42" t="s">
        <v>139</v>
      </c>
      <c r="G1695" s="51"/>
      <c r="H1695" s="51"/>
      <c r="I1695" s="51"/>
      <c r="J1695" s="51"/>
      <c r="K1695" s="51" t="s">
        <v>140</v>
      </c>
      <c r="L1695" s="51"/>
      <c r="M1695" s="51"/>
      <c r="N1695" s="51"/>
      <c r="O1695" s="52"/>
      <c r="P1695" s="51"/>
      <c r="Q1695" s="51"/>
      <c r="R1695" s="51"/>
      <c r="S1695" s="51"/>
      <c r="T1695" s="41"/>
      <c r="AG1695" s="521" t="s">
        <v>268</v>
      </c>
      <c r="AH1695" s="521" t="s">
        <v>269</v>
      </c>
      <c r="AI1695" s="521" t="s">
        <v>270</v>
      </c>
      <c r="AJ1695" s="521" t="s">
        <v>271</v>
      </c>
      <c r="AK1695" s="521" t="s">
        <v>272</v>
      </c>
      <c r="AM1695" s="745" t="s">
        <v>281</v>
      </c>
      <c r="AN1695" s="746" t="s">
        <v>282</v>
      </c>
      <c r="AO1695" s="522" t="s">
        <v>278</v>
      </c>
      <c r="AR1695" s="51"/>
      <c r="AS1695" s="42" t="s">
        <v>139</v>
      </c>
    </row>
    <row r="1696" spans="1:45" s="520" customFormat="1" ht="12" customHeight="1">
      <c r="A1696" s="747">
        <v>70</v>
      </c>
      <c r="B1696" s="523" t="s">
        <v>320</v>
      </c>
      <c r="C1696" s="748"/>
      <c r="D1696" s="749" t="s">
        <v>1358</v>
      </c>
      <c r="E1696" s="750">
        <f ca="1">IF(AND($A1696=0,$A$1="DIF"),0, ROUND(ROUND(($R1701*$S$2+($T1701*$T$2))/A1696,2)*$C$2,2))</f>
        <v>0</v>
      </c>
      <c r="F1696" s="751">
        <f ca="1">ROUND($A1696*$E1696,2)</f>
        <v>0</v>
      </c>
      <c r="G1696" s="752" t="s">
        <v>142</v>
      </c>
      <c r="H1696" s="753"/>
      <c r="I1696" s="754"/>
      <c r="J1696" s="753"/>
      <c r="K1696" s="753" t="s">
        <v>3</v>
      </c>
      <c r="L1696" s="755" t="s">
        <v>143</v>
      </c>
      <c r="M1696" s="755"/>
      <c r="N1696" s="755"/>
      <c r="O1696" s="755"/>
      <c r="P1696" s="755"/>
      <c r="Q1696" s="1058" t="s">
        <v>3848</v>
      </c>
      <c r="T1696" s="756" t="str">
        <f ca="1">IF(AND($R1701=0,$T1701=0),"0.00","mu :" &amp; ROUND($F1696/$C$2/($R1701+$T1701*$D$9),2))</f>
        <v>0.00</v>
      </c>
      <c r="W1696" s="524"/>
      <c r="AG1696" s="481">
        <f ca="1">IF($E1696=0,0,ROUND($R1701*$S$2*$C$2/$A1696,2))</f>
        <v>0</v>
      </c>
      <c r="AH1696" s="481">
        <f ca="1">$AG1696*$A1696</f>
        <v>0</v>
      </c>
      <c r="AI1696" s="525">
        <f ca="1">$E1696-$AG1696</f>
        <v>0</v>
      </c>
      <c r="AJ1696" s="525">
        <f ca="1">$A1696*$AI1696</f>
        <v>0</v>
      </c>
      <c r="AK1696" s="526">
        <f ca="1">ROUND(($AG1696+$AI1696)*$A1696,2)</f>
        <v>0</v>
      </c>
      <c r="AM1696" s="527">
        <f ca="1">ROUND(R1701,2)</f>
        <v>0</v>
      </c>
      <c r="AN1696" s="528">
        <f ca="1">ROUND(T1701,2)</f>
        <v>0</v>
      </c>
      <c r="AO1696" s="529">
        <f ca="1">ROUND(AM1696+AN1696,2)*A1696</f>
        <v>0</v>
      </c>
      <c r="AR1696" s="747">
        <v>70</v>
      </c>
      <c r="AS1696" s="751">
        <v>720.3</v>
      </c>
    </row>
    <row r="1697" spans="1:45" s="520" customFormat="1" ht="13.2">
      <c r="A1697" s="748"/>
      <c r="B1697"/>
      <c r="C1697" s="748"/>
      <c r="D1697" s="749" t="s">
        <v>1359</v>
      </c>
      <c r="F1697" s="753"/>
      <c r="G1697" s="3"/>
      <c r="H1697" s="753"/>
      <c r="I1697" s="754"/>
      <c r="J1697" s="753"/>
      <c r="K1697" s="753" t="s">
        <v>144</v>
      </c>
      <c r="L1697" s="753"/>
      <c r="M1697" s="753"/>
      <c r="N1697" s="753"/>
      <c r="O1697" s="753"/>
      <c r="P1697" s="753"/>
      <c r="Q1697" s="51"/>
      <c r="R1697" s="530"/>
      <c r="S1697" s="757"/>
      <c r="T1697" s="753"/>
      <c r="AR1697" s="748"/>
      <c r="AS1697" s="753"/>
    </row>
    <row r="1698" spans="1:45" s="1336" customFormat="1" ht="13.2">
      <c r="A1698" s="1086"/>
      <c r="B1698" s="1328"/>
      <c r="C1698" s="1328" t="s">
        <v>2597</v>
      </c>
      <c r="D1698" s="1328" t="str">
        <f ca="1">CELL("Address",Elec_Rates!D$437)</f>
        <v>[E25_0062_Quintano_Foods_Elec_ELV_As_Awarded.xlsx]Elec_Rates!$D$437</v>
      </c>
      <c r="E1698" s="1060"/>
      <c r="F1698" s="1060"/>
      <c r="G1698" s="1329" t="s">
        <v>2598</v>
      </c>
      <c r="H1698" s="1329"/>
      <c r="I1698" s="1329"/>
      <c r="J1698" s="1329"/>
      <c r="K1698" s="1330"/>
      <c r="L1698" s="1060"/>
      <c r="M1698" s="1060"/>
      <c r="N1698" s="1060"/>
      <c r="O1698" s="1331"/>
      <c r="P1698" s="1060"/>
      <c r="Q1698" s="1332"/>
      <c r="R1698" s="1333"/>
      <c r="S1698" s="1332"/>
      <c r="T1698" s="1334"/>
      <c r="U1698" s="1335"/>
      <c r="AR1698" s="1086"/>
      <c r="AS1698" s="1060"/>
    </row>
    <row r="1699" spans="1:45" s="1336" customFormat="1" ht="11.4">
      <c r="A1699" s="1337">
        <v>0</v>
      </c>
      <c r="B1699" s="1338">
        <v>1</v>
      </c>
      <c r="C1699" s="1338">
        <f>$A1699*$B1699</f>
        <v>0</v>
      </c>
      <c r="D1699" s="1339" t="str">
        <f>Elec_Rates!$D$437</f>
        <v>042# 5 x 6mm2 XLPE/SWA/LSZH</v>
      </c>
      <c r="E1699" s="1339"/>
      <c r="F1699" s="1339" t="s">
        <v>2599</v>
      </c>
      <c r="G1699" s="1340" t="s">
        <v>2601</v>
      </c>
      <c r="H1699" s="1340"/>
      <c r="I1699" s="1340"/>
      <c r="J1699" s="1340"/>
      <c r="K1699" s="1341"/>
      <c r="L1699" s="1335"/>
      <c r="M1699" s="1335"/>
      <c r="N1699" s="1335"/>
      <c r="O1699" s="1342"/>
      <c r="P1699" s="1339"/>
      <c r="Q1699" s="1343">
        <f ca="1">$B1699*Elec_Rates!$R$437</f>
        <v>5.61</v>
      </c>
      <c r="R1699" s="1333">
        <f ca="1">$A1699*Q1699</f>
        <v>0</v>
      </c>
      <c r="S1699" s="1343">
        <f ca="1">$B1699*Elec_Rates!$T$437</f>
        <v>0.09</v>
      </c>
      <c r="T1699" s="1334">
        <f ca="1">$A1699*S1699</f>
        <v>0</v>
      </c>
      <c r="U1699" s="1344"/>
      <c r="AR1699" s="1337">
        <v>70</v>
      </c>
      <c r="AS1699" s="1339" t="s">
        <v>2599</v>
      </c>
    </row>
    <row r="1700" spans="1:45" s="520" customFormat="1" ht="12">
      <c r="A1700" s="758"/>
      <c r="B1700" s="758"/>
      <c r="C1700" s="758"/>
      <c r="D1700" s="758"/>
      <c r="E1700" s="758"/>
      <c r="F1700" s="753"/>
      <c r="G1700" s="758"/>
      <c r="H1700" s="758"/>
      <c r="I1700" s="519"/>
      <c r="J1700" s="758"/>
      <c r="K1700" s="758"/>
      <c r="L1700" s="758"/>
      <c r="M1700" s="758"/>
      <c r="N1700" s="758"/>
      <c r="O1700" s="758"/>
      <c r="P1700" s="758"/>
      <c r="Q1700" s="519"/>
      <c r="R1700" s="759">
        <f>$A1700*Q1700</f>
        <v>0</v>
      </c>
      <c r="S1700" s="519"/>
      <c r="T1700" s="760">
        <f>$A1700*S1700*$T$1</f>
        <v>0</v>
      </c>
      <c r="AR1700" s="758"/>
      <c r="AS1700" s="753"/>
    </row>
    <row r="1701" spans="1:45" s="520" customFormat="1" ht="12.6" thickBot="1">
      <c r="A1701" s="761" t="s">
        <v>145</v>
      </c>
      <c r="B1701" s="762">
        <f>(R1700+T1700)</f>
        <v>0</v>
      </c>
      <c r="C1701" s="763"/>
      <c r="D1701" s="763"/>
      <c r="E1701" s="763"/>
      <c r="F1701" s="764"/>
      <c r="G1701" s="763" t="s">
        <v>146</v>
      </c>
      <c r="H1701" s="763"/>
      <c r="I1701" s="765"/>
      <c r="J1701" s="763"/>
      <c r="K1701" s="763" t="s">
        <v>3</v>
      </c>
      <c r="L1701" s="766" t="s">
        <v>143</v>
      </c>
      <c r="M1701" s="766"/>
      <c r="N1701" s="766"/>
      <c r="O1701" s="766"/>
      <c r="P1701" s="766"/>
      <c r="Q1701" s="767"/>
      <c r="R1701" s="768">
        <f ca="1">SUM(R1697:R1700)</f>
        <v>0</v>
      </c>
      <c r="S1701" s="763"/>
      <c r="T1701" s="768">
        <f ca="1">SUM(T1697:T1700)</f>
        <v>0</v>
      </c>
      <c r="U1701" s="531"/>
      <c r="V1701" s="531"/>
      <c r="W1701" s="531"/>
      <c r="X1701" s="531"/>
      <c r="Y1701" s="531"/>
      <c r="Z1701" s="531"/>
      <c r="AA1701" s="531"/>
      <c r="AB1701" s="531"/>
      <c r="AC1701" s="531"/>
      <c r="AD1701" s="531"/>
      <c r="AE1701" s="531"/>
      <c r="AF1701" s="531"/>
      <c r="AG1701" s="531"/>
      <c r="AH1701" s="531"/>
      <c r="AI1701" s="531"/>
      <c r="AJ1701" s="531"/>
      <c r="AK1701" s="531"/>
      <c r="AL1701" s="531"/>
      <c r="AM1701" s="531"/>
      <c r="AN1701" s="531"/>
      <c r="AO1701" s="531"/>
      <c r="AR1701" s="761" t="s">
        <v>145</v>
      </c>
      <c r="AS1701" s="764"/>
    </row>
    <row r="1702" spans="1:45" s="520" customFormat="1" ht="12" thickTop="1">
      <c r="A1702" s="51"/>
      <c r="B1702" s="41"/>
      <c r="C1702" s="51"/>
      <c r="E1702" s="42" t="s">
        <v>138</v>
      </c>
      <c r="F1702" s="42" t="s">
        <v>139</v>
      </c>
      <c r="G1702" s="51"/>
      <c r="H1702" s="51"/>
      <c r="I1702" s="51"/>
      <c r="J1702" s="51"/>
      <c r="K1702" s="51" t="s">
        <v>140</v>
      </c>
      <c r="L1702" s="51"/>
      <c r="M1702" s="51"/>
      <c r="N1702" s="51"/>
      <c r="O1702" s="52"/>
      <c r="P1702" s="51"/>
      <c r="Q1702" s="51"/>
      <c r="R1702" s="51"/>
      <c r="S1702" s="51"/>
      <c r="T1702" s="41"/>
      <c r="AG1702" s="521" t="s">
        <v>268</v>
      </c>
      <c r="AH1702" s="521" t="s">
        <v>269</v>
      </c>
      <c r="AI1702" s="521" t="s">
        <v>270</v>
      </c>
      <c r="AJ1702" s="521" t="s">
        <v>271</v>
      </c>
      <c r="AK1702" s="521" t="s">
        <v>272</v>
      </c>
      <c r="AM1702" s="745" t="s">
        <v>281</v>
      </c>
      <c r="AN1702" s="746" t="s">
        <v>282</v>
      </c>
      <c r="AO1702" s="522" t="s">
        <v>278</v>
      </c>
      <c r="AR1702" s="51"/>
      <c r="AS1702" s="42" t="s">
        <v>139</v>
      </c>
    </row>
    <row r="1703" spans="1:45" s="520" customFormat="1" ht="12" customHeight="1">
      <c r="A1703" s="747">
        <v>65</v>
      </c>
      <c r="B1703" s="523" t="s">
        <v>320</v>
      </c>
      <c r="C1703" s="748"/>
      <c r="D1703" s="749" t="s">
        <v>1360</v>
      </c>
      <c r="E1703" s="750">
        <f ca="1">IF(AND($A1703=0,$A$1="DIF"),0, ROUND(ROUND(($R1708*$S$2+($T1708*$T$2))/A1703,2)*$C$2,2))</f>
        <v>9.9499999999999993</v>
      </c>
      <c r="F1703" s="751">
        <f ca="1">ROUND($A1703*$E1703,2)</f>
        <v>646.75</v>
      </c>
      <c r="G1703" s="752" t="s">
        <v>142</v>
      </c>
      <c r="H1703" s="753"/>
      <c r="I1703" s="754"/>
      <c r="J1703" s="753"/>
      <c r="K1703" s="753" t="s">
        <v>3</v>
      </c>
      <c r="L1703" s="755" t="s">
        <v>143</v>
      </c>
      <c r="M1703" s="755"/>
      <c r="N1703" s="755"/>
      <c r="O1703" s="755"/>
      <c r="P1703" s="755"/>
      <c r="Q1703" s="51"/>
      <c r="T1703" s="756" t="str">
        <f ca="1">IF(AND($R1708=0,$T1708=0),"0.00","mu :" &amp; ROUND($F1703/$C$2/($R1708+$T1708*$D$9),2))</f>
        <v>mu :1.23</v>
      </c>
      <c r="W1703" s="524"/>
      <c r="AG1703" s="481">
        <f ca="1">IF($E1703=0,0,ROUND($R1708*$S$2*$C$2/$A1703,2))</f>
        <v>6.91</v>
      </c>
      <c r="AH1703" s="481">
        <f ca="1">$AG1703*$A1703</f>
        <v>449.15000000000003</v>
      </c>
      <c r="AI1703" s="525">
        <f ca="1">$E1703-$AG1703</f>
        <v>3.0399999999999991</v>
      </c>
      <c r="AJ1703" s="525">
        <f ca="1">$A1703*$AI1703</f>
        <v>197.59999999999994</v>
      </c>
      <c r="AK1703" s="526">
        <f ca="1">ROUND(($AG1703+$AI1703)*$A1703,2)</f>
        <v>646.75</v>
      </c>
      <c r="AM1703" s="527">
        <f ca="1">ROUND(R1708,2)</f>
        <v>364.65</v>
      </c>
      <c r="AN1703" s="528">
        <f ca="1">ROUND(T1708,2)</f>
        <v>5.85</v>
      </c>
      <c r="AO1703" s="529">
        <f ca="1">ROUND(AM1703+AN1703,2)*A1703</f>
        <v>24082.5</v>
      </c>
      <c r="AR1703" s="747">
        <v>65</v>
      </c>
      <c r="AS1703" s="751">
        <v>668.85</v>
      </c>
    </row>
    <row r="1704" spans="1:45" s="520" customFormat="1" ht="13.2">
      <c r="A1704" s="748"/>
      <c r="B1704"/>
      <c r="C1704" s="748"/>
      <c r="D1704" s="749" t="s">
        <v>1361</v>
      </c>
      <c r="F1704" s="753"/>
      <c r="G1704" s="3"/>
      <c r="H1704" s="753"/>
      <c r="I1704" s="754"/>
      <c r="J1704" s="753"/>
      <c r="K1704" s="753" t="s">
        <v>144</v>
      </c>
      <c r="L1704" s="753"/>
      <c r="M1704" s="753"/>
      <c r="N1704" s="753"/>
      <c r="O1704" s="753"/>
      <c r="P1704" s="753"/>
      <c r="Q1704" s="51"/>
      <c r="R1704" s="530"/>
      <c r="S1704" s="757"/>
      <c r="T1704" s="753"/>
      <c r="AR1704" s="748"/>
      <c r="AS1704" s="753"/>
    </row>
    <row r="1705" spans="1:45" s="886" customFormat="1" ht="13.2">
      <c r="A1705"/>
      <c r="B1705" s="910"/>
      <c r="C1705" s="910" t="s">
        <v>2597</v>
      </c>
      <c r="D1705" s="910" t="str">
        <f ca="1">CELL("Address",Elec_Rates!D$437)</f>
        <v>[E25_0062_Quintano_Foods_Elec_ELV_As_Awarded.xlsx]Elec_Rates!$D$437</v>
      </c>
      <c r="E1705" s="911"/>
      <c r="F1705" s="911"/>
      <c r="G1705" s="912" t="s">
        <v>2598</v>
      </c>
      <c r="H1705" s="912"/>
      <c r="I1705" s="912"/>
      <c r="J1705" s="912"/>
      <c r="K1705" s="913"/>
      <c r="L1705" s="911"/>
      <c r="M1705" s="911"/>
      <c r="N1705" s="911"/>
      <c r="O1705" s="914"/>
      <c r="P1705" s="911"/>
      <c r="Q1705" s="915"/>
      <c r="R1705" s="916"/>
      <c r="S1705" s="915"/>
      <c r="T1705" s="917"/>
      <c r="U1705" s="918"/>
      <c r="AR1705"/>
      <c r="AS1705" s="911"/>
    </row>
    <row r="1706" spans="1:45" s="886" customFormat="1" ht="11.4">
      <c r="A1706" s="919">
        <v>65</v>
      </c>
      <c r="B1706" s="920">
        <v>1</v>
      </c>
      <c r="C1706" s="920">
        <f>$A1706*$B1706</f>
        <v>65</v>
      </c>
      <c r="D1706" s="921" t="str">
        <f>Elec_Rates!$D$437</f>
        <v>042# 5 x 6mm2 XLPE/SWA/LSZH</v>
      </c>
      <c r="E1706" s="921"/>
      <c r="F1706" s="921" t="s">
        <v>2599</v>
      </c>
      <c r="G1706" s="922" t="s">
        <v>2601</v>
      </c>
      <c r="H1706" s="922"/>
      <c r="I1706" s="922"/>
      <c r="J1706" s="922"/>
      <c r="K1706" s="923"/>
      <c r="L1706" s="918"/>
      <c r="M1706" s="918"/>
      <c r="N1706" s="918"/>
      <c r="O1706" s="924"/>
      <c r="P1706" s="921"/>
      <c r="Q1706" s="925">
        <f ca="1">$B1706*Elec_Rates!$R$437</f>
        <v>5.61</v>
      </c>
      <c r="R1706" s="916">
        <f ca="1">$A1706*Q1706</f>
        <v>364.65000000000003</v>
      </c>
      <c r="S1706" s="925">
        <f ca="1">$B1706*Elec_Rates!$T$437</f>
        <v>0.09</v>
      </c>
      <c r="T1706" s="917">
        <f ca="1">$A1706*S1706</f>
        <v>5.85</v>
      </c>
      <c r="U1706" s="926"/>
      <c r="AR1706" s="919">
        <v>65</v>
      </c>
      <c r="AS1706" s="921" t="s">
        <v>2599</v>
      </c>
    </row>
    <row r="1707" spans="1:45" s="520" customFormat="1" ht="12">
      <c r="A1707" s="758"/>
      <c r="B1707" s="758"/>
      <c r="C1707" s="758"/>
      <c r="D1707" s="758"/>
      <c r="E1707" s="758"/>
      <c r="F1707" s="753"/>
      <c r="G1707" s="758"/>
      <c r="H1707" s="758"/>
      <c r="I1707" s="519"/>
      <c r="J1707" s="758"/>
      <c r="K1707" s="758"/>
      <c r="L1707" s="758"/>
      <c r="M1707" s="758"/>
      <c r="N1707" s="758"/>
      <c r="O1707" s="758"/>
      <c r="P1707" s="758"/>
      <c r="Q1707" s="519"/>
      <c r="R1707" s="759">
        <f>$A1707*Q1707</f>
        <v>0</v>
      </c>
      <c r="S1707" s="519"/>
      <c r="T1707" s="760">
        <f>$A1707*S1707*$T$1</f>
        <v>0</v>
      </c>
      <c r="AR1707" s="758"/>
      <c r="AS1707" s="753"/>
    </row>
    <row r="1708" spans="1:45" s="520" customFormat="1" ht="12.6" thickBot="1">
      <c r="A1708" s="761" t="s">
        <v>145</v>
      </c>
      <c r="B1708" s="762">
        <f>(R1707+T1707)</f>
        <v>0</v>
      </c>
      <c r="C1708" s="763"/>
      <c r="D1708" s="763"/>
      <c r="E1708" s="763"/>
      <c r="F1708" s="764"/>
      <c r="G1708" s="763" t="s">
        <v>146</v>
      </c>
      <c r="H1708" s="763"/>
      <c r="I1708" s="765"/>
      <c r="J1708" s="763"/>
      <c r="K1708" s="763" t="s">
        <v>3</v>
      </c>
      <c r="L1708" s="766" t="s">
        <v>143</v>
      </c>
      <c r="M1708" s="766"/>
      <c r="N1708" s="766"/>
      <c r="O1708" s="766"/>
      <c r="P1708" s="766"/>
      <c r="Q1708" s="767"/>
      <c r="R1708" s="768">
        <f ca="1">SUM(R1704:R1707)</f>
        <v>364.65000000000003</v>
      </c>
      <c r="S1708" s="763"/>
      <c r="T1708" s="768">
        <f ca="1">SUM(T1704:T1707)</f>
        <v>5.85</v>
      </c>
      <c r="U1708" s="531"/>
      <c r="V1708" s="531"/>
      <c r="W1708" s="531"/>
      <c r="X1708" s="531"/>
      <c r="Y1708" s="531"/>
      <c r="Z1708" s="531"/>
      <c r="AA1708" s="531"/>
      <c r="AB1708" s="531"/>
      <c r="AC1708" s="531"/>
      <c r="AD1708" s="531"/>
      <c r="AE1708" s="531"/>
      <c r="AF1708" s="531"/>
      <c r="AG1708" s="531"/>
      <c r="AH1708" s="531"/>
      <c r="AI1708" s="531"/>
      <c r="AJ1708" s="531"/>
      <c r="AK1708" s="531"/>
      <c r="AL1708" s="531"/>
      <c r="AM1708" s="531"/>
      <c r="AN1708" s="531"/>
      <c r="AO1708" s="531"/>
      <c r="AR1708" s="761" t="s">
        <v>145</v>
      </c>
      <c r="AS1708" s="764"/>
    </row>
    <row r="1709" spans="1:45" s="520" customFormat="1" ht="12" thickTop="1">
      <c r="A1709" s="51"/>
      <c r="B1709" s="41"/>
      <c r="C1709" s="51"/>
      <c r="E1709" s="42" t="s">
        <v>138</v>
      </c>
      <c r="F1709" s="42" t="s">
        <v>139</v>
      </c>
      <c r="G1709" s="51"/>
      <c r="H1709" s="51"/>
      <c r="I1709" s="51"/>
      <c r="J1709" s="51"/>
      <c r="K1709" s="51" t="s">
        <v>140</v>
      </c>
      <c r="L1709" s="51"/>
      <c r="M1709" s="51"/>
      <c r="N1709" s="51"/>
      <c r="O1709" s="52"/>
      <c r="P1709" s="51"/>
      <c r="Q1709" s="51"/>
      <c r="R1709" s="51"/>
      <c r="S1709" s="51"/>
      <c r="T1709" s="41"/>
      <c r="AG1709" s="521" t="s">
        <v>268</v>
      </c>
      <c r="AH1709" s="521" t="s">
        <v>269</v>
      </c>
      <c r="AI1709" s="521" t="s">
        <v>270</v>
      </c>
      <c r="AJ1709" s="521" t="s">
        <v>271</v>
      </c>
      <c r="AK1709" s="521" t="s">
        <v>272</v>
      </c>
      <c r="AM1709" s="745" t="s">
        <v>281</v>
      </c>
      <c r="AN1709" s="746" t="s">
        <v>282</v>
      </c>
      <c r="AO1709" s="522" t="s">
        <v>278</v>
      </c>
      <c r="AR1709" s="51"/>
      <c r="AS1709" s="42" t="s">
        <v>139</v>
      </c>
    </row>
    <row r="1710" spans="1:45" s="520" customFormat="1" ht="12" customHeight="1">
      <c r="A1710" s="747">
        <v>60</v>
      </c>
      <c r="B1710" s="523" t="s">
        <v>320</v>
      </c>
      <c r="C1710" s="748"/>
      <c r="D1710" s="749" t="s">
        <v>1362</v>
      </c>
      <c r="E1710" s="750">
        <f ca="1">IF(AND($A1710=0,$A$1="DIF"),0, ROUND(ROUND(($R1715*$S$2+($T1715*$T$2))/A1710,2)*$C$2,2))</f>
        <v>0</v>
      </c>
      <c r="F1710" s="751">
        <f ca="1">ROUND($A1710*$E1710,2)</f>
        <v>0</v>
      </c>
      <c r="G1710" s="752" t="s">
        <v>142</v>
      </c>
      <c r="H1710" s="753"/>
      <c r="I1710" s="754"/>
      <c r="J1710" s="753"/>
      <c r="K1710" s="753" t="s">
        <v>3</v>
      </c>
      <c r="L1710" s="755" t="s">
        <v>143</v>
      </c>
      <c r="M1710" s="755"/>
      <c r="N1710" s="755"/>
      <c r="O1710" s="755"/>
      <c r="P1710" s="755"/>
      <c r="Q1710" s="1058" t="s">
        <v>3848</v>
      </c>
      <c r="T1710" s="756" t="str">
        <f ca="1">IF(AND($R1715=0,$T1715=0),"0.00","mu :" &amp; ROUND($F1710/$C$2/($R1715+$T1715*$D$9),2))</f>
        <v>0.00</v>
      </c>
      <c r="W1710" s="524"/>
      <c r="AG1710" s="481">
        <f ca="1">IF($E1710=0,0,ROUND($R1715*$S$2*$C$2/$A1710,2))</f>
        <v>0</v>
      </c>
      <c r="AH1710" s="481">
        <f ca="1">$AG1710*$A1710</f>
        <v>0</v>
      </c>
      <c r="AI1710" s="525">
        <f ca="1">$E1710-$AG1710</f>
        <v>0</v>
      </c>
      <c r="AJ1710" s="525">
        <f ca="1">$A1710*$AI1710</f>
        <v>0</v>
      </c>
      <c r="AK1710" s="526">
        <f ca="1">ROUND(($AG1710+$AI1710)*$A1710,2)</f>
        <v>0</v>
      </c>
      <c r="AM1710" s="527">
        <f ca="1">ROUND(R1715,2)</f>
        <v>0</v>
      </c>
      <c r="AN1710" s="528">
        <f ca="1">ROUND(T1715,2)</f>
        <v>0</v>
      </c>
      <c r="AO1710" s="529">
        <f ca="1">ROUND(AM1710+AN1710,2)*A1710</f>
        <v>0</v>
      </c>
      <c r="AR1710" s="747">
        <v>60</v>
      </c>
      <c r="AS1710" s="751">
        <v>617.4</v>
      </c>
    </row>
    <row r="1711" spans="1:45" s="520" customFormat="1" ht="13.2">
      <c r="A1711" s="748"/>
      <c r="B1711"/>
      <c r="C1711" s="748"/>
      <c r="D1711" s="749" t="s">
        <v>1363</v>
      </c>
      <c r="F1711" s="753"/>
      <c r="G1711" s="3"/>
      <c r="H1711" s="753"/>
      <c r="I1711" s="754"/>
      <c r="J1711" s="753"/>
      <c r="K1711" s="753" t="s">
        <v>144</v>
      </c>
      <c r="L1711" s="753"/>
      <c r="M1711" s="753"/>
      <c r="N1711" s="753"/>
      <c r="O1711" s="753"/>
      <c r="P1711" s="753"/>
      <c r="Q1711" s="51"/>
      <c r="R1711" s="530"/>
      <c r="S1711" s="757"/>
      <c r="T1711" s="753"/>
      <c r="AR1711" s="748"/>
      <c r="AS1711" s="753"/>
    </row>
    <row r="1712" spans="1:45" s="1336" customFormat="1" ht="13.2">
      <c r="A1712" s="1086"/>
      <c r="B1712" s="1328"/>
      <c r="C1712" s="1328" t="s">
        <v>2597</v>
      </c>
      <c r="D1712" s="1328" t="str">
        <f ca="1">CELL("Address",Elec_Rates!D$437)</f>
        <v>[E25_0062_Quintano_Foods_Elec_ELV_As_Awarded.xlsx]Elec_Rates!$D$437</v>
      </c>
      <c r="E1712" s="1060"/>
      <c r="F1712" s="1060"/>
      <c r="G1712" s="1329" t="s">
        <v>2598</v>
      </c>
      <c r="H1712" s="1329"/>
      <c r="I1712" s="1329"/>
      <c r="J1712" s="1329"/>
      <c r="K1712" s="1330"/>
      <c r="L1712" s="1060"/>
      <c r="M1712" s="1060"/>
      <c r="N1712" s="1060"/>
      <c r="O1712" s="1331"/>
      <c r="P1712" s="1060"/>
      <c r="Q1712" s="1332"/>
      <c r="R1712" s="1333"/>
      <c r="S1712" s="1332"/>
      <c r="T1712" s="1334"/>
      <c r="U1712" s="1335"/>
      <c r="AR1712" s="1086"/>
      <c r="AS1712" s="1060"/>
    </row>
    <row r="1713" spans="1:45" s="1336" customFormat="1" ht="11.4">
      <c r="A1713" s="1337">
        <v>0</v>
      </c>
      <c r="B1713" s="1338">
        <v>1</v>
      </c>
      <c r="C1713" s="1338">
        <f>$A1713*$B1713</f>
        <v>0</v>
      </c>
      <c r="D1713" s="1339" t="str">
        <f>Elec_Rates!$D$437</f>
        <v>042# 5 x 6mm2 XLPE/SWA/LSZH</v>
      </c>
      <c r="E1713" s="1339"/>
      <c r="F1713" s="1339" t="s">
        <v>2599</v>
      </c>
      <c r="G1713" s="1340" t="s">
        <v>2601</v>
      </c>
      <c r="H1713" s="1340"/>
      <c r="I1713" s="1340"/>
      <c r="J1713" s="1340"/>
      <c r="K1713" s="1341"/>
      <c r="L1713" s="1335"/>
      <c r="M1713" s="1335"/>
      <c r="N1713" s="1335"/>
      <c r="O1713" s="1342"/>
      <c r="P1713" s="1339"/>
      <c r="Q1713" s="1343">
        <f ca="1">$B1713*Elec_Rates!$R$437</f>
        <v>5.61</v>
      </c>
      <c r="R1713" s="1333">
        <f ca="1">$A1713*Q1713</f>
        <v>0</v>
      </c>
      <c r="S1713" s="1343">
        <f ca="1">$B1713*Elec_Rates!$T$437</f>
        <v>0.09</v>
      </c>
      <c r="T1713" s="1334">
        <f ca="1">$A1713*S1713</f>
        <v>0</v>
      </c>
      <c r="U1713" s="1344"/>
      <c r="AR1713" s="1337">
        <v>60</v>
      </c>
      <c r="AS1713" s="1339" t="s">
        <v>2599</v>
      </c>
    </row>
    <row r="1714" spans="1:45" s="520" customFormat="1" ht="12">
      <c r="A1714" s="758"/>
      <c r="B1714" s="758"/>
      <c r="C1714" s="758"/>
      <c r="D1714" s="758"/>
      <c r="E1714" s="758"/>
      <c r="F1714" s="753"/>
      <c r="G1714" s="758"/>
      <c r="H1714" s="758"/>
      <c r="I1714" s="519"/>
      <c r="J1714" s="758"/>
      <c r="K1714" s="758"/>
      <c r="L1714" s="758"/>
      <c r="M1714" s="758"/>
      <c r="N1714" s="758"/>
      <c r="O1714" s="758"/>
      <c r="P1714" s="758"/>
      <c r="Q1714" s="519"/>
      <c r="R1714" s="759">
        <f>$A1714*Q1714</f>
        <v>0</v>
      </c>
      <c r="S1714" s="519"/>
      <c r="T1714" s="760">
        <f>$A1714*S1714*$T$1</f>
        <v>0</v>
      </c>
      <c r="AR1714" s="758"/>
      <c r="AS1714" s="753"/>
    </row>
    <row r="1715" spans="1:45" s="520" customFormat="1" ht="12.6" thickBot="1">
      <c r="A1715" s="761" t="s">
        <v>145</v>
      </c>
      <c r="B1715" s="762">
        <f>(R1714+T1714)</f>
        <v>0</v>
      </c>
      <c r="C1715" s="763"/>
      <c r="D1715" s="763"/>
      <c r="E1715" s="763"/>
      <c r="F1715" s="764"/>
      <c r="G1715" s="763" t="s">
        <v>146</v>
      </c>
      <c r="H1715" s="763"/>
      <c r="I1715" s="765"/>
      <c r="J1715" s="763"/>
      <c r="K1715" s="763" t="s">
        <v>3</v>
      </c>
      <c r="L1715" s="766" t="s">
        <v>143</v>
      </c>
      <c r="M1715" s="766"/>
      <c r="N1715" s="766"/>
      <c r="O1715" s="766"/>
      <c r="P1715" s="766"/>
      <c r="Q1715" s="767"/>
      <c r="R1715" s="768">
        <f ca="1">SUM(R1711:R1714)</f>
        <v>0</v>
      </c>
      <c r="S1715" s="763"/>
      <c r="T1715" s="768">
        <f ca="1">SUM(T1711:T1714)</f>
        <v>0</v>
      </c>
      <c r="U1715" s="531"/>
      <c r="V1715" s="531"/>
      <c r="W1715" s="531"/>
      <c r="X1715" s="531"/>
      <c r="Y1715" s="531"/>
      <c r="Z1715" s="531"/>
      <c r="AA1715" s="531"/>
      <c r="AB1715" s="531"/>
      <c r="AC1715" s="531"/>
      <c r="AD1715" s="531"/>
      <c r="AE1715" s="531"/>
      <c r="AF1715" s="531"/>
      <c r="AG1715" s="531"/>
      <c r="AH1715" s="531"/>
      <c r="AI1715" s="531"/>
      <c r="AJ1715" s="531"/>
      <c r="AK1715" s="531"/>
      <c r="AL1715" s="531"/>
      <c r="AM1715" s="531"/>
      <c r="AN1715" s="531"/>
      <c r="AO1715" s="531"/>
      <c r="AR1715" s="761" t="s">
        <v>145</v>
      </c>
      <c r="AS1715" s="764"/>
    </row>
    <row r="1716" spans="1:45" s="520" customFormat="1" ht="12" thickTop="1">
      <c r="A1716" s="51"/>
      <c r="B1716" s="41"/>
      <c r="C1716" s="51"/>
      <c r="E1716" s="42" t="s">
        <v>138</v>
      </c>
      <c r="F1716" s="42" t="s">
        <v>139</v>
      </c>
      <c r="G1716" s="51"/>
      <c r="H1716" s="51"/>
      <c r="I1716" s="51"/>
      <c r="J1716" s="51"/>
      <c r="K1716" s="51" t="s">
        <v>140</v>
      </c>
      <c r="L1716" s="51"/>
      <c r="M1716" s="51"/>
      <c r="N1716" s="51"/>
      <c r="O1716" s="52"/>
      <c r="P1716" s="51"/>
      <c r="Q1716" s="51"/>
      <c r="R1716" s="51"/>
      <c r="S1716" s="51"/>
      <c r="T1716" s="41"/>
      <c r="AG1716" s="521" t="s">
        <v>268</v>
      </c>
      <c r="AH1716" s="521" t="s">
        <v>269</v>
      </c>
      <c r="AI1716" s="521" t="s">
        <v>270</v>
      </c>
      <c r="AJ1716" s="521" t="s">
        <v>271</v>
      </c>
      <c r="AK1716" s="521" t="s">
        <v>272</v>
      </c>
      <c r="AM1716" s="745" t="s">
        <v>281</v>
      </c>
      <c r="AN1716" s="746" t="s">
        <v>282</v>
      </c>
      <c r="AO1716" s="522" t="s">
        <v>278</v>
      </c>
      <c r="AR1716" s="51"/>
      <c r="AS1716" s="42" t="s">
        <v>139</v>
      </c>
    </row>
    <row r="1717" spans="1:45" s="520" customFormat="1" ht="12" customHeight="1">
      <c r="A1717" s="747">
        <v>55</v>
      </c>
      <c r="B1717" s="523" t="s">
        <v>320</v>
      </c>
      <c r="C1717" s="748"/>
      <c r="D1717" s="749" t="s">
        <v>1364</v>
      </c>
      <c r="E1717" s="750">
        <f ca="1">IF(AND($A1717=0,$A$1="DIF"),0, ROUND(ROUND(($R1722*$S$2+($T1722*$T$2))/A1717,2)*$C$2,2))</f>
        <v>9.9499999999999993</v>
      </c>
      <c r="F1717" s="751">
        <f ca="1">ROUND($A1717*$E1717,2)</f>
        <v>547.25</v>
      </c>
      <c r="G1717" s="752" t="s">
        <v>142</v>
      </c>
      <c r="H1717" s="753"/>
      <c r="I1717" s="754"/>
      <c r="J1717" s="753"/>
      <c r="K1717" s="753" t="s">
        <v>3</v>
      </c>
      <c r="L1717" s="755" t="s">
        <v>143</v>
      </c>
      <c r="M1717" s="755"/>
      <c r="N1717" s="755"/>
      <c r="O1717" s="755"/>
      <c r="P1717" s="755"/>
      <c r="Q1717" s="51"/>
      <c r="T1717" s="756" t="str">
        <f ca="1">IF(AND($R1722=0,$T1722=0),"0.00","mu :" &amp; ROUND($F1717/$C$2/($R1722+$T1722*$D$9),2))</f>
        <v>mu :1.23</v>
      </c>
      <c r="W1717" s="524"/>
      <c r="AG1717" s="481">
        <f ca="1">IF($E1717=0,0,ROUND($R1722*$S$2*$C$2/$A1717,2))</f>
        <v>6.91</v>
      </c>
      <c r="AH1717" s="481">
        <f ca="1">$AG1717*$A1717</f>
        <v>380.05</v>
      </c>
      <c r="AI1717" s="525">
        <f ca="1">$E1717-$AG1717</f>
        <v>3.0399999999999991</v>
      </c>
      <c r="AJ1717" s="525">
        <f ca="1">$A1717*$AI1717</f>
        <v>167.19999999999996</v>
      </c>
      <c r="AK1717" s="526">
        <f ca="1">ROUND(($AG1717+$AI1717)*$A1717,2)</f>
        <v>547.25</v>
      </c>
      <c r="AM1717" s="527">
        <f ca="1">ROUND(R1722,2)</f>
        <v>308.55</v>
      </c>
      <c r="AN1717" s="528">
        <f ca="1">ROUND(T1722,2)</f>
        <v>4.95</v>
      </c>
      <c r="AO1717" s="529">
        <f ca="1">ROUND(AM1717+AN1717,2)*A1717</f>
        <v>17242.5</v>
      </c>
      <c r="AR1717" s="747">
        <v>55</v>
      </c>
      <c r="AS1717" s="751">
        <v>565.95000000000005</v>
      </c>
    </row>
    <row r="1718" spans="1:45" s="520" customFormat="1" ht="13.2">
      <c r="A1718" s="748"/>
      <c r="B1718"/>
      <c r="C1718" s="748"/>
      <c r="D1718" s="749" t="s">
        <v>1365</v>
      </c>
      <c r="F1718" s="753"/>
      <c r="G1718" s="3"/>
      <c r="H1718" s="753"/>
      <c r="I1718" s="754"/>
      <c r="J1718" s="753"/>
      <c r="K1718" s="753" t="s">
        <v>144</v>
      </c>
      <c r="L1718" s="753"/>
      <c r="M1718" s="753"/>
      <c r="N1718" s="753"/>
      <c r="O1718" s="753"/>
      <c r="P1718" s="753"/>
      <c r="Q1718" s="51"/>
      <c r="R1718" s="530"/>
      <c r="S1718" s="757"/>
      <c r="T1718" s="753"/>
      <c r="AR1718" s="748"/>
      <c r="AS1718" s="753"/>
    </row>
    <row r="1719" spans="1:45" s="886" customFormat="1" ht="13.2">
      <c r="A1719"/>
      <c r="B1719" s="910"/>
      <c r="C1719" s="910" t="s">
        <v>2597</v>
      </c>
      <c r="D1719" s="910" t="str">
        <f ca="1">CELL("Address",Elec_Rates!D$437)</f>
        <v>[E25_0062_Quintano_Foods_Elec_ELV_As_Awarded.xlsx]Elec_Rates!$D$437</v>
      </c>
      <c r="E1719" s="911"/>
      <c r="F1719" s="911"/>
      <c r="G1719" s="912" t="s">
        <v>2598</v>
      </c>
      <c r="H1719" s="912"/>
      <c r="I1719" s="912"/>
      <c r="J1719" s="912"/>
      <c r="K1719" s="913"/>
      <c r="L1719" s="911"/>
      <c r="M1719" s="911"/>
      <c r="N1719" s="911"/>
      <c r="O1719" s="914"/>
      <c r="P1719" s="911"/>
      <c r="Q1719" s="915"/>
      <c r="R1719" s="916"/>
      <c r="S1719" s="915"/>
      <c r="T1719" s="917"/>
      <c r="U1719" s="918"/>
      <c r="AR1719"/>
      <c r="AS1719" s="911"/>
    </row>
    <row r="1720" spans="1:45" s="886" customFormat="1" ht="11.4">
      <c r="A1720" s="919">
        <v>55</v>
      </c>
      <c r="B1720" s="920">
        <v>1</v>
      </c>
      <c r="C1720" s="920">
        <f>$A1720*$B1720</f>
        <v>55</v>
      </c>
      <c r="D1720" s="921" t="str">
        <f>Elec_Rates!$D$437</f>
        <v>042# 5 x 6mm2 XLPE/SWA/LSZH</v>
      </c>
      <c r="E1720" s="921"/>
      <c r="F1720" s="921" t="s">
        <v>2599</v>
      </c>
      <c r="G1720" s="922" t="s">
        <v>2601</v>
      </c>
      <c r="H1720" s="922"/>
      <c r="I1720" s="922"/>
      <c r="J1720" s="922"/>
      <c r="K1720" s="923"/>
      <c r="L1720" s="918"/>
      <c r="M1720" s="918"/>
      <c r="N1720" s="918"/>
      <c r="O1720" s="924"/>
      <c r="P1720" s="921"/>
      <c r="Q1720" s="925">
        <f ca="1">$B1720*Elec_Rates!$R$437</f>
        <v>5.61</v>
      </c>
      <c r="R1720" s="916">
        <f ca="1">$A1720*Q1720</f>
        <v>308.55</v>
      </c>
      <c r="S1720" s="925">
        <f ca="1">$B1720*Elec_Rates!$T$437</f>
        <v>0.09</v>
      </c>
      <c r="T1720" s="917">
        <f ca="1">$A1720*S1720</f>
        <v>4.95</v>
      </c>
      <c r="U1720" s="926"/>
      <c r="AR1720" s="919">
        <v>55</v>
      </c>
      <c r="AS1720" s="921" t="s">
        <v>2599</v>
      </c>
    </row>
    <row r="1721" spans="1:45" s="520" customFormat="1" ht="12">
      <c r="A1721" s="758"/>
      <c r="B1721" s="758"/>
      <c r="C1721" s="758"/>
      <c r="D1721" s="758"/>
      <c r="E1721" s="758"/>
      <c r="F1721" s="753"/>
      <c r="G1721" s="758"/>
      <c r="H1721" s="758"/>
      <c r="I1721" s="519"/>
      <c r="J1721" s="758"/>
      <c r="K1721" s="758"/>
      <c r="L1721" s="758"/>
      <c r="M1721" s="758"/>
      <c r="N1721" s="758"/>
      <c r="O1721" s="758"/>
      <c r="P1721" s="758"/>
      <c r="Q1721" s="519"/>
      <c r="R1721" s="759">
        <f>$A1721*Q1721</f>
        <v>0</v>
      </c>
      <c r="S1721" s="519"/>
      <c r="T1721" s="760">
        <f>$A1721*S1721*$T$1</f>
        <v>0</v>
      </c>
      <c r="AR1721" s="758"/>
      <c r="AS1721" s="753"/>
    </row>
    <row r="1722" spans="1:45" s="520" customFormat="1" ht="12.6" thickBot="1">
      <c r="A1722" s="761" t="s">
        <v>145</v>
      </c>
      <c r="B1722" s="762">
        <f>(R1721+T1721)</f>
        <v>0</v>
      </c>
      <c r="C1722" s="763"/>
      <c r="D1722" s="763"/>
      <c r="E1722" s="763"/>
      <c r="F1722" s="764"/>
      <c r="G1722" s="763" t="s">
        <v>146</v>
      </c>
      <c r="H1722" s="763"/>
      <c r="I1722" s="765"/>
      <c r="J1722" s="763"/>
      <c r="K1722" s="763" t="s">
        <v>3</v>
      </c>
      <c r="L1722" s="766" t="s">
        <v>143</v>
      </c>
      <c r="M1722" s="766"/>
      <c r="N1722" s="766"/>
      <c r="O1722" s="766"/>
      <c r="P1722" s="766"/>
      <c r="Q1722" s="767"/>
      <c r="R1722" s="768">
        <f ca="1">SUM(R1718:R1721)</f>
        <v>308.55</v>
      </c>
      <c r="S1722" s="763"/>
      <c r="T1722" s="768">
        <f ca="1">SUM(T1718:T1721)</f>
        <v>4.95</v>
      </c>
      <c r="U1722" s="531"/>
      <c r="V1722" s="531"/>
      <c r="W1722" s="531"/>
      <c r="X1722" s="531"/>
      <c r="Y1722" s="531"/>
      <c r="Z1722" s="531"/>
      <c r="AA1722" s="531"/>
      <c r="AB1722" s="531"/>
      <c r="AC1722" s="531"/>
      <c r="AD1722" s="531"/>
      <c r="AE1722" s="531"/>
      <c r="AF1722" s="531"/>
      <c r="AG1722" s="531"/>
      <c r="AH1722" s="531"/>
      <c r="AI1722" s="531"/>
      <c r="AJ1722" s="531"/>
      <c r="AK1722" s="531"/>
      <c r="AL1722" s="531"/>
      <c r="AM1722" s="531"/>
      <c r="AN1722" s="531"/>
      <c r="AO1722" s="531"/>
      <c r="AR1722" s="761" t="s">
        <v>145</v>
      </c>
      <c r="AS1722" s="764"/>
    </row>
    <row r="1723" spans="1:45" s="520" customFormat="1" ht="12" thickTop="1">
      <c r="A1723" s="51"/>
      <c r="B1723" s="41"/>
      <c r="C1723" s="51"/>
      <c r="E1723" s="42" t="s">
        <v>138</v>
      </c>
      <c r="F1723" s="42" t="s">
        <v>139</v>
      </c>
      <c r="G1723" s="51"/>
      <c r="H1723" s="51"/>
      <c r="I1723" s="51"/>
      <c r="J1723" s="51"/>
      <c r="K1723" s="51" t="s">
        <v>140</v>
      </c>
      <c r="L1723" s="51"/>
      <c r="M1723" s="51"/>
      <c r="N1723" s="51"/>
      <c r="O1723" s="52"/>
      <c r="P1723" s="51"/>
      <c r="Q1723" s="51"/>
      <c r="R1723" s="51"/>
      <c r="S1723" s="51"/>
      <c r="T1723" s="41"/>
      <c r="AG1723" s="521" t="s">
        <v>268</v>
      </c>
      <c r="AH1723" s="521" t="s">
        <v>269</v>
      </c>
      <c r="AI1723" s="521" t="s">
        <v>270</v>
      </c>
      <c r="AJ1723" s="521" t="s">
        <v>271</v>
      </c>
      <c r="AK1723" s="521" t="s">
        <v>272</v>
      </c>
      <c r="AM1723" s="745" t="s">
        <v>281</v>
      </c>
      <c r="AN1723" s="746" t="s">
        <v>282</v>
      </c>
      <c r="AO1723" s="522" t="s">
        <v>278</v>
      </c>
      <c r="AR1723" s="51"/>
      <c r="AS1723" s="42" t="s">
        <v>139</v>
      </c>
    </row>
    <row r="1724" spans="1:45" s="520" customFormat="1" ht="12" customHeight="1">
      <c r="A1724" s="747">
        <v>50</v>
      </c>
      <c r="B1724" s="523" t="s">
        <v>320</v>
      </c>
      <c r="C1724" s="748"/>
      <c r="D1724" s="749" t="s">
        <v>1366</v>
      </c>
      <c r="E1724" s="750">
        <f ca="1">IF(AND($A1724=0,$A$1="DIF"),0, ROUND(ROUND(($R1729*$S$2+($T1729*$T$2))/A1724,2)*$C$2,2))</f>
        <v>0</v>
      </c>
      <c r="F1724" s="751">
        <f ca="1">ROUND($A1724*$E1724,2)</f>
        <v>0</v>
      </c>
      <c r="G1724" s="752" t="s">
        <v>142</v>
      </c>
      <c r="H1724" s="753"/>
      <c r="I1724" s="754"/>
      <c r="J1724" s="753"/>
      <c r="K1724" s="753" t="s">
        <v>3</v>
      </c>
      <c r="L1724" s="755" t="s">
        <v>143</v>
      </c>
      <c r="M1724" s="755"/>
      <c r="N1724" s="755"/>
      <c r="O1724" s="755"/>
      <c r="P1724" s="755"/>
      <c r="Q1724" s="1058" t="s">
        <v>3848</v>
      </c>
      <c r="T1724" s="756" t="str">
        <f ca="1">IF(AND($R1729=0,$T1729=0),"0.00","mu :" &amp; ROUND($F1724/$C$2/($R1729+$T1729*$D$9),2))</f>
        <v>0.00</v>
      </c>
      <c r="W1724" s="524"/>
      <c r="AG1724" s="481">
        <f ca="1">IF($E1724=0,0,ROUND($R1729*$S$2*$C$2/$A1724,2))</f>
        <v>0</v>
      </c>
      <c r="AH1724" s="481">
        <f ca="1">$AG1724*$A1724</f>
        <v>0</v>
      </c>
      <c r="AI1724" s="525">
        <f ca="1">$E1724-$AG1724</f>
        <v>0</v>
      </c>
      <c r="AJ1724" s="525">
        <f ca="1">$A1724*$AI1724</f>
        <v>0</v>
      </c>
      <c r="AK1724" s="526">
        <f ca="1">ROUND(($AG1724+$AI1724)*$A1724,2)</f>
        <v>0</v>
      </c>
      <c r="AM1724" s="527">
        <f ca="1">ROUND(R1729,2)</f>
        <v>0</v>
      </c>
      <c r="AN1724" s="528">
        <f ca="1">ROUND(T1729,2)</f>
        <v>0</v>
      </c>
      <c r="AO1724" s="529">
        <f ca="1">ROUND(AM1724+AN1724,2)*A1724</f>
        <v>0</v>
      </c>
      <c r="AR1724" s="747">
        <v>50</v>
      </c>
      <c r="AS1724" s="751">
        <v>514.5</v>
      </c>
    </row>
    <row r="1725" spans="1:45" s="520" customFormat="1" ht="13.2">
      <c r="A1725" s="748"/>
      <c r="B1725"/>
      <c r="C1725" s="748"/>
      <c r="D1725" s="749" t="s">
        <v>1367</v>
      </c>
      <c r="F1725" s="753"/>
      <c r="G1725" s="3"/>
      <c r="H1725" s="753"/>
      <c r="I1725" s="754"/>
      <c r="J1725" s="753"/>
      <c r="K1725" s="753" t="s">
        <v>144</v>
      </c>
      <c r="L1725" s="753"/>
      <c r="M1725" s="753"/>
      <c r="N1725" s="753"/>
      <c r="O1725" s="753"/>
      <c r="P1725" s="753"/>
      <c r="Q1725" s="51"/>
      <c r="R1725" s="530"/>
      <c r="S1725" s="757"/>
      <c r="T1725" s="753"/>
      <c r="AR1725" s="748"/>
      <c r="AS1725" s="753"/>
    </row>
    <row r="1726" spans="1:45" s="1336" customFormat="1" ht="13.2">
      <c r="A1726" s="1086"/>
      <c r="B1726" s="1328"/>
      <c r="C1726" s="1328" t="s">
        <v>2597</v>
      </c>
      <c r="D1726" s="1328" t="str">
        <f ca="1">CELL("Address",Elec_Rates!D$437)</f>
        <v>[E25_0062_Quintano_Foods_Elec_ELV_As_Awarded.xlsx]Elec_Rates!$D$437</v>
      </c>
      <c r="E1726" s="1060"/>
      <c r="F1726" s="1060"/>
      <c r="G1726" s="1329" t="s">
        <v>2598</v>
      </c>
      <c r="H1726" s="1329"/>
      <c r="I1726" s="1329"/>
      <c r="J1726" s="1329"/>
      <c r="K1726" s="1330"/>
      <c r="L1726" s="1060"/>
      <c r="M1726" s="1060"/>
      <c r="N1726" s="1060"/>
      <c r="O1726" s="1331"/>
      <c r="P1726" s="1060"/>
      <c r="Q1726" s="1332"/>
      <c r="R1726" s="1333"/>
      <c r="S1726" s="1332"/>
      <c r="T1726" s="1334"/>
      <c r="U1726" s="1335"/>
      <c r="AR1726" s="1086"/>
      <c r="AS1726" s="1060"/>
    </row>
    <row r="1727" spans="1:45" s="1336" customFormat="1" ht="11.4">
      <c r="A1727" s="1337">
        <v>0</v>
      </c>
      <c r="B1727" s="1338">
        <v>1</v>
      </c>
      <c r="C1727" s="1338">
        <f>$A1727*$B1727</f>
        <v>0</v>
      </c>
      <c r="D1727" s="1339" t="str">
        <f>Elec_Rates!$D$437</f>
        <v>042# 5 x 6mm2 XLPE/SWA/LSZH</v>
      </c>
      <c r="E1727" s="1339"/>
      <c r="F1727" s="1339" t="s">
        <v>2599</v>
      </c>
      <c r="G1727" s="1340" t="s">
        <v>2601</v>
      </c>
      <c r="H1727" s="1340"/>
      <c r="I1727" s="1340"/>
      <c r="J1727" s="1340"/>
      <c r="K1727" s="1341"/>
      <c r="L1727" s="1335"/>
      <c r="M1727" s="1335"/>
      <c r="N1727" s="1335"/>
      <c r="O1727" s="1342"/>
      <c r="P1727" s="1339"/>
      <c r="Q1727" s="1343">
        <f ca="1">$B1727*Elec_Rates!$R$437</f>
        <v>5.61</v>
      </c>
      <c r="R1727" s="1333">
        <f ca="1">$A1727*Q1727</f>
        <v>0</v>
      </c>
      <c r="S1727" s="1343">
        <f ca="1">$B1727*Elec_Rates!$T$437</f>
        <v>0.09</v>
      </c>
      <c r="T1727" s="1334">
        <f ca="1">$A1727*S1727</f>
        <v>0</v>
      </c>
      <c r="U1727" s="1344"/>
      <c r="AR1727" s="1337">
        <v>50</v>
      </c>
      <c r="AS1727" s="1339" t="s">
        <v>2599</v>
      </c>
    </row>
    <row r="1728" spans="1:45" s="520" customFormat="1" ht="12">
      <c r="A1728" s="758"/>
      <c r="B1728" s="758"/>
      <c r="C1728" s="758"/>
      <c r="D1728" s="758"/>
      <c r="E1728" s="758"/>
      <c r="F1728" s="753"/>
      <c r="G1728" s="758"/>
      <c r="H1728" s="758"/>
      <c r="I1728" s="519"/>
      <c r="J1728" s="758"/>
      <c r="K1728" s="758"/>
      <c r="L1728" s="758"/>
      <c r="M1728" s="758"/>
      <c r="N1728" s="758"/>
      <c r="O1728" s="758"/>
      <c r="P1728" s="758"/>
      <c r="Q1728" s="519"/>
      <c r="R1728" s="759">
        <f>$A1728*Q1728</f>
        <v>0</v>
      </c>
      <c r="S1728" s="519"/>
      <c r="T1728" s="760">
        <f>$A1728*S1728*$T$1</f>
        <v>0</v>
      </c>
      <c r="AR1728" s="758"/>
      <c r="AS1728" s="753"/>
    </row>
    <row r="1729" spans="1:45" s="520" customFormat="1" ht="12.6" thickBot="1">
      <c r="A1729" s="761" t="s">
        <v>145</v>
      </c>
      <c r="B1729" s="762">
        <f>(R1728+T1728)</f>
        <v>0</v>
      </c>
      <c r="C1729" s="763"/>
      <c r="D1729" s="763"/>
      <c r="E1729" s="763"/>
      <c r="F1729" s="764"/>
      <c r="G1729" s="763" t="s">
        <v>146</v>
      </c>
      <c r="H1729" s="763"/>
      <c r="I1729" s="765"/>
      <c r="J1729" s="763"/>
      <c r="K1729" s="763" t="s">
        <v>3</v>
      </c>
      <c r="L1729" s="766" t="s">
        <v>143</v>
      </c>
      <c r="M1729" s="766"/>
      <c r="N1729" s="766"/>
      <c r="O1729" s="766"/>
      <c r="P1729" s="766"/>
      <c r="Q1729" s="767"/>
      <c r="R1729" s="768">
        <f ca="1">SUM(R1725:R1728)</f>
        <v>0</v>
      </c>
      <c r="S1729" s="763"/>
      <c r="T1729" s="768">
        <f ca="1">SUM(T1725:T1728)</f>
        <v>0</v>
      </c>
      <c r="U1729" s="531"/>
      <c r="V1729" s="531"/>
      <c r="W1729" s="531"/>
      <c r="X1729" s="531"/>
      <c r="Y1729" s="531"/>
      <c r="Z1729" s="531"/>
      <c r="AA1729" s="531"/>
      <c r="AB1729" s="531"/>
      <c r="AC1729" s="531"/>
      <c r="AD1729" s="531"/>
      <c r="AE1729" s="531"/>
      <c r="AF1729" s="531"/>
      <c r="AG1729" s="531"/>
      <c r="AH1729" s="531"/>
      <c r="AI1729" s="531"/>
      <c r="AJ1729" s="531"/>
      <c r="AK1729" s="531"/>
      <c r="AL1729" s="531"/>
      <c r="AM1729" s="531"/>
      <c r="AN1729" s="531"/>
      <c r="AO1729" s="531"/>
      <c r="AR1729" s="761" t="s">
        <v>145</v>
      </c>
      <c r="AS1729" s="764"/>
    </row>
    <row r="1730" spans="1:45" s="520" customFormat="1" ht="12" thickTop="1">
      <c r="A1730" s="51"/>
      <c r="B1730" s="41"/>
      <c r="C1730" s="51"/>
      <c r="E1730" s="42" t="s">
        <v>138</v>
      </c>
      <c r="F1730" s="42" t="s">
        <v>139</v>
      </c>
      <c r="G1730" s="51"/>
      <c r="H1730" s="51"/>
      <c r="I1730" s="51"/>
      <c r="J1730" s="51"/>
      <c r="K1730" s="51" t="s">
        <v>140</v>
      </c>
      <c r="L1730" s="51"/>
      <c r="M1730" s="51"/>
      <c r="N1730" s="51"/>
      <c r="O1730" s="52"/>
      <c r="P1730" s="51"/>
      <c r="Q1730" s="51"/>
      <c r="R1730" s="51"/>
      <c r="S1730" s="51"/>
      <c r="T1730" s="41"/>
      <c r="AG1730" s="521" t="s">
        <v>268</v>
      </c>
      <c r="AH1730" s="521" t="s">
        <v>269</v>
      </c>
      <c r="AI1730" s="521" t="s">
        <v>270</v>
      </c>
      <c r="AJ1730" s="521" t="s">
        <v>271</v>
      </c>
      <c r="AK1730" s="521" t="s">
        <v>272</v>
      </c>
      <c r="AM1730" s="745" t="s">
        <v>281</v>
      </c>
      <c r="AN1730" s="746" t="s">
        <v>282</v>
      </c>
      <c r="AO1730" s="522" t="s">
        <v>278</v>
      </c>
      <c r="AR1730" s="51"/>
      <c r="AS1730" s="42" t="s">
        <v>139</v>
      </c>
    </row>
    <row r="1731" spans="1:45" s="520" customFormat="1" ht="12" customHeight="1">
      <c r="A1731" s="747">
        <v>45</v>
      </c>
      <c r="B1731" s="523" t="s">
        <v>320</v>
      </c>
      <c r="C1731" s="748"/>
      <c r="D1731" s="749" t="s">
        <v>1368</v>
      </c>
      <c r="E1731" s="750">
        <f ca="1">IF(AND($A1731=0,$A$1="DIF"),0, ROUND(ROUND(($R1736*$S$2+($T1736*$T$2))/A1731,2)*$C$2,2))</f>
        <v>9.9499999999999993</v>
      </c>
      <c r="F1731" s="751">
        <f ca="1">ROUND($A1731*$E1731,2)</f>
        <v>447.75</v>
      </c>
      <c r="G1731" s="752" t="s">
        <v>142</v>
      </c>
      <c r="H1731" s="753"/>
      <c r="I1731" s="754"/>
      <c r="J1731" s="753"/>
      <c r="K1731" s="753" t="s">
        <v>3</v>
      </c>
      <c r="L1731" s="755" t="s">
        <v>143</v>
      </c>
      <c r="M1731" s="755"/>
      <c r="N1731" s="755"/>
      <c r="O1731" s="755"/>
      <c r="P1731" s="755"/>
      <c r="Q1731" s="51"/>
      <c r="T1731" s="756" t="str">
        <f ca="1">IF(AND($R1736=0,$T1736=0),"0.00","mu :" &amp; ROUND($F1731/$C$2/($R1736+$T1736*$D$9),2))</f>
        <v>mu :1.23</v>
      </c>
      <c r="W1731" s="524"/>
      <c r="AG1731" s="481">
        <f ca="1">IF($E1731=0,0,ROUND($R1736*$S$2*$C$2/$A1731,2))</f>
        <v>6.91</v>
      </c>
      <c r="AH1731" s="481">
        <f ca="1">$AG1731*$A1731</f>
        <v>310.95</v>
      </c>
      <c r="AI1731" s="525">
        <f ca="1">$E1731-$AG1731</f>
        <v>3.0399999999999991</v>
      </c>
      <c r="AJ1731" s="525">
        <f ca="1">$A1731*$AI1731</f>
        <v>136.79999999999995</v>
      </c>
      <c r="AK1731" s="526">
        <f ca="1">ROUND(($AG1731+$AI1731)*$A1731,2)</f>
        <v>447.75</v>
      </c>
      <c r="AM1731" s="527">
        <f ca="1">ROUND(R1736,2)</f>
        <v>252.45</v>
      </c>
      <c r="AN1731" s="528">
        <f ca="1">ROUND(T1736,2)</f>
        <v>4.05</v>
      </c>
      <c r="AO1731" s="529">
        <f ca="1">ROUND(AM1731+AN1731,2)*A1731</f>
        <v>11542.5</v>
      </c>
      <c r="AR1731" s="747">
        <v>45</v>
      </c>
      <c r="AS1731" s="751">
        <v>463.05</v>
      </c>
    </row>
    <row r="1732" spans="1:45" s="520" customFormat="1" ht="13.2">
      <c r="A1732" s="748"/>
      <c r="B1732"/>
      <c r="C1732" s="748"/>
      <c r="D1732" s="749" t="s">
        <v>1369</v>
      </c>
      <c r="F1732" s="753"/>
      <c r="G1732" s="3"/>
      <c r="H1732" s="753"/>
      <c r="I1732" s="754"/>
      <c r="J1732" s="753"/>
      <c r="K1732" s="753" t="s">
        <v>144</v>
      </c>
      <c r="L1732" s="753"/>
      <c r="M1732" s="753"/>
      <c r="N1732" s="753"/>
      <c r="O1732" s="753"/>
      <c r="P1732" s="753"/>
      <c r="Q1732" s="51"/>
      <c r="R1732" s="530"/>
      <c r="S1732" s="757"/>
      <c r="T1732" s="753"/>
      <c r="AR1732" s="748"/>
      <c r="AS1732" s="753"/>
    </row>
    <row r="1733" spans="1:45" s="886" customFormat="1" ht="13.2">
      <c r="A1733"/>
      <c r="B1733" s="910"/>
      <c r="C1733" s="910" t="s">
        <v>2597</v>
      </c>
      <c r="D1733" s="910" t="str">
        <f ca="1">CELL("Address",Elec_Rates!D$437)</f>
        <v>[E25_0062_Quintano_Foods_Elec_ELV_As_Awarded.xlsx]Elec_Rates!$D$437</v>
      </c>
      <c r="E1733" s="911"/>
      <c r="F1733" s="911"/>
      <c r="G1733" s="912" t="s">
        <v>2598</v>
      </c>
      <c r="H1733" s="912"/>
      <c r="I1733" s="912"/>
      <c r="J1733" s="912"/>
      <c r="K1733" s="913"/>
      <c r="L1733" s="911"/>
      <c r="M1733" s="911"/>
      <c r="N1733" s="911"/>
      <c r="O1733" s="914"/>
      <c r="P1733" s="911"/>
      <c r="Q1733" s="915"/>
      <c r="R1733" s="916"/>
      <c r="S1733" s="915"/>
      <c r="T1733" s="917"/>
      <c r="U1733" s="918"/>
      <c r="AR1733"/>
      <c r="AS1733" s="911"/>
    </row>
    <row r="1734" spans="1:45" s="886" customFormat="1" ht="11.4">
      <c r="A1734" s="919">
        <v>45</v>
      </c>
      <c r="B1734" s="920">
        <v>1</v>
      </c>
      <c r="C1734" s="920">
        <f>$A1734*$B1734</f>
        <v>45</v>
      </c>
      <c r="D1734" s="921" t="str">
        <f>Elec_Rates!$D$437</f>
        <v>042# 5 x 6mm2 XLPE/SWA/LSZH</v>
      </c>
      <c r="E1734" s="921"/>
      <c r="F1734" s="921" t="s">
        <v>2599</v>
      </c>
      <c r="G1734" s="922" t="s">
        <v>2601</v>
      </c>
      <c r="H1734" s="922"/>
      <c r="I1734" s="922"/>
      <c r="J1734" s="922"/>
      <c r="K1734" s="923"/>
      <c r="L1734" s="918"/>
      <c r="M1734" s="918"/>
      <c r="N1734" s="918"/>
      <c r="O1734" s="924"/>
      <c r="P1734" s="921"/>
      <c r="Q1734" s="925">
        <f ca="1">$B1734*Elec_Rates!$R$437</f>
        <v>5.61</v>
      </c>
      <c r="R1734" s="916">
        <f ca="1">$A1734*Q1734</f>
        <v>252.45000000000002</v>
      </c>
      <c r="S1734" s="925">
        <f ca="1">$B1734*Elec_Rates!$T$437</f>
        <v>0.09</v>
      </c>
      <c r="T1734" s="917">
        <f ca="1">$A1734*S1734</f>
        <v>4.05</v>
      </c>
      <c r="U1734" s="926"/>
      <c r="AR1734" s="919">
        <v>45</v>
      </c>
      <c r="AS1734" s="921" t="s">
        <v>2599</v>
      </c>
    </row>
    <row r="1735" spans="1:45" s="520" customFormat="1" ht="12">
      <c r="A1735" s="758"/>
      <c r="B1735" s="758"/>
      <c r="C1735" s="758"/>
      <c r="D1735" s="758"/>
      <c r="E1735" s="758"/>
      <c r="F1735" s="753"/>
      <c r="G1735" s="758"/>
      <c r="H1735" s="758"/>
      <c r="I1735" s="519"/>
      <c r="J1735" s="758"/>
      <c r="K1735" s="758"/>
      <c r="L1735" s="758"/>
      <c r="M1735" s="758"/>
      <c r="N1735" s="758"/>
      <c r="O1735" s="758"/>
      <c r="P1735" s="758"/>
      <c r="Q1735" s="519"/>
      <c r="R1735" s="759">
        <f>$A1735*Q1735</f>
        <v>0</v>
      </c>
      <c r="S1735" s="519"/>
      <c r="T1735" s="760">
        <f>$A1735*S1735*$T$1</f>
        <v>0</v>
      </c>
      <c r="AR1735" s="758"/>
      <c r="AS1735" s="753"/>
    </row>
    <row r="1736" spans="1:45" s="520" customFormat="1" ht="12.6" thickBot="1">
      <c r="A1736" s="761" t="s">
        <v>145</v>
      </c>
      <c r="B1736" s="762">
        <f>(R1735+T1735)</f>
        <v>0</v>
      </c>
      <c r="C1736" s="763"/>
      <c r="D1736" s="763"/>
      <c r="E1736" s="763"/>
      <c r="F1736" s="764"/>
      <c r="G1736" s="763" t="s">
        <v>146</v>
      </c>
      <c r="H1736" s="763"/>
      <c r="I1736" s="765"/>
      <c r="J1736" s="763"/>
      <c r="K1736" s="763" t="s">
        <v>3</v>
      </c>
      <c r="L1736" s="766" t="s">
        <v>143</v>
      </c>
      <c r="M1736" s="766"/>
      <c r="N1736" s="766"/>
      <c r="O1736" s="766"/>
      <c r="P1736" s="766"/>
      <c r="Q1736" s="767"/>
      <c r="R1736" s="768">
        <f ca="1">SUM(R1732:R1735)</f>
        <v>252.45000000000002</v>
      </c>
      <c r="S1736" s="763"/>
      <c r="T1736" s="768">
        <f ca="1">SUM(T1732:T1735)</f>
        <v>4.05</v>
      </c>
      <c r="U1736" s="531"/>
      <c r="V1736" s="531"/>
      <c r="W1736" s="531"/>
      <c r="X1736" s="531"/>
      <c r="Y1736" s="531"/>
      <c r="Z1736" s="531"/>
      <c r="AA1736" s="531"/>
      <c r="AB1736" s="531"/>
      <c r="AC1736" s="531"/>
      <c r="AD1736" s="531"/>
      <c r="AE1736" s="531"/>
      <c r="AF1736" s="531"/>
      <c r="AG1736" s="531"/>
      <c r="AH1736" s="531"/>
      <c r="AI1736" s="531"/>
      <c r="AJ1736" s="531"/>
      <c r="AK1736" s="531"/>
      <c r="AL1736" s="531"/>
      <c r="AM1736" s="531"/>
      <c r="AN1736" s="531"/>
      <c r="AO1736" s="531"/>
      <c r="AR1736" s="761" t="s">
        <v>145</v>
      </c>
      <c r="AS1736" s="764"/>
    </row>
    <row r="1737" spans="1:45" s="520" customFormat="1" ht="12" thickTop="1">
      <c r="A1737" s="51"/>
      <c r="B1737" s="41"/>
      <c r="C1737" s="51"/>
      <c r="E1737" s="42" t="s">
        <v>138</v>
      </c>
      <c r="F1737" s="42" t="s">
        <v>139</v>
      </c>
      <c r="G1737" s="51"/>
      <c r="H1737" s="51"/>
      <c r="I1737" s="51"/>
      <c r="J1737" s="51"/>
      <c r="K1737" s="51" t="s">
        <v>140</v>
      </c>
      <c r="L1737" s="51"/>
      <c r="M1737" s="51"/>
      <c r="N1737" s="51"/>
      <c r="O1737" s="52"/>
      <c r="P1737" s="51"/>
      <c r="Q1737" s="51"/>
      <c r="R1737" s="51"/>
      <c r="S1737" s="51"/>
      <c r="T1737" s="41"/>
      <c r="AG1737" s="521" t="s">
        <v>268</v>
      </c>
      <c r="AH1737" s="521" t="s">
        <v>269</v>
      </c>
      <c r="AI1737" s="521" t="s">
        <v>270</v>
      </c>
      <c r="AJ1737" s="521" t="s">
        <v>271</v>
      </c>
      <c r="AK1737" s="521" t="s">
        <v>272</v>
      </c>
      <c r="AM1737" s="745" t="s">
        <v>281</v>
      </c>
      <c r="AN1737" s="746" t="s">
        <v>282</v>
      </c>
      <c r="AO1737" s="522" t="s">
        <v>278</v>
      </c>
      <c r="AR1737" s="51"/>
      <c r="AS1737" s="42" t="s">
        <v>139</v>
      </c>
    </row>
    <row r="1738" spans="1:45" s="520" customFormat="1" ht="12" customHeight="1">
      <c r="A1738" s="747">
        <v>60</v>
      </c>
      <c r="B1738" s="523" t="s">
        <v>320</v>
      </c>
      <c r="C1738" s="748"/>
      <c r="D1738" s="749" t="s">
        <v>1370</v>
      </c>
      <c r="E1738" s="750">
        <f ca="1">IF(AND($A1738=0,$A$1="DIF"),0, ROUND(ROUND(($R1743*$S$2+($T1743*$T$2))/A1738,2)*$C$2,2))</f>
        <v>0</v>
      </c>
      <c r="F1738" s="751">
        <f ca="1">ROUND($A1738*$E1738,2)</f>
        <v>0</v>
      </c>
      <c r="G1738" s="752" t="s">
        <v>142</v>
      </c>
      <c r="H1738" s="753"/>
      <c r="I1738" s="754"/>
      <c r="J1738" s="753"/>
      <c r="K1738" s="753" t="s">
        <v>3</v>
      </c>
      <c r="L1738" s="755" t="s">
        <v>143</v>
      </c>
      <c r="M1738" s="755"/>
      <c r="N1738" s="755"/>
      <c r="O1738" s="755"/>
      <c r="P1738" s="755"/>
      <c r="Q1738" s="1058" t="s">
        <v>3848</v>
      </c>
      <c r="T1738" s="756" t="str">
        <f ca="1">IF(AND($R1743=0,$T1743=0),"0.00","mu :" &amp; ROUND($F1738/$C$2/($R1743+$T1743*$D$9),2))</f>
        <v>0.00</v>
      </c>
      <c r="W1738" s="524"/>
      <c r="AG1738" s="481">
        <f ca="1">IF($E1738=0,0,ROUND($R1743*$S$2*$C$2/$A1738,2))</f>
        <v>0</v>
      </c>
      <c r="AH1738" s="481">
        <f ca="1">$AG1738*$A1738</f>
        <v>0</v>
      </c>
      <c r="AI1738" s="525">
        <f ca="1">$E1738-$AG1738</f>
        <v>0</v>
      </c>
      <c r="AJ1738" s="525">
        <f ca="1">$A1738*$AI1738</f>
        <v>0</v>
      </c>
      <c r="AK1738" s="526">
        <f ca="1">ROUND(($AG1738+$AI1738)*$A1738,2)</f>
        <v>0</v>
      </c>
      <c r="AM1738" s="527">
        <f ca="1">ROUND(R1743,2)</f>
        <v>0</v>
      </c>
      <c r="AN1738" s="528">
        <f ca="1">ROUND(T1743,2)</f>
        <v>0</v>
      </c>
      <c r="AO1738" s="529">
        <f ca="1">ROUND(AM1738+AN1738,2)*A1738</f>
        <v>0</v>
      </c>
      <c r="AR1738" s="747">
        <v>60</v>
      </c>
      <c r="AS1738" s="751">
        <v>617.4</v>
      </c>
    </row>
    <row r="1739" spans="1:45" s="520" customFormat="1" ht="13.2">
      <c r="A1739" s="748"/>
      <c r="B1739"/>
      <c r="C1739" s="748"/>
      <c r="D1739" s="749" t="s">
        <v>1371</v>
      </c>
      <c r="F1739" s="753"/>
      <c r="G1739" s="3"/>
      <c r="H1739" s="753"/>
      <c r="I1739" s="754"/>
      <c r="J1739" s="753"/>
      <c r="K1739" s="753" t="s">
        <v>144</v>
      </c>
      <c r="L1739" s="753"/>
      <c r="M1739" s="753"/>
      <c r="N1739" s="753"/>
      <c r="O1739" s="753"/>
      <c r="P1739" s="753"/>
      <c r="Q1739" s="51"/>
      <c r="R1739" s="530"/>
      <c r="S1739" s="757"/>
      <c r="T1739" s="753"/>
      <c r="AR1739" s="748"/>
      <c r="AS1739" s="753"/>
    </row>
    <row r="1740" spans="1:45" s="1336" customFormat="1" ht="13.2">
      <c r="A1740" s="1086"/>
      <c r="B1740" s="1328"/>
      <c r="C1740" s="1328" t="s">
        <v>2597</v>
      </c>
      <c r="D1740" s="1328" t="str">
        <f ca="1">CELL("Address",Elec_Rates!D$437)</f>
        <v>[E25_0062_Quintano_Foods_Elec_ELV_As_Awarded.xlsx]Elec_Rates!$D$437</v>
      </c>
      <c r="E1740" s="1060"/>
      <c r="F1740" s="1060"/>
      <c r="G1740" s="1329" t="s">
        <v>2598</v>
      </c>
      <c r="H1740" s="1329"/>
      <c r="I1740" s="1329"/>
      <c r="J1740" s="1329"/>
      <c r="K1740" s="1330"/>
      <c r="L1740" s="1060"/>
      <c r="M1740" s="1060"/>
      <c r="N1740" s="1060"/>
      <c r="O1740" s="1331"/>
      <c r="P1740" s="1060"/>
      <c r="Q1740" s="1332"/>
      <c r="R1740" s="1333"/>
      <c r="S1740" s="1332"/>
      <c r="T1740" s="1334"/>
      <c r="U1740" s="1335"/>
      <c r="AR1740" s="1086"/>
      <c r="AS1740" s="1060"/>
    </row>
    <row r="1741" spans="1:45" s="1336" customFormat="1" ht="11.4">
      <c r="A1741" s="1337">
        <v>0</v>
      </c>
      <c r="B1741" s="1338">
        <v>1</v>
      </c>
      <c r="C1741" s="1338">
        <f>$A1741*$B1741</f>
        <v>0</v>
      </c>
      <c r="D1741" s="1339" t="str">
        <f>Elec_Rates!$D$437</f>
        <v>042# 5 x 6mm2 XLPE/SWA/LSZH</v>
      </c>
      <c r="E1741" s="1339"/>
      <c r="F1741" s="1339" t="s">
        <v>2599</v>
      </c>
      <c r="G1741" s="1340" t="s">
        <v>2601</v>
      </c>
      <c r="H1741" s="1340"/>
      <c r="I1741" s="1340"/>
      <c r="J1741" s="1340"/>
      <c r="K1741" s="1341"/>
      <c r="L1741" s="1335"/>
      <c r="M1741" s="1335"/>
      <c r="N1741" s="1335"/>
      <c r="O1741" s="1342"/>
      <c r="P1741" s="1339"/>
      <c r="Q1741" s="1343">
        <f ca="1">$B1741*Elec_Rates!$R$437</f>
        <v>5.61</v>
      </c>
      <c r="R1741" s="1333">
        <f ca="1">$A1741*Q1741</f>
        <v>0</v>
      </c>
      <c r="S1741" s="1343">
        <f ca="1">$B1741*Elec_Rates!$T$437</f>
        <v>0.09</v>
      </c>
      <c r="T1741" s="1334">
        <f ca="1">$A1741*S1741</f>
        <v>0</v>
      </c>
      <c r="U1741" s="1344"/>
      <c r="AR1741" s="1337">
        <v>60</v>
      </c>
      <c r="AS1741" s="1339" t="s">
        <v>2599</v>
      </c>
    </row>
    <row r="1742" spans="1:45" s="520" customFormat="1" ht="12">
      <c r="A1742" s="758"/>
      <c r="B1742" s="758"/>
      <c r="C1742" s="758"/>
      <c r="D1742" s="758"/>
      <c r="E1742" s="758"/>
      <c r="F1742" s="753"/>
      <c r="G1742" s="758"/>
      <c r="H1742" s="758"/>
      <c r="I1742" s="519"/>
      <c r="J1742" s="758"/>
      <c r="K1742" s="758"/>
      <c r="L1742" s="758"/>
      <c r="M1742" s="758"/>
      <c r="N1742" s="758"/>
      <c r="O1742" s="758"/>
      <c r="P1742" s="758"/>
      <c r="Q1742" s="519"/>
      <c r="R1742" s="759">
        <f>$A1742*Q1742</f>
        <v>0</v>
      </c>
      <c r="S1742" s="519"/>
      <c r="T1742" s="760">
        <f>$A1742*S1742*$T$1</f>
        <v>0</v>
      </c>
      <c r="AR1742" s="758"/>
      <c r="AS1742" s="753"/>
    </row>
    <row r="1743" spans="1:45" s="520" customFormat="1" ht="12.6" thickBot="1">
      <c r="A1743" s="761" t="s">
        <v>145</v>
      </c>
      <c r="B1743" s="762">
        <f>(R1742+T1742)</f>
        <v>0</v>
      </c>
      <c r="C1743" s="763"/>
      <c r="D1743" s="763"/>
      <c r="E1743" s="763"/>
      <c r="F1743" s="764"/>
      <c r="G1743" s="763" t="s">
        <v>146</v>
      </c>
      <c r="H1743" s="763"/>
      <c r="I1743" s="765"/>
      <c r="J1743" s="763"/>
      <c r="K1743" s="763" t="s">
        <v>3</v>
      </c>
      <c r="L1743" s="766" t="s">
        <v>143</v>
      </c>
      <c r="M1743" s="766"/>
      <c r="N1743" s="766"/>
      <c r="O1743" s="766"/>
      <c r="P1743" s="766"/>
      <c r="Q1743" s="767"/>
      <c r="R1743" s="768">
        <f ca="1">SUM(R1739:R1742)</f>
        <v>0</v>
      </c>
      <c r="S1743" s="763"/>
      <c r="T1743" s="768">
        <f ca="1">SUM(T1739:T1742)</f>
        <v>0</v>
      </c>
      <c r="U1743" s="531"/>
      <c r="V1743" s="531"/>
      <c r="W1743" s="531"/>
      <c r="X1743" s="531"/>
      <c r="Y1743" s="531"/>
      <c r="Z1743" s="531"/>
      <c r="AA1743" s="531"/>
      <c r="AB1743" s="531"/>
      <c r="AC1743" s="531"/>
      <c r="AD1743" s="531"/>
      <c r="AE1743" s="531"/>
      <c r="AF1743" s="531"/>
      <c r="AG1743" s="531"/>
      <c r="AH1743" s="531"/>
      <c r="AI1743" s="531"/>
      <c r="AJ1743" s="531"/>
      <c r="AK1743" s="531"/>
      <c r="AL1743" s="531"/>
      <c r="AM1743" s="531"/>
      <c r="AN1743" s="531"/>
      <c r="AO1743" s="531"/>
      <c r="AR1743" s="761" t="s">
        <v>145</v>
      </c>
      <c r="AS1743" s="764"/>
    </row>
    <row r="1744" spans="1:45" s="520" customFormat="1" ht="12" thickTop="1">
      <c r="A1744" s="51"/>
      <c r="B1744" s="41"/>
      <c r="C1744" s="51"/>
      <c r="E1744" s="42" t="s">
        <v>138</v>
      </c>
      <c r="F1744" s="42" t="s">
        <v>139</v>
      </c>
      <c r="G1744" s="51"/>
      <c r="H1744" s="51"/>
      <c r="I1744" s="51"/>
      <c r="J1744" s="51"/>
      <c r="K1744" s="51" t="s">
        <v>140</v>
      </c>
      <c r="L1744" s="51"/>
      <c r="M1744" s="51"/>
      <c r="N1744" s="51"/>
      <c r="O1744" s="52"/>
      <c r="P1744" s="51"/>
      <c r="Q1744" s="51"/>
      <c r="R1744" s="51"/>
      <c r="S1744" s="51"/>
      <c r="T1744" s="41"/>
      <c r="AG1744" s="521" t="s">
        <v>268</v>
      </c>
      <c r="AH1744" s="521" t="s">
        <v>269</v>
      </c>
      <c r="AI1744" s="521" t="s">
        <v>270</v>
      </c>
      <c r="AJ1744" s="521" t="s">
        <v>271</v>
      </c>
      <c r="AK1744" s="521" t="s">
        <v>272</v>
      </c>
      <c r="AM1744" s="745" t="s">
        <v>281</v>
      </c>
      <c r="AN1744" s="746" t="s">
        <v>282</v>
      </c>
      <c r="AO1744" s="522" t="s">
        <v>278</v>
      </c>
      <c r="AR1744" s="51"/>
      <c r="AS1744" s="42" t="s">
        <v>139</v>
      </c>
    </row>
    <row r="1745" spans="1:45" s="520" customFormat="1" ht="12" customHeight="1">
      <c r="A1745" s="747">
        <v>55</v>
      </c>
      <c r="B1745" s="523" t="s">
        <v>320</v>
      </c>
      <c r="C1745" s="748"/>
      <c r="D1745" s="749" t="s">
        <v>1372</v>
      </c>
      <c r="E1745" s="750">
        <f ca="1">IF(AND($A1745=0,$A$1="DIF"),0, ROUND(ROUND(($R1750*$S$2+($T1750*$T$2))/A1745,2)*$C$2,2))</f>
        <v>9.9499999999999993</v>
      </c>
      <c r="F1745" s="751">
        <f ca="1">ROUND($A1745*$E1745,2)</f>
        <v>547.25</v>
      </c>
      <c r="G1745" s="752" t="s">
        <v>142</v>
      </c>
      <c r="H1745" s="753"/>
      <c r="I1745" s="754"/>
      <c r="J1745" s="753"/>
      <c r="K1745" s="753" t="s">
        <v>3</v>
      </c>
      <c r="L1745" s="755" t="s">
        <v>143</v>
      </c>
      <c r="M1745" s="755"/>
      <c r="N1745" s="755"/>
      <c r="O1745" s="755"/>
      <c r="P1745" s="755"/>
      <c r="Q1745" s="51"/>
      <c r="T1745" s="756" t="str">
        <f ca="1">IF(AND($R1750=0,$T1750=0),"0.00","mu :" &amp; ROUND($F1745/$C$2/($R1750+$T1750*$D$9),2))</f>
        <v>mu :1.23</v>
      </c>
      <c r="W1745" s="524"/>
      <c r="AG1745" s="481">
        <f ca="1">IF($E1745=0,0,ROUND($R1750*$S$2*$C$2/$A1745,2))</f>
        <v>6.91</v>
      </c>
      <c r="AH1745" s="481">
        <f ca="1">$AG1745*$A1745</f>
        <v>380.05</v>
      </c>
      <c r="AI1745" s="525">
        <f ca="1">$E1745-$AG1745</f>
        <v>3.0399999999999991</v>
      </c>
      <c r="AJ1745" s="525">
        <f ca="1">$A1745*$AI1745</f>
        <v>167.19999999999996</v>
      </c>
      <c r="AK1745" s="526">
        <f ca="1">ROUND(($AG1745+$AI1745)*$A1745,2)</f>
        <v>547.25</v>
      </c>
      <c r="AM1745" s="527">
        <f ca="1">ROUND(R1750,2)</f>
        <v>308.55</v>
      </c>
      <c r="AN1745" s="528">
        <f ca="1">ROUND(T1750,2)</f>
        <v>4.95</v>
      </c>
      <c r="AO1745" s="529">
        <f ca="1">ROUND(AM1745+AN1745,2)*A1745</f>
        <v>17242.5</v>
      </c>
      <c r="AR1745" s="747">
        <v>55</v>
      </c>
      <c r="AS1745" s="751">
        <v>565.95000000000005</v>
      </c>
    </row>
    <row r="1746" spans="1:45" s="520" customFormat="1" ht="13.2">
      <c r="A1746" s="748"/>
      <c r="B1746"/>
      <c r="C1746" s="748"/>
      <c r="D1746" s="749" t="s">
        <v>1373</v>
      </c>
      <c r="F1746" s="753"/>
      <c r="G1746" s="3"/>
      <c r="H1746" s="753"/>
      <c r="I1746" s="754"/>
      <c r="J1746" s="753"/>
      <c r="K1746" s="753" t="s">
        <v>144</v>
      </c>
      <c r="L1746" s="753"/>
      <c r="M1746" s="753"/>
      <c r="N1746" s="753"/>
      <c r="O1746" s="753"/>
      <c r="P1746" s="753"/>
      <c r="Q1746" s="51"/>
      <c r="R1746" s="530"/>
      <c r="S1746" s="757"/>
      <c r="T1746" s="753"/>
      <c r="AR1746" s="748"/>
      <c r="AS1746" s="753"/>
    </row>
    <row r="1747" spans="1:45" s="886" customFormat="1" ht="13.2">
      <c r="A1747"/>
      <c r="B1747" s="910"/>
      <c r="C1747" s="910" t="s">
        <v>2597</v>
      </c>
      <c r="D1747" s="910" t="str">
        <f ca="1">CELL("Address",Elec_Rates!D$437)</f>
        <v>[E25_0062_Quintano_Foods_Elec_ELV_As_Awarded.xlsx]Elec_Rates!$D$437</v>
      </c>
      <c r="E1747" s="911"/>
      <c r="F1747" s="911"/>
      <c r="G1747" s="912" t="s">
        <v>2598</v>
      </c>
      <c r="H1747" s="912"/>
      <c r="I1747" s="912"/>
      <c r="J1747" s="912"/>
      <c r="K1747" s="913"/>
      <c r="L1747" s="911"/>
      <c r="M1747" s="911"/>
      <c r="N1747" s="911"/>
      <c r="O1747" s="914"/>
      <c r="P1747" s="911"/>
      <c r="Q1747" s="915"/>
      <c r="R1747" s="916"/>
      <c r="S1747" s="915"/>
      <c r="T1747" s="917"/>
      <c r="U1747" s="918"/>
      <c r="AR1747"/>
      <c r="AS1747" s="911"/>
    </row>
    <row r="1748" spans="1:45" s="886" customFormat="1" ht="11.4">
      <c r="A1748" s="919">
        <v>55</v>
      </c>
      <c r="B1748" s="920">
        <v>1</v>
      </c>
      <c r="C1748" s="920">
        <f>$A1748*$B1748</f>
        <v>55</v>
      </c>
      <c r="D1748" s="921" t="str">
        <f>Elec_Rates!$D$437</f>
        <v>042# 5 x 6mm2 XLPE/SWA/LSZH</v>
      </c>
      <c r="E1748" s="921"/>
      <c r="F1748" s="921" t="s">
        <v>2599</v>
      </c>
      <c r="G1748" s="922" t="s">
        <v>2601</v>
      </c>
      <c r="H1748" s="922"/>
      <c r="I1748" s="922"/>
      <c r="J1748" s="922"/>
      <c r="K1748" s="923"/>
      <c r="L1748" s="918"/>
      <c r="M1748" s="918"/>
      <c r="N1748" s="918"/>
      <c r="O1748" s="924"/>
      <c r="P1748" s="921"/>
      <c r="Q1748" s="925">
        <f ca="1">$B1748*Elec_Rates!$R$437</f>
        <v>5.61</v>
      </c>
      <c r="R1748" s="916">
        <f ca="1">$A1748*Q1748</f>
        <v>308.55</v>
      </c>
      <c r="S1748" s="925">
        <f ca="1">$B1748*Elec_Rates!$T$437</f>
        <v>0.09</v>
      </c>
      <c r="T1748" s="917">
        <f ca="1">$A1748*S1748</f>
        <v>4.95</v>
      </c>
      <c r="U1748" s="926"/>
      <c r="AR1748" s="919">
        <v>55</v>
      </c>
      <c r="AS1748" s="921" t="s">
        <v>2599</v>
      </c>
    </row>
    <row r="1749" spans="1:45" s="520" customFormat="1" ht="12">
      <c r="A1749" s="758"/>
      <c r="B1749" s="758"/>
      <c r="C1749" s="758"/>
      <c r="D1749" s="758"/>
      <c r="E1749" s="758"/>
      <c r="F1749" s="753"/>
      <c r="G1749" s="758"/>
      <c r="H1749" s="758"/>
      <c r="I1749" s="519"/>
      <c r="J1749" s="758"/>
      <c r="K1749" s="758"/>
      <c r="L1749" s="758"/>
      <c r="M1749" s="758"/>
      <c r="N1749" s="758"/>
      <c r="O1749" s="758"/>
      <c r="P1749" s="758"/>
      <c r="Q1749" s="519"/>
      <c r="R1749" s="759">
        <f>$A1749*Q1749</f>
        <v>0</v>
      </c>
      <c r="S1749" s="519"/>
      <c r="T1749" s="760">
        <f>$A1749*S1749*$T$1</f>
        <v>0</v>
      </c>
      <c r="AR1749" s="758"/>
      <c r="AS1749" s="753"/>
    </row>
    <row r="1750" spans="1:45" s="520" customFormat="1" ht="12.6" thickBot="1">
      <c r="A1750" s="761" t="s">
        <v>145</v>
      </c>
      <c r="B1750" s="762">
        <f>(R1749+T1749)</f>
        <v>0</v>
      </c>
      <c r="C1750" s="763"/>
      <c r="D1750" s="763"/>
      <c r="E1750" s="763"/>
      <c r="F1750" s="764"/>
      <c r="G1750" s="763" t="s">
        <v>146</v>
      </c>
      <c r="H1750" s="763"/>
      <c r="I1750" s="765"/>
      <c r="J1750" s="763"/>
      <c r="K1750" s="763" t="s">
        <v>3</v>
      </c>
      <c r="L1750" s="766" t="s">
        <v>143</v>
      </c>
      <c r="M1750" s="766"/>
      <c r="N1750" s="766"/>
      <c r="O1750" s="766"/>
      <c r="P1750" s="766"/>
      <c r="Q1750" s="767"/>
      <c r="R1750" s="768">
        <f ca="1">SUM(R1746:R1749)</f>
        <v>308.55</v>
      </c>
      <c r="S1750" s="763"/>
      <c r="T1750" s="768">
        <f ca="1">SUM(T1746:T1749)</f>
        <v>4.95</v>
      </c>
      <c r="U1750" s="531"/>
      <c r="V1750" s="531"/>
      <c r="W1750" s="531"/>
      <c r="X1750" s="531"/>
      <c r="Y1750" s="531"/>
      <c r="Z1750" s="531"/>
      <c r="AA1750" s="531"/>
      <c r="AB1750" s="531"/>
      <c r="AC1750" s="531"/>
      <c r="AD1750" s="531"/>
      <c r="AE1750" s="531"/>
      <c r="AF1750" s="531"/>
      <c r="AG1750" s="531"/>
      <c r="AH1750" s="531"/>
      <c r="AI1750" s="531"/>
      <c r="AJ1750" s="531"/>
      <c r="AK1750" s="531"/>
      <c r="AL1750" s="531"/>
      <c r="AM1750" s="531"/>
      <c r="AN1750" s="531"/>
      <c r="AO1750" s="531"/>
      <c r="AR1750" s="761" t="s">
        <v>145</v>
      </c>
      <c r="AS1750" s="764"/>
    </row>
    <row r="1751" spans="1:45" s="520" customFormat="1" ht="12" thickTop="1">
      <c r="A1751" s="51"/>
      <c r="B1751" s="41"/>
      <c r="C1751" s="51"/>
      <c r="E1751" s="42" t="s">
        <v>138</v>
      </c>
      <c r="F1751" s="42" t="s">
        <v>139</v>
      </c>
      <c r="G1751" s="51"/>
      <c r="H1751" s="51"/>
      <c r="I1751" s="51"/>
      <c r="J1751" s="51"/>
      <c r="K1751" s="51" t="s">
        <v>140</v>
      </c>
      <c r="L1751" s="51"/>
      <c r="M1751" s="51"/>
      <c r="N1751" s="51"/>
      <c r="O1751" s="52"/>
      <c r="P1751" s="51"/>
      <c r="Q1751" s="51"/>
      <c r="R1751" s="51"/>
      <c r="S1751" s="51"/>
      <c r="T1751" s="41"/>
      <c r="AG1751" s="521" t="s">
        <v>268</v>
      </c>
      <c r="AH1751" s="521" t="s">
        <v>269</v>
      </c>
      <c r="AI1751" s="521" t="s">
        <v>270</v>
      </c>
      <c r="AJ1751" s="521" t="s">
        <v>271</v>
      </c>
      <c r="AK1751" s="521" t="s">
        <v>272</v>
      </c>
      <c r="AM1751" s="745" t="s">
        <v>281</v>
      </c>
      <c r="AN1751" s="746" t="s">
        <v>282</v>
      </c>
      <c r="AO1751" s="522" t="s">
        <v>278</v>
      </c>
      <c r="AR1751" s="51"/>
      <c r="AS1751" s="42" t="s">
        <v>139</v>
      </c>
    </row>
    <row r="1752" spans="1:45" s="520" customFormat="1" ht="12" customHeight="1">
      <c r="A1752" s="747">
        <v>55</v>
      </c>
      <c r="B1752" s="523" t="s">
        <v>320</v>
      </c>
      <c r="C1752" s="748"/>
      <c r="D1752" s="749" t="s">
        <v>1374</v>
      </c>
      <c r="E1752" s="750">
        <f ca="1">IF(AND($A1752=0,$A$1="DIF"),0, ROUND(ROUND(($R1757*$S$2+($T1757*$T$2))/A1752,2)*$C$2,2))</f>
        <v>0</v>
      </c>
      <c r="F1752" s="751">
        <f ca="1">ROUND($A1752*$E1752,2)</f>
        <v>0</v>
      </c>
      <c r="G1752" s="752" t="s">
        <v>142</v>
      </c>
      <c r="H1752" s="753"/>
      <c r="I1752" s="754"/>
      <c r="J1752" s="753"/>
      <c r="K1752" s="753" t="s">
        <v>3</v>
      </c>
      <c r="L1752" s="755" t="s">
        <v>143</v>
      </c>
      <c r="M1752" s="755"/>
      <c r="N1752" s="755"/>
      <c r="O1752" s="755"/>
      <c r="P1752" s="755"/>
      <c r="Q1752" s="1058" t="s">
        <v>3848</v>
      </c>
      <c r="T1752" s="756" t="str">
        <f ca="1">IF(AND($R1757=0,$T1757=0),"0.00","mu :" &amp; ROUND($F1752/$C$2/($R1757+$T1757*$D$9),2))</f>
        <v>0.00</v>
      </c>
      <c r="W1752" s="524"/>
      <c r="AG1752" s="481">
        <f ca="1">IF($E1752=0,0,ROUND($R1757*$S$2*$C$2/$A1752,2))</f>
        <v>0</v>
      </c>
      <c r="AH1752" s="481">
        <f ca="1">$AG1752*$A1752</f>
        <v>0</v>
      </c>
      <c r="AI1752" s="525">
        <f ca="1">$E1752-$AG1752</f>
        <v>0</v>
      </c>
      <c r="AJ1752" s="525">
        <f ca="1">$A1752*$AI1752</f>
        <v>0</v>
      </c>
      <c r="AK1752" s="526">
        <f ca="1">ROUND(($AG1752+$AI1752)*$A1752,2)</f>
        <v>0</v>
      </c>
      <c r="AM1752" s="527">
        <f ca="1">ROUND(R1757,2)</f>
        <v>0</v>
      </c>
      <c r="AN1752" s="528">
        <f ca="1">ROUND(T1757,2)</f>
        <v>0</v>
      </c>
      <c r="AO1752" s="529">
        <f ca="1">ROUND(AM1752+AN1752,2)*A1752</f>
        <v>0</v>
      </c>
      <c r="AR1752" s="747">
        <v>55</v>
      </c>
      <c r="AS1752" s="751">
        <v>565.95000000000005</v>
      </c>
    </row>
    <row r="1753" spans="1:45" s="520" customFormat="1" ht="13.2">
      <c r="A1753" s="748"/>
      <c r="B1753"/>
      <c r="C1753" s="748"/>
      <c r="D1753" s="749" t="s">
        <v>1375</v>
      </c>
      <c r="F1753" s="753"/>
      <c r="G1753" s="3"/>
      <c r="H1753" s="753"/>
      <c r="I1753" s="754"/>
      <c r="J1753" s="753"/>
      <c r="K1753" s="753" t="s">
        <v>144</v>
      </c>
      <c r="L1753" s="753"/>
      <c r="M1753" s="753"/>
      <c r="N1753" s="753"/>
      <c r="O1753" s="753"/>
      <c r="P1753" s="753"/>
      <c r="Q1753" s="51"/>
      <c r="R1753" s="530"/>
      <c r="S1753" s="757"/>
      <c r="T1753" s="753"/>
      <c r="AR1753" s="748"/>
      <c r="AS1753" s="753"/>
    </row>
    <row r="1754" spans="1:45" s="1336" customFormat="1" ht="13.2">
      <c r="A1754" s="1086"/>
      <c r="B1754" s="1328"/>
      <c r="C1754" s="1328" t="s">
        <v>2597</v>
      </c>
      <c r="D1754" s="1328" t="str">
        <f ca="1">CELL("Address",Elec_Rates!D$437)</f>
        <v>[E25_0062_Quintano_Foods_Elec_ELV_As_Awarded.xlsx]Elec_Rates!$D$437</v>
      </c>
      <c r="E1754" s="1060"/>
      <c r="F1754" s="1060"/>
      <c r="G1754" s="1329" t="s">
        <v>2598</v>
      </c>
      <c r="H1754" s="1329"/>
      <c r="I1754" s="1329"/>
      <c r="J1754" s="1329"/>
      <c r="K1754" s="1330"/>
      <c r="L1754" s="1060"/>
      <c r="M1754" s="1060"/>
      <c r="N1754" s="1060"/>
      <c r="O1754" s="1331"/>
      <c r="P1754" s="1060"/>
      <c r="Q1754" s="1332"/>
      <c r="R1754" s="1333"/>
      <c r="S1754" s="1332"/>
      <c r="T1754" s="1334"/>
      <c r="U1754" s="1335"/>
      <c r="AR1754" s="1086"/>
      <c r="AS1754" s="1060"/>
    </row>
    <row r="1755" spans="1:45" s="1336" customFormat="1" ht="11.4">
      <c r="A1755" s="1337">
        <v>0</v>
      </c>
      <c r="B1755" s="1338">
        <v>1</v>
      </c>
      <c r="C1755" s="1338">
        <f>$A1755*$B1755</f>
        <v>0</v>
      </c>
      <c r="D1755" s="1339" t="str">
        <f>Elec_Rates!$D$437</f>
        <v>042# 5 x 6mm2 XLPE/SWA/LSZH</v>
      </c>
      <c r="E1755" s="1339"/>
      <c r="F1755" s="1339" t="s">
        <v>2599</v>
      </c>
      <c r="G1755" s="1340" t="s">
        <v>2601</v>
      </c>
      <c r="H1755" s="1340"/>
      <c r="I1755" s="1340"/>
      <c r="J1755" s="1340"/>
      <c r="K1755" s="1341"/>
      <c r="L1755" s="1335"/>
      <c r="M1755" s="1335"/>
      <c r="N1755" s="1335"/>
      <c r="O1755" s="1342"/>
      <c r="P1755" s="1339"/>
      <c r="Q1755" s="1343">
        <f ca="1">$B1755*Elec_Rates!$R$437</f>
        <v>5.61</v>
      </c>
      <c r="R1755" s="1333">
        <f ca="1">$A1755*Q1755</f>
        <v>0</v>
      </c>
      <c r="S1755" s="1343">
        <f ca="1">$B1755*Elec_Rates!$T$437</f>
        <v>0.09</v>
      </c>
      <c r="T1755" s="1334">
        <f ca="1">$A1755*S1755</f>
        <v>0</v>
      </c>
      <c r="U1755" s="1344"/>
      <c r="AR1755" s="1337">
        <v>55</v>
      </c>
      <c r="AS1755" s="1339" t="s">
        <v>2599</v>
      </c>
    </row>
    <row r="1756" spans="1:45" s="520" customFormat="1" ht="12">
      <c r="A1756" s="758"/>
      <c r="B1756" s="758"/>
      <c r="C1756" s="758"/>
      <c r="D1756" s="758"/>
      <c r="E1756" s="758"/>
      <c r="F1756" s="753"/>
      <c r="G1756" s="758"/>
      <c r="H1756" s="758"/>
      <c r="I1756" s="519"/>
      <c r="J1756" s="758"/>
      <c r="K1756" s="758"/>
      <c r="L1756" s="758"/>
      <c r="M1756" s="758"/>
      <c r="N1756" s="758"/>
      <c r="O1756" s="758"/>
      <c r="P1756" s="758"/>
      <c r="Q1756" s="519"/>
      <c r="R1756" s="759">
        <f>$A1756*Q1756</f>
        <v>0</v>
      </c>
      <c r="S1756" s="519"/>
      <c r="T1756" s="760">
        <f>$A1756*S1756*$T$1</f>
        <v>0</v>
      </c>
      <c r="AR1756" s="758"/>
      <c r="AS1756" s="753"/>
    </row>
    <row r="1757" spans="1:45" s="520" customFormat="1" ht="12.6" thickBot="1">
      <c r="A1757" s="761" t="s">
        <v>145</v>
      </c>
      <c r="B1757" s="762">
        <f>(R1756+T1756)</f>
        <v>0</v>
      </c>
      <c r="C1757" s="763"/>
      <c r="D1757" s="763"/>
      <c r="E1757" s="763"/>
      <c r="F1757" s="764"/>
      <c r="G1757" s="763" t="s">
        <v>146</v>
      </c>
      <c r="H1757" s="763"/>
      <c r="I1757" s="765"/>
      <c r="J1757" s="763"/>
      <c r="K1757" s="763" t="s">
        <v>3</v>
      </c>
      <c r="L1757" s="766" t="s">
        <v>143</v>
      </c>
      <c r="M1757" s="766"/>
      <c r="N1757" s="766"/>
      <c r="O1757" s="766"/>
      <c r="P1757" s="766"/>
      <c r="Q1757" s="767"/>
      <c r="R1757" s="768">
        <f ca="1">SUM(R1753:R1756)</f>
        <v>0</v>
      </c>
      <c r="S1757" s="763"/>
      <c r="T1757" s="768">
        <f ca="1">SUM(T1753:T1756)</f>
        <v>0</v>
      </c>
      <c r="U1757" s="531"/>
      <c r="V1757" s="531"/>
      <c r="W1757" s="531"/>
      <c r="X1757" s="531"/>
      <c r="Y1757" s="531"/>
      <c r="Z1757" s="531"/>
      <c r="AA1757" s="531"/>
      <c r="AB1757" s="531"/>
      <c r="AC1757" s="531"/>
      <c r="AD1757" s="531"/>
      <c r="AE1757" s="531"/>
      <c r="AF1757" s="531"/>
      <c r="AG1757" s="531"/>
      <c r="AH1757" s="531"/>
      <c r="AI1757" s="531"/>
      <c r="AJ1757" s="531"/>
      <c r="AK1757" s="531"/>
      <c r="AL1757" s="531"/>
      <c r="AM1757" s="531"/>
      <c r="AN1757" s="531"/>
      <c r="AO1757" s="531"/>
      <c r="AR1757" s="761" t="s">
        <v>145</v>
      </c>
      <c r="AS1757" s="764"/>
    </row>
    <row r="1758" spans="1:45" s="520" customFormat="1" ht="12" thickTop="1">
      <c r="A1758" s="51"/>
      <c r="B1758" s="41"/>
      <c r="C1758" s="51"/>
      <c r="E1758" s="42" t="s">
        <v>138</v>
      </c>
      <c r="F1758" s="42" t="s">
        <v>139</v>
      </c>
      <c r="G1758" s="51"/>
      <c r="H1758" s="51"/>
      <c r="I1758" s="51"/>
      <c r="J1758" s="51"/>
      <c r="K1758" s="51" t="s">
        <v>140</v>
      </c>
      <c r="L1758" s="51"/>
      <c r="M1758" s="51"/>
      <c r="N1758" s="51"/>
      <c r="O1758" s="52"/>
      <c r="P1758" s="51"/>
      <c r="Q1758" s="51"/>
      <c r="R1758" s="51"/>
      <c r="S1758" s="51"/>
      <c r="T1758" s="41"/>
      <c r="AG1758" s="521" t="s">
        <v>268</v>
      </c>
      <c r="AH1758" s="521" t="s">
        <v>269</v>
      </c>
      <c r="AI1758" s="521" t="s">
        <v>270</v>
      </c>
      <c r="AJ1758" s="521" t="s">
        <v>271</v>
      </c>
      <c r="AK1758" s="521" t="s">
        <v>272</v>
      </c>
      <c r="AM1758" s="745" t="s">
        <v>281</v>
      </c>
      <c r="AN1758" s="746" t="s">
        <v>282</v>
      </c>
      <c r="AO1758" s="522" t="s">
        <v>278</v>
      </c>
      <c r="AR1758" s="51"/>
      <c r="AS1758" s="42" t="s">
        <v>139</v>
      </c>
    </row>
    <row r="1759" spans="1:45" s="520" customFormat="1" ht="12" customHeight="1">
      <c r="A1759" s="747">
        <v>50</v>
      </c>
      <c r="B1759" s="523" t="s">
        <v>320</v>
      </c>
      <c r="C1759" s="748"/>
      <c r="D1759" s="749" t="s">
        <v>1376</v>
      </c>
      <c r="E1759" s="750">
        <f ca="1">IF(AND($A1759=0,$A$1="DIF"),0, ROUND(ROUND(($R1764*$S$2+($T1764*$T$2))/A1759,2)*$C$2,2))</f>
        <v>9.9499999999999993</v>
      </c>
      <c r="F1759" s="751">
        <f ca="1">ROUND($A1759*$E1759,2)</f>
        <v>497.5</v>
      </c>
      <c r="G1759" s="752" t="s">
        <v>142</v>
      </c>
      <c r="H1759" s="753"/>
      <c r="I1759" s="754"/>
      <c r="J1759" s="753"/>
      <c r="K1759" s="753" t="s">
        <v>3</v>
      </c>
      <c r="L1759" s="755" t="s">
        <v>143</v>
      </c>
      <c r="M1759" s="755"/>
      <c r="N1759" s="755"/>
      <c r="O1759" s="755"/>
      <c r="P1759" s="755"/>
      <c r="T1759" s="756" t="str">
        <f ca="1">IF(AND($R1764=0,$T1764=0),"0.00","mu :" &amp; ROUND($F1759/$C$2/($R1764+$T1764*$D$9),2))</f>
        <v>mu :1.23</v>
      </c>
      <c r="W1759" s="524"/>
      <c r="AG1759" s="481">
        <f ca="1">IF($E1759=0,0,ROUND($R1764*$S$2*$C$2/$A1759,2))</f>
        <v>6.91</v>
      </c>
      <c r="AH1759" s="481">
        <f ca="1">$AG1759*$A1759</f>
        <v>345.5</v>
      </c>
      <c r="AI1759" s="525">
        <f ca="1">$E1759-$AG1759</f>
        <v>3.0399999999999991</v>
      </c>
      <c r="AJ1759" s="525">
        <f ca="1">$A1759*$AI1759</f>
        <v>151.99999999999994</v>
      </c>
      <c r="AK1759" s="526">
        <f ca="1">ROUND(($AG1759+$AI1759)*$A1759,2)</f>
        <v>497.5</v>
      </c>
      <c r="AM1759" s="527">
        <f ca="1">ROUND(R1764,2)</f>
        <v>280.5</v>
      </c>
      <c r="AN1759" s="528">
        <f ca="1">ROUND(T1764,2)</f>
        <v>4.5</v>
      </c>
      <c r="AO1759" s="529">
        <f ca="1">ROUND(AM1759+AN1759,2)*A1759</f>
        <v>14250</v>
      </c>
      <c r="AR1759" s="747">
        <v>50</v>
      </c>
      <c r="AS1759" s="751">
        <v>514.5</v>
      </c>
    </row>
    <row r="1760" spans="1:45" s="520" customFormat="1" ht="13.2">
      <c r="A1760" s="748"/>
      <c r="B1760"/>
      <c r="C1760" s="748"/>
      <c r="D1760" s="749" t="s">
        <v>1377</v>
      </c>
      <c r="F1760" s="753"/>
      <c r="G1760" s="3"/>
      <c r="H1760" s="753"/>
      <c r="I1760" s="754"/>
      <c r="J1760" s="753"/>
      <c r="K1760" s="753" t="s">
        <v>144</v>
      </c>
      <c r="L1760" s="753"/>
      <c r="M1760" s="753"/>
      <c r="N1760" s="753"/>
      <c r="O1760" s="753"/>
      <c r="P1760" s="753"/>
      <c r="Q1760" s="51"/>
      <c r="R1760" s="530"/>
      <c r="S1760" s="757"/>
      <c r="T1760" s="753"/>
      <c r="AR1760" s="748"/>
      <c r="AS1760" s="753"/>
    </row>
    <row r="1761" spans="1:45" s="886" customFormat="1" ht="13.2">
      <c r="A1761"/>
      <c r="B1761" s="910"/>
      <c r="C1761" s="910" t="s">
        <v>2597</v>
      </c>
      <c r="D1761" s="910" t="str">
        <f ca="1">CELL("Address",Elec_Rates!D$437)</f>
        <v>[E25_0062_Quintano_Foods_Elec_ELV_As_Awarded.xlsx]Elec_Rates!$D$437</v>
      </c>
      <c r="E1761" s="911"/>
      <c r="F1761" s="911"/>
      <c r="G1761" s="912" t="s">
        <v>2598</v>
      </c>
      <c r="H1761" s="912"/>
      <c r="I1761" s="912"/>
      <c r="J1761" s="912"/>
      <c r="K1761" s="913"/>
      <c r="L1761" s="911"/>
      <c r="M1761" s="911"/>
      <c r="N1761" s="911"/>
      <c r="O1761" s="914"/>
      <c r="P1761" s="911"/>
      <c r="Q1761" s="915"/>
      <c r="R1761" s="916"/>
      <c r="S1761" s="915"/>
      <c r="T1761" s="917"/>
      <c r="U1761" s="918"/>
      <c r="AR1761"/>
      <c r="AS1761" s="911"/>
    </row>
    <row r="1762" spans="1:45" s="886" customFormat="1" ht="11.4">
      <c r="A1762" s="919">
        <v>50</v>
      </c>
      <c r="B1762" s="920">
        <v>1</v>
      </c>
      <c r="C1762" s="920">
        <f>$A1762*$B1762</f>
        <v>50</v>
      </c>
      <c r="D1762" s="921" t="str">
        <f>Elec_Rates!$D$437</f>
        <v>042# 5 x 6mm2 XLPE/SWA/LSZH</v>
      </c>
      <c r="E1762" s="921"/>
      <c r="F1762" s="921" t="s">
        <v>2599</v>
      </c>
      <c r="G1762" s="922" t="s">
        <v>2601</v>
      </c>
      <c r="H1762" s="922"/>
      <c r="I1762" s="922"/>
      <c r="J1762" s="922"/>
      <c r="K1762" s="923"/>
      <c r="L1762" s="918"/>
      <c r="M1762" s="918"/>
      <c r="N1762" s="918"/>
      <c r="O1762" s="924"/>
      <c r="P1762" s="921"/>
      <c r="Q1762" s="925">
        <f ca="1">$B1762*Elec_Rates!$R$437</f>
        <v>5.61</v>
      </c>
      <c r="R1762" s="916">
        <f ca="1">$A1762*Q1762</f>
        <v>280.5</v>
      </c>
      <c r="S1762" s="925">
        <f ca="1">$B1762*Elec_Rates!$T$437</f>
        <v>0.09</v>
      </c>
      <c r="T1762" s="917">
        <f ca="1">$A1762*S1762</f>
        <v>4.5</v>
      </c>
      <c r="U1762" s="926"/>
      <c r="AR1762" s="919">
        <v>50</v>
      </c>
      <c r="AS1762" s="921" t="s">
        <v>2599</v>
      </c>
    </row>
    <row r="1763" spans="1:45" s="520" customFormat="1" ht="12">
      <c r="A1763" s="758"/>
      <c r="B1763" s="758"/>
      <c r="C1763" s="758"/>
      <c r="D1763" s="758"/>
      <c r="E1763" s="758"/>
      <c r="F1763" s="753"/>
      <c r="G1763" s="758"/>
      <c r="H1763" s="758"/>
      <c r="I1763" s="519"/>
      <c r="J1763" s="758"/>
      <c r="K1763" s="758"/>
      <c r="L1763" s="758"/>
      <c r="M1763" s="758"/>
      <c r="N1763" s="758"/>
      <c r="O1763" s="758"/>
      <c r="P1763" s="758"/>
      <c r="Q1763" s="519"/>
      <c r="R1763" s="759">
        <f>$A1763*Q1763</f>
        <v>0</v>
      </c>
      <c r="S1763" s="519"/>
      <c r="T1763" s="760">
        <f>$A1763*S1763*$T$1</f>
        <v>0</v>
      </c>
      <c r="AR1763" s="758"/>
      <c r="AS1763" s="753"/>
    </row>
    <row r="1764" spans="1:45" s="520" customFormat="1" ht="12.6" thickBot="1">
      <c r="A1764" s="761" t="s">
        <v>145</v>
      </c>
      <c r="B1764" s="762">
        <f>(R1763+T1763)</f>
        <v>0</v>
      </c>
      <c r="C1764" s="763"/>
      <c r="D1764" s="763"/>
      <c r="E1764" s="763"/>
      <c r="F1764" s="764"/>
      <c r="G1764" s="763" t="s">
        <v>146</v>
      </c>
      <c r="H1764" s="763"/>
      <c r="I1764" s="765"/>
      <c r="J1764" s="763"/>
      <c r="K1764" s="763" t="s">
        <v>3</v>
      </c>
      <c r="L1764" s="766" t="s">
        <v>143</v>
      </c>
      <c r="M1764" s="766"/>
      <c r="N1764" s="766"/>
      <c r="O1764" s="766"/>
      <c r="P1764" s="766"/>
      <c r="Q1764" s="767"/>
      <c r="R1764" s="768">
        <f ca="1">SUM(R1760:R1763)</f>
        <v>280.5</v>
      </c>
      <c r="S1764" s="763"/>
      <c r="T1764" s="768">
        <f ca="1">SUM(T1760:T1763)</f>
        <v>4.5</v>
      </c>
      <c r="U1764" s="531"/>
      <c r="V1764" s="531"/>
      <c r="W1764" s="531"/>
      <c r="X1764" s="531"/>
      <c r="Y1764" s="531"/>
      <c r="Z1764" s="531"/>
      <c r="AA1764" s="531"/>
      <c r="AB1764" s="531"/>
      <c r="AC1764" s="531"/>
      <c r="AD1764" s="531"/>
      <c r="AE1764" s="531"/>
      <c r="AF1764" s="531"/>
      <c r="AG1764" s="531"/>
      <c r="AH1764" s="531"/>
      <c r="AI1764" s="531"/>
      <c r="AJ1764" s="531"/>
      <c r="AK1764" s="531"/>
      <c r="AL1764" s="531"/>
      <c r="AM1764" s="531"/>
      <c r="AN1764" s="531"/>
      <c r="AO1764" s="531"/>
      <c r="AR1764" s="761" t="s">
        <v>145</v>
      </c>
      <c r="AS1764" s="764"/>
    </row>
    <row r="1765" spans="1:45" s="520" customFormat="1" ht="12" thickTop="1">
      <c r="A1765" s="51"/>
      <c r="B1765" s="41"/>
      <c r="C1765" s="51"/>
      <c r="E1765" s="42" t="s">
        <v>138</v>
      </c>
      <c r="F1765" s="42" t="s">
        <v>139</v>
      </c>
      <c r="G1765" s="51"/>
      <c r="H1765" s="51"/>
      <c r="I1765" s="51"/>
      <c r="J1765" s="51"/>
      <c r="K1765" s="51" t="s">
        <v>140</v>
      </c>
      <c r="L1765" s="51"/>
      <c r="M1765" s="51"/>
      <c r="N1765" s="51"/>
      <c r="O1765" s="52"/>
      <c r="P1765" s="51"/>
      <c r="Q1765" s="51"/>
      <c r="R1765" s="51"/>
      <c r="S1765" s="51"/>
      <c r="T1765" s="41"/>
      <c r="AG1765" s="521" t="s">
        <v>268</v>
      </c>
      <c r="AH1765" s="521" t="s">
        <v>269</v>
      </c>
      <c r="AI1765" s="521" t="s">
        <v>270</v>
      </c>
      <c r="AJ1765" s="521" t="s">
        <v>271</v>
      </c>
      <c r="AK1765" s="521" t="s">
        <v>272</v>
      </c>
      <c r="AM1765" s="745" t="s">
        <v>281</v>
      </c>
      <c r="AN1765" s="746" t="s">
        <v>282</v>
      </c>
      <c r="AO1765" s="522" t="s">
        <v>278</v>
      </c>
      <c r="AR1765" s="51"/>
      <c r="AS1765" s="42" t="s">
        <v>139</v>
      </c>
    </row>
    <row r="1766" spans="1:45" s="520" customFormat="1" ht="12" customHeight="1">
      <c r="A1766" s="747">
        <v>45</v>
      </c>
      <c r="B1766" s="523" t="s">
        <v>320</v>
      </c>
      <c r="C1766" s="748"/>
      <c r="D1766" s="749" t="s">
        <v>1378</v>
      </c>
      <c r="E1766" s="750">
        <f ca="1">IF(AND($A1766=0,$A$1="DIF"),0, ROUND(ROUND(($R1771*$S$2+($T1771*$T$2))/A1766,2)*$C$2,2))</f>
        <v>0</v>
      </c>
      <c r="F1766" s="751">
        <f ca="1">ROUND($A1766*$E1766,2)</f>
        <v>0</v>
      </c>
      <c r="G1766" s="752" t="s">
        <v>142</v>
      </c>
      <c r="H1766" s="753"/>
      <c r="I1766" s="754"/>
      <c r="J1766" s="753"/>
      <c r="K1766" s="753" t="s">
        <v>3</v>
      </c>
      <c r="L1766" s="755" t="s">
        <v>143</v>
      </c>
      <c r="M1766" s="755"/>
      <c r="N1766" s="755"/>
      <c r="O1766" s="755"/>
      <c r="P1766" s="755"/>
      <c r="Q1766" s="1058" t="s">
        <v>3848</v>
      </c>
      <c r="T1766" s="756" t="str">
        <f ca="1">IF(AND($R1771=0,$T1771=0),"0.00","mu :" &amp; ROUND($F1766/$C$2/($R1771+$T1771*$D$9),2))</f>
        <v>0.00</v>
      </c>
      <c r="W1766" s="524"/>
      <c r="AG1766" s="481">
        <f ca="1">IF($E1766=0,0,ROUND($R1771*$S$2*$C$2/$A1766,2))</f>
        <v>0</v>
      </c>
      <c r="AH1766" s="481">
        <f ca="1">$AG1766*$A1766</f>
        <v>0</v>
      </c>
      <c r="AI1766" s="525">
        <f ca="1">$E1766-$AG1766</f>
        <v>0</v>
      </c>
      <c r="AJ1766" s="525">
        <f ca="1">$A1766*$AI1766</f>
        <v>0</v>
      </c>
      <c r="AK1766" s="526">
        <f ca="1">ROUND(($AG1766+$AI1766)*$A1766,2)</f>
        <v>0</v>
      </c>
      <c r="AM1766" s="527">
        <f ca="1">ROUND(R1771,2)</f>
        <v>0</v>
      </c>
      <c r="AN1766" s="528">
        <f ca="1">ROUND(T1771,2)</f>
        <v>0</v>
      </c>
      <c r="AO1766" s="529">
        <f ca="1">ROUND(AM1766+AN1766,2)*A1766</f>
        <v>0</v>
      </c>
      <c r="AR1766" s="747">
        <v>45</v>
      </c>
      <c r="AS1766" s="751">
        <v>463.05</v>
      </c>
    </row>
    <row r="1767" spans="1:45" s="520" customFormat="1" ht="13.2">
      <c r="A1767" s="748"/>
      <c r="B1767"/>
      <c r="C1767" s="748"/>
      <c r="D1767" s="749" t="s">
        <v>1379</v>
      </c>
      <c r="F1767" s="753"/>
      <c r="G1767" s="3"/>
      <c r="H1767" s="753"/>
      <c r="I1767" s="754"/>
      <c r="J1767" s="753"/>
      <c r="K1767" s="753" t="s">
        <v>144</v>
      </c>
      <c r="L1767" s="753"/>
      <c r="M1767" s="753"/>
      <c r="N1767" s="753"/>
      <c r="O1767" s="753"/>
      <c r="P1767" s="753"/>
      <c r="Q1767" s="51"/>
      <c r="R1767" s="530"/>
      <c r="S1767" s="757"/>
      <c r="T1767" s="753"/>
      <c r="AR1767" s="748"/>
      <c r="AS1767" s="753"/>
    </row>
    <row r="1768" spans="1:45" s="1336" customFormat="1" ht="13.2">
      <c r="A1768" s="1086"/>
      <c r="B1768" s="1328"/>
      <c r="C1768" s="1328" t="s">
        <v>2597</v>
      </c>
      <c r="D1768" s="1328" t="str">
        <f ca="1">CELL("Address",Elec_Rates!D$437)</f>
        <v>[E25_0062_Quintano_Foods_Elec_ELV_As_Awarded.xlsx]Elec_Rates!$D$437</v>
      </c>
      <c r="E1768" s="1060"/>
      <c r="F1768" s="1060"/>
      <c r="G1768" s="1329" t="s">
        <v>2598</v>
      </c>
      <c r="H1768" s="1329"/>
      <c r="I1768" s="1329"/>
      <c r="J1768" s="1329"/>
      <c r="K1768" s="1330"/>
      <c r="L1768" s="1060"/>
      <c r="M1768" s="1060"/>
      <c r="N1768" s="1060"/>
      <c r="O1768" s="1331"/>
      <c r="P1768" s="1060"/>
      <c r="Q1768" s="1332"/>
      <c r="R1768" s="1333"/>
      <c r="S1768" s="1332"/>
      <c r="T1768" s="1334"/>
      <c r="U1768" s="1335"/>
      <c r="AR1768" s="1086"/>
      <c r="AS1768" s="1060"/>
    </row>
    <row r="1769" spans="1:45" s="1336" customFormat="1" ht="11.4">
      <c r="A1769" s="1337">
        <v>0</v>
      </c>
      <c r="B1769" s="1338">
        <v>1</v>
      </c>
      <c r="C1769" s="1338">
        <f>$A1769*$B1769</f>
        <v>0</v>
      </c>
      <c r="D1769" s="1339" t="str">
        <f>Elec_Rates!$D$437</f>
        <v>042# 5 x 6mm2 XLPE/SWA/LSZH</v>
      </c>
      <c r="E1769" s="1339"/>
      <c r="F1769" s="1339" t="s">
        <v>2599</v>
      </c>
      <c r="G1769" s="1340" t="s">
        <v>2601</v>
      </c>
      <c r="H1769" s="1340"/>
      <c r="I1769" s="1340"/>
      <c r="J1769" s="1340"/>
      <c r="K1769" s="1341"/>
      <c r="L1769" s="1335"/>
      <c r="M1769" s="1335"/>
      <c r="N1769" s="1335"/>
      <c r="O1769" s="1342"/>
      <c r="P1769" s="1339"/>
      <c r="Q1769" s="1343">
        <f ca="1">$B1769*Elec_Rates!$R$437</f>
        <v>5.61</v>
      </c>
      <c r="R1769" s="1333">
        <f ca="1">$A1769*Q1769</f>
        <v>0</v>
      </c>
      <c r="S1769" s="1343">
        <f ca="1">$B1769*Elec_Rates!$T$437</f>
        <v>0.09</v>
      </c>
      <c r="T1769" s="1334">
        <f ca="1">$A1769*S1769</f>
        <v>0</v>
      </c>
      <c r="U1769" s="1344"/>
      <c r="AR1769" s="1337">
        <v>45</v>
      </c>
      <c r="AS1769" s="1339" t="s">
        <v>2599</v>
      </c>
    </row>
    <row r="1770" spans="1:45" s="520" customFormat="1" ht="12">
      <c r="A1770" s="758"/>
      <c r="B1770" s="758"/>
      <c r="C1770" s="758"/>
      <c r="D1770" s="758"/>
      <c r="E1770" s="758"/>
      <c r="F1770" s="753"/>
      <c r="G1770" s="758"/>
      <c r="H1770" s="758"/>
      <c r="I1770" s="519"/>
      <c r="J1770" s="758"/>
      <c r="K1770" s="758"/>
      <c r="L1770" s="758"/>
      <c r="M1770" s="758"/>
      <c r="N1770" s="758"/>
      <c r="O1770" s="758"/>
      <c r="P1770" s="758"/>
      <c r="Q1770" s="519"/>
      <c r="R1770" s="759">
        <f>$A1770*Q1770</f>
        <v>0</v>
      </c>
      <c r="S1770" s="519"/>
      <c r="T1770" s="760">
        <f>$A1770*S1770*$T$1</f>
        <v>0</v>
      </c>
      <c r="AR1770" s="758"/>
      <c r="AS1770" s="753"/>
    </row>
    <row r="1771" spans="1:45" s="520" customFormat="1" ht="12.6" thickBot="1">
      <c r="A1771" s="761" t="s">
        <v>145</v>
      </c>
      <c r="B1771" s="762">
        <f>(R1770+T1770)</f>
        <v>0</v>
      </c>
      <c r="C1771" s="763"/>
      <c r="D1771" s="763"/>
      <c r="E1771" s="763"/>
      <c r="F1771" s="764"/>
      <c r="G1771" s="763" t="s">
        <v>146</v>
      </c>
      <c r="H1771" s="763"/>
      <c r="I1771" s="765"/>
      <c r="J1771" s="763"/>
      <c r="K1771" s="763" t="s">
        <v>3</v>
      </c>
      <c r="L1771" s="766" t="s">
        <v>143</v>
      </c>
      <c r="M1771" s="766"/>
      <c r="N1771" s="766"/>
      <c r="O1771" s="766"/>
      <c r="P1771" s="766"/>
      <c r="Q1771" s="767"/>
      <c r="R1771" s="768">
        <f ca="1">SUM(R1767:R1770)</f>
        <v>0</v>
      </c>
      <c r="S1771" s="763"/>
      <c r="T1771" s="768">
        <f ca="1">SUM(T1767:T1770)</f>
        <v>0</v>
      </c>
      <c r="U1771" s="531"/>
      <c r="V1771" s="531"/>
      <c r="W1771" s="531"/>
      <c r="X1771" s="531"/>
      <c r="Y1771" s="531"/>
      <c r="Z1771" s="531"/>
      <c r="AA1771" s="531"/>
      <c r="AB1771" s="531"/>
      <c r="AC1771" s="531"/>
      <c r="AD1771" s="531"/>
      <c r="AE1771" s="531"/>
      <c r="AF1771" s="531"/>
      <c r="AG1771" s="531"/>
      <c r="AH1771" s="531"/>
      <c r="AI1771" s="531"/>
      <c r="AJ1771" s="531"/>
      <c r="AK1771" s="531"/>
      <c r="AL1771" s="531"/>
      <c r="AM1771" s="531"/>
      <c r="AN1771" s="531"/>
      <c r="AO1771" s="531"/>
      <c r="AR1771" s="761" t="s">
        <v>145</v>
      </c>
      <c r="AS1771" s="764"/>
    </row>
    <row r="1772" spans="1:45" s="520" customFormat="1" ht="12" thickTop="1">
      <c r="A1772" s="51"/>
      <c r="B1772" s="41"/>
      <c r="C1772" s="51"/>
      <c r="E1772" s="42" t="s">
        <v>138</v>
      </c>
      <c r="F1772" s="42" t="s">
        <v>139</v>
      </c>
      <c r="G1772" s="51"/>
      <c r="H1772" s="51"/>
      <c r="I1772" s="51"/>
      <c r="J1772" s="51"/>
      <c r="K1772" s="51" t="s">
        <v>140</v>
      </c>
      <c r="L1772" s="51"/>
      <c r="M1772" s="51"/>
      <c r="N1772" s="51"/>
      <c r="O1772" s="52"/>
      <c r="P1772" s="51"/>
      <c r="Q1772" s="51"/>
      <c r="R1772" s="51"/>
      <c r="S1772" s="51"/>
      <c r="T1772" s="41"/>
      <c r="AG1772" s="521" t="s">
        <v>268</v>
      </c>
      <c r="AH1772" s="521" t="s">
        <v>269</v>
      </c>
      <c r="AI1772" s="521" t="s">
        <v>270</v>
      </c>
      <c r="AJ1772" s="521" t="s">
        <v>271</v>
      </c>
      <c r="AK1772" s="521" t="s">
        <v>272</v>
      </c>
      <c r="AM1772" s="745" t="s">
        <v>281</v>
      </c>
      <c r="AN1772" s="746" t="s">
        <v>282</v>
      </c>
      <c r="AO1772" s="522" t="s">
        <v>278</v>
      </c>
      <c r="AR1772" s="51"/>
      <c r="AS1772" s="42" t="s">
        <v>139</v>
      </c>
    </row>
    <row r="1773" spans="1:45" s="520" customFormat="1" ht="12" customHeight="1">
      <c r="A1773" s="747">
        <v>40</v>
      </c>
      <c r="B1773" s="523" t="s">
        <v>320</v>
      </c>
      <c r="C1773" s="748"/>
      <c r="D1773" s="749" t="s">
        <v>1380</v>
      </c>
      <c r="E1773" s="750">
        <f ca="1">IF(AND($A1773=0,$A$1="DIF"),0, ROUND(ROUND(($R1778*$S$2+($T1778*$T$2))/A1773,2)*$C$2,2))</f>
        <v>9.9499999999999993</v>
      </c>
      <c r="F1773" s="751">
        <f ca="1">ROUND($A1773*$E1773,2)</f>
        <v>398</v>
      </c>
      <c r="G1773" s="752" t="s">
        <v>142</v>
      </c>
      <c r="H1773" s="753"/>
      <c r="I1773" s="754"/>
      <c r="J1773" s="753"/>
      <c r="K1773" s="753" t="s">
        <v>3</v>
      </c>
      <c r="L1773" s="755" t="s">
        <v>143</v>
      </c>
      <c r="M1773" s="755"/>
      <c r="N1773" s="755"/>
      <c r="O1773" s="755"/>
      <c r="P1773" s="755"/>
      <c r="Q1773" s="51"/>
      <c r="T1773" s="756" t="str">
        <f ca="1">IF(AND($R1778=0,$T1778=0),"0.00","mu :" &amp; ROUND($F1773/$C$2/($R1778+$T1778*$D$9),2))</f>
        <v>mu :1.23</v>
      </c>
      <c r="W1773" s="524"/>
      <c r="AG1773" s="481">
        <f ca="1">IF($E1773=0,0,ROUND($R1778*$S$2*$C$2/$A1773,2))</f>
        <v>6.91</v>
      </c>
      <c r="AH1773" s="481">
        <f ca="1">$AG1773*$A1773</f>
        <v>276.39999999999998</v>
      </c>
      <c r="AI1773" s="525">
        <f ca="1">$E1773-$AG1773</f>
        <v>3.0399999999999991</v>
      </c>
      <c r="AJ1773" s="525">
        <f ca="1">$A1773*$AI1773</f>
        <v>121.59999999999997</v>
      </c>
      <c r="AK1773" s="526">
        <f ca="1">ROUND(($AG1773+$AI1773)*$A1773,2)</f>
        <v>398</v>
      </c>
      <c r="AM1773" s="527">
        <f ca="1">ROUND(R1778,2)</f>
        <v>224.4</v>
      </c>
      <c r="AN1773" s="528">
        <f ca="1">ROUND(T1778,2)</f>
        <v>3.6</v>
      </c>
      <c r="AO1773" s="529">
        <f ca="1">ROUND(AM1773+AN1773,2)*A1773</f>
        <v>9120</v>
      </c>
      <c r="AR1773" s="747">
        <v>40</v>
      </c>
      <c r="AS1773" s="751">
        <v>411.6</v>
      </c>
    </row>
    <row r="1774" spans="1:45" s="520" customFormat="1" ht="13.2">
      <c r="A1774" s="748"/>
      <c r="B1774"/>
      <c r="C1774" s="748"/>
      <c r="D1774" s="749" t="s">
        <v>1381</v>
      </c>
      <c r="F1774" s="753"/>
      <c r="G1774" s="3"/>
      <c r="H1774" s="753"/>
      <c r="I1774" s="754"/>
      <c r="J1774" s="753"/>
      <c r="K1774" s="753" t="s">
        <v>144</v>
      </c>
      <c r="L1774" s="753"/>
      <c r="M1774" s="753"/>
      <c r="N1774" s="753"/>
      <c r="O1774" s="753"/>
      <c r="P1774" s="753"/>
      <c r="Q1774" s="51"/>
      <c r="R1774" s="530"/>
      <c r="S1774" s="757"/>
      <c r="T1774" s="753"/>
      <c r="AR1774" s="748"/>
      <c r="AS1774" s="753"/>
    </row>
    <row r="1775" spans="1:45" s="886" customFormat="1" ht="13.2">
      <c r="A1775"/>
      <c r="B1775" s="910"/>
      <c r="C1775" s="910" t="s">
        <v>2597</v>
      </c>
      <c r="D1775" s="910" t="str">
        <f ca="1">CELL("Address",Elec_Rates!D$437)</f>
        <v>[E25_0062_Quintano_Foods_Elec_ELV_As_Awarded.xlsx]Elec_Rates!$D$437</v>
      </c>
      <c r="E1775" s="911"/>
      <c r="F1775" s="911"/>
      <c r="G1775" s="912" t="s">
        <v>2598</v>
      </c>
      <c r="H1775" s="912"/>
      <c r="I1775" s="912"/>
      <c r="J1775" s="912"/>
      <c r="K1775" s="913"/>
      <c r="L1775" s="911"/>
      <c r="M1775" s="911"/>
      <c r="N1775" s="911"/>
      <c r="O1775" s="914"/>
      <c r="P1775" s="911"/>
      <c r="Q1775" s="915"/>
      <c r="R1775" s="916"/>
      <c r="S1775" s="915"/>
      <c r="T1775" s="917"/>
      <c r="U1775" s="918"/>
      <c r="AR1775"/>
      <c r="AS1775" s="911"/>
    </row>
    <row r="1776" spans="1:45" s="886" customFormat="1" ht="11.4">
      <c r="A1776" s="919">
        <v>40</v>
      </c>
      <c r="B1776" s="920">
        <v>1</v>
      </c>
      <c r="C1776" s="920">
        <f>$A1776*$B1776</f>
        <v>40</v>
      </c>
      <c r="D1776" s="921" t="str">
        <f>Elec_Rates!$D$437</f>
        <v>042# 5 x 6mm2 XLPE/SWA/LSZH</v>
      </c>
      <c r="E1776" s="921"/>
      <c r="F1776" s="921" t="s">
        <v>2599</v>
      </c>
      <c r="G1776" s="922" t="s">
        <v>2601</v>
      </c>
      <c r="H1776" s="922"/>
      <c r="I1776" s="922"/>
      <c r="J1776" s="922"/>
      <c r="K1776" s="923"/>
      <c r="L1776" s="918"/>
      <c r="M1776" s="918"/>
      <c r="N1776" s="918"/>
      <c r="O1776" s="924"/>
      <c r="P1776" s="921"/>
      <c r="Q1776" s="925">
        <f ca="1">$B1776*Elec_Rates!$R$437</f>
        <v>5.61</v>
      </c>
      <c r="R1776" s="916">
        <f ca="1">$A1776*Q1776</f>
        <v>224.4</v>
      </c>
      <c r="S1776" s="925">
        <f ca="1">$B1776*Elec_Rates!$T$437</f>
        <v>0.09</v>
      </c>
      <c r="T1776" s="917">
        <f ca="1">$A1776*S1776</f>
        <v>3.5999999999999996</v>
      </c>
      <c r="U1776" s="926"/>
      <c r="AR1776" s="919">
        <v>40</v>
      </c>
      <c r="AS1776" s="921" t="s">
        <v>2599</v>
      </c>
    </row>
    <row r="1777" spans="1:45" s="520" customFormat="1" ht="12">
      <c r="A1777" s="758"/>
      <c r="B1777" s="758"/>
      <c r="C1777" s="758"/>
      <c r="D1777" s="758"/>
      <c r="E1777" s="758"/>
      <c r="F1777" s="753"/>
      <c r="G1777" s="758"/>
      <c r="H1777" s="758"/>
      <c r="I1777" s="519"/>
      <c r="J1777" s="758"/>
      <c r="K1777" s="758"/>
      <c r="L1777" s="758"/>
      <c r="M1777" s="758"/>
      <c r="N1777" s="758"/>
      <c r="O1777" s="758"/>
      <c r="P1777" s="758"/>
      <c r="Q1777" s="519"/>
      <c r="R1777" s="759">
        <f>$A1777*Q1777</f>
        <v>0</v>
      </c>
      <c r="S1777" s="519"/>
      <c r="T1777" s="760">
        <f>$A1777*S1777*$T$1</f>
        <v>0</v>
      </c>
      <c r="AR1777" s="758"/>
      <c r="AS1777" s="753"/>
    </row>
    <row r="1778" spans="1:45" s="520" customFormat="1" ht="12.6" thickBot="1">
      <c r="A1778" s="761" t="s">
        <v>145</v>
      </c>
      <c r="B1778" s="762">
        <f>(R1777+T1777)</f>
        <v>0</v>
      </c>
      <c r="C1778" s="763"/>
      <c r="D1778" s="763"/>
      <c r="E1778" s="763"/>
      <c r="F1778" s="764"/>
      <c r="G1778" s="763" t="s">
        <v>146</v>
      </c>
      <c r="H1778" s="763"/>
      <c r="I1778" s="765"/>
      <c r="J1778" s="763"/>
      <c r="K1778" s="763" t="s">
        <v>3</v>
      </c>
      <c r="L1778" s="766" t="s">
        <v>143</v>
      </c>
      <c r="M1778" s="766"/>
      <c r="N1778" s="766"/>
      <c r="O1778" s="766"/>
      <c r="P1778" s="766"/>
      <c r="Q1778" s="767"/>
      <c r="R1778" s="768">
        <f ca="1">SUM(R1774:R1777)</f>
        <v>224.4</v>
      </c>
      <c r="S1778" s="763"/>
      <c r="T1778" s="768">
        <f ca="1">SUM(T1774:T1777)</f>
        <v>3.5999999999999996</v>
      </c>
      <c r="U1778" s="531"/>
      <c r="V1778" s="531"/>
      <c r="W1778" s="531"/>
      <c r="X1778" s="531"/>
      <c r="Y1778" s="531"/>
      <c r="Z1778" s="531"/>
      <c r="AA1778" s="531"/>
      <c r="AB1778" s="531"/>
      <c r="AC1778" s="531"/>
      <c r="AD1778" s="531"/>
      <c r="AE1778" s="531"/>
      <c r="AF1778" s="531"/>
      <c r="AG1778" s="531"/>
      <c r="AH1778" s="531"/>
      <c r="AI1778" s="531"/>
      <c r="AJ1778" s="531"/>
      <c r="AK1778" s="531"/>
      <c r="AL1778" s="531"/>
      <c r="AM1778" s="531"/>
      <c r="AN1778" s="531"/>
      <c r="AO1778" s="531"/>
      <c r="AR1778" s="761" t="s">
        <v>145</v>
      </c>
      <c r="AS1778" s="764"/>
    </row>
    <row r="1779" spans="1:45" s="520" customFormat="1" ht="12" thickTop="1">
      <c r="A1779" s="51"/>
      <c r="B1779" s="41"/>
      <c r="C1779" s="51"/>
      <c r="E1779" s="42" t="s">
        <v>138</v>
      </c>
      <c r="F1779" s="42" t="s">
        <v>139</v>
      </c>
      <c r="G1779" s="51"/>
      <c r="H1779" s="51"/>
      <c r="I1779" s="51"/>
      <c r="J1779" s="51"/>
      <c r="K1779" s="51" t="s">
        <v>140</v>
      </c>
      <c r="L1779" s="51"/>
      <c r="M1779" s="51"/>
      <c r="N1779" s="51"/>
      <c r="O1779" s="52"/>
      <c r="P1779" s="51"/>
      <c r="Q1779" s="51"/>
      <c r="R1779" s="51"/>
      <c r="S1779" s="51"/>
      <c r="T1779" s="41"/>
      <c r="AG1779" s="521" t="s">
        <v>268</v>
      </c>
      <c r="AH1779" s="521" t="s">
        <v>269</v>
      </c>
      <c r="AI1779" s="521" t="s">
        <v>270</v>
      </c>
      <c r="AJ1779" s="521" t="s">
        <v>271</v>
      </c>
      <c r="AK1779" s="521" t="s">
        <v>272</v>
      </c>
      <c r="AM1779" s="745" t="s">
        <v>281</v>
      </c>
      <c r="AN1779" s="746" t="s">
        <v>282</v>
      </c>
      <c r="AO1779" s="522" t="s">
        <v>278</v>
      </c>
      <c r="AR1779" s="51"/>
      <c r="AS1779" s="42" t="s">
        <v>139</v>
      </c>
    </row>
    <row r="1780" spans="1:45" s="520" customFormat="1" ht="12" customHeight="1">
      <c r="A1780" s="747">
        <v>35</v>
      </c>
      <c r="B1780" s="523" t="s">
        <v>320</v>
      </c>
      <c r="C1780" s="748"/>
      <c r="D1780" s="749" t="s">
        <v>1382</v>
      </c>
      <c r="E1780" s="750">
        <f ca="1">IF(AND($A1780=0,$A$1="DIF"),0, ROUND(ROUND(($R1785*$S$2+($T1785*$T$2))/A1780,2)*$C$2,2))</f>
        <v>9.9499999999999993</v>
      </c>
      <c r="F1780" s="751">
        <f ca="1">ROUND($A1780*$E1780,2)</f>
        <v>348.25</v>
      </c>
      <c r="G1780" s="752" t="s">
        <v>142</v>
      </c>
      <c r="H1780" s="753"/>
      <c r="I1780" s="754"/>
      <c r="J1780" s="753"/>
      <c r="K1780" s="753" t="s">
        <v>3</v>
      </c>
      <c r="L1780" s="755" t="s">
        <v>143</v>
      </c>
      <c r="M1780" s="755"/>
      <c r="N1780" s="755"/>
      <c r="O1780" s="755"/>
      <c r="P1780" s="755"/>
      <c r="Q1780" s="51"/>
      <c r="T1780" s="756" t="str">
        <f ca="1">IF(AND($R1785=0,$T1785=0),"0.00","mu :" &amp; ROUND($F1780/$C$2/($R1785+$T1785*$D$9),2))</f>
        <v>mu :1.23</v>
      </c>
      <c r="W1780" s="524"/>
      <c r="AG1780" s="481">
        <f ca="1">IF($E1780=0,0,ROUND($R1785*$S$2*$C$2/$A1780,2))</f>
        <v>6.91</v>
      </c>
      <c r="AH1780" s="481">
        <f ca="1">$AG1780*$A1780</f>
        <v>241.85</v>
      </c>
      <c r="AI1780" s="525">
        <f ca="1">$E1780-$AG1780</f>
        <v>3.0399999999999991</v>
      </c>
      <c r="AJ1780" s="525">
        <f ca="1">$A1780*$AI1780</f>
        <v>106.39999999999998</v>
      </c>
      <c r="AK1780" s="526">
        <f ca="1">ROUND(($AG1780+$AI1780)*$A1780,2)</f>
        <v>348.25</v>
      </c>
      <c r="AM1780" s="527">
        <f ca="1">ROUND(R1785,2)</f>
        <v>196.35</v>
      </c>
      <c r="AN1780" s="528">
        <f ca="1">ROUND(T1785,2)</f>
        <v>3.15</v>
      </c>
      <c r="AO1780" s="529">
        <f ca="1">ROUND(AM1780+AN1780,2)*A1780</f>
        <v>6982.5</v>
      </c>
      <c r="AR1780" s="747">
        <v>35</v>
      </c>
      <c r="AS1780" s="751">
        <v>360.15</v>
      </c>
    </row>
    <row r="1781" spans="1:45" s="520" customFormat="1" ht="13.2">
      <c r="A1781" s="748"/>
      <c r="B1781"/>
      <c r="C1781" s="748"/>
      <c r="D1781" s="749" t="s">
        <v>1383</v>
      </c>
      <c r="F1781" s="753"/>
      <c r="G1781" s="3"/>
      <c r="H1781" s="753"/>
      <c r="I1781" s="754"/>
      <c r="J1781" s="753"/>
      <c r="K1781" s="753" t="s">
        <v>144</v>
      </c>
      <c r="L1781" s="753"/>
      <c r="M1781" s="753"/>
      <c r="N1781" s="753"/>
      <c r="O1781" s="753"/>
      <c r="P1781" s="753"/>
      <c r="Q1781" s="51"/>
      <c r="R1781" s="530"/>
      <c r="S1781" s="757"/>
      <c r="T1781" s="753"/>
      <c r="AR1781" s="748"/>
      <c r="AS1781" s="753"/>
    </row>
    <row r="1782" spans="1:45" s="886" customFormat="1" ht="13.2">
      <c r="A1782"/>
      <c r="B1782" s="910"/>
      <c r="C1782" s="910" t="s">
        <v>2597</v>
      </c>
      <c r="D1782" s="910" t="str">
        <f ca="1">CELL("Address",Elec_Rates!D$437)</f>
        <v>[E25_0062_Quintano_Foods_Elec_ELV_As_Awarded.xlsx]Elec_Rates!$D$437</v>
      </c>
      <c r="E1782" s="911"/>
      <c r="F1782" s="911"/>
      <c r="G1782" s="912" t="s">
        <v>2598</v>
      </c>
      <c r="H1782" s="912"/>
      <c r="I1782" s="912"/>
      <c r="J1782" s="912"/>
      <c r="K1782" s="913"/>
      <c r="L1782" s="911"/>
      <c r="M1782" s="911"/>
      <c r="N1782" s="911"/>
      <c r="O1782" s="914"/>
      <c r="P1782" s="911"/>
      <c r="Q1782" s="915"/>
      <c r="R1782" s="916"/>
      <c r="S1782" s="915"/>
      <c r="T1782" s="917"/>
      <c r="U1782" s="918"/>
      <c r="AR1782"/>
      <c r="AS1782" s="911"/>
    </row>
    <row r="1783" spans="1:45" s="886" customFormat="1" ht="11.4">
      <c r="A1783" s="919">
        <v>35</v>
      </c>
      <c r="B1783" s="920">
        <v>1</v>
      </c>
      <c r="C1783" s="920">
        <f>$A1783*$B1783</f>
        <v>35</v>
      </c>
      <c r="D1783" s="921" t="str">
        <f>Elec_Rates!$D$437</f>
        <v>042# 5 x 6mm2 XLPE/SWA/LSZH</v>
      </c>
      <c r="E1783" s="921"/>
      <c r="F1783" s="921" t="s">
        <v>2599</v>
      </c>
      <c r="G1783" s="922" t="s">
        <v>2601</v>
      </c>
      <c r="H1783" s="922"/>
      <c r="I1783" s="922"/>
      <c r="J1783" s="922"/>
      <c r="K1783" s="923"/>
      <c r="L1783" s="918"/>
      <c r="M1783" s="918"/>
      <c r="N1783" s="918"/>
      <c r="O1783" s="924"/>
      <c r="P1783" s="921"/>
      <c r="Q1783" s="925">
        <f ca="1">$B1783*Elec_Rates!$R$437</f>
        <v>5.61</v>
      </c>
      <c r="R1783" s="916">
        <f ca="1">$A1783*Q1783</f>
        <v>196.35000000000002</v>
      </c>
      <c r="S1783" s="925">
        <f ca="1">$B1783*Elec_Rates!$T$437</f>
        <v>0.09</v>
      </c>
      <c r="T1783" s="917">
        <f ca="1">$A1783*S1783</f>
        <v>3.15</v>
      </c>
      <c r="U1783" s="926"/>
      <c r="AR1783" s="919">
        <v>35</v>
      </c>
      <c r="AS1783" s="921" t="s">
        <v>2599</v>
      </c>
    </row>
    <row r="1784" spans="1:45" s="520" customFormat="1" ht="12">
      <c r="A1784" s="758"/>
      <c r="B1784" s="758"/>
      <c r="C1784" s="758"/>
      <c r="D1784" s="758"/>
      <c r="E1784" s="758"/>
      <c r="F1784" s="753"/>
      <c r="G1784" s="758"/>
      <c r="H1784" s="758"/>
      <c r="I1784" s="519"/>
      <c r="J1784" s="758"/>
      <c r="K1784" s="758"/>
      <c r="L1784" s="758"/>
      <c r="M1784" s="758"/>
      <c r="N1784" s="758"/>
      <c r="O1784" s="758"/>
      <c r="P1784" s="758"/>
      <c r="Q1784" s="519"/>
      <c r="R1784" s="759">
        <f>$A1784*Q1784</f>
        <v>0</v>
      </c>
      <c r="S1784" s="519"/>
      <c r="T1784" s="760">
        <f>$A1784*S1784*$T$1</f>
        <v>0</v>
      </c>
      <c r="AR1784" s="758"/>
      <c r="AS1784" s="753"/>
    </row>
    <row r="1785" spans="1:45" s="520" customFormat="1" ht="12.6" thickBot="1">
      <c r="A1785" s="761" t="s">
        <v>145</v>
      </c>
      <c r="B1785" s="762">
        <f>(R1784+T1784)</f>
        <v>0</v>
      </c>
      <c r="C1785" s="763"/>
      <c r="D1785" s="763"/>
      <c r="E1785" s="763"/>
      <c r="F1785" s="764"/>
      <c r="G1785" s="763" t="s">
        <v>146</v>
      </c>
      <c r="H1785" s="763"/>
      <c r="I1785" s="765"/>
      <c r="J1785" s="763"/>
      <c r="K1785" s="763" t="s">
        <v>3</v>
      </c>
      <c r="L1785" s="766" t="s">
        <v>143</v>
      </c>
      <c r="M1785" s="766"/>
      <c r="N1785" s="766"/>
      <c r="O1785" s="766"/>
      <c r="P1785" s="766"/>
      <c r="Q1785" s="767"/>
      <c r="R1785" s="768">
        <f ca="1">SUM(R1781:R1784)</f>
        <v>196.35000000000002</v>
      </c>
      <c r="S1785" s="763"/>
      <c r="T1785" s="768">
        <f ca="1">SUM(T1781:T1784)</f>
        <v>3.15</v>
      </c>
      <c r="U1785" s="531"/>
      <c r="V1785" s="531"/>
      <c r="W1785" s="531"/>
      <c r="X1785" s="531"/>
      <c r="Y1785" s="531"/>
      <c r="Z1785" s="531"/>
      <c r="AA1785" s="531"/>
      <c r="AB1785" s="531"/>
      <c r="AC1785" s="531"/>
      <c r="AD1785" s="531"/>
      <c r="AE1785" s="531"/>
      <c r="AF1785" s="531"/>
      <c r="AG1785" s="531"/>
      <c r="AH1785" s="531"/>
      <c r="AI1785" s="531"/>
      <c r="AJ1785" s="531"/>
      <c r="AK1785" s="531"/>
      <c r="AL1785" s="531"/>
      <c r="AM1785" s="531"/>
      <c r="AN1785" s="531"/>
      <c r="AO1785" s="531"/>
      <c r="AR1785" s="761" t="s">
        <v>145</v>
      </c>
      <c r="AS1785" s="764"/>
    </row>
    <row r="1786" spans="1:45" s="520" customFormat="1" ht="12" thickTop="1">
      <c r="A1786" s="51"/>
      <c r="B1786" s="41"/>
      <c r="C1786" s="51"/>
      <c r="E1786" s="42" t="s">
        <v>138</v>
      </c>
      <c r="F1786" s="42" t="s">
        <v>139</v>
      </c>
      <c r="G1786" s="51"/>
      <c r="H1786" s="51"/>
      <c r="I1786" s="51"/>
      <c r="J1786" s="51"/>
      <c r="K1786" s="51" t="s">
        <v>140</v>
      </c>
      <c r="L1786" s="51"/>
      <c r="M1786" s="51"/>
      <c r="N1786" s="51"/>
      <c r="O1786" s="52"/>
      <c r="P1786" s="51"/>
      <c r="Q1786" s="51"/>
      <c r="R1786" s="51"/>
      <c r="S1786" s="51"/>
      <c r="T1786" s="41"/>
      <c r="AG1786" s="521" t="s">
        <v>268</v>
      </c>
      <c r="AH1786" s="521" t="s">
        <v>269</v>
      </c>
      <c r="AI1786" s="521" t="s">
        <v>270</v>
      </c>
      <c r="AJ1786" s="521" t="s">
        <v>271</v>
      </c>
      <c r="AK1786" s="521" t="s">
        <v>272</v>
      </c>
      <c r="AM1786" s="745" t="s">
        <v>281</v>
      </c>
      <c r="AN1786" s="746" t="s">
        <v>282</v>
      </c>
      <c r="AO1786" s="522" t="s">
        <v>278</v>
      </c>
      <c r="AR1786" s="51"/>
      <c r="AS1786" s="42" t="s">
        <v>139</v>
      </c>
    </row>
    <row r="1787" spans="1:45" s="520" customFormat="1" ht="12" customHeight="1">
      <c r="A1787" s="747">
        <v>40</v>
      </c>
      <c r="B1787" s="523" t="s">
        <v>320</v>
      </c>
      <c r="C1787" s="748"/>
      <c r="D1787" s="749" t="s">
        <v>1384</v>
      </c>
      <c r="E1787" s="750">
        <f ca="1">IF(AND($A1787=0,$A$1="DIF"),0, ROUND(ROUND(($R1792*$S$2+($T1792*$T$2))/A1787,2)*$C$2,2))</f>
        <v>9.9499999999999993</v>
      </c>
      <c r="F1787" s="751">
        <f ca="1">ROUND($A1787*$E1787,2)</f>
        <v>398</v>
      </c>
      <c r="G1787" s="752" t="s">
        <v>142</v>
      </c>
      <c r="H1787" s="753"/>
      <c r="I1787" s="754"/>
      <c r="J1787" s="753"/>
      <c r="K1787" s="753" t="s">
        <v>3</v>
      </c>
      <c r="L1787" s="755" t="s">
        <v>143</v>
      </c>
      <c r="M1787" s="755"/>
      <c r="N1787" s="755"/>
      <c r="O1787" s="755"/>
      <c r="P1787" s="755"/>
      <c r="Q1787" s="51"/>
      <c r="T1787" s="756" t="str">
        <f ca="1">IF(AND($R1792=0,$T1792=0),"0.00","mu :" &amp; ROUND($F1787/$C$2/($R1792+$T1792*$D$9),2))</f>
        <v>mu :1.23</v>
      </c>
      <c r="W1787" s="524"/>
      <c r="AG1787" s="481">
        <f ca="1">IF($E1787=0,0,ROUND($R1792*$S$2*$C$2/$A1787,2))</f>
        <v>6.91</v>
      </c>
      <c r="AH1787" s="481">
        <f ca="1">$AG1787*$A1787</f>
        <v>276.39999999999998</v>
      </c>
      <c r="AI1787" s="525">
        <f ca="1">$E1787-$AG1787</f>
        <v>3.0399999999999991</v>
      </c>
      <c r="AJ1787" s="525">
        <f ca="1">$A1787*$AI1787</f>
        <v>121.59999999999997</v>
      </c>
      <c r="AK1787" s="526">
        <f ca="1">ROUND(($AG1787+$AI1787)*$A1787,2)</f>
        <v>398</v>
      </c>
      <c r="AM1787" s="527">
        <f ca="1">ROUND(R1792,2)</f>
        <v>224.4</v>
      </c>
      <c r="AN1787" s="528">
        <f ca="1">ROUND(T1792,2)</f>
        <v>3.6</v>
      </c>
      <c r="AO1787" s="529">
        <f ca="1">ROUND(AM1787+AN1787,2)*A1787</f>
        <v>9120</v>
      </c>
      <c r="AR1787" s="747">
        <v>40</v>
      </c>
      <c r="AS1787" s="751">
        <v>411.6</v>
      </c>
    </row>
    <row r="1788" spans="1:45" s="520" customFormat="1" ht="13.2">
      <c r="A1788" s="748"/>
      <c r="B1788"/>
      <c r="C1788" s="748"/>
      <c r="D1788" s="749" t="s">
        <v>1385</v>
      </c>
      <c r="F1788" s="753"/>
      <c r="G1788" s="3"/>
      <c r="H1788" s="753"/>
      <c r="I1788" s="754"/>
      <c r="J1788" s="753"/>
      <c r="K1788" s="753" t="s">
        <v>144</v>
      </c>
      <c r="L1788" s="753"/>
      <c r="M1788" s="753"/>
      <c r="N1788" s="753"/>
      <c r="O1788" s="753"/>
      <c r="P1788" s="753"/>
      <c r="Q1788" s="51"/>
      <c r="R1788" s="530"/>
      <c r="S1788" s="757"/>
      <c r="T1788" s="753"/>
      <c r="AR1788" s="748"/>
      <c r="AS1788" s="753"/>
    </row>
    <row r="1789" spans="1:45" s="886" customFormat="1" ht="13.2">
      <c r="A1789"/>
      <c r="B1789" s="910"/>
      <c r="C1789" s="910" t="s">
        <v>2597</v>
      </c>
      <c r="D1789" s="910" t="str">
        <f ca="1">CELL("Address",Elec_Rates!D$437)</f>
        <v>[E25_0062_Quintano_Foods_Elec_ELV_As_Awarded.xlsx]Elec_Rates!$D$437</v>
      </c>
      <c r="E1789" s="911"/>
      <c r="F1789" s="911"/>
      <c r="G1789" s="912" t="s">
        <v>2598</v>
      </c>
      <c r="H1789" s="912"/>
      <c r="I1789" s="912"/>
      <c r="J1789" s="912"/>
      <c r="K1789" s="913"/>
      <c r="L1789" s="911"/>
      <c r="M1789" s="911"/>
      <c r="N1789" s="911"/>
      <c r="O1789" s="914"/>
      <c r="P1789" s="911"/>
      <c r="Q1789" s="915"/>
      <c r="R1789" s="916"/>
      <c r="S1789" s="915"/>
      <c r="T1789" s="917"/>
      <c r="U1789" s="918"/>
      <c r="AR1789"/>
      <c r="AS1789" s="911"/>
    </row>
    <row r="1790" spans="1:45" s="886" customFormat="1" ht="11.4">
      <c r="A1790" s="919">
        <v>40</v>
      </c>
      <c r="B1790" s="920">
        <v>1</v>
      </c>
      <c r="C1790" s="920">
        <f>$A1790*$B1790</f>
        <v>40</v>
      </c>
      <c r="D1790" s="921" t="str">
        <f>Elec_Rates!$D$437</f>
        <v>042# 5 x 6mm2 XLPE/SWA/LSZH</v>
      </c>
      <c r="E1790" s="921"/>
      <c r="F1790" s="921" t="s">
        <v>2599</v>
      </c>
      <c r="G1790" s="922" t="s">
        <v>2601</v>
      </c>
      <c r="H1790" s="922"/>
      <c r="I1790" s="922"/>
      <c r="J1790" s="922"/>
      <c r="K1790" s="923"/>
      <c r="L1790" s="918"/>
      <c r="M1790" s="918"/>
      <c r="N1790" s="918"/>
      <c r="O1790" s="924"/>
      <c r="P1790" s="921"/>
      <c r="Q1790" s="925">
        <f ca="1">$B1790*Elec_Rates!$R$437</f>
        <v>5.61</v>
      </c>
      <c r="R1790" s="916">
        <f ca="1">$A1790*Q1790</f>
        <v>224.4</v>
      </c>
      <c r="S1790" s="925">
        <f ca="1">$B1790*Elec_Rates!$T$437</f>
        <v>0.09</v>
      </c>
      <c r="T1790" s="917">
        <f ca="1">$A1790*S1790</f>
        <v>3.5999999999999996</v>
      </c>
      <c r="U1790" s="926"/>
      <c r="AR1790" s="919">
        <v>40</v>
      </c>
      <c r="AS1790" s="921" t="s">
        <v>2599</v>
      </c>
    </row>
    <row r="1791" spans="1:45" s="520" customFormat="1" ht="12">
      <c r="A1791" s="758"/>
      <c r="B1791" s="758"/>
      <c r="C1791" s="758"/>
      <c r="D1791" s="758"/>
      <c r="E1791" s="758"/>
      <c r="F1791" s="753"/>
      <c r="G1791" s="758"/>
      <c r="H1791" s="758"/>
      <c r="I1791" s="519"/>
      <c r="J1791" s="758"/>
      <c r="K1791" s="758"/>
      <c r="L1791" s="758"/>
      <c r="M1791" s="758"/>
      <c r="N1791" s="758"/>
      <c r="O1791" s="758"/>
      <c r="P1791" s="758"/>
      <c r="Q1791" s="519"/>
      <c r="R1791" s="759">
        <f>$A1791*Q1791</f>
        <v>0</v>
      </c>
      <c r="S1791" s="519"/>
      <c r="T1791" s="760">
        <f>$A1791*S1791*$T$1</f>
        <v>0</v>
      </c>
      <c r="AR1791" s="758"/>
      <c r="AS1791" s="753"/>
    </row>
    <row r="1792" spans="1:45" s="520" customFormat="1" ht="12.6" thickBot="1">
      <c r="A1792" s="761" t="s">
        <v>145</v>
      </c>
      <c r="B1792" s="762">
        <f>(R1791+T1791)</f>
        <v>0</v>
      </c>
      <c r="C1792" s="763"/>
      <c r="D1792" s="763"/>
      <c r="E1792" s="763"/>
      <c r="F1792" s="764"/>
      <c r="G1792" s="763" t="s">
        <v>146</v>
      </c>
      <c r="H1792" s="763"/>
      <c r="I1792" s="765"/>
      <c r="J1792" s="763"/>
      <c r="K1792" s="763" t="s">
        <v>3</v>
      </c>
      <c r="L1792" s="766" t="s">
        <v>143</v>
      </c>
      <c r="M1792" s="766"/>
      <c r="N1792" s="766"/>
      <c r="O1792" s="766"/>
      <c r="P1792" s="766"/>
      <c r="Q1792" s="767"/>
      <c r="R1792" s="768">
        <f ca="1">SUM(R1788:R1791)</f>
        <v>224.4</v>
      </c>
      <c r="S1792" s="763"/>
      <c r="T1792" s="768">
        <f ca="1">SUM(T1788:T1791)</f>
        <v>3.5999999999999996</v>
      </c>
      <c r="U1792" s="531"/>
      <c r="V1792" s="531"/>
      <c r="W1792" s="531"/>
      <c r="X1792" s="531"/>
      <c r="Y1792" s="531"/>
      <c r="Z1792" s="531"/>
      <c r="AA1792" s="531"/>
      <c r="AB1792" s="531"/>
      <c r="AC1792" s="531"/>
      <c r="AD1792" s="531"/>
      <c r="AE1792" s="531"/>
      <c r="AF1792" s="531"/>
      <c r="AG1792" s="531"/>
      <c r="AH1792" s="531"/>
      <c r="AI1792" s="531"/>
      <c r="AJ1792" s="531"/>
      <c r="AK1792" s="531"/>
      <c r="AL1792" s="531"/>
      <c r="AM1792" s="531"/>
      <c r="AN1792" s="531"/>
      <c r="AO1792" s="531"/>
      <c r="AR1792" s="761" t="s">
        <v>145</v>
      </c>
      <c r="AS1792" s="764"/>
    </row>
    <row r="1793" spans="1:45" s="520" customFormat="1" ht="12" thickTop="1">
      <c r="A1793" s="51"/>
      <c r="B1793" s="41"/>
      <c r="C1793" s="51"/>
      <c r="E1793" s="42" t="s">
        <v>138</v>
      </c>
      <c r="F1793" s="42" t="s">
        <v>139</v>
      </c>
      <c r="G1793" s="51"/>
      <c r="H1793" s="51"/>
      <c r="I1793" s="51"/>
      <c r="J1793" s="51"/>
      <c r="K1793" s="51" t="s">
        <v>140</v>
      </c>
      <c r="L1793" s="51"/>
      <c r="M1793" s="51"/>
      <c r="N1793" s="51"/>
      <c r="O1793" s="52"/>
      <c r="P1793" s="51"/>
      <c r="Q1793" s="51"/>
      <c r="R1793" s="51"/>
      <c r="S1793" s="51"/>
      <c r="T1793" s="41"/>
      <c r="AG1793" s="521" t="s">
        <v>268</v>
      </c>
      <c r="AH1793" s="521" t="s">
        <v>269</v>
      </c>
      <c r="AI1793" s="521" t="s">
        <v>270</v>
      </c>
      <c r="AJ1793" s="521" t="s">
        <v>271</v>
      </c>
      <c r="AK1793" s="521" t="s">
        <v>272</v>
      </c>
      <c r="AM1793" s="745" t="s">
        <v>281</v>
      </c>
      <c r="AN1793" s="746" t="s">
        <v>282</v>
      </c>
      <c r="AO1793" s="522" t="s">
        <v>278</v>
      </c>
      <c r="AR1793" s="51"/>
      <c r="AS1793" s="42" t="s">
        <v>139</v>
      </c>
    </row>
    <row r="1794" spans="1:45" s="520" customFormat="1" ht="12" customHeight="1">
      <c r="A1794" s="747">
        <v>35</v>
      </c>
      <c r="B1794" s="523" t="s">
        <v>320</v>
      </c>
      <c r="C1794" s="748"/>
      <c r="D1794" s="749" t="s">
        <v>1386</v>
      </c>
      <c r="E1794" s="750">
        <f ca="1">IF(AND($A1794=0,$A$1="DIF"),0, ROUND(ROUND(($R1799*$S$2+($T1799*$T$2))/A1794,2)*$C$2,2))</f>
        <v>9.9499999999999993</v>
      </c>
      <c r="F1794" s="751">
        <f ca="1">ROUND($A1794*$E1794,2)</f>
        <v>348.25</v>
      </c>
      <c r="G1794" s="752" t="s">
        <v>142</v>
      </c>
      <c r="H1794" s="753"/>
      <c r="I1794" s="754"/>
      <c r="J1794" s="753"/>
      <c r="K1794" s="753" t="s">
        <v>3</v>
      </c>
      <c r="L1794" s="755" t="s">
        <v>143</v>
      </c>
      <c r="M1794" s="755"/>
      <c r="N1794" s="755"/>
      <c r="O1794" s="755"/>
      <c r="P1794" s="755"/>
      <c r="Q1794" s="51"/>
      <c r="T1794" s="756" t="str">
        <f ca="1">IF(AND($R1799=0,$T1799=0),"0.00","mu :" &amp; ROUND($F1794/$C$2/($R1799+$T1799*$D$9),2))</f>
        <v>mu :1.23</v>
      </c>
      <c r="W1794" s="524"/>
      <c r="AG1794" s="481">
        <f ca="1">IF($E1794=0,0,ROUND($R1799*$S$2*$C$2/$A1794,2))</f>
        <v>6.91</v>
      </c>
      <c r="AH1794" s="481">
        <f ca="1">$AG1794*$A1794</f>
        <v>241.85</v>
      </c>
      <c r="AI1794" s="525">
        <f ca="1">$E1794-$AG1794</f>
        <v>3.0399999999999991</v>
      </c>
      <c r="AJ1794" s="525">
        <f ca="1">$A1794*$AI1794</f>
        <v>106.39999999999998</v>
      </c>
      <c r="AK1794" s="526">
        <f ca="1">ROUND(($AG1794+$AI1794)*$A1794,2)</f>
        <v>348.25</v>
      </c>
      <c r="AM1794" s="527">
        <f ca="1">ROUND(R1799,2)</f>
        <v>196.35</v>
      </c>
      <c r="AN1794" s="528">
        <f ca="1">ROUND(T1799,2)</f>
        <v>3.15</v>
      </c>
      <c r="AO1794" s="529">
        <f ca="1">ROUND(AM1794+AN1794,2)*A1794</f>
        <v>6982.5</v>
      </c>
      <c r="AR1794" s="747">
        <v>35</v>
      </c>
      <c r="AS1794" s="751">
        <v>360.15</v>
      </c>
    </row>
    <row r="1795" spans="1:45" s="520" customFormat="1" ht="13.2">
      <c r="A1795" s="748"/>
      <c r="B1795"/>
      <c r="C1795" s="748"/>
      <c r="D1795" s="749" t="s">
        <v>1387</v>
      </c>
      <c r="F1795" s="753"/>
      <c r="G1795" s="3"/>
      <c r="H1795" s="753"/>
      <c r="I1795" s="754"/>
      <c r="J1795" s="753"/>
      <c r="K1795" s="753" t="s">
        <v>144</v>
      </c>
      <c r="L1795" s="753"/>
      <c r="M1795" s="753"/>
      <c r="N1795" s="753"/>
      <c r="O1795" s="753"/>
      <c r="P1795" s="753"/>
      <c r="Q1795" s="51"/>
      <c r="R1795" s="530"/>
      <c r="S1795" s="757"/>
      <c r="T1795" s="753"/>
      <c r="AR1795" s="748"/>
      <c r="AS1795" s="753"/>
    </row>
    <row r="1796" spans="1:45" s="886" customFormat="1" ht="13.2">
      <c r="A1796"/>
      <c r="B1796" s="910"/>
      <c r="C1796" s="910" t="s">
        <v>2597</v>
      </c>
      <c r="D1796" s="910" t="str">
        <f ca="1">CELL("Address",Elec_Rates!D$437)</f>
        <v>[E25_0062_Quintano_Foods_Elec_ELV_As_Awarded.xlsx]Elec_Rates!$D$437</v>
      </c>
      <c r="E1796" s="911"/>
      <c r="F1796" s="911"/>
      <c r="G1796" s="912" t="s">
        <v>2598</v>
      </c>
      <c r="H1796" s="912"/>
      <c r="I1796" s="912"/>
      <c r="J1796" s="912"/>
      <c r="K1796" s="913"/>
      <c r="L1796" s="911"/>
      <c r="M1796" s="911"/>
      <c r="N1796" s="911"/>
      <c r="O1796" s="914"/>
      <c r="P1796" s="911"/>
      <c r="Q1796" s="915"/>
      <c r="R1796" s="916"/>
      <c r="S1796" s="915"/>
      <c r="T1796" s="917"/>
      <c r="U1796" s="918"/>
      <c r="AR1796"/>
      <c r="AS1796" s="911"/>
    </row>
    <row r="1797" spans="1:45" s="886" customFormat="1" ht="11.4">
      <c r="A1797" s="919">
        <v>35</v>
      </c>
      <c r="B1797" s="920">
        <v>1</v>
      </c>
      <c r="C1797" s="920">
        <f>$A1797*$B1797</f>
        <v>35</v>
      </c>
      <c r="D1797" s="921" t="str">
        <f>Elec_Rates!$D$437</f>
        <v>042# 5 x 6mm2 XLPE/SWA/LSZH</v>
      </c>
      <c r="E1797" s="921"/>
      <c r="F1797" s="921" t="s">
        <v>2599</v>
      </c>
      <c r="G1797" s="922" t="s">
        <v>2601</v>
      </c>
      <c r="H1797" s="922"/>
      <c r="I1797" s="922"/>
      <c r="J1797" s="922"/>
      <c r="K1797" s="923"/>
      <c r="L1797" s="918"/>
      <c r="M1797" s="918"/>
      <c r="N1797" s="918"/>
      <c r="O1797" s="924"/>
      <c r="P1797" s="921"/>
      <c r="Q1797" s="925">
        <f ca="1">$B1797*Elec_Rates!$R$437</f>
        <v>5.61</v>
      </c>
      <c r="R1797" s="916">
        <f ca="1">$A1797*Q1797</f>
        <v>196.35000000000002</v>
      </c>
      <c r="S1797" s="925">
        <f ca="1">$B1797*Elec_Rates!$T$437</f>
        <v>0.09</v>
      </c>
      <c r="T1797" s="917">
        <f ca="1">$A1797*S1797</f>
        <v>3.15</v>
      </c>
      <c r="U1797" s="926"/>
      <c r="AR1797" s="919">
        <v>35</v>
      </c>
      <c r="AS1797" s="921" t="s">
        <v>2599</v>
      </c>
    </row>
    <row r="1798" spans="1:45" s="520" customFormat="1" ht="12">
      <c r="A1798" s="758"/>
      <c r="B1798" s="758"/>
      <c r="C1798" s="758"/>
      <c r="D1798" s="758"/>
      <c r="E1798" s="758"/>
      <c r="F1798" s="753"/>
      <c r="G1798" s="758"/>
      <c r="H1798" s="758"/>
      <c r="I1798" s="519"/>
      <c r="J1798" s="758"/>
      <c r="K1798" s="758"/>
      <c r="L1798" s="758"/>
      <c r="M1798" s="758"/>
      <c r="N1798" s="758"/>
      <c r="O1798" s="758"/>
      <c r="P1798" s="758"/>
      <c r="Q1798" s="519"/>
      <c r="R1798" s="759">
        <f>$A1798*Q1798</f>
        <v>0</v>
      </c>
      <c r="S1798" s="519"/>
      <c r="T1798" s="760">
        <f>$A1798*S1798*$T$1</f>
        <v>0</v>
      </c>
      <c r="AR1798" s="758"/>
      <c r="AS1798" s="753"/>
    </row>
    <row r="1799" spans="1:45" s="520" customFormat="1" ht="12.6" thickBot="1">
      <c r="A1799" s="761" t="s">
        <v>145</v>
      </c>
      <c r="B1799" s="762">
        <f>(R1798+T1798)</f>
        <v>0</v>
      </c>
      <c r="C1799" s="763"/>
      <c r="D1799" s="763"/>
      <c r="E1799" s="763"/>
      <c r="F1799" s="764"/>
      <c r="G1799" s="763" t="s">
        <v>146</v>
      </c>
      <c r="H1799" s="763"/>
      <c r="I1799" s="765"/>
      <c r="J1799" s="763"/>
      <c r="K1799" s="763" t="s">
        <v>3</v>
      </c>
      <c r="L1799" s="766" t="s">
        <v>143</v>
      </c>
      <c r="M1799" s="766"/>
      <c r="N1799" s="766"/>
      <c r="O1799" s="766"/>
      <c r="P1799" s="766"/>
      <c r="Q1799" s="767"/>
      <c r="R1799" s="768">
        <f ca="1">SUM(R1795:R1798)</f>
        <v>196.35000000000002</v>
      </c>
      <c r="S1799" s="763"/>
      <c r="T1799" s="768">
        <f ca="1">SUM(T1795:T1798)</f>
        <v>3.15</v>
      </c>
      <c r="U1799" s="531"/>
      <c r="V1799" s="531"/>
      <c r="W1799" s="531"/>
      <c r="X1799" s="531"/>
      <c r="Y1799" s="531"/>
      <c r="Z1799" s="531"/>
      <c r="AA1799" s="531"/>
      <c r="AB1799" s="531"/>
      <c r="AC1799" s="531"/>
      <c r="AD1799" s="531"/>
      <c r="AE1799" s="531"/>
      <c r="AF1799" s="531"/>
      <c r="AG1799" s="531"/>
      <c r="AH1799" s="531"/>
      <c r="AI1799" s="531"/>
      <c r="AJ1799" s="531"/>
      <c r="AK1799" s="531"/>
      <c r="AL1799" s="531"/>
      <c r="AM1799" s="531"/>
      <c r="AN1799" s="531"/>
      <c r="AO1799" s="531"/>
      <c r="AR1799" s="761" t="s">
        <v>145</v>
      </c>
      <c r="AS1799" s="764"/>
    </row>
    <row r="1800" spans="1:45" s="520" customFormat="1" ht="12" thickTop="1">
      <c r="A1800" s="51"/>
      <c r="B1800" s="41"/>
      <c r="C1800" s="51"/>
      <c r="E1800" s="42" t="s">
        <v>138</v>
      </c>
      <c r="F1800" s="42" t="s">
        <v>139</v>
      </c>
      <c r="G1800" s="51"/>
      <c r="H1800" s="51"/>
      <c r="I1800" s="51"/>
      <c r="J1800" s="51"/>
      <c r="K1800" s="51" t="s">
        <v>140</v>
      </c>
      <c r="L1800" s="51"/>
      <c r="M1800" s="51"/>
      <c r="N1800" s="51"/>
      <c r="O1800" s="52"/>
      <c r="P1800" s="51"/>
      <c r="Q1800" s="51"/>
      <c r="R1800" s="51"/>
      <c r="S1800" s="51"/>
      <c r="T1800" s="41"/>
      <c r="AG1800" s="521" t="s">
        <v>268</v>
      </c>
      <c r="AH1800" s="521" t="s">
        <v>269</v>
      </c>
      <c r="AI1800" s="521" t="s">
        <v>270</v>
      </c>
      <c r="AJ1800" s="521" t="s">
        <v>271</v>
      </c>
      <c r="AK1800" s="521" t="s">
        <v>272</v>
      </c>
      <c r="AM1800" s="745" t="s">
        <v>281</v>
      </c>
      <c r="AN1800" s="746" t="s">
        <v>282</v>
      </c>
      <c r="AO1800" s="522" t="s">
        <v>278</v>
      </c>
      <c r="AR1800" s="51"/>
      <c r="AS1800" s="42" t="s">
        <v>139</v>
      </c>
    </row>
    <row r="1801" spans="1:45" s="520" customFormat="1" ht="12" customHeight="1">
      <c r="A1801" s="747">
        <v>30</v>
      </c>
      <c r="B1801" s="523" t="s">
        <v>320</v>
      </c>
      <c r="C1801" s="748"/>
      <c r="D1801" s="749" t="s">
        <v>1388</v>
      </c>
      <c r="E1801" s="750">
        <f ca="1">IF(AND($A1801=0,$A$1="DIF"),0, ROUND(ROUND(($R1806*$S$2+($T1806*$T$2))/A1801,2)*$C$2,2))</f>
        <v>0</v>
      </c>
      <c r="F1801" s="751">
        <f ca="1">ROUND($A1801*$E1801,2)</f>
        <v>0</v>
      </c>
      <c r="G1801" s="752" t="s">
        <v>142</v>
      </c>
      <c r="H1801" s="753"/>
      <c r="I1801" s="754"/>
      <c r="J1801" s="753"/>
      <c r="K1801" s="753" t="s">
        <v>3</v>
      </c>
      <c r="L1801" s="755" t="s">
        <v>143</v>
      </c>
      <c r="M1801" s="755"/>
      <c r="N1801" s="755"/>
      <c r="O1801" s="755"/>
      <c r="P1801" s="755"/>
      <c r="Q1801" s="1058" t="s">
        <v>3848</v>
      </c>
      <c r="T1801" s="756" t="str">
        <f ca="1">IF(AND($R1806=0,$T1806=0),"0.00","mu :" &amp; ROUND($F1801/$C$2/($R1806+$T1806*$D$9),2))</f>
        <v>0.00</v>
      </c>
      <c r="W1801" s="524"/>
      <c r="AG1801" s="481">
        <f ca="1">IF($E1801=0,0,ROUND($R1806*$S$2*$C$2/$A1801,2))</f>
        <v>0</v>
      </c>
      <c r="AH1801" s="481">
        <f ca="1">$AG1801*$A1801</f>
        <v>0</v>
      </c>
      <c r="AI1801" s="525">
        <f ca="1">$E1801-$AG1801</f>
        <v>0</v>
      </c>
      <c r="AJ1801" s="525">
        <f ca="1">$A1801*$AI1801</f>
        <v>0</v>
      </c>
      <c r="AK1801" s="526">
        <f ca="1">ROUND(($AG1801+$AI1801)*$A1801,2)</f>
        <v>0</v>
      </c>
      <c r="AM1801" s="527">
        <f ca="1">ROUND(R1806,2)</f>
        <v>0</v>
      </c>
      <c r="AN1801" s="528">
        <f ca="1">ROUND(T1806,2)</f>
        <v>0</v>
      </c>
      <c r="AO1801" s="529">
        <f ca="1">ROUND(AM1801+AN1801,2)*A1801</f>
        <v>0</v>
      </c>
      <c r="AR1801" s="747">
        <v>30</v>
      </c>
      <c r="AS1801" s="751">
        <v>308.7</v>
      </c>
    </row>
    <row r="1802" spans="1:45" s="520" customFormat="1" ht="13.2">
      <c r="A1802" s="748"/>
      <c r="B1802"/>
      <c r="C1802" s="748"/>
      <c r="D1802" s="749" t="s">
        <v>1389</v>
      </c>
      <c r="F1802" s="753"/>
      <c r="G1802" s="3"/>
      <c r="H1802" s="753"/>
      <c r="I1802" s="754"/>
      <c r="J1802" s="753"/>
      <c r="K1802" s="753" t="s">
        <v>144</v>
      </c>
      <c r="L1802" s="753"/>
      <c r="M1802" s="753"/>
      <c r="N1802" s="753"/>
      <c r="O1802" s="753"/>
      <c r="P1802" s="753"/>
      <c r="Q1802" s="51"/>
      <c r="R1802" s="530"/>
      <c r="S1802" s="757"/>
      <c r="T1802" s="753"/>
      <c r="AR1802" s="748"/>
      <c r="AS1802" s="753"/>
    </row>
    <row r="1803" spans="1:45" s="1336" customFormat="1" ht="13.2">
      <c r="A1803" s="1086"/>
      <c r="B1803" s="1328"/>
      <c r="C1803" s="1328" t="s">
        <v>2597</v>
      </c>
      <c r="D1803" s="1328" t="str">
        <f ca="1">CELL("Address",Elec_Rates!D$437)</f>
        <v>[E25_0062_Quintano_Foods_Elec_ELV_As_Awarded.xlsx]Elec_Rates!$D$437</v>
      </c>
      <c r="E1803" s="1060"/>
      <c r="F1803" s="1060"/>
      <c r="G1803" s="1329" t="s">
        <v>2598</v>
      </c>
      <c r="H1803" s="1329"/>
      <c r="I1803" s="1329"/>
      <c r="J1803" s="1329"/>
      <c r="K1803" s="1330"/>
      <c r="L1803" s="1060"/>
      <c r="M1803" s="1060"/>
      <c r="N1803" s="1060"/>
      <c r="O1803" s="1331"/>
      <c r="P1803" s="1060"/>
      <c r="Q1803" s="1332"/>
      <c r="R1803" s="1333"/>
      <c r="S1803" s="1332"/>
      <c r="T1803" s="1334"/>
      <c r="U1803" s="1335"/>
      <c r="AR1803" s="1086"/>
      <c r="AS1803" s="1060"/>
    </row>
    <row r="1804" spans="1:45" s="1336" customFormat="1" ht="11.4">
      <c r="A1804" s="1337">
        <v>0</v>
      </c>
      <c r="B1804" s="1338">
        <v>1</v>
      </c>
      <c r="C1804" s="1338">
        <f>$A1804*$B1804</f>
        <v>0</v>
      </c>
      <c r="D1804" s="1339" t="str">
        <f>Elec_Rates!$D$437</f>
        <v>042# 5 x 6mm2 XLPE/SWA/LSZH</v>
      </c>
      <c r="E1804" s="1339"/>
      <c r="F1804" s="1339" t="s">
        <v>2599</v>
      </c>
      <c r="G1804" s="1340" t="s">
        <v>2601</v>
      </c>
      <c r="H1804" s="1340"/>
      <c r="I1804" s="1340"/>
      <c r="J1804" s="1340"/>
      <c r="K1804" s="1341"/>
      <c r="L1804" s="1335"/>
      <c r="M1804" s="1335"/>
      <c r="N1804" s="1335"/>
      <c r="O1804" s="1342"/>
      <c r="P1804" s="1339"/>
      <c r="Q1804" s="1343">
        <f ca="1">$B1804*Elec_Rates!$R$437</f>
        <v>5.61</v>
      </c>
      <c r="R1804" s="1333">
        <f ca="1">$A1804*Q1804</f>
        <v>0</v>
      </c>
      <c r="S1804" s="1343">
        <f ca="1">$B1804*Elec_Rates!$T$437</f>
        <v>0.09</v>
      </c>
      <c r="T1804" s="1334">
        <f ca="1">$A1804*S1804</f>
        <v>0</v>
      </c>
      <c r="U1804" s="1344"/>
      <c r="AR1804" s="1337">
        <v>30</v>
      </c>
      <c r="AS1804" s="1339" t="s">
        <v>2599</v>
      </c>
    </row>
    <row r="1805" spans="1:45" s="520" customFormat="1" ht="12">
      <c r="A1805" s="758"/>
      <c r="B1805" s="758"/>
      <c r="C1805" s="758"/>
      <c r="D1805" s="758"/>
      <c r="E1805" s="758"/>
      <c r="F1805" s="753"/>
      <c r="G1805" s="758"/>
      <c r="H1805" s="758"/>
      <c r="I1805" s="519"/>
      <c r="J1805" s="758"/>
      <c r="K1805" s="758"/>
      <c r="L1805" s="758"/>
      <c r="M1805" s="758"/>
      <c r="N1805" s="758"/>
      <c r="O1805" s="758"/>
      <c r="P1805" s="758"/>
      <c r="Q1805" s="519"/>
      <c r="R1805" s="759">
        <f>$A1805*Q1805</f>
        <v>0</v>
      </c>
      <c r="S1805" s="519"/>
      <c r="T1805" s="760">
        <f>$A1805*S1805*$T$1</f>
        <v>0</v>
      </c>
      <c r="AR1805" s="758"/>
      <c r="AS1805" s="753"/>
    </row>
    <row r="1806" spans="1:45" s="520" customFormat="1" ht="12.6" thickBot="1">
      <c r="A1806" s="761" t="s">
        <v>145</v>
      </c>
      <c r="B1806" s="762">
        <f>(R1805+T1805)</f>
        <v>0</v>
      </c>
      <c r="C1806" s="763"/>
      <c r="D1806" s="763"/>
      <c r="E1806" s="763"/>
      <c r="F1806" s="764"/>
      <c r="G1806" s="763" t="s">
        <v>146</v>
      </c>
      <c r="H1806" s="763"/>
      <c r="I1806" s="765"/>
      <c r="J1806" s="763"/>
      <c r="K1806" s="763" t="s">
        <v>3</v>
      </c>
      <c r="L1806" s="766" t="s">
        <v>143</v>
      </c>
      <c r="M1806" s="766"/>
      <c r="N1806" s="766"/>
      <c r="O1806" s="766"/>
      <c r="P1806" s="766"/>
      <c r="Q1806" s="767"/>
      <c r="R1806" s="768">
        <f ca="1">SUM(R1802:R1805)</f>
        <v>0</v>
      </c>
      <c r="S1806" s="763"/>
      <c r="T1806" s="768">
        <f ca="1">SUM(T1802:T1805)</f>
        <v>0</v>
      </c>
      <c r="U1806" s="531"/>
      <c r="V1806" s="531"/>
      <c r="W1806" s="531"/>
      <c r="X1806" s="531"/>
      <c r="Y1806" s="531"/>
      <c r="Z1806" s="531"/>
      <c r="AA1806" s="531"/>
      <c r="AB1806" s="531"/>
      <c r="AC1806" s="531"/>
      <c r="AD1806" s="531"/>
      <c r="AE1806" s="531"/>
      <c r="AF1806" s="531"/>
      <c r="AG1806" s="531"/>
      <c r="AH1806" s="531"/>
      <c r="AI1806" s="531"/>
      <c r="AJ1806" s="531"/>
      <c r="AK1806" s="531"/>
      <c r="AL1806" s="531"/>
      <c r="AM1806" s="531"/>
      <c r="AN1806" s="531"/>
      <c r="AO1806" s="531"/>
      <c r="AR1806" s="761" t="s">
        <v>145</v>
      </c>
      <c r="AS1806" s="764"/>
    </row>
    <row r="1807" spans="1:45" s="520" customFormat="1" thickTop="1">
      <c r="A1807" s="51"/>
      <c r="B1807" s="51"/>
      <c r="C1807" s="3"/>
      <c r="D1807" s="3"/>
      <c r="E1807" s="51"/>
      <c r="F1807" s="51"/>
      <c r="G1807" s="51"/>
      <c r="H1807" s="51"/>
      <c r="I1807" s="51"/>
      <c r="J1807" s="51"/>
      <c r="K1807" s="51" t="s">
        <v>134</v>
      </c>
      <c r="L1807" s="51"/>
      <c r="M1807" s="51"/>
      <c r="N1807" s="51"/>
      <c r="O1807" s="52"/>
      <c r="P1807" s="51"/>
      <c r="Q1807" s="51"/>
      <c r="R1807" s="51"/>
      <c r="S1807" s="51"/>
      <c r="T1807" s="51"/>
      <c r="AR1807" s="51"/>
      <c r="AS1807" s="51"/>
    </row>
    <row r="1808" spans="1:45" s="520" customFormat="1" ht="12">
      <c r="A1808" s="51"/>
      <c r="B1808" s="51"/>
      <c r="C1808" s="51" t="s">
        <v>135</v>
      </c>
      <c r="D1808" s="37"/>
      <c r="E1808" s="51"/>
      <c r="F1808" s="51"/>
      <c r="G1808" s="51"/>
      <c r="H1808" s="51"/>
      <c r="I1808" s="51"/>
      <c r="J1808" s="51"/>
      <c r="K1808" s="51"/>
      <c r="L1808" s="51"/>
      <c r="M1808" s="51"/>
      <c r="N1808" s="51"/>
      <c r="O1808" s="52"/>
      <c r="P1808" s="51"/>
      <c r="Q1808" s="51"/>
      <c r="R1808" s="51"/>
      <c r="S1808" s="51"/>
      <c r="T1808" s="51"/>
      <c r="AR1808" s="51"/>
      <c r="AS1808" s="51"/>
    </row>
    <row r="1809" spans="1:45" s="520" customFormat="1" ht="12">
      <c r="A1809" s="51"/>
      <c r="B1809" s="51"/>
      <c r="C1809" s="51"/>
      <c r="D1809" s="37" t="s">
        <v>463</v>
      </c>
      <c r="E1809" s="51"/>
      <c r="F1809" s="51"/>
      <c r="G1809" s="51"/>
      <c r="H1809" s="51"/>
      <c r="I1809" s="51"/>
      <c r="J1809" s="51"/>
      <c r="K1809" s="51"/>
      <c r="L1809" s="51"/>
      <c r="M1809" s="51"/>
      <c r="N1809" s="51"/>
      <c r="O1809" s="52"/>
      <c r="P1809" s="51"/>
      <c r="Q1809" s="51"/>
      <c r="R1809" s="51"/>
      <c r="S1809" s="38"/>
      <c r="T1809" s="38"/>
      <c r="AR1809" s="51"/>
      <c r="AS1809" s="51"/>
    </row>
    <row r="1810" spans="1:45" s="3" customFormat="1" thickBot="1">
      <c r="A1810" s="531"/>
      <c r="O1810" s="107"/>
      <c r="AR1810" s="531"/>
    </row>
    <row r="1811" spans="1:45" s="520" customFormat="1" ht="12" thickTop="1">
      <c r="A1811" s="51"/>
      <c r="B1811" s="41"/>
      <c r="C1811" s="51"/>
      <c r="E1811" s="42" t="s">
        <v>138</v>
      </c>
      <c r="F1811" s="42" t="s">
        <v>139</v>
      </c>
      <c r="G1811" s="51"/>
      <c r="H1811" s="51"/>
      <c r="I1811" s="51"/>
      <c r="J1811" s="51"/>
      <c r="K1811" s="51" t="s">
        <v>140</v>
      </c>
      <c r="L1811" s="51"/>
      <c r="M1811" s="51"/>
      <c r="N1811" s="51"/>
      <c r="O1811" s="52"/>
      <c r="P1811" s="51"/>
      <c r="Q1811" s="51"/>
      <c r="R1811" s="51"/>
      <c r="S1811" s="51"/>
      <c r="T1811" s="41"/>
      <c r="AG1811" s="521" t="s">
        <v>268</v>
      </c>
      <c r="AH1811" s="521" t="s">
        <v>269</v>
      </c>
      <c r="AI1811" s="521" t="s">
        <v>270</v>
      </c>
      <c r="AJ1811" s="521" t="s">
        <v>271</v>
      </c>
      <c r="AK1811" s="521" t="s">
        <v>272</v>
      </c>
      <c r="AM1811" s="745" t="s">
        <v>281</v>
      </c>
      <c r="AN1811" s="746" t="s">
        <v>282</v>
      </c>
      <c r="AO1811" s="522" t="s">
        <v>278</v>
      </c>
      <c r="AR1811" s="51"/>
      <c r="AS1811" s="42" t="s">
        <v>139</v>
      </c>
    </row>
    <row r="1812" spans="1:45" s="520" customFormat="1" ht="12" customHeight="1">
      <c r="A1812" s="747">
        <v>11</v>
      </c>
      <c r="B1812" s="523" t="s">
        <v>141</v>
      </c>
      <c r="C1812" s="748"/>
      <c r="D1812" s="749" t="s">
        <v>1390</v>
      </c>
      <c r="E1812" s="750">
        <f ca="1">IF(AND($A1812=0,$A$1="DIF"),0, ROUND(ROUND(($R1817*$S$2+($T1817*$T$2))/A1812,2)*$C$2,2))</f>
        <v>54.11</v>
      </c>
      <c r="F1812" s="751">
        <f ca="1">ROUND($A1812*$E1812,2)</f>
        <v>595.21</v>
      </c>
      <c r="G1812" s="752" t="s">
        <v>142</v>
      </c>
      <c r="H1812" s="753"/>
      <c r="I1812" s="754"/>
      <c r="J1812" s="753"/>
      <c r="K1812" s="753" t="s">
        <v>3</v>
      </c>
      <c r="L1812" s="755" t="s">
        <v>143</v>
      </c>
      <c r="M1812" s="755"/>
      <c r="N1812" s="755"/>
      <c r="O1812" s="755"/>
      <c r="P1812" s="755"/>
      <c r="Q1812" s="51"/>
      <c r="T1812" s="756" t="str">
        <f ca="1">IF(AND($R1817=0,$T1817=0),"0.00","mu :" &amp; ROUND($F1812/$C$2/($R1817+$T1817*$D$9),2))</f>
        <v>mu :1.23</v>
      </c>
      <c r="W1812" s="524"/>
      <c r="AG1812" s="481">
        <f ca="1">IF($E1812=0,0,ROUND($R1817*$S$2*$C$2/$A1812,2))</f>
        <v>43.29</v>
      </c>
      <c r="AH1812" s="481">
        <f ca="1">$AG1812*$A1812</f>
        <v>476.19</v>
      </c>
      <c r="AI1812" s="525">
        <f ca="1">$E1812-$AG1812</f>
        <v>10.82</v>
      </c>
      <c r="AJ1812" s="525">
        <f ca="1">$A1812*$AI1812</f>
        <v>119.02000000000001</v>
      </c>
      <c r="AK1812" s="526">
        <f ca="1">ROUND(($AG1812+$AI1812)*$A1812,2)</f>
        <v>595.21</v>
      </c>
      <c r="AM1812" s="527">
        <f ca="1">ROUND(R1817,2)</f>
        <v>386.76</v>
      </c>
      <c r="AN1812" s="528">
        <f ca="1">ROUND(T1817,2)</f>
        <v>3.52</v>
      </c>
      <c r="AO1812" s="529">
        <f ca="1">ROUND(AM1812+AN1812,2)*A1812</f>
        <v>4293.08</v>
      </c>
      <c r="AR1812" s="747">
        <v>22</v>
      </c>
      <c r="AS1812" s="751">
        <v>1212.8599999999999</v>
      </c>
    </row>
    <row r="1813" spans="1:45" s="520" customFormat="1" ht="13.2">
      <c r="A1813" s="748"/>
      <c r="B1813"/>
      <c r="C1813" s="748"/>
      <c r="D1813" s="749" t="s">
        <v>586</v>
      </c>
      <c r="F1813" s="753"/>
      <c r="G1813" s="3"/>
      <c r="H1813" s="753"/>
      <c r="I1813" s="754"/>
      <c r="J1813" s="753"/>
      <c r="K1813" s="753" t="s">
        <v>144</v>
      </c>
      <c r="L1813" s="753"/>
      <c r="M1813" s="753"/>
      <c r="N1813" s="753"/>
      <c r="O1813" s="753"/>
      <c r="P1813" s="753"/>
      <c r="Q1813" s="51"/>
      <c r="R1813" s="530"/>
      <c r="S1813" s="757"/>
      <c r="T1813" s="753"/>
      <c r="AR1813" s="748"/>
      <c r="AS1813" s="753"/>
    </row>
    <row r="1814" spans="1:45" s="886" customFormat="1" ht="13.2">
      <c r="A1814"/>
      <c r="B1814" s="910"/>
      <c r="C1814" s="910" t="s">
        <v>2597</v>
      </c>
      <c r="D1814" s="910" t="str">
        <f ca="1">CELL("Address",Elec_Rates!D$174)</f>
        <v>[E25_0062_Quintano_Foods_Elec_ELV_As_Awarded.xlsx]Elec_Rates!$D$174</v>
      </c>
      <c r="E1814" s="911"/>
      <c r="F1814" s="911"/>
      <c r="G1814" s="912" t="s">
        <v>2598</v>
      </c>
      <c r="H1814" s="912"/>
      <c r="I1814" s="912"/>
      <c r="J1814" s="912"/>
      <c r="K1814" s="913"/>
      <c r="L1814" s="911"/>
      <c r="M1814" s="911"/>
      <c r="N1814" s="911"/>
      <c r="O1814" s="914"/>
      <c r="P1814" s="911"/>
      <c r="Q1814" s="915"/>
      <c r="R1814" s="916"/>
      <c r="S1814" s="915"/>
      <c r="T1814" s="917"/>
      <c r="U1814" s="918"/>
      <c r="AR1814"/>
      <c r="AS1814" s="911"/>
    </row>
    <row r="1815" spans="1:45" s="886" customFormat="1" ht="11.4">
      <c r="A1815" s="919">
        <v>11</v>
      </c>
      <c r="B1815" s="920">
        <v>1</v>
      </c>
      <c r="C1815" s="920">
        <f>$A1815*$B1815</f>
        <v>11</v>
      </c>
      <c r="D1815" s="921" t="str">
        <f>Elec_Rates!$D$174</f>
        <v>016# 5Pin 16Amp IP67 Interlocked Socket outlet</v>
      </c>
      <c r="E1815" s="921"/>
      <c r="F1815" s="921" t="s">
        <v>2599</v>
      </c>
      <c r="G1815" s="922" t="s">
        <v>2601</v>
      </c>
      <c r="H1815" s="922"/>
      <c r="I1815" s="922"/>
      <c r="J1815" s="922"/>
      <c r="K1815" s="923"/>
      <c r="L1815" s="918"/>
      <c r="M1815" s="918"/>
      <c r="N1815" s="918"/>
      <c r="O1815" s="924"/>
      <c r="P1815" s="921"/>
      <c r="Q1815" s="925">
        <f ca="1">$B1815*Elec_Rates!$R$174</f>
        <v>35.159999999999997</v>
      </c>
      <c r="R1815" s="916">
        <f ca="1">$A1815*Q1815</f>
        <v>386.76</v>
      </c>
      <c r="S1815" s="925">
        <f ca="1">$B1815*Elec_Rates!$T$174</f>
        <v>0.32</v>
      </c>
      <c r="T1815" s="917">
        <f ca="1">$A1815*S1815</f>
        <v>3.52</v>
      </c>
      <c r="U1815" s="926"/>
      <c r="AR1815" s="919">
        <v>22</v>
      </c>
      <c r="AS1815" s="921" t="s">
        <v>2599</v>
      </c>
    </row>
    <row r="1816" spans="1:45" s="520" customFormat="1" ht="12">
      <c r="A1816" s="758"/>
      <c r="B1816" s="758"/>
      <c r="C1816" s="758"/>
      <c r="D1816" s="758"/>
      <c r="E1816" s="758"/>
      <c r="F1816" s="753"/>
      <c r="G1816" s="758"/>
      <c r="H1816" s="758"/>
      <c r="I1816" s="519"/>
      <c r="J1816" s="758"/>
      <c r="K1816" s="758"/>
      <c r="L1816" s="758"/>
      <c r="M1816" s="758"/>
      <c r="N1816" s="758"/>
      <c r="O1816" s="758"/>
      <c r="P1816" s="758"/>
      <c r="Q1816" s="519"/>
      <c r="R1816" s="759">
        <f>$A1816*Q1816</f>
        <v>0</v>
      </c>
      <c r="S1816" s="519"/>
      <c r="T1816" s="760">
        <f>$A1816*S1816*$T$1</f>
        <v>0</v>
      </c>
      <c r="AR1816" s="758"/>
      <c r="AS1816" s="753"/>
    </row>
    <row r="1817" spans="1:45" s="520" customFormat="1" ht="12.6" thickBot="1">
      <c r="A1817" s="761" t="s">
        <v>145</v>
      </c>
      <c r="B1817" s="762">
        <f>(R1816+T1816)</f>
        <v>0</v>
      </c>
      <c r="C1817" s="763"/>
      <c r="D1817" s="763"/>
      <c r="E1817" s="763"/>
      <c r="F1817" s="764"/>
      <c r="G1817" s="763" t="s">
        <v>146</v>
      </c>
      <c r="H1817" s="763"/>
      <c r="I1817" s="765"/>
      <c r="J1817" s="763"/>
      <c r="K1817" s="763" t="s">
        <v>3</v>
      </c>
      <c r="L1817" s="766" t="s">
        <v>143</v>
      </c>
      <c r="M1817" s="766"/>
      <c r="N1817" s="766"/>
      <c r="O1817" s="766"/>
      <c r="P1817" s="766"/>
      <c r="Q1817" s="767"/>
      <c r="R1817" s="768">
        <f ca="1">SUM(R1813:R1816)</f>
        <v>386.76</v>
      </c>
      <c r="S1817" s="763"/>
      <c r="T1817" s="768">
        <f ca="1">SUM(T1813:T1816)</f>
        <v>3.52</v>
      </c>
      <c r="U1817" s="531"/>
      <c r="V1817" s="531"/>
      <c r="W1817" s="531"/>
      <c r="X1817" s="531"/>
      <c r="Y1817" s="531"/>
      <c r="Z1817" s="531"/>
      <c r="AA1817" s="531"/>
      <c r="AB1817" s="531"/>
      <c r="AC1817" s="531"/>
      <c r="AD1817" s="531"/>
      <c r="AE1817" s="531"/>
      <c r="AF1817" s="531"/>
      <c r="AG1817" s="531"/>
      <c r="AH1817" s="531"/>
      <c r="AI1817" s="531"/>
      <c r="AJ1817" s="531"/>
      <c r="AK1817" s="531"/>
      <c r="AL1817" s="531"/>
      <c r="AM1817" s="531"/>
      <c r="AN1817" s="531"/>
      <c r="AO1817" s="531"/>
      <c r="AR1817" s="761" t="s">
        <v>145</v>
      </c>
      <c r="AS1817" s="764"/>
    </row>
    <row r="1818" spans="1:45" s="520" customFormat="1" thickTop="1">
      <c r="A1818" s="51"/>
      <c r="B1818" s="51"/>
      <c r="C1818" s="3"/>
      <c r="D1818" s="3"/>
      <c r="E1818" s="51"/>
      <c r="F1818" s="51"/>
      <c r="G1818" s="51"/>
      <c r="H1818" s="51"/>
      <c r="I1818" s="51"/>
      <c r="J1818" s="51"/>
      <c r="K1818" s="51" t="s">
        <v>134</v>
      </c>
      <c r="L1818" s="51"/>
      <c r="M1818" s="51"/>
      <c r="N1818" s="51"/>
      <c r="O1818" s="52"/>
      <c r="P1818" s="51"/>
      <c r="Q1818" s="51"/>
      <c r="R1818" s="51"/>
      <c r="S1818" s="51"/>
      <c r="T1818" s="51"/>
      <c r="AR1818" s="51"/>
      <c r="AS1818" s="51"/>
    </row>
    <row r="1819" spans="1:45" s="520" customFormat="1" ht="12">
      <c r="A1819" s="51"/>
      <c r="B1819" s="51"/>
      <c r="C1819" s="51" t="s">
        <v>135</v>
      </c>
      <c r="D1819" s="37"/>
      <c r="E1819" s="51"/>
      <c r="F1819" s="51"/>
      <c r="G1819" s="51"/>
      <c r="H1819" s="51"/>
      <c r="I1819" s="51"/>
      <c r="J1819" s="51"/>
      <c r="K1819" s="51"/>
      <c r="L1819" s="51"/>
      <c r="M1819" s="51"/>
      <c r="N1819" s="51"/>
      <c r="O1819" s="52"/>
      <c r="P1819" s="51"/>
      <c r="Q1819" s="51"/>
      <c r="R1819" s="51"/>
      <c r="S1819" s="51"/>
      <c r="T1819" s="51"/>
      <c r="AR1819" s="51"/>
      <c r="AS1819" s="51"/>
    </row>
    <row r="1820" spans="1:45" s="520" customFormat="1" ht="39.9" customHeight="1">
      <c r="A1820" s="51"/>
      <c r="B1820" s="51"/>
      <c r="C1820" s="51"/>
      <c r="D1820" s="1453" t="s">
        <v>498</v>
      </c>
      <c r="E1820" s="1452"/>
      <c r="F1820" s="1452"/>
      <c r="G1820" s="1452"/>
      <c r="H1820" s="1452"/>
      <c r="I1820" s="1452"/>
      <c r="J1820" s="1452"/>
      <c r="K1820" s="1452"/>
      <c r="L1820" s="1452"/>
      <c r="M1820" s="1452"/>
      <c r="N1820" s="1452"/>
      <c r="O1820" s="1452"/>
      <c r="P1820" s="1452"/>
      <c r="Q1820" s="1452"/>
      <c r="R1820" s="1452"/>
      <c r="S1820" s="1452"/>
      <c r="T1820" s="1452"/>
      <c r="AR1820" s="51"/>
    </row>
    <row r="1821" spans="1:45" s="3" customFormat="1" thickBot="1">
      <c r="A1821" s="531"/>
      <c r="O1821" s="107"/>
      <c r="AR1821" s="531"/>
    </row>
    <row r="1822" spans="1:45" s="520" customFormat="1" thickTop="1">
      <c r="A1822" s="51"/>
      <c r="B1822" s="51"/>
      <c r="C1822" s="3"/>
      <c r="D1822" s="3"/>
      <c r="E1822" s="51"/>
      <c r="F1822" s="51"/>
      <c r="G1822" s="51"/>
      <c r="H1822" s="51"/>
      <c r="I1822" s="51"/>
      <c r="J1822" s="51"/>
      <c r="K1822" s="51" t="s">
        <v>134</v>
      </c>
      <c r="L1822" s="51"/>
      <c r="M1822" s="51"/>
      <c r="N1822" s="51"/>
      <c r="O1822" s="52"/>
      <c r="P1822" s="51"/>
      <c r="Q1822" s="51"/>
      <c r="R1822" s="51"/>
      <c r="S1822" s="51"/>
      <c r="T1822" s="51"/>
      <c r="AR1822" s="51"/>
      <c r="AS1822" s="51"/>
    </row>
    <row r="1823" spans="1:45" s="520" customFormat="1" ht="12">
      <c r="A1823" s="51"/>
      <c r="B1823" s="51"/>
      <c r="C1823" s="51" t="s">
        <v>135</v>
      </c>
      <c r="D1823" s="37"/>
      <c r="E1823" s="51"/>
      <c r="F1823" s="51"/>
      <c r="G1823" s="51"/>
      <c r="H1823" s="51"/>
      <c r="I1823" s="51"/>
      <c r="J1823" s="51"/>
      <c r="K1823" s="51"/>
      <c r="L1823" s="51"/>
      <c r="M1823" s="51"/>
      <c r="N1823" s="51"/>
      <c r="O1823" s="52"/>
      <c r="P1823" s="51"/>
      <c r="Q1823" s="51"/>
      <c r="R1823" s="51"/>
      <c r="S1823" s="51"/>
      <c r="T1823" s="51"/>
      <c r="AR1823" s="51"/>
      <c r="AS1823" s="51"/>
    </row>
    <row r="1824" spans="1:45" s="520" customFormat="1" ht="12">
      <c r="A1824" s="51"/>
      <c r="B1824" s="51"/>
      <c r="C1824" s="51"/>
      <c r="D1824" s="37" t="s">
        <v>632</v>
      </c>
      <c r="E1824" s="51"/>
      <c r="F1824" s="51"/>
      <c r="G1824" s="51"/>
      <c r="H1824" s="51"/>
      <c r="I1824" s="51"/>
      <c r="J1824" s="51"/>
      <c r="K1824" s="51"/>
      <c r="L1824" s="51"/>
      <c r="M1824" s="51"/>
      <c r="N1824" s="51"/>
      <c r="O1824" s="52"/>
      <c r="P1824" s="51"/>
      <c r="Q1824" s="51"/>
      <c r="R1824" s="51"/>
      <c r="S1824" s="38"/>
      <c r="T1824" s="38"/>
      <c r="AR1824" s="51"/>
      <c r="AS1824" s="51"/>
    </row>
    <row r="1825" spans="1:45" s="3" customFormat="1" thickBot="1">
      <c r="A1825" s="531"/>
      <c r="O1825" s="107"/>
      <c r="AR1825" s="531"/>
    </row>
    <row r="1826" spans="1:45" s="520" customFormat="1" ht="12" thickTop="1">
      <c r="A1826" s="51"/>
      <c r="B1826" s="41"/>
      <c r="C1826" s="51"/>
      <c r="E1826" s="42" t="s">
        <v>138</v>
      </c>
      <c r="F1826" s="42" t="s">
        <v>139</v>
      </c>
      <c r="G1826" s="51"/>
      <c r="H1826" s="51"/>
      <c r="I1826" s="51"/>
      <c r="J1826" s="51"/>
      <c r="K1826" s="51" t="s">
        <v>140</v>
      </c>
      <c r="L1826" s="51"/>
      <c r="M1826" s="51"/>
      <c r="N1826" s="51"/>
      <c r="O1826" s="52"/>
      <c r="P1826" s="51"/>
      <c r="Q1826" s="51"/>
      <c r="R1826" s="51"/>
      <c r="S1826" s="51"/>
      <c r="T1826" s="41"/>
      <c r="AG1826" s="521" t="s">
        <v>268</v>
      </c>
      <c r="AH1826" s="521" t="s">
        <v>269</v>
      </c>
      <c r="AI1826" s="521" t="s">
        <v>270</v>
      </c>
      <c r="AJ1826" s="521" t="s">
        <v>271</v>
      </c>
      <c r="AK1826" s="521" t="s">
        <v>272</v>
      </c>
      <c r="AM1826" s="745" t="s">
        <v>281</v>
      </c>
      <c r="AN1826" s="746" t="s">
        <v>282</v>
      </c>
      <c r="AO1826" s="522" t="s">
        <v>278</v>
      </c>
      <c r="AR1826" s="51"/>
      <c r="AS1826" s="42" t="s">
        <v>139</v>
      </c>
    </row>
    <row r="1827" spans="1:45" s="520" customFormat="1" ht="12" customHeight="1">
      <c r="A1827" s="747">
        <v>20</v>
      </c>
      <c r="B1827" s="523" t="s">
        <v>320</v>
      </c>
      <c r="C1827" s="748"/>
      <c r="D1827" s="749" t="s">
        <v>1391</v>
      </c>
      <c r="E1827" s="750">
        <f ca="1">IF(AND($A1827=0,$A$1="DIF"),0, ROUND(ROUND(($R1832*$S$2+($T1832*$T$2))/A1827,2)*$C$2,2))</f>
        <v>8.18</v>
      </c>
      <c r="F1827" s="751">
        <f ca="1">ROUND($A1827*$E1827,2)</f>
        <v>163.6</v>
      </c>
      <c r="G1827" s="752" t="s">
        <v>142</v>
      </c>
      <c r="H1827" s="753"/>
      <c r="I1827" s="754"/>
      <c r="J1827" s="753"/>
      <c r="K1827" s="753" t="s">
        <v>3</v>
      </c>
      <c r="L1827" s="755" t="s">
        <v>143</v>
      </c>
      <c r="M1827" s="755"/>
      <c r="N1827" s="755"/>
      <c r="O1827" s="755"/>
      <c r="P1827" s="755"/>
      <c r="Q1827" s="51"/>
      <c r="T1827" s="756" t="str">
        <f ca="1">IF(AND($R1832=0,$T1832=0),"0.00","mu :" &amp; ROUND($F1827/$C$2/($R1832+$T1832*$D$9),2))</f>
        <v>mu :1.23</v>
      </c>
      <c r="W1827" s="524"/>
      <c r="AG1827" s="481">
        <f ca="1">IF($E1827=0,0,ROUND($R1832*$S$2*$C$2/$A1827,2))</f>
        <v>5.13</v>
      </c>
      <c r="AH1827" s="481">
        <f ca="1">$AG1827*$A1827</f>
        <v>102.6</v>
      </c>
      <c r="AI1827" s="525">
        <f ca="1">$E1827-$AG1827</f>
        <v>3.05</v>
      </c>
      <c r="AJ1827" s="525">
        <f ca="1">$A1827*$AI1827</f>
        <v>61</v>
      </c>
      <c r="AK1827" s="526">
        <f ca="1">ROUND(($AG1827+$AI1827)*$A1827,2)</f>
        <v>163.6</v>
      </c>
      <c r="AM1827" s="527">
        <f ca="1">ROUND(R1832,2)</f>
        <v>83.4</v>
      </c>
      <c r="AN1827" s="528">
        <f ca="1">ROUND(T1832,2)</f>
        <v>1.8</v>
      </c>
      <c r="AO1827" s="529">
        <f ca="1">ROUND(AM1827+AN1827,2)*A1827</f>
        <v>1704</v>
      </c>
      <c r="AR1827" s="747">
        <v>20</v>
      </c>
      <c r="AS1827" s="751">
        <v>170.4</v>
      </c>
    </row>
    <row r="1828" spans="1:45" s="520" customFormat="1" ht="13.2">
      <c r="A1828" s="748"/>
      <c r="B1828"/>
      <c r="C1828" s="748"/>
      <c r="D1828" s="749" t="s">
        <v>1392</v>
      </c>
      <c r="F1828" s="753"/>
      <c r="G1828" s="3"/>
      <c r="H1828" s="753"/>
      <c r="I1828" s="754"/>
      <c r="J1828" s="753"/>
      <c r="K1828" s="753" t="s">
        <v>144</v>
      </c>
      <c r="L1828" s="753"/>
      <c r="M1828" s="753"/>
      <c r="N1828" s="753"/>
      <c r="O1828" s="753"/>
      <c r="P1828" s="753"/>
      <c r="Q1828" s="51"/>
      <c r="R1828" s="530"/>
      <c r="S1828" s="757"/>
      <c r="T1828" s="753"/>
      <c r="AR1828" s="748"/>
      <c r="AS1828" s="753"/>
    </row>
    <row r="1829" spans="1:45" s="886" customFormat="1" ht="13.2">
      <c r="A1829"/>
      <c r="B1829" s="910"/>
      <c r="C1829" s="910" t="s">
        <v>2597</v>
      </c>
      <c r="D1829" s="910" t="str">
        <f ca="1">CELL("Address",Elec_Rates!D$468)</f>
        <v>[E25_0062_Quintano_Foods_Elec_ELV_As_Awarded.xlsx]Elec_Rates!$D$468</v>
      </c>
      <c r="E1829" s="911"/>
      <c r="F1829" s="911"/>
      <c r="G1829" s="912" t="s">
        <v>2598</v>
      </c>
      <c r="H1829" s="912"/>
      <c r="I1829" s="912"/>
      <c r="J1829" s="912"/>
      <c r="K1829" s="913"/>
      <c r="L1829" s="911"/>
      <c r="M1829" s="911"/>
      <c r="N1829" s="911"/>
      <c r="O1829" s="914"/>
      <c r="P1829" s="911"/>
      <c r="Q1829" s="915"/>
      <c r="R1829" s="916"/>
      <c r="S1829" s="915"/>
      <c r="T1829" s="917"/>
      <c r="U1829" s="918"/>
      <c r="AR1829"/>
      <c r="AS1829" s="911"/>
    </row>
    <row r="1830" spans="1:45" s="886" customFormat="1" ht="11.4">
      <c r="A1830" s="919">
        <v>20</v>
      </c>
      <c r="B1830" s="920">
        <v>1</v>
      </c>
      <c r="C1830" s="920">
        <f>$A1830*$B1830</f>
        <v>20</v>
      </c>
      <c r="D1830" s="921" t="str">
        <f>Elec_Rates!$D$468</f>
        <v>045# 5 x 4mm2 XLPE/SWA/LSZH</v>
      </c>
      <c r="E1830" s="921"/>
      <c r="F1830" s="921" t="s">
        <v>2599</v>
      </c>
      <c r="G1830" s="922" t="s">
        <v>2600</v>
      </c>
      <c r="H1830" s="922"/>
      <c r="I1830" s="922"/>
      <c r="J1830" s="922"/>
      <c r="K1830" s="923"/>
      <c r="L1830" s="918"/>
      <c r="M1830" s="918"/>
      <c r="N1830" s="918"/>
      <c r="O1830" s="924"/>
      <c r="P1830" s="921"/>
      <c r="Q1830" s="925">
        <f ca="1">$B1830*Elec_Rates!$R$468</f>
        <v>4.17</v>
      </c>
      <c r="R1830" s="916">
        <f ca="1">$A1830*Q1830</f>
        <v>83.4</v>
      </c>
      <c r="S1830" s="925">
        <f ca="1">$B1830*Elec_Rates!$T$468</f>
        <v>0.09</v>
      </c>
      <c r="T1830" s="917">
        <f ca="1">$A1830*S1830</f>
        <v>1.7999999999999998</v>
      </c>
      <c r="U1830" s="926"/>
      <c r="AR1830" s="919">
        <v>20</v>
      </c>
      <c r="AS1830" s="921" t="s">
        <v>2599</v>
      </c>
    </row>
    <row r="1831" spans="1:45" s="520" customFormat="1" ht="12">
      <c r="A1831" s="758"/>
      <c r="B1831" s="758"/>
      <c r="C1831" s="758"/>
      <c r="D1831" s="758"/>
      <c r="E1831" s="758"/>
      <c r="F1831" s="753"/>
      <c r="G1831" s="758"/>
      <c r="H1831" s="758"/>
      <c r="I1831" s="519"/>
      <c r="J1831" s="758"/>
      <c r="K1831" s="758"/>
      <c r="L1831" s="758"/>
      <c r="M1831" s="758"/>
      <c r="N1831" s="758"/>
      <c r="O1831" s="758"/>
      <c r="P1831" s="758"/>
      <c r="Q1831" s="519"/>
      <c r="R1831" s="759">
        <f>$A1831*Q1831</f>
        <v>0</v>
      </c>
      <c r="S1831" s="519"/>
      <c r="T1831" s="760">
        <f>$A1831*S1831*$T$1</f>
        <v>0</v>
      </c>
      <c r="AR1831" s="758"/>
      <c r="AS1831" s="753"/>
    </row>
    <row r="1832" spans="1:45" s="520" customFormat="1" ht="12.6" thickBot="1">
      <c r="A1832" s="761" t="s">
        <v>145</v>
      </c>
      <c r="B1832" s="762">
        <f>(R1831+T1831)</f>
        <v>0</v>
      </c>
      <c r="C1832" s="763"/>
      <c r="D1832" s="763"/>
      <c r="E1832" s="763"/>
      <c r="F1832" s="764"/>
      <c r="G1832" s="763" t="s">
        <v>146</v>
      </c>
      <c r="H1832" s="763"/>
      <c r="I1832" s="765"/>
      <c r="J1832" s="763"/>
      <c r="K1832" s="763" t="s">
        <v>3</v>
      </c>
      <c r="L1832" s="766" t="s">
        <v>143</v>
      </c>
      <c r="M1832" s="766"/>
      <c r="N1832" s="766"/>
      <c r="O1832" s="766"/>
      <c r="P1832" s="766"/>
      <c r="Q1832" s="767"/>
      <c r="R1832" s="768">
        <f ca="1">SUM(R1828:R1831)</f>
        <v>83.4</v>
      </c>
      <c r="S1832" s="763"/>
      <c r="T1832" s="768">
        <f ca="1">SUM(T1828:T1831)</f>
        <v>1.7999999999999998</v>
      </c>
      <c r="U1832" s="531"/>
      <c r="V1832" s="531"/>
      <c r="W1832" s="531"/>
      <c r="X1832" s="531"/>
      <c r="Y1832" s="531"/>
      <c r="Z1832" s="531"/>
      <c r="AA1832" s="531"/>
      <c r="AB1832" s="531"/>
      <c r="AC1832" s="531"/>
      <c r="AD1832" s="531"/>
      <c r="AE1832" s="531"/>
      <c r="AF1832" s="531"/>
      <c r="AG1832" s="531"/>
      <c r="AH1832" s="531"/>
      <c r="AI1832" s="531"/>
      <c r="AJ1832" s="531"/>
      <c r="AK1832" s="531"/>
      <c r="AL1832" s="531"/>
      <c r="AM1832" s="531"/>
      <c r="AN1832" s="531"/>
      <c r="AO1832" s="531"/>
      <c r="AR1832" s="761" t="s">
        <v>145</v>
      </c>
      <c r="AS1832" s="764"/>
    </row>
    <row r="1833" spans="1:45" s="520" customFormat="1" thickTop="1">
      <c r="A1833" s="51"/>
      <c r="B1833" s="51"/>
      <c r="C1833" s="3"/>
      <c r="D1833" s="3"/>
      <c r="E1833" s="51"/>
      <c r="F1833" s="51"/>
      <c r="G1833" s="51"/>
      <c r="H1833" s="51"/>
      <c r="I1833" s="51"/>
      <c r="J1833" s="51"/>
      <c r="K1833" s="51" t="s">
        <v>134</v>
      </c>
      <c r="L1833" s="51"/>
      <c r="M1833" s="51"/>
      <c r="N1833" s="51"/>
      <c r="O1833" s="52"/>
      <c r="P1833" s="51"/>
      <c r="Q1833" s="51"/>
      <c r="R1833" s="51"/>
      <c r="S1833" s="51"/>
      <c r="T1833" s="51"/>
      <c r="AR1833" s="51"/>
      <c r="AS1833" s="51"/>
    </row>
    <row r="1834" spans="1:45" s="520" customFormat="1" ht="12">
      <c r="A1834" s="51"/>
      <c r="B1834" s="51"/>
      <c r="C1834" s="51" t="s">
        <v>135</v>
      </c>
      <c r="D1834" s="37"/>
      <c r="E1834" s="51"/>
      <c r="F1834" s="51"/>
      <c r="G1834" s="51"/>
      <c r="H1834" s="51"/>
      <c r="I1834" s="51"/>
      <c r="J1834" s="51"/>
      <c r="K1834" s="51"/>
      <c r="L1834" s="51"/>
      <c r="M1834" s="51"/>
      <c r="N1834" s="51"/>
      <c r="O1834" s="52"/>
      <c r="P1834" s="51"/>
      <c r="Q1834" s="51"/>
      <c r="R1834" s="51"/>
      <c r="S1834" s="51"/>
      <c r="T1834" s="51"/>
      <c r="AR1834" s="51"/>
      <c r="AS1834" s="51"/>
    </row>
    <row r="1835" spans="1:45" s="520" customFormat="1" ht="12">
      <c r="A1835" s="51"/>
      <c r="B1835" s="51"/>
      <c r="C1835" s="51"/>
      <c r="D1835" s="37" t="s">
        <v>463</v>
      </c>
      <c r="E1835" s="51"/>
      <c r="F1835" s="51"/>
      <c r="G1835" s="51"/>
      <c r="H1835" s="51"/>
      <c r="I1835" s="51"/>
      <c r="J1835" s="51"/>
      <c r="K1835" s="51"/>
      <c r="L1835" s="51"/>
      <c r="M1835" s="51"/>
      <c r="N1835" s="51"/>
      <c r="O1835" s="52"/>
      <c r="P1835" s="51"/>
      <c r="Q1835" s="51"/>
      <c r="R1835" s="51"/>
      <c r="S1835" s="38"/>
      <c r="T1835" s="38"/>
      <c r="AR1835" s="51"/>
      <c r="AS1835" s="51"/>
    </row>
    <row r="1836" spans="1:45" s="3" customFormat="1" thickBot="1">
      <c r="A1836" s="531"/>
      <c r="O1836" s="107"/>
      <c r="AR1836" s="531"/>
    </row>
    <row r="1837" spans="1:45" s="520" customFormat="1" ht="12" thickTop="1">
      <c r="A1837" s="51"/>
      <c r="B1837" s="41"/>
      <c r="C1837" s="51"/>
      <c r="E1837" s="42" t="s">
        <v>138</v>
      </c>
      <c r="F1837" s="42" t="s">
        <v>139</v>
      </c>
      <c r="G1837" s="51"/>
      <c r="H1837" s="51"/>
      <c r="I1837" s="51"/>
      <c r="J1837" s="51"/>
      <c r="K1837" s="51" t="s">
        <v>140</v>
      </c>
      <c r="L1837" s="51"/>
      <c r="M1837" s="51"/>
      <c r="N1837" s="51"/>
      <c r="O1837" s="52"/>
      <c r="P1837" s="51"/>
      <c r="Q1837" s="51"/>
      <c r="R1837" s="51"/>
      <c r="S1837" s="51"/>
      <c r="T1837" s="41"/>
      <c r="AG1837" s="521" t="s">
        <v>268</v>
      </c>
      <c r="AH1837" s="521" t="s">
        <v>269</v>
      </c>
      <c r="AI1837" s="521" t="s">
        <v>270</v>
      </c>
      <c r="AJ1837" s="521" t="s">
        <v>271</v>
      </c>
      <c r="AK1837" s="521" t="s">
        <v>272</v>
      </c>
      <c r="AM1837" s="745" t="s">
        <v>281</v>
      </c>
      <c r="AN1837" s="746" t="s">
        <v>282</v>
      </c>
      <c r="AO1837" s="522" t="s">
        <v>278</v>
      </c>
      <c r="AR1837" s="51"/>
      <c r="AS1837" s="42" t="s">
        <v>139</v>
      </c>
    </row>
    <row r="1838" spans="1:45" s="520" customFormat="1" ht="12" customHeight="1">
      <c r="A1838" s="747">
        <v>1</v>
      </c>
      <c r="B1838" s="523" t="s">
        <v>141</v>
      </c>
      <c r="C1838" s="748"/>
      <c r="D1838" s="749" t="s">
        <v>1393</v>
      </c>
      <c r="E1838" s="750">
        <f ca="1">IF(AND($A1838=0,$A$1="DIF"),0, ROUND(ROUND(($R1843*$S$2+($T1843*$T$2))/A1838,2)*$C$2,2))</f>
        <v>57.79</v>
      </c>
      <c r="F1838" s="751">
        <f ca="1">ROUND($A1838*$E1838,2)</f>
        <v>57.79</v>
      </c>
      <c r="G1838" s="752" t="s">
        <v>142</v>
      </c>
      <c r="H1838" s="753"/>
      <c r="I1838" s="754"/>
      <c r="J1838" s="753"/>
      <c r="K1838" s="753" t="s">
        <v>3</v>
      </c>
      <c r="L1838" s="755" t="s">
        <v>143</v>
      </c>
      <c r="M1838" s="755"/>
      <c r="N1838" s="755"/>
      <c r="O1838" s="755"/>
      <c r="P1838" s="755"/>
      <c r="Q1838" s="51"/>
      <c r="T1838" s="756" t="str">
        <f ca="1">IF(AND($R1843=0,$T1843=0),"0.00","mu :" &amp; ROUND($F1838/$C$2/($R1843+$T1843*$D$9),2))</f>
        <v>mu :1.23</v>
      </c>
      <c r="W1838" s="524"/>
      <c r="AG1838" s="481">
        <f ca="1">IF($E1838=0,0,ROUND($R1843*$S$2*$C$2/$A1838,2))</f>
        <v>33.44</v>
      </c>
      <c r="AH1838" s="481">
        <f ca="1">$AG1838*$A1838</f>
        <v>33.44</v>
      </c>
      <c r="AI1838" s="525">
        <f ca="1">$E1838-$AG1838</f>
        <v>24.35</v>
      </c>
      <c r="AJ1838" s="525">
        <f ca="1">$A1838*$AI1838</f>
        <v>24.35</v>
      </c>
      <c r="AK1838" s="526">
        <f ca="1">ROUND(($AG1838+$AI1838)*$A1838,2)</f>
        <v>57.79</v>
      </c>
      <c r="AM1838" s="527">
        <f ca="1">ROUND(R1843,2)</f>
        <v>27.16</v>
      </c>
      <c r="AN1838" s="528">
        <f ca="1">ROUND(T1843,2)</f>
        <v>0.72</v>
      </c>
      <c r="AO1838" s="529">
        <f ca="1">ROUND(AM1838+AN1838,2)*A1838</f>
        <v>27.88</v>
      </c>
      <c r="AR1838" s="747">
        <v>1</v>
      </c>
      <c r="AS1838" s="751">
        <v>60.49</v>
      </c>
    </row>
    <row r="1839" spans="1:45" s="520" customFormat="1" ht="13.2">
      <c r="A1839" s="748"/>
      <c r="B1839"/>
      <c r="C1839" s="748"/>
      <c r="D1839" s="749" t="s">
        <v>701</v>
      </c>
      <c r="F1839" s="753"/>
      <c r="G1839" s="3"/>
      <c r="H1839" s="753"/>
      <c r="I1839" s="754"/>
      <c r="J1839" s="753"/>
      <c r="K1839" s="753" t="s">
        <v>144</v>
      </c>
      <c r="L1839" s="753"/>
      <c r="M1839" s="753"/>
      <c r="N1839" s="753"/>
      <c r="O1839" s="753"/>
      <c r="P1839" s="753"/>
      <c r="Q1839" s="51"/>
      <c r="R1839" s="530"/>
      <c r="S1839" s="757"/>
      <c r="T1839" s="753"/>
      <c r="AR1839" s="748"/>
      <c r="AS1839" s="753"/>
    </row>
    <row r="1840" spans="1:45" s="886" customFormat="1" ht="13.2">
      <c r="A1840"/>
      <c r="B1840" s="910"/>
      <c r="C1840" s="910" t="s">
        <v>2597</v>
      </c>
      <c r="D1840" s="910" t="str">
        <f ca="1">CELL("Address",Elec_Rates!D$210)</f>
        <v>[E25_0062_Quintano_Foods_Elec_ELV_As_Awarded.xlsx]Elec_Rates!$D$210</v>
      </c>
      <c r="E1840" s="911"/>
      <c r="F1840" s="911"/>
      <c r="G1840" s="912" t="s">
        <v>2598</v>
      </c>
      <c r="H1840" s="912"/>
      <c r="I1840" s="912"/>
      <c r="J1840" s="912"/>
      <c r="K1840" s="913"/>
      <c r="L1840" s="911"/>
      <c r="M1840" s="911"/>
      <c r="N1840" s="911"/>
      <c r="O1840" s="914"/>
      <c r="P1840" s="911"/>
      <c r="Q1840" s="915"/>
      <c r="R1840" s="916"/>
      <c r="S1840" s="915"/>
      <c r="T1840" s="917"/>
      <c r="U1840" s="918"/>
      <c r="AR1840"/>
      <c r="AS1840" s="911"/>
    </row>
    <row r="1841" spans="1:45" s="886" customFormat="1" ht="11.4">
      <c r="A1841" s="919">
        <v>1</v>
      </c>
      <c r="B1841" s="920">
        <v>1</v>
      </c>
      <c r="C1841" s="920">
        <f>$A1841*$B1841</f>
        <v>1</v>
      </c>
      <c r="D1841" s="921" t="str">
        <f>Elec_Rates!$D$210</f>
        <v>020# 3-Phase 20/25/32A Isolator</v>
      </c>
      <c r="E1841" s="921"/>
      <c r="F1841" s="921" t="s">
        <v>2599</v>
      </c>
      <c r="G1841" s="922" t="s">
        <v>2601</v>
      </c>
      <c r="H1841" s="922"/>
      <c r="I1841" s="922"/>
      <c r="J1841" s="922"/>
      <c r="K1841" s="923"/>
      <c r="L1841" s="918"/>
      <c r="M1841" s="918"/>
      <c r="N1841" s="918"/>
      <c r="O1841" s="924"/>
      <c r="P1841" s="921"/>
      <c r="Q1841" s="925">
        <f ca="1">$B1841*Elec_Rates!$R$210</f>
        <v>27.16</v>
      </c>
      <c r="R1841" s="916">
        <f ca="1">$A1841*Q1841</f>
        <v>27.16</v>
      </c>
      <c r="S1841" s="925">
        <f ca="1">$B1841*Elec_Rates!$T$210</f>
        <v>0.72</v>
      </c>
      <c r="T1841" s="917">
        <f ca="1">$A1841*S1841</f>
        <v>0.72</v>
      </c>
      <c r="U1841" s="926"/>
      <c r="AR1841" s="919">
        <v>1</v>
      </c>
      <c r="AS1841" s="921" t="s">
        <v>2599</v>
      </c>
    </row>
    <row r="1842" spans="1:45" s="520" customFormat="1" ht="12">
      <c r="A1842" s="758"/>
      <c r="B1842" s="758"/>
      <c r="C1842" s="758"/>
      <c r="D1842" s="758"/>
      <c r="E1842" s="758"/>
      <c r="F1842" s="753"/>
      <c r="G1842" s="758"/>
      <c r="H1842" s="758"/>
      <c r="I1842" s="519"/>
      <c r="J1842" s="758"/>
      <c r="K1842" s="758"/>
      <c r="L1842" s="758"/>
      <c r="M1842" s="758"/>
      <c r="N1842" s="758"/>
      <c r="O1842" s="758"/>
      <c r="P1842" s="758"/>
      <c r="Q1842" s="519"/>
      <c r="R1842" s="759">
        <f>$A1842*Q1842</f>
        <v>0</v>
      </c>
      <c r="S1842" s="519"/>
      <c r="T1842" s="760">
        <f>$A1842*S1842*$T$1</f>
        <v>0</v>
      </c>
      <c r="AR1842" s="758"/>
      <c r="AS1842" s="753"/>
    </row>
    <row r="1843" spans="1:45" s="520" customFormat="1" ht="12.6" thickBot="1">
      <c r="A1843" s="761" t="s">
        <v>145</v>
      </c>
      <c r="B1843" s="762">
        <f>(R1842+T1842)</f>
        <v>0</v>
      </c>
      <c r="C1843" s="763"/>
      <c r="D1843" s="763"/>
      <c r="E1843" s="763"/>
      <c r="F1843" s="764"/>
      <c r="G1843" s="763" t="s">
        <v>146</v>
      </c>
      <c r="H1843" s="763"/>
      <c r="I1843" s="765"/>
      <c r="J1843" s="763"/>
      <c r="K1843" s="763" t="s">
        <v>3</v>
      </c>
      <c r="L1843" s="766" t="s">
        <v>143</v>
      </c>
      <c r="M1843" s="766"/>
      <c r="N1843" s="766"/>
      <c r="O1843" s="766"/>
      <c r="P1843" s="766"/>
      <c r="Q1843" s="767"/>
      <c r="R1843" s="768">
        <f ca="1">SUM(R1839:R1842)</f>
        <v>27.16</v>
      </c>
      <c r="S1843" s="763"/>
      <c r="T1843" s="768">
        <f ca="1">SUM(T1839:T1842)</f>
        <v>0.72</v>
      </c>
      <c r="U1843" s="531"/>
      <c r="V1843" s="531"/>
      <c r="W1843" s="531"/>
      <c r="X1843" s="531"/>
      <c r="Y1843" s="531"/>
      <c r="Z1843" s="531"/>
      <c r="AA1843" s="531"/>
      <c r="AB1843" s="531"/>
      <c r="AC1843" s="531"/>
      <c r="AD1843" s="531"/>
      <c r="AE1843" s="531"/>
      <c r="AF1843" s="531"/>
      <c r="AG1843" s="531"/>
      <c r="AH1843" s="531"/>
      <c r="AI1843" s="531"/>
      <c r="AJ1843" s="531"/>
      <c r="AK1843" s="531"/>
      <c r="AL1843" s="531"/>
      <c r="AM1843" s="531"/>
      <c r="AN1843" s="531"/>
      <c r="AO1843" s="531"/>
      <c r="AR1843" s="761" t="s">
        <v>145</v>
      </c>
      <c r="AS1843" s="764"/>
    </row>
    <row r="1844" spans="1:45" s="520" customFormat="1" ht="12" thickTop="1">
      <c r="A1844" s="48" t="s">
        <v>148</v>
      </c>
      <c r="D1844" s="13"/>
      <c r="E1844" s="42"/>
      <c r="O1844" s="771"/>
      <c r="AR1844" s="48" t="s">
        <v>148</v>
      </c>
    </row>
    <row r="1845" spans="1:45" s="520" customFormat="1" ht="13.2">
      <c r="B1845" s="3"/>
      <c r="O1845" s="771"/>
    </row>
    <row r="1846" spans="1:45" s="520" customFormat="1" ht="12">
      <c r="B1846" s="772">
        <f ca="1">$F1846/$C$2-($R1846*$S$2+$T1846*$T$2)</f>
        <v>0.25759592640315532</v>
      </c>
      <c r="D1846" s="773" t="s">
        <v>3626</v>
      </c>
      <c r="E1846" s="774"/>
      <c r="F1846" s="775">
        <f ca="1">SUMIF($L1457:$L1844,"ITEM",F1457:F1844)</f>
        <v>21435.21</v>
      </c>
      <c r="G1846" s="758"/>
      <c r="H1846" s="758"/>
      <c r="I1846" s="519"/>
      <c r="J1846" s="758"/>
      <c r="K1846" s="758"/>
      <c r="L1846" s="755" t="s">
        <v>157</v>
      </c>
      <c r="M1846" s="755"/>
      <c r="N1846" s="755"/>
      <c r="O1846" s="755"/>
      <c r="P1846" s="755"/>
      <c r="R1846" s="775">
        <f ca="1">SUMIF($L1457:$L1844,"ITEM",R1457:R1844)</f>
        <v>13992.019999999997</v>
      </c>
      <c r="S1846" s="776"/>
      <c r="T1846" s="775">
        <f ca="1">SUMIF($L1457:$L1844,"ITEM",T1457:T1844)</f>
        <v>124.38999999999999</v>
      </c>
      <c r="AS1846" s="775">
        <v>28800.910000000003</v>
      </c>
    </row>
    <row r="1847" spans="1:45" s="520" customFormat="1" ht="13.2">
      <c r="A1847" s="51"/>
      <c r="B1847" s="49" t="s">
        <v>1064</v>
      </c>
      <c r="C1847" s="51"/>
      <c r="D1847" s="3"/>
      <c r="F1847" s="777" t="s">
        <v>158</v>
      </c>
      <c r="G1847" s="758"/>
      <c r="H1847" s="758"/>
      <c r="I1847" s="519"/>
      <c r="J1847" s="758"/>
      <c r="K1847" s="758"/>
      <c r="L1847" s="758"/>
      <c r="M1847" s="758"/>
      <c r="N1847" s="758"/>
      <c r="O1847" s="758"/>
      <c r="P1847" s="758"/>
      <c r="Q1847" s="778"/>
      <c r="R1847" s="777" t="s">
        <v>159</v>
      </c>
      <c r="S1847" s="38"/>
      <c r="T1847" s="777" t="s">
        <v>160</v>
      </c>
      <c r="AR1847" s="51"/>
      <c r="AS1847" s="777" t="s">
        <v>158</v>
      </c>
    </row>
    <row r="1848" spans="1:45" s="520" customFormat="1" ht="13.2">
      <c r="A1848" s="758"/>
      <c r="B1848" s="3"/>
      <c r="C1848" s="758"/>
      <c r="D1848" s="3"/>
      <c r="E1848" s="3"/>
      <c r="G1848" s="3"/>
      <c r="H1848" s="3"/>
      <c r="I1848" s="3"/>
      <c r="J1848" s="3"/>
      <c r="K1848" s="3"/>
      <c r="L1848" s="3"/>
      <c r="M1848" s="3"/>
      <c r="N1848" s="3"/>
      <c r="O1848" s="107"/>
      <c r="P1848" s="3"/>
      <c r="Q1848" s="3"/>
      <c r="R1848" s="3"/>
      <c r="S1848" s="3"/>
      <c r="T1848" s="3"/>
      <c r="AR1848" s="758"/>
    </row>
    <row r="1849" spans="1:45" s="520" customFormat="1" ht="12" thickBot="1">
      <c r="A1849" s="531"/>
      <c r="B1849" s="763"/>
      <c r="C1849" s="763"/>
      <c r="D1849" s="531"/>
      <c r="E1849" s="39"/>
      <c r="F1849" s="779"/>
      <c r="G1849" s="763"/>
      <c r="H1849" s="763"/>
      <c r="I1849" s="765"/>
      <c r="J1849" s="763"/>
      <c r="K1849" s="763"/>
      <c r="L1849" s="766"/>
      <c r="M1849" s="766"/>
      <c r="N1849" s="766"/>
      <c r="O1849" s="766"/>
      <c r="P1849" s="766"/>
      <c r="Q1849" s="767"/>
      <c r="R1849" s="779"/>
      <c r="S1849" s="780"/>
      <c r="T1849" s="779"/>
      <c r="U1849" s="531"/>
      <c r="V1849" s="531"/>
      <c r="W1849" s="531"/>
      <c r="X1849" s="531"/>
      <c r="Y1849" s="531"/>
      <c r="Z1849" s="531"/>
      <c r="AA1849" s="531"/>
      <c r="AB1849" s="531"/>
      <c r="AC1849" s="531"/>
      <c r="AD1849" s="531"/>
      <c r="AE1849" s="531"/>
      <c r="AF1849" s="531"/>
      <c r="AG1849" s="531"/>
      <c r="AH1849" s="531"/>
      <c r="AI1849" s="531"/>
      <c r="AJ1849" s="531"/>
      <c r="AK1849" s="531"/>
      <c r="AR1849" s="531"/>
      <c r="AS1849" s="779"/>
    </row>
    <row r="1850" spans="1:45" s="520" customFormat="1" thickTop="1">
      <c r="A1850" s="51"/>
      <c r="B1850" s="51"/>
      <c r="C1850" s="3"/>
      <c r="D1850" s="3"/>
      <c r="E1850" s="51"/>
      <c r="F1850" s="51"/>
      <c r="G1850" s="51"/>
      <c r="H1850" s="51"/>
      <c r="I1850" s="51"/>
      <c r="J1850" s="51"/>
      <c r="K1850" s="51" t="s">
        <v>134</v>
      </c>
      <c r="L1850" s="51"/>
      <c r="M1850" s="51"/>
      <c r="N1850" s="51"/>
      <c r="O1850" s="52"/>
      <c r="P1850" s="51"/>
      <c r="Q1850" s="51"/>
      <c r="R1850" s="51"/>
      <c r="S1850" s="51"/>
      <c r="T1850" s="51"/>
      <c r="AR1850" s="51"/>
      <c r="AS1850" s="51"/>
    </row>
    <row r="1851" spans="1:45" s="520" customFormat="1" ht="12">
      <c r="A1851" s="51"/>
      <c r="B1851" s="51"/>
      <c r="C1851" s="51" t="s">
        <v>135</v>
      </c>
      <c r="D1851" s="37"/>
      <c r="E1851" s="51"/>
      <c r="F1851" s="51"/>
      <c r="G1851" s="51"/>
      <c r="H1851" s="51"/>
      <c r="I1851" s="51"/>
      <c r="J1851" s="51"/>
      <c r="K1851" s="51"/>
      <c r="L1851" s="51"/>
      <c r="M1851" s="51"/>
      <c r="N1851" s="51"/>
      <c r="O1851" s="52"/>
      <c r="P1851" s="51"/>
      <c r="Q1851" s="51"/>
      <c r="R1851" s="51"/>
      <c r="S1851" s="51"/>
      <c r="T1851" s="51"/>
      <c r="AR1851" s="51"/>
      <c r="AS1851" s="51"/>
    </row>
    <row r="1852" spans="1:45" s="520" customFormat="1" ht="39.9" customHeight="1">
      <c r="A1852" s="51"/>
      <c r="B1852" s="51"/>
      <c r="C1852" s="51"/>
      <c r="D1852" s="1453" t="s">
        <v>498</v>
      </c>
      <c r="E1852" s="1452"/>
      <c r="F1852" s="1452"/>
      <c r="G1852" s="1452"/>
      <c r="H1852" s="1452"/>
      <c r="I1852" s="1452"/>
      <c r="J1852" s="1452"/>
      <c r="K1852" s="1452"/>
      <c r="L1852" s="1452"/>
      <c r="M1852" s="1452"/>
      <c r="N1852" s="1452"/>
      <c r="O1852" s="1452"/>
      <c r="P1852" s="1452"/>
      <c r="Q1852" s="1452"/>
      <c r="R1852" s="1452"/>
      <c r="S1852" s="1452"/>
      <c r="T1852" s="1452"/>
      <c r="AR1852" s="51"/>
    </row>
    <row r="1853" spans="1:45" s="3" customFormat="1" thickBot="1">
      <c r="A1853" s="531"/>
      <c r="O1853" s="107"/>
      <c r="AR1853" s="531"/>
    </row>
    <row r="1854" spans="1:45" s="520" customFormat="1" thickTop="1">
      <c r="A1854" s="51"/>
      <c r="B1854" s="51"/>
      <c r="C1854" s="3"/>
      <c r="D1854" s="3"/>
      <c r="E1854" s="51"/>
      <c r="F1854" s="51"/>
      <c r="G1854" s="51"/>
      <c r="H1854" s="51"/>
      <c r="I1854" s="51"/>
      <c r="J1854" s="51"/>
      <c r="K1854" s="51" t="s">
        <v>134</v>
      </c>
      <c r="L1854" s="51"/>
      <c r="M1854" s="51"/>
      <c r="N1854" s="51"/>
      <c r="O1854" s="52"/>
      <c r="P1854" s="51"/>
      <c r="Q1854" s="51"/>
      <c r="R1854" s="51"/>
      <c r="S1854" s="51"/>
      <c r="T1854" s="51"/>
      <c r="AR1854" s="51"/>
      <c r="AS1854" s="51"/>
    </row>
    <row r="1855" spans="1:45" s="520" customFormat="1" ht="12">
      <c r="A1855" s="51"/>
      <c r="B1855" s="51"/>
      <c r="C1855" s="51" t="s">
        <v>135</v>
      </c>
      <c r="D1855" s="37"/>
      <c r="E1855" s="51"/>
      <c r="F1855" s="51"/>
      <c r="G1855" s="51"/>
      <c r="H1855" s="51"/>
      <c r="I1855" s="51"/>
      <c r="J1855" s="51"/>
      <c r="K1855" s="51"/>
      <c r="L1855" s="51"/>
      <c r="M1855" s="51"/>
      <c r="N1855" s="51"/>
      <c r="O1855" s="52"/>
      <c r="P1855" s="51"/>
      <c r="Q1855" s="51"/>
      <c r="R1855" s="51"/>
      <c r="S1855" s="51"/>
      <c r="T1855" s="51"/>
      <c r="AR1855" s="51"/>
      <c r="AS1855" s="51"/>
    </row>
    <row r="1856" spans="1:45" s="520" customFormat="1" ht="12">
      <c r="A1856" s="51"/>
      <c r="B1856" s="51"/>
      <c r="C1856" s="51"/>
      <c r="D1856" s="37" t="s">
        <v>635</v>
      </c>
      <c r="E1856" s="51"/>
      <c r="F1856" s="51"/>
      <c r="G1856" s="51"/>
      <c r="H1856" s="51"/>
      <c r="I1856" s="51"/>
      <c r="J1856" s="51"/>
      <c r="K1856" s="51"/>
      <c r="L1856" s="51"/>
      <c r="M1856" s="51"/>
      <c r="N1856" s="51"/>
      <c r="O1856" s="52"/>
      <c r="P1856" s="51"/>
      <c r="Q1856" s="51"/>
      <c r="R1856" s="51"/>
      <c r="S1856" s="38"/>
      <c r="T1856" s="38"/>
      <c r="AR1856" s="51"/>
      <c r="AS1856" s="51"/>
    </row>
    <row r="1857" spans="1:45" s="3" customFormat="1" thickBot="1">
      <c r="A1857" s="531"/>
      <c r="O1857" s="107"/>
      <c r="AR1857" s="531"/>
    </row>
    <row r="1858" spans="1:45" s="520" customFormat="1" ht="12" thickTop="1">
      <c r="A1858" s="51"/>
      <c r="B1858" s="41"/>
      <c r="C1858" s="51"/>
      <c r="E1858" s="42" t="s">
        <v>138</v>
      </c>
      <c r="F1858" s="42" t="s">
        <v>139</v>
      </c>
      <c r="G1858" s="51"/>
      <c r="H1858" s="51"/>
      <c r="I1858" s="51"/>
      <c r="J1858" s="51"/>
      <c r="K1858" s="51" t="s">
        <v>140</v>
      </c>
      <c r="L1858" s="51"/>
      <c r="M1858" s="51"/>
      <c r="N1858" s="51"/>
      <c r="O1858" s="52"/>
      <c r="P1858" s="51"/>
      <c r="Q1858" s="51"/>
      <c r="R1858" s="51"/>
      <c r="S1858" s="51"/>
      <c r="T1858" s="41"/>
      <c r="AG1858" s="521" t="s">
        <v>268</v>
      </c>
      <c r="AH1858" s="521" t="s">
        <v>269</v>
      </c>
      <c r="AI1858" s="521" t="s">
        <v>270</v>
      </c>
      <c r="AJ1858" s="521" t="s">
        <v>271</v>
      </c>
      <c r="AK1858" s="521" t="s">
        <v>272</v>
      </c>
      <c r="AM1858" s="745" t="s">
        <v>281</v>
      </c>
      <c r="AN1858" s="746" t="s">
        <v>282</v>
      </c>
      <c r="AO1858" s="522" t="s">
        <v>278</v>
      </c>
      <c r="AR1858" s="51"/>
      <c r="AS1858" s="42" t="s">
        <v>139</v>
      </c>
    </row>
    <row r="1859" spans="1:45" s="520" customFormat="1" ht="12" customHeight="1">
      <c r="A1859" s="747">
        <v>5</v>
      </c>
      <c r="B1859" s="523" t="s">
        <v>320</v>
      </c>
      <c r="C1859" s="748"/>
      <c r="D1859" s="749" t="s">
        <v>1394</v>
      </c>
      <c r="E1859" s="750">
        <f ca="1">IF(AND($A1859=0,$A$1="DIF"),0, ROUND(ROUND(($R1864*$S$2+($T1864*$T$2))/A1859,2)*$C$2,2))</f>
        <v>16.079999999999998</v>
      </c>
      <c r="F1859" s="751">
        <f ca="1">ROUND($A1859*$E1859,2)</f>
        <v>80.400000000000006</v>
      </c>
      <c r="G1859" s="752" t="s">
        <v>142</v>
      </c>
      <c r="H1859" s="753"/>
      <c r="I1859" s="754"/>
      <c r="J1859" s="753"/>
      <c r="K1859" s="753" t="s">
        <v>3</v>
      </c>
      <c r="L1859" s="755" t="s">
        <v>143</v>
      </c>
      <c r="M1859" s="755"/>
      <c r="N1859" s="755"/>
      <c r="O1859" s="755"/>
      <c r="P1859" s="755"/>
      <c r="Q1859" s="51"/>
      <c r="T1859" s="756" t="str">
        <f ca="1">IF(AND($R1864=0,$T1864=0),"0.00","mu :" &amp; ROUND($F1859/$C$2/($R1864+$T1864*$D$9),2))</f>
        <v>mu :1.23</v>
      </c>
      <c r="W1859" s="524"/>
      <c r="AG1859" s="481">
        <f ca="1">IF($E1859=0,0,ROUND($R1864*$S$2*$C$2/$A1859,2))</f>
        <v>8.3000000000000007</v>
      </c>
      <c r="AH1859" s="481">
        <f ca="1">$AG1859*$A1859</f>
        <v>41.5</v>
      </c>
      <c r="AI1859" s="525">
        <f ca="1">$E1859-$AG1859</f>
        <v>7.7799999999999976</v>
      </c>
      <c r="AJ1859" s="525">
        <f ca="1">$A1859*$AI1859</f>
        <v>38.899999999999991</v>
      </c>
      <c r="AK1859" s="526">
        <f ca="1">ROUND(($AG1859+$AI1859)*$A1859,2)</f>
        <v>80.400000000000006</v>
      </c>
      <c r="AM1859" s="527">
        <f ca="1">ROUND(R1864,2)</f>
        <v>33.700000000000003</v>
      </c>
      <c r="AN1859" s="528">
        <f ca="1">ROUND(T1864,2)</f>
        <v>1.1499999999999999</v>
      </c>
      <c r="AO1859" s="529">
        <f ca="1">ROUND(AM1859+AN1859,2)*A1859</f>
        <v>174.25</v>
      </c>
      <c r="AR1859" s="747">
        <v>5</v>
      </c>
      <c r="AS1859" s="751">
        <v>85.45</v>
      </c>
    </row>
    <row r="1860" spans="1:45" s="520" customFormat="1" ht="13.2">
      <c r="A1860" s="748"/>
      <c r="B1860"/>
      <c r="C1860" s="748"/>
      <c r="D1860" s="749" t="s">
        <v>1395</v>
      </c>
      <c r="F1860" s="753"/>
      <c r="G1860" s="3"/>
      <c r="H1860" s="753"/>
      <c r="I1860" s="754"/>
      <c r="J1860" s="753"/>
      <c r="K1860" s="753" t="s">
        <v>144</v>
      </c>
      <c r="L1860" s="753"/>
      <c r="M1860" s="753"/>
      <c r="N1860" s="753"/>
      <c r="O1860" s="753"/>
      <c r="P1860" s="753"/>
      <c r="Q1860" s="51"/>
      <c r="R1860" s="530"/>
      <c r="S1860" s="757"/>
      <c r="T1860" s="753"/>
      <c r="AR1860" s="748"/>
      <c r="AS1860" s="753"/>
    </row>
    <row r="1861" spans="1:45" s="886" customFormat="1" ht="13.2">
      <c r="A1861"/>
      <c r="B1861" s="910"/>
      <c r="C1861" s="910" t="s">
        <v>2597</v>
      </c>
      <c r="D1861" s="910" t="str">
        <f ca="1">CELL("Address",Elec_Rates!D$427)</f>
        <v>[E25_0062_Quintano_Foods_Elec_ELV_As_Awarded.xlsx]Elec_Rates!$D$427</v>
      </c>
      <c r="E1861" s="911"/>
      <c r="F1861" s="911"/>
      <c r="G1861" s="912" t="s">
        <v>2598</v>
      </c>
      <c r="H1861" s="912"/>
      <c r="I1861" s="912"/>
      <c r="J1861" s="912"/>
      <c r="K1861" s="913"/>
      <c r="L1861" s="911"/>
      <c r="M1861" s="911"/>
      <c r="N1861" s="911"/>
      <c r="O1861" s="914"/>
      <c r="P1861" s="911"/>
      <c r="Q1861" s="915"/>
      <c r="R1861" s="916"/>
      <c r="S1861" s="915"/>
      <c r="T1861" s="917"/>
      <c r="U1861" s="918"/>
      <c r="AR1861"/>
      <c r="AS1861" s="911"/>
    </row>
    <row r="1862" spans="1:45" s="886" customFormat="1" ht="11.4">
      <c r="A1862" s="919">
        <v>5</v>
      </c>
      <c r="B1862" s="920">
        <v>1</v>
      </c>
      <c r="C1862" s="920">
        <f>$A1862*$B1862</f>
        <v>5</v>
      </c>
      <c r="D1862" s="921" t="str">
        <f>Elec_Rates!$D$427</f>
        <v>041# 3 x 10mm2 LSZH/LSZH</v>
      </c>
      <c r="E1862" s="921"/>
      <c r="F1862" s="921" t="s">
        <v>2599</v>
      </c>
      <c r="G1862" s="922" t="s">
        <v>2601</v>
      </c>
      <c r="H1862" s="922"/>
      <c r="I1862" s="922"/>
      <c r="J1862" s="922"/>
      <c r="K1862" s="923"/>
      <c r="L1862" s="918"/>
      <c r="M1862" s="918"/>
      <c r="N1862" s="918"/>
      <c r="O1862" s="924"/>
      <c r="P1862" s="921"/>
      <c r="Q1862" s="925">
        <f ca="1">$B1862*Elec_Rates!$R$427</f>
        <v>6.74</v>
      </c>
      <c r="R1862" s="916">
        <f ca="1">$A1862*Q1862</f>
        <v>33.700000000000003</v>
      </c>
      <c r="S1862" s="925">
        <f ca="1">$B1862*Elec_Rates!$T$427</f>
        <v>0.23</v>
      </c>
      <c r="T1862" s="917">
        <f ca="1">$A1862*S1862</f>
        <v>1.1500000000000001</v>
      </c>
      <c r="U1862" s="926"/>
      <c r="AR1862" s="919">
        <v>5</v>
      </c>
      <c r="AS1862" s="921" t="s">
        <v>2599</v>
      </c>
    </row>
    <row r="1863" spans="1:45" s="520" customFormat="1" ht="12">
      <c r="A1863" s="758"/>
      <c r="B1863" s="758"/>
      <c r="C1863" s="758"/>
      <c r="D1863" s="758"/>
      <c r="E1863" s="758"/>
      <c r="F1863" s="753"/>
      <c r="G1863" s="758"/>
      <c r="H1863" s="758"/>
      <c r="I1863" s="519"/>
      <c r="J1863" s="758"/>
      <c r="K1863" s="758"/>
      <c r="L1863" s="758"/>
      <c r="M1863" s="758"/>
      <c r="N1863" s="758"/>
      <c r="O1863" s="758"/>
      <c r="P1863" s="758"/>
      <c r="Q1863" s="519"/>
      <c r="R1863" s="759">
        <f>$A1863*Q1863</f>
        <v>0</v>
      </c>
      <c r="S1863" s="519"/>
      <c r="T1863" s="760">
        <f>$A1863*S1863*$T$1</f>
        <v>0</v>
      </c>
      <c r="AR1863" s="758"/>
      <c r="AS1863" s="753"/>
    </row>
    <row r="1864" spans="1:45" s="520" customFormat="1" ht="12.6" thickBot="1">
      <c r="A1864" s="761" t="s">
        <v>145</v>
      </c>
      <c r="B1864" s="762">
        <f>(R1863+T1863)</f>
        <v>0</v>
      </c>
      <c r="C1864" s="763"/>
      <c r="D1864" s="763"/>
      <c r="E1864" s="763"/>
      <c r="F1864" s="764"/>
      <c r="G1864" s="763" t="s">
        <v>146</v>
      </c>
      <c r="H1864" s="763"/>
      <c r="I1864" s="765"/>
      <c r="J1864" s="763"/>
      <c r="K1864" s="763" t="s">
        <v>3</v>
      </c>
      <c r="L1864" s="766" t="s">
        <v>143</v>
      </c>
      <c r="M1864" s="766"/>
      <c r="N1864" s="766"/>
      <c r="O1864" s="766"/>
      <c r="P1864" s="766"/>
      <c r="Q1864" s="767"/>
      <c r="R1864" s="768">
        <f ca="1">SUM(R1860:R1863)</f>
        <v>33.700000000000003</v>
      </c>
      <c r="S1864" s="763"/>
      <c r="T1864" s="768">
        <f ca="1">SUM(T1860:T1863)</f>
        <v>1.1500000000000001</v>
      </c>
      <c r="U1864" s="531"/>
      <c r="V1864" s="531"/>
      <c r="W1864" s="531"/>
      <c r="X1864" s="531"/>
      <c r="Y1864" s="531"/>
      <c r="Z1864" s="531"/>
      <c r="AA1864" s="531"/>
      <c r="AB1864" s="531"/>
      <c r="AC1864" s="531"/>
      <c r="AD1864" s="531"/>
      <c r="AE1864" s="531"/>
      <c r="AF1864" s="531"/>
      <c r="AG1864" s="531"/>
      <c r="AH1864" s="531"/>
      <c r="AI1864" s="531"/>
      <c r="AJ1864" s="531"/>
      <c r="AK1864" s="531"/>
      <c r="AL1864" s="531"/>
      <c r="AM1864" s="531"/>
      <c r="AN1864" s="531"/>
      <c r="AO1864" s="531"/>
      <c r="AR1864" s="761" t="s">
        <v>145</v>
      </c>
      <c r="AS1864" s="764"/>
    </row>
    <row r="1865" spans="1:45" s="520" customFormat="1" thickTop="1">
      <c r="A1865" s="51"/>
      <c r="B1865" s="51"/>
      <c r="C1865" s="3"/>
      <c r="D1865" s="3"/>
      <c r="E1865" s="51"/>
      <c r="F1865" s="51"/>
      <c r="G1865" s="51"/>
      <c r="H1865" s="51"/>
      <c r="I1865" s="51"/>
      <c r="J1865" s="51"/>
      <c r="K1865" s="51" t="s">
        <v>134</v>
      </c>
      <c r="L1865" s="51"/>
      <c r="M1865" s="51"/>
      <c r="N1865" s="51"/>
      <c r="O1865" s="52"/>
      <c r="P1865" s="51"/>
      <c r="Q1865" s="51"/>
      <c r="R1865" s="51"/>
      <c r="S1865" s="51"/>
      <c r="T1865" s="51"/>
      <c r="AR1865" s="51"/>
      <c r="AS1865" s="51"/>
    </row>
    <row r="1866" spans="1:45" s="520" customFormat="1" ht="12">
      <c r="A1866" s="51"/>
      <c r="B1866" s="51"/>
      <c r="C1866" s="51" t="s">
        <v>135</v>
      </c>
      <c r="D1866" s="37"/>
      <c r="E1866" s="51"/>
      <c r="F1866" s="51"/>
      <c r="G1866" s="51"/>
      <c r="H1866" s="51"/>
      <c r="I1866" s="51"/>
      <c r="J1866" s="51"/>
      <c r="K1866" s="51"/>
      <c r="L1866" s="51"/>
      <c r="M1866" s="51"/>
      <c r="N1866" s="51"/>
      <c r="O1866" s="52"/>
      <c r="P1866" s="51"/>
      <c r="Q1866" s="51"/>
      <c r="R1866" s="51"/>
      <c r="S1866" s="51"/>
      <c r="T1866" s="51"/>
      <c r="AR1866" s="51"/>
      <c r="AS1866" s="51"/>
    </row>
    <row r="1867" spans="1:45" s="520" customFormat="1" ht="12">
      <c r="A1867" s="51"/>
      <c r="B1867" s="51"/>
      <c r="C1867" s="51"/>
      <c r="D1867" s="37" t="s">
        <v>637</v>
      </c>
      <c r="E1867" s="51"/>
      <c r="F1867" s="51"/>
      <c r="G1867" s="51"/>
      <c r="H1867" s="51"/>
      <c r="I1867" s="51"/>
      <c r="J1867" s="51"/>
      <c r="K1867" s="51"/>
      <c r="L1867" s="51"/>
      <c r="M1867" s="51"/>
      <c r="N1867" s="51"/>
      <c r="O1867" s="52"/>
      <c r="P1867" s="51"/>
      <c r="Q1867" s="51"/>
      <c r="R1867" s="51"/>
      <c r="S1867" s="38"/>
      <c r="T1867" s="38"/>
      <c r="AR1867" s="51"/>
      <c r="AS1867" s="51"/>
    </row>
    <row r="1868" spans="1:45" s="3" customFormat="1" thickBot="1">
      <c r="A1868" s="531"/>
      <c r="O1868" s="107"/>
      <c r="AR1868" s="531"/>
    </row>
    <row r="1869" spans="1:45" s="520" customFormat="1" ht="12" thickTop="1">
      <c r="A1869" s="51"/>
      <c r="B1869" s="41"/>
      <c r="C1869" s="51"/>
      <c r="E1869" s="42" t="s">
        <v>138</v>
      </c>
      <c r="F1869" s="42" t="s">
        <v>139</v>
      </c>
      <c r="G1869" s="51"/>
      <c r="H1869" s="51"/>
      <c r="I1869" s="51"/>
      <c r="J1869" s="51"/>
      <c r="K1869" s="51" t="s">
        <v>140</v>
      </c>
      <c r="L1869" s="51"/>
      <c r="M1869" s="51"/>
      <c r="N1869" s="51"/>
      <c r="O1869" s="52"/>
      <c r="P1869" s="51"/>
      <c r="Q1869" s="51"/>
      <c r="R1869" s="51"/>
      <c r="S1869" s="51"/>
      <c r="T1869" s="41"/>
      <c r="AG1869" s="521" t="s">
        <v>268</v>
      </c>
      <c r="AH1869" s="521" t="s">
        <v>269</v>
      </c>
      <c r="AI1869" s="521" t="s">
        <v>270</v>
      </c>
      <c r="AJ1869" s="521" t="s">
        <v>271</v>
      </c>
      <c r="AK1869" s="521" t="s">
        <v>272</v>
      </c>
      <c r="AM1869" s="745" t="s">
        <v>281</v>
      </c>
      <c r="AN1869" s="746" t="s">
        <v>282</v>
      </c>
      <c r="AO1869" s="522" t="s">
        <v>278</v>
      </c>
      <c r="AR1869" s="51"/>
      <c r="AS1869" s="42" t="s">
        <v>139</v>
      </c>
    </row>
    <row r="1870" spans="1:45" s="520" customFormat="1" ht="12" customHeight="1">
      <c r="A1870" s="747">
        <v>40</v>
      </c>
      <c r="B1870" s="523" t="s">
        <v>320</v>
      </c>
      <c r="C1870" s="748"/>
      <c r="D1870" s="749" t="s">
        <v>1396</v>
      </c>
      <c r="E1870" s="750">
        <f ca="1">IF(AND($A1870=0,$A$1="DIF"),0, ROUND(ROUND(($R1875*$S$2+($T1875*$T$2))/A1870,2)*$C$2,2))</f>
        <v>5.63</v>
      </c>
      <c r="F1870" s="751">
        <f ca="1">ROUND($A1870*$E1870,2)</f>
        <v>225.2</v>
      </c>
      <c r="G1870" s="752" t="s">
        <v>142</v>
      </c>
      <c r="H1870" s="753"/>
      <c r="I1870" s="754"/>
      <c r="J1870" s="753"/>
      <c r="K1870" s="753" t="s">
        <v>3</v>
      </c>
      <c r="L1870" s="755" t="s">
        <v>143</v>
      </c>
      <c r="M1870" s="755"/>
      <c r="N1870" s="755"/>
      <c r="O1870" s="755"/>
      <c r="P1870" s="755"/>
      <c r="Q1870" s="51"/>
      <c r="T1870" s="756" t="str">
        <f ca="1">IF(AND($R1875=0,$T1875=0),"0.00","mu :" &amp; ROUND($F1870/$C$2/($R1875+$T1875*$D$9),2))</f>
        <v>mu :1.23</v>
      </c>
      <c r="W1870" s="524"/>
      <c r="AG1870" s="481">
        <f ca="1">IF($E1870=0,0,ROUND($R1875*$S$2*$C$2/$A1870,2))</f>
        <v>3.26</v>
      </c>
      <c r="AH1870" s="481">
        <f ca="1">$AG1870*$A1870</f>
        <v>130.39999999999998</v>
      </c>
      <c r="AI1870" s="525">
        <f ca="1">$E1870-$AG1870</f>
        <v>2.37</v>
      </c>
      <c r="AJ1870" s="525">
        <f ca="1">$A1870*$AI1870</f>
        <v>94.800000000000011</v>
      </c>
      <c r="AK1870" s="526">
        <f ca="1">ROUND(($AG1870+$AI1870)*$A1870,2)</f>
        <v>225.2</v>
      </c>
      <c r="AM1870" s="527">
        <f ca="1">ROUND(R1875,2)</f>
        <v>106</v>
      </c>
      <c r="AN1870" s="528">
        <f ca="1">ROUND(T1875,2)</f>
        <v>2.8</v>
      </c>
      <c r="AO1870" s="529">
        <f ca="1">ROUND(AM1870+AN1870,2)*A1870</f>
        <v>4352</v>
      </c>
      <c r="AR1870" s="747">
        <v>40</v>
      </c>
      <c r="AS1870" s="751">
        <v>238.8</v>
      </c>
    </row>
    <row r="1871" spans="1:45" s="520" customFormat="1" ht="13.2">
      <c r="A1871" s="748"/>
      <c r="B1871"/>
      <c r="C1871" s="748"/>
      <c r="D1871" s="749" t="s">
        <v>1397</v>
      </c>
      <c r="F1871" s="753"/>
      <c r="G1871" s="3"/>
      <c r="H1871" s="753"/>
      <c r="I1871" s="754"/>
      <c r="J1871" s="753"/>
      <c r="K1871" s="753" t="s">
        <v>144</v>
      </c>
      <c r="L1871" s="753"/>
      <c r="M1871" s="753"/>
      <c r="N1871" s="753"/>
      <c r="O1871" s="753"/>
      <c r="P1871" s="753"/>
      <c r="Q1871" s="51"/>
      <c r="R1871" s="530"/>
      <c r="S1871" s="757"/>
      <c r="T1871" s="753"/>
      <c r="AR1871" s="748"/>
      <c r="AS1871" s="753"/>
    </row>
    <row r="1872" spans="1:45" s="886" customFormat="1" ht="13.2">
      <c r="A1872"/>
      <c r="B1872" s="910"/>
      <c r="C1872" s="910" t="s">
        <v>2597</v>
      </c>
      <c r="D1872" s="910" t="str">
        <f ca="1">CELL("Address",Elec_Rates!D$478)</f>
        <v>[E25_0062_Quintano_Foods_Elec_ELV_As_Awarded.xlsx]Elec_Rates!$D$478</v>
      </c>
      <c r="E1872" s="911"/>
      <c r="F1872" s="911"/>
      <c r="G1872" s="912" t="s">
        <v>2598</v>
      </c>
      <c r="H1872" s="912"/>
      <c r="I1872" s="912"/>
      <c r="J1872" s="912"/>
      <c r="K1872" s="913"/>
      <c r="L1872" s="911"/>
      <c r="M1872" s="911"/>
      <c r="N1872" s="911"/>
      <c r="O1872" s="914"/>
      <c r="P1872" s="911"/>
      <c r="Q1872" s="915"/>
      <c r="R1872" s="916"/>
      <c r="S1872" s="915"/>
      <c r="T1872" s="917"/>
      <c r="U1872" s="918"/>
      <c r="AR1872"/>
      <c r="AS1872" s="911"/>
    </row>
    <row r="1873" spans="1:45" s="886" customFormat="1" ht="11.4">
      <c r="A1873" s="919">
        <v>40</v>
      </c>
      <c r="B1873" s="920">
        <v>1</v>
      </c>
      <c r="C1873" s="920">
        <f>$A1873*$B1873</f>
        <v>40</v>
      </c>
      <c r="D1873" s="921" t="str">
        <f>Elec_Rates!$D$478</f>
        <v>046# 3 x 4mm2 XLPE/SWA/LSZH</v>
      </c>
      <c r="E1873" s="921"/>
      <c r="F1873" s="921" t="s">
        <v>2599</v>
      </c>
      <c r="G1873" s="922" t="s">
        <v>2601</v>
      </c>
      <c r="H1873" s="922"/>
      <c r="I1873" s="922"/>
      <c r="J1873" s="922"/>
      <c r="K1873" s="923"/>
      <c r="L1873" s="918"/>
      <c r="M1873" s="918"/>
      <c r="N1873" s="918"/>
      <c r="O1873" s="924"/>
      <c r="P1873" s="921"/>
      <c r="Q1873" s="925">
        <f ca="1">$B1873*Elec_Rates!$R$478</f>
        <v>2.65</v>
      </c>
      <c r="R1873" s="916">
        <f ca="1">$A1873*Q1873</f>
        <v>106</v>
      </c>
      <c r="S1873" s="925">
        <f ca="1">$B1873*Elec_Rates!$T$478</f>
        <v>7.0000000000000007E-2</v>
      </c>
      <c r="T1873" s="917">
        <f ca="1">$A1873*S1873</f>
        <v>2.8000000000000003</v>
      </c>
      <c r="U1873" s="926"/>
      <c r="AR1873" s="919">
        <v>40</v>
      </c>
      <c r="AS1873" s="921" t="s">
        <v>2599</v>
      </c>
    </row>
    <row r="1874" spans="1:45" s="520" customFormat="1" ht="12">
      <c r="A1874" s="758"/>
      <c r="B1874" s="758"/>
      <c r="C1874" s="758"/>
      <c r="D1874" s="758"/>
      <c r="E1874" s="758"/>
      <c r="F1874" s="753"/>
      <c r="G1874" s="758"/>
      <c r="H1874" s="758"/>
      <c r="I1874" s="519"/>
      <c r="J1874" s="758"/>
      <c r="K1874" s="758"/>
      <c r="L1874" s="758"/>
      <c r="M1874" s="758"/>
      <c r="N1874" s="758"/>
      <c r="O1874" s="758"/>
      <c r="P1874" s="758"/>
      <c r="Q1874" s="519"/>
      <c r="R1874" s="759">
        <f>$A1874*Q1874</f>
        <v>0</v>
      </c>
      <c r="S1874" s="519"/>
      <c r="T1874" s="760">
        <f>$A1874*S1874*$T$1</f>
        <v>0</v>
      </c>
      <c r="AR1874" s="758"/>
      <c r="AS1874" s="753"/>
    </row>
    <row r="1875" spans="1:45" s="520" customFormat="1" ht="12.6" thickBot="1">
      <c r="A1875" s="761" t="s">
        <v>145</v>
      </c>
      <c r="B1875" s="762">
        <f>(R1874+T1874)</f>
        <v>0</v>
      </c>
      <c r="C1875" s="763"/>
      <c r="D1875" s="763"/>
      <c r="E1875" s="763"/>
      <c r="F1875" s="764"/>
      <c r="G1875" s="763" t="s">
        <v>146</v>
      </c>
      <c r="H1875" s="763"/>
      <c r="I1875" s="765"/>
      <c r="J1875" s="763"/>
      <c r="K1875" s="763" t="s">
        <v>3</v>
      </c>
      <c r="L1875" s="766" t="s">
        <v>143</v>
      </c>
      <c r="M1875" s="766"/>
      <c r="N1875" s="766"/>
      <c r="O1875" s="766"/>
      <c r="P1875" s="766"/>
      <c r="Q1875" s="767"/>
      <c r="R1875" s="768">
        <f ca="1">SUM(R1871:R1874)</f>
        <v>106</v>
      </c>
      <c r="S1875" s="763"/>
      <c r="T1875" s="768">
        <f ca="1">SUM(T1871:T1874)</f>
        <v>2.8000000000000003</v>
      </c>
      <c r="U1875" s="531"/>
      <c r="V1875" s="531"/>
      <c r="W1875" s="531"/>
      <c r="X1875" s="531"/>
      <c r="Y1875" s="531"/>
      <c r="Z1875" s="531"/>
      <c r="AA1875" s="531"/>
      <c r="AB1875" s="531"/>
      <c r="AC1875" s="531"/>
      <c r="AD1875" s="531"/>
      <c r="AE1875" s="531"/>
      <c r="AF1875" s="531"/>
      <c r="AG1875" s="531"/>
      <c r="AH1875" s="531"/>
      <c r="AI1875" s="531"/>
      <c r="AJ1875" s="531"/>
      <c r="AK1875" s="531"/>
      <c r="AL1875" s="531"/>
      <c r="AM1875" s="531"/>
      <c r="AN1875" s="531"/>
      <c r="AO1875" s="531"/>
      <c r="AR1875" s="761" t="s">
        <v>145</v>
      </c>
      <c r="AS1875" s="764"/>
    </row>
    <row r="1876" spans="1:45" s="520" customFormat="1" ht="12" thickTop="1">
      <c r="A1876" s="51"/>
      <c r="B1876" s="41"/>
      <c r="C1876" s="51"/>
      <c r="E1876" s="42" t="s">
        <v>138</v>
      </c>
      <c r="F1876" s="42" t="s">
        <v>139</v>
      </c>
      <c r="G1876" s="51"/>
      <c r="H1876" s="51"/>
      <c r="I1876" s="51"/>
      <c r="J1876" s="51"/>
      <c r="K1876" s="51" t="s">
        <v>140</v>
      </c>
      <c r="L1876" s="51"/>
      <c r="M1876" s="51"/>
      <c r="N1876" s="51"/>
      <c r="O1876" s="52"/>
      <c r="P1876" s="51"/>
      <c r="Q1876" s="51"/>
      <c r="R1876" s="51"/>
      <c r="S1876" s="51"/>
      <c r="T1876" s="41"/>
      <c r="AG1876" s="521" t="s">
        <v>268</v>
      </c>
      <c r="AH1876" s="521" t="s">
        <v>269</v>
      </c>
      <c r="AI1876" s="521" t="s">
        <v>270</v>
      </c>
      <c r="AJ1876" s="521" t="s">
        <v>271</v>
      </c>
      <c r="AK1876" s="521" t="s">
        <v>272</v>
      </c>
      <c r="AM1876" s="745" t="s">
        <v>281</v>
      </c>
      <c r="AN1876" s="746" t="s">
        <v>282</v>
      </c>
      <c r="AO1876" s="522" t="s">
        <v>278</v>
      </c>
      <c r="AR1876" s="51"/>
      <c r="AS1876" s="42" t="s">
        <v>139</v>
      </c>
    </row>
    <row r="1877" spans="1:45" s="520" customFormat="1" ht="12" customHeight="1">
      <c r="A1877" s="747">
        <v>15</v>
      </c>
      <c r="B1877" s="523" t="s">
        <v>320</v>
      </c>
      <c r="C1877" s="748"/>
      <c r="D1877" s="749" t="s">
        <v>1398</v>
      </c>
      <c r="E1877" s="750">
        <f ca="1">IF(AND($A1877=0,$A$1="DIF"),0, ROUND(ROUND(($R1882*$S$2+($T1882*$T$2))/A1877,2)*$C$2,2))</f>
        <v>5.63</v>
      </c>
      <c r="F1877" s="751">
        <f ca="1">ROUND($A1877*$E1877,2)</f>
        <v>84.45</v>
      </c>
      <c r="G1877" s="752" t="s">
        <v>142</v>
      </c>
      <c r="H1877" s="753"/>
      <c r="I1877" s="754"/>
      <c r="J1877" s="753"/>
      <c r="K1877" s="753" t="s">
        <v>3</v>
      </c>
      <c r="L1877" s="755" t="s">
        <v>143</v>
      </c>
      <c r="M1877" s="755"/>
      <c r="N1877" s="755"/>
      <c r="O1877" s="755"/>
      <c r="P1877" s="755"/>
      <c r="Q1877" s="51"/>
      <c r="T1877" s="756" t="str">
        <f ca="1">IF(AND($R1882=0,$T1882=0),"0.00","mu :" &amp; ROUND($F1877/$C$2/($R1882+$T1882*$D$9),2))</f>
        <v>mu :1.23</v>
      </c>
      <c r="W1877" s="524"/>
      <c r="AG1877" s="481">
        <f ca="1">IF($E1877=0,0,ROUND($R1882*$S$2*$C$2/$A1877,2))</f>
        <v>3.26</v>
      </c>
      <c r="AH1877" s="481">
        <f ca="1">$AG1877*$A1877</f>
        <v>48.9</v>
      </c>
      <c r="AI1877" s="525">
        <f ca="1">$E1877-$AG1877</f>
        <v>2.37</v>
      </c>
      <c r="AJ1877" s="525">
        <f ca="1">$A1877*$AI1877</f>
        <v>35.550000000000004</v>
      </c>
      <c r="AK1877" s="526">
        <f ca="1">ROUND(($AG1877+$AI1877)*$A1877,2)</f>
        <v>84.45</v>
      </c>
      <c r="AM1877" s="527">
        <f ca="1">ROUND(R1882,2)</f>
        <v>39.75</v>
      </c>
      <c r="AN1877" s="528">
        <f ca="1">ROUND(T1882,2)</f>
        <v>1.05</v>
      </c>
      <c r="AO1877" s="529">
        <f ca="1">ROUND(AM1877+AN1877,2)*A1877</f>
        <v>612</v>
      </c>
      <c r="AR1877" s="747">
        <v>15</v>
      </c>
      <c r="AS1877" s="751">
        <v>89.55</v>
      </c>
    </row>
    <row r="1878" spans="1:45" s="520" customFormat="1" ht="13.2">
      <c r="A1878" s="748"/>
      <c r="B1878"/>
      <c r="C1878" s="748"/>
      <c r="D1878" s="749" t="s">
        <v>1399</v>
      </c>
      <c r="F1878" s="753"/>
      <c r="G1878" s="3"/>
      <c r="H1878" s="753"/>
      <c r="I1878" s="754"/>
      <c r="J1878" s="753"/>
      <c r="K1878" s="753" t="s">
        <v>144</v>
      </c>
      <c r="L1878" s="753"/>
      <c r="M1878" s="753"/>
      <c r="N1878" s="753"/>
      <c r="O1878" s="753"/>
      <c r="P1878" s="753"/>
      <c r="Q1878" s="51"/>
      <c r="R1878" s="530"/>
      <c r="S1878" s="757"/>
      <c r="T1878" s="753"/>
      <c r="AR1878" s="748"/>
      <c r="AS1878" s="753"/>
    </row>
    <row r="1879" spans="1:45" s="886" customFormat="1" ht="13.2">
      <c r="A1879"/>
      <c r="B1879" s="910"/>
      <c r="C1879" s="910" t="s">
        <v>2597</v>
      </c>
      <c r="D1879" s="910" t="str">
        <f ca="1">CELL("Address",Elec_Rates!D$478)</f>
        <v>[E25_0062_Quintano_Foods_Elec_ELV_As_Awarded.xlsx]Elec_Rates!$D$478</v>
      </c>
      <c r="E1879" s="911"/>
      <c r="F1879" s="911"/>
      <c r="G1879" s="912" t="s">
        <v>2598</v>
      </c>
      <c r="H1879" s="912"/>
      <c r="I1879" s="912"/>
      <c r="J1879" s="912"/>
      <c r="K1879" s="913"/>
      <c r="L1879" s="911"/>
      <c r="M1879" s="911"/>
      <c r="N1879" s="911"/>
      <c r="O1879" s="914"/>
      <c r="P1879" s="911"/>
      <c r="Q1879" s="915"/>
      <c r="R1879" s="916"/>
      <c r="S1879" s="915"/>
      <c r="T1879" s="917"/>
      <c r="U1879" s="918"/>
      <c r="AR1879"/>
      <c r="AS1879" s="911"/>
    </row>
    <row r="1880" spans="1:45" s="886" customFormat="1" ht="11.4">
      <c r="A1880" s="919">
        <v>15</v>
      </c>
      <c r="B1880" s="920">
        <v>1</v>
      </c>
      <c r="C1880" s="920">
        <f>$A1880*$B1880</f>
        <v>15</v>
      </c>
      <c r="D1880" s="921" t="str">
        <f>Elec_Rates!$D$478</f>
        <v>046# 3 x 4mm2 XLPE/SWA/LSZH</v>
      </c>
      <c r="E1880" s="921"/>
      <c r="F1880" s="921" t="s">
        <v>2599</v>
      </c>
      <c r="G1880" s="922" t="s">
        <v>2601</v>
      </c>
      <c r="H1880" s="922"/>
      <c r="I1880" s="922"/>
      <c r="J1880" s="922"/>
      <c r="K1880" s="923"/>
      <c r="L1880" s="918"/>
      <c r="M1880" s="918"/>
      <c r="N1880" s="918"/>
      <c r="O1880" s="924"/>
      <c r="P1880" s="921"/>
      <c r="Q1880" s="925">
        <f ca="1">$B1880*Elec_Rates!$R$478</f>
        <v>2.65</v>
      </c>
      <c r="R1880" s="916">
        <f ca="1">$A1880*Q1880</f>
        <v>39.75</v>
      </c>
      <c r="S1880" s="925">
        <f ca="1">$B1880*Elec_Rates!$T$478</f>
        <v>7.0000000000000007E-2</v>
      </c>
      <c r="T1880" s="917">
        <f ca="1">$A1880*S1880</f>
        <v>1.05</v>
      </c>
      <c r="U1880" s="926"/>
      <c r="AR1880" s="919">
        <v>15</v>
      </c>
      <c r="AS1880" s="921" t="s">
        <v>2599</v>
      </c>
    </row>
    <row r="1881" spans="1:45" s="520" customFormat="1" ht="12">
      <c r="A1881" s="758"/>
      <c r="B1881" s="758"/>
      <c r="C1881" s="758"/>
      <c r="D1881" s="758"/>
      <c r="E1881" s="758"/>
      <c r="F1881" s="753"/>
      <c r="G1881" s="758"/>
      <c r="H1881" s="758"/>
      <c r="I1881" s="519"/>
      <c r="J1881" s="758"/>
      <c r="K1881" s="758"/>
      <c r="L1881" s="758"/>
      <c r="M1881" s="758"/>
      <c r="N1881" s="758"/>
      <c r="O1881" s="758"/>
      <c r="P1881" s="758"/>
      <c r="Q1881" s="519"/>
      <c r="R1881" s="759">
        <f>$A1881*Q1881</f>
        <v>0</v>
      </c>
      <c r="S1881" s="519"/>
      <c r="T1881" s="760">
        <f>$A1881*S1881*$T$1</f>
        <v>0</v>
      </c>
      <c r="AR1881" s="758"/>
      <c r="AS1881" s="753"/>
    </row>
    <row r="1882" spans="1:45" s="520" customFormat="1" ht="12.6" thickBot="1">
      <c r="A1882" s="761" t="s">
        <v>145</v>
      </c>
      <c r="B1882" s="762">
        <f>(R1881+T1881)</f>
        <v>0</v>
      </c>
      <c r="C1882" s="763"/>
      <c r="D1882" s="763"/>
      <c r="E1882" s="763"/>
      <c r="F1882" s="764"/>
      <c r="G1882" s="763" t="s">
        <v>146</v>
      </c>
      <c r="H1882" s="763"/>
      <c r="I1882" s="765"/>
      <c r="J1882" s="763"/>
      <c r="K1882" s="763" t="s">
        <v>3</v>
      </c>
      <c r="L1882" s="766" t="s">
        <v>143</v>
      </c>
      <c r="M1882" s="766"/>
      <c r="N1882" s="766"/>
      <c r="O1882" s="766"/>
      <c r="P1882" s="766"/>
      <c r="Q1882" s="767"/>
      <c r="R1882" s="768">
        <f ca="1">SUM(R1878:R1881)</f>
        <v>39.75</v>
      </c>
      <c r="S1882" s="763"/>
      <c r="T1882" s="768">
        <f ca="1">SUM(T1878:T1881)</f>
        <v>1.05</v>
      </c>
      <c r="U1882" s="531"/>
      <c r="V1882" s="531"/>
      <c r="W1882" s="531"/>
      <c r="X1882" s="531"/>
      <c r="Y1882" s="531"/>
      <c r="Z1882" s="531"/>
      <c r="AA1882" s="531"/>
      <c r="AB1882" s="531"/>
      <c r="AC1882" s="531"/>
      <c r="AD1882" s="531"/>
      <c r="AE1882" s="531"/>
      <c r="AF1882" s="531"/>
      <c r="AG1882" s="531"/>
      <c r="AH1882" s="531"/>
      <c r="AI1882" s="531"/>
      <c r="AJ1882" s="531"/>
      <c r="AK1882" s="531"/>
      <c r="AL1882" s="531"/>
      <c r="AM1882" s="531"/>
      <c r="AN1882" s="531"/>
      <c r="AO1882" s="531"/>
      <c r="AR1882" s="761" t="s">
        <v>145</v>
      </c>
      <c r="AS1882" s="764"/>
    </row>
    <row r="1883" spans="1:45" s="520" customFormat="1" ht="12" thickTop="1">
      <c r="A1883" s="51"/>
      <c r="B1883" s="41"/>
      <c r="C1883" s="51"/>
      <c r="E1883" s="42" t="s">
        <v>138</v>
      </c>
      <c r="F1883" s="42" t="s">
        <v>139</v>
      </c>
      <c r="G1883" s="51"/>
      <c r="H1883" s="51"/>
      <c r="I1883" s="51"/>
      <c r="J1883" s="51"/>
      <c r="K1883" s="51" t="s">
        <v>140</v>
      </c>
      <c r="L1883" s="51"/>
      <c r="M1883" s="51"/>
      <c r="N1883" s="51"/>
      <c r="O1883" s="52"/>
      <c r="P1883" s="51"/>
      <c r="Q1883" s="51"/>
      <c r="R1883" s="51"/>
      <c r="S1883" s="51"/>
      <c r="T1883" s="41"/>
      <c r="AG1883" s="521" t="s">
        <v>268</v>
      </c>
      <c r="AH1883" s="521" t="s">
        <v>269</v>
      </c>
      <c r="AI1883" s="521" t="s">
        <v>270</v>
      </c>
      <c r="AJ1883" s="521" t="s">
        <v>271</v>
      </c>
      <c r="AK1883" s="521" t="s">
        <v>272</v>
      </c>
      <c r="AM1883" s="745" t="s">
        <v>281</v>
      </c>
      <c r="AN1883" s="746" t="s">
        <v>282</v>
      </c>
      <c r="AO1883" s="522" t="s">
        <v>278</v>
      </c>
      <c r="AR1883" s="51"/>
      <c r="AS1883" s="42" t="s">
        <v>139</v>
      </c>
    </row>
    <row r="1884" spans="1:45" s="520" customFormat="1" ht="12" customHeight="1">
      <c r="A1884" s="747">
        <v>50</v>
      </c>
      <c r="B1884" s="523" t="s">
        <v>320</v>
      </c>
      <c r="C1884" s="748"/>
      <c r="D1884" s="749" t="s">
        <v>1400</v>
      </c>
      <c r="E1884" s="750">
        <f ca="1">IF(AND($A1884=0,$A$1="DIF"),0, ROUND(ROUND(($R1889*$S$2+($T1889*$T$2))/A1884,2)*$C$2,2))</f>
        <v>5.63</v>
      </c>
      <c r="F1884" s="751">
        <f ca="1">ROUND($A1884*$E1884,2)</f>
        <v>281.5</v>
      </c>
      <c r="G1884" s="752" t="s">
        <v>142</v>
      </c>
      <c r="H1884" s="753"/>
      <c r="I1884" s="754"/>
      <c r="J1884" s="753"/>
      <c r="K1884" s="753" t="s">
        <v>3</v>
      </c>
      <c r="L1884" s="755" t="s">
        <v>143</v>
      </c>
      <c r="M1884" s="755"/>
      <c r="N1884" s="755"/>
      <c r="O1884" s="755"/>
      <c r="P1884" s="755"/>
      <c r="Q1884" s="51"/>
      <c r="T1884" s="756" t="str">
        <f ca="1">IF(AND($R1889=0,$T1889=0),"0.00","mu :" &amp; ROUND($F1884/$C$2/($R1889+$T1889*$D$9),2))</f>
        <v>mu :1.23</v>
      </c>
      <c r="W1884" s="524"/>
      <c r="AG1884" s="481">
        <f ca="1">IF($E1884=0,0,ROUND($R1889*$S$2*$C$2/$A1884,2))</f>
        <v>3.26</v>
      </c>
      <c r="AH1884" s="481">
        <f ca="1">$AG1884*$A1884</f>
        <v>163</v>
      </c>
      <c r="AI1884" s="525">
        <f ca="1">$E1884-$AG1884</f>
        <v>2.37</v>
      </c>
      <c r="AJ1884" s="525">
        <f ca="1">$A1884*$AI1884</f>
        <v>118.5</v>
      </c>
      <c r="AK1884" s="526">
        <f ca="1">ROUND(($AG1884+$AI1884)*$A1884,2)</f>
        <v>281.5</v>
      </c>
      <c r="AM1884" s="527">
        <f ca="1">ROUND(R1889,2)</f>
        <v>132.5</v>
      </c>
      <c r="AN1884" s="528">
        <f ca="1">ROUND(T1889,2)</f>
        <v>3.5</v>
      </c>
      <c r="AO1884" s="529">
        <f ca="1">ROUND(AM1884+AN1884,2)*A1884</f>
        <v>6800</v>
      </c>
      <c r="AR1884" s="747">
        <v>50</v>
      </c>
      <c r="AS1884" s="751">
        <v>298.5</v>
      </c>
    </row>
    <row r="1885" spans="1:45" s="520" customFormat="1" ht="13.2">
      <c r="A1885" s="748"/>
      <c r="B1885"/>
      <c r="C1885" s="748"/>
      <c r="D1885" s="749" t="s">
        <v>1401</v>
      </c>
      <c r="F1885" s="753"/>
      <c r="G1885" s="3"/>
      <c r="H1885" s="753"/>
      <c r="I1885" s="754"/>
      <c r="J1885" s="753"/>
      <c r="K1885" s="753" t="s">
        <v>144</v>
      </c>
      <c r="L1885" s="753"/>
      <c r="M1885" s="753"/>
      <c r="N1885" s="753"/>
      <c r="O1885" s="753"/>
      <c r="P1885" s="753"/>
      <c r="Q1885" s="51"/>
      <c r="R1885" s="530"/>
      <c r="S1885" s="757"/>
      <c r="T1885" s="753"/>
      <c r="AR1885" s="748"/>
      <c r="AS1885" s="753"/>
    </row>
    <row r="1886" spans="1:45" s="886" customFormat="1" ht="13.2">
      <c r="A1886"/>
      <c r="B1886" s="910"/>
      <c r="C1886" s="910" t="s">
        <v>2597</v>
      </c>
      <c r="D1886" s="910" t="str">
        <f ca="1">CELL("Address",Elec_Rates!D$478)</f>
        <v>[E25_0062_Quintano_Foods_Elec_ELV_As_Awarded.xlsx]Elec_Rates!$D$478</v>
      </c>
      <c r="E1886" s="911"/>
      <c r="F1886" s="911"/>
      <c r="G1886" s="912" t="s">
        <v>2598</v>
      </c>
      <c r="H1886" s="912"/>
      <c r="I1886" s="912"/>
      <c r="J1886" s="912"/>
      <c r="K1886" s="913"/>
      <c r="L1886" s="911"/>
      <c r="M1886" s="911"/>
      <c r="N1886" s="911"/>
      <c r="O1886" s="914"/>
      <c r="P1886" s="911"/>
      <c r="Q1886" s="915"/>
      <c r="R1886" s="916"/>
      <c r="S1886" s="915"/>
      <c r="T1886" s="917"/>
      <c r="U1886" s="918"/>
      <c r="AR1886"/>
      <c r="AS1886" s="911"/>
    </row>
    <row r="1887" spans="1:45" s="886" customFormat="1" ht="11.4">
      <c r="A1887" s="919">
        <v>50</v>
      </c>
      <c r="B1887" s="920">
        <v>1</v>
      </c>
      <c r="C1887" s="920">
        <f>$A1887*$B1887</f>
        <v>50</v>
      </c>
      <c r="D1887" s="921" t="str">
        <f>Elec_Rates!$D$478</f>
        <v>046# 3 x 4mm2 XLPE/SWA/LSZH</v>
      </c>
      <c r="E1887" s="921"/>
      <c r="F1887" s="921" t="s">
        <v>2599</v>
      </c>
      <c r="G1887" s="922" t="s">
        <v>2601</v>
      </c>
      <c r="H1887" s="922"/>
      <c r="I1887" s="922"/>
      <c r="J1887" s="922"/>
      <c r="K1887" s="923"/>
      <c r="L1887" s="918"/>
      <c r="M1887" s="918"/>
      <c r="N1887" s="918"/>
      <c r="O1887" s="924"/>
      <c r="P1887" s="921"/>
      <c r="Q1887" s="925">
        <f ca="1">$B1887*Elec_Rates!$R$478</f>
        <v>2.65</v>
      </c>
      <c r="R1887" s="916">
        <f ca="1">$A1887*Q1887</f>
        <v>132.5</v>
      </c>
      <c r="S1887" s="925">
        <f ca="1">$B1887*Elec_Rates!$T$478</f>
        <v>7.0000000000000007E-2</v>
      </c>
      <c r="T1887" s="917">
        <f ca="1">$A1887*S1887</f>
        <v>3.5000000000000004</v>
      </c>
      <c r="U1887" s="926"/>
      <c r="AR1887" s="919">
        <v>50</v>
      </c>
      <c r="AS1887" s="921" t="s">
        <v>2599</v>
      </c>
    </row>
    <row r="1888" spans="1:45" s="520" customFormat="1" ht="12">
      <c r="A1888" s="758"/>
      <c r="B1888" s="758"/>
      <c r="C1888" s="758"/>
      <c r="D1888" s="758"/>
      <c r="E1888" s="758"/>
      <c r="F1888" s="753"/>
      <c r="G1888" s="758"/>
      <c r="H1888" s="758"/>
      <c r="I1888" s="519"/>
      <c r="J1888" s="758"/>
      <c r="K1888" s="758"/>
      <c r="L1888" s="758"/>
      <c r="M1888" s="758"/>
      <c r="N1888" s="758"/>
      <c r="O1888" s="758"/>
      <c r="P1888" s="758"/>
      <c r="Q1888" s="519"/>
      <c r="R1888" s="759">
        <f>$A1888*Q1888</f>
        <v>0</v>
      </c>
      <c r="S1888" s="519"/>
      <c r="T1888" s="760">
        <f>$A1888*S1888*$T$1</f>
        <v>0</v>
      </c>
      <c r="AR1888" s="758"/>
      <c r="AS1888" s="753"/>
    </row>
    <row r="1889" spans="1:45" s="520" customFormat="1" ht="12.6" thickBot="1">
      <c r="A1889" s="761" t="s">
        <v>145</v>
      </c>
      <c r="B1889" s="762">
        <f>(R1888+T1888)</f>
        <v>0</v>
      </c>
      <c r="C1889" s="763"/>
      <c r="D1889" s="763"/>
      <c r="E1889" s="763"/>
      <c r="F1889" s="764"/>
      <c r="G1889" s="763" t="s">
        <v>146</v>
      </c>
      <c r="H1889" s="763"/>
      <c r="I1889" s="765"/>
      <c r="J1889" s="763"/>
      <c r="K1889" s="763" t="s">
        <v>3</v>
      </c>
      <c r="L1889" s="766" t="s">
        <v>143</v>
      </c>
      <c r="M1889" s="766"/>
      <c r="N1889" s="766"/>
      <c r="O1889" s="766"/>
      <c r="P1889" s="766"/>
      <c r="Q1889" s="767"/>
      <c r="R1889" s="768">
        <f ca="1">SUM(R1885:R1888)</f>
        <v>132.5</v>
      </c>
      <c r="S1889" s="763"/>
      <c r="T1889" s="768">
        <f ca="1">SUM(T1885:T1888)</f>
        <v>3.5000000000000004</v>
      </c>
      <c r="U1889" s="531"/>
      <c r="V1889" s="531"/>
      <c r="W1889" s="531"/>
      <c r="X1889" s="531"/>
      <c r="Y1889" s="531"/>
      <c r="Z1889" s="531"/>
      <c r="AA1889" s="531"/>
      <c r="AB1889" s="531"/>
      <c r="AC1889" s="531"/>
      <c r="AD1889" s="531"/>
      <c r="AE1889" s="531"/>
      <c r="AF1889" s="531"/>
      <c r="AG1889" s="531"/>
      <c r="AH1889" s="531"/>
      <c r="AI1889" s="531"/>
      <c r="AJ1889" s="531"/>
      <c r="AK1889" s="531"/>
      <c r="AL1889" s="531"/>
      <c r="AM1889" s="531"/>
      <c r="AN1889" s="531"/>
      <c r="AO1889" s="531"/>
      <c r="AR1889" s="761" t="s">
        <v>145</v>
      </c>
      <c r="AS1889" s="764"/>
    </row>
    <row r="1890" spans="1:45" s="520" customFormat="1" thickTop="1">
      <c r="A1890" s="51"/>
      <c r="B1890" s="51"/>
      <c r="C1890" s="3"/>
      <c r="D1890" s="3"/>
      <c r="E1890" s="51"/>
      <c r="F1890" s="51"/>
      <c r="G1890" s="51"/>
      <c r="H1890" s="51"/>
      <c r="I1890" s="51"/>
      <c r="J1890" s="51"/>
      <c r="K1890" s="51" t="s">
        <v>134</v>
      </c>
      <c r="L1890" s="51"/>
      <c r="M1890" s="51"/>
      <c r="N1890" s="51"/>
      <c r="O1890" s="52"/>
      <c r="P1890" s="51"/>
      <c r="Q1890" s="51"/>
      <c r="R1890" s="51"/>
      <c r="S1890" s="51"/>
      <c r="T1890" s="51"/>
      <c r="AR1890" s="51"/>
      <c r="AS1890" s="51"/>
    </row>
    <row r="1891" spans="1:45" s="520" customFormat="1" ht="12">
      <c r="A1891" s="51"/>
      <c r="B1891" s="51"/>
      <c r="C1891" s="51" t="s">
        <v>135</v>
      </c>
      <c r="D1891" s="37"/>
      <c r="E1891" s="51"/>
      <c r="F1891" s="51"/>
      <c r="G1891" s="51"/>
      <c r="H1891" s="51"/>
      <c r="I1891" s="51"/>
      <c r="J1891" s="51"/>
      <c r="K1891" s="51"/>
      <c r="L1891" s="51"/>
      <c r="M1891" s="51"/>
      <c r="N1891" s="51"/>
      <c r="O1891" s="52"/>
      <c r="P1891" s="51"/>
      <c r="Q1891" s="51"/>
      <c r="R1891" s="51"/>
      <c r="S1891" s="51"/>
      <c r="T1891" s="51"/>
      <c r="AR1891" s="51"/>
      <c r="AS1891" s="51"/>
    </row>
    <row r="1892" spans="1:45" s="520" customFormat="1" ht="12">
      <c r="A1892" s="51"/>
      <c r="B1892" s="51"/>
      <c r="C1892" s="51"/>
      <c r="D1892" s="37" t="s">
        <v>463</v>
      </c>
      <c r="E1892" s="51"/>
      <c r="F1892" s="51"/>
      <c r="G1892" s="51"/>
      <c r="H1892" s="51"/>
      <c r="I1892" s="51"/>
      <c r="J1892" s="51"/>
      <c r="K1892" s="51"/>
      <c r="L1892" s="51"/>
      <c r="M1892" s="51"/>
      <c r="N1892" s="51"/>
      <c r="O1892" s="52"/>
      <c r="P1892" s="51"/>
      <c r="Q1892" s="51"/>
      <c r="R1892" s="51"/>
      <c r="S1892" s="38"/>
      <c r="T1892" s="38"/>
      <c r="AR1892" s="51"/>
      <c r="AS1892" s="51"/>
    </row>
    <row r="1893" spans="1:45" s="3" customFormat="1" thickBot="1">
      <c r="A1893" s="531"/>
      <c r="O1893" s="107"/>
      <c r="AR1893" s="531"/>
    </row>
    <row r="1894" spans="1:45" s="520" customFormat="1" ht="12" thickTop="1">
      <c r="A1894" s="51"/>
      <c r="B1894" s="41"/>
      <c r="C1894" s="51"/>
      <c r="E1894" s="42" t="s">
        <v>138</v>
      </c>
      <c r="F1894" s="42" t="s">
        <v>139</v>
      </c>
      <c r="G1894" s="51"/>
      <c r="H1894" s="51"/>
      <c r="I1894" s="51"/>
      <c r="J1894" s="51"/>
      <c r="K1894" s="51" t="s">
        <v>140</v>
      </c>
      <c r="L1894" s="51"/>
      <c r="M1894" s="51"/>
      <c r="N1894" s="51"/>
      <c r="O1894" s="52"/>
      <c r="P1894" s="51"/>
      <c r="Q1894" s="51"/>
      <c r="R1894" s="51"/>
      <c r="S1894" s="51"/>
      <c r="T1894" s="41"/>
      <c r="AG1894" s="521" t="s">
        <v>268</v>
      </c>
      <c r="AH1894" s="521" t="s">
        <v>269</v>
      </c>
      <c r="AI1894" s="521" t="s">
        <v>270</v>
      </c>
      <c r="AJ1894" s="521" t="s">
        <v>271</v>
      </c>
      <c r="AK1894" s="521" t="s">
        <v>272</v>
      </c>
      <c r="AM1894" s="745" t="s">
        <v>281</v>
      </c>
      <c r="AN1894" s="746" t="s">
        <v>282</v>
      </c>
      <c r="AO1894" s="522" t="s">
        <v>278</v>
      </c>
      <c r="AR1894" s="51"/>
      <c r="AS1894" s="42" t="s">
        <v>139</v>
      </c>
    </row>
    <row r="1895" spans="1:45" s="520" customFormat="1" ht="12" customHeight="1">
      <c r="A1895" s="747">
        <v>3</v>
      </c>
      <c r="B1895" s="523" t="s">
        <v>141</v>
      </c>
      <c r="C1895" s="748"/>
      <c r="D1895" s="749" t="s">
        <v>1402</v>
      </c>
      <c r="E1895" s="750">
        <f ca="1">IF(AND($A1895=0,$A$1="DIF"),0, ROUND(ROUND(($R1900*$S$2+($T1900*$T$2))/A1895,2)*$C$2,2))</f>
        <v>48.45</v>
      </c>
      <c r="F1895" s="751">
        <f ca="1">ROUND($A1895*$E1895,2)</f>
        <v>145.35</v>
      </c>
      <c r="G1895" s="752" t="s">
        <v>142</v>
      </c>
      <c r="H1895" s="753"/>
      <c r="I1895" s="754"/>
      <c r="J1895" s="753"/>
      <c r="K1895" s="753" t="s">
        <v>3</v>
      </c>
      <c r="L1895" s="755" t="s">
        <v>143</v>
      </c>
      <c r="M1895" s="755"/>
      <c r="N1895" s="755"/>
      <c r="O1895" s="755"/>
      <c r="P1895" s="755"/>
      <c r="Q1895" s="51"/>
      <c r="T1895" s="756" t="str">
        <f ca="1">IF(AND($R1900=0,$T1900=0),"0.00","mu :" &amp; ROUND($F1895/$C$2/($R1900+$T1900*$D$9),2))</f>
        <v>mu :1.23</v>
      </c>
      <c r="W1895" s="524"/>
      <c r="AG1895" s="481">
        <f ca="1">IF($E1895=0,0,ROUND($R1900*$S$2*$C$2/$A1895,2))</f>
        <v>31.55</v>
      </c>
      <c r="AH1895" s="481">
        <f ca="1">$AG1895*$A1895</f>
        <v>94.65</v>
      </c>
      <c r="AI1895" s="525">
        <f ca="1">$E1895-$AG1895</f>
        <v>16.900000000000002</v>
      </c>
      <c r="AJ1895" s="525">
        <f ca="1">$A1895*$AI1895</f>
        <v>50.7</v>
      </c>
      <c r="AK1895" s="526">
        <f ca="1">ROUND(($AG1895+$AI1895)*$A1895,2)</f>
        <v>145.35</v>
      </c>
      <c r="AM1895" s="527">
        <f ca="1">ROUND(R1900,2)</f>
        <v>76.86</v>
      </c>
      <c r="AN1895" s="528">
        <f ca="1">ROUND(T1900,2)</f>
        <v>1.5</v>
      </c>
      <c r="AO1895" s="529">
        <f ca="1">ROUND(AM1895+AN1895,2)*A1895</f>
        <v>235.07999999999998</v>
      </c>
      <c r="AR1895" s="747">
        <v>3</v>
      </c>
      <c r="AS1895" s="751">
        <v>150.41999999999999</v>
      </c>
    </row>
    <row r="1896" spans="1:45" s="520" customFormat="1" ht="13.2">
      <c r="A1896" s="748"/>
      <c r="B1896"/>
      <c r="C1896" s="748"/>
      <c r="D1896" s="749" t="s">
        <v>1245</v>
      </c>
      <c r="F1896" s="753"/>
      <c r="G1896" s="3"/>
      <c r="H1896" s="753"/>
      <c r="I1896" s="754"/>
      <c r="J1896" s="753"/>
      <c r="K1896" s="753" t="s">
        <v>144</v>
      </c>
      <c r="L1896" s="753"/>
      <c r="M1896" s="753"/>
      <c r="N1896" s="753"/>
      <c r="O1896" s="753"/>
      <c r="P1896" s="753"/>
      <c r="Q1896" s="51"/>
      <c r="R1896" s="530"/>
      <c r="S1896" s="757"/>
      <c r="T1896" s="753"/>
      <c r="AR1896" s="748"/>
      <c r="AS1896" s="753"/>
    </row>
    <row r="1897" spans="1:45" s="520" customFormat="1" ht="12">
      <c r="A1897" s="51"/>
      <c r="B1897" s="758"/>
      <c r="C1897" s="753" t="s">
        <v>2597</v>
      </c>
      <c r="D1897" s="753" t="str">
        <f ca="1">CELL("Address",Elec_Rates!$D$192)</f>
        <v>[E25_0062_Quintano_Foods_Elec_ELV_As_Awarded.xlsx]Elec_Rates!$D$192</v>
      </c>
      <c r="E1897" s="758"/>
      <c r="F1897" s="753"/>
      <c r="G1897" s="1049" t="s">
        <v>2598</v>
      </c>
      <c r="H1897" s="1050"/>
      <c r="I1897" s="1051"/>
      <c r="J1897" s="1050"/>
      <c r="K1897" s="1050"/>
      <c r="L1897" s="758"/>
      <c r="M1897" s="758"/>
      <c r="N1897" s="758"/>
      <c r="O1897" s="758"/>
      <c r="P1897" s="758"/>
      <c r="Q1897" s="519"/>
      <c r="R1897" s="759"/>
      <c r="S1897" s="519"/>
      <c r="T1897" s="760"/>
      <c r="AR1897" s="51"/>
      <c r="AS1897" s="753"/>
    </row>
    <row r="1898" spans="1:45" s="520" customFormat="1" ht="11.4">
      <c r="A1898" s="51">
        <v>3</v>
      </c>
      <c r="B1898" s="519">
        <v>1</v>
      </c>
      <c r="C1898" s="519">
        <f>$A1898*$B1898</f>
        <v>3</v>
      </c>
      <c r="D1898" s="1048" t="str">
        <f>Elec_Rates!$D$192</f>
        <v>018# 1-Phase 25/32A Isolator</v>
      </c>
      <c r="E1898" s="1048"/>
      <c r="F1898" s="1048" t="s">
        <v>2733</v>
      </c>
      <c r="G1898" s="1050" t="s">
        <v>2600</v>
      </c>
      <c r="H1898" s="1050"/>
      <c r="I1898" s="1051"/>
      <c r="J1898" s="1050"/>
      <c r="K1898" s="1050"/>
      <c r="L1898" s="758"/>
      <c r="M1898" s="758"/>
      <c r="N1898" s="758"/>
      <c r="O1898" s="758"/>
      <c r="P1898" s="758"/>
      <c r="Q1898" s="1052">
        <f ca="1">$B1898*Elec_Rates!$R$192</f>
        <v>25.62</v>
      </c>
      <c r="R1898" s="759">
        <f ca="1">$A1898*Q1898</f>
        <v>76.86</v>
      </c>
      <c r="S1898" s="1052">
        <f ca="1">$B1898*Elec_Rates!$T$192</f>
        <v>0.5</v>
      </c>
      <c r="T1898" s="917">
        <f ca="1">$A1898*S1898</f>
        <v>1.5</v>
      </c>
      <c r="AR1898" s="51">
        <v>3</v>
      </c>
      <c r="AS1898" s="1048" t="s">
        <v>2733</v>
      </c>
    </row>
    <row r="1899" spans="1:45" s="520" customFormat="1" ht="12">
      <c r="A1899" s="758"/>
      <c r="B1899" s="758"/>
      <c r="C1899" s="758"/>
      <c r="D1899" s="758"/>
      <c r="E1899" s="758"/>
      <c r="F1899" s="753"/>
      <c r="G1899" s="758"/>
      <c r="H1899" s="758"/>
      <c r="I1899" s="519"/>
      <c r="J1899" s="758"/>
      <c r="K1899" s="758"/>
      <c r="L1899" s="758"/>
      <c r="M1899" s="758"/>
      <c r="N1899" s="758"/>
      <c r="O1899" s="758"/>
      <c r="P1899" s="758"/>
      <c r="Q1899" s="519"/>
      <c r="R1899" s="759">
        <f>$A1899*Q1899</f>
        <v>0</v>
      </c>
      <c r="S1899" s="519"/>
      <c r="T1899" s="760">
        <f>$A1899*S1899*$T$1</f>
        <v>0</v>
      </c>
      <c r="AR1899" s="758"/>
      <c r="AS1899" s="753"/>
    </row>
    <row r="1900" spans="1:45" s="520" customFormat="1" ht="12.6" thickBot="1">
      <c r="A1900" s="761" t="s">
        <v>145</v>
      </c>
      <c r="B1900" s="762">
        <f>(R1899+T1899)</f>
        <v>0</v>
      </c>
      <c r="C1900" s="763"/>
      <c r="D1900" s="763"/>
      <c r="E1900" s="763"/>
      <c r="F1900" s="764"/>
      <c r="G1900" s="763" t="s">
        <v>146</v>
      </c>
      <c r="H1900" s="763"/>
      <c r="I1900" s="765"/>
      <c r="J1900" s="763"/>
      <c r="K1900" s="763" t="s">
        <v>3</v>
      </c>
      <c r="L1900" s="766" t="s">
        <v>143</v>
      </c>
      <c r="M1900" s="766"/>
      <c r="N1900" s="766"/>
      <c r="O1900" s="766"/>
      <c r="P1900" s="766"/>
      <c r="Q1900" s="767"/>
      <c r="R1900" s="768">
        <f ca="1">SUM(R1896:R1899)</f>
        <v>76.86</v>
      </c>
      <c r="S1900" s="763"/>
      <c r="T1900" s="768">
        <f ca="1">SUM(T1896:T1899)</f>
        <v>1.5</v>
      </c>
      <c r="U1900" s="531"/>
      <c r="V1900" s="531"/>
      <c r="W1900" s="531"/>
      <c r="X1900" s="531"/>
      <c r="Y1900" s="531"/>
      <c r="Z1900" s="531"/>
      <c r="AA1900" s="531"/>
      <c r="AB1900" s="531"/>
      <c r="AC1900" s="531"/>
      <c r="AD1900" s="531"/>
      <c r="AE1900" s="531"/>
      <c r="AF1900" s="531"/>
      <c r="AG1900" s="531"/>
      <c r="AH1900" s="531"/>
      <c r="AI1900" s="531"/>
      <c r="AJ1900" s="531"/>
      <c r="AK1900" s="531"/>
      <c r="AL1900" s="531"/>
      <c r="AM1900" s="531"/>
      <c r="AN1900" s="531"/>
      <c r="AO1900" s="531"/>
      <c r="AR1900" s="761" t="s">
        <v>145</v>
      </c>
      <c r="AS1900" s="764"/>
    </row>
    <row r="1901" spans="1:45" s="520" customFormat="1" thickTop="1">
      <c r="A1901" s="51"/>
      <c r="B1901" s="51"/>
      <c r="C1901" s="3"/>
      <c r="D1901" s="3"/>
      <c r="E1901" s="51"/>
      <c r="F1901" s="51"/>
      <c r="G1901" s="51"/>
      <c r="H1901" s="51"/>
      <c r="I1901" s="51"/>
      <c r="J1901" s="51"/>
      <c r="K1901" s="51" t="s">
        <v>134</v>
      </c>
      <c r="L1901" s="51"/>
      <c r="M1901" s="51"/>
      <c r="N1901" s="51"/>
      <c r="O1901" s="52"/>
      <c r="P1901" s="51"/>
      <c r="Q1901" s="51"/>
      <c r="R1901" s="51"/>
      <c r="S1901" s="51"/>
      <c r="T1901" s="51"/>
      <c r="AR1901" s="51"/>
      <c r="AS1901" s="51"/>
    </row>
    <row r="1902" spans="1:45" s="520" customFormat="1" ht="12">
      <c r="A1902" s="51"/>
      <c r="B1902" s="51"/>
      <c r="C1902" s="51" t="s">
        <v>135</v>
      </c>
      <c r="D1902" s="37"/>
      <c r="E1902" s="51"/>
      <c r="F1902" s="51"/>
      <c r="G1902" s="51"/>
      <c r="H1902" s="51"/>
      <c r="I1902" s="51"/>
      <c r="J1902" s="51"/>
      <c r="K1902" s="51"/>
      <c r="L1902" s="51"/>
      <c r="M1902" s="51"/>
      <c r="N1902" s="51"/>
      <c r="O1902" s="52"/>
      <c r="P1902" s="51"/>
      <c r="Q1902" s="51"/>
      <c r="R1902" s="51"/>
      <c r="S1902" s="51"/>
      <c r="T1902" s="51"/>
      <c r="AR1902" s="51"/>
      <c r="AS1902" s="51"/>
    </row>
    <row r="1903" spans="1:45" s="520" customFormat="1" ht="39.9" customHeight="1">
      <c r="A1903" s="51"/>
      <c r="B1903" s="51"/>
      <c r="C1903" s="51"/>
      <c r="D1903" s="1453" t="s">
        <v>498</v>
      </c>
      <c r="E1903" s="1452"/>
      <c r="F1903" s="1452"/>
      <c r="G1903" s="1452"/>
      <c r="H1903" s="1452"/>
      <c r="I1903" s="1452"/>
      <c r="J1903" s="1452"/>
      <c r="K1903" s="1452"/>
      <c r="L1903" s="1452"/>
      <c r="M1903" s="1452"/>
      <c r="N1903" s="1452"/>
      <c r="O1903" s="1452"/>
      <c r="P1903" s="1452"/>
      <c r="Q1903" s="1452"/>
      <c r="R1903" s="1452"/>
      <c r="S1903" s="1452"/>
      <c r="T1903" s="1452"/>
      <c r="AR1903" s="51"/>
    </row>
    <row r="1904" spans="1:45" s="3" customFormat="1" thickBot="1">
      <c r="A1904" s="531"/>
      <c r="O1904" s="107"/>
      <c r="AR1904" s="531"/>
    </row>
    <row r="1905" spans="1:45" s="520" customFormat="1" thickTop="1">
      <c r="A1905" s="51"/>
      <c r="B1905" s="51"/>
      <c r="C1905" s="3"/>
      <c r="D1905" s="3"/>
      <c r="E1905" s="51"/>
      <c r="F1905" s="51"/>
      <c r="G1905" s="51"/>
      <c r="H1905" s="51"/>
      <c r="I1905" s="51"/>
      <c r="J1905" s="51"/>
      <c r="K1905" s="51" t="s">
        <v>134</v>
      </c>
      <c r="L1905" s="51"/>
      <c r="M1905" s="51"/>
      <c r="N1905" s="51"/>
      <c r="O1905" s="52"/>
      <c r="P1905" s="51"/>
      <c r="Q1905" s="51"/>
      <c r="R1905" s="51"/>
      <c r="S1905" s="51"/>
      <c r="T1905" s="51"/>
      <c r="AR1905" s="51"/>
      <c r="AS1905" s="51"/>
    </row>
    <row r="1906" spans="1:45" s="520" customFormat="1" ht="12">
      <c r="A1906" s="51"/>
      <c r="B1906" s="51"/>
      <c r="C1906" s="51" t="s">
        <v>135</v>
      </c>
      <c r="D1906" s="37"/>
      <c r="E1906" s="51"/>
      <c r="F1906" s="51"/>
      <c r="G1906" s="51"/>
      <c r="H1906" s="51"/>
      <c r="I1906" s="51"/>
      <c r="J1906" s="51"/>
      <c r="K1906" s="51"/>
      <c r="L1906" s="51"/>
      <c r="M1906" s="51"/>
      <c r="N1906" s="51"/>
      <c r="O1906" s="52"/>
      <c r="P1906" s="51"/>
      <c r="Q1906" s="51"/>
      <c r="R1906" s="51"/>
      <c r="S1906" s="51"/>
      <c r="T1906" s="51"/>
      <c r="AR1906" s="51"/>
      <c r="AS1906" s="51"/>
    </row>
    <row r="1907" spans="1:45" s="520" customFormat="1" ht="12">
      <c r="A1907" s="51"/>
      <c r="B1907" s="51"/>
      <c r="C1907" s="51"/>
      <c r="D1907" s="37" t="s">
        <v>641</v>
      </c>
      <c r="E1907" s="51"/>
      <c r="F1907" s="51"/>
      <c r="G1907" s="51"/>
      <c r="H1907" s="51"/>
      <c r="I1907" s="51"/>
      <c r="J1907" s="51"/>
      <c r="K1907" s="51"/>
      <c r="L1907" s="51"/>
      <c r="M1907" s="51"/>
      <c r="N1907" s="51"/>
      <c r="O1907" s="52"/>
      <c r="P1907" s="51"/>
      <c r="Q1907" s="51"/>
      <c r="R1907" s="51"/>
      <c r="S1907" s="38"/>
      <c r="T1907" s="38"/>
      <c r="AR1907" s="51"/>
      <c r="AS1907" s="51"/>
    </row>
    <row r="1908" spans="1:45" s="3" customFormat="1" thickBot="1">
      <c r="A1908" s="531"/>
      <c r="O1908" s="107"/>
      <c r="AR1908" s="531"/>
    </row>
    <row r="1909" spans="1:45" s="520" customFormat="1" ht="12" thickTop="1">
      <c r="A1909" s="51"/>
      <c r="B1909" s="41"/>
      <c r="C1909" s="51"/>
      <c r="E1909" s="42" t="s">
        <v>138</v>
      </c>
      <c r="F1909" s="42" t="s">
        <v>139</v>
      </c>
      <c r="G1909" s="51"/>
      <c r="H1909" s="51"/>
      <c r="I1909" s="51"/>
      <c r="J1909" s="51"/>
      <c r="K1909" s="51" t="s">
        <v>140</v>
      </c>
      <c r="L1909" s="51"/>
      <c r="M1909" s="51"/>
      <c r="N1909" s="51"/>
      <c r="O1909" s="52"/>
      <c r="P1909" s="51"/>
      <c r="Q1909" s="51"/>
      <c r="R1909" s="51"/>
      <c r="S1909" s="51"/>
      <c r="T1909" s="41"/>
      <c r="AG1909" s="521" t="s">
        <v>268</v>
      </c>
      <c r="AH1909" s="521" t="s">
        <v>269</v>
      </c>
      <c r="AI1909" s="521" t="s">
        <v>270</v>
      </c>
      <c r="AJ1909" s="521" t="s">
        <v>271</v>
      </c>
      <c r="AK1909" s="521" t="s">
        <v>272</v>
      </c>
      <c r="AM1909" s="745" t="s">
        <v>281</v>
      </c>
      <c r="AN1909" s="746" t="s">
        <v>282</v>
      </c>
      <c r="AO1909" s="522" t="s">
        <v>278</v>
      </c>
      <c r="AR1909" s="51"/>
      <c r="AS1909" s="42" t="s">
        <v>139</v>
      </c>
    </row>
    <row r="1910" spans="1:45" s="520" customFormat="1" ht="12" customHeight="1">
      <c r="A1910" s="747">
        <v>25</v>
      </c>
      <c r="B1910" s="523" t="s">
        <v>320</v>
      </c>
      <c r="C1910" s="748"/>
      <c r="D1910" s="749" t="s">
        <v>1403</v>
      </c>
      <c r="E1910" s="750">
        <f ca="1">IF(AND($A1910=0,$A$1="DIF"),0, ROUND(ROUND(($R1915*$S$2+($T1915*$T$2))/A1910,2)*$C$2,2))</f>
        <v>5.93</v>
      </c>
      <c r="F1910" s="751">
        <f ca="1">ROUND($A1910*$E1910,2)</f>
        <v>148.25</v>
      </c>
      <c r="G1910" s="752" t="s">
        <v>142</v>
      </c>
      <c r="H1910" s="753"/>
      <c r="I1910" s="754"/>
      <c r="J1910" s="753"/>
      <c r="K1910" s="753" t="s">
        <v>3</v>
      </c>
      <c r="L1910" s="755" t="s">
        <v>143</v>
      </c>
      <c r="M1910" s="755"/>
      <c r="N1910" s="755"/>
      <c r="O1910" s="755"/>
      <c r="P1910" s="755"/>
      <c r="Q1910" s="51"/>
      <c r="T1910" s="756" t="str">
        <f ca="1">IF(AND($R1915=0,$T1915=0),"0.00","mu :" &amp; ROUND($F1910/$C$2/($R1915+$T1915*$D$9),2))</f>
        <v>mu :1.23</v>
      </c>
      <c r="W1910" s="524"/>
      <c r="AG1910" s="481">
        <f ca="1">IF($E1910=0,0,ROUND($R1915*$S$2*$C$2/$A1910,2))</f>
        <v>3.56</v>
      </c>
      <c r="AH1910" s="481">
        <f ca="1">$AG1910*$A1910</f>
        <v>89</v>
      </c>
      <c r="AI1910" s="525">
        <f ca="1">$E1910-$AG1910</f>
        <v>2.3699999999999997</v>
      </c>
      <c r="AJ1910" s="525">
        <f ca="1">$A1910*$AI1910</f>
        <v>59.249999999999993</v>
      </c>
      <c r="AK1910" s="526">
        <f ca="1">ROUND(($AG1910+$AI1910)*$A1910,2)</f>
        <v>148.25</v>
      </c>
      <c r="AM1910" s="527">
        <f ca="1">ROUND(R1915,2)</f>
        <v>72.25</v>
      </c>
      <c r="AN1910" s="528">
        <f ca="1">ROUND(T1915,2)</f>
        <v>1.75</v>
      </c>
      <c r="AO1910" s="529">
        <f ca="1">ROUND(AM1910+AN1910,2)*A1910</f>
        <v>1850</v>
      </c>
      <c r="AR1910" s="747">
        <v>25</v>
      </c>
      <c r="AS1910" s="751">
        <v>148.25</v>
      </c>
    </row>
    <row r="1911" spans="1:45" s="520" customFormat="1" ht="13.2">
      <c r="A1911" s="748"/>
      <c r="B1911"/>
      <c r="C1911" s="748"/>
      <c r="D1911" s="749" t="s">
        <v>1293</v>
      </c>
      <c r="F1911" s="753"/>
      <c r="G1911" s="3"/>
      <c r="H1911" s="753"/>
      <c r="I1911" s="754"/>
      <c r="J1911" s="753"/>
      <c r="K1911" s="753" t="s">
        <v>144</v>
      </c>
      <c r="L1911" s="753"/>
      <c r="M1911" s="753"/>
      <c r="N1911" s="753"/>
      <c r="O1911" s="753"/>
      <c r="P1911" s="753"/>
      <c r="Q1911" s="51"/>
      <c r="R1911" s="530"/>
      <c r="S1911" s="757"/>
      <c r="T1911" s="753"/>
      <c r="AR1911" s="748"/>
      <c r="AS1911" s="753"/>
    </row>
    <row r="1912" spans="1:45" s="886" customFormat="1" ht="13.2">
      <c r="A1912"/>
      <c r="B1912" s="910"/>
      <c r="C1912" s="910" t="s">
        <v>2597</v>
      </c>
      <c r="D1912" s="910" t="str">
        <f ca="1">CELL("Address",Elec_Rates!D$510)</f>
        <v>[E25_0062_Quintano_Foods_Elec_ELV_As_Awarded.xlsx]Elec_Rates!$D$510</v>
      </c>
      <c r="E1912" s="911"/>
      <c r="F1912" s="911"/>
      <c r="G1912" s="912" t="s">
        <v>2598</v>
      </c>
      <c r="H1912" s="912"/>
      <c r="I1912" s="912"/>
      <c r="J1912" s="912"/>
      <c r="K1912" s="913"/>
      <c r="L1912" s="911"/>
      <c r="M1912" s="911"/>
      <c r="N1912" s="911"/>
      <c r="O1912" s="914"/>
      <c r="P1912" s="911"/>
      <c r="Q1912" s="915"/>
      <c r="R1912" s="916"/>
      <c r="S1912" s="915"/>
      <c r="T1912" s="917"/>
      <c r="U1912" s="918"/>
      <c r="AR1912"/>
      <c r="AS1912" s="911"/>
    </row>
    <row r="1913" spans="1:45" s="886" customFormat="1" ht="11.4">
      <c r="A1913" s="919">
        <v>25</v>
      </c>
      <c r="B1913" s="920">
        <v>1</v>
      </c>
      <c r="C1913" s="920">
        <f>$A1913*$B1913</f>
        <v>25</v>
      </c>
      <c r="D1913" s="921" t="str">
        <f>Elec_Rates!$D$510</f>
        <v>048# 5 x 2.5mm2 XLPE/SWA/LSZH</v>
      </c>
      <c r="E1913" s="921"/>
      <c r="F1913" s="921" t="s">
        <v>2599</v>
      </c>
      <c r="G1913" s="922" t="s">
        <v>2601</v>
      </c>
      <c r="H1913" s="922"/>
      <c r="I1913" s="922"/>
      <c r="J1913" s="922"/>
      <c r="K1913" s="923"/>
      <c r="L1913" s="918"/>
      <c r="M1913" s="918"/>
      <c r="N1913" s="918"/>
      <c r="O1913" s="924"/>
      <c r="P1913" s="921"/>
      <c r="Q1913" s="925">
        <f ca="1">$B1913*Elec_Rates!$R$510</f>
        <v>2.89</v>
      </c>
      <c r="R1913" s="916">
        <f ca="1">$A1913*Q1913</f>
        <v>72.25</v>
      </c>
      <c r="S1913" s="925">
        <f ca="1">$B1913*Elec_Rates!$T$510</f>
        <v>7.0000000000000007E-2</v>
      </c>
      <c r="T1913" s="917">
        <f ca="1">$A1913*S1913</f>
        <v>1.7500000000000002</v>
      </c>
      <c r="U1913" s="926"/>
      <c r="AR1913" s="919">
        <v>25</v>
      </c>
      <c r="AS1913" s="921" t="s">
        <v>2599</v>
      </c>
    </row>
    <row r="1914" spans="1:45" s="520" customFormat="1" ht="12">
      <c r="A1914" s="758"/>
      <c r="B1914" s="758"/>
      <c r="C1914" s="758"/>
      <c r="D1914" s="758"/>
      <c r="E1914" s="758"/>
      <c r="F1914" s="753"/>
      <c r="G1914" s="758"/>
      <c r="H1914" s="758"/>
      <c r="I1914" s="519"/>
      <c r="J1914" s="758"/>
      <c r="K1914" s="758"/>
      <c r="L1914" s="758"/>
      <c r="M1914" s="758"/>
      <c r="N1914" s="758"/>
      <c r="O1914" s="758"/>
      <c r="P1914" s="758"/>
      <c r="Q1914" s="519"/>
      <c r="R1914" s="759">
        <f>$A1914*Q1914</f>
        <v>0</v>
      </c>
      <c r="S1914" s="519"/>
      <c r="T1914" s="760">
        <f>$A1914*S1914*$T$1</f>
        <v>0</v>
      </c>
      <c r="AR1914" s="758"/>
      <c r="AS1914" s="753"/>
    </row>
    <row r="1915" spans="1:45" s="520" customFormat="1" ht="12.6" thickBot="1">
      <c r="A1915" s="761" t="s">
        <v>145</v>
      </c>
      <c r="B1915" s="762">
        <f>(R1914+T1914)</f>
        <v>0</v>
      </c>
      <c r="C1915" s="763"/>
      <c r="D1915" s="763"/>
      <c r="E1915" s="763"/>
      <c r="F1915" s="764"/>
      <c r="G1915" s="763" t="s">
        <v>146</v>
      </c>
      <c r="H1915" s="763"/>
      <c r="I1915" s="765"/>
      <c r="J1915" s="763"/>
      <c r="K1915" s="763" t="s">
        <v>3</v>
      </c>
      <c r="L1915" s="766" t="s">
        <v>143</v>
      </c>
      <c r="M1915" s="766"/>
      <c r="N1915" s="766"/>
      <c r="O1915" s="766"/>
      <c r="P1915" s="766"/>
      <c r="Q1915" s="767"/>
      <c r="R1915" s="768">
        <f ca="1">SUM(R1911:R1914)</f>
        <v>72.25</v>
      </c>
      <c r="S1915" s="763"/>
      <c r="T1915" s="768">
        <f ca="1">SUM(T1911:T1914)</f>
        <v>1.7500000000000002</v>
      </c>
      <c r="U1915" s="531"/>
      <c r="V1915" s="531"/>
      <c r="W1915" s="531"/>
      <c r="X1915" s="531"/>
      <c r="Y1915" s="531"/>
      <c r="Z1915" s="531"/>
      <c r="AA1915" s="531"/>
      <c r="AB1915" s="531"/>
      <c r="AC1915" s="531"/>
      <c r="AD1915" s="531"/>
      <c r="AE1915" s="531"/>
      <c r="AF1915" s="531"/>
      <c r="AG1915" s="531"/>
      <c r="AH1915" s="531"/>
      <c r="AI1915" s="531"/>
      <c r="AJ1915" s="531"/>
      <c r="AK1915" s="531"/>
      <c r="AL1915" s="531"/>
      <c r="AM1915" s="531"/>
      <c r="AN1915" s="531"/>
      <c r="AO1915" s="531"/>
      <c r="AR1915" s="761" t="s">
        <v>145</v>
      </c>
      <c r="AS1915" s="764"/>
    </row>
    <row r="1916" spans="1:45" s="520" customFormat="1" ht="12" thickTop="1">
      <c r="A1916" s="51"/>
      <c r="B1916" s="41"/>
      <c r="C1916" s="51"/>
      <c r="E1916" s="42" t="s">
        <v>138</v>
      </c>
      <c r="F1916" s="42" t="s">
        <v>139</v>
      </c>
      <c r="G1916" s="51"/>
      <c r="H1916" s="51"/>
      <c r="I1916" s="51"/>
      <c r="J1916" s="51"/>
      <c r="K1916" s="51" t="s">
        <v>140</v>
      </c>
      <c r="L1916" s="51"/>
      <c r="M1916" s="51"/>
      <c r="N1916" s="51"/>
      <c r="O1916" s="52"/>
      <c r="P1916" s="51"/>
      <c r="Q1916" s="51"/>
      <c r="R1916" s="51"/>
      <c r="S1916" s="51"/>
      <c r="T1916" s="41"/>
      <c r="AG1916" s="521" t="s">
        <v>268</v>
      </c>
      <c r="AH1916" s="521" t="s">
        <v>269</v>
      </c>
      <c r="AI1916" s="521" t="s">
        <v>270</v>
      </c>
      <c r="AJ1916" s="521" t="s">
        <v>271</v>
      </c>
      <c r="AK1916" s="521" t="s">
        <v>272</v>
      </c>
      <c r="AM1916" s="745" t="s">
        <v>281</v>
      </c>
      <c r="AN1916" s="746" t="s">
        <v>282</v>
      </c>
      <c r="AO1916" s="522" t="s">
        <v>278</v>
      </c>
      <c r="AR1916" s="51"/>
      <c r="AS1916" s="42" t="s">
        <v>139</v>
      </c>
    </row>
    <row r="1917" spans="1:45" s="520" customFormat="1" ht="12" customHeight="1">
      <c r="A1917" s="747">
        <v>25</v>
      </c>
      <c r="B1917" s="523" t="s">
        <v>320</v>
      </c>
      <c r="C1917" s="748"/>
      <c r="D1917" s="749" t="s">
        <v>1404</v>
      </c>
      <c r="E1917" s="750">
        <f ca="1">IF(AND($A1917=0,$A$1="DIF"),0, ROUND(ROUND(($R1922*$S$2+($T1922*$T$2))/A1917,2)*$C$2,2))</f>
        <v>5.93</v>
      </c>
      <c r="F1917" s="751">
        <f ca="1">ROUND($A1917*$E1917,2)</f>
        <v>148.25</v>
      </c>
      <c r="G1917" s="752" t="s">
        <v>142</v>
      </c>
      <c r="H1917" s="753"/>
      <c r="I1917" s="754"/>
      <c r="J1917" s="753"/>
      <c r="K1917" s="753" t="s">
        <v>3</v>
      </c>
      <c r="L1917" s="755" t="s">
        <v>143</v>
      </c>
      <c r="M1917" s="755"/>
      <c r="N1917" s="755"/>
      <c r="O1917" s="755"/>
      <c r="P1917" s="755"/>
      <c r="Q1917" s="51"/>
      <c r="T1917" s="756" t="str">
        <f ca="1">IF(AND($R1922=0,$T1922=0),"0.00","mu :" &amp; ROUND($F1917/$C$2/($R1922+$T1922*$D$9),2))</f>
        <v>mu :1.23</v>
      </c>
      <c r="W1917" s="524"/>
      <c r="AG1917" s="481">
        <f ca="1">IF($E1917=0,0,ROUND($R1922*$S$2*$C$2/$A1917,2))</f>
        <v>3.56</v>
      </c>
      <c r="AH1917" s="481">
        <f ca="1">$AG1917*$A1917</f>
        <v>89</v>
      </c>
      <c r="AI1917" s="525">
        <f ca="1">$E1917-$AG1917</f>
        <v>2.3699999999999997</v>
      </c>
      <c r="AJ1917" s="525">
        <f ca="1">$A1917*$AI1917</f>
        <v>59.249999999999993</v>
      </c>
      <c r="AK1917" s="526">
        <f ca="1">ROUND(($AG1917+$AI1917)*$A1917,2)</f>
        <v>148.25</v>
      </c>
      <c r="AM1917" s="527">
        <f ca="1">ROUND(R1922,2)</f>
        <v>72.25</v>
      </c>
      <c r="AN1917" s="528">
        <f ca="1">ROUND(T1922,2)</f>
        <v>1.75</v>
      </c>
      <c r="AO1917" s="529">
        <f ca="1">ROUND(AM1917+AN1917,2)*A1917</f>
        <v>1850</v>
      </c>
      <c r="AR1917" s="747">
        <v>25</v>
      </c>
      <c r="AS1917" s="751">
        <v>148.25</v>
      </c>
    </row>
    <row r="1918" spans="1:45" s="520" customFormat="1" ht="13.2">
      <c r="A1918" s="748"/>
      <c r="B1918"/>
      <c r="C1918" s="748"/>
      <c r="D1918" s="749" t="s">
        <v>1295</v>
      </c>
      <c r="F1918" s="753"/>
      <c r="G1918" s="3"/>
      <c r="H1918" s="753"/>
      <c r="I1918" s="754"/>
      <c r="J1918" s="753"/>
      <c r="K1918" s="753" t="s">
        <v>144</v>
      </c>
      <c r="L1918" s="753"/>
      <c r="M1918" s="753"/>
      <c r="N1918" s="753"/>
      <c r="O1918" s="753"/>
      <c r="P1918" s="753"/>
      <c r="Q1918" s="51"/>
      <c r="R1918" s="530"/>
      <c r="S1918" s="757"/>
      <c r="T1918" s="753"/>
      <c r="AR1918" s="748"/>
      <c r="AS1918" s="753"/>
    </row>
    <row r="1919" spans="1:45" s="886" customFormat="1" ht="13.2">
      <c r="A1919"/>
      <c r="B1919" s="910"/>
      <c r="C1919" s="910" t="s">
        <v>2597</v>
      </c>
      <c r="D1919" s="910" t="str">
        <f ca="1">CELL("Address",Elec_Rates!D$510)</f>
        <v>[E25_0062_Quintano_Foods_Elec_ELV_As_Awarded.xlsx]Elec_Rates!$D$510</v>
      </c>
      <c r="E1919" s="911"/>
      <c r="F1919" s="911"/>
      <c r="G1919" s="912" t="s">
        <v>2598</v>
      </c>
      <c r="H1919" s="912"/>
      <c r="I1919" s="912"/>
      <c r="J1919" s="912"/>
      <c r="K1919" s="913"/>
      <c r="L1919" s="911"/>
      <c r="M1919" s="911"/>
      <c r="N1919" s="911"/>
      <c r="O1919" s="914"/>
      <c r="P1919" s="911"/>
      <c r="Q1919" s="915"/>
      <c r="R1919" s="916"/>
      <c r="S1919" s="915"/>
      <c r="T1919" s="917"/>
      <c r="U1919" s="918"/>
      <c r="AR1919"/>
      <c r="AS1919" s="911"/>
    </row>
    <row r="1920" spans="1:45" s="886" customFormat="1" ht="11.4">
      <c r="A1920" s="919">
        <v>25</v>
      </c>
      <c r="B1920" s="920">
        <v>1</v>
      </c>
      <c r="C1920" s="920">
        <f>$A1920*$B1920</f>
        <v>25</v>
      </c>
      <c r="D1920" s="921" t="str">
        <f>Elec_Rates!$D$510</f>
        <v>048# 5 x 2.5mm2 XLPE/SWA/LSZH</v>
      </c>
      <c r="E1920" s="921"/>
      <c r="F1920" s="921" t="s">
        <v>2599</v>
      </c>
      <c r="G1920" s="922" t="s">
        <v>2601</v>
      </c>
      <c r="H1920" s="922"/>
      <c r="I1920" s="922"/>
      <c r="J1920" s="922"/>
      <c r="K1920" s="923"/>
      <c r="L1920" s="918"/>
      <c r="M1920" s="918"/>
      <c r="N1920" s="918"/>
      <c r="O1920" s="924"/>
      <c r="P1920" s="921"/>
      <c r="Q1920" s="925">
        <f ca="1">$B1920*Elec_Rates!$R$510</f>
        <v>2.89</v>
      </c>
      <c r="R1920" s="916">
        <f ca="1">$A1920*Q1920</f>
        <v>72.25</v>
      </c>
      <c r="S1920" s="925">
        <f ca="1">$B1920*Elec_Rates!$T$510</f>
        <v>7.0000000000000007E-2</v>
      </c>
      <c r="T1920" s="917">
        <f ca="1">$A1920*S1920</f>
        <v>1.7500000000000002</v>
      </c>
      <c r="U1920" s="926"/>
      <c r="AR1920" s="919">
        <v>25</v>
      </c>
      <c r="AS1920" s="921" t="s">
        <v>2599</v>
      </c>
    </row>
    <row r="1921" spans="1:45" s="520" customFormat="1" ht="12">
      <c r="A1921" s="758"/>
      <c r="B1921" s="758"/>
      <c r="C1921" s="758"/>
      <c r="D1921" s="758"/>
      <c r="E1921" s="758"/>
      <c r="F1921" s="753"/>
      <c r="G1921" s="758"/>
      <c r="H1921" s="758"/>
      <c r="I1921" s="519"/>
      <c r="J1921" s="758"/>
      <c r="K1921" s="758"/>
      <c r="L1921" s="758"/>
      <c r="M1921" s="758"/>
      <c r="N1921" s="758"/>
      <c r="O1921" s="758"/>
      <c r="P1921" s="758"/>
      <c r="Q1921" s="519"/>
      <c r="R1921" s="759">
        <f>$A1921*Q1921</f>
        <v>0</v>
      </c>
      <c r="S1921" s="519"/>
      <c r="T1921" s="760">
        <f>$A1921*S1921*$T$1</f>
        <v>0</v>
      </c>
      <c r="AR1921" s="758"/>
      <c r="AS1921" s="753"/>
    </row>
    <row r="1922" spans="1:45" s="520" customFormat="1" ht="12.6" thickBot="1">
      <c r="A1922" s="761" t="s">
        <v>145</v>
      </c>
      <c r="B1922" s="762">
        <f>(R1921+T1921)</f>
        <v>0</v>
      </c>
      <c r="C1922" s="763"/>
      <c r="D1922" s="763"/>
      <c r="E1922" s="763"/>
      <c r="F1922" s="764"/>
      <c r="G1922" s="763" t="s">
        <v>146</v>
      </c>
      <c r="H1922" s="763"/>
      <c r="I1922" s="765"/>
      <c r="J1922" s="763"/>
      <c r="K1922" s="763" t="s">
        <v>3</v>
      </c>
      <c r="L1922" s="766" t="s">
        <v>143</v>
      </c>
      <c r="M1922" s="766"/>
      <c r="N1922" s="766"/>
      <c r="O1922" s="766"/>
      <c r="P1922" s="766"/>
      <c r="Q1922" s="767"/>
      <c r="R1922" s="768">
        <f ca="1">SUM(R1918:R1921)</f>
        <v>72.25</v>
      </c>
      <c r="S1922" s="763"/>
      <c r="T1922" s="768">
        <f ca="1">SUM(T1918:T1921)</f>
        <v>1.7500000000000002</v>
      </c>
      <c r="U1922" s="531"/>
      <c r="V1922" s="531"/>
      <c r="W1922" s="531"/>
      <c r="X1922" s="531"/>
      <c r="Y1922" s="531"/>
      <c r="Z1922" s="531"/>
      <c r="AA1922" s="531"/>
      <c r="AB1922" s="531"/>
      <c r="AC1922" s="531"/>
      <c r="AD1922" s="531"/>
      <c r="AE1922" s="531"/>
      <c r="AF1922" s="531"/>
      <c r="AG1922" s="531"/>
      <c r="AH1922" s="531"/>
      <c r="AI1922" s="531"/>
      <c r="AJ1922" s="531"/>
      <c r="AK1922" s="531"/>
      <c r="AL1922" s="531"/>
      <c r="AM1922" s="531"/>
      <c r="AN1922" s="531"/>
      <c r="AO1922" s="531"/>
      <c r="AR1922" s="761" t="s">
        <v>145</v>
      </c>
      <c r="AS1922" s="764"/>
    </row>
    <row r="1923" spans="1:45" s="520" customFormat="1" ht="12" thickTop="1">
      <c r="A1923" s="51"/>
      <c r="B1923" s="41"/>
      <c r="C1923" s="51"/>
      <c r="E1923" s="42" t="s">
        <v>138</v>
      </c>
      <c r="F1923" s="42" t="s">
        <v>139</v>
      </c>
      <c r="G1923" s="51"/>
      <c r="H1923" s="51"/>
      <c r="I1923" s="51"/>
      <c r="J1923" s="51"/>
      <c r="K1923" s="51" t="s">
        <v>140</v>
      </c>
      <c r="L1923" s="51"/>
      <c r="M1923" s="51"/>
      <c r="N1923" s="51"/>
      <c r="O1923" s="52"/>
      <c r="P1923" s="51"/>
      <c r="Q1923" s="51"/>
      <c r="R1923" s="51"/>
      <c r="S1923" s="51"/>
      <c r="T1923" s="41"/>
      <c r="AG1923" s="521" t="s">
        <v>268</v>
      </c>
      <c r="AH1923" s="521" t="s">
        <v>269</v>
      </c>
      <c r="AI1923" s="521" t="s">
        <v>270</v>
      </c>
      <c r="AJ1923" s="521" t="s">
        <v>271</v>
      </c>
      <c r="AK1923" s="521" t="s">
        <v>272</v>
      </c>
      <c r="AM1923" s="745" t="s">
        <v>281</v>
      </c>
      <c r="AN1923" s="746" t="s">
        <v>282</v>
      </c>
      <c r="AO1923" s="522" t="s">
        <v>278</v>
      </c>
      <c r="AR1923" s="51"/>
      <c r="AS1923" s="42" t="s">
        <v>139</v>
      </c>
    </row>
    <row r="1924" spans="1:45" s="520" customFormat="1" ht="12" customHeight="1">
      <c r="A1924" s="747">
        <v>30</v>
      </c>
      <c r="B1924" s="523" t="s">
        <v>320</v>
      </c>
      <c r="C1924" s="748"/>
      <c r="D1924" s="749" t="s">
        <v>1405</v>
      </c>
      <c r="E1924" s="750">
        <f ca="1">IF(AND($A1924=0,$A$1="DIF"),0, ROUND(ROUND(($R1929*$S$2+($T1929*$T$2))/A1924,2)*$C$2,2))</f>
        <v>5.93</v>
      </c>
      <c r="F1924" s="751">
        <f ca="1">ROUND($A1924*$E1924,2)</f>
        <v>177.9</v>
      </c>
      <c r="G1924" s="752" t="s">
        <v>142</v>
      </c>
      <c r="H1924" s="753"/>
      <c r="I1924" s="754"/>
      <c r="J1924" s="753"/>
      <c r="K1924" s="753" t="s">
        <v>3</v>
      </c>
      <c r="L1924" s="755" t="s">
        <v>143</v>
      </c>
      <c r="M1924" s="755"/>
      <c r="N1924" s="755"/>
      <c r="O1924" s="755"/>
      <c r="P1924" s="755"/>
      <c r="Q1924" s="51"/>
      <c r="T1924" s="756" t="str">
        <f ca="1">IF(AND($R1929=0,$T1929=0),"0.00","mu :" &amp; ROUND($F1924/$C$2/($R1929+$T1929*$D$9),2))</f>
        <v>mu :1.23</v>
      </c>
      <c r="W1924" s="524"/>
      <c r="AG1924" s="481">
        <f ca="1">IF($E1924=0,0,ROUND($R1929*$S$2*$C$2/$A1924,2))</f>
        <v>3.56</v>
      </c>
      <c r="AH1924" s="481">
        <f ca="1">$AG1924*$A1924</f>
        <v>106.8</v>
      </c>
      <c r="AI1924" s="525">
        <f ca="1">$E1924-$AG1924</f>
        <v>2.3699999999999997</v>
      </c>
      <c r="AJ1924" s="525">
        <f ca="1">$A1924*$AI1924</f>
        <v>71.099999999999994</v>
      </c>
      <c r="AK1924" s="526">
        <f ca="1">ROUND(($AG1924+$AI1924)*$A1924,2)</f>
        <v>177.9</v>
      </c>
      <c r="AM1924" s="527">
        <f ca="1">ROUND(R1929,2)</f>
        <v>86.7</v>
      </c>
      <c r="AN1924" s="528">
        <f ca="1">ROUND(T1929,2)</f>
        <v>2.1</v>
      </c>
      <c r="AO1924" s="529">
        <f ca="1">ROUND(AM1924+AN1924,2)*A1924</f>
        <v>2664</v>
      </c>
      <c r="AR1924" s="747">
        <v>30</v>
      </c>
      <c r="AS1924" s="751">
        <v>177.9</v>
      </c>
    </row>
    <row r="1925" spans="1:45" s="520" customFormat="1" ht="13.2">
      <c r="A1925" s="748"/>
      <c r="B1925"/>
      <c r="C1925" s="748"/>
      <c r="D1925" s="749" t="s">
        <v>1406</v>
      </c>
      <c r="F1925" s="753"/>
      <c r="G1925" s="3"/>
      <c r="H1925" s="753"/>
      <c r="I1925" s="754"/>
      <c r="J1925" s="753"/>
      <c r="K1925" s="753" t="s">
        <v>144</v>
      </c>
      <c r="L1925" s="753"/>
      <c r="M1925" s="753"/>
      <c r="N1925" s="753"/>
      <c r="O1925" s="753"/>
      <c r="P1925" s="753"/>
      <c r="Q1925" s="51"/>
      <c r="R1925" s="530"/>
      <c r="S1925" s="757"/>
      <c r="T1925" s="753"/>
      <c r="AR1925" s="748"/>
      <c r="AS1925" s="753"/>
    </row>
    <row r="1926" spans="1:45" s="886" customFormat="1" ht="13.2">
      <c r="A1926"/>
      <c r="B1926" s="910"/>
      <c r="C1926" s="910" t="s">
        <v>2597</v>
      </c>
      <c r="D1926" s="910" t="str">
        <f ca="1">CELL("Address",Elec_Rates!D$510)</f>
        <v>[E25_0062_Quintano_Foods_Elec_ELV_As_Awarded.xlsx]Elec_Rates!$D$510</v>
      </c>
      <c r="E1926" s="911"/>
      <c r="F1926" s="911"/>
      <c r="G1926" s="912" t="s">
        <v>2598</v>
      </c>
      <c r="H1926" s="912"/>
      <c r="I1926" s="912"/>
      <c r="J1926" s="912"/>
      <c r="K1926" s="913"/>
      <c r="L1926" s="911"/>
      <c r="M1926" s="911"/>
      <c r="N1926" s="911"/>
      <c r="O1926" s="914"/>
      <c r="P1926" s="911"/>
      <c r="Q1926" s="915"/>
      <c r="R1926" s="916"/>
      <c r="S1926" s="915"/>
      <c r="T1926" s="917"/>
      <c r="U1926" s="918"/>
      <c r="AR1926"/>
      <c r="AS1926" s="911"/>
    </row>
    <row r="1927" spans="1:45" s="886" customFormat="1" ht="11.4">
      <c r="A1927" s="919">
        <v>30</v>
      </c>
      <c r="B1927" s="920">
        <v>1</v>
      </c>
      <c r="C1927" s="920">
        <f>$A1927*$B1927</f>
        <v>30</v>
      </c>
      <c r="D1927" s="921" t="str">
        <f>Elec_Rates!$D$510</f>
        <v>048# 5 x 2.5mm2 XLPE/SWA/LSZH</v>
      </c>
      <c r="E1927" s="921"/>
      <c r="F1927" s="921" t="s">
        <v>2599</v>
      </c>
      <c r="G1927" s="922" t="s">
        <v>2601</v>
      </c>
      <c r="H1927" s="922"/>
      <c r="I1927" s="922"/>
      <c r="J1927" s="922"/>
      <c r="K1927" s="923"/>
      <c r="L1927" s="918"/>
      <c r="M1927" s="918"/>
      <c r="N1927" s="918"/>
      <c r="O1927" s="924"/>
      <c r="P1927" s="921"/>
      <c r="Q1927" s="925">
        <f ca="1">$B1927*Elec_Rates!$R$510</f>
        <v>2.89</v>
      </c>
      <c r="R1927" s="916">
        <f ca="1">$A1927*Q1927</f>
        <v>86.7</v>
      </c>
      <c r="S1927" s="925">
        <f ca="1">$B1927*Elec_Rates!$T$510</f>
        <v>7.0000000000000007E-2</v>
      </c>
      <c r="T1927" s="917">
        <f ca="1">$A1927*S1927</f>
        <v>2.1</v>
      </c>
      <c r="U1927" s="926"/>
      <c r="AR1927" s="919">
        <v>30</v>
      </c>
      <c r="AS1927" s="921" t="s">
        <v>2599</v>
      </c>
    </row>
    <row r="1928" spans="1:45" s="520" customFormat="1" ht="12">
      <c r="A1928" s="758"/>
      <c r="B1928" s="758"/>
      <c r="C1928" s="758"/>
      <c r="D1928" s="758"/>
      <c r="E1928" s="758"/>
      <c r="F1928" s="753"/>
      <c r="G1928" s="758"/>
      <c r="H1928" s="758"/>
      <c r="I1928" s="519"/>
      <c r="J1928" s="758"/>
      <c r="K1928" s="758"/>
      <c r="L1928" s="758"/>
      <c r="M1928" s="758"/>
      <c r="N1928" s="758"/>
      <c r="O1928" s="758"/>
      <c r="P1928" s="758"/>
      <c r="Q1928" s="519"/>
      <c r="R1928" s="759">
        <f>$A1928*Q1928</f>
        <v>0</v>
      </c>
      <c r="S1928" s="519"/>
      <c r="T1928" s="760">
        <f>$A1928*S1928*$T$1</f>
        <v>0</v>
      </c>
      <c r="AR1928" s="758"/>
      <c r="AS1928" s="753"/>
    </row>
    <row r="1929" spans="1:45" s="520" customFormat="1" ht="12.6" thickBot="1">
      <c r="A1929" s="761" t="s">
        <v>145</v>
      </c>
      <c r="B1929" s="762">
        <f>(R1928+T1928)</f>
        <v>0</v>
      </c>
      <c r="C1929" s="763"/>
      <c r="D1929" s="763"/>
      <c r="E1929" s="763"/>
      <c r="F1929" s="764"/>
      <c r="G1929" s="763" t="s">
        <v>146</v>
      </c>
      <c r="H1929" s="763"/>
      <c r="I1929" s="765"/>
      <c r="J1929" s="763"/>
      <c r="K1929" s="763" t="s">
        <v>3</v>
      </c>
      <c r="L1929" s="766" t="s">
        <v>143</v>
      </c>
      <c r="M1929" s="766"/>
      <c r="N1929" s="766"/>
      <c r="O1929" s="766"/>
      <c r="P1929" s="766"/>
      <c r="Q1929" s="767"/>
      <c r="R1929" s="768">
        <f ca="1">SUM(R1925:R1928)</f>
        <v>86.7</v>
      </c>
      <c r="S1929" s="763"/>
      <c r="T1929" s="768">
        <f ca="1">SUM(T1925:T1928)</f>
        <v>2.1</v>
      </c>
      <c r="U1929" s="531"/>
      <c r="V1929" s="531"/>
      <c r="W1929" s="531"/>
      <c r="X1929" s="531"/>
      <c r="Y1929" s="531"/>
      <c r="Z1929" s="531"/>
      <c r="AA1929" s="531"/>
      <c r="AB1929" s="531"/>
      <c r="AC1929" s="531"/>
      <c r="AD1929" s="531"/>
      <c r="AE1929" s="531"/>
      <c r="AF1929" s="531"/>
      <c r="AG1929" s="531"/>
      <c r="AH1929" s="531"/>
      <c r="AI1929" s="531"/>
      <c r="AJ1929" s="531"/>
      <c r="AK1929" s="531"/>
      <c r="AL1929" s="531"/>
      <c r="AM1929" s="531"/>
      <c r="AN1929" s="531"/>
      <c r="AO1929" s="531"/>
      <c r="AR1929" s="761" t="s">
        <v>145</v>
      </c>
      <c r="AS1929" s="764"/>
    </row>
    <row r="1930" spans="1:45" s="520" customFormat="1" ht="12" thickTop="1">
      <c r="A1930" s="51"/>
      <c r="B1930" s="41"/>
      <c r="C1930" s="51"/>
      <c r="E1930" s="42" t="s">
        <v>138</v>
      </c>
      <c r="F1930" s="42" t="s">
        <v>139</v>
      </c>
      <c r="G1930" s="51"/>
      <c r="H1930" s="51"/>
      <c r="I1930" s="51"/>
      <c r="J1930" s="51"/>
      <c r="K1930" s="51" t="s">
        <v>140</v>
      </c>
      <c r="L1930" s="51"/>
      <c r="M1930" s="51"/>
      <c r="N1930" s="51"/>
      <c r="O1930" s="52"/>
      <c r="P1930" s="51"/>
      <c r="Q1930" s="51"/>
      <c r="R1930" s="51"/>
      <c r="S1930" s="51"/>
      <c r="T1930" s="41"/>
      <c r="AG1930" s="521" t="s">
        <v>268</v>
      </c>
      <c r="AH1930" s="521" t="s">
        <v>269</v>
      </c>
      <c r="AI1930" s="521" t="s">
        <v>270</v>
      </c>
      <c r="AJ1930" s="521" t="s">
        <v>271</v>
      </c>
      <c r="AK1930" s="521" t="s">
        <v>272</v>
      </c>
      <c r="AM1930" s="745" t="s">
        <v>281</v>
      </c>
      <c r="AN1930" s="746" t="s">
        <v>282</v>
      </c>
      <c r="AO1930" s="522" t="s">
        <v>278</v>
      </c>
      <c r="AR1930" s="51"/>
      <c r="AS1930" s="42" t="s">
        <v>139</v>
      </c>
    </row>
    <row r="1931" spans="1:45" s="520" customFormat="1" ht="12" customHeight="1">
      <c r="A1931" s="747">
        <v>35</v>
      </c>
      <c r="B1931" s="523" t="s">
        <v>320</v>
      </c>
      <c r="C1931" s="748"/>
      <c r="D1931" s="749" t="s">
        <v>1407</v>
      </c>
      <c r="E1931" s="750">
        <f ca="1">IF(AND($A1931=0,$A$1="DIF"),0, ROUND(ROUND(($R1936*$S$2+($T1936*$T$2))/A1931,2)*$C$2,2))</f>
        <v>5.93</v>
      </c>
      <c r="F1931" s="751">
        <f ca="1">ROUND($A1931*$E1931,2)</f>
        <v>207.55</v>
      </c>
      <c r="G1931" s="752" t="s">
        <v>142</v>
      </c>
      <c r="H1931" s="753"/>
      <c r="I1931" s="754"/>
      <c r="J1931" s="753"/>
      <c r="K1931" s="753" t="s">
        <v>3</v>
      </c>
      <c r="L1931" s="755" t="s">
        <v>143</v>
      </c>
      <c r="M1931" s="755"/>
      <c r="N1931" s="755"/>
      <c r="O1931" s="755"/>
      <c r="P1931" s="755"/>
      <c r="Q1931" s="51"/>
      <c r="T1931" s="756" t="str">
        <f ca="1">IF(AND($R1936=0,$T1936=0),"0.00","mu :" &amp; ROUND($F1931/$C$2/($R1936+$T1936*$D$9),2))</f>
        <v>mu :1.23</v>
      </c>
      <c r="W1931" s="524"/>
      <c r="AG1931" s="481">
        <f ca="1">IF($E1931=0,0,ROUND($R1936*$S$2*$C$2/$A1931,2))</f>
        <v>3.56</v>
      </c>
      <c r="AH1931" s="481">
        <f ca="1">$AG1931*$A1931</f>
        <v>124.60000000000001</v>
      </c>
      <c r="AI1931" s="525">
        <f ca="1">$E1931-$AG1931</f>
        <v>2.3699999999999997</v>
      </c>
      <c r="AJ1931" s="525">
        <f ca="1">$A1931*$AI1931</f>
        <v>82.949999999999989</v>
      </c>
      <c r="AK1931" s="526">
        <f ca="1">ROUND(($AG1931+$AI1931)*$A1931,2)</f>
        <v>207.55</v>
      </c>
      <c r="AM1931" s="527">
        <f ca="1">ROUND(R1936,2)</f>
        <v>101.15</v>
      </c>
      <c r="AN1931" s="528">
        <f ca="1">ROUND(T1936,2)</f>
        <v>2.4500000000000002</v>
      </c>
      <c r="AO1931" s="529">
        <f ca="1">ROUND(AM1931+AN1931,2)*A1931</f>
        <v>3626</v>
      </c>
      <c r="AR1931" s="747">
        <v>35</v>
      </c>
      <c r="AS1931" s="751">
        <v>207.55</v>
      </c>
    </row>
    <row r="1932" spans="1:45" s="520" customFormat="1" ht="13.2">
      <c r="A1932" s="748"/>
      <c r="B1932"/>
      <c r="C1932" s="748"/>
      <c r="D1932" s="749" t="s">
        <v>1408</v>
      </c>
      <c r="F1932" s="753"/>
      <c r="G1932" s="3"/>
      <c r="H1932" s="753"/>
      <c r="I1932" s="754"/>
      <c r="J1932" s="753"/>
      <c r="K1932" s="753" t="s">
        <v>144</v>
      </c>
      <c r="L1932" s="753"/>
      <c r="M1932" s="753"/>
      <c r="N1932" s="753"/>
      <c r="O1932" s="753"/>
      <c r="P1932" s="753"/>
      <c r="Q1932" s="51"/>
      <c r="R1932" s="530"/>
      <c r="S1932" s="757"/>
      <c r="T1932" s="753"/>
      <c r="AR1932" s="748"/>
      <c r="AS1932" s="753"/>
    </row>
    <row r="1933" spans="1:45" s="886" customFormat="1" ht="13.2">
      <c r="A1933"/>
      <c r="B1933" s="910"/>
      <c r="C1933" s="910" t="s">
        <v>2597</v>
      </c>
      <c r="D1933" s="910" t="str">
        <f ca="1">CELL("Address",Elec_Rates!D$510)</f>
        <v>[E25_0062_Quintano_Foods_Elec_ELV_As_Awarded.xlsx]Elec_Rates!$D$510</v>
      </c>
      <c r="E1933" s="911"/>
      <c r="F1933" s="911"/>
      <c r="G1933" s="912" t="s">
        <v>2598</v>
      </c>
      <c r="H1933" s="912"/>
      <c r="I1933" s="912"/>
      <c r="J1933" s="912"/>
      <c r="K1933" s="913"/>
      <c r="L1933" s="911"/>
      <c r="M1933" s="911"/>
      <c r="N1933" s="911"/>
      <c r="O1933" s="914"/>
      <c r="P1933" s="911"/>
      <c r="Q1933" s="915"/>
      <c r="R1933" s="916"/>
      <c r="S1933" s="915"/>
      <c r="T1933" s="917"/>
      <c r="U1933" s="918"/>
      <c r="AR1933"/>
      <c r="AS1933" s="911"/>
    </row>
    <row r="1934" spans="1:45" s="886" customFormat="1" ht="11.4">
      <c r="A1934" s="919">
        <v>35</v>
      </c>
      <c r="B1934" s="920">
        <v>1</v>
      </c>
      <c r="C1934" s="920">
        <f>$A1934*$B1934</f>
        <v>35</v>
      </c>
      <c r="D1934" s="921" t="str">
        <f>Elec_Rates!$D$510</f>
        <v>048# 5 x 2.5mm2 XLPE/SWA/LSZH</v>
      </c>
      <c r="E1934" s="921"/>
      <c r="F1934" s="921" t="s">
        <v>2599</v>
      </c>
      <c r="G1934" s="922" t="s">
        <v>2601</v>
      </c>
      <c r="H1934" s="922"/>
      <c r="I1934" s="922"/>
      <c r="J1934" s="922"/>
      <c r="K1934" s="923"/>
      <c r="L1934" s="918"/>
      <c r="M1934" s="918"/>
      <c r="N1934" s="918"/>
      <c r="O1934" s="924"/>
      <c r="P1934" s="921"/>
      <c r="Q1934" s="925">
        <f ca="1">$B1934*Elec_Rates!$R$510</f>
        <v>2.89</v>
      </c>
      <c r="R1934" s="916">
        <f ca="1">$A1934*Q1934</f>
        <v>101.15</v>
      </c>
      <c r="S1934" s="925">
        <f ca="1">$B1934*Elec_Rates!$T$510</f>
        <v>7.0000000000000007E-2</v>
      </c>
      <c r="T1934" s="917">
        <f ca="1">$A1934*S1934</f>
        <v>2.4500000000000002</v>
      </c>
      <c r="U1934" s="926"/>
      <c r="AR1934" s="919">
        <v>35</v>
      </c>
      <c r="AS1934" s="921" t="s">
        <v>2599</v>
      </c>
    </row>
    <row r="1935" spans="1:45" s="520" customFormat="1" ht="12">
      <c r="A1935" s="758"/>
      <c r="B1935" s="758"/>
      <c r="C1935" s="758"/>
      <c r="D1935" s="758"/>
      <c r="E1935" s="758"/>
      <c r="F1935" s="753"/>
      <c r="G1935" s="758"/>
      <c r="H1935" s="758"/>
      <c r="I1935" s="519"/>
      <c r="J1935" s="758"/>
      <c r="K1935" s="758"/>
      <c r="L1935" s="758"/>
      <c r="M1935" s="758"/>
      <c r="N1935" s="758"/>
      <c r="O1935" s="758"/>
      <c r="P1935" s="758"/>
      <c r="Q1935" s="519"/>
      <c r="R1935" s="759">
        <f>$A1935*Q1935</f>
        <v>0</v>
      </c>
      <c r="S1935" s="519"/>
      <c r="T1935" s="760">
        <f>$A1935*S1935*$T$1</f>
        <v>0</v>
      </c>
      <c r="AR1935" s="758"/>
      <c r="AS1935" s="753"/>
    </row>
    <row r="1936" spans="1:45" s="520" customFormat="1" ht="12.6" thickBot="1">
      <c r="A1936" s="761" t="s">
        <v>145</v>
      </c>
      <c r="B1936" s="762">
        <f>(R1935+T1935)</f>
        <v>0</v>
      </c>
      <c r="C1936" s="763"/>
      <c r="D1936" s="763"/>
      <c r="E1936" s="763"/>
      <c r="F1936" s="764"/>
      <c r="G1936" s="763" t="s">
        <v>146</v>
      </c>
      <c r="H1936" s="763"/>
      <c r="I1936" s="765"/>
      <c r="J1936" s="763"/>
      <c r="K1936" s="763" t="s">
        <v>3</v>
      </c>
      <c r="L1936" s="766" t="s">
        <v>143</v>
      </c>
      <c r="M1936" s="766"/>
      <c r="N1936" s="766"/>
      <c r="O1936" s="766"/>
      <c r="P1936" s="766"/>
      <c r="Q1936" s="767"/>
      <c r="R1936" s="768">
        <f ca="1">SUM(R1932:R1935)</f>
        <v>101.15</v>
      </c>
      <c r="S1936" s="763"/>
      <c r="T1936" s="768">
        <f ca="1">SUM(T1932:T1935)</f>
        <v>2.4500000000000002</v>
      </c>
      <c r="U1936" s="531"/>
      <c r="V1936" s="531"/>
      <c r="W1936" s="531"/>
      <c r="X1936" s="531"/>
      <c r="Y1936" s="531"/>
      <c r="Z1936" s="531"/>
      <c r="AA1936" s="531"/>
      <c r="AB1936" s="531"/>
      <c r="AC1936" s="531"/>
      <c r="AD1936" s="531"/>
      <c r="AE1936" s="531"/>
      <c r="AF1936" s="531"/>
      <c r="AG1936" s="531"/>
      <c r="AH1936" s="531"/>
      <c r="AI1936" s="531"/>
      <c r="AJ1936" s="531"/>
      <c r="AK1936" s="531"/>
      <c r="AL1936" s="531"/>
      <c r="AM1936" s="531"/>
      <c r="AN1936" s="531"/>
      <c r="AO1936" s="531"/>
      <c r="AR1936" s="761" t="s">
        <v>145</v>
      </c>
      <c r="AS1936" s="764"/>
    </row>
    <row r="1937" spans="1:45" s="520" customFormat="1" ht="12" thickTop="1">
      <c r="A1937" s="51"/>
      <c r="B1937" s="41"/>
      <c r="C1937" s="51"/>
      <c r="E1937" s="42" t="s">
        <v>138</v>
      </c>
      <c r="F1937" s="42" t="s">
        <v>139</v>
      </c>
      <c r="G1937" s="51"/>
      <c r="H1937" s="51"/>
      <c r="I1937" s="51"/>
      <c r="J1937" s="51"/>
      <c r="K1937" s="51" t="s">
        <v>140</v>
      </c>
      <c r="L1937" s="51"/>
      <c r="M1937" s="51"/>
      <c r="N1937" s="51"/>
      <c r="O1937" s="52"/>
      <c r="P1937" s="51"/>
      <c r="Q1937" s="51"/>
      <c r="R1937" s="51"/>
      <c r="S1937" s="51"/>
      <c r="T1937" s="41"/>
      <c r="AG1937" s="521" t="s">
        <v>268</v>
      </c>
      <c r="AH1937" s="521" t="s">
        <v>269</v>
      </c>
      <c r="AI1937" s="521" t="s">
        <v>270</v>
      </c>
      <c r="AJ1937" s="521" t="s">
        <v>271</v>
      </c>
      <c r="AK1937" s="521" t="s">
        <v>272</v>
      </c>
      <c r="AM1937" s="745" t="s">
        <v>281</v>
      </c>
      <c r="AN1937" s="746" t="s">
        <v>282</v>
      </c>
      <c r="AO1937" s="522" t="s">
        <v>278</v>
      </c>
      <c r="AR1937" s="51"/>
      <c r="AS1937" s="42" t="s">
        <v>139</v>
      </c>
    </row>
    <row r="1938" spans="1:45" s="520" customFormat="1" ht="12" customHeight="1">
      <c r="A1938" s="747">
        <v>30</v>
      </c>
      <c r="B1938" s="523" t="s">
        <v>320</v>
      </c>
      <c r="C1938" s="748"/>
      <c r="D1938" s="749" t="s">
        <v>1409</v>
      </c>
      <c r="E1938" s="750">
        <f ca="1">IF(AND($A1938=0,$A$1="DIF"),0, ROUND(ROUND(($R1943*$S$2+($T1943*$T$2))/A1938,2)*$C$2,2))</f>
        <v>9.9499999999999993</v>
      </c>
      <c r="F1938" s="751">
        <f ca="1">ROUND($A1938*$E1938,2)</f>
        <v>298.5</v>
      </c>
      <c r="G1938" s="752" t="s">
        <v>142</v>
      </c>
      <c r="H1938" s="753"/>
      <c r="I1938" s="754"/>
      <c r="J1938" s="753"/>
      <c r="K1938" s="753" t="s">
        <v>3</v>
      </c>
      <c r="L1938" s="755" t="s">
        <v>143</v>
      </c>
      <c r="M1938" s="755"/>
      <c r="N1938" s="755"/>
      <c r="O1938" s="755"/>
      <c r="P1938" s="755"/>
      <c r="Q1938" s="51"/>
      <c r="T1938" s="756" t="str">
        <f ca="1">IF(AND($R1943=0,$T1943=0),"0.00","mu :" &amp; ROUND($F1938/$C$2/($R1943+$T1943*$D$9),2))</f>
        <v>mu :1.23</v>
      </c>
      <c r="W1938" s="524"/>
      <c r="AG1938" s="481">
        <f ca="1">IF($E1938=0,0,ROUND($R1943*$S$2*$C$2/$A1938,2))</f>
        <v>6.91</v>
      </c>
      <c r="AH1938" s="481">
        <f ca="1">$AG1938*$A1938</f>
        <v>207.3</v>
      </c>
      <c r="AI1938" s="525">
        <f ca="1">$E1938-$AG1938</f>
        <v>3.0399999999999991</v>
      </c>
      <c r="AJ1938" s="525">
        <f ca="1">$A1938*$AI1938</f>
        <v>91.199999999999974</v>
      </c>
      <c r="AK1938" s="526">
        <f ca="1">ROUND(($AG1938+$AI1938)*$A1938,2)</f>
        <v>298.5</v>
      </c>
      <c r="AM1938" s="527">
        <f ca="1">ROUND(R1943,2)</f>
        <v>168.3</v>
      </c>
      <c r="AN1938" s="528">
        <f ca="1">ROUND(T1943,2)</f>
        <v>2.7</v>
      </c>
      <c r="AO1938" s="529">
        <f ca="1">ROUND(AM1938+AN1938,2)*A1938</f>
        <v>5130</v>
      </c>
      <c r="AR1938" s="747">
        <v>30</v>
      </c>
      <c r="AS1938" s="751">
        <v>308.7</v>
      </c>
    </row>
    <row r="1939" spans="1:45" s="520" customFormat="1" ht="13.2">
      <c r="A1939" s="748"/>
      <c r="B1939"/>
      <c r="C1939" s="748"/>
      <c r="D1939" s="749" t="s">
        <v>1410</v>
      </c>
      <c r="F1939" s="753"/>
      <c r="G1939" s="3"/>
      <c r="H1939" s="753"/>
      <c r="I1939" s="754"/>
      <c r="J1939" s="753"/>
      <c r="K1939" s="753" t="s">
        <v>144</v>
      </c>
      <c r="L1939" s="753"/>
      <c r="M1939" s="753"/>
      <c r="N1939" s="753"/>
      <c r="O1939" s="753"/>
      <c r="P1939" s="753"/>
      <c r="Q1939" s="51"/>
      <c r="R1939" s="530"/>
      <c r="S1939" s="757"/>
      <c r="T1939" s="753"/>
      <c r="AR1939" s="748"/>
      <c r="AS1939" s="753"/>
    </row>
    <row r="1940" spans="1:45" s="886" customFormat="1" ht="13.2">
      <c r="A1940"/>
      <c r="B1940" s="910"/>
      <c r="C1940" s="910" t="s">
        <v>2597</v>
      </c>
      <c r="D1940" s="910" t="str">
        <f ca="1">CELL("Address",Elec_Rates!D$437)</f>
        <v>[E25_0062_Quintano_Foods_Elec_ELV_As_Awarded.xlsx]Elec_Rates!$D$437</v>
      </c>
      <c r="E1940" s="911"/>
      <c r="F1940" s="911"/>
      <c r="G1940" s="912" t="s">
        <v>2598</v>
      </c>
      <c r="H1940" s="912"/>
      <c r="I1940" s="912"/>
      <c r="J1940" s="912"/>
      <c r="K1940" s="913"/>
      <c r="L1940" s="911"/>
      <c r="M1940" s="911"/>
      <c r="N1940" s="911"/>
      <c r="O1940" s="914"/>
      <c r="P1940" s="911"/>
      <c r="Q1940" s="915"/>
      <c r="R1940" s="916"/>
      <c r="S1940" s="915"/>
      <c r="T1940" s="917"/>
      <c r="U1940" s="918"/>
      <c r="AR1940"/>
      <c r="AS1940" s="911"/>
    </row>
    <row r="1941" spans="1:45" s="886" customFormat="1" ht="11.4">
      <c r="A1941" s="919">
        <v>30</v>
      </c>
      <c r="B1941" s="920">
        <v>1</v>
      </c>
      <c r="C1941" s="920">
        <f>$A1941*$B1941</f>
        <v>30</v>
      </c>
      <c r="D1941" s="921" t="str">
        <f>Elec_Rates!$D$437</f>
        <v>042# 5 x 6mm2 XLPE/SWA/LSZH</v>
      </c>
      <c r="E1941" s="921"/>
      <c r="F1941" s="921" t="s">
        <v>2599</v>
      </c>
      <c r="G1941" s="922" t="s">
        <v>2601</v>
      </c>
      <c r="H1941" s="922"/>
      <c r="I1941" s="922"/>
      <c r="J1941" s="922"/>
      <c r="K1941" s="923"/>
      <c r="L1941" s="918"/>
      <c r="M1941" s="918"/>
      <c r="N1941" s="918"/>
      <c r="O1941" s="924"/>
      <c r="P1941" s="921"/>
      <c r="Q1941" s="925">
        <f ca="1">$B1941*Elec_Rates!$R$437</f>
        <v>5.61</v>
      </c>
      <c r="R1941" s="916">
        <f ca="1">$A1941*Q1941</f>
        <v>168.3</v>
      </c>
      <c r="S1941" s="925">
        <f ca="1">$B1941*Elec_Rates!$T$437</f>
        <v>0.09</v>
      </c>
      <c r="T1941" s="917">
        <f ca="1">$A1941*S1941</f>
        <v>2.6999999999999997</v>
      </c>
      <c r="U1941" s="926"/>
      <c r="AR1941" s="919">
        <v>30</v>
      </c>
      <c r="AS1941" s="921" t="s">
        <v>2599</v>
      </c>
    </row>
    <row r="1942" spans="1:45" s="520" customFormat="1" ht="12">
      <c r="A1942" s="758"/>
      <c r="B1942" s="758"/>
      <c r="C1942" s="758"/>
      <c r="D1942" s="758"/>
      <c r="E1942" s="758"/>
      <c r="F1942" s="753"/>
      <c r="G1942" s="758"/>
      <c r="H1942" s="758"/>
      <c r="I1942" s="519"/>
      <c r="J1942" s="758"/>
      <c r="K1942" s="758"/>
      <c r="L1942" s="758"/>
      <c r="M1942" s="758"/>
      <c r="N1942" s="758"/>
      <c r="O1942" s="758"/>
      <c r="P1942" s="758"/>
      <c r="Q1942" s="519"/>
      <c r="R1942" s="759">
        <f>$A1942*Q1942</f>
        <v>0</v>
      </c>
      <c r="S1942" s="519"/>
      <c r="T1942" s="760">
        <f>$A1942*S1942*$T$1</f>
        <v>0</v>
      </c>
      <c r="AR1942" s="758"/>
      <c r="AS1942" s="753"/>
    </row>
    <row r="1943" spans="1:45" s="520" customFormat="1" ht="12.6" thickBot="1">
      <c r="A1943" s="761" t="s">
        <v>145</v>
      </c>
      <c r="B1943" s="762">
        <f>(R1942+T1942)</f>
        <v>0</v>
      </c>
      <c r="C1943" s="763"/>
      <c r="D1943" s="763"/>
      <c r="E1943" s="763"/>
      <c r="F1943" s="764"/>
      <c r="G1943" s="763" t="s">
        <v>146</v>
      </c>
      <c r="H1943" s="763"/>
      <c r="I1943" s="765"/>
      <c r="J1943" s="763"/>
      <c r="K1943" s="763" t="s">
        <v>3</v>
      </c>
      <c r="L1943" s="766" t="s">
        <v>143</v>
      </c>
      <c r="M1943" s="766"/>
      <c r="N1943" s="766"/>
      <c r="O1943" s="766"/>
      <c r="P1943" s="766"/>
      <c r="Q1943" s="767"/>
      <c r="R1943" s="768">
        <f ca="1">SUM(R1939:R1942)</f>
        <v>168.3</v>
      </c>
      <c r="S1943" s="763"/>
      <c r="T1943" s="768">
        <f ca="1">SUM(T1939:T1942)</f>
        <v>2.6999999999999997</v>
      </c>
      <c r="U1943" s="531"/>
      <c r="V1943" s="531"/>
      <c r="W1943" s="531"/>
      <c r="X1943" s="531"/>
      <c r="Y1943" s="531"/>
      <c r="Z1943" s="531"/>
      <c r="AA1943" s="531"/>
      <c r="AB1943" s="531"/>
      <c r="AC1943" s="531"/>
      <c r="AD1943" s="531"/>
      <c r="AE1943" s="531"/>
      <c r="AF1943" s="531"/>
      <c r="AG1943" s="531"/>
      <c r="AH1943" s="531"/>
      <c r="AI1943" s="531"/>
      <c r="AJ1943" s="531"/>
      <c r="AK1943" s="531"/>
      <c r="AL1943" s="531"/>
      <c r="AM1943" s="531"/>
      <c r="AN1943" s="531"/>
      <c r="AO1943" s="531"/>
      <c r="AR1943" s="761" t="s">
        <v>145</v>
      </c>
      <c r="AS1943" s="764"/>
    </row>
    <row r="1944" spans="1:45" s="520" customFormat="1" ht="12" thickTop="1">
      <c r="A1944" s="51"/>
      <c r="B1944" s="41"/>
      <c r="C1944" s="51"/>
      <c r="E1944" s="42" t="s">
        <v>138</v>
      </c>
      <c r="F1944" s="42" t="s">
        <v>139</v>
      </c>
      <c r="G1944" s="51"/>
      <c r="H1944" s="51"/>
      <c r="I1944" s="51"/>
      <c r="J1944" s="51"/>
      <c r="K1944" s="51" t="s">
        <v>140</v>
      </c>
      <c r="L1944" s="51"/>
      <c r="M1944" s="51"/>
      <c r="N1944" s="51"/>
      <c r="O1944" s="52"/>
      <c r="P1944" s="51"/>
      <c r="Q1944" s="51"/>
      <c r="R1944" s="51"/>
      <c r="S1944" s="51"/>
      <c r="T1944" s="41"/>
      <c r="AG1944" s="521" t="s">
        <v>268</v>
      </c>
      <c r="AH1944" s="521" t="s">
        <v>269</v>
      </c>
      <c r="AI1944" s="521" t="s">
        <v>270</v>
      </c>
      <c r="AJ1944" s="521" t="s">
        <v>271</v>
      </c>
      <c r="AK1944" s="521" t="s">
        <v>272</v>
      </c>
      <c r="AM1944" s="745" t="s">
        <v>281</v>
      </c>
      <c r="AN1944" s="746" t="s">
        <v>282</v>
      </c>
      <c r="AO1944" s="522" t="s">
        <v>278</v>
      </c>
      <c r="AR1944" s="51"/>
      <c r="AS1944" s="42" t="s">
        <v>139</v>
      </c>
    </row>
    <row r="1945" spans="1:45" s="520" customFormat="1" ht="12" customHeight="1">
      <c r="A1945" s="747">
        <v>50</v>
      </c>
      <c r="B1945" s="523" t="s">
        <v>320</v>
      </c>
      <c r="C1945" s="748"/>
      <c r="D1945" s="749" t="s">
        <v>1411</v>
      </c>
      <c r="E1945" s="750">
        <f ca="1">IF(AND($A1945=0,$A$1="DIF"),0, ROUND(ROUND(($R1950*$S$2+($T1950*$T$2))/A1945,2)*$C$2,2))</f>
        <v>9.9499999999999993</v>
      </c>
      <c r="F1945" s="751">
        <f ca="1">ROUND($A1945*$E1945,2)</f>
        <v>497.5</v>
      </c>
      <c r="G1945" s="752" t="s">
        <v>142</v>
      </c>
      <c r="H1945" s="753"/>
      <c r="I1945" s="754"/>
      <c r="J1945" s="753"/>
      <c r="K1945" s="753" t="s">
        <v>3</v>
      </c>
      <c r="L1945" s="755" t="s">
        <v>143</v>
      </c>
      <c r="M1945" s="755"/>
      <c r="N1945" s="755"/>
      <c r="O1945" s="755"/>
      <c r="P1945" s="755"/>
      <c r="Q1945" s="51"/>
      <c r="T1945" s="756" t="str">
        <f ca="1">IF(AND($R1950=0,$T1950=0),"0.00","mu :" &amp; ROUND($F1945/$C$2/($R1950+$T1950*$D$9),2))</f>
        <v>mu :1.23</v>
      </c>
      <c r="W1945" s="524"/>
      <c r="AG1945" s="481">
        <f ca="1">IF($E1945=0,0,ROUND($R1950*$S$2*$C$2/$A1945,2))</f>
        <v>6.91</v>
      </c>
      <c r="AH1945" s="481">
        <f ca="1">$AG1945*$A1945</f>
        <v>345.5</v>
      </c>
      <c r="AI1945" s="525">
        <f ca="1">$E1945-$AG1945</f>
        <v>3.0399999999999991</v>
      </c>
      <c r="AJ1945" s="525">
        <f ca="1">$A1945*$AI1945</f>
        <v>151.99999999999994</v>
      </c>
      <c r="AK1945" s="526">
        <f ca="1">ROUND(($AG1945+$AI1945)*$A1945,2)</f>
        <v>497.5</v>
      </c>
      <c r="AM1945" s="527">
        <f ca="1">ROUND(R1950,2)</f>
        <v>280.5</v>
      </c>
      <c r="AN1945" s="528">
        <f ca="1">ROUND(T1950,2)</f>
        <v>4.5</v>
      </c>
      <c r="AO1945" s="529">
        <f ca="1">ROUND(AM1945+AN1945,2)*A1945</f>
        <v>14250</v>
      </c>
      <c r="AR1945" s="747">
        <v>50</v>
      </c>
      <c r="AS1945" s="751">
        <v>514.5</v>
      </c>
    </row>
    <row r="1946" spans="1:45" s="520" customFormat="1" ht="13.2">
      <c r="A1946" s="748"/>
      <c r="B1946"/>
      <c r="C1946" s="748"/>
      <c r="D1946" s="749" t="s">
        <v>1412</v>
      </c>
      <c r="F1946" s="753"/>
      <c r="G1946" s="3"/>
      <c r="H1946" s="753"/>
      <c r="I1946" s="754"/>
      <c r="J1946" s="753"/>
      <c r="K1946" s="753" t="s">
        <v>144</v>
      </c>
      <c r="L1946" s="753"/>
      <c r="M1946" s="753"/>
      <c r="N1946" s="753"/>
      <c r="O1946" s="753"/>
      <c r="P1946" s="753"/>
      <c r="Q1946" s="51"/>
      <c r="R1946" s="530"/>
      <c r="S1946" s="757"/>
      <c r="T1946" s="753"/>
      <c r="AR1946" s="748"/>
      <c r="AS1946" s="753"/>
    </row>
    <row r="1947" spans="1:45" s="886" customFormat="1" ht="13.2">
      <c r="A1947"/>
      <c r="B1947" s="910"/>
      <c r="C1947" s="910" t="s">
        <v>2597</v>
      </c>
      <c r="D1947" s="910" t="str">
        <f ca="1">CELL("Address",Elec_Rates!D$437)</f>
        <v>[E25_0062_Quintano_Foods_Elec_ELV_As_Awarded.xlsx]Elec_Rates!$D$437</v>
      </c>
      <c r="E1947" s="911"/>
      <c r="F1947" s="911"/>
      <c r="G1947" s="912" t="s">
        <v>2598</v>
      </c>
      <c r="H1947" s="912"/>
      <c r="I1947" s="912"/>
      <c r="J1947" s="912"/>
      <c r="K1947" s="913"/>
      <c r="L1947" s="911"/>
      <c r="M1947" s="911"/>
      <c r="N1947" s="911"/>
      <c r="O1947" s="914"/>
      <c r="P1947" s="911"/>
      <c r="Q1947" s="915"/>
      <c r="R1947" s="916"/>
      <c r="S1947" s="915"/>
      <c r="T1947" s="917"/>
      <c r="U1947" s="918"/>
      <c r="AR1947"/>
      <c r="AS1947" s="911"/>
    </row>
    <row r="1948" spans="1:45" s="886" customFormat="1" ht="11.4">
      <c r="A1948" s="919">
        <v>50</v>
      </c>
      <c r="B1948" s="920">
        <v>1</v>
      </c>
      <c r="C1948" s="920">
        <f>$A1948*$B1948</f>
        <v>50</v>
      </c>
      <c r="D1948" s="921" t="str">
        <f>Elec_Rates!$D$437</f>
        <v>042# 5 x 6mm2 XLPE/SWA/LSZH</v>
      </c>
      <c r="E1948" s="921"/>
      <c r="F1948" s="921" t="s">
        <v>2599</v>
      </c>
      <c r="G1948" s="922" t="s">
        <v>2601</v>
      </c>
      <c r="H1948" s="922"/>
      <c r="I1948" s="922"/>
      <c r="J1948" s="922"/>
      <c r="K1948" s="923"/>
      <c r="L1948" s="918"/>
      <c r="M1948" s="918"/>
      <c r="N1948" s="918"/>
      <c r="O1948" s="924"/>
      <c r="P1948" s="921"/>
      <c r="Q1948" s="925">
        <f ca="1">$B1948*Elec_Rates!$R$437</f>
        <v>5.61</v>
      </c>
      <c r="R1948" s="916">
        <f ca="1">$A1948*Q1948</f>
        <v>280.5</v>
      </c>
      <c r="S1948" s="925">
        <f ca="1">$B1948*Elec_Rates!$T$437</f>
        <v>0.09</v>
      </c>
      <c r="T1948" s="917">
        <f ca="1">$A1948*S1948</f>
        <v>4.5</v>
      </c>
      <c r="U1948" s="926"/>
      <c r="AR1948" s="919">
        <v>50</v>
      </c>
      <c r="AS1948" s="921" t="s">
        <v>2599</v>
      </c>
    </row>
    <row r="1949" spans="1:45" s="520" customFormat="1" ht="12">
      <c r="A1949" s="758"/>
      <c r="B1949" s="758"/>
      <c r="C1949" s="758"/>
      <c r="D1949" s="758"/>
      <c r="E1949" s="758"/>
      <c r="F1949" s="753"/>
      <c r="G1949" s="758"/>
      <c r="H1949" s="758"/>
      <c r="I1949" s="519"/>
      <c r="J1949" s="758"/>
      <c r="K1949" s="758"/>
      <c r="L1949" s="758"/>
      <c r="M1949" s="758"/>
      <c r="N1949" s="758"/>
      <c r="O1949" s="758"/>
      <c r="P1949" s="758"/>
      <c r="Q1949" s="519"/>
      <c r="R1949" s="759">
        <f>$A1949*Q1949</f>
        <v>0</v>
      </c>
      <c r="S1949" s="519"/>
      <c r="T1949" s="760">
        <f>$A1949*S1949*$T$1</f>
        <v>0</v>
      </c>
      <c r="AR1949" s="758"/>
      <c r="AS1949" s="753"/>
    </row>
    <row r="1950" spans="1:45" s="520" customFormat="1" ht="12.6" thickBot="1">
      <c r="A1950" s="761" t="s">
        <v>145</v>
      </c>
      <c r="B1950" s="762">
        <f>(R1949+T1949)</f>
        <v>0</v>
      </c>
      <c r="C1950" s="763"/>
      <c r="D1950" s="763"/>
      <c r="E1950" s="763"/>
      <c r="F1950" s="764"/>
      <c r="G1950" s="763" t="s">
        <v>146</v>
      </c>
      <c r="H1950" s="763"/>
      <c r="I1950" s="765"/>
      <c r="J1950" s="763"/>
      <c r="K1950" s="763" t="s">
        <v>3</v>
      </c>
      <c r="L1950" s="766" t="s">
        <v>143</v>
      </c>
      <c r="M1950" s="766"/>
      <c r="N1950" s="766"/>
      <c r="O1950" s="766"/>
      <c r="P1950" s="766"/>
      <c r="Q1950" s="767"/>
      <c r="R1950" s="768">
        <f ca="1">SUM(R1946:R1949)</f>
        <v>280.5</v>
      </c>
      <c r="S1950" s="763"/>
      <c r="T1950" s="768">
        <f ca="1">SUM(T1946:T1949)</f>
        <v>4.5</v>
      </c>
      <c r="U1950" s="531"/>
      <c r="V1950" s="531"/>
      <c r="W1950" s="531"/>
      <c r="X1950" s="531"/>
      <c r="Y1950" s="531"/>
      <c r="Z1950" s="531"/>
      <c r="AA1950" s="531"/>
      <c r="AB1950" s="531"/>
      <c r="AC1950" s="531"/>
      <c r="AD1950" s="531"/>
      <c r="AE1950" s="531"/>
      <c r="AF1950" s="531"/>
      <c r="AG1950" s="531"/>
      <c r="AH1950" s="531"/>
      <c r="AI1950" s="531"/>
      <c r="AJ1950" s="531"/>
      <c r="AK1950" s="531"/>
      <c r="AL1950" s="531"/>
      <c r="AM1950" s="531"/>
      <c r="AN1950" s="531"/>
      <c r="AO1950" s="531"/>
      <c r="AR1950" s="761" t="s">
        <v>145</v>
      </c>
      <c r="AS1950" s="764"/>
    </row>
    <row r="1951" spans="1:45" s="520" customFormat="1" ht="12" thickTop="1">
      <c r="A1951" s="51"/>
      <c r="B1951" s="41"/>
      <c r="C1951" s="51"/>
      <c r="E1951" s="42" t="s">
        <v>138</v>
      </c>
      <c r="F1951" s="42" t="s">
        <v>139</v>
      </c>
      <c r="G1951" s="51"/>
      <c r="H1951" s="51"/>
      <c r="I1951" s="51"/>
      <c r="J1951" s="51"/>
      <c r="K1951" s="51" t="s">
        <v>140</v>
      </c>
      <c r="L1951" s="51"/>
      <c r="M1951" s="51"/>
      <c r="N1951" s="51"/>
      <c r="O1951" s="52"/>
      <c r="P1951" s="51"/>
      <c r="Q1951" s="51"/>
      <c r="R1951" s="51"/>
      <c r="S1951" s="51"/>
      <c r="T1951" s="41"/>
      <c r="AG1951" s="521" t="s">
        <v>268</v>
      </c>
      <c r="AH1951" s="521" t="s">
        <v>269</v>
      </c>
      <c r="AI1951" s="521" t="s">
        <v>270</v>
      </c>
      <c r="AJ1951" s="521" t="s">
        <v>271</v>
      </c>
      <c r="AK1951" s="521" t="s">
        <v>272</v>
      </c>
      <c r="AM1951" s="745" t="s">
        <v>281</v>
      </c>
      <c r="AN1951" s="746" t="s">
        <v>282</v>
      </c>
      <c r="AO1951" s="522" t="s">
        <v>278</v>
      </c>
      <c r="AR1951" s="51"/>
      <c r="AS1951" s="42" t="s">
        <v>139</v>
      </c>
    </row>
    <row r="1952" spans="1:45" s="520" customFormat="1" ht="12" customHeight="1">
      <c r="A1952" s="747">
        <v>55</v>
      </c>
      <c r="B1952" s="523" t="s">
        <v>320</v>
      </c>
      <c r="C1952" s="748"/>
      <c r="D1952" s="749" t="s">
        <v>1413</v>
      </c>
      <c r="E1952" s="750">
        <f ca="1">IF(AND($A1952=0,$A$1="DIF"),0, ROUND(ROUND(($R1957*$S$2+($T1957*$T$2))/A1952,2)*$C$2,2))</f>
        <v>9.9499999999999993</v>
      </c>
      <c r="F1952" s="751">
        <f ca="1">ROUND($A1952*$E1952,2)</f>
        <v>547.25</v>
      </c>
      <c r="G1952" s="752" t="s">
        <v>142</v>
      </c>
      <c r="H1952" s="753"/>
      <c r="I1952" s="754"/>
      <c r="J1952" s="753"/>
      <c r="K1952" s="753" t="s">
        <v>3</v>
      </c>
      <c r="L1952" s="755" t="s">
        <v>143</v>
      </c>
      <c r="M1952" s="755"/>
      <c r="N1952" s="755"/>
      <c r="O1952" s="755"/>
      <c r="P1952" s="755"/>
      <c r="Q1952" s="51"/>
      <c r="T1952" s="756" t="str">
        <f ca="1">IF(AND($R1957=0,$T1957=0),"0.00","mu :" &amp; ROUND($F1952/$C$2/($R1957+$T1957*$D$9),2))</f>
        <v>mu :1.23</v>
      </c>
      <c r="W1952" s="524"/>
      <c r="AG1952" s="481">
        <f ca="1">IF($E1952=0,0,ROUND($R1957*$S$2*$C$2/$A1952,2))</f>
        <v>6.91</v>
      </c>
      <c r="AH1952" s="481">
        <f ca="1">$AG1952*$A1952</f>
        <v>380.05</v>
      </c>
      <c r="AI1952" s="525">
        <f ca="1">$E1952-$AG1952</f>
        <v>3.0399999999999991</v>
      </c>
      <c r="AJ1952" s="525">
        <f ca="1">$A1952*$AI1952</f>
        <v>167.19999999999996</v>
      </c>
      <c r="AK1952" s="526">
        <f ca="1">ROUND(($AG1952+$AI1952)*$A1952,2)</f>
        <v>547.25</v>
      </c>
      <c r="AM1952" s="527">
        <f ca="1">ROUND(R1957,2)</f>
        <v>308.55</v>
      </c>
      <c r="AN1952" s="528">
        <f ca="1">ROUND(T1957,2)</f>
        <v>4.95</v>
      </c>
      <c r="AO1952" s="529">
        <f ca="1">ROUND(AM1952+AN1952,2)*A1952</f>
        <v>17242.5</v>
      </c>
      <c r="AR1952" s="747">
        <v>55</v>
      </c>
      <c r="AS1952" s="751">
        <v>565.95000000000005</v>
      </c>
    </row>
    <row r="1953" spans="1:45" s="520" customFormat="1" ht="13.2">
      <c r="A1953" s="748"/>
      <c r="B1953"/>
      <c r="C1953" s="748"/>
      <c r="D1953" s="749" t="s">
        <v>1414</v>
      </c>
      <c r="F1953" s="753"/>
      <c r="G1953" s="3"/>
      <c r="H1953" s="753"/>
      <c r="I1953" s="754"/>
      <c r="J1953" s="753"/>
      <c r="K1953" s="753" t="s">
        <v>144</v>
      </c>
      <c r="L1953" s="753"/>
      <c r="M1953" s="753"/>
      <c r="N1953" s="753"/>
      <c r="O1953" s="753"/>
      <c r="P1953" s="753"/>
      <c r="Q1953" s="51"/>
      <c r="R1953" s="530"/>
      <c r="S1953" s="757"/>
      <c r="T1953" s="753"/>
      <c r="AR1953" s="748"/>
      <c r="AS1953" s="753"/>
    </row>
    <row r="1954" spans="1:45" s="886" customFormat="1" ht="13.2">
      <c r="A1954"/>
      <c r="B1954" s="910"/>
      <c r="C1954" s="910" t="s">
        <v>2597</v>
      </c>
      <c r="D1954" s="910" t="str">
        <f ca="1">CELL("Address",Elec_Rates!D$437)</f>
        <v>[E25_0062_Quintano_Foods_Elec_ELV_As_Awarded.xlsx]Elec_Rates!$D$437</v>
      </c>
      <c r="E1954" s="911"/>
      <c r="F1954" s="911"/>
      <c r="G1954" s="912" t="s">
        <v>2598</v>
      </c>
      <c r="H1954" s="912"/>
      <c r="I1954" s="912"/>
      <c r="J1954" s="912"/>
      <c r="K1954" s="913"/>
      <c r="L1954" s="911"/>
      <c r="M1954" s="911"/>
      <c r="N1954" s="911"/>
      <c r="O1954" s="914"/>
      <c r="P1954" s="911"/>
      <c r="Q1954" s="915"/>
      <c r="R1954" s="916"/>
      <c r="S1954" s="915"/>
      <c r="T1954" s="917"/>
      <c r="U1954" s="918"/>
      <c r="AR1954"/>
      <c r="AS1954" s="911"/>
    </row>
    <row r="1955" spans="1:45" s="886" customFormat="1" ht="11.4">
      <c r="A1955" s="919">
        <v>55</v>
      </c>
      <c r="B1955" s="920">
        <v>1</v>
      </c>
      <c r="C1955" s="920">
        <f>$A1955*$B1955</f>
        <v>55</v>
      </c>
      <c r="D1955" s="921" t="str">
        <f>Elec_Rates!$D$437</f>
        <v>042# 5 x 6mm2 XLPE/SWA/LSZH</v>
      </c>
      <c r="E1955" s="921"/>
      <c r="F1955" s="921" t="s">
        <v>2599</v>
      </c>
      <c r="G1955" s="922" t="s">
        <v>2601</v>
      </c>
      <c r="H1955" s="922"/>
      <c r="I1955" s="922"/>
      <c r="J1955" s="922"/>
      <c r="K1955" s="923"/>
      <c r="L1955" s="918"/>
      <c r="M1955" s="918"/>
      <c r="N1955" s="918"/>
      <c r="O1955" s="924"/>
      <c r="P1955" s="921"/>
      <c r="Q1955" s="925">
        <f ca="1">$B1955*Elec_Rates!$R$437</f>
        <v>5.61</v>
      </c>
      <c r="R1955" s="916">
        <f ca="1">$A1955*Q1955</f>
        <v>308.55</v>
      </c>
      <c r="S1955" s="925">
        <f ca="1">$B1955*Elec_Rates!$T$437</f>
        <v>0.09</v>
      </c>
      <c r="T1955" s="917">
        <f ca="1">$A1955*S1955</f>
        <v>4.95</v>
      </c>
      <c r="U1955" s="926"/>
      <c r="AR1955" s="919">
        <v>55</v>
      </c>
      <c r="AS1955" s="921" t="s">
        <v>2599</v>
      </c>
    </row>
    <row r="1956" spans="1:45" s="520" customFormat="1" ht="12">
      <c r="A1956" s="758"/>
      <c r="B1956" s="758"/>
      <c r="C1956" s="758"/>
      <c r="D1956" s="758"/>
      <c r="E1956" s="758"/>
      <c r="F1956" s="753"/>
      <c r="G1956" s="758"/>
      <c r="H1956" s="758"/>
      <c r="I1956" s="519"/>
      <c r="J1956" s="758"/>
      <c r="K1956" s="758"/>
      <c r="L1956" s="758"/>
      <c r="M1956" s="758"/>
      <c r="N1956" s="758"/>
      <c r="O1956" s="758"/>
      <c r="P1956" s="758"/>
      <c r="Q1956" s="519"/>
      <c r="R1956" s="759">
        <f>$A1956*Q1956</f>
        <v>0</v>
      </c>
      <c r="S1956" s="519"/>
      <c r="T1956" s="760">
        <f>$A1956*S1956*$T$1</f>
        <v>0</v>
      </c>
      <c r="AR1956" s="758"/>
      <c r="AS1956" s="753"/>
    </row>
    <row r="1957" spans="1:45" s="520" customFormat="1" ht="12.6" thickBot="1">
      <c r="A1957" s="761" t="s">
        <v>145</v>
      </c>
      <c r="B1957" s="762">
        <f>(R1956+T1956)</f>
        <v>0</v>
      </c>
      <c r="C1957" s="763"/>
      <c r="D1957" s="763"/>
      <c r="E1957" s="763"/>
      <c r="F1957" s="764"/>
      <c r="G1957" s="763" t="s">
        <v>146</v>
      </c>
      <c r="H1957" s="763"/>
      <c r="I1957" s="765"/>
      <c r="J1957" s="763"/>
      <c r="K1957" s="763" t="s">
        <v>3</v>
      </c>
      <c r="L1957" s="766" t="s">
        <v>143</v>
      </c>
      <c r="M1957" s="766"/>
      <c r="N1957" s="766"/>
      <c r="O1957" s="766"/>
      <c r="P1957" s="766"/>
      <c r="Q1957" s="767"/>
      <c r="R1957" s="768">
        <f ca="1">SUM(R1953:R1956)</f>
        <v>308.55</v>
      </c>
      <c r="S1957" s="763"/>
      <c r="T1957" s="768">
        <f ca="1">SUM(T1953:T1956)</f>
        <v>4.95</v>
      </c>
      <c r="U1957" s="531"/>
      <c r="V1957" s="531"/>
      <c r="W1957" s="531"/>
      <c r="X1957" s="531"/>
      <c r="Y1957" s="531"/>
      <c r="Z1957" s="531"/>
      <c r="AA1957" s="531"/>
      <c r="AB1957" s="531"/>
      <c r="AC1957" s="531"/>
      <c r="AD1957" s="531"/>
      <c r="AE1957" s="531"/>
      <c r="AF1957" s="531"/>
      <c r="AG1957" s="531"/>
      <c r="AH1957" s="531"/>
      <c r="AI1957" s="531"/>
      <c r="AJ1957" s="531"/>
      <c r="AK1957" s="531"/>
      <c r="AL1957" s="531"/>
      <c r="AM1957" s="531"/>
      <c r="AN1957" s="531"/>
      <c r="AO1957" s="531"/>
      <c r="AR1957" s="761" t="s">
        <v>145</v>
      </c>
      <c r="AS1957" s="764"/>
    </row>
    <row r="1958" spans="1:45" s="520" customFormat="1" ht="12" thickTop="1">
      <c r="A1958" s="51"/>
      <c r="B1958" s="41"/>
      <c r="C1958" s="51"/>
      <c r="E1958" s="42" t="s">
        <v>138</v>
      </c>
      <c r="F1958" s="42" t="s">
        <v>139</v>
      </c>
      <c r="G1958" s="51"/>
      <c r="H1958" s="51"/>
      <c r="I1958" s="51"/>
      <c r="J1958" s="51"/>
      <c r="K1958" s="51" t="s">
        <v>140</v>
      </c>
      <c r="L1958" s="51"/>
      <c r="M1958" s="51"/>
      <c r="N1958" s="51"/>
      <c r="O1958" s="52"/>
      <c r="P1958" s="51"/>
      <c r="Q1958" s="51"/>
      <c r="R1958" s="51"/>
      <c r="S1958" s="51"/>
      <c r="T1958" s="41"/>
      <c r="AG1958" s="521" t="s">
        <v>268</v>
      </c>
      <c r="AH1958" s="521" t="s">
        <v>269</v>
      </c>
      <c r="AI1958" s="521" t="s">
        <v>270</v>
      </c>
      <c r="AJ1958" s="521" t="s">
        <v>271</v>
      </c>
      <c r="AK1958" s="521" t="s">
        <v>272</v>
      </c>
      <c r="AM1958" s="745" t="s">
        <v>281</v>
      </c>
      <c r="AN1958" s="746" t="s">
        <v>282</v>
      </c>
      <c r="AO1958" s="522" t="s">
        <v>278</v>
      </c>
      <c r="AR1958" s="51"/>
      <c r="AS1958" s="42" t="s">
        <v>139</v>
      </c>
    </row>
    <row r="1959" spans="1:45" s="520" customFormat="1" ht="12" customHeight="1">
      <c r="A1959" s="747">
        <v>55</v>
      </c>
      <c r="B1959" s="523" t="s">
        <v>320</v>
      </c>
      <c r="C1959" s="748"/>
      <c r="D1959" s="749" t="s">
        <v>1415</v>
      </c>
      <c r="E1959" s="750">
        <f ca="1">IF(AND($A1959=0,$A$1="DIF"),0, ROUND(ROUND(($R1964*$S$2+($T1964*$T$2))/A1959,2)*$C$2,2))</f>
        <v>9.9499999999999993</v>
      </c>
      <c r="F1959" s="751">
        <f ca="1">ROUND($A1959*$E1959,2)</f>
        <v>547.25</v>
      </c>
      <c r="G1959" s="752" t="s">
        <v>142</v>
      </c>
      <c r="H1959" s="753"/>
      <c r="I1959" s="754"/>
      <c r="J1959" s="753"/>
      <c r="K1959" s="753" t="s">
        <v>3</v>
      </c>
      <c r="L1959" s="755" t="s">
        <v>143</v>
      </c>
      <c r="M1959" s="755"/>
      <c r="N1959" s="755"/>
      <c r="O1959" s="755"/>
      <c r="P1959" s="755"/>
      <c r="Q1959" s="51"/>
      <c r="T1959" s="756" t="str">
        <f ca="1">IF(AND($R1964=0,$T1964=0),"0.00","mu :" &amp; ROUND($F1959/$C$2/($R1964+$T1964*$D$9),2))</f>
        <v>mu :1.23</v>
      </c>
      <c r="W1959" s="524"/>
      <c r="AG1959" s="481">
        <f ca="1">IF($E1959=0,0,ROUND($R1964*$S$2*$C$2/$A1959,2))</f>
        <v>6.91</v>
      </c>
      <c r="AH1959" s="481">
        <f ca="1">$AG1959*$A1959</f>
        <v>380.05</v>
      </c>
      <c r="AI1959" s="525">
        <f ca="1">$E1959-$AG1959</f>
        <v>3.0399999999999991</v>
      </c>
      <c r="AJ1959" s="525">
        <f ca="1">$A1959*$AI1959</f>
        <v>167.19999999999996</v>
      </c>
      <c r="AK1959" s="526">
        <f ca="1">ROUND(($AG1959+$AI1959)*$A1959,2)</f>
        <v>547.25</v>
      </c>
      <c r="AM1959" s="527">
        <f ca="1">ROUND(R1964,2)</f>
        <v>308.55</v>
      </c>
      <c r="AN1959" s="528">
        <f ca="1">ROUND(T1964,2)</f>
        <v>4.95</v>
      </c>
      <c r="AO1959" s="529">
        <f ca="1">ROUND(AM1959+AN1959,2)*A1959</f>
        <v>17242.5</v>
      </c>
      <c r="AR1959" s="747">
        <v>55</v>
      </c>
      <c r="AS1959" s="751">
        <v>565.95000000000005</v>
      </c>
    </row>
    <row r="1960" spans="1:45" s="520" customFormat="1" ht="13.2">
      <c r="A1960" s="748"/>
      <c r="B1960"/>
      <c r="C1960" s="748"/>
      <c r="D1960" s="749" t="s">
        <v>1416</v>
      </c>
      <c r="F1960" s="753"/>
      <c r="G1960" s="3"/>
      <c r="H1960" s="753"/>
      <c r="I1960" s="754"/>
      <c r="J1960" s="753"/>
      <c r="K1960" s="753" t="s">
        <v>144</v>
      </c>
      <c r="L1960" s="753"/>
      <c r="M1960" s="753"/>
      <c r="N1960" s="753"/>
      <c r="O1960" s="753"/>
      <c r="P1960" s="753"/>
      <c r="Q1960" s="51"/>
      <c r="R1960" s="530"/>
      <c r="S1960" s="757"/>
      <c r="T1960" s="753"/>
      <c r="AR1960" s="748"/>
      <c r="AS1960" s="753"/>
    </row>
    <row r="1961" spans="1:45" s="886" customFormat="1" ht="13.2">
      <c r="A1961"/>
      <c r="B1961" s="910"/>
      <c r="C1961" s="910" t="s">
        <v>2597</v>
      </c>
      <c r="D1961" s="910" t="str">
        <f ca="1">CELL("Address",Elec_Rates!D$437)</f>
        <v>[E25_0062_Quintano_Foods_Elec_ELV_As_Awarded.xlsx]Elec_Rates!$D$437</v>
      </c>
      <c r="E1961" s="911"/>
      <c r="F1961" s="911"/>
      <c r="G1961" s="912" t="s">
        <v>2598</v>
      </c>
      <c r="H1961" s="912"/>
      <c r="I1961" s="912"/>
      <c r="J1961" s="912"/>
      <c r="K1961" s="913"/>
      <c r="L1961" s="911"/>
      <c r="M1961" s="911"/>
      <c r="N1961" s="911"/>
      <c r="O1961" s="914"/>
      <c r="P1961" s="911"/>
      <c r="Q1961" s="915"/>
      <c r="R1961" s="916"/>
      <c r="S1961" s="915"/>
      <c r="T1961" s="917"/>
      <c r="U1961" s="918"/>
      <c r="AR1961"/>
      <c r="AS1961" s="911"/>
    </row>
    <row r="1962" spans="1:45" s="886" customFormat="1" ht="11.4">
      <c r="A1962" s="919">
        <v>55</v>
      </c>
      <c r="B1962" s="920">
        <v>1</v>
      </c>
      <c r="C1962" s="920">
        <f>$A1962*$B1962</f>
        <v>55</v>
      </c>
      <c r="D1962" s="921" t="str">
        <f>Elec_Rates!$D$437</f>
        <v>042# 5 x 6mm2 XLPE/SWA/LSZH</v>
      </c>
      <c r="E1962" s="921"/>
      <c r="F1962" s="921" t="s">
        <v>2599</v>
      </c>
      <c r="G1962" s="922" t="s">
        <v>2601</v>
      </c>
      <c r="H1962" s="922"/>
      <c r="I1962" s="922"/>
      <c r="J1962" s="922"/>
      <c r="K1962" s="923"/>
      <c r="L1962" s="918"/>
      <c r="M1962" s="918"/>
      <c r="N1962" s="918"/>
      <c r="O1962" s="924"/>
      <c r="P1962" s="921"/>
      <c r="Q1962" s="925">
        <f ca="1">$B1962*Elec_Rates!$R$437</f>
        <v>5.61</v>
      </c>
      <c r="R1962" s="916">
        <f ca="1">$A1962*Q1962</f>
        <v>308.55</v>
      </c>
      <c r="S1962" s="925">
        <f ca="1">$B1962*Elec_Rates!$T$437</f>
        <v>0.09</v>
      </c>
      <c r="T1962" s="917">
        <f ca="1">$A1962*S1962</f>
        <v>4.95</v>
      </c>
      <c r="U1962" s="926"/>
      <c r="AR1962" s="919">
        <v>55</v>
      </c>
      <c r="AS1962" s="921" t="s">
        <v>2599</v>
      </c>
    </row>
    <row r="1963" spans="1:45" s="520" customFormat="1" ht="12">
      <c r="A1963" s="758"/>
      <c r="B1963" s="758"/>
      <c r="C1963" s="758"/>
      <c r="D1963" s="758"/>
      <c r="E1963" s="758"/>
      <c r="F1963" s="753"/>
      <c r="G1963" s="758"/>
      <c r="H1963" s="758"/>
      <c r="I1963" s="519"/>
      <c r="J1963" s="758"/>
      <c r="K1963" s="758"/>
      <c r="L1963" s="758"/>
      <c r="M1963" s="758"/>
      <c r="N1963" s="758"/>
      <c r="O1963" s="758"/>
      <c r="P1963" s="758"/>
      <c r="Q1963" s="519"/>
      <c r="R1963" s="759">
        <f>$A1963*Q1963</f>
        <v>0</v>
      </c>
      <c r="S1963" s="519"/>
      <c r="T1963" s="760">
        <f>$A1963*S1963*$T$1</f>
        <v>0</v>
      </c>
      <c r="AR1963" s="758"/>
      <c r="AS1963" s="753"/>
    </row>
    <row r="1964" spans="1:45" s="520" customFormat="1" ht="12.6" thickBot="1">
      <c r="A1964" s="761" t="s">
        <v>145</v>
      </c>
      <c r="B1964" s="762">
        <f>(R1963+T1963)</f>
        <v>0</v>
      </c>
      <c r="C1964" s="763"/>
      <c r="D1964" s="763"/>
      <c r="E1964" s="763"/>
      <c r="F1964" s="764"/>
      <c r="G1964" s="763" t="s">
        <v>146</v>
      </c>
      <c r="H1964" s="763"/>
      <c r="I1964" s="765"/>
      <c r="J1964" s="763"/>
      <c r="K1964" s="763" t="s">
        <v>3</v>
      </c>
      <c r="L1964" s="766" t="s">
        <v>143</v>
      </c>
      <c r="M1964" s="766"/>
      <c r="N1964" s="766"/>
      <c r="O1964" s="766"/>
      <c r="P1964" s="766"/>
      <c r="Q1964" s="767"/>
      <c r="R1964" s="768">
        <f ca="1">SUM(R1960:R1963)</f>
        <v>308.55</v>
      </c>
      <c r="S1964" s="763"/>
      <c r="T1964" s="768">
        <f ca="1">SUM(T1960:T1963)</f>
        <v>4.95</v>
      </c>
      <c r="U1964" s="531"/>
      <c r="V1964" s="531"/>
      <c r="W1964" s="531"/>
      <c r="X1964" s="531"/>
      <c r="Y1964" s="531"/>
      <c r="Z1964" s="531"/>
      <c r="AA1964" s="531"/>
      <c r="AB1964" s="531"/>
      <c r="AC1964" s="531"/>
      <c r="AD1964" s="531"/>
      <c r="AE1964" s="531"/>
      <c r="AF1964" s="531"/>
      <c r="AG1964" s="531"/>
      <c r="AH1964" s="531"/>
      <c r="AI1964" s="531"/>
      <c r="AJ1964" s="531"/>
      <c r="AK1964" s="531"/>
      <c r="AL1964" s="531"/>
      <c r="AM1964" s="531"/>
      <c r="AN1964" s="531"/>
      <c r="AO1964" s="531"/>
      <c r="AR1964" s="761" t="s">
        <v>145</v>
      </c>
      <c r="AS1964" s="764"/>
    </row>
    <row r="1965" spans="1:45" s="520" customFormat="1" ht="12" thickTop="1">
      <c r="A1965" s="51"/>
      <c r="B1965" s="41"/>
      <c r="C1965" s="51"/>
      <c r="E1965" s="42" t="s">
        <v>138</v>
      </c>
      <c r="F1965" s="42" t="s">
        <v>139</v>
      </c>
      <c r="G1965" s="51"/>
      <c r="H1965" s="51"/>
      <c r="I1965" s="51"/>
      <c r="J1965" s="51"/>
      <c r="K1965" s="51" t="s">
        <v>140</v>
      </c>
      <c r="L1965" s="51"/>
      <c r="M1965" s="51"/>
      <c r="N1965" s="51"/>
      <c r="O1965" s="52"/>
      <c r="P1965" s="51"/>
      <c r="Q1965" s="51"/>
      <c r="R1965" s="51"/>
      <c r="S1965" s="51"/>
      <c r="T1965" s="41"/>
      <c r="AG1965" s="521" t="s">
        <v>268</v>
      </c>
      <c r="AH1965" s="521" t="s">
        <v>269</v>
      </c>
      <c r="AI1965" s="521" t="s">
        <v>270</v>
      </c>
      <c r="AJ1965" s="521" t="s">
        <v>271</v>
      </c>
      <c r="AK1965" s="521" t="s">
        <v>272</v>
      </c>
      <c r="AM1965" s="745" t="s">
        <v>281</v>
      </c>
      <c r="AN1965" s="746" t="s">
        <v>282</v>
      </c>
      <c r="AO1965" s="522" t="s">
        <v>278</v>
      </c>
      <c r="AR1965" s="51"/>
      <c r="AS1965" s="42" t="s">
        <v>139</v>
      </c>
    </row>
    <row r="1966" spans="1:45" s="520" customFormat="1" ht="12" customHeight="1">
      <c r="A1966" s="747">
        <v>20</v>
      </c>
      <c r="B1966" s="523" t="s">
        <v>320</v>
      </c>
      <c r="C1966" s="748"/>
      <c r="D1966" s="749" t="s">
        <v>1417</v>
      </c>
      <c r="E1966" s="750">
        <f ca="1">IF(AND($A1966=0,$A$1="DIF"),0, ROUND(ROUND(($R1971*$S$2+($T1971*$T$2))/A1966,2)*$C$2,2))</f>
        <v>9.9499999999999993</v>
      </c>
      <c r="F1966" s="751">
        <f ca="1">ROUND($A1966*$E1966,2)</f>
        <v>199</v>
      </c>
      <c r="G1966" s="752" t="s">
        <v>142</v>
      </c>
      <c r="H1966" s="753"/>
      <c r="I1966" s="754"/>
      <c r="J1966" s="753"/>
      <c r="K1966" s="753" t="s">
        <v>3</v>
      </c>
      <c r="L1966" s="755" t="s">
        <v>143</v>
      </c>
      <c r="M1966" s="755"/>
      <c r="N1966" s="755"/>
      <c r="O1966" s="755"/>
      <c r="P1966" s="755"/>
      <c r="Q1966" s="51"/>
      <c r="T1966" s="756" t="str">
        <f ca="1">IF(AND($R1971=0,$T1971=0),"0.00","mu :" &amp; ROUND($F1966/$C$2/($R1971+$T1971*$D$9),2))</f>
        <v>mu :1.23</v>
      </c>
      <c r="W1966" s="524"/>
      <c r="AG1966" s="481">
        <f ca="1">IF($E1966=0,0,ROUND($R1971*$S$2*$C$2/$A1966,2))</f>
        <v>6.91</v>
      </c>
      <c r="AH1966" s="481">
        <f ca="1">$AG1966*$A1966</f>
        <v>138.19999999999999</v>
      </c>
      <c r="AI1966" s="525">
        <f ca="1">$E1966-$AG1966</f>
        <v>3.0399999999999991</v>
      </c>
      <c r="AJ1966" s="525">
        <f ca="1">$A1966*$AI1966</f>
        <v>60.799999999999983</v>
      </c>
      <c r="AK1966" s="526">
        <f ca="1">ROUND(($AG1966+$AI1966)*$A1966,2)</f>
        <v>199</v>
      </c>
      <c r="AM1966" s="527">
        <f ca="1">ROUND(R1971,2)</f>
        <v>112.2</v>
      </c>
      <c r="AN1966" s="528">
        <f ca="1">ROUND(T1971,2)</f>
        <v>1.8</v>
      </c>
      <c r="AO1966" s="529">
        <f ca="1">ROUND(AM1966+AN1966,2)*A1966</f>
        <v>2280</v>
      </c>
      <c r="AR1966" s="747">
        <v>20</v>
      </c>
      <c r="AS1966" s="751">
        <v>205.8</v>
      </c>
    </row>
    <row r="1967" spans="1:45" s="520" customFormat="1" ht="13.2">
      <c r="A1967" s="748"/>
      <c r="B1967"/>
      <c r="C1967" s="748"/>
      <c r="D1967" s="749" t="s">
        <v>1418</v>
      </c>
      <c r="F1967" s="753"/>
      <c r="G1967" s="3"/>
      <c r="H1967" s="753"/>
      <c r="I1967" s="754"/>
      <c r="J1967" s="753"/>
      <c r="K1967" s="753" t="s">
        <v>144</v>
      </c>
      <c r="L1967" s="753"/>
      <c r="M1967" s="753"/>
      <c r="N1967" s="753"/>
      <c r="O1967" s="753"/>
      <c r="P1967" s="753"/>
      <c r="Q1967" s="51"/>
      <c r="R1967" s="530"/>
      <c r="S1967" s="757"/>
      <c r="T1967" s="753"/>
      <c r="AR1967" s="748"/>
      <c r="AS1967" s="753"/>
    </row>
    <row r="1968" spans="1:45" s="886" customFormat="1" ht="13.2">
      <c r="A1968"/>
      <c r="B1968" s="910"/>
      <c r="C1968" s="910" t="s">
        <v>2597</v>
      </c>
      <c r="D1968" s="910" t="str">
        <f ca="1">CELL("Address",Elec_Rates!D$437)</f>
        <v>[E25_0062_Quintano_Foods_Elec_ELV_As_Awarded.xlsx]Elec_Rates!$D$437</v>
      </c>
      <c r="E1968" s="911"/>
      <c r="F1968" s="911"/>
      <c r="G1968" s="912" t="s">
        <v>2598</v>
      </c>
      <c r="H1968" s="912"/>
      <c r="I1968" s="912"/>
      <c r="J1968" s="912"/>
      <c r="K1968" s="913"/>
      <c r="L1968" s="911"/>
      <c r="M1968" s="911"/>
      <c r="N1968" s="911"/>
      <c r="O1968" s="914"/>
      <c r="P1968" s="911"/>
      <c r="Q1968" s="915"/>
      <c r="R1968" s="916"/>
      <c r="S1968" s="915"/>
      <c r="T1968" s="917"/>
      <c r="U1968" s="918"/>
      <c r="AR1968"/>
      <c r="AS1968" s="911"/>
    </row>
    <row r="1969" spans="1:45" s="886" customFormat="1" ht="11.4">
      <c r="A1969" s="919">
        <v>20</v>
      </c>
      <c r="B1969" s="920">
        <v>1</v>
      </c>
      <c r="C1969" s="920">
        <f>$A1969*$B1969</f>
        <v>20</v>
      </c>
      <c r="D1969" s="921" t="str">
        <f>Elec_Rates!$D$437</f>
        <v>042# 5 x 6mm2 XLPE/SWA/LSZH</v>
      </c>
      <c r="E1969" s="921"/>
      <c r="F1969" s="921" t="s">
        <v>2599</v>
      </c>
      <c r="G1969" s="922" t="s">
        <v>2601</v>
      </c>
      <c r="H1969" s="922"/>
      <c r="I1969" s="922"/>
      <c r="J1969" s="922"/>
      <c r="K1969" s="923"/>
      <c r="L1969" s="918"/>
      <c r="M1969" s="918"/>
      <c r="N1969" s="918"/>
      <c r="O1969" s="924"/>
      <c r="P1969" s="921"/>
      <c r="Q1969" s="925">
        <f ca="1">$B1969*Elec_Rates!$R$437</f>
        <v>5.61</v>
      </c>
      <c r="R1969" s="916">
        <f ca="1">$A1969*Q1969</f>
        <v>112.2</v>
      </c>
      <c r="S1969" s="925">
        <f ca="1">$B1969*Elec_Rates!$T$437</f>
        <v>0.09</v>
      </c>
      <c r="T1969" s="917">
        <f ca="1">$A1969*S1969</f>
        <v>1.7999999999999998</v>
      </c>
      <c r="U1969" s="926"/>
      <c r="AR1969" s="919">
        <v>20</v>
      </c>
      <c r="AS1969" s="921" t="s">
        <v>2599</v>
      </c>
    </row>
    <row r="1970" spans="1:45" s="520" customFormat="1" ht="12">
      <c r="A1970" s="758"/>
      <c r="B1970" s="758"/>
      <c r="C1970" s="758"/>
      <c r="D1970" s="758"/>
      <c r="E1970" s="758"/>
      <c r="F1970" s="753"/>
      <c r="G1970" s="758"/>
      <c r="H1970" s="758"/>
      <c r="I1970" s="519"/>
      <c r="J1970" s="758"/>
      <c r="K1970" s="758"/>
      <c r="L1970" s="758"/>
      <c r="M1970" s="758"/>
      <c r="N1970" s="758"/>
      <c r="O1970" s="758"/>
      <c r="P1970" s="758"/>
      <c r="Q1970" s="519"/>
      <c r="R1970" s="759">
        <f>$A1970*Q1970</f>
        <v>0</v>
      </c>
      <c r="S1970" s="519"/>
      <c r="T1970" s="760">
        <f>$A1970*S1970*$T$1</f>
        <v>0</v>
      </c>
      <c r="AR1970" s="758"/>
      <c r="AS1970" s="753"/>
    </row>
    <row r="1971" spans="1:45" s="520" customFormat="1" ht="12.6" thickBot="1">
      <c r="A1971" s="761" t="s">
        <v>145</v>
      </c>
      <c r="B1971" s="762">
        <f>(R1970+T1970)</f>
        <v>0</v>
      </c>
      <c r="C1971" s="763"/>
      <c r="D1971" s="763"/>
      <c r="E1971" s="763"/>
      <c r="F1971" s="764"/>
      <c r="G1971" s="763" t="s">
        <v>146</v>
      </c>
      <c r="H1971" s="763"/>
      <c r="I1971" s="765"/>
      <c r="J1971" s="763"/>
      <c r="K1971" s="763" t="s">
        <v>3</v>
      </c>
      <c r="L1971" s="766" t="s">
        <v>143</v>
      </c>
      <c r="M1971" s="766"/>
      <c r="N1971" s="766"/>
      <c r="O1971" s="766"/>
      <c r="P1971" s="766"/>
      <c r="Q1971" s="767"/>
      <c r="R1971" s="768">
        <f ca="1">SUM(R1967:R1970)</f>
        <v>112.2</v>
      </c>
      <c r="S1971" s="763"/>
      <c r="T1971" s="768">
        <f ca="1">SUM(T1967:T1970)</f>
        <v>1.7999999999999998</v>
      </c>
      <c r="U1971" s="531"/>
      <c r="V1971" s="531"/>
      <c r="W1971" s="531"/>
      <c r="X1971" s="531"/>
      <c r="Y1971" s="531"/>
      <c r="Z1971" s="531"/>
      <c r="AA1971" s="531"/>
      <c r="AB1971" s="531"/>
      <c r="AC1971" s="531"/>
      <c r="AD1971" s="531"/>
      <c r="AE1971" s="531"/>
      <c r="AF1971" s="531"/>
      <c r="AG1971" s="531"/>
      <c r="AH1971" s="531"/>
      <c r="AI1971" s="531"/>
      <c r="AJ1971" s="531"/>
      <c r="AK1971" s="531"/>
      <c r="AL1971" s="531"/>
      <c r="AM1971" s="531"/>
      <c r="AN1971" s="531"/>
      <c r="AO1971" s="531"/>
      <c r="AR1971" s="761" t="s">
        <v>145</v>
      </c>
      <c r="AS1971" s="764"/>
    </row>
    <row r="1972" spans="1:45" s="520" customFormat="1" ht="12" thickTop="1">
      <c r="A1972" s="51"/>
      <c r="B1972" s="41"/>
      <c r="C1972" s="51"/>
      <c r="E1972" s="42" t="s">
        <v>138</v>
      </c>
      <c r="F1972" s="42" t="s">
        <v>139</v>
      </c>
      <c r="G1972" s="51"/>
      <c r="H1972" s="51"/>
      <c r="I1972" s="51"/>
      <c r="J1972" s="51"/>
      <c r="K1972" s="51" t="s">
        <v>140</v>
      </c>
      <c r="L1972" s="51"/>
      <c r="M1972" s="51"/>
      <c r="N1972" s="51"/>
      <c r="O1972" s="52"/>
      <c r="P1972" s="51"/>
      <c r="Q1972" s="51"/>
      <c r="R1972" s="51"/>
      <c r="S1972" s="51"/>
      <c r="T1972" s="41"/>
      <c r="AG1972" s="521" t="s">
        <v>268</v>
      </c>
      <c r="AH1972" s="521" t="s">
        <v>269</v>
      </c>
      <c r="AI1972" s="521" t="s">
        <v>270</v>
      </c>
      <c r="AJ1972" s="521" t="s">
        <v>271</v>
      </c>
      <c r="AK1972" s="521" t="s">
        <v>272</v>
      </c>
      <c r="AM1972" s="745" t="s">
        <v>281</v>
      </c>
      <c r="AN1972" s="746" t="s">
        <v>282</v>
      </c>
      <c r="AO1972" s="522" t="s">
        <v>278</v>
      </c>
      <c r="AR1972" s="51"/>
      <c r="AS1972" s="42" t="s">
        <v>139</v>
      </c>
    </row>
    <row r="1973" spans="1:45" s="520" customFormat="1" ht="12" customHeight="1">
      <c r="A1973" s="747">
        <v>25</v>
      </c>
      <c r="B1973" s="523" t="s">
        <v>320</v>
      </c>
      <c r="C1973" s="748"/>
      <c r="D1973" s="749" t="s">
        <v>1419</v>
      </c>
      <c r="E1973" s="750">
        <f ca="1">IF(AND($A1973=0,$A$1="DIF"),0, ROUND(ROUND(($R1978*$S$2+($T1978*$T$2))/A1973,2)*$C$2,2))</f>
        <v>9.9499999999999993</v>
      </c>
      <c r="F1973" s="751">
        <f ca="1">ROUND($A1973*$E1973,2)</f>
        <v>248.75</v>
      </c>
      <c r="G1973" s="752" t="s">
        <v>142</v>
      </c>
      <c r="H1973" s="753"/>
      <c r="I1973" s="754"/>
      <c r="J1973" s="753"/>
      <c r="K1973" s="753" t="s">
        <v>3</v>
      </c>
      <c r="L1973" s="755" t="s">
        <v>143</v>
      </c>
      <c r="M1973" s="755"/>
      <c r="N1973" s="755"/>
      <c r="O1973" s="755"/>
      <c r="P1973" s="755"/>
      <c r="Q1973" s="51"/>
      <c r="T1973" s="756" t="str">
        <f ca="1">IF(AND($R1978=0,$T1978=0),"0.00","mu :" &amp; ROUND($F1973/$C$2/($R1978+$T1978*$D$9),2))</f>
        <v>mu :1.23</v>
      </c>
      <c r="W1973" s="524"/>
      <c r="AG1973" s="481">
        <f ca="1">IF($E1973=0,0,ROUND($R1978*$S$2*$C$2/$A1973,2))</f>
        <v>6.91</v>
      </c>
      <c r="AH1973" s="481">
        <f ca="1">$AG1973*$A1973</f>
        <v>172.75</v>
      </c>
      <c r="AI1973" s="525">
        <f ca="1">$E1973-$AG1973</f>
        <v>3.0399999999999991</v>
      </c>
      <c r="AJ1973" s="525">
        <f ca="1">$A1973*$AI1973</f>
        <v>75.999999999999972</v>
      </c>
      <c r="AK1973" s="526">
        <f ca="1">ROUND(($AG1973+$AI1973)*$A1973,2)</f>
        <v>248.75</v>
      </c>
      <c r="AM1973" s="527">
        <f ca="1">ROUND(R1978,2)</f>
        <v>140.25</v>
      </c>
      <c r="AN1973" s="528">
        <f ca="1">ROUND(T1978,2)</f>
        <v>2.25</v>
      </c>
      <c r="AO1973" s="529">
        <f ca="1">ROUND(AM1973+AN1973,2)*A1973</f>
        <v>3562.5</v>
      </c>
      <c r="AR1973" s="747">
        <v>25</v>
      </c>
      <c r="AS1973" s="751">
        <v>257.25</v>
      </c>
    </row>
    <row r="1974" spans="1:45" s="520" customFormat="1" ht="13.2">
      <c r="A1974" s="748"/>
      <c r="B1974"/>
      <c r="C1974" s="748"/>
      <c r="D1974" s="749" t="s">
        <v>1420</v>
      </c>
      <c r="F1974" s="753"/>
      <c r="G1974" s="3"/>
      <c r="H1974" s="753"/>
      <c r="I1974" s="754"/>
      <c r="J1974" s="753"/>
      <c r="K1974" s="753" t="s">
        <v>144</v>
      </c>
      <c r="L1974" s="753"/>
      <c r="M1974" s="753"/>
      <c r="N1974" s="753"/>
      <c r="O1974" s="753"/>
      <c r="P1974" s="753"/>
      <c r="Q1974" s="51"/>
      <c r="R1974" s="530"/>
      <c r="S1974" s="757"/>
      <c r="T1974" s="753"/>
      <c r="AR1974" s="748"/>
      <c r="AS1974" s="753"/>
    </row>
    <row r="1975" spans="1:45" s="886" customFormat="1" ht="13.2">
      <c r="A1975"/>
      <c r="B1975" s="910"/>
      <c r="C1975" s="910" t="s">
        <v>2597</v>
      </c>
      <c r="D1975" s="910" t="str">
        <f ca="1">CELL("Address",Elec_Rates!D$437)</f>
        <v>[E25_0062_Quintano_Foods_Elec_ELV_As_Awarded.xlsx]Elec_Rates!$D$437</v>
      </c>
      <c r="E1975" s="911"/>
      <c r="F1975" s="911"/>
      <c r="G1975" s="912" t="s">
        <v>2598</v>
      </c>
      <c r="H1975" s="912"/>
      <c r="I1975" s="912"/>
      <c r="J1975" s="912"/>
      <c r="K1975" s="913"/>
      <c r="L1975" s="911"/>
      <c r="M1975" s="911"/>
      <c r="N1975" s="911"/>
      <c r="O1975" s="914"/>
      <c r="P1975" s="911"/>
      <c r="Q1975" s="915"/>
      <c r="R1975" s="916"/>
      <c r="S1975" s="915"/>
      <c r="T1975" s="917"/>
      <c r="U1975" s="918"/>
      <c r="AR1975"/>
      <c r="AS1975" s="911"/>
    </row>
    <row r="1976" spans="1:45" s="886" customFormat="1" ht="11.4">
      <c r="A1976" s="919">
        <v>25</v>
      </c>
      <c r="B1976" s="920">
        <v>1</v>
      </c>
      <c r="C1976" s="920">
        <f>$A1976*$B1976</f>
        <v>25</v>
      </c>
      <c r="D1976" s="921" t="str">
        <f>Elec_Rates!$D$437</f>
        <v>042# 5 x 6mm2 XLPE/SWA/LSZH</v>
      </c>
      <c r="E1976" s="921"/>
      <c r="F1976" s="921" t="s">
        <v>2599</v>
      </c>
      <c r="G1976" s="922" t="s">
        <v>2601</v>
      </c>
      <c r="H1976" s="922"/>
      <c r="I1976" s="922"/>
      <c r="J1976" s="922"/>
      <c r="K1976" s="923"/>
      <c r="L1976" s="918"/>
      <c r="M1976" s="918"/>
      <c r="N1976" s="918"/>
      <c r="O1976" s="924"/>
      <c r="P1976" s="921"/>
      <c r="Q1976" s="925">
        <f ca="1">$B1976*Elec_Rates!$R$437</f>
        <v>5.61</v>
      </c>
      <c r="R1976" s="916">
        <f ca="1">$A1976*Q1976</f>
        <v>140.25</v>
      </c>
      <c r="S1976" s="925">
        <f ca="1">$B1976*Elec_Rates!$T$437</f>
        <v>0.09</v>
      </c>
      <c r="T1976" s="917">
        <f ca="1">$A1976*S1976</f>
        <v>2.25</v>
      </c>
      <c r="U1976" s="926"/>
      <c r="AR1976" s="919">
        <v>25</v>
      </c>
      <c r="AS1976" s="921" t="s">
        <v>2599</v>
      </c>
    </row>
    <row r="1977" spans="1:45" s="520" customFormat="1" ht="12">
      <c r="A1977" s="758"/>
      <c r="B1977" s="758"/>
      <c r="C1977" s="758"/>
      <c r="D1977" s="758"/>
      <c r="E1977" s="758"/>
      <c r="F1977" s="753"/>
      <c r="G1977" s="758"/>
      <c r="H1977" s="758"/>
      <c r="I1977" s="519"/>
      <c r="J1977" s="758"/>
      <c r="K1977" s="758"/>
      <c r="L1977" s="758"/>
      <c r="M1977" s="758"/>
      <c r="N1977" s="758"/>
      <c r="O1977" s="758"/>
      <c r="P1977" s="758"/>
      <c r="Q1977" s="519"/>
      <c r="R1977" s="759">
        <f>$A1977*Q1977</f>
        <v>0</v>
      </c>
      <c r="S1977" s="519"/>
      <c r="T1977" s="760">
        <f>$A1977*S1977*$T$1</f>
        <v>0</v>
      </c>
      <c r="AR1977" s="758"/>
      <c r="AS1977" s="753"/>
    </row>
    <row r="1978" spans="1:45" s="520" customFormat="1" ht="12.6" thickBot="1">
      <c r="A1978" s="761" t="s">
        <v>145</v>
      </c>
      <c r="B1978" s="762">
        <f>(R1977+T1977)</f>
        <v>0</v>
      </c>
      <c r="C1978" s="763"/>
      <c r="D1978" s="763"/>
      <c r="E1978" s="763"/>
      <c r="F1978" s="764"/>
      <c r="G1978" s="763" t="s">
        <v>146</v>
      </c>
      <c r="H1978" s="763"/>
      <c r="I1978" s="765"/>
      <c r="J1978" s="763"/>
      <c r="K1978" s="763" t="s">
        <v>3</v>
      </c>
      <c r="L1978" s="766" t="s">
        <v>143</v>
      </c>
      <c r="M1978" s="766"/>
      <c r="N1978" s="766"/>
      <c r="O1978" s="766"/>
      <c r="P1978" s="766"/>
      <c r="Q1978" s="767"/>
      <c r="R1978" s="768">
        <f ca="1">SUM(R1974:R1977)</f>
        <v>140.25</v>
      </c>
      <c r="S1978" s="763"/>
      <c r="T1978" s="768">
        <f ca="1">SUM(T1974:T1977)</f>
        <v>2.25</v>
      </c>
      <c r="U1978" s="531"/>
      <c r="V1978" s="531"/>
      <c r="W1978" s="531"/>
      <c r="X1978" s="531"/>
      <c r="Y1978" s="531"/>
      <c r="Z1978" s="531"/>
      <c r="AA1978" s="531"/>
      <c r="AB1978" s="531"/>
      <c r="AC1978" s="531"/>
      <c r="AD1978" s="531"/>
      <c r="AE1978" s="531"/>
      <c r="AF1978" s="531"/>
      <c r="AG1978" s="531"/>
      <c r="AH1978" s="531"/>
      <c r="AI1978" s="531"/>
      <c r="AJ1978" s="531"/>
      <c r="AK1978" s="531"/>
      <c r="AL1978" s="531"/>
      <c r="AM1978" s="531"/>
      <c r="AN1978" s="531"/>
      <c r="AO1978" s="531"/>
      <c r="AR1978" s="761" t="s">
        <v>145</v>
      </c>
      <c r="AS1978" s="764"/>
    </row>
    <row r="1979" spans="1:45" s="520" customFormat="1" thickTop="1">
      <c r="A1979" s="51"/>
      <c r="B1979" s="51"/>
      <c r="C1979" s="3"/>
      <c r="D1979" s="3"/>
      <c r="E1979" s="51"/>
      <c r="F1979" s="51"/>
      <c r="G1979" s="51"/>
      <c r="H1979" s="51"/>
      <c r="I1979" s="51"/>
      <c r="J1979" s="51"/>
      <c r="K1979" s="51" t="s">
        <v>134</v>
      </c>
      <c r="L1979" s="51"/>
      <c r="M1979" s="51"/>
      <c r="N1979" s="51"/>
      <c r="O1979" s="52"/>
      <c r="P1979" s="51"/>
      <c r="Q1979" s="51"/>
      <c r="R1979" s="51"/>
      <c r="S1979" s="51"/>
      <c r="T1979" s="51"/>
      <c r="AR1979" s="51"/>
      <c r="AS1979" s="51"/>
    </row>
    <row r="1980" spans="1:45" s="520" customFormat="1" ht="12">
      <c r="A1980" s="51"/>
      <c r="B1980" s="51"/>
      <c r="C1980" s="51" t="s">
        <v>135</v>
      </c>
      <c r="D1980" s="37"/>
      <c r="E1980" s="51"/>
      <c r="F1980" s="51"/>
      <c r="G1980" s="51"/>
      <c r="H1980" s="51"/>
      <c r="I1980" s="51"/>
      <c r="J1980" s="51"/>
      <c r="K1980" s="51"/>
      <c r="L1980" s="51"/>
      <c r="M1980" s="51"/>
      <c r="N1980" s="51"/>
      <c r="O1980" s="52"/>
      <c r="P1980" s="51"/>
      <c r="Q1980" s="51"/>
      <c r="R1980" s="51"/>
      <c r="S1980" s="51"/>
      <c r="T1980" s="51"/>
      <c r="AR1980" s="51"/>
      <c r="AS1980" s="51"/>
    </row>
    <row r="1981" spans="1:45" s="520" customFormat="1" ht="12">
      <c r="A1981" s="51"/>
      <c r="B1981" s="51"/>
      <c r="C1981" s="51"/>
      <c r="D1981" s="37" t="s">
        <v>463</v>
      </c>
      <c r="E1981" s="51"/>
      <c r="F1981" s="51"/>
      <c r="G1981" s="51"/>
      <c r="H1981" s="51"/>
      <c r="I1981" s="51"/>
      <c r="J1981" s="51"/>
      <c r="K1981" s="51"/>
      <c r="L1981" s="51"/>
      <c r="M1981" s="51"/>
      <c r="N1981" s="51"/>
      <c r="O1981" s="52"/>
      <c r="P1981" s="51"/>
      <c r="Q1981" s="51"/>
      <c r="R1981" s="51"/>
      <c r="S1981" s="38"/>
      <c r="T1981" s="38"/>
      <c r="AR1981" s="51"/>
      <c r="AS1981" s="51"/>
    </row>
    <row r="1982" spans="1:45" s="3" customFormat="1" thickBot="1">
      <c r="A1982" s="531"/>
      <c r="O1982" s="107"/>
      <c r="AR1982" s="531"/>
    </row>
    <row r="1983" spans="1:45" s="520" customFormat="1" ht="12" thickTop="1">
      <c r="A1983" s="51"/>
      <c r="B1983" s="41"/>
      <c r="C1983" s="51"/>
      <c r="E1983" s="42" t="s">
        <v>138</v>
      </c>
      <c r="F1983" s="42" t="s">
        <v>139</v>
      </c>
      <c r="G1983" s="51"/>
      <c r="H1983" s="51"/>
      <c r="I1983" s="51"/>
      <c r="J1983" s="51"/>
      <c r="K1983" s="51" t="s">
        <v>140</v>
      </c>
      <c r="L1983" s="51"/>
      <c r="M1983" s="51"/>
      <c r="N1983" s="51"/>
      <c r="O1983" s="52"/>
      <c r="P1983" s="51"/>
      <c r="Q1983" s="51"/>
      <c r="R1983" s="51"/>
      <c r="S1983" s="51"/>
      <c r="T1983" s="41"/>
      <c r="AG1983" s="521" t="s">
        <v>268</v>
      </c>
      <c r="AH1983" s="521" t="s">
        <v>269</v>
      </c>
      <c r="AI1983" s="521" t="s">
        <v>270</v>
      </c>
      <c r="AJ1983" s="521" t="s">
        <v>271</v>
      </c>
      <c r="AK1983" s="521" t="s">
        <v>272</v>
      </c>
      <c r="AM1983" s="745" t="s">
        <v>281</v>
      </c>
      <c r="AN1983" s="746" t="s">
        <v>282</v>
      </c>
      <c r="AO1983" s="522" t="s">
        <v>278</v>
      </c>
      <c r="AR1983" s="51"/>
      <c r="AS1983" s="42" t="s">
        <v>139</v>
      </c>
    </row>
    <row r="1984" spans="1:45" s="520" customFormat="1" ht="12" customHeight="1">
      <c r="A1984" s="747">
        <v>8</v>
      </c>
      <c r="B1984" s="523" t="s">
        <v>141</v>
      </c>
      <c r="C1984" s="748"/>
      <c r="D1984" s="749" t="s">
        <v>1421</v>
      </c>
      <c r="E1984" s="750">
        <f ca="1">IF(AND($A1984=0,$A$1="DIF"),0, ROUND(ROUND(($R1989*$S$2+($T1989*$T$2))/A1984,2)*$C$2,2))</f>
        <v>54.11</v>
      </c>
      <c r="F1984" s="751">
        <f ca="1">ROUND($A1984*$E1984,2)</f>
        <v>432.88</v>
      </c>
      <c r="G1984" s="752" t="s">
        <v>142</v>
      </c>
      <c r="H1984" s="753"/>
      <c r="I1984" s="754"/>
      <c r="J1984" s="753"/>
      <c r="K1984" s="753" t="s">
        <v>3</v>
      </c>
      <c r="L1984" s="755" t="s">
        <v>143</v>
      </c>
      <c r="M1984" s="755"/>
      <c r="N1984" s="755"/>
      <c r="O1984" s="755"/>
      <c r="P1984" s="755"/>
      <c r="Q1984" s="51"/>
      <c r="T1984" s="756" t="str">
        <f ca="1">IF(AND($R1989=0,$T1989=0),"0.00","mu :" &amp; ROUND($F1984/$C$2/($R1989+$T1989*$D$9),2))</f>
        <v>mu :1.23</v>
      </c>
      <c r="W1984" s="524"/>
      <c r="AG1984" s="481">
        <f ca="1">IF($E1984=0,0,ROUND($R1989*$S$2*$C$2/$A1984,2))</f>
        <v>43.29</v>
      </c>
      <c r="AH1984" s="481">
        <f ca="1">$AG1984*$A1984</f>
        <v>346.32</v>
      </c>
      <c r="AI1984" s="525">
        <f ca="1">$E1984-$AG1984</f>
        <v>10.82</v>
      </c>
      <c r="AJ1984" s="525">
        <f ca="1">$A1984*$AI1984</f>
        <v>86.56</v>
      </c>
      <c r="AK1984" s="526">
        <f ca="1">ROUND(($AG1984+$AI1984)*$A1984,2)</f>
        <v>432.88</v>
      </c>
      <c r="AM1984" s="527">
        <f ca="1">ROUND(R1989,2)</f>
        <v>281.27999999999997</v>
      </c>
      <c r="AN1984" s="528">
        <f ca="1">ROUND(T1989,2)</f>
        <v>2.56</v>
      </c>
      <c r="AO1984" s="529">
        <f ca="1">ROUND(AM1984+AN1984,2)*A1984</f>
        <v>2270.7199999999998</v>
      </c>
      <c r="AR1984" s="747">
        <v>8</v>
      </c>
      <c r="AS1984" s="751">
        <v>441.04</v>
      </c>
    </row>
    <row r="1985" spans="1:45" s="520" customFormat="1" ht="13.2">
      <c r="A1985" s="748"/>
      <c r="B1985"/>
      <c r="C1985" s="748"/>
      <c r="D1985" s="749" t="s">
        <v>586</v>
      </c>
      <c r="F1985" s="753"/>
      <c r="G1985" s="3"/>
      <c r="H1985" s="753"/>
      <c r="I1985" s="754"/>
      <c r="J1985" s="753"/>
      <c r="K1985" s="753" t="s">
        <v>144</v>
      </c>
      <c r="L1985" s="753"/>
      <c r="M1985" s="753"/>
      <c r="N1985" s="753"/>
      <c r="O1985" s="753"/>
      <c r="P1985" s="753"/>
      <c r="Q1985" s="51"/>
      <c r="R1985" s="530"/>
      <c r="S1985" s="757"/>
      <c r="T1985" s="753"/>
      <c r="AR1985" s="748"/>
      <c r="AS1985" s="753"/>
    </row>
    <row r="1986" spans="1:45" s="886" customFormat="1" ht="13.2">
      <c r="A1986"/>
      <c r="B1986" s="910"/>
      <c r="C1986" s="910" t="s">
        <v>2597</v>
      </c>
      <c r="D1986" s="910" t="str">
        <f ca="1">CELL("Address",Elec_Rates!D$174)</f>
        <v>[E25_0062_Quintano_Foods_Elec_ELV_As_Awarded.xlsx]Elec_Rates!$D$174</v>
      </c>
      <c r="E1986" s="911"/>
      <c r="F1986" s="911"/>
      <c r="G1986" s="912" t="s">
        <v>2598</v>
      </c>
      <c r="H1986" s="912"/>
      <c r="I1986" s="912"/>
      <c r="J1986" s="912"/>
      <c r="K1986" s="913"/>
      <c r="L1986" s="911"/>
      <c r="M1986" s="911"/>
      <c r="N1986" s="911"/>
      <c r="O1986" s="914"/>
      <c r="P1986" s="911"/>
      <c r="Q1986" s="915"/>
      <c r="R1986" s="916"/>
      <c r="S1986" s="915"/>
      <c r="T1986" s="917"/>
      <c r="U1986" s="918"/>
      <c r="AR1986"/>
      <c r="AS1986" s="911"/>
    </row>
    <row r="1987" spans="1:45" s="886" customFormat="1" ht="11.4">
      <c r="A1987" s="919">
        <v>8</v>
      </c>
      <c r="B1987" s="920">
        <v>1</v>
      </c>
      <c r="C1987" s="920">
        <f>$A1987*$B1987</f>
        <v>8</v>
      </c>
      <c r="D1987" s="921" t="str">
        <f>Elec_Rates!$D$174</f>
        <v>016# 5Pin 16Amp IP67 Interlocked Socket outlet</v>
      </c>
      <c r="E1987" s="921"/>
      <c r="F1987" s="921" t="s">
        <v>2599</v>
      </c>
      <c r="G1987" s="922" t="s">
        <v>2601</v>
      </c>
      <c r="H1987" s="922"/>
      <c r="I1987" s="922"/>
      <c r="J1987" s="922"/>
      <c r="K1987" s="923"/>
      <c r="L1987" s="918"/>
      <c r="M1987" s="918"/>
      <c r="N1987" s="918"/>
      <c r="O1987" s="924"/>
      <c r="P1987" s="921"/>
      <c r="Q1987" s="925">
        <f ca="1">$B1987*Elec_Rates!$R$174</f>
        <v>35.159999999999997</v>
      </c>
      <c r="R1987" s="916">
        <f ca="1">$A1987*Q1987</f>
        <v>281.27999999999997</v>
      </c>
      <c r="S1987" s="925">
        <f ca="1">$B1987*Elec_Rates!$T$174</f>
        <v>0.32</v>
      </c>
      <c r="T1987" s="917">
        <f ca="1">$A1987*S1987</f>
        <v>2.56</v>
      </c>
      <c r="U1987" s="926"/>
      <c r="AR1987" s="919">
        <v>8</v>
      </c>
      <c r="AS1987" s="921" t="s">
        <v>2599</v>
      </c>
    </row>
    <row r="1988" spans="1:45" s="520" customFormat="1" ht="12">
      <c r="A1988" s="758"/>
      <c r="B1988" s="758"/>
      <c r="C1988" s="758"/>
      <c r="D1988" s="758"/>
      <c r="E1988" s="758"/>
      <c r="F1988" s="753"/>
      <c r="G1988" s="758"/>
      <c r="H1988" s="758"/>
      <c r="I1988" s="519"/>
      <c r="J1988" s="758"/>
      <c r="K1988" s="758"/>
      <c r="L1988" s="758"/>
      <c r="M1988" s="758"/>
      <c r="N1988" s="758"/>
      <c r="O1988" s="758"/>
      <c r="P1988" s="758"/>
      <c r="Q1988" s="519"/>
      <c r="R1988" s="759">
        <f>$A1988*Q1988</f>
        <v>0</v>
      </c>
      <c r="S1988" s="519"/>
      <c r="T1988" s="760">
        <f>$A1988*S1988*$T$1</f>
        <v>0</v>
      </c>
      <c r="AR1988" s="758"/>
      <c r="AS1988" s="753"/>
    </row>
    <row r="1989" spans="1:45" s="520" customFormat="1" ht="12.6" thickBot="1">
      <c r="A1989" s="761" t="s">
        <v>145</v>
      </c>
      <c r="B1989" s="762">
        <f>(R1988+T1988)</f>
        <v>0</v>
      </c>
      <c r="C1989" s="763"/>
      <c r="D1989" s="763"/>
      <c r="E1989" s="763"/>
      <c r="F1989" s="764"/>
      <c r="G1989" s="763" t="s">
        <v>146</v>
      </c>
      <c r="H1989" s="763"/>
      <c r="I1989" s="765"/>
      <c r="J1989" s="763"/>
      <c r="K1989" s="763" t="s">
        <v>3</v>
      </c>
      <c r="L1989" s="766" t="s">
        <v>143</v>
      </c>
      <c r="M1989" s="766"/>
      <c r="N1989" s="766"/>
      <c r="O1989" s="766"/>
      <c r="P1989" s="766"/>
      <c r="Q1989" s="767"/>
      <c r="R1989" s="768">
        <f ca="1">SUM(R1985:R1988)</f>
        <v>281.27999999999997</v>
      </c>
      <c r="S1989" s="763"/>
      <c r="T1989" s="768">
        <f ca="1">SUM(T1985:T1988)</f>
        <v>2.56</v>
      </c>
      <c r="U1989" s="531"/>
      <c r="V1989" s="531"/>
      <c r="W1989" s="531"/>
      <c r="X1989" s="531"/>
      <c r="Y1989" s="531"/>
      <c r="Z1989" s="531"/>
      <c r="AA1989" s="531"/>
      <c r="AB1989" s="531"/>
      <c r="AC1989" s="531"/>
      <c r="AD1989" s="531"/>
      <c r="AE1989" s="531"/>
      <c r="AF1989" s="531"/>
      <c r="AG1989" s="531"/>
      <c r="AH1989" s="531"/>
      <c r="AI1989" s="531"/>
      <c r="AJ1989" s="531"/>
      <c r="AK1989" s="531"/>
      <c r="AL1989" s="531"/>
      <c r="AM1989" s="531"/>
      <c r="AN1989" s="531"/>
      <c r="AO1989" s="531"/>
      <c r="AR1989" s="761" t="s">
        <v>145</v>
      </c>
      <c r="AS1989" s="764"/>
    </row>
    <row r="1990" spans="1:45" s="520" customFormat="1" ht="12" thickTop="1">
      <c r="A1990" s="51"/>
      <c r="B1990" s="41"/>
      <c r="C1990" s="51"/>
      <c r="E1990" s="42" t="s">
        <v>138</v>
      </c>
      <c r="F1990" s="42" t="s">
        <v>139</v>
      </c>
      <c r="G1990" s="51"/>
      <c r="H1990" s="51"/>
      <c r="I1990" s="51"/>
      <c r="J1990" s="51"/>
      <c r="K1990" s="51" t="s">
        <v>140</v>
      </c>
      <c r="L1990" s="51"/>
      <c r="M1990" s="51"/>
      <c r="N1990" s="51"/>
      <c r="O1990" s="52"/>
      <c r="P1990" s="51"/>
      <c r="Q1990" s="51"/>
      <c r="R1990" s="51"/>
      <c r="S1990" s="51"/>
      <c r="T1990" s="41"/>
      <c r="AG1990" s="521" t="s">
        <v>268</v>
      </c>
      <c r="AH1990" s="521" t="s">
        <v>269</v>
      </c>
      <c r="AI1990" s="521" t="s">
        <v>270</v>
      </c>
      <c r="AJ1990" s="521" t="s">
        <v>271</v>
      </c>
      <c r="AK1990" s="521" t="s">
        <v>272</v>
      </c>
      <c r="AM1990" s="745" t="s">
        <v>281</v>
      </c>
      <c r="AN1990" s="746" t="s">
        <v>282</v>
      </c>
      <c r="AO1990" s="522" t="s">
        <v>278</v>
      </c>
      <c r="AR1990" s="51"/>
      <c r="AS1990" s="42" t="s">
        <v>139</v>
      </c>
    </row>
    <row r="1991" spans="1:45" s="520" customFormat="1" ht="12" customHeight="1">
      <c r="A1991" s="747">
        <v>6</v>
      </c>
      <c r="B1991" s="523" t="s">
        <v>141</v>
      </c>
      <c r="C1991" s="748"/>
      <c r="D1991" s="749" t="s">
        <v>1422</v>
      </c>
      <c r="E1991" s="750">
        <f ca="1">IF(AND($A1991=0,$A$1="DIF"),0, ROUND(ROUND(($R1996*$S$2+($T1996*$T$2))/A1991,2)*$C$2,2))</f>
        <v>55.35</v>
      </c>
      <c r="F1991" s="751">
        <f ca="1">ROUND($A1991*$E1991,2)</f>
        <v>332.1</v>
      </c>
      <c r="G1991" s="752" t="s">
        <v>142</v>
      </c>
      <c r="H1991" s="753"/>
      <c r="I1991" s="754"/>
      <c r="J1991" s="753"/>
      <c r="K1991" s="753" t="s">
        <v>3</v>
      </c>
      <c r="L1991" s="755" t="s">
        <v>143</v>
      </c>
      <c r="M1991" s="755"/>
      <c r="N1991" s="755"/>
      <c r="O1991" s="755"/>
      <c r="P1991" s="755"/>
      <c r="Q1991" s="51"/>
      <c r="T1991" s="756" t="str">
        <f ca="1">IF(AND($R1996=0,$T1996=0),"0.00","mu :" &amp; ROUND($F1991/$C$2/($R1996+$T1996*$D$9),2))</f>
        <v>mu :1.23</v>
      </c>
      <c r="W1991" s="524"/>
      <c r="AG1991" s="481">
        <f ca="1">IF($E1991=0,0,ROUND($R1996*$S$2*$C$2/$A1991,2))</f>
        <v>44.53</v>
      </c>
      <c r="AH1991" s="481">
        <f ca="1">$AG1991*$A1991</f>
        <v>267.18</v>
      </c>
      <c r="AI1991" s="525">
        <f ca="1">$E1991-$AG1991</f>
        <v>10.82</v>
      </c>
      <c r="AJ1991" s="525">
        <f ca="1">$A1991*$AI1991</f>
        <v>64.92</v>
      </c>
      <c r="AK1991" s="526">
        <f ca="1">ROUND(($AG1991+$AI1991)*$A1991,2)</f>
        <v>332.1</v>
      </c>
      <c r="AM1991" s="527">
        <f ca="1">ROUND(R1996,2)</f>
        <v>216.96</v>
      </c>
      <c r="AN1991" s="528">
        <f ca="1">ROUND(T1996,2)</f>
        <v>1.92</v>
      </c>
      <c r="AO1991" s="529">
        <f ca="1">ROUND(AM1991+AN1991,2)*A1991</f>
        <v>1313.28</v>
      </c>
      <c r="AR1991" s="747">
        <v>6</v>
      </c>
      <c r="AS1991" s="751">
        <v>338.16</v>
      </c>
    </row>
    <row r="1992" spans="1:45" s="520" customFormat="1" ht="13.2">
      <c r="A1992" s="748"/>
      <c r="B1992"/>
      <c r="C1992" s="748"/>
      <c r="D1992" s="749" t="s">
        <v>652</v>
      </c>
      <c r="F1992" s="753"/>
      <c r="G1992" s="3"/>
      <c r="H1992" s="753"/>
      <c r="I1992" s="754"/>
      <c r="J1992" s="753"/>
      <c r="K1992" s="753" t="s">
        <v>144</v>
      </c>
      <c r="L1992" s="753"/>
      <c r="M1992" s="753"/>
      <c r="N1992" s="753"/>
      <c r="O1992" s="753"/>
      <c r="P1992" s="753"/>
      <c r="Q1992" s="51"/>
      <c r="R1992" s="530"/>
      <c r="S1992" s="757"/>
      <c r="T1992" s="753"/>
      <c r="AR1992" s="748"/>
      <c r="AS1992" s="753"/>
    </row>
    <row r="1993" spans="1:45" s="886" customFormat="1" ht="13.2">
      <c r="A1993"/>
      <c r="B1993" s="910"/>
      <c r="C1993" s="910" t="s">
        <v>2597</v>
      </c>
      <c r="D1993" s="910" t="str">
        <f ca="1">CELL("Address",Elec_Rates!D$183)</f>
        <v>[E25_0062_Quintano_Foods_Elec_ELV_As_Awarded.xlsx]Elec_Rates!$D$183</v>
      </c>
      <c r="E1993" s="911"/>
      <c r="F1993" s="911"/>
      <c r="G1993" s="912" t="s">
        <v>2598</v>
      </c>
      <c r="H1993" s="912"/>
      <c r="I1993" s="912"/>
      <c r="J1993" s="912"/>
      <c r="K1993" s="913"/>
      <c r="L1993" s="911"/>
      <c r="M1993" s="911"/>
      <c r="N1993" s="911"/>
      <c r="O1993" s="914"/>
      <c r="P1993" s="911"/>
      <c r="Q1993" s="915"/>
      <c r="R1993" s="916"/>
      <c r="S1993" s="915"/>
      <c r="T1993" s="917"/>
      <c r="U1993" s="918"/>
      <c r="AR1993"/>
      <c r="AS1993" s="911"/>
    </row>
    <row r="1994" spans="1:45" s="886" customFormat="1" ht="11.4">
      <c r="A1994" s="919">
        <v>6</v>
      </c>
      <c r="B1994" s="920">
        <v>1</v>
      </c>
      <c r="C1994" s="920">
        <f>$A1994*$B1994</f>
        <v>6</v>
      </c>
      <c r="D1994" s="921" t="str">
        <f>Elec_Rates!$D$183</f>
        <v>017# 5Pin 32Amp IP67 Interlocked Socket outlet</v>
      </c>
      <c r="E1994" s="921"/>
      <c r="F1994" s="921" t="s">
        <v>2599</v>
      </c>
      <c r="G1994" s="922" t="s">
        <v>2600</v>
      </c>
      <c r="H1994" s="922"/>
      <c r="I1994" s="922"/>
      <c r="J1994" s="922"/>
      <c r="K1994" s="923"/>
      <c r="L1994" s="918"/>
      <c r="M1994" s="918"/>
      <c r="N1994" s="918"/>
      <c r="O1994" s="924"/>
      <c r="P1994" s="921"/>
      <c r="Q1994" s="925">
        <f ca="1">$B1994*Elec_Rates!$R$183</f>
        <v>36.159999999999997</v>
      </c>
      <c r="R1994" s="916">
        <f ca="1">$A1994*Q1994</f>
        <v>216.95999999999998</v>
      </c>
      <c r="S1994" s="925">
        <f ca="1">$B1994*Elec_Rates!$T$183</f>
        <v>0.32</v>
      </c>
      <c r="T1994" s="917">
        <f ca="1">$A1994*S1994</f>
        <v>1.92</v>
      </c>
      <c r="U1994" s="926"/>
      <c r="AR1994" s="919">
        <v>6</v>
      </c>
      <c r="AS1994" s="921" t="s">
        <v>2599</v>
      </c>
    </row>
    <row r="1995" spans="1:45" s="520" customFormat="1" ht="12">
      <c r="A1995" s="758"/>
      <c r="B1995" s="758"/>
      <c r="C1995" s="758"/>
      <c r="D1995" s="758"/>
      <c r="E1995" s="758"/>
      <c r="F1995" s="753"/>
      <c r="G1995" s="758"/>
      <c r="H1995" s="758"/>
      <c r="I1995" s="519"/>
      <c r="J1995" s="758"/>
      <c r="K1995" s="758"/>
      <c r="L1995" s="758"/>
      <c r="M1995" s="758"/>
      <c r="N1995" s="758"/>
      <c r="O1995" s="758"/>
      <c r="P1995" s="758"/>
      <c r="Q1995" s="519"/>
      <c r="R1995" s="759">
        <f>$A1995*Q1995</f>
        <v>0</v>
      </c>
      <c r="S1995" s="519"/>
      <c r="T1995" s="760">
        <f>$A1995*S1995*$T$1</f>
        <v>0</v>
      </c>
      <c r="AR1995" s="758"/>
      <c r="AS1995" s="753"/>
    </row>
    <row r="1996" spans="1:45" s="520" customFormat="1" ht="12.6" thickBot="1">
      <c r="A1996" s="761" t="s">
        <v>145</v>
      </c>
      <c r="B1996" s="762">
        <f>(R1995+T1995)</f>
        <v>0</v>
      </c>
      <c r="C1996" s="763"/>
      <c r="D1996" s="763"/>
      <c r="E1996" s="763"/>
      <c r="F1996" s="764"/>
      <c r="G1996" s="763" t="s">
        <v>146</v>
      </c>
      <c r="H1996" s="763"/>
      <c r="I1996" s="765"/>
      <c r="J1996" s="763"/>
      <c r="K1996" s="763" t="s">
        <v>3</v>
      </c>
      <c r="L1996" s="766" t="s">
        <v>143</v>
      </c>
      <c r="M1996" s="766"/>
      <c r="N1996" s="766"/>
      <c r="O1996" s="766"/>
      <c r="P1996" s="766"/>
      <c r="Q1996" s="767"/>
      <c r="R1996" s="768">
        <f ca="1">SUM(R1992:R1995)</f>
        <v>216.95999999999998</v>
      </c>
      <c r="S1996" s="763"/>
      <c r="T1996" s="768">
        <f ca="1">SUM(T1992:T1995)</f>
        <v>1.92</v>
      </c>
      <c r="U1996" s="531"/>
      <c r="V1996" s="531"/>
      <c r="W1996" s="531"/>
      <c r="X1996" s="531"/>
      <c r="Y1996" s="531"/>
      <c r="Z1996" s="531"/>
      <c r="AA1996" s="531"/>
      <c r="AB1996" s="531"/>
      <c r="AC1996" s="531"/>
      <c r="AD1996" s="531"/>
      <c r="AE1996" s="531"/>
      <c r="AF1996" s="531"/>
      <c r="AG1996" s="531"/>
      <c r="AH1996" s="531"/>
      <c r="AI1996" s="531"/>
      <c r="AJ1996" s="531"/>
      <c r="AK1996" s="531"/>
      <c r="AL1996" s="531"/>
      <c r="AM1996" s="531"/>
      <c r="AN1996" s="531"/>
      <c r="AO1996" s="531"/>
      <c r="AR1996" s="761" t="s">
        <v>145</v>
      </c>
      <c r="AS1996" s="764"/>
    </row>
    <row r="1997" spans="1:45" s="520" customFormat="1" thickTop="1">
      <c r="A1997" s="51"/>
      <c r="B1997" s="51"/>
      <c r="C1997" s="3"/>
      <c r="D1997" s="3"/>
      <c r="E1997" s="51"/>
      <c r="F1997" s="51"/>
      <c r="G1997" s="51"/>
      <c r="H1997" s="51"/>
      <c r="I1997" s="51"/>
      <c r="J1997" s="51"/>
      <c r="K1997" s="51" t="s">
        <v>134</v>
      </c>
      <c r="L1997" s="51"/>
      <c r="M1997" s="51"/>
      <c r="N1997" s="51"/>
      <c r="O1997" s="52"/>
      <c r="P1997" s="51"/>
      <c r="Q1997" s="51"/>
      <c r="R1997" s="51"/>
      <c r="S1997" s="51"/>
      <c r="T1997" s="51"/>
      <c r="AR1997" s="51"/>
      <c r="AS1997" s="51"/>
    </row>
    <row r="1998" spans="1:45" s="520" customFormat="1" ht="12">
      <c r="A1998" s="51"/>
      <c r="B1998" s="51"/>
      <c r="C1998" s="51" t="s">
        <v>135</v>
      </c>
      <c r="D1998" s="37"/>
      <c r="E1998" s="51"/>
      <c r="F1998" s="51"/>
      <c r="G1998" s="51"/>
      <c r="H1998" s="51"/>
      <c r="I1998" s="51"/>
      <c r="J1998" s="51"/>
      <c r="K1998" s="51"/>
      <c r="L1998" s="51"/>
      <c r="M1998" s="51"/>
      <c r="N1998" s="51"/>
      <c r="O1998" s="52"/>
      <c r="P1998" s="51"/>
      <c r="Q1998" s="51"/>
      <c r="R1998" s="51"/>
      <c r="S1998" s="51"/>
      <c r="T1998" s="51"/>
      <c r="AR1998" s="51"/>
      <c r="AS1998" s="51"/>
    </row>
    <row r="1999" spans="1:45" s="520" customFormat="1" ht="39.9" customHeight="1">
      <c r="A1999" s="51"/>
      <c r="B1999" s="51"/>
      <c r="C1999" s="51"/>
      <c r="D1999" s="1453" t="s">
        <v>498</v>
      </c>
      <c r="E1999" s="1452"/>
      <c r="F1999" s="1452"/>
      <c r="G1999" s="1452"/>
      <c r="H1999" s="1452"/>
      <c r="I1999" s="1452"/>
      <c r="J1999" s="1452"/>
      <c r="K1999" s="1452"/>
      <c r="L1999" s="1452"/>
      <c r="M1999" s="1452"/>
      <c r="N1999" s="1452"/>
      <c r="O1999" s="1452"/>
      <c r="P1999" s="1452"/>
      <c r="Q1999" s="1452"/>
      <c r="R1999" s="1452"/>
      <c r="S1999" s="1452"/>
      <c r="T1999" s="1452"/>
      <c r="AR1999" s="51"/>
    </row>
    <row r="2000" spans="1:45" s="3" customFormat="1" thickBot="1">
      <c r="A2000" s="531"/>
      <c r="O2000" s="107"/>
      <c r="AR2000" s="531"/>
    </row>
    <row r="2001" spans="1:45" s="520" customFormat="1" thickTop="1">
      <c r="A2001" s="51"/>
      <c r="B2001" s="51"/>
      <c r="C2001" s="3"/>
      <c r="D2001" s="3"/>
      <c r="E2001" s="51"/>
      <c r="F2001" s="51"/>
      <c r="G2001" s="51"/>
      <c r="H2001" s="51"/>
      <c r="I2001" s="51"/>
      <c r="J2001" s="51"/>
      <c r="K2001" s="51" t="s">
        <v>134</v>
      </c>
      <c r="L2001" s="51"/>
      <c r="M2001" s="51"/>
      <c r="N2001" s="51"/>
      <c r="O2001" s="52"/>
      <c r="P2001" s="51"/>
      <c r="Q2001" s="51"/>
      <c r="R2001" s="51"/>
      <c r="S2001" s="51"/>
      <c r="T2001" s="51"/>
      <c r="AR2001" s="51"/>
      <c r="AS2001" s="51"/>
    </row>
    <row r="2002" spans="1:45" s="520" customFormat="1" ht="12">
      <c r="A2002" s="51"/>
      <c r="B2002" s="51"/>
      <c r="C2002" s="51" t="s">
        <v>135</v>
      </c>
      <c r="D2002" s="37"/>
      <c r="E2002" s="51"/>
      <c r="F2002" s="51"/>
      <c r="G2002" s="51"/>
      <c r="H2002" s="51"/>
      <c r="I2002" s="51"/>
      <c r="J2002" s="51"/>
      <c r="K2002" s="51"/>
      <c r="L2002" s="51"/>
      <c r="M2002" s="51"/>
      <c r="N2002" s="51"/>
      <c r="O2002" s="52"/>
      <c r="P2002" s="51"/>
      <c r="Q2002" s="51"/>
      <c r="R2002" s="51"/>
      <c r="S2002" s="51"/>
      <c r="T2002" s="51"/>
      <c r="AR2002" s="51"/>
      <c r="AS2002" s="51"/>
    </row>
    <row r="2003" spans="1:45" s="520" customFormat="1" ht="12">
      <c r="A2003" s="51"/>
      <c r="B2003" s="51"/>
      <c r="C2003" s="51"/>
      <c r="D2003" s="37" t="s">
        <v>653</v>
      </c>
      <c r="E2003" s="51"/>
      <c r="F2003" s="51"/>
      <c r="G2003" s="51"/>
      <c r="H2003" s="51"/>
      <c r="I2003" s="51"/>
      <c r="J2003" s="51"/>
      <c r="K2003" s="51"/>
      <c r="L2003" s="51"/>
      <c r="M2003" s="51"/>
      <c r="N2003" s="51"/>
      <c r="O2003" s="52"/>
      <c r="P2003" s="51"/>
      <c r="Q2003" s="51"/>
      <c r="R2003" s="51"/>
      <c r="S2003" s="38"/>
      <c r="T2003" s="38"/>
      <c r="AR2003" s="51"/>
      <c r="AS2003" s="51"/>
    </row>
    <row r="2004" spans="1:45" s="3" customFormat="1" thickBot="1">
      <c r="A2004" s="531"/>
      <c r="O2004" s="107"/>
      <c r="AR2004" s="531"/>
    </row>
    <row r="2005" spans="1:45" s="520" customFormat="1" ht="12" thickTop="1">
      <c r="A2005" s="51"/>
      <c r="B2005" s="41"/>
      <c r="C2005" s="51"/>
      <c r="E2005" s="42" t="s">
        <v>138</v>
      </c>
      <c r="F2005" s="42" t="s">
        <v>139</v>
      </c>
      <c r="G2005" s="51"/>
      <c r="H2005" s="51"/>
      <c r="I2005" s="51"/>
      <c r="J2005" s="51"/>
      <c r="K2005" s="51" t="s">
        <v>140</v>
      </c>
      <c r="L2005" s="51"/>
      <c r="M2005" s="51"/>
      <c r="N2005" s="51"/>
      <c r="O2005" s="52"/>
      <c r="P2005" s="51"/>
      <c r="Q2005" s="51"/>
      <c r="R2005" s="51"/>
      <c r="S2005" s="51"/>
      <c r="T2005" s="41"/>
      <c r="AG2005" s="521" t="s">
        <v>268</v>
      </c>
      <c r="AH2005" s="521" t="s">
        <v>269</v>
      </c>
      <c r="AI2005" s="521" t="s">
        <v>270</v>
      </c>
      <c r="AJ2005" s="521" t="s">
        <v>271</v>
      </c>
      <c r="AK2005" s="521" t="s">
        <v>272</v>
      </c>
      <c r="AM2005" s="745" t="s">
        <v>281</v>
      </c>
      <c r="AN2005" s="746" t="s">
        <v>282</v>
      </c>
      <c r="AO2005" s="522" t="s">
        <v>278</v>
      </c>
      <c r="AR2005" s="51"/>
      <c r="AS2005" s="42" t="s">
        <v>139</v>
      </c>
    </row>
    <row r="2006" spans="1:45" s="520" customFormat="1" ht="12" customHeight="1">
      <c r="A2006" s="747">
        <v>25</v>
      </c>
      <c r="B2006" s="523" t="s">
        <v>320</v>
      </c>
      <c r="C2006" s="748"/>
      <c r="D2006" s="749" t="s">
        <v>1423</v>
      </c>
      <c r="E2006" s="750">
        <f ca="1">IF(AND($A2006=0,$A$1="DIF"),0, ROUND(ROUND(($R2011*$S$2+($T2011*$T$2))/A2006,2)*$C$2,2))</f>
        <v>9.9499999999999993</v>
      </c>
      <c r="F2006" s="751">
        <f ca="1">ROUND($A2006*$E2006,2)</f>
        <v>248.75</v>
      </c>
      <c r="G2006" s="752" t="s">
        <v>142</v>
      </c>
      <c r="H2006" s="753"/>
      <c r="I2006" s="754"/>
      <c r="J2006" s="753"/>
      <c r="K2006" s="753" t="s">
        <v>3</v>
      </c>
      <c r="L2006" s="755" t="s">
        <v>143</v>
      </c>
      <c r="M2006" s="755"/>
      <c r="N2006" s="755"/>
      <c r="O2006" s="755"/>
      <c r="P2006" s="755"/>
      <c r="Q2006" s="51"/>
      <c r="T2006" s="756" t="str">
        <f ca="1">IF(AND($R2011=0,$T2011=0),"0.00","mu :" &amp; ROUND($F2006/$C$2/($R2011+$T2011*$D$9),2))</f>
        <v>mu :1.23</v>
      </c>
      <c r="W2006" s="524"/>
      <c r="AG2006" s="481">
        <f ca="1">IF($E2006=0,0,ROUND($R2011*$S$2*$C$2/$A2006,2))</f>
        <v>6.91</v>
      </c>
      <c r="AH2006" s="481">
        <f ca="1">$AG2006*$A2006</f>
        <v>172.75</v>
      </c>
      <c r="AI2006" s="525">
        <f ca="1">$E2006-$AG2006</f>
        <v>3.0399999999999991</v>
      </c>
      <c r="AJ2006" s="525">
        <f ca="1">$A2006*$AI2006</f>
        <v>75.999999999999972</v>
      </c>
      <c r="AK2006" s="526">
        <f ca="1">ROUND(($AG2006+$AI2006)*$A2006,2)</f>
        <v>248.75</v>
      </c>
      <c r="AM2006" s="527">
        <f ca="1">ROUND(R2011,2)</f>
        <v>140.25</v>
      </c>
      <c r="AN2006" s="528">
        <f ca="1">ROUND(T2011,2)</f>
        <v>2.25</v>
      </c>
      <c r="AO2006" s="529">
        <f ca="1">ROUND(AM2006+AN2006,2)*A2006</f>
        <v>3562.5</v>
      </c>
      <c r="AR2006" s="747">
        <v>25</v>
      </c>
      <c r="AS2006" s="751">
        <v>257.25</v>
      </c>
    </row>
    <row r="2007" spans="1:45" s="520" customFormat="1" ht="13.2">
      <c r="A2007" s="748"/>
      <c r="B2007"/>
      <c r="C2007" s="748"/>
      <c r="D2007" s="749" t="s">
        <v>1424</v>
      </c>
      <c r="F2007" s="753"/>
      <c r="G2007" s="3"/>
      <c r="H2007" s="753"/>
      <c r="I2007" s="754"/>
      <c r="J2007" s="753"/>
      <c r="K2007" s="753" t="s">
        <v>144</v>
      </c>
      <c r="L2007" s="753"/>
      <c r="M2007" s="753"/>
      <c r="N2007" s="753"/>
      <c r="O2007" s="753"/>
      <c r="P2007" s="753"/>
      <c r="Q2007" s="51"/>
      <c r="R2007" s="530"/>
      <c r="S2007" s="757"/>
      <c r="T2007" s="753"/>
      <c r="AR2007" s="748"/>
      <c r="AS2007" s="753"/>
    </row>
    <row r="2008" spans="1:45" s="886" customFormat="1" ht="13.2">
      <c r="A2008"/>
      <c r="B2008" s="910"/>
      <c r="C2008" s="910" t="s">
        <v>2597</v>
      </c>
      <c r="D2008" s="910" t="str">
        <f ca="1">CELL("Address",Elec_Rates!D$437)</f>
        <v>[E25_0062_Quintano_Foods_Elec_ELV_As_Awarded.xlsx]Elec_Rates!$D$437</v>
      </c>
      <c r="E2008" s="911"/>
      <c r="F2008" s="911"/>
      <c r="G2008" s="912" t="s">
        <v>2598</v>
      </c>
      <c r="H2008" s="912"/>
      <c r="I2008" s="912"/>
      <c r="J2008" s="912"/>
      <c r="K2008" s="913"/>
      <c r="L2008" s="911"/>
      <c r="M2008" s="911"/>
      <c r="N2008" s="911"/>
      <c r="O2008" s="914"/>
      <c r="P2008" s="911"/>
      <c r="Q2008" s="915"/>
      <c r="R2008" s="916"/>
      <c r="S2008" s="915"/>
      <c r="T2008" s="917"/>
      <c r="U2008" s="918"/>
      <c r="AR2008"/>
      <c r="AS2008" s="911"/>
    </row>
    <row r="2009" spans="1:45" s="886" customFormat="1" ht="11.4">
      <c r="A2009" s="919">
        <v>25</v>
      </c>
      <c r="B2009" s="920">
        <v>1</v>
      </c>
      <c r="C2009" s="920">
        <f>$A2009*$B2009</f>
        <v>25</v>
      </c>
      <c r="D2009" s="921" t="str">
        <f>Elec_Rates!$D$437</f>
        <v>042# 5 x 6mm2 XLPE/SWA/LSZH</v>
      </c>
      <c r="E2009" s="921"/>
      <c r="F2009" s="921" t="s">
        <v>2599</v>
      </c>
      <c r="G2009" s="922" t="s">
        <v>2601</v>
      </c>
      <c r="H2009" s="922"/>
      <c r="I2009" s="922"/>
      <c r="J2009" s="922"/>
      <c r="K2009" s="923"/>
      <c r="L2009" s="918"/>
      <c r="M2009" s="918"/>
      <c r="N2009" s="918"/>
      <c r="O2009" s="924"/>
      <c r="P2009" s="921"/>
      <c r="Q2009" s="925">
        <f ca="1">$B2009*Elec_Rates!$R$437</f>
        <v>5.61</v>
      </c>
      <c r="R2009" s="916">
        <f ca="1">$A2009*Q2009</f>
        <v>140.25</v>
      </c>
      <c r="S2009" s="925">
        <f ca="1">$B2009*Elec_Rates!$T$437</f>
        <v>0.09</v>
      </c>
      <c r="T2009" s="917">
        <f ca="1">$A2009*S2009</f>
        <v>2.25</v>
      </c>
      <c r="U2009" s="926"/>
      <c r="AR2009" s="919">
        <v>25</v>
      </c>
      <c r="AS2009" s="921" t="s">
        <v>2599</v>
      </c>
    </row>
    <row r="2010" spans="1:45" s="520" customFormat="1" ht="12">
      <c r="A2010" s="758"/>
      <c r="B2010" s="758"/>
      <c r="C2010" s="758"/>
      <c r="D2010" s="758"/>
      <c r="E2010" s="758"/>
      <c r="F2010" s="753"/>
      <c r="G2010" s="758"/>
      <c r="H2010" s="758"/>
      <c r="I2010" s="519"/>
      <c r="J2010" s="758"/>
      <c r="K2010" s="758"/>
      <c r="L2010" s="758"/>
      <c r="M2010" s="758"/>
      <c r="N2010" s="758"/>
      <c r="O2010" s="758"/>
      <c r="P2010" s="758"/>
      <c r="Q2010" s="519"/>
      <c r="R2010" s="759">
        <f>$A2010*Q2010</f>
        <v>0</v>
      </c>
      <c r="S2010" s="519"/>
      <c r="T2010" s="760">
        <f>$A2010*S2010*$T$1</f>
        <v>0</v>
      </c>
      <c r="AR2010" s="758"/>
      <c r="AS2010" s="753"/>
    </row>
    <row r="2011" spans="1:45" s="520" customFormat="1" ht="12.6" thickBot="1">
      <c r="A2011" s="761" t="s">
        <v>145</v>
      </c>
      <c r="B2011" s="762">
        <f>(R2010+T2010)</f>
        <v>0</v>
      </c>
      <c r="C2011" s="763"/>
      <c r="D2011" s="763"/>
      <c r="E2011" s="763"/>
      <c r="F2011" s="764"/>
      <c r="G2011" s="763" t="s">
        <v>146</v>
      </c>
      <c r="H2011" s="763"/>
      <c r="I2011" s="765"/>
      <c r="J2011" s="763"/>
      <c r="K2011" s="763" t="s">
        <v>3</v>
      </c>
      <c r="L2011" s="766" t="s">
        <v>143</v>
      </c>
      <c r="M2011" s="766"/>
      <c r="N2011" s="766"/>
      <c r="O2011" s="766"/>
      <c r="P2011" s="766"/>
      <c r="Q2011" s="767"/>
      <c r="R2011" s="768">
        <f ca="1">SUM(R2007:R2010)</f>
        <v>140.25</v>
      </c>
      <c r="S2011" s="763"/>
      <c r="T2011" s="768">
        <f ca="1">SUM(T2007:T2010)</f>
        <v>2.25</v>
      </c>
      <c r="U2011" s="531"/>
      <c r="V2011" s="531"/>
      <c r="W2011" s="531"/>
      <c r="X2011" s="531"/>
      <c r="Y2011" s="531"/>
      <c r="Z2011" s="531"/>
      <c r="AA2011" s="531"/>
      <c r="AB2011" s="531"/>
      <c r="AC2011" s="531"/>
      <c r="AD2011" s="531"/>
      <c r="AE2011" s="531"/>
      <c r="AF2011" s="531"/>
      <c r="AG2011" s="531"/>
      <c r="AH2011" s="531"/>
      <c r="AI2011" s="531"/>
      <c r="AJ2011" s="531"/>
      <c r="AK2011" s="531"/>
      <c r="AL2011" s="531"/>
      <c r="AM2011" s="531"/>
      <c r="AN2011" s="531"/>
      <c r="AO2011" s="531"/>
      <c r="AR2011" s="761" t="s">
        <v>145</v>
      </c>
      <c r="AS2011" s="764"/>
    </row>
    <row r="2012" spans="1:45" s="520" customFormat="1" ht="12" thickTop="1">
      <c r="A2012" s="51"/>
      <c r="B2012" s="41"/>
      <c r="C2012" s="51"/>
      <c r="E2012" s="42" t="s">
        <v>138</v>
      </c>
      <c r="F2012" s="42" t="s">
        <v>139</v>
      </c>
      <c r="G2012" s="51"/>
      <c r="H2012" s="51"/>
      <c r="I2012" s="51"/>
      <c r="J2012" s="51"/>
      <c r="K2012" s="51" t="s">
        <v>140</v>
      </c>
      <c r="L2012" s="51"/>
      <c r="M2012" s="51"/>
      <c r="N2012" s="51"/>
      <c r="O2012" s="52"/>
      <c r="P2012" s="51"/>
      <c r="Q2012" s="51"/>
      <c r="R2012" s="51"/>
      <c r="S2012" s="51"/>
      <c r="T2012" s="41"/>
      <c r="AG2012" s="521" t="s">
        <v>268</v>
      </c>
      <c r="AH2012" s="521" t="s">
        <v>269</v>
      </c>
      <c r="AI2012" s="521" t="s">
        <v>270</v>
      </c>
      <c r="AJ2012" s="521" t="s">
        <v>271</v>
      </c>
      <c r="AK2012" s="521" t="s">
        <v>272</v>
      </c>
      <c r="AM2012" s="745" t="s">
        <v>281</v>
      </c>
      <c r="AN2012" s="746" t="s">
        <v>282</v>
      </c>
      <c r="AO2012" s="522" t="s">
        <v>278</v>
      </c>
      <c r="AR2012" s="51"/>
      <c r="AS2012" s="42" t="s">
        <v>139</v>
      </c>
    </row>
    <row r="2013" spans="1:45" s="520" customFormat="1" ht="12" customHeight="1">
      <c r="A2013" s="747">
        <v>30</v>
      </c>
      <c r="B2013" s="523" t="s">
        <v>320</v>
      </c>
      <c r="C2013" s="748"/>
      <c r="D2013" s="749" t="s">
        <v>1425</v>
      </c>
      <c r="E2013" s="750">
        <f ca="1">IF(AND($A2013=0,$A$1="DIF"),0, ROUND(ROUND(($R2018*$S$2+($T2018*$T$2))/A2013,2)*$C$2,2))</f>
        <v>9.9499999999999993</v>
      </c>
      <c r="F2013" s="751">
        <f ca="1">ROUND($A2013*$E2013,2)</f>
        <v>298.5</v>
      </c>
      <c r="G2013" s="752" t="s">
        <v>142</v>
      </c>
      <c r="H2013" s="753"/>
      <c r="I2013" s="754"/>
      <c r="J2013" s="753"/>
      <c r="K2013" s="753" t="s">
        <v>3</v>
      </c>
      <c r="L2013" s="755" t="s">
        <v>143</v>
      </c>
      <c r="M2013" s="755"/>
      <c r="N2013" s="755"/>
      <c r="O2013" s="755"/>
      <c r="P2013" s="755"/>
      <c r="Q2013" s="51"/>
      <c r="T2013" s="756" t="str">
        <f ca="1">IF(AND($R2018=0,$T2018=0),"0.00","mu :" &amp; ROUND($F2013/$C$2/($R2018+$T2018*$D$9),2))</f>
        <v>mu :1.23</v>
      </c>
      <c r="W2013" s="524"/>
      <c r="AG2013" s="481">
        <f ca="1">IF($E2013=0,0,ROUND($R2018*$S$2*$C$2/$A2013,2))</f>
        <v>6.91</v>
      </c>
      <c r="AH2013" s="481">
        <f ca="1">$AG2013*$A2013</f>
        <v>207.3</v>
      </c>
      <c r="AI2013" s="525">
        <f ca="1">$E2013-$AG2013</f>
        <v>3.0399999999999991</v>
      </c>
      <c r="AJ2013" s="525">
        <f ca="1">$A2013*$AI2013</f>
        <v>91.199999999999974</v>
      </c>
      <c r="AK2013" s="526">
        <f ca="1">ROUND(($AG2013+$AI2013)*$A2013,2)</f>
        <v>298.5</v>
      </c>
      <c r="AM2013" s="527">
        <f ca="1">ROUND(R2018,2)</f>
        <v>168.3</v>
      </c>
      <c r="AN2013" s="528">
        <f ca="1">ROUND(T2018,2)</f>
        <v>2.7</v>
      </c>
      <c r="AO2013" s="529">
        <f ca="1">ROUND(AM2013+AN2013,2)*A2013</f>
        <v>5130</v>
      </c>
      <c r="AR2013" s="747">
        <v>30</v>
      </c>
      <c r="AS2013" s="751">
        <v>308.7</v>
      </c>
    </row>
    <row r="2014" spans="1:45" s="520" customFormat="1" ht="13.2">
      <c r="A2014" s="748"/>
      <c r="B2014"/>
      <c r="C2014" s="748"/>
      <c r="D2014" s="749" t="s">
        <v>1426</v>
      </c>
      <c r="F2014" s="753"/>
      <c r="G2014" s="3"/>
      <c r="H2014" s="753"/>
      <c r="I2014" s="754"/>
      <c r="J2014" s="753"/>
      <c r="K2014" s="753" t="s">
        <v>144</v>
      </c>
      <c r="L2014" s="753"/>
      <c r="M2014" s="753"/>
      <c r="N2014" s="753"/>
      <c r="O2014" s="753"/>
      <c r="P2014" s="753"/>
      <c r="Q2014" s="51"/>
      <c r="R2014" s="530"/>
      <c r="S2014" s="757"/>
      <c r="T2014" s="753"/>
      <c r="AR2014" s="748"/>
      <c r="AS2014" s="753"/>
    </row>
    <row r="2015" spans="1:45" s="886" customFormat="1" ht="13.2">
      <c r="A2015"/>
      <c r="B2015" s="910"/>
      <c r="C2015" s="910" t="s">
        <v>2597</v>
      </c>
      <c r="D2015" s="910" t="str">
        <f ca="1">CELL("Address",Elec_Rates!D$437)</f>
        <v>[E25_0062_Quintano_Foods_Elec_ELV_As_Awarded.xlsx]Elec_Rates!$D$437</v>
      </c>
      <c r="E2015" s="911"/>
      <c r="F2015" s="911"/>
      <c r="G2015" s="912" t="s">
        <v>2598</v>
      </c>
      <c r="H2015" s="912"/>
      <c r="I2015" s="912"/>
      <c r="J2015" s="912"/>
      <c r="K2015" s="913"/>
      <c r="L2015" s="911"/>
      <c r="M2015" s="911"/>
      <c r="N2015" s="911"/>
      <c r="O2015" s="914"/>
      <c r="P2015" s="911"/>
      <c r="Q2015" s="915"/>
      <c r="R2015" s="916"/>
      <c r="S2015" s="915"/>
      <c r="T2015" s="917"/>
      <c r="U2015" s="918"/>
      <c r="AR2015"/>
      <c r="AS2015" s="911"/>
    </row>
    <row r="2016" spans="1:45" s="886" customFormat="1" ht="11.4">
      <c r="A2016" s="919">
        <v>30</v>
      </c>
      <c r="B2016" s="920">
        <v>1</v>
      </c>
      <c r="C2016" s="920">
        <f>$A2016*$B2016</f>
        <v>30</v>
      </c>
      <c r="D2016" s="921" t="str">
        <f>Elec_Rates!$D$437</f>
        <v>042# 5 x 6mm2 XLPE/SWA/LSZH</v>
      </c>
      <c r="E2016" s="921"/>
      <c r="F2016" s="921" t="s">
        <v>2599</v>
      </c>
      <c r="G2016" s="922" t="s">
        <v>2601</v>
      </c>
      <c r="H2016" s="922"/>
      <c r="I2016" s="922"/>
      <c r="J2016" s="922"/>
      <c r="K2016" s="923"/>
      <c r="L2016" s="918"/>
      <c r="M2016" s="918"/>
      <c r="N2016" s="918"/>
      <c r="O2016" s="924"/>
      <c r="P2016" s="921"/>
      <c r="Q2016" s="925">
        <f ca="1">$B2016*Elec_Rates!$R$437</f>
        <v>5.61</v>
      </c>
      <c r="R2016" s="916">
        <f ca="1">$A2016*Q2016</f>
        <v>168.3</v>
      </c>
      <c r="S2016" s="925">
        <f ca="1">$B2016*Elec_Rates!$T$437</f>
        <v>0.09</v>
      </c>
      <c r="T2016" s="917">
        <f ca="1">$A2016*S2016</f>
        <v>2.6999999999999997</v>
      </c>
      <c r="U2016" s="926"/>
      <c r="AR2016" s="919">
        <v>30</v>
      </c>
      <c r="AS2016" s="921" t="s">
        <v>2599</v>
      </c>
    </row>
    <row r="2017" spans="1:45" s="520" customFormat="1" ht="12">
      <c r="A2017" s="758"/>
      <c r="B2017" s="758"/>
      <c r="C2017" s="758"/>
      <c r="D2017" s="758"/>
      <c r="E2017" s="758"/>
      <c r="F2017" s="753"/>
      <c r="G2017" s="758"/>
      <c r="H2017" s="758"/>
      <c r="I2017" s="519"/>
      <c r="J2017" s="758"/>
      <c r="K2017" s="758"/>
      <c r="L2017" s="758"/>
      <c r="M2017" s="758"/>
      <c r="N2017" s="758"/>
      <c r="O2017" s="758"/>
      <c r="P2017" s="758"/>
      <c r="Q2017" s="519"/>
      <c r="R2017" s="759">
        <f>$A2017*Q2017</f>
        <v>0</v>
      </c>
      <c r="S2017" s="519"/>
      <c r="T2017" s="760">
        <f>$A2017*S2017*$T$1</f>
        <v>0</v>
      </c>
      <c r="AR2017" s="758"/>
      <c r="AS2017" s="753"/>
    </row>
    <row r="2018" spans="1:45" s="520" customFormat="1" ht="12.6" thickBot="1">
      <c r="A2018" s="761" t="s">
        <v>145</v>
      </c>
      <c r="B2018" s="762">
        <f>(R2017+T2017)</f>
        <v>0</v>
      </c>
      <c r="C2018" s="763"/>
      <c r="D2018" s="763"/>
      <c r="E2018" s="763"/>
      <c r="F2018" s="764"/>
      <c r="G2018" s="763" t="s">
        <v>146</v>
      </c>
      <c r="H2018" s="763"/>
      <c r="I2018" s="765"/>
      <c r="J2018" s="763"/>
      <c r="K2018" s="763" t="s">
        <v>3</v>
      </c>
      <c r="L2018" s="766" t="s">
        <v>143</v>
      </c>
      <c r="M2018" s="766"/>
      <c r="N2018" s="766"/>
      <c r="O2018" s="766"/>
      <c r="P2018" s="766"/>
      <c r="Q2018" s="767"/>
      <c r="R2018" s="768">
        <f ca="1">SUM(R2014:R2017)</f>
        <v>168.3</v>
      </c>
      <c r="S2018" s="763"/>
      <c r="T2018" s="768">
        <f ca="1">SUM(T2014:T2017)</f>
        <v>2.6999999999999997</v>
      </c>
      <c r="U2018" s="531"/>
      <c r="V2018" s="531"/>
      <c r="W2018" s="531"/>
      <c r="X2018" s="531"/>
      <c r="Y2018" s="531"/>
      <c r="Z2018" s="531"/>
      <c r="AA2018" s="531"/>
      <c r="AB2018" s="531"/>
      <c r="AC2018" s="531"/>
      <c r="AD2018" s="531"/>
      <c r="AE2018" s="531"/>
      <c r="AF2018" s="531"/>
      <c r="AG2018" s="531"/>
      <c r="AH2018" s="531"/>
      <c r="AI2018" s="531"/>
      <c r="AJ2018" s="531"/>
      <c r="AK2018" s="531"/>
      <c r="AL2018" s="531"/>
      <c r="AM2018" s="531"/>
      <c r="AN2018" s="531"/>
      <c r="AO2018" s="531"/>
      <c r="AR2018" s="761" t="s">
        <v>145</v>
      </c>
      <c r="AS2018" s="764"/>
    </row>
    <row r="2019" spans="1:45" s="520" customFormat="1" ht="12" thickTop="1">
      <c r="A2019" s="51"/>
      <c r="B2019" s="41"/>
      <c r="C2019" s="51"/>
      <c r="E2019" s="42" t="s">
        <v>138</v>
      </c>
      <c r="F2019" s="42" t="s">
        <v>139</v>
      </c>
      <c r="G2019" s="51"/>
      <c r="H2019" s="51"/>
      <c r="I2019" s="51"/>
      <c r="J2019" s="51"/>
      <c r="K2019" s="51" t="s">
        <v>140</v>
      </c>
      <c r="L2019" s="51"/>
      <c r="M2019" s="51"/>
      <c r="N2019" s="51"/>
      <c r="O2019" s="52"/>
      <c r="P2019" s="51"/>
      <c r="Q2019" s="51"/>
      <c r="R2019" s="51"/>
      <c r="S2019" s="51"/>
      <c r="T2019" s="41"/>
      <c r="AG2019" s="521" t="s">
        <v>268</v>
      </c>
      <c r="AH2019" s="521" t="s">
        <v>269</v>
      </c>
      <c r="AI2019" s="521" t="s">
        <v>270</v>
      </c>
      <c r="AJ2019" s="521" t="s">
        <v>271</v>
      </c>
      <c r="AK2019" s="521" t="s">
        <v>272</v>
      </c>
      <c r="AM2019" s="745" t="s">
        <v>281</v>
      </c>
      <c r="AN2019" s="746" t="s">
        <v>282</v>
      </c>
      <c r="AO2019" s="522" t="s">
        <v>278</v>
      </c>
      <c r="AR2019" s="51"/>
      <c r="AS2019" s="42" t="s">
        <v>139</v>
      </c>
    </row>
    <row r="2020" spans="1:45" s="520" customFormat="1" ht="12" customHeight="1">
      <c r="A2020" s="747">
        <v>30</v>
      </c>
      <c r="B2020" s="523" t="s">
        <v>320</v>
      </c>
      <c r="C2020" s="748"/>
      <c r="D2020" s="749" t="s">
        <v>1427</v>
      </c>
      <c r="E2020" s="750">
        <f ca="1">IF(AND($A2020=0,$A$1="DIF"),0, ROUND(ROUND(($R2025*$S$2+($T2025*$T$2))/A2020,2)*$C$2,2))</f>
        <v>9.9499999999999993</v>
      </c>
      <c r="F2020" s="751">
        <f ca="1">ROUND($A2020*$E2020,2)</f>
        <v>298.5</v>
      </c>
      <c r="G2020" s="752" t="s">
        <v>142</v>
      </c>
      <c r="H2020" s="753"/>
      <c r="I2020" s="754"/>
      <c r="J2020" s="753"/>
      <c r="K2020" s="753" t="s">
        <v>3</v>
      </c>
      <c r="L2020" s="755" t="s">
        <v>143</v>
      </c>
      <c r="M2020" s="755"/>
      <c r="N2020" s="755"/>
      <c r="O2020" s="755"/>
      <c r="P2020" s="755"/>
      <c r="Q2020" s="51"/>
      <c r="T2020" s="756" t="str">
        <f ca="1">IF(AND($R2025=0,$T2025=0),"0.00","mu :" &amp; ROUND($F2020/$C$2/($R2025+$T2025*$D$9),2))</f>
        <v>mu :1.23</v>
      </c>
      <c r="W2020" s="524"/>
      <c r="AG2020" s="481">
        <f ca="1">IF($E2020=0,0,ROUND($R2025*$S$2*$C$2/$A2020,2))</f>
        <v>6.91</v>
      </c>
      <c r="AH2020" s="481">
        <f ca="1">$AG2020*$A2020</f>
        <v>207.3</v>
      </c>
      <c r="AI2020" s="525">
        <f ca="1">$E2020-$AG2020</f>
        <v>3.0399999999999991</v>
      </c>
      <c r="AJ2020" s="525">
        <f ca="1">$A2020*$AI2020</f>
        <v>91.199999999999974</v>
      </c>
      <c r="AK2020" s="526">
        <f ca="1">ROUND(($AG2020+$AI2020)*$A2020,2)</f>
        <v>298.5</v>
      </c>
      <c r="AM2020" s="527">
        <f ca="1">ROUND(R2025,2)</f>
        <v>168.3</v>
      </c>
      <c r="AN2020" s="528">
        <f ca="1">ROUND(T2025,2)</f>
        <v>2.7</v>
      </c>
      <c r="AO2020" s="529">
        <f ca="1">ROUND(AM2020+AN2020,2)*A2020</f>
        <v>5130</v>
      </c>
      <c r="AR2020" s="747">
        <v>30</v>
      </c>
      <c r="AS2020" s="751">
        <v>308.7</v>
      </c>
    </row>
    <row r="2021" spans="1:45" s="520" customFormat="1" ht="13.2">
      <c r="A2021" s="748"/>
      <c r="B2021"/>
      <c r="C2021" s="748"/>
      <c r="D2021" s="749" t="s">
        <v>1428</v>
      </c>
      <c r="F2021" s="753"/>
      <c r="G2021" s="3"/>
      <c r="H2021" s="753"/>
      <c r="I2021" s="754"/>
      <c r="J2021" s="753"/>
      <c r="K2021" s="753" t="s">
        <v>144</v>
      </c>
      <c r="L2021" s="753"/>
      <c r="M2021" s="753"/>
      <c r="N2021" s="753"/>
      <c r="O2021" s="753"/>
      <c r="P2021" s="753"/>
      <c r="Q2021" s="51"/>
      <c r="R2021" s="530"/>
      <c r="S2021" s="757"/>
      <c r="T2021" s="753"/>
      <c r="AR2021" s="748"/>
      <c r="AS2021" s="753"/>
    </row>
    <row r="2022" spans="1:45" s="886" customFormat="1" ht="13.2">
      <c r="A2022"/>
      <c r="B2022" s="910"/>
      <c r="C2022" s="910" t="s">
        <v>2597</v>
      </c>
      <c r="D2022" s="910" t="str">
        <f ca="1">CELL("Address",Elec_Rates!D$437)</f>
        <v>[E25_0062_Quintano_Foods_Elec_ELV_As_Awarded.xlsx]Elec_Rates!$D$437</v>
      </c>
      <c r="E2022" s="911"/>
      <c r="F2022" s="911"/>
      <c r="G2022" s="912" t="s">
        <v>2598</v>
      </c>
      <c r="H2022" s="912"/>
      <c r="I2022" s="912"/>
      <c r="J2022" s="912"/>
      <c r="K2022" s="913"/>
      <c r="L2022" s="911"/>
      <c r="M2022" s="911"/>
      <c r="N2022" s="911"/>
      <c r="O2022" s="914"/>
      <c r="P2022" s="911"/>
      <c r="Q2022" s="915"/>
      <c r="R2022" s="916"/>
      <c r="S2022" s="915"/>
      <c r="T2022" s="917"/>
      <c r="U2022" s="918"/>
      <c r="AR2022"/>
      <c r="AS2022" s="911"/>
    </row>
    <row r="2023" spans="1:45" s="886" customFormat="1" ht="11.4">
      <c r="A2023" s="919">
        <v>30</v>
      </c>
      <c r="B2023" s="920">
        <v>1</v>
      </c>
      <c r="C2023" s="920">
        <f>$A2023*$B2023</f>
        <v>30</v>
      </c>
      <c r="D2023" s="921" t="str">
        <f>Elec_Rates!$D$437</f>
        <v>042# 5 x 6mm2 XLPE/SWA/LSZH</v>
      </c>
      <c r="E2023" s="921"/>
      <c r="F2023" s="921" t="s">
        <v>2599</v>
      </c>
      <c r="G2023" s="922" t="s">
        <v>2601</v>
      </c>
      <c r="H2023" s="922"/>
      <c r="I2023" s="922"/>
      <c r="J2023" s="922"/>
      <c r="K2023" s="923"/>
      <c r="L2023" s="918"/>
      <c r="M2023" s="918"/>
      <c r="N2023" s="918"/>
      <c r="O2023" s="924"/>
      <c r="P2023" s="921"/>
      <c r="Q2023" s="925">
        <f ca="1">$B2023*Elec_Rates!$R$437</f>
        <v>5.61</v>
      </c>
      <c r="R2023" s="916">
        <f ca="1">$A2023*Q2023</f>
        <v>168.3</v>
      </c>
      <c r="S2023" s="925">
        <f ca="1">$B2023*Elec_Rates!$T$437</f>
        <v>0.09</v>
      </c>
      <c r="T2023" s="917">
        <f ca="1">$A2023*S2023</f>
        <v>2.6999999999999997</v>
      </c>
      <c r="U2023" s="926"/>
      <c r="AR2023" s="919">
        <v>30</v>
      </c>
      <c r="AS2023" s="921" t="s">
        <v>2599</v>
      </c>
    </row>
    <row r="2024" spans="1:45" s="520" customFormat="1" ht="12">
      <c r="A2024" s="758"/>
      <c r="B2024" s="758"/>
      <c r="C2024" s="758"/>
      <c r="D2024" s="758"/>
      <c r="E2024" s="758"/>
      <c r="F2024" s="753"/>
      <c r="G2024" s="758"/>
      <c r="H2024" s="758"/>
      <c r="I2024" s="519"/>
      <c r="J2024" s="758"/>
      <c r="K2024" s="758"/>
      <c r="L2024" s="758"/>
      <c r="M2024" s="758"/>
      <c r="N2024" s="758"/>
      <c r="O2024" s="758"/>
      <c r="P2024" s="758"/>
      <c r="Q2024" s="519"/>
      <c r="R2024" s="759">
        <f>$A2024*Q2024</f>
        <v>0</v>
      </c>
      <c r="S2024" s="519"/>
      <c r="T2024" s="760">
        <f>$A2024*S2024*$T$1</f>
        <v>0</v>
      </c>
      <c r="AR2024" s="758"/>
      <c r="AS2024" s="753"/>
    </row>
    <row r="2025" spans="1:45" s="520" customFormat="1" ht="12.6" thickBot="1">
      <c r="A2025" s="761" t="s">
        <v>145</v>
      </c>
      <c r="B2025" s="762">
        <f>(R2024+T2024)</f>
        <v>0</v>
      </c>
      <c r="C2025" s="763"/>
      <c r="D2025" s="763"/>
      <c r="E2025" s="763"/>
      <c r="F2025" s="764"/>
      <c r="G2025" s="763" t="s">
        <v>146</v>
      </c>
      <c r="H2025" s="763"/>
      <c r="I2025" s="765"/>
      <c r="J2025" s="763"/>
      <c r="K2025" s="763" t="s">
        <v>3</v>
      </c>
      <c r="L2025" s="766" t="s">
        <v>143</v>
      </c>
      <c r="M2025" s="766"/>
      <c r="N2025" s="766"/>
      <c r="O2025" s="766"/>
      <c r="P2025" s="766"/>
      <c r="Q2025" s="767"/>
      <c r="R2025" s="768">
        <f ca="1">SUM(R2021:R2024)</f>
        <v>168.3</v>
      </c>
      <c r="S2025" s="763"/>
      <c r="T2025" s="768">
        <f ca="1">SUM(T2021:T2024)</f>
        <v>2.6999999999999997</v>
      </c>
      <c r="U2025" s="531"/>
      <c r="V2025" s="531"/>
      <c r="W2025" s="531"/>
      <c r="X2025" s="531"/>
      <c r="Y2025" s="531"/>
      <c r="Z2025" s="531"/>
      <c r="AA2025" s="531"/>
      <c r="AB2025" s="531"/>
      <c r="AC2025" s="531"/>
      <c r="AD2025" s="531"/>
      <c r="AE2025" s="531"/>
      <c r="AF2025" s="531"/>
      <c r="AG2025" s="531"/>
      <c r="AH2025" s="531"/>
      <c r="AI2025" s="531"/>
      <c r="AJ2025" s="531"/>
      <c r="AK2025" s="531"/>
      <c r="AL2025" s="531"/>
      <c r="AM2025" s="531"/>
      <c r="AN2025" s="531"/>
      <c r="AO2025" s="531"/>
      <c r="AR2025" s="761" t="s">
        <v>145</v>
      </c>
      <c r="AS2025" s="764"/>
    </row>
    <row r="2026" spans="1:45" s="520" customFormat="1" ht="12" thickTop="1">
      <c r="A2026" s="51"/>
      <c r="B2026" s="41"/>
      <c r="C2026" s="51"/>
      <c r="E2026" s="42" t="s">
        <v>138</v>
      </c>
      <c r="F2026" s="42" t="s">
        <v>139</v>
      </c>
      <c r="G2026" s="51"/>
      <c r="H2026" s="51"/>
      <c r="I2026" s="51"/>
      <c r="J2026" s="51"/>
      <c r="K2026" s="51" t="s">
        <v>140</v>
      </c>
      <c r="L2026" s="51"/>
      <c r="M2026" s="51"/>
      <c r="N2026" s="51"/>
      <c r="O2026" s="52"/>
      <c r="P2026" s="51"/>
      <c r="Q2026" s="51"/>
      <c r="R2026" s="51"/>
      <c r="S2026" s="51"/>
      <c r="T2026" s="41"/>
      <c r="AG2026" s="521" t="s">
        <v>268</v>
      </c>
      <c r="AH2026" s="521" t="s">
        <v>269</v>
      </c>
      <c r="AI2026" s="521" t="s">
        <v>270</v>
      </c>
      <c r="AJ2026" s="521" t="s">
        <v>271</v>
      </c>
      <c r="AK2026" s="521" t="s">
        <v>272</v>
      </c>
      <c r="AM2026" s="745" t="s">
        <v>281</v>
      </c>
      <c r="AN2026" s="746" t="s">
        <v>282</v>
      </c>
      <c r="AO2026" s="522" t="s">
        <v>278</v>
      </c>
      <c r="AR2026" s="51"/>
      <c r="AS2026" s="42" t="s">
        <v>139</v>
      </c>
    </row>
    <row r="2027" spans="1:45" s="520" customFormat="1" ht="12" customHeight="1">
      <c r="A2027" s="747">
        <v>35</v>
      </c>
      <c r="B2027" s="523" t="s">
        <v>320</v>
      </c>
      <c r="C2027" s="748"/>
      <c r="D2027" s="749" t="s">
        <v>1429</v>
      </c>
      <c r="E2027" s="750">
        <f ca="1">IF(AND($A2027=0,$A$1="DIF"),0, ROUND(ROUND(($R2032*$S$2+($T2032*$T$2))/A2027,2)*$C$2,2))</f>
        <v>9.9499999999999993</v>
      </c>
      <c r="F2027" s="751">
        <f ca="1">ROUND($A2027*$E2027,2)</f>
        <v>348.25</v>
      </c>
      <c r="G2027" s="752" t="s">
        <v>142</v>
      </c>
      <c r="H2027" s="753"/>
      <c r="I2027" s="754"/>
      <c r="J2027" s="753"/>
      <c r="K2027" s="753" t="s">
        <v>3</v>
      </c>
      <c r="L2027" s="755" t="s">
        <v>143</v>
      </c>
      <c r="M2027" s="755"/>
      <c r="N2027" s="755"/>
      <c r="O2027" s="755"/>
      <c r="P2027" s="755"/>
      <c r="Q2027" s="51"/>
      <c r="T2027" s="756" t="str">
        <f ca="1">IF(AND($R2032=0,$T2032=0),"0.00","mu :" &amp; ROUND($F2027/$C$2/($R2032+$T2032*$D$9),2))</f>
        <v>mu :1.23</v>
      </c>
      <c r="W2027" s="524"/>
      <c r="AG2027" s="481">
        <f ca="1">IF($E2027=0,0,ROUND($R2032*$S$2*$C$2/$A2027,2))</f>
        <v>6.91</v>
      </c>
      <c r="AH2027" s="481">
        <f ca="1">$AG2027*$A2027</f>
        <v>241.85</v>
      </c>
      <c r="AI2027" s="525">
        <f ca="1">$E2027-$AG2027</f>
        <v>3.0399999999999991</v>
      </c>
      <c r="AJ2027" s="525">
        <f ca="1">$A2027*$AI2027</f>
        <v>106.39999999999998</v>
      </c>
      <c r="AK2027" s="526">
        <f ca="1">ROUND(($AG2027+$AI2027)*$A2027,2)</f>
        <v>348.25</v>
      </c>
      <c r="AM2027" s="527">
        <f ca="1">ROUND(R2032,2)</f>
        <v>196.35</v>
      </c>
      <c r="AN2027" s="528">
        <f ca="1">ROUND(T2032,2)</f>
        <v>3.15</v>
      </c>
      <c r="AO2027" s="529">
        <f ca="1">ROUND(AM2027+AN2027,2)*A2027</f>
        <v>6982.5</v>
      </c>
      <c r="AR2027" s="747">
        <v>35</v>
      </c>
      <c r="AS2027" s="751">
        <v>360.15</v>
      </c>
    </row>
    <row r="2028" spans="1:45" s="520" customFormat="1" ht="13.2">
      <c r="A2028" s="748"/>
      <c r="B2028"/>
      <c r="C2028" s="748"/>
      <c r="D2028" s="749" t="s">
        <v>1430</v>
      </c>
      <c r="F2028" s="753"/>
      <c r="G2028" s="3"/>
      <c r="H2028" s="753"/>
      <c r="I2028" s="754"/>
      <c r="J2028" s="753"/>
      <c r="K2028" s="753" t="s">
        <v>144</v>
      </c>
      <c r="L2028" s="753"/>
      <c r="M2028" s="753"/>
      <c r="N2028" s="753"/>
      <c r="O2028" s="753"/>
      <c r="P2028" s="753"/>
      <c r="Q2028" s="51"/>
      <c r="R2028" s="530"/>
      <c r="S2028" s="757"/>
      <c r="T2028" s="753"/>
      <c r="AR2028" s="748"/>
      <c r="AS2028" s="753"/>
    </row>
    <row r="2029" spans="1:45" s="886" customFormat="1" ht="13.2">
      <c r="A2029"/>
      <c r="B2029" s="910"/>
      <c r="C2029" s="910" t="s">
        <v>2597</v>
      </c>
      <c r="D2029" s="910" t="str">
        <f ca="1">CELL("Address",Elec_Rates!D$437)</f>
        <v>[E25_0062_Quintano_Foods_Elec_ELV_As_Awarded.xlsx]Elec_Rates!$D$437</v>
      </c>
      <c r="E2029" s="911"/>
      <c r="F2029" s="911"/>
      <c r="G2029" s="912" t="s">
        <v>2598</v>
      </c>
      <c r="H2029" s="912"/>
      <c r="I2029" s="912"/>
      <c r="J2029" s="912"/>
      <c r="K2029" s="913"/>
      <c r="L2029" s="911"/>
      <c r="M2029" s="911"/>
      <c r="N2029" s="911"/>
      <c r="O2029" s="914"/>
      <c r="P2029" s="911"/>
      <c r="Q2029" s="915"/>
      <c r="R2029" s="916"/>
      <c r="S2029" s="915"/>
      <c r="T2029" s="917"/>
      <c r="U2029" s="918"/>
      <c r="AR2029"/>
      <c r="AS2029" s="911"/>
    </row>
    <row r="2030" spans="1:45" s="886" customFormat="1" ht="11.4">
      <c r="A2030" s="919">
        <v>35</v>
      </c>
      <c r="B2030" s="920">
        <v>1</v>
      </c>
      <c r="C2030" s="920">
        <f>$A2030*$B2030</f>
        <v>35</v>
      </c>
      <c r="D2030" s="921" t="str">
        <f>Elec_Rates!$D$437</f>
        <v>042# 5 x 6mm2 XLPE/SWA/LSZH</v>
      </c>
      <c r="E2030" s="921"/>
      <c r="F2030" s="921" t="s">
        <v>2599</v>
      </c>
      <c r="G2030" s="922" t="s">
        <v>2601</v>
      </c>
      <c r="H2030" s="922"/>
      <c r="I2030" s="922"/>
      <c r="J2030" s="922"/>
      <c r="K2030" s="923"/>
      <c r="L2030" s="918"/>
      <c r="M2030" s="918"/>
      <c r="N2030" s="918"/>
      <c r="O2030" s="924"/>
      <c r="P2030" s="921"/>
      <c r="Q2030" s="925">
        <f ca="1">$B2030*Elec_Rates!$R$437</f>
        <v>5.61</v>
      </c>
      <c r="R2030" s="916">
        <f ca="1">$A2030*Q2030</f>
        <v>196.35000000000002</v>
      </c>
      <c r="S2030" s="925">
        <f ca="1">$B2030*Elec_Rates!$T$437</f>
        <v>0.09</v>
      </c>
      <c r="T2030" s="917">
        <f ca="1">$A2030*S2030</f>
        <v>3.15</v>
      </c>
      <c r="U2030" s="926"/>
      <c r="AR2030" s="919">
        <v>35</v>
      </c>
      <c r="AS2030" s="921" t="s">
        <v>2599</v>
      </c>
    </row>
    <row r="2031" spans="1:45" s="520" customFormat="1" ht="12">
      <c r="A2031" s="758"/>
      <c r="B2031" s="758"/>
      <c r="C2031" s="758"/>
      <c r="D2031" s="758"/>
      <c r="E2031" s="758"/>
      <c r="F2031" s="753"/>
      <c r="G2031" s="758"/>
      <c r="H2031" s="758"/>
      <c r="I2031" s="519"/>
      <c r="J2031" s="758"/>
      <c r="K2031" s="758"/>
      <c r="L2031" s="758"/>
      <c r="M2031" s="758"/>
      <c r="N2031" s="758"/>
      <c r="O2031" s="758"/>
      <c r="P2031" s="758"/>
      <c r="Q2031" s="519"/>
      <c r="R2031" s="759">
        <f>$A2031*Q2031</f>
        <v>0</v>
      </c>
      <c r="S2031" s="519"/>
      <c r="T2031" s="760">
        <f>$A2031*S2031*$T$1</f>
        <v>0</v>
      </c>
      <c r="AR2031" s="758"/>
      <c r="AS2031" s="753"/>
    </row>
    <row r="2032" spans="1:45" s="520" customFormat="1" ht="12.6" thickBot="1">
      <c r="A2032" s="761" t="s">
        <v>145</v>
      </c>
      <c r="B2032" s="762">
        <f>(R2031+T2031)</f>
        <v>0</v>
      </c>
      <c r="C2032" s="763"/>
      <c r="D2032" s="763"/>
      <c r="E2032" s="763"/>
      <c r="F2032" s="764"/>
      <c r="G2032" s="763" t="s">
        <v>146</v>
      </c>
      <c r="H2032" s="763"/>
      <c r="I2032" s="765"/>
      <c r="J2032" s="763"/>
      <c r="K2032" s="763" t="s">
        <v>3</v>
      </c>
      <c r="L2032" s="766" t="s">
        <v>143</v>
      </c>
      <c r="M2032" s="766"/>
      <c r="N2032" s="766"/>
      <c r="O2032" s="766"/>
      <c r="P2032" s="766"/>
      <c r="Q2032" s="767"/>
      <c r="R2032" s="768">
        <f ca="1">SUM(R2028:R2031)</f>
        <v>196.35000000000002</v>
      </c>
      <c r="S2032" s="763"/>
      <c r="T2032" s="768">
        <f ca="1">SUM(T2028:T2031)</f>
        <v>3.15</v>
      </c>
      <c r="U2032" s="531"/>
      <c r="V2032" s="531"/>
      <c r="W2032" s="531"/>
      <c r="X2032" s="531"/>
      <c r="Y2032" s="531"/>
      <c r="Z2032" s="531"/>
      <c r="AA2032" s="531"/>
      <c r="AB2032" s="531"/>
      <c r="AC2032" s="531"/>
      <c r="AD2032" s="531"/>
      <c r="AE2032" s="531"/>
      <c r="AF2032" s="531"/>
      <c r="AG2032" s="531"/>
      <c r="AH2032" s="531"/>
      <c r="AI2032" s="531"/>
      <c r="AJ2032" s="531"/>
      <c r="AK2032" s="531"/>
      <c r="AL2032" s="531"/>
      <c r="AM2032" s="531"/>
      <c r="AN2032" s="531"/>
      <c r="AO2032" s="531"/>
      <c r="AR2032" s="761" t="s">
        <v>145</v>
      </c>
      <c r="AS2032" s="764"/>
    </row>
    <row r="2033" spans="1:45" s="520" customFormat="1" ht="12" thickTop="1">
      <c r="A2033" s="51"/>
      <c r="B2033" s="41"/>
      <c r="C2033" s="51"/>
      <c r="E2033" s="42" t="s">
        <v>138</v>
      </c>
      <c r="F2033" s="42" t="s">
        <v>139</v>
      </c>
      <c r="G2033" s="51"/>
      <c r="H2033" s="51"/>
      <c r="I2033" s="51"/>
      <c r="J2033" s="51"/>
      <c r="K2033" s="51" t="s">
        <v>140</v>
      </c>
      <c r="L2033" s="51"/>
      <c r="M2033" s="51"/>
      <c r="N2033" s="51"/>
      <c r="O2033" s="52"/>
      <c r="P2033" s="51"/>
      <c r="Q2033" s="51"/>
      <c r="R2033" s="51"/>
      <c r="S2033" s="51"/>
      <c r="T2033" s="41"/>
      <c r="AG2033" s="521" t="s">
        <v>268</v>
      </c>
      <c r="AH2033" s="521" t="s">
        <v>269</v>
      </c>
      <c r="AI2033" s="521" t="s">
        <v>270</v>
      </c>
      <c r="AJ2033" s="521" t="s">
        <v>271</v>
      </c>
      <c r="AK2033" s="521" t="s">
        <v>272</v>
      </c>
      <c r="AM2033" s="745" t="s">
        <v>281</v>
      </c>
      <c r="AN2033" s="746" t="s">
        <v>282</v>
      </c>
      <c r="AO2033" s="522" t="s">
        <v>278</v>
      </c>
      <c r="AR2033" s="51"/>
      <c r="AS2033" s="42" t="s">
        <v>139</v>
      </c>
    </row>
    <row r="2034" spans="1:45" s="520" customFormat="1" ht="12" customHeight="1">
      <c r="A2034" s="747">
        <v>35</v>
      </c>
      <c r="B2034" s="523" t="s">
        <v>320</v>
      </c>
      <c r="C2034" s="748"/>
      <c r="D2034" s="749" t="s">
        <v>1431</v>
      </c>
      <c r="E2034" s="750">
        <f ca="1">IF(AND($A2034=0,$A$1="DIF"),0, ROUND(ROUND(($R2039*$S$2+($T2039*$T$2))/A2034,2)*$C$2,2))</f>
        <v>9.9499999999999993</v>
      </c>
      <c r="F2034" s="751">
        <f ca="1">ROUND($A2034*$E2034,2)</f>
        <v>348.25</v>
      </c>
      <c r="G2034" s="752" t="s">
        <v>142</v>
      </c>
      <c r="H2034" s="753"/>
      <c r="I2034" s="754"/>
      <c r="J2034" s="753"/>
      <c r="K2034" s="753" t="s">
        <v>3</v>
      </c>
      <c r="L2034" s="755" t="s">
        <v>143</v>
      </c>
      <c r="M2034" s="755"/>
      <c r="N2034" s="755"/>
      <c r="O2034" s="755"/>
      <c r="P2034" s="755"/>
      <c r="Q2034" s="51"/>
      <c r="T2034" s="756" t="str">
        <f ca="1">IF(AND($R2039=0,$T2039=0),"0.00","mu :" &amp; ROUND($F2034/$C$2/($R2039+$T2039*$D$9),2))</f>
        <v>mu :1.23</v>
      </c>
      <c r="W2034" s="524"/>
      <c r="AG2034" s="481">
        <f ca="1">IF($E2034=0,0,ROUND($R2039*$S$2*$C$2/$A2034,2))</f>
        <v>6.91</v>
      </c>
      <c r="AH2034" s="481">
        <f ca="1">$AG2034*$A2034</f>
        <v>241.85</v>
      </c>
      <c r="AI2034" s="525">
        <f ca="1">$E2034-$AG2034</f>
        <v>3.0399999999999991</v>
      </c>
      <c r="AJ2034" s="525">
        <f ca="1">$A2034*$AI2034</f>
        <v>106.39999999999998</v>
      </c>
      <c r="AK2034" s="526">
        <f ca="1">ROUND(($AG2034+$AI2034)*$A2034,2)</f>
        <v>348.25</v>
      </c>
      <c r="AM2034" s="527">
        <f ca="1">ROUND(R2039,2)</f>
        <v>196.35</v>
      </c>
      <c r="AN2034" s="528">
        <f ca="1">ROUND(T2039,2)</f>
        <v>3.15</v>
      </c>
      <c r="AO2034" s="529">
        <f ca="1">ROUND(AM2034+AN2034,2)*A2034</f>
        <v>6982.5</v>
      </c>
      <c r="AR2034" s="747">
        <v>35</v>
      </c>
      <c r="AS2034" s="751">
        <v>360.15</v>
      </c>
    </row>
    <row r="2035" spans="1:45" s="520" customFormat="1" ht="13.2">
      <c r="A2035" s="748"/>
      <c r="B2035"/>
      <c r="C2035" s="748"/>
      <c r="D2035" s="749" t="s">
        <v>1432</v>
      </c>
      <c r="F2035" s="753"/>
      <c r="G2035" s="3"/>
      <c r="H2035" s="753"/>
      <c r="I2035" s="754"/>
      <c r="J2035" s="753"/>
      <c r="K2035" s="753" t="s">
        <v>144</v>
      </c>
      <c r="L2035" s="753"/>
      <c r="M2035" s="753"/>
      <c r="N2035" s="753"/>
      <c r="O2035" s="753"/>
      <c r="P2035" s="753"/>
      <c r="Q2035" s="51"/>
      <c r="R2035" s="530"/>
      <c r="S2035" s="757"/>
      <c r="T2035" s="753"/>
      <c r="AR2035" s="748"/>
      <c r="AS2035" s="753"/>
    </row>
    <row r="2036" spans="1:45" s="886" customFormat="1" ht="13.2">
      <c r="A2036"/>
      <c r="B2036" s="910"/>
      <c r="C2036" s="910" t="s">
        <v>2597</v>
      </c>
      <c r="D2036" s="910" t="str">
        <f ca="1">CELL("Address",Elec_Rates!D$437)</f>
        <v>[E25_0062_Quintano_Foods_Elec_ELV_As_Awarded.xlsx]Elec_Rates!$D$437</v>
      </c>
      <c r="E2036" s="911"/>
      <c r="F2036" s="911"/>
      <c r="G2036" s="912" t="s">
        <v>2598</v>
      </c>
      <c r="H2036" s="912"/>
      <c r="I2036" s="912"/>
      <c r="J2036" s="912"/>
      <c r="K2036" s="913"/>
      <c r="L2036" s="911"/>
      <c r="M2036" s="911"/>
      <c r="N2036" s="911"/>
      <c r="O2036" s="914"/>
      <c r="P2036" s="911"/>
      <c r="Q2036" s="915"/>
      <c r="R2036" s="916"/>
      <c r="S2036" s="915"/>
      <c r="T2036" s="917"/>
      <c r="U2036" s="918"/>
      <c r="AR2036"/>
      <c r="AS2036" s="911"/>
    </row>
    <row r="2037" spans="1:45" s="886" customFormat="1" ht="11.4">
      <c r="A2037" s="919">
        <v>35</v>
      </c>
      <c r="B2037" s="920">
        <v>1</v>
      </c>
      <c r="C2037" s="920">
        <f>$A2037*$B2037</f>
        <v>35</v>
      </c>
      <c r="D2037" s="921" t="str">
        <f>Elec_Rates!$D$437</f>
        <v>042# 5 x 6mm2 XLPE/SWA/LSZH</v>
      </c>
      <c r="E2037" s="921"/>
      <c r="F2037" s="921" t="s">
        <v>2599</v>
      </c>
      <c r="G2037" s="922" t="s">
        <v>2601</v>
      </c>
      <c r="H2037" s="922"/>
      <c r="I2037" s="922"/>
      <c r="J2037" s="922"/>
      <c r="K2037" s="923"/>
      <c r="L2037" s="918"/>
      <c r="M2037" s="918"/>
      <c r="N2037" s="918"/>
      <c r="O2037" s="924"/>
      <c r="P2037" s="921"/>
      <c r="Q2037" s="925">
        <f ca="1">$B2037*Elec_Rates!$R$437</f>
        <v>5.61</v>
      </c>
      <c r="R2037" s="916">
        <f ca="1">$A2037*Q2037</f>
        <v>196.35000000000002</v>
      </c>
      <c r="S2037" s="925">
        <f ca="1">$B2037*Elec_Rates!$T$437</f>
        <v>0.09</v>
      </c>
      <c r="T2037" s="917">
        <f ca="1">$A2037*S2037</f>
        <v>3.15</v>
      </c>
      <c r="U2037" s="926"/>
      <c r="AR2037" s="919">
        <v>35</v>
      </c>
      <c r="AS2037" s="921" t="s">
        <v>2599</v>
      </c>
    </row>
    <row r="2038" spans="1:45" s="520" customFormat="1" ht="12">
      <c r="A2038" s="758"/>
      <c r="B2038" s="758"/>
      <c r="C2038" s="758"/>
      <c r="D2038" s="758"/>
      <c r="E2038" s="758"/>
      <c r="F2038" s="753"/>
      <c r="G2038" s="758"/>
      <c r="H2038" s="758"/>
      <c r="I2038" s="519"/>
      <c r="J2038" s="758"/>
      <c r="K2038" s="758"/>
      <c r="L2038" s="758"/>
      <c r="M2038" s="758"/>
      <c r="N2038" s="758"/>
      <c r="O2038" s="758"/>
      <c r="P2038" s="758"/>
      <c r="Q2038" s="519"/>
      <c r="R2038" s="759">
        <f>$A2038*Q2038</f>
        <v>0</v>
      </c>
      <c r="S2038" s="519"/>
      <c r="T2038" s="760">
        <f>$A2038*S2038*$T$1</f>
        <v>0</v>
      </c>
      <c r="AR2038" s="758"/>
      <c r="AS2038" s="753"/>
    </row>
    <row r="2039" spans="1:45" s="520" customFormat="1" ht="12.6" thickBot="1">
      <c r="A2039" s="761" t="s">
        <v>145</v>
      </c>
      <c r="B2039" s="762">
        <f>(R2038+T2038)</f>
        <v>0</v>
      </c>
      <c r="C2039" s="763"/>
      <c r="D2039" s="763"/>
      <c r="E2039" s="763"/>
      <c r="F2039" s="764"/>
      <c r="G2039" s="763" t="s">
        <v>146</v>
      </c>
      <c r="H2039" s="763"/>
      <c r="I2039" s="765"/>
      <c r="J2039" s="763"/>
      <c r="K2039" s="763" t="s">
        <v>3</v>
      </c>
      <c r="L2039" s="766" t="s">
        <v>143</v>
      </c>
      <c r="M2039" s="766"/>
      <c r="N2039" s="766"/>
      <c r="O2039" s="766"/>
      <c r="P2039" s="766"/>
      <c r="Q2039" s="767"/>
      <c r="R2039" s="768">
        <f ca="1">SUM(R2035:R2038)</f>
        <v>196.35000000000002</v>
      </c>
      <c r="S2039" s="763"/>
      <c r="T2039" s="768">
        <f ca="1">SUM(T2035:T2038)</f>
        <v>3.15</v>
      </c>
      <c r="U2039" s="531"/>
      <c r="V2039" s="531"/>
      <c r="W2039" s="531"/>
      <c r="X2039" s="531"/>
      <c r="Y2039" s="531"/>
      <c r="Z2039" s="531"/>
      <c r="AA2039" s="531"/>
      <c r="AB2039" s="531"/>
      <c r="AC2039" s="531"/>
      <c r="AD2039" s="531"/>
      <c r="AE2039" s="531"/>
      <c r="AF2039" s="531"/>
      <c r="AG2039" s="531"/>
      <c r="AH2039" s="531"/>
      <c r="AI2039" s="531"/>
      <c r="AJ2039" s="531"/>
      <c r="AK2039" s="531"/>
      <c r="AL2039" s="531"/>
      <c r="AM2039" s="531"/>
      <c r="AN2039" s="531"/>
      <c r="AO2039" s="531"/>
      <c r="AR2039" s="761" t="s">
        <v>145</v>
      </c>
      <c r="AS2039" s="764"/>
    </row>
    <row r="2040" spans="1:45" s="520" customFormat="1" ht="12" thickTop="1">
      <c r="A2040" s="51"/>
      <c r="B2040" s="41"/>
      <c r="C2040" s="51"/>
      <c r="E2040" s="42" t="s">
        <v>138</v>
      </c>
      <c r="F2040" s="42" t="s">
        <v>139</v>
      </c>
      <c r="G2040" s="51"/>
      <c r="H2040" s="51"/>
      <c r="I2040" s="51"/>
      <c r="J2040" s="51"/>
      <c r="K2040" s="51" t="s">
        <v>140</v>
      </c>
      <c r="L2040" s="51"/>
      <c r="M2040" s="51"/>
      <c r="N2040" s="51"/>
      <c r="O2040" s="52"/>
      <c r="P2040" s="51"/>
      <c r="Q2040" s="51"/>
      <c r="R2040" s="51"/>
      <c r="S2040" s="51"/>
      <c r="T2040" s="41"/>
      <c r="AG2040" s="521" t="s">
        <v>268</v>
      </c>
      <c r="AH2040" s="521" t="s">
        <v>269</v>
      </c>
      <c r="AI2040" s="521" t="s">
        <v>270</v>
      </c>
      <c r="AJ2040" s="521" t="s">
        <v>271</v>
      </c>
      <c r="AK2040" s="521" t="s">
        <v>272</v>
      </c>
      <c r="AM2040" s="745" t="s">
        <v>281</v>
      </c>
      <c r="AN2040" s="746" t="s">
        <v>282</v>
      </c>
      <c r="AO2040" s="522" t="s">
        <v>278</v>
      </c>
      <c r="AR2040" s="51"/>
      <c r="AS2040" s="42" t="s">
        <v>139</v>
      </c>
    </row>
    <row r="2041" spans="1:45" s="520" customFormat="1" ht="12" customHeight="1">
      <c r="A2041" s="747">
        <v>35</v>
      </c>
      <c r="B2041" s="523" t="s">
        <v>320</v>
      </c>
      <c r="C2041" s="748"/>
      <c r="D2041" s="749" t="s">
        <v>1433</v>
      </c>
      <c r="E2041" s="750">
        <f ca="1">IF(AND($A2041=0,$A$1="DIF"),0, ROUND(ROUND(($R2046*$S$2+($T2046*$T$2))/A2041,2)*$C$2,2))</f>
        <v>9.9499999999999993</v>
      </c>
      <c r="F2041" s="751">
        <f ca="1">ROUND($A2041*$E2041,2)</f>
        <v>348.25</v>
      </c>
      <c r="G2041" s="752" t="s">
        <v>142</v>
      </c>
      <c r="H2041" s="753"/>
      <c r="I2041" s="754"/>
      <c r="J2041" s="753"/>
      <c r="K2041" s="753" t="s">
        <v>3</v>
      </c>
      <c r="L2041" s="755" t="s">
        <v>143</v>
      </c>
      <c r="M2041" s="755"/>
      <c r="N2041" s="755"/>
      <c r="O2041" s="755"/>
      <c r="P2041" s="755"/>
      <c r="Q2041" s="51"/>
      <c r="T2041" s="756" t="str">
        <f ca="1">IF(AND($R2046=0,$T2046=0),"0.00","mu :" &amp; ROUND($F2041/$C$2/($R2046+$T2046*$D$9),2))</f>
        <v>mu :1.23</v>
      </c>
      <c r="W2041" s="524"/>
      <c r="AG2041" s="481">
        <f ca="1">IF($E2041=0,0,ROUND($R2046*$S$2*$C$2/$A2041,2))</f>
        <v>6.91</v>
      </c>
      <c r="AH2041" s="481">
        <f ca="1">$AG2041*$A2041</f>
        <v>241.85</v>
      </c>
      <c r="AI2041" s="525">
        <f ca="1">$E2041-$AG2041</f>
        <v>3.0399999999999991</v>
      </c>
      <c r="AJ2041" s="525">
        <f ca="1">$A2041*$AI2041</f>
        <v>106.39999999999998</v>
      </c>
      <c r="AK2041" s="526">
        <f ca="1">ROUND(($AG2041+$AI2041)*$A2041,2)</f>
        <v>348.25</v>
      </c>
      <c r="AM2041" s="527">
        <f ca="1">ROUND(R2046,2)</f>
        <v>196.35</v>
      </c>
      <c r="AN2041" s="528">
        <f ca="1">ROUND(T2046,2)</f>
        <v>3.15</v>
      </c>
      <c r="AO2041" s="529">
        <f ca="1">ROUND(AM2041+AN2041,2)*A2041</f>
        <v>6982.5</v>
      </c>
      <c r="AR2041" s="747">
        <v>35</v>
      </c>
      <c r="AS2041" s="751">
        <v>360.15</v>
      </c>
    </row>
    <row r="2042" spans="1:45" s="520" customFormat="1" ht="13.2">
      <c r="A2042" s="748"/>
      <c r="B2042"/>
      <c r="C2042" s="748"/>
      <c r="D2042" s="749" t="s">
        <v>1434</v>
      </c>
      <c r="F2042" s="753"/>
      <c r="G2042" s="3"/>
      <c r="H2042" s="753"/>
      <c r="I2042" s="754"/>
      <c r="J2042" s="753"/>
      <c r="K2042" s="753" t="s">
        <v>144</v>
      </c>
      <c r="L2042" s="753"/>
      <c r="M2042" s="753"/>
      <c r="N2042" s="753"/>
      <c r="O2042" s="753"/>
      <c r="P2042" s="753"/>
      <c r="Q2042" s="51"/>
      <c r="R2042" s="530"/>
      <c r="S2042" s="757"/>
      <c r="T2042" s="753"/>
      <c r="AR2042" s="748"/>
      <c r="AS2042" s="753"/>
    </row>
    <row r="2043" spans="1:45" s="886" customFormat="1" ht="13.2">
      <c r="A2043"/>
      <c r="B2043" s="910"/>
      <c r="C2043" s="910" t="s">
        <v>2597</v>
      </c>
      <c r="D2043" s="910" t="str">
        <f ca="1">CELL("Address",Elec_Rates!D$437)</f>
        <v>[E25_0062_Quintano_Foods_Elec_ELV_As_Awarded.xlsx]Elec_Rates!$D$437</v>
      </c>
      <c r="E2043" s="911"/>
      <c r="F2043" s="911"/>
      <c r="G2043" s="912" t="s">
        <v>2598</v>
      </c>
      <c r="H2043" s="912"/>
      <c r="I2043" s="912"/>
      <c r="J2043" s="912"/>
      <c r="K2043" s="913"/>
      <c r="L2043" s="911"/>
      <c r="M2043" s="911"/>
      <c r="N2043" s="911"/>
      <c r="O2043" s="914"/>
      <c r="P2043" s="911"/>
      <c r="Q2043" s="915"/>
      <c r="R2043" s="916"/>
      <c r="S2043" s="915"/>
      <c r="T2043" s="917"/>
      <c r="U2043" s="918"/>
      <c r="AR2043"/>
      <c r="AS2043" s="911"/>
    </row>
    <row r="2044" spans="1:45" s="886" customFormat="1" ht="11.4">
      <c r="A2044" s="919">
        <v>35</v>
      </c>
      <c r="B2044" s="920">
        <v>1</v>
      </c>
      <c r="C2044" s="920">
        <f>$A2044*$B2044</f>
        <v>35</v>
      </c>
      <c r="D2044" s="921" t="str">
        <f>Elec_Rates!$D$437</f>
        <v>042# 5 x 6mm2 XLPE/SWA/LSZH</v>
      </c>
      <c r="E2044" s="921"/>
      <c r="F2044" s="921" t="s">
        <v>2599</v>
      </c>
      <c r="G2044" s="922" t="s">
        <v>2601</v>
      </c>
      <c r="H2044" s="922"/>
      <c r="I2044" s="922"/>
      <c r="J2044" s="922"/>
      <c r="K2044" s="923"/>
      <c r="L2044" s="918"/>
      <c r="M2044" s="918"/>
      <c r="N2044" s="918"/>
      <c r="O2044" s="924"/>
      <c r="P2044" s="921"/>
      <c r="Q2044" s="925">
        <f ca="1">$B2044*Elec_Rates!$R$437</f>
        <v>5.61</v>
      </c>
      <c r="R2044" s="916">
        <f ca="1">$A2044*Q2044</f>
        <v>196.35000000000002</v>
      </c>
      <c r="S2044" s="925">
        <f ca="1">$B2044*Elec_Rates!$T$437</f>
        <v>0.09</v>
      </c>
      <c r="T2044" s="917">
        <f ca="1">$A2044*S2044</f>
        <v>3.15</v>
      </c>
      <c r="U2044" s="926"/>
      <c r="AR2044" s="919">
        <v>35</v>
      </c>
      <c r="AS2044" s="921" t="s">
        <v>2599</v>
      </c>
    </row>
    <row r="2045" spans="1:45" s="520" customFormat="1" ht="12">
      <c r="A2045" s="758"/>
      <c r="B2045" s="758"/>
      <c r="C2045" s="758"/>
      <c r="D2045" s="758"/>
      <c r="E2045" s="758"/>
      <c r="F2045" s="753"/>
      <c r="G2045" s="758"/>
      <c r="H2045" s="758"/>
      <c r="I2045" s="519"/>
      <c r="J2045" s="758"/>
      <c r="K2045" s="758"/>
      <c r="L2045" s="758"/>
      <c r="M2045" s="758"/>
      <c r="N2045" s="758"/>
      <c r="O2045" s="758"/>
      <c r="P2045" s="758"/>
      <c r="Q2045" s="519"/>
      <c r="R2045" s="759">
        <f>$A2045*Q2045</f>
        <v>0</v>
      </c>
      <c r="S2045" s="519"/>
      <c r="T2045" s="760">
        <f>$A2045*S2045*$T$1</f>
        <v>0</v>
      </c>
      <c r="AR2045" s="758"/>
      <c r="AS2045" s="753"/>
    </row>
    <row r="2046" spans="1:45" s="520" customFormat="1" ht="12.6" thickBot="1">
      <c r="A2046" s="761" t="s">
        <v>145</v>
      </c>
      <c r="B2046" s="762">
        <f>(R2045+T2045)</f>
        <v>0</v>
      </c>
      <c r="C2046" s="763"/>
      <c r="D2046" s="763"/>
      <c r="E2046" s="763"/>
      <c r="F2046" s="764"/>
      <c r="G2046" s="763" t="s">
        <v>146</v>
      </c>
      <c r="H2046" s="763"/>
      <c r="I2046" s="765"/>
      <c r="J2046" s="763"/>
      <c r="K2046" s="763" t="s">
        <v>3</v>
      </c>
      <c r="L2046" s="766" t="s">
        <v>143</v>
      </c>
      <c r="M2046" s="766"/>
      <c r="N2046" s="766"/>
      <c r="O2046" s="766"/>
      <c r="P2046" s="766"/>
      <c r="Q2046" s="767"/>
      <c r="R2046" s="768">
        <f ca="1">SUM(R2042:R2045)</f>
        <v>196.35000000000002</v>
      </c>
      <c r="S2046" s="763"/>
      <c r="T2046" s="768">
        <f ca="1">SUM(T2042:T2045)</f>
        <v>3.15</v>
      </c>
      <c r="U2046" s="531"/>
      <c r="V2046" s="531"/>
      <c r="W2046" s="531"/>
      <c r="X2046" s="531"/>
      <c r="Y2046" s="531"/>
      <c r="Z2046" s="531"/>
      <c r="AA2046" s="531"/>
      <c r="AB2046" s="531"/>
      <c r="AC2046" s="531"/>
      <c r="AD2046" s="531"/>
      <c r="AE2046" s="531"/>
      <c r="AF2046" s="531"/>
      <c r="AG2046" s="531"/>
      <c r="AH2046" s="531"/>
      <c r="AI2046" s="531"/>
      <c r="AJ2046" s="531"/>
      <c r="AK2046" s="531"/>
      <c r="AL2046" s="531"/>
      <c r="AM2046" s="531"/>
      <c r="AN2046" s="531"/>
      <c r="AO2046" s="531"/>
      <c r="AR2046" s="761" t="s">
        <v>145</v>
      </c>
      <c r="AS2046" s="764"/>
    </row>
    <row r="2047" spans="1:45" s="520" customFormat="1" ht="12" thickTop="1">
      <c r="A2047" s="51"/>
      <c r="B2047" s="41"/>
      <c r="C2047" s="51"/>
      <c r="E2047" s="42" t="s">
        <v>138</v>
      </c>
      <c r="F2047" s="42" t="s">
        <v>139</v>
      </c>
      <c r="G2047" s="51"/>
      <c r="H2047" s="51"/>
      <c r="I2047" s="51"/>
      <c r="J2047" s="51"/>
      <c r="K2047" s="51" t="s">
        <v>140</v>
      </c>
      <c r="L2047" s="51"/>
      <c r="M2047" s="51"/>
      <c r="N2047" s="51"/>
      <c r="O2047" s="52"/>
      <c r="P2047" s="51"/>
      <c r="Q2047" s="51"/>
      <c r="R2047" s="51"/>
      <c r="S2047" s="51"/>
      <c r="T2047" s="41"/>
      <c r="AG2047" s="521" t="s">
        <v>268</v>
      </c>
      <c r="AH2047" s="521" t="s">
        <v>269</v>
      </c>
      <c r="AI2047" s="521" t="s">
        <v>270</v>
      </c>
      <c r="AJ2047" s="521" t="s">
        <v>271</v>
      </c>
      <c r="AK2047" s="521" t="s">
        <v>272</v>
      </c>
      <c r="AM2047" s="745" t="s">
        <v>281</v>
      </c>
      <c r="AN2047" s="746" t="s">
        <v>282</v>
      </c>
      <c r="AO2047" s="522" t="s">
        <v>278</v>
      </c>
      <c r="AR2047" s="51"/>
      <c r="AS2047" s="42" t="s">
        <v>139</v>
      </c>
    </row>
    <row r="2048" spans="1:45" s="520" customFormat="1" ht="12" customHeight="1">
      <c r="A2048" s="747">
        <v>35</v>
      </c>
      <c r="B2048" s="523" t="s">
        <v>320</v>
      </c>
      <c r="C2048" s="748"/>
      <c r="D2048" s="749" t="s">
        <v>1435</v>
      </c>
      <c r="E2048" s="750">
        <f ca="1">IF(AND($A2048=0,$A$1="DIF"),0, ROUND(ROUND(($R2053*$S$2+($T2053*$T$2))/A2048,2)*$C$2,2))</f>
        <v>9.9499999999999993</v>
      </c>
      <c r="F2048" s="751">
        <f ca="1">ROUND($A2048*$E2048,2)</f>
        <v>348.25</v>
      </c>
      <c r="G2048" s="752" t="s">
        <v>142</v>
      </c>
      <c r="H2048" s="753"/>
      <c r="I2048" s="754"/>
      <c r="J2048" s="753"/>
      <c r="K2048" s="753" t="s">
        <v>3</v>
      </c>
      <c r="L2048" s="755" t="s">
        <v>143</v>
      </c>
      <c r="M2048" s="755"/>
      <c r="N2048" s="755"/>
      <c r="O2048" s="755"/>
      <c r="P2048" s="755"/>
      <c r="Q2048" s="51"/>
      <c r="T2048" s="756" t="str">
        <f ca="1">IF(AND($R2053=0,$T2053=0),"0.00","mu :" &amp; ROUND($F2048/$C$2/($R2053+$T2053*$D$9),2))</f>
        <v>mu :1.23</v>
      </c>
      <c r="W2048" s="524"/>
      <c r="AG2048" s="481">
        <f ca="1">IF($E2048=0,0,ROUND($R2053*$S$2*$C$2/$A2048,2))</f>
        <v>6.91</v>
      </c>
      <c r="AH2048" s="481">
        <f ca="1">$AG2048*$A2048</f>
        <v>241.85</v>
      </c>
      <c r="AI2048" s="525">
        <f ca="1">$E2048-$AG2048</f>
        <v>3.0399999999999991</v>
      </c>
      <c r="AJ2048" s="525">
        <f ca="1">$A2048*$AI2048</f>
        <v>106.39999999999998</v>
      </c>
      <c r="AK2048" s="526">
        <f ca="1">ROUND(($AG2048+$AI2048)*$A2048,2)</f>
        <v>348.25</v>
      </c>
      <c r="AM2048" s="527">
        <f ca="1">ROUND(R2053,2)</f>
        <v>196.35</v>
      </c>
      <c r="AN2048" s="528">
        <f ca="1">ROUND(T2053,2)</f>
        <v>3.15</v>
      </c>
      <c r="AO2048" s="529">
        <f ca="1">ROUND(AM2048+AN2048,2)*A2048</f>
        <v>6982.5</v>
      </c>
      <c r="AR2048" s="747">
        <v>35</v>
      </c>
      <c r="AS2048" s="751">
        <v>360.15</v>
      </c>
    </row>
    <row r="2049" spans="1:45" s="520" customFormat="1" ht="13.2">
      <c r="A2049" s="748"/>
      <c r="B2049"/>
      <c r="C2049" s="748"/>
      <c r="D2049" s="749" t="s">
        <v>1436</v>
      </c>
      <c r="F2049" s="753"/>
      <c r="G2049" s="3"/>
      <c r="H2049" s="753"/>
      <c r="I2049" s="754"/>
      <c r="J2049" s="753"/>
      <c r="K2049" s="753" t="s">
        <v>144</v>
      </c>
      <c r="L2049" s="753"/>
      <c r="M2049" s="753"/>
      <c r="N2049" s="753"/>
      <c r="O2049" s="753"/>
      <c r="P2049" s="753"/>
      <c r="Q2049" s="51"/>
      <c r="R2049" s="530"/>
      <c r="S2049" s="757"/>
      <c r="T2049" s="753"/>
      <c r="AR2049" s="748"/>
      <c r="AS2049" s="753"/>
    </row>
    <row r="2050" spans="1:45" s="886" customFormat="1" ht="13.2">
      <c r="A2050"/>
      <c r="B2050" s="910"/>
      <c r="C2050" s="910" t="s">
        <v>2597</v>
      </c>
      <c r="D2050" s="910" t="str">
        <f ca="1">CELL("Address",Elec_Rates!D$437)</f>
        <v>[E25_0062_Quintano_Foods_Elec_ELV_As_Awarded.xlsx]Elec_Rates!$D$437</v>
      </c>
      <c r="E2050" s="911"/>
      <c r="F2050" s="911"/>
      <c r="G2050" s="912" t="s">
        <v>2598</v>
      </c>
      <c r="H2050" s="912"/>
      <c r="I2050" s="912"/>
      <c r="J2050" s="912"/>
      <c r="K2050" s="913"/>
      <c r="L2050" s="911"/>
      <c r="M2050" s="911"/>
      <c r="N2050" s="911"/>
      <c r="O2050" s="914"/>
      <c r="P2050" s="911"/>
      <c r="Q2050" s="915"/>
      <c r="R2050" s="916"/>
      <c r="S2050" s="915"/>
      <c r="T2050" s="917"/>
      <c r="U2050" s="918"/>
      <c r="AR2050"/>
      <c r="AS2050" s="911"/>
    </row>
    <row r="2051" spans="1:45" s="886" customFormat="1" ht="11.4">
      <c r="A2051" s="919">
        <v>35</v>
      </c>
      <c r="B2051" s="920">
        <v>1</v>
      </c>
      <c r="C2051" s="920">
        <f>$A2051*$B2051</f>
        <v>35</v>
      </c>
      <c r="D2051" s="921" t="str">
        <f>Elec_Rates!$D$437</f>
        <v>042# 5 x 6mm2 XLPE/SWA/LSZH</v>
      </c>
      <c r="E2051" s="921"/>
      <c r="F2051" s="921" t="s">
        <v>2599</v>
      </c>
      <c r="G2051" s="922" t="s">
        <v>2601</v>
      </c>
      <c r="H2051" s="922"/>
      <c r="I2051" s="922"/>
      <c r="J2051" s="922"/>
      <c r="K2051" s="923"/>
      <c r="L2051" s="918"/>
      <c r="M2051" s="918"/>
      <c r="N2051" s="918"/>
      <c r="O2051" s="924"/>
      <c r="P2051" s="921"/>
      <c r="Q2051" s="925">
        <f ca="1">$B2051*Elec_Rates!$R$437</f>
        <v>5.61</v>
      </c>
      <c r="R2051" s="916">
        <f ca="1">$A2051*Q2051</f>
        <v>196.35000000000002</v>
      </c>
      <c r="S2051" s="925">
        <f ca="1">$B2051*Elec_Rates!$T$437</f>
        <v>0.09</v>
      </c>
      <c r="T2051" s="917">
        <f ca="1">$A2051*S2051</f>
        <v>3.15</v>
      </c>
      <c r="U2051" s="926"/>
      <c r="AR2051" s="919">
        <v>35</v>
      </c>
      <c r="AS2051" s="921" t="s">
        <v>2599</v>
      </c>
    </row>
    <row r="2052" spans="1:45" s="520" customFormat="1" ht="12">
      <c r="A2052" s="758"/>
      <c r="B2052" s="758"/>
      <c r="C2052" s="758"/>
      <c r="D2052" s="758"/>
      <c r="E2052" s="758"/>
      <c r="F2052" s="753"/>
      <c r="G2052" s="758"/>
      <c r="H2052" s="758"/>
      <c r="I2052" s="519"/>
      <c r="J2052" s="758"/>
      <c r="K2052" s="758"/>
      <c r="L2052" s="758"/>
      <c r="M2052" s="758"/>
      <c r="N2052" s="758"/>
      <c r="O2052" s="758"/>
      <c r="P2052" s="758"/>
      <c r="Q2052" s="519"/>
      <c r="R2052" s="759">
        <f>$A2052*Q2052</f>
        <v>0</v>
      </c>
      <c r="S2052" s="519"/>
      <c r="T2052" s="760">
        <f>$A2052*S2052*$T$1</f>
        <v>0</v>
      </c>
      <c r="AR2052" s="758"/>
      <c r="AS2052" s="753"/>
    </row>
    <row r="2053" spans="1:45" s="520" customFormat="1" ht="12.6" thickBot="1">
      <c r="A2053" s="761" t="s">
        <v>145</v>
      </c>
      <c r="B2053" s="762">
        <f>(R2052+T2052)</f>
        <v>0</v>
      </c>
      <c r="C2053" s="763"/>
      <c r="D2053" s="763"/>
      <c r="E2053" s="763"/>
      <c r="F2053" s="764"/>
      <c r="G2053" s="763" t="s">
        <v>146</v>
      </c>
      <c r="H2053" s="763"/>
      <c r="I2053" s="765"/>
      <c r="J2053" s="763"/>
      <c r="K2053" s="763" t="s">
        <v>3</v>
      </c>
      <c r="L2053" s="766" t="s">
        <v>143</v>
      </c>
      <c r="M2053" s="766"/>
      <c r="N2053" s="766"/>
      <c r="O2053" s="766"/>
      <c r="P2053" s="766"/>
      <c r="Q2053" s="767"/>
      <c r="R2053" s="768">
        <f ca="1">SUM(R2049:R2052)</f>
        <v>196.35000000000002</v>
      </c>
      <c r="S2053" s="763"/>
      <c r="T2053" s="768">
        <f ca="1">SUM(T2049:T2052)</f>
        <v>3.15</v>
      </c>
      <c r="U2053" s="531"/>
      <c r="V2053" s="531"/>
      <c r="W2053" s="531"/>
      <c r="X2053" s="531"/>
      <c r="Y2053" s="531"/>
      <c r="Z2053" s="531"/>
      <c r="AA2053" s="531"/>
      <c r="AB2053" s="531"/>
      <c r="AC2053" s="531"/>
      <c r="AD2053" s="531"/>
      <c r="AE2053" s="531"/>
      <c r="AF2053" s="531"/>
      <c r="AG2053" s="531"/>
      <c r="AH2053" s="531"/>
      <c r="AI2053" s="531"/>
      <c r="AJ2053" s="531"/>
      <c r="AK2053" s="531"/>
      <c r="AL2053" s="531"/>
      <c r="AM2053" s="531"/>
      <c r="AN2053" s="531"/>
      <c r="AO2053" s="531"/>
      <c r="AR2053" s="761" t="s">
        <v>145</v>
      </c>
      <c r="AS2053" s="764"/>
    </row>
    <row r="2054" spans="1:45" s="520" customFormat="1" ht="12" thickTop="1">
      <c r="A2054" s="51"/>
      <c r="B2054" s="41"/>
      <c r="C2054" s="51"/>
      <c r="E2054" s="42" t="s">
        <v>138</v>
      </c>
      <c r="F2054" s="42" t="s">
        <v>139</v>
      </c>
      <c r="G2054" s="51"/>
      <c r="H2054" s="51"/>
      <c r="I2054" s="51"/>
      <c r="J2054" s="51"/>
      <c r="K2054" s="51" t="s">
        <v>140</v>
      </c>
      <c r="L2054" s="51"/>
      <c r="M2054" s="51"/>
      <c r="N2054" s="51"/>
      <c r="O2054" s="52"/>
      <c r="P2054" s="51"/>
      <c r="Q2054" s="51"/>
      <c r="R2054" s="51"/>
      <c r="S2054" s="51"/>
      <c r="T2054" s="41"/>
      <c r="AG2054" s="521" t="s">
        <v>268</v>
      </c>
      <c r="AH2054" s="521" t="s">
        <v>269</v>
      </c>
      <c r="AI2054" s="521" t="s">
        <v>270</v>
      </c>
      <c r="AJ2054" s="521" t="s">
        <v>271</v>
      </c>
      <c r="AK2054" s="521" t="s">
        <v>272</v>
      </c>
      <c r="AM2054" s="745" t="s">
        <v>281</v>
      </c>
      <c r="AN2054" s="746" t="s">
        <v>282</v>
      </c>
      <c r="AO2054" s="522" t="s">
        <v>278</v>
      </c>
      <c r="AR2054" s="51"/>
      <c r="AS2054" s="42" t="s">
        <v>139</v>
      </c>
    </row>
    <row r="2055" spans="1:45" s="520" customFormat="1" ht="12" customHeight="1">
      <c r="A2055" s="747">
        <v>35</v>
      </c>
      <c r="B2055" s="523" t="s">
        <v>320</v>
      </c>
      <c r="C2055" s="748"/>
      <c r="D2055" s="749" t="s">
        <v>1437</v>
      </c>
      <c r="E2055" s="750">
        <f ca="1">IF(AND($A2055=0,$A$1="DIF"),0, ROUND(ROUND(($R2060*$S$2+($T2060*$T$2))/A2055,2)*$C$2,2))</f>
        <v>9.9499999999999993</v>
      </c>
      <c r="F2055" s="751">
        <f ca="1">ROUND($A2055*$E2055,2)</f>
        <v>348.25</v>
      </c>
      <c r="G2055" s="752" t="s">
        <v>142</v>
      </c>
      <c r="H2055" s="753"/>
      <c r="I2055" s="754"/>
      <c r="J2055" s="753"/>
      <c r="K2055" s="753" t="s">
        <v>3</v>
      </c>
      <c r="L2055" s="755" t="s">
        <v>143</v>
      </c>
      <c r="M2055" s="755"/>
      <c r="N2055" s="755"/>
      <c r="O2055" s="755"/>
      <c r="P2055" s="755"/>
      <c r="Q2055" s="51"/>
      <c r="T2055" s="756" t="str">
        <f ca="1">IF(AND($R2060=0,$T2060=0),"0.00","mu :" &amp; ROUND($F2055/$C$2/($R2060+$T2060*$D$9),2))</f>
        <v>mu :1.23</v>
      </c>
      <c r="W2055" s="524"/>
      <c r="AG2055" s="481">
        <f ca="1">IF($E2055=0,0,ROUND($R2060*$S$2*$C$2/$A2055,2))</f>
        <v>6.91</v>
      </c>
      <c r="AH2055" s="481">
        <f ca="1">$AG2055*$A2055</f>
        <v>241.85</v>
      </c>
      <c r="AI2055" s="525">
        <f ca="1">$E2055-$AG2055</f>
        <v>3.0399999999999991</v>
      </c>
      <c r="AJ2055" s="525">
        <f ca="1">$A2055*$AI2055</f>
        <v>106.39999999999998</v>
      </c>
      <c r="AK2055" s="526">
        <f ca="1">ROUND(($AG2055+$AI2055)*$A2055,2)</f>
        <v>348.25</v>
      </c>
      <c r="AM2055" s="527">
        <f ca="1">ROUND(R2060,2)</f>
        <v>196.35</v>
      </c>
      <c r="AN2055" s="528">
        <f ca="1">ROUND(T2060,2)</f>
        <v>3.15</v>
      </c>
      <c r="AO2055" s="529">
        <f ca="1">ROUND(AM2055+AN2055,2)*A2055</f>
        <v>6982.5</v>
      </c>
      <c r="AR2055" s="747">
        <v>35</v>
      </c>
      <c r="AS2055" s="751">
        <v>360.15</v>
      </c>
    </row>
    <row r="2056" spans="1:45" s="520" customFormat="1" ht="13.2">
      <c r="A2056" s="748"/>
      <c r="B2056"/>
      <c r="C2056" s="748"/>
      <c r="D2056" s="749" t="s">
        <v>1438</v>
      </c>
      <c r="F2056" s="753"/>
      <c r="G2056" s="3"/>
      <c r="H2056" s="753"/>
      <c r="I2056" s="754"/>
      <c r="J2056" s="753"/>
      <c r="K2056" s="753" t="s">
        <v>144</v>
      </c>
      <c r="L2056" s="753"/>
      <c r="M2056" s="753"/>
      <c r="N2056" s="753"/>
      <c r="O2056" s="753"/>
      <c r="P2056" s="753"/>
      <c r="Q2056" s="51"/>
      <c r="R2056" s="530"/>
      <c r="S2056" s="757"/>
      <c r="T2056" s="753"/>
      <c r="AR2056" s="748"/>
      <c r="AS2056" s="753"/>
    </row>
    <row r="2057" spans="1:45" s="886" customFormat="1" ht="13.2">
      <c r="A2057"/>
      <c r="B2057" s="910"/>
      <c r="C2057" s="910" t="s">
        <v>2597</v>
      </c>
      <c r="D2057" s="910" t="str">
        <f ca="1">CELL("Address",Elec_Rates!D$437)</f>
        <v>[E25_0062_Quintano_Foods_Elec_ELV_As_Awarded.xlsx]Elec_Rates!$D$437</v>
      </c>
      <c r="E2057" s="911"/>
      <c r="F2057" s="911"/>
      <c r="G2057" s="912" t="s">
        <v>2598</v>
      </c>
      <c r="H2057" s="912"/>
      <c r="I2057" s="912"/>
      <c r="J2057" s="912"/>
      <c r="K2057" s="913"/>
      <c r="L2057" s="911"/>
      <c r="M2057" s="911"/>
      <c r="N2057" s="911"/>
      <c r="O2057" s="914"/>
      <c r="P2057" s="911"/>
      <c r="Q2057" s="915"/>
      <c r="R2057" s="916"/>
      <c r="S2057" s="915"/>
      <c r="T2057" s="917"/>
      <c r="U2057" s="918"/>
      <c r="AR2057"/>
      <c r="AS2057" s="911"/>
    </row>
    <row r="2058" spans="1:45" s="886" customFormat="1" ht="11.4">
      <c r="A2058" s="919">
        <v>35</v>
      </c>
      <c r="B2058" s="920">
        <v>1</v>
      </c>
      <c r="C2058" s="920">
        <f>$A2058*$B2058</f>
        <v>35</v>
      </c>
      <c r="D2058" s="921" t="str">
        <f>Elec_Rates!$D$437</f>
        <v>042# 5 x 6mm2 XLPE/SWA/LSZH</v>
      </c>
      <c r="E2058" s="921"/>
      <c r="F2058" s="921" t="s">
        <v>2599</v>
      </c>
      <c r="G2058" s="922" t="s">
        <v>2601</v>
      </c>
      <c r="H2058" s="922"/>
      <c r="I2058" s="922"/>
      <c r="J2058" s="922"/>
      <c r="K2058" s="923"/>
      <c r="L2058" s="918"/>
      <c r="M2058" s="918"/>
      <c r="N2058" s="918"/>
      <c r="O2058" s="924"/>
      <c r="P2058" s="921"/>
      <c r="Q2058" s="925">
        <f ca="1">$B2058*Elec_Rates!$R$437</f>
        <v>5.61</v>
      </c>
      <c r="R2058" s="916">
        <f ca="1">$A2058*Q2058</f>
        <v>196.35000000000002</v>
      </c>
      <c r="S2058" s="925">
        <f ca="1">$B2058*Elec_Rates!$T$437</f>
        <v>0.09</v>
      </c>
      <c r="T2058" s="917">
        <f ca="1">$A2058*S2058</f>
        <v>3.15</v>
      </c>
      <c r="U2058" s="926"/>
      <c r="AR2058" s="919">
        <v>35</v>
      </c>
      <c r="AS2058" s="921" t="s">
        <v>2599</v>
      </c>
    </row>
    <row r="2059" spans="1:45" s="520" customFormat="1" ht="12">
      <c r="A2059" s="758"/>
      <c r="B2059" s="758"/>
      <c r="C2059" s="758"/>
      <c r="D2059" s="758"/>
      <c r="E2059" s="758"/>
      <c r="F2059" s="753"/>
      <c r="G2059" s="758"/>
      <c r="H2059" s="758"/>
      <c r="I2059" s="519"/>
      <c r="J2059" s="758"/>
      <c r="K2059" s="758"/>
      <c r="L2059" s="758"/>
      <c r="M2059" s="758"/>
      <c r="N2059" s="758"/>
      <c r="O2059" s="758"/>
      <c r="P2059" s="758"/>
      <c r="Q2059" s="519"/>
      <c r="R2059" s="759">
        <f>$A2059*Q2059</f>
        <v>0</v>
      </c>
      <c r="S2059" s="519"/>
      <c r="T2059" s="760">
        <f>$A2059*S2059*$T$1</f>
        <v>0</v>
      </c>
      <c r="AR2059" s="758"/>
      <c r="AS2059" s="753"/>
    </row>
    <row r="2060" spans="1:45" s="520" customFormat="1" ht="12.6" thickBot="1">
      <c r="A2060" s="761" t="s">
        <v>145</v>
      </c>
      <c r="B2060" s="762">
        <f>(R2059+T2059)</f>
        <v>0</v>
      </c>
      <c r="C2060" s="763"/>
      <c r="D2060" s="763"/>
      <c r="E2060" s="763"/>
      <c r="F2060" s="764"/>
      <c r="G2060" s="763" t="s">
        <v>146</v>
      </c>
      <c r="H2060" s="763"/>
      <c r="I2060" s="765"/>
      <c r="J2060" s="763"/>
      <c r="K2060" s="763" t="s">
        <v>3</v>
      </c>
      <c r="L2060" s="766" t="s">
        <v>143</v>
      </c>
      <c r="M2060" s="766"/>
      <c r="N2060" s="766"/>
      <c r="O2060" s="766"/>
      <c r="P2060" s="766"/>
      <c r="Q2060" s="767"/>
      <c r="R2060" s="768">
        <f ca="1">SUM(R2056:R2059)</f>
        <v>196.35000000000002</v>
      </c>
      <c r="S2060" s="763"/>
      <c r="T2060" s="768">
        <f ca="1">SUM(T2056:T2059)</f>
        <v>3.15</v>
      </c>
      <c r="U2060" s="531"/>
      <c r="V2060" s="531"/>
      <c r="W2060" s="531"/>
      <c r="X2060" s="531"/>
      <c r="Y2060" s="531"/>
      <c r="Z2060" s="531"/>
      <c r="AA2060" s="531"/>
      <c r="AB2060" s="531"/>
      <c r="AC2060" s="531"/>
      <c r="AD2060" s="531"/>
      <c r="AE2060" s="531"/>
      <c r="AF2060" s="531"/>
      <c r="AG2060" s="531"/>
      <c r="AH2060" s="531"/>
      <c r="AI2060" s="531"/>
      <c r="AJ2060" s="531"/>
      <c r="AK2060" s="531"/>
      <c r="AL2060" s="531"/>
      <c r="AM2060" s="531"/>
      <c r="AN2060" s="531"/>
      <c r="AO2060" s="531"/>
      <c r="AR2060" s="761" t="s">
        <v>145</v>
      </c>
      <c r="AS2060" s="764"/>
    </row>
    <row r="2061" spans="1:45" s="520" customFormat="1" ht="12" thickTop="1">
      <c r="A2061" s="51"/>
      <c r="B2061" s="41"/>
      <c r="C2061" s="51"/>
      <c r="E2061" s="42" t="s">
        <v>138</v>
      </c>
      <c r="F2061" s="42" t="s">
        <v>139</v>
      </c>
      <c r="G2061" s="51"/>
      <c r="H2061" s="51"/>
      <c r="I2061" s="51"/>
      <c r="J2061" s="51"/>
      <c r="K2061" s="51" t="s">
        <v>140</v>
      </c>
      <c r="L2061" s="51"/>
      <c r="M2061" s="51"/>
      <c r="N2061" s="51"/>
      <c r="O2061" s="52"/>
      <c r="P2061" s="51"/>
      <c r="Q2061" s="51"/>
      <c r="R2061" s="51"/>
      <c r="S2061" s="51"/>
      <c r="T2061" s="41"/>
      <c r="AG2061" s="521" t="s">
        <v>268</v>
      </c>
      <c r="AH2061" s="521" t="s">
        <v>269</v>
      </c>
      <c r="AI2061" s="521" t="s">
        <v>270</v>
      </c>
      <c r="AJ2061" s="521" t="s">
        <v>271</v>
      </c>
      <c r="AK2061" s="521" t="s">
        <v>272</v>
      </c>
      <c r="AM2061" s="745" t="s">
        <v>281</v>
      </c>
      <c r="AN2061" s="746" t="s">
        <v>282</v>
      </c>
      <c r="AO2061" s="522" t="s">
        <v>278</v>
      </c>
      <c r="AR2061" s="51"/>
      <c r="AS2061" s="42" t="s">
        <v>139</v>
      </c>
    </row>
    <row r="2062" spans="1:45" s="520" customFormat="1" ht="12" customHeight="1">
      <c r="A2062" s="747">
        <v>40</v>
      </c>
      <c r="B2062" s="523" t="s">
        <v>320</v>
      </c>
      <c r="C2062" s="748"/>
      <c r="D2062" s="749" t="s">
        <v>1439</v>
      </c>
      <c r="E2062" s="750">
        <f ca="1">IF(AND($A2062=0,$A$1="DIF"),0, ROUND(ROUND(($R2067*$S$2+($T2067*$T$2))/A2062,2)*$C$2,2))</f>
        <v>9.9499999999999993</v>
      </c>
      <c r="F2062" s="751">
        <f ca="1">ROUND($A2062*$E2062,2)</f>
        <v>398</v>
      </c>
      <c r="G2062" s="752" t="s">
        <v>142</v>
      </c>
      <c r="H2062" s="753"/>
      <c r="I2062" s="754"/>
      <c r="J2062" s="753"/>
      <c r="K2062" s="753" t="s">
        <v>3</v>
      </c>
      <c r="L2062" s="755" t="s">
        <v>143</v>
      </c>
      <c r="M2062" s="755"/>
      <c r="N2062" s="755"/>
      <c r="O2062" s="755"/>
      <c r="P2062" s="755"/>
      <c r="Q2062" s="51"/>
      <c r="T2062" s="756" t="str">
        <f ca="1">IF(AND($R2067=0,$T2067=0),"0.00","mu :" &amp; ROUND($F2062/$C$2/($R2067+$T2067*$D$9),2))</f>
        <v>mu :1.23</v>
      </c>
      <c r="W2062" s="524"/>
      <c r="AG2062" s="481">
        <f ca="1">IF($E2062=0,0,ROUND($R2067*$S$2*$C$2/$A2062,2))</f>
        <v>6.91</v>
      </c>
      <c r="AH2062" s="481">
        <f ca="1">$AG2062*$A2062</f>
        <v>276.39999999999998</v>
      </c>
      <c r="AI2062" s="525">
        <f ca="1">$E2062-$AG2062</f>
        <v>3.0399999999999991</v>
      </c>
      <c r="AJ2062" s="525">
        <f ca="1">$A2062*$AI2062</f>
        <v>121.59999999999997</v>
      </c>
      <c r="AK2062" s="526">
        <f ca="1">ROUND(($AG2062+$AI2062)*$A2062,2)</f>
        <v>398</v>
      </c>
      <c r="AM2062" s="527">
        <f ca="1">ROUND(R2067,2)</f>
        <v>224.4</v>
      </c>
      <c r="AN2062" s="528">
        <f ca="1">ROUND(T2067,2)</f>
        <v>3.6</v>
      </c>
      <c r="AO2062" s="529">
        <f ca="1">ROUND(AM2062+AN2062,2)*A2062</f>
        <v>9120</v>
      </c>
      <c r="AR2062" s="747">
        <v>40</v>
      </c>
      <c r="AS2062" s="751">
        <v>411.6</v>
      </c>
    </row>
    <row r="2063" spans="1:45" s="520" customFormat="1" ht="13.2">
      <c r="A2063" s="748"/>
      <c r="B2063"/>
      <c r="C2063" s="748"/>
      <c r="D2063" s="749" t="s">
        <v>1440</v>
      </c>
      <c r="F2063" s="753"/>
      <c r="G2063" s="3"/>
      <c r="H2063" s="753"/>
      <c r="I2063" s="754"/>
      <c r="J2063" s="753"/>
      <c r="K2063" s="753" t="s">
        <v>144</v>
      </c>
      <c r="L2063" s="753"/>
      <c r="M2063" s="753"/>
      <c r="N2063" s="753"/>
      <c r="O2063" s="753"/>
      <c r="P2063" s="753"/>
      <c r="Q2063" s="51"/>
      <c r="R2063" s="530"/>
      <c r="S2063" s="757"/>
      <c r="T2063" s="753"/>
      <c r="AR2063" s="748"/>
      <c r="AS2063" s="753"/>
    </row>
    <row r="2064" spans="1:45" s="886" customFormat="1" ht="13.2">
      <c r="A2064"/>
      <c r="B2064" s="910"/>
      <c r="C2064" s="910" t="s">
        <v>2597</v>
      </c>
      <c r="D2064" s="910" t="str">
        <f ca="1">CELL("Address",Elec_Rates!D$437)</f>
        <v>[E25_0062_Quintano_Foods_Elec_ELV_As_Awarded.xlsx]Elec_Rates!$D$437</v>
      </c>
      <c r="E2064" s="911"/>
      <c r="F2064" s="911"/>
      <c r="G2064" s="912" t="s">
        <v>2598</v>
      </c>
      <c r="H2064" s="912"/>
      <c r="I2064" s="912"/>
      <c r="J2064" s="912"/>
      <c r="K2064" s="913"/>
      <c r="L2064" s="911"/>
      <c r="M2064" s="911"/>
      <c r="N2064" s="911"/>
      <c r="O2064" s="914"/>
      <c r="P2064" s="911"/>
      <c r="Q2064" s="915"/>
      <c r="R2064" s="916"/>
      <c r="S2064" s="915"/>
      <c r="T2064" s="917"/>
      <c r="U2064" s="918"/>
      <c r="AR2064"/>
      <c r="AS2064" s="911"/>
    </row>
    <row r="2065" spans="1:45" s="886" customFormat="1" ht="11.4">
      <c r="A2065" s="919">
        <v>40</v>
      </c>
      <c r="B2065" s="920">
        <v>1</v>
      </c>
      <c r="C2065" s="920">
        <f>$A2065*$B2065</f>
        <v>40</v>
      </c>
      <c r="D2065" s="921" t="str">
        <f>Elec_Rates!$D$437</f>
        <v>042# 5 x 6mm2 XLPE/SWA/LSZH</v>
      </c>
      <c r="E2065" s="921"/>
      <c r="F2065" s="921" t="s">
        <v>2599</v>
      </c>
      <c r="G2065" s="922" t="s">
        <v>2601</v>
      </c>
      <c r="H2065" s="922"/>
      <c r="I2065" s="922"/>
      <c r="J2065" s="922"/>
      <c r="K2065" s="923"/>
      <c r="L2065" s="918"/>
      <c r="M2065" s="918"/>
      <c r="N2065" s="918"/>
      <c r="O2065" s="924"/>
      <c r="P2065" s="921"/>
      <c r="Q2065" s="925">
        <f ca="1">$B2065*Elec_Rates!$R$437</f>
        <v>5.61</v>
      </c>
      <c r="R2065" s="916">
        <f ca="1">$A2065*Q2065</f>
        <v>224.4</v>
      </c>
      <c r="S2065" s="925">
        <f ca="1">$B2065*Elec_Rates!$T$437</f>
        <v>0.09</v>
      </c>
      <c r="T2065" s="917">
        <f ca="1">$A2065*S2065</f>
        <v>3.5999999999999996</v>
      </c>
      <c r="U2065" s="926"/>
      <c r="AR2065" s="919">
        <v>40</v>
      </c>
      <c r="AS2065" s="921" t="s">
        <v>2599</v>
      </c>
    </row>
    <row r="2066" spans="1:45" s="520" customFormat="1" ht="12">
      <c r="A2066" s="758"/>
      <c r="B2066" s="758"/>
      <c r="C2066" s="758"/>
      <c r="D2066" s="758"/>
      <c r="E2066" s="758"/>
      <c r="F2066" s="753"/>
      <c r="G2066" s="758"/>
      <c r="H2066" s="758"/>
      <c r="I2066" s="519"/>
      <c r="J2066" s="758"/>
      <c r="K2066" s="758"/>
      <c r="L2066" s="758"/>
      <c r="M2066" s="758"/>
      <c r="N2066" s="758"/>
      <c r="O2066" s="758"/>
      <c r="P2066" s="758"/>
      <c r="Q2066" s="519"/>
      <c r="R2066" s="759">
        <f>$A2066*Q2066</f>
        <v>0</v>
      </c>
      <c r="S2066" s="519"/>
      <c r="T2066" s="760">
        <f>$A2066*S2066*$T$1</f>
        <v>0</v>
      </c>
      <c r="AR2066" s="758"/>
      <c r="AS2066" s="753"/>
    </row>
    <row r="2067" spans="1:45" s="520" customFormat="1" ht="12.6" thickBot="1">
      <c r="A2067" s="761" t="s">
        <v>145</v>
      </c>
      <c r="B2067" s="762">
        <f>(R2066+T2066)</f>
        <v>0</v>
      </c>
      <c r="C2067" s="763"/>
      <c r="D2067" s="763"/>
      <c r="E2067" s="763"/>
      <c r="F2067" s="764"/>
      <c r="G2067" s="763" t="s">
        <v>146</v>
      </c>
      <c r="H2067" s="763"/>
      <c r="I2067" s="765"/>
      <c r="J2067" s="763"/>
      <c r="K2067" s="763" t="s">
        <v>3</v>
      </c>
      <c r="L2067" s="766" t="s">
        <v>143</v>
      </c>
      <c r="M2067" s="766"/>
      <c r="N2067" s="766"/>
      <c r="O2067" s="766"/>
      <c r="P2067" s="766"/>
      <c r="Q2067" s="767"/>
      <c r="R2067" s="768">
        <f ca="1">SUM(R2063:R2066)</f>
        <v>224.4</v>
      </c>
      <c r="S2067" s="763"/>
      <c r="T2067" s="768">
        <f ca="1">SUM(T2063:T2066)</f>
        <v>3.5999999999999996</v>
      </c>
      <c r="U2067" s="531"/>
      <c r="V2067" s="531"/>
      <c r="W2067" s="531"/>
      <c r="X2067" s="531"/>
      <c r="Y2067" s="531"/>
      <c r="Z2067" s="531"/>
      <c r="AA2067" s="531"/>
      <c r="AB2067" s="531"/>
      <c r="AC2067" s="531"/>
      <c r="AD2067" s="531"/>
      <c r="AE2067" s="531"/>
      <c r="AF2067" s="531"/>
      <c r="AG2067" s="531"/>
      <c r="AH2067" s="531"/>
      <c r="AI2067" s="531"/>
      <c r="AJ2067" s="531"/>
      <c r="AK2067" s="531"/>
      <c r="AL2067" s="531"/>
      <c r="AM2067" s="531"/>
      <c r="AN2067" s="531"/>
      <c r="AO2067" s="531"/>
      <c r="AR2067" s="761" t="s">
        <v>145</v>
      </c>
      <c r="AS2067" s="764"/>
    </row>
    <row r="2068" spans="1:45" s="520" customFormat="1" ht="12" thickTop="1">
      <c r="A2068" s="51"/>
      <c r="B2068" s="41"/>
      <c r="C2068" s="51"/>
      <c r="E2068" s="42" t="s">
        <v>138</v>
      </c>
      <c r="F2068" s="42" t="s">
        <v>139</v>
      </c>
      <c r="G2068" s="51"/>
      <c r="H2068" s="51"/>
      <c r="I2068" s="51"/>
      <c r="J2068" s="51"/>
      <c r="K2068" s="51" t="s">
        <v>140</v>
      </c>
      <c r="L2068" s="51"/>
      <c r="M2068" s="51"/>
      <c r="N2068" s="51"/>
      <c r="O2068" s="52"/>
      <c r="P2068" s="51"/>
      <c r="Q2068" s="51"/>
      <c r="R2068" s="51"/>
      <c r="S2068" s="51"/>
      <c r="T2068" s="41"/>
      <c r="AG2068" s="521" t="s">
        <v>268</v>
      </c>
      <c r="AH2068" s="521" t="s">
        <v>269</v>
      </c>
      <c r="AI2068" s="521" t="s">
        <v>270</v>
      </c>
      <c r="AJ2068" s="521" t="s">
        <v>271</v>
      </c>
      <c r="AK2068" s="521" t="s">
        <v>272</v>
      </c>
      <c r="AM2068" s="745" t="s">
        <v>281</v>
      </c>
      <c r="AN2068" s="746" t="s">
        <v>282</v>
      </c>
      <c r="AO2068" s="522" t="s">
        <v>278</v>
      </c>
      <c r="AR2068" s="51"/>
      <c r="AS2068" s="42" t="s">
        <v>139</v>
      </c>
    </row>
    <row r="2069" spans="1:45" s="520" customFormat="1" ht="12" customHeight="1">
      <c r="A2069" s="747">
        <v>40</v>
      </c>
      <c r="B2069" s="523" t="s">
        <v>320</v>
      </c>
      <c r="C2069" s="748"/>
      <c r="D2069" s="749" t="s">
        <v>1441</v>
      </c>
      <c r="E2069" s="750">
        <f ca="1">IF(AND($A2069=0,$A$1="DIF"),0, ROUND(ROUND(($R2074*$S$2+($T2074*$T$2))/A2069,2)*$C$2,2))</f>
        <v>9.9499999999999993</v>
      </c>
      <c r="F2069" s="751">
        <f ca="1">ROUND($A2069*$E2069,2)</f>
        <v>398</v>
      </c>
      <c r="G2069" s="752" t="s">
        <v>142</v>
      </c>
      <c r="H2069" s="753"/>
      <c r="I2069" s="754"/>
      <c r="J2069" s="753"/>
      <c r="K2069" s="753" t="s">
        <v>3</v>
      </c>
      <c r="L2069" s="755" t="s">
        <v>143</v>
      </c>
      <c r="M2069" s="755"/>
      <c r="N2069" s="755"/>
      <c r="O2069" s="755"/>
      <c r="P2069" s="755"/>
      <c r="Q2069" s="51"/>
      <c r="T2069" s="756" t="str">
        <f ca="1">IF(AND($R2074=0,$T2074=0),"0.00","mu :" &amp; ROUND($F2069/$C$2/($R2074+$T2074*$D$9),2))</f>
        <v>mu :1.23</v>
      </c>
      <c r="W2069" s="524"/>
      <c r="AG2069" s="481">
        <f ca="1">IF($E2069=0,0,ROUND($R2074*$S$2*$C$2/$A2069,2))</f>
        <v>6.91</v>
      </c>
      <c r="AH2069" s="481">
        <f ca="1">$AG2069*$A2069</f>
        <v>276.39999999999998</v>
      </c>
      <c r="AI2069" s="525">
        <f ca="1">$E2069-$AG2069</f>
        <v>3.0399999999999991</v>
      </c>
      <c r="AJ2069" s="525">
        <f ca="1">$A2069*$AI2069</f>
        <v>121.59999999999997</v>
      </c>
      <c r="AK2069" s="526">
        <f ca="1">ROUND(($AG2069+$AI2069)*$A2069,2)</f>
        <v>398</v>
      </c>
      <c r="AM2069" s="527">
        <f ca="1">ROUND(R2074,2)</f>
        <v>224.4</v>
      </c>
      <c r="AN2069" s="528">
        <f ca="1">ROUND(T2074,2)</f>
        <v>3.6</v>
      </c>
      <c r="AO2069" s="529">
        <f ca="1">ROUND(AM2069+AN2069,2)*A2069</f>
        <v>9120</v>
      </c>
      <c r="AR2069" s="747">
        <v>40</v>
      </c>
      <c r="AS2069" s="751">
        <v>411.6</v>
      </c>
    </row>
    <row r="2070" spans="1:45" s="520" customFormat="1" ht="13.2">
      <c r="A2070" s="748"/>
      <c r="B2070"/>
      <c r="C2070" s="748"/>
      <c r="D2070" s="749" t="s">
        <v>1442</v>
      </c>
      <c r="F2070" s="753"/>
      <c r="G2070" s="3"/>
      <c r="H2070" s="753"/>
      <c r="I2070" s="754"/>
      <c r="J2070" s="753"/>
      <c r="K2070" s="753" t="s">
        <v>144</v>
      </c>
      <c r="L2070" s="753"/>
      <c r="M2070" s="753"/>
      <c r="N2070" s="753"/>
      <c r="O2070" s="753"/>
      <c r="P2070" s="753"/>
      <c r="Q2070" s="51"/>
      <c r="R2070" s="530"/>
      <c r="S2070" s="757"/>
      <c r="T2070" s="753"/>
      <c r="AR2070" s="748"/>
      <c r="AS2070" s="753"/>
    </row>
    <row r="2071" spans="1:45" s="886" customFormat="1" ht="13.2">
      <c r="A2071"/>
      <c r="B2071" s="910"/>
      <c r="C2071" s="910" t="s">
        <v>2597</v>
      </c>
      <c r="D2071" s="910" t="str">
        <f ca="1">CELL("Address",Elec_Rates!D$437)</f>
        <v>[E25_0062_Quintano_Foods_Elec_ELV_As_Awarded.xlsx]Elec_Rates!$D$437</v>
      </c>
      <c r="E2071" s="911"/>
      <c r="F2071" s="911"/>
      <c r="G2071" s="912" t="s">
        <v>2598</v>
      </c>
      <c r="H2071" s="912"/>
      <c r="I2071" s="912"/>
      <c r="J2071" s="912"/>
      <c r="K2071" s="913"/>
      <c r="L2071" s="911"/>
      <c r="M2071" s="911"/>
      <c r="N2071" s="911"/>
      <c r="O2071" s="914"/>
      <c r="P2071" s="911"/>
      <c r="Q2071" s="915"/>
      <c r="R2071" s="916"/>
      <c r="S2071" s="915"/>
      <c r="T2071" s="917"/>
      <c r="U2071" s="918"/>
      <c r="AR2071"/>
      <c r="AS2071" s="911"/>
    </row>
    <row r="2072" spans="1:45" s="886" customFormat="1" ht="11.4">
      <c r="A2072" s="919">
        <v>40</v>
      </c>
      <c r="B2072" s="920">
        <v>1</v>
      </c>
      <c r="C2072" s="920">
        <f>$A2072*$B2072</f>
        <v>40</v>
      </c>
      <c r="D2072" s="921" t="str">
        <f>Elec_Rates!$D$437</f>
        <v>042# 5 x 6mm2 XLPE/SWA/LSZH</v>
      </c>
      <c r="E2072" s="921"/>
      <c r="F2072" s="921" t="s">
        <v>2599</v>
      </c>
      <c r="G2072" s="922" t="s">
        <v>2601</v>
      </c>
      <c r="H2072" s="922"/>
      <c r="I2072" s="922"/>
      <c r="J2072" s="922"/>
      <c r="K2072" s="923"/>
      <c r="L2072" s="918"/>
      <c r="M2072" s="918"/>
      <c r="N2072" s="918"/>
      <c r="O2072" s="924"/>
      <c r="P2072" s="921"/>
      <c r="Q2072" s="925">
        <f ca="1">$B2072*Elec_Rates!$R$437</f>
        <v>5.61</v>
      </c>
      <c r="R2072" s="916">
        <f ca="1">$A2072*Q2072</f>
        <v>224.4</v>
      </c>
      <c r="S2072" s="925">
        <f ca="1">$B2072*Elec_Rates!$T$437</f>
        <v>0.09</v>
      </c>
      <c r="T2072" s="917">
        <f ca="1">$A2072*S2072</f>
        <v>3.5999999999999996</v>
      </c>
      <c r="U2072" s="926"/>
      <c r="AR2072" s="919">
        <v>40</v>
      </c>
      <c r="AS2072" s="921" t="s">
        <v>2599</v>
      </c>
    </row>
    <row r="2073" spans="1:45" s="520" customFormat="1" ht="12">
      <c r="A2073" s="758"/>
      <c r="B2073" s="758"/>
      <c r="C2073" s="758"/>
      <c r="D2073" s="758"/>
      <c r="E2073" s="758"/>
      <c r="F2073" s="753"/>
      <c r="G2073" s="758"/>
      <c r="H2073" s="758"/>
      <c r="I2073" s="519"/>
      <c r="J2073" s="758"/>
      <c r="K2073" s="758"/>
      <c r="L2073" s="758"/>
      <c r="M2073" s="758"/>
      <c r="N2073" s="758"/>
      <c r="O2073" s="758"/>
      <c r="P2073" s="758"/>
      <c r="Q2073" s="519"/>
      <c r="R2073" s="759">
        <f>$A2073*Q2073</f>
        <v>0</v>
      </c>
      <c r="S2073" s="519"/>
      <c r="T2073" s="760">
        <f>$A2073*S2073*$T$1</f>
        <v>0</v>
      </c>
      <c r="AR2073" s="758"/>
      <c r="AS2073" s="753"/>
    </row>
    <row r="2074" spans="1:45" s="520" customFormat="1" ht="12.6" thickBot="1">
      <c r="A2074" s="761" t="s">
        <v>145</v>
      </c>
      <c r="B2074" s="762">
        <f>(R2073+T2073)</f>
        <v>0</v>
      </c>
      <c r="C2074" s="763"/>
      <c r="D2074" s="763"/>
      <c r="E2074" s="763"/>
      <c r="F2074" s="764"/>
      <c r="G2074" s="763" t="s">
        <v>146</v>
      </c>
      <c r="H2074" s="763"/>
      <c r="I2074" s="765"/>
      <c r="J2074" s="763"/>
      <c r="K2074" s="763" t="s">
        <v>3</v>
      </c>
      <c r="L2074" s="766" t="s">
        <v>143</v>
      </c>
      <c r="M2074" s="766"/>
      <c r="N2074" s="766"/>
      <c r="O2074" s="766"/>
      <c r="P2074" s="766"/>
      <c r="Q2074" s="767"/>
      <c r="R2074" s="768">
        <f ca="1">SUM(R2070:R2073)</f>
        <v>224.4</v>
      </c>
      <c r="S2074" s="763"/>
      <c r="T2074" s="768">
        <f ca="1">SUM(T2070:T2073)</f>
        <v>3.5999999999999996</v>
      </c>
      <c r="U2074" s="531"/>
      <c r="V2074" s="531"/>
      <c r="W2074" s="531"/>
      <c r="X2074" s="531"/>
      <c r="Y2074" s="531"/>
      <c r="Z2074" s="531"/>
      <c r="AA2074" s="531"/>
      <c r="AB2074" s="531"/>
      <c r="AC2074" s="531"/>
      <c r="AD2074" s="531"/>
      <c r="AE2074" s="531"/>
      <c r="AF2074" s="531"/>
      <c r="AG2074" s="531"/>
      <c r="AH2074" s="531"/>
      <c r="AI2074" s="531"/>
      <c r="AJ2074" s="531"/>
      <c r="AK2074" s="531"/>
      <c r="AL2074" s="531"/>
      <c r="AM2074" s="531"/>
      <c r="AN2074" s="531"/>
      <c r="AO2074" s="531"/>
      <c r="AR2074" s="761" t="s">
        <v>145</v>
      </c>
      <c r="AS2074" s="764"/>
    </row>
    <row r="2075" spans="1:45" s="520" customFormat="1" ht="12" thickTop="1">
      <c r="A2075" s="51"/>
      <c r="B2075" s="41"/>
      <c r="C2075" s="51"/>
      <c r="E2075" s="42" t="s">
        <v>138</v>
      </c>
      <c r="F2075" s="42" t="s">
        <v>139</v>
      </c>
      <c r="G2075" s="51"/>
      <c r="H2075" s="51"/>
      <c r="I2075" s="51"/>
      <c r="J2075" s="51"/>
      <c r="K2075" s="51" t="s">
        <v>140</v>
      </c>
      <c r="L2075" s="51"/>
      <c r="M2075" s="51"/>
      <c r="N2075" s="51"/>
      <c r="O2075" s="52"/>
      <c r="P2075" s="51"/>
      <c r="Q2075" s="51"/>
      <c r="R2075" s="51"/>
      <c r="S2075" s="51"/>
      <c r="T2075" s="41"/>
      <c r="AG2075" s="521" t="s">
        <v>268</v>
      </c>
      <c r="AH2075" s="521" t="s">
        <v>269</v>
      </c>
      <c r="AI2075" s="521" t="s">
        <v>270</v>
      </c>
      <c r="AJ2075" s="521" t="s">
        <v>271</v>
      </c>
      <c r="AK2075" s="521" t="s">
        <v>272</v>
      </c>
      <c r="AM2075" s="745" t="s">
        <v>281</v>
      </c>
      <c r="AN2075" s="746" t="s">
        <v>282</v>
      </c>
      <c r="AO2075" s="522" t="s">
        <v>278</v>
      </c>
      <c r="AR2075" s="51"/>
      <c r="AS2075" s="42" t="s">
        <v>139</v>
      </c>
    </row>
    <row r="2076" spans="1:45" s="520" customFormat="1" ht="12" customHeight="1">
      <c r="A2076" s="747">
        <v>40</v>
      </c>
      <c r="B2076" s="523" t="s">
        <v>320</v>
      </c>
      <c r="C2076" s="748"/>
      <c r="D2076" s="749" t="s">
        <v>1443</v>
      </c>
      <c r="E2076" s="750">
        <f ca="1">IF(AND($A2076=0,$A$1="DIF"),0, ROUND(ROUND(($R2081*$S$2+($T2081*$T$2))/A2076,2)*$C$2,2))</f>
        <v>9.9499999999999993</v>
      </c>
      <c r="F2076" s="751">
        <f ca="1">ROUND($A2076*$E2076,2)</f>
        <v>398</v>
      </c>
      <c r="G2076" s="752" t="s">
        <v>142</v>
      </c>
      <c r="H2076" s="753"/>
      <c r="I2076" s="754"/>
      <c r="J2076" s="753"/>
      <c r="K2076" s="753" t="s">
        <v>3</v>
      </c>
      <c r="L2076" s="755" t="s">
        <v>143</v>
      </c>
      <c r="M2076" s="755"/>
      <c r="N2076" s="755"/>
      <c r="O2076" s="755"/>
      <c r="P2076" s="755"/>
      <c r="Q2076" s="51"/>
      <c r="T2076" s="756" t="str">
        <f ca="1">IF(AND($R2081=0,$T2081=0),"0.00","mu :" &amp; ROUND($F2076/$C$2/($R2081+$T2081*$D$9),2))</f>
        <v>mu :1.23</v>
      </c>
      <c r="W2076" s="524"/>
      <c r="AG2076" s="481">
        <f ca="1">IF($E2076=0,0,ROUND($R2081*$S$2*$C$2/$A2076,2))</f>
        <v>6.91</v>
      </c>
      <c r="AH2076" s="481">
        <f ca="1">$AG2076*$A2076</f>
        <v>276.39999999999998</v>
      </c>
      <c r="AI2076" s="525">
        <f ca="1">$E2076-$AG2076</f>
        <v>3.0399999999999991</v>
      </c>
      <c r="AJ2076" s="525">
        <f ca="1">$A2076*$AI2076</f>
        <v>121.59999999999997</v>
      </c>
      <c r="AK2076" s="526">
        <f ca="1">ROUND(($AG2076+$AI2076)*$A2076,2)</f>
        <v>398</v>
      </c>
      <c r="AM2076" s="527">
        <f ca="1">ROUND(R2081,2)</f>
        <v>224.4</v>
      </c>
      <c r="AN2076" s="528">
        <f ca="1">ROUND(T2081,2)</f>
        <v>3.6</v>
      </c>
      <c r="AO2076" s="529">
        <f ca="1">ROUND(AM2076+AN2076,2)*A2076</f>
        <v>9120</v>
      </c>
      <c r="AR2076" s="747">
        <v>40</v>
      </c>
      <c r="AS2076" s="751">
        <v>411.6</v>
      </c>
    </row>
    <row r="2077" spans="1:45" s="520" customFormat="1" ht="13.2">
      <c r="A2077" s="748"/>
      <c r="B2077"/>
      <c r="C2077" s="748"/>
      <c r="D2077" s="749" t="s">
        <v>1444</v>
      </c>
      <c r="F2077" s="753"/>
      <c r="G2077" s="3"/>
      <c r="H2077" s="753"/>
      <c r="I2077" s="754"/>
      <c r="J2077" s="753"/>
      <c r="K2077" s="753" t="s">
        <v>144</v>
      </c>
      <c r="L2077" s="753"/>
      <c r="M2077" s="753"/>
      <c r="N2077" s="753"/>
      <c r="O2077" s="753"/>
      <c r="P2077" s="753"/>
      <c r="Q2077" s="51"/>
      <c r="R2077" s="530"/>
      <c r="S2077" s="757"/>
      <c r="T2077" s="753"/>
      <c r="AR2077" s="748"/>
      <c r="AS2077" s="753"/>
    </row>
    <row r="2078" spans="1:45" s="886" customFormat="1" ht="13.2">
      <c r="A2078"/>
      <c r="B2078" s="910"/>
      <c r="C2078" s="910" t="s">
        <v>2597</v>
      </c>
      <c r="D2078" s="910" t="str">
        <f ca="1">CELL("Address",Elec_Rates!D$437)</f>
        <v>[E25_0062_Quintano_Foods_Elec_ELV_As_Awarded.xlsx]Elec_Rates!$D$437</v>
      </c>
      <c r="E2078" s="911"/>
      <c r="F2078" s="911"/>
      <c r="G2078" s="912" t="s">
        <v>2598</v>
      </c>
      <c r="H2078" s="912"/>
      <c r="I2078" s="912"/>
      <c r="J2078" s="912"/>
      <c r="K2078" s="913"/>
      <c r="L2078" s="911"/>
      <c r="M2078" s="911"/>
      <c r="N2078" s="911"/>
      <c r="O2078" s="914"/>
      <c r="P2078" s="911"/>
      <c r="Q2078" s="915"/>
      <c r="R2078" s="916"/>
      <c r="S2078" s="915"/>
      <c r="T2078" s="917"/>
      <c r="U2078" s="918"/>
      <c r="AR2078"/>
      <c r="AS2078" s="911"/>
    </row>
    <row r="2079" spans="1:45" s="886" customFormat="1" ht="11.4">
      <c r="A2079" s="919">
        <v>40</v>
      </c>
      <c r="B2079" s="920">
        <v>1</v>
      </c>
      <c r="C2079" s="920">
        <f>$A2079*$B2079</f>
        <v>40</v>
      </c>
      <c r="D2079" s="921" t="str">
        <f>Elec_Rates!$D$437</f>
        <v>042# 5 x 6mm2 XLPE/SWA/LSZH</v>
      </c>
      <c r="E2079" s="921"/>
      <c r="F2079" s="921" t="s">
        <v>2599</v>
      </c>
      <c r="G2079" s="922" t="s">
        <v>2601</v>
      </c>
      <c r="H2079" s="922"/>
      <c r="I2079" s="922"/>
      <c r="J2079" s="922"/>
      <c r="K2079" s="923"/>
      <c r="L2079" s="918"/>
      <c r="M2079" s="918"/>
      <c r="N2079" s="918"/>
      <c r="O2079" s="924"/>
      <c r="P2079" s="921"/>
      <c r="Q2079" s="925">
        <f ca="1">$B2079*Elec_Rates!$R$437</f>
        <v>5.61</v>
      </c>
      <c r="R2079" s="916">
        <f ca="1">$A2079*Q2079</f>
        <v>224.4</v>
      </c>
      <c r="S2079" s="925">
        <f ca="1">$B2079*Elec_Rates!$T$437</f>
        <v>0.09</v>
      </c>
      <c r="T2079" s="917">
        <f ca="1">$A2079*S2079</f>
        <v>3.5999999999999996</v>
      </c>
      <c r="U2079" s="926"/>
      <c r="AR2079" s="919">
        <v>40</v>
      </c>
      <c r="AS2079" s="921" t="s">
        <v>2599</v>
      </c>
    </row>
    <row r="2080" spans="1:45" s="520" customFormat="1" ht="12">
      <c r="A2080" s="758"/>
      <c r="B2080" s="758"/>
      <c r="C2080" s="758"/>
      <c r="D2080" s="758"/>
      <c r="E2080" s="758"/>
      <c r="F2080" s="753"/>
      <c r="G2080" s="758"/>
      <c r="H2080" s="758"/>
      <c r="I2080" s="519"/>
      <c r="J2080" s="758"/>
      <c r="K2080" s="758"/>
      <c r="L2080" s="758"/>
      <c r="M2080" s="758"/>
      <c r="N2080" s="758"/>
      <c r="O2080" s="758"/>
      <c r="P2080" s="758"/>
      <c r="Q2080" s="519"/>
      <c r="R2080" s="759">
        <f>$A2080*Q2080</f>
        <v>0</v>
      </c>
      <c r="S2080" s="519"/>
      <c r="T2080" s="760">
        <f>$A2080*S2080*$T$1</f>
        <v>0</v>
      </c>
      <c r="AR2080" s="758"/>
      <c r="AS2080" s="753"/>
    </row>
    <row r="2081" spans="1:45" s="520" customFormat="1" ht="12.6" thickBot="1">
      <c r="A2081" s="761" t="s">
        <v>145</v>
      </c>
      <c r="B2081" s="762">
        <f>(R2080+T2080)</f>
        <v>0</v>
      </c>
      <c r="C2081" s="763"/>
      <c r="D2081" s="763"/>
      <c r="E2081" s="763"/>
      <c r="F2081" s="764"/>
      <c r="G2081" s="763" t="s">
        <v>146</v>
      </c>
      <c r="H2081" s="763"/>
      <c r="I2081" s="765"/>
      <c r="J2081" s="763"/>
      <c r="K2081" s="763" t="s">
        <v>3</v>
      </c>
      <c r="L2081" s="766" t="s">
        <v>143</v>
      </c>
      <c r="M2081" s="766"/>
      <c r="N2081" s="766"/>
      <c r="O2081" s="766"/>
      <c r="P2081" s="766"/>
      <c r="Q2081" s="767"/>
      <c r="R2081" s="768">
        <f ca="1">SUM(R2077:R2080)</f>
        <v>224.4</v>
      </c>
      <c r="S2081" s="763"/>
      <c r="T2081" s="768">
        <f ca="1">SUM(T2077:T2080)</f>
        <v>3.5999999999999996</v>
      </c>
      <c r="U2081" s="531"/>
      <c r="V2081" s="531"/>
      <c r="W2081" s="531"/>
      <c r="X2081" s="531"/>
      <c r="Y2081" s="531"/>
      <c r="Z2081" s="531"/>
      <c r="AA2081" s="531"/>
      <c r="AB2081" s="531"/>
      <c r="AC2081" s="531"/>
      <c r="AD2081" s="531"/>
      <c r="AE2081" s="531"/>
      <c r="AF2081" s="531"/>
      <c r="AG2081" s="531"/>
      <c r="AH2081" s="531"/>
      <c r="AI2081" s="531"/>
      <c r="AJ2081" s="531"/>
      <c r="AK2081" s="531"/>
      <c r="AL2081" s="531"/>
      <c r="AM2081" s="531"/>
      <c r="AN2081" s="531"/>
      <c r="AO2081" s="531"/>
      <c r="AR2081" s="761" t="s">
        <v>145</v>
      </c>
      <c r="AS2081" s="764"/>
    </row>
    <row r="2082" spans="1:45" s="520" customFormat="1" ht="12" thickTop="1">
      <c r="A2082" s="51"/>
      <c r="B2082" s="41"/>
      <c r="C2082" s="51"/>
      <c r="E2082" s="42" t="s">
        <v>138</v>
      </c>
      <c r="F2082" s="42" t="s">
        <v>139</v>
      </c>
      <c r="G2082" s="51"/>
      <c r="H2082" s="51"/>
      <c r="I2082" s="51"/>
      <c r="J2082" s="51"/>
      <c r="K2082" s="51" t="s">
        <v>140</v>
      </c>
      <c r="L2082" s="51"/>
      <c r="M2082" s="51"/>
      <c r="N2082" s="51"/>
      <c r="O2082" s="52"/>
      <c r="P2082" s="51"/>
      <c r="Q2082" s="51"/>
      <c r="R2082" s="51"/>
      <c r="S2082" s="51"/>
      <c r="T2082" s="41"/>
      <c r="AG2082" s="521" t="s">
        <v>268</v>
      </c>
      <c r="AH2082" s="521" t="s">
        <v>269</v>
      </c>
      <c r="AI2082" s="521" t="s">
        <v>270</v>
      </c>
      <c r="AJ2082" s="521" t="s">
        <v>271</v>
      </c>
      <c r="AK2082" s="521" t="s">
        <v>272</v>
      </c>
      <c r="AM2082" s="745" t="s">
        <v>281</v>
      </c>
      <c r="AN2082" s="746" t="s">
        <v>282</v>
      </c>
      <c r="AO2082" s="522" t="s">
        <v>278</v>
      </c>
      <c r="AR2082" s="51"/>
      <c r="AS2082" s="42" t="s">
        <v>139</v>
      </c>
    </row>
    <row r="2083" spans="1:45" s="520" customFormat="1" ht="12" customHeight="1">
      <c r="A2083" s="747">
        <v>40</v>
      </c>
      <c r="B2083" s="523" t="s">
        <v>320</v>
      </c>
      <c r="C2083" s="748"/>
      <c r="D2083" s="749" t="s">
        <v>1445</v>
      </c>
      <c r="E2083" s="750">
        <f ca="1">IF(AND($A2083=0,$A$1="DIF"),0, ROUND(ROUND(($R2088*$S$2+($T2088*$T$2))/A2083,2)*$C$2,2))</f>
        <v>9.9499999999999993</v>
      </c>
      <c r="F2083" s="751">
        <f ca="1">ROUND($A2083*$E2083,2)</f>
        <v>398</v>
      </c>
      <c r="G2083" s="752" t="s">
        <v>142</v>
      </c>
      <c r="H2083" s="753"/>
      <c r="I2083" s="754"/>
      <c r="J2083" s="753"/>
      <c r="K2083" s="753" t="s">
        <v>3</v>
      </c>
      <c r="L2083" s="755" t="s">
        <v>143</v>
      </c>
      <c r="M2083" s="755"/>
      <c r="N2083" s="755"/>
      <c r="O2083" s="755"/>
      <c r="P2083" s="755"/>
      <c r="Q2083" s="51"/>
      <c r="T2083" s="756" t="str">
        <f ca="1">IF(AND($R2088=0,$T2088=0),"0.00","mu :" &amp; ROUND($F2083/$C$2/($R2088+$T2088*$D$9),2))</f>
        <v>mu :1.23</v>
      </c>
      <c r="W2083" s="524"/>
      <c r="AG2083" s="481">
        <f ca="1">IF($E2083=0,0,ROUND($R2088*$S$2*$C$2/$A2083,2))</f>
        <v>6.91</v>
      </c>
      <c r="AH2083" s="481">
        <f ca="1">$AG2083*$A2083</f>
        <v>276.39999999999998</v>
      </c>
      <c r="AI2083" s="525">
        <f ca="1">$E2083-$AG2083</f>
        <v>3.0399999999999991</v>
      </c>
      <c r="AJ2083" s="525">
        <f ca="1">$A2083*$AI2083</f>
        <v>121.59999999999997</v>
      </c>
      <c r="AK2083" s="526">
        <f ca="1">ROUND(($AG2083+$AI2083)*$A2083,2)</f>
        <v>398</v>
      </c>
      <c r="AM2083" s="527">
        <f ca="1">ROUND(R2088,2)</f>
        <v>224.4</v>
      </c>
      <c r="AN2083" s="528">
        <f ca="1">ROUND(T2088,2)</f>
        <v>3.6</v>
      </c>
      <c r="AO2083" s="529">
        <f ca="1">ROUND(AM2083+AN2083,2)*A2083</f>
        <v>9120</v>
      </c>
      <c r="AR2083" s="747">
        <v>40</v>
      </c>
      <c r="AS2083" s="751">
        <v>411.6</v>
      </c>
    </row>
    <row r="2084" spans="1:45" s="520" customFormat="1" ht="13.2">
      <c r="A2084" s="748"/>
      <c r="B2084"/>
      <c r="C2084" s="748"/>
      <c r="D2084" s="749" t="s">
        <v>1446</v>
      </c>
      <c r="F2084" s="753"/>
      <c r="G2084" s="3"/>
      <c r="H2084" s="753"/>
      <c r="I2084" s="754"/>
      <c r="J2084" s="753"/>
      <c r="K2084" s="753" t="s">
        <v>144</v>
      </c>
      <c r="L2084" s="753"/>
      <c r="M2084" s="753"/>
      <c r="N2084" s="753"/>
      <c r="O2084" s="753"/>
      <c r="P2084" s="753"/>
      <c r="Q2084" s="51"/>
      <c r="R2084" s="530"/>
      <c r="S2084" s="757"/>
      <c r="T2084" s="753"/>
      <c r="AR2084" s="748"/>
      <c r="AS2084" s="753"/>
    </row>
    <row r="2085" spans="1:45" s="886" customFormat="1" ht="13.2">
      <c r="A2085"/>
      <c r="B2085" s="910"/>
      <c r="C2085" s="910" t="s">
        <v>2597</v>
      </c>
      <c r="D2085" s="910" t="str">
        <f ca="1">CELL("Address",Elec_Rates!D$437)</f>
        <v>[E25_0062_Quintano_Foods_Elec_ELV_As_Awarded.xlsx]Elec_Rates!$D$437</v>
      </c>
      <c r="E2085" s="911"/>
      <c r="F2085" s="911"/>
      <c r="G2085" s="912" t="s">
        <v>2598</v>
      </c>
      <c r="H2085" s="912"/>
      <c r="I2085" s="912"/>
      <c r="J2085" s="912"/>
      <c r="K2085" s="913"/>
      <c r="L2085" s="911"/>
      <c r="M2085" s="911"/>
      <c r="N2085" s="911"/>
      <c r="O2085" s="914"/>
      <c r="P2085" s="911"/>
      <c r="Q2085" s="915"/>
      <c r="R2085" s="916"/>
      <c r="S2085" s="915"/>
      <c r="T2085" s="917"/>
      <c r="U2085" s="918"/>
      <c r="AR2085"/>
      <c r="AS2085" s="911"/>
    </row>
    <row r="2086" spans="1:45" s="886" customFormat="1" ht="11.4">
      <c r="A2086" s="919">
        <v>40</v>
      </c>
      <c r="B2086" s="920">
        <v>1</v>
      </c>
      <c r="C2086" s="920">
        <f>$A2086*$B2086</f>
        <v>40</v>
      </c>
      <c r="D2086" s="921" t="str">
        <f>Elec_Rates!$D$437</f>
        <v>042# 5 x 6mm2 XLPE/SWA/LSZH</v>
      </c>
      <c r="E2086" s="921"/>
      <c r="F2086" s="921" t="s">
        <v>2599</v>
      </c>
      <c r="G2086" s="922" t="s">
        <v>2601</v>
      </c>
      <c r="H2086" s="922"/>
      <c r="I2086" s="922"/>
      <c r="J2086" s="922"/>
      <c r="K2086" s="923"/>
      <c r="L2086" s="918"/>
      <c r="M2086" s="918"/>
      <c r="N2086" s="918"/>
      <c r="O2086" s="924"/>
      <c r="P2086" s="921"/>
      <c r="Q2086" s="925">
        <f ca="1">$B2086*Elec_Rates!$R$437</f>
        <v>5.61</v>
      </c>
      <c r="R2086" s="916">
        <f ca="1">$A2086*Q2086</f>
        <v>224.4</v>
      </c>
      <c r="S2086" s="925">
        <f ca="1">$B2086*Elec_Rates!$T$437</f>
        <v>0.09</v>
      </c>
      <c r="T2086" s="917">
        <f ca="1">$A2086*S2086</f>
        <v>3.5999999999999996</v>
      </c>
      <c r="U2086" s="926"/>
      <c r="AR2086" s="919">
        <v>40</v>
      </c>
      <c r="AS2086" s="921" t="s">
        <v>2599</v>
      </c>
    </row>
    <row r="2087" spans="1:45" s="520" customFormat="1" ht="12">
      <c r="A2087" s="758"/>
      <c r="B2087" s="758"/>
      <c r="C2087" s="758"/>
      <c r="D2087" s="758"/>
      <c r="E2087" s="758"/>
      <c r="F2087" s="753"/>
      <c r="G2087" s="758"/>
      <c r="H2087" s="758"/>
      <c r="I2087" s="519"/>
      <c r="J2087" s="758"/>
      <c r="K2087" s="758"/>
      <c r="L2087" s="758"/>
      <c r="M2087" s="758"/>
      <c r="N2087" s="758"/>
      <c r="O2087" s="758"/>
      <c r="P2087" s="758"/>
      <c r="Q2087" s="519"/>
      <c r="R2087" s="759">
        <f>$A2087*Q2087</f>
        <v>0</v>
      </c>
      <c r="S2087" s="519"/>
      <c r="T2087" s="760">
        <f>$A2087*S2087*$T$1</f>
        <v>0</v>
      </c>
      <c r="AR2087" s="758"/>
      <c r="AS2087" s="753"/>
    </row>
    <row r="2088" spans="1:45" s="520" customFormat="1" ht="12.6" thickBot="1">
      <c r="A2088" s="761" t="s">
        <v>145</v>
      </c>
      <c r="B2088" s="762">
        <f>(R2087+T2087)</f>
        <v>0</v>
      </c>
      <c r="C2088" s="763"/>
      <c r="D2088" s="763"/>
      <c r="E2088" s="763"/>
      <c r="F2088" s="764"/>
      <c r="G2088" s="763" t="s">
        <v>146</v>
      </c>
      <c r="H2088" s="763"/>
      <c r="I2088" s="765"/>
      <c r="J2088" s="763"/>
      <c r="K2088" s="763" t="s">
        <v>3</v>
      </c>
      <c r="L2088" s="766" t="s">
        <v>143</v>
      </c>
      <c r="M2088" s="766"/>
      <c r="N2088" s="766"/>
      <c r="O2088" s="766"/>
      <c r="P2088" s="766"/>
      <c r="Q2088" s="767"/>
      <c r="R2088" s="768">
        <f ca="1">SUM(R2084:R2087)</f>
        <v>224.4</v>
      </c>
      <c r="S2088" s="763"/>
      <c r="T2088" s="768">
        <f ca="1">SUM(T2084:T2087)</f>
        <v>3.5999999999999996</v>
      </c>
      <c r="U2088" s="531"/>
      <c r="V2088" s="531"/>
      <c r="W2088" s="531"/>
      <c r="X2088" s="531"/>
      <c r="Y2088" s="531"/>
      <c r="Z2088" s="531"/>
      <c r="AA2088" s="531"/>
      <c r="AB2088" s="531"/>
      <c r="AC2088" s="531"/>
      <c r="AD2088" s="531"/>
      <c r="AE2088" s="531"/>
      <c r="AF2088" s="531"/>
      <c r="AG2088" s="531"/>
      <c r="AH2088" s="531"/>
      <c r="AI2088" s="531"/>
      <c r="AJ2088" s="531"/>
      <c r="AK2088" s="531"/>
      <c r="AL2088" s="531"/>
      <c r="AM2088" s="531"/>
      <c r="AN2088" s="531"/>
      <c r="AO2088" s="531"/>
      <c r="AR2088" s="761" t="s">
        <v>145</v>
      </c>
      <c r="AS2088" s="764"/>
    </row>
    <row r="2089" spans="1:45" s="520" customFormat="1" ht="12" thickTop="1">
      <c r="A2089" s="51"/>
      <c r="B2089" s="41"/>
      <c r="C2089" s="51"/>
      <c r="E2089" s="42" t="s">
        <v>138</v>
      </c>
      <c r="F2089" s="42" t="s">
        <v>139</v>
      </c>
      <c r="G2089" s="51"/>
      <c r="H2089" s="51"/>
      <c r="I2089" s="51"/>
      <c r="J2089" s="51"/>
      <c r="K2089" s="51" t="s">
        <v>140</v>
      </c>
      <c r="L2089" s="51"/>
      <c r="M2089" s="51"/>
      <c r="N2089" s="51"/>
      <c r="O2089" s="52"/>
      <c r="P2089" s="51"/>
      <c r="Q2089" s="51"/>
      <c r="R2089" s="51"/>
      <c r="S2089" s="51"/>
      <c r="T2089" s="41"/>
      <c r="AG2089" s="521" t="s">
        <v>268</v>
      </c>
      <c r="AH2089" s="521" t="s">
        <v>269</v>
      </c>
      <c r="AI2089" s="521" t="s">
        <v>270</v>
      </c>
      <c r="AJ2089" s="521" t="s">
        <v>271</v>
      </c>
      <c r="AK2089" s="521" t="s">
        <v>272</v>
      </c>
      <c r="AM2089" s="745" t="s">
        <v>281</v>
      </c>
      <c r="AN2089" s="746" t="s">
        <v>282</v>
      </c>
      <c r="AO2089" s="522" t="s">
        <v>278</v>
      </c>
      <c r="AR2089" s="51"/>
      <c r="AS2089" s="42" t="s">
        <v>139</v>
      </c>
    </row>
    <row r="2090" spans="1:45" s="520" customFormat="1" ht="12" customHeight="1">
      <c r="A2090" s="747">
        <v>40</v>
      </c>
      <c r="B2090" s="523" t="s">
        <v>320</v>
      </c>
      <c r="C2090" s="748"/>
      <c r="D2090" s="749" t="s">
        <v>1447</v>
      </c>
      <c r="E2090" s="750">
        <f ca="1">IF(AND($A2090=0,$A$1="DIF"),0, ROUND(ROUND(($R2095*$S$2+($T2095*$T$2))/A2090,2)*$C$2,2))</f>
        <v>9.9499999999999993</v>
      </c>
      <c r="F2090" s="751">
        <f ca="1">ROUND($A2090*$E2090,2)</f>
        <v>398</v>
      </c>
      <c r="G2090" s="752" t="s">
        <v>142</v>
      </c>
      <c r="H2090" s="753"/>
      <c r="I2090" s="754"/>
      <c r="J2090" s="753"/>
      <c r="K2090" s="753" t="s">
        <v>3</v>
      </c>
      <c r="L2090" s="755" t="s">
        <v>143</v>
      </c>
      <c r="M2090" s="755"/>
      <c r="N2090" s="755"/>
      <c r="O2090" s="755"/>
      <c r="P2090" s="755"/>
      <c r="Q2090" s="51"/>
      <c r="T2090" s="756" t="str">
        <f ca="1">IF(AND($R2095=0,$T2095=0),"0.00","mu :" &amp; ROUND($F2090/$C$2/($R2095+$T2095*$D$9),2))</f>
        <v>mu :1.23</v>
      </c>
      <c r="W2090" s="524"/>
      <c r="AG2090" s="481">
        <f ca="1">IF($E2090=0,0,ROUND($R2095*$S$2*$C$2/$A2090,2))</f>
        <v>6.91</v>
      </c>
      <c r="AH2090" s="481">
        <f ca="1">$AG2090*$A2090</f>
        <v>276.39999999999998</v>
      </c>
      <c r="AI2090" s="525">
        <f ca="1">$E2090-$AG2090</f>
        <v>3.0399999999999991</v>
      </c>
      <c r="AJ2090" s="525">
        <f ca="1">$A2090*$AI2090</f>
        <v>121.59999999999997</v>
      </c>
      <c r="AK2090" s="526">
        <f ca="1">ROUND(($AG2090+$AI2090)*$A2090,2)</f>
        <v>398</v>
      </c>
      <c r="AM2090" s="527">
        <f ca="1">ROUND(R2095,2)</f>
        <v>224.4</v>
      </c>
      <c r="AN2090" s="528">
        <f ca="1">ROUND(T2095,2)</f>
        <v>3.6</v>
      </c>
      <c r="AO2090" s="529">
        <f ca="1">ROUND(AM2090+AN2090,2)*A2090</f>
        <v>9120</v>
      </c>
      <c r="AR2090" s="747">
        <v>40</v>
      </c>
      <c r="AS2090" s="751">
        <v>411.6</v>
      </c>
    </row>
    <row r="2091" spans="1:45" s="520" customFormat="1" ht="13.2">
      <c r="A2091" s="748"/>
      <c r="B2091"/>
      <c r="C2091" s="748"/>
      <c r="D2091" s="749" t="s">
        <v>1448</v>
      </c>
      <c r="F2091" s="753"/>
      <c r="G2091" s="3"/>
      <c r="H2091" s="753"/>
      <c r="I2091" s="754"/>
      <c r="J2091" s="753"/>
      <c r="K2091" s="753" t="s">
        <v>144</v>
      </c>
      <c r="L2091" s="753"/>
      <c r="M2091" s="753"/>
      <c r="N2091" s="753"/>
      <c r="O2091" s="753"/>
      <c r="P2091" s="753"/>
      <c r="Q2091" s="51"/>
      <c r="R2091" s="530"/>
      <c r="S2091" s="757"/>
      <c r="T2091" s="753"/>
      <c r="AR2091" s="748"/>
      <c r="AS2091" s="753"/>
    </row>
    <row r="2092" spans="1:45" s="886" customFormat="1" ht="13.2">
      <c r="A2092"/>
      <c r="B2092" s="910"/>
      <c r="C2092" s="910" t="s">
        <v>2597</v>
      </c>
      <c r="D2092" s="910" t="str">
        <f ca="1">CELL("Address",Elec_Rates!D$437)</f>
        <v>[E25_0062_Quintano_Foods_Elec_ELV_As_Awarded.xlsx]Elec_Rates!$D$437</v>
      </c>
      <c r="E2092" s="911"/>
      <c r="F2092" s="911"/>
      <c r="G2092" s="912" t="s">
        <v>2598</v>
      </c>
      <c r="H2092" s="912"/>
      <c r="I2092" s="912"/>
      <c r="J2092" s="912"/>
      <c r="K2092" s="913"/>
      <c r="L2092" s="911"/>
      <c r="M2092" s="911"/>
      <c r="N2092" s="911"/>
      <c r="O2092" s="914"/>
      <c r="P2092" s="911"/>
      <c r="Q2092" s="915"/>
      <c r="R2092" s="916"/>
      <c r="S2092" s="915"/>
      <c r="T2092" s="917"/>
      <c r="U2092" s="918"/>
      <c r="AR2092"/>
      <c r="AS2092" s="911"/>
    </row>
    <row r="2093" spans="1:45" s="886" customFormat="1" ht="11.4">
      <c r="A2093" s="919">
        <v>40</v>
      </c>
      <c r="B2093" s="920">
        <v>1</v>
      </c>
      <c r="C2093" s="920">
        <f>$A2093*$B2093</f>
        <v>40</v>
      </c>
      <c r="D2093" s="921" t="str">
        <f>Elec_Rates!$D$437</f>
        <v>042# 5 x 6mm2 XLPE/SWA/LSZH</v>
      </c>
      <c r="E2093" s="921"/>
      <c r="F2093" s="921" t="s">
        <v>2599</v>
      </c>
      <c r="G2093" s="922" t="s">
        <v>2601</v>
      </c>
      <c r="H2093" s="922"/>
      <c r="I2093" s="922"/>
      <c r="J2093" s="922"/>
      <c r="K2093" s="923"/>
      <c r="L2093" s="918"/>
      <c r="M2093" s="918"/>
      <c r="N2093" s="918"/>
      <c r="O2093" s="924"/>
      <c r="P2093" s="921"/>
      <c r="Q2093" s="925">
        <f ca="1">$B2093*Elec_Rates!$R$437</f>
        <v>5.61</v>
      </c>
      <c r="R2093" s="916">
        <f ca="1">$A2093*Q2093</f>
        <v>224.4</v>
      </c>
      <c r="S2093" s="925">
        <f ca="1">$B2093*Elec_Rates!$T$437</f>
        <v>0.09</v>
      </c>
      <c r="T2093" s="917">
        <f ca="1">$A2093*S2093</f>
        <v>3.5999999999999996</v>
      </c>
      <c r="U2093" s="926"/>
      <c r="AR2093" s="919">
        <v>40</v>
      </c>
      <c r="AS2093" s="921" t="s">
        <v>2599</v>
      </c>
    </row>
    <row r="2094" spans="1:45" s="520" customFormat="1" ht="12">
      <c r="A2094" s="758"/>
      <c r="B2094" s="758"/>
      <c r="C2094" s="758"/>
      <c r="D2094" s="758"/>
      <c r="E2094" s="758"/>
      <c r="F2094" s="753"/>
      <c r="G2094" s="758"/>
      <c r="H2094" s="758"/>
      <c r="I2094" s="519"/>
      <c r="J2094" s="758"/>
      <c r="K2094" s="758"/>
      <c r="L2094" s="758"/>
      <c r="M2094" s="758"/>
      <c r="N2094" s="758"/>
      <c r="O2094" s="758"/>
      <c r="P2094" s="758"/>
      <c r="Q2094" s="519"/>
      <c r="R2094" s="759">
        <f>$A2094*Q2094</f>
        <v>0</v>
      </c>
      <c r="S2094" s="519"/>
      <c r="T2094" s="760">
        <f>$A2094*S2094*$T$1</f>
        <v>0</v>
      </c>
      <c r="AR2094" s="758"/>
      <c r="AS2094" s="753"/>
    </row>
    <row r="2095" spans="1:45" s="520" customFormat="1" ht="12.6" thickBot="1">
      <c r="A2095" s="761" t="s">
        <v>145</v>
      </c>
      <c r="B2095" s="762">
        <f>(R2094+T2094)</f>
        <v>0</v>
      </c>
      <c r="C2095" s="763"/>
      <c r="D2095" s="763"/>
      <c r="E2095" s="763"/>
      <c r="F2095" s="764"/>
      <c r="G2095" s="763" t="s">
        <v>146</v>
      </c>
      <c r="H2095" s="763"/>
      <c r="I2095" s="765"/>
      <c r="J2095" s="763"/>
      <c r="K2095" s="763" t="s">
        <v>3</v>
      </c>
      <c r="L2095" s="766" t="s">
        <v>143</v>
      </c>
      <c r="M2095" s="766"/>
      <c r="N2095" s="766"/>
      <c r="O2095" s="766"/>
      <c r="P2095" s="766"/>
      <c r="Q2095" s="767"/>
      <c r="R2095" s="768">
        <f ca="1">SUM(R2091:R2094)</f>
        <v>224.4</v>
      </c>
      <c r="S2095" s="763"/>
      <c r="T2095" s="768">
        <f ca="1">SUM(T2091:T2094)</f>
        <v>3.5999999999999996</v>
      </c>
      <c r="U2095" s="531"/>
      <c r="V2095" s="531"/>
      <c r="W2095" s="531"/>
      <c r="X2095" s="531"/>
      <c r="Y2095" s="531"/>
      <c r="Z2095" s="531"/>
      <c r="AA2095" s="531"/>
      <c r="AB2095" s="531"/>
      <c r="AC2095" s="531"/>
      <c r="AD2095" s="531"/>
      <c r="AE2095" s="531"/>
      <c r="AF2095" s="531"/>
      <c r="AG2095" s="531"/>
      <c r="AH2095" s="531"/>
      <c r="AI2095" s="531"/>
      <c r="AJ2095" s="531"/>
      <c r="AK2095" s="531"/>
      <c r="AL2095" s="531"/>
      <c r="AM2095" s="531"/>
      <c r="AN2095" s="531"/>
      <c r="AO2095" s="531"/>
      <c r="AR2095" s="761" t="s">
        <v>145</v>
      </c>
      <c r="AS2095" s="764"/>
    </row>
    <row r="2096" spans="1:45" s="520" customFormat="1" thickTop="1">
      <c r="A2096" s="51"/>
      <c r="B2096" s="51"/>
      <c r="C2096" s="3"/>
      <c r="D2096" s="3"/>
      <c r="E2096" s="51"/>
      <c r="F2096" s="51"/>
      <c r="G2096" s="51"/>
      <c r="H2096" s="51"/>
      <c r="I2096" s="51"/>
      <c r="J2096" s="51"/>
      <c r="K2096" s="51" t="s">
        <v>134</v>
      </c>
      <c r="L2096" s="51"/>
      <c r="M2096" s="51"/>
      <c r="N2096" s="51"/>
      <c r="O2096" s="52"/>
      <c r="P2096" s="51"/>
      <c r="Q2096" s="51"/>
      <c r="R2096" s="51"/>
      <c r="S2096" s="51"/>
      <c r="T2096" s="51"/>
      <c r="AR2096" s="51"/>
      <c r="AS2096" s="51"/>
    </row>
    <row r="2097" spans="1:45" s="520" customFormat="1" ht="12">
      <c r="A2097" s="51"/>
      <c r="B2097" s="51"/>
      <c r="C2097" s="51" t="s">
        <v>135</v>
      </c>
      <c r="D2097" s="37"/>
      <c r="E2097" s="51"/>
      <c r="F2097" s="51"/>
      <c r="G2097" s="51"/>
      <c r="H2097" s="51"/>
      <c r="I2097" s="51"/>
      <c r="J2097" s="51"/>
      <c r="K2097" s="51"/>
      <c r="L2097" s="51"/>
      <c r="M2097" s="51"/>
      <c r="N2097" s="51"/>
      <c r="O2097" s="52"/>
      <c r="P2097" s="51"/>
      <c r="Q2097" s="51"/>
      <c r="R2097" s="51"/>
      <c r="S2097" s="51"/>
      <c r="T2097" s="51"/>
      <c r="AR2097" s="51"/>
      <c r="AS2097" s="51"/>
    </row>
    <row r="2098" spans="1:45" s="520" customFormat="1" ht="12">
      <c r="A2098" s="51"/>
      <c r="B2098" s="51"/>
      <c r="C2098" s="51"/>
      <c r="D2098" s="37" t="s">
        <v>463</v>
      </c>
      <c r="E2098" s="51"/>
      <c r="F2098" s="51"/>
      <c r="G2098" s="51"/>
      <c r="H2098" s="51"/>
      <c r="I2098" s="51"/>
      <c r="J2098" s="51"/>
      <c r="K2098" s="51"/>
      <c r="L2098" s="51"/>
      <c r="M2098" s="51"/>
      <c r="N2098" s="51"/>
      <c r="O2098" s="52"/>
      <c r="P2098" s="51"/>
      <c r="Q2098" s="51"/>
      <c r="R2098" s="51"/>
      <c r="S2098" s="38"/>
      <c r="T2098" s="38"/>
      <c r="AR2098" s="51"/>
      <c r="AS2098" s="51"/>
    </row>
    <row r="2099" spans="1:45" s="3" customFormat="1" thickBot="1">
      <c r="A2099" s="531"/>
      <c r="O2099" s="107"/>
      <c r="AR2099" s="531"/>
    </row>
    <row r="2100" spans="1:45" s="520" customFormat="1" ht="12" thickTop="1">
      <c r="A2100" s="51"/>
      <c r="B2100" s="41"/>
      <c r="C2100" s="51"/>
      <c r="E2100" s="42" t="s">
        <v>138</v>
      </c>
      <c r="F2100" s="42" t="s">
        <v>139</v>
      </c>
      <c r="G2100" s="51"/>
      <c r="H2100" s="51"/>
      <c r="I2100" s="51"/>
      <c r="J2100" s="51"/>
      <c r="K2100" s="51" t="s">
        <v>140</v>
      </c>
      <c r="L2100" s="51"/>
      <c r="M2100" s="51"/>
      <c r="N2100" s="51"/>
      <c r="O2100" s="52"/>
      <c r="P2100" s="51"/>
      <c r="Q2100" s="51"/>
      <c r="R2100" s="51"/>
      <c r="S2100" s="51"/>
      <c r="T2100" s="41"/>
      <c r="AG2100" s="521" t="s">
        <v>268</v>
      </c>
      <c r="AH2100" s="521" t="s">
        <v>269</v>
      </c>
      <c r="AI2100" s="521" t="s">
        <v>270</v>
      </c>
      <c r="AJ2100" s="521" t="s">
        <v>271</v>
      </c>
      <c r="AK2100" s="521" t="s">
        <v>272</v>
      </c>
      <c r="AM2100" s="745" t="s">
        <v>281</v>
      </c>
      <c r="AN2100" s="746" t="s">
        <v>282</v>
      </c>
      <c r="AO2100" s="522" t="s">
        <v>278</v>
      </c>
      <c r="AR2100" s="51"/>
      <c r="AS2100" s="42" t="s">
        <v>139</v>
      </c>
    </row>
    <row r="2101" spans="1:45" s="520" customFormat="1" ht="12" customHeight="1">
      <c r="A2101" s="747">
        <v>13</v>
      </c>
      <c r="B2101" s="523" t="s">
        <v>141</v>
      </c>
      <c r="C2101" s="748"/>
      <c r="D2101" s="749" t="s">
        <v>1449</v>
      </c>
      <c r="E2101" s="750">
        <f ca="1">IF(AND($A2101=0,$A$1="DIF"),0, ROUND(ROUND(($R2106*$S$2+($T2106*$T$2))/A2101,2)*$C$2,2))</f>
        <v>55.35</v>
      </c>
      <c r="F2101" s="751">
        <f ca="1">ROUND($A2101*$E2101,2)</f>
        <v>719.55</v>
      </c>
      <c r="G2101" s="752" t="s">
        <v>142</v>
      </c>
      <c r="H2101" s="753"/>
      <c r="I2101" s="754"/>
      <c r="J2101" s="753"/>
      <c r="K2101" s="753" t="s">
        <v>3</v>
      </c>
      <c r="L2101" s="755" t="s">
        <v>143</v>
      </c>
      <c r="M2101" s="755"/>
      <c r="N2101" s="755"/>
      <c r="O2101" s="755"/>
      <c r="P2101" s="755"/>
      <c r="Q2101" s="51"/>
      <c r="T2101" s="756" t="str">
        <f ca="1">IF(AND($R2106=0,$T2106=0),"0.00","mu :" &amp; ROUND($F2101/$C$2/($R2106+$T2106*$D$9),2))</f>
        <v>mu :1.23</v>
      </c>
      <c r="W2101" s="524"/>
      <c r="AG2101" s="481">
        <f ca="1">IF($E2101=0,0,ROUND($R2106*$S$2*$C$2/$A2101,2))</f>
        <v>44.53</v>
      </c>
      <c r="AH2101" s="481">
        <f ca="1">$AG2101*$A2101</f>
        <v>578.89</v>
      </c>
      <c r="AI2101" s="525">
        <f ca="1">$E2101-$AG2101</f>
        <v>10.82</v>
      </c>
      <c r="AJ2101" s="525">
        <f ca="1">$A2101*$AI2101</f>
        <v>140.66</v>
      </c>
      <c r="AK2101" s="526">
        <f ca="1">ROUND(($AG2101+$AI2101)*$A2101,2)</f>
        <v>719.55</v>
      </c>
      <c r="AM2101" s="527">
        <f ca="1">ROUND(R2106,2)</f>
        <v>470.08</v>
      </c>
      <c r="AN2101" s="528">
        <f ca="1">ROUND(T2106,2)</f>
        <v>4.16</v>
      </c>
      <c r="AO2101" s="529">
        <f ca="1">ROUND(AM2101+AN2101,2)*A2101</f>
        <v>6165.12</v>
      </c>
      <c r="AR2101" s="747">
        <v>13</v>
      </c>
      <c r="AS2101" s="751">
        <v>732.68</v>
      </c>
    </row>
    <row r="2102" spans="1:45" s="520" customFormat="1" ht="13.2">
      <c r="A2102" s="748"/>
      <c r="B2102"/>
      <c r="C2102" s="748"/>
      <c r="D2102" s="749" t="s">
        <v>652</v>
      </c>
      <c r="F2102" s="753"/>
      <c r="G2102" s="3"/>
      <c r="H2102" s="753"/>
      <c r="I2102" s="754"/>
      <c r="J2102" s="753"/>
      <c r="K2102" s="753" t="s">
        <v>144</v>
      </c>
      <c r="L2102" s="753"/>
      <c r="M2102" s="753"/>
      <c r="N2102" s="753"/>
      <c r="O2102" s="753"/>
      <c r="P2102" s="753"/>
      <c r="Q2102" s="51"/>
      <c r="R2102" s="530"/>
      <c r="S2102" s="757"/>
      <c r="T2102" s="753"/>
      <c r="AR2102" s="748"/>
      <c r="AS2102" s="753"/>
    </row>
    <row r="2103" spans="1:45" s="886" customFormat="1" ht="13.2">
      <c r="A2103"/>
      <c r="B2103" s="910"/>
      <c r="C2103" s="910" t="s">
        <v>2597</v>
      </c>
      <c r="D2103" s="910" t="str">
        <f ca="1">CELL("Address",Elec_Rates!D$183)</f>
        <v>[E25_0062_Quintano_Foods_Elec_ELV_As_Awarded.xlsx]Elec_Rates!$D$183</v>
      </c>
      <c r="E2103" s="911"/>
      <c r="F2103" s="911"/>
      <c r="G2103" s="912" t="s">
        <v>2598</v>
      </c>
      <c r="H2103" s="912"/>
      <c r="I2103" s="912"/>
      <c r="J2103" s="912"/>
      <c r="K2103" s="913"/>
      <c r="L2103" s="911"/>
      <c r="M2103" s="911"/>
      <c r="N2103" s="911"/>
      <c r="O2103" s="914"/>
      <c r="P2103" s="911"/>
      <c r="Q2103" s="915"/>
      <c r="R2103" s="916"/>
      <c r="S2103" s="915"/>
      <c r="T2103" s="917"/>
      <c r="U2103" s="918"/>
      <c r="AR2103"/>
      <c r="AS2103" s="911"/>
    </row>
    <row r="2104" spans="1:45" s="886" customFormat="1" ht="11.4">
      <c r="A2104" s="919">
        <v>13</v>
      </c>
      <c r="B2104" s="920">
        <v>1</v>
      </c>
      <c r="C2104" s="920">
        <f>$A2104*$B2104</f>
        <v>13</v>
      </c>
      <c r="D2104" s="921" t="str">
        <f>Elec_Rates!$D$183</f>
        <v>017# 5Pin 32Amp IP67 Interlocked Socket outlet</v>
      </c>
      <c r="E2104" s="921"/>
      <c r="F2104" s="921" t="s">
        <v>2599</v>
      </c>
      <c r="G2104" s="922" t="s">
        <v>2600</v>
      </c>
      <c r="H2104" s="922"/>
      <c r="I2104" s="922"/>
      <c r="J2104" s="922"/>
      <c r="K2104" s="923"/>
      <c r="L2104" s="918"/>
      <c r="M2104" s="918"/>
      <c r="N2104" s="918"/>
      <c r="O2104" s="924"/>
      <c r="P2104" s="921"/>
      <c r="Q2104" s="925">
        <f ca="1">$B2104*Elec_Rates!$R$183</f>
        <v>36.159999999999997</v>
      </c>
      <c r="R2104" s="916">
        <f ca="1">$A2104*Q2104</f>
        <v>470.07999999999993</v>
      </c>
      <c r="S2104" s="925">
        <f ca="1">$B2104*Elec_Rates!$T$183</f>
        <v>0.32</v>
      </c>
      <c r="T2104" s="917">
        <f ca="1">$A2104*S2104</f>
        <v>4.16</v>
      </c>
      <c r="U2104" s="926"/>
      <c r="AR2104" s="919">
        <v>13</v>
      </c>
      <c r="AS2104" s="921" t="s">
        <v>2599</v>
      </c>
    </row>
    <row r="2105" spans="1:45" s="520" customFormat="1" ht="12">
      <c r="A2105" s="758"/>
      <c r="B2105" s="758"/>
      <c r="C2105" s="758"/>
      <c r="D2105" s="758"/>
      <c r="E2105" s="758"/>
      <c r="F2105" s="753"/>
      <c r="G2105" s="758"/>
      <c r="H2105" s="758"/>
      <c r="I2105" s="519"/>
      <c r="J2105" s="758"/>
      <c r="K2105" s="758"/>
      <c r="L2105" s="758"/>
      <c r="M2105" s="758"/>
      <c r="N2105" s="758"/>
      <c r="O2105" s="758"/>
      <c r="P2105" s="758"/>
      <c r="Q2105" s="519"/>
      <c r="R2105" s="759">
        <f>$A2105*Q2105</f>
        <v>0</v>
      </c>
      <c r="S2105" s="519"/>
      <c r="T2105" s="760">
        <f>$A2105*S2105*$T$1</f>
        <v>0</v>
      </c>
      <c r="AR2105" s="758"/>
      <c r="AS2105" s="753"/>
    </row>
    <row r="2106" spans="1:45" s="520" customFormat="1" ht="12.6" thickBot="1">
      <c r="A2106" s="761" t="s">
        <v>145</v>
      </c>
      <c r="B2106" s="762">
        <f>(R2105+T2105)</f>
        <v>0</v>
      </c>
      <c r="C2106" s="763"/>
      <c r="D2106" s="763"/>
      <c r="E2106" s="763"/>
      <c r="F2106" s="764"/>
      <c r="G2106" s="763" t="s">
        <v>146</v>
      </c>
      <c r="H2106" s="763"/>
      <c r="I2106" s="765"/>
      <c r="J2106" s="763"/>
      <c r="K2106" s="763" t="s">
        <v>3</v>
      </c>
      <c r="L2106" s="766" t="s">
        <v>143</v>
      </c>
      <c r="M2106" s="766"/>
      <c r="N2106" s="766"/>
      <c r="O2106" s="766"/>
      <c r="P2106" s="766"/>
      <c r="Q2106" s="767"/>
      <c r="R2106" s="768">
        <f ca="1">SUM(R2102:R2105)</f>
        <v>470.07999999999993</v>
      </c>
      <c r="S2106" s="763"/>
      <c r="T2106" s="768">
        <f ca="1">SUM(T2102:T2105)</f>
        <v>4.16</v>
      </c>
      <c r="U2106" s="531"/>
      <c r="V2106" s="531"/>
      <c r="W2106" s="531"/>
      <c r="X2106" s="531"/>
      <c r="Y2106" s="531"/>
      <c r="Z2106" s="531"/>
      <c r="AA2106" s="531"/>
      <c r="AB2106" s="531"/>
      <c r="AC2106" s="531"/>
      <c r="AD2106" s="531"/>
      <c r="AE2106" s="531"/>
      <c r="AF2106" s="531"/>
      <c r="AG2106" s="531"/>
      <c r="AH2106" s="531"/>
      <c r="AI2106" s="531"/>
      <c r="AJ2106" s="531"/>
      <c r="AK2106" s="531"/>
      <c r="AL2106" s="531"/>
      <c r="AM2106" s="531"/>
      <c r="AN2106" s="531"/>
      <c r="AO2106" s="531"/>
      <c r="AR2106" s="761" t="s">
        <v>145</v>
      </c>
      <c r="AS2106" s="764"/>
    </row>
    <row r="2107" spans="1:45" s="520" customFormat="1" thickTop="1">
      <c r="A2107" s="51"/>
      <c r="B2107" s="51"/>
      <c r="C2107" s="3"/>
      <c r="D2107" s="3"/>
      <c r="E2107" s="51"/>
      <c r="F2107" s="51"/>
      <c r="G2107" s="51"/>
      <c r="H2107" s="51"/>
      <c r="I2107" s="51"/>
      <c r="J2107" s="51"/>
      <c r="K2107" s="51" t="s">
        <v>134</v>
      </c>
      <c r="L2107" s="51"/>
      <c r="M2107" s="51"/>
      <c r="N2107" s="51"/>
      <c r="O2107" s="52"/>
      <c r="P2107" s="51"/>
      <c r="Q2107" s="51"/>
      <c r="R2107" s="51"/>
      <c r="S2107" s="51"/>
      <c r="T2107" s="51"/>
      <c r="AR2107" s="51"/>
      <c r="AS2107" s="51"/>
    </row>
    <row r="2108" spans="1:45" s="520" customFormat="1" ht="12">
      <c r="A2108" s="51"/>
      <c r="B2108" s="51"/>
      <c r="C2108" s="51" t="s">
        <v>135</v>
      </c>
      <c r="D2108" s="37"/>
      <c r="E2108" s="51"/>
      <c r="F2108" s="51"/>
      <c r="G2108" s="51"/>
      <c r="H2108" s="51"/>
      <c r="I2108" s="51"/>
      <c r="J2108" s="51"/>
      <c r="K2108" s="51"/>
      <c r="L2108" s="51"/>
      <c r="M2108" s="51"/>
      <c r="N2108" s="51"/>
      <c r="O2108" s="52"/>
      <c r="P2108" s="51"/>
      <c r="Q2108" s="51"/>
      <c r="R2108" s="51"/>
      <c r="S2108" s="51"/>
      <c r="T2108" s="51"/>
      <c r="AR2108" s="51"/>
      <c r="AS2108" s="51"/>
    </row>
    <row r="2109" spans="1:45" s="520" customFormat="1" ht="39.9" customHeight="1">
      <c r="A2109" s="51"/>
      <c r="B2109" s="51"/>
      <c r="C2109" s="51"/>
      <c r="D2109" s="1453" t="s">
        <v>498</v>
      </c>
      <c r="E2109" s="1452"/>
      <c r="F2109" s="1452"/>
      <c r="G2109" s="1452"/>
      <c r="H2109" s="1452"/>
      <c r="I2109" s="1452"/>
      <c r="J2109" s="1452"/>
      <c r="K2109" s="1452"/>
      <c r="L2109" s="1452"/>
      <c r="M2109" s="1452"/>
      <c r="N2109" s="1452"/>
      <c r="O2109" s="1452"/>
      <c r="P2109" s="1452"/>
      <c r="Q2109" s="1452"/>
      <c r="R2109" s="1452"/>
      <c r="S2109" s="1452"/>
      <c r="T2109" s="1452"/>
      <c r="AR2109" s="51"/>
    </row>
    <row r="2110" spans="1:45" s="3" customFormat="1" thickBot="1">
      <c r="A2110" s="531"/>
      <c r="O2110" s="107"/>
      <c r="AR2110" s="531"/>
    </row>
    <row r="2111" spans="1:45" s="520" customFormat="1" thickTop="1">
      <c r="A2111" s="51"/>
      <c r="B2111" s="51"/>
      <c r="C2111" s="3"/>
      <c r="D2111" s="3"/>
      <c r="E2111" s="51"/>
      <c r="F2111" s="51"/>
      <c r="G2111" s="51"/>
      <c r="H2111" s="51"/>
      <c r="I2111" s="51"/>
      <c r="J2111" s="51"/>
      <c r="K2111" s="51" t="s">
        <v>134</v>
      </c>
      <c r="L2111" s="51"/>
      <c r="M2111" s="51"/>
      <c r="N2111" s="51"/>
      <c r="O2111" s="52"/>
      <c r="P2111" s="51"/>
      <c r="Q2111" s="51"/>
      <c r="R2111" s="51"/>
      <c r="S2111" s="51"/>
      <c r="T2111" s="51"/>
      <c r="AR2111" s="51"/>
      <c r="AS2111" s="51"/>
    </row>
    <row r="2112" spans="1:45" s="520" customFormat="1" ht="12">
      <c r="A2112" s="51"/>
      <c r="B2112" s="51"/>
      <c r="C2112" s="51" t="s">
        <v>135</v>
      </c>
      <c r="D2112" s="37"/>
      <c r="E2112" s="51"/>
      <c r="F2112" s="51"/>
      <c r="G2112" s="51"/>
      <c r="H2112" s="51"/>
      <c r="I2112" s="51"/>
      <c r="J2112" s="51"/>
      <c r="K2112" s="51"/>
      <c r="L2112" s="51"/>
      <c r="M2112" s="51"/>
      <c r="N2112" s="51"/>
      <c r="O2112" s="52"/>
      <c r="P2112" s="51"/>
      <c r="Q2112" s="51"/>
      <c r="R2112" s="51"/>
      <c r="S2112" s="51"/>
      <c r="T2112" s="51"/>
      <c r="AR2112" s="51"/>
      <c r="AS2112" s="51"/>
    </row>
    <row r="2113" spans="1:45" s="520" customFormat="1" ht="12">
      <c r="A2113" s="51"/>
      <c r="B2113" s="51"/>
      <c r="C2113" s="51"/>
      <c r="D2113" s="37" t="s">
        <v>667</v>
      </c>
      <c r="E2113" s="51"/>
      <c r="F2113" s="51"/>
      <c r="G2113" s="51"/>
      <c r="H2113" s="51"/>
      <c r="I2113" s="51"/>
      <c r="J2113" s="51"/>
      <c r="K2113" s="51"/>
      <c r="L2113" s="51"/>
      <c r="M2113" s="51"/>
      <c r="N2113" s="51"/>
      <c r="O2113" s="52"/>
      <c r="P2113" s="51"/>
      <c r="Q2113" s="51"/>
      <c r="R2113" s="51"/>
      <c r="S2113" s="38"/>
      <c r="T2113" s="38"/>
      <c r="AR2113" s="51"/>
      <c r="AS2113" s="51"/>
    </row>
    <row r="2114" spans="1:45" s="3" customFormat="1" thickBot="1">
      <c r="A2114" s="531"/>
      <c r="O2114" s="107"/>
      <c r="AR2114" s="531"/>
    </row>
    <row r="2115" spans="1:45" s="520" customFormat="1" ht="12" thickTop="1">
      <c r="A2115" s="51"/>
      <c r="B2115" s="41"/>
      <c r="C2115" s="51"/>
      <c r="E2115" s="42" t="s">
        <v>138</v>
      </c>
      <c r="F2115" s="42" t="s">
        <v>139</v>
      </c>
      <c r="G2115" s="51"/>
      <c r="H2115" s="51"/>
      <c r="I2115" s="51"/>
      <c r="J2115" s="51"/>
      <c r="K2115" s="51" t="s">
        <v>140</v>
      </c>
      <c r="L2115" s="51"/>
      <c r="M2115" s="51"/>
      <c r="N2115" s="51"/>
      <c r="O2115" s="52"/>
      <c r="P2115" s="51"/>
      <c r="Q2115" s="51"/>
      <c r="R2115" s="51"/>
      <c r="S2115" s="51"/>
      <c r="T2115" s="41"/>
      <c r="AG2115" s="521" t="s">
        <v>268</v>
      </c>
      <c r="AH2115" s="521" t="s">
        <v>269</v>
      </c>
      <c r="AI2115" s="521" t="s">
        <v>270</v>
      </c>
      <c r="AJ2115" s="521" t="s">
        <v>271</v>
      </c>
      <c r="AK2115" s="521" t="s">
        <v>272</v>
      </c>
      <c r="AM2115" s="745" t="s">
        <v>281</v>
      </c>
      <c r="AN2115" s="746" t="s">
        <v>282</v>
      </c>
      <c r="AO2115" s="522" t="s">
        <v>278</v>
      </c>
      <c r="AR2115" s="51"/>
      <c r="AS2115" s="42" t="s">
        <v>139</v>
      </c>
    </row>
    <row r="2116" spans="1:45" s="520" customFormat="1" ht="12" customHeight="1">
      <c r="A2116" s="747">
        <v>90</v>
      </c>
      <c r="B2116" s="523" t="s">
        <v>320</v>
      </c>
      <c r="C2116" s="748"/>
      <c r="D2116" s="749" t="s">
        <v>1450</v>
      </c>
      <c r="E2116" s="750">
        <f ca="1">IF(AND($A2116=0,$A$1="DIF"),0, ROUND(ROUND(($R2121*$S$2+($T2121*$T$2))/A2116,2)*$C$2,2))</f>
        <v>5.5</v>
      </c>
      <c r="F2116" s="751">
        <f ca="1">ROUND($A2116*$E2116,2)</f>
        <v>495</v>
      </c>
      <c r="G2116" s="752" t="s">
        <v>142</v>
      </c>
      <c r="H2116" s="753"/>
      <c r="I2116" s="754"/>
      <c r="J2116" s="753"/>
      <c r="K2116" s="753" t="s">
        <v>3</v>
      </c>
      <c r="L2116" s="755" t="s">
        <v>143</v>
      </c>
      <c r="M2116" s="755"/>
      <c r="N2116" s="755"/>
      <c r="O2116" s="755"/>
      <c r="P2116" s="755"/>
      <c r="Q2116" s="51"/>
      <c r="T2116" s="756" t="str">
        <f ca="1">IF(AND($R2121=0,$T2121=0),"0.00","mu :" &amp; ROUND($F2116/$C$2/($R2121+$T2121*$D$9),2))</f>
        <v>mu :1.23</v>
      </c>
      <c r="W2116" s="524"/>
      <c r="AG2116" s="481">
        <f ca="1">IF($E2116=0,0,ROUND($R2121*$S$2*$C$2/$A2116,2))</f>
        <v>3.47</v>
      </c>
      <c r="AH2116" s="481">
        <f ca="1">$AG2116*$A2116</f>
        <v>312.3</v>
      </c>
      <c r="AI2116" s="525">
        <f ca="1">$E2116-$AG2116</f>
        <v>2.0299999999999998</v>
      </c>
      <c r="AJ2116" s="525">
        <f ca="1">$A2116*$AI2116</f>
        <v>182.7</v>
      </c>
      <c r="AK2116" s="526">
        <f ca="1">ROUND(($AG2116+$AI2116)*$A2116,2)</f>
        <v>495</v>
      </c>
      <c r="AM2116" s="527">
        <f ca="1">ROUND(R2121,2)</f>
        <v>253.8</v>
      </c>
      <c r="AN2116" s="528">
        <f ca="1">ROUND(T2121,2)</f>
        <v>5.4</v>
      </c>
      <c r="AO2116" s="529">
        <f ca="1">ROUND(AM2116+AN2116,2)*A2116</f>
        <v>23328</v>
      </c>
      <c r="AR2116" s="747">
        <v>90</v>
      </c>
      <c r="AS2116" s="751">
        <v>525.6</v>
      </c>
    </row>
    <row r="2117" spans="1:45" s="520" customFormat="1" ht="13.2">
      <c r="A2117" s="748"/>
      <c r="B2117"/>
      <c r="C2117" s="748"/>
      <c r="D2117" s="749" t="s">
        <v>1451</v>
      </c>
      <c r="F2117" s="753"/>
      <c r="G2117" s="3"/>
      <c r="H2117" s="753"/>
      <c r="I2117" s="754"/>
      <c r="J2117" s="753"/>
      <c r="K2117" s="753" t="s">
        <v>144</v>
      </c>
      <c r="L2117" s="753"/>
      <c r="M2117" s="753"/>
      <c r="N2117" s="753"/>
      <c r="O2117" s="753"/>
      <c r="P2117" s="753"/>
      <c r="Q2117" s="51"/>
      <c r="R2117" s="530"/>
      <c r="S2117" s="757"/>
      <c r="T2117" s="753"/>
      <c r="AR2117" s="748"/>
      <c r="AS2117" s="753"/>
    </row>
    <row r="2118" spans="1:45" s="886" customFormat="1" ht="13.2">
      <c r="A2118"/>
      <c r="B2118" s="910"/>
      <c r="C2118" s="910" t="s">
        <v>2597</v>
      </c>
      <c r="D2118" s="910" t="str">
        <f ca="1">CELL("Address",Elec_Rates!D$520)</f>
        <v>[E25_0062_Quintano_Foods_Elec_ELV_As_Awarded.xlsx]Elec_Rates!$D$520</v>
      </c>
      <c r="E2118" s="911"/>
      <c r="F2118" s="911"/>
      <c r="G2118" s="912" t="s">
        <v>2598</v>
      </c>
      <c r="H2118" s="912"/>
      <c r="I2118" s="912"/>
      <c r="J2118" s="912"/>
      <c r="K2118" s="913"/>
      <c r="L2118" s="911"/>
      <c r="M2118" s="911"/>
      <c r="N2118" s="911"/>
      <c r="O2118" s="914"/>
      <c r="P2118" s="911"/>
      <c r="Q2118" s="915"/>
      <c r="R2118" s="916"/>
      <c r="S2118" s="915"/>
      <c r="T2118" s="917"/>
      <c r="U2118" s="918"/>
      <c r="AR2118"/>
      <c r="AS2118" s="911"/>
    </row>
    <row r="2119" spans="1:45" s="886" customFormat="1" ht="11.4">
      <c r="A2119" s="919">
        <v>90</v>
      </c>
      <c r="B2119" s="920">
        <v>1</v>
      </c>
      <c r="C2119" s="920">
        <f>$A2119*$B2119</f>
        <v>90</v>
      </c>
      <c r="D2119" s="921" t="str">
        <f>Elec_Rates!$D$520</f>
        <v>049# 5 x 2.5mm2 XLPE/SWA/LSZH in stainless steel sleeves at warehouse level 0</v>
      </c>
      <c r="E2119" s="921"/>
      <c r="F2119" s="921" t="s">
        <v>2599</v>
      </c>
      <c r="G2119" s="922" t="s">
        <v>2601</v>
      </c>
      <c r="H2119" s="922"/>
      <c r="I2119" s="922"/>
      <c r="J2119" s="922"/>
      <c r="K2119" s="923"/>
      <c r="L2119" s="918"/>
      <c r="M2119" s="918"/>
      <c r="N2119" s="918"/>
      <c r="O2119" s="924"/>
      <c r="P2119" s="921"/>
      <c r="Q2119" s="925">
        <f ca="1">$B2119*Elec_Rates!$R$520</f>
        <v>2.82</v>
      </c>
      <c r="R2119" s="916">
        <f ca="1">$A2119*Q2119</f>
        <v>253.79999999999998</v>
      </c>
      <c r="S2119" s="925">
        <f ca="1">$B2119*Elec_Rates!$T$520</f>
        <v>0.06</v>
      </c>
      <c r="T2119" s="917">
        <f ca="1">$A2119*S2119</f>
        <v>5.3999999999999995</v>
      </c>
      <c r="U2119" s="926"/>
      <c r="AR2119" s="919">
        <v>90</v>
      </c>
      <c r="AS2119" s="921" t="s">
        <v>2599</v>
      </c>
    </row>
    <row r="2120" spans="1:45" s="520" customFormat="1" ht="12">
      <c r="A2120" s="758"/>
      <c r="B2120" s="758"/>
      <c r="C2120" s="758"/>
      <c r="D2120" s="758"/>
      <c r="E2120" s="758"/>
      <c r="F2120" s="753"/>
      <c r="G2120" s="758"/>
      <c r="H2120" s="758"/>
      <c r="I2120" s="519"/>
      <c r="J2120" s="758"/>
      <c r="K2120" s="758"/>
      <c r="L2120" s="758"/>
      <c r="M2120" s="758"/>
      <c r="N2120" s="758"/>
      <c r="O2120" s="758"/>
      <c r="P2120" s="758"/>
      <c r="Q2120" s="519"/>
      <c r="R2120" s="759">
        <f>$A2120*Q2120</f>
        <v>0</v>
      </c>
      <c r="S2120" s="519"/>
      <c r="T2120" s="760">
        <f>$A2120*S2120*$T$1</f>
        <v>0</v>
      </c>
      <c r="AR2120" s="758"/>
      <c r="AS2120" s="753"/>
    </row>
    <row r="2121" spans="1:45" s="520" customFormat="1" ht="12.6" thickBot="1">
      <c r="A2121" s="761" t="s">
        <v>145</v>
      </c>
      <c r="B2121" s="762">
        <f>(R2120+T2120)</f>
        <v>0</v>
      </c>
      <c r="C2121" s="763"/>
      <c r="D2121" s="763"/>
      <c r="E2121" s="763"/>
      <c r="F2121" s="764"/>
      <c r="G2121" s="763" t="s">
        <v>146</v>
      </c>
      <c r="H2121" s="763"/>
      <c r="I2121" s="765"/>
      <c r="J2121" s="763"/>
      <c r="K2121" s="763" t="s">
        <v>3</v>
      </c>
      <c r="L2121" s="766" t="s">
        <v>143</v>
      </c>
      <c r="M2121" s="766"/>
      <c r="N2121" s="766"/>
      <c r="O2121" s="766"/>
      <c r="P2121" s="766"/>
      <c r="Q2121" s="767"/>
      <c r="R2121" s="768">
        <f ca="1">SUM(R2117:R2120)</f>
        <v>253.79999999999998</v>
      </c>
      <c r="S2121" s="763"/>
      <c r="T2121" s="768">
        <f ca="1">SUM(T2117:T2120)</f>
        <v>5.3999999999999995</v>
      </c>
      <c r="U2121" s="531"/>
      <c r="V2121" s="531"/>
      <c r="W2121" s="531"/>
      <c r="X2121" s="531"/>
      <c r="Y2121" s="531"/>
      <c r="Z2121" s="531"/>
      <c r="AA2121" s="531"/>
      <c r="AB2121" s="531"/>
      <c r="AC2121" s="531"/>
      <c r="AD2121" s="531"/>
      <c r="AE2121" s="531"/>
      <c r="AF2121" s="531"/>
      <c r="AG2121" s="531"/>
      <c r="AH2121" s="531"/>
      <c r="AI2121" s="531"/>
      <c r="AJ2121" s="531"/>
      <c r="AK2121" s="531"/>
      <c r="AL2121" s="531"/>
      <c r="AM2121" s="531"/>
      <c r="AN2121" s="531"/>
      <c r="AO2121" s="531"/>
      <c r="AR2121" s="761" t="s">
        <v>145</v>
      </c>
      <c r="AS2121" s="764"/>
    </row>
    <row r="2122" spans="1:45" s="520" customFormat="1" ht="12" thickTop="1">
      <c r="A2122" s="51"/>
      <c r="B2122" s="41"/>
      <c r="C2122" s="51"/>
      <c r="E2122" s="42" t="s">
        <v>138</v>
      </c>
      <c r="F2122" s="42" t="s">
        <v>139</v>
      </c>
      <c r="G2122" s="51"/>
      <c r="H2122" s="51"/>
      <c r="I2122" s="51"/>
      <c r="J2122" s="51"/>
      <c r="K2122" s="51" t="s">
        <v>140</v>
      </c>
      <c r="L2122" s="51"/>
      <c r="M2122" s="51"/>
      <c r="N2122" s="51"/>
      <c r="O2122" s="52"/>
      <c r="P2122" s="51"/>
      <c r="Q2122" s="51"/>
      <c r="R2122" s="51"/>
      <c r="S2122" s="51"/>
      <c r="T2122" s="41"/>
      <c r="AG2122" s="521" t="s">
        <v>268</v>
      </c>
      <c r="AH2122" s="521" t="s">
        <v>269</v>
      </c>
      <c r="AI2122" s="521" t="s">
        <v>270</v>
      </c>
      <c r="AJ2122" s="521" t="s">
        <v>271</v>
      </c>
      <c r="AK2122" s="521" t="s">
        <v>272</v>
      </c>
      <c r="AM2122" s="745" t="s">
        <v>281</v>
      </c>
      <c r="AN2122" s="746" t="s">
        <v>282</v>
      </c>
      <c r="AO2122" s="522" t="s">
        <v>278</v>
      </c>
      <c r="AR2122" s="51"/>
      <c r="AS2122" s="42" t="s">
        <v>139</v>
      </c>
    </row>
    <row r="2123" spans="1:45" s="520" customFormat="1" ht="12" customHeight="1">
      <c r="A2123" s="747">
        <v>90</v>
      </c>
      <c r="B2123" s="523" t="s">
        <v>320</v>
      </c>
      <c r="C2123" s="748"/>
      <c r="D2123" s="749" t="s">
        <v>1452</v>
      </c>
      <c r="E2123" s="750">
        <f ca="1">IF(AND($A2123=0,$A$1="DIF"),0, ROUND(ROUND(($R2128*$S$2+($T2128*$T$2))/A2123,2)*$C$2,2))</f>
        <v>5.5</v>
      </c>
      <c r="F2123" s="751">
        <f ca="1">ROUND($A2123*$E2123,2)</f>
        <v>495</v>
      </c>
      <c r="G2123" s="752" t="s">
        <v>142</v>
      </c>
      <c r="H2123" s="753"/>
      <c r="I2123" s="754"/>
      <c r="J2123" s="753"/>
      <c r="K2123" s="753" t="s">
        <v>3</v>
      </c>
      <c r="L2123" s="755" t="s">
        <v>143</v>
      </c>
      <c r="M2123" s="755"/>
      <c r="N2123" s="755"/>
      <c r="O2123" s="755"/>
      <c r="P2123" s="755"/>
      <c r="Q2123" s="51"/>
      <c r="T2123" s="756" t="str">
        <f ca="1">IF(AND($R2128=0,$T2128=0),"0.00","mu :" &amp; ROUND($F2123/$C$2/($R2128+$T2128*$D$9),2))</f>
        <v>mu :1.23</v>
      </c>
      <c r="W2123" s="524"/>
      <c r="AG2123" s="481">
        <f ca="1">IF($E2123=0,0,ROUND($R2128*$S$2*$C$2/$A2123,2))</f>
        <v>3.47</v>
      </c>
      <c r="AH2123" s="481">
        <f ca="1">$AG2123*$A2123</f>
        <v>312.3</v>
      </c>
      <c r="AI2123" s="525">
        <f ca="1">$E2123-$AG2123</f>
        <v>2.0299999999999998</v>
      </c>
      <c r="AJ2123" s="525">
        <f ca="1">$A2123*$AI2123</f>
        <v>182.7</v>
      </c>
      <c r="AK2123" s="526">
        <f ca="1">ROUND(($AG2123+$AI2123)*$A2123,2)</f>
        <v>495</v>
      </c>
      <c r="AM2123" s="527">
        <f ca="1">ROUND(R2128,2)</f>
        <v>253.8</v>
      </c>
      <c r="AN2123" s="528">
        <f ca="1">ROUND(T2128,2)</f>
        <v>5.4</v>
      </c>
      <c r="AO2123" s="529">
        <f ca="1">ROUND(AM2123+AN2123,2)*A2123</f>
        <v>23328</v>
      </c>
      <c r="AR2123" s="747">
        <v>90</v>
      </c>
      <c r="AS2123" s="751">
        <v>525.6</v>
      </c>
    </row>
    <row r="2124" spans="1:45" s="520" customFormat="1" ht="13.2">
      <c r="A2124" s="748"/>
      <c r="B2124"/>
      <c r="C2124" s="748"/>
      <c r="D2124" s="749" t="s">
        <v>1453</v>
      </c>
      <c r="F2124" s="753"/>
      <c r="G2124" s="3"/>
      <c r="H2124" s="753"/>
      <c r="I2124" s="754"/>
      <c r="J2124" s="753"/>
      <c r="K2124" s="753" t="s">
        <v>144</v>
      </c>
      <c r="L2124" s="753"/>
      <c r="M2124" s="753"/>
      <c r="N2124" s="753"/>
      <c r="O2124" s="753"/>
      <c r="P2124" s="753"/>
      <c r="Q2124" s="51"/>
      <c r="R2124" s="530"/>
      <c r="S2124" s="757"/>
      <c r="T2124" s="753"/>
      <c r="AR2124" s="748"/>
      <c r="AS2124" s="753"/>
    </row>
    <row r="2125" spans="1:45" s="886" customFormat="1" ht="13.2">
      <c r="A2125"/>
      <c r="B2125" s="910"/>
      <c r="C2125" s="910" t="s">
        <v>2597</v>
      </c>
      <c r="D2125" s="910" t="str">
        <f ca="1">CELL("Address",Elec_Rates!D$520)</f>
        <v>[E25_0062_Quintano_Foods_Elec_ELV_As_Awarded.xlsx]Elec_Rates!$D$520</v>
      </c>
      <c r="E2125" s="911"/>
      <c r="F2125" s="911"/>
      <c r="G2125" s="912" t="s">
        <v>2598</v>
      </c>
      <c r="H2125" s="912"/>
      <c r="I2125" s="912"/>
      <c r="J2125" s="912"/>
      <c r="K2125" s="913"/>
      <c r="L2125" s="911"/>
      <c r="M2125" s="911"/>
      <c r="N2125" s="911"/>
      <c r="O2125" s="914"/>
      <c r="P2125" s="911"/>
      <c r="Q2125" s="915"/>
      <c r="R2125" s="916"/>
      <c r="S2125" s="915"/>
      <c r="T2125" s="917"/>
      <c r="U2125" s="918"/>
      <c r="AR2125"/>
      <c r="AS2125" s="911"/>
    </row>
    <row r="2126" spans="1:45" s="886" customFormat="1" ht="11.4">
      <c r="A2126" s="919">
        <v>90</v>
      </c>
      <c r="B2126" s="920">
        <v>1</v>
      </c>
      <c r="C2126" s="920">
        <f>$A2126*$B2126</f>
        <v>90</v>
      </c>
      <c r="D2126" s="921" t="str">
        <f>Elec_Rates!$D$520</f>
        <v>049# 5 x 2.5mm2 XLPE/SWA/LSZH in stainless steel sleeves at warehouse level 0</v>
      </c>
      <c r="E2126" s="921"/>
      <c r="F2126" s="921" t="s">
        <v>2599</v>
      </c>
      <c r="G2126" s="922" t="s">
        <v>2601</v>
      </c>
      <c r="H2126" s="922"/>
      <c r="I2126" s="922"/>
      <c r="J2126" s="922"/>
      <c r="K2126" s="923"/>
      <c r="L2126" s="918"/>
      <c r="M2126" s="918"/>
      <c r="N2126" s="918"/>
      <c r="O2126" s="924"/>
      <c r="P2126" s="921"/>
      <c r="Q2126" s="925">
        <f ca="1">$B2126*Elec_Rates!$R$520</f>
        <v>2.82</v>
      </c>
      <c r="R2126" s="916">
        <f ca="1">$A2126*Q2126</f>
        <v>253.79999999999998</v>
      </c>
      <c r="S2126" s="925">
        <f ca="1">$B2126*Elec_Rates!$T$520</f>
        <v>0.06</v>
      </c>
      <c r="T2126" s="917">
        <f ca="1">$A2126*S2126</f>
        <v>5.3999999999999995</v>
      </c>
      <c r="U2126" s="926"/>
      <c r="AR2126" s="919">
        <v>90</v>
      </c>
      <c r="AS2126" s="921" t="s">
        <v>2599</v>
      </c>
    </row>
    <row r="2127" spans="1:45" s="520" customFormat="1" ht="12">
      <c r="A2127" s="758"/>
      <c r="B2127" s="758"/>
      <c r="C2127" s="758"/>
      <c r="D2127" s="758"/>
      <c r="E2127" s="758"/>
      <c r="F2127" s="753"/>
      <c r="G2127" s="758"/>
      <c r="H2127" s="758"/>
      <c r="I2127" s="519"/>
      <c r="J2127" s="758"/>
      <c r="K2127" s="758"/>
      <c r="L2127" s="758"/>
      <c r="M2127" s="758"/>
      <c r="N2127" s="758"/>
      <c r="O2127" s="758"/>
      <c r="P2127" s="758"/>
      <c r="Q2127" s="519"/>
      <c r="R2127" s="759">
        <f>$A2127*Q2127</f>
        <v>0</v>
      </c>
      <c r="S2127" s="519"/>
      <c r="T2127" s="760">
        <f>$A2127*S2127*$T$1</f>
        <v>0</v>
      </c>
      <c r="AR2127" s="758"/>
      <c r="AS2127" s="753"/>
    </row>
    <row r="2128" spans="1:45" s="520" customFormat="1" ht="12.6" thickBot="1">
      <c r="A2128" s="761" t="s">
        <v>145</v>
      </c>
      <c r="B2128" s="762">
        <f>(R2127+T2127)</f>
        <v>0</v>
      </c>
      <c r="C2128" s="763"/>
      <c r="D2128" s="763"/>
      <c r="E2128" s="763"/>
      <c r="F2128" s="764"/>
      <c r="G2128" s="763" t="s">
        <v>146</v>
      </c>
      <c r="H2128" s="763"/>
      <c r="I2128" s="765"/>
      <c r="J2128" s="763"/>
      <c r="K2128" s="763" t="s">
        <v>3</v>
      </c>
      <c r="L2128" s="766" t="s">
        <v>143</v>
      </c>
      <c r="M2128" s="766"/>
      <c r="N2128" s="766"/>
      <c r="O2128" s="766"/>
      <c r="P2128" s="766"/>
      <c r="Q2128" s="767"/>
      <c r="R2128" s="768">
        <f ca="1">SUM(R2124:R2127)</f>
        <v>253.79999999999998</v>
      </c>
      <c r="S2128" s="763"/>
      <c r="T2128" s="768">
        <f ca="1">SUM(T2124:T2127)</f>
        <v>5.3999999999999995</v>
      </c>
      <c r="U2128" s="531"/>
      <c r="V2128" s="531"/>
      <c r="W2128" s="531"/>
      <c r="X2128" s="531"/>
      <c r="Y2128" s="531"/>
      <c r="Z2128" s="531"/>
      <c r="AA2128" s="531"/>
      <c r="AB2128" s="531"/>
      <c r="AC2128" s="531"/>
      <c r="AD2128" s="531"/>
      <c r="AE2128" s="531"/>
      <c r="AF2128" s="531"/>
      <c r="AG2128" s="531"/>
      <c r="AH2128" s="531"/>
      <c r="AI2128" s="531"/>
      <c r="AJ2128" s="531"/>
      <c r="AK2128" s="531"/>
      <c r="AL2128" s="531"/>
      <c r="AM2128" s="531"/>
      <c r="AN2128" s="531"/>
      <c r="AO2128" s="531"/>
      <c r="AR2128" s="761" t="s">
        <v>145</v>
      </c>
      <c r="AS2128" s="764"/>
    </row>
    <row r="2129" spans="1:45" s="520" customFormat="1" ht="12" thickTop="1">
      <c r="A2129" s="51"/>
      <c r="B2129" s="41"/>
      <c r="C2129" s="51"/>
      <c r="E2129" s="42" t="s">
        <v>138</v>
      </c>
      <c r="F2129" s="42" t="s">
        <v>139</v>
      </c>
      <c r="G2129" s="51"/>
      <c r="H2129" s="51"/>
      <c r="I2129" s="51"/>
      <c r="J2129" s="51"/>
      <c r="K2129" s="51" t="s">
        <v>140</v>
      </c>
      <c r="L2129" s="51"/>
      <c r="M2129" s="51"/>
      <c r="N2129" s="51"/>
      <c r="O2129" s="52"/>
      <c r="P2129" s="51"/>
      <c r="Q2129" s="51"/>
      <c r="R2129" s="51"/>
      <c r="S2129" s="51"/>
      <c r="T2129" s="41"/>
      <c r="AG2129" s="521" t="s">
        <v>268</v>
      </c>
      <c r="AH2129" s="521" t="s">
        <v>269</v>
      </c>
      <c r="AI2129" s="521" t="s">
        <v>270</v>
      </c>
      <c r="AJ2129" s="521" t="s">
        <v>271</v>
      </c>
      <c r="AK2129" s="521" t="s">
        <v>272</v>
      </c>
      <c r="AM2129" s="745" t="s">
        <v>281</v>
      </c>
      <c r="AN2129" s="746" t="s">
        <v>282</v>
      </c>
      <c r="AO2129" s="522" t="s">
        <v>278</v>
      </c>
      <c r="AR2129" s="51"/>
      <c r="AS2129" s="42" t="s">
        <v>139</v>
      </c>
    </row>
    <row r="2130" spans="1:45" s="520" customFormat="1" ht="12" customHeight="1">
      <c r="A2130" s="747">
        <v>85</v>
      </c>
      <c r="B2130" s="523" t="s">
        <v>320</v>
      </c>
      <c r="C2130" s="748"/>
      <c r="D2130" s="749" t="s">
        <v>1454</v>
      </c>
      <c r="E2130" s="750">
        <f ca="1">IF(AND($A2130=0,$A$1="DIF"),0, ROUND(ROUND(($R2135*$S$2+($T2135*$T$2))/A2130,2)*$C$2,2))</f>
        <v>5.5</v>
      </c>
      <c r="F2130" s="751">
        <f ca="1">ROUND($A2130*$E2130,2)</f>
        <v>467.5</v>
      </c>
      <c r="G2130" s="752" t="s">
        <v>142</v>
      </c>
      <c r="H2130" s="753"/>
      <c r="I2130" s="754"/>
      <c r="J2130" s="753"/>
      <c r="K2130" s="753" t="s">
        <v>3</v>
      </c>
      <c r="L2130" s="755" t="s">
        <v>143</v>
      </c>
      <c r="M2130" s="755"/>
      <c r="N2130" s="755"/>
      <c r="O2130" s="755"/>
      <c r="P2130" s="755"/>
      <c r="Q2130" s="51"/>
      <c r="T2130" s="756" t="str">
        <f ca="1">IF(AND($R2135=0,$T2135=0),"0.00","mu :" &amp; ROUND($F2130/$C$2/($R2135+$T2135*$D$9),2))</f>
        <v>mu :1.23</v>
      </c>
      <c r="W2130" s="524"/>
      <c r="AG2130" s="481">
        <f ca="1">IF($E2130=0,0,ROUND($R2135*$S$2*$C$2/$A2130,2))</f>
        <v>3.47</v>
      </c>
      <c r="AH2130" s="481">
        <f ca="1">$AG2130*$A2130</f>
        <v>294.95</v>
      </c>
      <c r="AI2130" s="525">
        <f ca="1">$E2130-$AG2130</f>
        <v>2.0299999999999998</v>
      </c>
      <c r="AJ2130" s="525">
        <f ca="1">$A2130*$AI2130</f>
        <v>172.54999999999998</v>
      </c>
      <c r="AK2130" s="526">
        <f ca="1">ROUND(($AG2130+$AI2130)*$A2130,2)</f>
        <v>467.5</v>
      </c>
      <c r="AM2130" s="527">
        <f ca="1">ROUND(R2135,2)</f>
        <v>239.7</v>
      </c>
      <c r="AN2130" s="528">
        <f ca="1">ROUND(T2135,2)</f>
        <v>5.0999999999999996</v>
      </c>
      <c r="AO2130" s="529">
        <f ca="1">ROUND(AM2130+AN2130,2)*A2130</f>
        <v>20808</v>
      </c>
      <c r="AR2130" s="747">
        <v>85</v>
      </c>
      <c r="AS2130" s="751">
        <v>496.4</v>
      </c>
    </row>
    <row r="2131" spans="1:45" s="520" customFormat="1" ht="13.2">
      <c r="A2131" s="748"/>
      <c r="B2131"/>
      <c r="C2131" s="748"/>
      <c r="D2131" s="749" t="s">
        <v>1455</v>
      </c>
      <c r="F2131" s="753"/>
      <c r="G2131" s="3"/>
      <c r="H2131" s="753"/>
      <c r="I2131" s="754"/>
      <c r="J2131" s="753"/>
      <c r="K2131" s="753" t="s">
        <v>144</v>
      </c>
      <c r="L2131" s="753"/>
      <c r="M2131" s="753"/>
      <c r="N2131" s="753"/>
      <c r="O2131" s="753"/>
      <c r="P2131" s="753"/>
      <c r="Q2131" s="51"/>
      <c r="R2131" s="530"/>
      <c r="S2131" s="757"/>
      <c r="T2131" s="753"/>
      <c r="AR2131" s="748"/>
      <c r="AS2131" s="753"/>
    </row>
    <row r="2132" spans="1:45" s="886" customFormat="1" ht="13.2">
      <c r="A2132"/>
      <c r="B2132" s="910"/>
      <c r="C2132" s="910" t="s">
        <v>2597</v>
      </c>
      <c r="D2132" s="910" t="str">
        <f ca="1">CELL("Address",Elec_Rates!D$520)</f>
        <v>[E25_0062_Quintano_Foods_Elec_ELV_As_Awarded.xlsx]Elec_Rates!$D$520</v>
      </c>
      <c r="E2132" s="911"/>
      <c r="F2132" s="911"/>
      <c r="G2132" s="912" t="s">
        <v>2598</v>
      </c>
      <c r="H2132" s="912"/>
      <c r="I2132" s="912"/>
      <c r="J2132" s="912"/>
      <c r="K2132" s="913"/>
      <c r="L2132" s="911"/>
      <c r="M2132" s="911"/>
      <c r="N2132" s="911"/>
      <c r="O2132" s="914"/>
      <c r="P2132" s="911"/>
      <c r="Q2132" s="915"/>
      <c r="R2132" s="916"/>
      <c r="S2132" s="915"/>
      <c r="T2132" s="917"/>
      <c r="U2132" s="918"/>
      <c r="AR2132"/>
      <c r="AS2132" s="911"/>
    </row>
    <row r="2133" spans="1:45" s="886" customFormat="1" ht="11.4">
      <c r="A2133" s="919">
        <v>85</v>
      </c>
      <c r="B2133" s="920">
        <v>1</v>
      </c>
      <c r="C2133" s="920">
        <f>$A2133*$B2133</f>
        <v>85</v>
      </c>
      <c r="D2133" s="921" t="str">
        <f>Elec_Rates!$D$520</f>
        <v>049# 5 x 2.5mm2 XLPE/SWA/LSZH in stainless steel sleeves at warehouse level 0</v>
      </c>
      <c r="E2133" s="921"/>
      <c r="F2133" s="921" t="s">
        <v>2599</v>
      </c>
      <c r="G2133" s="922" t="s">
        <v>2601</v>
      </c>
      <c r="H2133" s="922"/>
      <c r="I2133" s="922"/>
      <c r="J2133" s="922"/>
      <c r="K2133" s="923"/>
      <c r="L2133" s="918"/>
      <c r="M2133" s="918"/>
      <c r="N2133" s="918"/>
      <c r="O2133" s="924"/>
      <c r="P2133" s="921"/>
      <c r="Q2133" s="925">
        <f ca="1">$B2133*Elec_Rates!$R$520</f>
        <v>2.82</v>
      </c>
      <c r="R2133" s="916">
        <f ca="1">$A2133*Q2133</f>
        <v>239.7</v>
      </c>
      <c r="S2133" s="925">
        <f ca="1">$B2133*Elec_Rates!$T$520</f>
        <v>0.06</v>
      </c>
      <c r="T2133" s="917">
        <f ca="1">$A2133*S2133</f>
        <v>5.0999999999999996</v>
      </c>
      <c r="U2133" s="926"/>
      <c r="AR2133" s="919">
        <v>85</v>
      </c>
      <c r="AS2133" s="921" t="s">
        <v>2599</v>
      </c>
    </row>
    <row r="2134" spans="1:45" s="520" customFormat="1" ht="12">
      <c r="A2134" s="758"/>
      <c r="B2134" s="758"/>
      <c r="C2134" s="758"/>
      <c r="D2134" s="758"/>
      <c r="E2134" s="758"/>
      <c r="F2134" s="753"/>
      <c r="G2134" s="758"/>
      <c r="H2134" s="758"/>
      <c r="I2134" s="519"/>
      <c r="J2134" s="758"/>
      <c r="K2134" s="758"/>
      <c r="L2134" s="758"/>
      <c r="M2134" s="758"/>
      <c r="N2134" s="758"/>
      <c r="O2134" s="758"/>
      <c r="P2134" s="758"/>
      <c r="Q2134" s="519"/>
      <c r="R2134" s="759">
        <f>$A2134*Q2134</f>
        <v>0</v>
      </c>
      <c r="S2134" s="519"/>
      <c r="T2134" s="760">
        <f>$A2134*S2134*$T$1</f>
        <v>0</v>
      </c>
      <c r="AR2134" s="758"/>
      <c r="AS2134" s="753"/>
    </row>
    <row r="2135" spans="1:45" s="520" customFormat="1" ht="12.6" thickBot="1">
      <c r="A2135" s="761" t="s">
        <v>145</v>
      </c>
      <c r="B2135" s="762">
        <f>(R2134+T2134)</f>
        <v>0</v>
      </c>
      <c r="C2135" s="763"/>
      <c r="D2135" s="763"/>
      <c r="E2135" s="763"/>
      <c r="F2135" s="764"/>
      <c r="G2135" s="763" t="s">
        <v>146</v>
      </c>
      <c r="H2135" s="763"/>
      <c r="I2135" s="765"/>
      <c r="J2135" s="763"/>
      <c r="K2135" s="763" t="s">
        <v>3</v>
      </c>
      <c r="L2135" s="766" t="s">
        <v>143</v>
      </c>
      <c r="M2135" s="766"/>
      <c r="N2135" s="766"/>
      <c r="O2135" s="766"/>
      <c r="P2135" s="766"/>
      <c r="Q2135" s="767"/>
      <c r="R2135" s="768">
        <f ca="1">SUM(R2131:R2134)</f>
        <v>239.7</v>
      </c>
      <c r="S2135" s="763"/>
      <c r="T2135" s="768">
        <f ca="1">SUM(T2131:T2134)</f>
        <v>5.0999999999999996</v>
      </c>
      <c r="U2135" s="531"/>
      <c r="V2135" s="531"/>
      <c r="W2135" s="531"/>
      <c r="X2135" s="531"/>
      <c r="Y2135" s="531"/>
      <c r="Z2135" s="531"/>
      <c r="AA2135" s="531"/>
      <c r="AB2135" s="531"/>
      <c r="AC2135" s="531"/>
      <c r="AD2135" s="531"/>
      <c r="AE2135" s="531"/>
      <c r="AF2135" s="531"/>
      <c r="AG2135" s="531"/>
      <c r="AH2135" s="531"/>
      <c r="AI2135" s="531"/>
      <c r="AJ2135" s="531"/>
      <c r="AK2135" s="531"/>
      <c r="AL2135" s="531"/>
      <c r="AM2135" s="531"/>
      <c r="AN2135" s="531"/>
      <c r="AO2135" s="531"/>
      <c r="AR2135" s="761" t="s">
        <v>145</v>
      </c>
      <c r="AS2135" s="764"/>
    </row>
    <row r="2136" spans="1:45" s="520" customFormat="1" ht="12" thickTop="1">
      <c r="A2136" s="51"/>
      <c r="B2136" s="41"/>
      <c r="C2136" s="51"/>
      <c r="E2136" s="42" t="s">
        <v>138</v>
      </c>
      <c r="F2136" s="42" t="s">
        <v>139</v>
      </c>
      <c r="G2136" s="51"/>
      <c r="H2136" s="51"/>
      <c r="I2136" s="51"/>
      <c r="J2136" s="51"/>
      <c r="K2136" s="51" t="s">
        <v>140</v>
      </c>
      <c r="L2136" s="51"/>
      <c r="M2136" s="51"/>
      <c r="N2136" s="51"/>
      <c r="O2136" s="52"/>
      <c r="P2136" s="51"/>
      <c r="Q2136" s="51"/>
      <c r="R2136" s="51"/>
      <c r="S2136" s="51"/>
      <c r="T2136" s="41"/>
      <c r="AG2136" s="521" t="s">
        <v>268</v>
      </c>
      <c r="AH2136" s="521" t="s">
        <v>269</v>
      </c>
      <c r="AI2136" s="521" t="s">
        <v>270</v>
      </c>
      <c r="AJ2136" s="521" t="s">
        <v>271</v>
      </c>
      <c r="AK2136" s="521" t="s">
        <v>272</v>
      </c>
      <c r="AM2136" s="745" t="s">
        <v>281</v>
      </c>
      <c r="AN2136" s="746" t="s">
        <v>282</v>
      </c>
      <c r="AO2136" s="522" t="s">
        <v>278</v>
      </c>
      <c r="AR2136" s="51"/>
      <c r="AS2136" s="42" t="s">
        <v>139</v>
      </c>
    </row>
    <row r="2137" spans="1:45" s="520" customFormat="1" ht="12" customHeight="1">
      <c r="A2137" s="747">
        <v>80</v>
      </c>
      <c r="B2137" s="523" t="s">
        <v>320</v>
      </c>
      <c r="C2137" s="748"/>
      <c r="D2137" s="749" t="s">
        <v>1456</v>
      </c>
      <c r="E2137" s="750">
        <f ca="1">IF(AND($A2137=0,$A$1="DIF"),0, ROUND(ROUND(($R2142*$S$2+($T2142*$T$2))/A2137,2)*$C$2,2))</f>
        <v>5.5</v>
      </c>
      <c r="F2137" s="751">
        <f ca="1">ROUND($A2137*$E2137,2)</f>
        <v>440</v>
      </c>
      <c r="G2137" s="752" t="s">
        <v>142</v>
      </c>
      <c r="H2137" s="753"/>
      <c r="I2137" s="754"/>
      <c r="J2137" s="753"/>
      <c r="K2137" s="753" t="s">
        <v>3</v>
      </c>
      <c r="L2137" s="755" t="s">
        <v>143</v>
      </c>
      <c r="M2137" s="755"/>
      <c r="N2137" s="755"/>
      <c r="O2137" s="755"/>
      <c r="P2137" s="755"/>
      <c r="Q2137" s="51"/>
      <c r="T2137" s="756" t="str">
        <f ca="1">IF(AND($R2142=0,$T2142=0),"0.00","mu :" &amp; ROUND($F2137/$C$2/($R2142+$T2142*$D$9),2))</f>
        <v>mu :1.23</v>
      </c>
      <c r="W2137" s="524"/>
      <c r="AG2137" s="481">
        <f ca="1">IF($E2137=0,0,ROUND($R2142*$S$2*$C$2/$A2137,2))</f>
        <v>3.47</v>
      </c>
      <c r="AH2137" s="481">
        <f ca="1">$AG2137*$A2137</f>
        <v>277.60000000000002</v>
      </c>
      <c r="AI2137" s="525">
        <f ca="1">$E2137-$AG2137</f>
        <v>2.0299999999999998</v>
      </c>
      <c r="AJ2137" s="525">
        <f ca="1">$A2137*$AI2137</f>
        <v>162.39999999999998</v>
      </c>
      <c r="AK2137" s="526">
        <f ca="1">ROUND(($AG2137+$AI2137)*$A2137,2)</f>
        <v>440</v>
      </c>
      <c r="AM2137" s="527">
        <f ca="1">ROUND(R2142,2)</f>
        <v>225.6</v>
      </c>
      <c r="AN2137" s="528">
        <f ca="1">ROUND(T2142,2)</f>
        <v>4.8</v>
      </c>
      <c r="AO2137" s="529">
        <f ca="1">ROUND(AM2137+AN2137,2)*A2137</f>
        <v>18432</v>
      </c>
      <c r="AR2137" s="747">
        <v>80</v>
      </c>
      <c r="AS2137" s="751">
        <v>467.2</v>
      </c>
    </row>
    <row r="2138" spans="1:45" s="520" customFormat="1" ht="13.2">
      <c r="A2138" s="748"/>
      <c r="B2138"/>
      <c r="C2138" s="748"/>
      <c r="D2138" s="749" t="s">
        <v>1457</v>
      </c>
      <c r="F2138" s="753"/>
      <c r="G2138" s="3"/>
      <c r="H2138" s="753"/>
      <c r="I2138" s="754"/>
      <c r="J2138" s="753"/>
      <c r="K2138" s="753" t="s">
        <v>144</v>
      </c>
      <c r="L2138" s="753"/>
      <c r="M2138" s="753"/>
      <c r="N2138" s="753"/>
      <c r="O2138" s="753"/>
      <c r="P2138" s="753"/>
      <c r="Q2138" s="51"/>
      <c r="R2138" s="530"/>
      <c r="S2138" s="757"/>
      <c r="T2138" s="753"/>
      <c r="AR2138" s="748"/>
      <c r="AS2138" s="753"/>
    </row>
    <row r="2139" spans="1:45" s="886" customFormat="1" ht="13.2">
      <c r="A2139"/>
      <c r="B2139" s="910"/>
      <c r="C2139" s="910" t="s">
        <v>2597</v>
      </c>
      <c r="D2139" s="910" t="str">
        <f ca="1">CELL("Address",Elec_Rates!D$520)</f>
        <v>[E25_0062_Quintano_Foods_Elec_ELV_As_Awarded.xlsx]Elec_Rates!$D$520</v>
      </c>
      <c r="E2139" s="911"/>
      <c r="F2139" s="911"/>
      <c r="G2139" s="912" t="s">
        <v>2598</v>
      </c>
      <c r="H2139" s="912"/>
      <c r="I2139" s="912"/>
      <c r="J2139" s="912"/>
      <c r="K2139" s="913"/>
      <c r="L2139" s="911"/>
      <c r="M2139" s="911"/>
      <c r="N2139" s="911"/>
      <c r="O2139" s="914"/>
      <c r="P2139" s="911"/>
      <c r="Q2139" s="915"/>
      <c r="R2139" s="916"/>
      <c r="S2139" s="915"/>
      <c r="T2139" s="917"/>
      <c r="U2139" s="918"/>
      <c r="AR2139"/>
      <c r="AS2139" s="911"/>
    </row>
    <row r="2140" spans="1:45" s="886" customFormat="1" ht="11.4">
      <c r="A2140" s="919">
        <v>80</v>
      </c>
      <c r="B2140" s="920">
        <v>1</v>
      </c>
      <c r="C2140" s="920">
        <f>$A2140*$B2140</f>
        <v>80</v>
      </c>
      <c r="D2140" s="921" t="str">
        <f>Elec_Rates!$D$520</f>
        <v>049# 5 x 2.5mm2 XLPE/SWA/LSZH in stainless steel sleeves at warehouse level 0</v>
      </c>
      <c r="E2140" s="921"/>
      <c r="F2140" s="921" t="s">
        <v>2599</v>
      </c>
      <c r="G2140" s="922" t="s">
        <v>2601</v>
      </c>
      <c r="H2140" s="922"/>
      <c r="I2140" s="922"/>
      <c r="J2140" s="922"/>
      <c r="K2140" s="923"/>
      <c r="L2140" s="918"/>
      <c r="M2140" s="918"/>
      <c r="N2140" s="918"/>
      <c r="O2140" s="924"/>
      <c r="P2140" s="921"/>
      <c r="Q2140" s="925">
        <f ca="1">$B2140*Elec_Rates!$R$520</f>
        <v>2.82</v>
      </c>
      <c r="R2140" s="916">
        <f ca="1">$A2140*Q2140</f>
        <v>225.6</v>
      </c>
      <c r="S2140" s="925">
        <f ca="1">$B2140*Elec_Rates!$T$520</f>
        <v>0.06</v>
      </c>
      <c r="T2140" s="917">
        <f ca="1">$A2140*S2140</f>
        <v>4.8</v>
      </c>
      <c r="U2140" s="926"/>
      <c r="AR2140" s="919">
        <v>80</v>
      </c>
      <c r="AS2140" s="921" t="s">
        <v>2599</v>
      </c>
    </row>
    <row r="2141" spans="1:45" s="520" customFormat="1" ht="12">
      <c r="A2141" s="758"/>
      <c r="B2141" s="758"/>
      <c r="C2141" s="758"/>
      <c r="D2141" s="758"/>
      <c r="E2141" s="758"/>
      <c r="F2141" s="753"/>
      <c r="G2141" s="758"/>
      <c r="H2141" s="758"/>
      <c r="I2141" s="519"/>
      <c r="J2141" s="758"/>
      <c r="K2141" s="758"/>
      <c r="L2141" s="758"/>
      <c r="M2141" s="758"/>
      <c r="N2141" s="758"/>
      <c r="O2141" s="758"/>
      <c r="P2141" s="758"/>
      <c r="Q2141" s="519"/>
      <c r="R2141" s="759">
        <f>$A2141*Q2141</f>
        <v>0</v>
      </c>
      <c r="S2141" s="519"/>
      <c r="T2141" s="760">
        <f>$A2141*S2141*$T$1</f>
        <v>0</v>
      </c>
      <c r="AR2141" s="758"/>
      <c r="AS2141" s="753"/>
    </row>
    <row r="2142" spans="1:45" s="520" customFormat="1" ht="12.6" thickBot="1">
      <c r="A2142" s="761" t="s">
        <v>145</v>
      </c>
      <c r="B2142" s="762">
        <f>(R2141+T2141)</f>
        <v>0</v>
      </c>
      <c r="C2142" s="763"/>
      <c r="D2142" s="763"/>
      <c r="E2142" s="763"/>
      <c r="F2142" s="764"/>
      <c r="G2142" s="763" t="s">
        <v>146</v>
      </c>
      <c r="H2142" s="763"/>
      <c r="I2142" s="765"/>
      <c r="J2142" s="763"/>
      <c r="K2142" s="763" t="s">
        <v>3</v>
      </c>
      <c r="L2142" s="766" t="s">
        <v>143</v>
      </c>
      <c r="M2142" s="766"/>
      <c r="N2142" s="766"/>
      <c r="O2142" s="766"/>
      <c r="P2142" s="766"/>
      <c r="Q2142" s="767"/>
      <c r="R2142" s="768">
        <f ca="1">SUM(R2138:R2141)</f>
        <v>225.6</v>
      </c>
      <c r="S2142" s="763"/>
      <c r="T2142" s="768">
        <f ca="1">SUM(T2138:T2141)</f>
        <v>4.8</v>
      </c>
      <c r="U2142" s="531"/>
      <c r="V2142" s="531"/>
      <c r="W2142" s="531"/>
      <c r="X2142" s="531"/>
      <c r="Y2142" s="531"/>
      <c r="Z2142" s="531"/>
      <c r="AA2142" s="531"/>
      <c r="AB2142" s="531"/>
      <c r="AC2142" s="531"/>
      <c r="AD2142" s="531"/>
      <c r="AE2142" s="531"/>
      <c r="AF2142" s="531"/>
      <c r="AG2142" s="531"/>
      <c r="AH2142" s="531"/>
      <c r="AI2142" s="531"/>
      <c r="AJ2142" s="531"/>
      <c r="AK2142" s="531"/>
      <c r="AL2142" s="531"/>
      <c r="AM2142" s="531"/>
      <c r="AN2142" s="531"/>
      <c r="AO2142" s="531"/>
      <c r="AR2142" s="761" t="s">
        <v>145</v>
      </c>
      <c r="AS2142" s="764"/>
    </row>
    <row r="2143" spans="1:45" s="520" customFormat="1" ht="12" thickTop="1">
      <c r="A2143" s="51"/>
      <c r="B2143" s="41"/>
      <c r="C2143" s="51"/>
      <c r="E2143" s="42" t="s">
        <v>138</v>
      </c>
      <c r="F2143" s="42" t="s">
        <v>139</v>
      </c>
      <c r="G2143" s="51"/>
      <c r="H2143" s="51"/>
      <c r="I2143" s="51"/>
      <c r="J2143" s="51"/>
      <c r="K2143" s="51" t="s">
        <v>140</v>
      </c>
      <c r="L2143" s="51"/>
      <c r="M2143" s="51"/>
      <c r="N2143" s="51"/>
      <c r="O2143" s="52"/>
      <c r="P2143" s="51"/>
      <c r="Q2143" s="51"/>
      <c r="R2143" s="51"/>
      <c r="S2143" s="51"/>
      <c r="T2143" s="41"/>
      <c r="AG2143" s="521" t="s">
        <v>268</v>
      </c>
      <c r="AH2143" s="521" t="s">
        <v>269</v>
      </c>
      <c r="AI2143" s="521" t="s">
        <v>270</v>
      </c>
      <c r="AJ2143" s="521" t="s">
        <v>271</v>
      </c>
      <c r="AK2143" s="521" t="s">
        <v>272</v>
      </c>
      <c r="AM2143" s="745" t="s">
        <v>281</v>
      </c>
      <c r="AN2143" s="746" t="s">
        <v>282</v>
      </c>
      <c r="AO2143" s="522" t="s">
        <v>278</v>
      </c>
      <c r="AR2143" s="51"/>
      <c r="AS2143" s="42" t="s">
        <v>139</v>
      </c>
    </row>
    <row r="2144" spans="1:45" s="520" customFormat="1" ht="12" customHeight="1">
      <c r="A2144" s="747">
        <v>65</v>
      </c>
      <c r="B2144" s="523" t="s">
        <v>320</v>
      </c>
      <c r="C2144" s="748"/>
      <c r="D2144" s="749" t="s">
        <v>1458</v>
      </c>
      <c r="E2144" s="750">
        <f ca="1">IF(AND($A2144=0,$A$1="DIF"),0, ROUND(ROUND(($R2149*$S$2+($T2149*$T$2))/A2144,2)*$C$2,2))</f>
        <v>5.5</v>
      </c>
      <c r="F2144" s="751">
        <f ca="1">ROUND($A2144*$E2144,2)</f>
        <v>357.5</v>
      </c>
      <c r="G2144" s="752" t="s">
        <v>142</v>
      </c>
      <c r="H2144" s="753"/>
      <c r="I2144" s="754"/>
      <c r="J2144" s="753"/>
      <c r="K2144" s="753" t="s">
        <v>3</v>
      </c>
      <c r="L2144" s="755" t="s">
        <v>143</v>
      </c>
      <c r="M2144" s="755"/>
      <c r="N2144" s="755"/>
      <c r="O2144" s="755"/>
      <c r="P2144" s="755"/>
      <c r="Q2144" s="51"/>
      <c r="T2144" s="756" t="str">
        <f ca="1">IF(AND($R2149=0,$T2149=0),"0.00","mu :" &amp; ROUND($F2144/$C$2/($R2149+$T2149*$D$9),2))</f>
        <v>mu :1.23</v>
      </c>
      <c r="W2144" s="524"/>
      <c r="AG2144" s="481">
        <f ca="1">IF($E2144=0,0,ROUND($R2149*$S$2*$C$2/$A2144,2))</f>
        <v>3.47</v>
      </c>
      <c r="AH2144" s="481">
        <f ca="1">$AG2144*$A2144</f>
        <v>225.55</v>
      </c>
      <c r="AI2144" s="525">
        <f ca="1">$E2144-$AG2144</f>
        <v>2.0299999999999998</v>
      </c>
      <c r="AJ2144" s="525">
        <f ca="1">$A2144*$AI2144</f>
        <v>131.94999999999999</v>
      </c>
      <c r="AK2144" s="526">
        <f ca="1">ROUND(($AG2144+$AI2144)*$A2144,2)</f>
        <v>357.5</v>
      </c>
      <c r="AM2144" s="527">
        <f ca="1">ROUND(R2149,2)</f>
        <v>183.3</v>
      </c>
      <c r="AN2144" s="528">
        <f ca="1">ROUND(T2149,2)</f>
        <v>3.9</v>
      </c>
      <c r="AO2144" s="529">
        <f ca="1">ROUND(AM2144+AN2144,2)*A2144</f>
        <v>12168</v>
      </c>
      <c r="AR2144" s="747">
        <v>65</v>
      </c>
      <c r="AS2144" s="751">
        <v>379.6</v>
      </c>
    </row>
    <row r="2145" spans="1:45" s="520" customFormat="1" ht="13.2">
      <c r="A2145" s="748"/>
      <c r="B2145"/>
      <c r="C2145" s="748"/>
      <c r="D2145" s="749" t="s">
        <v>1459</v>
      </c>
      <c r="F2145" s="753"/>
      <c r="G2145" s="3"/>
      <c r="H2145" s="753"/>
      <c r="I2145" s="754"/>
      <c r="J2145" s="753"/>
      <c r="K2145" s="753" t="s">
        <v>144</v>
      </c>
      <c r="L2145" s="753"/>
      <c r="M2145" s="753"/>
      <c r="N2145" s="753"/>
      <c r="O2145" s="753"/>
      <c r="P2145" s="753"/>
      <c r="Q2145" s="51"/>
      <c r="R2145" s="530"/>
      <c r="S2145" s="757"/>
      <c r="T2145" s="753"/>
      <c r="AR2145" s="748"/>
      <c r="AS2145" s="753"/>
    </row>
    <row r="2146" spans="1:45" s="886" customFormat="1" ht="13.2">
      <c r="A2146"/>
      <c r="B2146" s="910"/>
      <c r="C2146" s="910" t="s">
        <v>2597</v>
      </c>
      <c r="D2146" s="910" t="str">
        <f ca="1">CELL("Address",Elec_Rates!D$520)</f>
        <v>[E25_0062_Quintano_Foods_Elec_ELV_As_Awarded.xlsx]Elec_Rates!$D$520</v>
      </c>
      <c r="E2146" s="911"/>
      <c r="F2146" s="911"/>
      <c r="G2146" s="912" t="s">
        <v>2598</v>
      </c>
      <c r="H2146" s="912"/>
      <c r="I2146" s="912"/>
      <c r="J2146" s="912"/>
      <c r="K2146" s="913"/>
      <c r="L2146" s="911"/>
      <c r="M2146" s="911"/>
      <c r="N2146" s="911"/>
      <c r="O2146" s="914"/>
      <c r="P2146" s="911"/>
      <c r="Q2146" s="915"/>
      <c r="R2146" s="916"/>
      <c r="S2146" s="915"/>
      <c r="T2146" s="917"/>
      <c r="U2146" s="918"/>
      <c r="AR2146"/>
      <c r="AS2146" s="911"/>
    </row>
    <row r="2147" spans="1:45" s="886" customFormat="1" ht="11.4">
      <c r="A2147" s="919">
        <v>65</v>
      </c>
      <c r="B2147" s="920">
        <v>1</v>
      </c>
      <c r="C2147" s="920">
        <f>$A2147*$B2147</f>
        <v>65</v>
      </c>
      <c r="D2147" s="921" t="str">
        <f>Elec_Rates!$D$520</f>
        <v>049# 5 x 2.5mm2 XLPE/SWA/LSZH in stainless steel sleeves at warehouse level 0</v>
      </c>
      <c r="E2147" s="921"/>
      <c r="F2147" s="921" t="s">
        <v>2599</v>
      </c>
      <c r="G2147" s="922" t="s">
        <v>2601</v>
      </c>
      <c r="H2147" s="922"/>
      <c r="I2147" s="922"/>
      <c r="J2147" s="922"/>
      <c r="K2147" s="923"/>
      <c r="L2147" s="918"/>
      <c r="M2147" s="918"/>
      <c r="N2147" s="918"/>
      <c r="O2147" s="924"/>
      <c r="P2147" s="921"/>
      <c r="Q2147" s="925">
        <f ca="1">$B2147*Elec_Rates!$R$520</f>
        <v>2.82</v>
      </c>
      <c r="R2147" s="916">
        <f ca="1">$A2147*Q2147</f>
        <v>183.29999999999998</v>
      </c>
      <c r="S2147" s="925">
        <f ca="1">$B2147*Elec_Rates!$T$520</f>
        <v>0.06</v>
      </c>
      <c r="T2147" s="917">
        <f ca="1">$A2147*S2147</f>
        <v>3.9</v>
      </c>
      <c r="U2147" s="926"/>
      <c r="AR2147" s="919">
        <v>65</v>
      </c>
      <c r="AS2147" s="921" t="s">
        <v>2599</v>
      </c>
    </row>
    <row r="2148" spans="1:45" s="520" customFormat="1" ht="12">
      <c r="A2148" s="758"/>
      <c r="B2148" s="758"/>
      <c r="C2148" s="758"/>
      <c r="D2148" s="758"/>
      <c r="E2148" s="758"/>
      <c r="F2148" s="753"/>
      <c r="G2148" s="758"/>
      <c r="H2148" s="758"/>
      <c r="I2148" s="519"/>
      <c r="J2148" s="758"/>
      <c r="K2148" s="758"/>
      <c r="L2148" s="758"/>
      <c r="M2148" s="758"/>
      <c r="N2148" s="758"/>
      <c r="O2148" s="758"/>
      <c r="P2148" s="758"/>
      <c r="Q2148" s="519"/>
      <c r="R2148" s="759">
        <f>$A2148*Q2148</f>
        <v>0</v>
      </c>
      <c r="S2148" s="519"/>
      <c r="T2148" s="760">
        <f>$A2148*S2148*$T$1</f>
        <v>0</v>
      </c>
      <c r="AR2148" s="758"/>
      <c r="AS2148" s="753"/>
    </row>
    <row r="2149" spans="1:45" s="520" customFormat="1" ht="12.6" thickBot="1">
      <c r="A2149" s="761" t="s">
        <v>145</v>
      </c>
      <c r="B2149" s="762">
        <f>(R2148+T2148)</f>
        <v>0</v>
      </c>
      <c r="C2149" s="763"/>
      <c r="D2149" s="763"/>
      <c r="E2149" s="763"/>
      <c r="F2149" s="764"/>
      <c r="G2149" s="763" t="s">
        <v>146</v>
      </c>
      <c r="H2149" s="763"/>
      <c r="I2149" s="765"/>
      <c r="J2149" s="763"/>
      <c r="K2149" s="763" t="s">
        <v>3</v>
      </c>
      <c r="L2149" s="766" t="s">
        <v>143</v>
      </c>
      <c r="M2149" s="766"/>
      <c r="N2149" s="766"/>
      <c r="O2149" s="766"/>
      <c r="P2149" s="766"/>
      <c r="Q2149" s="767"/>
      <c r="R2149" s="768">
        <f ca="1">SUM(R2145:R2148)</f>
        <v>183.29999999999998</v>
      </c>
      <c r="S2149" s="763"/>
      <c r="T2149" s="768">
        <f ca="1">SUM(T2145:T2148)</f>
        <v>3.9</v>
      </c>
      <c r="U2149" s="531"/>
      <c r="V2149" s="531"/>
      <c r="W2149" s="531"/>
      <c r="X2149" s="531"/>
      <c r="Y2149" s="531"/>
      <c r="Z2149" s="531"/>
      <c r="AA2149" s="531"/>
      <c r="AB2149" s="531"/>
      <c r="AC2149" s="531"/>
      <c r="AD2149" s="531"/>
      <c r="AE2149" s="531"/>
      <c r="AF2149" s="531"/>
      <c r="AG2149" s="531"/>
      <c r="AH2149" s="531"/>
      <c r="AI2149" s="531"/>
      <c r="AJ2149" s="531"/>
      <c r="AK2149" s="531"/>
      <c r="AL2149" s="531"/>
      <c r="AM2149" s="531"/>
      <c r="AN2149" s="531"/>
      <c r="AO2149" s="531"/>
      <c r="AR2149" s="761" t="s">
        <v>145</v>
      </c>
      <c r="AS2149" s="764"/>
    </row>
    <row r="2150" spans="1:45" s="520" customFormat="1" ht="12" thickTop="1">
      <c r="A2150" s="51"/>
      <c r="B2150" s="41"/>
      <c r="C2150" s="51"/>
      <c r="E2150" s="42" t="s">
        <v>138</v>
      </c>
      <c r="F2150" s="42" t="s">
        <v>139</v>
      </c>
      <c r="G2150" s="51"/>
      <c r="H2150" s="51"/>
      <c r="I2150" s="51"/>
      <c r="J2150" s="51"/>
      <c r="K2150" s="51" t="s">
        <v>140</v>
      </c>
      <c r="L2150" s="51"/>
      <c r="M2150" s="51"/>
      <c r="N2150" s="51"/>
      <c r="O2150" s="52"/>
      <c r="P2150" s="51"/>
      <c r="Q2150" s="51"/>
      <c r="R2150" s="51"/>
      <c r="S2150" s="51"/>
      <c r="T2150" s="41"/>
      <c r="AG2150" s="521" t="s">
        <v>268</v>
      </c>
      <c r="AH2150" s="521" t="s">
        <v>269</v>
      </c>
      <c r="AI2150" s="521" t="s">
        <v>270</v>
      </c>
      <c r="AJ2150" s="521" t="s">
        <v>271</v>
      </c>
      <c r="AK2150" s="521" t="s">
        <v>272</v>
      </c>
      <c r="AM2150" s="745" t="s">
        <v>281</v>
      </c>
      <c r="AN2150" s="746" t="s">
        <v>282</v>
      </c>
      <c r="AO2150" s="522" t="s">
        <v>278</v>
      </c>
      <c r="AR2150" s="51"/>
      <c r="AS2150" s="42" t="s">
        <v>139</v>
      </c>
    </row>
    <row r="2151" spans="1:45" s="520" customFormat="1" ht="12" customHeight="1">
      <c r="A2151" s="747">
        <v>60</v>
      </c>
      <c r="B2151" s="523" t="s">
        <v>320</v>
      </c>
      <c r="C2151" s="748"/>
      <c r="D2151" s="749" t="s">
        <v>1460</v>
      </c>
      <c r="E2151" s="750">
        <f ca="1">IF(AND($A2151=0,$A$1="DIF"),0, ROUND(ROUND(($R2156*$S$2+($T2156*$T$2))/A2151,2)*$C$2,2))</f>
        <v>5.5</v>
      </c>
      <c r="F2151" s="751">
        <f ca="1">ROUND($A2151*$E2151,2)</f>
        <v>330</v>
      </c>
      <c r="G2151" s="752" t="s">
        <v>142</v>
      </c>
      <c r="H2151" s="753"/>
      <c r="I2151" s="754"/>
      <c r="J2151" s="753"/>
      <c r="K2151" s="753" t="s">
        <v>3</v>
      </c>
      <c r="L2151" s="755" t="s">
        <v>143</v>
      </c>
      <c r="M2151" s="755"/>
      <c r="N2151" s="755"/>
      <c r="O2151" s="755"/>
      <c r="P2151" s="755"/>
      <c r="Q2151" s="51"/>
      <c r="T2151" s="756" t="str">
        <f ca="1">IF(AND($R2156=0,$T2156=0),"0.00","mu :" &amp; ROUND($F2151/$C$2/($R2156+$T2156*$D$9),2))</f>
        <v>mu :1.23</v>
      </c>
      <c r="W2151" s="524"/>
      <c r="AG2151" s="481">
        <f ca="1">IF($E2151=0,0,ROUND($R2156*$S$2*$C$2/$A2151,2))</f>
        <v>3.47</v>
      </c>
      <c r="AH2151" s="481">
        <f ca="1">$AG2151*$A2151</f>
        <v>208.20000000000002</v>
      </c>
      <c r="AI2151" s="525">
        <f ca="1">$E2151-$AG2151</f>
        <v>2.0299999999999998</v>
      </c>
      <c r="AJ2151" s="525">
        <f ca="1">$A2151*$AI2151</f>
        <v>121.79999999999998</v>
      </c>
      <c r="AK2151" s="526">
        <f ca="1">ROUND(($AG2151+$AI2151)*$A2151,2)</f>
        <v>330</v>
      </c>
      <c r="AM2151" s="527">
        <f ca="1">ROUND(R2156,2)</f>
        <v>169.2</v>
      </c>
      <c r="AN2151" s="528">
        <f ca="1">ROUND(T2156,2)</f>
        <v>3.6</v>
      </c>
      <c r="AO2151" s="529">
        <f ca="1">ROUND(AM2151+AN2151,2)*A2151</f>
        <v>10368</v>
      </c>
      <c r="AR2151" s="747">
        <v>60</v>
      </c>
      <c r="AS2151" s="751">
        <v>350.4</v>
      </c>
    </row>
    <row r="2152" spans="1:45" s="520" customFormat="1" ht="13.2">
      <c r="A2152" s="748"/>
      <c r="B2152"/>
      <c r="C2152" s="748"/>
      <c r="D2152" s="749" t="s">
        <v>1461</v>
      </c>
      <c r="F2152" s="753"/>
      <c r="G2152" s="3"/>
      <c r="H2152" s="753"/>
      <c r="I2152" s="754"/>
      <c r="J2152" s="753"/>
      <c r="K2152" s="753" t="s">
        <v>144</v>
      </c>
      <c r="L2152" s="753"/>
      <c r="M2152" s="753"/>
      <c r="N2152" s="753"/>
      <c r="O2152" s="753"/>
      <c r="P2152" s="753"/>
      <c r="Q2152" s="51"/>
      <c r="R2152" s="530"/>
      <c r="S2152" s="757"/>
      <c r="T2152" s="753"/>
      <c r="AR2152" s="748"/>
      <c r="AS2152" s="753"/>
    </row>
    <row r="2153" spans="1:45" s="886" customFormat="1" ht="13.2">
      <c r="A2153"/>
      <c r="B2153" s="910"/>
      <c r="C2153" s="910" t="s">
        <v>2597</v>
      </c>
      <c r="D2153" s="910" t="str">
        <f ca="1">CELL("Address",Elec_Rates!D$520)</f>
        <v>[E25_0062_Quintano_Foods_Elec_ELV_As_Awarded.xlsx]Elec_Rates!$D$520</v>
      </c>
      <c r="E2153" s="911"/>
      <c r="F2153" s="911"/>
      <c r="G2153" s="912" t="s">
        <v>2598</v>
      </c>
      <c r="H2153" s="912"/>
      <c r="I2153" s="912"/>
      <c r="J2153" s="912"/>
      <c r="K2153" s="913"/>
      <c r="L2153" s="911"/>
      <c r="M2153" s="911"/>
      <c r="N2153" s="911"/>
      <c r="O2153" s="914"/>
      <c r="P2153" s="911"/>
      <c r="Q2153" s="915"/>
      <c r="R2153" s="916"/>
      <c r="S2153" s="915"/>
      <c r="T2153" s="917"/>
      <c r="U2153" s="918"/>
      <c r="AR2153"/>
      <c r="AS2153" s="911"/>
    </row>
    <row r="2154" spans="1:45" s="886" customFormat="1" ht="11.4">
      <c r="A2154" s="919">
        <v>60</v>
      </c>
      <c r="B2154" s="920">
        <v>1</v>
      </c>
      <c r="C2154" s="920">
        <f>$A2154*$B2154</f>
        <v>60</v>
      </c>
      <c r="D2154" s="921" t="str">
        <f>Elec_Rates!$D$520</f>
        <v>049# 5 x 2.5mm2 XLPE/SWA/LSZH in stainless steel sleeves at warehouse level 0</v>
      </c>
      <c r="E2154" s="921"/>
      <c r="F2154" s="921" t="s">
        <v>2599</v>
      </c>
      <c r="G2154" s="922" t="s">
        <v>2601</v>
      </c>
      <c r="H2154" s="922"/>
      <c r="I2154" s="922"/>
      <c r="J2154" s="922"/>
      <c r="K2154" s="923"/>
      <c r="L2154" s="918"/>
      <c r="M2154" s="918"/>
      <c r="N2154" s="918"/>
      <c r="O2154" s="924"/>
      <c r="P2154" s="921"/>
      <c r="Q2154" s="925">
        <f ca="1">$B2154*Elec_Rates!$R$520</f>
        <v>2.82</v>
      </c>
      <c r="R2154" s="916">
        <f ca="1">$A2154*Q2154</f>
        <v>169.2</v>
      </c>
      <c r="S2154" s="925">
        <f ca="1">$B2154*Elec_Rates!$T$520</f>
        <v>0.06</v>
      </c>
      <c r="T2154" s="917">
        <f ca="1">$A2154*S2154</f>
        <v>3.5999999999999996</v>
      </c>
      <c r="U2154" s="926"/>
      <c r="AR2154" s="919">
        <v>60</v>
      </c>
      <c r="AS2154" s="921" t="s">
        <v>2599</v>
      </c>
    </row>
    <row r="2155" spans="1:45" s="520" customFormat="1" ht="12">
      <c r="A2155" s="758"/>
      <c r="B2155" s="758"/>
      <c r="C2155" s="758"/>
      <c r="D2155" s="758"/>
      <c r="E2155" s="758"/>
      <c r="F2155" s="753"/>
      <c r="G2155" s="758"/>
      <c r="H2155" s="758"/>
      <c r="I2155" s="519"/>
      <c r="J2155" s="758"/>
      <c r="K2155" s="758"/>
      <c r="L2155" s="758"/>
      <c r="M2155" s="758"/>
      <c r="N2155" s="758"/>
      <c r="O2155" s="758"/>
      <c r="P2155" s="758"/>
      <c r="Q2155" s="519"/>
      <c r="R2155" s="759">
        <f>$A2155*Q2155</f>
        <v>0</v>
      </c>
      <c r="S2155" s="519"/>
      <c r="T2155" s="760">
        <f>$A2155*S2155*$T$1</f>
        <v>0</v>
      </c>
      <c r="AR2155" s="758"/>
      <c r="AS2155" s="753"/>
    </row>
    <row r="2156" spans="1:45" s="520" customFormat="1" ht="12.6" thickBot="1">
      <c r="A2156" s="761" t="s">
        <v>145</v>
      </c>
      <c r="B2156" s="762">
        <f>(R2155+T2155)</f>
        <v>0</v>
      </c>
      <c r="C2156" s="763"/>
      <c r="D2156" s="763"/>
      <c r="E2156" s="763"/>
      <c r="F2156" s="764"/>
      <c r="G2156" s="763" t="s">
        <v>146</v>
      </c>
      <c r="H2156" s="763"/>
      <c r="I2156" s="765"/>
      <c r="J2156" s="763"/>
      <c r="K2156" s="763" t="s">
        <v>3</v>
      </c>
      <c r="L2156" s="766" t="s">
        <v>143</v>
      </c>
      <c r="M2156" s="766"/>
      <c r="N2156" s="766"/>
      <c r="O2156" s="766"/>
      <c r="P2156" s="766"/>
      <c r="Q2156" s="767"/>
      <c r="R2156" s="768">
        <f ca="1">SUM(R2152:R2155)</f>
        <v>169.2</v>
      </c>
      <c r="S2156" s="763"/>
      <c r="T2156" s="768">
        <f ca="1">SUM(T2152:T2155)</f>
        <v>3.5999999999999996</v>
      </c>
      <c r="U2156" s="531"/>
      <c r="V2156" s="531"/>
      <c r="W2156" s="531"/>
      <c r="X2156" s="531"/>
      <c r="Y2156" s="531"/>
      <c r="Z2156" s="531"/>
      <c r="AA2156" s="531"/>
      <c r="AB2156" s="531"/>
      <c r="AC2156" s="531"/>
      <c r="AD2156" s="531"/>
      <c r="AE2156" s="531"/>
      <c r="AF2156" s="531"/>
      <c r="AG2156" s="531"/>
      <c r="AH2156" s="531"/>
      <c r="AI2156" s="531"/>
      <c r="AJ2156" s="531"/>
      <c r="AK2156" s="531"/>
      <c r="AL2156" s="531"/>
      <c r="AM2156" s="531"/>
      <c r="AN2156" s="531"/>
      <c r="AO2156" s="531"/>
      <c r="AR2156" s="761" t="s">
        <v>145</v>
      </c>
      <c r="AS2156" s="764"/>
    </row>
    <row r="2157" spans="1:45" s="520" customFormat="1" ht="12" thickTop="1">
      <c r="A2157" s="51"/>
      <c r="B2157" s="41"/>
      <c r="C2157" s="51"/>
      <c r="E2157" s="42" t="s">
        <v>138</v>
      </c>
      <c r="F2157" s="42" t="s">
        <v>139</v>
      </c>
      <c r="G2157" s="51"/>
      <c r="H2157" s="51"/>
      <c r="I2157" s="51"/>
      <c r="J2157" s="51"/>
      <c r="K2157" s="51" t="s">
        <v>140</v>
      </c>
      <c r="L2157" s="51"/>
      <c r="M2157" s="51"/>
      <c r="N2157" s="51"/>
      <c r="O2157" s="52"/>
      <c r="P2157" s="51"/>
      <c r="Q2157" s="51"/>
      <c r="R2157" s="51"/>
      <c r="S2157" s="51"/>
      <c r="T2157" s="41"/>
      <c r="AG2157" s="521" t="s">
        <v>268</v>
      </c>
      <c r="AH2157" s="521" t="s">
        <v>269</v>
      </c>
      <c r="AI2157" s="521" t="s">
        <v>270</v>
      </c>
      <c r="AJ2157" s="521" t="s">
        <v>271</v>
      </c>
      <c r="AK2157" s="521" t="s">
        <v>272</v>
      </c>
      <c r="AM2157" s="745" t="s">
        <v>281</v>
      </c>
      <c r="AN2157" s="746" t="s">
        <v>282</v>
      </c>
      <c r="AO2157" s="522" t="s">
        <v>278</v>
      </c>
      <c r="AR2157" s="51"/>
      <c r="AS2157" s="42" t="s">
        <v>139</v>
      </c>
    </row>
    <row r="2158" spans="1:45" s="520" customFormat="1" ht="12" customHeight="1">
      <c r="A2158" s="747">
        <v>85</v>
      </c>
      <c r="B2158" s="523" t="s">
        <v>320</v>
      </c>
      <c r="C2158" s="748"/>
      <c r="D2158" s="749" t="s">
        <v>1462</v>
      </c>
      <c r="E2158" s="750">
        <f ca="1">IF(AND($A2158=0,$A$1="DIF"),0, ROUND(ROUND(($R2174*$S$2+($T2174*$T$2))/A2158,2)*$C$2,2))</f>
        <v>9.9499999999999993</v>
      </c>
      <c r="F2158" s="751">
        <f ca="1">ROUND($A2158*$E2158,2)</f>
        <v>845.75</v>
      </c>
      <c r="G2158" s="752" t="s">
        <v>142</v>
      </c>
      <c r="H2158" s="753"/>
      <c r="I2158" s="754"/>
      <c r="J2158" s="753"/>
      <c r="K2158" s="753" t="s">
        <v>3</v>
      </c>
      <c r="L2158" s="755" t="s">
        <v>143</v>
      </c>
      <c r="M2158" s="755"/>
      <c r="N2158" s="755"/>
      <c r="O2158" s="755"/>
      <c r="P2158" s="755"/>
      <c r="Q2158" s="51"/>
      <c r="T2158" s="756" t="str">
        <f ca="1">IF(AND($R2174=0,$T2174=0),"0.00","mu :" &amp; ROUND($F2158/$C$2/($R2174+$T2174*$D$9),2))</f>
        <v>mu :1.23</v>
      </c>
      <c r="W2158" s="524"/>
      <c r="AG2158" s="481">
        <f ca="1">IF($E2158=0,0,ROUND($R2174*$S$2*$C$2/$A2158,2))</f>
        <v>6.91</v>
      </c>
      <c r="AH2158" s="481">
        <f ca="1">$AG2158*$A2158</f>
        <v>587.35</v>
      </c>
      <c r="AI2158" s="525">
        <f ca="1">$E2158-$AG2158</f>
        <v>3.0399999999999991</v>
      </c>
      <c r="AJ2158" s="525">
        <f ca="1">$A2158*$AI2158</f>
        <v>258.39999999999992</v>
      </c>
      <c r="AK2158" s="526">
        <f ca="1">ROUND(($AG2158+$AI2158)*$A2158,2)</f>
        <v>845.75</v>
      </c>
      <c r="AM2158" s="527">
        <f ca="1">ROUND(R2174,2)</f>
        <v>476.85</v>
      </c>
      <c r="AN2158" s="528">
        <f ca="1">ROUND(T2174,2)</f>
        <v>7.65</v>
      </c>
      <c r="AO2158" s="529">
        <f ca="1">ROUND(AM2158+AN2158,2)*A2158</f>
        <v>41182.5</v>
      </c>
      <c r="AR2158" s="747">
        <v>85</v>
      </c>
      <c r="AS2158" s="751">
        <v>874.65</v>
      </c>
    </row>
    <row r="2159" spans="1:45" s="520" customFormat="1" ht="13.2">
      <c r="A2159" s="748"/>
      <c r="B2159"/>
      <c r="C2159" s="748"/>
      <c r="D2159" s="749" t="s">
        <v>1463</v>
      </c>
      <c r="F2159" s="753"/>
      <c r="G2159" s="3"/>
      <c r="H2159" s="753"/>
      <c r="I2159" s="754"/>
      <c r="J2159" s="753"/>
      <c r="K2159" s="753" t="s">
        <v>144</v>
      </c>
      <c r="L2159" s="753"/>
      <c r="M2159" s="753"/>
      <c r="N2159" s="753"/>
      <c r="O2159" s="753"/>
      <c r="P2159" s="753"/>
      <c r="Q2159" s="51"/>
      <c r="R2159" s="530"/>
      <c r="S2159" s="757"/>
      <c r="T2159" s="753"/>
      <c r="AR2159" s="748"/>
      <c r="AS2159" s="753"/>
    </row>
    <row r="2160" spans="1:45" s="886" customFormat="1" ht="13.2">
      <c r="A2160"/>
      <c r="B2160" s="910"/>
      <c r="C2160" s="910" t="s">
        <v>2597</v>
      </c>
      <c r="D2160" s="910" t="str">
        <f ca="1">CELL("Address",Elec_Rates!D$437)</f>
        <v>[E25_0062_Quintano_Foods_Elec_ELV_As_Awarded.xlsx]Elec_Rates!$D$437</v>
      </c>
      <c r="E2160" s="911"/>
      <c r="F2160" s="911"/>
      <c r="G2160" s="912" t="s">
        <v>2598</v>
      </c>
      <c r="H2160" s="912"/>
      <c r="I2160" s="912"/>
      <c r="J2160" s="912"/>
      <c r="K2160" s="913"/>
      <c r="L2160" s="911"/>
      <c r="M2160" s="911"/>
      <c r="N2160" s="911"/>
      <c r="O2160" s="914"/>
      <c r="P2160" s="911"/>
      <c r="Q2160" s="915"/>
      <c r="R2160" s="916"/>
      <c r="S2160" s="915"/>
      <c r="T2160" s="917"/>
      <c r="U2160" s="918"/>
      <c r="AR2160"/>
      <c r="AS2160" s="911"/>
    </row>
    <row r="2161" spans="1:45" s="886" customFormat="1" ht="11.4">
      <c r="A2161" s="919">
        <v>85</v>
      </c>
      <c r="B2161" s="920">
        <v>1</v>
      </c>
      <c r="C2161" s="920">
        <f>$A2161*$B2161</f>
        <v>85</v>
      </c>
      <c r="D2161" s="921" t="str">
        <f>Elec_Rates!$D$437</f>
        <v>042# 5 x 6mm2 XLPE/SWA/LSZH</v>
      </c>
      <c r="E2161" s="921"/>
      <c r="F2161" s="921" t="s">
        <v>2599</v>
      </c>
      <c r="G2161" s="922" t="s">
        <v>2601</v>
      </c>
      <c r="H2161" s="922"/>
      <c r="I2161" s="922"/>
      <c r="J2161" s="922"/>
      <c r="K2161" s="923"/>
      <c r="L2161" s="918"/>
      <c r="M2161" s="918"/>
      <c r="N2161" s="918"/>
      <c r="O2161" s="924"/>
      <c r="P2161" s="921"/>
      <c r="Q2161" s="925">
        <f ca="1">$B2161*Elec_Rates!$R$437</f>
        <v>5.61</v>
      </c>
      <c r="R2161" s="916">
        <f ca="1">$A2161*Q2161</f>
        <v>476.85</v>
      </c>
      <c r="S2161" s="925">
        <f ca="1">$B2161*Elec_Rates!$T$437</f>
        <v>0.09</v>
      </c>
      <c r="T2161" s="917">
        <f ca="1">$A2161*S2161</f>
        <v>7.6499999999999995</v>
      </c>
      <c r="U2161" s="926"/>
      <c r="AR2161" s="919">
        <v>85</v>
      </c>
      <c r="AS2161" s="921" t="s">
        <v>2599</v>
      </c>
    </row>
    <row r="2162" spans="1:45" s="901" customFormat="1" ht="11.4">
      <c r="D2162" s="1062" t="s">
        <v>3254</v>
      </c>
      <c r="G2162" s="941"/>
      <c r="H2162" s="942"/>
      <c r="O2162" s="943"/>
      <c r="P2162" s="944"/>
      <c r="Q2162" s="945"/>
      <c r="R2162" s="946"/>
      <c r="S2162" s="945"/>
      <c r="T2162" s="947"/>
    </row>
    <row r="2163" spans="1:45" s="901" customFormat="1" ht="11.4">
      <c r="A2163" s="1202">
        <v>0</v>
      </c>
      <c r="B2163" s="901" t="s">
        <v>320</v>
      </c>
      <c r="C2163" s="919">
        <v>27</v>
      </c>
      <c r="D2163" s="901" t="s">
        <v>3286</v>
      </c>
      <c r="G2163" s="941" t="s">
        <v>3245</v>
      </c>
      <c r="H2163" s="942">
        <v>690</v>
      </c>
      <c r="I2163" s="901" t="s">
        <v>2607</v>
      </c>
      <c r="J2163" s="901" t="s">
        <v>2953</v>
      </c>
      <c r="O2163" s="943">
        <v>1</v>
      </c>
      <c r="P2163" s="944">
        <v>38134</v>
      </c>
      <c r="Q2163" s="945">
        <f>(ROUNDUP(68.66/3*1.112,2))</f>
        <v>25.450000000000003</v>
      </c>
      <c r="R2163" s="946">
        <f t="shared" ref="R2163:R2173" si="96">$A2163*Q2163</f>
        <v>0</v>
      </c>
      <c r="S2163" s="1193">
        <v>0.3</v>
      </c>
      <c r="T2163" s="947">
        <f t="shared" ref="T2163:T2173" si="97">$A2163*S2163*$T$1</f>
        <v>0</v>
      </c>
      <c r="AR2163" s="1202">
        <v>0</v>
      </c>
    </row>
    <row r="2164" spans="1:45" s="901" customFormat="1" ht="11.4">
      <c r="A2164" s="1202">
        <v>0</v>
      </c>
      <c r="B2164" s="901" t="s">
        <v>141</v>
      </c>
      <c r="C2164" s="919">
        <v>2</v>
      </c>
      <c r="D2164" s="901" t="s">
        <v>3287</v>
      </c>
      <c r="G2164" s="941" t="s">
        <v>3247</v>
      </c>
      <c r="H2164" s="942">
        <v>690</v>
      </c>
      <c r="I2164" s="901" t="s">
        <v>2607</v>
      </c>
      <c r="J2164" s="901" t="s">
        <v>2953</v>
      </c>
      <c r="O2164" s="943">
        <v>1</v>
      </c>
      <c r="P2164" s="944">
        <v>38162</v>
      </c>
      <c r="Q2164" s="945">
        <f>(ROUNDUP(18.72*1.112,2))</f>
        <v>20.82</v>
      </c>
      <c r="R2164" s="946">
        <f t="shared" si="96"/>
        <v>0</v>
      </c>
      <c r="S2164" s="945"/>
      <c r="T2164" s="947">
        <f t="shared" si="97"/>
        <v>0</v>
      </c>
      <c r="AR2164" s="1202">
        <v>0</v>
      </c>
    </row>
    <row r="2165" spans="1:45" s="901" customFormat="1" ht="11.4">
      <c r="A2165" s="1202">
        <v>0</v>
      </c>
      <c r="B2165" s="901" t="s">
        <v>141</v>
      </c>
      <c r="C2165" s="919">
        <v>1</v>
      </c>
      <c r="D2165" s="901" t="s">
        <v>3295</v>
      </c>
      <c r="G2165" s="941" t="s">
        <v>3247</v>
      </c>
      <c r="H2165" s="942">
        <v>690</v>
      </c>
      <c r="I2165" s="901" t="s">
        <v>2607</v>
      </c>
      <c r="J2165" s="901" t="s">
        <v>2953</v>
      </c>
      <c r="O2165" s="943">
        <v>1</v>
      </c>
      <c r="P2165" s="944">
        <v>38162</v>
      </c>
      <c r="Q2165" s="945">
        <f>(ROUNDUP(25.04*1.112,2))</f>
        <v>27.85</v>
      </c>
      <c r="R2165" s="946">
        <f t="shared" si="96"/>
        <v>0</v>
      </c>
      <c r="S2165" s="945"/>
      <c r="T2165" s="947">
        <f t="shared" si="97"/>
        <v>0</v>
      </c>
      <c r="AR2165" s="1202">
        <v>0</v>
      </c>
    </row>
    <row r="2166" spans="1:45" s="901" customFormat="1" ht="11.4">
      <c r="A2166" s="1202">
        <v>0</v>
      </c>
      <c r="B2166" s="901" t="s">
        <v>141</v>
      </c>
      <c r="C2166" s="919">
        <v>15</v>
      </c>
      <c r="D2166" s="901" t="s">
        <v>3288</v>
      </c>
      <c r="G2166" s="941" t="s">
        <v>3247</v>
      </c>
      <c r="H2166" s="942">
        <v>690</v>
      </c>
      <c r="I2166" s="901" t="s">
        <v>2607</v>
      </c>
      <c r="J2166" s="901" t="s">
        <v>2953</v>
      </c>
      <c r="O2166" s="943">
        <v>1</v>
      </c>
      <c r="P2166" s="944">
        <v>38162</v>
      </c>
      <c r="Q2166" s="945">
        <f>(ROUNDUP(13.93*1.112,2))</f>
        <v>15.5</v>
      </c>
      <c r="R2166" s="946">
        <f t="shared" si="96"/>
        <v>0</v>
      </c>
      <c r="S2166" s="945"/>
      <c r="T2166" s="947">
        <f t="shared" si="97"/>
        <v>0</v>
      </c>
      <c r="AR2166" s="1202">
        <v>0</v>
      </c>
    </row>
    <row r="2167" spans="1:45" s="901" customFormat="1" ht="11.4">
      <c r="A2167" s="1202">
        <v>0</v>
      </c>
      <c r="B2167" s="901" t="s">
        <v>141</v>
      </c>
      <c r="C2167" s="919">
        <v>27</v>
      </c>
      <c r="D2167" s="901" t="s">
        <v>3289</v>
      </c>
      <c r="G2167" s="941" t="s">
        <v>3249</v>
      </c>
      <c r="H2167" s="942">
        <v>690</v>
      </c>
      <c r="I2167" s="901" t="s">
        <v>2607</v>
      </c>
      <c r="J2167" s="901" t="s">
        <v>2953</v>
      </c>
      <c r="O2167" s="943">
        <v>1</v>
      </c>
      <c r="P2167" s="944">
        <v>38136</v>
      </c>
      <c r="Q2167" s="945">
        <f>(ROUNDUP(15.56*1.112,2))</f>
        <v>17.310000000000002</v>
      </c>
      <c r="R2167" s="946">
        <f t="shared" si="96"/>
        <v>0</v>
      </c>
      <c r="S2167" s="945"/>
      <c r="T2167" s="947">
        <f t="shared" si="97"/>
        <v>0</v>
      </c>
      <c r="AR2167" s="1202">
        <v>0</v>
      </c>
    </row>
    <row r="2168" spans="1:45" s="901" customFormat="1" ht="11.4">
      <c r="A2168" s="1202">
        <v>0</v>
      </c>
      <c r="B2168" s="901" t="s">
        <v>141</v>
      </c>
      <c r="C2168" s="919">
        <v>3</v>
      </c>
      <c r="D2168" s="901" t="s">
        <v>3290</v>
      </c>
      <c r="G2168" s="941" t="s">
        <v>3249</v>
      </c>
      <c r="H2168" s="942">
        <v>690</v>
      </c>
      <c r="I2168" s="901" t="s">
        <v>2607</v>
      </c>
      <c r="J2168" s="901" t="s">
        <v>2953</v>
      </c>
      <c r="O2168" s="943">
        <v>1</v>
      </c>
      <c r="P2168" s="944">
        <v>38136</v>
      </c>
      <c r="Q2168" s="945">
        <f>(ROUNDUP(58.68*1.112,2))</f>
        <v>65.260000000000005</v>
      </c>
      <c r="R2168" s="946">
        <f t="shared" si="96"/>
        <v>0</v>
      </c>
      <c r="S2168" s="945"/>
      <c r="T2168" s="947">
        <f t="shared" si="97"/>
        <v>0</v>
      </c>
      <c r="AR2168" s="1202">
        <v>0</v>
      </c>
    </row>
    <row r="2169" spans="1:45" s="901" customFormat="1" ht="11.4">
      <c r="A2169" s="1202">
        <v>0</v>
      </c>
      <c r="B2169" s="901" t="s">
        <v>141</v>
      </c>
      <c r="C2169" s="919">
        <v>2</v>
      </c>
      <c r="D2169" s="901" t="s">
        <v>3296</v>
      </c>
      <c r="G2169" s="941" t="s">
        <v>3249</v>
      </c>
      <c r="H2169" s="942">
        <v>690</v>
      </c>
      <c r="I2169" s="901" t="s">
        <v>2607</v>
      </c>
      <c r="J2169" s="901" t="s">
        <v>2953</v>
      </c>
      <c r="O2169" s="943">
        <v>1</v>
      </c>
      <c r="P2169" s="944">
        <v>38136</v>
      </c>
      <c r="Q2169" s="945">
        <f>(ROUNDUP(1.89*1.112,2))</f>
        <v>2.11</v>
      </c>
      <c r="R2169" s="946">
        <f t="shared" si="96"/>
        <v>0</v>
      </c>
      <c r="S2169" s="945"/>
      <c r="T2169" s="947">
        <f t="shared" si="97"/>
        <v>0</v>
      </c>
      <c r="AR2169" s="1202">
        <v>0</v>
      </c>
    </row>
    <row r="2170" spans="1:45" s="901" customFormat="1" ht="11.4">
      <c r="A2170" s="1202">
        <v>0</v>
      </c>
      <c r="B2170" s="901" t="s">
        <v>141</v>
      </c>
      <c r="C2170" s="919">
        <v>30</v>
      </c>
      <c r="D2170" s="901" t="s">
        <v>3250</v>
      </c>
      <c r="G2170" s="941" t="s">
        <v>3251</v>
      </c>
      <c r="H2170" s="942">
        <v>690</v>
      </c>
      <c r="I2170" s="901" t="s">
        <v>2607</v>
      </c>
      <c r="O2170" s="943">
        <v>1</v>
      </c>
      <c r="P2170" s="944">
        <v>38136</v>
      </c>
      <c r="Q2170" s="945">
        <f>(ROUNDUP(10.92/50*1.112,2))</f>
        <v>0.25</v>
      </c>
      <c r="R2170" s="946">
        <f t="shared" si="96"/>
        <v>0</v>
      </c>
      <c r="S2170" s="945"/>
      <c r="T2170" s="947">
        <f t="shared" si="97"/>
        <v>0</v>
      </c>
      <c r="AR2170" s="1202">
        <v>0</v>
      </c>
    </row>
    <row r="2171" spans="1:45" s="901" customFormat="1" ht="11.4">
      <c r="A2171" s="1202">
        <v>0</v>
      </c>
      <c r="B2171" s="1084" t="s">
        <v>863</v>
      </c>
      <c r="C2171" s="919">
        <v>1</v>
      </c>
      <c r="D2171" s="1084" t="s">
        <v>2752</v>
      </c>
      <c r="E2171" s="1084"/>
      <c r="F2171" s="1084" t="s">
        <v>3326</v>
      </c>
      <c r="G2171" s="1091" t="s">
        <v>2754</v>
      </c>
      <c r="H2171" s="1092">
        <v>962</v>
      </c>
      <c r="I2171" s="1084" t="s">
        <v>2596</v>
      </c>
      <c r="J2171" s="1084"/>
      <c r="K2171" s="1084"/>
      <c r="L2171" s="1084"/>
      <c r="M2171" s="1084"/>
      <c r="N2171" s="1084"/>
      <c r="O2171" s="1093">
        <v>2</v>
      </c>
      <c r="P2171" s="1094">
        <v>38129</v>
      </c>
      <c r="Q2171" s="945">
        <f>0.41 *(1 *(20/8*120))</f>
        <v>122.99999999999999</v>
      </c>
      <c r="R2171" s="1096">
        <f>$A2171*Q2171</f>
        <v>0</v>
      </c>
      <c r="S2171" s="1095"/>
      <c r="T2171" s="1097">
        <f>$A2171*S2171*$T$1</f>
        <v>0</v>
      </c>
      <c r="AR2171" s="1202">
        <v>0</v>
      </c>
      <c r="AS2171" s="1084" t="s">
        <v>3326</v>
      </c>
    </row>
    <row r="2172" spans="1:45" s="901" customFormat="1" ht="11.4">
      <c r="A2172" s="1202">
        <v>0</v>
      </c>
      <c r="B2172" s="901" t="s">
        <v>2755</v>
      </c>
      <c r="C2172" s="919">
        <v>1</v>
      </c>
      <c r="D2172" s="901" t="s">
        <v>3325</v>
      </c>
      <c r="F2172" s="901" t="s">
        <v>3666</v>
      </c>
      <c r="G2172" s="941" t="s">
        <v>3324</v>
      </c>
      <c r="H2172" s="942">
        <v>845</v>
      </c>
      <c r="I2172" s="901" t="s">
        <v>2607</v>
      </c>
      <c r="O2172" s="943">
        <v>3</v>
      </c>
      <c r="P2172" s="944">
        <v>39713</v>
      </c>
      <c r="Q2172" s="945">
        <f>0.41 *(20/8*25)</f>
        <v>25.625</v>
      </c>
      <c r="R2172" s="946">
        <f>$A2172*Q2172</f>
        <v>0</v>
      </c>
      <c r="S2172" s="945"/>
      <c r="T2172" s="947">
        <f>$A2172*S2172*$T$1</f>
        <v>0</v>
      </c>
      <c r="AR2172" s="1202">
        <v>0</v>
      </c>
      <c r="AS2172" s="901" t="s">
        <v>3666</v>
      </c>
    </row>
    <row r="2173" spans="1:45" s="520" customFormat="1" ht="12">
      <c r="A2173" s="758"/>
      <c r="B2173" s="758"/>
      <c r="C2173" s="758"/>
      <c r="D2173" s="758"/>
      <c r="E2173" s="758"/>
      <c r="F2173" s="753"/>
      <c r="G2173" s="758"/>
      <c r="H2173" s="758"/>
      <c r="I2173" s="519"/>
      <c r="J2173" s="758"/>
      <c r="K2173" s="758"/>
      <c r="L2173" s="758"/>
      <c r="M2173" s="758"/>
      <c r="N2173" s="758"/>
      <c r="O2173" s="758"/>
      <c r="P2173" s="758"/>
      <c r="Q2173" s="519"/>
      <c r="R2173" s="759">
        <f t="shared" si="96"/>
        <v>0</v>
      </c>
      <c r="S2173" s="519"/>
      <c r="T2173" s="760">
        <f t="shared" si="97"/>
        <v>0</v>
      </c>
      <c r="AR2173" s="758"/>
      <c r="AS2173" s="753"/>
    </row>
    <row r="2174" spans="1:45" s="520" customFormat="1" ht="12.6" thickBot="1">
      <c r="A2174" s="761" t="s">
        <v>145</v>
      </c>
      <c r="B2174" s="762">
        <f>(R2173+T2173)</f>
        <v>0</v>
      </c>
      <c r="C2174" s="763"/>
      <c r="D2174" s="763"/>
      <c r="E2174" s="763"/>
      <c r="F2174" s="764"/>
      <c r="G2174" s="763" t="s">
        <v>146</v>
      </c>
      <c r="H2174" s="763"/>
      <c r="I2174" s="765"/>
      <c r="J2174" s="763"/>
      <c r="K2174" s="763" t="s">
        <v>3</v>
      </c>
      <c r="L2174" s="766" t="s">
        <v>143</v>
      </c>
      <c r="M2174" s="766"/>
      <c r="N2174" s="766"/>
      <c r="O2174" s="766"/>
      <c r="P2174" s="766"/>
      <c r="Q2174" s="767"/>
      <c r="R2174" s="768">
        <f ca="1">SUM(R2159:R2173)</f>
        <v>476.85</v>
      </c>
      <c r="S2174" s="763"/>
      <c r="T2174" s="768">
        <f ca="1">SUM(T2159:T2173)</f>
        <v>7.6499999999999995</v>
      </c>
      <c r="U2174" s="531"/>
      <c r="V2174" s="531"/>
      <c r="W2174" s="531"/>
      <c r="X2174" s="531"/>
      <c r="Y2174" s="531"/>
      <c r="Z2174" s="531"/>
      <c r="AA2174" s="531"/>
      <c r="AB2174" s="531"/>
      <c r="AC2174" s="531"/>
      <c r="AD2174" s="531"/>
      <c r="AE2174" s="531"/>
      <c r="AF2174" s="531"/>
      <c r="AG2174" s="531"/>
      <c r="AH2174" s="531"/>
      <c r="AI2174" s="531"/>
      <c r="AJ2174" s="531"/>
      <c r="AK2174" s="531"/>
      <c r="AL2174" s="531"/>
      <c r="AM2174" s="531"/>
      <c r="AN2174" s="531"/>
      <c r="AO2174" s="531"/>
      <c r="AR2174" s="761" t="s">
        <v>145</v>
      </c>
      <c r="AS2174" s="764"/>
    </row>
    <row r="2175" spans="1:45" s="520" customFormat="1" ht="12" thickTop="1">
      <c r="A2175" s="51"/>
      <c r="B2175" s="41"/>
      <c r="C2175" s="51"/>
      <c r="E2175" s="42" t="s">
        <v>138</v>
      </c>
      <c r="F2175" s="42" t="s">
        <v>139</v>
      </c>
      <c r="G2175" s="51"/>
      <c r="H2175" s="51"/>
      <c r="I2175" s="51"/>
      <c r="J2175" s="51"/>
      <c r="K2175" s="51" t="s">
        <v>140</v>
      </c>
      <c r="L2175" s="51"/>
      <c r="M2175" s="51"/>
      <c r="N2175" s="51"/>
      <c r="O2175" s="52"/>
      <c r="P2175" s="51"/>
      <c r="Q2175" s="51"/>
      <c r="R2175" s="51"/>
      <c r="S2175" s="51"/>
      <c r="T2175" s="41"/>
      <c r="AG2175" s="521" t="s">
        <v>268</v>
      </c>
      <c r="AH2175" s="521" t="s">
        <v>269</v>
      </c>
      <c r="AI2175" s="521" t="s">
        <v>270</v>
      </c>
      <c r="AJ2175" s="521" t="s">
        <v>271</v>
      </c>
      <c r="AK2175" s="521" t="s">
        <v>272</v>
      </c>
      <c r="AM2175" s="745" t="s">
        <v>281</v>
      </c>
      <c r="AN2175" s="746" t="s">
        <v>282</v>
      </c>
      <c r="AO2175" s="522" t="s">
        <v>278</v>
      </c>
      <c r="AR2175" s="51"/>
      <c r="AS2175" s="42" t="s">
        <v>139</v>
      </c>
    </row>
    <row r="2176" spans="1:45" s="520" customFormat="1" ht="12" customHeight="1">
      <c r="A2176" s="747">
        <v>5</v>
      </c>
      <c r="B2176" s="523" t="s">
        <v>320</v>
      </c>
      <c r="C2176" s="748"/>
      <c r="D2176" s="749" t="s">
        <v>1464</v>
      </c>
      <c r="E2176" s="750">
        <f ca="1">IF(AND($A2176=0,$A$1="DIF"),0, ROUND(ROUND(($R2181*$S$2+($T2181*$T$2))/A2176,2)*$C$2,2))</f>
        <v>14.65</v>
      </c>
      <c r="F2176" s="751">
        <f ca="1">ROUND($A2176*$E2176,2)</f>
        <v>73.25</v>
      </c>
      <c r="G2176" s="752" t="s">
        <v>142</v>
      </c>
      <c r="H2176" s="753"/>
      <c r="I2176" s="754"/>
      <c r="J2176" s="753"/>
      <c r="K2176" s="753" t="s">
        <v>3</v>
      </c>
      <c r="L2176" s="755" t="s">
        <v>143</v>
      </c>
      <c r="M2176" s="755"/>
      <c r="N2176" s="755"/>
      <c r="O2176" s="755"/>
      <c r="P2176" s="755"/>
      <c r="Q2176" s="51"/>
      <c r="T2176" s="756" t="str">
        <f ca="1">IF(AND($R2181=0,$T2181=0),"0.00","mu :" &amp; ROUND($F2176/$C$2/($R2181+$T2181*$D$9),2))</f>
        <v>mu :1.23</v>
      </c>
      <c r="W2176" s="524"/>
      <c r="AG2176" s="481">
        <f ca="1">IF($E2176=0,0,ROUND($R2181*$S$2*$C$2/$A2176,2))</f>
        <v>10.59</v>
      </c>
      <c r="AH2176" s="481">
        <f ca="1">$AG2176*$A2176</f>
        <v>52.95</v>
      </c>
      <c r="AI2176" s="525">
        <f ca="1">$E2176-$AG2176</f>
        <v>4.0600000000000005</v>
      </c>
      <c r="AJ2176" s="525">
        <f ca="1">$A2176*$AI2176</f>
        <v>20.300000000000004</v>
      </c>
      <c r="AK2176" s="526">
        <f ca="1">ROUND(($AG2176+$AI2176)*$A2176,2)</f>
        <v>73.25</v>
      </c>
      <c r="AM2176" s="527">
        <f ca="1">ROUND(R2181,2)</f>
        <v>43</v>
      </c>
      <c r="AN2176" s="528">
        <f ca="1">ROUND(T2181,2)</f>
        <v>0.6</v>
      </c>
      <c r="AO2176" s="529">
        <f ca="1">ROUND(AM2176+AN2176,2)*A2176</f>
        <v>218</v>
      </c>
      <c r="AR2176" s="747">
        <v>5</v>
      </c>
      <c r="AS2176" s="751">
        <v>74.95</v>
      </c>
    </row>
    <row r="2177" spans="1:45" s="520" customFormat="1" ht="13.2">
      <c r="A2177" s="748"/>
      <c r="B2177"/>
      <c r="C2177" s="748"/>
      <c r="D2177" s="749" t="s">
        <v>1465</v>
      </c>
      <c r="F2177" s="753"/>
      <c r="G2177" s="3"/>
      <c r="H2177" s="753"/>
      <c r="I2177" s="754"/>
      <c r="J2177" s="753"/>
      <c r="K2177" s="753" t="s">
        <v>144</v>
      </c>
      <c r="L2177" s="753"/>
      <c r="M2177" s="753"/>
      <c r="N2177" s="753"/>
      <c r="O2177" s="753"/>
      <c r="P2177" s="753"/>
      <c r="Q2177" s="51"/>
      <c r="R2177" s="530"/>
      <c r="S2177" s="757"/>
      <c r="T2177" s="753"/>
      <c r="AR2177" s="748"/>
      <c r="AS2177" s="753"/>
    </row>
    <row r="2178" spans="1:45" s="886" customFormat="1" ht="13.2">
      <c r="A2178"/>
      <c r="B2178" s="910"/>
      <c r="C2178" s="910" t="s">
        <v>2597</v>
      </c>
      <c r="D2178" s="910" t="str">
        <f ca="1">CELL("Address",Elec_Rates!D$417)</f>
        <v>[E25_0062_Quintano_Foods_Elec_ELV_As_Awarded.xlsx]Elec_Rates!$D$417</v>
      </c>
      <c r="E2178" s="911"/>
      <c r="F2178" s="911"/>
      <c r="G2178" s="912" t="s">
        <v>2598</v>
      </c>
      <c r="H2178" s="912"/>
      <c r="I2178" s="912"/>
      <c r="J2178" s="912"/>
      <c r="K2178" s="913"/>
      <c r="L2178" s="911"/>
      <c r="M2178" s="911"/>
      <c r="N2178" s="911"/>
      <c r="O2178" s="914"/>
      <c r="P2178" s="911"/>
      <c r="Q2178" s="915"/>
      <c r="R2178" s="916"/>
      <c r="S2178" s="915"/>
      <c r="T2178" s="917"/>
      <c r="U2178" s="918"/>
      <c r="AR2178"/>
      <c r="AS2178" s="911"/>
    </row>
    <row r="2179" spans="1:45" s="886" customFormat="1" ht="11.4">
      <c r="A2179" s="919">
        <v>5</v>
      </c>
      <c r="B2179" s="920">
        <v>1</v>
      </c>
      <c r="C2179" s="920">
        <f>$A2179*$B2179</f>
        <v>5</v>
      </c>
      <c r="D2179" s="921" t="str">
        <f>Elec_Rates!$D$417</f>
        <v>040# 5 x 10mm2 XLPE/SWA/LSZH</v>
      </c>
      <c r="E2179" s="921"/>
      <c r="F2179" s="921" t="s">
        <v>2599</v>
      </c>
      <c r="G2179" s="922" t="s">
        <v>2601</v>
      </c>
      <c r="H2179" s="922"/>
      <c r="I2179" s="922"/>
      <c r="J2179" s="922"/>
      <c r="K2179" s="923"/>
      <c r="L2179" s="918"/>
      <c r="M2179" s="918"/>
      <c r="N2179" s="918"/>
      <c r="O2179" s="924"/>
      <c r="P2179" s="921"/>
      <c r="Q2179" s="925">
        <f ca="1">$B2179*Elec_Rates!$R$417</f>
        <v>8.6</v>
      </c>
      <c r="R2179" s="916">
        <f ca="1">$A2179*Q2179</f>
        <v>43</v>
      </c>
      <c r="S2179" s="925">
        <f ca="1">$B2179*Elec_Rates!$T$417</f>
        <v>0.12</v>
      </c>
      <c r="T2179" s="917">
        <f ca="1">$A2179*S2179</f>
        <v>0.6</v>
      </c>
      <c r="U2179" s="926"/>
      <c r="AR2179" s="919">
        <v>5</v>
      </c>
      <c r="AS2179" s="921" t="s">
        <v>2599</v>
      </c>
    </row>
    <row r="2180" spans="1:45" s="520" customFormat="1" ht="12">
      <c r="A2180" s="758"/>
      <c r="B2180" s="758"/>
      <c r="C2180" s="758"/>
      <c r="D2180" s="758"/>
      <c r="E2180" s="758"/>
      <c r="F2180" s="753"/>
      <c r="G2180" s="758"/>
      <c r="H2180" s="758"/>
      <c r="I2180" s="519"/>
      <c r="J2180" s="758"/>
      <c r="K2180" s="758"/>
      <c r="L2180" s="758"/>
      <c r="M2180" s="758"/>
      <c r="N2180" s="758"/>
      <c r="O2180" s="758"/>
      <c r="P2180" s="758"/>
      <c r="Q2180" s="519"/>
      <c r="R2180" s="759">
        <f>$A2180*Q2180</f>
        <v>0</v>
      </c>
      <c r="S2180" s="519"/>
      <c r="T2180" s="760">
        <f>$A2180*S2180*$T$1</f>
        <v>0</v>
      </c>
      <c r="AR2180" s="758"/>
      <c r="AS2180" s="753"/>
    </row>
    <row r="2181" spans="1:45" s="520" customFormat="1" ht="12.6" thickBot="1">
      <c r="A2181" s="761" t="s">
        <v>145</v>
      </c>
      <c r="B2181" s="762">
        <f>(R2180+T2180)</f>
        <v>0</v>
      </c>
      <c r="C2181" s="763"/>
      <c r="D2181" s="763"/>
      <c r="E2181" s="763"/>
      <c r="F2181" s="764"/>
      <c r="G2181" s="763" t="s">
        <v>146</v>
      </c>
      <c r="H2181" s="763"/>
      <c r="I2181" s="765"/>
      <c r="J2181" s="763"/>
      <c r="K2181" s="763" t="s">
        <v>3</v>
      </c>
      <c r="L2181" s="766" t="s">
        <v>143</v>
      </c>
      <c r="M2181" s="766"/>
      <c r="N2181" s="766"/>
      <c r="O2181" s="766"/>
      <c r="P2181" s="766"/>
      <c r="Q2181" s="767"/>
      <c r="R2181" s="768">
        <f ca="1">SUM(R2177:R2180)</f>
        <v>43</v>
      </c>
      <c r="S2181" s="763"/>
      <c r="T2181" s="768">
        <f ca="1">SUM(T2177:T2180)</f>
        <v>0.6</v>
      </c>
      <c r="U2181" s="531"/>
      <c r="V2181" s="531"/>
      <c r="W2181" s="531"/>
      <c r="X2181" s="531"/>
      <c r="Y2181" s="531"/>
      <c r="Z2181" s="531"/>
      <c r="AA2181" s="531"/>
      <c r="AB2181" s="531"/>
      <c r="AC2181" s="531"/>
      <c r="AD2181" s="531"/>
      <c r="AE2181" s="531"/>
      <c r="AF2181" s="531"/>
      <c r="AG2181" s="531"/>
      <c r="AH2181" s="531"/>
      <c r="AI2181" s="531"/>
      <c r="AJ2181" s="531"/>
      <c r="AK2181" s="531"/>
      <c r="AL2181" s="531"/>
      <c r="AM2181" s="531"/>
      <c r="AN2181" s="531"/>
      <c r="AO2181" s="531"/>
      <c r="AR2181" s="761" t="s">
        <v>145</v>
      </c>
      <c r="AS2181" s="764"/>
    </row>
    <row r="2182" spans="1:45" s="520" customFormat="1" thickTop="1">
      <c r="A2182" s="51"/>
      <c r="B2182" s="51"/>
      <c r="C2182" s="3"/>
      <c r="D2182" s="3"/>
      <c r="E2182" s="51"/>
      <c r="F2182" s="51"/>
      <c r="G2182" s="51"/>
      <c r="H2182" s="51"/>
      <c r="I2182" s="51"/>
      <c r="J2182" s="51"/>
      <c r="K2182" s="51" t="s">
        <v>134</v>
      </c>
      <c r="L2182" s="51"/>
      <c r="M2182" s="51"/>
      <c r="N2182" s="51"/>
      <c r="O2182" s="52"/>
      <c r="P2182" s="51"/>
      <c r="Q2182" s="51"/>
      <c r="R2182" s="51"/>
      <c r="S2182" s="51"/>
      <c r="T2182" s="51"/>
      <c r="AR2182" s="51"/>
      <c r="AS2182" s="51"/>
    </row>
    <row r="2183" spans="1:45" s="520" customFormat="1" ht="12">
      <c r="A2183" s="51"/>
      <c r="B2183" s="51"/>
      <c r="C2183" s="51" t="s">
        <v>135</v>
      </c>
      <c r="D2183" s="37"/>
      <c r="E2183" s="51"/>
      <c r="F2183" s="51"/>
      <c r="G2183" s="51"/>
      <c r="H2183" s="51"/>
      <c r="I2183" s="51"/>
      <c r="J2183" s="51"/>
      <c r="K2183" s="51"/>
      <c r="L2183" s="51"/>
      <c r="M2183" s="51"/>
      <c r="N2183" s="51"/>
      <c r="O2183" s="52"/>
      <c r="P2183" s="51"/>
      <c r="Q2183" s="51"/>
      <c r="R2183" s="51"/>
      <c r="S2183" s="51"/>
      <c r="T2183" s="51"/>
      <c r="AR2183" s="51"/>
      <c r="AS2183" s="51"/>
    </row>
    <row r="2184" spans="1:45" s="520" customFormat="1" ht="12">
      <c r="A2184" s="51"/>
      <c r="B2184" s="51"/>
      <c r="C2184" s="51"/>
      <c r="D2184" s="37" t="s">
        <v>463</v>
      </c>
      <c r="E2184" s="51"/>
      <c r="F2184" s="51"/>
      <c r="G2184" s="51"/>
      <c r="H2184" s="51"/>
      <c r="I2184" s="51"/>
      <c r="J2184" s="51"/>
      <c r="K2184" s="51"/>
      <c r="L2184" s="51"/>
      <c r="M2184" s="51"/>
      <c r="N2184" s="51"/>
      <c r="O2184" s="52"/>
      <c r="P2184" s="51"/>
      <c r="Q2184" s="51"/>
      <c r="R2184" s="51"/>
      <c r="S2184" s="38"/>
      <c r="T2184" s="38"/>
      <c r="AR2184" s="51"/>
      <c r="AS2184" s="51"/>
    </row>
    <row r="2185" spans="1:45" s="3" customFormat="1" thickBot="1">
      <c r="A2185" s="531"/>
      <c r="O2185" s="107"/>
      <c r="AR2185" s="531"/>
    </row>
    <row r="2186" spans="1:45" s="520" customFormat="1" ht="12" thickTop="1">
      <c r="A2186" s="51"/>
      <c r="B2186" s="41"/>
      <c r="C2186" s="51"/>
      <c r="E2186" s="42" t="s">
        <v>138</v>
      </c>
      <c r="F2186" s="42" t="s">
        <v>139</v>
      </c>
      <c r="G2186" s="51"/>
      <c r="H2186" s="51"/>
      <c r="I2186" s="51"/>
      <c r="J2186" s="51"/>
      <c r="K2186" s="51" t="s">
        <v>140</v>
      </c>
      <c r="L2186" s="51"/>
      <c r="M2186" s="51"/>
      <c r="N2186" s="51"/>
      <c r="O2186" s="52"/>
      <c r="P2186" s="51"/>
      <c r="Q2186" s="51"/>
      <c r="R2186" s="51"/>
      <c r="S2186" s="51"/>
      <c r="T2186" s="41"/>
      <c r="AG2186" s="521" t="s">
        <v>268</v>
      </c>
      <c r="AH2186" s="521" t="s">
        <v>269</v>
      </c>
      <c r="AI2186" s="521" t="s">
        <v>270</v>
      </c>
      <c r="AJ2186" s="521" t="s">
        <v>271</v>
      </c>
      <c r="AK2186" s="521" t="s">
        <v>272</v>
      </c>
      <c r="AM2186" s="745" t="s">
        <v>281</v>
      </c>
      <c r="AN2186" s="746" t="s">
        <v>282</v>
      </c>
      <c r="AO2186" s="522" t="s">
        <v>278</v>
      </c>
      <c r="AR2186" s="51"/>
      <c r="AS2186" s="42" t="s">
        <v>139</v>
      </c>
    </row>
    <row r="2187" spans="1:45" s="520" customFormat="1" ht="12" customHeight="1">
      <c r="A2187" s="747">
        <v>6</v>
      </c>
      <c r="B2187" s="523" t="s">
        <v>141</v>
      </c>
      <c r="C2187" s="748"/>
      <c r="D2187" s="749" t="s">
        <v>1466</v>
      </c>
      <c r="E2187" s="750">
        <f>IF(AND($A2187=0,$A$1="DIF"),0, ROUND(ROUND(($R2195*$S$2+($T2195*$T$2))/A2187,2)*$C$2,2))</f>
        <v>837.07</v>
      </c>
      <c r="F2187" s="751">
        <f>ROUND($A2187*$E2187,2)</f>
        <v>5022.42</v>
      </c>
      <c r="G2187" s="752" t="s">
        <v>142</v>
      </c>
      <c r="H2187" s="753"/>
      <c r="I2187" s="754"/>
      <c r="J2187" s="753"/>
      <c r="K2187" s="753" t="s">
        <v>3</v>
      </c>
      <c r="L2187" s="755" t="s">
        <v>143</v>
      </c>
      <c r="M2187" s="755"/>
      <c r="N2187" s="755"/>
      <c r="O2187" s="755"/>
      <c r="P2187" s="755"/>
      <c r="Q2187" s="51"/>
      <c r="T2187" s="756" t="str">
        <f>IF(AND($R2195=0,$T2195=0),"0.00","mu :" &amp; ROUND($F2187/$C$2/($R2195+$T2195*$D$9),2))</f>
        <v>mu :1.23</v>
      </c>
      <c r="W2187" s="524"/>
      <c r="AG2187" s="481">
        <f>IF($E2187=0,0,ROUND($R2195*$S$2*$C$2/$A2187,2))</f>
        <v>820.33</v>
      </c>
      <c r="AH2187" s="481">
        <f>$AG2187*$A2187</f>
        <v>4921.9800000000005</v>
      </c>
      <c r="AI2187" s="525">
        <f>$E2187-$AG2187</f>
        <v>16.740000000000009</v>
      </c>
      <c r="AJ2187" s="525">
        <f>$A2187*$AI2187</f>
        <v>100.44000000000005</v>
      </c>
      <c r="AK2187" s="526">
        <f>ROUND(($AG2187+$AI2187)*$A2187,2)</f>
        <v>5022.42</v>
      </c>
      <c r="AM2187" s="527">
        <f>ROUND(R2195,2)</f>
        <v>3997.26</v>
      </c>
      <c r="AN2187" s="528">
        <f>ROUND(T2195,2)</f>
        <v>2.97</v>
      </c>
      <c r="AO2187" s="529">
        <f>ROUND(AM2187+AN2187,2)*A2187</f>
        <v>24001.38</v>
      </c>
      <c r="AR2187" s="747">
        <v>6</v>
      </c>
      <c r="AS2187" s="751">
        <v>5033.58</v>
      </c>
    </row>
    <row r="2188" spans="1:45" s="520" customFormat="1" ht="13.2">
      <c r="A2188" s="748"/>
      <c r="B2188"/>
      <c r="C2188" s="748"/>
      <c r="D2188" s="749" t="s">
        <v>586</v>
      </c>
      <c r="F2188" s="753"/>
      <c r="G2188" s="3"/>
      <c r="H2188" s="753"/>
      <c r="I2188" s="754"/>
      <c r="J2188" s="753"/>
      <c r="K2188" s="753" t="s">
        <v>144</v>
      </c>
      <c r="L2188" s="753"/>
      <c r="M2188" s="753"/>
      <c r="N2188" s="753"/>
      <c r="O2188" s="753"/>
      <c r="P2188" s="753"/>
      <c r="Q2188" s="51"/>
      <c r="R2188" s="530"/>
      <c r="S2188" s="757"/>
      <c r="T2188" s="753"/>
      <c r="AR2188" s="748"/>
      <c r="AS2188" s="753"/>
    </row>
    <row r="2189" spans="1:45" s="886" customFormat="1" ht="13.2">
      <c r="A2189"/>
      <c r="B2189" s="910"/>
      <c r="C2189" s="910" t="s">
        <v>2597</v>
      </c>
      <c r="D2189" s="910" t="str">
        <f ca="1">CELL("Address",Elec_Rates!D$174)</f>
        <v>[E25_0062_Quintano_Foods_Elec_ELV_As_Awarded.xlsx]Elec_Rates!$D$174</v>
      </c>
      <c r="E2189" s="911"/>
      <c r="F2189" s="911"/>
      <c r="G2189" s="912" t="s">
        <v>2598</v>
      </c>
      <c r="H2189" s="912"/>
      <c r="I2189" s="912"/>
      <c r="J2189" s="912"/>
      <c r="K2189" s="913"/>
      <c r="L2189" s="911"/>
      <c r="M2189" s="911"/>
      <c r="N2189" s="911"/>
      <c r="O2189" s="914"/>
      <c r="P2189" s="911"/>
      <c r="Q2189" s="915"/>
      <c r="R2189" s="916"/>
      <c r="S2189" s="915"/>
      <c r="T2189" s="917"/>
      <c r="U2189" s="918"/>
      <c r="AR2189"/>
      <c r="AS2189" s="911"/>
    </row>
    <row r="2190" spans="1:45" s="901" customFormat="1" ht="11.4">
      <c r="A2190" s="919">
        <v>6</v>
      </c>
      <c r="B2190" s="901" t="s">
        <v>141</v>
      </c>
      <c r="D2190" s="901" t="s">
        <v>2854</v>
      </c>
      <c r="F2190" s="1047" t="s">
        <v>3241</v>
      </c>
      <c r="G2190" s="941" t="s">
        <v>2850</v>
      </c>
      <c r="H2190" s="942">
        <v>705</v>
      </c>
      <c r="I2190" s="901" t="s">
        <v>2851</v>
      </c>
      <c r="J2190" s="901" t="s">
        <v>2852</v>
      </c>
      <c r="O2190" s="943">
        <v>3</v>
      </c>
      <c r="P2190" s="944">
        <v>38047</v>
      </c>
      <c r="Q2190" s="945">
        <f>ROUNDUP(593.64*1.112,2)</f>
        <v>660.13</v>
      </c>
      <c r="R2190" s="946">
        <f>$A2190*Q2190</f>
        <v>3960.7799999999997</v>
      </c>
      <c r="S2190" s="945">
        <v>0.5</v>
      </c>
      <c r="T2190" s="947">
        <f>$A2190*S2190*$T$1</f>
        <v>2.7</v>
      </c>
      <c r="AR2190" s="919">
        <v>6</v>
      </c>
      <c r="AS2190" s="1047" t="s">
        <v>3241</v>
      </c>
    </row>
    <row r="2191" spans="1:45" s="901" customFormat="1" ht="11.4">
      <c r="A2191" s="919">
        <v>24</v>
      </c>
      <c r="B2191" s="901" t="s">
        <v>141</v>
      </c>
      <c r="D2191" s="901" t="s">
        <v>2739</v>
      </c>
      <c r="F2191" s="1047" t="s">
        <v>3241</v>
      </c>
      <c r="G2191" s="941" t="s">
        <v>2740</v>
      </c>
      <c r="H2191" s="942">
        <v>875</v>
      </c>
      <c r="I2191" s="901" t="s">
        <v>2607</v>
      </c>
      <c r="K2191" s="901" t="s">
        <v>2741</v>
      </c>
      <c r="O2191" s="943">
        <v>1</v>
      </c>
      <c r="P2191" s="944">
        <v>34669</v>
      </c>
      <c r="Q2191" s="945">
        <f>ROUNDUP(10.92/50*1.112,2)</f>
        <v>0.25</v>
      </c>
      <c r="R2191" s="946">
        <f>$A2191*Q2191</f>
        <v>6</v>
      </c>
      <c r="S2191" s="945"/>
      <c r="T2191" s="947">
        <f>$A2191*S2191*$T$1</f>
        <v>0</v>
      </c>
      <c r="AR2191" s="919">
        <v>24</v>
      </c>
      <c r="AS2191" s="1047" t="s">
        <v>3241</v>
      </c>
    </row>
    <row r="2192" spans="1:45" s="901" customFormat="1" ht="11.4">
      <c r="A2192" s="919">
        <v>24</v>
      </c>
      <c r="B2192" s="901" t="s">
        <v>141</v>
      </c>
      <c r="D2192" s="901" t="s">
        <v>2742</v>
      </c>
      <c r="G2192" s="941" t="s">
        <v>2743</v>
      </c>
      <c r="H2192" s="942">
        <v>875</v>
      </c>
      <c r="I2192" s="901" t="s">
        <v>2607</v>
      </c>
      <c r="K2192" s="901" t="s">
        <v>2744</v>
      </c>
      <c r="O2192" s="943">
        <v>1</v>
      </c>
      <c r="P2192" s="944">
        <v>34669</v>
      </c>
      <c r="Q2192" s="945">
        <v>0.02</v>
      </c>
      <c r="R2192" s="946">
        <f>$A2192*Q2192</f>
        <v>0.48</v>
      </c>
      <c r="S2192" s="945"/>
      <c r="T2192" s="947">
        <f>$A2192*S2192*$T$1</f>
        <v>0</v>
      </c>
      <c r="AR2192" s="919">
        <v>24</v>
      </c>
    </row>
    <row r="2193" spans="1:45" s="901" customFormat="1" ht="11.4">
      <c r="A2193" s="919">
        <v>6</v>
      </c>
      <c r="B2193" s="901" t="s">
        <v>141</v>
      </c>
      <c r="D2193" s="901" t="s">
        <v>2745</v>
      </c>
      <c r="G2193" s="941" t="s">
        <v>2746</v>
      </c>
      <c r="H2193" s="942">
        <v>875</v>
      </c>
      <c r="I2193" s="901" t="s">
        <v>2607</v>
      </c>
      <c r="K2193" s="901" t="s">
        <v>2747</v>
      </c>
      <c r="O2193" s="943">
        <v>3</v>
      </c>
      <c r="P2193" s="944">
        <v>34820</v>
      </c>
      <c r="Q2193" s="945">
        <v>5</v>
      </c>
      <c r="R2193" s="946">
        <f>$A2193*Q2193</f>
        <v>30</v>
      </c>
      <c r="S2193" s="945">
        <v>0.05</v>
      </c>
      <c r="T2193" s="947">
        <f>$A2193*S2193*$T$1</f>
        <v>0.27000000000000007</v>
      </c>
      <c r="AR2193" s="919">
        <v>6</v>
      </c>
    </row>
    <row r="2194" spans="1:45" s="520" customFormat="1" ht="12">
      <c r="A2194" s="758"/>
      <c r="B2194" s="758"/>
      <c r="C2194" s="758"/>
      <c r="D2194" s="758"/>
      <c r="E2194" s="758"/>
      <c r="F2194" s="753"/>
      <c r="G2194" s="758"/>
      <c r="H2194" s="758"/>
      <c r="I2194" s="519"/>
      <c r="J2194" s="758"/>
      <c r="K2194" s="758"/>
      <c r="L2194" s="758"/>
      <c r="M2194" s="758"/>
      <c r="N2194" s="758"/>
      <c r="O2194" s="758"/>
      <c r="P2194" s="758"/>
      <c r="Q2194" s="519"/>
      <c r="R2194" s="759">
        <f>$A2194*Q2194</f>
        <v>0</v>
      </c>
      <c r="S2194" s="519"/>
      <c r="T2194" s="760">
        <f>$A2194*S2194*$T$1</f>
        <v>0</v>
      </c>
      <c r="AR2194" s="758"/>
      <c r="AS2194" s="753"/>
    </row>
    <row r="2195" spans="1:45" s="520" customFormat="1" ht="12.6" thickBot="1">
      <c r="A2195" s="761" t="s">
        <v>145</v>
      </c>
      <c r="B2195" s="762">
        <f>(R2194+T2194)</f>
        <v>0</v>
      </c>
      <c r="C2195" s="763"/>
      <c r="D2195" s="763"/>
      <c r="E2195" s="763"/>
      <c r="F2195" s="764"/>
      <c r="G2195" s="763" t="s">
        <v>146</v>
      </c>
      <c r="H2195" s="763"/>
      <c r="I2195" s="765"/>
      <c r="J2195" s="763"/>
      <c r="K2195" s="763" t="s">
        <v>3</v>
      </c>
      <c r="L2195" s="766" t="s">
        <v>143</v>
      </c>
      <c r="M2195" s="766"/>
      <c r="N2195" s="766"/>
      <c r="O2195" s="766"/>
      <c r="P2195" s="766"/>
      <c r="Q2195" s="767"/>
      <c r="R2195" s="768">
        <f>SUM(R2188:R2194)</f>
        <v>3997.2599999999998</v>
      </c>
      <c r="S2195" s="763"/>
      <c r="T2195" s="768">
        <f>SUM(T2188:T2194)</f>
        <v>2.97</v>
      </c>
      <c r="U2195" s="531"/>
      <c r="V2195" s="531"/>
      <c r="W2195" s="531"/>
      <c r="X2195" s="531"/>
      <c r="Y2195" s="531"/>
      <c r="Z2195" s="531"/>
      <c r="AA2195" s="531"/>
      <c r="AB2195" s="531"/>
      <c r="AC2195" s="531"/>
      <c r="AD2195" s="531"/>
      <c r="AE2195" s="531"/>
      <c r="AF2195" s="531"/>
      <c r="AG2195" s="531"/>
      <c r="AH2195" s="531"/>
      <c r="AI2195" s="531"/>
      <c r="AJ2195" s="531"/>
      <c r="AK2195" s="531"/>
      <c r="AL2195" s="531"/>
      <c r="AM2195" s="531"/>
      <c r="AN2195" s="531"/>
      <c r="AO2195" s="531"/>
      <c r="AR2195" s="761" t="s">
        <v>145</v>
      </c>
      <c r="AS2195" s="764"/>
    </row>
    <row r="2196" spans="1:45" s="520" customFormat="1" ht="12" thickTop="1">
      <c r="A2196" s="51"/>
      <c r="B2196" s="41"/>
      <c r="C2196" s="51"/>
      <c r="E2196" s="42" t="s">
        <v>138</v>
      </c>
      <c r="F2196" s="42" t="s">
        <v>139</v>
      </c>
      <c r="G2196" s="51"/>
      <c r="H2196" s="51"/>
      <c r="I2196" s="51"/>
      <c r="J2196" s="51"/>
      <c r="K2196" s="51" t="s">
        <v>140</v>
      </c>
      <c r="L2196" s="51"/>
      <c r="M2196" s="51"/>
      <c r="N2196" s="51"/>
      <c r="O2196" s="52"/>
      <c r="P2196" s="51"/>
      <c r="Q2196" s="51"/>
      <c r="R2196" s="51"/>
      <c r="S2196" s="51"/>
      <c r="T2196" s="41"/>
      <c r="AG2196" s="521" t="s">
        <v>268</v>
      </c>
      <c r="AH2196" s="521" t="s">
        <v>269</v>
      </c>
      <c r="AI2196" s="521" t="s">
        <v>270</v>
      </c>
      <c r="AJ2196" s="521" t="s">
        <v>271</v>
      </c>
      <c r="AK2196" s="521" t="s">
        <v>272</v>
      </c>
      <c r="AM2196" s="745" t="s">
        <v>281</v>
      </c>
      <c r="AN2196" s="746" t="s">
        <v>282</v>
      </c>
      <c r="AO2196" s="522" t="s">
        <v>278</v>
      </c>
      <c r="AR2196" s="51"/>
      <c r="AS2196" s="42" t="s">
        <v>139</v>
      </c>
    </row>
    <row r="2197" spans="1:45" s="520" customFormat="1" ht="12" customHeight="1">
      <c r="A2197" s="747">
        <v>1</v>
      </c>
      <c r="B2197" s="523" t="s">
        <v>141</v>
      </c>
      <c r="C2197" s="748"/>
      <c r="D2197" s="749" t="s">
        <v>1467</v>
      </c>
      <c r="E2197" s="750">
        <f>IF(AND($A2197=0,$A$1="DIF"),0, ROUND(ROUND(($R2204*$S$2+($T2204*$T$2))/A2197,2)*$C$2,2))</f>
        <v>921.79</v>
      </c>
      <c r="F2197" s="751">
        <f>ROUND($A2197*$E2197,2)</f>
        <v>921.79</v>
      </c>
      <c r="G2197" s="752" t="s">
        <v>142</v>
      </c>
      <c r="H2197" s="753"/>
      <c r="I2197" s="754"/>
      <c r="J2197" s="753"/>
      <c r="K2197" s="753" t="s">
        <v>3</v>
      </c>
      <c r="L2197" s="755" t="s">
        <v>143</v>
      </c>
      <c r="M2197" s="755"/>
      <c r="N2197" s="755"/>
      <c r="O2197" s="755"/>
      <c r="P2197" s="755"/>
      <c r="Q2197" s="51"/>
      <c r="T2197" s="756" t="str">
        <f>IF(AND($R2204=0,$T2204=0),"0.00","mu :" &amp; ROUND($F2197/$C$2/($R2204+$T2204*$D$9),2))</f>
        <v>mu :1.23</v>
      </c>
      <c r="W2197" s="524"/>
      <c r="AG2197" s="481">
        <f>IF($E2197=0,0,ROUND($R2204*$S$2*$C$2/$A2197,2))</f>
        <v>905.05</v>
      </c>
      <c r="AH2197" s="481">
        <f>$AG2197*$A2197</f>
        <v>905.05</v>
      </c>
      <c r="AI2197" s="525">
        <f>$E2197-$AG2197</f>
        <v>16.740000000000009</v>
      </c>
      <c r="AJ2197" s="525">
        <f>$A2197*$AI2197</f>
        <v>16.740000000000009</v>
      </c>
      <c r="AK2197" s="526">
        <f>ROUND(($AG2197+$AI2197)*$A2197,2)</f>
        <v>921.79</v>
      </c>
      <c r="AM2197" s="527">
        <f>ROUND(R2204,2)</f>
        <v>735.01</v>
      </c>
      <c r="AN2197" s="528">
        <f>ROUND(T2204,2)</f>
        <v>0.5</v>
      </c>
      <c r="AO2197" s="529">
        <f>ROUND(AM2197+AN2197,2)*A2197</f>
        <v>735.51</v>
      </c>
      <c r="AR2197" s="747">
        <v>1</v>
      </c>
      <c r="AS2197" s="751">
        <v>923.65</v>
      </c>
    </row>
    <row r="2198" spans="1:45" s="520" customFormat="1" ht="13.2">
      <c r="A2198" s="748"/>
      <c r="B2198"/>
      <c r="C2198" s="748"/>
      <c r="D2198" s="749" t="s">
        <v>652</v>
      </c>
      <c r="F2198" s="753"/>
      <c r="G2198" s="3"/>
      <c r="H2198" s="753"/>
      <c r="I2198" s="754"/>
      <c r="J2198" s="753"/>
      <c r="K2198" s="753" t="s">
        <v>144</v>
      </c>
      <c r="L2198" s="753"/>
      <c r="M2198" s="753"/>
      <c r="N2198" s="753"/>
      <c r="O2198" s="753"/>
      <c r="P2198" s="753"/>
      <c r="Q2198" s="51"/>
      <c r="R2198" s="530"/>
      <c r="S2198" s="757"/>
      <c r="T2198" s="753"/>
      <c r="AR2198" s="748"/>
      <c r="AS2198" s="753"/>
    </row>
    <row r="2199" spans="1:45" s="901" customFormat="1" ht="11.4">
      <c r="A2199" s="919">
        <v>1</v>
      </c>
      <c r="B2199" s="901" t="s">
        <v>141</v>
      </c>
      <c r="D2199" s="901" t="s">
        <v>2855</v>
      </c>
      <c r="F2199" s="1047" t="s">
        <v>3241</v>
      </c>
      <c r="G2199" s="941" t="s">
        <v>2850</v>
      </c>
      <c r="H2199" s="942">
        <v>705</v>
      </c>
      <c r="I2199" s="901" t="s">
        <v>2851</v>
      </c>
      <c r="J2199" s="901" t="s">
        <v>2852</v>
      </c>
      <c r="O2199" s="943">
        <v>3</v>
      </c>
      <c r="P2199" s="944">
        <v>38047</v>
      </c>
      <c r="Q2199" s="945">
        <f>ROUNDUP(655.51*1.112,2)</f>
        <v>728.93</v>
      </c>
      <c r="R2199" s="946">
        <f>$A2199*Q2199</f>
        <v>728.93</v>
      </c>
      <c r="S2199" s="945">
        <v>0.5</v>
      </c>
      <c r="T2199" s="947">
        <f>$A2199*S2199*$T$1</f>
        <v>0.45</v>
      </c>
      <c r="AR2199" s="919">
        <v>1</v>
      </c>
      <c r="AS2199" s="1047" t="s">
        <v>3241</v>
      </c>
    </row>
    <row r="2200" spans="1:45" s="901" customFormat="1" ht="11.4">
      <c r="A2200" s="919">
        <v>4</v>
      </c>
      <c r="B2200" s="901" t="s">
        <v>141</v>
      </c>
      <c r="D2200" s="901" t="s">
        <v>2739</v>
      </c>
      <c r="F2200" s="1047" t="s">
        <v>3241</v>
      </c>
      <c r="G2200" s="941" t="s">
        <v>2740</v>
      </c>
      <c r="H2200" s="942">
        <v>875</v>
      </c>
      <c r="I2200" s="901" t="s">
        <v>2607</v>
      </c>
      <c r="K2200" s="901" t="s">
        <v>2741</v>
      </c>
      <c r="O2200" s="943">
        <v>1</v>
      </c>
      <c r="P2200" s="944">
        <v>34669</v>
      </c>
      <c r="Q2200" s="945">
        <f>ROUNDUP(10.92/50*1.112,2)</f>
        <v>0.25</v>
      </c>
      <c r="R2200" s="946">
        <f>$A2200*Q2200</f>
        <v>1</v>
      </c>
      <c r="S2200" s="945"/>
      <c r="T2200" s="947">
        <f>$A2200*S2200*$T$1</f>
        <v>0</v>
      </c>
      <c r="AR2200" s="919">
        <v>4</v>
      </c>
      <c r="AS2200" s="1047" t="s">
        <v>3241</v>
      </c>
    </row>
    <row r="2201" spans="1:45" s="901" customFormat="1" ht="11.4">
      <c r="A2201" s="919">
        <v>4</v>
      </c>
      <c r="B2201" s="901" t="s">
        <v>141</v>
      </c>
      <c r="D2201" s="901" t="s">
        <v>2742</v>
      </c>
      <c r="G2201" s="941" t="s">
        <v>2743</v>
      </c>
      <c r="H2201" s="942">
        <v>875</v>
      </c>
      <c r="I2201" s="901" t="s">
        <v>2607</v>
      </c>
      <c r="K2201" s="901" t="s">
        <v>2744</v>
      </c>
      <c r="O2201" s="943">
        <v>1</v>
      </c>
      <c r="P2201" s="944">
        <v>34669</v>
      </c>
      <c r="Q2201" s="945">
        <v>0.02</v>
      </c>
      <c r="R2201" s="946">
        <f>$A2201*Q2201</f>
        <v>0.08</v>
      </c>
      <c r="S2201" s="945"/>
      <c r="T2201" s="947">
        <f>$A2201*S2201*$T$1</f>
        <v>0</v>
      </c>
      <c r="AR2201" s="919">
        <v>4</v>
      </c>
    </row>
    <row r="2202" spans="1:45" s="901" customFormat="1" ht="11.4">
      <c r="A2202" s="919">
        <v>1</v>
      </c>
      <c r="B2202" s="901" t="s">
        <v>141</v>
      </c>
      <c r="D2202" s="901" t="s">
        <v>2745</v>
      </c>
      <c r="G2202" s="941" t="s">
        <v>2746</v>
      </c>
      <c r="H2202" s="942">
        <v>875</v>
      </c>
      <c r="I2202" s="901" t="s">
        <v>2607</v>
      </c>
      <c r="K2202" s="901" t="s">
        <v>2747</v>
      </c>
      <c r="O2202" s="943">
        <v>3</v>
      </c>
      <c r="P2202" s="944">
        <v>34820</v>
      </c>
      <c r="Q2202" s="945">
        <v>5</v>
      </c>
      <c r="R2202" s="946">
        <f>$A2202*Q2202</f>
        <v>5</v>
      </c>
      <c r="S2202" s="945">
        <v>0.05</v>
      </c>
      <c r="T2202" s="947">
        <f>$A2202*S2202*$T$1</f>
        <v>4.5000000000000005E-2</v>
      </c>
      <c r="AR2202" s="919">
        <v>1</v>
      </c>
    </row>
    <row r="2203" spans="1:45" s="520" customFormat="1" ht="12">
      <c r="A2203" s="758"/>
      <c r="B2203" s="758"/>
      <c r="C2203" s="758"/>
      <c r="D2203" s="758"/>
      <c r="E2203" s="758"/>
      <c r="F2203" s="753"/>
      <c r="G2203" s="758"/>
      <c r="H2203" s="758"/>
      <c r="I2203" s="519"/>
      <c r="J2203" s="758"/>
      <c r="K2203" s="758"/>
      <c r="L2203" s="758"/>
      <c r="M2203" s="758"/>
      <c r="N2203" s="758"/>
      <c r="O2203" s="758"/>
      <c r="P2203" s="758"/>
      <c r="Q2203" s="519"/>
      <c r="R2203" s="759">
        <f>$A2203*Q2203</f>
        <v>0</v>
      </c>
      <c r="S2203" s="519"/>
      <c r="T2203" s="760">
        <f>$A2203*S2203*$T$1</f>
        <v>0</v>
      </c>
      <c r="AR2203" s="758"/>
      <c r="AS2203" s="753"/>
    </row>
    <row r="2204" spans="1:45" s="520" customFormat="1" ht="12.6" thickBot="1">
      <c r="A2204" s="761" t="s">
        <v>145</v>
      </c>
      <c r="B2204" s="762">
        <f>(R2203+T2203)</f>
        <v>0</v>
      </c>
      <c r="C2204" s="763"/>
      <c r="D2204" s="763"/>
      <c r="E2204" s="763"/>
      <c r="F2204" s="764"/>
      <c r="G2204" s="763" t="s">
        <v>146</v>
      </c>
      <c r="H2204" s="763"/>
      <c r="I2204" s="765"/>
      <c r="J2204" s="763"/>
      <c r="K2204" s="763" t="s">
        <v>3</v>
      </c>
      <c r="L2204" s="766" t="s">
        <v>143</v>
      </c>
      <c r="M2204" s="766"/>
      <c r="N2204" s="766"/>
      <c r="O2204" s="766"/>
      <c r="P2204" s="766"/>
      <c r="Q2204" s="767"/>
      <c r="R2204" s="768">
        <f>SUM(R2198:R2203)</f>
        <v>735.01</v>
      </c>
      <c r="S2204" s="763"/>
      <c r="T2204" s="768">
        <f>SUM(T2198:T2203)</f>
        <v>0.495</v>
      </c>
      <c r="U2204" s="531"/>
      <c r="V2204" s="531"/>
      <c r="W2204" s="531"/>
      <c r="X2204" s="531"/>
      <c r="Y2204" s="531"/>
      <c r="Z2204" s="531"/>
      <c r="AA2204" s="531"/>
      <c r="AB2204" s="531"/>
      <c r="AC2204" s="531"/>
      <c r="AD2204" s="531"/>
      <c r="AE2204" s="531"/>
      <c r="AF2204" s="531"/>
      <c r="AG2204" s="531"/>
      <c r="AH2204" s="531"/>
      <c r="AI2204" s="531"/>
      <c r="AJ2204" s="531"/>
      <c r="AK2204" s="531"/>
      <c r="AL2204" s="531"/>
      <c r="AM2204" s="531"/>
      <c r="AN2204" s="531"/>
      <c r="AO2204" s="531"/>
      <c r="AR2204" s="761" t="s">
        <v>145</v>
      </c>
      <c r="AS2204" s="764"/>
    </row>
    <row r="2205" spans="1:45" s="520" customFormat="1" ht="12" thickTop="1">
      <c r="A2205" s="48" t="s">
        <v>148</v>
      </c>
      <c r="D2205" s="13"/>
      <c r="E2205" s="42"/>
      <c r="O2205" s="771"/>
      <c r="AR2205" s="48" t="s">
        <v>148</v>
      </c>
    </row>
    <row r="2206" spans="1:45" s="520" customFormat="1" ht="13.2">
      <c r="B2206" s="3"/>
      <c r="O2206" s="771"/>
    </row>
    <row r="2207" spans="1:45" s="520" customFormat="1" ht="12">
      <c r="B2207" s="772">
        <f ca="1">$F2207/$C$2-($R2207*$S$2+$T2207*$T$2)</f>
        <v>-0.70961122719381819</v>
      </c>
      <c r="D2207" s="773" t="s">
        <v>3627</v>
      </c>
      <c r="E2207" s="774"/>
      <c r="F2207" s="775">
        <f ca="1">SUMIF($L1850:$L2205,"ITEM",F1850:F2205)</f>
        <v>19346.840000000004</v>
      </c>
      <c r="G2207" s="758"/>
      <c r="H2207" s="758"/>
      <c r="I2207" s="519"/>
      <c r="J2207" s="758"/>
      <c r="K2207" s="758"/>
      <c r="L2207" s="755" t="s">
        <v>157</v>
      </c>
      <c r="M2207" s="755"/>
      <c r="N2207" s="755"/>
      <c r="O2207" s="755"/>
      <c r="P2207" s="755"/>
      <c r="R2207" s="775">
        <f ca="1">SUMIF($L1850:$L2205,"ITEM",R1850:R2205)</f>
        <v>12165.949999999999</v>
      </c>
      <c r="S2207" s="776"/>
      <c r="T2207" s="775">
        <f ca="1">SUMIF($L1850:$L2205,"ITEM",T1850:T2205)</f>
        <v>129.15499999999997</v>
      </c>
      <c r="AS2207" s="775">
        <v>19859.730000000003</v>
      </c>
    </row>
    <row r="2208" spans="1:45" s="520" customFormat="1" ht="13.2">
      <c r="A2208" s="51"/>
      <c r="B2208" s="49" t="s">
        <v>1064</v>
      </c>
      <c r="C2208" s="51"/>
      <c r="D2208" s="3"/>
      <c r="F2208" s="777" t="s">
        <v>158</v>
      </c>
      <c r="G2208" s="758"/>
      <c r="H2208" s="758"/>
      <c r="I2208" s="519"/>
      <c r="J2208" s="758"/>
      <c r="K2208" s="758"/>
      <c r="L2208" s="758"/>
      <c r="M2208" s="758"/>
      <c r="N2208" s="758"/>
      <c r="O2208" s="758"/>
      <c r="P2208" s="758"/>
      <c r="Q2208" s="778"/>
      <c r="R2208" s="777" t="s">
        <v>159</v>
      </c>
      <c r="S2208" s="38"/>
      <c r="T2208" s="777" t="s">
        <v>160</v>
      </c>
      <c r="AR2208" s="51"/>
      <c r="AS2208" s="777" t="s">
        <v>158</v>
      </c>
    </row>
    <row r="2209" spans="1:45" s="520" customFormat="1" ht="13.2">
      <c r="A2209" s="758"/>
      <c r="B2209" s="3"/>
      <c r="C2209" s="758"/>
      <c r="D2209" s="3"/>
      <c r="E2209" s="3"/>
      <c r="G2209" s="3"/>
      <c r="H2209" s="3"/>
      <c r="I2209" s="3"/>
      <c r="J2209" s="3"/>
      <c r="K2209" s="3"/>
      <c r="L2209" s="3"/>
      <c r="M2209" s="3"/>
      <c r="N2209" s="3"/>
      <c r="O2209" s="107"/>
      <c r="P2209" s="3"/>
      <c r="Q2209" s="3"/>
      <c r="R2209" s="3"/>
      <c r="S2209" s="3"/>
      <c r="T2209" s="3"/>
      <c r="AR2209" s="758"/>
    </row>
    <row r="2210" spans="1:45" s="520" customFormat="1" ht="12" thickBot="1">
      <c r="A2210" s="531"/>
      <c r="B2210" s="763"/>
      <c r="C2210" s="763"/>
      <c r="D2210" s="531"/>
      <c r="E2210" s="39"/>
      <c r="F2210" s="779"/>
      <c r="G2210" s="763"/>
      <c r="H2210" s="763"/>
      <c r="I2210" s="765"/>
      <c r="J2210" s="763"/>
      <c r="K2210" s="763"/>
      <c r="L2210" s="766"/>
      <c r="M2210" s="766"/>
      <c r="N2210" s="766"/>
      <c r="O2210" s="766"/>
      <c r="P2210" s="766"/>
      <c r="Q2210" s="767"/>
      <c r="R2210" s="779"/>
      <c r="S2210" s="780"/>
      <c r="T2210" s="779"/>
      <c r="U2210" s="531"/>
      <c r="V2210" s="531"/>
      <c r="W2210" s="531"/>
      <c r="X2210" s="531"/>
      <c r="Y2210" s="531"/>
      <c r="Z2210" s="531"/>
      <c r="AA2210" s="531"/>
      <c r="AB2210" s="531"/>
      <c r="AC2210" s="531"/>
      <c r="AD2210" s="531"/>
      <c r="AE2210" s="531"/>
      <c r="AF2210" s="531"/>
      <c r="AG2210" s="531"/>
      <c r="AH2210" s="531"/>
      <c r="AI2210" s="531"/>
      <c r="AJ2210" s="531"/>
      <c r="AK2210" s="531"/>
      <c r="AR2210" s="531"/>
      <c r="AS2210" s="779"/>
    </row>
    <row r="2211" spans="1:45" s="520" customFormat="1" thickTop="1">
      <c r="A2211" s="51"/>
      <c r="B2211" s="51"/>
      <c r="C2211" s="3"/>
      <c r="D2211" s="3"/>
      <c r="E2211" s="51"/>
      <c r="F2211" s="51"/>
      <c r="G2211" s="51"/>
      <c r="H2211" s="51"/>
      <c r="I2211" s="51"/>
      <c r="J2211" s="51"/>
      <c r="K2211" s="51" t="s">
        <v>134</v>
      </c>
      <c r="L2211" s="51"/>
      <c r="M2211" s="51"/>
      <c r="N2211" s="51"/>
      <c r="O2211" s="52"/>
      <c r="P2211" s="51"/>
      <c r="Q2211" s="51"/>
      <c r="R2211" s="51"/>
      <c r="S2211" s="51"/>
      <c r="T2211" s="51"/>
      <c r="AR2211" s="51"/>
      <c r="AS2211" s="51"/>
    </row>
    <row r="2212" spans="1:45" s="520" customFormat="1" ht="12">
      <c r="A2212" s="51"/>
      <c r="B2212" s="51"/>
      <c r="C2212" s="51" t="s">
        <v>135</v>
      </c>
      <c r="D2212" s="37"/>
      <c r="E2212" s="51"/>
      <c r="F2212" s="51"/>
      <c r="G2212" s="51"/>
      <c r="H2212" s="51"/>
      <c r="I2212" s="51"/>
      <c r="J2212" s="51"/>
      <c r="K2212" s="51"/>
      <c r="L2212" s="51"/>
      <c r="M2212" s="51"/>
      <c r="N2212" s="51"/>
      <c r="O2212" s="52"/>
      <c r="P2212" s="51"/>
      <c r="Q2212" s="51"/>
      <c r="R2212" s="51"/>
      <c r="S2212" s="51"/>
      <c r="T2212" s="51"/>
      <c r="AR2212" s="51"/>
      <c r="AS2212" s="51"/>
    </row>
    <row r="2213" spans="1:45" s="520" customFormat="1" ht="39.9" customHeight="1">
      <c r="A2213" s="51"/>
      <c r="B2213" s="51"/>
      <c r="C2213" s="51"/>
      <c r="D2213" s="1453" t="s">
        <v>498</v>
      </c>
      <c r="E2213" s="1452"/>
      <c r="F2213" s="1452"/>
      <c r="G2213" s="1452"/>
      <c r="H2213" s="1452"/>
      <c r="I2213" s="1452"/>
      <c r="J2213" s="1452"/>
      <c r="K2213" s="1452"/>
      <c r="L2213" s="1452"/>
      <c r="M2213" s="1452"/>
      <c r="N2213" s="1452"/>
      <c r="O2213" s="1452"/>
      <c r="P2213" s="1452"/>
      <c r="Q2213" s="1452"/>
      <c r="R2213" s="1452"/>
      <c r="S2213" s="1452"/>
      <c r="T2213" s="1452"/>
      <c r="AR2213" s="51"/>
    </row>
    <row r="2214" spans="1:45" s="3" customFormat="1" thickBot="1">
      <c r="A2214" s="531"/>
      <c r="O2214" s="107"/>
      <c r="AR2214" s="531"/>
    </row>
    <row r="2215" spans="1:45" s="520" customFormat="1" thickTop="1">
      <c r="A2215" s="51"/>
      <c r="B2215" s="51"/>
      <c r="C2215" s="3"/>
      <c r="D2215" s="3"/>
      <c r="E2215" s="51"/>
      <c r="F2215" s="51"/>
      <c r="G2215" s="51"/>
      <c r="H2215" s="51"/>
      <c r="I2215" s="51"/>
      <c r="J2215" s="51"/>
      <c r="K2215" s="51" t="s">
        <v>134</v>
      </c>
      <c r="L2215" s="51"/>
      <c r="M2215" s="51"/>
      <c r="N2215" s="51"/>
      <c r="O2215" s="52"/>
      <c r="P2215" s="51"/>
      <c r="Q2215" s="51"/>
      <c r="R2215" s="51"/>
      <c r="S2215" s="51"/>
      <c r="T2215" s="51"/>
      <c r="AR2215" s="51"/>
      <c r="AS2215" s="51"/>
    </row>
    <row r="2216" spans="1:45" s="520" customFormat="1" ht="12">
      <c r="A2216" s="51"/>
      <c r="B2216" s="51"/>
      <c r="C2216" s="51" t="s">
        <v>135</v>
      </c>
      <c r="D2216" s="37"/>
      <c r="E2216" s="51"/>
      <c r="F2216" s="51"/>
      <c r="G2216" s="51"/>
      <c r="H2216" s="51"/>
      <c r="I2216" s="51"/>
      <c r="J2216" s="51"/>
      <c r="K2216" s="51"/>
      <c r="L2216" s="51"/>
      <c r="M2216" s="51"/>
      <c r="N2216" s="51"/>
      <c r="O2216" s="52"/>
      <c r="P2216" s="51"/>
      <c r="Q2216" s="51"/>
      <c r="R2216" s="51"/>
      <c r="S2216" s="51"/>
      <c r="T2216" s="51"/>
      <c r="AR2216" s="51"/>
      <c r="AS2216" s="51"/>
    </row>
    <row r="2217" spans="1:45" s="520" customFormat="1" ht="12">
      <c r="A2217" s="51"/>
      <c r="B2217" s="51"/>
      <c r="C2217" s="51"/>
      <c r="D2217" s="37" t="s">
        <v>677</v>
      </c>
      <c r="E2217" s="51"/>
      <c r="F2217" s="51"/>
      <c r="G2217" s="51"/>
      <c r="H2217" s="51"/>
      <c r="I2217" s="51"/>
      <c r="J2217" s="51"/>
      <c r="K2217" s="51"/>
      <c r="L2217" s="51"/>
      <c r="M2217" s="51"/>
      <c r="N2217" s="51"/>
      <c r="O2217" s="52"/>
      <c r="P2217" s="51"/>
      <c r="Q2217" s="51"/>
      <c r="R2217" s="51"/>
      <c r="S2217" s="38"/>
      <c r="T2217" s="38"/>
      <c r="AR2217" s="51"/>
      <c r="AS2217" s="51"/>
    </row>
    <row r="2218" spans="1:45" s="3" customFormat="1" thickBot="1">
      <c r="A2218" s="531"/>
      <c r="O2218" s="107"/>
      <c r="AR2218" s="531"/>
    </row>
    <row r="2219" spans="1:45" s="520" customFormat="1" ht="12" thickTop="1">
      <c r="A2219" s="51"/>
      <c r="B2219" s="41"/>
      <c r="C2219" s="51"/>
      <c r="E2219" s="42" t="s">
        <v>138</v>
      </c>
      <c r="F2219" s="42" t="s">
        <v>139</v>
      </c>
      <c r="G2219" s="51"/>
      <c r="H2219" s="51"/>
      <c r="I2219" s="51"/>
      <c r="J2219" s="51"/>
      <c r="K2219" s="51" t="s">
        <v>140</v>
      </c>
      <c r="L2219" s="51"/>
      <c r="M2219" s="51"/>
      <c r="N2219" s="51"/>
      <c r="O2219" s="52"/>
      <c r="P2219" s="51"/>
      <c r="Q2219" s="51"/>
      <c r="R2219" s="51"/>
      <c r="S2219" s="51"/>
      <c r="T2219" s="41"/>
      <c r="AG2219" s="521" t="s">
        <v>268</v>
      </c>
      <c r="AH2219" s="521" t="s">
        <v>269</v>
      </c>
      <c r="AI2219" s="521" t="s">
        <v>270</v>
      </c>
      <c r="AJ2219" s="521" t="s">
        <v>271</v>
      </c>
      <c r="AK2219" s="521" t="s">
        <v>272</v>
      </c>
      <c r="AM2219" s="745" t="s">
        <v>281</v>
      </c>
      <c r="AN2219" s="746" t="s">
        <v>282</v>
      </c>
      <c r="AO2219" s="522" t="s">
        <v>278</v>
      </c>
      <c r="AR2219" s="51"/>
      <c r="AS2219" s="42" t="s">
        <v>139</v>
      </c>
    </row>
    <row r="2220" spans="1:45" s="520" customFormat="1" ht="12" customHeight="1">
      <c r="A2220" s="747">
        <v>60</v>
      </c>
      <c r="B2220" s="523" t="s">
        <v>320</v>
      </c>
      <c r="C2220" s="748"/>
      <c r="D2220" s="749" t="s">
        <v>1468</v>
      </c>
      <c r="E2220" s="750">
        <f ca="1">IF(AND($A2220=0,$A$1="DIF"),0, ROUND(ROUND(($R2225*$S$2+($T2225*$T$2))/A2220,2)*$C$2,2))</f>
        <v>5.93</v>
      </c>
      <c r="F2220" s="751">
        <f ca="1">ROUND($A2220*$E2220,2)</f>
        <v>355.8</v>
      </c>
      <c r="G2220" s="752" t="s">
        <v>142</v>
      </c>
      <c r="H2220" s="753"/>
      <c r="I2220" s="754"/>
      <c r="J2220" s="753"/>
      <c r="K2220" s="753" t="s">
        <v>3</v>
      </c>
      <c r="L2220" s="755" t="s">
        <v>143</v>
      </c>
      <c r="M2220" s="755"/>
      <c r="N2220" s="755"/>
      <c r="O2220" s="755"/>
      <c r="P2220" s="755"/>
      <c r="Q2220" s="51"/>
      <c r="T2220" s="756" t="str">
        <f ca="1">IF(AND($R2225=0,$T2225=0),"0.00","mu :" &amp; ROUND($F2220/$C$2/($R2225+$T2225*$D$9),2))</f>
        <v>mu :1.23</v>
      </c>
      <c r="W2220" s="524"/>
      <c r="AG2220" s="481">
        <f ca="1">IF($E2220=0,0,ROUND($R2225*$S$2*$C$2/$A2220,2))</f>
        <v>3.56</v>
      </c>
      <c r="AH2220" s="481">
        <f ca="1">$AG2220*$A2220</f>
        <v>213.6</v>
      </c>
      <c r="AI2220" s="525">
        <f ca="1">$E2220-$AG2220</f>
        <v>2.3699999999999997</v>
      </c>
      <c r="AJ2220" s="525">
        <f ca="1">$A2220*$AI2220</f>
        <v>142.19999999999999</v>
      </c>
      <c r="AK2220" s="526">
        <f ca="1">ROUND(($AG2220+$AI2220)*$A2220,2)</f>
        <v>355.8</v>
      </c>
      <c r="AM2220" s="527">
        <f ca="1">ROUND(R2225,2)</f>
        <v>173.4</v>
      </c>
      <c r="AN2220" s="528">
        <f ca="1">ROUND(T2225,2)</f>
        <v>4.2</v>
      </c>
      <c r="AO2220" s="529">
        <f ca="1">ROUND(AM2220+AN2220,2)*A2220</f>
        <v>10656</v>
      </c>
      <c r="AR2220" s="747">
        <v>60</v>
      </c>
      <c r="AS2220" s="751">
        <v>355.8</v>
      </c>
    </row>
    <row r="2221" spans="1:45" s="520" customFormat="1" ht="13.2">
      <c r="A2221" s="748"/>
      <c r="B2221"/>
      <c r="C2221" s="748"/>
      <c r="D2221" s="749" t="s">
        <v>1451</v>
      </c>
      <c r="F2221" s="753"/>
      <c r="G2221" s="3"/>
      <c r="H2221" s="753"/>
      <c r="I2221" s="754"/>
      <c r="J2221" s="753"/>
      <c r="K2221" s="753" t="s">
        <v>144</v>
      </c>
      <c r="L2221" s="753"/>
      <c r="M2221" s="753"/>
      <c r="N2221" s="753"/>
      <c r="O2221" s="753"/>
      <c r="P2221" s="753"/>
      <c r="Q2221" s="51"/>
      <c r="R2221" s="530"/>
      <c r="S2221" s="757"/>
      <c r="T2221" s="753"/>
      <c r="AR2221" s="748"/>
      <c r="AS2221" s="753"/>
    </row>
    <row r="2222" spans="1:45" s="886" customFormat="1" ht="13.2">
      <c r="A2222"/>
      <c r="B2222" s="910"/>
      <c r="C2222" s="910" t="s">
        <v>2597</v>
      </c>
      <c r="D2222" s="910" t="str">
        <f ca="1">CELL("Address",Elec_Rates!D$510)</f>
        <v>[E25_0062_Quintano_Foods_Elec_ELV_As_Awarded.xlsx]Elec_Rates!$D$510</v>
      </c>
      <c r="E2222" s="911"/>
      <c r="F2222" s="911"/>
      <c r="G2222" s="912" t="s">
        <v>2598</v>
      </c>
      <c r="H2222" s="912"/>
      <c r="I2222" s="912"/>
      <c r="J2222" s="912"/>
      <c r="K2222" s="913"/>
      <c r="L2222" s="911"/>
      <c r="M2222" s="911"/>
      <c r="N2222" s="911"/>
      <c r="O2222" s="914"/>
      <c r="P2222" s="911"/>
      <c r="Q2222" s="915"/>
      <c r="R2222" s="916"/>
      <c r="S2222" s="915"/>
      <c r="T2222" s="917"/>
      <c r="U2222" s="918"/>
      <c r="AR2222"/>
      <c r="AS2222" s="911"/>
    </row>
    <row r="2223" spans="1:45" s="886" customFormat="1" ht="11.4">
      <c r="A2223" s="919">
        <v>60</v>
      </c>
      <c r="B2223" s="920">
        <v>1</v>
      </c>
      <c r="C2223" s="920">
        <f>$A2223*$B2223</f>
        <v>60</v>
      </c>
      <c r="D2223" s="921" t="str">
        <f>Elec_Rates!$D$510</f>
        <v>048# 5 x 2.5mm2 XLPE/SWA/LSZH</v>
      </c>
      <c r="E2223" s="921"/>
      <c r="F2223" s="921" t="s">
        <v>2599</v>
      </c>
      <c r="G2223" s="922" t="s">
        <v>2601</v>
      </c>
      <c r="H2223" s="922"/>
      <c r="I2223" s="922"/>
      <c r="J2223" s="922"/>
      <c r="K2223" s="923"/>
      <c r="L2223" s="918"/>
      <c r="M2223" s="918"/>
      <c r="N2223" s="918"/>
      <c r="O2223" s="924"/>
      <c r="P2223" s="921"/>
      <c r="Q2223" s="925">
        <f ca="1">$B2223*Elec_Rates!$R$510</f>
        <v>2.89</v>
      </c>
      <c r="R2223" s="916">
        <f ca="1">$A2223*Q2223</f>
        <v>173.4</v>
      </c>
      <c r="S2223" s="925">
        <f ca="1">$B2223*Elec_Rates!$T$510</f>
        <v>7.0000000000000007E-2</v>
      </c>
      <c r="T2223" s="917">
        <f ca="1">$A2223*S2223</f>
        <v>4.2</v>
      </c>
      <c r="U2223" s="926"/>
      <c r="AR2223" s="919">
        <v>60</v>
      </c>
      <c r="AS2223" s="921" t="s">
        <v>2599</v>
      </c>
    </row>
    <row r="2224" spans="1:45" s="520" customFormat="1" ht="12">
      <c r="A2224" s="758"/>
      <c r="B2224" s="758"/>
      <c r="C2224" s="758"/>
      <c r="D2224" s="758"/>
      <c r="E2224" s="758"/>
      <c r="F2224" s="753"/>
      <c r="G2224" s="758"/>
      <c r="H2224" s="758"/>
      <c r="I2224" s="519"/>
      <c r="J2224" s="758"/>
      <c r="K2224" s="758"/>
      <c r="L2224" s="758"/>
      <c r="M2224" s="758"/>
      <c r="N2224" s="758"/>
      <c r="O2224" s="758"/>
      <c r="P2224" s="758"/>
      <c r="Q2224" s="519"/>
      <c r="R2224" s="759">
        <f>$A2224*Q2224</f>
        <v>0</v>
      </c>
      <c r="S2224" s="519"/>
      <c r="T2224" s="760">
        <f>$A2224*S2224*$T$1</f>
        <v>0</v>
      </c>
      <c r="AR2224" s="758"/>
      <c r="AS2224" s="753"/>
    </row>
    <row r="2225" spans="1:45" s="520" customFormat="1" ht="12.6" thickBot="1">
      <c r="A2225" s="761" t="s">
        <v>145</v>
      </c>
      <c r="B2225" s="762">
        <f>(R2224+T2224)</f>
        <v>0</v>
      </c>
      <c r="C2225" s="763"/>
      <c r="D2225" s="763"/>
      <c r="E2225" s="763"/>
      <c r="F2225" s="764"/>
      <c r="G2225" s="763" t="s">
        <v>146</v>
      </c>
      <c r="H2225" s="763"/>
      <c r="I2225" s="765"/>
      <c r="J2225" s="763"/>
      <c r="K2225" s="763" t="s">
        <v>3</v>
      </c>
      <c r="L2225" s="766" t="s">
        <v>143</v>
      </c>
      <c r="M2225" s="766"/>
      <c r="N2225" s="766"/>
      <c r="O2225" s="766"/>
      <c r="P2225" s="766"/>
      <c r="Q2225" s="767"/>
      <c r="R2225" s="768">
        <f ca="1">SUM(R2221:R2224)</f>
        <v>173.4</v>
      </c>
      <c r="S2225" s="763"/>
      <c r="T2225" s="768">
        <f ca="1">SUM(T2221:T2224)</f>
        <v>4.2</v>
      </c>
      <c r="U2225" s="531"/>
      <c r="V2225" s="531"/>
      <c r="W2225" s="531"/>
      <c r="X2225" s="531"/>
      <c r="Y2225" s="531"/>
      <c r="Z2225" s="531"/>
      <c r="AA2225" s="531"/>
      <c r="AB2225" s="531"/>
      <c r="AC2225" s="531"/>
      <c r="AD2225" s="531"/>
      <c r="AE2225" s="531"/>
      <c r="AF2225" s="531"/>
      <c r="AG2225" s="531"/>
      <c r="AH2225" s="531"/>
      <c r="AI2225" s="531"/>
      <c r="AJ2225" s="531"/>
      <c r="AK2225" s="531"/>
      <c r="AL2225" s="531"/>
      <c r="AM2225" s="531"/>
      <c r="AN2225" s="531"/>
      <c r="AO2225" s="531"/>
      <c r="AR2225" s="761" t="s">
        <v>145</v>
      </c>
      <c r="AS2225" s="764"/>
    </row>
    <row r="2226" spans="1:45" s="520" customFormat="1" ht="12" thickTop="1">
      <c r="A2226" s="51"/>
      <c r="B2226" s="41"/>
      <c r="C2226" s="51"/>
      <c r="E2226" s="42" t="s">
        <v>138</v>
      </c>
      <c r="F2226" s="42" t="s">
        <v>139</v>
      </c>
      <c r="G2226" s="51"/>
      <c r="H2226" s="51"/>
      <c r="I2226" s="51"/>
      <c r="J2226" s="51"/>
      <c r="K2226" s="51" t="s">
        <v>140</v>
      </c>
      <c r="L2226" s="51"/>
      <c r="M2226" s="51"/>
      <c r="N2226" s="51"/>
      <c r="O2226" s="52"/>
      <c r="P2226" s="51"/>
      <c r="Q2226" s="51"/>
      <c r="R2226" s="51"/>
      <c r="S2226" s="51"/>
      <c r="T2226" s="41"/>
      <c r="AG2226" s="521" t="s">
        <v>268</v>
      </c>
      <c r="AH2226" s="521" t="s">
        <v>269</v>
      </c>
      <c r="AI2226" s="521" t="s">
        <v>270</v>
      </c>
      <c r="AJ2226" s="521" t="s">
        <v>271</v>
      </c>
      <c r="AK2226" s="521" t="s">
        <v>272</v>
      </c>
      <c r="AM2226" s="745" t="s">
        <v>281</v>
      </c>
      <c r="AN2226" s="746" t="s">
        <v>282</v>
      </c>
      <c r="AO2226" s="522" t="s">
        <v>278</v>
      </c>
      <c r="AR2226" s="51"/>
      <c r="AS2226" s="42" t="s">
        <v>139</v>
      </c>
    </row>
    <row r="2227" spans="1:45" s="520" customFormat="1" ht="12" customHeight="1">
      <c r="A2227" s="747">
        <v>60</v>
      </c>
      <c r="B2227" s="523" t="s">
        <v>320</v>
      </c>
      <c r="C2227" s="748"/>
      <c r="D2227" s="749" t="s">
        <v>1469</v>
      </c>
      <c r="E2227" s="750">
        <f ca="1">IF(AND($A2227=0,$A$1="DIF"),0, ROUND(ROUND(($R2232*$S$2+($T2232*$T$2))/A2227,2)*$C$2,2))</f>
        <v>5.93</v>
      </c>
      <c r="F2227" s="751">
        <f ca="1">ROUND($A2227*$E2227,2)</f>
        <v>355.8</v>
      </c>
      <c r="G2227" s="752" t="s">
        <v>142</v>
      </c>
      <c r="H2227" s="753"/>
      <c r="I2227" s="754"/>
      <c r="J2227" s="753"/>
      <c r="K2227" s="753" t="s">
        <v>3</v>
      </c>
      <c r="L2227" s="755" t="s">
        <v>143</v>
      </c>
      <c r="M2227" s="755"/>
      <c r="N2227" s="755"/>
      <c r="O2227" s="755"/>
      <c r="P2227" s="755"/>
      <c r="Q2227" s="51"/>
      <c r="T2227" s="756" t="str">
        <f ca="1">IF(AND($R2232=0,$T2232=0),"0.00","mu :" &amp; ROUND($F2227/$C$2/($R2232+$T2232*$D$9),2))</f>
        <v>mu :1.23</v>
      </c>
      <c r="W2227" s="524"/>
      <c r="AG2227" s="481">
        <f ca="1">IF($E2227=0,0,ROUND($R2232*$S$2*$C$2/$A2227,2))</f>
        <v>3.56</v>
      </c>
      <c r="AH2227" s="481">
        <f ca="1">$AG2227*$A2227</f>
        <v>213.6</v>
      </c>
      <c r="AI2227" s="525">
        <f ca="1">$E2227-$AG2227</f>
        <v>2.3699999999999997</v>
      </c>
      <c r="AJ2227" s="525">
        <f ca="1">$A2227*$AI2227</f>
        <v>142.19999999999999</v>
      </c>
      <c r="AK2227" s="526">
        <f ca="1">ROUND(($AG2227+$AI2227)*$A2227,2)</f>
        <v>355.8</v>
      </c>
      <c r="AM2227" s="527">
        <f ca="1">ROUND(R2232,2)</f>
        <v>173.4</v>
      </c>
      <c r="AN2227" s="528">
        <f ca="1">ROUND(T2232,2)</f>
        <v>4.2</v>
      </c>
      <c r="AO2227" s="529">
        <f ca="1">ROUND(AM2227+AN2227,2)*A2227</f>
        <v>10656</v>
      </c>
      <c r="AR2227" s="747">
        <v>60</v>
      </c>
      <c r="AS2227" s="751">
        <v>355.8</v>
      </c>
    </row>
    <row r="2228" spans="1:45" s="520" customFormat="1" ht="13.2">
      <c r="A2228" s="748"/>
      <c r="B2228"/>
      <c r="C2228" s="748"/>
      <c r="D2228" s="749" t="s">
        <v>1453</v>
      </c>
      <c r="F2228" s="753"/>
      <c r="G2228" s="3"/>
      <c r="H2228" s="753"/>
      <c r="I2228" s="754"/>
      <c r="J2228" s="753"/>
      <c r="K2228" s="753" t="s">
        <v>144</v>
      </c>
      <c r="L2228" s="753"/>
      <c r="M2228" s="753"/>
      <c r="N2228" s="753"/>
      <c r="O2228" s="753"/>
      <c r="P2228" s="753"/>
      <c r="Q2228" s="51"/>
      <c r="R2228" s="530"/>
      <c r="S2228" s="757"/>
      <c r="T2228" s="753"/>
      <c r="AR2228" s="748"/>
      <c r="AS2228" s="753"/>
    </row>
    <row r="2229" spans="1:45" s="886" customFormat="1" ht="13.2">
      <c r="A2229"/>
      <c r="B2229" s="910"/>
      <c r="C2229" s="910" t="s">
        <v>2597</v>
      </c>
      <c r="D2229" s="910" t="str">
        <f ca="1">CELL("Address",Elec_Rates!D$510)</f>
        <v>[E25_0062_Quintano_Foods_Elec_ELV_As_Awarded.xlsx]Elec_Rates!$D$510</v>
      </c>
      <c r="E2229" s="911"/>
      <c r="F2229" s="911"/>
      <c r="G2229" s="912" t="s">
        <v>2598</v>
      </c>
      <c r="H2229" s="912"/>
      <c r="I2229" s="912"/>
      <c r="J2229" s="912"/>
      <c r="K2229" s="913"/>
      <c r="L2229" s="911"/>
      <c r="M2229" s="911"/>
      <c r="N2229" s="911"/>
      <c r="O2229" s="914"/>
      <c r="P2229" s="911"/>
      <c r="Q2229" s="915"/>
      <c r="R2229" s="916"/>
      <c r="S2229" s="915"/>
      <c r="T2229" s="917"/>
      <c r="U2229" s="918"/>
      <c r="AR2229"/>
      <c r="AS2229" s="911"/>
    </row>
    <row r="2230" spans="1:45" s="886" customFormat="1" ht="11.4">
      <c r="A2230" s="919">
        <v>60</v>
      </c>
      <c r="B2230" s="920">
        <v>1</v>
      </c>
      <c r="C2230" s="920">
        <f>$A2230*$B2230</f>
        <v>60</v>
      </c>
      <c r="D2230" s="921" t="str">
        <f>Elec_Rates!$D$510</f>
        <v>048# 5 x 2.5mm2 XLPE/SWA/LSZH</v>
      </c>
      <c r="E2230" s="921"/>
      <c r="F2230" s="921" t="s">
        <v>2599</v>
      </c>
      <c r="G2230" s="922" t="s">
        <v>2601</v>
      </c>
      <c r="H2230" s="922"/>
      <c r="I2230" s="922"/>
      <c r="J2230" s="922"/>
      <c r="K2230" s="923"/>
      <c r="L2230" s="918"/>
      <c r="M2230" s="918"/>
      <c r="N2230" s="918"/>
      <c r="O2230" s="924"/>
      <c r="P2230" s="921"/>
      <c r="Q2230" s="925">
        <f ca="1">$B2230*Elec_Rates!$R$510</f>
        <v>2.89</v>
      </c>
      <c r="R2230" s="916">
        <f ca="1">$A2230*Q2230</f>
        <v>173.4</v>
      </c>
      <c r="S2230" s="925">
        <f ca="1">$B2230*Elec_Rates!$T$510</f>
        <v>7.0000000000000007E-2</v>
      </c>
      <c r="T2230" s="917">
        <f ca="1">$A2230*S2230</f>
        <v>4.2</v>
      </c>
      <c r="U2230" s="926"/>
      <c r="AR2230" s="919">
        <v>60</v>
      </c>
      <c r="AS2230" s="921" t="s">
        <v>2599</v>
      </c>
    </row>
    <row r="2231" spans="1:45" s="520" customFormat="1" ht="12">
      <c r="A2231" s="758"/>
      <c r="B2231" s="758"/>
      <c r="C2231" s="758"/>
      <c r="D2231" s="758"/>
      <c r="E2231" s="758"/>
      <c r="F2231" s="753"/>
      <c r="G2231" s="758"/>
      <c r="H2231" s="758"/>
      <c r="I2231" s="519"/>
      <c r="J2231" s="758"/>
      <c r="K2231" s="758"/>
      <c r="L2231" s="758"/>
      <c r="M2231" s="758"/>
      <c r="N2231" s="758"/>
      <c r="O2231" s="758"/>
      <c r="P2231" s="758"/>
      <c r="Q2231" s="519"/>
      <c r="R2231" s="759">
        <f>$A2231*Q2231</f>
        <v>0</v>
      </c>
      <c r="S2231" s="519"/>
      <c r="T2231" s="760">
        <f>$A2231*S2231*$T$1</f>
        <v>0</v>
      </c>
      <c r="AR2231" s="758"/>
      <c r="AS2231" s="753"/>
    </row>
    <row r="2232" spans="1:45" s="520" customFormat="1" ht="12.6" thickBot="1">
      <c r="A2232" s="761" t="s">
        <v>145</v>
      </c>
      <c r="B2232" s="762">
        <f>(R2231+T2231)</f>
        <v>0</v>
      </c>
      <c r="C2232" s="763"/>
      <c r="D2232" s="763"/>
      <c r="E2232" s="763"/>
      <c r="F2232" s="764"/>
      <c r="G2232" s="763" t="s">
        <v>146</v>
      </c>
      <c r="H2232" s="763"/>
      <c r="I2232" s="765"/>
      <c r="J2232" s="763"/>
      <c r="K2232" s="763" t="s">
        <v>3</v>
      </c>
      <c r="L2232" s="766" t="s">
        <v>143</v>
      </c>
      <c r="M2232" s="766"/>
      <c r="N2232" s="766"/>
      <c r="O2232" s="766"/>
      <c r="P2232" s="766"/>
      <c r="Q2232" s="767"/>
      <c r="R2232" s="768">
        <f ca="1">SUM(R2228:R2231)</f>
        <v>173.4</v>
      </c>
      <c r="S2232" s="763"/>
      <c r="T2232" s="768">
        <f ca="1">SUM(T2228:T2231)</f>
        <v>4.2</v>
      </c>
      <c r="U2232" s="531"/>
      <c r="V2232" s="531"/>
      <c r="W2232" s="531"/>
      <c r="X2232" s="531"/>
      <c r="Y2232" s="531"/>
      <c r="Z2232" s="531"/>
      <c r="AA2232" s="531"/>
      <c r="AB2232" s="531"/>
      <c r="AC2232" s="531"/>
      <c r="AD2232" s="531"/>
      <c r="AE2232" s="531"/>
      <c r="AF2232" s="531"/>
      <c r="AG2232" s="531"/>
      <c r="AH2232" s="531"/>
      <c r="AI2232" s="531"/>
      <c r="AJ2232" s="531"/>
      <c r="AK2232" s="531"/>
      <c r="AL2232" s="531"/>
      <c r="AM2232" s="531"/>
      <c r="AN2232" s="531"/>
      <c r="AO2232" s="531"/>
      <c r="AR2232" s="761" t="s">
        <v>145</v>
      </c>
      <c r="AS2232" s="764"/>
    </row>
    <row r="2233" spans="1:45" s="520" customFormat="1" ht="12" thickTop="1">
      <c r="A2233" s="51"/>
      <c r="B2233" s="41"/>
      <c r="C2233" s="51"/>
      <c r="E2233" s="42" t="s">
        <v>138</v>
      </c>
      <c r="F2233" s="42" t="s">
        <v>139</v>
      </c>
      <c r="G2233" s="51"/>
      <c r="H2233" s="51"/>
      <c r="I2233" s="51"/>
      <c r="J2233" s="51"/>
      <c r="K2233" s="51" t="s">
        <v>140</v>
      </c>
      <c r="L2233" s="51"/>
      <c r="M2233" s="51"/>
      <c r="N2233" s="51"/>
      <c r="O2233" s="52"/>
      <c r="P2233" s="51"/>
      <c r="Q2233" s="51"/>
      <c r="R2233" s="51"/>
      <c r="S2233" s="51"/>
      <c r="T2233" s="41"/>
      <c r="AG2233" s="521" t="s">
        <v>268</v>
      </c>
      <c r="AH2233" s="521" t="s">
        <v>269</v>
      </c>
      <c r="AI2233" s="521" t="s">
        <v>270</v>
      </c>
      <c r="AJ2233" s="521" t="s">
        <v>271</v>
      </c>
      <c r="AK2233" s="521" t="s">
        <v>272</v>
      </c>
      <c r="AM2233" s="745" t="s">
        <v>281</v>
      </c>
      <c r="AN2233" s="746" t="s">
        <v>282</v>
      </c>
      <c r="AO2233" s="522" t="s">
        <v>278</v>
      </c>
      <c r="AR2233" s="51"/>
      <c r="AS2233" s="42" t="s">
        <v>139</v>
      </c>
    </row>
    <row r="2234" spans="1:45" s="520" customFormat="1" ht="12" customHeight="1">
      <c r="A2234" s="747">
        <v>75</v>
      </c>
      <c r="B2234" s="523" t="s">
        <v>320</v>
      </c>
      <c r="C2234" s="748"/>
      <c r="D2234" s="749" t="s">
        <v>1470</v>
      </c>
      <c r="E2234" s="750">
        <f ca="1">IF(AND($A2234=0,$A$1="DIF"),0, ROUND(ROUND(($R2239*$S$2+($T2239*$T$2))/A2234,2)*$C$2,2))</f>
        <v>5.93</v>
      </c>
      <c r="F2234" s="751">
        <f ca="1">ROUND($A2234*$E2234,2)</f>
        <v>444.75</v>
      </c>
      <c r="G2234" s="752" t="s">
        <v>142</v>
      </c>
      <c r="H2234" s="753"/>
      <c r="I2234" s="754"/>
      <c r="J2234" s="753"/>
      <c r="K2234" s="753" t="s">
        <v>3</v>
      </c>
      <c r="L2234" s="755" t="s">
        <v>143</v>
      </c>
      <c r="M2234" s="755"/>
      <c r="N2234" s="755"/>
      <c r="O2234" s="755"/>
      <c r="P2234" s="755"/>
      <c r="Q2234" s="51"/>
      <c r="T2234" s="756" t="str">
        <f ca="1">IF(AND($R2239=0,$T2239=0),"0.00","mu :" &amp; ROUND($F2234/$C$2/($R2239+$T2239*$D$9),2))</f>
        <v>mu :1.23</v>
      </c>
      <c r="W2234" s="524"/>
      <c r="AG2234" s="481">
        <f ca="1">IF($E2234=0,0,ROUND($R2239*$S$2*$C$2/$A2234,2))</f>
        <v>3.56</v>
      </c>
      <c r="AH2234" s="481">
        <f ca="1">$AG2234*$A2234</f>
        <v>267</v>
      </c>
      <c r="AI2234" s="525">
        <f ca="1">$E2234-$AG2234</f>
        <v>2.3699999999999997</v>
      </c>
      <c r="AJ2234" s="525">
        <f ca="1">$A2234*$AI2234</f>
        <v>177.74999999999997</v>
      </c>
      <c r="AK2234" s="526">
        <f ca="1">ROUND(($AG2234+$AI2234)*$A2234,2)</f>
        <v>444.75</v>
      </c>
      <c r="AM2234" s="527">
        <f ca="1">ROUND(R2239,2)</f>
        <v>216.75</v>
      </c>
      <c r="AN2234" s="528">
        <f ca="1">ROUND(T2239,2)</f>
        <v>5.25</v>
      </c>
      <c r="AO2234" s="529">
        <f ca="1">ROUND(AM2234+AN2234,2)*A2234</f>
        <v>16650</v>
      </c>
      <c r="AR2234" s="747">
        <v>75</v>
      </c>
      <c r="AS2234" s="751">
        <v>444.75</v>
      </c>
    </row>
    <row r="2235" spans="1:45" s="520" customFormat="1" ht="13.2">
      <c r="A2235" s="748"/>
      <c r="B2235"/>
      <c r="C2235" s="748"/>
      <c r="D2235" s="749" t="s">
        <v>1455</v>
      </c>
      <c r="F2235" s="753"/>
      <c r="G2235" s="3"/>
      <c r="H2235" s="753"/>
      <c r="I2235" s="754"/>
      <c r="J2235" s="753"/>
      <c r="K2235" s="753" t="s">
        <v>144</v>
      </c>
      <c r="L2235" s="753"/>
      <c r="M2235" s="753"/>
      <c r="N2235" s="753"/>
      <c r="O2235" s="753"/>
      <c r="P2235" s="753"/>
      <c r="Q2235" s="51"/>
      <c r="R2235" s="530"/>
      <c r="S2235" s="757"/>
      <c r="T2235" s="753"/>
      <c r="AR2235" s="748"/>
      <c r="AS2235" s="753"/>
    </row>
    <row r="2236" spans="1:45" s="886" customFormat="1" ht="13.2">
      <c r="A2236"/>
      <c r="B2236" s="910"/>
      <c r="C2236" s="910" t="s">
        <v>2597</v>
      </c>
      <c r="D2236" s="910" t="str">
        <f ca="1">CELL("Address",Elec_Rates!D$510)</f>
        <v>[E25_0062_Quintano_Foods_Elec_ELV_As_Awarded.xlsx]Elec_Rates!$D$510</v>
      </c>
      <c r="E2236" s="911"/>
      <c r="F2236" s="911"/>
      <c r="G2236" s="912" t="s">
        <v>2598</v>
      </c>
      <c r="H2236" s="912"/>
      <c r="I2236" s="912"/>
      <c r="J2236" s="912"/>
      <c r="K2236" s="913"/>
      <c r="L2236" s="911"/>
      <c r="M2236" s="911"/>
      <c r="N2236" s="911"/>
      <c r="O2236" s="914"/>
      <c r="P2236" s="911"/>
      <c r="Q2236" s="915"/>
      <c r="R2236" s="916"/>
      <c r="S2236" s="915"/>
      <c r="T2236" s="917"/>
      <c r="U2236" s="918"/>
      <c r="AR2236"/>
      <c r="AS2236" s="911"/>
    </row>
    <row r="2237" spans="1:45" s="886" customFormat="1" ht="11.4">
      <c r="A2237" s="919">
        <v>75</v>
      </c>
      <c r="B2237" s="920">
        <v>1</v>
      </c>
      <c r="C2237" s="920">
        <f>$A2237*$B2237</f>
        <v>75</v>
      </c>
      <c r="D2237" s="921" t="str">
        <f>Elec_Rates!$D$510</f>
        <v>048# 5 x 2.5mm2 XLPE/SWA/LSZH</v>
      </c>
      <c r="E2237" s="921"/>
      <c r="F2237" s="921" t="s">
        <v>2599</v>
      </c>
      <c r="G2237" s="922" t="s">
        <v>2601</v>
      </c>
      <c r="H2237" s="922"/>
      <c r="I2237" s="922"/>
      <c r="J2237" s="922"/>
      <c r="K2237" s="923"/>
      <c r="L2237" s="918"/>
      <c r="M2237" s="918"/>
      <c r="N2237" s="918"/>
      <c r="O2237" s="924"/>
      <c r="P2237" s="921"/>
      <c r="Q2237" s="925">
        <f ca="1">$B2237*Elec_Rates!$R$510</f>
        <v>2.89</v>
      </c>
      <c r="R2237" s="916">
        <f ca="1">$A2237*Q2237</f>
        <v>216.75</v>
      </c>
      <c r="S2237" s="925">
        <f ca="1">$B2237*Elec_Rates!$T$510</f>
        <v>7.0000000000000007E-2</v>
      </c>
      <c r="T2237" s="917">
        <f ca="1">$A2237*S2237</f>
        <v>5.2500000000000009</v>
      </c>
      <c r="U2237" s="926"/>
      <c r="AR2237" s="919">
        <v>75</v>
      </c>
      <c r="AS2237" s="921" t="s">
        <v>2599</v>
      </c>
    </row>
    <row r="2238" spans="1:45" s="520" customFormat="1" ht="12">
      <c r="A2238" s="758"/>
      <c r="B2238" s="758"/>
      <c r="C2238" s="758"/>
      <c r="D2238" s="758"/>
      <c r="E2238" s="758"/>
      <c r="F2238" s="753"/>
      <c r="G2238" s="758"/>
      <c r="H2238" s="758"/>
      <c r="I2238" s="519"/>
      <c r="J2238" s="758"/>
      <c r="K2238" s="758"/>
      <c r="L2238" s="758"/>
      <c r="M2238" s="758"/>
      <c r="N2238" s="758"/>
      <c r="O2238" s="758"/>
      <c r="P2238" s="758"/>
      <c r="Q2238" s="519"/>
      <c r="R2238" s="759">
        <f>$A2238*Q2238</f>
        <v>0</v>
      </c>
      <c r="S2238" s="519"/>
      <c r="T2238" s="760">
        <f>$A2238*S2238*$T$1</f>
        <v>0</v>
      </c>
      <c r="AR2238" s="758"/>
      <c r="AS2238" s="753"/>
    </row>
    <row r="2239" spans="1:45" s="520" customFormat="1" ht="12.6" thickBot="1">
      <c r="A2239" s="761" t="s">
        <v>145</v>
      </c>
      <c r="B2239" s="762">
        <f>(R2238+T2238)</f>
        <v>0</v>
      </c>
      <c r="C2239" s="763"/>
      <c r="D2239" s="763"/>
      <c r="E2239" s="763"/>
      <c r="F2239" s="764"/>
      <c r="G2239" s="763" t="s">
        <v>146</v>
      </c>
      <c r="H2239" s="763"/>
      <c r="I2239" s="765"/>
      <c r="J2239" s="763"/>
      <c r="K2239" s="763" t="s">
        <v>3</v>
      </c>
      <c r="L2239" s="766" t="s">
        <v>143</v>
      </c>
      <c r="M2239" s="766"/>
      <c r="N2239" s="766"/>
      <c r="O2239" s="766"/>
      <c r="P2239" s="766"/>
      <c r="Q2239" s="767"/>
      <c r="R2239" s="768">
        <f ca="1">SUM(R2235:R2238)</f>
        <v>216.75</v>
      </c>
      <c r="S2239" s="763"/>
      <c r="T2239" s="768">
        <f ca="1">SUM(T2235:T2238)</f>
        <v>5.2500000000000009</v>
      </c>
      <c r="U2239" s="531"/>
      <c r="V2239" s="531"/>
      <c r="W2239" s="531"/>
      <c r="X2239" s="531"/>
      <c r="Y2239" s="531"/>
      <c r="Z2239" s="531"/>
      <c r="AA2239" s="531"/>
      <c r="AB2239" s="531"/>
      <c r="AC2239" s="531"/>
      <c r="AD2239" s="531"/>
      <c r="AE2239" s="531"/>
      <c r="AF2239" s="531"/>
      <c r="AG2239" s="531"/>
      <c r="AH2239" s="531"/>
      <c r="AI2239" s="531"/>
      <c r="AJ2239" s="531"/>
      <c r="AK2239" s="531"/>
      <c r="AL2239" s="531"/>
      <c r="AM2239" s="531"/>
      <c r="AN2239" s="531"/>
      <c r="AO2239" s="531"/>
      <c r="AR2239" s="761" t="s">
        <v>145</v>
      </c>
      <c r="AS2239" s="764"/>
    </row>
    <row r="2240" spans="1:45" s="520" customFormat="1" ht="12" thickTop="1">
      <c r="A2240" s="51"/>
      <c r="B2240" s="41"/>
      <c r="C2240" s="51"/>
      <c r="E2240" s="42" t="s">
        <v>138</v>
      </c>
      <c r="F2240" s="42" t="s">
        <v>139</v>
      </c>
      <c r="G2240" s="51"/>
      <c r="H2240" s="51"/>
      <c r="I2240" s="51"/>
      <c r="J2240" s="51"/>
      <c r="K2240" s="51" t="s">
        <v>140</v>
      </c>
      <c r="L2240" s="51"/>
      <c r="M2240" s="51"/>
      <c r="N2240" s="51"/>
      <c r="O2240" s="52"/>
      <c r="P2240" s="51"/>
      <c r="Q2240" s="51"/>
      <c r="R2240" s="51"/>
      <c r="S2240" s="51"/>
      <c r="T2240" s="41"/>
      <c r="AG2240" s="521" t="s">
        <v>268</v>
      </c>
      <c r="AH2240" s="521" t="s">
        <v>269</v>
      </c>
      <c r="AI2240" s="521" t="s">
        <v>270</v>
      </c>
      <c r="AJ2240" s="521" t="s">
        <v>271</v>
      </c>
      <c r="AK2240" s="521" t="s">
        <v>272</v>
      </c>
      <c r="AM2240" s="745" t="s">
        <v>281</v>
      </c>
      <c r="AN2240" s="746" t="s">
        <v>282</v>
      </c>
      <c r="AO2240" s="522" t="s">
        <v>278</v>
      </c>
      <c r="AR2240" s="51"/>
      <c r="AS2240" s="42" t="s">
        <v>139</v>
      </c>
    </row>
    <row r="2241" spans="1:45" s="520" customFormat="1" ht="12" customHeight="1">
      <c r="A2241" s="747">
        <v>80</v>
      </c>
      <c r="B2241" s="523" t="s">
        <v>320</v>
      </c>
      <c r="C2241" s="748"/>
      <c r="D2241" s="749" t="s">
        <v>1471</v>
      </c>
      <c r="E2241" s="750">
        <f ca="1">IF(AND($A2241=0,$A$1="DIF"),0, ROUND(ROUND(($R2246*$S$2+($T2246*$T$2))/A2241,2)*$C$2,2))</f>
        <v>5.93</v>
      </c>
      <c r="F2241" s="751">
        <f ca="1">ROUND($A2241*$E2241,2)</f>
        <v>474.4</v>
      </c>
      <c r="G2241" s="752" t="s">
        <v>142</v>
      </c>
      <c r="H2241" s="753"/>
      <c r="I2241" s="754"/>
      <c r="J2241" s="753"/>
      <c r="K2241" s="753" t="s">
        <v>3</v>
      </c>
      <c r="L2241" s="755" t="s">
        <v>143</v>
      </c>
      <c r="M2241" s="755"/>
      <c r="N2241" s="755"/>
      <c r="O2241" s="755"/>
      <c r="P2241" s="755"/>
      <c r="Q2241" s="51"/>
      <c r="T2241" s="756" t="str">
        <f ca="1">IF(AND($R2246=0,$T2246=0),"0.00","mu :" &amp; ROUND($F2241/$C$2/($R2246+$T2246*$D$9),2))</f>
        <v>mu :1.23</v>
      </c>
      <c r="W2241" s="524"/>
      <c r="AG2241" s="481">
        <f ca="1">IF($E2241=0,0,ROUND($R2246*$S$2*$C$2/$A2241,2))</f>
        <v>3.56</v>
      </c>
      <c r="AH2241" s="481">
        <f ca="1">$AG2241*$A2241</f>
        <v>284.8</v>
      </c>
      <c r="AI2241" s="525">
        <f ca="1">$E2241-$AG2241</f>
        <v>2.3699999999999997</v>
      </c>
      <c r="AJ2241" s="525">
        <f ca="1">$A2241*$AI2241</f>
        <v>189.59999999999997</v>
      </c>
      <c r="AK2241" s="526">
        <f ca="1">ROUND(($AG2241+$AI2241)*$A2241,2)</f>
        <v>474.4</v>
      </c>
      <c r="AM2241" s="527">
        <f ca="1">ROUND(R2246,2)</f>
        <v>231.2</v>
      </c>
      <c r="AN2241" s="528">
        <f ca="1">ROUND(T2246,2)</f>
        <v>5.6</v>
      </c>
      <c r="AO2241" s="529">
        <f ca="1">ROUND(AM2241+AN2241,2)*A2241</f>
        <v>18944</v>
      </c>
      <c r="AR2241" s="747">
        <v>80</v>
      </c>
      <c r="AS2241" s="751">
        <v>474.4</v>
      </c>
    </row>
    <row r="2242" spans="1:45" s="520" customFormat="1" ht="13.2">
      <c r="A2242" s="748"/>
      <c r="B2242"/>
      <c r="C2242" s="748"/>
      <c r="D2242" s="749" t="s">
        <v>1457</v>
      </c>
      <c r="F2242" s="753"/>
      <c r="G2242" s="3"/>
      <c r="H2242" s="753"/>
      <c r="I2242" s="754"/>
      <c r="J2242" s="753"/>
      <c r="K2242" s="753" t="s">
        <v>144</v>
      </c>
      <c r="L2242" s="753"/>
      <c r="M2242" s="753"/>
      <c r="N2242" s="753"/>
      <c r="O2242" s="753"/>
      <c r="P2242" s="753"/>
      <c r="Q2242" s="51"/>
      <c r="R2242" s="530"/>
      <c r="S2242" s="757"/>
      <c r="T2242" s="753"/>
      <c r="AR2242" s="748"/>
      <c r="AS2242" s="753"/>
    </row>
    <row r="2243" spans="1:45" s="886" customFormat="1" ht="13.2">
      <c r="A2243"/>
      <c r="B2243" s="910"/>
      <c r="C2243" s="910" t="s">
        <v>2597</v>
      </c>
      <c r="D2243" s="910" t="str">
        <f ca="1">CELL("Address",Elec_Rates!D$510)</f>
        <v>[E25_0062_Quintano_Foods_Elec_ELV_As_Awarded.xlsx]Elec_Rates!$D$510</v>
      </c>
      <c r="E2243" s="911"/>
      <c r="F2243" s="911"/>
      <c r="G2243" s="912" t="s">
        <v>2598</v>
      </c>
      <c r="H2243" s="912"/>
      <c r="I2243" s="912"/>
      <c r="J2243" s="912"/>
      <c r="K2243" s="913"/>
      <c r="L2243" s="911"/>
      <c r="M2243" s="911"/>
      <c r="N2243" s="911"/>
      <c r="O2243" s="914"/>
      <c r="P2243" s="911"/>
      <c r="Q2243" s="915"/>
      <c r="R2243" s="916"/>
      <c r="S2243" s="915"/>
      <c r="T2243" s="917"/>
      <c r="U2243" s="918"/>
      <c r="AR2243"/>
      <c r="AS2243" s="911"/>
    </row>
    <row r="2244" spans="1:45" s="886" customFormat="1" ht="11.4">
      <c r="A2244" s="919">
        <v>80</v>
      </c>
      <c r="B2244" s="920">
        <v>1</v>
      </c>
      <c r="C2244" s="920">
        <f>$A2244*$B2244</f>
        <v>80</v>
      </c>
      <c r="D2244" s="921" t="str">
        <f>Elec_Rates!$D$510</f>
        <v>048# 5 x 2.5mm2 XLPE/SWA/LSZH</v>
      </c>
      <c r="E2244" s="921"/>
      <c r="F2244" s="921" t="s">
        <v>2599</v>
      </c>
      <c r="G2244" s="922" t="s">
        <v>2601</v>
      </c>
      <c r="H2244" s="922"/>
      <c r="I2244" s="922"/>
      <c r="J2244" s="922"/>
      <c r="K2244" s="923"/>
      <c r="L2244" s="918"/>
      <c r="M2244" s="918"/>
      <c r="N2244" s="918"/>
      <c r="O2244" s="924"/>
      <c r="P2244" s="921"/>
      <c r="Q2244" s="925">
        <f ca="1">$B2244*Elec_Rates!$R$510</f>
        <v>2.89</v>
      </c>
      <c r="R2244" s="916">
        <f ca="1">$A2244*Q2244</f>
        <v>231.20000000000002</v>
      </c>
      <c r="S2244" s="925">
        <f ca="1">$B2244*Elec_Rates!$T$510</f>
        <v>7.0000000000000007E-2</v>
      </c>
      <c r="T2244" s="917">
        <f ca="1">$A2244*S2244</f>
        <v>5.6000000000000005</v>
      </c>
      <c r="U2244" s="926"/>
      <c r="AR2244" s="919">
        <v>80</v>
      </c>
      <c r="AS2244" s="921" t="s">
        <v>2599</v>
      </c>
    </row>
    <row r="2245" spans="1:45" s="520" customFormat="1" ht="12">
      <c r="A2245" s="758"/>
      <c r="B2245" s="758"/>
      <c r="C2245" s="758"/>
      <c r="D2245" s="758"/>
      <c r="E2245" s="758"/>
      <c r="F2245" s="753"/>
      <c r="G2245" s="758"/>
      <c r="H2245" s="758"/>
      <c r="I2245" s="519"/>
      <c r="J2245" s="758"/>
      <c r="K2245" s="758"/>
      <c r="L2245" s="758"/>
      <c r="M2245" s="758"/>
      <c r="N2245" s="758"/>
      <c r="O2245" s="758"/>
      <c r="P2245" s="758"/>
      <c r="Q2245" s="519"/>
      <c r="R2245" s="759">
        <f>$A2245*Q2245</f>
        <v>0</v>
      </c>
      <c r="S2245" s="519"/>
      <c r="T2245" s="760">
        <f>$A2245*S2245*$T$1</f>
        <v>0</v>
      </c>
      <c r="AR2245" s="758"/>
      <c r="AS2245" s="753"/>
    </row>
    <row r="2246" spans="1:45" s="520" customFormat="1" ht="12.6" thickBot="1">
      <c r="A2246" s="761" t="s">
        <v>145</v>
      </c>
      <c r="B2246" s="762">
        <f>(R2245+T2245)</f>
        <v>0</v>
      </c>
      <c r="C2246" s="763"/>
      <c r="D2246" s="763"/>
      <c r="E2246" s="763"/>
      <c r="F2246" s="764"/>
      <c r="G2246" s="763" t="s">
        <v>146</v>
      </c>
      <c r="H2246" s="763"/>
      <c r="I2246" s="765"/>
      <c r="J2246" s="763"/>
      <c r="K2246" s="763" t="s">
        <v>3</v>
      </c>
      <c r="L2246" s="766" t="s">
        <v>143</v>
      </c>
      <c r="M2246" s="766"/>
      <c r="N2246" s="766"/>
      <c r="O2246" s="766"/>
      <c r="P2246" s="766"/>
      <c r="Q2246" s="767"/>
      <c r="R2246" s="768">
        <f ca="1">SUM(R2242:R2245)</f>
        <v>231.20000000000002</v>
      </c>
      <c r="S2246" s="763"/>
      <c r="T2246" s="768">
        <f ca="1">SUM(T2242:T2245)</f>
        <v>5.6000000000000005</v>
      </c>
      <c r="U2246" s="531"/>
      <c r="V2246" s="531"/>
      <c r="W2246" s="531"/>
      <c r="X2246" s="531"/>
      <c r="Y2246" s="531"/>
      <c r="Z2246" s="531"/>
      <c r="AA2246" s="531"/>
      <c r="AB2246" s="531"/>
      <c r="AC2246" s="531"/>
      <c r="AD2246" s="531"/>
      <c r="AE2246" s="531"/>
      <c r="AF2246" s="531"/>
      <c r="AG2246" s="531"/>
      <c r="AH2246" s="531"/>
      <c r="AI2246" s="531"/>
      <c r="AJ2246" s="531"/>
      <c r="AK2246" s="531"/>
      <c r="AL2246" s="531"/>
      <c r="AM2246" s="531"/>
      <c r="AN2246" s="531"/>
      <c r="AO2246" s="531"/>
      <c r="AR2246" s="761" t="s">
        <v>145</v>
      </c>
      <c r="AS2246" s="764"/>
    </row>
    <row r="2247" spans="1:45" s="520" customFormat="1" ht="12" thickTop="1">
      <c r="A2247" s="51"/>
      <c r="B2247" s="41"/>
      <c r="C2247" s="51"/>
      <c r="E2247" s="42" t="s">
        <v>138</v>
      </c>
      <c r="F2247" s="42" t="s">
        <v>139</v>
      </c>
      <c r="G2247" s="51"/>
      <c r="H2247" s="51"/>
      <c r="I2247" s="51"/>
      <c r="J2247" s="51"/>
      <c r="K2247" s="51" t="s">
        <v>140</v>
      </c>
      <c r="L2247" s="51"/>
      <c r="M2247" s="51"/>
      <c r="N2247" s="51"/>
      <c r="O2247" s="52"/>
      <c r="P2247" s="51"/>
      <c r="Q2247" s="51"/>
      <c r="R2247" s="51"/>
      <c r="S2247" s="51"/>
      <c r="T2247" s="41"/>
      <c r="AG2247" s="521" t="s">
        <v>268</v>
      </c>
      <c r="AH2247" s="521" t="s">
        <v>269</v>
      </c>
      <c r="AI2247" s="521" t="s">
        <v>270</v>
      </c>
      <c r="AJ2247" s="521" t="s">
        <v>271</v>
      </c>
      <c r="AK2247" s="521" t="s">
        <v>272</v>
      </c>
      <c r="AM2247" s="745" t="s">
        <v>281</v>
      </c>
      <c r="AN2247" s="746" t="s">
        <v>282</v>
      </c>
      <c r="AO2247" s="522" t="s">
        <v>278</v>
      </c>
      <c r="AR2247" s="51"/>
      <c r="AS2247" s="42" t="s">
        <v>139</v>
      </c>
    </row>
    <row r="2248" spans="1:45" s="520" customFormat="1" ht="12" customHeight="1">
      <c r="A2248" s="747">
        <v>80</v>
      </c>
      <c r="B2248" s="523" t="s">
        <v>320</v>
      </c>
      <c r="C2248" s="748"/>
      <c r="D2248" s="749" t="s">
        <v>1472</v>
      </c>
      <c r="E2248" s="750">
        <f ca="1">IF(AND($A2248=0,$A$1="DIF"),0, ROUND(ROUND(($R2253*$S$2+($T2253*$T$2))/A2248,2)*$C$2,2))</f>
        <v>5.93</v>
      </c>
      <c r="F2248" s="751">
        <f ca="1">ROUND($A2248*$E2248,2)</f>
        <v>474.4</v>
      </c>
      <c r="G2248" s="752" t="s">
        <v>142</v>
      </c>
      <c r="H2248" s="753"/>
      <c r="I2248" s="754"/>
      <c r="J2248" s="753"/>
      <c r="K2248" s="753" t="s">
        <v>3</v>
      </c>
      <c r="L2248" s="755" t="s">
        <v>143</v>
      </c>
      <c r="M2248" s="755"/>
      <c r="N2248" s="755"/>
      <c r="O2248" s="755"/>
      <c r="P2248" s="755"/>
      <c r="Q2248" s="51"/>
      <c r="T2248" s="756" t="str">
        <f ca="1">IF(AND($R2253=0,$T2253=0),"0.00","mu :" &amp; ROUND($F2248/$C$2/($R2253+$T2253*$D$9),2))</f>
        <v>mu :1.23</v>
      </c>
      <c r="W2248" s="524"/>
      <c r="AG2248" s="481">
        <f ca="1">IF($E2248=0,0,ROUND($R2253*$S$2*$C$2/$A2248,2))</f>
        <v>3.56</v>
      </c>
      <c r="AH2248" s="481">
        <f ca="1">$AG2248*$A2248</f>
        <v>284.8</v>
      </c>
      <c r="AI2248" s="525">
        <f ca="1">$E2248-$AG2248</f>
        <v>2.3699999999999997</v>
      </c>
      <c r="AJ2248" s="525">
        <f ca="1">$A2248*$AI2248</f>
        <v>189.59999999999997</v>
      </c>
      <c r="AK2248" s="526">
        <f ca="1">ROUND(($AG2248+$AI2248)*$A2248,2)</f>
        <v>474.4</v>
      </c>
      <c r="AM2248" s="527">
        <f ca="1">ROUND(R2253,2)</f>
        <v>231.2</v>
      </c>
      <c r="AN2248" s="528">
        <f ca="1">ROUND(T2253,2)</f>
        <v>5.6</v>
      </c>
      <c r="AO2248" s="529">
        <f ca="1">ROUND(AM2248+AN2248,2)*A2248</f>
        <v>18944</v>
      </c>
      <c r="AR2248" s="747">
        <v>80</v>
      </c>
      <c r="AS2248" s="751">
        <v>474.4</v>
      </c>
    </row>
    <row r="2249" spans="1:45" s="520" customFormat="1" ht="13.2">
      <c r="A2249" s="748"/>
      <c r="B2249"/>
      <c r="C2249" s="748"/>
      <c r="D2249" s="749" t="s">
        <v>1459</v>
      </c>
      <c r="F2249" s="753"/>
      <c r="G2249" s="3"/>
      <c r="H2249" s="753"/>
      <c r="I2249" s="754"/>
      <c r="J2249" s="753"/>
      <c r="K2249" s="753" t="s">
        <v>144</v>
      </c>
      <c r="L2249" s="753"/>
      <c r="M2249" s="753"/>
      <c r="N2249" s="753"/>
      <c r="O2249" s="753"/>
      <c r="P2249" s="753"/>
      <c r="Q2249" s="51"/>
      <c r="R2249" s="530"/>
      <c r="S2249" s="757"/>
      <c r="T2249" s="753"/>
      <c r="AR2249" s="748"/>
      <c r="AS2249" s="753"/>
    </row>
    <row r="2250" spans="1:45" s="886" customFormat="1" ht="13.2">
      <c r="A2250"/>
      <c r="B2250" s="910"/>
      <c r="C2250" s="910" t="s">
        <v>2597</v>
      </c>
      <c r="D2250" s="910" t="str">
        <f ca="1">CELL("Address",Elec_Rates!D$510)</f>
        <v>[E25_0062_Quintano_Foods_Elec_ELV_As_Awarded.xlsx]Elec_Rates!$D$510</v>
      </c>
      <c r="E2250" s="911"/>
      <c r="F2250" s="911"/>
      <c r="G2250" s="912" t="s">
        <v>2598</v>
      </c>
      <c r="H2250" s="912"/>
      <c r="I2250" s="912"/>
      <c r="J2250" s="912"/>
      <c r="K2250" s="913"/>
      <c r="L2250" s="911"/>
      <c r="M2250" s="911"/>
      <c r="N2250" s="911"/>
      <c r="O2250" s="914"/>
      <c r="P2250" s="911"/>
      <c r="Q2250" s="915"/>
      <c r="R2250" s="916"/>
      <c r="S2250" s="915"/>
      <c r="T2250" s="917"/>
      <c r="U2250" s="918"/>
      <c r="AR2250"/>
      <c r="AS2250" s="911"/>
    </row>
    <row r="2251" spans="1:45" s="886" customFormat="1" ht="11.4">
      <c r="A2251" s="919">
        <v>80</v>
      </c>
      <c r="B2251" s="920">
        <v>1</v>
      </c>
      <c r="C2251" s="920">
        <f>$A2251*$B2251</f>
        <v>80</v>
      </c>
      <c r="D2251" s="921" t="str">
        <f>Elec_Rates!$D$510</f>
        <v>048# 5 x 2.5mm2 XLPE/SWA/LSZH</v>
      </c>
      <c r="E2251" s="921"/>
      <c r="F2251" s="921" t="s">
        <v>2599</v>
      </c>
      <c r="G2251" s="922" t="s">
        <v>2601</v>
      </c>
      <c r="H2251" s="922"/>
      <c r="I2251" s="922"/>
      <c r="J2251" s="922"/>
      <c r="K2251" s="923"/>
      <c r="L2251" s="918"/>
      <c r="M2251" s="918"/>
      <c r="N2251" s="918"/>
      <c r="O2251" s="924"/>
      <c r="P2251" s="921"/>
      <c r="Q2251" s="925">
        <f ca="1">$B2251*Elec_Rates!$R$510</f>
        <v>2.89</v>
      </c>
      <c r="R2251" s="916">
        <f ca="1">$A2251*Q2251</f>
        <v>231.20000000000002</v>
      </c>
      <c r="S2251" s="925">
        <f ca="1">$B2251*Elec_Rates!$T$510</f>
        <v>7.0000000000000007E-2</v>
      </c>
      <c r="T2251" s="917">
        <f ca="1">$A2251*S2251</f>
        <v>5.6000000000000005</v>
      </c>
      <c r="U2251" s="926"/>
      <c r="AR2251" s="919">
        <v>80</v>
      </c>
      <c r="AS2251" s="921" t="s">
        <v>2599</v>
      </c>
    </row>
    <row r="2252" spans="1:45" s="520" customFormat="1" ht="12">
      <c r="A2252" s="758"/>
      <c r="B2252" s="758"/>
      <c r="C2252" s="758"/>
      <c r="D2252" s="758"/>
      <c r="E2252" s="758"/>
      <c r="F2252" s="753"/>
      <c r="G2252" s="758"/>
      <c r="H2252" s="758"/>
      <c r="I2252" s="519"/>
      <c r="J2252" s="758"/>
      <c r="K2252" s="758"/>
      <c r="L2252" s="758"/>
      <c r="M2252" s="758"/>
      <c r="N2252" s="758"/>
      <c r="O2252" s="758"/>
      <c r="P2252" s="758"/>
      <c r="Q2252" s="519"/>
      <c r="R2252" s="759">
        <f>$A2252*Q2252</f>
        <v>0</v>
      </c>
      <c r="S2252" s="519"/>
      <c r="T2252" s="760">
        <f>$A2252*S2252*$T$1</f>
        <v>0</v>
      </c>
      <c r="AR2252" s="758"/>
      <c r="AS2252" s="753"/>
    </row>
    <row r="2253" spans="1:45" s="520" customFormat="1" ht="12.6" thickBot="1">
      <c r="A2253" s="761" t="s">
        <v>145</v>
      </c>
      <c r="B2253" s="762">
        <f>(R2252+T2252)</f>
        <v>0</v>
      </c>
      <c r="C2253" s="763"/>
      <c r="D2253" s="763"/>
      <c r="E2253" s="763"/>
      <c r="F2253" s="764"/>
      <c r="G2253" s="763" t="s">
        <v>146</v>
      </c>
      <c r="H2253" s="763"/>
      <c r="I2253" s="765"/>
      <c r="J2253" s="763"/>
      <c r="K2253" s="763" t="s">
        <v>3</v>
      </c>
      <c r="L2253" s="766" t="s">
        <v>143</v>
      </c>
      <c r="M2253" s="766"/>
      <c r="N2253" s="766"/>
      <c r="O2253" s="766"/>
      <c r="P2253" s="766"/>
      <c r="Q2253" s="767"/>
      <c r="R2253" s="768">
        <f ca="1">SUM(R2249:R2252)</f>
        <v>231.20000000000002</v>
      </c>
      <c r="S2253" s="763"/>
      <c r="T2253" s="768">
        <f ca="1">SUM(T2249:T2252)</f>
        <v>5.6000000000000005</v>
      </c>
      <c r="U2253" s="531"/>
      <c r="V2253" s="531"/>
      <c r="W2253" s="531"/>
      <c r="X2253" s="531"/>
      <c r="Y2253" s="531"/>
      <c r="Z2253" s="531"/>
      <c r="AA2253" s="531"/>
      <c r="AB2253" s="531"/>
      <c r="AC2253" s="531"/>
      <c r="AD2253" s="531"/>
      <c r="AE2253" s="531"/>
      <c r="AF2253" s="531"/>
      <c r="AG2253" s="531"/>
      <c r="AH2253" s="531"/>
      <c r="AI2253" s="531"/>
      <c r="AJ2253" s="531"/>
      <c r="AK2253" s="531"/>
      <c r="AL2253" s="531"/>
      <c r="AM2253" s="531"/>
      <c r="AN2253" s="531"/>
      <c r="AO2253" s="531"/>
      <c r="AR2253" s="761" t="s">
        <v>145</v>
      </c>
      <c r="AS2253" s="764"/>
    </row>
    <row r="2254" spans="1:45" s="520" customFormat="1" ht="12" thickTop="1">
      <c r="A2254" s="51"/>
      <c r="B2254" s="41"/>
      <c r="C2254" s="51"/>
      <c r="E2254" s="42" t="s">
        <v>138</v>
      </c>
      <c r="F2254" s="42" t="s">
        <v>139</v>
      </c>
      <c r="G2254" s="51"/>
      <c r="H2254" s="51"/>
      <c r="I2254" s="51"/>
      <c r="J2254" s="51"/>
      <c r="K2254" s="51" t="s">
        <v>140</v>
      </c>
      <c r="L2254" s="51"/>
      <c r="M2254" s="51"/>
      <c r="N2254" s="51"/>
      <c r="O2254" s="52"/>
      <c r="P2254" s="51"/>
      <c r="Q2254" s="51"/>
      <c r="R2254" s="51"/>
      <c r="S2254" s="51"/>
      <c r="T2254" s="41"/>
      <c r="AG2254" s="521" t="s">
        <v>268</v>
      </c>
      <c r="AH2254" s="521" t="s">
        <v>269</v>
      </c>
      <c r="AI2254" s="521" t="s">
        <v>270</v>
      </c>
      <c r="AJ2254" s="521" t="s">
        <v>271</v>
      </c>
      <c r="AK2254" s="521" t="s">
        <v>272</v>
      </c>
      <c r="AM2254" s="745" t="s">
        <v>281</v>
      </c>
      <c r="AN2254" s="746" t="s">
        <v>282</v>
      </c>
      <c r="AO2254" s="522" t="s">
        <v>278</v>
      </c>
      <c r="AR2254" s="51"/>
      <c r="AS2254" s="42" t="s">
        <v>139</v>
      </c>
    </row>
    <row r="2255" spans="1:45" s="520" customFormat="1" ht="12" customHeight="1">
      <c r="A2255" s="747">
        <v>85</v>
      </c>
      <c r="B2255" s="523" t="s">
        <v>320</v>
      </c>
      <c r="C2255" s="748"/>
      <c r="D2255" s="749" t="s">
        <v>1473</v>
      </c>
      <c r="E2255" s="750">
        <f ca="1">IF(AND($A2255=0,$A$1="DIF"),0, ROUND(ROUND(($R2260*$S$2+($T2260*$T$2))/A2255,2)*$C$2,2))</f>
        <v>5.93</v>
      </c>
      <c r="F2255" s="751">
        <f ca="1">ROUND($A2255*$E2255,2)</f>
        <v>504.05</v>
      </c>
      <c r="G2255" s="752" t="s">
        <v>142</v>
      </c>
      <c r="H2255" s="753"/>
      <c r="I2255" s="754"/>
      <c r="J2255" s="753"/>
      <c r="K2255" s="753" t="s">
        <v>3</v>
      </c>
      <c r="L2255" s="755" t="s">
        <v>143</v>
      </c>
      <c r="M2255" s="755"/>
      <c r="N2255" s="755"/>
      <c r="O2255" s="755"/>
      <c r="P2255" s="755"/>
      <c r="Q2255" s="51"/>
      <c r="T2255" s="756" t="str">
        <f ca="1">IF(AND($R2260=0,$T2260=0),"0.00","mu :" &amp; ROUND($F2255/$C$2/($R2260+$T2260*$D$9),2))</f>
        <v>mu :1.23</v>
      </c>
      <c r="W2255" s="524"/>
      <c r="AG2255" s="481">
        <f ca="1">IF($E2255=0,0,ROUND($R2260*$S$2*$C$2/$A2255,2))</f>
        <v>3.56</v>
      </c>
      <c r="AH2255" s="481">
        <f ca="1">$AG2255*$A2255</f>
        <v>302.60000000000002</v>
      </c>
      <c r="AI2255" s="525">
        <f ca="1">$E2255-$AG2255</f>
        <v>2.3699999999999997</v>
      </c>
      <c r="AJ2255" s="525">
        <f ca="1">$A2255*$AI2255</f>
        <v>201.44999999999996</v>
      </c>
      <c r="AK2255" s="526">
        <f ca="1">ROUND(($AG2255+$AI2255)*$A2255,2)</f>
        <v>504.05</v>
      </c>
      <c r="AM2255" s="527">
        <f ca="1">ROUND(R2260,2)</f>
        <v>245.65</v>
      </c>
      <c r="AN2255" s="528">
        <f ca="1">ROUND(T2260,2)</f>
        <v>5.95</v>
      </c>
      <c r="AO2255" s="529">
        <f ca="1">ROUND(AM2255+AN2255,2)*A2255</f>
        <v>21386</v>
      </c>
      <c r="AR2255" s="747">
        <v>85</v>
      </c>
      <c r="AS2255" s="751">
        <v>504.05</v>
      </c>
    </row>
    <row r="2256" spans="1:45" s="520" customFormat="1" ht="13.2">
      <c r="A2256" s="748"/>
      <c r="B2256"/>
      <c r="C2256" s="748"/>
      <c r="D2256" s="749" t="s">
        <v>1461</v>
      </c>
      <c r="F2256" s="753"/>
      <c r="G2256" s="3"/>
      <c r="H2256" s="753"/>
      <c r="I2256" s="754"/>
      <c r="J2256" s="753"/>
      <c r="K2256" s="753" t="s">
        <v>144</v>
      </c>
      <c r="L2256" s="753"/>
      <c r="M2256" s="753"/>
      <c r="N2256" s="753"/>
      <c r="O2256" s="753"/>
      <c r="P2256" s="753"/>
      <c r="Q2256" s="51"/>
      <c r="R2256" s="530"/>
      <c r="S2256" s="757"/>
      <c r="T2256" s="753"/>
      <c r="AR2256" s="748"/>
      <c r="AS2256" s="753"/>
    </row>
    <row r="2257" spans="1:45" s="886" customFormat="1" ht="13.2">
      <c r="A2257"/>
      <c r="B2257" s="910"/>
      <c r="C2257" s="910" t="s">
        <v>2597</v>
      </c>
      <c r="D2257" s="910" t="str">
        <f ca="1">CELL("Address",Elec_Rates!D$510)</f>
        <v>[E25_0062_Quintano_Foods_Elec_ELV_As_Awarded.xlsx]Elec_Rates!$D$510</v>
      </c>
      <c r="E2257" s="911"/>
      <c r="F2257" s="911"/>
      <c r="G2257" s="912" t="s">
        <v>2598</v>
      </c>
      <c r="H2257" s="912"/>
      <c r="I2257" s="912"/>
      <c r="J2257" s="912"/>
      <c r="K2257" s="913"/>
      <c r="L2257" s="911"/>
      <c r="M2257" s="911"/>
      <c r="N2257" s="911"/>
      <c r="O2257" s="914"/>
      <c r="P2257" s="911"/>
      <c r="Q2257" s="915"/>
      <c r="R2257" s="916"/>
      <c r="S2257" s="915"/>
      <c r="T2257" s="917"/>
      <c r="U2257" s="918"/>
      <c r="AR2257"/>
      <c r="AS2257" s="911"/>
    </row>
    <row r="2258" spans="1:45" s="886" customFormat="1" ht="11.4">
      <c r="A2258" s="919">
        <v>85</v>
      </c>
      <c r="B2258" s="920">
        <v>1</v>
      </c>
      <c r="C2258" s="920">
        <f>$A2258*$B2258</f>
        <v>85</v>
      </c>
      <c r="D2258" s="921" t="str">
        <f>Elec_Rates!$D$510</f>
        <v>048# 5 x 2.5mm2 XLPE/SWA/LSZH</v>
      </c>
      <c r="E2258" s="921"/>
      <c r="F2258" s="921" t="s">
        <v>2599</v>
      </c>
      <c r="G2258" s="922" t="s">
        <v>2601</v>
      </c>
      <c r="H2258" s="922"/>
      <c r="I2258" s="922"/>
      <c r="J2258" s="922"/>
      <c r="K2258" s="923"/>
      <c r="L2258" s="918"/>
      <c r="M2258" s="918"/>
      <c r="N2258" s="918"/>
      <c r="O2258" s="924"/>
      <c r="P2258" s="921"/>
      <c r="Q2258" s="925">
        <f ca="1">$B2258*Elec_Rates!$R$510</f>
        <v>2.89</v>
      </c>
      <c r="R2258" s="916">
        <f ca="1">$A2258*Q2258</f>
        <v>245.65</v>
      </c>
      <c r="S2258" s="925">
        <f ca="1">$B2258*Elec_Rates!$T$510</f>
        <v>7.0000000000000007E-2</v>
      </c>
      <c r="T2258" s="917">
        <f ca="1">$A2258*S2258</f>
        <v>5.95</v>
      </c>
      <c r="U2258" s="926"/>
      <c r="AR2258" s="919">
        <v>85</v>
      </c>
      <c r="AS2258" s="921" t="s">
        <v>2599</v>
      </c>
    </row>
    <row r="2259" spans="1:45" s="520" customFormat="1" ht="12">
      <c r="A2259" s="758"/>
      <c r="B2259" s="758"/>
      <c r="C2259" s="758"/>
      <c r="D2259" s="758"/>
      <c r="E2259" s="758"/>
      <c r="F2259" s="753"/>
      <c r="G2259" s="758"/>
      <c r="H2259" s="758"/>
      <c r="I2259" s="519"/>
      <c r="J2259" s="758"/>
      <c r="K2259" s="758"/>
      <c r="L2259" s="758"/>
      <c r="M2259" s="758"/>
      <c r="N2259" s="758"/>
      <c r="O2259" s="758"/>
      <c r="P2259" s="758"/>
      <c r="Q2259" s="519"/>
      <c r="R2259" s="759">
        <f>$A2259*Q2259</f>
        <v>0</v>
      </c>
      <c r="S2259" s="519"/>
      <c r="T2259" s="760">
        <f>$A2259*S2259*$T$1</f>
        <v>0</v>
      </c>
      <c r="AR2259" s="758"/>
      <c r="AS2259" s="753"/>
    </row>
    <row r="2260" spans="1:45" s="520" customFormat="1" ht="12.6" thickBot="1">
      <c r="A2260" s="761" t="s">
        <v>145</v>
      </c>
      <c r="B2260" s="762">
        <f>(R2259+T2259)</f>
        <v>0</v>
      </c>
      <c r="C2260" s="763"/>
      <c r="D2260" s="763"/>
      <c r="E2260" s="763"/>
      <c r="F2260" s="764"/>
      <c r="G2260" s="763" t="s">
        <v>146</v>
      </c>
      <c r="H2260" s="763"/>
      <c r="I2260" s="765"/>
      <c r="J2260" s="763"/>
      <c r="K2260" s="763" t="s">
        <v>3</v>
      </c>
      <c r="L2260" s="766" t="s">
        <v>143</v>
      </c>
      <c r="M2260" s="766"/>
      <c r="N2260" s="766"/>
      <c r="O2260" s="766"/>
      <c r="P2260" s="766"/>
      <c r="Q2260" s="767"/>
      <c r="R2260" s="768">
        <f ca="1">SUM(R2256:R2259)</f>
        <v>245.65</v>
      </c>
      <c r="S2260" s="763"/>
      <c r="T2260" s="768">
        <f ca="1">SUM(T2256:T2259)</f>
        <v>5.95</v>
      </c>
      <c r="U2260" s="531"/>
      <c r="V2260" s="531"/>
      <c r="W2260" s="531"/>
      <c r="X2260" s="531"/>
      <c r="Y2260" s="531"/>
      <c r="Z2260" s="531"/>
      <c r="AA2260" s="531"/>
      <c r="AB2260" s="531"/>
      <c r="AC2260" s="531"/>
      <c r="AD2260" s="531"/>
      <c r="AE2260" s="531"/>
      <c r="AF2260" s="531"/>
      <c r="AG2260" s="531"/>
      <c r="AH2260" s="531"/>
      <c r="AI2260" s="531"/>
      <c r="AJ2260" s="531"/>
      <c r="AK2260" s="531"/>
      <c r="AL2260" s="531"/>
      <c r="AM2260" s="531"/>
      <c r="AN2260" s="531"/>
      <c r="AO2260" s="531"/>
      <c r="AR2260" s="761" t="s">
        <v>145</v>
      </c>
      <c r="AS2260" s="764"/>
    </row>
    <row r="2261" spans="1:45" s="520" customFormat="1" ht="12" thickTop="1">
      <c r="A2261" s="51"/>
      <c r="B2261" s="41"/>
      <c r="C2261" s="51"/>
      <c r="E2261" s="42" t="s">
        <v>138</v>
      </c>
      <c r="F2261" s="42" t="s">
        <v>139</v>
      </c>
      <c r="G2261" s="51"/>
      <c r="H2261" s="51"/>
      <c r="I2261" s="51"/>
      <c r="J2261" s="51"/>
      <c r="K2261" s="51" t="s">
        <v>140</v>
      </c>
      <c r="L2261" s="51"/>
      <c r="M2261" s="51"/>
      <c r="N2261" s="51"/>
      <c r="O2261" s="52"/>
      <c r="P2261" s="51"/>
      <c r="Q2261" s="51"/>
      <c r="R2261" s="51"/>
      <c r="S2261" s="51"/>
      <c r="T2261" s="41"/>
      <c r="AG2261" s="521" t="s">
        <v>268</v>
      </c>
      <c r="AH2261" s="521" t="s">
        <v>269</v>
      </c>
      <c r="AI2261" s="521" t="s">
        <v>270</v>
      </c>
      <c r="AJ2261" s="521" t="s">
        <v>271</v>
      </c>
      <c r="AK2261" s="521" t="s">
        <v>272</v>
      </c>
      <c r="AM2261" s="745" t="s">
        <v>281</v>
      </c>
      <c r="AN2261" s="746" t="s">
        <v>282</v>
      </c>
      <c r="AO2261" s="522" t="s">
        <v>278</v>
      </c>
      <c r="AR2261" s="51"/>
      <c r="AS2261" s="42" t="s">
        <v>139</v>
      </c>
    </row>
    <row r="2262" spans="1:45" s="520" customFormat="1" ht="12" customHeight="1">
      <c r="A2262" s="747">
        <v>45</v>
      </c>
      <c r="B2262" s="523" t="s">
        <v>320</v>
      </c>
      <c r="C2262" s="748"/>
      <c r="D2262" s="749" t="s">
        <v>1474</v>
      </c>
      <c r="E2262" s="750">
        <f ca="1">IF(AND($A2262=0,$A$1="DIF"),0, ROUND(ROUND(($R2267*$S$2+($T2267*$T$2))/A2262,2)*$C$2,2))</f>
        <v>9.9499999999999993</v>
      </c>
      <c r="F2262" s="751">
        <f ca="1">ROUND($A2262*$E2262,2)</f>
        <v>447.75</v>
      </c>
      <c r="G2262" s="752" t="s">
        <v>142</v>
      </c>
      <c r="H2262" s="753"/>
      <c r="I2262" s="754"/>
      <c r="J2262" s="753"/>
      <c r="K2262" s="753" t="s">
        <v>3</v>
      </c>
      <c r="L2262" s="755" t="s">
        <v>143</v>
      </c>
      <c r="M2262" s="755"/>
      <c r="N2262" s="755"/>
      <c r="O2262" s="755"/>
      <c r="P2262" s="755"/>
      <c r="Q2262" s="51"/>
      <c r="T2262" s="756" t="str">
        <f ca="1">IF(AND($R2267=0,$T2267=0),"0.00","mu :" &amp; ROUND($F2262/$C$2/($R2267+$T2267*$D$9),2))</f>
        <v>mu :1.23</v>
      </c>
      <c r="W2262" s="524"/>
      <c r="AG2262" s="481">
        <f ca="1">IF($E2262=0,0,ROUND($R2267*$S$2*$C$2/$A2262,2))</f>
        <v>6.91</v>
      </c>
      <c r="AH2262" s="481">
        <f ca="1">$AG2262*$A2262</f>
        <v>310.95</v>
      </c>
      <c r="AI2262" s="525">
        <f ca="1">$E2262-$AG2262</f>
        <v>3.0399999999999991</v>
      </c>
      <c r="AJ2262" s="525">
        <f ca="1">$A2262*$AI2262</f>
        <v>136.79999999999995</v>
      </c>
      <c r="AK2262" s="526">
        <f ca="1">ROUND(($AG2262+$AI2262)*$A2262,2)</f>
        <v>447.75</v>
      </c>
      <c r="AM2262" s="527">
        <f ca="1">ROUND(R2267,2)</f>
        <v>252.45</v>
      </c>
      <c r="AN2262" s="528">
        <f ca="1">ROUND(T2267,2)</f>
        <v>4.05</v>
      </c>
      <c r="AO2262" s="529">
        <f ca="1">ROUND(AM2262+AN2262,2)*A2262</f>
        <v>11542.5</v>
      </c>
      <c r="AR2262" s="747">
        <v>45</v>
      </c>
      <c r="AS2262" s="751">
        <v>463.05</v>
      </c>
    </row>
    <row r="2263" spans="1:45" s="520" customFormat="1" ht="13.2">
      <c r="A2263" s="748"/>
      <c r="B2263"/>
      <c r="C2263" s="748"/>
      <c r="D2263" s="749" t="s">
        <v>1463</v>
      </c>
      <c r="F2263" s="753"/>
      <c r="G2263" s="3"/>
      <c r="H2263" s="753"/>
      <c r="I2263" s="754"/>
      <c r="J2263" s="753"/>
      <c r="K2263" s="753" t="s">
        <v>144</v>
      </c>
      <c r="L2263" s="753"/>
      <c r="M2263" s="753"/>
      <c r="N2263" s="753"/>
      <c r="O2263" s="753"/>
      <c r="P2263" s="753"/>
      <c r="Q2263" s="51"/>
      <c r="R2263" s="530"/>
      <c r="S2263" s="757"/>
      <c r="T2263" s="753"/>
      <c r="AR2263" s="748"/>
      <c r="AS2263" s="753"/>
    </row>
    <row r="2264" spans="1:45" s="886" customFormat="1" ht="13.2">
      <c r="A2264"/>
      <c r="B2264" s="910"/>
      <c r="C2264" s="910" t="s">
        <v>2597</v>
      </c>
      <c r="D2264" s="910" t="str">
        <f ca="1">CELL("Address",Elec_Rates!D$437)</f>
        <v>[E25_0062_Quintano_Foods_Elec_ELV_As_Awarded.xlsx]Elec_Rates!$D$437</v>
      </c>
      <c r="E2264" s="911"/>
      <c r="F2264" s="911"/>
      <c r="G2264" s="912" t="s">
        <v>2598</v>
      </c>
      <c r="H2264" s="912"/>
      <c r="I2264" s="912"/>
      <c r="J2264" s="912"/>
      <c r="K2264" s="913"/>
      <c r="L2264" s="911"/>
      <c r="M2264" s="911"/>
      <c r="N2264" s="911"/>
      <c r="O2264" s="914"/>
      <c r="P2264" s="911"/>
      <c r="Q2264" s="915"/>
      <c r="R2264" s="916"/>
      <c r="S2264" s="915"/>
      <c r="T2264" s="917"/>
      <c r="U2264" s="918"/>
      <c r="AR2264"/>
      <c r="AS2264" s="911"/>
    </row>
    <row r="2265" spans="1:45" s="886" customFormat="1" ht="11.4">
      <c r="A2265" s="919">
        <v>45</v>
      </c>
      <c r="B2265" s="920">
        <v>1</v>
      </c>
      <c r="C2265" s="920">
        <f>$A2265*$B2265</f>
        <v>45</v>
      </c>
      <c r="D2265" s="921" t="str">
        <f>Elec_Rates!$D$437</f>
        <v>042# 5 x 6mm2 XLPE/SWA/LSZH</v>
      </c>
      <c r="E2265" s="921"/>
      <c r="F2265" s="921" t="s">
        <v>2599</v>
      </c>
      <c r="G2265" s="922" t="s">
        <v>2601</v>
      </c>
      <c r="H2265" s="922"/>
      <c r="I2265" s="922"/>
      <c r="J2265" s="922"/>
      <c r="K2265" s="923"/>
      <c r="L2265" s="918"/>
      <c r="M2265" s="918"/>
      <c r="N2265" s="918"/>
      <c r="O2265" s="924"/>
      <c r="P2265" s="921"/>
      <c r="Q2265" s="925">
        <f ca="1">$B2265*Elec_Rates!$R$437</f>
        <v>5.61</v>
      </c>
      <c r="R2265" s="916">
        <f ca="1">$A2265*Q2265</f>
        <v>252.45000000000002</v>
      </c>
      <c r="S2265" s="925">
        <f ca="1">$B2265*Elec_Rates!$T$437</f>
        <v>0.09</v>
      </c>
      <c r="T2265" s="917">
        <f ca="1">$A2265*S2265</f>
        <v>4.05</v>
      </c>
      <c r="U2265" s="926"/>
      <c r="AR2265" s="919">
        <v>45</v>
      </c>
      <c r="AS2265" s="921" t="s">
        <v>2599</v>
      </c>
    </row>
    <row r="2266" spans="1:45" s="520" customFormat="1" ht="12">
      <c r="A2266" s="758"/>
      <c r="B2266" s="758"/>
      <c r="C2266" s="758"/>
      <c r="D2266" s="758"/>
      <c r="E2266" s="758"/>
      <c r="F2266" s="753"/>
      <c r="G2266" s="758"/>
      <c r="H2266" s="758"/>
      <c r="I2266" s="519"/>
      <c r="J2266" s="758"/>
      <c r="K2266" s="758"/>
      <c r="L2266" s="758"/>
      <c r="M2266" s="758"/>
      <c r="N2266" s="758"/>
      <c r="O2266" s="758"/>
      <c r="P2266" s="758"/>
      <c r="Q2266" s="519"/>
      <c r="R2266" s="759">
        <f>$A2266*Q2266</f>
        <v>0</v>
      </c>
      <c r="S2266" s="519"/>
      <c r="T2266" s="760">
        <f>$A2266*S2266*$T$1</f>
        <v>0</v>
      </c>
      <c r="AR2266" s="758"/>
      <c r="AS2266" s="753"/>
    </row>
    <row r="2267" spans="1:45" s="520" customFormat="1" ht="12.6" thickBot="1">
      <c r="A2267" s="761" t="s">
        <v>145</v>
      </c>
      <c r="B2267" s="762">
        <f>(R2266+T2266)</f>
        <v>0</v>
      </c>
      <c r="C2267" s="763"/>
      <c r="D2267" s="763"/>
      <c r="E2267" s="763"/>
      <c r="F2267" s="764"/>
      <c r="G2267" s="763" t="s">
        <v>146</v>
      </c>
      <c r="H2267" s="763"/>
      <c r="I2267" s="765"/>
      <c r="J2267" s="763"/>
      <c r="K2267" s="763" t="s">
        <v>3</v>
      </c>
      <c r="L2267" s="766" t="s">
        <v>143</v>
      </c>
      <c r="M2267" s="766"/>
      <c r="N2267" s="766"/>
      <c r="O2267" s="766"/>
      <c r="P2267" s="766"/>
      <c r="Q2267" s="767"/>
      <c r="R2267" s="768">
        <f ca="1">SUM(R2263:R2266)</f>
        <v>252.45000000000002</v>
      </c>
      <c r="S2267" s="763"/>
      <c r="T2267" s="768">
        <f ca="1">SUM(T2263:T2266)</f>
        <v>4.05</v>
      </c>
      <c r="U2267" s="531"/>
      <c r="V2267" s="531"/>
      <c r="W2267" s="531"/>
      <c r="X2267" s="531"/>
      <c r="Y2267" s="531"/>
      <c r="Z2267" s="531"/>
      <c r="AA2267" s="531"/>
      <c r="AB2267" s="531"/>
      <c r="AC2267" s="531"/>
      <c r="AD2267" s="531"/>
      <c r="AE2267" s="531"/>
      <c r="AF2267" s="531"/>
      <c r="AG2267" s="531"/>
      <c r="AH2267" s="531"/>
      <c r="AI2267" s="531"/>
      <c r="AJ2267" s="531"/>
      <c r="AK2267" s="531"/>
      <c r="AL2267" s="531"/>
      <c r="AM2267" s="531"/>
      <c r="AN2267" s="531"/>
      <c r="AO2267" s="531"/>
      <c r="AR2267" s="761" t="s">
        <v>145</v>
      </c>
      <c r="AS2267" s="764"/>
    </row>
    <row r="2268" spans="1:45" s="520" customFormat="1" thickTop="1">
      <c r="A2268" s="51"/>
      <c r="B2268" s="51"/>
      <c r="C2268" s="3"/>
      <c r="D2268" s="3"/>
      <c r="E2268" s="51"/>
      <c r="F2268" s="51"/>
      <c r="G2268" s="51"/>
      <c r="H2268" s="51"/>
      <c r="I2268" s="51"/>
      <c r="J2268" s="51"/>
      <c r="K2268" s="51" t="s">
        <v>134</v>
      </c>
      <c r="L2268" s="51"/>
      <c r="M2268" s="51"/>
      <c r="N2268" s="51"/>
      <c r="O2268" s="52"/>
      <c r="P2268" s="51"/>
      <c r="Q2268" s="51"/>
      <c r="R2268" s="51"/>
      <c r="S2268" s="51"/>
      <c r="T2268" s="51"/>
      <c r="AR2268" s="51"/>
      <c r="AS2268" s="51"/>
    </row>
    <row r="2269" spans="1:45" s="520" customFormat="1" ht="12">
      <c r="A2269" s="51"/>
      <c r="B2269" s="51"/>
      <c r="C2269" s="51" t="s">
        <v>135</v>
      </c>
      <c r="D2269" s="37"/>
      <c r="E2269" s="51"/>
      <c r="F2269" s="51"/>
      <c r="G2269" s="51"/>
      <c r="H2269" s="51"/>
      <c r="I2269" s="51"/>
      <c r="J2269" s="51"/>
      <c r="K2269" s="51"/>
      <c r="L2269" s="51"/>
      <c r="M2269" s="51"/>
      <c r="N2269" s="51"/>
      <c r="O2269" s="52"/>
      <c r="P2269" s="51"/>
      <c r="Q2269" s="51"/>
      <c r="R2269" s="51"/>
      <c r="S2269" s="51"/>
      <c r="T2269" s="51"/>
      <c r="AR2269" s="51"/>
      <c r="AS2269" s="51"/>
    </row>
    <row r="2270" spans="1:45" s="520" customFormat="1" ht="12">
      <c r="A2270" s="51"/>
      <c r="B2270" s="51"/>
      <c r="C2270" s="51"/>
      <c r="D2270" s="37" t="s">
        <v>463</v>
      </c>
      <c r="E2270" s="51"/>
      <c r="F2270" s="51"/>
      <c r="G2270" s="51"/>
      <c r="H2270" s="51"/>
      <c r="I2270" s="51"/>
      <c r="J2270" s="51"/>
      <c r="K2270" s="51"/>
      <c r="L2270" s="51"/>
      <c r="M2270" s="51"/>
      <c r="N2270" s="51"/>
      <c r="O2270" s="52"/>
      <c r="P2270" s="51"/>
      <c r="Q2270" s="51"/>
      <c r="R2270" s="51"/>
      <c r="S2270" s="38"/>
      <c r="T2270" s="38"/>
      <c r="AR2270" s="51"/>
      <c r="AS2270" s="51"/>
    </row>
    <row r="2271" spans="1:45" s="3" customFormat="1" thickBot="1">
      <c r="A2271" s="531"/>
      <c r="O2271" s="107"/>
      <c r="AR2271" s="531"/>
    </row>
    <row r="2272" spans="1:45" s="520" customFormat="1" ht="12" thickTop="1">
      <c r="A2272" s="51"/>
      <c r="B2272" s="41"/>
      <c r="C2272" s="51"/>
      <c r="E2272" s="42" t="s">
        <v>138</v>
      </c>
      <c r="F2272" s="42" t="s">
        <v>139</v>
      </c>
      <c r="G2272" s="51"/>
      <c r="H2272" s="51"/>
      <c r="I2272" s="51"/>
      <c r="J2272" s="51"/>
      <c r="K2272" s="51" t="s">
        <v>140</v>
      </c>
      <c r="L2272" s="51"/>
      <c r="M2272" s="51"/>
      <c r="N2272" s="51"/>
      <c r="O2272" s="52"/>
      <c r="P2272" s="51"/>
      <c r="Q2272" s="51"/>
      <c r="R2272" s="51"/>
      <c r="S2272" s="51"/>
      <c r="T2272" s="41"/>
      <c r="AG2272" s="521" t="s">
        <v>268</v>
      </c>
      <c r="AH2272" s="521" t="s">
        <v>269</v>
      </c>
      <c r="AI2272" s="521" t="s">
        <v>270</v>
      </c>
      <c r="AJ2272" s="521" t="s">
        <v>271</v>
      </c>
      <c r="AK2272" s="521" t="s">
        <v>272</v>
      </c>
      <c r="AM2272" s="745" t="s">
        <v>281</v>
      </c>
      <c r="AN2272" s="746" t="s">
        <v>282</v>
      </c>
      <c r="AO2272" s="522" t="s">
        <v>278</v>
      </c>
      <c r="AR2272" s="51"/>
      <c r="AS2272" s="42" t="s">
        <v>139</v>
      </c>
    </row>
    <row r="2273" spans="1:45" s="520" customFormat="1" ht="12" customHeight="1">
      <c r="A2273" s="747">
        <v>6</v>
      </c>
      <c r="B2273" s="523" t="s">
        <v>141</v>
      </c>
      <c r="C2273" s="748"/>
      <c r="D2273" s="749" t="s">
        <v>1475</v>
      </c>
      <c r="E2273" s="750">
        <f ca="1">IF(AND($A2273=0,$A$1="DIF"),0, ROUND(ROUND(($R2278*$S$2+($T2278*$T$2))/A2273,2)*$C$2,2))</f>
        <v>54.11</v>
      </c>
      <c r="F2273" s="751">
        <f ca="1">ROUND($A2273*$E2273,2)</f>
        <v>324.66000000000003</v>
      </c>
      <c r="G2273" s="752" t="s">
        <v>142</v>
      </c>
      <c r="H2273" s="753"/>
      <c r="I2273" s="754"/>
      <c r="J2273" s="753"/>
      <c r="K2273" s="753" t="s">
        <v>3</v>
      </c>
      <c r="L2273" s="755" t="s">
        <v>143</v>
      </c>
      <c r="M2273" s="755"/>
      <c r="N2273" s="755"/>
      <c r="O2273" s="755"/>
      <c r="P2273" s="755"/>
      <c r="Q2273" s="51"/>
      <c r="T2273" s="756" t="str">
        <f ca="1">IF(AND($R2278=0,$T2278=0),"0.00","mu :" &amp; ROUND($F2273/$C$2/($R2278+$T2278*$D$9),2))</f>
        <v>mu :1.23</v>
      </c>
      <c r="W2273" s="524"/>
      <c r="AG2273" s="481">
        <f ca="1">IF($E2273=0,0,ROUND($R2278*$S$2*$C$2/$A2273,2))</f>
        <v>43.29</v>
      </c>
      <c r="AH2273" s="481">
        <f ca="1">$AG2273*$A2273</f>
        <v>259.74</v>
      </c>
      <c r="AI2273" s="525">
        <f ca="1">$E2273-$AG2273</f>
        <v>10.82</v>
      </c>
      <c r="AJ2273" s="525">
        <f ca="1">$A2273*$AI2273</f>
        <v>64.92</v>
      </c>
      <c r="AK2273" s="526">
        <f ca="1">ROUND(($AG2273+$AI2273)*$A2273,2)</f>
        <v>324.66000000000003</v>
      </c>
      <c r="AM2273" s="527">
        <f ca="1">ROUND(R2278,2)</f>
        <v>210.96</v>
      </c>
      <c r="AN2273" s="528">
        <f ca="1">ROUND(T2278,2)</f>
        <v>1.92</v>
      </c>
      <c r="AO2273" s="529">
        <f ca="1">ROUND(AM2273+AN2273,2)*A2273</f>
        <v>1277.28</v>
      </c>
      <c r="AR2273" s="747">
        <v>6</v>
      </c>
      <c r="AS2273" s="751">
        <v>330.78</v>
      </c>
    </row>
    <row r="2274" spans="1:45" s="520" customFormat="1" ht="13.2">
      <c r="A2274" s="748"/>
      <c r="B2274"/>
      <c r="C2274" s="748"/>
      <c r="D2274" s="749" t="s">
        <v>586</v>
      </c>
      <c r="F2274" s="753"/>
      <c r="G2274" s="3"/>
      <c r="H2274" s="753"/>
      <c r="I2274" s="754"/>
      <c r="J2274" s="753"/>
      <c r="K2274" s="753" t="s">
        <v>144</v>
      </c>
      <c r="L2274" s="753"/>
      <c r="M2274" s="753"/>
      <c r="N2274" s="753"/>
      <c r="O2274" s="753"/>
      <c r="P2274" s="753"/>
      <c r="Q2274" s="51"/>
      <c r="R2274" s="530"/>
      <c r="S2274" s="757"/>
      <c r="T2274" s="753"/>
      <c r="AR2274" s="748"/>
      <c r="AS2274" s="753"/>
    </row>
    <row r="2275" spans="1:45" s="886" customFormat="1" ht="13.2">
      <c r="A2275"/>
      <c r="B2275" s="910"/>
      <c r="C2275" s="910" t="s">
        <v>2597</v>
      </c>
      <c r="D2275" s="910" t="str">
        <f ca="1">CELL("Address",Elec_Rates!D$174)</f>
        <v>[E25_0062_Quintano_Foods_Elec_ELV_As_Awarded.xlsx]Elec_Rates!$D$174</v>
      </c>
      <c r="E2275" s="911"/>
      <c r="F2275" s="911"/>
      <c r="G2275" s="912" t="s">
        <v>2598</v>
      </c>
      <c r="H2275" s="912"/>
      <c r="I2275" s="912"/>
      <c r="J2275" s="912"/>
      <c r="K2275" s="913"/>
      <c r="L2275" s="911"/>
      <c r="M2275" s="911"/>
      <c r="N2275" s="911"/>
      <c r="O2275" s="914"/>
      <c r="P2275" s="911"/>
      <c r="Q2275" s="915"/>
      <c r="R2275" s="916"/>
      <c r="S2275" s="915"/>
      <c r="T2275" s="917"/>
      <c r="U2275" s="918"/>
      <c r="AR2275"/>
      <c r="AS2275" s="911"/>
    </row>
    <row r="2276" spans="1:45" s="886" customFormat="1" ht="11.4">
      <c r="A2276" s="919">
        <v>6</v>
      </c>
      <c r="B2276" s="920">
        <v>1</v>
      </c>
      <c r="C2276" s="920">
        <f>$A2276*$B2276</f>
        <v>6</v>
      </c>
      <c r="D2276" s="921" t="str">
        <f>Elec_Rates!$D$174</f>
        <v>016# 5Pin 16Amp IP67 Interlocked Socket outlet</v>
      </c>
      <c r="E2276" s="921"/>
      <c r="F2276" s="921" t="s">
        <v>2599</v>
      </c>
      <c r="G2276" s="922" t="s">
        <v>2601</v>
      </c>
      <c r="H2276" s="922"/>
      <c r="I2276" s="922"/>
      <c r="J2276" s="922"/>
      <c r="K2276" s="923"/>
      <c r="L2276" s="918"/>
      <c r="M2276" s="918"/>
      <c r="N2276" s="918"/>
      <c r="O2276" s="924"/>
      <c r="P2276" s="921"/>
      <c r="Q2276" s="925">
        <f ca="1">$B2276*Elec_Rates!$R$174</f>
        <v>35.159999999999997</v>
      </c>
      <c r="R2276" s="916">
        <f ca="1">$A2276*Q2276</f>
        <v>210.95999999999998</v>
      </c>
      <c r="S2276" s="925">
        <f ca="1">$B2276*Elec_Rates!$T$174</f>
        <v>0.32</v>
      </c>
      <c r="T2276" s="917">
        <f ca="1">$A2276*S2276</f>
        <v>1.92</v>
      </c>
      <c r="U2276" s="926"/>
      <c r="AR2276" s="919">
        <v>6</v>
      </c>
      <c r="AS2276" s="921" t="s">
        <v>2599</v>
      </c>
    </row>
    <row r="2277" spans="1:45" s="520" customFormat="1" ht="12">
      <c r="A2277" s="758"/>
      <c r="B2277" s="758"/>
      <c r="C2277" s="758"/>
      <c r="D2277" s="758"/>
      <c r="E2277" s="758"/>
      <c r="F2277" s="753"/>
      <c r="G2277" s="758"/>
      <c r="H2277" s="758"/>
      <c r="I2277" s="519"/>
      <c r="J2277" s="758"/>
      <c r="K2277" s="758"/>
      <c r="L2277" s="758"/>
      <c r="M2277" s="758"/>
      <c r="N2277" s="758"/>
      <c r="O2277" s="758"/>
      <c r="P2277" s="758"/>
      <c r="Q2277" s="519"/>
      <c r="R2277" s="759">
        <f>$A2277*Q2277</f>
        <v>0</v>
      </c>
      <c r="S2277" s="519"/>
      <c r="T2277" s="760">
        <f>$A2277*S2277*$T$1</f>
        <v>0</v>
      </c>
      <c r="AR2277" s="758"/>
      <c r="AS2277" s="753"/>
    </row>
    <row r="2278" spans="1:45" s="520" customFormat="1" ht="12.6" thickBot="1">
      <c r="A2278" s="761" t="s">
        <v>145</v>
      </c>
      <c r="B2278" s="762">
        <f>(R2277+T2277)</f>
        <v>0</v>
      </c>
      <c r="C2278" s="763"/>
      <c r="D2278" s="763"/>
      <c r="E2278" s="763"/>
      <c r="F2278" s="764"/>
      <c r="G2278" s="763" t="s">
        <v>146</v>
      </c>
      <c r="H2278" s="763"/>
      <c r="I2278" s="765"/>
      <c r="J2278" s="763"/>
      <c r="K2278" s="763" t="s">
        <v>3</v>
      </c>
      <c r="L2278" s="766" t="s">
        <v>143</v>
      </c>
      <c r="M2278" s="766"/>
      <c r="N2278" s="766"/>
      <c r="O2278" s="766"/>
      <c r="P2278" s="766"/>
      <c r="Q2278" s="767"/>
      <c r="R2278" s="768">
        <f ca="1">SUM(R2274:R2277)</f>
        <v>210.95999999999998</v>
      </c>
      <c r="S2278" s="763"/>
      <c r="T2278" s="768">
        <f ca="1">SUM(T2274:T2277)</f>
        <v>1.92</v>
      </c>
      <c r="U2278" s="531"/>
      <c r="V2278" s="531"/>
      <c r="W2278" s="531"/>
      <c r="X2278" s="531"/>
      <c r="Y2278" s="531"/>
      <c r="Z2278" s="531"/>
      <c r="AA2278" s="531"/>
      <c r="AB2278" s="531"/>
      <c r="AC2278" s="531"/>
      <c r="AD2278" s="531"/>
      <c r="AE2278" s="531"/>
      <c r="AF2278" s="531"/>
      <c r="AG2278" s="531"/>
      <c r="AH2278" s="531"/>
      <c r="AI2278" s="531"/>
      <c r="AJ2278" s="531"/>
      <c r="AK2278" s="531"/>
      <c r="AL2278" s="531"/>
      <c r="AM2278" s="531"/>
      <c r="AN2278" s="531"/>
      <c r="AO2278" s="531"/>
      <c r="AR2278" s="761" t="s">
        <v>145</v>
      </c>
      <c r="AS2278" s="764"/>
    </row>
    <row r="2279" spans="1:45" s="520" customFormat="1" ht="12" thickTop="1">
      <c r="A2279" s="51"/>
      <c r="B2279" s="41"/>
      <c r="C2279" s="51"/>
      <c r="E2279" s="42" t="s">
        <v>138</v>
      </c>
      <c r="F2279" s="42" t="s">
        <v>139</v>
      </c>
      <c r="G2279" s="51"/>
      <c r="H2279" s="51"/>
      <c r="I2279" s="51"/>
      <c r="J2279" s="51"/>
      <c r="K2279" s="51" t="s">
        <v>140</v>
      </c>
      <c r="L2279" s="51"/>
      <c r="M2279" s="51"/>
      <c r="N2279" s="51"/>
      <c r="O2279" s="52"/>
      <c r="P2279" s="51"/>
      <c r="Q2279" s="51"/>
      <c r="R2279" s="51"/>
      <c r="S2279" s="51"/>
      <c r="T2279" s="41"/>
      <c r="AG2279" s="521" t="s">
        <v>268</v>
      </c>
      <c r="AH2279" s="521" t="s">
        <v>269</v>
      </c>
      <c r="AI2279" s="521" t="s">
        <v>270</v>
      </c>
      <c r="AJ2279" s="521" t="s">
        <v>271</v>
      </c>
      <c r="AK2279" s="521" t="s">
        <v>272</v>
      </c>
      <c r="AM2279" s="745" t="s">
        <v>281</v>
      </c>
      <c r="AN2279" s="746" t="s">
        <v>282</v>
      </c>
      <c r="AO2279" s="522" t="s">
        <v>278</v>
      </c>
      <c r="AR2279" s="51"/>
      <c r="AS2279" s="42" t="s">
        <v>139</v>
      </c>
    </row>
    <row r="2280" spans="1:45" s="520" customFormat="1" ht="12" customHeight="1">
      <c r="A2280" s="747">
        <v>1</v>
      </c>
      <c r="B2280" s="523" t="s">
        <v>141</v>
      </c>
      <c r="C2280" s="748"/>
      <c r="D2280" s="749" t="s">
        <v>1476</v>
      </c>
      <c r="E2280" s="750">
        <f ca="1">IF(AND($A2280=0,$A$1="DIF"),0, ROUND(ROUND(($R2285*$S$2+($T2285*$T$2))/A2280,2)*$C$2,2))</f>
        <v>55.35</v>
      </c>
      <c r="F2280" s="751">
        <f ca="1">ROUND($A2280*$E2280,2)</f>
        <v>55.35</v>
      </c>
      <c r="G2280" s="752" t="s">
        <v>142</v>
      </c>
      <c r="H2280" s="753"/>
      <c r="I2280" s="754"/>
      <c r="J2280" s="753"/>
      <c r="K2280" s="753" t="s">
        <v>3</v>
      </c>
      <c r="L2280" s="755" t="s">
        <v>143</v>
      </c>
      <c r="M2280" s="755"/>
      <c r="N2280" s="755"/>
      <c r="O2280" s="755"/>
      <c r="P2280" s="755"/>
      <c r="Q2280" s="51"/>
      <c r="T2280" s="756" t="str">
        <f ca="1">IF(AND($R2285=0,$T2285=0),"0.00","mu :" &amp; ROUND($F2280/$C$2/($R2285+$T2285*$D$9),2))</f>
        <v>mu :1.23</v>
      </c>
      <c r="W2280" s="524"/>
      <c r="AG2280" s="481">
        <f ca="1">IF($E2280=0,0,ROUND($R2285*$S$2*$C$2/$A2280,2))</f>
        <v>44.53</v>
      </c>
      <c r="AH2280" s="481">
        <f ca="1">$AG2280*$A2280</f>
        <v>44.53</v>
      </c>
      <c r="AI2280" s="525">
        <f ca="1">$E2280-$AG2280</f>
        <v>10.82</v>
      </c>
      <c r="AJ2280" s="525">
        <f ca="1">$A2280*$AI2280</f>
        <v>10.82</v>
      </c>
      <c r="AK2280" s="526">
        <f ca="1">ROUND(($AG2280+$AI2280)*$A2280,2)</f>
        <v>55.35</v>
      </c>
      <c r="AM2280" s="527">
        <f ca="1">ROUND(R2285,2)</f>
        <v>36.159999999999997</v>
      </c>
      <c r="AN2280" s="528">
        <f ca="1">ROUND(T2285,2)</f>
        <v>0.32</v>
      </c>
      <c r="AO2280" s="529">
        <f ca="1">ROUND(AM2280+AN2280,2)*A2280</f>
        <v>36.479999999999997</v>
      </c>
      <c r="AR2280" s="747">
        <v>1</v>
      </c>
      <c r="AS2280" s="751">
        <v>56.36</v>
      </c>
    </row>
    <row r="2281" spans="1:45" s="520" customFormat="1" ht="13.2">
      <c r="A2281" s="748"/>
      <c r="B2281"/>
      <c r="C2281" s="748"/>
      <c r="D2281" s="749" t="s">
        <v>652</v>
      </c>
      <c r="F2281" s="753"/>
      <c r="G2281" s="3"/>
      <c r="H2281" s="753"/>
      <c r="I2281" s="754"/>
      <c r="J2281" s="753"/>
      <c r="K2281" s="753" t="s">
        <v>144</v>
      </c>
      <c r="L2281" s="753"/>
      <c r="M2281" s="753"/>
      <c r="N2281" s="753"/>
      <c r="O2281" s="753"/>
      <c r="P2281" s="753"/>
      <c r="Q2281" s="51"/>
      <c r="R2281" s="530"/>
      <c r="S2281" s="757"/>
      <c r="T2281" s="753"/>
      <c r="AR2281" s="748"/>
      <c r="AS2281" s="753"/>
    </row>
    <row r="2282" spans="1:45" s="886" customFormat="1" ht="13.2">
      <c r="A2282"/>
      <c r="B2282" s="910"/>
      <c r="C2282" s="910" t="s">
        <v>2597</v>
      </c>
      <c r="D2282" s="910" t="str">
        <f ca="1">CELL("Address",Elec_Rates!D$183)</f>
        <v>[E25_0062_Quintano_Foods_Elec_ELV_As_Awarded.xlsx]Elec_Rates!$D$183</v>
      </c>
      <c r="E2282" s="911"/>
      <c r="F2282" s="911"/>
      <c r="G2282" s="912" t="s">
        <v>2598</v>
      </c>
      <c r="H2282" s="912"/>
      <c r="I2282" s="912"/>
      <c r="J2282" s="912"/>
      <c r="K2282" s="913"/>
      <c r="L2282" s="911"/>
      <c r="M2282" s="911"/>
      <c r="N2282" s="911"/>
      <c r="O2282" s="914"/>
      <c r="P2282" s="911"/>
      <c r="Q2282" s="915"/>
      <c r="R2282" s="916"/>
      <c r="S2282" s="915"/>
      <c r="T2282" s="917"/>
      <c r="U2282" s="918"/>
      <c r="AR2282"/>
      <c r="AS2282" s="911"/>
    </row>
    <row r="2283" spans="1:45" s="886" customFormat="1" ht="11.4">
      <c r="A2283" s="919">
        <v>1</v>
      </c>
      <c r="B2283" s="920">
        <v>1</v>
      </c>
      <c r="C2283" s="920">
        <f>$A2283*$B2283</f>
        <v>1</v>
      </c>
      <c r="D2283" s="921" t="str">
        <f>Elec_Rates!$D$183</f>
        <v>017# 5Pin 32Amp IP67 Interlocked Socket outlet</v>
      </c>
      <c r="E2283" s="921"/>
      <c r="F2283" s="921" t="s">
        <v>2599</v>
      </c>
      <c r="G2283" s="922" t="s">
        <v>2600</v>
      </c>
      <c r="H2283" s="922"/>
      <c r="I2283" s="922"/>
      <c r="J2283" s="922"/>
      <c r="K2283" s="923"/>
      <c r="L2283" s="918"/>
      <c r="M2283" s="918"/>
      <c r="N2283" s="918"/>
      <c r="O2283" s="924"/>
      <c r="P2283" s="921"/>
      <c r="Q2283" s="925">
        <f ca="1">$B2283*Elec_Rates!$R$183</f>
        <v>36.159999999999997</v>
      </c>
      <c r="R2283" s="916">
        <f ca="1">$A2283*Q2283</f>
        <v>36.159999999999997</v>
      </c>
      <c r="S2283" s="925">
        <f ca="1">$B2283*Elec_Rates!$T$183</f>
        <v>0.32</v>
      </c>
      <c r="T2283" s="917">
        <f ca="1">$A2283*S2283</f>
        <v>0.32</v>
      </c>
      <c r="U2283" s="926"/>
      <c r="AR2283" s="919">
        <v>1</v>
      </c>
      <c r="AS2283" s="921" t="s">
        <v>2599</v>
      </c>
    </row>
    <row r="2284" spans="1:45" s="520" customFormat="1" ht="12">
      <c r="A2284" s="758"/>
      <c r="B2284" s="758"/>
      <c r="C2284" s="758"/>
      <c r="D2284" s="758"/>
      <c r="E2284" s="758"/>
      <c r="F2284" s="753"/>
      <c r="G2284" s="758"/>
      <c r="H2284" s="758"/>
      <c r="I2284" s="519"/>
      <c r="J2284" s="758"/>
      <c r="K2284" s="758"/>
      <c r="L2284" s="758"/>
      <c r="M2284" s="758"/>
      <c r="N2284" s="758"/>
      <c r="O2284" s="758"/>
      <c r="P2284" s="758"/>
      <c r="Q2284" s="519"/>
      <c r="R2284" s="759">
        <f>$A2284*Q2284</f>
        <v>0</v>
      </c>
      <c r="S2284" s="519"/>
      <c r="T2284" s="760">
        <f>$A2284*S2284*$T$1</f>
        <v>0</v>
      </c>
      <c r="AR2284" s="758"/>
      <c r="AS2284" s="753"/>
    </row>
    <row r="2285" spans="1:45" s="520" customFormat="1" ht="12.6" thickBot="1">
      <c r="A2285" s="761" t="s">
        <v>145</v>
      </c>
      <c r="B2285" s="762">
        <f>(R2284+T2284)</f>
        <v>0</v>
      </c>
      <c r="C2285" s="763"/>
      <c r="D2285" s="763"/>
      <c r="E2285" s="763"/>
      <c r="F2285" s="764"/>
      <c r="G2285" s="763" t="s">
        <v>146</v>
      </c>
      <c r="H2285" s="763"/>
      <c r="I2285" s="765"/>
      <c r="J2285" s="763"/>
      <c r="K2285" s="763" t="s">
        <v>3</v>
      </c>
      <c r="L2285" s="766" t="s">
        <v>143</v>
      </c>
      <c r="M2285" s="766"/>
      <c r="N2285" s="766"/>
      <c r="O2285" s="766"/>
      <c r="P2285" s="766"/>
      <c r="Q2285" s="767"/>
      <c r="R2285" s="768">
        <f ca="1">SUM(R2281:R2284)</f>
        <v>36.159999999999997</v>
      </c>
      <c r="S2285" s="763"/>
      <c r="T2285" s="768">
        <f ca="1">SUM(T2281:T2284)</f>
        <v>0.32</v>
      </c>
      <c r="U2285" s="531"/>
      <c r="V2285" s="531"/>
      <c r="W2285" s="531"/>
      <c r="X2285" s="531"/>
      <c r="Y2285" s="531"/>
      <c r="Z2285" s="531"/>
      <c r="AA2285" s="531"/>
      <c r="AB2285" s="531"/>
      <c r="AC2285" s="531"/>
      <c r="AD2285" s="531"/>
      <c r="AE2285" s="531"/>
      <c r="AF2285" s="531"/>
      <c r="AG2285" s="531"/>
      <c r="AH2285" s="531"/>
      <c r="AI2285" s="531"/>
      <c r="AJ2285" s="531"/>
      <c r="AK2285" s="531"/>
      <c r="AL2285" s="531"/>
      <c r="AM2285" s="531"/>
      <c r="AN2285" s="531"/>
      <c r="AO2285" s="531"/>
      <c r="AR2285" s="761" t="s">
        <v>145</v>
      </c>
      <c r="AS2285" s="764"/>
    </row>
    <row r="2286" spans="1:45" s="520" customFormat="1" thickTop="1">
      <c r="A2286" s="51"/>
      <c r="B2286" s="51"/>
      <c r="C2286" s="3"/>
      <c r="D2286" s="3"/>
      <c r="E2286" s="51"/>
      <c r="F2286" s="51"/>
      <c r="G2286" s="51"/>
      <c r="H2286" s="51"/>
      <c r="I2286" s="51"/>
      <c r="J2286" s="51"/>
      <c r="K2286" s="51" t="s">
        <v>134</v>
      </c>
      <c r="L2286" s="51"/>
      <c r="M2286" s="51"/>
      <c r="N2286" s="51"/>
      <c r="O2286" s="52"/>
      <c r="P2286" s="51"/>
      <c r="Q2286" s="51"/>
      <c r="R2286" s="51"/>
      <c r="S2286" s="51"/>
      <c r="T2286" s="51"/>
      <c r="AR2286" s="51"/>
      <c r="AS2286" s="51"/>
    </row>
    <row r="2287" spans="1:45" s="520" customFormat="1" ht="12">
      <c r="A2287" s="51"/>
      <c r="B2287" s="51"/>
      <c r="C2287" s="51" t="s">
        <v>135</v>
      </c>
      <c r="D2287" s="37"/>
      <c r="E2287" s="51"/>
      <c r="F2287" s="51"/>
      <c r="G2287" s="51"/>
      <c r="H2287" s="51"/>
      <c r="I2287" s="51"/>
      <c r="J2287" s="51"/>
      <c r="K2287" s="51"/>
      <c r="L2287" s="51"/>
      <c r="M2287" s="51"/>
      <c r="N2287" s="51"/>
      <c r="O2287" s="52"/>
      <c r="P2287" s="51"/>
      <c r="Q2287" s="51"/>
      <c r="R2287" s="51"/>
      <c r="S2287" s="51"/>
      <c r="T2287" s="51"/>
      <c r="AR2287" s="51"/>
      <c r="AS2287" s="51"/>
    </row>
    <row r="2288" spans="1:45" s="520" customFormat="1" ht="39.9" customHeight="1">
      <c r="A2288" s="51"/>
      <c r="B2288" s="51"/>
      <c r="C2288" s="51"/>
      <c r="D2288" s="1453" t="s">
        <v>498</v>
      </c>
      <c r="E2288" s="1452"/>
      <c r="F2288" s="1452"/>
      <c r="G2288" s="1452"/>
      <c r="H2288" s="1452"/>
      <c r="I2288" s="1452"/>
      <c r="J2288" s="1452"/>
      <c r="K2288" s="1452"/>
      <c r="L2288" s="1452"/>
      <c r="M2288" s="1452"/>
      <c r="N2288" s="1452"/>
      <c r="O2288" s="1452"/>
      <c r="P2288" s="1452"/>
      <c r="Q2288" s="1452"/>
      <c r="R2288" s="1452"/>
      <c r="S2288" s="1452"/>
      <c r="T2288" s="1452"/>
      <c r="AR2288" s="51"/>
    </row>
    <row r="2289" spans="1:45" s="3" customFormat="1" thickBot="1">
      <c r="A2289" s="531"/>
      <c r="O2289" s="107"/>
      <c r="AR2289" s="531"/>
    </row>
    <row r="2290" spans="1:45" s="520" customFormat="1" thickTop="1">
      <c r="A2290" s="51"/>
      <c r="B2290" s="51"/>
      <c r="C2290" s="3"/>
      <c r="D2290" s="3"/>
      <c r="E2290" s="51"/>
      <c r="F2290" s="51"/>
      <c r="G2290" s="51"/>
      <c r="H2290" s="51"/>
      <c r="I2290" s="51"/>
      <c r="J2290" s="51"/>
      <c r="K2290" s="51" t="s">
        <v>134</v>
      </c>
      <c r="L2290" s="51"/>
      <c r="M2290" s="51"/>
      <c r="N2290" s="51"/>
      <c r="O2290" s="52"/>
      <c r="P2290" s="51"/>
      <c r="Q2290" s="51"/>
      <c r="R2290" s="51"/>
      <c r="S2290" s="51"/>
      <c r="T2290" s="51"/>
      <c r="AR2290" s="51"/>
      <c r="AS2290" s="51"/>
    </row>
    <row r="2291" spans="1:45" s="520" customFormat="1" ht="12">
      <c r="A2291" s="51"/>
      <c r="B2291" s="51"/>
      <c r="C2291" s="51" t="s">
        <v>135</v>
      </c>
      <c r="D2291" s="37"/>
      <c r="E2291" s="51"/>
      <c r="F2291" s="51"/>
      <c r="G2291" s="51"/>
      <c r="H2291" s="51"/>
      <c r="I2291" s="51"/>
      <c r="J2291" s="51"/>
      <c r="K2291" s="51"/>
      <c r="L2291" s="51"/>
      <c r="M2291" s="51"/>
      <c r="N2291" s="51"/>
      <c r="O2291" s="52"/>
      <c r="P2291" s="51"/>
      <c r="Q2291" s="51"/>
      <c r="R2291" s="51"/>
      <c r="S2291" s="51"/>
      <c r="T2291" s="51"/>
      <c r="AR2291" s="51"/>
      <c r="AS2291" s="51"/>
    </row>
    <row r="2292" spans="1:45" s="520" customFormat="1" ht="12">
      <c r="A2292" s="51"/>
      <c r="B2292" s="51"/>
      <c r="C2292" s="51"/>
      <c r="D2292" s="37" t="s">
        <v>678</v>
      </c>
      <c r="E2292" s="51"/>
      <c r="F2292" s="51"/>
      <c r="G2292" s="51"/>
      <c r="H2292" s="51"/>
      <c r="I2292" s="51"/>
      <c r="J2292" s="51"/>
      <c r="K2292" s="51"/>
      <c r="L2292" s="51"/>
      <c r="M2292" s="51"/>
      <c r="N2292" s="51"/>
      <c r="O2292" s="52"/>
      <c r="P2292" s="51"/>
      <c r="Q2292" s="51"/>
      <c r="R2292" s="51"/>
      <c r="S2292" s="38"/>
      <c r="T2292" s="38"/>
      <c r="AR2292" s="51"/>
      <c r="AS2292" s="51"/>
    </row>
    <row r="2293" spans="1:45" s="3" customFormat="1" thickBot="1">
      <c r="A2293" s="531"/>
      <c r="O2293" s="107"/>
      <c r="AR2293" s="531"/>
    </row>
    <row r="2294" spans="1:45" s="520" customFormat="1" ht="12" thickTop="1">
      <c r="A2294" s="51"/>
      <c r="B2294" s="41"/>
      <c r="C2294" s="51"/>
      <c r="E2294" s="42" t="s">
        <v>138</v>
      </c>
      <c r="F2294" s="42" t="s">
        <v>139</v>
      </c>
      <c r="G2294" s="51"/>
      <c r="H2294" s="51"/>
      <c r="I2294" s="51"/>
      <c r="J2294" s="51"/>
      <c r="K2294" s="51" t="s">
        <v>140</v>
      </c>
      <c r="L2294" s="51"/>
      <c r="M2294" s="51"/>
      <c r="N2294" s="51"/>
      <c r="O2294" s="52"/>
      <c r="P2294" s="51"/>
      <c r="Q2294" s="51"/>
      <c r="R2294" s="51"/>
      <c r="S2294" s="51"/>
      <c r="T2294" s="41"/>
      <c r="AG2294" s="521" t="s">
        <v>268</v>
      </c>
      <c r="AH2294" s="521" t="s">
        <v>269</v>
      </c>
      <c r="AI2294" s="521" t="s">
        <v>270</v>
      </c>
      <c r="AJ2294" s="521" t="s">
        <v>271</v>
      </c>
      <c r="AK2294" s="521" t="s">
        <v>272</v>
      </c>
      <c r="AM2294" s="745" t="s">
        <v>281</v>
      </c>
      <c r="AN2294" s="746" t="s">
        <v>282</v>
      </c>
      <c r="AO2294" s="522" t="s">
        <v>278</v>
      </c>
      <c r="AR2294" s="51"/>
      <c r="AS2294" s="42" t="s">
        <v>139</v>
      </c>
    </row>
    <row r="2295" spans="1:45" s="520" customFormat="1" ht="12" customHeight="1">
      <c r="A2295" s="747">
        <v>60</v>
      </c>
      <c r="B2295" s="523" t="s">
        <v>320</v>
      </c>
      <c r="C2295" s="748"/>
      <c r="D2295" s="749" t="s">
        <v>1477</v>
      </c>
      <c r="E2295" s="750">
        <f ca="1">IF(AND($A2295=0,$A$1="DIF"),0, ROUND(ROUND(($R2300*$S$2+($T2300*$T$2))/A2295,2)*$C$2,2))</f>
        <v>16.309999999999999</v>
      </c>
      <c r="F2295" s="751">
        <f ca="1">ROUND($A2295*$E2295,2)</f>
        <v>978.6</v>
      </c>
      <c r="G2295" s="752" t="s">
        <v>142</v>
      </c>
      <c r="H2295" s="753"/>
      <c r="I2295" s="754"/>
      <c r="J2295" s="753"/>
      <c r="K2295" s="753" t="s">
        <v>3</v>
      </c>
      <c r="L2295" s="755" t="s">
        <v>143</v>
      </c>
      <c r="M2295" s="755"/>
      <c r="N2295" s="755"/>
      <c r="O2295" s="755"/>
      <c r="P2295" s="755"/>
      <c r="Q2295" s="51"/>
      <c r="T2295" s="756" t="str">
        <f ca="1">IF(AND($R2300=0,$T2300=0),"0.00","mu :" &amp; ROUND($F2295/$C$2/($R2300+$T2300*$D$9),2))</f>
        <v>mu :1.23</v>
      </c>
      <c r="W2295" s="524"/>
      <c r="AG2295" s="481">
        <f ca="1">IF($E2295=0,0,ROUND($R2300*$S$2*$C$2/$A2295,2))</f>
        <v>13.61</v>
      </c>
      <c r="AH2295" s="481">
        <f ca="1">$AG2295*$A2295</f>
        <v>816.59999999999991</v>
      </c>
      <c r="AI2295" s="525">
        <f ca="1">$E2295-$AG2295</f>
        <v>2.6999999999999993</v>
      </c>
      <c r="AJ2295" s="525">
        <f ca="1">$A2295*$AI2295</f>
        <v>161.99999999999994</v>
      </c>
      <c r="AK2295" s="526">
        <f ca="1">ROUND(($AG2295+$AI2295)*$A2295,2)</f>
        <v>978.6</v>
      </c>
      <c r="AM2295" s="527">
        <f ca="1">ROUND(R2300,2)</f>
        <v>663</v>
      </c>
      <c r="AN2295" s="528">
        <f ca="1">ROUND(T2300,2)</f>
        <v>4.8</v>
      </c>
      <c r="AO2295" s="529">
        <f ca="1">ROUND(AM2295+AN2295,2)*A2295</f>
        <v>40068</v>
      </c>
      <c r="AR2295" s="747">
        <v>60</v>
      </c>
      <c r="AS2295" s="751">
        <v>978.6</v>
      </c>
    </row>
    <row r="2296" spans="1:45" s="520" customFormat="1" ht="13.2">
      <c r="A2296" s="748"/>
      <c r="B2296"/>
      <c r="C2296" s="748"/>
      <c r="D2296" s="749" t="s">
        <v>1478</v>
      </c>
      <c r="F2296" s="753"/>
      <c r="G2296" s="3"/>
      <c r="H2296" s="753"/>
      <c r="I2296" s="754"/>
      <c r="J2296" s="753"/>
      <c r="K2296" s="753" t="s">
        <v>144</v>
      </c>
      <c r="L2296" s="753"/>
      <c r="M2296" s="753"/>
      <c r="N2296" s="753"/>
      <c r="O2296" s="753"/>
      <c r="P2296" s="753"/>
      <c r="Q2296" s="51"/>
      <c r="R2296" s="530"/>
      <c r="S2296" s="757"/>
      <c r="T2296" s="753"/>
      <c r="AR2296" s="748"/>
      <c r="AS2296" s="753"/>
    </row>
    <row r="2297" spans="1:45" s="886" customFormat="1" ht="13.2">
      <c r="A2297"/>
      <c r="B2297" s="910"/>
      <c r="C2297" s="910" t="s">
        <v>2597</v>
      </c>
      <c r="D2297" s="910" t="str">
        <f ca="1">CELL("Address",Elec_Rates!D$458)</f>
        <v>[E25_0062_Quintano_Foods_Elec_ELV_As_Awarded.xlsx]Elec_Rates!$D$458</v>
      </c>
      <c r="E2297" s="911"/>
      <c r="F2297" s="911"/>
      <c r="G2297" s="912" t="s">
        <v>2598</v>
      </c>
      <c r="H2297" s="912"/>
      <c r="I2297" s="912"/>
      <c r="J2297" s="912"/>
      <c r="K2297" s="913"/>
      <c r="L2297" s="911"/>
      <c r="M2297" s="911"/>
      <c r="N2297" s="911"/>
      <c r="O2297" s="914"/>
      <c r="P2297" s="911"/>
      <c r="Q2297" s="915"/>
      <c r="R2297" s="916"/>
      <c r="S2297" s="915"/>
      <c r="T2297" s="917"/>
      <c r="U2297" s="918"/>
      <c r="AR2297"/>
      <c r="AS2297" s="911"/>
    </row>
    <row r="2298" spans="1:45" s="886" customFormat="1" ht="11.4">
      <c r="A2298" s="919">
        <v>60</v>
      </c>
      <c r="B2298" s="920">
        <v>1</v>
      </c>
      <c r="C2298" s="920">
        <f>$A2298*$B2298</f>
        <v>60</v>
      </c>
      <c r="D2298" s="921" t="str">
        <f>Elec_Rates!$D$458</f>
        <v>044# 5 x 4mm2 F120 Fire Resistant Cable (BS7846) -  XLPE/SWA/LSZH</v>
      </c>
      <c r="E2298" s="921"/>
      <c r="F2298" s="921" t="s">
        <v>2599</v>
      </c>
      <c r="G2298" s="922" t="s">
        <v>2601</v>
      </c>
      <c r="H2298" s="922"/>
      <c r="I2298" s="922"/>
      <c r="J2298" s="922"/>
      <c r="K2298" s="923"/>
      <c r="L2298" s="918"/>
      <c r="M2298" s="918"/>
      <c r="N2298" s="918"/>
      <c r="O2298" s="924"/>
      <c r="P2298" s="921"/>
      <c r="Q2298" s="925">
        <f ca="1">$B2298*Elec_Rates!$R$458</f>
        <v>11.05</v>
      </c>
      <c r="R2298" s="916">
        <f ca="1">$A2298*Q2298</f>
        <v>663</v>
      </c>
      <c r="S2298" s="925">
        <f ca="1">$B2298*Elec_Rates!$T$458</f>
        <v>0.08</v>
      </c>
      <c r="T2298" s="917">
        <f ca="1">$A2298*S2298</f>
        <v>4.8</v>
      </c>
      <c r="U2298" s="926"/>
      <c r="AR2298" s="919">
        <v>60</v>
      </c>
      <c r="AS2298" s="921" t="s">
        <v>2599</v>
      </c>
    </row>
    <row r="2299" spans="1:45" s="520" customFormat="1" ht="12">
      <c r="A2299" s="758"/>
      <c r="B2299" s="758"/>
      <c r="C2299" s="758"/>
      <c r="D2299" s="758"/>
      <c r="E2299" s="758"/>
      <c r="F2299" s="753"/>
      <c r="G2299" s="758"/>
      <c r="H2299" s="758"/>
      <c r="I2299" s="519"/>
      <c r="J2299" s="758"/>
      <c r="K2299" s="758"/>
      <c r="L2299" s="758"/>
      <c r="M2299" s="758"/>
      <c r="N2299" s="758"/>
      <c r="O2299" s="758"/>
      <c r="P2299" s="758"/>
      <c r="Q2299" s="519"/>
      <c r="R2299" s="759">
        <f>$A2299*Q2299</f>
        <v>0</v>
      </c>
      <c r="S2299" s="519"/>
      <c r="T2299" s="760">
        <f>$A2299*S2299*$T$1</f>
        <v>0</v>
      </c>
      <c r="AR2299" s="758"/>
      <c r="AS2299" s="753"/>
    </row>
    <row r="2300" spans="1:45" s="520" customFormat="1" ht="12.6" thickBot="1">
      <c r="A2300" s="761" t="s">
        <v>145</v>
      </c>
      <c r="B2300" s="762">
        <f>(R2299+T2299)</f>
        <v>0</v>
      </c>
      <c r="C2300" s="763"/>
      <c r="D2300" s="763"/>
      <c r="E2300" s="763"/>
      <c r="F2300" s="764"/>
      <c r="G2300" s="763" t="s">
        <v>146</v>
      </c>
      <c r="H2300" s="763"/>
      <c r="I2300" s="765"/>
      <c r="J2300" s="763"/>
      <c r="K2300" s="763" t="s">
        <v>3</v>
      </c>
      <c r="L2300" s="766" t="s">
        <v>143</v>
      </c>
      <c r="M2300" s="766"/>
      <c r="N2300" s="766"/>
      <c r="O2300" s="766"/>
      <c r="P2300" s="766"/>
      <c r="Q2300" s="767"/>
      <c r="R2300" s="768">
        <f ca="1">SUM(R2296:R2299)</f>
        <v>663</v>
      </c>
      <c r="S2300" s="763"/>
      <c r="T2300" s="768">
        <f ca="1">SUM(T2296:T2299)</f>
        <v>4.8</v>
      </c>
      <c r="U2300" s="531"/>
      <c r="V2300" s="531"/>
      <c r="W2300" s="531"/>
      <c r="X2300" s="531"/>
      <c r="Y2300" s="531"/>
      <c r="Z2300" s="531"/>
      <c r="AA2300" s="531"/>
      <c r="AB2300" s="531"/>
      <c r="AC2300" s="531"/>
      <c r="AD2300" s="531"/>
      <c r="AE2300" s="531"/>
      <c r="AF2300" s="531"/>
      <c r="AG2300" s="531"/>
      <c r="AH2300" s="531"/>
      <c r="AI2300" s="531"/>
      <c r="AJ2300" s="531"/>
      <c r="AK2300" s="531"/>
      <c r="AL2300" s="531"/>
      <c r="AM2300" s="531"/>
      <c r="AN2300" s="531"/>
      <c r="AO2300" s="531"/>
      <c r="AR2300" s="761" t="s">
        <v>145</v>
      </c>
      <c r="AS2300" s="764"/>
    </row>
    <row r="2301" spans="1:45" s="520" customFormat="1" ht="12" thickTop="1">
      <c r="A2301" s="51"/>
      <c r="B2301" s="41"/>
      <c r="C2301" s="51"/>
      <c r="E2301" s="42" t="s">
        <v>138</v>
      </c>
      <c r="F2301" s="42" t="s">
        <v>139</v>
      </c>
      <c r="G2301" s="51"/>
      <c r="H2301" s="51"/>
      <c r="I2301" s="51"/>
      <c r="J2301" s="51"/>
      <c r="K2301" s="51" t="s">
        <v>140</v>
      </c>
      <c r="L2301" s="51"/>
      <c r="M2301" s="51"/>
      <c r="N2301" s="51"/>
      <c r="O2301" s="52"/>
      <c r="P2301" s="51"/>
      <c r="Q2301" s="51"/>
      <c r="R2301" s="51"/>
      <c r="S2301" s="51"/>
      <c r="T2301" s="41"/>
      <c r="AG2301" s="521" t="s">
        <v>268</v>
      </c>
      <c r="AH2301" s="521" t="s">
        <v>269</v>
      </c>
      <c r="AI2301" s="521" t="s">
        <v>270</v>
      </c>
      <c r="AJ2301" s="521" t="s">
        <v>271</v>
      </c>
      <c r="AK2301" s="521" t="s">
        <v>272</v>
      </c>
      <c r="AM2301" s="745" t="s">
        <v>281</v>
      </c>
      <c r="AN2301" s="746" t="s">
        <v>282</v>
      </c>
      <c r="AO2301" s="522" t="s">
        <v>278</v>
      </c>
      <c r="AR2301" s="51"/>
      <c r="AS2301" s="42" t="s">
        <v>139</v>
      </c>
    </row>
    <row r="2302" spans="1:45" s="520" customFormat="1" ht="12" customHeight="1">
      <c r="A2302" s="747">
        <v>50</v>
      </c>
      <c r="B2302" s="523" t="s">
        <v>320</v>
      </c>
      <c r="C2302" s="748"/>
      <c r="D2302" s="749" t="s">
        <v>1479</v>
      </c>
      <c r="E2302" s="750">
        <f ca="1">IF(AND($A2302=0,$A$1="DIF"),0, ROUND(ROUND(($R2307*$S$2+($T2307*$T$2))/A2302,2)*$C$2,2))</f>
        <v>16.309999999999999</v>
      </c>
      <c r="F2302" s="751">
        <f ca="1">ROUND($A2302*$E2302,2)</f>
        <v>815.5</v>
      </c>
      <c r="G2302" s="752" t="s">
        <v>142</v>
      </c>
      <c r="H2302" s="753"/>
      <c r="I2302" s="754"/>
      <c r="J2302" s="753"/>
      <c r="K2302" s="753" t="s">
        <v>3</v>
      </c>
      <c r="L2302" s="755" t="s">
        <v>143</v>
      </c>
      <c r="M2302" s="755"/>
      <c r="N2302" s="755"/>
      <c r="O2302" s="755"/>
      <c r="P2302" s="755"/>
      <c r="Q2302" s="51"/>
      <c r="T2302" s="756" t="str">
        <f ca="1">IF(AND($R2307=0,$T2307=0),"0.00","mu :" &amp; ROUND($F2302/$C$2/($R2307+$T2307*$D$9),2))</f>
        <v>mu :1.23</v>
      </c>
      <c r="W2302" s="524"/>
      <c r="AG2302" s="481">
        <f ca="1">IF($E2302=0,0,ROUND($R2307*$S$2*$C$2/$A2302,2))</f>
        <v>13.61</v>
      </c>
      <c r="AH2302" s="481">
        <f ca="1">$AG2302*$A2302</f>
        <v>680.5</v>
      </c>
      <c r="AI2302" s="525">
        <f ca="1">$E2302-$AG2302</f>
        <v>2.6999999999999993</v>
      </c>
      <c r="AJ2302" s="525">
        <f ca="1">$A2302*$AI2302</f>
        <v>134.99999999999997</v>
      </c>
      <c r="AK2302" s="526">
        <f ca="1">ROUND(($AG2302+$AI2302)*$A2302,2)</f>
        <v>815.5</v>
      </c>
      <c r="AM2302" s="527">
        <f ca="1">ROUND(R2307,2)</f>
        <v>552.5</v>
      </c>
      <c r="AN2302" s="528">
        <f ca="1">ROUND(T2307,2)</f>
        <v>4</v>
      </c>
      <c r="AO2302" s="529">
        <f ca="1">ROUND(AM2302+AN2302,2)*A2302</f>
        <v>27825</v>
      </c>
      <c r="AR2302" s="747">
        <v>50</v>
      </c>
      <c r="AS2302" s="751">
        <v>815.5</v>
      </c>
    </row>
    <row r="2303" spans="1:45" s="520" customFormat="1" ht="13.2">
      <c r="A2303" s="748"/>
      <c r="B2303"/>
      <c r="C2303" s="748"/>
      <c r="D2303" s="749" t="s">
        <v>1480</v>
      </c>
      <c r="F2303" s="753"/>
      <c r="G2303" s="3"/>
      <c r="H2303" s="753"/>
      <c r="I2303" s="754"/>
      <c r="J2303" s="753"/>
      <c r="K2303" s="753" t="s">
        <v>144</v>
      </c>
      <c r="L2303" s="753"/>
      <c r="M2303" s="753"/>
      <c r="N2303" s="753"/>
      <c r="O2303" s="753"/>
      <c r="P2303" s="753"/>
      <c r="Q2303" s="51"/>
      <c r="R2303" s="530"/>
      <c r="S2303" s="757"/>
      <c r="T2303" s="753"/>
      <c r="AR2303" s="748"/>
      <c r="AS2303" s="753"/>
    </row>
    <row r="2304" spans="1:45" s="886" customFormat="1" ht="13.2">
      <c r="A2304"/>
      <c r="B2304" s="910"/>
      <c r="C2304" s="910" t="s">
        <v>2597</v>
      </c>
      <c r="D2304" s="910" t="str">
        <f ca="1">CELL("Address",Elec_Rates!D$458)</f>
        <v>[E25_0062_Quintano_Foods_Elec_ELV_As_Awarded.xlsx]Elec_Rates!$D$458</v>
      </c>
      <c r="E2304" s="911"/>
      <c r="F2304" s="911"/>
      <c r="G2304" s="912" t="s">
        <v>2598</v>
      </c>
      <c r="H2304" s="912"/>
      <c r="I2304" s="912"/>
      <c r="J2304" s="912"/>
      <c r="K2304" s="913"/>
      <c r="L2304" s="911"/>
      <c r="M2304" s="911"/>
      <c r="N2304" s="911"/>
      <c r="O2304" s="914"/>
      <c r="P2304" s="911"/>
      <c r="Q2304" s="915"/>
      <c r="R2304" s="916"/>
      <c r="S2304" s="915"/>
      <c r="T2304" s="917"/>
      <c r="U2304" s="918"/>
      <c r="AR2304"/>
      <c r="AS2304" s="911"/>
    </row>
    <row r="2305" spans="1:45" s="886" customFormat="1" ht="11.4">
      <c r="A2305" s="919">
        <v>50</v>
      </c>
      <c r="B2305" s="920">
        <v>1</v>
      </c>
      <c r="C2305" s="920">
        <f>$A2305*$B2305</f>
        <v>50</v>
      </c>
      <c r="D2305" s="921" t="str">
        <f>Elec_Rates!$D$458</f>
        <v>044# 5 x 4mm2 F120 Fire Resistant Cable (BS7846) -  XLPE/SWA/LSZH</v>
      </c>
      <c r="E2305" s="921"/>
      <c r="F2305" s="921" t="s">
        <v>2599</v>
      </c>
      <c r="G2305" s="922" t="s">
        <v>2601</v>
      </c>
      <c r="H2305" s="922"/>
      <c r="I2305" s="922"/>
      <c r="J2305" s="922"/>
      <c r="K2305" s="923"/>
      <c r="L2305" s="918"/>
      <c r="M2305" s="918"/>
      <c r="N2305" s="918"/>
      <c r="O2305" s="924"/>
      <c r="P2305" s="921"/>
      <c r="Q2305" s="925">
        <f ca="1">$B2305*Elec_Rates!$R$458</f>
        <v>11.05</v>
      </c>
      <c r="R2305" s="916">
        <f ca="1">$A2305*Q2305</f>
        <v>552.5</v>
      </c>
      <c r="S2305" s="925">
        <f ca="1">$B2305*Elec_Rates!$T$458</f>
        <v>0.08</v>
      </c>
      <c r="T2305" s="917">
        <f ca="1">$A2305*S2305</f>
        <v>4</v>
      </c>
      <c r="U2305" s="926"/>
      <c r="AR2305" s="919">
        <v>50</v>
      </c>
      <c r="AS2305" s="921" t="s">
        <v>2599</v>
      </c>
    </row>
    <row r="2306" spans="1:45" s="520" customFormat="1" ht="12">
      <c r="A2306" s="758"/>
      <c r="B2306" s="758"/>
      <c r="C2306" s="758"/>
      <c r="D2306" s="758"/>
      <c r="E2306" s="758"/>
      <c r="F2306" s="753"/>
      <c r="G2306" s="758"/>
      <c r="H2306" s="758"/>
      <c r="I2306" s="519"/>
      <c r="J2306" s="758"/>
      <c r="K2306" s="758"/>
      <c r="L2306" s="758"/>
      <c r="M2306" s="758"/>
      <c r="N2306" s="758"/>
      <c r="O2306" s="758"/>
      <c r="P2306" s="758"/>
      <c r="Q2306" s="519"/>
      <c r="R2306" s="759">
        <f>$A2306*Q2306</f>
        <v>0</v>
      </c>
      <c r="S2306" s="519"/>
      <c r="T2306" s="760">
        <f>$A2306*S2306*$T$1</f>
        <v>0</v>
      </c>
      <c r="AR2306" s="758"/>
      <c r="AS2306" s="753"/>
    </row>
    <row r="2307" spans="1:45" s="520" customFormat="1" ht="12.6" thickBot="1">
      <c r="A2307" s="761" t="s">
        <v>145</v>
      </c>
      <c r="B2307" s="762">
        <f>(R2306+T2306)</f>
        <v>0</v>
      </c>
      <c r="C2307" s="763"/>
      <c r="D2307" s="763"/>
      <c r="E2307" s="763"/>
      <c r="F2307" s="764"/>
      <c r="G2307" s="763" t="s">
        <v>146</v>
      </c>
      <c r="H2307" s="763"/>
      <c r="I2307" s="765"/>
      <c r="J2307" s="763"/>
      <c r="K2307" s="763" t="s">
        <v>3</v>
      </c>
      <c r="L2307" s="766" t="s">
        <v>143</v>
      </c>
      <c r="M2307" s="766"/>
      <c r="N2307" s="766"/>
      <c r="O2307" s="766"/>
      <c r="P2307" s="766"/>
      <c r="Q2307" s="767"/>
      <c r="R2307" s="768">
        <f ca="1">SUM(R2303:R2306)</f>
        <v>552.5</v>
      </c>
      <c r="S2307" s="763"/>
      <c r="T2307" s="768">
        <f ca="1">SUM(T2303:T2306)</f>
        <v>4</v>
      </c>
      <c r="U2307" s="531"/>
      <c r="V2307" s="531"/>
      <c r="W2307" s="531"/>
      <c r="X2307" s="531"/>
      <c r="Y2307" s="531"/>
      <c r="Z2307" s="531"/>
      <c r="AA2307" s="531"/>
      <c r="AB2307" s="531"/>
      <c r="AC2307" s="531"/>
      <c r="AD2307" s="531"/>
      <c r="AE2307" s="531"/>
      <c r="AF2307" s="531"/>
      <c r="AG2307" s="531"/>
      <c r="AH2307" s="531"/>
      <c r="AI2307" s="531"/>
      <c r="AJ2307" s="531"/>
      <c r="AK2307" s="531"/>
      <c r="AL2307" s="531"/>
      <c r="AM2307" s="531"/>
      <c r="AN2307" s="531"/>
      <c r="AO2307" s="531"/>
      <c r="AR2307" s="761" t="s">
        <v>145</v>
      </c>
      <c r="AS2307" s="764"/>
    </row>
    <row r="2308" spans="1:45" s="520" customFormat="1" ht="12" thickTop="1">
      <c r="A2308" s="51"/>
      <c r="B2308" s="41"/>
      <c r="C2308" s="51"/>
      <c r="E2308" s="42" t="s">
        <v>138</v>
      </c>
      <c r="F2308" s="42" t="s">
        <v>139</v>
      </c>
      <c r="G2308" s="51"/>
      <c r="H2308" s="51"/>
      <c r="I2308" s="51"/>
      <c r="J2308" s="51"/>
      <c r="K2308" s="51" t="s">
        <v>140</v>
      </c>
      <c r="L2308" s="51"/>
      <c r="M2308" s="51"/>
      <c r="N2308" s="51"/>
      <c r="O2308" s="52"/>
      <c r="P2308" s="51"/>
      <c r="Q2308" s="51"/>
      <c r="R2308" s="51"/>
      <c r="S2308" s="51"/>
      <c r="T2308" s="41"/>
      <c r="AG2308" s="521" t="s">
        <v>268</v>
      </c>
      <c r="AH2308" s="521" t="s">
        <v>269</v>
      </c>
      <c r="AI2308" s="521" t="s">
        <v>270</v>
      </c>
      <c r="AJ2308" s="521" t="s">
        <v>271</v>
      </c>
      <c r="AK2308" s="521" t="s">
        <v>272</v>
      </c>
      <c r="AM2308" s="745" t="s">
        <v>281</v>
      </c>
      <c r="AN2308" s="746" t="s">
        <v>282</v>
      </c>
      <c r="AO2308" s="522" t="s">
        <v>278</v>
      </c>
      <c r="AR2308" s="51"/>
      <c r="AS2308" s="42" t="s">
        <v>139</v>
      </c>
    </row>
    <row r="2309" spans="1:45" s="520" customFormat="1" ht="12" customHeight="1">
      <c r="A2309" s="747">
        <v>40</v>
      </c>
      <c r="B2309" s="523" t="s">
        <v>320</v>
      </c>
      <c r="C2309" s="748"/>
      <c r="D2309" s="749" t="s">
        <v>1481</v>
      </c>
      <c r="E2309" s="750">
        <f ca="1">IF(AND($A2309=0,$A$1="DIF"),0, ROUND(ROUND(($R2314*$S$2+($T2314*$T$2))/A2309,2)*$C$2,2))</f>
        <v>16.309999999999999</v>
      </c>
      <c r="F2309" s="751">
        <f ca="1">ROUND($A2309*$E2309,2)</f>
        <v>652.4</v>
      </c>
      <c r="G2309" s="752" t="s">
        <v>142</v>
      </c>
      <c r="H2309" s="753"/>
      <c r="I2309" s="754"/>
      <c r="J2309" s="753"/>
      <c r="K2309" s="753" t="s">
        <v>3</v>
      </c>
      <c r="L2309" s="755" t="s">
        <v>143</v>
      </c>
      <c r="M2309" s="755"/>
      <c r="N2309" s="755"/>
      <c r="O2309" s="755"/>
      <c r="P2309" s="755"/>
      <c r="Q2309" s="51"/>
      <c r="T2309" s="756" t="str">
        <f ca="1">IF(AND($R2314=0,$T2314=0),"0.00","mu :" &amp; ROUND($F2309/$C$2/($R2314+$T2314*$D$9),2))</f>
        <v>mu :1.23</v>
      </c>
      <c r="W2309" s="524"/>
      <c r="AG2309" s="481">
        <f ca="1">IF($E2309=0,0,ROUND($R2314*$S$2*$C$2/$A2309,2))</f>
        <v>13.61</v>
      </c>
      <c r="AH2309" s="481">
        <f ca="1">$AG2309*$A2309</f>
        <v>544.4</v>
      </c>
      <c r="AI2309" s="525">
        <f ca="1">$E2309-$AG2309</f>
        <v>2.6999999999999993</v>
      </c>
      <c r="AJ2309" s="525">
        <f ca="1">$A2309*$AI2309</f>
        <v>107.99999999999997</v>
      </c>
      <c r="AK2309" s="526">
        <f ca="1">ROUND(($AG2309+$AI2309)*$A2309,2)</f>
        <v>652.4</v>
      </c>
      <c r="AM2309" s="527">
        <f ca="1">ROUND(R2314,2)</f>
        <v>442</v>
      </c>
      <c r="AN2309" s="528">
        <f ca="1">ROUND(T2314,2)</f>
        <v>3.2</v>
      </c>
      <c r="AO2309" s="529">
        <f ca="1">ROUND(AM2309+AN2309,2)*A2309</f>
        <v>17808</v>
      </c>
      <c r="AR2309" s="747">
        <v>40</v>
      </c>
      <c r="AS2309" s="751">
        <v>652.4</v>
      </c>
    </row>
    <row r="2310" spans="1:45" s="520" customFormat="1" ht="13.2">
      <c r="A2310" s="748"/>
      <c r="B2310"/>
      <c r="C2310" s="748"/>
      <c r="D2310" s="749" t="s">
        <v>1482</v>
      </c>
      <c r="F2310" s="753"/>
      <c r="G2310" s="3"/>
      <c r="H2310" s="753"/>
      <c r="I2310" s="754"/>
      <c r="J2310" s="753"/>
      <c r="K2310" s="753" t="s">
        <v>144</v>
      </c>
      <c r="L2310" s="753"/>
      <c r="M2310" s="753"/>
      <c r="N2310" s="753"/>
      <c r="O2310" s="753"/>
      <c r="P2310" s="753"/>
      <c r="Q2310" s="51"/>
      <c r="R2310" s="530"/>
      <c r="S2310" s="757"/>
      <c r="T2310" s="753"/>
      <c r="AR2310" s="748"/>
      <c r="AS2310" s="753"/>
    </row>
    <row r="2311" spans="1:45" s="886" customFormat="1" ht="13.2">
      <c r="A2311"/>
      <c r="B2311" s="910"/>
      <c r="C2311" s="910" t="s">
        <v>2597</v>
      </c>
      <c r="D2311" s="910" t="str">
        <f ca="1">CELL("Address",Elec_Rates!D$458)</f>
        <v>[E25_0062_Quintano_Foods_Elec_ELV_As_Awarded.xlsx]Elec_Rates!$D$458</v>
      </c>
      <c r="E2311" s="911"/>
      <c r="F2311" s="911"/>
      <c r="G2311" s="912" t="s">
        <v>2598</v>
      </c>
      <c r="H2311" s="912"/>
      <c r="I2311" s="912"/>
      <c r="J2311" s="912"/>
      <c r="K2311" s="913"/>
      <c r="L2311" s="911"/>
      <c r="M2311" s="911"/>
      <c r="N2311" s="911"/>
      <c r="O2311" s="914"/>
      <c r="P2311" s="911"/>
      <c r="Q2311" s="915"/>
      <c r="R2311" s="916"/>
      <c r="S2311" s="915"/>
      <c r="T2311" s="917"/>
      <c r="U2311" s="918"/>
      <c r="AR2311"/>
      <c r="AS2311" s="911"/>
    </row>
    <row r="2312" spans="1:45" s="886" customFormat="1" ht="11.4">
      <c r="A2312" s="919">
        <v>40</v>
      </c>
      <c r="B2312" s="920">
        <v>1</v>
      </c>
      <c r="C2312" s="920">
        <f>$A2312*$B2312</f>
        <v>40</v>
      </c>
      <c r="D2312" s="921" t="str">
        <f>Elec_Rates!$D$458</f>
        <v>044# 5 x 4mm2 F120 Fire Resistant Cable (BS7846) -  XLPE/SWA/LSZH</v>
      </c>
      <c r="E2312" s="921"/>
      <c r="F2312" s="921" t="s">
        <v>2599</v>
      </c>
      <c r="G2312" s="922" t="s">
        <v>2601</v>
      </c>
      <c r="H2312" s="922"/>
      <c r="I2312" s="922"/>
      <c r="J2312" s="922"/>
      <c r="K2312" s="923"/>
      <c r="L2312" s="918"/>
      <c r="M2312" s="918"/>
      <c r="N2312" s="918"/>
      <c r="O2312" s="924"/>
      <c r="P2312" s="921"/>
      <c r="Q2312" s="925">
        <f ca="1">$B2312*Elec_Rates!$R$458</f>
        <v>11.05</v>
      </c>
      <c r="R2312" s="916">
        <f ca="1">$A2312*Q2312</f>
        <v>442</v>
      </c>
      <c r="S2312" s="925">
        <f ca="1">$B2312*Elec_Rates!$T$458</f>
        <v>0.08</v>
      </c>
      <c r="T2312" s="917">
        <f ca="1">$A2312*S2312</f>
        <v>3.2</v>
      </c>
      <c r="U2312" s="926"/>
      <c r="AR2312" s="919">
        <v>40</v>
      </c>
      <c r="AS2312" s="921" t="s">
        <v>2599</v>
      </c>
    </row>
    <row r="2313" spans="1:45" s="520" customFormat="1" ht="12">
      <c r="A2313" s="758"/>
      <c r="B2313" s="758"/>
      <c r="C2313" s="758"/>
      <c r="D2313" s="758"/>
      <c r="E2313" s="758"/>
      <c r="F2313" s="753"/>
      <c r="G2313" s="758"/>
      <c r="H2313" s="758"/>
      <c r="I2313" s="519"/>
      <c r="J2313" s="758"/>
      <c r="K2313" s="758"/>
      <c r="L2313" s="758"/>
      <c r="M2313" s="758"/>
      <c r="N2313" s="758"/>
      <c r="O2313" s="758"/>
      <c r="P2313" s="758"/>
      <c r="Q2313" s="519"/>
      <c r="R2313" s="759">
        <f>$A2313*Q2313</f>
        <v>0</v>
      </c>
      <c r="S2313" s="519"/>
      <c r="T2313" s="760">
        <f>$A2313*S2313*$T$1</f>
        <v>0</v>
      </c>
      <c r="AR2313" s="758"/>
      <c r="AS2313" s="753"/>
    </row>
    <row r="2314" spans="1:45" s="520" customFormat="1" ht="12.6" thickBot="1">
      <c r="A2314" s="761" t="s">
        <v>145</v>
      </c>
      <c r="B2314" s="762">
        <f>(R2313+T2313)</f>
        <v>0</v>
      </c>
      <c r="C2314" s="763"/>
      <c r="D2314" s="763"/>
      <c r="E2314" s="763"/>
      <c r="F2314" s="764"/>
      <c r="G2314" s="763" t="s">
        <v>146</v>
      </c>
      <c r="H2314" s="763"/>
      <c r="I2314" s="765"/>
      <c r="J2314" s="763"/>
      <c r="K2314" s="763" t="s">
        <v>3</v>
      </c>
      <c r="L2314" s="766" t="s">
        <v>143</v>
      </c>
      <c r="M2314" s="766"/>
      <c r="N2314" s="766"/>
      <c r="O2314" s="766"/>
      <c r="P2314" s="766"/>
      <c r="Q2314" s="767"/>
      <c r="R2314" s="768">
        <f ca="1">SUM(R2310:R2313)</f>
        <v>442</v>
      </c>
      <c r="S2314" s="763"/>
      <c r="T2314" s="768">
        <f ca="1">SUM(T2310:T2313)</f>
        <v>3.2</v>
      </c>
      <c r="U2314" s="531"/>
      <c r="V2314" s="531"/>
      <c r="W2314" s="531"/>
      <c r="X2314" s="531"/>
      <c r="Y2314" s="531"/>
      <c r="Z2314" s="531"/>
      <c r="AA2314" s="531"/>
      <c r="AB2314" s="531"/>
      <c r="AC2314" s="531"/>
      <c r="AD2314" s="531"/>
      <c r="AE2314" s="531"/>
      <c r="AF2314" s="531"/>
      <c r="AG2314" s="531"/>
      <c r="AH2314" s="531"/>
      <c r="AI2314" s="531"/>
      <c r="AJ2314" s="531"/>
      <c r="AK2314" s="531"/>
      <c r="AL2314" s="531"/>
      <c r="AM2314" s="531"/>
      <c r="AN2314" s="531"/>
      <c r="AO2314" s="531"/>
      <c r="AR2314" s="761" t="s">
        <v>145</v>
      </c>
      <c r="AS2314" s="764"/>
    </row>
    <row r="2315" spans="1:45" s="520" customFormat="1" ht="12" thickTop="1">
      <c r="A2315" s="51"/>
      <c r="B2315" s="41"/>
      <c r="C2315" s="51"/>
      <c r="E2315" s="42" t="s">
        <v>138</v>
      </c>
      <c r="F2315" s="42" t="s">
        <v>139</v>
      </c>
      <c r="G2315" s="51"/>
      <c r="H2315" s="51"/>
      <c r="I2315" s="51"/>
      <c r="J2315" s="51"/>
      <c r="K2315" s="51" t="s">
        <v>140</v>
      </c>
      <c r="L2315" s="51"/>
      <c r="M2315" s="51"/>
      <c r="N2315" s="51"/>
      <c r="O2315" s="52"/>
      <c r="P2315" s="51"/>
      <c r="Q2315" s="51"/>
      <c r="R2315" s="51"/>
      <c r="S2315" s="51"/>
      <c r="T2315" s="41"/>
      <c r="AG2315" s="521" t="s">
        <v>268</v>
      </c>
      <c r="AH2315" s="521" t="s">
        <v>269</v>
      </c>
      <c r="AI2315" s="521" t="s">
        <v>270</v>
      </c>
      <c r="AJ2315" s="521" t="s">
        <v>271</v>
      </c>
      <c r="AK2315" s="521" t="s">
        <v>272</v>
      </c>
      <c r="AM2315" s="745" t="s">
        <v>281</v>
      </c>
      <c r="AN2315" s="746" t="s">
        <v>282</v>
      </c>
      <c r="AO2315" s="522" t="s">
        <v>278</v>
      </c>
      <c r="AR2315" s="51"/>
      <c r="AS2315" s="42" t="s">
        <v>139</v>
      </c>
    </row>
    <row r="2316" spans="1:45" s="520" customFormat="1" ht="12" customHeight="1">
      <c r="A2316" s="747">
        <v>65</v>
      </c>
      <c r="B2316" s="523" t="s">
        <v>320</v>
      </c>
      <c r="C2316" s="748"/>
      <c r="D2316" s="749" t="s">
        <v>1483</v>
      </c>
      <c r="E2316" s="750">
        <f ca="1">IF(AND($A2316=0,$A$1="DIF"),0, ROUND(ROUND(($R2321*$S$2+($T2321*$T$2))/A2316,2)*$C$2,2))</f>
        <v>16.2</v>
      </c>
      <c r="F2316" s="751">
        <f ca="1">ROUND($A2316*$E2316,2)</f>
        <v>1053</v>
      </c>
      <c r="G2316" s="752" t="s">
        <v>142</v>
      </c>
      <c r="H2316" s="753"/>
      <c r="I2316" s="754"/>
      <c r="J2316" s="753"/>
      <c r="K2316" s="753" t="s">
        <v>3</v>
      </c>
      <c r="L2316" s="755" t="s">
        <v>143</v>
      </c>
      <c r="M2316" s="755"/>
      <c r="N2316" s="755"/>
      <c r="O2316" s="755"/>
      <c r="P2316" s="755"/>
      <c r="Q2316" s="51"/>
      <c r="T2316" s="756" t="str">
        <f ca="1">IF(AND($R2321=0,$T2321=0),"0.00","mu :" &amp; ROUND($F2316/$C$2/($R2321+$T2321*$D$9),2))</f>
        <v>mu :1.23</v>
      </c>
      <c r="W2316" s="524"/>
      <c r="AG2316" s="481">
        <f ca="1">IF($E2316=0,0,ROUND($R2321*$S$2*$C$2/$A2316,2))</f>
        <v>14.17</v>
      </c>
      <c r="AH2316" s="481">
        <f ca="1">$AG2316*$A2316</f>
        <v>921.05</v>
      </c>
      <c r="AI2316" s="525">
        <f ca="1">$E2316-$AG2316</f>
        <v>2.0299999999999994</v>
      </c>
      <c r="AJ2316" s="525">
        <f ca="1">$A2316*$AI2316</f>
        <v>131.94999999999996</v>
      </c>
      <c r="AK2316" s="526">
        <f ca="1">ROUND(($AG2316+$AI2316)*$A2316,2)</f>
        <v>1053</v>
      </c>
      <c r="AM2316" s="527">
        <f ca="1">ROUND(R2321,2)</f>
        <v>748.15</v>
      </c>
      <c r="AN2316" s="528">
        <f ca="1">ROUND(T2321,2)</f>
        <v>3.9</v>
      </c>
      <c r="AO2316" s="529">
        <f ca="1">ROUND(AM2316+AN2316,2)*A2316</f>
        <v>48883.25</v>
      </c>
      <c r="AR2316" s="747">
        <v>65</v>
      </c>
      <c r="AS2316" s="751">
        <v>1075.0999999999999</v>
      </c>
    </row>
    <row r="2317" spans="1:45" s="520" customFormat="1" ht="13.2">
      <c r="A2317" s="748"/>
      <c r="B2317"/>
      <c r="C2317" s="748"/>
      <c r="D2317" s="749" t="s">
        <v>1484</v>
      </c>
      <c r="F2317" s="753"/>
      <c r="G2317" s="3"/>
      <c r="H2317" s="753"/>
      <c r="I2317" s="754"/>
      <c r="J2317" s="753"/>
      <c r="K2317" s="753" t="s">
        <v>144</v>
      </c>
      <c r="L2317" s="753"/>
      <c r="M2317" s="753"/>
      <c r="N2317" s="753"/>
      <c r="O2317" s="753"/>
      <c r="P2317" s="753"/>
      <c r="Q2317" s="51"/>
      <c r="R2317" s="530"/>
      <c r="S2317" s="757"/>
      <c r="T2317" s="753"/>
      <c r="AR2317" s="748"/>
      <c r="AS2317" s="753"/>
    </row>
    <row r="2318" spans="1:45" s="886" customFormat="1" ht="13.2">
      <c r="A2318"/>
      <c r="B2318" s="910"/>
      <c r="C2318" s="910" t="s">
        <v>2597</v>
      </c>
      <c r="D2318" s="910" t="str">
        <f ca="1">CELL("Address",Elec_Rates!D$498)</f>
        <v>[E25_0062_Quintano_Foods_Elec_ELV_As_Awarded.xlsx]Elec_Rates!$D$498</v>
      </c>
      <c r="E2318" s="911"/>
      <c r="F2318" s="911"/>
      <c r="G2318" s="912" t="s">
        <v>2598</v>
      </c>
      <c r="H2318" s="912"/>
      <c r="I2318" s="912"/>
      <c r="J2318" s="912"/>
      <c r="K2318" s="913"/>
      <c r="L2318" s="911"/>
      <c r="M2318" s="911"/>
      <c r="N2318" s="911"/>
      <c r="O2318" s="914"/>
      <c r="P2318" s="911"/>
      <c r="Q2318" s="915"/>
      <c r="R2318" s="916"/>
      <c r="S2318" s="915"/>
      <c r="T2318" s="917"/>
      <c r="U2318" s="918"/>
      <c r="AR2318"/>
      <c r="AS2318" s="911"/>
    </row>
    <row r="2319" spans="1:45" s="886" customFormat="1" ht="11.4">
      <c r="A2319" s="919">
        <v>65</v>
      </c>
      <c r="B2319" s="920">
        <v>1</v>
      </c>
      <c r="C2319" s="920">
        <f>$A2319*$B2319</f>
        <v>65</v>
      </c>
      <c r="D2319" s="921" t="str">
        <f>Elec_Rates!$D$498</f>
        <v>047# 5 x 2.5mm2 F120 Fire Resistant Cable (BS7846) -  XLPE/SWA/LSZH - at high level</v>
      </c>
      <c r="E2319" s="921"/>
      <c r="F2319" s="921" t="s">
        <v>2599</v>
      </c>
      <c r="G2319" s="922" t="s">
        <v>2601</v>
      </c>
      <c r="H2319" s="922"/>
      <c r="I2319" s="922"/>
      <c r="J2319" s="922"/>
      <c r="K2319" s="923"/>
      <c r="L2319" s="918"/>
      <c r="M2319" s="918"/>
      <c r="N2319" s="918"/>
      <c r="O2319" s="924"/>
      <c r="P2319" s="921"/>
      <c r="Q2319" s="925">
        <f ca="1">$B2319*Elec_Rates!$R$498</f>
        <v>11.51</v>
      </c>
      <c r="R2319" s="916">
        <f ca="1">$A2319*Q2319</f>
        <v>748.15</v>
      </c>
      <c r="S2319" s="925">
        <f ca="1">$B2319*Elec_Rates!$T$498</f>
        <v>0.06</v>
      </c>
      <c r="T2319" s="917">
        <f ca="1">$A2319*S2319</f>
        <v>3.9</v>
      </c>
      <c r="U2319" s="926"/>
      <c r="AR2319" s="919">
        <v>65</v>
      </c>
      <c r="AS2319" s="921" t="s">
        <v>2599</v>
      </c>
    </row>
    <row r="2320" spans="1:45" s="520" customFormat="1" ht="12">
      <c r="A2320" s="758"/>
      <c r="B2320" s="758"/>
      <c r="C2320" s="758"/>
      <c r="D2320" s="758"/>
      <c r="E2320" s="758"/>
      <c r="F2320" s="753"/>
      <c r="G2320" s="758"/>
      <c r="H2320" s="758"/>
      <c r="I2320" s="519"/>
      <c r="J2320" s="758"/>
      <c r="K2320" s="758"/>
      <c r="L2320" s="758"/>
      <c r="M2320" s="758"/>
      <c r="N2320" s="758"/>
      <c r="O2320" s="758"/>
      <c r="P2320" s="758"/>
      <c r="Q2320" s="519"/>
      <c r="R2320" s="759">
        <f>$A2320*Q2320</f>
        <v>0</v>
      </c>
      <c r="S2320" s="519"/>
      <c r="T2320" s="760">
        <f>$A2320*S2320*$T$1</f>
        <v>0</v>
      </c>
      <c r="AR2320" s="758"/>
      <c r="AS2320" s="753"/>
    </row>
    <row r="2321" spans="1:45" s="520" customFormat="1" ht="12.6" thickBot="1">
      <c r="A2321" s="761" t="s">
        <v>145</v>
      </c>
      <c r="B2321" s="762">
        <f>(R2320+T2320)</f>
        <v>0</v>
      </c>
      <c r="C2321" s="763"/>
      <c r="D2321" s="763"/>
      <c r="E2321" s="763"/>
      <c r="F2321" s="764"/>
      <c r="G2321" s="763" t="s">
        <v>146</v>
      </c>
      <c r="H2321" s="763"/>
      <c r="I2321" s="765"/>
      <c r="J2321" s="763"/>
      <c r="K2321" s="763" t="s">
        <v>3</v>
      </c>
      <c r="L2321" s="766" t="s">
        <v>143</v>
      </c>
      <c r="M2321" s="766"/>
      <c r="N2321" s="766"/>
      <c r="O2321" s="766"/>
      <c r="P2321" s="766"/>
      <c r="Q2321" s="767"/>
      <c r="R2321" s="768">
        <f ca="1">SUM(R2317:R2320)</f>
        <v>748.15</v>
      </c>
      <c r="S2321" s="763"/>
      <c r="T2321" s="768">
        <f ca="1">SUM(T2317:T2320)</f>
        <v>3.9</v>
      </c>
      <c r="U2321" s="531"/>
      <c r="V2321" s="531"/>
      <c r="W2321" s="531"/>
      <c r="X2321" s="531"/>
      <c r="Y2321" s="531"/>
      <c r="Z2321" s="531"/>
      <c r="AA2321" s="531"/>
      <c r="AB2321" s="531"/>
      <c r="AC2321" s="531"/>
      <c r="AD2321" s="531"/>
      <c r="AE2321" s="531"/>
      <c r="AF2321" s="531"/>
      <c r="AG2321" s="531"/>
      <c r="AH2321" s="531"/>
      <c r="AI2321" s="531"/>
      <c r="AJ2321" s="531"/>
      <c r="AK2321" s="531"/>
      <c r="AL2321" s="531"/>
      <c r="AM2321" s="531"/>
      <c r="AN2321" s="531"/>
      <c r="AO2321" s="531"/>
      <c r="AR2321" s="761" t="s">
        <v>145</v>
      </c>
      <c r="AS2321" s="764"/>
    </row>
    <row r="2322" spans="1:45" s="520" customFormat="1" ht="12" thickTop="1">
      <c r="A2322" s="51"/>
      <c r="B2322" s="41"/>
      <c r="C2322" s="51"/>
      <c r="E2322" s="42" t="s">
        <v>138</v>
      </c>
      <c r="F2322" s="42" t="s">
        <v>139</v>
      </c>
      <c r="G2322" s="51"/>
      <c r="H2322" s="51"/>
      <c r="I2322" s="51"/>
      <c r="J2322" s="51"/>
      <c r="K2322" s="51" t="s">
        <v>140</v>
      </c>
      <c r="L2322" s="51"/>
      <c r="M2322" s="51"/>
      <c r="N2322" s="51"/>
      <c r="O2322" s="52"/>
      <c r="P2322" s="51"/>
      <c r="Q2322" s="51"/>
      <c r="R2322" s="51"/>
      <c r="S2322" s="51"/>
      <c r="T2322" s="41"/>
      <c r="AG2322" s="521" t="s">
        <v>268</v>
      </c>
      <c r="AH2322" s="521" t="s">
        <v>269</v>
      </c>
      <c r="AI2322" s="521" t="s">
        <v>270</v>
      </c>
      <c r="AJ2322" s="521" t="s">
        <v>271</v>
      </c>
      <c r="AK2322" s="521" t="s">
        <v>272</v>
      </c>
      <c r="AM2322" s="745" t="s">
        <v>281</v>
      </c>
      <c r="AN2322" s="746" t="s">
        <v>282</v>
      </c>
      <c r="AO2322" s="522" t="s">
        <v>278</v>
      </c>
      <c r="AR2322" s="51"/>
      <c r="AS2322" s="42" t="s">
        <v>139</v>
      </c>
    </row>
    <row r="2323" spans="1:45" s="520" customFormat="1" ht="12" customHeight="1">
      <c r="A2323" s="747">
        <v>55</v>
      </c>
      <c r="B2323" s="523" t="s">
        <v>320</v>
      </c>
      <c r="C2323" s="748"/>
      <c r="D2323" s="749" t="s">
        <v>1485</v>
      </c>
      <c r="E2323" s="750">
        <f ca="1">IF(AND($A2323=0,$A$1="DIF"),0, ROUND(ROUND(($R2328*$S$2+($T2328*$T$2))/A2323,2)*$C$2,2))</f>
        <v>16.2</v>
      </c>
      <c r="F2323" s="751">
        <f ca="1">ROUND($A2323*$E2323,2)</f>
        <v>891</v>
      </c>
      <c r="G2323" s="752" t="s">
        <v>142</v>
      </c>
      <c r="H2323" s="753"/>
      <c r="I2323" s="754"/>
      <c r="J2323" s="753"/>
      <c r="K2323" s="753" t="s">
        <v>3</v>
      </c>
      <c r="L2323" s="755" t="s">
        <v>143</v>
      </c>
      <c r="M2323" s="755"/>
      <c r="N2323" s="755"/>
      <c r="O2323" s="755"/>
      <c r="P2323" s="755"/>
      <c r="Q2323" s="51"/>
      <c r="T2323" s="756" t="str">
        <f ca="1">IF(AND($R2328=0,$T2328=0),"0.00","mu :" &amp; ROUND($F2323/$C$2/($R2328+$T2328*$D$9),2))</f>
        <v>mu :1.23</v>
      </c>
      <c r="W2323" s="524"/>
      <c r="AG2323" s="481">
        <f ca="1">IF($E2323=0,0,ROUND($R2328*$S$2*$C$2/$A2323,2))</f>
        <v>14.17</v>
      </c>
      <c r="AH2323" s="481">
        <f ca="1">$AG2323*$A2323</f>
        <v>779.35</v>
      </c>
      <c r="AI2323" s="525">
        <f ca="1">$E2323-$AG2323</f>
        <v>2.0299999999999994</v>
      </c>
      <c r="AJ2323" s="525">
        <f ca="1">$A2323*$AI2323</f>
        <v>111.64999999999996</v>
      </c>
      <c r="AK2323" s="526">
        <f ca="1">ROUND(($AG2323+$AI2323)*$A2323,2)</f>
        <v>891</v>
      </c>
      <c r="AM2323" s="527">
        <f ca="1">ROUND(R2328,2)</f>
        <v>633.04999999999995</v>
      </c>
      <c r="AN2323" s="528">
        <f ca="1">ROUND(T2328,2)</f>
        <v>3.3</v>
      </c>
      <c r="AO2323" s="529">
        <f ca="1">ROUND(AM2323+AN2323,2)*A2323</f>
        <v>34999.25</v>
      </c>
      <c r="AR2323" s="747">
        <v>55</v>
      </c>
      <c r="AS2323" s="751">
        <v>909.7</v>
      </c>
    </row>
    <row r="2324" spans="1:45" s="520" customFormat="1" ht="13.2">
      <c r="A2324" s="748"/>
      <c r="B2324"/>
      <c r="C2324" s="748"/>
      <c r="D2324" s="749" t="s">
        <v>1486</v>
      </c>
      <c r="F2324" s="753"/>
      <c r="G2324" s="3"/>
      <c r="H2324" s="753"/>
      <c r="I2324" s="754"/>
      <c r="J2324" s="753"/>
      <c r="K2324" s="753" t="s">
        <v>144</v>
      </c>
      <c r="L2324" s="753"/>
      <c r="M2324" s="753"/>
      <c r="N2324" s="753"/>
      <c r="O2324" s="753"/>
      <c r="P2324" s="753"/>
      <c r="Q2324" s="51"/>
      <c r="R2324" s="530"/>
      <c r="S2324" s="757"/>
      <c r="T2324" s="753"/>
      <c r="AR2324" s="748"/>
      <c r="AS2324" s="753"/>
    </row>
    <row r="2325" spans="1:45" s="886" customFormat="1" ht="13.2">
      <c r="A2325"/>
      <c r="B2325" s="910"/>
      <c r="C2325" s="910" t="s">
        <v>2597</v>
      </c>
      <c r="D2325" s="910" t="str">
        <f ca="1">CELL("Address",Elec_Rates!D$498)</f>
        <v>[E25_0062_Quintano_Foods_Elec_ELV_As_Awarded.xlsx]Elec_Rates!$D$498</v>
      </c>
      <c r="E2325" s="911"/>
      <c r="F2325" s="911"/>
      <c r="G2325" s="912" t="s">
        <v>2598</v>
      </c>
      <c r="H2325" s="912"/>
      <c r="I2325" s="912"/>
      <c r="J2325" s="912"/>
      <c r="K2325" s="913"/>
      <c r="L2325" s="911"/>
      <c r="M2325" s="911"/>
      <c r="N2325" s="911"/>
      <c r="O2325" s="914"/>
      <c r="P2325" s="911"/>
      <c r="Q2325" s="915"/>
      <c r="R2325" s="916"/>
      <c r="S2325" s="915"/>
      <c r="T2325" s="917"/>
      <c r="U2325" s="918"/>
      <c r="AR2325"/>
      <c r="AS2325" s="911"/>
    </row>
    <row r="2326" spans="1:45" s="886" customFormat="1" ht="11.4">
      <c r="A2326" s="919">
        <v>55</v>
      </c>
      <c r="B2326" s="920">
        <v>1</v>
      </c>
      <c r="C2326" s="920">
        <f>$A2326*$B2326</f>
        <v>55</v>
      </c>
      <c r="D2326" s="921" t="str">
        <f>Elec_Rates!$D$498</f>
        <v>047# 5 x 2.5mm2 F120 Fire Resistant Cable (BS7846) -  XLPE/SWA/LSZH - at high level</v>
      </c>
      <c r="E2326" s="921"/>
      <c r="F2326" s="921" t="s">
        <v>2599</v>
      </c>
      <c r="G2326" s="922" t="s">
        <v>2601</v>
      </c>
      <c r="H2326" s="922"/>
      <c r="I2326" s="922"/>
      <c r="J2326" s="922"/>
      <c r="K2326" s="923"/>
      <c r="L2326" s="918"/>
      <c r="M2326" s="918"/>
      <c r="N2326" s="918"/>
      <c r="O2326" s="924"/>
      <c r="P2326" s="921"/>
      <c r="Q2326" s="925">
        <f ca="1">$B2326*Elec_Rates!$R$498</f>
        <v>11.51</v>
      </c>
      <c r="R2326" s="916">
        <f ca="1">$A2326*Q2326</f>
        <v>633.04999999999995</v>
      </c>
      <c r="S2326" s="925">
        <f ca="1">$B2326*Elec_Rates!$T$498</f>
        <v>0.06</v>
      </c>
      <c r="T2326" s="917">
        <f ca="1">$A2326*S2326</f>
        <v>3.3</v>
      </c>
      <c r="U2326" s="926"/>
      <c r="AR2326" s="919">
        <v>55</v>
      </c>
      <c r="AS2326" s="921" t="s">
        <v>2599</v>
      </c>
    </row>
    <row r="2327" spans="1:45" s="520" customFormat="1" ht="12">
      <c r="A2327" s="758"/>
      <c r="B2327" s="758"/>
      <c r="C2327" s="758"/>
      <c r="D2327" s="758"/>
      <c r="E2327" s="758"/>
      <c r="F2327" s="753"/>
      <c r="G2327" s="758"/>
      <c r="H2327" s="758"/>
      <c r="I2327" s="519"/>
      <c r="J2327" s="758"/>
      <c r="K2327" s="758"/>
      <c r="L2327" s="758"/>
      <c r="M2327" s="758"/>
      <c r="N2327" s="758"/>
      <c r="O2327" s="758"/>
      <c r="P2327" s="758"/>
      <c r="Q2327" s="519"/>
      <c r="R2327" s="759">
        <f>$A2327*Q2327</f>
        <v>0</v>
      </c>
      <c r="S2327" s="519"/>
      <c r="T2327" s="760">
        <f>$A2327*S2327*$T$1</f>
        <v>0</v>
      </c>
      <c r="AR2327" s="758"/>
      <c r="AS2327" s="753"/>
    </row>
    <row r="2328" spans="1:45" s="520" customFormat="1" ht="12.6" thickBot="1">
      <c r="A2328" s="761" t="s">
        <v>145</v>
      </c>
      <c r="B2328" s="762">
        <f>(R2327+T2327)</f>
        <v>0</v>
      </c>
      <c r="C2328" s="763"/>
      <c r="D2328" s="763"/>
      <c r="E2328" s="763"/>
      <c r="F2328" s="764"/>
      <c r="G2328" s="763" t="s">
        <v>146</v>
      </c>
      <c r="H2328" s="763"/>
      <c r="I2328" s="765"/>
      <c r="J2328" s="763"/>
      <c r="K2328" s="763" t="s">
        <v>3</v>
      </c>
      <c r="L2328" s="766" t="s">
        <v>143</v>
      </c>
      <c r="M2328" s="766"/>
      <c r="N2328" s="766"/>
      <c r="O2328" s="766"/>
      <c r="P2328" s="766"/>
      <c r="Q2328" s="767"/>
      <c r="R2328" s="768">
        <f ca="1">SUM(R2324:R2327)</f>
        <v>633.04999999999995</v>
      </c>
      <c r="S2328" s="763"/>
      <c r="T2328" s="768">
        <f ca="1">SUM(T2324:T2327)</f>
        <v>3.3</v>
      </c>
      <c r="U2328" s="531"/>
      <c r="V2328" s="531"/>
      <c r="W2328" s="531"/>
      <c r="X2328" s="531"/>
      <c r="Y2328" s="531"/>
      <c r="Z2328" s="531"/>
      <c r="AA2328" s="531"/>
      <c r="AB2328" s="531"/>
      <c r="AC2328" s="531"/>
      <c r="AD2328" s="531"/>
      <c r="AE2328" s="531"/>
      <c r="AF2328" s="531"/>
      <c r="AG2328" s="531"/>
      <c r="AH2328" s="531"/>
      <c r="AI2328" s="531"/>
      <c r="AJ2328" s="531"/>
      <c r="AK2328" s="531"/>
      <c r="AL2328" s="531"/>
      <c r="AM2328" s="531"/>
      <c r="AN2328" s="531"/>
      <c r="AO2328" s="531"/>
      <c r="AR2328" s="761" t="s">
        <v>145</v>
      </c>
      <c r="AS2328" s="764"/>
    </row>
    <row r="2329" spans="1:45" s="520" customFormat="1" ht="12" thickTop="1">
      <c r="A2329" s="51"/>
      <c r="B2329" s="41"/>
      <c r="C2329" s="51"/>
      <c r="E2329" s="42" t="s">
        <v>138</v>
      </c>
      <c r="F2329" s="42" t="s">
        <v>139</v>
      </c>
      <c r="G2329" s="51"/>
      <c r="H2329" s="51"/>
      <c r="I2329" s="51"/>
      <c r="J2329" s="51"/>
      <c r="K2329" s="51" t="s">
        <v>140</v>
      </c>
      <c r="L2329" s="51"/>
      <c r="M2329" s="51"/>
      <c r="N2329" s="51"/>
      <c r="O2329" s="52"/>
      <c r="P2329" s="51"/>
      <c r="Q2329" s="51"/>
      <c r="R2329" s="51"/>
      <c r="S2329" s="51"/>
      <c r="T2329" s="41"/>
      <c r="AG2329" s="521" t="s">
        <v>268</v>
      </c>
      <c r="AH2329" s="521" t="s">
        <v>269</v>
      </c>
      <c r="AI2329" s="521" t="s">
        <v>270</v>
      </c>
      <c r="AJ2329" s="521" t="s">
        <v>271</v>
      </c>
      <c r="AK2329" s="521" t="s">
        <v>272</v>
      </c>
      <c r="AM2329" s="745" t="s">
        <v>281</v>
      </c>
      <c r="AN2329" s="746" t="s">
        <v>282</v>
      </c>
      <c r="AO2329" s="522" t="s">
        <v>278</v>
      </c>
      <c r="AR2329" s="51"/>
      <c r="AS2329" s="42" t="s">
        <v>139</v>
      </c>
    </row>
    <row r="2330" spans="1:45" s="520" customFormat="1" ht="12" customHeight="1">
      <c r="A2330" s="747">
        <v>45</v>
      </c>
      <c r="B2330" s="523" t="s">
        <v>320</v>
      </c>
      <c r="C2330" s="748"/>
      <c r="D2330" s="749" t="s">
        <v>1487</v>
      </c>
      <c r="E2330" s="750">
        <f ca="1">IF(AND($A2330=0,$A$1="DIF"),0, ROUND(ROUND(($R2335*$S$2+($T2335*$T$2))/A2330,2)*$C$2,2))</f>
        <v>16.2</v>
      </c>
      <c r="F2330" s="751">
        <f ca="1">ROUND($A2330*$E2330,2)</f>
        <v>729</v>
      </c>
      <c r="G2330" s="752" t="s">
        <v>142</v>
      </c>
      <c r="H2330" s="753"/>
      <c r="I2330" s="754"/>
      <c r="J2330" s="753"/>
      <c r="K2330" s="753" t="s">
        <v>3</v>
      </c>
      <c r="L2330" s="755" t="s">
        <v>143</v>
      </c>
      <c r="M2330" s="755"/>
      <c r="N2330" s="755"/>
      <c r="O2330" s="755"/>
      <c r="P2330" s="755"/>
      <c r="Q2330" s="51"/>
      <c r="T2330" s="756" t="str">
        <f ca="1">IF(AND($R2335=0,$T2335=0),"0.00","mu :" &amp; ROUND($F2330/$C$2/($R2335+$T2335*$D$9),2))</f>
        <v>mu :1.23</v>
      </c>
      <c r="W2330" s="524"/>
      <c r="AG2330" s="481">
        <f ca="1">IF($E2330=0,0,ROUND($R2335*$S$2*$C$2/$A2330,2))</f>
        <v>14.17</v>
      </c>
      <c r="AH2330" s="481">
        <f ca="1">$AG2330*$A2330</f>
        <v>637.65</v>
      </c>
      <c r="AI2330" s="525">
        <f ca="1">$E2330-$AG2330</f>
        <v>2.0299999999999994</v>
      </c>
      <c r="AJ2330" s="525">
        <f ca="1">$A2330*$AI2330</f>
        <v>91.349999999999966</v>
      </c>
      <c r="AK2330" s="526">
        <f ca="1">ROUND(($AG2330+$AI2330)*$A2330,2)</f>
        <v>729</v>
      </c>
      <c r="AM2330" s="527">
        <f ca="1">ROUND(R2335,2)</f>
        <v>517.95000000000005</v>
      </c>
      <c r="AN2330" s="528">
        <f ca="1">ROUND(T2335,2)</f>
        <v>2.7</v>
      </c>
      <c r="AO2330" s="529">
        <f ca="1">ROUND(AM2330+AN2330,2)*A2330</f>
        <v>23429.25</v>
      </c>
      <c r="AR2330" s="747">
        <v>45</v>
      </c>
      <c r="AS2330" s="751">
        <v>744.3</v>
      </c>
    </row>
    <row r="2331" spans="1:45" s="520" customFormat="1" ht="13.2">
      <c r="A2331" s="748"/>
      <c r="B2331"/>
      <c r="C2331" s="748"/>
      <c r="D2331" s="749" t="s">
        <v>1488</v>
      </c>
      <c r="F2331" s="753"/>
      <c r="G2331" s="3"/>
      <c r="H2331" s="753"/>
      <c r="I2331" s="754"/>
      <c r="J2331" s="753"/>
      <c r="K2331" s="753" t="s">
        <v>144</v>
      </c>
      <c r="L2331" s="753"/>
      <c r="M2331" s="753"/>
      <c r="N2331" s="753"/>
      <c r="O2331" s="753"/>
      <c r="P2331" s="753"/>
      <c r="Q2331" s="51"/>
      <c r="R2331" s="530"/>
      <c r="S2331" s="757"/>
      <c r="T2331" s="753"/>
      <c r="AR2331" s="748"/>
      <c r="AS2331" s="753"/>
    </row>
    <row r="2332" spans="1:45" s="886" customFormat="1" ht="13.2">
      <c r="A2332"/>
      <c r="B2332" s="910"/>
      <c r="C2332" s="910" t="s">
        <v>2597</v>
      </c>
      <c r="D2332" s="910" t="str">
        <f ca="1">CELL("Address",Elec_Rates!D$498)</f>
        <v>[E25_0062_Quintano_Foods_Elec_ELV_As_Awarded.xlsx]Elec_Rates!$D$498</v>
      </c>
      <c r="E2332" s="911"/>
      <c r="F2332" s="911"/>
      <c r="G2332" s="912" t="s">
        <v>2598</v>
      </c>
      <c r="H2332" s="912"/>
      <c r="I2332" s="912"/>
      <c r="J2332" s="912"/>
      <c r="K2332" s="913"/>
      <c r="L2332" s="911"/>
      <c r="M2332" s="911"/>
      <c r="N2332" s="911"/>
      <c r="O2332" s="914"/>
      <c r="P2332" s="911"/>
      <c r="Q2332" s="915"/>
      <c r="R2332" s="916"/>
      <c r="S2332" s="915"/>
      <c r="T2332" s="917"/>
      <c r="U2332" s="918"/>
      <c r="AR2332"/>
      <c r="AS2332" s="911"/>
    </row>
    <row r="2333" spans="1:45" s="886" customFormat="1" ht="11.4">
      <c r="A2333" s="919">
        <v>45</v>
      </c>
      <c r="B2333" s="920">
        <v>1</v>
      </c>
      <c r="C2333" s="920">
        <f>$A2333*$B2333</f>
        <v>45</v>
      </c>
      <c r="D2333" s="921" t="str">
        <f>Elec_Rates!$D$498</f>
        <v>047# 5 x 2.5mm2 F120 Fire Resistant Cable (BS7846) -  XLPE/SWA/LSZH - at high level</v>
      </c>
      <c r="E2333" s="921"/>
      <c r="F2333" s="921" t="s">
        <v>2599</v>
      </c>
      <c r="G2333" s="922" t="s">
        <v>2601</v>
      </c>
      <c r="H2333" s="922"/>
      <c r="I2333" s="922"/>
      <c r="J2333" s="922"/>
      <c r="K2333" s="923"/>
      <c r="L2333" s="918"/>
      <c r="M2333" s="918"/>
      <c r="N2333" s="918"/>
      <c r="O2333" s="924"/>
      <c r="P2333" s="921"/>
      <c r="Q2333" s="925">
        <f ca="1">$B2333*Elec_Rates!$R$498</f>
        <v>11.51</v>
      </c>
      <c r="R2333" s="916">
        <f ca="1">$A2333*Q2333</f>
        <v>517.95000000000005</v>
      </c>
      <c r="S2333" s="925">
        <f ca="1">$B2333*Elec_Rates!$T$498</f>
        <v>0.06</v>
      </c>
      <c r="T2333" s="917">
        <f ca="1">$A2333*S2333</f>
        <v>2.6999999999999997</v>
      </c>
      <c r="U2333" s="926"/>
      <c r="AR2333" s="919">
        <v>45</v>
      </c>
      <c r="AS2333" s="921" t="s">
        <v>2599</v>
      </c>
    </row>
    <row r="2334" spans="1:45" s="520" customFormat="1" ht="12">
      <c r="A2334" s="758"/>
      <c r="B2334" s="758"/>
      <c r="C2334" s="758"/>
      <c r="D2334" s="758"/>
      <c r="E2334" s="758"/>
      <c r="F2334" s="753"/>
      <c r="G2334" s="758"/>
      <c r="H2334" s="758"/>
      <c r="I2334" s="519"/>
      <c r="J2334" s="758"/>
      <c r="K2334" s="758"/>
      <c r="L2334" s="758"/>
      <c r="M2334" s="758"/>
      <c r="N2334" s="758"/>
      <c r="O2334" s="758"/>
      <c r="P2334" s="758"/>
      <c r="Q2334" s="519"/>
      <c r="R2334" s="759">
        <f>$A2334*Q2334</f>
        <v>0</v>
      </c>
      <c r="S2334" s="519"/>
      <c r="T2334" s="760">
        <f>$A2334*S2334*$T$1</f>
        <v>0</v>
      </c>
      <c r="AR2334" s="758"/>
      <c r="AS2334" s="753"/>
    </row>
    <row r="2335" spans="1:45" s="520" customFormat="1" ht="12.6" thickBot="1">
      <c r="A2335" s="761" t="s">
        <v>145</v>
      </c>
      <c r="B2335" s="762">
        <f>(R2334+T2334)</f>
        <v>0</v>
      </c>
      <c r="C2335" s="763"/>
      <c r="D2335" s="763"/>
      <c r="E2335" s="763"/>
      <c r="F2335" s="764"/>
      <c r="G2335" s="763" t="s">
        <v>146</v>
      </c>
      <c r="H2335" s="763"/>
      <c r="I2335" s="765"/>
      <c r="J2335" s="763"/>
      <c r="K2335" s="763" t="s">
        <v>3</v>
      </c>
      <c r="L2335" s="766" t="s">
        <v>143</v>
      </c>
      <c r="M2335" s="766"/>
      <c r="N2335" s="766"/>
      <c r="O2335" s="766"/>
      <c r="P2335" s="766"/>
      <c r="Q2335" s="767"/>
      <c r="R2335" s="768">
        <f ca="1">SUM(R2331:R2334)</f>
        <v>517.95000000000005</v>
      </c>
      <c r="S2335" s="763"/>
      <c r="T2335" s="768">
        <f ca="1">SUM(T2331:T2334)</f>
        <v>2.6999999999999997</v>
      </c>
      <c r="U2335" s="531"/>
      <c r="V2335" s="531"/>
      <c r="W2335" s="531"/>
      <c r="X2335" s="531"/>
      <c r="Y2335" s="531"/>
      <c r="Z2335" s="531"/>
      <c r="AA2335" s="531"/>
      <c r="AB2335" s="531"/>
      <c r="AC2335" s="531"/>
      <c r="AD2335" s="531"/>
      <c r="AE2335" s="531"/>
      <c r="AF2335" s="531"/>
      <c r="AG2335" s="531"/>
      <c r="AH2335" s="531"/>
      <c r="AI2335" s="531"/>
      <c r="AJ2335" s="531"/>
      <c r="AK2335" s="531"/>
      <c r="AL2335" s="531"/>
      <c r="AM2335" s="531"/>
      <c r="AN2335" s="531"/>
      <c r="AO2335" s="531"/>
      <c r="AR2335" s="761" t="s">
        <v>145</v>
      </c>
      <c r="AS2335" s="764"/>
    </row>
    <row r="2336" spans="1:45" s="520" customFormat="1" ht="12" thickTop="1">
      <c r="A2336" s="51"/>
      <c r="B2336" s="41"/>
      <c r="C2336" s="51"/>
      <c r="E2336" s="42" t="s">
        <v>138</v>
      </c>
      <c r="F2336" s="42" t="s">
        <v>139</v>
      </c>
      <c r="G2336" s="51"/>
      <c r="H2336" s="51"/>
      <c r="I2336" s="51"/>
      <c r="J2336" s="51"/>
      <c r="K2336" s="51" t="s">
        <v>140</v>
      </c>
      <c r="L2336" s="51"/>
      <c r="M2336" s="51"/>
      <c r="N2336" s="51"/>
      <c r="O2336" s="52"/>
      <c r="P2336" s="51"/>
      <c r="Q2336" s="51"/>
      <c r="R2336" s="51"/>
      <c r="S2336" s="51"/>
      <c r="T2336" s="41"/>
      <c r="AG2336" s="521" t="s">
        <v>268</v>
      </c>
      <c r="AH2336" s="521" t="s">
        <v>269</v>
      </c>
      <c r="AI2336" s="521" t="s">
        <v>270</v>
      </c>
      <c r="AJ2336" s="521" t="s">
        <v>271</v>
      </c>
      <c r="AK2336" s="521" t="s">
        <v>272</v>
      </c>
      <c r="AM2336" s="745" t="s">
        <v>281</v>
      </c>
      <c r="AN2336" s="746" t="s">
        <v>282</v>
      </c>
      <c r="AO2336" s="522" t="s">
        <v>278</v>
      </c>
      <c r="AR2336" s="51"/>
      <c r="AS2336" s="42" t="s">
        <v>139</v>
      </c>
    </row>
    <row r="2337" spans="1:45" s="520" customFormat="1" ht="12" customHeight="1">
      <c r="A2337" s="747">
        <v>65</v>
      </c>
      <c r="B2337" s="523" t="s">
        <v>320</v>
      </c>
      <c r="C2337" s="748"/>
      <c r="D2337" s="749" t="s">
        <v>1489</v>
      </c>
      <c r="E2337" s="750">
        <f ca="1">IF(AND($A2337=0,$A$1="DIF"),0, ROUND(ROUND(($R2342*$S$2+($T2342*$T$2))/A2337,2)*$C$2,2))</f>
        <v>16.2</v>
      </c>
      <c r="F2337" s="751">
        <f ca="1">ROUND($A2337*$E2337,2)</f>
        <v>1053</v>
      </c>
      <c r="G2337" s="752" t="s">
        <v>142</v>
      </c>
      <c r="H2337" s="753"/>
      <c r="I2337" s="754"/>
      <c r="J2337" s="753"/>
      <c r="K2337" s="753" t="s">
        <v>3</v>
      </c>
      <c r="L2337" s="755" t="s">
        <v>143</v>
      </c>
      <c r="M2337" s="755"/>
      <c r="N2337" s="755"/>
      <c r="O2337" s="755"/>
      <c r="P2337" s="755"/>
      <c r="Q2337" s="51"/>
      <c r="T2337" s="756" t="str">
        <f ca="1">IF(AND($R2342=0,$T2342=0),"0.00","mu :" &amp; ROUND($F2337/$C$2/($R2342+$T2342*$D$9),2))</f>
        <v>mu :1.23</v>
      </c>
      <c r="W2337" s="524"/>
      <c r="AG2337" s="481">
        <f ca="1">IF($E2337=0,0,ROUND($R2342*$S$2*$C$2/$A2337,2))</f>
        <v>14.17</v>
      </c>
      <c r="AH2337" s="481">
        <f ca="1">$AG2337*$A2337</f>
        <v>921.05</v>
      </c>
      <c r="AI2337" s="525">
        <f ca="1">$E2337-$AG2337</f>
        <v>2.0299999999999994</v>
      </c>
      <c r="AJ2337" s="525">
        <f ca="1">$A2337*$AI2337</f>
        <v>131.94999999999996</v>
      </c>
      <c r="AK2337" s="526">
        <f ca="1">ROUND(($AG2337+$AI2337)*$A2337,2)</f>
        <v>1053</v>
      </c>
      <c r="AM2337" s="527">
        <f ca="1">ROUND(R2342,2)</f>
        <v>748.15</v>
      </c>
      <c r="AN2337" s="528">
        <f ca="1">ROUND(T2342,2)</f>
        <v>3.9</v>
      </c>
      <c r="AO2337" s="529">
        <f ca="1">ROUND(AM2337+AN2337,2)*A2337</f>
        <v>48883.25</v>
      </c>
      <c r="AR2337" s="747">
        <v>65</v>
      </c>
      <c r="AS2337" s="751">
        <v>1075.0999999999999</v>
      </c>
    </row>
    <row r="2338" spans="1:45" s="520" customFormat="1" ht="13.2">
      <c r="A2338" s="748"/>
      <c r="B2338"/>
      <c r="C2338" s="748"/>
      <c r="D2338" s="749" t="s">
        <v>1490</v>
      </c>
      <c r="F2338" s="753"/>
      <c r="G2338" s="3"/>
      <c r="H2338" s="753"/>
      <c r="I2338" s="754"/>
      <c r="J2338" s="753"/>
      <c r="K2338" s="753" t="s">
        <v>144</v>
      </c>
      <c r="L2338" s="753"/>
      <c r="M2338" s="753"/>
      <c r="N2338" s="753"/>
      <c r="O2338" s="753"/>
      <c r="P2338" s="753"/>
      <c r="Q2338" s="51"/>
      <c r="R2338" s="530"/>
      <c r="S2338" s="757"/>
      <c r="T2338" s="753"/>
      <c r="AR2338" s="748"/>
      <c r="AS2338" s="753"/>
    </row>
    <row r="2339" spans="1:45" s="886" customFormat="1" ht="13.2">
      <c r="A2339"/>
      <c r="B2339" s="910"/>
      <c r="C2339" s="910" t="s">
        <v>2597</v>
      </c>
      <c r="D2339" s="910" t="str">
        <f ca="1">CELL("Address",Elec_Rates!D$498)</f>
        <v>[E25_0062_Quintano_Foods_Elec_ELV_As_Awarded.xlsx]Elec_Rates!$D$498</v>
      </c>
      <c r="E2339" s="911"/>
      <c r="F2339" s="911"/>
      <c r="G2339" s="912" t="s">
        <v>2598</v>
      </c>
      <c r="H2339" s="912"/>
      <c r="I2339" s="912"/>
      <c r="J2339" s="912"/>
      <c r="K2339" s="913"/>
      <c r="L2339" s="911"/>
      <c r="M2339" s="911"/>
      <c r="N2339" s="911"/>
      <c r="O2339" s="914"/>
      <c r="P2339" s="911"/>
      <c r="Q2339" s="915"/>
      <c r="R2339" s="916"/>
      <c r="S2339" s="915"/>
      <c r="T2339" s="917"/>
      <c r="U2339" s="918"/>
      <c r="AR2339"/>
      <c r="AS2339" s="911"/>
    </row>
    <row r="2340" spans="1:45" s="886" customFormat="1" ht="11.4">
      <c r="A2340" s="919">
        <v>65</v>
      </c>
      <c r="B2340" s="920">
        <v>1</v>
      </c>
      <c r="C2340" s="920">
        <f>$A2340*$B2340</f>
        <v>65</v>
      </c>
      <c r="D2340" s="921" t="str">
        <f>Elec_Rates!$D$498</f>
        <v>047# 5 x 2.5mm2 F120 Fire Resistant Cable (BS7846) -  XLPE/SWA/LSZH - at high level</v>
      </c>
      <c r="E2340" s="921"/>
      <c r="F2340" s="921" t="s">
        <v>2599</v>
      </c>
      <c r="G2340" s="922" t="s">
        <v>2601</v>
      </c>
      <c r="H2340" s="922"/>
      <c r="I2340" s="922"/>
      <c r="J2340" s="922"/>
      <c r="K2340" s="923"/>
      <c r="L2340" s="918"/>
      <c r="M2340" s="918"/>
      <c r="N2340" s="918"/>
      <c r="O2340" s="924"/>
      <c r="P2340" s="921"/>
      <c r="Q2340" s="925">
        <f ca="1">$B2340*Elec_Rates!$R$498</f>
        <v>11.51</v>
      </c>
      <c r="R2340" s="916">
        <f ca="1">$A2340*Q2340</f>
        <v>748.15</v>
      </c>
      <c r="S2340" s="925">
        <f ca="1">$B2340*Elec_Rates!$T$498</f>
        <v>0.06</v>
      </c>
      <c r="T2340" s="917">
        <f ca="1">$A2340*S2340</f>
        <v>3.9</v>
      </c>
      <c r="U2340" s="926"/>
      <c r="AR2340" s="919">
        <v>65</v>
      </c>
      <c r="AS2340" s="921" t="s">
        <v>2599</v>
      </c>
    </row>
    <row r="2341" spans="1:45" s="520" customFormat="1" ht="12">
      <c r="A2341" s="758"/>
      <c r="B2341" s="758"/>
      <c r="C2341" s="758"/>
      <c r="D2341" s="758"/>
      <c r="E2341" s="758"/>
      <c r="F2341" s="753"/>
      <c r="G2341" s="758"/>
      <c r="H2341" s="758"/>
      <c r="I2341" s="519"/>
      <c r="J2341" s="758"/>
      <c r="K2341" s="758"/>
      <c r="L2341" s="758"/>
      <c r="M2341" s="758"/>
      <c r="N2341" s="758"/>
      <c r="O2341" s="758"/>
      <c r="P2341" s="758"/>
      <c r="Q2341" s="519"/>
      <c r="R2341" s="759">
        <f>$A2341*Q2341</f>
        <v>0</v>
      </c>
      <c r="S2341" s="519"/>
      <c r="T2341" s="760">
        <f>$A2341*S2341*$T$1</f>
        <v>0</v>
      </c>
      <c r="AR2341" s="758"/>
      <c r="AS2341" s="753"/>
    </row>
    <row r="2342" spans="1:45" s="520" customFormat="1" ht="12.6" thickBot="1">
      <c r="A2342" s="761" t="s">
        <v>145</v>
      </c>
      <c r="B2342" s="762">
        <f>(R2341+T2341)</f>
        <v>0</v>
      </c>
      <c r="C2342" s="763"/>
      <c r="D2342" s="763"/>
      <c r="E2342" s="763"/>
      <c r="F2342" s="764"/>
      <c r="G2342" s="763" t="s">
        <v>146</v>
      </c>
      <c r="H2342" s="763"/>
      <c r="I2342" s="765"/>
      <c r="J2342" s="763"/>
      <c r="K2342" s="763" t="s">
        <v>3</v>
      </c>
      <c r="L2342" s="766" t="s">
        <v>143</v>
      </c>
      <c r="M2342" s="766"/>
      <c r="N2342" s="766"/>
      <c r="O2342" s="766"/>
      <c r="P2342" s="766"/>
      <c r="Q2342" s="767"/>
      <c r="R2342" s="768">
        <f ca="1">SUM(R2338:R2341)</f>
        <v>748.15</v>
      </c>
      <c r="S2342" s="763"/>
      <c r="T2342" s="768">
        <f ca="1">SUM(T2338:T2341)</f>
        <v>3.9</v>
      </c>
      <c r="U2342" s="531"/>
      <c r="V2342" s="531"/>
      <c r="W2342" s="531"/>
      <c r="X2342" s="531"/>
      <c r="Y2342" s="531"/>
      <c r="Z2342" s="531"/>
      <c r="AA2342" s="531"/>
      <c r="AB2342" s="531"/>
      <c r="AC2342" s="531"/>
      <c r="AD2342" s="531"/>
      <c r="AE2342" s="531"/>
      <c r="AF2342" s="531"/>
      <c r="AG2342" s="531"/>
      <c r="AH2342" s="531"/>
      <c r="AI2342" s="531"/>
      <c r="AJ2342" s="531"/>
      <c r="AK2342" s="531"/>
      <c r="AL2342" s="531"/>
      <c r="AM2342" s="531"/>
      <c r="AN2342" s="531"/>
      <c r="AO2342" s="531"/>
      <c r="AR2342" s="761" t="s">
        <v>145</v>
      </c>
      <c r="AS2342" s="764"/>
    </row>
    <row r="2343" spans="1:45" s="520" customFormat="1" ht="12" thickTop="1">
      <c r="A2343" s="51"/>
      <c r="B2343" s="41"/>
      <c r="C2343" s="51"/>
      <c r="E2343" s="42" t="s">
        <v>138</v>
      </c>
      <c r="F2343" s="42" t="s">
        <v>139</v>
      </c>
      <c r="G2343" s="51"/>
      <c r="H2343" s="51"/>
      <c r="I2343" s="51"/>
      <c r="J2343" s="51"/>
      <c r="K2343" s="51" t="s">
        <v>140</v>
      </c>
      <c r="L2343" s="51"/>
      <c r="M2343" s="51"/>
      <c r="N2343" s="51"/>
      <c r="O2343" s="52"/>
      <c r="P2343" s="51"/>
      <c r="Q2343" s="51"/>
      <c r="R2343" s="51"/>
      <c r="S2343" s="51"/>
      <c r="T2343" s="41"/>
      <c r="AG2343" s="521" t="s">
        <v>268</v>
      </c>
      <c r="AH2343" s="521" t="s">
        <v>269</v>
      </c>
      <c r="AI2343" s="521" t="s">
        <v>270</v>
      </c>
      <c r="AJ2343" s="521" t="s">
        <v>271</v>
      </c>
      <c r="AK2343" s="521" t="s">
        <v>272</v>
      </c>
      <c r="AM2343" s="745" t="s">
        <v>281</v>
      </c>
      <c r="AN2343" s="746" t="s">
        <v>282</v>
      </c>
      <c r="AO2343" s="522" t="s">
        <v>278</v>
      </c>
      <c r="AR2343" s="51"/>
      <c r="AS2343" s="42" t="s">
        <v>139</v>
      </c>
    </row>
    <row r="2344" spans="1:45" s="520" customFormat="1" ht="12" customHeight="1">
      <c r="A2344" s="747">
        <v>55</v>
      </c>
      <c r="B2344" s="523" t="s">
        <v>320</v>
      </c>
      <c r="C2344" s="748"/>
      <c r="D2344" s="749" t="s">
        <v>1491</v>
      </c>
      <c r="E2344" s="750">
        <f ca="1">IF(AND($A2344=0,$A$1="DIF"),0, ROUND(ROUND(($R2349*$S$2+($T2349*$T$2))/A2344,2)*$C$2,2))</f>
        <v>16.2</v>
      </c>
      <c r="F2344" s="751">
        <f ca="1">ROUND($A2344*$E2344,2)</f>
        <v>891</v>
      </c>
      <c r="G2344" s="752" t="s">
        <v>142</v>
      </c>
      <c r="H2344" s="753"/>
      <c r="I2344" s="754"/>
      <c r="J2344" s="753"/>
      <c r="K2344" s="753" t="s">
        <v>3</v>
      </c>
      <c r="L2344" s="755" t="s">
        <v>143</v>
      </c>
      <c r="M2344" s="755"/>
      <c r="N2344" s="755"/>
      <c r="O2344" s="755"/>
      <c r="P2344" s="755"/>
      <c r="Q2344" s="51"/>
      <c r="T2344" s="756" t="str">
        <f ca="1">IF(AND($R2349=0,$T2349=0),"0.00","mu :" &amp; ROUND($F2344/$C$2/($R2349+$T2349*$D$9),2))</f>
        <v>mu :1.23</v>
      </c>
      <c r="W2344" s="524"/>
      <c r="AG2344" s="481">
        <f ca="1">IF($E2344=0,0,ROUND($R2349*$S$2*$C$2/$A2344,2))</f>
        <v>14.17</v>
      </c>
      <c r="AH2344" s="481">
        <f ca="1">$AG2344*$A2344</f>
        <v>779.35</v>
      </c>
      <c r="AI2344" s="525">
        <f ca="1">$E2344-$AG2344</f>
        <v>2.0299999999999994</v>
      </c>
      <c r="AJ2344" s="525">
        <f ca="1">$A2344*$AI2344</f>
        <v>111.64999999999996</v>
      </c>
      <c r="AK2344" s="526">
        <f ca="1">ROUND(($AG2344+$AI2344)*$A2344,2)</f>
        <v>891</v>
      </c>
      <c r="AM2344" s="527">
        <f ca="1">ROUND(R2349,2)</f>
        <v>633.04999999999995</v>
      </c>
      <c r="AN2344" s="528">
        <f ca="1">ROUND(T2349,2)</f>
        <v>3.3</v>
      </c>
      <c r="AO2344" s="529">
        <f ca="1">ROUND(AM2344+AN2344,2)*A2344</f>
        <v>34999.25</v>
      </c>
      <c r="AR2344" s="747">
        <v>55</v>
      </c>
      <c r="AS2344" s="751">
        <v>909.7</v>
      </c>
    </row>
    <row r="2345" spans="1:45" s="520" customFormat="1" ht="13.2">
      <c r="A2345" s="748"/>
      <c r="B2345"/>
      <c r="C2345" s="748"/>
      <c r="D2345" s="749" t="s">
        <v>1492</v>
      </c>
      <c r="F2345" s="753"/>
      <c r="G2345" s="3"/>
      <c r="H2345" s="753"/>
      <c r="I2345" s="754"/>
      <c r="J2345" s="753"/>
      <c r="K2345" s="753" t="s">
        <v>144</v>
      </c>
      <c r="L2345" s="753"/>
      <c r="M2345" s="753"/>
      <c r="N2345" s="753"/>
      <c r="O2345" s="753"/>
      <c r="P2345" s="753"/>
      <c r="Q2345" s="51"/>
      <c r="R2345" s="530"/>
      <c r="S2345" s="757"/>
      <c r="T2345" s="753"/>
      <c r="AR2345" s="748"/>
      <c r="AS2345" s="753"/>
    </row>
    <row r="2346" spans="1:45" s="886" customFormat="1" ht="13.2">
      <c r="A2346"/>
      <c r="B2346" s="910"/>
      <c r="C2346" s="910" t="s">
        <v>2597</v>
      </c>
      <c r="D2346" s="910" t="str">
        <f ca="1">CELL("Address",Elec_Rates!D$498)</f>
        <v>[E25_0062_Quintano_Foods_Elec_ELV_As_Awarded.xlsx]Elec_Rates!$D$498</v>
      </c>
      <c r="E2346" s="911"/>
      <c r="F2346" s="911"/>
      <c r="G2346" s="912" t="s">
        <v>2598</v>
      </c>
      <c r="H2346" s="912"/>
      <c r="I2346" s="912"/>
      <c r="J2346" s="912"/>
      <c r="K2346" s="913"/>
      <c r="L2346" s="911"/>
      <c r="M2346" s="911"/>
      <c r="N2346" s="911"/>
      <c r="O2346" s="914"/>
      <c r="P2346" s="911"/>
      <c r="Q2346" s="915"/>
      <c r="R2346" s="916"/>
      <c r="S2346" s="915"/>
      <c r="T2346" s="917"/>
      <c r="U2346" s="918"/>
      <c r="AR2346"/>
      <c r="AS2346" s="911"/>
    </row>
    <row r="2347" spans="1:45" s="886" customFormat="1" ht="11.4">
      <c r="A2347" s="919">
        <v>55</v>
      </c>
      <c r="B2347" s="920">
        <v>1</v>
      </c>
      <c r="C2347" s="920">
        <f>$A2347*$B2347</f>
        <v>55</v>
      </c>
      <c r="D2347" s="921" t="str">
        <f>Elec_Rates!$D$498</f>
        <v>047# 5 x 2.5mm2 F120 Fire Resistant Cable (BS7846) -  XLPE/SWA/LSZH - at high level</v>
      </c>
      <c r="E2347" s="921"/>
      <c r="F2347" s="921" t="s">
        <v>2599</v>
      </c>
      <c r="G2347" s="922" t="s">
        <v>2601</v>
      </c>
      <c r="H2347" s="922"/>
      <c r="I2347" s="922"/>
      <c r="J2347" s="922"/>
      <c r="K2347" s="923"/>
      <c r="L2347" s="918"/>
      <c r="M2347" s="918"/>
      <c r="N2347" s="918"/>
      <c r="O2347" s="924"/>
      <c r="P2347" s="921"/>
      <c r="Q2347" s="925">
        <f ca="1">$B2347*Elec_Rates!$R$498</f>
        <v>11.51</v>
      </c>
      <c r="R2347" s="916">
        <f ca="1">$A2347*Q2347</f>
        <v>633.04999999999995</v>
      </c>
      <c r="S2347" s="925">
        <f ca="1">$B2347*Elec_Rates!$T$498</f>
        <v>0.06</v>
      </c>
      <c r="T2347" s="917">
        <f ca="1">$A2347*S2347</f>
        <v>3.3</v>
      </c>
      <c r="U2347" s="926"/>
      <c r="AR2347" s="919">
        <v>55</v>
      </c>
      <c r="AS2347" s="921" t="s">
        <v>2599</v>
      </c>
    </row>
    <row r="2348" spans="1:45" s="520" customFormat="1" ht="12">
      <c r="A2348" s="758"/>
      <c r="B2348" s="758"/>
      <c r="C2348" s="758"/>
      <c r="D2348" s="758"/>
      <c r="E2348" s="758"/>
      <c r="F2348" s="753"/>
      <c r="G2348" s="758"/>
      <c r="H2348" s="758"/>
      <c r="I2348" s="519"/>
      <c r="J2348" s="758"/>
      <c r="K2348" s="758"/>
      <c r="L2348" s="758"/>
      <c r="M2348" s="758"/>
      <c r="N2348" s="758"/>
      <c r="O2348" s="758"/>
      <c r="P2348" s="758"/>
      <c r="Q2348" s="519"/>
      <c r="R2348" s="759">
        <f>$A2348*Q2348</f>
        <v>0</v>
      </c>
      <c r="S2348" s="519"/>
      <c r="T2348" s="760">
        <f>$A2348*S2348*$T$1</f>
        <v>0</v>
      </c>
      <c r="AR2348" s="758"/>
      <c r="AS2348" s="753"/>
    </row>
    <row r="2349" spans="1:45" s="520" customFormat="1" ht="12.6" thickBot="1">
      <c r="A2349" s="761" t="s">
        <v>145</v>
      </c>
      <c r="B2349" s="762">
        <f>(R2348+T2348)</f>
        <v>0</v>
      </c>
      <c r="C2349" s="763"/>
      <c r="D2349" s="763"/>
      <c r="E2349" s="763"/>
      <c r="F2349" s="764"/>
      <c r="G2349" s="763" t="s">
        <v>146</v>
      </c>
      <c r="H2349" s="763"/>
      <c r="I2349" s="765"/>
      <c r="J2349" s="763"/>
      <c r="K2349" s="763" t="s">
        <v>3</v>
      </c>
      <c r="L2349" s="766" t="s">
        <v>143</v>
      </c>
      <c r="M2349" s="766"/>
      <c r="N2349" s="766"/>
      <c r="O2349" s="766"/>
      <c r="P2349" s="766"/>
      <c r="Q2349" s="767"/>
      <c r="R2349" s="768">
        <f ca="1">SUM(R2345:R2348)</f>
        <v>633.04999999999995</v>
      </c>
      <c r="S2349" s="763"/>
      <c r="T2349" s="768">
        <f ca="1">SUM(T2345:T2348)</f>
        <v>3.3</v>
      </c>
      <c r="U2349" s="531"/>
      <c r="V2349" s="531"/>
      <c r="W2349" s="531"/>
      <c r="X2349" s="531"/>
      <c r="Y2349" s="531"/>
      <c r="Z2349" s="531"/>
      <c r="AA2349" s="531"/>
      <c r="AB2349" s="531"/>
      <c r="AC2349" s="531"/>
      <c r="AD2349" s="531"/>
      <c r="AE2349" s="531"/>
      <c r="AF2349" s="531"/>
      <c r="AG2349" s="531"/>
      <c r="AH2349" s="531"/>
      <c r="AI2349" s="531"/>
      <c r="AJ2349" s="531"/>
      <c r="AK2349" s="531"/>
      <c r="AL2349" s="531"/>
      <c r="AM2349" s="531"/>
      <c r="AN2349" s="531"/>
      <c r="AO2349" s="531"/>
      <c r="AR2349" s="761" t="s">
        <v>145</v>
      </c>
      <c r="AS2349" s="764"/>
    </row>
    <row r="2350" spans="1:45" s="520" customFormat="1" ht="12" thickTop="1">
      <c r="A2350" s="51"/>
      <c r="B2350" s="41"/>
      <c r="C2350" s="51"/>
      <c r="E2350" s="42" t="s">
        <v>138</v>
      </c>
      <c r="F2350" s="42" t="s">
        <v>139</v>
      </c>
      <c r="G2350" s="51"/>
      <c r="H2350" s="51"/>
      <c r="I2350" s="51"/>
      <c r="J2350" s="51"/>
      <c r="K2350" s="51" t="s">
        <v>140</v>
      </c>
      <c r="L2350" s="51"/>
      <c r="M2350" s="51"/>
      <c r="N2350" s="51"/>
      <c r="O2350" s="52"/>
      <c r="P2350" s="51"/>
      <c r="Q2350" s="51"/>
      <c r="R2350" s="51"/>
      <c r="S2350" s="51"/>
      <c r="T2350" s="41"/>
      <c r="AG2350" s="521" t="s">
        <v>268</v>
      </c>
      <c r="AH2350" s="521" t="s">
        <v>269</v>
      </c>
      <c r="AI2350" s="521" t="s">
        <v>270</v>
      </c>
      <c r="AJ2350" s="521" t="s">
        <v>271</v>
      </c>
      <c r="AK2350" s="521" t="s">
        <v>272</v>
      </c>
      <c r="AM2350" s="745" t="s">
        <v>281</v>
      </c>
      <c r="AN2350" s="746" t="s">
        <v>282</v>
      </c>
      <c r="AO2350" s="522" t="s">
        <v>278</v>
      </c>
      <c r="AR2350" s="51"/>
      <c r="AS2350" s="42" t="s">
        <v>139</v>
      </c>
    </row>
    <row r="2351" spans="1:45" s="520" customFormat="1" ht="12" customHeight="1">
      <c r="A2351" s="747">
        <v>45</v>
      </c>
      <c r="B2351" s="523" t="s">
        <v>320</v>
      </c>
      <c r="C2351" s="748"/>
      <c r="D2351" s="749" t="s">
        <v>1493</v>
      </c>
      <c r="E2351" s="750">
        <f ca="1">IF(AND($A2351=0,$A$1="DIF"),0, ROUND(ROUND(($R2356*$S$2+($T2356*$T$2))/A2351,2)*$C$2,2))</f>
        <v>16.2</v>
      </c>
      <c r="F2351" s="751">
        <f ca="1">ROUND($A2351*$E2351,2)</f>
        <v>729</v>
      </c>
      <c r="G2351" s="752" t="s">
        <v>142</v>
      </c>
      <c r="H2351" s="753"/>
      <c r="I2351" s="754"/>
      <c r="J2351" s="753"/>
      <c r="K2351" s="753" t="s">
        <v>3</v>
      </c>
      <c r="L2351" s="755" t="s">
        <v>143</v>
      </c>
      <c r="M2351" s="755"/>
      <c r="N2351" s="755"/>
      <c r="O2351" s="755"/>
      <c r="P2351" s="755"/>
      <c r="Q2351" s="51"/>
      <c r="T2351" s="756" t="str">
        <f ca="1">IF(AND($R2356=0,$T2356=0),"0.00","mu :" &amp; ROUND($F2351/$C$2/($R2356+$T2356*$D$9),2))</f>
        <v>mu :1.23</v>
      </c>
      <c r="W2351" s="524"/>
      <c r="AG2351" s="481">
        <f ca="1">IF($E2351=0,0,ROUND($R2356*$S$2*$C$2/$A2351,2))</f>
        <v>14.17</v>
      </c>
      <c r="AH2351" s="481">
        <f ca="1">$AG2351*$A2351</f>
        <v>637.65</v>
      </c>
      <c r="AI2351" s="525">
        <f ca="1">$E2351-$AG2351</f>
        <v>2.0299999999999994</v>
      </c>
      <c r="AJ2351" s="525">
        <f ca="1">$A2351*$AI2351</f>
        <v>91.349999999999966</v>
      </c>
      <c r="AK2351" s="526">
        <f ca="1">ROUND(($AG2351+$AI2351)*$A2351,2)</f>
        <v>729</v>
      </c>
      <c r="AM2351" s="527">
        <f ca="1">ROUND(R2356,2)</f>
        <v>517.95000000000005</v>
      </c>
      <c r="AN2351" s="528">
        <f ca="1">ROUND(T2356,2)</f>
        <v>2.7</v>
      </c>
      <c r="AO2351" s="529">
        <f ca="1">ROUND(AM2351+AN2351,2)*A2351</f>
        <v>23429.25</v>
      </c>
      <c r="AR2351" s="747">
        <v>45</v>
      </c>
      <c r="AS2351" s="751">
        <v>744.3</v>
      </c>
    </row>
    <row r="2352" spans="1:45" s="520" customFormat="1" ht="13.2">
      <c r="A2352" s="748"/>
      <c r="B2352"/>
      <c r="C2352" s="748"/>
      <c r="D2352" s="749" t="s">
        <v>1494</v>
      </c>
      <c r="F2352" s="753"/>
      <c r="G2352" s="3"/>
      <c r="H2352" s="753"/>
      <c r="I2352" s="754"/>
      <c r="J2352" s="753"/>
      <c r="K2352" s="753" t="s">
        <v>144</v>
      </c>
      <c r="L2352" s="753"/>
      <c r="M2352" s="753"/>
      <c r="N2352" s="753"/>
      <c r="O2352" s="753"/>
      <c r="P2352" s="753"/>
      <c r="Q2352" s="51"/>
      <c r="R2352" s="530"/>
      <c r="S2352" s="757"/>
      <c r="T2352" s="753"/>
      <c r="AR2352" s="748"/>
      <c r="AS2352" s="753"/>
    </row>
    <row r="2353" spans="1:45" s="886" customFormat="1" ht="13.2">
      <c r="A2353"/>
      <c r="B2353" s="910"/>
      <c r="C2353" s="910" t="s">
        <v>2597</v>
      </c>
      <c r="D2353" s="910" t="str">
        <f ca="1">CELL("Address",Elec_Rates!D$498)</f>
        <v>[E25_0062_Quintano_Foods_Elec_ELV_As_Awarded.xlsx]Elec_Rates!$D$498</v>
      </c>
      <c r="E2353" s="911"/>
      <c r="F2353" s="911"/>
      <c r="G2353" s="912" t="s">
        <v>2598</v>
      </c>
      <c r="H2353" s="912"/>
      <c r="I2353" s="912"/>
      <c r="J2353" s="912"/>
      <c r="K2353" s="913"/>
      <c r="L2353" s="911"/>
      <c r="M2353" s="911"/>
      <c r="N2353" s="911"/>
      <c r="O2353" s="914"/>
      <c r="P2353" s="911"/>
      <c r="Q2353" s="915"/>
      <c r="R2353" s="916"/>
      <c r="S2353" s="915"/>
      <c r="T2353" s="917"/>
      <c r="U2353" s="918"/>
      <c r="AR2353"/>
      <c r="AS2353" s="911"/>
    </row>
    <row r="2354" spans="1:45" s="886" customFormat="1" ht="11.4">
      <c r="A2354" s="919">
        <v>45</v>
      </c>
      <c r="B2354" s="920">
        <v>1</v>
      </c>
      <c r="C2354" s="920">
        <f>$A2354*$B2354</f>
        <v>45</v>
      </c>
      <c r="D2354" s="921" t="str">
        <f>Elec_Rates!$D$498</f>
        <v>047# 5 x 2.5mm2 F120 Fire Resistant Cable (BS7846) -  XLPE/SWA/LSZH - at high level</v>
      </c>
      <c r="E2354" s="921"/>
      <c r="F2354" s="921" t="s">
        <v>2599</v>
      </c>
      <c r="G2354" s="922" t="s">
        <v>2601</v>
      </c>
      <c r="H2354" s="922"/>
      <c r="I2354" s="922"/>
      <c r="J2354" s="922"/>
      <c r="K2354" s="923"/>
      <c r="L2354" s="918"/>
      <c r="M2354" s="918"/>
      <c r="N2354" s="918"/>
      <c r="O2354" s="924"/>
      <c r="P2354" s="921"/>
      <c r="Q2354" s="925">
        <f ca="1">$B2354*Elec_Rates!$R$498</f>
        <v>11.51</v>
      </c>
      <c r="R2354" s="916">
        <f ca="1">$A2354*Q2354</f>
        <v>517.95000000000005</v>
      </c>
      <c r="S2354" s="925">
        <f ca="1">$B2354*Elec_Rates!$T$498</f>
        <v>0.06</v>
      </c>
      <c r="T2354" s="917">
        <f ca="1">$A2354*S2354</f>
        <v>2.6999999999999997</v>
      </c>
      <c r="U2354" s="926"/>
      <c r="AR2354" s="919">
        <v>45</v>
      </c>
      <c r="AS2354" s="921" t="s">
        <v>2599</v>
      </c>
    </row>
    <row r="2355" spans="1:45" s="520" customFormat="1" ht="12">
      <c r="A2355" s="758"/>
      <c r="B2355" s="758"/>
      <c r="C2355" s="758"/>
      <c r="D2355" s="758"/>
      <c r="E2355" s="758"/>
      <c r="F2355" s="753"/>
      <c r="G2355" s="758"/>
      <c r="H2355" s="758"/>
      <c r="I2355" s="519"/>
      <c r="J2355" s="758"/>
      <c r="K2355" s="758"/>
      <c r="L2355" s="758"/>
      <c r="M2355" s="758"/>
      <c r="N2355" s="758"/>
      <c r="O2355" s="758"/>
      <c r="P2355" s="758"/>
      <c r="Q2355" s="519"/>
      <c r="R2355" s="759">
        <f>$A2355*Q2355</f>
        <v>0</v>
      </c>
      <c r="S2355" s="519"/>
      <c r="T2355" s="760">
        <f>$A2355*S2355*$T$1</f>
        <v>0</v>
      </c>
      <c r="AR2355" s="758"/>
      <c r="AS2355" s="753"/>
    </row>
    <row r="2356" spans="1:45" s="520" customFormat="1" ht="12.6" thickBot="1">
      <c r="A2356" s="761" t="s">
        <v>145</v>
      </c>
      <c r="B2356" s="762">
        <f>(R2355+T2355)</f>
        <v>0</v>
      </c>
      <c r="C2356" s="763"/>
      <c r="D2356" s="763"/>
      <c r="E2356" s="763"/>
      <c r="F2356" s="764"/>
      <c r="G2356" s="763" t="s">
        <v>146</v>
      </c>
      <c r="H2356" s="763"/>
      <c r="I2356" s="765"/>
      <c r="J2356" s="763"/>
      <c r="K2356" s="763" t="s">
        <v>3</v>
      </c>
      <c r="L2356" s="766" t="s">
        <v>143</v>
      </c>
      <c r="M2356" s="766"/>
      <c r="N2356" s="766"/>
      <c r="O2356" s="766"/>
      <c r="P2356" s="766"/>
      <c r="Q2356" s="767"/>
      <c r="R2356" s="768">
        <f ca="1">SUM(R2352:R2355)</f>
        <v>517.95000000000005</v>
      </c>
      <c r="S2356" s="763"/>
      <c r="T2356" s="768">
        <f ca="1">SUM(T2352:T2355)</f>
        <v>2.6999999999999997</v>
      </c>
      <c r="U2356" s="531"/>
      <c r="V2356" s="531"/>
      <c r="W2356" s="531"/>
      <c r="X2356" s="531"/>
      <c r="Y2356" s="531"/>
      <c r="Z2356" s="531"/>
      <c r="AA2356" s="531"/>
      <c r="AB2356" s="531"/>
      <c r="AC2356" s="531"/>
      <c r="AD2356" s="531"/>
      <c r="AE2356" s="531"/>
      <c r="AF2356" s="531"/>
      <c r="AG2356" s="531"/>
      <c r="AH2356" s="531"/>
      <c r="AI2356" s="531"/>
      <c r="AJ2356" s="531"/>
      <c r="AK2356" s="531"/>
      <c r="AL2356" s="531"/>
      <c r="AM2356" s="531"/>
      <c r="AN2356" s="531"/>
      <c r="AO2356" s="531"/>
      <c r="AR2356" s="761" t="s">
        <v>145</v>
      </c>
      <c r="AS2356" s="764"/>
    </row>
    <row r="2357" spans="1:45" s="520" customFormat="1" ht="12" thickTop="1">
      <c r="A2357" s="51"/>
      <c r="B2357" s="41"/>
      <c r="C2357" s="51"/>
      <c r="E2357" s="42" t="s">
        <v>138</v>
      </c>
      <c r="F2357" s="42" t="s">
        <v>139</v>
      </c>
      <c r="G2357" s="51"/>
      <c r="H2357" s="51"/>
      <c r="I2357" s="51"/>
      <c r="J2357" s="51"/>
      <c r="K2357" s="51" t="s">
        <v>140</v>
      </c>
      <c r="L2357" s="51"/>
      <c r="M2357" s="51"/>
      <c r="N2357" s="51"/>
      <c r="O2357" s="52"/>
      <c r="P2357" s="51"/>
      <c r="Q2357" s="51"/>
      <c r="R2357" s="51"/>
      <c r="S2357" s="51"/>
      <c r="T2357" s="41"/>
      <c r="AG2357" s="521" t="s">
        <v>268</v>
      </c>
      <c r="AH2357" s="521" t="s">
        <v>269</v>
      </c>
      <c r="AI2357" s="521" t="s">
        <v>270</v>
      </c>
      <c r="AJ2357" s="521" t="s">
        <v>271</v>
      </c>
      <c r="AK2357" s="521" t="s">
        <v>272</v>
      </c>
      <c r="AM2357" s="745" t="s">
        <v>281</v>
      </c>
      <c r="AN2357" s="746" t="s">
        <v>282</v>
      </c>
      <c r="AO2357" s="522" t="s">
        <v>278</v>
      </c>
      <c r="AR2357" s="51"/>
      <c r="AS2357" s="42" t="s">
        <v>139</v>
      </c>
    </row>
    <row r="2358" spans="1:45" s="520" customFormat="1" ht="12" customHeight="1">
      <c r="A2358" s="747">
        <v>90</v>
      </c>
      <c r="B2358" s="523" t="s">
        <v>320</v>
      </c>
      <c r="C2358" s="748"/>
      <c r="D2358" s="749" t="s">
        <v>1495</v>
      </c>
      <c r="E2358" s="750">
        <f ca="1">IF(AND($A2358=0,$A$1="DIF"),0, ROUND(ROUND(($R2363*$S$2+($T2363*$T$2))/A2358,2)*$C$2,2))</f>
        <v>16.2</v>
      </c>
      <c r="F2358" s="751">
        <f ca="1">ROUND($A2358*$E2358,2)</f>
        <v>1458</v>
      </c>
      <c r="G2358" s="752" t="s">
        <v>142</v>
      </c>
      <c r="H2358" s="753"/>
      <c r="I2358" s="754"/>
      <c r="J2358" s="753"/>
      <c r="K2358" s="753" t="s">
        <v>3</v>
      </c>
      <c r="L2358" s="755" t="s">
        <v>143</v>
      </c>
      <c r="M2358" s="755"/>
      <c r="N2358" s="755"/>
      <c r="O2358" s="755"/>
      <c r="P2358" s="755"/>
      <c r="Q2358" s="51"/>
      <c r="T2358" s="756" t="str">
        <f ca="1">IF(AND($R2363=0,$T2363=0),"0.00","mu :" &amp; ROUND($F2358/$C$2/($R2363+$T2363*$D$9),2))</f>
        <v>mu :1.23</v>
      </c>
      <c r="W2358" s="524"/>
      <c r="AG2358" s="481">
        <f ca="1">IF($E2358=0,0,ROUND($R2363*$S$2*$C$2/$A2358,2))</f>
        <v>14.17</v>
      </c>
      <c r="AH2358" s="481">
        <f ca="1">$AG2358*$A2358</f>
        <v>1275.3</v>
      </c>
      <c r="AI2358" s="525">
        <f ca="1">$E2358-$AG2358</f>
        <v>2.0299999999999994</v>
      </c>
      <c r="AJ2358" s="525">
        <f ca="1">$A2358*$AI2358</f>
        <v>182.69999999999993</v>
      </c>
      <c r="AK2358" s="526">
        <f ca="1">ROUND(($AG2358+$AI2358)*$A2358,2)</f>
        <v>1458</v>
      </c>
      <c r="AM2358" s="527">
        <f ca="1">ROUND(R2363,2)</f>
        <v>1035.9000000000001</v>
      </c>
      <c r="AN2358" s="528">
        <f ca="1">ROUND(T2363,2)</f>
        <v>5.4</v>
      </c>
      <c r="AO2358" s="529">
        <f ca="1">ROUND(AM2358+AN2358,2)*A2358</f>
        <v>93717</v>
      </c>
      <c r="AR2358" s="747">
        <v>90</v>
      </c>
      <c r="AS2358" s="751">
        <v>1488.6</v>
      </c>
    </row>
    <row r="2359" spans="1:45" s="520" customFormat="1" ht="13.2">
      <c r="A2359" s="748"/>
      <c r="B2359"/>
      <c r="C2359" s="748"/>
      <c r="D2359" s="749" t="s">
        <v>1496</v>
      </c>
      <c r="F2359" s="753"/>
      <c r="G2359" s="3"/>
      <c r="H2359" s="753"/>
      <c r="I2359" s="754"/>
      <c r="J2359" s="753"/>
      <c r="K2359" s="753" t="s">
        <v>144</v>
      </c>
      <c r="L2359" s="753"/>
      <c r="M2359" s="753"/>
      <c r="N2359" s="753"/>
      <c r="O2359" s="753"/>
      <c r="P2359" s="753"/>
      <c r="Q2359" s="51"/>
      <c r="R2359" s="530"/>
      <c r="S2359" s="757"/>
      <c r="T2359" s="753"/>
      <c r="AR2359" s="748"/>
      <c r="AS2359" s="753"/>
    </row>
    <row r="2360" spans="1:45" s="886" customFormat="1" ht="13.2">
      <c r="A2360"/>
      <c r="B2360" s="910"/>
      <c r="C2360" s="910" t="s">
        <v>2597</v>
      </c>
      <c r="D2360" s="910" t="str">
        <f ca="1">CELL("Address",Elec_Rates!D$498)</f>
        <v>[E25_0062_Quintano_Foods_Elec_ELV_As_Awarded.xlsx]Elec_Rates!$D$498</v>
      </c>
      <c r="E2360" s="911"/>
      <c r="F2360" s="911"/>
      <c r="G2360" s="912" t="s">
        <v>2598</v>
      </c>
      <c r="H2360" s="912"/>
      <c r="I2360" s="912"/>
      <c r="J2360" s="912"/>
      <c r="K2360" s="913"/>
      <c r="L2360" s="911"/>
      <c r="M2360" s="911"/>
      <c r="N2360" s="911"/>
      <c r="O2360" s="914"/>
      <c r="P2360" s="911"/>
      <c r="Q2360" s="915"/>
      <c r="R2360" s="916"/>
      <c r="S2360" s="915"/>
      <c r="T2360" s="917"/>
      <c r="U2360" s="918"/>
      <c r="AR2360"/>
      <c r="AS2360" s="911"/>
    </row>
    <row r="2361" spans="1:45" s="886" customFormat="1" ht="11.4">
      <c r="A2361" s="919">
        <v>90</v>
      </c>
      <c r="B2361" s="920">
        <v>1</v>
      </c>
      <c r="C2361" s="920">
        <f>$A2361*$B2361</f>
        <v>90</v>
      </c>
      <c r="D2361" s="921" t="str">
        <f>Elec_Rates!$D$498</f>
        <v>047# 5 x 2.5mm2 F120 Fire Resistant Cable (BS7846) -  XLPE/SWA/LSZH - at high level</v>
      </c>
      <c r="E2361" s="921"/>
      <c r="F2361" s="921" t="s">
        <v>2599</v>
      </c>
      <c r="G2361" s="922" t="s">
        <v>2601</v>
      </c>
      <c r="H2361" s="922"/>
      <c r="I2361" s="922"/>
      <c r="J2361" s="922"/>
      <c r="K2361" s="923"/>
      <c r="L2361" s="918"/>
      <c r="M2361" s="918"/>
      <c r="N2361" s="918"/>
      <c r="O2361" s="924"/>
      <c r="P2361" s="921"/>
      <c r="Q2361" s="925">
        <f ca="1">$B2361*Elec_Rates!$R$498</f>
        <v>11.51</v>
      </c>
      <c r="R2361" s="916">
        <f ca="1">$A2361*Q2361</f>
        <v>1035.9000000000001</v>
      </c>
      <c r="S2361" s="925">
        <f ca="1">$B2361*Elec_Rates!$T$498</f>
        <v>0.06</v>
      </c>
      <c r="T2361" s="917">
        <f ca="1">$A2361*S2361</f>
        <v>5.3999999999999995</v>
      </c>
      <c r="U2361" s="926"/>
      <c r="AR2361" s="919">
        <v>90</v>
      </c>
      <c r="AS2361" s="921" t="s">
        <v>2599</v>
      </c>
    </row>
    <row r="2362" spans="1:45" s="520" customFormat="1" ht="12">
      <c r="A2362" s="758"/>
      <c r="B2362" s="758"/>
      <c r="C2362" s="758"/>
      <c r="D2362" s="758"/>
      <c r="E2362" s="758"/>
      <c r="F2362" s="753"/>
      <c r="G2362" s="758"/>
      <c r="H2362" s="758"/>
      <c r="I2362" s="519"/>
      <c r="J2362" s="758"/>
      <c r="K2362" s="758"/>
      <c r="L2362" s="758"/>
      <c r="M2362" s="758"/>
      <c r="N2362" s="758"/>
      <c r="O2362" s="758"/>
      <c r="P2362" s="758"/>
      <c r="Q2362" s="519"/>
      <c r="R2362" s="759">
        <f>$A2362*Q2362</f>
        <v>0</v>
      </c>
      <c r="S2362" s="519"/>
      <c r="T2362" s="760">
        <f>$A2362*S2362*$T$1</f>
        <v>0</v>
      </c>
      <c r="AR2362" s="758"/>
      <c r="AS2362" s="753"/>
    </row>
    <row r="2363" spans="1:45" s="520" customFormat="1" ht="12.6" thickBot="1">
      <c r="A2363" s="761" t="s">
        <v>145</v>
      </c>
      <c r="B2363" s="762">
        <f>(R2362+T2362)</f>
        <v>0</v>
      </c>
      <c r="C2363" s="763"/>
      <c r="D2363" s="763"/>
      <c r="E2363" s="763"/>
      <c r="F2363" s="764"/>
      <c r="G2363" s="763" t="s">
        <v>146</v>
      </c>
      <c r="H2363" s="763"/>
      <c r="I2363" s="765"/>
      <c r="J2363" s="763"/>
      <c r="K2363" s="763" t="s">
        <v>3</v>
      </c>
      <c r="L2363" s="766" t="s">
        <v>143</v>
      </c>
      <c r="M2363" s="766"/>
      <c r="N2363" s="766"/>
      <c r="O2363" s="766"/>
      <c r="P2363" s="766"/>
      <c r="Q2363" s="767"/>
      <c r="R2363" s="768">
        <f ca="1">SUM(R2359:R2362)</f>
        <v>1035.9000000000001</v>
      </c>
      <c r="S2363" s="763"/>
      <c r="T2363" s="768">
        <f ca="1">SUM(T2359:T2362)</f>
        <v>5.3999999999999995</v>
      </c>
      <c r="U2363" s="531"/>
      <c r="V2363" s="531"/>
      <c r="W2363" s="531"/>
      <c r="X2363" s="531"/>
      <c r="Y2363" s="531"/>
      <c r="Z2363" s="531"/>
      <c r="AA2363" s="531"/>
      <c r="AB2363" s="531"/>
      <c r="AC2363" s="531"/>
      <c r="AD2363" s="531"/>
      <c r="AE2363" s="531"/>
      <c r="AF2363" s="531"/>
      <c r="AG2363" s="531"/>
      <c r="AH2363" s="531"/>
      <c r="AI2363" s="531"/>
      <c r="AJ2363" s="531"/>
      <c r="AK2363" s="531"/>
      <c r="AL2363" s="531"/>
      <c r="AM2363" s="531"/>
      <c r="AN2363" s="531"/>
      <c r="AO2363" s="531"/>
      <c r="AR2363" s="761" t="s">
        <v>145</v>
      </c>
      <c r="AS2363" s="764"/>
    </row>
    <row r="2364" spans="1:45" s="520" customFormat="1" ht="12" thickTop="1">
      <c r="A2364" s="51"/>
      <c r="B2364" s="41"/>
      <c r="C2364" s="51"/>
      <c r="E2364" s="42" t="s">
        <v>138</v>
      </c>
      <c r="F2364" s="42" t="s">
        <v>139</v>
      </c>
      <c r="G2364" s="51"/>
      <c r="H2364" s="51"/>
      <c r="I2364" s="51"/>
      <c r="J2364" s="51"/>
      <c r="K2364" s="51" t="s">
        <v>140</v>
      </c>
      <c r="L2364" s="51"/>
      <c r="M2364" s="51"/>
      <c r="N2364" s="51"/>
      <c r="O2364" s="52"/>
      <c r="P2364" s="51"/>
      <c r="Q2364" s="51"/>
      <c r="R2364" s="51"/>
      <c r="S2364" s="51"/>
      <c r="T2364" s="41"/>
      <c r="AG2364" s="521" t="s">
        <v>268</v>
      </c>
      <c r="AH2364" s="521" t="s">
        <v>269</v>
      </c>
      <c r="AI2364" s="521" t="s">
        <v>270</v>
      </c>
      <c r="AJ2364" s="521" t="s">
        <v>271</v>
      </c>
      <c r="AK2364" s="521" t="s">
        <v>272</v>
      </c>
      <c r="AM2364" s="745" t="s">
        <v>281</v>
      </c>
      <c r="AN2364" s="746" t="s">
        <v>282</v>
      </c>
      <c r="AO2364" s="522" t="s">
        <v>278</v>
      </c>
      <c r="AR2364" s="51"/>
      <c r="AS2364" s="42" t="s">
        <v>139</v>
      </c>
    </row>
    <row r="2365" spans="1:45" s="520" customFormat="1" ht="12" customHeight="1">
      <c r="A2365" s="747">
        <v>80</v>
      </c>
      <c r="B2365" s="523" t="s">
        <v>320</v>
      </c>
      <c r="C2365" s="748"/>
      <c r="D2365" s="749" t="s">
        <v>1497</v>
      </c>
      <c r="E2365" s="750">
        <f ca="1">IF(AND($A2365=0,$A$1="DIF"),0, ROUND(ROUND(($R2370*$S$2+($T2370*$T$2))/A2365,2)*$C$2,2))</f>
        <v>16.2</v>
      </c>
      <c r="F2365" s="751">
        <f ca="1">ROUND($A2365*$E2365,2)</f>
        <v>1296</v>
      </c>
      <c r="G2365" s="752" t="s">
        <v>142</v>
      </c>
      <c r="H2365" s="753"/>
      <c r="I2365" s="754"/>
      <c r="J2365" s="753"/>
      <c r="K2365" s="753" t="s">
        <v>3</v>
      </c>
      <c r="L2365" s="755" t="s">
        <v>143</v>
      </c>
      <c r="M2365" s="755"/>
      <c r="N2365" s="755"/>
      <c r="O2365" s="755"/>
      <c r="P2365" s="755"/>
      <c r="Q2365" s="51"/>
      <c r="T2365" s="756" t="str">
        <f ca="1">IF(AND($R2370=0,$T2370=0),"0.00","mu :" &amp; ROUND($F2365/$C$2/($R2370+$T2370*$D$9),2))</f>
        <v>mu :1.23</v>
      </c>
      <c r="W2365" s="524"/>
      <c r="AG2365" s="481">
        <f ca="1">IF($E2365=0,0,ROUND($R2370*$S$2*$C$2/$A2365,2))</f>
        <v>14.17</v>
      </c>
      <c r="AH2365" s="481">
        <f ca="1">$AG2365*$A2365</f>
        <v>1133.5999999999999</v>
      </c>
      <c r="AI2365" s="525">
        <f ca="1">$E2365-$AG2365</f>
        <v>2.0299999999999994</v>
      </c>
      <c r="AJ2365" s="525">
        <f ca="1">$A2365*$AI2365</f>
        <v>162.39999999999995</v>
      </c>
      <c r="AK2365" s="526">
        <f ca="1">ROUND(($AG2365+$AI2365)*$A2365,2)</f>
        <v>1296</v>
      </c>
      <c r="AM2365" s="527">
        <f ca="1">ROUND(R2370,2)</f>
        <v>920.8</v>
      </c>
      <c r="AN2365" s="528">
        <f ca="1">ROUND(T2370,2)</f>
        <v>4.8</v>
      </c>
      <c r="AO2365" s="529">
        <f ca="1">ROUND(AM2365+AN2365,2)*A2365</f>
        <v>74048</v>
      </c>
      <c r="AR2365" s="747">
        <v>80</v>
      </c>
      <c r="AS2365" s="751">
        <v>1323.2</v>
      </c>
    </row>
    <row r="2366" spans="1:45" s="520" customFormat="1" ht="13.2">
      <c r="A2366" s="748"/>
      <c r="B2366"/>
      <c r="C2366" s="748"/>
      <c r="D2366" s="749" t="s">
        <v>1498</v>
      </c>
      <c r="F2366" s="753"/>
      <c r="G2366" s="3"/>
      <c r="H2366" s="753"/>
      <c r="I2366" s="754"/>
      <c r="J2366" s="753"/>
      <c r="K2366" s="753" t="s">
        <v>144</v>
      </c>
      <c r="L2366" s="753"/>
      <c r="M2366" s="753"/>
      <c r="N2366" s="753"/>
      <c r="O2366" s="753"/>
      <c r="P2366" s="753"/>
      <c r="Q2366" s="51"/>
      <c r="R2366" s="530"/>
      <c r="S2366" s="757"/>
      <c r="T2366" s="753"/>
      <c r="AR2366" s="748"/>
      <c r="AS2366" s="753"/>
    </row>
    <row r="2367" spans="1:45" s="886" customFormat="1" ht="13.2">
      <c r="A2367"/>
      <c r="B2367" s="910"/>
      <c r="C2367" s="910" t="s">
        <v>2597</v>
      </c>
      <c r="D2367" s="910" t="str">
        <f ca="1">CELL("Address",Elec_Rates!D$498)</f>
        <v>[E25_0062_Quintano_Foods_Elec_ELV_As_Awarded.xlsx]Elec_Rates!$D$498</v>
      </c>
      <c r="E2367" s="911"/>
      <c r="F2367" s="911"/>
      <c r="G2367" s="912" t="s">
        <v>2598</v>
      </c>
      <c r="H2367" s="912"/>
      <c r="I2367" s="912"/>
      <c r="J2367" s="912"/>
      <c r="K2367" s="913"/>
      <c r="L2367" s="911"/>
      <c r="M2367" s="911"/>
      <c r="N2367" s="911"/>
      <c r="O2367" s="914"/>
      <c r="P2367" s="911"/>
      <c r="Q2367" s="915"/>
      <c r="R2367" s="916"/>
      <c r="S2367" s="915"/>
      <c r="T2367" s="917"/>
      <c r="U2367" s="918"/>
      <c r="AR2367"/>
      <c r="AS2367" s="911"/>
    </row>
    <row r="2368" spans="1:45" s="886" customFormat="1" ht="11.4">
      <c r="A2368" s="919">
        <v>80</v>
      </c>
      <c r="B2368" s="920">
        <v>1</v>
      </c>
      <c r="C2368" s="920">
        <f>$A2368*$B2368</f>
        <v>80</v>
      </c>
      <c r="D2368" s="921" t="str">
        <f>Elec_Rates!$D$498</f>
        <v>047# 5 x 2.5mm2 F120 Fire Resistant Cable (BS7846) -  XLPE/SWA/LSZH - at high level</v>
      </c>
      <c r="E2368" s="921"/>
      <c r="F2368" s="921" t="s">
        <v>2599</v>
      </c>
      <c r="G2368" s="922" t="s">
        <v>2601</v>
      </c>
      <c r="H2368" s="922"/>
      <c r="I2368" s="922"/>
      <c r="J2368" s="922"/>
      <c r="K2368" s="923"/>
      <c r="L2368" s="918"/>
      <c r="M2368" s="918"/>
      <c r="N2368" s="918"/>
      <c r="O2368" s="924"/>
      <c r="P2368" s="921"/>
      <c r="Q2368" s="925">
        <f ca="1">$B2368*Elec_Rates!$R$498</f>
        <v>11.51</v>
      </c>
      <c r="R2368" s="916">
        <f ca="1">$A2368*Q2368</f>
        <v>920.8</v>
      </c>
      <c r="S2368" s="925">
        <f ca="1">$B2368*Elec_Rates!$T$498</f>
        <v>0.06</v>
      </c>
      <c r="T2368" s="917">
        <f ca="1">$A2368*S2368</f>
        <v>4.8</v>
      </c>
      <c r="U2368" s="926"/>
      <c r="AR2368" s="919">
        <v>80</v>
      </c>
      <c r="AS2368" s="921" t="s">
        <v>2599</v>
      </c>
    </row>
    <row r="2369" spans="1:45" s="520" customFormat="1" ht="12">
      <c r="A2369" s="758"/>
      <c r="B2369" s="758"/>
      <c r="C2369" s="758"/>
      <c r="D2369" s="758"/>
      <c r="E2369" s="758"/>
      <c r="F2369" s="753"/>
      <c r="G2369" s="758"/>
      <c r="H2369" s="758"/>
      <c r="I2369" s="519"/>
      <c r="J2369" s="758"/>
      <c r="K2369" s="758"/>
      <c r="L2369" s="758"/>
      <c r="M2369" s="758"/>
      <c r="N2369" s="758"/>
      <c r="O2369" s="758"/>
      <c r="P2369" s="758"/>
      <c r="Q2369" s="519"/>
      <c r="R2369" s="759">
        <f>$A2369*Q2369</f>
        <v>0</v>
      </c>
      <c r="S2369" s="519"/>
      <c r="T2369" s="760">
        <f>$A2369*S2369*$T$1</f>
        <v>0</v>
      </c>
      <c r="AR2369" s="758"/>
      <c r="AS2369" s="753"/>
    </row>
    <row r="2370" spans="1:45" s="520" customFormat="1" ht="12.6" thickBot="1">
      <c r="A2370" s="761" t="s">
        <v>145</v>
      </c>
      <c r="B2370" s="762">
        <f>(R2369+T2369)</f>
        <v>0</v>
      </c>
      <c r="C2370" s="763"/>
      <c r="D2370" s="763"/>
      <c r="E2370" s="763"/>
      <c r="F2370" s="764"/>
      <c r="G2370" s="763" t="s">
        <v>146</v>
      </c>
      <c r="H2370" s="763"/>
      <c r="I2370" s="765"/>
      <c r="J2370" s="763"/>
      <c r="K2370" s="763" t="s">
        <v>3</v>
      </c>
      <c r="L2370" s="766" t="s">
        <v>143</v>
      </c>
      <c r="M2370" s="766"/>
      <c r="N2370" s="766"/>
      <c r="O2370" s="766"/>
      <c r="P2370" s="766"/>
      <c r="Q2370" s="767"/>
      <c r="R2370" s="768">
        <f ca="1">SUM(R2366:R2369)</f>
        <v>920.8</v>
      </c>
      <c r="S2370" s="763"/>
      <c r="T2370" s="768">
        <f ca="1">SUM(T2366:T2369)</f>
        <v>4.8</v>
      </c>
      <c r="U2370" s="531"/>
      <c r="V2370" s="531"/>
      <c r="W2370" s="531"/>
      <c r="X2370" s="531"/>
      <c r="Y2370" s="531"/>
      <c r="Z2370" s="531"/>
      <c r="AA2370" s="531"/>
      <c r="AB2370" s="531"/>
      <c r="AC2370" s="531"/>
      <c r="AD2370" s="531"/>
      <c r="AE2370" s="531"/>
      <c r="AF2370" s="531"/>
      <c r="AG2370" s="531"/>
      <c r="AH2370" s="531"/>
      <c r="AI2370" s="531"/>
      <c r="AJ2370" s="531"/>
      <c r="AK2370" s="531"/>
      <c r="AL2370" s="531"/>
      <c r="AM2370" s="531"/>
      <c r="AN2370" s="531"/>
      <c r="AO2370" s="531"/>
      <c r="AR2370" s="761" t="s">
        <v>145</v>
      </c>
      <c r="AS2370" s="764"/>
    </row>
    <row r="2371" spans="1:45" s="520" customFormat="1" ht="12" thickTop="1">
      <c r="A2371" s="51"/>
      <c r="B2371" s="41"/>
      <c r="C2371" s="51"/>
      <c r="E2371" s="42" t="s">
        <v>138</v>
      </c>
      <c r="F2371" s="42" t="s">
        <v>139</v>
      </c>
      <c r="G2371" s="51"/>
      <c r="H2371" s="51"/>
      <c r="I2371" s="51"/>
      <c r="J2371" s="51"/>
      <c r="K2371" s="51" t="s">
        <v>140</v>
      </c>
      <c r="L2371" s="51"/>
      <c r="M2371" s="51"/>
      <c r="N2371" s="51"/>
      <c r="O2371" s="52"/>
      <c r="P2371" s="51"/>
      <c r="Q2371" s="51"/>
      <c r="R2371" s="51"/>
      <c r="S2371" s="51"/>
      <c r="T2371" s="41"/>
      <c r="AG2371" s="521" t="s">
        <v>268</v>
      </c>
      <c r="AH2371" s="521" t="s">
        <v>269</v>
      </c>
      <c r="AI2371" s="521" t="s">
        <v>270</v>
      </c>
      <c r="AJ2371" s="521" t="s">
        <v>271</v>
      </c>
      <c r="AK2371" s="521" t="s">
        <v>272</v>
      </c>
      <c r="AM2371" s="745" t="s">
        <v>281</v>
      </c>
      <c r="AN2371" s="746" t="s">
        <v>282</v>
      </c>
      <c r="AO2371" s="522" t="s">
        <v>278</v>
      </c>
      <c r="AR2371" s="51"/>
      <c r="AS2371" s="42" t="s">
        <v>139</v>
      </c>
    </row>
    <row r="2372" spans="1:45" s="520" customFormat="1" ht="12" customHeight="1">
      <c r="A2372" s="747">
        <v>70</v>
      </c>
      <c r="B2372" s="523" t="s">
        <v>320</v>
      </c>
      <c r="C2372" s="748"/>
      <c r="D2372" s="749" t="s">
        <v>1499</v>
      </c>
      <c r="E2372" s="750">
        <f ca="1">IF(AND($A2372=0,$A$1="DIF"),0, ROUND(ROUND(($R2377*$S$2+($T2377*$T$2))/A2372,2)*$C$2,2))</f>
        <v>16.2</v>
      </c>
      <c r="F2372" s="751">
        <f ca="1">ROUND($A2372*$E2372,2)</f>
        <v>1134</v>
      </c>
      <c r="G2372" s="752" t="s">
        <v>142</v>
      </c>
      <c r="H2372" s="753"/>
      <c r="I2372" s="754"/>
      <c r="J2372" s="753"/>
      <c r="K2372" s="753" t="s">
        <v>3</v>
      </c>
      <c r="L2372" s="755" t="s">
        <v>143</v>
      </c>
      <c r="M2372" s="755"/>
      <c r="N2372" s="755"/>
      <c r="O2372" s="755"/>
      <c r="P2372" s="755"/>
      <c r="Q2372" s="51"/>
      <c r="T2372" s="756" t="str">
        <f ca="1">IF(AND($R2377=0,$T2377=0),"0.00","mu :" &amp; ROUND($F2372/$C$2/($R2377+$T2377*$D$9),2))</f>
        <v>mu :1.23</v>
      </c>
      <c r="W2372" s="524"/>
      <c r="AG2372" s="481">
        <f ca="1">IF($E2372=0,0,ROUND($R2377*$S$2*$C$2/$A2372,2))</f>
        <v>14.17</v>
      </c>
      <c r="AH2372" s="481">
        <f ca="1">$AG2372*$A2372</f>
        <v>991.9</v>
      </c>
      <c r="AI2372" s="525">
        <f ca="1">$E2372-$AG2372</f>
        <v>2.0299999999999994</v>
      </c>
      <c r="AJ2372" s="525">
        <f ca="1">$A2372*$AI2372</f>
        <v>142.09999999999997</v>
      </c>
      <c r="AK2372" s="526">
        <f ca="1">ROUND(($AG2372+$AI2372)*$A2372,2)</f>
        <v>1134</v>
      </c>
      <c r="AM2372" s="527">
        <f ca="1">ROUND(R2377,2)</f>
        <v>805.7</v>
      </c>
      <c r="AN2372" s="528">
        <f ca="1">ROUND(T2377,2)</f>
        <v>4.2</v>
      </c>
      <c r="AO2372" s="529">
        <f ca="1">ROUND(AM2372+AN2372,2)*A2372</f>
        <v>56693</v>
      </c>
      <c r="AR2372" s="747">
        <v>70</v>
      </c>
      <c r="AS2372" s="751">
        <v>1157.8</v>
      </c>
    </row>
    <row r="2373" spans="1:45" s="520" customFormat="1" ht="13.2">
      <c r="A2373" s="748"/>
      <c r="B2373"/>
      <c r="C2373" s="748"/>
      <c r="D2373" s="749" t="s">
        <v>1500</v>
      </c>
      <c r="F2373" s="753"/>
      <c r="G2373" s="3"/>
      <c r="H2373" s="753"/>
      <c r="I2373" s="754"/>
      <c r="J2373" s="753"/>
      <c r="K2373" s="753" t="s">
        <v>144</v>
      </c>
      <c r="L2373" s="753"/>
      <c r="M2373" s="753"/>
      <c r="N2373" s="753"/>
      <c r="O2373" s="753"/>
      <c r="P2373" s="753"/>
      <c r="Q2373" s="51"/>
      <c r="R2373" s="530"/>
      <c r="S2373" s="757"/>
      <c r="T2373" s="753"/>
      <c r="AR2373" s="748"/>
      <c r="AS2373" s="753"/>
    </row>
    <row r="2374" spans="1:45" s="886" customFormat="1" ht="13.2">
      <c r="A2374"/>
      <c r="B2374" s="910"/>
      <c r="C2374" s="910" t="s">
        <v>2597</v>
      </c>
      <c r="D2374" s="910" t="str">
        <f ca="1">CELL("Address",Elec_Rates!D$498)</f>
        <v>[E25_0062_Quintano_Foods_Elec_ELV_As_Awarded.xlsx]Elec_Rates!$D$498</v>
      </c>
      <c r="E2374" s="911"/>
      <c r="F2374" s="911"/>
      <c r="G2374" s="912" t="s">
        <v>2598</v>
      </c>
      <c r="H2374" s="912"/>
      <c r="I2374" s="912"/>
      <c r="J2374" s="912"/>
      <c r="K2374" s="913"/>
      <c r="L2374" s="911"/>
      <c r="M2374" s="911"/>
      <c r="N2374" s="911"/>
      <c r="O2374" s="914"/>
      <c r="P2374" s="911"/>
      <c r="Q2374" s="915"/>
      <c r="R2374" s="916"/>
      <c r="S2374" s="915"/>
      <c r="T2374" s="917"/>
      <c r="U2374" s="918"/>
      <c r="AR2374"/>
      <c r="AS2374" s="911"/>
    </row>
    <row r="2375" spans="1:45" s="886" customFormat="1" ht="11.4">
      <c r="A2375" s="919">
        <v>70</v>
      </c>
      <c r="B2375" s="920">
        <v>1</v>
      </c>
      <c r="C2375" s="920">
        <f>$A2375*$B2375</f>
        <v>70</v>
      </c>
      <c r="D2375" s="921" t="str">
        <f>Elec_Rates!$D$498</f>
        <v>047# 5 x 2.5mm2 F120 Fire Resistant Cable (BS7846) -  XLPE/SWA/LSZH - at high level</v>
      </c>
      <c r="E2375" s="921"/>
      <c r="F2375" s="921" t="s">
        <v>2599</v>
      </c>
      <c r="G2375" s="922" t="s">
        <v>2601</v>
      </c>
      <c r="H2375" s="922"/>
      <c r="I2375" s="922"/>
      <c r="J2375" s="922"/>
      <c r="K2375" s="923"/>
      <c r="L2375" s="918"/>
      <c r="M2375" s="918"/>
      <c r="N2375" s="918"/>
      <c r="O2375" s="924"/>
      <c r="P2375" s="921"/>
      <c r="Q2375" s="925">
        <f ca="1">$B2375*Elec_Rates!$R$498</f>
        <v>11.51</v>
      </c>
      <c r="R2375" s="916">
        <f ca="1">$A2375*Q2375</f>
        <v>805.69999999999993</v>
      </c>
      <c r="S2375" s="925">
        <f ca="1">$B2375*Elec_Rates!$T$498</f>
        <v>0.06</v>
      </c>
      <c r="T2375" s="917">
        <f ca="1">$A2375*S2375</f>
        <v>4.2</v>
      </c>
      <c r="U2375" s="926"/>
      <c r="AR2375" s="919">
        <v>70</v>
      </c>
      <c r="AS2375" s="921" t="s">
        <v>2599</v>
      </c>
    </row>
    <row r="2376" spans="1:45" s="520" customFormat="1" ht="12">
      <c r="A2376" s="758"/>
      <c r="B2376" s="758"/>
      <c r="C2376" s="758"/>
      <c r="D2376" s="758"/>
      <c r="E2376" s="758"/>
      <c r="F2376" s="753"/>
      <c r="G2376" s="758"/>
      <c r="H2376" s="758"/>
      <c r="I2376" s="519"/>
      <c r="J2376" s="758"/>
      <c r="K2376" s="758"/>
      <c r="L2376" s="758"/>
      <c r="M2376" s="758"/>
      <c r="N2376" s="758"/>
      <c r="O2376" s="758"/>
      <c r="P2376" s="758"/>
      <c r="Q2376" s="519"/>
      <c r="R2376" s="759">
        <f>$A2376*Q2376</f>
        <v>0</v>
      </c>
      <c r="S2376" s="519"/>
      <c r="T2376" s="760">
        <f>$A2376*S2376*$T$1</f>
        <v>0</v>
      </c>
      <c r="AR2376" s="758"/>
      <c r="AS2376" s="753"/>
    </row>
    <row r="2377" spans="1:45" s="520" customFormat="1" ht="12.6" thickBot="1">
      <c r="A2377" s="761" t="s">
        <v>145</v>
      </c>
      <c r="B2377" s="762">
        <f>(R2376+T2376)</f>
        <v>0</v>
      </c>
      <c r="C2377" s="763"/>
      <c r="D2377" s="763"/>
      <c r="E2377" s="763"/>
      <c r="F2377" s="764"/>
      <c r="G2377" s="763" t="s">
        <v>146</v>
      </c>
      <c r="H2377" s="763"/>
      <c r="I2377" s="765"/>
      <c r="J2377" s="763"/>
      <c r="K2377" s="763" t="s">
        <v>3</v>
      </c>
      <c r="L2377" s="766" t="s">
        <v>143</v>
      </c>
      <c r="M2377" s="766"/>
      <c r="N2377" s="766"/>
      <c r="O2377" s="766"/>
      <c r="P2377" s="766"/>
      <c r="Q2377" s="767"/>
      <c r="R2377" s="768">
        <f ca="1">SUM(R2373:R2376)</f>
        <v>805.69999999999993</v>
      </c>
      <c r="S2377" s="763"/>
      <c r="T2377" s="768">
        <f ca="1">SUM(T2373:T2376)</f>
        <v>4.2</v>
      </c>
      <c r="U2377" s="531"/>
      <c r="V2377" s="531"/>
      <c r="W2377" s="531"/>
      <c r="X2377" s="531"/>
      <c r="Y2377" s="531"/>
      <c r="Z2377" s="531"/>
      <c r="AA2377" s="531"/>
      <c r="AB2377" s="531"/>
      <c r="AC2377" s="531"/>
      <c r="AD2377" s="531"/>
      <c r="AE2377" s="531"/>
      <c r="AF2377" s="531"/>
      <c r="AG2377" s="531"/>
      <c r="AH2377" s="531"/>
      <c r="AI2377" s="531"/>
      <c r="AJ2377" s="531"/>
      <c r="AK2377" s="531"/>
      <c r="AL2377" s="531"/>
      <c r="AM2377" s="531"/>
      <c r="AN2377" s="531"/>
      <c r="AO2377" s="531"/>
      <c r="AR2377" s="761" t="s">
        <v>145</v>
      </c>
      <c r="AS2377" s="764"/>
    </row>
    <row r="2378" spans="1:45" s="520" customFormat="1" ht="12" thickTop="1">
      <c r="A2378" s="51"/>
      <c r="B2378" s="41"/>
      <c r="C2378" s="51"/>
      <c r="E2378" s="42" t="s">
        <v>138</v>
      </c>
      <c r="F2378" s="42" t="s">
        <v>139</v>
      </c>
      <c r="G2378" s="51"/>
      <c r="H2378" s="51"/>
      <c r="I2378" s="51"/>
      <c r="J2378" s="51"/>
      <c r="K2378" s="51" t="s">
        <v>140</v>
      </c>
      <c r="L2378" s="51"/>
      <c r="M2378" s="51"/>
      <c r="N2378" s="51"/>
      <c r="O2378" s="52"/>
      <c r="P2378" s="51"/>
      <c r="Q2378" s="51"/>
      <c r="R2378" s="51"/>
      <c r="S2378" s="51"/>
      <c r="T2378" s="41"/>
      <c r="AG2378" s="521" t="s">
        <v>268</v>
      </c>
      <c r="AH2378" s="521" t="s">
        <v>269</v>
      </c>
      <c r="AI2378" s="521" t="s">
        <v>270</v>
      </c>
      <c r="AJ2378" s="521" t="s">
        <v>271</v>
      </c>
      <c r="AK2378" s="521" t="s">
        <v>272</v>
      </c>
      <c r="AM2378" s="745" t="s">
        <v>281</v>
      </c>
      <c r="AN2378" s="746" t="s">
        <v>282</v>
      </c>
      <c r="AO2378" s="522" t="s">
        <v>278</v>
      </c>
      <c r="AR2378" s="51"/>
      <c r="AS2378" s="42" t="s">
        <v>139</v>
      </c>
    </row>
    <row r="2379" spans="1:45" s="520" customFormat="1" ht="12" customHeight="1">
      <c r="A2379" s="747">
        <v>85</v>
      </c>
      <c r="B2379" s="523" t="s">
        <v>320</v>
      </c>
      <c r="C2379" s="748"/>
      <c r="D2379" s="749" t="s">
        <v>1501</v>
      </c>
      <c r="E2379" s="750">
        <f ca="1">IF(AND($A2379=0,$A$1="DIF"),0, ROUND(ROUND(($R2384*$S$2+($T2384*$T$2))/A2379,2)*$C$2,2))</f>
        <v>16.2</v>
      </c>
      <c r="F2379" s="751">
        <f ca="1">ROUND($A2379*$E2379,2)</f>
        <v>1377</v>
      </c>
      <c r="G2379" s="752" t="s">
        <v>142</v>
      </c>
      <c r="H2379" s="753"/>
      <c r="I2379" s="754"/>
      <c r="J2379" s="753"/>
      <c r="K2379" s="753" t="s">
        <v>3</v>
      </c>
      <c r="L2379" s="755" t="s">
        <v>143</v>
      </c>
      <c r="M2379" s="755"/>
      <c r="N2379" s="755"/>
      <c r="O2379" s="755"/>
      <c r="P2379" s="755"/>
      <c r="Q2379" s="51"/>
      <c r="T2379" s="756" t="str">
        <f ca="1">IF(AND($R2384=0,$T2384=0),"0.00","mu :" &amp; ROUND($F2379/$C$2/($R2384+$T2384*$D$9),2))</f>
        <v>mu :1.23</v>
      </c>
      <c r="W2379" s="524"/>
      <c r="AG2379" s="481">
        <f ca="1">IF($E2379=0,0,ROUND($R2384*$S$2*$C$2/$A2379,2))</f>
        <v>14.17</v>
      </c>
      <c r="AH2379" s="481">
        <f ca="1">$AG2379*$A2379</f>
        <v>1204.45</v>
      </c>
      <c r="AI2379" s="525">
        <f ca="1">$E2379-$AG2379</f>
        <v>2.0299999999999994</v>
      </c>
      <c r="AJ2379" s="525">
        <f ca="1">$A2379*$AI2379</f>
        <v>172.54999999999995</v>
      </c>
      <c r="AK2379" s="526">
        <f ca="1">ROUND(($AG2379+$AI2379)*$A2379,2)</f>
        <v>1377</v>
      </c>
      <c r="AM2379" s="527">
        <f ca="1">ROUND(R2384,2)</f>
        <v>978.35</v>
      </c>
      <c r="AN2379" s="528">
        <f ca="1">ROUND(T2384,2)</f>
        <v>5.0999999999999996</v>
      </c>
      <c r="AO2379" s="529">
        <f ca="1">ROUND(AM2379+AN2379,2)*A2379</f>
        <v>83593.25</v>
      </c>
      <c r="AR2379" s="747">
        <v>85</v>
      </c>
      <c r="AS2379" s="751">
        <v>1405.9</v>
      </c>
    </row>
    <row r="2380" spans="1:45" s="520" customFormat="1" ht="13.2">
      <c r="A2380" s="748"/>
      <c r="B2380"/>
      <c r="C2380" s="748"/>
      <c r="D2380" s="749" t="s">
        <v>1502</v>
      </c>
      <c r="F2380" s="753"/>
      <c r="G2380" s="3"/>
      <c r="H2380" s="753"/>
      <c r="I2380" s="754"/>
      <c r="J2380" s="753"/>
      <c r="K2380" s="753" t="s">
        <v>144</v>
      </c>
      <c r="L2380" s="753"/>
      <c r="M2380" s="753"/>
      <c r="N2380" s="753"/>
      <c r="O2380" s="753"/>
      <c r="P2380" s="753"/>
      <c r="Q2380" s="51"/>
      <c r="R2380" s="530"/>
      <c r="S2380" s="757"/>
      <c r="T2380" s="753"/>
      <c r="AR2380" s="748"/>
      <c r="AS2380" s="753"/>
    </row>
    <row r="2381" spans="1:45" s="886" customFormat="1" ht="13.2">
      <c r="A2381"/>
      <c r="B2381" s="910"/>
      <c r="C2381" s="910" t="s">
        <v>2597</v>
      </c>
      <c r="D2381" s="910" t="str">
        <f ca="1">CELL("Address",Elec_Rates!D$498)</f>
        <v>[E25_0062_Quintano_Foods_Elec_ELV_As_Awarded.xlsx]Elec_Rates!$D$498</v>
      </c>
      <c r="E2381" s="911"/>
      <c r="F2381" s="911"/>
      <c r="G2381" s="912" t="s">
        <v>2598</v>
      </c>
      <c r="H2381" s="912"/>
      <c r="I2381" s="912"/>
      <c r="J2381" s="912"/>
      <c r="K2381" s="913"/>
      <c r="L2381" s="911"/>
      <c r="M2381" s="911"/>
      <c r="N2381" s="911"/>
      <c r="O2381" s="914"/>
      <c r="P2381" s="911"/>
      <c r="Q2381" s="915"/>
      <c r="R2381" s="916"/>
      <c r="S2381" s="915"/>
      <c r="T2381" s="917"/>
      <c r="U2381" s="918"/>
      <c r="AR2381"/>
      <c r="AS2381" s="911"/>
    </row>
    <row r="2382" spans="1:45" s="886" customFormat="1" ht="11.4">
      <c r="A2382" s="919">
        <v>85</v>
      </c>
      <c r="B2382" s="920">
        <v>1</v>
      </c>
      <c r="C2382" s="920">
        <f>$A2382*$B2382</f>
        <v>85</v>
      </c>
      <c r="D2382" s="921" t="str">
        <f>Elec_Rates!$D$498</f>
        <v>047# 5 x 2.5mm2 F120 Fire Resistant Cable (BS7846) -  XLPE/SWA/LSZH - at high level</v>
      </c>
      <c r="E2382" s="921"/>
      <c r="F2382" s="921" t="s">
        <v>2599</v>
      </c>
      <c r="G2382" s="922" t="s">
        <v>2601</v>
      </c>
      <c r="H2382" s="922"/>
      <c r="I2382" s="922"/>
      <c r="J2382" s="922"/>
      <c r="K2382" s="923"/>
      <c r="L2382" s="918"/>
      <c r="M2382" s="918"/>
      <c r="N2382" s="918"/>
      <c r="O2382" s="924"/>
      <c r="P2382" s="921"/>
      <c r="Q2382" s="925">
        <f ca="1">$B2382*Elec_Rates!$R$498</f>
        <v>11.51</v>
      </c>
      <c r="R2382" s="916">
        <f ca="1">$A2382*Q2382</f>
        <v>978.35</v>
      </c>
      <c r="S2382" s="925">
        <f ca="1">$B2382*Elec_Rates!$T$498</f>
        <v>0.06</v>
      </c>
      <c r="T2382" s="917">
        <f ca="1">$A2382*S2382</f>
        <v>5.0999999999999996</v>
      </c>
      <c r="U2382" s="926"/>
      <c r="AR2382" s="919">
        <v>85</v>
      </c>
      <c r="AS2382" s="921" t="s">
        <v>2599</v>
      </c>
    </row>
    <row r="2383" spans="1:45" s="520" customFormat="1" ht="12">
      <c r="A2383" s="758"/>
      <c r="B2383" s="758"/>
      <c r="C2383" s="758"/>
      <c r="D2383" s="758"/>
      <c r="E2383" s="758"/>
      <c r="F2383" s="753"/>
      <c r="G2383" s="758"/>
      <c r="H2383" s="758"/>
      <c r="I2383" s="519"/>
      <c r="J2383" s="758"/>
      <c r="K2383" s="758"/>
      <c r="L2383" s="758"/>
      <c r="M2383" s="758"/>
      <c r="N2383" s="758"/>
      <c r="O2383" s="758"/>
      <c r="P2383" s="758"/>
      <c r="Q2383" s="519"/>
      <c r="R2383" s="759">
        <f>$A2383*Q2383</f>
        <v>0</v>
      </c>
      <c r="S2383" s="519"/>
      <c r="T2383" s="760">
        <f>$A2383*S2383*$T$1</f>
        <v>0</v>
      </c>
      <c r="AR2383" s="758"/>
      <c r="AS2383" s="753"/>
    </row>
    <row r="2384" spans="1:45" s="520" customFormat="1" ht="12.6" thickBot="1">
      <c r="A2384" s="761" t="s">
        <v>145</v>
      </c>
      <c r="B2384" s="762">
        <f>(R2383+T2383)</f>
        <v>0</v>
      </c>
      <c r="C2384" s="763"/>
      <c r="D2384" s="763"/>
      <c r="E2384" s="763"/>
      <c r="F2384" s="764"/>
      <c r="G2384" s="763" t="s">
        <v>146</v>
      </c>
      <c r="H2384" s="763"/>
      <c r="I2384" s="765"/>
      <c r="J2384" s="763"/>
      <c r="K2384" s="763" t="s">
        <v>3</v>
      </c>
      <c r="L2384" s="766" t="s">
        <v>143</v>
      </c>
      <c r="M2384" s="766"/>
      <c r="N2384" s="766"/>
      <c r="O2384" s="766"/>
      <c r="P2384" s="766"/>
      <c r="Q2384" s="767"/>
      <c r="R2384" s="768">
        <f ca="1">SUM(R2380:R2383)</f>
        <v>978.35</v>
      </c>
      <c r="S2384" s="763"/>
      <c r="T2384" s="768">
        <f ca="1">SUM(T2380:T2383)</f>
        <v>5.0999999999999996</v>
      </c>
      <c r="U2384" s="531"/>
      <c r="V2384" s="531"/>
      <c r="W2384" s="531"/>
      <c r="X2384" s="531"/>
      <c r="Y2384" s="531"/>
      <c r="Z2384" s="531"/>
      <c r="AA2384" s="531"/>
      <c r="AB2384" s="531"/>
      <c r="AC2384" s="531"/>
      <c r="AD2384" s="531"/>
      <c r="AE2384" s="531"/>
      <c r="AF2384" s="531"/>
      <c r="AG2384" s="531"/>
      <c r="AH2384" s="531"/>
      <c r="AI2384" s="531"/>
      <c r="AJ2384" s="531"/>
      <c r="AK2384" s="531"/>
      <c r="AL2384" s="531"/>
      <c r="AM2384" s="531"/>
      <c r="AN2384" s="531"/>
      <c r="AO2384" s="531"/>
      <c r="AR2384" s="761" t="s">
        <v>145</v>
      </c>
      <c r="AS2384" s="764"/>
    </row>
    <row r="2385" spans="1:45" s="520" customFormat="1" ht="12" thickTop="1">
      <c r="A2385" s="51"/>
      <c r="B2385" s="41"/>
      <c r="C2385" s="51"/>
      <c r="E2385" s="42" t="s">
        <v>138</v>
      </c>
      <c r="F2385" s="42" t="s">
        <v>139</v>
      </c>
      <c r="G2385" s="51"/>
      <c r="H2385" s="51"/>
      <c r="I2385" s="51"/>
      <c r="J2385" s="51"/>
      <c r="K2385" s="51" t="s">
        <v>140</v>
      </c>
      <c r="L2385" s="51"/>
      <c r="M2385" s="51"/>
      <c r="N2385" s="51"/>
      <c r="O2385" s="52"/>
      <c r="P2385" s="51"/>
      <c r="Q2385" s="51"/>
      <c r="R2385" s="51"/>
      <c r="S2385" s="51"/>
      <c r="T2385" s="41"/>
      <c r="AG2385" s="521" t="s">
        <v>268</v>
      </c>
      <c r="AH2385" s="521" t="s">
        <v>269</v>
      </c>
      <c r="AI2385" s="521" t="s">
        <v>270</v>
      </c>
      <c r="AJ2385" s="521" t="s">
        <v>271</v>
      </c>
      <c r="AK2385" s="521" t="s">
        <v>272</v>
      </c>
      <c r="AM2385" s="745" t="s">
        <v>281</v>
      </c>
      <c r="AN2385" s="746" t="s">
        <v>282</v>
      </c>
      <c r="AO2385" s="522" t="s">
        <v>278</v>
      </c>
      <c r="AR2385" s="51"/>
      <c r="AS2385" s="42" t="s">
        <v>139</v>
      </c>
    </row>
    <row r="2386" spans="1:45" s="520" customFormat="1" ht="12" customHeight="1">
      <c r="A2386" s="747">
        <v>75</v>
      </c>
      <c r="B2386" s="523" t="s">
        <v>320</v>
      </c>
      <c r="C2386" s="748"/>
      <c r="D2386" s="749" t="s">
        <v>1503</v>
      </c>
      <c r="E2386" s="750">
        <f ca="1">IF(AND($A2386=0,$A$1="DIF"),0, ROUND(ROUND(($R2391*$S$2+($T2391*$T$2))/A2386,2)*$C$2,2))</f>
        <v>16.2</v>
      </c>
      <c r="F2386" s="751">
        <f ca="1">ROUND($A2386*$E2386,2)</f>
        <v>1215</v>
      </c>
      <c r="G2386" s="752" t="s">
        <v>142</v>
      </c>
      <c r="H2386" s="753"/>
      <c r="I2386" s="754"/>
      <c r="J2386" s="753"/>
      <c r="K2386" s="753" t="s">
        <v>3</v>
      </c>
      <c r="L2386" s="755" t="s">
        <v>143</v>
      </c>
      <c r="M2386" s="755"/>
      <c r="N2386" s="755"/>
      <c r="O2386" s="755"/>
      <c r="P2386" s="755"/>
      <c r="Q2386" s="51"/>
      <c r="T2386" s="756" t="str">
        <f ca="1">IF(AND($R2391=0,$T2391=0),"0.00","mu :" &amp; ROUND($F2386/$C$2/($R2391+$T2391*$D$9),2))</f>
        <v>mu :1.23</v>
      </c>
      <c r="W2386" s="524"/>
      <c r="AG2386" s="481">
        <f ca="1">IF($E2386=0,0,ROUND($R2391*$S$2*$C$2/$A2386,2))</f>
        <v>14.17</v>
      </c>
      <c r="AH2386" s="481">
        <f ca="1">$AG2386*$A2386</f>
        <v>1062.75</v>
      </c>
      <c r="AI2386" s="525">
        <f ca="1">$E2386-$AG2386</f>
        <v>2.0299999999999994</v>
      </c>
      <c r="AJ2386" s="525">
        <f ca="1">$A2386*$AI2386</f>
        <v>152.24999999999994</v>
      </c>
      <c r="AK2386" s="526">
        <f ca="1">ROUND(($AG2386+$AI2386)*$A2386,2)</f>
        <v>1215</v>
      </c>
      <c r="AM2386" s="527">
        <f ca="1">ROUND(R2391,2)</f>
        <v>863.25</v>
      </c>
      <c r="AN2386" s="528">
        <f ca="1">ROUND(T2391,2)</f>
        <v>4.5</v>
      </c>
      <c r="AO2386" s="529">
        <f ca="1">ROUND(AM2386+AN2386,2)*A2386</f>
        <v>65081.25</v>
      </c>
      <c r="AR2386" s="747">
        <v>75</v>
      </c>
      <c r="AS2386" s="751">
        <v>1240.5</v>
      </c>
    </row>
    <row r="2387" spans="1:45" s="520" customFormat="1" ht="13.2">
      <c r="A2387" s="748"/>
      <c r="B2387"/>
      <c r="C2387" s="748"/>
      <c r="D2387" s="749" t="s">
        <v>1504</v>
      </c>
      <c r="F2387" s="753"/>
      <c r="G2387" s="3"/>
      <c r="H2387" s="753"/>
      <c r="I2387" s="754"/>
      <c r="J2387" s="753"/>
      <c r="K2387" s="753" t="s">
        <v>144</v>
      </c>
      <c r="L2387" s="753"/>
      <c r="M2387" s="753"/>
      <c r="N2387" s="753"/>
      <c r="O2387" s="753"/>
      <c r="P2387" s="753"/>
      <c r="Q2387" s="51"/>
      <c r="R2387" s="530"/>
      <c r="S2387" s="757"/>
      <c r="T2387" s="753"/>
      <c r="AR2387" s="748"/>
      <c r="AS2387" s="753"/>
    </row>
    <row r="2388" spans="1:45" s="886" customFormat="1" ht="13.2">
      <c r="A2388"/>
      <c r="B2388" s="910"/>
      <c r="C2388" s="910" t="s">
        <v>2597</v>
      </c>
      <c r="D2388" s="910" t="str">
        <f ca="1">CELL("Address",Elec_Rates!D$498)</f>
        <v>[E25_0062_Quintano_Foods_Elec_ELV_As_Awarded.xlsx]Elec_Rates!$D$498</v>
      </c>
      <c r="E2388" s="911"/>
      <c r="F2388" s="911"/>
      <c r="G2388" s="912" t="s">
        <v>2598</v>
      </c>
      <c r="H2388" s="912"/>
      <c r="I2388" s="912"/>
      <c r="J2388" s="912"/>
      <c r="K2388" s="913"/>
      <c r="L2388" s="911"/>
      <c r="M2388" s="911"/>
      <c r="N2388" s="911"/>
      <c r="O2388" s="914"/>
      <c r="P2388" s="911"/>
      <c r="Q2388" s="915"/>
      <c r="R2388" s="916"/>
      <c r="S2388" s="915"/>
      <c r="T2388" s="917"/>
      <c r="U2388" s="918"/>
      <c r="AR2388"/>
      <c r="AS2388" s="911"/>
    </row>
    <row r="2389" spans="1:45" s="886" customFormat="1" ht="11.4">
      <c r="A2389" s="919">
        <v>75</v>
      </c>
      <c r="B2389" s="920">
        <v>1</v>
      </c>
      <c r="C2389" s="920">
        <f>$A2389*$B2389</f>
        <v>75</v>
      </c>
      <c r="D2389" s="921" t="str">
        <f>Elec_Rates!$D$498</f>
        <v>047# 5 x 2.5mm2 F120 Fire Resistant Cable (BS7846) -  XLPE/SWA/LSZH - at high level</v>
      </c>
      <c r="E2389" s="921"/>
      <c r="F2389" s="921" t="s">
        <v>2599</v>
      </c>
      <c r="G2389" s="922" t="s">
        <v>2601</v>
      </c>
      <c r="H2389" s="922"/>
      <c r="I2389" s="922"/>
      <c r="J2389" s="922"/>
      <c r="K2389" s="923"/>
      <c r="L2389" s="918"/>
      <c r="M2389" s="918"/>
      <c r="N2389" s="918"/>
      <c r="O2389" s="924"/>
      <c r="P2389" s="921"/>
      <c r="Q2389" s="925">
        <f ca="1">$B2389*Elec_Rates!$R$498</f>
        <v>11.51</v>
      </c>
      <c r="R2389" s="916">
        <f ca="1">$A2389*Q2389</f>
        <v>863.25</v>
      </c>
      <c r="S2389" s="925">
        <f ca="1">$B2389*Elec_Rates!$T$498</f>
        <v>0.06</v>
      </c>
      <c r="T2389" s="917">
        <f ca="1">$A2389*S2389</f>
        <v>4.5</v>
      </c>
      <c r="U2389" s="926"/>
      <c r="AR2389" s="919">
        <v>75</v>
      </c>
      <c r="AS2389" s="921" t="s">
        <v>2599</v>
      </c>
    </row>
    <row r="2390" spans="1:45" s="520" customFormat="1" ht="12">
      <c r="A2390" s="758"/>
      <c r="B2390" s="758"/>
      <c r="C2390" s="758"/>
      <c r="D2390" s="758"/>
      <c r="E2390" s="758"/>
      <c r="F2390" s="753"/>
      <c r="G2390" s="758"/>
      <c r="H2390" s="758"/>
      <c r="I2390" s="519"/>
      <c r="J2390" s="758"/>
      <c r="K2390" s="758"/>
      <c r="L2390" s="758"/>
      <c r="M2390" s="758"/>
      <c r="N2390" s="758"/>
      <c r="O2390" s="758"/>
      <c r="P2390" s="758"/>
      <c r="Q2390" s="519"/>
      <c r="R2390" s="759">
        <f>$A2390*Q2390</f>
        <v>0</v>
      </c>
      <c r="S2390" s="519"/>
      <c r="T2390" s="760">
        <f>$A2390*S2390*$T$1</f>
        <v>0</v>
      </c>
      <c r="AR2390" s="758"/>
      <c r="AS2390" s="753"/>
    </row>
    <row r="2391" spans="1:45" s="520" customFormat="1" ht="12.6" thickBot="1">
      <c r="A2391" s="761" t="s">
        <v>145</v>
      </c>
      <c r="B2391" s="762">
        <f>(R2390+T2390)</f>
        <v>0</v>
      </c>
      <c r="C2391" s="763"/>
      <c r="D2391" s="763"/>
      <c r="E2391" s="763"/>
      <c r="F2391" s="764"/>
      <c r="G2391" s="763" t="s">
        <v>146</v>
      </c>
      <c r="H2391" s="763"/>
      <c r="I2391" s="765"/>
      <c r="J2391" s="763"/>
      <c r="K2391" s="763" t="s">
        <v>3</v>
      </c>
      <c r="L2391" s="766" t="s">
        <v>143</v>
      </c>
      <c r="M2391" s="766"/>
      <c r="N2391" s="766"/>
      <c r="O2391" s="766"/>
      <c r="P2391" s="766"/>
      <c r="Q2391" s="767"/>
      <c r="R2391" s="768">
        <f ca="1">SUM(R2387:R2390)</f>
        <v>863.25</v>
      </c>
      <c r="S2391" s="763"/>
      <c r="T2391" s="768">
        <f ca="1">SUM(T2387:T2390)</f>
        <v>4.5</v>
      </c>
      <c r="U2391" s="531"/>
      <c r="V2391" s="531"/>
      <c r="W2391" s="531"/>
      <c r="X2391" s="531"/>
      <c r="Y2391" s="531"/>
      <c r="Z2391" s="531"/>
      <c r="AA2391" s="531"/>
      <c r="AB2391" s="531"/>
      <c r="AC2391" s="531"/>
      <c r="AD2391" s="531"/>
      <c r="AE2391" s="531"/>
      <c r="AF2391" s="531"/>
      <c r="AG2391" s="531"/>
      <c r="AH2391" s="531"/>
      <c r="AI2391" s="531"/>
      <c r="AJ2391" s="531"/>
      <c r="AK2391" s="531"/>
      <c r="AL2391" s="531"/>
      <c r="AM2391" s="531"/>
      <c r="AN2391" s="531"/>
      <c r="AO2391" s="531"/>
      <c r="AR2391" s="761" t="s">
        <v>145</v>
      </c>
      <c r="AS2391" s="764"/>
    </row>
    <row r="2392" spans="1:45" s="520" customFormat="1" ht="12" thickTop="1">
      <c r="A2392" s="51"/>
      <c r="B2392" s="41"/>
      <c r="C2392" s="51"/>
      <c r="E2392" s="42" t="s">
        <v>138</v>
      </c>
      <c r="F2392" s="42" t="s">
        <v>139</v>
      </c>
      <c r="G2392" s="51"/>
      <c r="H2392" s="51"/>
      <c r="I2392" s="51"/>
      <c r="J2392" s="51"/>
      <c r="K2392" s="51" t="s">
        <v>140</v>
      </c>
      <c r="L2392" s="51"/>
      <c r="M2392" s="51"/>
      <c r="N2392" s="51"/>
      <c r="O2392" s="52"/>
      <c r="P2392" s="51"/>
      <c r="Q2392" s="51"/>
      <c r="R2392" s="51"/>
      <c r="S2392" s="51"/>
      <c r="T2392" s="41"/>
      <c r="AG2392" s="521" t="s">
        <v>268</v>
      </c>
      <c r="AH2392" s="521" t="s">
        <v>269</v>
      </c>
      <c r="AI2392" s="521" t="s">
        <v>270</v>
      </c>
      <c r="AJ2392" s="521" t="s">
        <v>271</v>
      </c>
      <c r="AK2392" s="521" t="s">
        <v>272</v>
      </c>
      <c r="AM2392" s="745" t="s">
        <v>281</v>
      </c>
      <c r="AN2392" s="746" t="s">
        <v>282</v>
      </c>
      <c r="AO2392" s="522" t="s">
        <v>278</v>
      </c>
      <c r="AR2392" s="51"/>
      <c r="AS2392" s="42" t="s">
        <v>139</v>
      </c>
    </row>
    <row r="2393" spans="1:45" s="520" customFormat="1" ht="12" customHeight="1">
      <c r="A2393" s="747">
        <v>65</v>
      </c>
      <c r="B2393" s="523" t="s">
        <v>320</v>
      </c>
      <c r="C2393" s="748"/>
      <c r="D2393" s="749" t="s">
        <v>1505</v>
      </c>
      <c r="E2393" s="750">
        <f ca="1">IF(AND($A2393=0,$A$1="DIF"),0, ROUND(ROUND(($R2398*$S$2+($T2398*$T$2))/A2393,2)*$C$2,2))</f>
        <v>16.2</v>
      </c>
      <c r="F2393" s="751">
        <f ca="1">ROUND($A2393*$E2393,2)</f>
        <v>1053</v>
      </c>
      <c r="G2393" s="752" t="s">
        <v>142</v>
      </c>
      <c r="H2393" s="753"/>
      <c r="I2393" s="754"/>
      <c r="J2393" s="753"/>
      <c r="K2393" s="753" t="s">
        <v>3</v>
      </c>
      <c r="L2393" s="755" t="s">
        <v>143</v>
      </c>
      <c r="M2393" s="755"/>
      <c r="N2393" s="755"/>
      <c r="O2393" s="755"/>
      <c r="P2393" s="755"/>
      <c r="Q2393" s="51"/>
      <c r="T2393" s="756" t="str">
        <f ca="1">IF(AND($R2398=0,$T2398=0),"0.00","mu :" &amp; ROUND($F2393/$C$2/($R2398+$T2398*$D$9),2))</f>
        <v>mu :1.23</v>
      </c>
      <c r="W2393" s="524"/>
      <c r="AG2393" s="481">
        <f ca="1">IF($E2393=0,0,ROUND($R2398*$S$2*$C$2/$A2393,2))</f>
        <v>14.17</v>
      </c>
      <c r="AH2393" s="481">
        <f ca="1">$AG2393*$A2393</f>
        <v>921.05</v>
      </c>
      <c r="AI2393" s="525">
        <f ca="1">$E2393-$AG2393</f>
        <v>2.0299999999999994</v>
      </c>
      <c r="AJ2393" s="525">
        <f ca="1">$A2393*$AI2393</f>
        <v>131.94999999999996</v>
      </c>
      <c r="AK2393" s="526">
        <f ca="1">ROUND(($AG2393+$AI2393)*$A2393,2)</f>
        <v>1053</v>
      </c>
      <c r="AM2393" s="527">
        <f ca="1">ROUND(R2398,2)</f>
        <v>748.15</v>
      </c>
      <c r="AN2393" s="528">
        <f ca="1">ROUND(T2398,2)</f>
        <v>3.9</v>
      </c>
      <c r="AO2393" s="529">
        <f ca="1">ROUND(AM2393+AN2393,2)*A2393</f>
        <v>48883.25</v>
      </c>
      <c r="AR2393" s="747">
        <v>65</v>
      </c>
      <c r="AS2393" s="751">
        <v>1075.0999999999999</v>
      </c>
    </row>
    <row r="2394" spans="1:45" s="520" customFormat="1" ht="13.2">
      <c r="A2394" s="748"/>
      <c r="B2394"/>
      <c r="C2394" s="748"/>
      <c r="D2394" s="749" t="s">
        <v>1506</v>
      </c>
      <c r="F2394" s="753"/>
      <c r="G2394" s="3"/>
      <c r="H2394" s="753"/>
      <c r="I2394" s="754"/>
      <c r="J2394" s="753"/>
      <c r="K2394" s="753" t="s">
        <v>144</v>
      </c>
      <c r="L2394" s="753"/>
      <c r="M2394" s="753"/>
      <c r="N2394" s="753"/>
      <c r="O2394" s="753"/>
      <c r="P2394" s="753"/>
      <c r="Q2394" s="51"/>
      <c r="R2394" s="530"/>
      <c r="S2394" s="757"/>
      <c r="T2394" s="753"/>
      <c r="AR2394" s="748"/>
      <c r="AS2394" s="753"/>
    </row>
    <row r="2395" spans="1:45" s="886" customFormat="1" ht="13.2">
      <c r="A2395"/>
      <c r="B2395" s="910"/>
      <c r="C2395" s="910" t="s">
        <v>2597</v>
      </c>
      <c r="D2395" s="910" t="str">
        <f ca="1">CELL("Address",Elec_Rates!D$498)</f>
        <v>[E25_0062_Quintano_Foods_Elec_ELV_As_Awarded.xlsx]Elec_Rates!$D$498</v>
      </c>
      <c r="E2395" s="911"/>
      <c r="F2395" s="911"/>
      <c r="G2395" s="912" t="s">
        <v>2598</v>
      </c>
      <c r="H2395" s="912"/>
      <c r="I2395" s="912"/>
      <c r="J2395" s="912"/>
      <c r="K2395" s="913"/>
      <c r="L2395" s="911"/>
      <c r="M2395" s="911"/>
      <c r="N2395" s="911"/>
      <c r="O2395" s="914"/>
      <c r="P2395" s="911"/>
      <c r="Q2395" s="915"/>
      <c r="R2395" s="916"/>
      <c r="S2395" s="915"/>
      <c r="T2395" s="917"/>
      <c r="U2395" s="918"/>
      <c r="AR2395"/>
      <c r="AS2395" s="911"/>
    </row>
    <row r="2396" spans="1:45" s="886" customFormat="1" ht="11.4">
      <c r="A2396" s="919">
        <v>65</v>
      </c>
      <c r="B2396" s="920">
        <v>1</v>
      </c>
      <c r="C2396" s="920">
        <f>$A2396*$B2396</f>
        <v>65</v>
      </c>
      <c r="D2396" s="921" t="str">
        <f>Elec_Rates!$D$498</f>
        <v>047# 5 x 2.5mm2 F120 Fire Resistant Cable (BS7846) -  XLPE/SWA/LSZH - at high level</v>
      </c>
      <c r="E2396" s="921"/>
      <c r="F2396" s="921" t="s">
        <v>2599</v>
      </c>
      <c r="G2396" s="922" t="s">
        <v>2601</v>
      </c>
      <c r="H2396" s="922"/>
      <c r="I2396" s="922"/>
      <c r="J2396" s="922"/>
      <c r="K2396" s="923"/>
      <c r="L2396" s="918"/>
      <c r="M2396" s="918"/>
      <c r="N2396" s="918"/>
      <c r="O2396" s="924"/>
      <c r="P2396" s="921"/>
      <c r="Q2396" s="925">
        <f ca="1">$B2396*Elec_Rates!$R$498</f>
        <v>11.51</v>
      </c>
      <c r="R2396" s="916">
        <f ca="1">$A2396*Q2396</f>
        <v>748.15</v>
      </c>
      <c r="S2396" s="925">
        <f ca="1">$B2396*Elec_Rates!$T$498</f>
        <v>0.06</v>
      </c>
      <c r="T2396" s="917">
        <f ca="1">$A2396*S2396</f>
        <v>3.9</v>
      </c>
      <c r="U2396" s="926"/>
      <c r="AR2396" s="919">
        <v>65</v>
      </c>
      <c r="AS2396" s="921" t="s">
        <v>2599</v>
      </c>
    </row>
    <row r="2397" spans="1:45" s="520" customFormat="1" ht="12">
      <c r="A2397" s="758"/>
      <c r="B2397" s="758"/>
      <c r="C2397" s="758"/>
      <c r="D2397" s="758"/>
      <c r="E2397" s="758"/>
      <c r="F2397" s="753"/>
      <c r="G2397" s="758"/>
      <c r="H2397" s="758"/>
      <c r="I2397" s="519"/>
      <c r="J2397" s="758"/>
      <c r="K2397" s="758"/>
      <c r="L2397" s="758"/>
      <c r="M2397" s="758"/>
      <c r="N2397" s="758"/>
      <c r="O2397" s="758"/>
      <c r="P2397" s="758"/>
      <c r="Q2397" s="519"/>
      <c r="R2397" s="759">
        <f>$A2397*Q2397</f>
        <v>0</v>
      </c>
      <c r="S2397" s="519"/>
      <c r="T2397" s="760">
        <f>$A2397*S2397*$T$1</f>
        <v>0</v>
      </c>
      <c r="AR2397" s="758"/>
      <c r="AS2397" s="753"/>
    </row>
    <row r="2398" spans="1:45" s="520" customFormat="1" ht="12.6" thickBot="1">
      <c r="A2398" s="761" t="s">
        <v>145</v>
      </c>
      <c r="B2398" s="762">
        <f>(R2397+T2397)</f>
        <v>0</v>
      </c>
      <c r="C2398" s="763"/>
      <c r="D2398" s="763"/>
      <c r="E2398" s="763"/>
      <c r="F2398" s="764"/>
      <c r="G2398" s="763" t="s">
        <v>146</v>
      </c>
      <c r="H2398" s="763"/>
      <c r="I2398" s="765"/>
      <c r="J2398" s="763"/>
      <c r="K2398" s="763" t="s">
        <v>3</v>
      </c>
      <c r="L2398" s="766" t="s">
        <v>143</v>
      </c>
      <c r="M2398" s="766"/>
      <c r="N2398" s="766"/>
      <c r="O2398" s="766"/>
      <c r="P2398" s="766"/>
      <c r="Q2398" s="767"/>
      <c r="R2398" s="768">
        <f ca="1">SUM(R2394:R2397)</f>
        <v>748.15</v>
      </c>
      <c r="S2398" s="763"/>
      <c r="T2398" s="768">
        <f ca="1">SUM(T2394:T2397)</f>
        <v>3.9</v>
      </c>
      <c r="U2398" s="531"/>
      <c r="V2398" s="531"/>
      <c r="W2398" s="531"/>
      <c r="X2398" s="531"/>
      <c r="Y2398" s="531"/>
      <c r="Z2398" s="531"/>
      <c r="AA2398" s="531"/>
      <c r="AB2398" s="531"/>
      <c r="AC2398" s="531"/>
      <c r="AD2398" s="531"/>
      <c r="AE2398" s="531"/>
      <c r="AF2398" s="531"/>
      <c r="AG2398" s="531"/>
      <c r="AH2398" s="531"/>
      <c r="AI2398" s="531"/>
      <c r="AJ2398" s="531"/>
      <c r="AK2398" s="531"/>
      <c r="AL2398" s="531"/>
      <c r="AM2398" s="531"/>
      <c r="AN2398" s="531"/>
      <c r="AO2398" s="531"/>
      <c r="AR2398" s="761" t="s">
        <v>145</v>
      </c>
      <c r="AS2398" s="764"/>
    </row>
    <row r="2399" spans="1:45" s="520" customFormat="1" ht="12" thickTop="1">
      <c r="A2399" s="51"/>
      <c r="B2399" s="41"/>
      <c r="C2399" s="51"/>
      <c r="E2399" s="42" t="s">
        <v>138</v>
      </c>
      <c r="F2399" s="42" t="s">
        <v>139</v>
      </c>
      <c r="G2399" s="51"/>
      <c r="H2399" s="51"/>
      <c r="I2399" s="51"/>
      <c r="J2399" s="51"/>
      <c r="K2399" s="51" t="s">
        <v>140</v>
      </c>
      <c r="L2399" s="51"/>
      <c r="M2399" s="51"/>
      <c r="N2399" s="51"/>
      <c r="O2399" s="52"/>
      <c r="P2399" s="51"/>
      <c r="Q2399" s="51"/>
      <c r="R2399" s="51"/>
      <c r="S2399" s="51"/>
      <c r="T2399" s="41"/>
      <c r="AG2399" s="521" t="s">
        <v>268</v>
      </c>
      <c r="AH2399" s="521" t="s">
        <v>269</v>
      </c>
      <c r="AI2399" s="521" t="s">
        <v>270</v>
      </c>
      <c r="AJ2399" s="521" t="s">
        <v>271</v>
      </c>
      <c r="AK2399" s="521" t="s">
        <v>272</v>
      </c>
      <c r="AM2399" s="745" t="s">
        <v>281</v>
      </c>
      <c r="AN2399" s="746" t="s">
        <v>282</v>
      </c>
      <c r="AO2399" s="522" t="s">
        <v>278</v>
      </c>
      <c r="AR2399" s="51"/>
      <c r="AS2399" s="42" t="s">
        <v>139</v>
      </c>
    </row>
    <row r="2400" spans="1:45" s="520" customFormat="1" ht="12" customHeight="1">
      <c r="A2400" s="747">
        <v>90</v>
      </c>
      <c r="B2400" s="523" t="s">
        <v>320</v>
      </c>
      <c r="C2400" s="748"/>
      <c r="D2400" s="749" t="s">
        <v>1507</v>
      </c>
      <c r="E2400" s="750">
        <f ca="1">IF(AND($A2400=0,$A$1="DIF"),0, ROUND(ROUND(($R2405*$S$2+($T2405*$T$2))/A2400,2)*$C$2,2))</f>
        <v>28.32</v>
      </c>
      <c r="F2400" s="751">
        <f ca="1">ROUND($A2400*$E2400,2)</f>
        <v>2548.8000000000002</v>
      </c>
      <c r="G2400" s="752" t="s">
        <v>142</v>
      </c>
      <c r="H2400" s="753"/>
      <c r="I2400" s="754"/>
      <c r="J2400" s="753"/>
      <c r="K2400" s="753" t="s">
        <v>3</v>
      </c>
      <c r="L2400" s="755" t="s">
        <v>143</v>
      </c>
      <c r="M2400" s="755"/>
      <c r="N2400" s="755"/>
      <c r="O2400" s="755"/>
      <c r="P2400" s="755"/>
      <c r="Q2400" s="51"/>
      <c r="T2400" s="756" t="str">
        <f ca="1">IF(AND($R2405=0,$T2405=0),"0.00","mu :" &amp; ROUND($F2400/$C$2/($R2405+$T2405*$D$9),2))</f>
        <v>mu :1.23</v>
      </c>
      <c r="W2400" s="524"/>
      <c r="AG2400" s="481">
        <f ca="1">IF($E2400=0,0,ROUND($R2405*$S$2*$C$2/$A2400,2))</f>
        <v>25.28</v>
      </c>
      <c r="AH2400" s="481">
        <f ca="1">$AG2400*$A2400</f>
        <v>2275.2000000000003</v>
      </c>
      <c r="AI2400" s="525">
        <f ca="1">$E2400-$AG2400</f>
        <v>3.0399999999999991</v>
      </c>
      <c r="AJ2400" s="525">
        <f ca="1">$A2400*$AI2400</f>
        <v>273.59999999999991</v>
      </c>
      <c r="AK2400" s="526">
        <f ca="1">ROUND(($AG2400+$AI2400)*$A2400,2)</f>
        <v>2548.8000000000002</v>
      </c>
      <c r="AM2400" s="527">
        <f ca="1">ROUND(R2405,2)</f>
        <v>1847.7</v>
      </c>
      <c r="AN2400" s="528">
        <f ca="1">ROUND(T2405,2)</f>
        <v>8.1</v>
      </c>
      <c r="AO2400" s="529">
        <f ca="1">ROUND(AM2400+AN2400,2)*A2400</f>
        <v>167022</v>
      </c>
      <c r="AR2400" s="747">
        <v>90</v>
      </c>
      <c r="AS2400" s="751">
        <v>2579.4</v>
      </c>
    </row>
    <row r="2401" spans="1:45" s="520" customFormat="1" ht="13.2">
      <c r="A2401" s="748"/>
      <c r="B2401"/>
      <c r="C2401" s="748"/>
      <c r="D2401" s="749" t="s">
        <v>1508</v>
      </c>
      <c r="F2401" s="753"/>
      <c r="G2401" s="3"/>
      <c r="H2401" s="753"/>
      <c r="I2401" s="754"/>
      <c r="J2401" s="753"/>
      <c r="K2401" s="753" t="s">
        <v>144</v>
      </c>
      <c r="L2401" s="753"/>
      <c r="M2401" s="753"/>
      <c r="N2401" s="753"/>
      <c r="O2401" s="753"/>
      <c r="P2401" s="753"/>
      <c r="Q2401" s="51"/>
      <c r="R2401" s="530"/>
      <c r="S2401" s="757"/>
      <c r="T2401" s="753"/>
      <c r="AR2401" s="748"/>
      <c r="AS2401" s="753"/>
    </row>
    <row r="2402" spans="1:45" s="886" customFormat="1" ht="13.2">
      <c r="A2402"/>
      <c r="B2402" s="910"/>
      <c r="C2402" s="910" t="s">
        <v>2597</v>
      </c>
      <c r="D2402" s="910" t="str">
        <f ca="1">CELL("Address",Elec_Rates!D$405)</f>
        <v>[E25_0062_Quintano_Foods_Elec_ELV_As_Awarded.xlsx]Elec_Rates!$D$405</v>
      </c>
      <c r="E2402" s="911"/>
      <c r="F2402" s="911"/>
      <c r="G2402" s="912" t="s">
        <v>2598</v>
      </c>
      <c r="H2402" s="912"/>
      <c r="I2402" s="912"/>
      <c r="J2402" s="912"/>
      <c r="K2402" s="913"/>
      <c r="L2402" s="911"/>
      <c r="M2402" s="911"/>
      <c r="N2402" s="911"/>
      <c r="O2402" s="914"/>
      <c r="P2402" s="911"/>
      <c r="Q2402" s="915"/>
      <c r="R2402" s="916"/>
      <c r="S2402" s="915"/>
      <c r="T2402" s="917"/>
      <c r="U2402" s="918"/>
      <c r="AR2402"/>
      <c r="AS2402" s="911"/>
    </row>
    <row r="2403" spans="1:45" s="886" customFormat="1" ht="11.4">
      <c r="A2403" s="919">
        <v>90</v>
      </c>
      <c r="B2403" s="920">
        <v>1</v>
      </c>
      <c r="C2403" s="920">
        <f>$A2403*$B2403</f>
        <v>90</v>
      </c>
      <c r="D2403" s="921" t="str">
        <f>Elec_Rates!$D$405</f>
        <v>039# 5 x 10mm2 F120 Fire Resistant Cable (BS7846) -  XLPE/SWA/LSZH</v>
      </c>
      <c r="E2403" s="921"/>
      <c r="F2403" s="921" t="s">
        <v>2599</v>
      </c>
      <c r="G2403" s="922" t="s">
        <v>2601</v>
      </c>
      <c r="H2403" s="922"/>
      <c r="I2403" s="922"/>
      <c r="J2403" s="922"/>
      <c r="K2403" s="923"/>
      <c r="L2403" s="918"/>
      <c r="M2403" s="918"/>
      <c r="N2403" s="918"/>
      <c r="O2403" s="924"/>
      <c r="P2403" s="921"/>
      <c r="Q2403" s="925">
        <f ca="1">$B2403*Elec_Rates!$R$405</f>
        <v>20.53</v>
      </c>
      <c r="R2403" s="916">
        <f ca="1">$A2403*Q2403</f>
        <v>1847.7</v>
      </c>
      <c r="S2403" s="925">
        <f ca="1">$B2403*Elec_Rates!$T$405</f>
        <v>0.09</v>
      </c>
      <c r="T2403" s="917">
        <f ca="1">$A2403*S2403</f>
        <v>8.1</v>
      </c>
      <c r="U2403" s="926"/>
      <c r="AR2403" s="919">
        <v>90</v>
      </c>
      <c r="AS2403" s="921" t="s">
        <v>2599</v>
      </c>
    </row>
    <row r="2404" spans="1:45" s="520" customFormat="1" ht="12">
      <c r="A2404" s="758"/>
      <c r="B2404" s="758"/>
      <c r="C2404" s="758"/>
      <c r="D2404" s="758"/>
      <c r="E2404" s="758"/>
      <c r="F2404" s="753"/>
      <c r="G2404" s="758"/>
      <c r="H2404" s="758"/>
      <c r="I2404" s="519"/>
      <c r="J2404" s="758"/>
      <c r="K2404" s="758"/>
      <c r="L2404" s="758"/>
      <c r="M2404" s="758"/>
      <c r="N2404" s="758"/>
      <c r="O2404" s="758"/>
      <c r="P2404" s="758"/>
      <c r="Q2404" s="519"/>
      <c r="R2404" s="759">
        <f>$A2404*Q2404</f>
        <v>0</v>
      </c>
      <c r="S2404" s="519"/>
      <c r="T2404" s="760">
        <f>$A2404*S2404*$T$1</f>
        <v>0</v>
      </c>
      <c r="AR2404" s="758"/>
      <c r="AS2404" s="753"/>
    </row>
    <row r="2405" spans="1:45" s="520" customFormat="1" ht="12.6" thickBot="1">
      <c r="A2405" s="761" t="s">
        <v>145</v>
      </c>
      <c r="B2405" s="762">
        <f>(R2404+T2404)</f>
        <v>0</v>
      </c>
      <c r="C2405" s="763"/>
      <c r="D2405" s="763"/>
      <c r="E2405" s="763"/>
      <c r="F2405" s="764"/>
      <c r="G2405" s="763" t="s">
        <v>146</v>
      </c>
      <c r="H2405" s="763"/>
      <c r="I2405" s="765"/>
      <c r="J2405" s="763"/>
      <c r="K2405" s="763" t="s">
        <v>3</v>
      </c>
      <c r="L2405" s="766" t="s">
        <v>143</v>
      </c>
      <c r="M2405" s="766"/>
      <c r="N2405" s="766"/>
      <c r="O2405" s="766"/>
      <c r="P2405" s="766"/>
      <c r="Q2405" s="767"/>
      <c r="R2405" s="768">
        <f ca="1">SUM(R2401:R2404)</f>
        <v>1847.7</v>
      </c>
      <c r="S2405" s="763"/>
      <c r="T2405" s="768">
        <f ca="1">SUM(T2401:T2404)</f>
        <v>8.1</v>
      </c>
      <c r="U2405" s="531"/>
      <c r="V2405" s="531"/>
      <c r="W2405" s="531"/>
      <c r="X2405" s="531"/>
      <c r="Y2405" s="531"/>
      <c r="Z2405" s="531"/>
      <c r="AA2405" s="531"/>
      <c r="AB2405" s="531"/>
      <c r="AC2405" s="531"/>
      <c r="AD2405" s="531"/>
      <c r="AE2405" s="531"/>
      <c r="AF2405" s="531"/>
      <c r="AG2405" s="531"/>
      <c r="AH2405" s="531"/>
      <c r="AI2405" s="531"/>
      <c r="AJ2405" s="531"/>
      <c r="AK2405" s="531"/>
      <c r="AL2405" s="531"/>
      <c r="AM2405" s="531"/>
      <c r="AN2405" s="531"/>
      <c r="AO2405" s="531"/>
      <c r="AR2405" s="761" t="s">
        <v>145</v>
      </c>
      <c r="AS2405" s="764"/>
    </row>
    <row r="2406" spans="1:45" s="520" customFormat="1" ht="12" thickTop="1">
      <c r="A2406" s="51"/>
      <c r="B2406" s="41"/>
      <c r="C2406" s="51"/>
      <c r="E2406" s="42" t="s">
        <v>138</v>
      </c>
      <c r="F2406" s="42" t="s">
        <v>139</v>
      </c>
      <c r="G2406" s="51"/>
      <c r="H2406" s="51"/>
      <c r="I2406" s="51"/>
      <c r="J2406" s="51"/>
      <c r="K2406" s="51" t="s">
        <v>140</v>
      </c>
      <c r="L2406" s="51"/>
      <c r="M2406" s="51"/>
      <c r="N2406" s="51"/>
      <c r="O2406" s="52"/>
      <c r="P2406" s="51"/>
      <c r="Q2406" s="51"/>
      <c r="R2406" s="51"/>
      <c r="S2406" s="51"/>
      <c r="T2406" s="41"/>
      <c r="AG2406" s="521" t="s">
        <v>268</v>
      </c>
      <c r="AH2406" s="521" t="s">
        <v>269</v>
      </c>
      <c r="AI2406" s="521" t="s">
        <v>270</v>
      </c>
      <c r="AJ2406" s="521" t="s">
        <v>271</v>
      </c>
      <c r="AK2406" s="521" t="s">
        <v>272</v>
      </c>
      <c r="AM2406" s="745" t="s">
        <v>281</v>
      </c>
      <c r="AN2406" s="746" t="s">
        <v>282</v>
      </c>
      <c r="AO2406" s="522" t="s">
        <v>278</v>
      </c>
      <c r="AR2406" s="51"/>
      <c r="AS2406" s="42" t="s">
        <v>139</v>
      </c>
    </row>
    <row r="2407" spans="1:45" s="520" customFormat="1" ht="12" customHeight="1">
      <c r="A2407" s="747">
        <v>80</v>
      </c>
      <c r="B2407" s="523" t="s">
        <v>320</v>
      </c>
      <c r="C2407" s="748"/>
      <c r="D2407" s="749" t="s">
        <v>1509</v>
      </c>
      <c r="E2407" s="750">
        <f ca="1">IF(AND($A2407=0,$A$1="DIF"),0, ROUND(ROUND(($R2412*$S$2+($T2412*$T$2))/A2407,2)*$C$2,2))</f>
        <v>28.32</v>
      </c>
      <c r="F2407" s="751">
        <f ca="1">ROUND($A2407*$E2407,2)</f>
        <v>2265.6</v>
      </c>
      <c r="G2407" s="752" t="s">
        <v>142</v>
      </c>
      <c r="H2407" s="753"/>
      <c r="I2407" s="754"/>
      <c r="J2407" s="753"/>
      <c r="K2407" s="753" t="s">
        <v>3</v>
      </c>
      <c r="L2407" s="755" t="s">
        <v>143</v>
      </c>
      <c r="M2407" s="755"/>
      <c r="N2407" s="755"/>
      <c r="O2407" s="755"/>
      <c r="P2407" s="755"/>
      <c r="Q2407" s="51"/>
      <c r="T2407" s="756" t="str">
        <f ca="1">IF(AND($R2412=0,$T2412=0),"0.00","mu :" &amp; ROUND($F2407/$C$2/($R2412+$T2412*$D$9),2))</f>
        <v>mu :1.23</v>
      </c>
      <c r="W2407" s="524"/>
      <c r="AG2407" s="481">
        <f ca="1">IF($E2407=0,0,ROUND($R2412*$S$2*$C$2/$A2407,2))</f>
        <v>25.28</v>
      </c>
      <c r="AH2407" s="481">
        <f ca="1">$AG2407*$A2407</f>
        <v>2022.4</v>
      </c>
      <c r="AI2407" s="525">
        <f ca="1">$E2407-$AG2407</f>
        <v>3.0399999999999991</v>
      </c>
      <c r="AJ2407" s="525">
        <f ca="1">$A2407*$AI2407</f>
        <v>243.19999999999993</v>
      </c>
      <c r="AK2407" s="526">
        <f ca="1">ROUND(($AG2407+$AI2407)*$A2407,2)</f>
        <v>2265.6</v>
      </c>
      <c r="AM2407" s="527">
        <f ca="1">ROUND(R2412,2)</f>
        <v>1642.4</v>
      </c>
      <c r="AN2407" s="528">
        <f ca="1">ROUND(T2412,2)</f>
        <v>7.2</v>
      </c>
      <c r="AO2407" s="529">
        <f ca="1">ROUND(AM2407+AN2407,2)*A2407</f>
        <v>131968</v>
      </c>
      <c r="AR2407" s="747">
        <v>80</v>
      </c>
      <c r="AS2407" s="751">
        <v>2292.8000000000002</v>
      </c>
    </row>
    <row r="2408" spans="1:45" s="520" customFormat="1" ht="13.2">
      <c r="A2408" s="748"/>
      <c r="B2408"/>
      <c r="C2408" s="748"/>
      <c r="D2408" s="749" t="s">
        <v>1510</v>
      </c>
      <c r="F2408" s="753"/>
      <c r="G2408" s="3"/>
      <c r="H2408" s="753"/>
      <c r="I2408" s="754"/>
      <c r="J2408" s="753"/>
      <c r="K2408" s="753" t="s">
        <v>144</v>
      </c>
      <c r="L2408" s="753"/>
      <c r="M2408" s="753"/>
      <c r="N2408" s="753"/>
      <c r="O2408" s="753"/>
      <c r="P2408" s="753"/>
      <c r="Q2408" s="51"/>
      <c r="R2408" s="530"/>
      <c r="S2408" s="757"/>
      <c r="T2408" s="753"/>
      <c r="AR2408" s="748"/>
      <c r="AS2408" s="753"/>
    </row>
    <row r="2409" spans="1:45" s="886" customFormat="1" ht="13.2">
      <c r="A2409"/>
      <c r="B2409" s="910"/>
      <c r="C2409" s="910" t="s">
        <v>2597</v>
      </c>
      <c r="D2409" s="910" t="str">
        <f ca="1">CELL("Address",Elec_Rates!D$405)</f>
        <v>[E25_0062_Quintano_Foods_Elec_ELV_As_Awarded.xlsx]Elec_Rates!$D$405</v>
      </c>
      <c r="E2409" s="911"/>
      <c r="F2409" s="911"/>
      <c r="G2409" s="912" t="s">
        <v>2598</v>
      </c>
      <c r="H2409" s="912"/>
      <c r="I2409" s="912"/>
      <c r="J2409" s="912"/>
      <c r="K2409" s="913"/>
      <c r="L2409" s="911"/>
      <c r="M2409" s="911"/>
      <c r="N2409" s="911"/>
      <c r="O2409" s="914"/>
      <c r="P2409" s="911"/>
      <c r="Q2409" s="915"/>
      <c r="R2409" s="916"/>
      <c r="S2409" s="915"/>
      <c r="T2409" s="917"/>
      <c r="U2409" s="918"/>
      <c r="AR2409"/>
      <c r="AS2409" s="911"/>
    </row>
    <row r="2410" spans="1:45" s="886" customFormat="1" ht="11.4">
      <c r="A2410" s="919">
        <v>80</v>
      </c>
      <c r="B2410" s="920">
        <v>1</v>
      </c>
      <c r="C2410" s="920">
        <f>$A2410*$B2410</f>
        <v>80</v>
      </c>
      <c r="D2410" s="921" t="str">
        <f>Elec_Rates!$D$405</f>
        <v>039# 5 x 10mm2 F120 Fire Resistant Cable (BS7846) -  XLPE/SWA/LSZH</v>
      </c>
      <c r="E2410" s="921"/>
      <c r="F2410" s="921" t="s">
        <v>2599</v>
      </c>
      <c r="G2410" s="922" t="s">
        <v>2601</v>
      </c>
      <c r="H2410" s="922"/>
      <c r="I2410" s="922"/>
      <c r="J2410" s="922"/>
      <c r="K2410" s="923"/>
      <c r="L2410" s="918"/>
      <c r="M2410" s="918"/>
      <c r="N2410" s="918"/>
      <c r="O2410" s="924"/>
      <c r="P2410" s="921"/>
      <c r="Q2410" s="925">
        <f ca="1">$B2410*Elec_Rates!$R$405</f>
        <v>20.53</v>
      </c>
      <c r="R2410" s="916">
        <f ca="1">$A2410*Q2410</f>
        <v>1642.4</v>
      </c>
      <c r="S2410" s="925">
        <f ca="1">$B2410*Elec_Rates!$T$405</f>
        <v>0.09</v>
      </c>
      <c r="T2410" s="917">
        <f ca="1">$A2410*S2410</f>
        <v>7.1999999999999993</v>
      </c>
      <c r="U2410" s="926"/>
      <c r="AR2410" s="919">
        <v>80</v>
      </c>
      <c r="AS2410" s="921" t="s">
        <v>2599</v>
      </c>
    </row>
    <row r="2411" spans="1:45" s="520" customFormat="1" ht="12">
      <c r="A2411" s="758"/>
      <c r="B2411" s="758"/>
      <c r="C2411" s="758"/>
      <c r="D2411" s="758"/>
      <c r="E2411" s="758"/>
      <c r="F2411" s="753"/>
      <c r="G2411" s="758"/>
      <c r="H2411" s="758"/>
      <c r="I2411" s="519"/>
      <c r="J2411" s="758"/>
      <c r="K2411" s="758"/>
      <c r="L2411" s="758"/>
      <c r="M2411" s="758"/>
      <c r="N2411" s="758"/>
      <c r="O2411" s="758"/>
      <c r="P2411" s="758"/>
      <c r="Q2411" s="519"/>
      <c r="R2411" s="759">
        <f>$A2411*Q2411</f>
        <v>0</v>
      </c>
      <c r="S2411" s="519"/>
      <c r="T2411" s="760">
        <f>$A2411*S2411*$T$1</f>
        <v>0</v>
      </c>
      <c r="AR2411" s="758"/>
      <c r="AS2411" s="753"/>
    </row>
    <row r="2412" spans="1:45" s="520" customFormat="1" ht="12.6" thickBot="1">
      <c r="A2412" s="761" t="s">
        <v>145</v>
      </c>
      <c r="B2412" s="762">
        <f>(R2411+T2411)</f>
        <v>0</v>
      </c>
      <c r="C2412" s="763"/>
      <c r="D2412" s="763"/>
      <c r="E2412" s="763"/>
      <c r="F2412" s="764"/>
      <c r="G2412" s="763" t="s">
        <v>146</v>
      </c>
      <c r="H2412" s="763"/>
      <c r="I2412" s="765"/>
      <c r="J2412" s="763"/>
      <c r="K2412" s="763" t="s">
        <v>3</v>
      </c>
      <c r="L2412" s="766" t="s">
        <v>143</v>
      </c>
      <c r="M2412" s="766"/>
      <c r="N2412" s="766"/>
      <c r="O2412" s="766"/>
      <c r="P2412" s="766"/>
      <c r="Q2412" s="767"/>
      <c r="R2412" s="768">
        <f ca="1">SUM(R2408:R2411)</f>
        <v>1642.4</v>
      </c>
      <c r="S2412" s="763"/>
      <c r="T2412" s="768">
        <f ca="1">SUM(T2408:T2411)</f>
        <v>7.1999999999999993</v>
      </c>
      <c r="U2412" s="531"/>
      <c r="V2412" s="531"/>
      <c r="W2412" s="531"/>
      <c r="X2412" s="531"/>
      <c r="Y2412" s="531"/>
      <c r="Z2412" s="531"/>
      <c r="AA2412" s="531"/>
      <c r="AB2412" s="531"/>
      <c r="AC2412" s="531"/>
      <c r="AD2412" s="531"/>
      <c r="AE2412" s="531"/>
      <c r="AF2412" s="531"/>
      <c r="AG2412" s="531"/>
      <c r="AH2412" s="531"/>
      <c r="AI2412" s="531"/>
      <c r="AJ2412" s="531"/>
      <c r="AK2412" s="531"/>
      <c r="AL2412" s="531"/>
      <c r="AM2412" s="531"/>
      <c r="AN2412" s="531"/>
      <c r="AO2412" s="531"/>
      <c r="AR2412" s="761" t="s">
        <v>145</v>
      </c>
      <c r="AS2412" s="764"/>
    </row>
    <row r="2413" spans="1:45" s="520" customFormat="1" ht="12" thickTop="1">
      <c r="A2413" s="51"/>
      <c r="B2413" s="41"/>
      <c r="C2413" s="51"/>
      <c r="E2413" s="42" t="s">
        <v>138</v>
      </c>
      <c r="F2413" s="42" t="s">
        <v>139</v>
      </c>
      <c r="G2413" s="51"/>
      <c r="H2413" s="51"/>
      <c r="I2413" s="51"/>
      <c r="J2413" s="51"/>
      <c r="K2413" s="51" t="s">
        <v>140</v>
      </c>
      <c r="L2413" s="51"/>
      <c r="M2413" s="51"/>
      <c r="N2413" s="51"/>
      <c r="O2413" s="52"/>
      <c r="P2413" s="51"/>
      <c r="Q2413" s="51"/>
      <c r="R2413" s="51"/>
      <c r="S2413" s="51"/>
      <c r="T2413" s="41"/>
      <c r="AG2413" s="521" t="s">
        <v>268</v>
      </c>
      <c r="AH2413" s="521" t="s">
        <v>269</v>
      </c>
      <c r="AI2413" s="521" t="s">
        <v>270</v>
      </c>
      <c r="AJ2413" s="521" t="s">
        <v>271</v>
      </c>
      <c r="AK2413" s="521" t="s">
        <v>272</v>
      </c>
      <c r="AM2413" s="745" t="s">
        <v>281</v>
      </c>
      <c r="AN2413" s="746" t="s">
        <v>282</v>
      </c>
      <c r="AO2413" s="522" t="s">
        <v>278</v>
      </c>
      <c r="AR2413" s="51"/>
      <c r="AS2413" s="42" t="s">
        <v>139</v>
      </c>
    </row>
    <row r="2414" spans="1:45" s="520" customFormat="1" ht="12" customHeight="1">
      <c r="A2414" s="747">
        <v>70</v>
      </c>
      <c r="B2414" s="523" t="s">
        <v>320</v>
      </c>
      <c r="C2414" s="748"/>
      <c r="D2414" s="749" t="s">
        <v>1511</v>
      </c>
      <c r="E2414" s="750">
        <f ca="1">IF(AND($A2414=0,$A$1="DIF"),0, ROUND(ROUND(($R2419*$S$2+($T2419*$T$2))/A2414,2)*$C$2,2))</f>
        <v>28.32</v>
      </c>
      <c r="F2414" s="751">
        <f ca="1">ROUND($A2414*$E2414,2)</f>
        <v>1982.4</v>
      </c>
      <c r="G2414" s="752" t="s">
        <v>142</v>
      </c>
      <c r="H2414" s="753"/>
      <c r="I2414" s="754"/>
      <c r="J2414" s="753"/>
      <c r="K2414" s="753" t="s">
        <v>3</v>
      </c>
      <c r="L2414" s="755" t="s">
        <v>143</v>
      </c>
      <c r="M2414" s="755"/>
      <c r="N2414" s="755"/>
      <c r="O2414" s="755"/>
      <c r="P2414" s="755"/>
      <c r="Q2414" s="51"/>
      <c r="T2414" s="756" t="str">
        <f ca="1">IF(AND($R2419=0,$T2419=0),"0.00","mu :" &amp; ROUND($F2414/$C$2/($R2419+$T2419*$D$9),2))</f>
        <v>mu :1.23</v>
      </c>
      <c r="W2414" s="524"/>
      <c r="AG2414" s="481">
        <f ca="1">IF($E2414=0,0,ROUND($R2419*$S$2*$C$2/$A2414,2))</f>
        <v>25.28</v>
      </c>
      <c r="AH2414" s="481">
        <f ca="1">$AG2414*$A2414</f>
        <v>1769.6000000000001</v>
      </c>
      <c r="AI2414" s="525">
        <f ca="1">$E2414-$AG2414</f>
        <v>3.0399999999999991</v>
      </c>
      <c r="AJ2414" s="525">
        <f ca="1">$A2414*$AI2414</f>
        <v>212.79999999999995</v>
      </c>
      <c r="AK2414" s="526">
        <f ca="1">ROUND(($AG2414+$AI2414)*$A2414,2)</f>
        <v>1982.4</v>
      </c>
      <c r="AM2414" s="527">
        <f ca="1">ROUND(R2419,2)</f>
        <v>1437.1</v>
      </c>
      <c r="AN2414" s="528">
        <f ca="1">ROUND(T2419,2)</f>
        <v>6.3</v>
      </c>
      <c r="AO2414" s="529">
        <f ca="1">ROUND(AM2414+AN2414,2)*A2414</f>
        <v>101038</v>
      </c>
      <c r="AR2414" s="747">
        <v>70</v>
      </c>
      <c r="AS2414" s="751">
        <v>2006.2</v>
      </c>
    </row>
    <row r="2415" spans="1:45" s="520" customFormat="1" ht="13.2">
      <c r="A2415" s="748"/>
      <c r="B2415"/>
      <c r="C2415" s="748"/>
      <c r="D2415" s="749" t="s">
        <v>1512</v>
      </c>
      <c r="F2415" s="753"/>
      <c r="G2415" s="3"/>
      <c r="H2415" s="753"/>
      <c r="I2415" s="754"/>
      <c r="J2415" s="753"/>
      <c r="K2415" s="753" t="s">
        <v>144</v>
      </c>
      <c r="L2415" s="753"/>
      <c r="M2415" s="753"/>
      <c r="N2415" s="753"/>
      <c r="O2415" s="753"/>
      <c r="P2415" s="753"/>
      <c r="Q2415" s="51"/>
      <c r="R2415" s="530"/>
      <c r="S2415" s="757"/>
      <c r="T2415" s="753"/>
      <c r="AR2415" s="748"/>
      <c r="AS2415" s="753"/>
    </row>
    <row r="2416" spans="1:45" s="886" customFormat="1" ht="13.2">
      <c r="A2416"/>
      <c r="B2416" s="910"/>
      <c r="C2416" s="910" t="s">
        <v>2597</v>
      </c>
      <c r="D2416" s="910" t="str">
        <f ca="1">CELL("Address",Elec_Rates!D$405)</f>
        <v>[E25_0062_Quintano_Foods_Elec_ELV_As_Awarded.xlsx]Elec_Rates!$D$405</v>
      </c>
      <c r="E2416" s="911"/>
      <c r="F2416" s="911"/>
      <c r="G2416" s="912" t="s">
        <v>2598</v>
      </c>
      <c r="H2416" s="912"/>
      <c r="I2416" s="912"/>
      <c r="J2416" s="912"/>
      <c r="K2416" s="913"/>
      <c r="L2416" s="911"/>
      <c r="M2416" s="911"/>
      <c r="N2416" s="911"/>
      <c r="O2416" s="914"/>
      <c r="P2416" s="911"/>
      <c r="Q2416" s="915"/>
      <c r="R2416" s="916"/>
      <c r="S2416" s="915"/>
      <c r="T2416" s="917"/>
      <c r="U2416" s="918"/>
      <c r="AR2416"/>
      <c r="AS2416" s="911"/>
    </row>
    <row r="2417" spans="1:45" s="886" customFormat="1" ht="11.4">
      <c r="A2417" s="919">
        <v>70</v>
      </c>
      <c r="B2417" s="920">
        <v>1</v>
      </c>
      <c r="C2417" s="920">
        <f>$A2417*$B2417</f>
        <v>70</v>
      </c>
      <c r="D2417" s="921" t="str">
        <f>Elec_Rates!$D$405</f>
        <v>039# 5 x 10mm2 F120 Fire Resistant Cable (BS7846) -  XLPE/SWA/LSZH</v>
      </c>
      <c r="E2417" s="921"/>
      <c r="F2417" s="921" t="s">
        <v>2599</v>
      </c>
      <c r="G2417" s="922" t="s">
        <v>2601</v>
      </c>
      <c r="H2417" s="922"/>
      <c r="I2417" s="922"/>
      <c r="J2417" s="922"/>
      <c r="K2417" s="923"/>
      <c r="L2417" s="918"/>
      <c r="M2417" s="918"/>
      <c r="N2417" s="918"/>
      <c r="O2417" s="924"/>
      <c r="P2417" s="921"/>
      <c r="Q2417" s="925">
        <f ca="1">$B2417*Elec_Rates!$R$405</f>
        <v>20.53</v>
      </c>
      <c r="R2417" s="916">
        <f ca="1">$A2417*Q2417</f>
        <v>1437.1000000000001</v>
      </c>
      <c r="S2417" s="925">
        <f ca="1">$B2417*Elec_Rates!$T$405</f>
        <v>0.09</v>
      </c>
      <c r="T2417" s="917">
        <f ca="1">$A2417*S2417</f>
        <v>6.3</v>
      </c>
      <c r="U2417" s="926"/>
      <c r="AR2417" s="919">
        <v>70</v>
      </c>
      <c r="AS2417" s="921" t="s">
        <v>2599</v>
      </c>
    </row>
    <row r="2418" spans="1:45" s="520" customFormat="1" ht="12">
      <c r="A2418" s="758"/>
      <c r="B2418" s="758"/>
      <c r="C2418" s="758"/>
      <c r="D2418" s="758"/>
      <c r="E2418" s="758"/>
      <c r="F2418" s="753"/>
      <c r="G2418" s="758"/>
      <c r="H2418" s="758"/>
      <c r="I2418" s="519"/>
      <c r="J2418" s="758"/>
      <c r="K2418" s="758"/>
      <c r="L2418" s="758"/>
      <c r="M2418" s="758"/>
      <c r="N2418" s="758"/>
      <c r="O2418" s="758"/>
      <c r="P2418" s="758"/>
      <c r="Q2418" s="519"/>
      <c r="R2418" s="759">
        <f>$A2418*Q2418</f>
        <v>0</v>
      </c>
      <c r="S2418" s="519"/>
      <c r="T2418" s="760">
        <f>$A2418*S2418*$T$1</f>
        <v>0</v>
      </c>
      <c r="AR2418" s="758"/>
      <c r="AS2418" s="753"/>
    </row>
    <row r="2419" spans="1:45" s="520" customFormat="1" ht="12.6" thickBot="1">
      <c r="A2419" s="761" t="s">
        <v>145</v>
      </c>
      <c r="B2419" s="762">
        <f>(R2418+T2418)</f>
        <v>0</v>
      </c>
      <c r="C2419" s="763"/>
      <c r="D2419" s="763"/>
      <c r="E2419" s="763"/>
      <c r="F2419" s="764"/>
      <c r="G2419" s="763" t="s">
        <v>146</v>
      </c>
      <c r="H2419" s="763"/>
      <c r="I2419" s="765"/>
      <c r="J2419" s="763"/>
      <c r="K2419" s="763" t="s">
        <v>3</v>
      </c>
      <c r="L2419" s="766" t="s">
        <v>143</v>
      </c>
      <c r="M2419" s="766"/>
      <c r="N2419" s="766"/>
      <c r="O2419" s="766"/>
      <c r="P2419" s="766"/>
      <c r="Q2419" s="767"/>
      <c r="R2419" s="768">
        <f ca="1">SUM(R2415:R2418)</f>
        <v>1437.1000000000001</v>
      </c>
      <c r="S2419" s="763"/>
      <c r="T2419" s="768">
        <f ca="1">SUM(T2415:T2418)</f>
        <v>6.3</v>
      </c>
      <c r="U2419" s="531"/>
      <c r="V2419" s="531"/>
      <c r="W2419" s="531"/>
      <c r="X2419" s="531"/>
      <c r="Y2419" s="531"/>
      <c r="Z2419" s="531"/>
      <c r="AA2419" s="531"/>
      <c r="AB2419" s="531"/>
      <c r="AC2419" s="531"/>
      <c r="AD2419" s="531"/>
      <c r="AE2419" s="531"/>
      <c r="AF2419" s="531"/>
      <c r="AG2419" s="531"/>
      <c r="AH2419" s="531"/>
      <c r="AI2419" s="531"/>
      <c r="AJ2419" s="531"/>
      <c r="AK2419" s="531"/>
      <c r="AL2419" s="531"/>
      <c r="AM2419" s="531"/>
      <c r="AN2419" s="531"/>
      <c r="AO2419" s="531"/>
      <c r="AR2419" s="761" t="s">
        <v>145</v>
      </c>
      <c r="AS2419" s="764"/>
    </row>
    <row r="2420" spans="1:45" s="520" customFormat="1" thickTop="1">
      <c r="A2420" s="51"/>
      <c r="B2420" s="51"/>
      <c r="C2420" s="3"/>
      <c r="D2420" s="3"/>
      <c r="E2420" s="51"/>
      <c r="F2420" s="51"/>
      <c r="G2420" s="51"/>
      <c r="H2420" s="51"/>
      <c r="I2420" s="51"/>
      <c r="J2420" s="51"/>
      <c r="K2420" s="51" t="s">
        <v>134</v>
      </c>
      <c r="L2420" s="51"/>
      <c r="M2420" s="51"/>
      <c r="N2420" s="51"/>
      <c r="O2420" s="52"/>
      <c r="P2420" s="51"/>
      <c r="Q2420" s="51"/>
      <c r="R2420" s="51"/>
      <c r="S2420" s="51"/>
      <c r="T2420" s="51"/>
      <c r="AR2420" s="51"/>
      <c r="AS2420" s="51"/>
    </row>
    <row r="2421" spans="1:45" s="520" customFormat="1" ht="12">
      <c r="A2421" s="51"/>
      <c r="B2421" s="51"/>
      <c r="C2421" s="51" t="s">
        <v>135</v>
      </c>
      <c r="D2421" s="37"/>
      <c r="E2421" s="51"/>
      <c r="F2421" s="51"/>
      <c r="G2421" s="51"/>
      <c r="H2421" s="51"/>
      <c r="I2421" s="51"/>
      <c r="J2421" s="51"/>
      <c r="K2421" s="51"/>
      <c r="L2421" s="51"/>
      <c r="M2421" s="51"/>
      <c r="N2421" s="51"/>
      <c r="O2421" s="52"/>
      <c r="P2421" s="51"/>
      <c r="Q2421" s="51"/>
      <c r="R2421" s="51"/>
      <c r="S2421" s="51"/>
      <c r="T2421" s="51"/>
      <c r="AR2421" s="51"/>
      <c r="AS2421" s="51"/>
    </row>
    <row r="2422" spans="1:45" s="520" customFormat="1" ht="12">
      <c r="A2422" s="51"/>
      <c r="B2422" s="51"/>
      <c r="C2422" s="51"/>
      <c r="D2422" s="37" t="s">
        <v>463</v>
      </c>
      <c r="E2422" s="51"/>
      <c r="F2422" s="51"/>
      <c r="G2422" s="51"/>
      <c r="H2422" s="51"/>
      <c r="I2422" s="51"/>
      <c r="J2422" s="51"/>
      <c r="K2422" s="51"/>
      <c r="L2422" s="51"/>
      <c r="M2422" s="51"/>
      <c r="N2422" s="51"/>
      <c r="O2422" s="52"/>
      <c r="P2422" s="51"/>
      <c r="Q2422" s="51"/>
      <c r="R2422" s="51"/>
      <c r="S2422" s="38"/>
      <c r="T2422" s="38"/>
      <c r="AR2422" s="51"/>
      <c r="AS2422" s="51"/>
    </row>
    <row r="2423" spans="1:45" s="3" customFormat="1" thickBot="1">
      <c r="A2423" s="531"/>
      <c r="O2423" s="107"/>
      <c r="AR2423" s="531"/>
    </row>
    <row r="2424" spans="1:45" s="520" customFormat="1" ht="12" thickTop="1">
      <c r="A2424" s="51"/>
      <c r="B2424" s="41"/>
      <c r="C2424" s="51"/>
      <c r="E2424" s="42" t="s">
        <v>138</v>
      </c>
      <c r="F2424" s="42" t="s">
        <v>139</v>
      </c>
      <c r="G2424" s="51"/>
      <c r="H2424" s="51"/>
      <c r="I2424" s="51"/>
      <c r="J2424" s="51"/>
      <c r="K2424" s="51" t="s">
        <v>140</v>
      </c>
      <c r="L2424" s="51"/>
      <c r="M2424" s="51"/>
      <c r="N2424" s="51"/>
      <c r="O2424" s="52"/>
      <c r="P2424" s="51"/>
      <c r="Q2424" s="51"/>
      <c r="R2424" s="51"/>
      <c r="S2424" s="51"/>
      <c r="T2424" s="41"/>
      <c r="AG2424" s="521" t="s">
        <v>268</v>
      </c>
      <c r="AH2424" s="521" t="s">
        <v>269</v>
      </c>
      <c r="AI2424" s="521" t="s">
        <v>270</v>
      </c>
      <c r="AJ2424" s="521" t="s">
        <v>271</v>
      </c>
      <c r="AK2424" s="521" t="s">
        <v>272</v>
      </c>
      <c r="AM2424" s="745" t="s">
        <v>281</v>
      </c>
      <c r="AN2424" s="746" t="s">
        <v>282</v>
      </c>
      <c r="AO2424" s="522" t="s">
        <v>278</v>
      </c>
      <c r="AR2424" s="51"/>
      <c r="AS2424" s="42" t="s">
        <v>139</v>
      </c>
    </row>
    <row r="2425" spans="1:45" s="520" customFormat="1" ht="12" customHeight="1">
      <c r="A2425" s="747">
        <v>12</v>
      </c>
      <c r="B2425" s="523" t="s">
        <v>141</v>
      </c>
      <c r="C2425" s="748"/>
      <c r="D2425" s="749" t="s">
        <v>1513</v>
      </c>
      <c r="E2425" s="750">
        <f>IF(AND($A2425=0,$A$1="DIF"),0, ROUND(ROUND(($R2432*$S$2+($T2432*$T$2))/A2425,2)*$C$2,2))</f>
        <v>328.95</v>
      </c>
      <c r="F2425" s="751">
        <f>ROUND($A2425*$E2425,2)</f>
        <v>3947.4</v>
      </c>
      <c r="G2425" s="752" t="s">
        <v>142</v>
      </c>
      <c r="H2425" s="753"/>
      <c r="I2425" s="754"/>
      <c r="J2425" s="753"/>
      <c r="K2425" s="753" t="s">
        <v>3</v>
      </c>
      <c r="L2425" s="755" t="s">
        <v>143</v>
      </c>
      <c r="M2425" s="755"/>
      <c r="N2425" s="755"/>
      <c r="O2425" s="755"/>
      <c r="P2425" s="755"/>
      <c r="Q2425" s="1058" t="s">
        <v>2732</v>
      </c>
      <c r="T2425" s="756" t="str">
        <f>IF(AND($R2432=0,$T2432=0),"0.00","mu :" &amp; ROUND($F2425/$C$2/($R2432+$T2432*$D$9),2))</f>
        <v>mu :1.23</v>
      </c>
      <c r="W2425" s="524"/>
      <c r="AG2425" s="481">
        <f>IF($E2425=0,0,ROUND($R2432*$S$2*$C$2/$A2425,2))</f>
        <v>298.52</v>
      </c>
      <c r="AH2425" s="481">
        <f>$AG2425*$A2425</f>
        <v>3582.24</v>
      </c>
      <c r="AI2425" s="525">
        <f>$E2425-$AG2425</f>
        <v>30.430000000000007</v>
      </c>
      <c r="AJ2425" s="525">
        <f>$A2425*$AI2425</f>
        <v>365.16000000000008</v>
      </c>
      <c r="AK2425" s="526">
        <f>ROUND(($AG2425+$AI2425)*$A2425,2)</f>
        <v>3947.4</v>
      </c>
      <c r="AM2425" s="527">
        <f>ROUND(R2432,2)</f>
        <v>2909.18</v>
      </c>
      <c r="AN2425" s="528">
        <f>ROUND(T2432,2)</f>
        <v>10.8</v>
      </c>
      <c r="AO2425" s="529">
        <f>ROUND(AM2425+AN2425,2)*A2425</f>
        <v>35039.760000000002</v>
      </c>
      <c r="AR2425" s="747">
        <v>12</v>
      </c>
      <c r="AS2425" s="751">
        <v>3987.96</v>
      </c>
    </row>
    <row r="2426" spans="1:45" s="520" customFormat="1" ht="13.2">
      <c r="A2426" s="748"/>
      <c r="B2426"/>
      <c r="C2426" s="748"/>
      <c r="D2426" s="749" t="s">
        <v>1267</v>
      </c>
      <c r="E2426" s="1178" t="s">
        <v>3713</v>
      </c>
      <c r="F2426" s="753"/>
      <c r="G2426" s="3"/>
      <c r="H2426" s="753"/>
      <c r="I2426" s="754"/>
      <c r="J2426" s="753"/>
      <c r="K2426" s="753" t="s">
        <v>144</v>
      </c>
      <c r="L2426" s="753"/>
      <c r="M2426" s="753"/>
      <c r="N2426" s="753"/>
      <c r="O2426" s="753"/>
      <c r="P2426" s="753"/>
      <c r="Q2426" s="51"/>
      <c r="R2426" s="530"/>
      <c r="S2426" s="757"/>
      <c r="T2426" s="753"/>
      <c r="AR2426" s="748"/>
      <c r="AS2426" s="753"/>
    </row>
    <row r="2427" spans="1:45" s="901" customFormat="1" ht="13.2">
      <c r="A2427">
        <v>12</v>
      </c>
      <c r="B2427" s="901" t="s">
        <v>141</v>
      </c>
      <c r="D2427" s="901" t="s">
        <v>3719</v>
      </c>
      <c r="F2427" s="1054" t="s">
        <v>3718</v>
      </c>
      <c r="G2427" s="941" t="s">
        <v>2843</v>
      </c>
      <c r="H2427" s="942">
        <v>510</v>
      </c>
      <c r="I2427" s="901" t="s">
        <v>2736</v>
      </c>
      <c r="J2427" s="901" t="s">
        <v>2844</v>
      </c>
      <c r="K2427" s="901" t="s">
        <v>2845</v>
      </c>
      <c r="O2427" s="943">
        <v>2</v>
      </c>
      <c r="P2427" s="944">
        <v>36880</v>
      </c>
      <c r="Q2427" s="945">
        <v>225</v>
      </c>
      <c r="R2427" s="946">
        <f>$A2427*Q2427</f>
        <v>2700</v>
      </c>
      <c r="S2427" s="945">
        <v>0.5</v>
      </c>
      <c r="T2427" s="947">
        <f>$A2427*S2427*$T$1</f>
        <v>5.4</v>
      </c>
      <c r="AR2427">
        <v>12</v>
      </c>
      <c r="AS2427" s="1054" t="s">
        <v>3718</v>
      </c>
    </row>
    <row r="2428" spans="1:45" s="901" customFormat="1" ht="13.2">
      <c r="A2428">
        <v>12</v>
      </c>
      <c r="B2428" s="901" t="s">
        <v>141</v>
      </c>
      <c r="D2428" s="901" t="s">
        <v>3720</v>
      </c>
      <c r="G2428" s="941" t="s">
        <v>3721</v>
      </c>
      <c r="H2428" s="942">
        <v>501</v>
      </c>
      <c r="I2428" s="901" t="s">
        <v>2607</v>
      </c>
      <c r="K2428" s="901" t="s">
        <v>3722</v>
      </c>
      <c r="O2428" s="943">
        <v>1</v>
      </c>
      <c r="P2428" s="944">
        <v>38136</v>
      </c>
      <c r="Q2428" s="945">
        <v>10</v>
      </c>
      <c r="R2428" s="946">
        <f>$A2428*Q2428</f>
        <v>120</v>
      </c>
      <c r="S2428" s="945">
        <v>0.5</v>
      </c>
      <c r="T2428" s="947">
        <f>$A2428*S2428*$T$1</f>
        <v>5.4</v>
      </c>
      <c r="AR2428">
        <v>12</v>
      </c>
    </row>
    <row r="2429" spans="1:45" s="901" customFormat="1" ht="11.4">
      <c r="A2429" s="51">
        <v>12</v>
      </c>
      <c r="B2429" s="1084" t="s">
        <v>863</v>
      </c>
      <c r="C2429" s="1084"/>
      <c r="D2429" s="1084" t="s">
        <v>2752</v>
      </c>
      <c r="E2429" s="1084" t="s">
        <v>3712</v>
      </c>
      <c r="F2429" s="1084" t="s">
        <v>3326</v>
      </c>
      <c r="G2429" s="1091" t="s">
        <v>2754</v>
      </c>
      <c r="H2429" s="1092">
        <v>962</v>
      </c>
      <c r="I2429" s="1084" t="s">
        <v>2596</v>
      </c>
      <c r="J2429" s="1084"/>
      <c r="K2429" s="1084"/>
      <c r="L2429" s="1084"/>
      <c r="M2429" s="1084"/>
      <c r="N2429" s="1084"/>
      <c r="O2429" s="1093">
        <v>2</v>
      </c>
      <c r="P2429" s="1094">
        <v>38129</v>
      </c>
      <c r="Q2429" s="945">
        <f>0.41 *(1 *(1/8*120))</f>
        <v>6.1499999999999995</v>
      </c>
      <c r="R2429" s="1096">
        <f>$A2429*Q2429</f>
        <v>73.8</v>
      </c>
      <c r="S2429" s="1095"/>
      <c r="T2429" s="1097">
        <f>$A2429*S2429*$T$1</f>
        <v>0</v>
      </c>
      <c r="AR2429" s="51">
        <v>12</v>
      </c>
      <c r="AS2429" s="1084" t="s">
        <v>3326</v>
      </c>
    </row>
    <row r="2430" spans="1:45" s="901" customFormat="1" ht="11.4">
      <c r="A2430" s="51">
        <v>12</v>
      </c>
      <c r="B2430" s="901" t="s">
        <v>2755</v>
      </c>
      <c r="D2430" s="901" t="s">
        <v>3325</v>
      </c>
      <c r="F2430" s="901" t="s">
        <v>3666</v>
      </c>
      <c r="G2430" s="941" t="s">
        <v>3324</v>
      </c>
      <c r="H2430" s="942">
        <v>845</v>
      </c>
      <c r="I2430" s="901" t="s">
        <v>2607</v>
      </c>
      <c r="O2430" s="943">
        <v>3</v>
      </c>
      <c r="P2430" s="944">
        <v>39713</v>
      </c>
      <c r="Q2430" s="945">
        <f>0.41 *(1/8*25)</f>
        <v>1.28125</v>
      </c>
      <c r="R2430" s="946">
        <f>$A2430*Q2430</f>
        <v>15.375</v>
      </c>
      <c r="S2430" s="945"/>
      <c r="T2430" s="947">
        <f>$A2430*S2430*$T$1</f>
        <v>0</v>
      </c>
      <c r="AR2430" s="51">
        <v>12</v>
      </c>
      <c r="AS2430" s="901" t="s">
        <v>3666</v>
      </c>
    </row>
    <row r="2431" spans="1:45" s="520" customFormat="1" ht="12">
      <c r="A2431" s="758"/>
      <c r="B2431" s="758"/>
      <c r="C2431" s="758"/>
      <c r="D2431" s="758"/>
      <c r="E2431" s="758"/>
      <c r="F2431" s="753"/>
      <c r="G2431" s="758"/>
      <c r="H2431" s="758"/>
      <c r="I2431" s="519"/>
      <c r="J2431" s="758"/>
      <c r="K2431" s="758"/>
      <c r="L2431" s="758"/>
      <c r="M2431" s="758"/>
      <c r="N2431" s="758"/>
      <c r="O2431" s="758"/>
      <c r="P2431" s="758"/>
      <c r="Q2431" s="519"/>
      <c r="R2431" s="759">
        <f>$A2431*Q2431</f>
        <v>0</v>
      </c>
      <c r="S2431" s="519"/>
      <c r="T2431" s="760">
        <f>$A2431*S2431*$T$1</f>
        <v>0</v>
      </c>
      <c r="AR2431" s="758"/>
      <c r="AS2431" s="753"/>
    </row>
    <row r="2432" spans="1:45" s="520" customFormat="1" ht="12.6" thickBot="1">
      <c r="A2432" s="761" t="s">
        <v>145</v>
      </c>
      <c r="B2432" s="762">
        <f>(R2431+T2431)</f>
        <v>0</v>
      </c>
      <c r="C2432" s="763"/>
      <c r="D2432" s="763"/>
      <c r="E2432" s="763"/>
      <c r="F2432" s="764"/>
      <c r="G2432" s="763" t="s">
        <v>146</v>
      </c>
      <c r="H2432" s="763"/>
      <c r="I2432" s="765"/>
      <c r="J2432" s="763"/>
      <c r="K2432" s="763" t="s">
        <v>3</v>
      </c>
      <c r="L2432" s="766" t="s">
        <v>143</v>
      </c>
      <c r="M2432" s="766"/>
      <c r="N2432" s="766"/>
      <c r="O2432" s="766"/>
      <c r="P2432" s="766"/>
      <c r="Q2432" s="767"/>
      <c r="R2432" s="768">
        <f>SUM(R2426:R2431)</f>
        <v>2909.1750000000002</v>
      </c>
      <c r="S2432" s="763"/>
      <c r="T2432" s="768">
        <f>SUM(T2426:T2431)</f>
        <v>10.8</v>
      </c>
      <c r="U2432" s="531"/>
      <c r="V2432" s="531"/>
      <c r="W2432" s="531"/>
      <c r="X2432" s="531"/>
      <c r="Y2432" s="531"/>
      <c r="Z2432" s="531"/>
      <c r="AA2432" s="531"/>
      <c r="AB2432" s="531"/>
      <c r="AC2432" s="531"/>
      <c r="AD2432" s="531"/>
      <c r="AE2432" s="531"/>
      <c r="AF2432" s="531"/>
      <c r="AG2432" s="531"/>
      <c r="AH2432" s="531"/>
      <c r="AI2432" s="531"/>
      <c r="AJ2432" s="531"/>
      <c r="AK2432" s="531"/>
      <c r="AL2432" s="531"/>
      <c r="AM2432" s="531"/>
      <c r="AN2432" s="531"/>
      <c r="AO2432" s="531"/>
      <c r="AR2432" s="761" t="s">
        <v>145</v>
      </c>
      <c r="AS2432" s="764"/>
    </row>
    <row r="2433" spans="1:45" s="520" customFormat="1" ht="12" thickTop="1">
      <c r="A2433" s="51"/>
      <c r="B2433" s="41"/>
      <c r="C2433" s="51"/>
      <c r="E2433" s="42" t="s">
        <v>138</v>
      </c>
      <c r="F2433" s="42" t="s">
        <v>139</v>
      </c>
      <c r="G2433" s="51"/>
      <c r="H2433" s="51"/>
      <c r="I2433" s="51"/>
      <c r="J2433" s="51"/>
      <c r="K2433" s="51" t="s">
        <v>140</v>
      </c>
      <c r="L2433" s="51"/>
      <c r="M2433" s="51"/>
      <c r="N2433" s="51"/>
      <c r="O2433" s="52"/>
      <c r="P2433" s="51"/>
      <c r="Q2433" s="51"/>
      <c r="R2433" s="51"/>
      <c r="S2433" s="51"/>
      <c r="T2433" s="41"/>
      <c r="AG2433" s="521" t="s">
        <v>268</v>
      </c>
      <c r="AH2433" s="521" t="s">
        <v>269</v>
      </c>
      <c r="AI2433" s="521" t="s">
        <v>270</v>
      </c>
      <c r="AJ2433" s="521" t="s">
        <v>271</v>
      </c>
      <c r="AK2433" s="521" t="s">
        <v>272</v>
      </c>
      <c r="AM2433" s="745" t="s">
        <v>281</v>
      </c>
      <c r="AN2433" s="746" t="s">
        <v>282</v>
      </c>
      <c r="AO2433" s="522" t="s">
        <v>278</v>
      </c>
      <c r="AR2433" s="51"/>
      <c r="AS2433" s="42" t="s">
        <v>139</v>
      </c>
    </row>
    <row r="2434" spans="1:45" s="520" customFormat="1" ht="12" customHeight="1">
      <c r="A2434" s="747">
        <v>3</v>
      </c>
      <c r="B2434" s="523" t="s">
        <v>141</v>
      </c>
      <c r="C2434" s="748"/>
      <c r="D2434" s="749" t="s">
        <v>1514</v>
      </c>
      <c r="E2434" s="750">
        <f>IF(AND($A2434=0,$A$1="DIF"),0, ROUND(ROUND(($R2441*$S$2+($T2441*$T$2))/A2434,2)*$C$2,2))</f>
        <v>338.1</v>
      </c>
      <c r="F2434" s="751">
        <f>ROUND($A2434*$E2434,2)</f>
        <v>1014.3</v>
      </c>
      <c r="G2434" s="752" t="s">
        <v>142</v>
      </c>
      <c r="H2434" s="753"/>
      <c r="I2434" s="754"/>
      <c r="J2434" s="753"/>
      <c r="K2434" s="753" t="s">
        <v>3</v>
      </c>
      <c r="L2434" s="755" t="s">
        <v>143</v>
      </c>
      <c r="M2434" s="755"/>
      <c r="N2434" s="755"/>
      <c r="O2434" s="755"/>
      <c r="P2434" s="755"/>
      <c r="Q2434" s="1058" t="s">
        <v>2732</v>
      </c>
      <c r="T2434" s="756" t="str">
        <f>IF(AND($R2441=0,$T2441=0),"0.00","mu :" &amp; ROUND($F2434/$C$2/($R2441+$T2441*$D$9),2))</f>
        <v>mu :1.23</v>
      </c>
      <c r="W2434" s="524"/>
      <c r="AG2434" s="481">
        <f>IF($E2434=0,0,ROUND($R2441*$S$2*$C$2/$A2434,2))</f>
        <v>307.67</v>
      </c>
      <c r="AH2434" s="481">
        <f>$AG2434*$A2434</f>
        <v>923.01</v>
      </c>
      <c r="AI2434" s="525">
        <f>$E2434-$AG2434</f>
        <v>30.430000000000007</v>
      </c>
      <c r="AJ2434" s="525">
        <f>$A2434*$AI2434</f>
        <v>91.29000000000002</v>
      </c>
      <c r="AK2434" s="526">
        <f>ROUND(($AG2434+$AI2434)*$A2434,2)</f>
        <v>1014.3</v>
      </c>
      <c r="AM2434" s="527">
        <f>ROUND(R2441,2)</f>
        <v>749.59</v>
      </c>
      <c r="AN2434" s="528">
        <f>ROUND(T2441,2)</f>
        <v>2.7</v>
      </c>
      <c r="AO2434" s="529">
        <f>ROUND(AM2434+AN2434,2)*A2434</f>
        <v>2256.87</v>
      </c>
      <c r="AR2434" s="747">
        <v>3</v>
      </c>
      <c r="AS2434" s="751">
        <v>1024.44</v>
      </c>
    </row>
    <row r="2435" spans="1:45" s="520" customFormat="1" ht="13.2">
      <c r="A2435" s="748"/>
      <c r="B2435"/>
      <c r="C2435" s="748"/>
      <c r="D2435" s="749" t="s">
        <v>1515</v>
      </c>
      <c r="F2435" s="753"/>
      <c r="G2435" s="3"/>
      <c r="H2435" s="753"/>
      <c r="I2435" s="754"/>
      <c r="J2435" s="753"/>
      <c r="K2435" s="753" t="s">
        <v>144</v>
      </c>
      <c r="L2435" s="753"/>
      <c r="M2435" s="753"/>
      <c r="N2435" s="753"/>
      <c r="O2435" s="753"/>
      <c r="P2435" s="753"/>
      <c r="Q2435" s="51"/>
      <c r="R2435" s="530"/>
      <c r="S2435" s="757"/>
      <c r="T2435" s="753"/>
      <c r="AR2435" s="748"/>
      <c r="AS2435" s="753"/>
    </row>
    <row r="2436" spans="1:45" s="901" customFormat="1" ht="13.2">
      <c r="A2436">
        <v>3</v>
      </c>
      <c r="B2436" s="901" t="s">
        <v>141</v>
      </c>
      <c r="D2436" s="901" t="s">
        <v>2846</v>
      </c>
      <c r="F2436" s="1054" t="s">
        <v>3718</v>
      </c>
      <c r="G2436" s="941" t="s">
        <v>2843</v>
      </c>
      <c r="H2436" s="942">
        <v>510</v>
      </c>
      <c r="I2436" s="901" t="s">
        <v>2736</v>
      </c>
      <c r="J2436" s="901" t="s">
        <v>2844</v>
      </c>
      <c r="K2436" s="901" t="s">
        <v>2845</v>
      </c>
      <c r="O2436" s="943">
        <v>2</v>
      </c>
      <c r="P2436" s="944">
        <v>36880</v>
      </c>
      <c r="Q2436" s="945">
        <v>225</v>
      </c>
      <c r="R2436" s="946">
        <f>$A2436*Q2436</f>
        <v>675</v>
      </c>
      <c r="S2436" s="945">
        <v>0.5</v>
      </c>
      <c r="T2436" s="947">
        <f>$A2436*S2436*$T$1</f>
        <v>1.35</v>
      </c>
      <c r="AR2436">
        <v>3</v>
      </c>
      <c r="AS2436" s="1054" t="s">
        <v>3718</v>
      </c>
    </row>
    <row r="2437" spans="1:45" s="901" customFormat="1" ht="13.2">
      <c r="A2437">
        <v>3</v>
      </c>
      <c r="B2437" s="901" t="s">
        <v>141</v>
      </c>
      <c r="D2437" s="901" t="s">
        <v>3720</v>
      </c>
      <c r="G2437" s="941" t="s">
        <v>3721</v>
      </c>
      <c r="H2437" s="942">
        <v>501</v>
      </c>
      <c r="I2437" s="901" t="s">
        <v>2607</v>
      </c>
      <c r="K2437" s="901" t="s">
        <v>3722</v>
      </c>
      <c r="O2437" s="943">
        <v>1</v>
      </c>
      <c r="P2437" s="944">
        <v>38136</v>
      </c>
      <c r="Q2437" s="945">
        <v>10</v>
      </c>
      <c r="R2437" s="946">
        <f>$A2437*Q2437</f>
        <v>30</v>
      </c>
      <c r="S2437" s="945">
        <v>0.5</v>
      </c>
      <c r="T2437" s="947">
        <f>$A2437*S2437*$T$1</f>
        <v>1.35</v>
      </c>
      <c r="AR2437">
        <v>3</v>
      </c>
    </row>
    <row r="2438" spans="1:45" s="901" customFormat="1" ht="11.4">
      <c r="A2438" s="51">
        <v>3</v>
      </c>
      <c r="B2438" s="1084" t="s">
        <v>863</v>
      </c>
      <c r="C2438" s="1084"/>
      <c r="D2438" s="1084" t="s">
        <v>2752</v>
      </c>
      <c r="E2438" s="1084" t="s">
        <v>3712</v>
      </c>
      <c r="F2438" s="1084" t="s">
        <v>3326</v>
      </c>
      <c r="G2438" s="1091" t="s">
        <v>2754</v>
      </c>
      <c r="H2438" s="1092">
        <v>962</v>
      </c>
      <c r="I2438" s="1084" t="s">
        <v>2596</v>
      </c>
      <c r="J2438" s="1084"/>
      <c r="K2438" s="1084"/>
      <c r="L2438" s="1084"/>
      <c r="M2438" s="1084"/>
      <c r="N2438" s="1084"/>
      <c r="O2438" s="1093">
        <v>2</v>
      </c>
      <c r="P2438" s="1094">
        <v>38129</v>
      </c>
      <c r="Q2438" s="945">
        <f>0.41 *(1 *(2/8*120))</f>
        <v>12.299999999999999</v>
      </c>
      <c r="R2438" s="1096">
        <f>$A2438*Q2438</f>
        <v>36.9</v>
      </c>
      <c r="S2438" s="1095"/>
      <c r="T2438" s="1097">
        <f>$A2438*S2438*$T$1</f>
        <v>0</v>
      </c>
      <c r="AR2438" s="51">
        <v>3</v>
      </c>
      <c r="AS2438" s="1084" t="s">
        <v>3326</v>
      </c>
    </row>
    <row r="2439" spans="1:45" s="901" customFormat="1" ht="11.4">
      <c r="A2439" s="51">
        <v>3</v>
      </c>
      <c r="B2439" s="901" t="s">
        <v>2755</v>
      </c>
      <c r="D2439" s="901" t="s">
        <v>3325</v>
      </c>
      <c r="F2439" s="901" t="s">
        <v>3666</v>
      </c>
      <c r="G2439" s="941" t="s">
        <v>3324</v>
      </c>
      <c r="H2439" s="942">
        <v>845</v>
      </c>
      <c r="I2439" s="901" t="s">
        <v>2607</v>
      </c>
      <c r="O2439" s="943">
        <v>3</v>
      </c>
      <c r="P2439" s="944">
        <v>39713</v>
      </c>
      <c r="Q2439" s="945">
        <f>0.41 *(2/8*25)</f>
        <v>2.5625</v>
      </c>
      <c r="R2439" s="946">
        <f>$A2439*Q2439</f>
        <v>7.6875</v>
      </c>
      <c r="S2439" s="945"/>
      <c r="T2439" s="947">
        <f>$A2439*S2439*$T$1</f>
        <v>0</v>
      </c>
      <c r="AR2439" s="51">
        <v>3</v>
      </c>
      <c r="AS2439" s="901" t="s">
        <v>3666</v>
      </c>
    </row>
    <row r="2440" spans="1:45" s="520" customFormat="1" ht="12">
      <c r="A2440" s="758"/>
      <c r="B2440" s="758"/>
      <c r="C2440" s="758"/>
      <c r="D2440" s="758"/>
      <c r="E2440" s="758"/>
      <c r="F2440" s="753"/>
      <c r="G2440" s="758"/>
      <c r="H2440" s="758"/>
      <c r="I2440" s="519"/>
      <c r="J2440" s="758"/>
      <c r="K2440" s="758"/>
      <c r="L2440" s="758"/>
      <c r="M2440" s="758"/>
      <c r="N2440" s="758"/>
      <c r="O2440" s="758"/>
      <c r="P2440" s="758"/>
      <c r="Q2440" s="519"/>
      <c r="R2440" s="759">
        <f>$A2440*Q2440</f>
        <v>0</v>
      </c>
      <c r="S2440" s="519"/>
      <c r="T2440" s="760">
        <f>$A2440*S2440*$T$1</f>
        <v>0</v>
      </c>
      <c r="AR2440" s="758"/>
      <c r="AS2440" s="753"/>
    </row>
    <row r="2441" spans="1:45" s="520" customFormat="1" ht="12.6" thickBot="1">
      <c r="A2441" s="761" t="s">
        <v>145</v>
      </c>
      <c r="B2441" s="762">
        <f>(R2440+T2440)</f>
        <v>0</v>
      </c>
      <c r="C2441" s="763"/>
      <c r="D2441" s="763"/>
      <c r="E2441" s="763"/>
      <c r="F2441" s="764"/>
      <c r="G2441" s="763" t="s">
        <v>146</v>
      </c>
      <c r="H2441" s="763"/>
      <c r="I2441" s="765"/>
      <c r="J2441" s="763"/>
      <c r="K2441" s="763" t="s">
        <v>3</v>
      </c>
      <c r="L2441" s="766" t="s">
        <v>143</v>
      </c>
      <c r="M2441" s="766"/>
      <c r="N2441" s="766"/>
      <c r="O2441" s="766"/>
      <c r="P2441" s="766"/>
      <c r="Q2441" s="767"/>
      <c r="R2441" s="768">
        <f>SUM(R2435:R2440)</f>
        <v>749.58749999999998</v>
      </c>
      <c r="S2441" s="763"/>
      <c r="T2441" s="768">
        <f>SUM(T2435:T2440)</f>
        <v>2.7</v>
      </c>
      <c r="U2441" s="531"/>
      <c r="V2441" s="531"/>
      <c r="W2441" s="531"/>
      <c r="X2441" s="531"/>
      <c r="Y2441" s="531"/>
      <c r="Z2441" s="531"/>
      <c r="AA2441" s="531"/>
      <c r="AB2441" s="531"/>
      <c r="AC2441" s="531"/>
      <c r="AD2441" s="531"/>
      <c r="AE2441" s="531"/>
      <c r="AF2441" s="531"/>
      <c r="AG2441" s="531"/>
      <c r="AH2441" s="531"/>
      <c r="AI2441" s="531"/>
      <c r="AJ2441" s="531"/>
      <c r="AK2441" s="531"/>
      <c r="AL2441" s="531"/>
      <c r="AM2441" s="531"/>
      <c r="AN2441" s="531"/>
      <c r="AO2441" s="531"/>
      <c r="AR2441" s="761" t="s">
        <v>145</v>
      </c>
      <c r="AS2441" s="764"/>
    </row>
    <row r="2442" spans="1:45" s="520" customFormat="1" ht="12" thickTop="1">
      <c r="A2442" s="51"/>
      <c r="B2442" s="41"/>
      <c r="C2442" s="51"/>
      <c r="E2442" s="42" t="s">
        <v>138</v>
      </c>
      <c r="F2442" s="42" t="s">
        <v>139</v>
      </c>
      <c r="G2442" s="51"/>
      <c r="H2442" s="51"/>
      <c r="I2442" s="51"/>
      <c r="J2442" s="51"/>
      <c r="K2442" s="51" t="s">
        <v>140</v>
      </c>
      <c r="L2442" s="51"/>
      <c r="M2442" s="51"/>
      <c r="N2442" s="51"/>
      <c r="O2442" s="52"/>
      <c r="P2442" s="51"/>
      <c r="Q2442" s="51"/>
      <c r="R2442" s="51"/>
      <c r="S2442" s="51"/>
      <c r="T2442" s="41"/>
      <c r="AG2442" s="521" t="s">
        <v>268</v>
      </c>
      <c r="AH2442" s="521" t="s">
        <v>269</v>
      </c>
      <c r="AI2442" s="521" t="s">
        <v>270</v>
      </c>
      <c r="AJ2442" s="521" t="s">
        <v>271</v>
      </c>
      <c r="AK2442" s="521" t="s">
        <v>272</v>
      </c>
      <c r="AM2442" s="745" t="s">
        <v>281</v>
      </c>
      <c r="AN2442" s="746" t="s">
        <v>282</v>
      </c>
      <c r="AO2442" s="522" t="s">
        <v>278</v>
      </c>
      <c r="AR2442" s="51"/>
      <c r="AS2442" s="42" t="s">
        <v>139</v>
      </c>
    </row>
    <row r="2443" spans="1:45" s="520" customFormat="1" ht="12" customHeight="1">
      <c r="A2443" s="747">
        <v>3</v>
      </c>
      <c r="B2443" s="523" t="s">
        <v>141</v>
      </c>
      <c r="C2443" s="748"/>
      <c r="D2443" s="749" t="s">
        <v>1516</v>
      </c>
      <c r="E2443" s="750">
        <f>IF(AND($A2443=0,$A$1="DIF"),0, ROUND(ROUND(($R2451*$S$2+($T2451*$T$2))/A2443,2)*$C$2,2))</f>
        <v>514.91</v>
      </c>
      <c r="F2443" s="751">
        <f>ROUND($A2443*$E2443,2)</f>
        <v>1544.73</v>
      </c>
      <c r="G2443" s="752" t="s">
        <v>142</v>
      </c>
      <c r="H2443" s="753"/>
      <c r="I2443" s="754"/>
      <c r="J2443" s="753"/>
      <c r="K2443" s="753" t="s">
        <v>3</v>
      </c>
      <c r="L2443" s="755" t="s">
        <v>143</v>
      </c>
      <c r="M2443" s="755"/>
      <c r="N2443" s="755"/>
      <c r="O2443" s="755"/>
      <c r="P2443" s="755"/>
      <c r="Q2443" s="1058" t="s">
        <v>2732</v>
      </c>
      <c r="T2443" s="756" t="str">
        <f>IF(AND($R2451=0,$T2451=0),"0.00","mu :" &amp; ROUND($F2443/$C$2/($R2451+$T2451*$D$9),2))</f>
        <v>mu :1.23</v>
      </c>
      <c r="W2443" s="524"/>
      <c r="AG2443" s="481">
        <f>IF($E2443=0,0,ROUND($R2451*$S$2*$C$2/$A2443,2))</f>
        <v>467.74</v>
      </c>
      <c r="AH2443" s="481">
        <f>$AG2443*$A2443</f>
        <v>1403.22</v>
      </c>
      <c r="AI2443" s="525">
        <f>$E2443-$AG2443</f>
        <v>47.169999999999959</v>
      </c>
      <c r="AJ2443" s="525">
        <f>$A2443*$AI2443</f>
        <v>141.50999999999988</v>
      </c>
      <c r="AK2443" s="526">
        <f>ROUND(($AG2443+$AI2443)*$A2443,2)</f>
        <v>1544.73</v>
      </c>
      <c r="AM2443" s="527">
        <f>ROUND(R2451,2)</f>
        <v>1139.5899999999999</v>
      </c>
      <c r="AN2443" s="528">
        <f>ROUND(T2451,2)</f>
        <v>4.1900000000000004</v>
      </c>
      <c r="AO2443" s="529">
        <f>ROUND(AM2443+AN2443,2)*A2443</f>
        <v>3431.34</v>
      </c>
      <c r="AR2443" s="747">
        <v>3</v>
      </c>
      <c r="AS2443" s="751">
        <v>1560.45</v>
      </c>
    </row>
    <row r="2444" spans="1:45" s="520" customFormat="1" ht="13.2">
      <c r="A2444" s="748"/>
      <c r="B2444"/>
      <c r="C2444" s="748"/>
      <c r="D2444" s="749" t="s">
        <v>1221</v>
      </c>
      <c r="E2444" s="1178" t="s">
        <v>3711</v>
      </c>
      <c r="F2444" s="753"/>
      <c r="G2444" s="3"/>
      <c r="H2444" s="753"/>
      <c r="I2444" s="754"/>
      <c r="J2444" s="753"/>
      <c r="K2444" s="753" t="s">
        <v>144</v>
      </c>
      <c r="L2444" s="753"/>
      <c r="M2444" s="753"/>
      <c r="N2444" s="753"/>
      <c r="O2444" s="753"/>
      <c r="P2444" s="753"/>
      <c r="Q2444" s="51"/>
      <c r="R2444" s="530"/>
      <c r="S2444" s="757"/>
      <c r="T2444" s="753"/>
      <c r="AR2444" s="748"/>
      <c r="AS2444" s="753"/>
    </row>
    <row r="2445" spans="1:45" s="901" customFormat="1" ht="13.2">
      <c r="A2445">
        <v>3</v>
      </c>
      <c r="B2445" s="901" t="s">
        <v>141</v>
      </c>
      <c r="D2445" s="901" t="s">
        <v>2734</v>
      </c>
      <c r="F2445" s="1054" t="s">
        <v>3718</v>
      </c>
      <c r="G2445" s="941" t="s">
        <v>2735</v>
      </c>
      <c r="H2445" s="942">
        <v>510</v>
      </c>
      <c r="I2445" s="901" t="s">
        <v>2736</v>
      </c>
      <c r="J2445" s="901" t="s">
        <v>2737</v>
      </c>
      <c r="K2445" s="901" t="s">
        <v>2738</v>
      </c>
      <c r="O2445" s="943">
        <v>2</v>
      </c>
      <c r="P2445" s="944">
        <v>36880</v>
      </c>
      <c r="Q2445" s="945">
        <v>350</v>
      </c>
      <c r="R2445" s="946">
        <f t="shared" ref="R2445:R2450" si="98">$A2445*Q2445</f>
        <v>1050</v>
      </c>
      <c r="S2445" s="945">
        <v>1</v>
      </c>
      <c r="T2445" s="947">
        <f t="shared" ref="T2445:T2450" si="99">$A2445*S2445*$T$1</f>
        <v>2.7</v>
      </c>
      <c r="AR2445">
        <v>3</v>
      </c>
      <c r="AS2445" s="1054" t="s">
        <v>3718</v>
      </c>
    </row>
    <row r="2446" spans="1:45" s="901" customFormat="1" ht="13.2">
      <c r="A2446">
        <v>3</v>
      </c>
      <c r="B2446" s="901" t="s">
        <v>141</v>
      </c>
      <c r="D2446" s="901" t="s">
        <v>3720</v>
      </c>
      <c r="G2446" s="941" t="s">
        <v>3721</v>
      </c>
      <c r="H2446" s="942">
        <v>501</v>
      </c>
      <c r="I2446" s="901" t="s">
        <v>2607</v>
      </c>
      <c r="K2446" s="901" t="s">
        <v>3722</v>
      </c>
      <c r="O2446" s="943">
        <v>1</v>
      </c>
      <c r="P2446" s="944">
        <v>38136</v>
      </c>
      <c r="Q2446" s="945">
        <v>10</v>
      </c>
      <c r="R2446" s="946">
        <f t="shared" si="98"/>
        <v>30</v>
      </c>
      <c r="S2446" s="945">
        <v>0.5</v>
      </c>
      <c r="T2446" s="947">
        <f t="shared" si="99"/>
        <v>1.35</v>
      </c>
      <c r="AR2446">
        <v>3</v>
      </c>
    </row>
    <row r="2447" spans="1:45" s="901" customFormat="1" ht="13.2">
      <c r="A2447">
        <v>3</v>
      </c>
      <c r="B2447" s="901" t="s">
        <v>141</v>
      </c>
      <c r="D2447" s="901" t="s">
        <v>2745</v>
      </c>
      <c r="G2447" s="941" t="s">
        <v>2746</v>
      </c>
      <c r="H2447" s="942">
        <v>875</v>
      </c>
      <c r="I2447" s="901" t="s">
        <v>2607</v>
      </c>
      <c r="K2447" s="901" t="s">
        <v>2747</v>
      </c>
      <c r="O2447" s="943">
        <v>3</v>
      </c>
      <c r="P2447" s="944">
        <v>34820</v>
      </c>
      <c r="Q2447" s="945">
        <v>5</v>
      </c>
      <c r="R2447" s="946">
        <f t="shared" si="98"/>
        <v>15</v>
      </c>
      <c r="S2447" s="945">
        <v>0.05</v>
      </c>
      <c r="T2447" s="947">
        <f t="shared" si="99"/>
        <v>0.13500000000000004</v>
      </c>
      <c r="AR2447">
        <v>3</v>
      </c>
    </row>
    <row r="2448" spans="1:45" s="901" customFormat="1" ht="11.4">
      <c r="A2448" s="51">
        <v>3</v>
      </c>
      <c r="B2448" s="1084" t="s">
        <v>863</v>
      </c>
      <c r="C2448" s="1084"/>
      <c r="D2448" s="1084" t="s">
        <v>2752</v>
      </c>
      <c r="E2448" s="1084" t="s">
        <v>3712</v>
      </c>
      <c r="F2448" s="1084" t="s">
        <v>3326</v>
      </c>
      <c r="G2448" s="1091" t="s">
        <v>2754</v>
      </c>
      <c r="H2448" s="1092">
        <v>962</v>
      </c>
      <c r="I2448" s="1084" t="s">
        <v>2596</v>
      </c>
      <c r="J2448" s="1084"/>
      <c r="K2448" s="1084"/>
      <c r="L2448" s="1084"/>
      <c r="M2448" s="1084"/>
      <c r="N2448" s="1084"/>
      <c r="O2448" s="1093">
        <v>2</v>
      </c>
      <c r="P2448" s="1094">
        <v>38129</v>
      </c>
      <c r="Q2448" s="945">
        <f>0.41 *(1 *(2/8*120))</f>
        <v>12.299999999999999</v>
      </c>
      <c r="R2448" s="1096">
        <f t="shared" si="98"/>
        <v>36.9</v>
      </c>
      <c r="S2448" s="1095"/>
      <c r="T2448" s="1097">
        <f t="shared" si="99"/>
        <v>0</v>
      </c>
      <c r="AR2448" s="51">
        <v>3</v>
      </c>
      <c r="AS2448" s="1084" t="s">
        <v>3326</v>
      </c>
    </row>
    <row r="2449" spans="1:45" s="901" customFormat="1" ht="11.4">
      <c r="A2449" s="51">
        <v>3</v>
      </c>
      <c r="B2449" s="901" t="s">
        <v>2755</v>
      </c>
      <c r="D2449" s="901" t="s">
        <v>3325</v>
      </c>
      <c r="F2449" s="901" t="s">
        <v>3666</v>
      </c>
      <c r="G2449" s="941" t="s">
        <v>3324</v>
      </c>
      <c r="H2449" s="942">
        <v>845</v>
      </c>
      <c r="I2449" s="901" t="s">
        <v>2607</v>
      </c>
      <c r="O2449" s="943">
        <v>3</v>
      </c>
      <c r="P2449" s="944">
        <v>39713</v>
      </c>
      <c r="Q2449" s="945">
        <f>0.41 *(2/8*25)</f>
        <v>2.5625</v>
      </c>
      <c r="R2449" s="946">
        <f t="shared" si="98"/>
        <v>7.6875</v>
      </c>
      <c r="S2449" s="945"/>
      <c r="T2449" s="947">
        <f t="shared" si="99"/>
        <v>0</v>
      </c>
      <c r="AR2449" s="51">
        <v>3</v>
      </c>
      <c r="AS2449" s="901" t="s">
        <v>3666</v>
      </c>
    </row>
    <row r="2450" spans="1:45" s="520" customFormat="1" ht="12">
      <c r="A2450" s="758"/>
      <c r="B2450" s="758"/>
      <c r="C2450" s="758"/>
      <c r="D2450" s="758"/>
      <c r="E2450" s="758"/>
      <c r="F2450" s="753"/>
      <c r="G2450" s="758"/>
      <c r="H2450" s="758"/>
      <c r="I2450" s="519"/>
      <c r="J2450" s="758"/>
      <c r="K2450" s="758"/>
      <c r="L2450" s="758"/>
      <c r="M2450" s="758"/>
      <c r="N2450" s="758"/>
      <c r="O2450" s="758"/>
      <c r="P2450" s="758"/>
      <c r="Q2450" s="519"/>
      <c r="R2450" s="759">
        <f t="shared" si="98"/>
        <v>0</v>
      </c>
      <c r="S2450" s="519"/>
      <c r="T2450" s="760">
        <f t="shared" si="99"/>
        <v>0</v>
      </c>
      <c r="AR2450" s="758"/>
      <c r="AS2450" s="753"/>
    </row>
    <row r="2451" spans="1:45" s="520" customFormat="1" ht="12.6" thickBot="1">
      <c r="A2451" s="761" t="s">
        <v>145</v>
      </c>
      <c r="B2451" s="762">
        <f>(R2450+T2450)</f>
        <v>0</v>
      </c>
      <c r="C2451" s="763"/>
      <c r="D2451" s="763"/>
      <c r="E2451" s="763"/>
      <c r="F2451" s="764"/>
      <c r="G2451" s="763" t="s">
        <v>146</v>
      </c>
      <c r="H2451" s="763"/>
      <c r="I2451" s="765"/>
      <c r="J2451" s="763"/>
      <c r="K2451" s="763" t="s">
        <v>3</v>
      </c>
      <c r="L2451" s="766" t="s">
        <v>143</v>
      </c>
      <c r="M2451" s="766"/>
      <c r="N2451" s="766"/>
      <c r="O2451" s="766"/>
      <c r="P2451" s="766"/>
      <c r="Q2451" s="767"/>
      <c r="R2451" s="768">
        <f>SUM(R2444:R2450)</f>
        <v>1139.5875000000001</v>
      </c>
      <c r="S2451" s="763"/>
      <c r="T2451" s="768">
        <f>SUM(T2444:T2450)</f>
        <v>4.1850000000000005</v>
      </c>
      <c r="U2451" s="531"/>
      <c r="V2451" s="531"/>
      <c r="W2451" s="531"/>
      <c r="X2451" s="531"/>
      <c r="Y2451" s="531"/>
      <c r="Z2451" s="531"/>
      <c r="AA2451" s="531"/>
      <c r="AB2451" s="531"/>
      <c r="AC2451" s="531"/>
      <c r="AD2451" s="531"/>
      <c r="AE2451" s="531"/>
      <c r="AF2451" s="531"/>
      <c r="AG2451" s="531"/>
      <c r="AH2451" s="531"/>
      <c r="AI2451" s="531"/>
      <c r="AJ2451" s="531"/>
      <c r="AK2451" s="531"/>
      <c r="AL2451" s="531"/>
      <c r="AM2451" s="531"/>
      <c r="AN2451" s="531"/>
      <c r="AO2451" s="531"/>
      <c r="AR2451" s="761" t="s">
        <v>145</v>
      </c>
      <c r="AS2451" s="764"/>
    </row>
    <row r="2452" spans="1:45" s="520" customFormat="1" thickTop="1">
      <c r="A2452" s="51"/>
      <c r="B2452" s="51"/>
      <c r="C2452" s="3"/>
      <c r="D2452" s="3"/>
      <c r="E2452" s="51"/>
      <c r="F2452" s="51"/>
      <c r="G2452" s="51"/>
      <c r="H2452" s="51"/>
      <c r="I2452" s="51"/>
      <c r="J2452" s="51"/>
      <c r="K2452" s="51" t="s">
        <v>134</v>
      </c>
      <c r="L2452" s="51"/>
      <c r="M2452" s="51"/>
      <c r="N2452" s="51"/>
      <c r="O2452" s="52"/>
      <c r="P2452" s="51"/>
      <c r="Q2452" s="51"/>
      <c r="R2452" s="51"/>
      <c r="S2452" s="51"/>
      <c r="T2452" s="51"/>
      <c r="AR2452" s="51"/>
      <c r="AS2452" s="51"/>
    </row>
    <row r="2453" spans="1:45" s="520" customFormat="1" ht="12">
      <c r="A2453" s="51"/>
      <c r="B2453" s="51"/>
      <c r="C2453" s="51" t="s">
        <v>135</v>
      </c>
      <c r="D2453" s="37"/>
      <c r="E2453" s="51"/>
      <c r="F2453" s="51"/>
      <c r="G2453" s="51"/>
      <c r="H2453" s="51"/>
      <c r="I2453" s="51"/>
      <c r="J2453" s="51"/>
      <c r="K2453" s="51"/>
      <c r="L2453" s="51"/>
      <c r="M2453" s="51"/>
      <c r="N2453" s="51"/>
      <c r="O2453" s="52"/>
      <c r="P2453" s="51"/>
      <c r="Q2453" s="51"/>
      <c r="R2453" s="51"/>
      <c r="S2453" s="51"/>
      <c r="T2453" s="51"/>
      <c r="AR2453" s="51"/>
      <c r="AS2453" s="51"/>
    </row>
    <row r="2454" spans="1:45" s="520" customFormat="1" ht="39.9" customHeight="1">
      <c r="A2454" s="51"/>
      <c r="B2454" s="51"/>
      <c r="C2454" s="51"/>
      <c r="D2454" s="1453" t="s">
        <v>498</v>
      </c>
      <c r="E2454" s="1452"/>
      <c r="F2454" s="1452"/>
      <c r="G2454" s="1452"/>
      <c r="H2454" s="1452"/>
      <c r="I2454" s="1452"/>
      <c r="J2454" s="1452"/>
      <c r="K2454" s="1452"/>
      <c r="L2454" s="1452"/>
      <c r="M2454" s="1452"/>
      <c r="N2454" s="1452"/>
      <c r="O2454" s="1452"/>
      <c r="P2454" s="1452"/>
      <c r="Q2454" s="1452"/>
      <c r="R2454" s="1452"/>
      <c r="S2454" s="1452"/>
      <c r="T2454" s="1452"/>
      <c r="AR2454" s="51"/>
    </row>
    <row r="2455" spans="1:45" s="3" customFormat="1" thickBot="1">
      <c r="A2455" s="531"/>
      <c r="O2455" s="107"/>
      <c r="AR2455" s="531"/>
    </row>
    <row r="2456" spans="1:45" s="520" customFormat="1" thickTop="1">
      <c r="A2456" s="51"/>
      <c r="B2456" s="51"/>
      <c r="C2456" s="3"/>
      <c r="D2456" s="3"/>
      <c r="E2456" s="51"/>
      <c r="F2456" s="51"/>
      <c r="G2456" s="51"/>
      <c r="H2456" s="51"/>
      <c r="I2456" s="51"/>
      <c r="J2456" s="51"/>
      <c r="K2456" s="51" t="s">
        <v>134</v>
      </c>
      <c r="L2456" s="51"/>
      <c r="M2456" s="51"/>
      <c r="N2456" s="51"/>
      <c r="O2456" s="52"/>
      <c r="P2456" s="51"/>
      <c r="Q2456" s="51"/>
      <c r="R2456" s="51"/>
      <c r="S2456" s="51"/>
      <c r="T2456" s="51"/>
      <c r="AR2456" s="51"/>
      <c r="AS2456" s="51"/>
    </row>
    <row r="2457" spans="1:45" s="520" customFormat="1" ht="12">
      <c r="A2457" s="51"/>
      <c r="B2457" s="51"/>
      <c r="C2457" s="51" t="s">
        <v>135</v>
      </c>
      <c r="D2457" s="37"/>
      <c r="E2457" s="51"/>
      <c r="F2457" s="51"/>
      <c r="G2457" s="51"/>
      <c r="H2457" s="51"/>
      <c r="I2457" s="51"/>
      <c r="J2457" s="51"/>
      <c r="K2457" s="51"/>
      <c r="L2457" s="51"/>
      <c r="M2457" s="51"/>
      <c r="N2457" s="51"/>
      <c r="O2457" s="52"/>
      <c r="P2457" s="51"/>
      <c r="Q2457" s="51"/>
      <c r="R2457" s="51"/>
      <c r="S2457" s="51"/>
      <c r="T2457" s="51"/>
      <c r="AR2457" s="51"/>
      <c r="AS2457" s="51"/>
    </row>
    <row r="2458" spans="1:45" s="520" customFormat="1" ht="12">
      <c r="A2458" s="51"/>
      <c r="B2458" s="51"/>
      <c r="C2458" s="51"/>
      <c r="D2458" s="37" t="s">
        <v>698</v>
      </c>
      <c r="E2458" s="51"/>
      <c r="F2458" s="51"/>
      <c r="G2458" s="51"/>
      <c r="H2458" s="51"/>
      <c r="I2458" s="51"/>
      <c r="J2458" s="51"/>
      <c r="K2458" s="51"/>
      <c r="L2458" s="51"/>
      <c r="M2458" s="51"/>
      <c r="N2458" s="51"/>
      <c r="O2458" s="52"/>
      <c r="P2458" s="51"/>
      <c r="Q2458" s="51"/>
      <c r="R2458" s="51"/>
      <c r="S2458" s="38"/>
      <c r="T2458" s="38"/>
      <c r="AR2458" s="51"/>
      <c r="AS2458" s="51"/>
    </row>
    <row r="2459" spans="1:45" s="3" customFormat="1" thickBot="1">
      <c r="A2459" s="531"/>
      <c r="O2459" s="107"/>
      <c r="AR2459" s="531"/>
    </row>
    <row r="2460" spans="1:45" s="520" customFormat="1" ht="12" thickTop="1">
      <c r="A2460" s="51"/>
      <c r="B2460" s="41"/>
      <c r="C2460" s="51"/>
      <c r="E2460" s="42" t="s">
        <v>138</v>
      </c>
      <c r="F2460" s="42" t="s">
        <v>139</v>
      </c>
      <c r="G2460" s="51"/>
      <c r="H2460" s="51"/>
      <c r="I2460" s="51"/>
      <c r="J2460" s="51"/>
      <c r="K2460" s="51" t="s">
        <v>140</v>
      </c>
      <c r="L2460" s="51"/>
      <c r="M2460" s="51"/>
      <c r="N2460" s="51"/>
      <c r="O2460" s="52"/>
      <c r="P2460" s="51"/>
      <c r="Q2460" s="51"/>
      <c r="R2460" s="51"/>
      <c r="S2460" s="51"/>
      <c r="T2460" s="41"/>
      <c r="AG2460" s="521" t="s">
        <v>268</v>
      </c>
      <c r="AH2460" s="521" t="s">
        <v>269</v>
      </c>
      <c r="AI2460" s="521" t="s">
        <v>270</v>
      </c>
      <c r="AJ2460" s="521" t="s">
        <v>271</v>
      </c>
      <c r="AK2460" s="521" t="s">
        <v>272</v>
      </c>
      <c r="AM2460" s="745" t="s">
        <v>281</v>
      </c>
      <c r="AN2460" s="746" t="s">
        <v>282</v>
      </c>
      <c r="AO2460" s="522" t="s">
        <v>278</v>
      </c>
      <c r="AR2460" s="51"/>
      <c r="AS2460" s="42" t="s">
        <v>139</v>
      </c>
    </row>
    <row r="2461" spans="1:45" s="520" customFormat="1" ht="12" customHeight="1">
      <c r="A2461" s="747">
        <v>20</v>
      </c>
      <c r="B2461" s="523" t="s">
        <v>320</v>
      </c>
      <c r="C2461" s="748"/>
      <c r="D2461" s="749" t="s">
        <v>1517</v>
      </c>
      <c r="E2461" s="750">
        <f ca="1">IF(AND($A2461=0,$A$1="DIF"),0, ROUND(ROUND(($R2466*$S$2+($T2466*$T$2))/A2461,2)*$C$2,2))</f>
        <v>8.18</v>
      </c>
      <c r="F2461" s="751">
        <f ca="1">ROUND($A2461*$E2461,2)</f>
        <v>163.6</v>
      </c>
      <c r="G2461" s="752" t="s">
        <v>142</v>
      </c>
      <c r="H2461" s="753"/>
      <c r="I2461" s="754"/>
      <c r="J2461" s="753"/>
      <c r="K2461" s="753" t="s">
        <v>3</v>
      </c>
      <c r="L2461" s="755" t="s">
        <v>143</v>
      </c>
      <c r="M2461" s="755"/>
      <c r="N2461" s="755"/>
      <c r="O2461" s="755"/>
      <c r="P2461" s="755"/>
      <c r="Q2461" s="51"/>
      <c r="T2461" s="756" t="str">
        <f ca="1">IF(AND($R2466=0,$T2466=0),"0.00","mu :" &amp; ROUND($F2461/$C$2/($R2466+$T2466*$D$9),2))</f>
        <v>mu :1.23</v>
      </c>
      <c r="W2461" s="524"/>
      <c r="AG2461" s="481">
        <f ca="1">IF($E2461=0,0,ROUND($R2466*$S$2*$C$2/$A2461,2))</f>
        <v>5.13</v>
      </c>
      <c r="AH2461" s="481">
        <f ca="1">$AG2461*$A2461</f>
        <v>102.6</v>
      </c>
      <c r="AI2461" s="525">
        <f ca="1">$E2461-$AG2461</f>
        <v>3.05</v>
      </c>
      <c r="AJ2461" s="525">
        <f ca="1">$A2461*$AI2461</f>
        <v>61</v>
      </c>
      <c r="AK2461" s="526">
        <f ca="1">ROUND(($AG2461+$AI2461)*$A2461,2)</f>
        <v>163.6</v>
      </c>
      <c r="AM2461" s="527">
        <f ca="1">ROUND(R2466,2)</f>
        <v>83.4</v>
      </c>
      <c r="AN2461" s="528">
        <f ca="1">ROUND(T2466,2)</f>
        <v>1.8</v>
      </c>
      <c r="AO2461" s="529">
        <f ca="1">ROUND(AM2461+AN2461,2)*A2461</f>
        <v>1704</v>
      </c>
      <c r="AR2461" s="747">
        <v>20</v>
      </c>
      <c r="AS2461" s="751">
        <v>170.4</v>
      </c>
    </row>
    <row r="2462" spans="1:45" s="520" customFormat="1" ht="13.2">
      <c r="A2462" s="748"/>
      <c r="B2462"/>
      <c r="C2462" s="748"/>
      <c r="D2462" s="749" t="s">
        <v>1518</v>
      </c>
      <c r="F2462" s="753"/>
      <c r="G2462" s="3"/>
      <c r="H2462" s="753"/>
      <c r="I2462" s="754"/>
      <c r="J2462" s="753"/>
      <c r="K2462" s="753" t="s">
        <v>144</v>
      </c>
      <c r="L2462" s="753"/>
      <c r="M2462" s="753"/>
      <c r="N2462" s="753"/>
      <c r="O2462" s="753"/>
      <c r="P2462" s="753"/>
      <c r="Q2462" s="51"/>
      <c r="R2462" s="530"/>
      <c r="S2462" s="757"/>
      <c r="T2462" s="753"/>
      <c r="AR2462" s="748"/>
      <c r="AS2462" s="753"/>
    </row>
    <row r="2463" spans="1:45" s="886" customFormat="1" ht="13.2">
      <c r="A2463"/>
      <c r="B2463" s="910"/>
      <c r="C2463" s="910" t="s">
        <v>2597</v>
      </c>
      <c r="D2463" s="910" t="str">
        <f ca="1">CELL("Address",Elec_Rates!D$468)</f>
        <v>[E25_0062_Quintano_Foods_Elec_ELV_As_Awarded.xlsx]Elec_Rates!$D$468</v>
      </c>
      <c r="E2463" s="911"/>
      <c r="F2463" s="911"/>
      <c r="G2463" s="912" t="s">
        <v>2598</v>
      </c>
      <c r="H2463" s="912"/>
      <c r="I2463" s="912"/>
      <c r="J2463" s="912"/>
      <c r="K2463" s="913"/>
      <c r="L2463" s="911"/>
      <c r="M2463" s="911"/>
      <c r="N2463" s="911"/>
      <c r="O2463" s="914"/>
      <c r="P2463" s="911"/>
      <c r="Q2463" s="915"/>
      <c r="R2463" s="916"/>
      <c r="S2463" s="915"/>
      <c r="T2463" s="917"/>
      <c r="U2463" s="918"/>
      <c r="AR2463"/>
      <c r="AS2463" s="911"/>
    </row>
    <row r="2464" spans="1:45" s="886" customFormat="1" ht="11.4">
      <c r="A2464" s="919">
        <v>20</v>
      </c>
      <c r="B2464" s="920">
        <v>1</v>
      </c>
      <c r="C2464" s="920">
        <f>$A2464*$B2464</f>
        <v>20</v>
      </c>
      <c r="D2464" s="921" t="str">
        <f>Elec_Rates!$D$468</f>
        <v>045# 5 x 4mm2 XLPE/SWA/LSZH</v>
      </c>
      <c r="E2464" s="921"/>
      <c r="F2464" s="921" t="s">
        <v>2599</v>
      </c>
      <c r="G2464" s="922" t="s">
        <v>2601</v>
      </c>
      <c r="H2464" s="922"/>
      <c r="I2464" s="922"/>
      <c r="J2464" s="922"/>
      <c r="K2464" s="923"/>
      <c r="L2464" s="918"/>
      <c r="M2464" s="918"/>
      <c r="N2464" s="918"/>
      <c r="O2464" s="924"/>
      <c r="P2464" s="921"/>
      <c r="Q2464" s="925">
        <f ca="1">$B2464*Elec_Rates!$R$468</f>
        <v>4.17</v>
      </c>
      <c r="R2464" s="916">
        <f ca="1">$A2464*Q2464</f>
        <v>83.4</v>
      </c>
      <c r="S2464" s="925">
        <f ca="1">$B2464*Elec_Rates!$T$468</f>
        <v>0.09</v>
      </c>
      <c r="T2464" s="917">
        <f ca="1">$A2464*S2464</f>
        <v>1.7999999999999998</v>
      </c>
      <c r="U2464" s="926"/>
      <c r="AR2464" s="919">
        <v>20</v>
      </c>
      <c r="AS2464" s="921" t="s">
        <v>2599</v>
      </c>
    </row>
    <row r="2465" spans="1:45" s="520" customFormat="1" ht="12">
      <c r="A2465" s="758"/>
      <c r="B2465" s="758"/>
      <c r="C2465" s="758"/>
      <c r="D2465" s="758"/>
      <c r="E2465" s="758"/>
      <c r="F2465" s="753"/>
      <c r="G2465" s="758"/>
      <c r="H2465" s="758"/>
      <c r="I2465" s="519"/>
      <c r="J2465" s="758"/>
      <c r="K2465" s="758"/>
      <c r="L2465" s="758"/>
      <c r="M2465" s="758"/>
      <c r="N2465" s="758"/>
      <c r="O2465" s="758"/>
      <c r="P2465" s="758"/>
      <c r="Q2465" s="519"/>
      <c r="R2465" s="759">
        <f>$A2465*Q2465</f>
        <v>0</v>
      </c>
      <c r="S2465" s="519"/>
      <c r="T2465" s="760">
        <f>$A2465*S2465*$T$1</f>
        <v>0</v>
      </c>
      <c r="AR2465" s="758"/>
      <c r="AS2465" s="753"/>
    </row>
    <row r="2466" spans="1:45" s="520" customFormat="1" ht="12.6" thickBot="1">
      <c r="A2466" s="761" t="s">
        <v>145</v>
      </c>
      <c r="B2466" s="762">
        <f>(R2465+T2465)</f>
        <v>0</v>
      </c>
      <c r="C2466" s="763"/>
      <c r="D2466" s="763"/>
      <c r="E2466" s="763"/>
      <c r="F2466" s="764"/>
      <c r="G2466" s="763" t="s">
        <v>146</v>
      </c>
      <c r="H2466" s="763"/>
      <c r="I2466" s="765"/>
      <c r="J2466" s="763"/>
      <c r="K2466" s="763" t="s">
        <v>3</v>
      </c>
      <c r="L2466" s="766" t="s">
        <v>143</v>
      </c>
      <c r="M2466" s="766"/>
      <c r="N2466" s="766"/>
      <c r="O2466" s="766"/>
      <c r="P2466" s="766"/>
      <c r="Q2466" s="767"/>
      <c r="R2466" s="768">
        <f ca="1">SUM(R2462:R2465)</f>
        <v>83.4</v>
      </c>
      <c r="S2466" s="763"/>
      <c r="T2466" s="768">
        <f ca="1">SUM(T2462:T2465)</f>
        <v>1.7999999999999998</v>
      </c>
      <c r="U2466" s="531"/>
      <c r="V2466" s="531"/>
      <c r="W2466" s="531"/>
      <c r="X2466" s="531"/>
      <c r="Y2466" s="531"/>
      <c r="Z2466" s="531"/>
      <c r="AA2466" s="531"/>
      <c r="AB2466" s="531"/>
      <c r="AC2466" s="531"/>
      <c r="AD2466" s="531"/>
      <c r="AE2466" s="531"/>
      <c r="AF2466" s="531"/>
      <c r="AG2466" s="531"/>
      <c r="AH2466" s="531"/>
      <c r="AI2466" s="531"/>
      <c r="AJ2466" s="531"/>
      <c r="AK2466" s="531"/>
      <c r="AL2466" s="531"/>
      <c r="AM2466" s="531"/>
      <c r="AN2466" s="531"/>
      <c r="AO2466" s="531"/>
      <c r="AR2466" s="761" t="s">
        <v>145</v>
      </c>
      <c r="AS2466" s="764"/>
    </row>
    <row r="2467" spans="1:45" s="520" customFormat="1" ht="12" thickTop="1">
      <c r="A2467" s="51"/>
      <c r="B2467" s="41"/>
      <c r="C2467" s="51"/>
      <c r="E2467" s="42" t="s">
        <v>138</v>
      </c>
      <c r="F2467" s="42" t="s">
        <v>139</v>
      </c>
      <c r="G2467" s="51"/>
      <c r="H2467" s="51"/>
      <c r="I2467" s="51"/>
      <c r="J2467" s="51"/>
      <c r="K2467" s="51" t="s">
        <v>140</v>
      </c>
      <c r="L2467" s="51"/>
      <c r="M2467" s="51"/>
      <c r="N2467" s="51"/>
      <c r="O2467" s="52"/>
      <c r="P2467" s="51"/>
      <c r="Q2467" s="51"/>
      <c r="R2467" s="51"/>
      <c r="S2467" s="51"/>
      <c r="T2467" s="41"/>
      <c r="AG2467" s="521" t="s">
        <v>268</v>
      </c>
      <c r="AH2467" s="521" t="s">
        <v>269</v>
      </c>
      <c r="AI2467" s="521" t="s">
        <v>270</v>
      </c>
      <c r="AJ2467" s="521" t="s">
        <v>271</v>
      </c>
      <c r="AK2467" s="521" t="s">
        <v>272</v>
      </c>
      <c r="AM2467" s="745" t="s">
        <v>281</v>
      </c>
      <c r="AN2467" s="746" t="s">
        <v>282</v>
      </c>
      <c r="AO2467" s="522" t="s">
        <v>278</v>
      </c>
      <c r="AR2467" s="51"/>
      <c r="AS2467" s="42" t="s">
        <v>139</v>
      </c>
    </row>
    <row r="2468" spans="1:45" s="520" customFormat="1" ht="12" customHeight="1">
      <c r="A2468" s="747">
        <v>25</v>
      </c>
      <c r="B2468" s="523" t="s">
        <v>320</v>
      </c>
      <c r="C2468" s="748"/>
      <c r="D2468" s="749" t="s">
        <v>1519</v>
      </c>
      <c r="E2468" s="750">
        <f ca="1">IF(AND($A2468=0,$A$1="DIF"),0, ROUND(ROUND(($R2473*$S$2+($T2473*$T$2))/A2468,2)*$C$2,2))</f>
        <v>8.18</v>
      </c>
      <c r="F2468" s="751">
        <f ca="1">ROUND($A2468*$E2468,2)</f>
        <v>204.5</v>
      </c>
      <c r="G2468" s="752" t="s">
        <v>142</v>
      </c>
      <c r="H2468" s="753"/>
      <c r="I2468" s="754"/>
      <c r="J2468" s="753"/>
      <c r="K2468" s="753" t="s">
        <v>3</v>
      </c>
      <c r="L2468" s="755" t="s">
        <v>143</v>
      </c>
      <c r="M2468" s="755"/>
      <c r="N2468" s="755"/>
      <c r="O2468" s="755"/>
      <c r="P2468" s="755"/>
      <c r="Q2468" s="51"/>
      <c r="T2468" s="756" t="str">
        <f ca="1">IF(AND($R2473=0,$T2473=0),"0.00","mu :" &amp; ROUND($F2468/$C$2/($R2473+$T2473*$D$9),2))</f>
        <v>mu :1.23</v>
      </c>
      <c r="W2468" s="524"/>
      <c r="AG2468" s="481">
        <f ca="1">IF($E2468=0,0,ROUND($R2473*$S$2*$C$2/$A2468,2))</f>
        <v>5.13</v>
      </c>
      <c r="AH2468" s="481">
        <f ca="1">$AG2468*$A2468</f>
        <v>128.25</v>
      </c>
      <c r="AI2468" s="525">
        <f ca="1">$E2468-$AG2468</f>
        <v>3.05</v>
      </c>
      <c r="AJ2468" s="525">
        <f ca="1">$A2468*$AI2468</f>
        <v>76.25</v>
      </c>
      <c r="AK2468" s="526">
        <f ca="1">ROUND(($AG2468+$AI2468)*$A2468,2)</f>
        <v>204.5</v>
      </c>
      <c r="AM2468" s="527">
        <f ca="1">ROUND(R2473,2)</f>
        <v>104.25</v>
      </c>
      <c r="AN2468" s="528">
        <f ca="1">ROUND(T2473,2)</f>
        <v>2.25</v>
      </c>
      <c r="AO2468" s="529">
        <f ca="1">ROUND(AM2468+AN2468,2)*A2468</f>
        <v>2662.5</v>
      </c>
      <c r="AR2468" s="747">
        <v>25</v>
      </c>
      <c r="AS2468" s="751">
        <v>213</v>
      </c>
    </row>
    <row r="2469" spans="1:45" s="520" customFormat="1" ht="13.2">
      <c r="A2469" s="748"/>
      <c r="B2469"/>
      <c r="C2469" s="748"/>
      <c r="D2469" s="749" t="s">
        <v>1520</v>
      </c>
      <c r="F2469" s="753"/>
      <c r="G2469" s="3"/>
      <c r="H2469" s="753"/>
      <c r="I2469" s="754"/>
      <c r="J2469" s="753"/>
      <c r="K2469" s="753" t="s">
        <v>144</v>
      </c>
      <c r="L2469" s="753"/>
      <c r="M2469" s="753"/>
      <c r="N2469" s="753"/>
      <c r="O2469" s="753"/>
      <c r="P2469" s="753"/>
      <c r="Q2469" s="51"/>
      <c r="R2469" s="530"/>
      <c r="S2469" s="757"/>
      <c r="T2469" s="753"/>
      <c r="AR2469" s="748"/>
      <c r="AS2469" s="753"/>
    </row>
    <row r="2470" spans="1:45" s="886" customFormat="1" ht="13.2">
      <c r="A2470"/>
      <c r="B2470" s="910"/>
      <c r="C2470" s="910" t="s">
        <v>2597</v>
      </c>
      <c r="D2470" s="910" t="str">
        <f ca="1">CELL("Address",Elec_Rates!D$468)</f>
        <v>[E25_0062_Quintano_Foods_Elec_ELV_As_Awarded.xlsx]Elec_Rates!$D$468</v>
      </c>
      <c r="E2470" s="911"/>
      <c r="F2470" s="911"/>
      <c r="G2470" s="912" t="s">
        <v>2598</v>
      </c>
      <c r="H2470" s="912"/>
      <c r="I2470" s="912"/>
      <c r="J2470" s="912"/>
      <c r="K2470" s="913"/>
      <c r="L2470" s="911"/>
      <c r="M2470" s="911"/>
      <c r="N2470" s="911"/>
      <c r="O2470" s="914"/>
      <c r="P2470" s="911"/>
      <c r="Q2470" s="915"/>
      <c r="R2470" s="916"/>
      <c r="S2470" s="915"/>
      <c r="T2470" s="917"/>
      <c r="U2470" s="918"/>
      <c r="AR2470"/>
      <c r="AS2470" s="911"/>
    </row>
    <row r="2471" spans="1:45" s="886" customFormat="1" ht="11.4">
      <c r="A2471" s="919">
        <v>25</v>
      </c>
      <c r="B2471" s="920">
        <v>1</v>
      </c>
      <c r="C2471" s="920">
        <f>$A2471*$B2471</f>
        <v>25</v>
      </c>
      <c r="D2471" s="921" t="str">
        <f>Elec_Rates!$D$468</f>
        <v>045# 5 x 4mm2 XLPE/SWA/LSZH</v>
      </c>
      <c r="E2471" s="921"/>
      <c r="F2471" s="921" t="s">
        <v>2599</v>
      </c>
      <c r="G2471" s="922" t="s">
        <v>2601</v>
      </c>
      <c r="H2471" s="922"/>
      <c r="I2471" s="922"/>
      <c r="J2471" s="922"/>
      <c r="K2471" s="923"/>
      <c r="L2471" s="918"/>
      <c r="M2471" s="918"/>
      <c r="N2471" s="918"/>
      <c r="O2471" s="924"/>
      <c r="P2471" s="921"/>
      <c r="Q2471" s="925">
        <f ca="1">$B2471*Elec_Rates!$R$468</f>
        <v>4.17</v>
      </c>
      <c r="R2471" s="916">
        <f ca="1">$A2471*Q2471</f>
        <v>104.25</v>
      </c>
      <c r="S2471" s="925">
        <f ca="1">$B2471*Elec_Rates!$T$468</f>
        <v>0.09</v>
      </c>
      <c r="T2471" s="917">
        <f ca="1">$A2471*S2471</f>
        <v>2.25</v>
      </c>
      <c r="U2471" s="926"/>
      <c r="AR2471" s="919">
        <v>25</v>
      </c>
      <c r="AS2471" s="921" t="s">
        <v>2599</v>
      </c>
    </row>
    <row r="2472" spans="1:45" s="520" customFormat="1" ht="12">
      <c r="A2472" s="758"/>
      <c r="B2472" s="758"/>
      <c r="C2472" s="758"/>
      <c r="D2472" s="758"/>
      <c r="E2472" s="758"/>
      <c r="F2472" s="753"/>
      <c r="G2472" s="758"/>
      <c r="H2472" s="758"/>
      <c r="I2472" s="519"/>
      <c r="J2472" s="758"/>
      <c r="K2472" s="758"/>
      <c r="L2472" s="758"/>
      <c r="M2472" s="758"/>
      <c r="N2472" s="758"/>
      <c r="O2472" s="758"/>
      <c r="P2472" s="758"/>
      <c r="Q2472" s="519"/>
      <c r="R2472" s="759">
        <f>$A2472*Q2472</f>
        <v>0</v>
      </c>
      <c r="S2472" s="519"/>
      <c r="T2472" s="760">
        <f>$A2472*S2472*$T$1</f>
        <v>0</v>
      </c>
      <c r="AR2472" s="758"/>
      <c r="AS2472" s="753"/>
    </row>
    <row r="2473" spans="1:45" s="520" customFormat="1" ht="12.6" thickBot="1">
      <c r="A2473" s="761" t="s">
        <v>145</v>
      </c>
      <c r="B2473" s="762">
        <f>(R2472+T2472)</f>
        <v>0</v>
      </c>
      <c r="C2473" s="763"/>
      <c r="D2473" s="763"/>
      <c r="E2473" s="763"/>
      <c r="F2473" s="764"/>
      <c r="G2473" s="763" t="s">
        <v>146</v>
      </c>
      <c r="H2473" s="763"/>
      <c r="I2473" s="765"/>
      <c r="J2473" s="763"/>
      <c r="K2473" s="763" t="s">
        <v>3</v>
      </c>
      <c r="L2473" s="766" t="s">
        <v>143</v>
      </c>
      <c r="M2473" s="766"/>
      <c r="N2473" s="766"/>
      <c r="O2473" s="766"/>
      <c r="P2473" s="766"/>
      <c r="Q2473" s="767"/>
      <c r="R2473" s="768">
        <f ca="1">SUM(R2469:R2472)</f>
        <v>104.25</v>
      </c>
      <c r="S2473" s="763"/>
      <c r="T2473" s="768">
        <f ca="1">SUM(T2469:T2472)</f>
        <v>2.25</v>
      </c>
      <c r="U2473" s="531"/>
      <c r="V2473" s="531"/>
      <c r="W2473" s="531"/>
      <c r="X2473" s="531"/>
      <c r="Y2473" s="531"/>
      <c r="Z2473" s="531"/>
      <c r="AA2473" s="531"/>
      <c r="AB2473" s="531"/>
      <c r="AC2473" s="531"/>
      <c r="AD2473" s="531"/>
      <c r="AE2473" s="531"/>
      <c r="AF2473" s="531"/>
      <c r="AG2473" s="531"/>
      <c r="AH2473" s="531"/>
      <c r="AI2473" s="531"/>
      <c r="AJ2473" s="531"/>
      <c r="AK2473" s="531"/>
      <c r="AL2473" s="531"/>
      <c r="AM2473" s="531"/>
      <c r="AN2473" s="531"/>
      <c r="AO2473" s="531"/>
      <c r="AR2473" s="761" t="s">
        <v>145</v>
      </c>
      <c r="AS2473" s="764"/>
    </row>
    <row r="2474" spans="1:45" s="520" customFormat="1" thickTop="1">
      <c r="A2474" s="51"/>
      <c r="B2474" s="51"/>
      <c r="C2474" s="3"/>
      <c r="D2474" s="3"/>
      <c r="E2474" s="51"/>
      <c r="F2474" s="51"/>
      <c r="G2474" s="51"/>
      <c r="H2474" s="51"/>
      <c r="I2474" s="51"/>
      <c r="J2474" s="51"/>
      <c r="K2474" s="51" t="s">
        <v>134</v>
      </c>
      <c r="L2474" s="51"/>
      <c r="M2474" s="51"/>
      <c r="N2474" s="51"/>
      <c r="O2474" s="52"/>
      <c r="P2474" s="51"/>
      <c r="Q2474" s="51"/>
      <c r="R2474" s="51"/>
      <c r="S2474" s="51"/>
      <c r="T2474" s="51"/>
      <c r="AR2474" s="51"/>
      <c r="AS2474" s="51"/>
    </row>
    <row r="2475" spans="1:45" s="520" customFormat="1" ht="12">
      <c r="A2475" s="51"/>
      <c r="B2475" s="51"/>
      <c r="C2475" s="51" t="s">
        <v>135</v>
      </c>
      <c r="D2475" s="37"/>
      <c r="E2475" s="51"/>
      <c r="F2475" s="51"/>
      <c r="G2475" s="51"/>
      <c r="H2475" s="51"/>
      <c r="I2475" s="51"/>
      <c r="J2475" s="51"/>
      <c r="K2475" s="51"/>
      <c r="L2475" s="51"/>
      <c r="M2475" s="51"/>
      <c r="N2475" s="51"/>
      <c r="O2475" s="52"/>
      <c r="P2475" s="51"/>
      <c r="Q2475" s="51"/>
      <c r="R2475" s="51"/>
      <c r="S2475" s="51"/>
      <c r="T2475" s="51"/>
      <c r="AR2475" s="51"/>
      <c r="AS2475" s="51"/>
    </row>
    <row r="2476" spans="1:45" s="520" customFormat="1" ht="12">
      <c r="A2476" s="51"/>
      <c r="B2476" s="51"/>
      <c r="C2476" s="51"/>
      <c r="D2476" s="37" t="s">
        <v>463</v>
      </c>
      <c r="E2476" s="51"/>
      <c r="F2476" s="51"/>
      <c r="G2476" s="51"/>
      <c r="H2476" s="51"/>
      <c r="I2476" s="51"/>
      <c r="J2476" s="51"/>
      <c r="K2476" s="51"/>
      <c r="L2476" s="51"/>
      <c r="M2476" s="51"/>
      <c r="N2476" s="51"/>
      <c r="O2476" s="52"/>
      <c r="P2476" s="51"/>
      <c r="Q2476" s="51"/>
      <c r="R2476" s="51"/>
      <c r="S2476" s="38"/>
      <c r="T2476" s="38"/>
      <c r="AR2476" s="51"/>
      <c r="AS2476" s="51"/>
    </row>
    <row r="2477" spans="1:45" s="3" customFormat="1" thickBot="1">
      <c r="A2477" s="531"/>
      <c r="O2477" s="107"/>
      <c r="AR2477" s="531"/>
    </row>
    <row r="2478" spans="1:45" s="520" customFormat="1" ht="12" thickTop="1">
      <c r="A2478" s="51"/>
      <c r="B2478" s="41"/>
      <c r="C2478" s="51"/>
      <c r="E2478" s="42" t="s">
        <v>138</v>
      </c>
      <c r="F2478" s="42" t="s">
        <v>139</v>
      </c>
      <c r="G2478" s="51"/>
      <c r="H2478" s="51"/>
      <c r="I2478" s="51"/>
      <c r="J2478" s="51"/>
      <c r="K2478" s="51" t="s">
        <v>140</v>
      </c>
      <c r="L2478" s="51"/>
      <c r="M2478" s="51"/>
      <c r="N2478" s="51"/>
      <c r="O2478" s="52"/>
      <c r="P2478" s="51"/>
      <c r="Q2478" s="51"/>
      <c r="R2478" s="51"/>
      <c r="S2478" s="51"/>
      <c r="T2478" s="41"/>
      <c r="AG2478" s="521" t="s">
        <v>268</v>
      </c>
      <c r="AH2478" s="521" t="s">
        <v>269</v>
      </c>
      <c r="AI2478" s="521" t="s">
        <v>270</v>
      </c>
      <c r="AJ2478" s="521" t="s">
        <v>271</v>
      </c>
      <c r="AK2478" s="521" t="s">
        <v>272</v>
      </c>
      <c r="AM2478" s="745" t="s">
        <v>281</v>
      </c>
      <c r="AN2478" s="746" t="s">
        <v>282</v>
      </c>
      <c r="AO2478" s="522" t="s">
        <v>278</v>
      </c>
      <c r="AR2478" s="51"/>
      <c r="AS2478" s="42" t="s">
        <v>139</v>
      </c>
    </row>
    <row r="2479" spans="1:45" s="520" customFormat="1" ht="12" customHeight="1">
      <c r="A2479" s="747">
        <v>2</v>
      </c>
      <c r="B2479" s="523" t="s">
        <v>141</v>
      </c>
      <c r="C2479" s="748"/>
      <c r="D2479" s="749" t="s">
        <v>1521</v>
      </c>
      <c r="E2479" s="750">
        <f ca="1">IF(AND($A2479=0,$A$1="DIF"),0, ROUND(ROUND(($R2484*$S$2+($T2484*$T$2))/A2479,2)*$C$2,2))</f>
        <v>57.79</v>
      </c>
      <c r="F2479" s="751">
        <f ca="1">ROUND($A2479*$E2479,2)</f>
        <v>115.58</v>
      </c>
      <c r="G2479" s="752" t="s">
        <v>142</v>
      </c>
      <c r="H2479" s="753"/>
      <c r="I2479" s="754"/>
      <c r="J2479" s="753"/>
      <c r="K2479" s="753" t="s">
        <v>3</v>
      </c>
      <c r="L2479" s="755" t="s">
        <v>143</v>
      </c>
      <c r="M2479" s="755"/>
      <c r="N2479" s="755"/>
      <c r="O2479" s="755"/>
      <c r="P2479" s="755"/>
      <c r="Q2479" s="51"/>
      <c r="T2479" s="756" t="str">
        <f ca="1">IF(AND($R2484=0,$T2484=0),"0.00","mu :" &amp; ROUND($F2479/$C$2/($R2484+$T2484*$D$9),2))</f>
        <v>mu :1.23</v>
      </c>
      <c r="W2479" s="524"/>
      <c r="AG2479" s="481">
        <f ca="1">IF($E2479=0,0,ROUND($R2484*$S$2*$C$2/$A2479,2))</f>
        <v>33.44</v>
      </c>
      <c r="AH2479" s="481">
        <f ca="1">$AG2479*$A2479</f>
        <v>66.88</v>
      </c>
      <c r="AI2479" s="525">
        <f ca="1">$E2479-$AG2479</f>
        <v>24.35</v>
      </c>
      <c r="AJ2479" s="525">
        <f ca="1">$A2479*$AI2479</f>
        <v>48.7</v>
      </c>
      <c r="AK2479" s="526">
        <f ca="1">ROUND(($AG2479+$AI2479)*$A2479,2)</f>
        <v>115.58</v>
      </c>
      <c r="AM2479" s="527">
        <f ca="1">ROUND(R2484,2)</f>
        <v>54.32</v>
      </c>
      <c r="AN2479" s="528">
        <f ca="1">ROUND(T2484,2)</f>
        <v>1.44</v>
      </c>
      <c r="AO2479" s="529">
        <f ca="1">ROUND(AM2479+AN2479,2)*A2479</f>
        <v>111.52</v>
      </c>
      <c r="AR2479" s="747">
        <v>2</v>
      </c>
      <c r="AS2479" s="751">
        <v>120.98</v>
      </c>
    </row>
    <row r="2480" spans="1:45" s="520" customFormat="1" ht="13.2">
      <c r="A2480" s="748"/>
      <c r="B2480"/>
      <c r="C2480" s="748"/>
      <c r="D2480" s="749" t="s">
        <v>701</v>
      </c>
      <c r="F2480" s="753"/>
      <c r="G2480" s="3"/>
      <c r="H2480" s="753"/>
      <c r="I2480" s="754"/>
      <c r="J2480" s="753"/>
      <c r="K2480" s="753" t="s">
        <v>144</v>
      </c>
      <c r="L2480" s="753"/>
      <c r="M2480" s="753"/>
      <c r="N2480" s="753"/>
      <c r="O2480" s="753"/>
      <c r="P2480" s="753"/>
      <c r="Q2480" s="51"/>
      <c r="R2480" s="530"/>
      <c r="S2480" s="757"/>
      <c r="T2480" s="753"/>
      <c r="AR2480" s="748"/>
      <c r="AS2480" s="753"/>
    </row>
    <row r="2481" spans="1:45" s="886" customFormat="1" ht="13.2">
      <c r="A2481"/>
      <c r="B2481" s="910"/>
      <c r="C2481" s="910" t="s">
        <v>2597</v>
      </c>
      <c r="D2481" s="910" t="str">
        <f ca="1">CELL("Address",Elec_Rates!D$210)</f>
        <v>[E25_0062_Quintano_Foods_Elec_ELV_As_Awarded.xlsx]Elec_Rates!$D$210</v>
      </c>
      <c r="E2481" s="911"/>
      <c r="F2481" s="911"/>
      <c r="G2481" s="912" t="s">
        <v>2598</v>
      </c>
      <c r="H2481" s="912"/>
      <c r="I2481" s="912"/>
      <c r="J2481" s="912"/>
      <c r="K2481" s="913"/>
      <c r="L2481" s="911"/>
      <c r="M2481" s="911"/>
      <c r="N2481" s="911"/>
      <c r="O2481" s="914"/>
      <c r="P2481" s="911"/>
      <c r="Q2481" s="915"/>
      <c r="R2481" s="916"/>
      <c r="S2481" s="915"/>
      <c r="T2481" s="917"/>
      <c r="U2481" s="918"/>
      <c r="AR2481"/>
      <c r="AS2481" s="911"/>
    </row>
    <row r="2482" spans="1:45" s="886" customFormat="1" ht="11.4">
      <c r="A2482" s="919">
        <v>2</v>
      </c>
      <c r="B2482" s="920">
        <v>1</v>
      </c>
      <c r="C2482" s="920">
        <f>$A2482*$B2482</f>
        <v>2</v>
      </c>
      <c r="D2482" s="921" t="str">
        <f>Elec_Rates!$D$210</f>
        <v>020# 3-Phase 20/25/32A Isolator</v>
      </c>
      <c r="E2482" s="921"/>
      <c r="F2482" s="921" t="s">
        <v>2599</v>
      </c>
      <c r="G2482" s="922" t="s">
        <v>2601</v>
      </c>
      <c r="H2482" s="922"/>
      <c r="I2482" s="922"/>
      <c r="J2482" s="922"/>
      <c r="K2482" s="923"/>
      <c r="L2482" s="918"/>
      <c r="M2482" s="918"/>
      <c r="N2482" s="918"/>
      <c r="O2482" s="924"/>
      <c r="P2482" s="921"/>
      <c r="Q2482" s="925">
        <f ca="1">$B2482*Elec_Rates!$R$210</f>
        <v>27.16</v>
      </c>
      <c r="R2482" s="916">
        <f ca="1">$A2482*Q2482</f>
        <v>54.32</v>
      </c>
      <c r="S2482" s="925">
        <f ca="1">$B2482*Elec_Rates!$T$210</f>
        <v>0.72</v>
      </c>
      <c r="T2482" s="917">
        <f ca="1">$A2482*S2482</f>
        <v>1.44</v>
      </c>
      <c r="U2482" s="926"/>
      <c r="AR2482" s="919">
        <v>2</v>
      </c>
      <c r="AS2482" s="921" t="s">
        <v>2599</v>
      </c>
    </row>
    <row r="2483" spans="1:45" s="520" customFormat="1" ht="12">
      <c r="A2483" s="758"/>
      <c r="B2483" s="758"/>
      <c r="C2483" s="758"/>
      <c r="D2483" s="758"/>
      <c r="E2483" s="758"/>
      <c r="F2483" s="753"/>
      <c r="G2483" s="758"/>
      <c r="H2483" s="758"/>
      <c r="I2483" s="519"/>
      <c r="J2483" s="758"/>
      <c r="K2483" s="758"/>
      <c r="L2483" s="758"/>
      <c r="M2483" s="758"/>
      <c r="N2483" s="758"/>
      <c r="O2483" s="758"/>
      <c r="P2483" s="758"/>
      <c r="Q2483" s="519"/>
      <c r="R2483" s="759">
        <f>$A2483*Q2483</f>
        <v>0</v>
      </c>
      <c r="S2483" s="519"/>
      <c r="T2483" s="760">
        <f>$A2483*S2483*$T$1</f>
        <v>0</v>
      </c>
      <c r="AR2483" s="758"/>
      <c r="AS2483" s="753"/>
    </row>
    <row r="2484" spans="1:45" s="520" customFormat="1" ht="12.6" thickBot="1">
      <c r="A2484" s="761" t="s">
        <v>145</v>
      </c>
      <c r="B2484" s="762">
        <f>(R2483+T2483)</f>
        <v>0</v>
      </c>
      <c r="C2484" s="763"/>
      <c r="D2484" s="763"/>
      <c r="E2484" s="763"/>
      <c r="F2484" s="764"/>
      <c r="G2484" s="763" t="s">
        <v>146</v>
      </c>
      <c r="H2484" s="763"/>
      <c r="I2484" s="765"/>
      <c r="J2484" s="763"/>
      <c r="K2484" s="763" t="s">
        <v>3</v>
      </c>
      <c r="L2484" s="766" t="s">
        <v>143</v>
      </c>
      <c r="M2484" s="766"/>
      <c r="N2484" s="766"/>
      <c r="O2484" s="766"/>
      <c r="P2484" s="766"/>
      <c r="Q2484" s="767"/>
      <c r="R2484" s="768">
        <f ca="1">SUM(R2480:R2483)</f>
        <v>54.32</v>
      </c>
      <c r="S2484" s="763"/>
      <c r="T2484" s="768">
        <f ca="1">SUM(T2480:T2483)</f>
        <v>1.44</v>
      </c>
      <c r="U2484" s="531"/>
      <c r="V2484" s="531"/>
      <c r="W2484" s="531"/>
      <c r="X2484" s="531"/>
      <c r="Y2484" s="531"/>
      <c r="Z2484" s="531"/>
      <c r="AA2484" s="531"/>
      <c r="AB2484" s="531"/>
      <c r="AC2484" s="531"/>
      <c r="AD2484" s="531"/>
      <c r="AE2484" s="531"/>
      <c r="AF2484" s="531"/>
      <c r="AG2484" s="531"/>
      <c r="AH2484" s="531"/>
      <c r="AI2484" s="531"/>
      <c r="AJ2484" s="531"/>
      <c r="AK2484" s="531"/>
      <c r="AL2484" s="531"/>
      <c r="AM2484" s="531"/>
      <c r="AN2484" s="531"/>
      <c r="AO2484" s="531"/>
      <c r="AR2484" s="761" t="s">
        <v>145</v>
      </c>
      <c r="AS2484" s="764"/>
    </row>
    <row r="2485" spans="1:45" s="520" customFormat="1" ht="12" thickTop="1">
      <c r="A2485" s="48" t="s">
        <v>148</v>
      </c>
      <c r="D2485" s="13"/>
      <c r="E2485" s="42"/>
      <c r="O2485" s="771"/>
      <c r="AR2485" s="48" t="s">
        <v>148</v>
      </c>
    </row>
    <row r="2486" spans="1:45" s="520" customFormat="1" ht="13.2">
      <c r="B2486" s="3"/>
      <c r="O2486" s="771"/>
    </row>
    <row r="2487" spans="1:45" s="520" customFormat="1" ht="12">
      <c r="B2487" s="772">
        <f ca="1">$F2487/$C$2-($R2487*$S$2+$T2487*$T$2)</f>
        <v>4.3569743938860483E-3</v>
      </c>
      <c r="D2487" s="773" t="s">
        <v>4064</v>
      </c>
      <c r="E2487" s="774"/>
      <c r="F2487" s="775">
        <f ca="1">SUMIF($L2211:$L2485,"ITEM",F2211:F2485)</f>
        <v>32549.37</v>
      </c>
      <c r="G2487" s="758"/>
      <c r="H2487" s="758"/>
      <c r="I2487" s="519"/>
      <c r="J2487" s="758"/>
      <c r="K2487" s="758"/>
      <c r="L2487" s="755" t="s">
        <v>157</v>
      </c>
      <c r="M2487" s="755"/>
      <c r="N2487" s="755"/>
      <c r="O2487" s="755"/>
      <c r="P2487" s="755"/>
      <c r="R2487" s="775">
        <f ca="1">SUMIF($L2211:$L2485,"ITEM",R2211:R2485)</f>
        <v>22546.640000000003</v>
      </c>
      <c r="S2487" s="776"/>
      <c r="T2487" s="775">
        <f ca="1">SUMIF($L2211:$L2485,"ITEM",T2211:T2485)</f>
        <v>141.565</v>
      </c>
      <c r="AS2487" s="775">
        <v>33010.82</v>
      </c>
    </row>
    <row r="2488" spans="1:45" s="520" customFormat="1" ht="13.2">
      <c r="A2488" s="51"/>
      <c r="B2488" s="49" t="s">
        <v>1064</v>
      </c>
      <c r="C2488" s="51"/>
      <c r="D2488" s="3"/>
      <c r="F2488" s="777" t="s">
        <v>158</v>
      </c>
      <c r="G2488" s="758"/>
      <c r="H2488" s="758"/>
      <c r="I2488" s="519"/>
      <c r="J2488" s="758"/>
      <c r="K2488" s="758"/>
      <c r="L2488" s="758"/>
      <c r="M2488" s="758"/>
      <c r="N2488" s="758"/>
      <c r="O2488" s="758"/>
      <c r="P2488" s="758"/>
      <c r="Q2488" s="778"/>
      <c r="R2488" s="777" t="s">
        <v>159</v>
      </c>
      <c r="S2488" s="38"/>
      <c r="T2488" s="777" t="s">
        <v>160</v>
      </c>
      <c r="AR2488" s="51"/>
      <c r="AS2488" s="777" t="s">
        <v>158</v>
      </c>
    </row>
    <row r="2489" spans="1:45" s="520" customFormat="1" ht="13.2">
      <c r="A2489" s="758"/>
      <c r="B2489" s="3"/>
      <c r="C2489" s="758"/>
      <c r="D2489" s="3"/>
      <c r="E2489" s="3"/>
      <c r="G2489" s="3"/>
      <c r="H2489" s="3"/>
      <c r="I2489" s="3"/>
      <c r="J2489" s="3"/>
      <c r="K2489" s="3"/>
      <c r="L2489" s="3"/>
      <c r="M2489" s="3"/>
      <c r="N2489" s="3"/>
      <c r="O2489" s="107"/>
      <c r="P2489" s="3"/>
      <c r="Q2489" s="3"/>
      <c r="R2489" s="3"/>
      <c r="S2489" s="3"/>
      <c r="T2489" s="3"/>
      <c r="AR2489" s="758"/>
    </row>
    <row r="2490" spans="1:45" s="520" customFormat="1" ht="12" thickBot="1">
      <c r="A2490" s="531"/>
      <c r="B2490" s="763"/>
      <c r="C2490" s="763"/>
      <c r="D2490" s="531"/>
      <c r="E2490" s="39"/>
      <c r="F2490" s="779"/>
      <c r="G2490" s="763"/>
      <c r="H2490" s="763"/>
      <c r="I2490" s="765"/>
      <c r="J2490" s="763"/>
      <c r="K2490" s="763"/>
      <c r="L2490" s="766"/>
      <c r="M2490" s="766"/>
      <c r="N2490" s="766"/>
      <c r="O2490" s="766"/>
      <c r="P2490" s="766"/>
      <c r="Q2490" s="767"/>
      <c r="R2490" s="779"/>
      <c r="S2490" s="780"/>
      <c r="T2490" s="779"/>
      <c r="U2490" s="531"/>
      <c r="V2490" s="531"/>
      <c r="W2490" s="531"/>
      <c r="X2490" s="531"/>
      <c r="Y2490" s="531"/>
      <c r="Z2490" s="531"/>
      <c r="AA2490" s="531"/>
      <c r="AB2490" s="531"/>
      <c r="AC2490" s="531"/>
      <c r="AD2490" s="531"/>
      <c r="AE2490" s="531"/>
      <c r="AF2490" s="531"/>
      <c r="AG2490" s="531"/>
      <c r="AH2490" s="531"/>
      <c r="AI2490" s="531"/>
      <c r="AJ2490" s="531"/>
      <c r="AK2490" s="531"/>
      <c r="AR2490" s="531"/>
      <c r="AS2490" s="779"/>
    </row>
    <row r="2491" spans="1:45" s="520" customFormat="1" thickTop="1">
      <c r="A2491" s="51"/>
      <c r="B2491" s="51"/>
      <c r="C2491" s="3"/>
      <c r="D2491" s="3"/>
      <c r="E2491" s="51"/>
      <c r="F2491" s="51"/>
      <c r="G2491" s="51"/>
      <c r="H2491" s="51"/>
      <c r="I2491" s="51"/>
      <c r="J2491" s="51"/>
      <c r="K2491" s="51" t="s">
        <v>134</v>
      </c>
      <c r="L2491" s="51"/>
      <c r="M2491" s="51"/>
      <c r="N2491" s="51"/>
      <c r="O2491" s="52"/>
      <c r="P2491" s="51"/>
      <c r="Q2491" s="51"/>
      <c r="R2491" s="51"/>
      <c r="S2491" s="51"/>
      <c r="T2491" s="51"/>
      <c r="AR2491" s="51"/>
      <c r="AS2491" s="51"/>
    </row>
    <row r="2492" spans="1:45" s="520" customFormat="1" ht="12">
      <c r="A2492" s="51"/>
      <c r="B2492" s="51"/>
      <c r="C2492" s="51" t="s">
        <v>135</v>
      </c>
      <c r="D2492" s="37"/>
      <c r="E2492" s="51"/>
      <c r="F2492" s="51"/>
      <c r="G2492" s="51"/>
      <c r="H2492" s="51"/>
      <c r="I2492" s="51"/>
      <c r="J2492" s="51"/>
      <c r="K2492" s="51"/>
      <c r="L2492" s="51"/>
      <c r="M2492" s="51"/>
      <c r="N2492" s="51"/>
      <c r="O2492" s="52"/>
      <c r="P2492" s="51"/>
      <c r="Q2492" s="51"/>
      <c r="R2492" s="51"/>
      <c r="S2492" s="51"/>
      <c r="T2492" s="51"/>
      <c r="AR2492" s="51"/>
      <c r="AS2492" s="51"/>
    </row>
    <row r="2493" spans="1:45" s="520" customFormat="1" ht="39.9" customHeight="1">
      <c r="A2493" s="51"/>
      <c r="B2493" s="51"/>
      <c r="C2493" s="51"/>
      <c r="D2493" s="1453" t="s">
        <v>498</v>
      </c>
      <c r="E2493" s="1452"/>
      <c r="F2493" s="1452"/>
      <c r="G2493" s="1452"/>
      <c r="H2493" s="1452"/>
      <c r="I2493" s="1452"/>
      <c r="J2493" s="1452"/>
      <c r="K2493" s="1452"/>
      <c r="L2493" s="1452"/>
      <c r="M2493" s="1452"/>
      <c r="N2493" s="1452"/>
      <c r="O2493" s="1452"/>
      <c r="P2493" s="1452"/>
      <c r="Q2493" s="1452"/>
      <c r="R2493" s="1452"/>
      <c r="S2493" s="1452"/>
      <c r="T2493" s="1452"/>
      <c r="AR2493" s="51"/>
    </row>
    <row r="2494" spans="1:45" s="3" customFormat="1" thickBot="1">
      <c r="A2494" s="531"/>
      <c r="O2494" s="107"/>
      <c r="AR2494" s="531"/>
    </row>
    <row r="2495" spans="1:45" s="520" customFormat="1" thickTop="1">
      <c r="A2495" s="51"/>
      <c r="B2495" s="51"/>
      <c r="C2495" s="3"/>
      <c r="D2495" s="3"/>
      <c r="E2495" s="51"/>
      <c r="F2495" s="51"/>
      <c r="G2495" s="51"/>
      <c r="H2495" s="51"/>
      <c r="I2495" s="51"/>
      <c r="J2495" s="51"/>
      <c r="K2495" s="51" t="s">
        <v>134</v>
      </c>
      <c r="L2495" s="51"/>
      <c r="M2495" s="51"/>
      <c r="N2495" s="51"/>
      <c r="O2495" s="52"/>
      <c r="P2495" s="51"/>
      <c r="Q2495" s="51"/>
      <c r="R2495" s="51"/>
      <c r="S2495" s="51"/>
      <c r="T2495" s="51"/>
      <c r="AR2495" s="51"/>
      <c r="AS2495" s="51"/>
    </row>
    <row r="2496" spans="1:45" s="520" customFormat="1" ht="12">
      <c r="A2496" s="51"/>
      <c r="B2496" s="51"/>
      <c r="C2496" s="51" t="s">
        <v>135</v>
      </c>
      <c r="D2496" s="37"/>
      <c r="E2496" s="51"/>
      <c r="F2496" s="51"/>
      <c r="G2496" s="51"/>
      <c r="H2496" s="51"/>
      <c r="I2496" s="51"/>
      <c r="J2496" s="51"/>
      <c r="K2496" s="51"/>
      <c r="L2496" s="51"/>
      <c r="M2496" s="51"/>
      <c r="N2496" s="51"/>
      <c r="O2496" s="52"/>
      <c r="P2496" s="51"/>
      <c r="Q2496" s="51"/>
      <c r="R2496" s="51"/>
      <c r="S2496" s="51"/>
      <c r="T2496" s="51"/>
      <c r="AR2496" s="51"/>
      <c r="AS2496" s="51"/>
    </row>
    <row r="2497" spans="1:45" s="520" customFormat="1" ht="12">
      <c r="A2497" s="51"/>
      <c r="B2497" s="51"/>
      <c r="C2497" s="51"/>
      <c r="D2497" s="37" t="s">
        <v>703</v>
      </c>
      <c r="E2497" s="51"/>
      <c r="F2497" s="51"/>
      <c r="G2497" s="51"/>
      <c r="H2497" s="51"/>
      <c r="I2497" s="51"/>
      <c r="J2497" s="51"/>
      <c r="K2497" s="51"/>
      <c r="L2497" s="51"/>
      <c r="M2497" s="51"/>
      <c r="N2497" s="51"/>
      <c r="O2497" s="52"/>
      <c r="P2497" s="51"/>
      <c r="Q2497" s="51"/>
      <c r="R2497" s="51"/>
      <c r="S2497" s="38"/>
      <c r="T2497" s="38"/>
      <c r="AR2497" s="51"/>
      <c r="AS2497" s="51"/>
    </row>
    <row r="2498" spans="1:45" s="3" customFormat="1" thickBot="1">
      <c r="A2498" s="531"/>
      <c r="O2498" s="107"/>
      <c r="AR2498" s="531"/>
    </row>
    <row r="2499" spans="1:45" s="520" customFormat="1" ht="12" thickTop="1">
      <c r="A2499" s="51"/>
      <c r="B2499" s="41"/>
      <c r="C2499" s="51"/>
      <c r="E2499" s="42" t="s">
        <v>138</v>
      </c>
      <c r="F2499" s="42" t="s">
        <v>139</v>
      </c>
      <c r="G2499" s="51"/>
      <c r="H2499" s="51"/>
      <c r="I2499" s="51"/>
      <c r="J2499" s="51"/>
      <c r="K2499" s="51" t="s">
        <v>140</v>
      </c>
      <c r="L2499" s="51"/>
      <c r="M2499" s="51"/>
      <c r="N2499" s="51"/>
      <c r="O2499" s="52"/>
      <c r="P2499" s="51"/>
      <c r="Q2499" s="51"/>
      <c r="R2499" s="51"/>
      <c r="S2499" s="51"/>
      <c r="T2499" s="41"/>
      <c r="AG2499" s="521" t="s">
        <v>268</v>
      </c>
      <c r="AH2499" s="521" t="s">
        <v>269</v>
      </c>
      <c r="AI2499" s="521" t="s">
        <v>270</v>
      </c>
      <c r="AJ2499" s="521" t="s">
        <v>271</v>
      </c>
      <c r="AK2499" s="521" t="s">
        <v>272</v>
      </c>
      <c r="AM2499" s="745" t="s">
        <v>281</v>
      </c>
      <c r="AN2499" s="746" t="s">
        <v>282</v>
      </c>
      <c r="AO2499" s="522" t="s">
        <v>278</v>
      </c>
      <c r="AR2499" s="51"/>
      <c r="AS2499" s="42" t="s">
        <v>139</v>
      </c>
    </row>
    <row r="2500" spans="1:45" s="520" customFormat="1" ht="12" customHeight="1">
      <c r="A2500" s="747">
        <v>5</v>
      </c>
      <c r="B2500" s="523" t="s">
        <v>320</v>
      </c>
      <c r="C2500" s="748"/>
      <c r="D2500" s="749" t="s">
        <v>1522</v>
      </c>
      <c r="E2500" s="750">
        <f ca="1">IF(AND($A2500=0,$A$1="DIF"),0, ROUND(ROUND(($R2505*$S$2+($T2505*$T$2))/A2500,2)*$C$2,2))</f>
        <v>36.25</v>
      </c>
      <c r="F2500" s="751">
        <f ca="1">ROUND($A2500*$E2500,2)</f>
        <v>181.25</v>
      </c>
      <c r="G2500" s="752" t="s">
        <v>142</v>
      </c>
      <c r="H2500" s="753"/>
      <c r="I2500" s="754"/>
      <c r="J2500" s="753"/>
      <c r="K2500" s="753" t="s">
        <v>3</v>
      </c>
      <c r="L2500" s="755" t="s">
        <v>143</v>
      </c>
      <c r="M2500" s="755"/>
      <c r="N2500" s="755"/>
      <c r="O2500" s="755"/>
      <c r="P2500" s="755"/>
      <c r="Q2500" s="51"/>
      <c r="T2500" s="756" t="str">
        <f ca="1">IF(AND($R2505=0,$T2505=0),"0.00","mu :" &amp; ROUND($F2500/$C$2/($R2505+$T2505*$D$9),2))</f>
        <v>mu :1.23</v>
      </c>
      <c r="W2500" s="524"/>
      <c r="AG2500" s="481">
        <f ca="1">IF($E2500=0,0,ROUND($R2505*$S$2*$C$2/$A2500,2))</f>
        <v>25.43</v>
      </c>
      <c r="AH2500" s="481">
        <f ca="1">$AG2500*$A2500</f>
        <v>127.15</v>
      </c>
      <c r="AI2500" s="525">
        <f ca="1">$E2500-$AG2500</f>
        <v>10.82</v>
      </c>
      <c r="AJ2500" s="525">
        <f ca="1">$A2500*$AI2500</f>
        <v>54.1</v>
      </c>
      <c r="AK2500" s="526">
        <f ca="1">ROUND(($AG2500+$AI2500)*$A2500,2)</f>
        <v>181.25</v>
      </c>
      <c r="AM2500" s="527">
        <f ca="1">ROUND(R2505,2)</f>
        <v>103.25</v>
      </c>
      <c r="AN2500" s="528">
        <f ca="1">ROUND(T2505,2)</f>
        <v>1.6</v>
      </c>
      <c r="AO2500" s="529">
        <f ca="1">ROUND(AM2500+AN2500,2)*A2500</f>
        <v>524.25</v>
      </c>
      <c r="AR2500" s="747">
        <v>5</v>
      </c>
      <c r="AS2500" s="751">
        <v>188</v>
      </c>
    </row>
    <row r="2501" spans="1:45" s="520" customFormat="1" ht="13.2">
      <c r="A2501" s="748"/>
      <c r="B2501"/>
      <c r="C2501" s="748"/>
      <c r="D2501" s="749" t="s">
        <v>1523</v>
      </c>
      <c r="F2501" s="753"/>
      <c r="G2501" s="3"/>
      <c r="H2501" s="753"/>
      <c r="I2501" s="754"/>
      <c r="J2501" s="753"/>
      <c r="K2501" s="753" t="s">
        <v>144</v>
      </c>
      <c r="L2501" s="753"/>
      <c r="M2501" s="753"/>
      <c r="N2501" s="753"/>
      <c r="O2501" s="753"/>
      <c r="P2501" s="753"/>
      <c r="Q2501" s="51"/>
      <c r="R2501" s="530"/>
      <c r="S2501" s="757"/>
      <c r="T2501" s="753"/>
      <c r="AR2501" s="748"/>
      <c r="AS2501" s="753"/>
    </row>
    <row r="2502" spans="1:45" s="886" customFormat="1" ht="13.2">
      <c r="A2502"/>
      <c r="B2502" s="910"/>
      <c r="C2502" s="910" t="s">
        <v>2597</v>
      </c>
      <c r="D2502" s="910" t="str">
        <f ca="1">CELL("Address",Elec_Rates!D$375)</f>
        <v>[E25_0062_Quintano_Foods_Elec_ELV_As_Awarded.xlsx]Elec_Rates!$D$375</v>
      </c>
      <c r="E2502" s="911"/>
      <c r="F2502" s="911"/>
      <c r="G2502" s="912" t="s">
        <v>2598</v>
      </c>
      <c r="H2502" s="912"/>
      <c r="I2502" s="912"/>
      <c r="J2502" s="912"/>
      <c r="K2502" s="913"/>
      <c r="L2502" s="911"/>
      <c r="M2502" s="911"/>
      <c r="N2502" s="911"/>
      <c r="O2502" s="914"/>
      <c r="P2502" s="911"/>
      <c r="Q2502" s="915"/>
      <c r="R2502" s="916"/>
      <c r="S2502" s="915"/>
      <c r="T2502" s="917"/>
      <c r="U2502" s="918"/>
      <c r="AR2502"/>
      <c r="AS2502" s="911"/>
    </row>
    <row r="2503" spans="1:45" s="886" customFormat="1" ht="11.4">
      <c r="A2503" s="919">
        <v>5</v>
      </c>
      <c r="B2503" s="920">
        <v>1</v>
      </c>
      <c r="C2503" s="920">
        <f>$A2503*$B2503</f>
        <v>5</v>
      </c>
      <c r="D2503" s="921" t="str">
        <f>Elec_Rates!$D$375</f>
        <v>036# 5 x 25mm2 XLPE/SWA/LSZH</v>
      </c>
      <c r="E2503" s="921"/>
      <c r="F2503" s="921" t="s">
        <v>2599</v>
      </c>
      <c r="G2503" s="922" t="s">
        <v>2601</v>
      </c>
      <c r="H2503" s="922"/>
      <c r="I2503" s="922"/>
      <c r="J2503" s="922"/>
      <c r="K2503" s="923"/>
      <c r="L2503" s="918"/>
      <c r="M2503" s="918"/>
      <c r="N2503" s="918"/>
      <c r="O2503" s="924"/>
      <c r="P2503" s="921"/>
      <c r="Q2503" s="925">
        <f ca="1">$B2503*Elec_Rates!$R$375</f>
        <v>20.65</v>
      </c>
      <c r="R2503" s="916">
        <f ca="1">$A2503*Q2503</f>
        <v>103.25</v>
      </c>
      <c r="S2503" s="925">
        <f ca="1">$B2503*Elec_Rates!$T$375</f>
        <v>0.32</v>
      </c>
      <c r="T2503" s="917">
        <f ca="1">$A2503*S2503</f>
        <v>1.6</v>
      </c>
      <c r="U2503" s="926"/>
      <c r="AR2503" s="919">
        <v>5</v>
      </c>
      <c r="AS2503" s="921" t="s">
        <v>2599</v>
      </c>
    </row>
    <row r="2504" spans="1:45" s="520" customFormat="1" ht="12">
      <c r="A2504" s="758"/>
      <c r="B2504" s="758"/>
      <c r="C2504" s="758"/>
      <c r="D2504" s="758"/>
      <c r="E2504" s="758"/>
      <c r="F2504" s="753"/>
      <c r="G2504" s="758"/>
      <c r="H2504" s="758"/>
      <c r="I2504" s="519"/>
      <c r="J2504" s="758"/>
      <c r="K2504" s="758"/>
      <c r="L2504" s="758"/>
      <c r="M2504" s="758"/>
      <c r="N2504" s="758"/>
      <c r="O2504" s="758"/>
      <c r="P2504" s="758"/>
      <c r="Q2504" s="519"/>
      <c r="R2504" s="759">
        <f>$A2504*Q2504</f>
        <v>0</v>
      </c>
      <c r="S2504" s="519"/>
      <c r="T2504" s="760">
        <f>$A2504*S2504*$T$1</f>
        <v>0</v>
      </c>
      <c r="AR2504" s="758"/>
      <c r="AS2504" s="753"/>
    </row>
    <row r="2505" spans="1:45" s="520" customFormat="1" ht="12.6" thickBot="1">
      <c r="A2505" s="761" t="s">
        <v>145</v>
      </c>
      <c r="B2505" s="762">
        <f>(R2504+T2504)</f>
        <v>0</v>
      </c>
      <c r="C2505" s="763"/>
      <c r="D2505" s="763"/>
      <c r="E2505" s="763"/>
      <c r="F2505" s="764"/>
      <c r="G2505" s="763" t="s">
        <v>146</v>
      </c>
      <c r="H2505" s="763"/>
      <c r="I2505" s="765"/>
      <c r="J2505" s="763"/>
      <c r="K2505" s="763" t="s">
        <v>3</v>
      </c>
      <c r="L2505" s="766" t="s">
        <v>143</v>
      </c>
      <c r="M2505" s="766"/>
      <c r="N2505" s="766"/>
      <c r="O2505" s="766"/>
      <c r="P2505" s="766"/>
      <c r="Q2505" s="767"/>
      <c r="R2505" s="768">
        <f ca="1">SUM(R2501:R2504)</f>
        <v>103.25</v>
      </c>
      <c r="S2505" s="763"/>
      <c r="T2505" s="768">
        <f ca="1">SUM(T2501:T2504)</f>
        <v>1.6</v>
      </c>
      <c r="U2505" s="531"/>
      <c r="V2505" s="531"/>
      <c r="W2505" s="531"/>
      <c r="X2505" s="531"/>
      <c r="Y2505" s="531"/>
      <c r="Z2505" s="531"/>
      <c r="AA2505" s="531"/>
      <c r="AB2505" s="531"/>
      <c r="AC2505" s="531"/>
      <c r="AD2505" s="531"/>
      <c r="AE2505" s="531"/>
      <c r="AF2505" s="531"/>
      <c r="AG2505" s="531"/>
      <c r="AH2505" s="531"/>
      <c r="AI2505" s="531"/>
      <c r="AJ2505" s="531"/>
      <c r="AK2505" s="531"/>
      <c r="AL2505" s="531"/>
      <c r="AM2505" s="531"/>
      <c r="AN2505" s="531"/>
      <c r="AO2505" s="531"/>
      <c r="AR2505" s="761" t="s">
        <v>145</v>
      </c>
      <c r="AS2505" s="764"/>
    </row>
    <row r="2506" spans="1:45" s="520" customFormat="1" ht="12" thickTop="1">
      <c r="A2506" s="51"/>
      <c r="B2506" s="41"/>
      <c r="C2506" s="51"/>
      <c r="E2506" s="42" t="s">
        <v>138</v>
      </c>
      <c r="F2506" s="42" t="s">
        <v>139</v>
      </c>
      <c r="G2506" s="51"/>
      <c r="H2506" s="51"/>
      <c r="I2506" s="51"/>
      <c r="J2506" s="51"/>
      <c r="K2506" s="51" t="s">
        <v>140</v>
      </c>
      <c r="L2506" s="51"/>
      <c r="M2506" s="51"/>
      <c r="N2506" s="51"/>
      <c r="O2506" s="52"/>
      <c r="P2506" s="51"/>
      <c r="Q2506" s="51"/>
      <c r="R2506" s="51"/>
      <c r="S2506" s="51"/>
      <c r="T2506" s="41"/>
      <c r="AG2506" s="521" t="s">
        <v>268</v>
      </c>
      <c r="AH2506" s="521" t="s">
        <v>269</v>
      </c>
      <c r="AI2506" s="521" t="s">
        <v>270</v>
      </c>
      <c r="AJ2506" s="521" t="s">
        <v>271</v>
      </c>
      <c r="AK2506" s="521" t="s">
        <v>272</v>
      </c>
      <c r="AM2506" s="745" t="s">
        <v>281</v>
      </c>
      <c r="AN2506" s="746" t="s">
        <v>282</v>
      </c>
      <c r="AO2506" s="522" t="s">
        <v>278</v>
      </c>
      <c r="AR2506" s="51"/>
      <c r="AS2506" s="42" t="s">
        <v>139</v>
      </c>
    </row>
    <row r="2507" spans="1:45" s="520" customFormat="1" ht="12" customHeight="1">
      <c r="A2507" s="747">
        <v>5</v>
      </c>
      <c r="B2507" s="523" t="s">
        <v>320</v>
      </c>
      <c r="C2507" s="748"/>
      <c r="D2507" s="749" t="s">
        <v>1524</v>
      </c>
      <c r="E2507" s="750">
        <f ca="1">IF(AND($A2507=0,$A$1="DIF"),0, ROUND(ROUND(($R2512*$S$2+($T2512*$T$2))/A2507,2)*$C$2,2))</f>
        <v>36.25</v>
      </c>
      <c r="F2507" s="751">
        <f ca="1">ROUND($A2507*$E2507,2)</f>
        <v>181.25</v>
      </c>
      <c r="G2507" s="752" t="s">
        <v>142</v>
      </c>
      <c r="H2507" s="753"/>
      <c r="I2507" s="754"/>
      <c r="J2507" s="753"/>
      <c r="K2507" s="753" t="s">
        <v>3</v>
      </c>
      <c r="L2507" s="755" t="s">
        <v>143</v>
      </c>
      <c r="M2507" s="755"/>
      <c r="N2507" s="755"/>
      <c r="O2507" s="755"/>
      <c r="P2507" s="755"/>
      <c r="Q2507" s="51"/>
      <c r="T2507" s="756" t="str">
        <f ca="1">IF(AND($R2512=0,$T2512=0),"0.00","mu :" &amp; ROUND($F2507/$C$2/($R2512+$T2512*$D$9),2))</f>
        <v>mu :1.23</v>
      </c>
      <c r="W2507" s="524"/>
      <c r="AG2507" s="481">
        <f ca="1">IF($E2507=0,0,ROUND($R2512*$S$2*$C$2/$A2507,2))</f>
        <v>25.43</v>
      </c>
      <c r="AH2507" s="481">
        <f ca="1">$AG2507*$A2507</f>
        <v>127.15</v>
      </c>
      <c r="AI2507" s="525">
        <f ca="1">$E2507-$AG2507</f>
        <v>10.82</v>
      </c>
      <c r="AJ2507" s="525">
        <f ca="1">$A2507*$AI2507</f>
        <v>54.1</v>
      </c>
      <c r="AK2507" s="526">
        <f ca="1">ROUND(($AG2507+$AI2507)*$A2507,2)</f>
        <v>181.25</v>
      </c>
      <c r="AM2507" s="527">
        <f ca="1">ROUND(R2512,2)</f>
        <v>103.25</v>
      </c>
      <c r="AN2507" s="528">
        <f ca="1">ROUND(T2512,2)</f>
        <v>1.6</v>
      </c>
      <c r="AO2507" s="529">
        <f ca="1">ROUND(AM2507+AN2507,2)*A2507</f>
        <v>524.25</v>
      </c>
      <c r="AR2507" s="747">
        <v>5</v>
      </c>
      <c r="AS2507" s="751">
        <v>188</v>
      </c>
    </row>
    <row r="2508" spans="1:45" s="520" customFormat="1" ht="13.2">
      <c r="A2508" s="748"/>
      <c r="B2508"/>
      <c r="C2508" s="748"/>
      <c r="D2508" s="749" t="s">
        <v>1525</v>
      </c>
      <c r="F2508" s="753"/>
      <c r="G2508" s="3"/>
      <c r="H2508" s="753"/>
      <c r="I2508" s="754"/>
      <c r="J2508" s="753"/>
      <c r="K2508" s="753" t="s">
        <v>144</v>
      </c>
      <c r="L2508" s="753"/>
      <c r="M2508" s="753"/>
      <c r="N2508" s="753"/>
      <c r="O2508" s="753"/>
      <c r="P2508" s="753"/>
      <c r="Q2508" s="51"/>
      <c r="R2508" s="530"/>
      <c r="S2508" s="757"/>
      <c r="T2508" s="753"/>
      <c r="AR2508" s="748"/>
      <c r="AS2508" s="753"/>
    </row>
    <row r="2509" spans="1:45" s="886" customFormat="1" ht="13.2">
      <c r="A2509"/>
      <c r="B2509" s="910"/>
      <c r="C2509" s="910" t="s">
        <v>2597</v>
      </c>
      <c r="D2509" s="910" t="str">
        <f ca="1">CELL("Address",Elec_Rates!D$375)</f>
        <v>[E25_0062_Quintano_Foods_Elec_ELV_As_Awarded.xlsx]Elec_Rates!$D$375</v>
      </c>
      <c r="E2509" s="911"/>
      <c r="F2509" s="911"/>
      <c r="G2509" s="912" t="s">
        <v>2598</v>
      </c>
      <c r="H2509" s="912"/>
      <c r="I2509" s="912"/>
      <c r="J2509" s="912"/>
      <c r="K2509" s="913"/>
      <c r="L2509" s="911"/>
      <c r="M2509" s="911"/>
      <c r="N2509" s="911"/>
      <c r="O2509" s="914"/>
      <c r="P2509" s="911"/>
      <c r="Q2509" s="915"/>
      <c r="R2509" s="916"/>
      <c r="S2509" s="915"/>
      <c r="T2509" s="917"/>
      <c r="U2509" s="918"/>
      <c r="AR2509"/>
      <c r="AS2509" s="911"/>
    </row>
    <row r="2510" spans="1:45" s="886" customFormat="1" ht="11.4">
      <c r="A2510" s="919">
        <v>5</v>
      </c>
      <c r="B2510" s="920">
        <v>1</v>
      </c>
      <c r="C2510" s="920">
        <f>$A2510*$B2510</f>
        <v>5</v>
      </c>
      <c r="D2510" s="921" t="str">
        <f>Elec_Rates!$D$375</f>
        <v>036# 5 x 25mm2 XLPE/SWA/LSZH</v>
      </c>
      <c r="E2510" s="921"/>
      <c r="F2510" s="921" t="s">
        <v>2599</v>
      </c>
      <c r="G2510" s="922" t="s">
        <v>2601</v>
      </c>
      <c r="H2510" s="922"/>
      <c r="I2510" s="922"/>
      <c r="J2510" s="922"/>
      <c r="K2510" s="923"/>
      <c r="L2510" s="918"/>
      <c r="M2510" s="918"/>
      <c r="N2510" s="918"/>
      <c r="O2510" s="924"/>
      <c r="P2510" s="921"/>
      <c r="Q2510" s="925">
        <f ca="1">$B2510*Elec_Rates!$R$375</f>
        <v>20.65</v>
      </c>
      <c r="R2510" s="916">
        <f ca="1">$A2510*Q2510</f>
        <v>103.25</v>
      </c>
      <c r="S2510" s="925">
        <f ca="1">$B2510*Elec_Rates!$T$375</f>
        <v>0.32</v>
      </c>
      <c r="T2510" s="917">
        <f ca="1">$A2510*S2510</f>
        <v>1.6</v>
      </c>
      <c r="U2510" s="926"/>
      <c r="AR2510" s="919">
        <v>5</v>
      </c>
      <c r="AS2510" s="921" t="s">
        <v>2599</v>
      </c>
    </row>
    <row r="2511" spans="1:45" s="520" customFormat="1" ht="12">
      <c r="A2511" s="758"/>
      <c r="B2511" s="758"/>
      <c r="C2511" s="758"/>
      <c r="D2511" s="758"/>
      <c r="E2511" s="758"/>
      <c r="F2511" s="753"/>
      <c r="G2511" s="758"/>
      <c r="H2511" s="758"/>
      <c r="I2511" s="519"/>
      <c r="J2511" s="758"/>
      <c r="K2511" s="758"/>
      <c r="L2511" s="758"/>
      <c r="M2511" s="758"/>
      <c r="N2511" s="758"/>
      <c r="O2511" s="758"/>
      <c r="P2511" s="758"/>
      <c r="Q2511" s="519"/>
      <c r="R2511" s="759">
        <f>$A2511*Q2511</f>
        <v>0</v>
      </c>
      <c r="S2511" s="519"/>
      <c r="T2511" s="760">
        <f>$A2511*S2511*$T$1</f>
        <v>0</v>
      </c>
      <c r="AR2511" s="758"/>
      <c r="AS2511" s="753"/>
    </row>
    <row r="2512" spans="1:45" s="520" customFormat="1" ht="12.6" thickBot="1">
      <c r="A2512" s="761" t="s">
        <v>145</v>
      </c>
      <c r="B2512" s="762">
        <f>(R2511+T2511)</f>
        <v>0</v>
      </c>
      <c r="C2512" s="763"/>
      <c r="D2512" s="763"/>
      <c r="E2512" s="763"/>
      <c r="F2512" s="764"/>
      <c r="G2512" s="763" t="s">
        <v>146</v>
      </c>
      <c r="H2512" s="763"/>
      <c r="I2512" s="765"/>
      <c r="J2512" s="763"/>
      <c r="K2512" s="763" t="s">
        <v>3</v>
      </c>
      <c r="L2512" s="766" t="s">
        <v>143</v>
      </c>
      <c r="M2512" s="766"/>
      <c r="N2512" s="766"/>
      <c r="O2512" s="766"/>
      <c r="P2512" s="766"/>
      <c r="Q2512" s="767"/>
      <c r="R2512" s="768">
        <f ca="1">SUM(R2508:R2511)</f>
        <v>103.25</v>
      </c>
      <c r="S2512" s="763"/>
      <c r="T2512" s="768">
        <f ca="1">SUM(T2508:T2511)</f>
        <v>1.6</v>
      </c>
      <c r="U2512" s="531"/>
      <c r="V2512" s="531"/>
      <c r="W2512" s="531"/>
      <c r="X2512" s="531"/>
      <c r="Y2512" s="531"/>
      <c r="Z2512" s="531"/>
      <c r="AA2512" s="531"/>
      <c r="AB2512" s="531"/>
      <c r="AC2512" s="531"/>
      <c r="AD2512" s="531"/>
      <c r="AE2512" s="531"/>
      <c r="AF2512" s="531"/>
      <c r="AG2512" s="531"/>
      <c r="AH2512" s="531"/>
      <c r="AI2512" s="531"/>
      <c r="AJ2512" s="531"/>
      <c r="AK2512" s="531"/>
      <c r="AL2512" s="531"/>
      <c r="AM2512" s="531"/>
      <c r="AN2512" s="531"/>
      <c r="AO2512" s="531"/>
      <c r="AR2512" s="761" t="s">
        <v>145</v>
      </c>
      <c r="AS2512" s="764"/>
    </row>
    <row r="2513" spans="1:45" s="520" customFormat="1" ht="12" thickTop="1">
      <c r="A2513" s="51"/>
      <c r="B2513" s="41"/>
      <c r="C2513" s="51"/>
      <c r="E2513" s="42" t="s">
        <v>138</v>
      </c>
      <c r="F2513" s="42" t="s">
        <v>139</v>
      </c>
      <c r="G2513" s="51"/>
      <c r="H2513" s="51"/>
      <c r="I2513" s="51"/>
      <c r="J2513" s="51"/>
      <c r="K2513" s="51" t="s">
        <v>140</v>
      </c>
      <c r="L2513" s="51"/>
      <c r="M2513" s="51"/>
      <c r="N2513" s="51"/>
      <c r="O2513" s="52"/>
      <c r="P2513" s="51"/>
      <c r="Q2513" s="51"/>
      <c r="R2513" s="51"/>
      <c r="S2513" s="51"/>
      <c r="T2513" s="41"/>
      <c r="AG2513" s="521" t="s">
        <v>268</v>
      </c>
      <c r="AH2513" s="521" t="s">
        <v>269</v>
      </c>
      <c r="AI2513" s="521" t="s">
        <v>270</v>
      </c>
      <c r="AJ2513" s="521" t="s">
        <v>271</v>
      </c>
      <c r="AK2513" s="521" t="s">
        <v>272</v>
      </c>
      <c r="AM2513" s="745" t="s">
        <v>281</v>
      </c>
      <c r="AN2513" s="746" t="s">
        <v>282</v>
      </c>
      <c r="AO2513" s="522" t="s">
        <v>278</v>
      </c>
      <c r="AR2513" s="51"/>
      <c r="AS2513" s="42" t="s">
        <v>139</v>
      </c>
    </row>
    <row r="2514" spans="1:45" s="520" customFormat="1" ht="12" customHeight="1">
      <c r="A2514" s="747">
        <v>10</v>
      </c>
      <c r="B2514" s="523" t="s">
        <v>320</v>
      </c>
      <c r="C2514" s="748"/>
      <c r="D2514" s="749" t="s">
        <v>1526</v>
      </c>
      <c r="E2514" s="750">
        <f ca="1">IF(AND($A2514=0,$A$1="DIF"),0, ROUND(ROUND(($R2519*$S$2+($T2519*$T$2))/A2514,2)*$C$2,2))</f>
        <v>34.36</v>
      </c>
      <c r="F2514" s="751">
        <f ca="1">ROUND($A2514*$E2514,2)</f>
        <v>343.6</v>
      </c>
      <c r="G2514" s="752" t="s">
        <v>142</v>
      </c>
      <c r="H2514" s="753"/>
      <c r="I2514" s="754"/>
      <c r="J2514" s="753"/>
      <c r="K2514" s="753" t="s">
        <v>3</v>
      </c>
      <c r="L2514" s="755" t="s">
        <v>143</v>
      </c>
      <c r="M2514" s="755"/>
      <c r="N2514" s="755"/>
      <c r="O2514" s="755"/>
      <c r="P2514" s="755"/>
      <c r="Q2514" s="51"/>
      <c r="T2514" s="756" t="str">
        <f ca="1">IF(AND($R2519=0,$T2519=0),"0.00","mu :" &amp; ROUND($F2514/$C$2/($R2519+$T2519*$D$9),2))</f>
        <v>mu :1.23</v>
      </c>
      <c r="W2514" s="524"/>
      <c r="AG2514" s="481">
        <f ca="1">IF($E2514=0,0,ROUND($R2519*$S$2*$C$2/$A2514,2))</f>
        <v>28.95</v>
      </c>
      <c r="AH2514" s="481">
        <f ca="1">$AG2514*$A2514</f>
        <v>289.5</v>
      </c>
      <c r="AI2514" s="525">
        <f ca="1">$E2514-$AG2514</f>
        <v>5.41</v>
      </c>
      <c r="AJ2514" s="525">
        <f ca="1">$A2514*$AI2514</f>
        <v>54.1</v>
      </c>
      <c r="AK2514" s="526">
        <f ca="1">ROUND(($AG2514+$AI2514)*$A2514,2)</f>
        <v>343.6</v>
      </c>
      <c r="AM2514" s="527">
        <f ca="1">ROUND(R2519,2)</f>
        <v>235.1</v>
      </c>
      <c r="AN2514" s="528">
        <f ca="1">ROUND(T2519,2)</f>
        <v>1.6</v>
      </c>
      <c r="AO2514" s="529">
        <f ca="1">ROUND(AM2514+AN2514,2)*A2514</f>
        <v>2367</v>
      </c>
      <c r="AR2514" s="747">
        <v>10</v>
      </c>
      <c r="AS2514" s="751">
        <v>350.4</v>
      </c>
    </row>
    <row r="2515" spans="1:45" s="520" customFormat="1" ht="13.2">
      <c r="A2515" s="748"/>
      <c r="B2515"/>
      <c r="C2515" s="748"/>
      <c r="D2515" s="749" t="s">
        <v>1527</v>
      </c>
      <c r="F2515" s="753"/>
      <c r="G2515" s="3"/>
      <c r="H2515" s="753"/>
      <c r="I2515" s="754"/>
      <c r="J2515" s="753"/>
      <c r="K2515" s="753" t="s">
        <v>144</v>
      </c>
      <c r="L2515" s="753"/>
      <c r="M2515" s="753"/>
      <c r="N2515" s="753"/>
      <c r="O2515" s="753"/>
      <c r="P2515" s="753"/>
      <c r="Q2515" s="51"/>
      <c r="R2515" s="530"/>
      <c r="S2515" s="757"/>
      <c r="T2515" s="753"/>
      <c r="AR2515" s="748"/>
      <c r="AS2515" s="753"/>
    </row>
    <row r="2516" spans="1:45" s="886" customFormat="1" ht="13.2">
      <c r="A2516"/>
      <c r="B2516" s="910"/>
      <c r="C2516" s="910" t="s">
        <v>2597</v>
      </c>
      <c r="D2516" s="910" t="str">
        <f ca="1">CELL("Address",Elec_Rates!D$355)</f>
        <v>[E25_0062_Quintano_Foods_Elec_ELV_As_Awarded.xlsx]Elec_Rates!$D$355</v>
      </c>
      <c r="E2516" s="911"/>
      <c r="F2516" s="911"/>
      <c r="G2516" s="912" t="s">
        <v>2598</v>
      </c>
      <c r="H2516" s="912"/>
      <c r="I2516" s="912"/>
      <c r="J2516" s="912"/>
      <c r="K2516" s="913"/>
      <c r="L2516" s="911"/>
      <c r="M2516" s="911"/>
      <c r="N2516" s="911"/>
      <c r="O2516" s="914"/>
      <c r="P2516" s="911"/>
      <c r="Q2516" s="915"/>
      <c r="R2516" s="916"/>
      <c r="S2516" s="915"/>
      <c r="T2516" s="917"/>
      <c r="U2516" s="918"/>
      <c r="AR2516"/>
      <c r="AS2516" s="911"/>
    </row>
    <row r="2517" spans="1:45" s="886" customFormat="1" ht="11.4">
      <c r="A2517" s="919">
        <v>10</v>
      </c>
      <c r="B2517" s="920">
        <v>1</v>
      </c>
      <c r="C2517" s="920">
        <f>$A2517*$B2517</f>
        <v>10</v>
      </c>
      <c r="D2517" s="921" t="str">
        <f>Elec_Rates!$D$355</f>
        <v>034# 5 x 35mm2 XLPE/SWA/LSZH</v>
      </c>
      <c r="E2517" s="921"/>
      <c r="F2517" s="921" t="s">
        <v>2599</v>
      </c>
      <c r="G2517" s="922" t="s">
        <v>2601</v>
      </c>
      <c r="H2517" s="922"/>
      <c r="I2517" s="922"/>
      <c r="J2517" s="922"/>
      <c r="K2517" s="923"/>
      <c r="L2517" s="918"/>
      <c r="M2517" s="918"/>
      <c r="N2517" s="918"/>
      <c r="O2517" s="924"/>
      <c r="P2517" s="921"/>
      <c r="Q2517" s="925">
        <f ca="1">$B2517*Elec_Rates!$R$355</f>
        <v>23.51</v>
      </c>
      <c r="R2517" s="916">
        <f ca="1">$A2517*Q2517</f>
        <v>235.10000000000002</v>
      </c>
      <c r="S2517" s="925">
        <f ca="1">$B2517*Elec_Rates!$T$355</f>
        <v>0.16</v>
      </c>
      <c r="T2517" s="917">
        <f ca="1">$A2517*S2517</f>
        <v>1.6</v>
      </c>
      <c r="U2517" s="926"/>
      <c r="AR2517" s="919">
        <v>10</v>
      </c>
      <c r="AS2517" s="921" t="s">
        <v>2599</v>
      </c>
    </row>
    <row r="2518" spans="1:45" s="520" customFormat="1" ht="12">
      <c r="A2518" s="758"/>
      <c r="B2518" s="758"/>
      <c r="C2518" s="758"/>
      <c r="D2518" s="758"/>
      <c r="E2518" s="758"/>
      <c r="F2518" s="753"/>
      <c r="G2518" s="758"/>
      <c r="H2518" s="758"/>
      <c r="I2518" s="519"/>
      <c r="J2518" s="758"/>
      <c r="K2518" s="758"/>
      <c r="L2518" s="758"/>
      <c r="M2518" s="758"/>
      <c r="N2518" s="758"/>
      <c r="O2518" s="758"/>
      <c r="P2518" s="758"/>
      <c r="Q2518" s="519"/>
      <c r="R2518" s="759">
        <f>$A2518*Q2518</f>
        <v>0</v>
      </c>
      <c r="S2518" s="519"/>
      <c r="T2518" s="760">
        <f>$A2518*S2518*$T$1</f>
        <v>0</v>
      </c>
      <c r="AR2518" s="758"/>
      <c r="AS2518" s="753"/>
    </row>
    <row r="2519" spans="1:45" s="520" customFormat="1" ht="12.6" thickBot="1">
      <c r="A2519" s="761" t="s">
        <v>145</v>
      </c>
      <c r="B2519" s="762">
        <f>(R2518+T2518)</f>
        <v>0</v>
      </c>
      <c r="C2519" s="763"/>
      <c r="D2519" s="763"/>
      <c r="E2519" s="763"/>
      <c r="F2519" s="764"/>
      <c r="G2519" s="763" t="s">
        <v>146</v>
      </c>
      <c r="H2519" s="763"/>
      <c r="I2519" s="765"/>
      <c r="J2519" s="763"/>
      <c r="K2519" s="763" t="s">
        <v>3</v>
      </c>
      <c r="L2519" s="766" t="s">
        <v>143</v>
      </c>
      <c r="M2519" s="766"/>
      <c r="N2519" s="766"/>
      <c r="O2519" s="766"/>
      <c r="P2519" s="766"/>
      <c r="Q2519" s="767"/>
      <c r="R2519" s="768">
        <f ca="1">SUM(R2515:R2518)</f>
        <v>235.10000000000002</v>
      </c>
      <c r="S2519" s="763"/>
      <c r="T2519" s="768">
        <f ca="1">SUM(T2515:T2518)</f>
        <v>1.6</v>
      </c>
      <c r="U2519" s="531"/>
      <c r="V2519" s="531"/>
      <c r="W2519" s="531"/>
      <c r="X2519" s="531"/>
      <c r="Y2519" s="531"/>
      <c r="Z2519" s="531"/>
      <c r="AA2519" s="531"/>
      <c r="AB2519" s="531"/>
      <c r="AC2519" s="531"/>
      <c r="AD2519" s="531"/>
      <c r="AE2519" s="531"/>
      <c r="AF2519" s="531"/>
      <c r="AG2519" s="531"/>
      <c r="AH2519" s="531"/>
      <c r="AI2519" s="531"/>
      <c r="AJ2519" s="531"/>
      <c r="AK2519" s="531"/>
      <c r="AL2519" s="531"/>
      <c r="AM2519" s="531"/>
      <c r="AN2519" s="531"/>
      <c r="AO2519" s="531"/>
      <c r="AR2519" s="761" t="s">
        <v>145</v>
      </c>
      <c r="AS2519" s="764"/>
    </row>
    <row r="2520" spans="1:45" s="520" customFormat="1" ht="12" thickTop="1">
      <c r="A2520" s="51"/>
      <c r="B2520" s="41"/>
      <c r="C2520" s="51"/>
      <c r="E2520" s="42" t="s">
        <v>138</v>
      </c>
      <c r="F2520" s="42" t="s">
        <v>139</v>
      </c>
      <c r="G2520" s="51"/>
      <c r="H2520" s="51"/>
      <c r="I2520" s="51"/>
      <c r="J2520" s="51"/>
      <c r="K2520" s="51" t="s">
        <v>140</v>
      </c>
      <c r="L2520" s="51"/>
      <c r="M2520" s="51"/>
      <c r="N2520" s="51"/>
      <c r="O2520" s="52"/>
      <c r="P2520" s="51"/>
      <c r="Q2520" s="51"/>
      <c r="R2520" s="51"/>
      <c r="S2520" s="51"/>
      <c r="T2520" s="41"/>
      <c r="AG2520" s="521" t="s">
        <v>268</v>
      </c>
      <c r="AH2520" s="521" t="s">
        <v>269</v>
      </c>
      <c r="AI2520" s="521" t="s">
        <v>270</v>
      </c>
      <c r="AJ2520" s="521" t="s">
        <v>271</v>
      </c>
      <c r="AK2520" s="521" t="s">
        <v>272</v>
      </c>
      <c r="AM2520" s="745" t="s">
        <v>281</v>
      </c>
      <c r="AN2520" s="746" t="s">
        <v>282</v>
      </c>
      <c r="AO2520" s="522" t="s">
        <v>278</v>
      </c>
      <c r="AR2520" s="51"/>
      <c r="AS2520" s="42" t="s">
        <v>139</v>
      </c>
    </row>
    <row r="2521" spans="1:45" s="520" customFormat="1" ht="12" customHeight="1">
      <c r="A2521" s="747">
        <v>10</v>
      </c>
      <c r="B2521" s="523" t="s">
        <v>320</v>
      </c>
      <c r="C2521" s="748"/>
      <c r="D2521" s="749" t="s">
        <v>1528</v>
      </c>
      <c r="E2521" s="750">
        <f ca="1">IF(AND($A2521=0,$A$1="DIF"),0, ROUND(ROUND(($R2526*$S$2+($T2526*$T$2))/A2521,2)*$C$2,2))</f>
        <v>34.36</v>
      </c>
      <c r="F2521" s="751">
        <f ca="1">ROUND($A2521*$E2521,2)</f>
        <v>343.6</v>
      </c>
      <c r="G2521" s="752" t="s">
        <v>142</v>
      </c>
      <c r="H2521" s="753"/>
      <c r="I2521" s="754"/>
      <c r="J2521" s="753"/>
      <c r="K2521" s="753" t="s">
        <v>3</v>
      </c>
      <c r="L2521" s="755" t="s">
        <v>143</v>
      </c>
      <c r="M2521" s="755"/>
      <c r="N2521" s="755"/>
      <c r="O2521" s="755"/>
      <c r="P2521" s="755"/>
      <c r="Q2521" s="51"/>
      <c r="T2521" s="756" t="str">
        <f ca="1">IF(AND($R2526=0,$T2526=0),"0.00","mu :" &amp; ROUND($F2521/$C$2/($R2526+$T2526*$D$9),2))</f>
        <v>mu :1.23</v>
      </c>
      <c r="W2521" s="524"/>
      <c r="AG2521" s="481">
        <f ca="1">IF($E2521=0,0,ROUND($R2526*$S$2*$C$2/$A2521,2))</f>
        <v>28.95</v>
      </c>
      <c r="AH2521" s="481">
        <f ca="1">$AG2521*$A2521</f>
        <v>289.5</v>
      </c>
      <c r="AI2521" s="525">
        <f ca="1">$E2521-$AG2521</f>
        <v>5.41</v>
      </c>
      <c r="AJ2521" s="525">
        <f ca="1">$A2521*$AI2521</f>
        <v>54.1</v>
      </c>
      <c r="AK2521" s="526">
        <f ca="1">ROUND(($AG2521+$AI2521)*$A2521,2)</f>
        <v>343.6</v>
      </c>
      <c r="AM2521" s="527">
        <f ca="1">ROUND(R2526,2)</f>
        <v>235.1</v>
      </c>
      <c r="AN2521" s="528">
        <f ca="1">ROUND(T2526,2)</f>
        <v>1.6</v>
      </c>
      <c r="AO2521" s="529">
        <f ca="1">ROUND(AM2521+AN2521,2)*A2521</f>
        <v>2367</v>
      </c>
      <c r="AR2521" s="747">
        <v>10</v>
      </c>
      <c r="AS2521" s="751">
        <v>350.4</v>
      </c>
    </row>
    <row r="2522" spans="1:45" s="520" customFormat="1" ht="13.2">
      <c r="A2522" s="748"/>
      <c r="B2522"/>
      <c r="C2522" s="748"/>
      <c r="D2522" s="749" t="s">
        <v>1529</v>
      </c>
      <c r="F2522" s="753"/>
      <c r="G2522" s="3"/>
      <c r="H2522" s="753"/>
      <c r="I2522" s="754"/>
      <c r="J2522" s="753"/>
      <c r="K2522" s="753" t="s">
        <v>144</v>
      </c>
      <c r="L2522" s="753"/>
      <c r="M2522" s="753"/>
      <c r="N2522" s="753"/>
      <c r="O2522" s="753"/>
      <c r="P2522" s="753"/>
      <c r="Q2522" s="51"/>
      <c r="R2522" s="530"/>
      <c r="S2522" s="757"/>
      <c r="T2522" s="753"/>
      <c r="AR2522" s="748"/>
      <c r="AS2522" s="753"/>
    </row>
    <row r="2523" spans="1:45" s="886" customFormat="1" ht="13.2">
      <c r="A2523"/>
      <c r="B2523" s="910"/>
      <c r="C2523" s="910" t="s">
        <v>2597</v>
      </c>
      <c r="D2523" s="910" t="str">
        <f ca="1">CELL("Address",Elec_Rates!D$355)</f>
        <v>[E25_0062_Quintano_Foods_Elec_ELV_As_Awarded.xlsx]Elec_Rates!$D$355</v>
      </c>
      <c r="E2523" s="911"/>
      <c r="F2523" s="911"/>
      <c r="G2523" s="912" t="s">
        <v>2598</v>
      </c>
      <c r="H2523" s="912"/>
      <c r="I2523" s="912"/>
      <c r="J2523" s="912"/>
      <c r="K2523" s="913"/>
      <c r="L2523" s="911"/>
      <c r="M2523" s="911"/>
      <c r="N2523" s="911"/>
      <c r="O2523" s="914"/>
      <c r="P2523" s="911"/>
      <c r="Q2523" s="915"/>
      <c r="R2523" s="916"/>
      <c r="S2523" s="915"/>
      <c r="T2523" s="917"/>
      <c r="U2523" s="918"/>
      <c r="AR2523"/>
      <c r="AS2523" s="911"/>
    </row>
    <row r="2524" spans="1:45" s="886" customFormat="1" ht="11.4">
      <c r="A2524" s="919">
        <v>10</v>
      </c>
      <c r="B2524" s="920">
        <v>1</v>
      </c>
      <c r="C2524" s="920">
        <f>$A2524*$B2524</f>
        <v>10</v>
      </c>
      <c r="D2524" s="921" t="str">
        <f>Elec_Rates!$D$355</f>
        <v>034# 5 x 35mm2 XLPE/SWA/LSZH</v>
      </c>
      <c r="E2524" s="921"/>
      <c r="F2524" s="921" t="s">
        <v>2599</v>
      </c>
      <c r="G2524" s="922" t="s">
        <v>2601</v>
      </c>
      <c r="H2524" s="922"/>
      <c r="I2524" s="922"/>
      <c r="J2524" s="922"/>
      <c r="K2524" s="923"/>
      <c r="L2524" s="918"/>
      <c r="M2524" s="918"/>
      <c r="N2524" s="918"/>
      <c r="O2524" s="924"/>
      <c r="P2524" s="921"/>
      <c r="Q2524" s="925">
        <f ca="1">$B2524*Elec_Rates!$R$355</f>
        <v>23.51</v>
      </c>
      <c r="R2524" s="916">
        <f ca="1">$A2524*Q2524</f>
        <v>235.10000000000002</v>
      </c>
      <c r="S2524" s="925">
        <f ca="1">$B2524*Elec_Rates!$T$355</f>
        <v>0.16</v>
      </c>
      <c r="T2524" s="917">
        <f ca="1">$A2524*S2524</f>
        <v>1.6</v>
      </c>
      <c r="U2524" s="926"/>
      <c r="AR2524" s="919">
        <v>10</v>
      </c>
      <c r="AS2524" s="921" t="s">
        <v>2599</v>
      </c>
    </row>
    <row r="2525" spans="1:45" s="520" customFormat="1" ht="12">
      <c r="A2525" s="758"/>
      <c r="B2525" s="758"/>
      <c r="C2525" s="758"/>
      <c r="D2525" s="758"/>
      <c r="E2525" s="758"/>
      <c r="F2525" s="753"/>
      <c r="G2525" s="758"/>
      <c r="H2525" s="758"/>
      <c r="I2525" s="519"/>
      <c r="J2525" s="758"/>
      <c r="K2525" s="758"/>
      <c r="L2525" s="758"/>
      <c r="M2525" s="758"/>
      <c r="N2525" s="758"/>
      <c r="O2525" s="758"/>
      <c r="P2525" s="758"/>
      <c r="Q2525" s="519"/>
      <c r="R2525" s="759">
        <f>$A2525*Q2525</f>
        <v>0</v>
      </c>
      <c r="S2525" s="519"/>
      <c r="T2525" s="760">
        <f>$A2525*S2525*$T$1</f>
        <v>0</v>
      </c>
      <c r="AR2525" s="758"/>
      <c r="AS2525" s="753"/>
    </row>
    <row r="2526" spans="1:45" s="520" customFormat="1" ht="12.6" thickBot="1">
      <c r="A2526" s="761" t="s">
        <v>145</v>
      </c>
      <c r="B2526" s="762">
        <f>(R2525+T2525)</f>
        <v>0</v>
      </c>
      <c r="C2526" s="763"/>
      <c r="D2526" s="763"/>
      <c r="E2526" s="763"/>
      <c r="F2526" s="764"/>
      <c r="G2526" s="763" t="s">
        <v>146</v>
      </c>
      <c r="H2526" s="763"/>
      <c r="I2526" s="765"/>
      <c r="J2526" s="763"/>
      <c r="K2526" s="763" t="s">
        <v>3</v>
      </c>
      <c r="L2526" s="766" t="s">
        <v>143</v>
      </c>
      <c r="M2526" s="766"/>
      <c r="N2526" s="766"/>
      <c r="O2526" s="766"/>
      <c r="P2526" s="766"/>
      <c r="Q2526" s="767"/>
      <c r="R2526" s="768">
        <f ca="1">SUM(R2522:R2525)</f>
        <v>235.10000000000002</v>
      </c>
      <c r="S2526" s="763"/>
      <c r="T2526" s="768">
        <f ca="1">SUM(T2522:T2525)</f>
        <v>1.6</v>
      </c>
      <c r="U2526" s="531"/>
      <c r="V2526" s="531"/>
      <c r="W2526" s="531"/>
      <c r="X2526" s="531"/>
      <c r="Y2526" s="531"/>
      <c r="Z2526" s="531"/>
      <c r="AA2526" s="531"/>
      <c r="AB2526" s="531"/>
      <c r="AC2526" s="531"/>
      <c r="AD2526" s="531"/>
      <c r="AE2526" s="531"/>
      <c r="AF2526" s="531"/>
      <c r="AG2526" s="531"/>
      <c r="AH2526" s="531"/>
      <c r="AI2526" s="531"/>
      <c r="AJ2526" s="531"/>
      <c r="AK2526" s="531"/>
      <c r="AL2526" s="531"/>
      <c r="AM2526" s="531"/>
      <c r="AN2526" s="531"/>
      <c r="AO2526" s="531"/>
      <c r="AR2526" s="761" t="s">
        <v>145</v>
      </c>
      <c r="AS2526" s="764"/>
    </row>
    <row r="2527" spans="1:45" s="520" customFormat="1" thickTop="1">
      <c r="A2527" s="51"/>
      <c r="B2527" s="51"/>
      <c r="C2527" s="3"/>
      <c r="D2527" s="3"/>
      <c r="E2527" s="51"/>
      <c r="F2527" s="51"/>
      <c r="G2527" s="51"/>
      <c r="H2527" s="51"/>
      <c r="I2527" s="51"/>
      <c r="J2527" s="51"/>
      <c r="K2527" s="51" t="s">
        <v>134</v>
      </c>
      <c r="L2527" s="51"/>
      <c r="M2527" s="51"/>
      <c r="N2527" s="51"/>
      <c r="O2527" s="52"/>
      <c r="P2527" s="51"/>
      <c r="Q2527" s="51"/>
      <c r="R2527" s="51"/>
      <c r="S2527" s="51"/>
      <c r="T2527" s="51"/>
      <c r="AR2527" s="51"/>
      <c r="AS2527" s="51"/>
    </row>
    <row r="2528" spans="1:45" s="520" customFormat="1" ht="12">
      <c r="A2528" s="51"/>
      <c r="B2528" s="51"/>
      <c r="C2528" s="51" t="s">
        <v>135</v>
      </c>
      <c r="D2528" s="37"/>
      <c r="E2528" s="51"/>
      <c r="F2528" s="51"/>
      <c r="G2528" s="51"/>
      <c r="H2528" s="51"/>
      <c r="I2528" s="51"/>
      <c r="J2528" s="51"/>
      <c r="K2528" s="51"/>
      <c r="L2528" s="51"/>
      <c r="M2528" s="51"/>
      <c r="N2528" s="51"/>
      <c r="O2528" s="52"/>
      <c r="P2528" s="51"/>
      <c r="Q2528" s="51"/>
      <c r="R2528" s="51"/>
      <c r="S2528" s="51"/>
      <c r="T2528" s="51"/>
      <c r="AR2528" s="51"/>
      <c r="AS2528" s="51"/>
    </row>
    <row r="2529" spans="1:45" s="520" customFormat="1" ht="12">
      <c r="A2529" s="51"/>
      <c r="B2529" s="51"/>
      <c r="C2529" s="51"/>
      <c r="D2529" s="37" t="s">
        <v>708</v>
      </c>
      <c r="E2529" s="51"/>
      <c r="F2529" s="51"/>
      <c r="G2529" s="51"/>
      <c r="H2529" s="51"/>
      <c r="I2529" s="51"/>
      <c r="J2529" s="51"/>
      <c r="K2529" s="51"/>
      <c r="L2529" s="51"/>
      <c r="M2529" s="51"/>
      <c r="N2529" s="51"/>
      <c r="O2529" s="52"/>
      <c r="P2529" s="51"/>
      <c r="Q2529" s="51"/>
      <c r="R2529" s="51"/>
      <c r="S2529" s="38"/>
      <c r="T2529" s="38"/>
      <c r="AR2529" s="51"/>
      <c r="AS2529" s="51"/>
    </row>
    <row r="2530" spans="1:45" s="3" customFormat="1" thickBot="1">
      <c r="A2530" s="531"/>
      <c r="O2530" s="107"/>
      <c r="AR2530" s="531"/>
    </row>
    <row r="2531" spans="1:45" s="520" customFormat="1" ht="12" thickTop="1">
      <c r="A2531" s="51"/>
      <c r="B2531" s="41"/>
      <c r="C2531" s="51"/>
      <c r="E2531" s="42" t="s">
        <v>138</v>
      </c>
      <c r="F2531" s="42" t="s">
        <v>139</v>
      </c>
      <c r="G2531" s="51"/>
      <c r="H2531" s="51"/>
      <c r="I2531" s="51"/>
      <c r="J2531" s="51"/>
      <c r="K2531" s="51" t="s">
        <v>140</v>
      </c>
      <c r="L2531" s="51"/>
      <c r="M2531" s="51"/>
      <c r="N2531" s="51"/>
      <c r="O2531" s="52"/>
      <c r="P2531" s="51"/>
      <c r="Q2531" s="51"/>
      <c r="R2531" s="51"/>
      <c r="S2531" s="51"/>
      <c r="T2531" s="41"/>
      <c r="AG2531" s="521" t="s">
        <v>268</v>
      </c>
      <c r="AH2531" s="521" t="s">
        <v>269</v>
      </c>
      <c r="AI2531" s="521" t="s">
        <v>270</v>
      </c>
      <c r="AJ2531" s="521" t="s">
        <v>271</v>
      </c>
      <c r="AK2531" s="521" t="s">
        <v>272</v>
      </c>
      <c r="AM2531" s="745" t="s">
        <v>281</v>
      </c>
      <c r="AN2531" s="746" t="s">
        <v>282</v>
      </c>
      <c r="AO2531" s="522" t="s">
        <v>278</v>
      </c>
      <c r="AR2531" s="51"/>
      <c r="AS2531" s="42" t="s">
        <v>139</v>
      </c>
    </row>
    <row r="2532" spans="1:45" s="520" customFormat="1" ht="12" customHeight="1">
      <c r="A2532" s="747">
        <v>10</v>
      </c>
      <c r="B2532" s="523" t="s">
        <v>320</v>
      </c>
      <c r="C2532" s="748"/>
      <c r="D2532" s="749" t="s">
        <v>1530</v>
      </c>
      <c r="E2532" s="750">
        <f ca="1">IF(AND($A2532=0,$A$1="DIF"),0, ROUND(ROUND(($R2537*$S$2+($T2537*$T$2))/A2532,2)*$C$2,2))</f>
        <v>34.36</v>
      </c>
      <c r="F2532" s="751">
        <f ca="1">ROUND($A2532*$E2532,2)</f>
        <v>343.6</v>
      </c>
      <c r="G2532" s="752" t="s">
        <v>142</v>
      </c>
      <c r="H2532" s="753"/>
      <c r="I2532" s="754"/>
      <c r="J2532" s="753"/>
      <c r="K2532" s="753" t="s">
        <v>3</v>
      </c>
      <c r="L2532" s="755" t="s">
        <v>143</v>
      </c>
      <c r="M2532" s="755"/>
      <c r="N2532" s="755"/>
      <c r="O2532" s="755"/>
      <c r="P2532" s="755"/>
      <c r="Q2532" s="51"/>
      <c r="T2532" s="756" t="str">
        <f ca="1">IF(AND($R2537=0,$T2537=0),"0.00","mu :" &amp; ROUND($F2532/$C$2/($R2537+$T2537*$D$9),2))</f>
        <v>mu :1.23</v>
      </c>
      <c r="W2532" s="524"/>
      <c r="AG2532" s="481">
        <f ca="1">IF($E2532=0,0,ROUND($R2537*$S$2*$C$2/$A2532,2))</f>
        <v>28.95</v>
      </c>
      <c r="AH2532" s="481">
        <f ca="1">$AG2532*$A2532</f>
        <v>289.5</v>
      </c>
      <c r="AI2532" s="525">
        <f ca="1">$E2532-$AG2532</f>
        <v>5.41</v>
      </c>
      <c r="AJ2532" s="525">
        <f ca="1">$A2532*$AI2532</f>
        <v>54.1</v>
      </c>
      <c r="AK2532" s="526">
        <f ca="1">ROUND(($AG2532+$AI2532)*$A2532,2)</f>
        <v>343.6</v>
      </c>
      <c r="AM2532" s="527">
        <f ca="1">ROUND(R2537,2)</f>
        <v>235.1</v>
      </c>
      <c r="AN2532" s="528">
        <f ca="1">ROUND(T2537,2)</f>
        <v>1.6</v>
      </c>
      <c r="AO2532" s="529">
        <f ca="1">ROUND(AM2532+AN2532,2)*A2532</f>
        <v>2367</v>
      </c>
      <c r="AR2532" s="747">
        <v>10</v>
      </c>
      <c r="AS2532" s="751">
        <v>350.4</v>
      </c>
    </row>
    <row r="2533" spans="1:45" s="520" customFormat="1" ht="13.2">
      <c r="A2533" s="748"/>
      <c r="B2533"/>
      <c r="C2533" s="748"/>
      <c r="D2533" s="749" t="s">
        <v>1531</v>
      </c>
      <c r="F2533" s="753"/>
      <c r="G2533" s="3"/>
      <c r="H2533" s="753"/>
      <c r="I2533" s="754"/>
      <c r="J2533" s="753"/>
      <c r="K2533" s="753" t="s">
        <v>144</v>
      </c>
      <c r="L2533" s="753"/>
      <c r="M2533" s="753"/>
      <c r="N2533" s="753"/>
      <c r="O2533" s="753"/>
      <c r="P2533" s="753"/>
      <c r="Q2533" s="51"/>
      <c r="R2533" s="530"/>
      <c r="S2533" s="757"/>
      <c r="T2533" s="753"/>
      <c r="AR2533" s="748"/>
      <c r="AS2533" s="753"/>
    </row>
    <row r="2534" spans="1:45" s="886" customFormat="1" ht="13.2">
      <c r="A2534"/>
      <c r="B2534" s="910"/>
      <c r="C2534" s="910" t="s">
        <v>2597</v>
      </c>
      <c r="D2534" s="910" t="str">
        <f ca="1">CELL("Address",Elec_Rates!D$355)</f>
        <v>[E25_0062_Quintano_Foods_Elec_ELV_As_Awarded.xlsx]Elec_Rates!$D$355</v>
      </c>
      <c r="E2534" s="911"/>
      <c r="F2534" s="911"/>
      <c r="G2534" s="912" t="s">
        <v>2598</v>
      </c>
      <c r="H2534" s="912"/>
      <c r="I2534" s="912"/>
      <c r="J2534" s="912"/>
      <c r="K2534" s="913"/>
      <c r="L2534" s="911"/>
      <c r="M2534" s="911"/>
      <c r="N2534" s="911"/>
      <c r="O2534" s="914"/>
      <c r="P2534" s="911"/>
      <c r="Q2534" s="915"/>
      <c r="R2534" s="916"/>
      <c r="S2534" s="915"/>
      <c r="T2534" s="917"/>
      <c r="U2534" s="918"/>
      <c r="AR2534"/>
      <c r="AS2534" s="911"/>
    </row>
    <row r="2535" spans="1:45" s="886" customFormat="1" ht="11.4">
      <c r="A2535" s="919">
        <v>10</v>
      </c>
      <c r="B2535" s="920">
        <v>1</v>
      </c>
      <c r="C2535" s="920">
        <f>$A2535*$B2535</f>
        <v>10</v>
      </c>
      <c r="D2535" s="921" t="str">
        <f>Elec_Rates!$D$355</f>
        <v>034# 5 x 35mm2 XLPE/SWA/LSZH</v>
      </c>
      <c r="E2535" s="921"/>
      <c r="F2535" s="921" t="s">
        <v>2599</v>
      </c>
      <c r="G2535" s="922" t="s">
        <v>2601</v>
      </c>
      <c r="H2535" s="922"/>
      <c r="I2535" s="922"/>
      <c r="J2535" s="922"/>
      <c r="K2535" s="923"/>
      <c r="L2535" s="918"/>
      <c r="M2535" s="918"/>
      <c r="N2535" s="918"/>
      <c r="O2535" s="924"/>
      <c r="P2535" s="921"/>
      <c r="Q2535" s="925">
        <f ca="1">$B2535*Elec_Rates!$R$355</f>
        <v>23.51</v>
      </c>
      <c r="R2535" s="916">
        <f ca="1">$A2535*Q2535</f>
        <v>235.10000000000002</v>
      </c>
      <c r="S2535" s="925">
        <f ca="1">$B2535*Elec_Rates!$T$355</f>
        <v>0.16</v>
      </c>
      <c r="T2535" s="917">
        <f ca="1">$A2535*S2535</f>
        <v>1.6</v>
      </c>
      <c r="U2535" s="926"/>
      <c r="AR2535" s="919">
        <v>10</v>
      </c>
      <c r="AS2535" s="921" t="s">
        <v>2599</v>
      </c>
    </row>
    <row r="2536" spans="1:45" s="520" customFormat="1" ht="12">
      <c r="A2536" s="758"/>
      <c r="B2536" s="758"/>
      <c r="C2536" s="758"/>
      <c r="D2536" s="758"/>
      <c r="E2536" s="758"/>
      <c r="F2536" s="753"/>
      <c r="G2536" s="758"/>
      <c r="H2536" s="758"/>
      <c r="I2536" s="519"/>
      <c r="J2536" s="758"/>
      <c r="K2536" s="758"/>
      <c r="L2536" s="758"/>
      <c r="M2536" s="758"/>
      <c r="N2536" s="758"/>
      <c r="O2536" s="758"/>
      <c r="P2536" s="758"/>
      <c r="Q2536" s="519"/>
      <c r="R2536" s="759">
        <f>$A2536*Q2536</f>
        <v>0</v>
      </c>
      <c r="S2536" s="519"/>
      <c r="T2536" s="760">
        <f>$A2536*S2536*$T$1</f>
        <v>0</v>
      </c>
      <c r="AR2536" s="758"/>
      <c r="AS2536" s="753"/>
    </row>
    <row r="2537" spans="1:45" s="520" customFormat="1" ht="12.6" thickBot="1">
      <c r="A2537" s="761" t="s">
        <v>145</v>
      </c>
      <c r="B2537" s="762">
        <f>(R2536+T2536)</f>
        <v>0</v>
      </c>
      <c r="C2537" s="763"/>
      <c r="D2537" s="763"/>
      <c r="E2537" s="763"/>
      <c r="F2537" s="764"/>
      <c r="G2537" s="763" t="s">
        <v>146</v>
      </c>
      <c r="H2537" s="763"/>
      <c r="I2537" s="765"/>
      <c r="J2537" s="763"/>
      <c r="K2537" s="763" t="s">
        <v>3</v>
      </c>
      <c r="L2537" s="766" t="s">
        <v>143</v>
      </c>
      <c r="M2537" s="766"/>
      <c r="N2537" s="766"/>
      <c r="O2537" s="766"/>
      <c r="P2537" s="766"/>
      <c r="Q2537" s="767"/>
      <c r="R2537" s="768">
        <f ca="1">SUM(R2533:R2536)</f>
        <v>235.10000000000002</v>
      </c>
      <c r="S2537" s="763"/>
      <c r="T2537" s="768">
        <f ca="1">SUM(T2533:T2536)</f>
        <v>1.6</v>
      </c>
      <c r="U2537" s="531"/>
      <c r="V2537" s="531"/>
      <c r="W2537" s="531"/>
      <c r="X2537" s="531"/>
      <c r="Y2537" s="531"/>
      <c r="Z2537" s="531"/>
      <c r="AA2537" s="531"/>
      <c r="AB2537" s="531"/>
      <c r="AC2537" s="531"/>
      <c r="AD2537" s="531"/>
      <c r="AE2537" s="531"/>
      <c r="AF2537" s="531"/>
      <c r="AG2537" s="531"/>
      <c r="AH2537" s="531"/>
      <c r="AI2537" s="531"/>
      <c r="AJ2537" s="531"/>
      <c r="AK2537" s="531"/>
      <c r="AL2537" s="531"/>
      <c r="AM2537" s="531"/>
      <c r="AN2537" s="531"/>
      <c r="AO2537" s="531"/>
      <c r="AR2537" s="761" t="s">
        <v>145</v>
      </c>
      <c r="AS2537" s="764"/>
    </row>
    <row r="2538" spans="1:45" s="520" customFormat="1" ht="12" thickTop="1">
      <c r="A2538" s="51"/>
      <c r="B2538" s="41"/>
      <c r="C2538" s="51"/>
      <c r="E2538" s="42" t="s">
        <v>138</v>
      </c>
      <c r="F2538" s="42" t="s">
        <v>139</v>
      </c>
      <c r="G2538" s="51"/>
      <c r="H2538" s="51"/>
      <c r="I2538" s="51"/>
      <c r="J2538" s="51"/>
      <c r="K2538" s="51" t="s">
        <v>140</v>
      </c>
      <c r="L2538" s="51"/>
      <c r="M2538" s="51"/>
      <c r="N2538" s="51"/>
      <c r="O2538" s="52"/>
      <c r="P2538" s="51"/>
      <c r="Q2538" s="51"/>
      <c r="R2538" s="51"/>
      <c r="S2538" s="51"/>
      <c r="T2538" s="41"/>
      <c r="AG2538" s="521" t="s">
        <v>268</v>
      </c>
      <c r="AH2538" s="521" t="s">
        <v>269</v>
      </c>
      <c r="AI2538" s="521" t="s">
        <v>270</v>
      </c>
      <c r="AJ2538" s="521" t="s">
        <v>271</v>
      </c>
      <c r="AK2538" s="521" t="s">
        <v>272</v>
      </c>
      <c r="AM2538" s="745" t="s">
        <v>281</v>
      </c>
      <c r="AN2538" s="746" t="s">
        <v>282</v>
      </c>
      <c r="AO2538" s="522" t="s">
        <v>278</v>
      </c>
      <c r="AR2538" s="51"/>
      <c r="AS2538" s="42" t="s">
        <v>139</v>
      </c>
    </row>
    <row r="2539" spans="1:45" s="520" customFormat="1" ht="12" customHeight="1">
      <c r="A2539" s="747">
        <v>5</v>
      </c>
      <c r="B2539" s="523" t="s">
        <v>320</v>
      </c>
      <c r="C2539" s="748"/>
      <c r="D2539" s="749" t="s">
        <v>1532</v>
      </c>
      <c r="E2539" s="750">
        <f ca="1">IF(AND($A2539=0,$A$1="DIF"),0, ROUND(ROUND(($R2544*$S$2+($T2544*$T$2))/A2539,2)*$C$2,2))</f>
        <v>34.36</v>
      </c>
      <c r="F2539" s="751">
        <f ca="1">ROUND($A2539*$E2539,2)</f>
        <v>171.8</v>
      </c>
      <c r="G2539" s="752" t="s">
        <v>142</v>
      </c>
      <c r="H2539" s="753"/>
      <c r="I2539" s="754"/>
      <c r="J2539" s="753"/>
      <c r="K2539" s="753" t="s">
        <v>3</v>
      </c>
      <c r="L2539" s="755" t="s">
        <v>143</v>
      </c>
      <c r="M2539" s="755"/>
      <c r="N2539" s="755"/>
      <c r="O2539" s="755"/>
      <c r="P2539" s="755"/>
      <c r="Q2539" s="51"/>
      <c r="T2539" s="756" t="str">
        <f ca="1">IF(AND($R2544=0,$T2544=0),"0.00","mu :" &amp; ROUND($F2539/$C$2/($R2544+$T2544*$D$9),2))</f>
        <v>mu :1.23</v>
      </c>
      <c r="W2539" s="524"/>
      <c r="AG2539" s="481">
        <f ca="1">IF($E2539=0,0,ROUND($R2544*$S$2*$C$2/$A2539,2))</f>
        <v>28.95</v>
      </c>
      <c r="AH2539" s="481">
        <f ca="1">$AG2539*$A2539</f>
        <v>144.75</v>
      </c>
      <c r="AI2539" s="525">
        <f ca="1">$E2539-$AG2539</f>
        <v>5.41</v>
      </c>
      <c r="AJ2539" s="525">
        <f ca="1">$A2539*$AI2539</f>
        <v>27.05</v>
      </c>
      <c r="AK2539" s="526">
        <f ca="1">ROUND(($AG2539+$AI2539)*$A2539,2)</f>
        <v>171.8</v>
      </c>
      <c r="AM2539" s="527">
        <f ca="1">ROUND(R2544,2)</f>
        <v>117.55</v>
      </c>
      <c r="AN2539" s="528">
        <f ca="1">ROUND(T2544,2)</f>
        <v>0.8</v>
      </c>
      <c r="AO2539" s="529">
        <f ca="1">ROUND(AM2539+AN2539,2)*A2539</f>
        <v>591.75</v>
      </c>
      <c r="AR2539" s="747">
        <v>5</v>
      </c>
      <c r="AS2539" s="751">
        <v>175.2</v>
      </c>
    </row>
    <row r="2540" spans="1:45" s="520" customFormat="1" ht="13.2">
      <c r="A2540" s="748"/>
      <c r="B2540"/>
      <c r="C2540" s="748"/>
      <c r="D2540" s="749" t="s">
        <v>1533</v>
      </c>
      <c r="F2540" s="753"/>
      <c r="G2540" s="3"/>
      <c r="H2540" s="753"/>
      <c r="I2540" s="754"/>
      <c r="J2540" s="753"/>
      <c r="K2540" s="753" t="s">
        <v>144</v>
      </c>
      <c r="L2540" s="753"/>
      <c r="M2540" s="753"/>
      <c r="N2540" s="753"/>
      <c r="O2540" s="753"/>
      <c r="P2540" s="753"/>
      <c r="Q2540" s="51"/>
      <c r="R2540" s="530"/>
      <c r="S2540" s="757"/>
      <c r="T2540" s="753"/>
      <c r="AR2540" s="748"/>
      <c r="AS2540" s="753"/>
    </row>
    <row r="2541" spans="1:45" s="886" customFormat="1" ht="13.2">
      <c r="A2541"/>
      <c r="B2541" s="910"/>
      <c r="C2541" s="910" t="s">
        <v>2597</v>
      </c>
      <c r="D2541" s="910" t="str">
        <f ca="1">CELL("Address",Elec_Rates!D$355)</f>
        <v>[E25_0062_Quintano_Foods_Elec_ELV_As_Awarded.xlsx]Elec_Rates!$D$355</v>
      </c>
      <c r="E2541" s="911"/>
      <c r="F2541" s="911"/>
      <c r="G2541" s="912" t="s">
        <v>2598</v>
      </c>
      <c r="H2541" s="912"/>
      <c r="I2541" s="912"/>
      <c r="J2541" s="912"/>
      <c r="K2541" s="913"/>
      <c r="L2541" s="911"/>
      <c r="M2541" s="911"/>
      <c r="N2541" s="911"/>
      <c r="O2541" s="914"/>
      <c r="P2541" s="911"/>
      <c r="Q2541" s="915"/>
      <c r="R2541" s="916"/>
      <c r="S2541" s="915"/>
      <c r="T2541" s="917"/>
      <c r="U2541" s="918"/>
      <c r="AR2541"/>
      <c r="AS2541" s="911"/>
    </row>
    <row r="2542" spans="1:45" s="886" customFormat="1" ht="11.4">
      <c r="A2542" s="919">
        <v>5</v>
      </c>
      <c r="B2542" s="920">
        <v>1</v>
      </c>
      <c r="C2542" s="920">
        <f>$A2542*$B2542</f>
        <v>5</v>
      </c>
      <c r="D2542" s="921" t="str">
        <f>Elec_Rates!$D$355</f>
        <v>034# 5 x 35mm2 XLPE/SWA/LSZH</v>
      </c>
      <c r="E2542" s="921"/>
      <c r="F2542" s="921" t="s">
        <v>2599</v>
      </c>
      <c r="G2542" s="922" t="s">
        <v>2601</v>
      </c>
      <c r="H2542" s="922"/>
      <c r="I2542" s="922"/>
      <c r="J2542" s="922"/>
      <c r="K2542" s="923"/>
      <c r="L2542" s="918"/>
      <c r="M2542" s="918"/>
      <c r="N2542" s="918"/>
      <c r="O2542" s="924"/>
      <c r="P2542" s="921"/>
      <c r="Q2542" s="925">
        <f ca="1">$B2542*Elec_Rates!$R$355</f>
        <v>23.51</v>
      </c>
      <c r="R2542" s="916">
        <f ca="1">$A2542*Q2542</f>
        <v>117.55000000000001</v>
      </c>
      <c r="S2542" s="925">
        <f ca="1">$B2542*Elec_Rates!$T$355</f>
        <v>0.16</v>
      </c>
      <c r="T2542" s="917">
        <f ca="1">$A2542*S2542</f>
        <v>0.8</v>
      </c>
      <c r="U2542" s="926"/>
      <c r="AR2542" s="919">
        <v>5</v>
      </c>
      <c r="AS2542" s="921" t="s">
        <v>2599</v>
      </c>
    </row>
    <row r="2543" spans="1:45" s="520" customFormat="1" ht="12">
      <c r="A2543" s="758"/>
      <c r="B2543" s="758"/>
      <c r="C2543" s="758"/>
      <c r="D2543" s="758"/>
      <c r="E2543" s="758"/>
      <c r="F2543" s="753"/>
      <c r="G2543" s="758"/>
      <c r="H2543" s="758"/>
      <c r="I2543" s="519"/>
      <c r="J2543" s="758"/>
      <c r="K2543" s="758"/>
      <c r="L2543" s="758"/>
      <c r="M2543" s="758"/>
      <c r="N2543" s="758"/>
      <c r="O2543" s="758"/>
      <c r="P2543" s="758"/>
      <c r="Q2543" s="519"/>
      <c r="R2543" s="759">
        <f>$A2543*Q2543</f>
        <v>0</v>
      </c>
      <c r="S2543" s="519"/>
      <c r="T2543" s="760">
        <f>$A2543*S2543*$T$1</f>
        <v>0</v>
      </c>
      <c r="AR2543" s="758"/>
      <c r="AS2543" s="753"/>
    </row>
    <row r="2544" spans="1:45" s="520" customFormat="1" ht="12.6" thickBot="1">
      <c r="A2544" s="761" t="s">
        <v>145</v>
      </c>
      <c r="B2544" s="762">
        <f>(R2543+T2543)</f>
        <v>0</v>
      </c>
      <c r="C2544" s="763"/>
      <c r="D2544" s="763"/>
      <c r="E2544" s="763"/>
      <c r="F2544" s="764"/>
      <c r="G2544" s="763" t="s">
        <v>146</v>
      </c>
      <c r="H2544" s="763"/>
      <c r="I2544" s="765"/>
      <c r="J2544" s="763"/>
      <c r="K2544" s="763" t="s">
        <v>3</v>
      </c>
      <c r="L2544" s="766" t="s">
        <v>143</v>
      </c>
      <c r="M2544" s="766"/>
      <c r="N2544" s="766"/>
      <c r="O2544" s="766"/>
      <c r="P2544" s="766"/>
      <c r="Q2544" s="767"/>
      <c r="R2544" s="768">
        <f ca="1">SUM(R2540:R2543)</f>
        <v>117.55000000000001</v>
      </c>
      <c r="S2544" s="763"/>
      <c r="T2544" s="768">
        <f ca="1">SUM(T2540:T2543)</f>
        <v>0.8</v>
      </c>
      <c r="U2544" s="531"/>
      <c r="V2544" s="531"/>
      <c r="W2544" s="531"/>
      <c r="X2544" s="531"/>
      <c r="Y2544" s="531"/>
      <c r="Z2544" s="531"/>
      <c r="AA2544" s="531"/>
      <c r="AB2544" s="531"/>
      <c r="AC2544" s="531"/>
      <c r="AD2544" s="531"/>
      <c r="AE2544" s="531"/>
      <c r="AF2544" s="531"/>
      <c r="AG2544" s="531"/>
      <c r="AH2544" s="531"/>
      <c r="AI2544" s="531"/>
      <c r="AJ2544" s="531"/>
      <c r="AK2544" s="531"/>
      <c r="AL2544" s="531"/>
      <c r="AM2544" s="531"/>
      <c r="AN2544" s="531"/>
      <c r="AO2544" s="531"/>
      <c r="AR2544" s="761" t="s">
        <v>145</v>
      </c>
      <c r="AS2544" s="764"/>
    </row>
    <row r="2545" spans="1:45" s="520" customFormat="1" ht="12" thickTop="1">
      <c r="A2545" s="51"/>
      <c r="B2545" s="41"/>
      <c r="C2545" s="51"/>
      <c r="E2545" s="42" t="s">
        <v>138</v>
      </c>
      <c r="F2545" s="42" t="s">
        <v>139</v>
      </c>
      <c r="G2545" s="51"/>
      <c r="H2545" s="51"/>
      <c r="I2545" s="51"/>
      <c r="J2545" s="51"/>
      <c r="K2545" s="51" t="s">
        <v>140</v>
      </c>
      <c r="L2545" s="51"/>
      <c r="M2545" s="51"/>
      <c r="N2545" s="51"/>
      <c r="O2545" s="52"/>
      <c r="P2545" s="51"/>
      <c r="Q2545" s="51"/>
      <c r="R2545" s="51"/>
      <c r="S2545" s="51"/>
      <c r="T2545" s="41"/>
      <c r="AG2545" s="521" t="s">
        <v>268</v>
      </c>
      <c r="AH2545" s="521" t="s">
        <v>269</v>
      </c>
      <c r="AI2545" s="521" t="s">
        <v>270</v>
      </c>
      <c r="AJ2545" s="521" t="s">
        <v>271</v>
      </c>
      <c r="AK2545" s="521" t="s">
        <v>272</v>
      </c>
      <c r="AM2545" s="745" t="s">
        <v>281</v>
      </c>
      <c r="AN2545" s="746" t="s">
        <v>282</v>
      </c>
      <c r="AO2545" s="522" t="s">
        <v>278</v>
      </c>
      <c r="AR2545" s="51"/>
      <c r="AS2545" s="42" t="s">
        <v>139</v>
      </c>
    </row>
    <row r="2546" spans="1:45" s="520" customFormat="1" ht="12" customHeight="1">
      <c r="A2546" s="747">
        <v>5</v>
      </c>
      <c r="B2546" s="523" t="s">
        <v>320</v>
      </c>
      <c r="C2546" s="748"/>
      <c r="D2546" s="749" t="s">
        <v>1534</v>
      </c>
      <c r="E2546" s="750">
        <f ca="1">IF(AND($A2546=0,$A$1="DIF"),0, ROUND(ROUND(($R2551*$S$2+($T2551*$T$2))/A2546,2)*$C$2,2))</f>
        <v>34.36</v>
      </c>
      <c r="F2546" s="751">
        <f ca="1">ROUND($A2546*$E2546,2)</f>
        <v>171.8</v>
      </c>
      <c r="G2546" s="752" t="s">
        <v>142</v>
      </c>
      <c r="H2546" s="753"/>
      <c r="I2546" s="754"/>
      <c r="J2546" s="753"/>
      <c r="K2546" s="753" t="s">
        <v>3</v>
      </c>
      <c r="L2546" s="755" t="s">
        <v>143</v>
      </c>
      <c r="M2546" s="755"/>
      <c r="N2546" s="755"/>
      <c r="O2546" s="755"/>
      <c r="P2546" s="755"/>
      <c r="Q2546" s="51"/>
      <c r="T2546" s="756" t="str">
        <f ca="1">IF(AND($R2551=0,$T2551=0),"0.00","mu :" &amp; ROUND($F2546/$C$2/($R2551+$T2551*$D$9),2))</f>
        <v>mu :1.23</v>
      </c>
      <c r="W2546" s="524"/>
      <c r="AG2546" s="481">
        <f ca="1">IF($E2546=0,0,ROUND($R2551*$S$2*$C$2/$A2546,2))</f>
        <v>28.95</v>
      </c>
      <c r="AH2546" s="481">
        <f ca="1">$AG2546*$A2546</f>
        <v>144.75</v>
      </c>
      <c r="AI2546" s="525">
        <f ca="1">$E2546-$AG2546</f>
        <v>5.41</v>
      </c>
      <c r="AJ2546" s="525">
        <f ca="1">$A2546*$AI2546</f>
        <v>27.05</v>
      </c>
      <c r="AK2546" s="526">
        <f ca="1">ROUND(($AG2546+$AI2546)*$A2546,2)</f>
        <v>171.8</v>
      </c>
      <c r="AM2546" s="527">
        <f ca="1">ROUND(R2551,2)</f>
        <v>117.55</v>
      </c>
      <c r="AN2546" s="528">
        <f ca="1">ROUND(T2551,2)</f>
        <v>0.8</v>
      </c>
      <c r="AO2546" s="529">
        <f ca="1">ROUND(AM2546+AN2546,2)*A2546</f>
        <v>591.75</v>
      </c>
      <c r="AR2546" s="747">
        <v>5</v>
      </c>
      <c r="AS2546" s="751">
        <v>175.2</v>
      </c>
    </row>
    <row r="2547" spans="1:45" s="520" customFormat="1" ht="13.2">
      <c r="A2547" s="748"/>
      <c r="B2547"/>
      <c r="C2547" s="748"/>
      <c r="D2547" s="749" t="s">
        <v>1535</v>
      </c>
      <c r="F2547" s="753"/>
      <c r="G2547" s="3"/>
      <c r="H2547" s="753"/>
      <c r="I2547" s="754"/>
      <c r="J2547" s="753"/>
      <c r="K2547" s="753" t="s">
        <v>144</v>
      </c>
      <c r="L2547" s="753"/>
      <c r="M2547" s="753"/>
      <c r="N2547" s="753"/>
      <c r="O2547" s="753"/>
      <c r="P2547" s="753"/>
      <c r="Q2547" s="51"/>
      <c r="R2547" s="530"/>
      <c r="S2547" s="757"/>
      <c r="T2547" s="753"/>
      <c r="AR2547" s="748"/>
      <c r="AS2547" s="753"/>
    </row>
    <row r="2548" spans="1:45" s="886" customFormat="1" ht="13.2">
      <c r="A2548"/>
      <c r="B2548" s="910"/>
      <c r="C2548" s="910" t="s">
        <v>2597</v>
      </c>
      <c r="D2548" s="910" t="str">
        <f ca="1">CELL("Address",Elec_Rates!D$355)</f>
        <v>[E25_0062_Quintano_Foods_Elec_ELV_As_Awarded.xlsx]Elec_Rates!$D$355</v>
      </c>
      <c r="E2548" s="911"/>
      <c r="F2548" s="911"/>
      <c r="G2548" s="912" t="s">
        <v>2598</v>
      </c>
      <c r="H2548" s="912"/>
      <c r="I2548" s="912"/>
      <c r="J2548" s="912"/>
      <c r="K2548" s="913"/>
      <c r="L2548" s="911"/>
      <c r="M2548" s="911"/>
      <c r="N2548" s="911"/>
      <c r="O2548" s="914"/>
      <c r="P2548" s="911"/>
      <c r="Q2548" s="915"/>
      <c r="R2548" s="916"/>
      <c r="S2548" s="915"/>
      <c r="T2548" s="917"/>
      <c r="U2548" s="918"/>
      <c r="AR2548"/>
      <c r="AS2548" s="911"/>
    </row>
    <row r="2549" spans="1:45" s="886" customFormat="1" ht="11.4">
      <c r="A2549" s="919">
        <v>5</v>
      </c>
      <c r="B2549" s="920">
        <v>1</v>
      </c>
      <c r="C2549" s="920">
        <f>$A2549*$B2549</f>
        <v>5</v>
      </c>
      <c r="D2549" s="921" t="str">
        <f>Elec_Rates!$D$355</f>
        <v>034# 5 x 35mm2 XLPE/SWA/LSZH</v>
      </c>
      <c r="E2549" s="921"/>
      <c r="F2549" s="921" t="s">
        <v>2599</v>
      </c>
      <c r="G2549" s="922" t="s">
        <v>2601</v>
      </c>
      <c r="H2549" s="922"/>
      <c r="I2549" s="922"/>
      <c r="J2549" s="922"/>
      <c r="K2549" s="923"/>
      <c r="L2549" s="918"/>
      <c r="M2549" s="918"/>
      <c r="N2549" s="918"/>
      <c r="O2549" s="924"/>
      <c r="P2549" s="921"/>
      <c r="Q2549" s="925">
        <f ca="1">$B2549*Elec_Rates!$R$355</f>
        <v>23.51</v>
      </c>
      <c r="R2549" s="916">
        <f ca="1">$A2549*Q2549</f>
        <v>117.55000000000001</v>
      </c>
      <c r="S2549" s="925">
        <f ca="1">$B2549*Elec_Rates!$T$355</f>
        <v>0.16</v>
      </c>
      <c r="T2549" s="917">
        <f ca="1">$A2549*S2549</f>
        <v>0.8</v>
      </c>
      <c r="U2549" s="926"/>
      <c r="AR2549" s="919">
        <v>5</v>
      </c>
      <c r="AS2549" s="921" t="s">
        <v>2599</v>
      </c>
    </row>
    <row r="2550" spans="1:45" s="520" customFormat="1" ht="12">
      <c r="A2550" s="758"/>
      <c r="B2550" s="758"/>
      <c r="C2550" s="758"/>
      <c r="D2550" s="758"/>
      <c r="E2550" s="758"/>
      <c r="F2550" s="753"/>
      <c r="G2550" s="758"/>
      <c r="H2550" s="758"/>
      <c r="I2550" s="519"/>
      <c r="J2550" s="758"/>
      <c r="K2550" s="758"/>
      <c r="L2550" s="758"/>
      <c r="M2550" s="758"/>
      <c r="N2550" s="758"/>
      <c r="O2550" s="758"/>
      <c r="P2550" s="758"/>
      <c r="Q2550" s="519"/>
      <c r="R2550" s="759">
        <f>$A2550*Q2550</f>
        <v>0</v>
      </c>
      <c r="S2550" s="519"/>
      <c r="T2550" s="760">
        <f>$A2550*S2550*$T$1</f>
        <v>0</v>
      </c>
      <c r="AR2550" s="758"/>
      <c r="AS2550" s="753"/>
    </row>
    <row r="2551" spans="1:45" s="520" customFormat="1" ht="12.6" thickBot="1">
      <c r="A2551" s="761" t="s">
        <v>145</v>
      </c>
      <c r="B2551" s="762">
        <f>(R2550+T2550)</f>
        <v>0</v>
      </c>
      <c r="C2551" s="763"/>
      <c r="D2551" s="763"/>
      <c r="E2551" s="763"/>
      <c r="F2551" s="764"/>
      <c r="G2551" s="763" t="s">
        <v>146</v>
      </c>
      <c r="H2551" s="763"/>
      <c r="I2551" s="765"/>
      <c r="J2551" s="763"/>
      <c r="K2551" s="763" t="s">
        <v>3</v>
      </c>
      <c r="L2551" s="766" t="s">
        <v>143</v>
      </c>
      <c r="M2551" s="766"/>
      <c r="N2551" s="766"/>
      <c r="O2551" s="766"/>
      <c r="P2551" s="766"/>
      <c r="Q2551" s="767"/>
      <c r="R2551" s="768">
        <f ca="1">SUM(R2547:R2550)</f>
        <v>117.55000000000001</v>
      </c>
      <c r="S2551" s="763"/>
      <c r="T2551" s="768">
        <f ca="1">SUM(T2547:T2550)</f>
        <v>0.8</v>
      </c>
      <c r="U2551" s="531"/>
      <c r="V2551" s="531"/>
      <c r="W2551" s="531"/>
      <c r="X2551" s="531"/>
      <c r="Y2551" s="531"/>
      <c r="Z2551" s="531"/>
      <c r="AA2551" s="531"/>
      <c r="AB2551" s="531"/>
      <c r="AC2551" s="531"/>
      <c r="AD2551" s="531"/>
      <c r="AE2551" s="531"/>
      <c r="AF2551" s="531"/>
      <c r="AG2551" s="531"/>
      <c r="AH2551" s="531"/>
      <c r="AI2551" s="531"/>
      <c r="AJ2551" s="531"/>
      <c r="AK2551" s="531"/>
      <c r="AL2551" s="531"/>
      <c r="AM2551" s="531"/>
      <c r="AN2551" s="531"/>
      <c r="AO2551" s="531"/>
      <c r="AR2551" s="761" t="s">
        <v>145</v>
      </c>
      <c r="AS2551" s="764"/>
    </row>
    <row r="2552" spans="1:45" s="520" customFormat="1" thickTop="1">
      <c r="A2552" s="51"/>
      <c r="B2552" s="51"/>
      <c r="C2552" s="3"/>
      <c r="D2552" s="3"/>
      <c r="E2552" s="51"/>
      <c r="F2552" s="51"/>
      <c r="G2552" s="51"/>
      <c r="H2552" s="51"/>
      <c r="I2552" s="51"/>
      <c r="J2552" s="51"/>
      <c r="K2552" s="51" t="s">
        <v>134</v>
      </c>
      <c r="L2552" s="51"/>
      <c r="M2552" s="51"/>
      <c r="N2552" s="51"/>
      <c r="O2552" s="52"/>
      <c r="P2552" s="51"/>
      <c r="Q2552" s="51"/>
      <c r="R2552" s="51"/>
      <c r="S2552" s="51"/>
      <c r="T2552" s="51"/>
      <c r="AR2552" s="51"/>
      <c r="AS2552" s="51"/>
    </row>
    <row r="2553" spans="1:45" s="520" customFormat="1" ht="12">
      <c r="A2553" s="51"/>
      <c r="B2553" s="51"/>
      <c r="C2553" s="51" t="s">
        <v>135</v>
      </c>
      <c r="D2553" s="37"/>
      <c r="E2553" s="51"/>
      <c r="F2553" s="51"/>
      <c r="G2553" s="51"/>
      <c r="H2553" s="51"/>
      <c r="I2553" s="51"/>
      <c r="J2553" s="51"/>
      <c r="K2553" s="51"/>
      <c r="L2553" s="51"/>
      <c r="M2553" s="51"/>
      <c r="N2553" s="51"/>
      <c r="O2553" s="52"/>
      <c r="P2553" s="51"/>
      <c r="Q2553" s="51"/>
      <c r="R2553" s="51"/>
      <c r="S2553" s="51"/>
      <c r="T2553" s="51"/>
      <c r="AR2553" s="51"/>
      <c r="AS2553" s="51"/>
    </row>
    <row r="2554" spans="1:45" s="520" customFormat="1" ht="39.9" customHeight="1">
      <c r="A2554" s="51"/>
      <c r="B2554" s="51"/>
      <c r="C2554" s="51"/>
      <c r="D2554" s="1453" t="s">
        <v>498</v>
      </c>
      <c r="E2554" s="1452"/>
      <c r="F2554" s="1452"/>
      <c r="G2554" s="1452"/>
      <c r="H2554" s="1452"/>
      <c r="I2554" s="1452"/>
      <c r="J2554" s="1452"/>
      <c r="K2554" s="1452"/>
      <c r="L2554" s="1452"/>
      <c r="M2554" s="1452"/>
      <c r="N2554" s="1452"/>
      <c r="O2554" s="1452"/>
      <c r="P2554" s="1452"/>
      <c r="Q2554" s="1452"/>
      <c r="R2554" s="1452"/>
      <c r="S2554" s="1452"/>
      <c r="T2554" s="1452"/>
      <c r="AR2554" s="51"/>
    </row>
    <row r="2555" spans="1:45" s="3" customFormat="1" thickBot="1">
      <c r="A2555" s="531"/>
      <c r="O2555" s="107"/>
      <c r="AR2555" s="531"/>
    </row>
    <row r="2556" spans="1:45" s="520" customFormat="1" thickTop="1">
      <c r="A2556" s="51"/>
      <c r="B2556" s="51"/>
      <c r="C2556" s="3"/>
      <c r="D2556" s="3"/>
      <c r="E2556" s="51"/>
      <c r="F2556" s="51"/>
      <c r="G2556" s="51"/>
      <c r="H2556" s="51"/>
      <c r="I2556" s="51"/>
      <c r="J2556" s="51"/>
      <c r="K2556" s="51" t="s">
        <v>134</v>
      </c>
      <c r="L2556" s="51"/>
      <c r="M2556" s="51"/>
      <c r="N2556" s="51"/>
      <c r="O2556" s="52"/>
      <c r="P2556" s="51"/>
      <c r="Q2556" s="51"/>
      <c r="R2556" s="51"/>
      <c r="S2556" s="51"/>
      <c r="T2556" s="51"/>
      <c r="AR2556" s="51"/>
      <c r="AS2556" s="51"/>
    </row>
    <row r="2557" spans="1:45" s="520" customFormat="1" ht="12">
      <c r="A2557" s="51"/>
      <c r="B2557" s="51"/>
      <c r="C2557" s="51" t="s">
        <v>135</v>
      </c>
      <c r="D2557" s="37"/>
      <c r="E2557" s="51"/>
      <c r="F2557" s="51"/>
      <c r="G2557" s="51"/>
      <c r="H2557" s="51"/>
      <c r="I2557" s="51"/>
      <c r="J2557" s="51"/>
      <c r="K2557" s="51"/>
      <c r="L2557" s="51"/>
      <c r="M2557" s="51"/>
      <c r="N2557" s="51"/>
      <c r="O2557" s="52"/>
      <c r="P2557" s="51"/>
      <c r="Q2557" s="51"/>
      <c r="R2557" s="51"/>
      <c r="S2557" s="51"/>
      <c r="T2557" s="51"/>
      <c r="AR2557" s="51"/>
      <c r="AS2557" s="51"/>
    </row>
    <row r="2558" spans="1:45" s="520" customFormat="1" ht="12">
      <c r="A2558" s="51"/>
      <c r="B2558" s="51"/>
      <c r="C2558" s="51"/>
      <c r="D2558" s="37" t="s">
        <v>712</v>
      </c>
      <c r="E2558" s="51"/>
      <c r="F2558" s="51"/>
      <c r="G2558" s="51"/>
      <c r="H2558" s="51"/>
      <c r="I2558" s="51"/>
      <c r="J2558" s="51"/>
      <c r="K2558" s="51"/>
      <c r="L2558" s="51"/>
      <c r="M2558" s="51"/>
      <c r="N2558" s="51"/>
      <c r="O2558" s="52"/>
      <c r="P2558" s="51"/>
      <c r="Q2558" s="51"/>
      <c r="R2558" s="51"/>
      <c r="S2558" s="38"/>
      <c r="T2558" s="38"/>
      <c r="AR2558" s="51"/>
      <c r="AS2558" s="51"/>
    </row>
    <row r="2559" spans="1:45" s="3" customFormat="1" thickBot="1">
      <c r="A2559" s="531"/>
      <c r="O2559" s="107"/>
      <c r="AR2559" s="531"/>
    </row>
    <row r="2560" spans="1:45" s="520" customFormat="1" ht="12" thickTop="1">
      <c r="A2560" s="51"/>
      <c r="B2560" s="41"/>
      <c r="C2560" s="51"/>
      <c r="E2560" s="42" t="s">
        <v>138</v>
      </c>
      <c r="F2560" s="42" t="s">
        <v>139</v>
      </c>
      <c r="G2560" s="51"/>
      <c r="H2560" s="51"/>
      <c r="I2560" s="51"/>
      <c r="J2560" s="51"/>
      <c r="K2560" s="51" t="s">
        <v>140</v>
      </c>
      <c r="L2560" s="51"/>
      <c r="M2560" s="51"/>
      <c r="N2560" s="51"/>
      <c r="O2560" s="52"/>
      <c r="P2560" s="51"/>
      <c r="Q2560" s="51"/>
      <c r="R2560" s="51"/>
      <c r="S2560" s="51"/>
      <c r="T2560" s="41"/>
      <c r="AG2560" s="521" t="s">
        <v>268</v>
      </c>
      <c r="AH2560" s="521" t="s">
        <v>269</v>
      </c>
      <c r="AI2560" s="521" t="s">
        <v>270</v>
      </c>
      <c r="AJ2560" s="521" t="s">
        <v>271</v>
      </c>
      <c r="AK2560" s="521" t="s">
        <v>272</v>
      </c>
      <c r="AM2560" s="745" t="s">
        <v>281</v>
      </c>
      <c r="AN2560" s="746" t="s">
        <v>282</v>
      </c>
      <c r="AO2560" s="522" t="s">
        <v>278</v>
      </c>
      <c r="AR2560" s="51"/>
      <c r="AS2560" s="42" t="s">
        <v>139</v>
      </c>
    </row>
    <row r="2561" spans="1:45" s="520" customFormat="1" ht="12" customHeight="1">
      <c r="A2561" s="747">
        <v>5</v>
      </c>
      <c r="B2561" s="523" t="s">
        <v>320</v>
      </c>
      <c r="C2561" s="748"/>
      <c r="D2561" s="749" t="s">
        <v>1536</v>
      </c>
      <c r="E2561" s="750">
        <f ca="1">IF(AND($A2561=0,$A$1="DIF"),0, ROUND(ROUND(($R2566*$S$2+($T2566*$T$2))/A2561,2)*$C$2,2))</f>
        <v>11.7</v>
      </c>
      <c r="F2561" s="751">
        <f ca="1">ROUND($A2561*$E2561,2)</f>
        <v>58.5</v>
      </c>
      <c r="G2561" s="752" t="s">
        <v>142</v>
      </c>
      <c r="H2561" s="753"/>
      <c r="I2561" s="754"/>
      <c r="J2561" s="753"/>
      <c r="K2561" s="753" t="s">
        <v>3</v>
      </c>
      <c r="L2561" s="755" t="s">
        <v>143</v>
      </c>
      <c r="M2561" s="755"/>
      <c r="N2561" s="755"/>
      <c r="O2561" s="755"/>
      <c r="P2561" s="755"/>
      <c r="Q2561" s="51"/>
      <c r="T2561" s="756" t="str">
        <f ca="1">IF(AND($R2566=0,$T2566=0),"0.00","mu :" &amp; ROUND($F2561/$C$2/($R2566+$T2566*$D$9),2))</f>
        <v>mu :1.23</v>
      </c>
      <c r="W2561" s="524"/>
      <c r="AG2561" s="481">
        <f ca="1">IF($E2561=0,0,ROUND($R2566*$S$2*$C$2/$A2561,2))</f>
        <v>5.95</v>
      </c>
      <c r="AH2561" s="481">
        <f ca="1">$AG2561*$A2561</f>
        <v>29.75</v>
      </c>
      <c r="AI2561" s="525">
        <f ca="1">$E2561-$AG2561</f>
        <v>5.7499999999999991</v>
      </c>
      <c r="AJ2561" s="525">
        <f ca="1">$A2561*$AI2561</f>
        <v>28.749999999999996</v>
      </c>
      <c r="AK2561" s="526">
        <f ca="1">ROUND(($AG2561+$AI2561)*$A2561,2)</f>
        <v>58.5</v>
      </c>
      <c r="AM2561" s="527">
        <f ca="1">ROUND(R2566,2)</f>
        <v>24.15</v>
      </c>
      <c r="AN2561" s="528">
        <f ca="1">ROUND(T2566,2)</f>
        <v>0.85</v>
      </c>
      <c r="AO2561" s="529">
        <f ca="1">ROUND(AM2561+AN2561,2)*A2561</f>
        <v>125</v>
      </c>
      <c r="AR2561" s="747">
        <v>5</v>
      </c>
      <c r="AS2561" s="751">
        <v>61.85</v>
      </c>
    </row>
    <row r="2562" spans="1:45" s="520" customFormat="1" ht="13.2">
      <c r="A2562" s="748"/>
      <c r="B2562"/>
      <c r="C2562" s="748"/>
      <c r="D2562" s="749" t="s">
        <v>1537</v>
      </c>
      <c r="F2562" s="753"/>
      <c r="G2562" s="3"/>
      <c r="H2562" s="753"/>
      <c r="I2562" s="754"/>
      <c r="J2562" s="753"/>
      <c r="K2562" s="753" t="s">
        <v>144</v>
      </c>
      <c r="L2562" s="753"/>
      <c r="M2562" s="753"/>
      <c r="N2562" s="753"/>
      <c r="O2562" s="753"/>
      <c r="P2562" s="753"/>
      <c r="Q2562" s="51"/>
      <c r="R2562" s="530"/>
      <c r="S2562" s="757"/>
      <c r="T2562" s="753"/>
      <c r="AR2562" s="748"/>
      <c r="AS2562" s="753"/>
    </row>
    <row r="2563" spans="1:45" s="886" customFormat="1" ht="13.2">
      <c r="A2563"/>
      <c r="B2563" s="910"/>
      <c r="C2563" s="910" t="s">
        <v>2597</v>
      </c>
      <c r="D2563" s="910" t="str">
        <f ca="1">CELL("Address",Elec_Rates!D$448)</f>
        <v>[E25_0062_Quintano_Foods_Elec_ELV_As_Awarded.xlsx]Elec_Rates!$D$448</v>
      </c>
      <c r="E2563" s="911"/>
      <c r="F2563" s="911"/>
      <c r="G2563" s="912" t="s">
        <v>2598</v>
      </c>
      <c r="H2563" s="912"/>
      <c r="I2563" s="912"/>
      <c r="J2563" s="912"/>
      <c r="K2563" s="913"/>
      <c r="L2563" s="911"/>
      <c r="M2563" s="911"/>
      <c r="N2563" s="911"/>
      <c r="O2563" s="914"/>
      <c r="P2563" s="911"/>
      <c r="Q2563" s="915"/>
      <c r="R2563" s="916"/>
      <c r="S2563" s="915"/>
      <c r="T2563" s="917"/>
      <c r="U2563" s="918"/>
      <c r="AR2563"/>
      <c r="AS2563" s="911"/>
    </row>
    <row r="2564" spans="1:45" s="886" customFormat="1" ht="11.4">
      <c r="A2564" s="919">
        <v>5</v>
      </c>
      <c r="B2564" s="920">
        <v>1</v>
      </c>
      <c r="C2564" s="920">
        <f>$A2564*$B2564</f>
        <v>5</v>
      </c>
      <c r="D2564" s="921" t="str">
        <f>Elec_Rates!$D$448</f>
        <v>043# 3 x 6mm2 LSZH/LSZH</v>
      </c>
      <c r="E2564" s="921"/>
      <c r="F2564" s="921" t="s">
        <v>2599</v>
      </c>
      <c r="G2564" s="922" t="s">
        <v>2601</v>
      </c>
      <c r="H2564" s="922"/>
      <c r="I2564" s="922"/>
      <c r="J2564" s="922"/>
      <c r="K2564" s="923"/>
      <c r="L2564" s="918"/>
      <c r="M2564" s="918"/>
      <c r="N2564" s="918"/>
      <c r="O2564" s="924"/>
      <c r="P2564" s="921"/>
      <c r="Q2564" s="925">
        <f ca="1">$B2564*Elec_Rates!$R$448</f>
        <v>4.83</v>
      </c>
      <c r="R2564" s="916">
        <f ca="1">$A2564*Q2564</f>
        <v>24.15</v>
      </c>
      <c r="S2564" s="925">
        <f ca="1">$B2564*Elec_Rates!$T$448</f>
        <v>0.17</v>
      </c>
      <c r="T2564" s="917">
        <f ca="1">$A2564*S2564</f>
        <v>0.85000000000000009</v>
      </c>
      <c r="U2564" s="926"/>
      <c r="AR2564" s="919">
        <v>5</v>
      </c>
      <c r="AS2564" s="921" t="s">
        <v>2599</v>
      </c>
    </row>
    <row r="2565" spans="1:45" s="520" customFormat="1" ht="12">
      <c r="A2565" s="758"/>
      <c r="B2565" s="758"/>
      <c r="C2565" s="758"/>
      <c r="D2565" s="758"/>
      <c r="E2565" s="758"/>
      <c r="F2565" s="753"/>
      <c r="G2565" s="758"/>
      <c r="H2565" s="758"/>
      <c r="I2565" s="519"/>
      <c r="J2565" s="758"/>
      <c r="K2565" s="758"/>
      <c r="L2565" s="758"/>
      <c r="M2565" s="758"/>
      <c r="N2565" s="758"/>
      <c r="O2565" s="758"/>
      <c r="P2565" s="758"/>
      <c r="Q2565" s="519"/>
      <c r="R2565" s="759">
        <f>$A2565*Q2565</f>
        <v>0</v>
      </c>
      <c r="S2565" s="519"/>
      <c r="T2565" s="760">
        <f>$A2565*S2565*$T$1</f>
        <v>0</v>
      </c>
      <c r="AR2565" s="758"/>
      <c r="AS2565" s="753"/>
    </row>
    <row r="2566" spans="1:45" s="520" customFormat="1" ht="12.6" thickBot="1">
      <c r="A2566" s="761" t="s">
        <v>145</v>
      </c>
      <c r="B2566" s="762">
        <f>(R2565+T2565)</f>
        <v>0</v>
      </c>
      <c r="C2566" s="763"/>
      <c r="D2566" s="763"/>
      <c r="E2566" s="763"/>
      <c r="F2566" s="764"/>
      <c r="G2566" s="763" t="s">
        <v>146</v>
      </c>
      <c r="H2566" s="763"/>
      <c r="I2566" s="765"/>
      <c r="J2566" s="763"/>
      <c r="K2566" s="763" t="s">
        <v>3</v>
      </c>
      <c r="L2566" s="766" t="s">
        <v>143</v>
      </c>
      <c r="M2566" s="766"/>
      <c r="N2566" s="766"/>
      <c r="O2566" s="766"/>
      <c r="P2566" s="766"/>
      <c r="Q2566" s="767"/>
      <c r="R2566" s="768">
        <f ca="1">SUM(R2562:R2565)</f>
        <v>24.15</v>
      </c>
      <c r="S2566" s="763"/>
      <c r="T2566" s="768">
        <f ca="1">SUM(T2562:T2565)</f>
        <v>0.85000000000000009</v>
      </c>
      <c r="U2566" s="531"/>
      <c r="V2566" s="531"/>
      <c r="W2566" s="531"/>
      <c r="X2566" s="531"/>
      <c r="Y2566" s="531"/>
      <c r="Z2566" s="531"/>
      <c r="AA2566" s="531"/>
      <c r="AB2566" s="531"/>
      <c r="AC2566" s="531"/>
      <c r="AD2566" s="531"/>
      <c r="AE2566" s="531"/>
      <c r="AF2566" s="531"/>
      <c r="AG2566" s="531"/>
      <c r="AH2566" s="531"/>
      <c r="AI2566" s="531"/>
      <c r="AJ2566" s="531"/>
      <c r="AK2566" s="531"/>
      <c r="AL2566" s="531"/>
      <c r="AM2566" s="531"/>
      <c r="AN2566" s="531"/>
      <c r="AO2566" s="531"/>
      <c r="AR2566" s="761" t="s">
        <v>145</v>
      </c>
      <c r="AS2566" s="764"/>
    </row>
    <row r="2567" spans="1:45" s="520" customFormat="1" thickTop="1">
      <c r="A2567" s="51"/>
      <c r="B2567" s="51"/>
      <c r="C2567" s="3"/>
      <c r="D2567" s="3"/>
      <c r="E2567" s="51"/>
      <c r="F2567" s="51"/>
      <c r="G2567" s="51"/>
      <c r="H2567" s="51"/>
      <c r="I2567" s="51"/>
      <c r="J2567" s="51"/>
      <c r="K2567" s="51" t="s">
        <v>134</v>
      </c>
      <c r="L2567" s="51"/>
      <c r="M2567" s="51"/>
      <c r="N2567" s="51"/>
      <c r="O2567" s="52"/>
      <c r="P2567" s="51"/>
      <c r="Q2567" s="51"/>
      <c r="R2567" s="51"/>
      <c r="S2567" s="51"/>
      <c r="T2567" s="51"/>
      <c r="AR2567" s="51"/>
      <c r="AS2567" s="51"/>
    </row>
    <row r="2568" spans="1:45" s="520" customFormat="1" ht="12">
      <c r="A2568" s="51"/>
      <c r="B2568" s="51"/>
      <c r="C2568" s="51" t="s">
        <v>135</v>
      </c>
      <c r="D2568" s="37"/>
      <c r="E2568" s="51"/>
      <c r="F2568" s="51"/>
      <c r="G2568" s="51"/>
      <c r="H2568" s="51"/>
      <c r="I2568" s="51"/>
      <c r="J2568" s="51"/>
      <c r="K2568" s="51"/>
      <c r="L2568" s="51"/>
      <c r="M2568" s="51"/>
      <c r="N2568" s="51"/>
      <c r="O2568" s="52"/>
      <c r="P2568" s="51"/>
      <c r="Q2568" s="51"/>
      <c r="R2568" s="51"/>
      <c r="S2568" s="51"/>
      <c r="T2568" s="51"/>
      <c r="AR2568" s="51"/>
      <c r="AS2568" s="51"/>
    </row>
    <row r="2569" spans="1:45" s="520" customFormat="1" ht="12">
      <c r="A2569" s="51"/>
      <c r="B2569" s="51"/>
      <c r="C2569" s="51"/>
      <c r="D2569" s="37" t="s">
        <v>714</v>
      </c>
      <c r="E2569" s="51"/>
      <c r="F2569" s="51"/>
      <c r="G2569" s="51"/>
      <c r="H2569" s="51"/>
      <c r="I2569" s="51"/>
      <c r="J2569" s="51"/>
      <c r="K2569" s="51"/>
      <c r="L2569" s="51"/>
      <c r="M2569" s="51"/>
      <c r="N2569" s="51"/>
      <c r="O2569" s="52"/>
      <c r="P2569" s="51"/>
      <c r="Q2569" s="51"/>
      <c r="R2569" s="51"/>
      <c r="S2569" s="38"/>
      <c r="T2569" s="38"/>
      <c r="AR2569" s="51"/>
      <c r="AS2569" s="51"/>
    </row>
    <row r="2570" spans="1:45" s="3" customFormat="1" thickBot="1">
      <c r="A2570" s="531"/>
      <c r="O2570" s="107"/>
      <c r="AR2570" s="531"/>
    </row>
    <row r="2571" spans="1:45" s="520" customFormat="1" ht="12" thickTop="1">
      <c r="A2571" s="51"/>
      <c r="B2571" s="41"/>
      <c r="C2571" s="51"/>
      <c r="E2571" s="42" t="s">
        <v>138</v>
      </c>
      <c r="F2571" s="42" t="s">
        <v>139</v>
      </c>
      <c r="G2571" s="51"/>
      <c r="H2571" s="51"/>
      <c r="I2571" s="51"/>
      <c r="J2571" s="51"/>
      <c r="K2571" s="51" t="s">
        <v>140</v>
      </c>
      <c r="L2571" s="51"/>
      <c r="M2571" s="51"/>
      <c r="N2571" s="51"/>
      <c r="O2571" s="52"/>
      <c r="P2571" s="51"/>
      <c r="Q2571" s="51"/>
      <c r="R2571" s="51"/>
      <c r="S2571" s="51"/>
      <c r="T2571" s="41"/>
      <c r="AG2571" s="521" t="s">
        <v>268</v>
      </c>
      <c r="AH2571" s="521" t="s">
        <v>269</v>
      </c>
      <c r="AI2571" s="521" t="s">
        <v>270</v>
      </c>
      <c r="AJ2571" s="521" t="s">
        <v>271</v>
      </c>
      <c r="AK2571" s="521" t="s">
        <v>272</v>
      </c>
      <c r="AM2571" s="745" t="s">
        <v>281</v>
      </c>
      <c r="AN2571" s="746" t="s">
        <v>282</v>
      </c>
      <c r="AO2571" s="522" t="s">
        <v>278</v>
      </c>
      <c r="AR2571" s="51"/>
      <c r="AS2571" s="42" t="s">
        <v>139</v>
      </c>
    </row>
    <row r="2572" spans="1:45" s="520" customFormat="1" ht="12" customHeight="1">
      <c r="A2572" s="747">
        <v>30</v>
      </c>
      <c r="B2572" s="523" t="s">
        <v>320</v>
      </c>
      <c r="C2572" s="748"/>
      <c r="D2572" s="749" t="s">
        <v>1538</v>
      </c>
      <c r="E2572" s="750">
        <f ca="1">IF(AND($A2572=0,$A$1="DIF"),0, ROUND(ROUND(($R2577*$S$2+($T2577*$T$2))/A2572,2)*$C$2,2))</f>
        <v>5.63</v>
      </c>
      <c r="F2572" s="751">
        <f ca="1">ROUND($A2572*$E2572,2)</f>
        <v>168.9</v>
      </c>
      <c r="G2572" s="752" t="s">
        <v>142</v>
      </c>
      <c r="H2572" s="753"/>
      <c r="I2572" s="754"/>
      <c r="J2572" s="753"/>
      <c r="K2572" s="753" t="s">
        <v>3</v>
      </c>
      <c r="L2572" s="755" t="s">
        <v>143</v>
      </c>
      <c r="M2572" s="755"/>
      <c r="N2572" s="755"/>
      <c r="O2572" s="755"/>
      <c r="P2572" s="755"/>
      <c r="Q2572" s="51"/>
      <c r="T2572" s="756" t="str">
        <f ca="1">IF(AND($R2577=0,$T2577=0),"0.00","mu :" &amp; ROUND($F2572/$C$2/($R2577+$T2577*$D$9),2))</f>
        <v>mu :1.23</v>
      </c>
      <c r="W2572" s="524"/>
      <c r="AG2572" s="481">
        <f ca="1">IF($E2572=0,0,ROUND($R2577*$S$2*$C$2/$A2572,2))</f>
        <v>3.26</v>
      </c>
      <c r="AH2572" s="481">
        <f ca="1">$AG2572*$A2572</f>
        <v>97.8</v>
      </c>
      <c r="AI2572" s="525">
        <f ca="1">$E2572-$AG2572</f>
        <v>2.37</v>
      </c>
      <c r="AJ2572" s="525">
        <f ca="1">$A2572*$AI2572</f>
        <v>71.100000000000009</v>
      </c>
      <c r="AK2572" s="526">
        <f ca="1">ROUND(($AG2572+$AI2572)*$A2572,2)</f>
        <v>168.9</v>
      </c>
      <c r="AM2572" s="527">
        <f ca="1">ROUND(R2577,2)</f>
        <v>79.5</v>
      </c>
      <c r="AN2572" s="528">
        <f ca="1">ROUND(T2577,2)</f>
        <v>2.1</v>
      </c>
      <c r="AO2572" s="529">
        <f ca="1">ROUND(AM2572+AN2572,2)*A2572</f>
        <v>2448</v>
      </c>
      <c r="AR2572" s="747">
        <v>30</v>
      </c>
      <c r="AS2572" s="751">
        <v>179.1</v>
      </c>
    </row>
    <row r="2573" spans="1:45" s="520" customFormat="1" ht="13.2">
      <c r="A2573" s="748"/>
      <c r="B2573"/>
      <c r="C2573" s="748"/>
      <c r="D2573" s="749" t="s">
        <v>1539</v>
      </c>
      <c r="F2573" s="753"/>
      <c r="G2573" s="3"/>
      <c r="H2573" s="753"/>
      <c r="I2573" s="754"/>
      <c r="J2573" s="753"/>
      <c r="K2573" s="753" t="s">
        <v>144</v>
      </c>
      <c r="L2573" s="753"/>
      <c r="M2573" s="753"/>
      <c r="N2573" s="753"/>
      <c r="O2573" s="753"/>
      <c r="P2573" s="753"/>
      <c r="Q2573" s="51"/>
      <c r="R2573" s="530"/>
      <c r="S2573" s="757"/>
      <c r="T2573" s="753"/>
      <c r="AR2573" s="748"/>
      <c r="AS2573" s="753"/>
    </row>
    <row r="2574" spans="1:45" s="886" customFormat="1" ht="13.2">
      <c r="A2574"/>
      <c r="B2574" s="910"/>
      <c r="C2574" s="910" t="s">
        <v>2597</v>
      </c>
      <c r="D2574" s="910" t="str">
        <f ca="1">CELL("Address",Elec_Rates!D$478)</f>
        <v>[E25_0062_Quintano_Foods_Elec_ELV_As_Awarded.xlsx]Elec_Rates!$D$478</v>
      </c>
      <c r="E2574" s="911"/>
      <c r="F2574" s="911"/>
      <c r="G2574" s="912" t="s">
        <v>2598</v>
      </c>
      <c r="H2574" s="912"/>
      <c r="I2574" s="912"/>
      <c r="J2574" s="912"/>
      <c r="K2574" s="913"/>
      <c r="L2574" s="911"/>
      <c r="M2574" s="911"/>
      <c r="N2574" s="911"/>
      <c r="O2574" s="914"/>
      <c r="P2574" s="911"/>
      <c r="Q2574" s="915"/>
      <c r="R2574" s="916"/>
      <c r="S2574" s="915"/>
      <c r="T2574" s="917"/>
      <c r="U2574" s="918"/>
      <c r="AR2574"/>
      <c r="AS2574" s="911"/>
    </row>
    <row r="2575" spans="1:45" s="886" customFormat="1" ht="11.4">
      <c r="A2575" s="919">
        <v>30</v>
      </c>
      <c r="B2575" s="920">
        <v>1</v>
      </c>
      <c r="C2575" s="920">
        <f>$A2575*$B2575</f>
        <v>30</v>
      </c>
      <c r="D2575" s="921" t="str">
        <f>Elec_Rates!$D$478</f>
        <v>046# 3 x 4mm2 XLPE/SWA/LSZH</v>
      </c>
      <c r="E2575" s="921"/>
      <c r="F2575" s="921" t="s">
        <v>2599</v>
      </c>
      <c r="G2575" s="922" t="s">
        <v>2600</v>
      </c>
      <c r="H2575" s="922"/>
      <c r="I2575" s="922"/>
      <c r="J2575" s="922"/>
      <c r="K2575" s="923"/>
      <c r="L2575" s="918"/>
      <c r="M2575" s="918"/>
      <c r="N2575" s="918"/>
      <c r="O2575" s="924"/>
      <c r="P2575" s="921"/>
      <c r="Q2575" s="925">
        <f ca="1">$B2575*Elec_Rates!$R$478</f>
        <v>2.65</v>
      </c>
      <c r="R2575" s="916">
        <f ca="1">$A2575*Q2575</f>
        <v>79.5</v>
      </c>
      <c r="S2575" s="925">
        <f ca="1">$B2575*Elec_Rates!$T$478</f>
        <v>7.0000000000000007E-2</v>
      </c>
      <c r="T2575" s="917">
        <f ca="1">$A2575*S2575</f>
        <v>2.1</v>
      </c>
      <c r="U2575" s="926"/>
      <c r="AR2575" s="919">
        <v>30</v>
      </c>
      <c r="AS2575" s="921" t="s">
        <v>2599</v>
      </c>
    </row>
    <row r="2576" spans="1:45" s="520" customFormat="1" ht="12">
      <c r="A2576" s="758"/>
      <c r="B2576" s="758"/>
      <c r="C2576" s="758"/>
      <c r="D2576" s="758"/>
      <c r="E2576" s="758"/>
      <c r="F2576" s="753"/>
      <c r="G2576" s="758"/>
      <c r="H2576" s="758"/>
      <c r="I2576" s="519"/>
      <c r="J2576" s="758"/>
      <c r="K2576" s="758"/>
      <c r="L2576" s="758"/>
      <c r="M2576" s="758"/>
      <c r="N2576" s="758"/>
      <c r="O2576" s="758"/>
      <c r="P2576" s="758"/>
      <c r="Q2576" s="519"/>
      <c r="R2576" s="759">
        <f>$A2576*Q2576</f>
        <v>0</v>
      </c>
      <c r="S2576" s="519"/>
      <c r="T2576" s="760">
        <f>$A2576*S2576*$T$1</f>
        <v>0</v>
      </c>
      <c r="AR2576" s="758"/>
      <c r="AS2576" s="753"/>
    </row>
    <row r="2577" spans="1:45" s="520" customFormat="1" ht="12.6" thickBot="1">
      <c r="A2577" s="761" t="s">
        <v>145</v>
      </c>
      <c r="B2577" s="762">
        <f>(R2576+T2576)</f>
        <v>0</v>
      </c>
      <c r="C2577" s="763"/>
      <c r="D2577" s="763"/>
      <c r="E2577" s="763"/>
      <c r="F2577" s="764"/>
      <c r="G2577" s="763" t="s">
        <v>146</v>
      </c>
      <c r="H2577" s="763"/>
      <c r="I2577" s="765"/>
      <c r="J2577" s="763"/>
      <c r="K2577" s="763" t="s">
        <v>3</v>
      </c>
      <c r="L2577" s="766" t="s">
        <v>143</v>
      </c>
      <c r="M2577" s="766"/>
      <c r="N2577" s="766"/>
      <c r="O2577" s="766"/>
      <c r="P2577" s="766"/>
      <c r="Q2577" s="767"/>
      <c r="R2577" s="768">
        <f ca="1">SUM(R2573:R2576)</f>
        <v>79.5</v>
      </c>
      <c r="S2577" s="763"/>
      <c r="T2577" s="768">
        <f ca="1">SUM(T2573:T2576)</f>
        <v>2.1</v>
      </c>
      <c r="U2577" s="531"/>
      <c r="V2577" s="531"/>
      <c r="W2577" s="531"/>
      <c r="X2577" s="531"/>
      <c r="Y2577" s="531"/>
      <c r="Z2577" s="531"/>
      <c r="AA2577" s="531"/>
      <c r="AB2577" s="531"/>
      <c r="AC2577" s="531"/>
      <c r="AD2577" s="531"/>
      <c r="AE2577" s="531"/>
      <c r="AF2577" s="531"/>
      <c r="AG2577" s="531"/>
      <c r="AH2577" s="531"/>
      <c r="AI2577" s="531"/>
      <c r="AJ2577" s="531"/>
      <c r="AK2577" s="531"/>
      <c r="AL2577" s="531"/>
      <c r="AM2577" s="531"/>
      <c r="AN2577" s="531"/>
      <c r="AO2577" s="531"/>
      <c r="AR2577" s="761" t="s">
        <v>145</v>
      </c>
      <c r="AS2577" s="764"/>
    </row>
    <row r="2578" spans="1:45" s="520" customFormat="1" thickTop="1">
      <c r="A2578" s="51"/>
      <c r="B2578" s="51"/>
      <c r="C2578" s="3"/>
      <c r="D2578" s="3"/>
      <c r="E2578" s="51"/>
      <c r="F2578" s="51"/>
      <c r="G2578" s="51"/>
      <c r="H2578" s="51"/>
      <c r="I2578" s="51"/>
      <c r="J2578" s="51"/>
      <c r="K2578" s="51" t="s">
        <v>134</v>
      </c>
      <c r="L2578" s="51"/>
      <c r="M2578" s="51"/>
      <c r="N2578" s="51"/>
      <c r="O2578" s="52"/>
      <c r="P2578" s="51"/>
      <c r="Q2578" s="51"/>
      <c r="R2578" s="51"/>
      <c r="S2578" s="51"/>
      <c r="T2578" s="51"/>
      <c r="AR2578" s="51"/>
      <c r="AS2578" s="51"/>
    </row>
    <row r="2579" spans="1:45" s="520" customFormat="1" ht="12">
      <c r="A2579" s="51"/>
      <c r="B2579" s="51"/>
      <c r="C2579" s="51" t="s">
        <v>135</v>
      </c>
      <c r="D2579" s="37"/>
      <c r="E2579" s="51"/>
      <c r="F2579" s="51"/>
      <c r="G2579" s="51"/>
      <c r="H2579" s="51"/>
      <c r="I2579" s="51"/>
      <c r="J2579" s="51"/>
      <c r="K2579" s="51"/>
      <c r="L2579" s="51"/>
      <c r="M2579" s="51"/>
      <c r="N2579" s="51"/>
      <c r="O2579" s="52"/>
      <c r="P2579" s="51"/>
      <c r="Q2579" s="51"/>
      <c r="R2579" s="51"/>
      <c r="S2579" s="51"/>
      <c r="T2579" s="51"/>
      <c r="AR2579" s="51"/>
      <c r="AS2579" s="51"/>
    </row>
    <row r="2580" spans="1:45" s="520" customFormat="1" ht="12">
      <c r="A2580" s="51"/>
      <c r="B2580" s="51"/>
      <c r="C2580" s="51"/>
      <c r="D2580" s="37" t="s">
        <v>463</v>
      </c>
      <c r="E2580" s="51"/>
      <c r="F2580" s="51"/>
      <c r="G2580" s="51"/>
      <c r="H2580" s="51"/>
      <c r="I2580" s="51"/>
      <c r="J2580" s="51"/>
      <c r="K2580" s="51"/>
      <c r="L2580" s="51"/>
      <c r="M2580" s="51"/>
      <c r="N2580" s="51"/>
      <c r="O2580" s="52"/>
      <c r="P2580" s="51"/>
      <c r="Q2580" s="51"/>
      <c r="R2580" s="51"/>
      <c r="S2580" s="38"/>
      <c r="T2580" s="38"/>
      <c r="AR2580" s="51"/>
      <c r="AS2580" s="51"/>
    </row>
    <row r="2581" spans="1:45" s="3" customFormat="1" thickBot="1">
      <c r="A2581" s="531"/>
      <c r="O2581" s="107"/>
      <c r="AR2581" s="531"/>
    </row>
    <row r="2582" spans="1:45" s="520" customFormat="1" ht="12" thickTop="1">
      <c r="A2582" s="51"/>
      <c r="B2582" s="41"/>
      <c r="C2582" s="51"/>
      <c r="E2582" s="42" t="s">
        <v>138</v>
      </c>
      <c r="F2582" s="42" t="s">
        <v>139</v>
      </c>
      <c r="G2582" s="51"/>
      <c r="H2582" s="51"/>
      <c r="I2582" s="51"/>
      <c r="J2582" s="51"/>
      <c r="K2582" s="51" t="s">
        <v>140</v>
      </c>
      <c r="L2582" s="51"/>
      <c r="M2582" s="51"/>
      <c r="N2582" s="51"/>
      <c r="O2582" s="52"/>
      <c r="P2582" s="51"/>
      <c r="Q2582" s="51"/>
      <c r="R2582" s="51"/>
      <c r="S2582" s="51"/>
      <c r="T2582" s="41"/>
      <c r="AG2582" s="521" t="s">
        <v>268</v>
      </c>
      <c r="AH2582" s="521" t="s">
        <v>269</v>
      </c>
      <c r="AI2582" s="521" t="s">
        <v>270</v>
      </c>
      <c r="AJ2582" s="521" t="s">
        <v>271</v>
      </c>
      <c r="AK2582" s="521" t="s">
        <v>272</v>
      </c>
      <c r="AM2582" s="745" t="s">
        <v>281</v>
      </c>
      <c r="AN2582" s="746" t="s">
        <v>282</v>
      </c>
      <c r="AO2582" s="522" t="s">
        <v>278</v>
      </c>
      <c r="AR2582" s="51"/>
      <c r="AS2582" s="42" t="s">
        <v>139</v>
      </c>
    </row>
    <row r="2583" spans="1:45" s="520" customFormat="1" ht="12" customHeight="1">
      <c r="A2583" s="747">
        <v>1</v>
      </c>
      <c r="B2583" s="523" t="s">
        <v>141</v>
      </c>
      <c r="C2583" s="748"/>
      <c r="D2583" s="749" t="s">
        <v>1540</v>
      </c>
      <c r="E2583" s="750">
        <f ca="1">IF(AND($A2583=0,$A$1="DIF"),0, ROUND(ROUND(($R2588*$S$2+($T2588*$T$2))/A2583,2)*$C$2,2))</f>
        <v>48.45</v>
      </c>
      <c r="F2583" s="751">
        <f ca="1">ROUND($A2583*$E2583,2)</f>
        <v>48.45</v>
      </c>
      <c r="G2583" s="752" t="s">
        <v>142</v>
      </c>
      <c r="H2583" s="753"/>
      <c r="I2583" s="754"/>
      <c r="J2583" s="753"/>
      <c r="K2583" s="753" t="s">
        <v>3</v>
      </c>
      <c r="L2583" s="755" t="s">
        <v>143</v>
      </c>
      <c r="M2583" s="755"/>
      <c r="N2583" s="755"/>
      <c r="O2583" s="755"/>
      <c r="P2583" s="755"/>
      <c r="Q2583" s="51"/>
      <c r="T2583" s="756" t="str">
        <f ca="1">IF(AND($R2588=0,$T2588=0),"0.00","mu :" &amp; ROUND($F2583/$C$2/($R2588+$T2588*$D$9),2))</f>
        <v>mu :1.23</v>
      </c>
      <c r="W2583" s="524"/>
      <c r="AG2583" s="481">
        <f ca="1">IF($E2583=0,0,ROUND($R2588*$S$2*$C$2/$A2583,2))</f>
        <v>31.55</v>
      </c>
      <c r="AH2583" s="481">
        <f ca="1">$AG2583*$A2583</f>
        <v>31.55</v>
      </c>
      <c r="AI2583" s="525">
        <f ca="1">$E2583-$AG2583</f>
        <v>16.900000000000002</v>
      </c>
      <c r="AJ2583" s="525">
        <f ca="1">$A2583*$AI2583</f>
        <v>16.900000000000002</v>
      </c>
      <c r="AK2583" s="526">
        <f ca="1">ROUND(($AG2583+$AI2583)*$A2583,2)</f>
        <v>48.45</v>
      </c>
      <c r="AM2583" s="527">
        <f ca="1">ROUND(R2588,2)</f>
        <v>25.62</v>
      </c>
      <c r="AN2583" s="528">
        <f ca="1">ROUND(T2588,2)</f>
        <v>0.5</v>
      </c>
      <c r="AO2583" s="529">
        <f ca="1">ROUND(AM2583+AN2583,2)*A2583</f>
        <v>26.12</v>
      </c>
      <c r="AR2583" s="747">
        <v>1</v>
      </c>
      <c r="AS2583" s="751">
        <v>50.14</v>
      </c>
    </row>
    <row r="2584" spans="1:45" s="520" customFormat="1" ht="13.2">
      <c r="A2584" s="748"/>
      <c r="B2584"/>
      <c r="C2584" s="748"/>
      <c r="D2584" s="749" t="s">
        <v>1245</v>
      </c>
      <c r="F2584" s="753"/>
      <c r="G2584" s="3"/>
      <c r="H2584" s="753"/>
      <c r="I2584" s="754"/>
      <c r="J2584" s="753"/>
      <c r="K2584" s="753" t="s">
        <v>144</v>
      </c>
      <c r="L2584" s="753"/>
      <c r="M2584" s="753"/>
      <c r="N2584" s="753"/>
      <c r="O2584" s="753"/>
      <c r="P2584" s="753"/>
      <c r="Q2584" s="51"/>
      <c r="R2584" s="530"/>
      <c r="S2584" s="757"/>
      <c r="T2584" s="753"/>
      <c r="AR2584" s="748"/>
      <c r="AS2584" s="753"/>
    </row>
    <row r="2585" spans="1:45" s="520" customFormat="1" ht="12">
      <c r="A2585" s="51"/>
      <c r="B2585" s="758"/>
      <c r="C2585" s="753" t="s">
        <v>2597</v>
      </c>
      <c r="D2585" s="753" t="str">
        <f ca="1">CELL("Address",Elec_Rates!$D$192)</f>
        <v>[E25_0062_Quintano_Foods_Elec_ELV_As_Awarded.xlsx]Elec_Rates!$D$192</v>
      </c>
      <c r="E2585" s="758"/>
      <c r="F2585" s="753"/>
      <c r="G2585" s="1049" t="s">
        <v>2598</v>
      </c>
      <c r="H2585" s="1050"/>
      <c r="I2585" s="1051"/>
      <c r="J2585" s="1050"/>
      <c r="K2585" s="1050"/>
      <c r="L2585" s="758"/>
      <c r="M2585" s="758"/>
      <c r="N2585" s="758"/>
      <c r="O2585" s="758"/>
      <c r="P2585" s="758"/>
      <c r="Q2585" s="519"/>
      <c r="R2585" s="759"/>
      <c r="S2585" s="519"/>
      <c r="T2585" s="760"/>
      <c r="AR2585" s="51"/>
      <c r="AS2585" s="753"/>
    </row>
    <row r="2586" spans="1:45" s="520" customFormat="1" ht="11.4">
      <c r="A2586" s="51">
        <v>1</v>
      </c>
      <c r="B2586" s="519">
        <v>1</v>
      </c>
      <c r="C2586" s="519">
        <f>$A2586*$B2586</f>
        <v>1</v>
      </c>
      <c r="D2586" s="1048" t="str">
        <f>Elec_Rates!$D$192</f>
        <v>018# 1-Phase 25/32A Isolator</v>
      </c>
      <c r="E2586" s="1048"/>
      <c r="F2586" s="1048" t="s">
        <v>2733</v>
      </c>
      <c r="G2586" s="1050" t="s">
        <v>2600</v>
      </c>
      <c r="H2586" s="1050"/>
      <c r="I2586" s="1051"/>
      <c r="J2586" s="1050"/>
      <c r="K2586" s="1050"/>
      <c r="L2586" s="758"/>
      <c r="M2586" s="758"/>
      <c r="N2586" s="758"/>
      <c r="O2586" s="758"/>
      <c r="P2586" s="758"/>
      <c r="Q2586" s="1052">
        <f ca="1">$B2586*Elec_Rates!$R$192</f>
        <v>25.62</v>
      </c>
      <c r="R2586" s="759">
        <f ca="1">$A2586*Q2586</f>
        <v>25.62</v>
      </c>
      <c r="S2586" s="1052">
        <f ca="1">$B2586*Elec_Rates!$T$192</f>
        <v>0.5</v>
      </c>
      <c r="T2586" s="917">
        <f ca="1">$A2586*S2586</f>
        <v>0.5</v>
      </c>
      <c r="AR2586" s="51">
        <v>1</v>
      </c>
      <c r="AS2586" s="1048" t="s">
        <v>2733</v>
      </c>
    </row>
    <row r="2587" spans="1:45" s="520" customFormat="1" ht="12">
      <c r="A2587" s="758"/>
      <c r="B2587" s="758"/>
      <c r="C2587" s="758"/>
      <c r="D2587" s="758"/>
      <c r="E2587" s="758"/>
      <c r="F2587" s="753"/>
      <c r="G2587" s="758"/>
      <c r="H2587" s="758"/>
      <c r="I2587" s="519"/>
      <c r="J2587" s="758"/>
      <c r="K2587" s="758"/>
      <c r="L2587" s="758"/>
      <c r="M2587" s="758"/>
      <c r="N2587" s="758"/>
      <c r="O2587" s="758"/>
      <c r="P2587" s="758"/>
      <c r="Q2587" s="519"/>
      <c r="R2587" s="759">
        <f>$A2587*Q2587</f>
        <v>0</v>
      </c>
      <c r="S2587" s="519"/>
      <c r="T2587" s="760">
        <f>$A2587*S2587*$T$1</f>
        <v>0</v>
      </c>
      <c r="AR2587" s="758"/>
      <c r="AS2587" s="753"/>
    </row>
    <row r="2588" spans="1:45" s="520" customFormat="1" ht="12.6" thickBot="1">
      <c r="A2588" s="761" t="s">
        <v>145</v>
      </c>
      <c r="B2588" s="762">
        <f>(R2587+T2587)</f>
        <v>0</v>
      </c>
      <c r="C2588" s="763"/>
      <c r="D2588" s="763"/>
      <c r="E2588" s="763"/>
      <c r="F2588" s="764"/>
      <c r="G2588" s="763" t="s">
        <v>146</v>
      </c>
      <c r="H2588" s="763"/>
      <c r="I2588" s="765"/>
      <c r="J2588" s="763"/>
      <c r="K2588" s="763" t="s">
        <v>3</v>
      </c>
      <c r="L2588" s="766" t="s">
        <v>143</v>
      </c>
      <c r="M2588" s="766"/>
      <c r="N2588" s="766"/>
      <c r="O2588" s="766"/>
      <c r="P2588" s="766"/>
      <c r="Q2588" s="767"/>
      <c r="R2588" s="768">
        <f ca="1">SUM(R2584:R2587)</f>
        <v>25.62</v>
      </c>
      <c r="S2588" s="763"/>
      <c r="T2588" s="768">
        <f ca="1">SUM(T2584:T2587)</f>
        <v>0.5</v>
      </c>
      <c r="U2588" s="531"/>
      <c r="V2588" s="531"/>
      <c r="W2588" s="531"/>
      <c r="X2588" s="531"/>
      <c r="Y2588" s="531"/>
      <c r="Z2588" s="531"/>
      <c r="AA2588" s="531"/>
      <c r="AB2588" s="531"/>
      <c r="AC2588" s="531"/>
      <c r="AD2588" s="531"/>
      <c r="AE2588" s="531"/>
      <c r="AF2588" s="531"/>
      <c r="AG2588" s="531"/>
      <c r="AH2588" s="531"/>
      <c r="AI2588" s="531"/>
      <c r="AJ2588" s="531"/>
      <c r="AK2588" s="531"/>
      <c r="AL2588" s="531"/>
      <c r="AM2588" s="531"/>
      <c r="AN2588" s="531"/>
      <c r="AO2588" s="531"/>
      <c r="AR2588" s="761" t="s">
        <v>145</v>
      </c>
      <c r="AS2588" s="764"/>
    </row>
    <row r="2589" spans="1:45" s="520" customFormat="1" thickTop="1">
      <c r="A2589" s="51"/>
      <c r="B2589" s="51"/>
      <c r="C2589" s="3"/>
      <c r="D2589" s="3"/>
      <c r="E2589" s="51"/>
      <c r="F2589" s="51"/>
      <c r="G2589" s="51"/>
      <c r="H2589" s="51"/>
      <c r="I2589" s="51"/>
      <c r="J2589" s="51"/>
      <c r="K2589" s="51" t="s">
        <v>134</v>
      </c>
      <c r="L2589" s="51"/>
      <c r="M2589" s="51"/>
      <c r="N2589" s="51"/>
      <c r="O2589" s="52"/>
      <c r="P2589" s="51"/>
      <c r="Q2589" s="51"/>
      <c r="R2589" s="51"/>
      <c r="S2589" s="51"/>
      <c r="T2589" s="51"/>
      <c r="AR2589" s="51"/>
      <c r="AS2589" s="51"/>
    </row>
    <row r="2590" spans="1:45" s="520" customFormat="1" ht="12">
      <c r="A2590" s="51"/>
      <c r="B2590" s="51"/>
      <c r="C2590" s="51" t="s">
        <v>135</v>
      </c>
      <c r="D2590" s="37"/>
      <c r="E2590" s="51"/>
      <c r="F2590" s="51"/>
      <c r="G2590" s="51"/>
      <c r="H2590" s="51"/>
      <c r="I2590" s="51"/>
      <c r="J2590" s="51"/>
      <c r="K2590" s="51"/>
      <c r="L2590" s="51"/>
      <c r="M2590" s="51"/>
      <c r="N2590" s="51"/>
      <c r="O2590" s="52"/>
      <c r="P2590" s="51"/>
      <c r="Q2590" s="51"/>
      <c r="R2590" s="51"/>
      <c r="S2590" s="51"/>
      <c r="T2590" s="51"/>
      <c r="AR2590" s="51"/>
      <c r="AS2590" s="51"/>
    </row>
    <row r="2591" spans="1:45" s="520" customFormat="1" ht="39.9" customHeight="1">
      <c r="A2591" s="51"/>
      <c r="B2591" s="51"/>
      <c r="C2591" s="51"/>
      <c r="D2591" s="1453" t="s">
        <v>498</v>
      </c>
      <c r="E2591" s="1452"/>
      <c r="F2591" s="1452"/>
      <c r="G2591" s="1452"/>
      <c r="H2591" s="1452"/>
      <c r="I2591" s="1452"/>
      <c r="J2591" s="1452"/>
      <c r="K2591" s="1452"/>
      <c r="L2591" s="1452"/>
      <c r="M2591" s="1452"/>
      <c r="N2591" s="1452"/>
      <c r="O2591" s="1452"/>
      <c r="P2591" s="1452"/>
      <c r="Q2591" s="1452"/>
      <c r="R2591" s="1452"/>
      <c r="S2591" s="1452"/>
      <c r="T2591" s="1452"/>
      <c r="AR2591" s="51"/>
    </row>
    <row r="2592" spans="1:45" s="3" customFormat="1" thickBot="1">
      <c r="A2592" s="531"/>
      <c r="O2592" s="107"/>
      <c r="AR2592" s="531"/>
    </row>
    <row r="2593" spans="1:45" s="520" customFormat="1" thickTop="1">
      <c r="A2593" s="51"/>
      <c r="B2593" s="51"/>
      <c r="C2593" s="3"/>
      <c r="D2593" s="3"/>
      <c r="E2593" s="51"/>
      <c r="F2593" s="51"/>
      <c r="G2593" s="51"/>
      <c r="H2593" s="51"/>
      <c r="I2593" s="51"/>
      <c r="J2593" s="51"/>
      <c r="K2593" s="51" t="s">
        <v>134</v>
      </c>
      <c r="L2593" s="51"/>
      <c r="M2593" s="51"/>
      <c r="N2593" s="51"/>
      <c r="O2593" s="52"/>
      <c r="P2593" s="51"/>
      <c r="Q2593" s="51"/>
      <c r="R2593" s="51"/>
      <c r="S2593" s="51"/>
      <c r="T2593" s="51"/>
      <c r="AR2593" s="51"/>
      <c r="AS2593" s="51"/>
    </row>
    <row r="2594" spans="1:45" s="520" customFormat="1" ht="12">
      <c r="A2594" s="51"/>
      <c r="B2594" s="51"/>
      <c r="C2594" s="51" t="s">
        <v>135</v>
      </c>
      <c r="D2594" s="37"/>
      <c r="E2594" s="51"/>
      <c r="F2594" s="51"/>
      <c r="G2594" s="51"/>
      <c r="H2594" s="51"/>
      <c r="I2594" s="51"/>
      <c r="J2594" s="51"/>
      <c r="K2594" s="51"/>
      <c r="L2594" s="51"/>
      <c r="M2594" s="51"/>
      <c r="N2594" s="51"/>
      <c r="O2594" s="52"/>
      <c r="P2594" s="51"/>
      <c r="Q2594" s="51"/>
      <c r="R2594" s="51"/>
      <c r="S2594" s="51"/>
      <c r="T2594" s="51"/>
      <c r="AR2594" s="51"/>
      <c r="AS2594" s="51"/>
    </row>
    <row r="2595" spans="1:45" s="520" customFormat="1" ht="12">
      <c r="A2595" s="51"/>
      <c r="B2595" s="51"/>
      <c r="C2595" s="51"/>
      <c r="D2595" s="37" t="s">
        <v>716</v>
      </c>
      <c r="E2595" s="51"/>
      <c r="F2595" s="51"/>
      <c r="G2595" s="51"/>
      <c r="H2595" s="51"/>
      <c r="I2595" s="51"/>
      <c r="J2595" s="51"/>
      <c r="K2595" s="51"/>
      <c r="L2595" s="51"/>
      <c r="M2595" s="51"/>
      <c r="N2595" s="51"/>
      <c r="O2595" s="52"/>
      <c r="P2595" s="51"/>
      <c r="Q2595" s="51"/>
      <c r="R2595" s="51"/>
      <c r="S2595" s="38"/>
      <c r="T2595" s="38"/>
      <c r="AR2595" s="51"/>
      <c r="AS2595" s="51"/>
    </row>
    <row r="2596" spans="1:45" s="3" customFormat="1" thickBot="1">
      <c r="A2596" s="531"/>
      <c r="O2596" s="107"/>
      <c r="AR2596" s="531"/>
    </row>
    <row r="2597" spans="1:45" s="520" customFormat="1" ht="12" thickTop="1">
      <c r="A2597" s="51"/>
      <c r="B2597" s="41"/>
      <c r="C2597" s="51"/>
      <c r="E2597" s="42" t="s">
        <v>138</v>
      </c>
      <c r="F2597" s="42" t="s">
        <v>139</v>
      </c>
      <c r="G2597" s="51"/>
      <c r="H2597" s="51"/>
      <c r="I2597" s="51"/>
      <c r="J2597" s="51"/>
      <c r="K2597" s="51" t="s">
        <v>140</v>
      </c>
      <c r="L2597" s="51"/>
      <c r="M2597" s="51"/>
      <c r="N2597" s="51"/>
      <c r="O2597" s="52"/>
      <c r="P2597" s="51"/>
      <c r="Q2597" s="51"/>
      <c r="R2597" s="51"/>
      <c r="S2597" s="51"/>
      <c r="T2597" s="41"/>
      <c r="AG2597" s="521" t="s">
        <v>268</v>
      </c>
      <c r="AH2597" s="521" t="s">
        <v>269</v>
      </c>
      <c r="AI2597" s="521" t="s">
        <v>270</v>
      </c>
      <c r="AJ2597" s="521" t="s">
        <v>271</v>
      </c>
      <c r="AK2597" s="521" t="s">
        <v>272</v>
      </c>
      <c r="AM2597" s="745" t="s">
        <v>281</v>
      </c>
      <c r="AN2597" s="746" t="s">
        <v>282</v>
      </c>
      <c r="AO2597" s="522" t="s">
        <v>278</v>
      </c>
      <c r="AR2597" s="51"/>
      <c r="AS2597" s="42" t="s">
        <v>139</v>
      </c>
    </row>
    <row r="2598" spans="1:45" s="520" customFormat="1" ht="12" customHeight="1">
      <c r="A2598" s="747">
        <v>25</v>
      </c>
      <c r="B2598" s="523" t="s">
        <v>320</v>
      </c>
      <c r="C2598" s="748"/>
      <c r="D2598" s="749" t="s">
        <v>1541</v>
      </c>
      <c r="E2598" s="750">
        <f ca="1">IF(AND($A2598=0,$A$1="DIF"),0, ROUND(ROUND(($R2603*$S$2+($T2603*$T$2))/A2598,2)*$C$2,2))</f>
        <v>9.9499999999999993</v>
      </c>
      <c r="F2598" s="751">
        <f ca="1">ROUND($A2598*$E2598,2)</f>
        <v>248.75</v>
      </c>
      <c r="G2598" s="752" t="s">
        <v>142</v>
      </c>
      <c r="H2598" s="753"/>
      <c r="I2598" s="754"/>
      <c r="J2598" s="753"/>
      <c r="K2598" s="753" t="s">
        <v>3</v>
      </c>
      <c r="L2598" s="755" t="s">
        <v>143</v>
      </c>
      <c r="M2598" s="755"/>
      <c r="N2598" s="755"/>
      <c r="O2598" s="755"/>
      <c r="P2598" s="755"/>
      <c r="Q2598" s="51"/>
      <c r="T2598" s="756" t="str">
        <f ca="1">IF(AND($R2603=0,$T2603=0),"0.00","mu :" &amp; ROUND($F2598/$C$2/($R2603+$T2603*$D$9),2))</f>
        <v>mu :1.23</v>
      </c>
      <c r="W2598" s="524"/>
      <c r="AG2598" s="481">
        <f ca="1">IF($E2598=0,0,ROUND($R2603*$S$2*$C$2/$A2598,2))</f>
        <v>6.91</v>
      </c>
      <c r="AH2598" s="481">
        <f ca="1">$AG2598*$A2598</f>
        <v>172.75</v>
      </c>
      <c r="AI2598" s="525">
        <f ca="1">$E2598-$AG2598</f>
        <v>3.0399999999999991</v>
      </c>
      <c r="AJ2598" s="525">
        <f ca="1">$A2598*$AI2598</f>
        <v>75.999999999999972</v>
      </c>
      <c r="AK2598" s="526">
        <f ca="1">ROUND(($AG2598+$AI2598)*$A2598,2)</f>
        <v>248.75</v>
      </c>
      <c r="AM2598" s="527">
        <f ca="1">ROUND(R2603,2)</f>
        <v>140.25</v>
      </c>
      <c r="AN2598" s="528">
        <f ca="1">ROUND(T2603,2)</f>
        <v>2.25</v>
      </c>
      <c r="AO2598" s="529">
        <f ca="1">ROUND(AM2598+AN2598,2)*A2598</f>
        <v>3562.5</v>
      </c>
      <c r="AR2598" s="747">
        <v>25</v>
      </c>
      <c r="AS2598" s="751">
        <v>257.25</v>
      </c>
    </row>
    <row r="2599" spans="1:45" s="520" customFormat="1" ht="13.2">
      <c r="A2599" s="748"/>
      <c r="B2599"/>
      <c r="C2599" s="748"/>
      <c r="D2599" s="749" t="s">
        <v>1542</v>
      </c>
      <c r="F2599" s="753"/>
      <c r="G2599" s="3"/>
      <c r="H2599" s="753"/>
      <c r="I2599" s="754"/>
      <c r="J2599" s="753"/>
      <c r="K2599" s="753" t="s">
        <v>144</v>
      </c>
      <c r="L2599" s="753"/>
      <c r="M2599" s="753"/>
      <c r="N2599" s="753"/>
      <c r="O2599" s="753"/>
      <c r="P2599" s="753"/>
      <c r="Q2599" s="51"/>
      <c r="R2599" s="530"/>
      <c r="S2599" s="757"/>
      <c r="T2599" s="753"/>
      <c r="AR2599" s="748"/>
      <c r="AS2599" s="753"/>
    </row>
    <row r="2600" spans="1:45" s="886" customFormat="1" ht="13.2">
      <c r="A2600"/>
      <c r="B2600" s="910"/>
      <c r="C2600" s="910" t="s">
        <v>2597</v>
      </c>
      <c r="D2600" s="910" t="str">
        <f ca="1">CELL("Address",Elec_Rates!D$437)</f>
        <v>[E25_0062_Quintano_Foods_Elec_ELV_As_Awarded.xlsx]Elec_Rates!$D$437</v>
      </c>
      <c r="E2600" s="911"/>
      <c r="F2600" s="911"/>
      <c r="G2600" s="912" t="s">
        <v>2598</v>
      </c>
      <c r="H2600" s="912"/>
      <c r="I2600" s="912"/>
      <c r="J2600" s="912"/>
      <c r="K2600" s="913"/>
      <c r="L2600" s="911"/>
      <c r="M2600" s="911"/>
      <c r="N2600" s="911"/>
      <c r="O2600" s="914"/>
      <c r="P2600" s="911"/>
      <c r="Q2600" s="915"/>
      <c r="R2600" s="916"/>
      <c r="S2600" s="915"/>
      <c r="T2600" s="917"/>
      <c r="U2600" s="918"/>
      <c r="AR2600"/>
      <c r="AS2600" s="911"/>
    </row>
    <row r="2601" spans="1:45" s="886" customFormat="1" ht="11.4">
      <c r="A2601" s="919">
        <v>25</v>
      </c>
      <c r="B2601" s="920">
        <v>1</v>
      </c>
      <c r="C2601" s="920">
        <f>$A2601*$B2601</f>
        <v>25</v>
      </c>
      <c r="D2601" s="921" t="str">
        <f>Elec_Rates!$D$437</f>
        <v>042# 5 x 6mm2 XLPE/SWA/LSZH</v>
      </c>
      <c r="E2601" s="921"/>
      <c r="F2601" s="921" t="s">
        <v>2599</v>
      </c>
      <c r="G2601" s="922" t="s">
        <v>2601</v>
      </c>
      <c r="H2601" s="922"/>
      <c r="I2601" s="922"/>
      <c r="J2601" s="922"/>
      <c r="K2601" s="923"/>
      <c r="L2601" s="918"/>
      <c r="M2601" s="918"/>
      <c r="N2601" s="918"/>
      <c r="O2601" s="924"/>
      <c r="P2601" s="921"/>
      <c r="Q2601" s="925">
        <f ca="1">$B2601*Elec_Rates!$R$437</f>
        <v>5.61</v>
      </c>
      <c r="R2601" s="916">
        <f ca="1">$A2601*Q2601</f>
        <v>140.25</v>
      </c>
      <c r="S2601" s="925">
        <f ca="1">$B2601*Elec_Rates!$T$437</f>
        <v>0.09</v>
      </c>
      <c r="T2601" s="917">
        <f ca="1">$A2601*S2601</f>
        <v>2.25</v>
      </c>
      <c r="U2601" s="926"/>
      <c r="AR2601" s="919">
        <v>25</v>
      </c>
      <c r="AS2601" s="921" t="s">
        <v>2599</v>
      </c>
    </row>
    <row r="2602" spans="1:45" s="520" customFormat="1" ht="12">
      <c r="A2602" s="758"/>
      <c r="B2602" s="758"/>
      <c r="C2602" s="758"/>
      <c r="D2602" s="758"/>
      <c r="E2602" s="758"/>
      <c r="F2602" s="753"/>
      <c r="G2602" s="758"/>
      <c r="H2602" s="758"/>
      <c r="I2602" s="519"/>
      <c r="J2602" s="758"/>
      <c r="K2602" s="758"/>
      <c r="L2602" s="758"/>
      <c r="M2602" s="758"/>
      <c r="N2602" s="758"/>
      <c r="O2602" s="758"/>
      <c r="P2602" s="758"/>
      <c r="Q2602" s="519"/>
      <c r="R2602" s="759">
        <f>$A2602*Q2602</f>
        <v>0</v>
      </c>
      <c r="S2602" s="519"/>
      <c r="T2602" s="760">
        <f>$A2602*S2602*$T$1</f>
        <v>0</v>
      </c>
      <c r="AR2602" s="758"/>
      <c r="AS2602" s="753"/>
    </row>
    <row r="2603" spans="1:45" s="520" customFormat="1" ht="12.6" thickBot="1">
      <c r="A2603" s="761" t="s">
        <v>145</v>
      </c>
      <c r="B2603" s="762">
        <f>(R2602+T2602)</f>
        <v>0</v>
      </c>
      <c r="C2603" s="763"/>
      <c r="D2603" s="763"/>
      <c r="E2603" s="763"/>
      <c r="F2603" s="764"/>
      <c r="G2603" s="763" t="s">
        <v>146</v>
      </c>
      <c r="H2603" s="763"/>
      <c r="I2603" s="765"/>
      <c r="J2603" s="763"/>
      <c r="K2603" s="763" t="s">
        <v>3</v>
      </c>
      <c r="L2603" s="766" t="s">
        <v>143</v>
      </c>
      <c r="M2603" s="766"/>
      <c r="N2603" s="766"/>
      <c r="O2603" s="766"/>
      <c r="P2603" s="766"/>
      <c r="Q2603" s="767"/>
      <c r="R2603" s="768">
        <f ca="1">SUM(R2599:R2602)</f>
        <v>140.25</v>
      </c>
      <c r="S2603" s="763"/>
      <c r="T2603" s="768">
        <f ca="1">SUM(T2599:T2602)</f>
        <v>2.25</v>
      </c>
      <c r="U2603" s="531"/>
      <c r="V2603" s="531"/>
      <c r="W2603" s="531"/>
      <c r="X2603" s="531"/>
      <c r="Y2603" s="531"/>
      <c r="Z2603" s="531"/>
      <c r="AA2603" s="531"/>
      <c r="AB2603" s="531"/>
      <c r="AC2603" s="531"/>
      <c r="AD2603" s="531"/>
      <c r="AE2603" s="531"/>
      <c r="AF2603" s="531"/>
      <c r="AG2603" s="531"/>
      <c r="AH2603" s="531"/>
      <c r="AI2603" s="531"/>
      <c r="AJ2603" s="531"/>
      <c r="AK2603" s="531"/>
      <c r="AL2603" s="531"/>
      <c r="AM2603" s="531"/>
      <c r="AN2603" s="531"/>
      <c r="AO2603" s="531"/>
      <c r="AR2603" s="761" t="s">
        <v>145</v>
      </c>
      <c r="AS2603" s="764"/>
    </row>
    <row r="2604" spans="1:45" s="520" customFormat="1" ht="12" thickTop="1">
      <c r="A2604" s="51"/>
      <c r="B2604" s="41"/>
      <c r="C2604" s="51"/>
      <c r="E2604" s="42" t="s">
        <v>138</v>
      </c>
      <c r="F2604" s="42" t="s">
        <v>139</v>
      </c>
      <c r="G2604" s="51"/>
      <c r="H2604" s="51"/>
      <c r="I2604" s="51"/>
      <c r="J2604" s="51"/>
      <c r="K2604" s="51" t="s">
        <v>140</v>
      </c>
      <c r="L2604" s="51"/>
      <c r="M2604" s="51"/>
      <c r="N2604" s="51"/>
      <c r="O2604" s="52"/>
      <c r="P2604" s="51"/>
      <c r="Q2604" s="51"/>
      <c r="R2604" s="51"/>
      <c r="S2604" s="51"/>
      <c r="T2604" s="41"/>
      <c r="AG2604" s="521" t="s">
        <v>268</v>
      </c>
      <c r="AH2604" s="521" t="s">
        <v>269</v>
      </c>
      <c r="AI2604" s="521" t="s">
        <v>270</v>
      </c>
      <c r="AJ2604" s="521" t="s">
        <v>271</v>
      </c>
      <c r="AK2604" s="521" t="s">
        <v>272</v>
      </c>
      <c r="AM2604" s="745" t="s">
        <v>281</v>
      </c>
      <c r="AN2604" s="746" t="s">
        <v>282</v>
      </c>
      <c r="AO2604" s="522" t="s">
        <v>278</v>
      </c>
      <c r="AR2604" s="51"/>
      <c r="AS2604" s="42" t="s">
        <v>139</v>
      </c>
    </row>
    <row r="2605" spans="1:45" s="520" customFormat="1" ht="12" customHeight="1">
      <c r="A2605" s="747">
        <v>25</v>
      </c>
      <c r="B2605" s="523" t="s">
        <v>320</v>
      </c>
      <c r="C2605" s="748"/>
      <c r="D2605" s="749" t="s">
        <v>1543</v>
      </c>
      <c r="E2605" s="750">
        <f ca="1">IF(AND($A2605=0,$A$1="DIF"),0, ROUND(ROUND(($R2610*$S$2+($T2610*$T$2))/A2605,2)*$C$2,2))</f>
        <v>5.63</v>
      </c>
      <c r="F2605" s="751">
        <f ca="1">ROUND($A2605*$E2605,2)</f>
        <v>140.75</v>
      </c>
      <c r="G2605" s="752" t="s">
        <v>142</v>
      </c>
      <c r="H2605" s="753"/>
      <c r="I2605" s="754"/>
      <c r="J2605" s="753"/>
      <c r="K2605" s="753" t="s">
        <v>3</v>
      </c>
      <c r="L2605" s="755" t="s">
        <v>143</v>
      </c>
      <c r="M2605" s="755"/>
      <c r="N2605" s="755"/>
      <c r="O2605" s="755"/>
      <c r="P2605" s="755"/>
      <c r="Q2605" s="51"/>
      <c r="T2605" s="756" t="str">
        <f ca="1">IF(AND($R2610=0,$T2610=0),"0.00","mu :" &amp; ROUND($F2605/$C$2/($R2610+$T2610*$D$9),2))</f>
        <v>mu :1.23</v>
      </c>
      <c r="W2605" s="524"/>
      <c r="AG2605" s="481">
        <f ca="1">IF($E2605=0,0,ROUND($R2610*$S$2*$C$2/$A2605,2))</f>
        <v>3.26</v>
      </c>
      <c r="AH2605" s="481">
        <f ca="1">$AG2605*$A2605</f>
        <v>81.5</v>
      </c>
      <c r="AI2605" s="525">
        <f ca="1">$E2605-$AG2605</f>
        <v>2.37</v>
      </c>
      <c r="AJ2605" s="525">
        <f ca="1">$A2605*$AI2605</f>
        <v>59.25</v>
      </c>
      <c r="AK2605" s="526">
        <f ca="1">ROUND(($AG2605+$AI2605)*$A2605,2)</f>
        <v>140.75</v>
      </c>
      <c r="AM2605" s="527">
        <f ca="1">ROUND(R2610,2)</f>
        <v>66.25</v>
      </c>
      <c r="AN2605" s="528">
        <f ca="1">ROUND(T2610,2)</f>
        <v>1.75</v>
      </c>
      <c r="AO2605" s="529">
        <f ca="1">ROUND(AM2605+AN2605,2)*A2605</f>
        <v>1700</v>
      </c>
      <c r="AR2605" s="747">
        <v>25</v>
      </c>
      <c r="AS2605" s="751">
        <v>149.25</v>
      </c>
    </row>
    <row r="2606" spans="1:45" s="520" customFormat="1" ht="13.2">
      <c r="A2606" s="748"/>
      <c r="B2606"/>
      <c r="C2606" s="748"/>
      <c r="D2606" s="749" t="s">
        <v>1544</v>
      </c>
      <c r="F2606" s="753"/>
      <c r="G2606" s="3"/>
      <c r="H2606" s="753"/>
      <c r="I2606" s="754"/>
      <c r="J2606" s="753"/>
      <c r="K2606" s="753" t="s">
        <v>144</v>
      </c>
      <c r="L2606" s="753"/>
      <c r="M2606" s="753"/>
      <c r="N2606" s="753"/>
      <c r="O2606" s="753"/>
      <c r="P2606" s="753"/>
      <c r="Q2606" s="51"/>
      <c r="R2606" s="530"/>
      <c r="S2606" s="757"/>
      <c r="T2606" s="753"/>
      <c r="AR2606" s="748"/>
      <c r="AS2606" s="753"/>
    </row>
    <row r="2607" spans="1:45" s="886" customFormat="1" ht="13.2">
      <c r="A2607"/>
      <c r="B2607" s="910"/>
      <c r="C2607" s="910" t="s">
        <v>2597</v>
      </c>
      <c r="D2607" s="910" t="str">
        <f ca="1">CELL("Address",Elec_Rates!D$478)</f>
        <v>[E25_0062_Quintano_Foods_Elec_ELV_As_Awarded.xlsx]Elec_Rates!$D$478</v>
      </c>
      <c r="E2607" s="911"/>
      <c r="F2607" s="911"/>
      <c r="G2607" s="912" t="s">
        <v>2598</v>
      </c>
      <c r="H2607" s="912"/>
      <c r="I2607" s="912"/>
      <c r="J2607" s="912"/>
      <c r="K2607" s="913"/>
      <c r="L2607" s="911"/>
      <c r="M2607" s="911"/>
      <c r="N2607" s="911"/>
      <c r="O2607" s="914"/>
      <c r="P2607" s="911"/>
      <c r="Q2607" s="915"/>
      <c r="R2607" s="916"/>
      <c r="S2607" s="915"/>
      <c r="T2607" s="917"/>
      <c r="U2607" s="918"/>
      <c r="AR2607"/>
      <c r="AS2607" s="911"/>
    </row>
    <row r="2608" spans="1:45" s="886" customFormat="1" ht="11.4">
      <c r="A2608" s="919">
        <v>25</v>
      </c>
      <c r="B2608" s="920">
        <v>1</v>
      </c>
      <c r="C2608" s="920">
        <f>$A2608*$B2608</f>
        <v>25</v>
      </c>
      <c r="D2608" s="921" t="str">
        <f>Elec_Rates!$D$478</f>
        <v>046# 3 x 4mm2 XLPE/SWA/LSZH</v>
      </c>
      <c r="E2608" s="921"/>
      <c r="F2608" s="921" t="s">
        <v>2599</v>
      </c>
      <c r="G2608" s="922" t="s">
        <v>2601</v>
      </c>
      <c r="H2608" s="922"/>
      <c r="I2608" s="922"/>
      <c r="J2608" s="922"/>
      <c r="K2608" s="923"/>
      <c r="L2608" s="918"/>
      <c r="M2608" s="918"/>
      <c r="N2608" s="918"/>
      <c r="O2608" s="924"/>
      <c r="P2608" s="921"/>
      <c r="Q2608" s="925">
        <f ca="1">$B2608*Elec_Rates!$R$478</f>
        <v>2.65</v>
      </c>
      <c r="R2608" s="916">
        <f ca="1">$A2608*Q2608</f>
        <v>66.25</v>
      </c>
      <c r="S2608" s="925">
        <f ca="1">$B2608*Elec_Rates!$T$478</f>
        <v>7.0000000000000007E-2</v>
      </c>
      <c r="T2608" s="917">
        <f ca="1">$A2608*S2608</f>
        <v>1.7500000000000002</v>
      </c>
      <c r="U2608" s="926"/>
      <c r="AR2608" s="919">
        <v>25</v>
      </c>
      <c r="AS2608" s="921" t="s">
        <v>2599</v>
      </c>
    </row>
    <row r="2609" spans="1:45" s="520" customFormat="1" ht="12">
      <c r="A2609" s="758"/>
      <c r="B2609" s="758"/>
      <c r="C2609" s="758"/>
      <c r="D2609" s="758"/>
      <c r="E2609" s="758"/>
      <c r="F2609" s="753"/>
      <c r="G2609" s="758"/>
      <c r="H2609" s="758"/>
      <c r="I2609" s="519"/>
      <c r="J2609" s="758"/>
      <c r="K2609" s="758"/>
      <c r="L2609" s="758"/>
      <c r="M2609" s="758"/>
      <c r="N2609" s="758"/>
      <c r="O2609" s="758"/>
      <c r="P2609" s="758"/>
      <c r="Q2609" s="519"/>
      <c r="R2609" s="759">
        <f>$A2609*Q2609</f>
        <v>0</v>
      </c>
      <c r="S2609" s="519"/>
      <c r="T2609" s="760">
        <f>$A2609*S2609*$T$1</f>
        <v>0</v>
      </c>
      <c r="AR2609" s="758"/>
      <c r="AS2609" s="753"/>
    </row>
    <row r="2610" spans="1:45" s="520" customFormat="1" ht="12.6" thickBot="1">
      <c r="A2610" s="761" t="s">
        <v>145</v>
      </c>
      <c r="B2610" s="762">
        <f>(R2609+T2609)</f>
        <v>0</v>
      </c>
      <c r="C2610" s="763"/>
      <c r="D2610" s="763"/>
      <c r="E2610" s="763"/>
      <c r="F2610" s="764"/>
      <c r="G2610" s="763" t="s">
        <v>146</v>
      </c>
      <c r="H2610" s="763"/>
      <c r="I2610" s="765"/>
      <c r="J2610" s="763"/>
      <c r="K2610" s="763" t="s">
        <v>3</v>
      </c>
      <c r="L2610" s="766" t="s">
        <v>143</v>
      </c>
      <c r="M2610" s="766"/>
      <c r="N2610" s="766"/>
      <c r="O2610" s="766"/>
      <c r="P2610" s="766"/>
      <c r="Q2610" s="767"/>
      <c r="R2610" s="768">
        <f ca="1">SUM(R2606:R2609)</f>
        <v>66.25</v>
      </c>
      <c r="S2610" s="763"/>
      <c r="T2610" s="768">
        <f ca="1">SUM(T2606:T2609)</f>
        <v>1.7500000000000002</v>
      </c>
      <c r="U2610" s="531"/>
      <c r="V2610" s="531"/>
      <c r="W2610" s="531"/>
      <c r="X2610" s="531"/>
      <c r="Y2610" s="531"/>
      <c r="Z2610" s="531"/>
      <c r="AA2610" s="531"/>
      <c r="AB2610" s="531"/>
      <c r="AC2610" s="531"/>
      <c r="AD2610" s="531"/>
      <c r="AE2610" s="531"/>
      <c r="AF2610" s="531"/>
      <c r="AG2610" s="531"/>
      <c r="AH2610" s="531"/>
      <c r="AI2610" s="531"/>
      <c r="AJ2610" s="531"/>
      <c r="AK2610" s="531"/>
      <c r="AL2610" s="531"/>
      <c r="AM2610" s="531"/>
      <c r="AN2610" s="531"/>
      <c r="AO2610" s="531"/>
      <c r="AR2610" s="761" t="s">
        <v>145</v>
      </c>
      <c r="AS2610" s="764"/>
    </row>
    <row r="2611" spans="1:45" s="520" customFormat="1" ht="12" thickTop="1">
      <c r="A2611" s="51"/>
      <c r="B2611" s="41"/>
      <c r="C2611" s="51"/>
      <c r="E2611" s="42" t="s">
        <v>138</v>
      </c>
      <c r="F2611" s="42" t="s">
        <v>139</v>
      </c>
      <c r="G2611" s="51"/>
      <c r="H2611" s="51"/>
      <c r="I2611" s="51"/>
      <c r="J2611" s="51"/>
      <c r="K2611" s="51" t="s">
        <v>140</v>
      </c>
      <c r="L2611" s="51"/>
      <c r="M2611" s="51"/>
      <c r="N2611" s="51"/>
      <c r="O2611" s="52"/>
      <c r="P2611" s="51"/>
      <c r="Q2611" s="51"/>
      <c r="R2611" s="51"/>
      <c r="S2611" s="51"/>
      <c r="T2611" s="41"/>
      <c r="AG2611" s="521" t="s">
        <v>268</v>
      </c>
      <c r="AH2611" s="521" t="s">
        <v>269</v>
      </c>
      <c r="AI2611" s="521" t="s">
        <v>270</v>
      </c>
      <c r="AJ2611" s="521" t="s">
        <v>271</v>
      </c>
      <c r="AK2611" s="521" t="s">
        <v>272</v>
      </c>
      <c r="AM2611" s="745" t="s">
        <v>281</v>
      </c>
      <c r="AN2611" s="746" t="s">
        <v>282</v>
      </c>
      <c r="AO2611" s="522" t="s">
        <v>278</v>
      </c>
      <c r="AR2611" s="51"/>
      <c r="AS2611" s="42" t="s">
        <v>139</v>
      </c>
    </row>
    <row r="2612" spans="1:45" s="520" customFormat="1" ht="12" customHeight="1">
      <c r="A2612" s="747">
        <v>5</v>
      </c>
      <c r="B2612" s="523" t="s">
        <v>320</v>
      </c>
      <c r="C2612" s="748"/>
      <c r="D2612" s="749" t="s">
        <v>1545</v>
      </c>
      <c r="E2612" s="750">
        <f ca="1">IF(AND($A2612=0,$A$1="DIF"),0, ROUND(ROUND(($R2617*$S$2+($T2617*$T$2))/A2612,2)*$C$2,2))</f>
        <v>11.7</v>
      </c>
      <c r="F2612" s="751">
        <f ca="1">ROUND($A2612*$E2612,2)</f>
        <v>58.5</v>
      </c>
      <c r="G2612" s="752" t="s">
        <v>142</v>
      </c>
      <c r="H2612" s="753"/>
      <c r="I2612" s="754"/>
      <c r="J2612" s="753"/>
      <c r="K2612" s="753" t="s">
        <v>3</v>
      </c>
      <c r="L2612" s="755" t="s">
        <v>143</v>
      </c>
      <c r="M2612" s="755"/>
      <c r="N2612" s="755"/>
      <c r="O2612" s="755"/>
      <c r="P2612" s="755"/>
      <c r="Q2612" s="51"/>
      <c r="T2612" s="756" t="str">
        <f ca="1">IF(AND($R2617=0,$T2617=0),"0.00","mu :" &amp; ROUND($F2612/$C$2/($R2617+$T2617*$D$9),2))</f>
        <v>mu :1.23</v>
      </c>
      <c r="W2612" s="524"/>
      <c r="AG2612" s="481">
        <f ca="1">IF($E2612=0,0,ROUND($R2617*$S$2*$C$2/$A2612,2))</f>
        <v>5.95</v>
      </c>
      <c r="AH2612" s="481">
        <f ca="1">$AG2612*$A2612</f>
        <v>29.75</v>
      </c>
      <c r="AI2612" s="525">
        <f ca="1">$E2612-$AG2612</f>
        <v>5.7499999999999991</v>
      </c>
      <c r="AJ2612" s="525">
        <f ca="1">$A2612*$AI2612</f>
        <v>28.749999999999996</v>
      </c>
      <c r="AK2612" s="526">
        <f ca="1">ROUND(($AG2612+$AI2612)*$A2612,2)</f>
        <v>58.5</v>
      </c>
      <c r="AM2612" s="527">
        <f ca="1">ROUND(R2617,2)</f>
        <v>24.15</v>
      </c>
      <c r="AN2612" s="528">
        <f ca="1">ROUND(T2617,2)</f>
        <v>0.85</v>
      </c>
      <c r="AO2612" s="529">
        <f ca="1">ROUND(AM2612+AN2612,2)*A2612</f>
        <v>125</v>
      </c>
      <c r="AR2612" s="747">
        <v>5</v>
      </c>
      <c r="AS2612" s="751">
        <v>61.85</v>
      </c>
    </row>
    <row r="2613" spans="1:45" s="520" customFormat="1" ht="13.2">
      <c r="A2613" s="748"/>
      <c r="B2613"/>
      <c r="C2613" s="748"/>
      <c r="D2613" s="749" t="s">
        <v>1546</v>
      </c>
      <c r="F2613" s="753"/>
      <c r="G2613" s="3"/>
      <c r="H2613" s="753"/>
      <c r="I2613" s="754"/>
      <c r="J2613" s="753"/>
      <c r="K2613" s="753" t="s">
        <v>144</v>
      </c>
      <c r="L2613" s="753"/>
      <c r="M2613" s="753"/>
      <c r="N2613" s="753"/>
      <c r="O2613" s="753"/>
      <c r="P2613" s="753"/>
      <c r="Q2613" s="51"/>
      <c r="R2613" s="530"/>
      <c r="S2613" s="757"/>
      <c r="T2613" s="753"/>
      <c r="AR2613" s="748"/>
      <c r="AS2613" s="753"/>
    </row>
    <row r="2614" spans="1:45" s="886" customFormat="1" ht="13.2">
      <c r="A2614"/>
      <c r="B2614" s="910"/>
      <c r="C2614" s="910" t="s">
        <v>2597</v>
      </c>
      <c r="D2614" s="910" t="str">
        <f ca="1">CELL("Address",Elec_Rates!D$448)</f>
        <v>[E25_0062_Quintano_Foods_Elec_ELV_As_Awarded.xlsx]Elec_Rates!$D$448</v>
      </c>
      <c r="E2614" s="911"/>
      <c r="F2614" s="911"/>
      <c r="G2614" s="912" t="s">
        <v>2598</v>
      </c>
      <c r="H2614" s="912"/>
      <c r="I2614" s="912"/>
      <c r="J2614" s="912"/>
      <c r="K2614" s="913"/>
      <c r="L2614" s="911"/>
      <c r="M2614" s="911"/>
      <c r="N2614" s="911"/>
      <c r="O2614" s="914"/>
      <c r="P2614" s="911"/>
      <c r="Q2614" s="915"/>
      <c r="R2614" s="916"/>
      <c r="S2614" s="915"/>
      <c r="T2614" s="917"/>
      <c r="U2614" s="918"/>
      <c r="AR2614"/>
      <c r="AS2614" s="911"/>
    </row>
    <row r="2615" spans="1:45" s="886" customFormat="1" ht="11.4">
      <c r="A2615" s="919">
        <v>5</v>
      </c>
      <c r="B2615" s="920">
        <v>1</v>
      </c>
      <c r="C2615" s="920">
        <f>$A2615*$B2615</f>
        <v>5</v>
      </c>
      <c r="D2615" s="921" t="str">
        <f>Elec_Rates!$D$448</f>
        <v>043# 3 x 6mm2 LSZH/LSZH</v>
      </c>
      <c r="E2615" s="921"/>
      <c r="F2615" s="921" t="s">
        <v>2599</v>
      </c>
      <c r="G2615" s="922" t="s">
        <v>2601</v>
      </c>
      <c r="H2615" s="922"/>
      <c r="I2615" s="922"/>
      <c r="J2615" s="922"/>
      <c r="K2615" s="923"/>
      <c r="L2615" s="918"/>
      <c r="M2615" s="918"/>
      <c r="N2615" s="918"/>
      <c r="O2615" s="924"/>
      <c r="P2615" s="921"/>
      <c r="Q2615" s="925">
        <f ca="1">$B2615*Elec_Rates!$R$448</f>
        <v>4.83</v>
      </c>
      <c r="R2615" s="916">
        <f ca="1">$A2615*Q2615</f>
        <v>24.15</v>
      </c>
      <c r="S2615" s="925">
        <f ca="1">$B2615*Elec_Rates!$T$448</f>
        <v>0.17</v>
      </c>
      <c r="T2615" s="917">
        <f ca="1">$A2615*S2615</f>
        <v>0.85000000000000009</v>
      </c>
      <c r="U2615" s="926"/>
      <c r="AR2615" s="919">
        <v>5</v>
      </c>
      <c r="AS2615" s="921" t="s">
        <v>2599</v>
      </c>
    </row>
    <row r="2616" spans="1:45" s="520" customFormat="1" ht="12">
      <c r="A2616" s="758"/>
      <c r="B2616" s="758"/>
      <c r="C2616" s="758"/>
      <c r="D2616" s="758"/>
      <c r="E2616" s="758"/>
      <c r="F2616" s="753"/>
      <c r="G2616" s="758"/>
      <c r="H2616" s="758"/>
      <c r="I2616" s="519"/>
      <c r="J2616" s="758"/>
      <c r="K2616" s="758"/>
      <c r="L2616" s="758"/>
      <c r="M2616" s="758"/>
      <c r="N2616" s="758"/>
      <c r="O2616" s="758"/>
      <c r="P2616" s="758"/>
      <c r="Q2616" s="519"/>
      <c r="R2616" s="759">
        <f>$A2616*Q2616</f>
        <v>0</v>
      </c>
      <c r="S2616" s="519"/>
      <c r="T2616" s="760">
        <f>$A2616*S2616*$T$1</f>
        <v>0</v>
      </c>
      <c r="AR2616" s="758"/>
      <c r="AS2616" s="753"/>
    </row>
    <row r="2617" spans="1:45" s="520" customFormat="1" ht="12.6" thickBot="1">
      <c r="A2617" s="761" t="s">
        <v>145</v>
      </c>
      <c r="B2617" s="762">
        <f>(R2616+T2616)</f>
        <v>0</v>
      </c>
      <c r="C2617" s="763"/>
      <c r="D2617" s="763"/>
      <c r="E2617" s="763"/>
      <c r="F2617" s="764"/>
      <c r="G2617" s="763" t="s">
        <v>146</v>
      </c>
      <c r="H2617" s="763"/>
      <c r="I2617" s="765"/>
      <c r="J2617" s="763"/>
      <c r="K2617" s="763" t="s">
        <v>3</v>
      </c>
      <c r="L2617" s="766" t="s">
        <v>143</v>
      </c>
      <c r="M2617" s="766"/>
      <c r="N2617" s="766"/>
      <c r="O2617" s="766"/>
      <c r="P2617" s="766"/>
      <c r="Q2617" s="767"/>
      <c r="R2617" s="768">
        <f ca="1">SUM(R2613:R2616)</f>
        <v>24.15</v>
      </c>
      <c r="S2617" s="763"/>
      <c r="T2617" s="768">
        <f ca="1">SUM(T2613:T2616)</f>
        <v>0.85000000000000009</v>
      </c>
      <c r="U2617" s="531"/>
      <c r="V2617" s="531"/>
      <c r="W2617" s="531"/>
      <c r="X2617" s="531"/>
      <c r="Y2617" s="531"/>
      <c r="Z2617" s="531"/>
      <c r="AA2617" s="531"/>
      <c r="AB2617" s="531"/>
      <c r="AC2617" s="531"/>
      <c r="AD2617" s="531"/>
      <c r="AE2617" s="531"/>
      <c r="AF2617" s="531"/>
      <c r="AG2617" s="531"/>
      <c r="AH2617" s="531"/>
      <c r="AI2617" s="531"/>
      <c r="AJ2617" s="531"/>
      <c r="AK2617" s="531"/>
      <c r="AL2617" s="531"/>
      <c r="AM2617" s="531"/>
      <c r="AN2617" s="531"/>
      <c r="AO2617" s="531"/>
      <c r="AR2617" s="761" t="s">
        <v>145</v>
      </c>
      <c r="AS2617" s="764"/>
    </row>
    <row r="2618" spans="1:45" s="520" customFormat="1" thickTop="1">
      <c r="A2618" s="51"/>
      <c r="B2618" s="51"/>
      <c r="C2618" s="3"/>
      <c r="D2618" s="3"/>
      <c r="E2618" s="51"/>
      <c r="F2618" s="51"/>
      <c r="G2618" s="51"/>
      <c r="H2618" s="51"/>
      <c r="I2618" s="51"/>
      <c r="J2618" s="51"/>
      <c r="K2618" s="51" t="s">
        <v>134</v>
      </c>
      <c r="L2618" s="51"/>
      <c r="M2618" s="51"/>
      <c r="N2618" s="51"/>
      <c r="O2618" s="52"/>
      <c r="P2618" s="51"/>
      <c r="Q2618" s="51"/>
      <c r="R2618" s="51"/>
      <c r="S2618" s="51"/>
      <c r="T2618" s="51"/>
      <c r="AR2618" s="51"/>
      <c r="AS2618" s="51"/>
    </row>
    <row r="2619" spans="1:45" s="520" customFormat="1" ht="12">
      <c r="A2619" s="51"/>
      <c r="B2619" s="51"/>
      <c r="C2619" s="51" t="s">
        <v>135</v>
      </c>
      <c r="D2619" s="37"/>
      <c r="E2619" s="51"/>
      <c r="F2619" s="51"/>
      <c r="G2619" s="51"/>
      <c r="H2619" s="51"/>
      <c r="I2619" s="51"/>
      <c r="J2619" s="51"/>
      <c r="K2619" s="51"/>
      <c r="L2619" s="51"/>
      <c r="M2619" s="51"/>
      <c r="N2619" s="51"/>
      <c r="O2619" s="52"/>
      <c r="P2619" s="51"/>
      <c r="Q2619" s="51"/>
      <c r="R2619" s="51"/>
      <c r="S2619" s="51"/>
      <c r="T2619" s="51"/>
      <c r="AR2619" s="51"/>
      <c r="AS2619" s="51"/>
    </row>
    <row r="2620" spans="1:45" s="520" customFormat="1" ht="12">
      <c r="A2620" s="51"/>
      <c r="B2620" s="51"/>
      <c r="C2620" s="51"/>
      <c r="D2620" s="37" t="s">
        <v>463</v>
      </c>
      <c r="E2620" s="51"/>
      <c r="F2620" s="51"/>
      <c r="G2620" s="51"/>
      <c r="H2620" s="51"/>
      <c r="I2620" s="51"/>
      <c r="J2620" s="51"/>
      <c r="K2620" s="51"/>
      <c r="L2620" s="51"/>
      <c r="M2620" s="51"/>
      <c r="N2620" s="51"/>
      <c r="O2620" s="52"/>
      <c r="P2620" s="51"/>
      <c r="Q2620" s="51"/>
      <c r="R2620" s="51"/>
      <c r="S2620" s="38"/>
      <c r="T2620" s="38"/>
      <c r="AR2620" s="51"/>
      <c r="AS2620" s="51"/>
    </row>
    <row r="2621" spans="1:45" s="3" customFormat="1" thickBot="1">
      <c r="A2621" s="531"/>
      <c r="O2621" s="107"/>
      <c r="AR2621" s="531"/>
    </row>
    <row r="2622" spans="1:45" s="520" customFormat="1" ht="12" thickTop="1">
      <c r="A2622" s="51"/>
      <c r="B2622" s="41"/>
      <c r="C2622" s="51"/>
      <c r="E2622" s="42" t="s">
        <v>138</v>
      </c>
      <c r="F2622" s="42" t="s">
        <v>139</v>
      </c>
      <c r="G2622" s="51"/>
      <c r="H2622" s="51"/>
      <c r="I2622" s="51"/>
      <c r="J2622" s="51"/>
      <c r="K2622" s="51" t="s">
        <v>140</v>
      </c>
      <c r="L2622" s="51"/>
      <c r="M2622" s="51"/>
      <c r="N2622" s="51"/>
      <c r="O2622" s="52"/>
      <c r="P2622" s="51"/>
      <c r="Q2622" s="51"/>
      <c r="R2622" s="51"/>
      <c r="S2622" s="51"/>
      <c r="T2622" s="41"/>
      <c r="AG2622" s="521" t="s">
        <v>268</v>
      </c>
      <c r="AH2622" s="521" t="s">
        <v>269</v>
      </c>
      <c r="AI2622" s="521" t="s">
        <v>270</v>
      </c>
      <c r="AJ2622" s="521" t="s">
        <v>271</v>
      </c>
      <c r="AK2622" s="521" t="s">
        <v>272</v>
      </c>
      <c r="AM2622" s="745" t="s">
        <v>281</v>
      </c>
      <c r="AN2622" s="746" t="s">
        <v>282</v>
      </c>
      <c r="AO2622" s="522" t="s">
        <v>278</v>
      </c>
      <c r="AR2622" s="51"/>
      <c r="AS2622" s="42" t="s">
        <v>139</v>
      </c>
    </row>
    <row r="2623" spans="1:45" s="520" customFormat="1" ht="12" customHeight="1">
      <c r="A2623" s="747">
        <v>1</v>
      </c>
      <c r="B2623" s="523" t="s">
        <v>141</v>
      </c>
      <c r="C2623" s="748"/>
      <c r="D2623" s="749" t="s">
        <v>1547</v>
      </c>
      <c r="E2623" s="750">
        <f ca="1">IF(AND($A2623=0,$A$1="DIF"),0, ROUND(ROUND(($R2628*$S$2+($T2628*$T$2))/A2623,2)*$C$2,2))</f>
        <v>48.45</v>
      </c>
      <c r="F2623" s="751">
        <f ca="1">ROUND($A2623*$E2623,2)</f>
        <v>48.45</v>
      </c>
      <c r="G2623" s="752" t="s">
        <v>142</v>
      </c>
      <c r="H2623" s="753"/>
      <c r="I2623" s="754"/>
      <c r="J2623" s="753"/>
      <c r="K2623" s="753" t="s">
        <v>3</v>
      </c>
      <c r="L2623" s="755" t="s">
        <v>143</v>
      </c>
      <c r="M2623" s="755"/>
      <c r="N2623" s="755"/>
      <c r="O2623" s="755"/>
      <c r="P2623" s="755"/>
      <c r="Q2623" s="51"/>
      <c r="T2623" s="756" t="str">
        <f ca="1">IF(AND($R2628=0,$T2628=0),"0.00","mu :" &amp; ROUND($F2623/$C$2/($R2628+$T2628*$D$9),2))</f>
        <v>mu :1.23</v>
      </c>
      <c r="W2623" s="524"/>
      <c r="AG2623" s="481">
        <f ca="1">IF($E2623=0,0,ROUND($R2628*$S$2*$C$2/$A2623,2))</f>
        <v>31.55</v>
      </c>
      <c r="AH2623" s="481">
        <f ca="1">$AG2623*$A2623</f>
        <v>31.55</v>
      </c>
      <c r="AI2623" s="525">
        <f ca="1">$E2623-$AG2623</f>
        <v>16.900000000000002</v>
      </c>
      <c r="AJ2623" s="525">
        <f ca="1">$A2623*$AI2623</f>
        <v>16.900000000000002</v>
      </c>
      <c r="AK2623" s="526">
        <f ca="1">ROUND(($AG2623+$AI2623)*$A2623,2)</f>
        <v>48.45</v>
      </c>
      <c r="AM2623" s="527">
        <f ca="1">ROUND(R2628,2)</f>
        <v>25.62</v>
      </c>
      <c r="AN2623" s="528">
        <f ca="1">ROUND(T2628,2)</f>
        <v>0.5</v>
      </c>
      <c r="AO2623" s="529">
        <f ca="1">ROUND(AM2623+AN2623,2)*A2623</f>
        <v>26.12</v>
      </c>
      <c r="AR2623" s="747">
        <v>1</v>
      </c>
      <c r="AS2623" s="751">
        <v>50.14</v>
      </c>
    </row>
    <row r="2624" spans="1:45" s="520" customFormat="1" ht="13.2">
      <c r="A2624" s="748"/>
      <c r="B2624"/>
      <c r="C2624" s="748"/>
      <c r="D2624" s="749" t="s">
        <v>1245</v>
      </c>
      <c r="F2624" s="753"/>
      <c r="G2624" s="3"/>
      <c r="H2624" s="753"/>
      <c r="I2624" s="754"/>
      <c r="J2624" s="753"/>
      <c r="K2624" s="753" t="s">
        <v>144</v>
      </c>
      <c r="L2624" s="753"/>
      <c r="M2624" s="753"/>
      <c r="N2624" s="753"/>
      <c r="O2624" s="753"/>
      <c r="P2624" s="753"/>
      <c r="Q2624" s="51"/>
      <c r="R2624" s="530"/>
      <c r="S2624" s="757"/>
      <c r="T2624" s="753"/>
      <c r="AR2624" s="748"/>
      <c r="AS2624" s="753"/>
    </row>
    <row r="2625" spans="1:45" s="520" customFormat="1" ht="12">
      <c r="A2625" s="51"/>
      <c r="B2625" s="758"/>
      <c r="C2625" s="753" t="s">
        <v>2597</v>
      </c>
      <c r="D2625" s="753" t="str">
        <f ca="1">CELL("Address",Elec_Rates!$D$192)</f>
        <v>[E25_0062_Quintano_Foods_Elec_ELV_As_Awarded.xlsx]Elec_Rates!$D$192</v>
      </c>
      <c r="E2625" s="758"/>
      <c r="F2625" s="753"/>
      <c r="G2625" s="1049" t="s">
        <v>2598</v>
      </c>
      <c r="H2625" s="1050"/>
      <c r="I2625" s="1051"/>
      <c r="J2625" s="1050"/>
      <c r="K2625" s="1050"/>
      <c r="L2625" s="758"/>
      <c r="M2625" s="758"/>
      <c r="N2625" s="758"/>
      <c r="O2625" s="758"/>
      <c r="P2625" s="758"/>
      <c r="Q2625" s="519"/>
      <c r="R2625" s="759"/>
      <c r="S2625" s="519"/>
      <c r="T2625" s="760"/>
      <c r="AR2625" s="51"/>
      <c r="AS2625" s="753"/>
    </row>
    <row r="2626" spans="1:45" s="520" customFormat="1" ht="11.4">
      <c r="A2626" s="51">
        <v>1</v>
      </c>
      <c r="B2626" s="519">
        <v>1</v>
      </c>
      <c r="C2626" s="519">
        <f>$A2626*$B2626</f>
        <v>1</v>
      </c>
      <c r="D2626" s="1048" t="str">
        <f>Elec_Rates!$D$192</f>
        <v>018# 1-Phase 25/32A Isolator</v>
      </c>
      <c r="E2626" s="1048"/>
      <c r="F2626" s="1048" t="s">
        <v>2733</v>
      </c>
      <c r="G2626" s="1050" t="s">
        <v>2600</v>
      </c>
      <c r="H2626" s="1050"/>
      <c r="I2626" s="1051"/>
      <c r="J2626" s="1050"/>
      <c r="K2626" s="1050"/>
      <c r="L2626" s="758"/>
      <c r="M2626" s="758"/>
      <c r="N2626" s="758"/>
      <c r="O2626" s="758"/>
      <c r="P2626" s="758"/>
      <c r="Q2626" s="1052">
        <f ca="1">$B2626*Elec_Rates!$R$192</f>
        <v>25.62</v>
      </c>
      <c r="R2626" s="759">
        <f ca="1">$A2626*Q2626</f>
        <v>25.62</v>
      </c>
      <c r="S2626" s="1052">
        <f ca="1">$B2626*Elec_Rates!$T$192</f>
        <v>0.5</v>
      </c>
      <c r="T2626" s="917">
        <f ca="1">$A2626*S2626</f>
        <v>0.5</v>
      </c>
      <c r="AR2626" s="51">
        <v>1</v>
      </c>
      <c r="AS2626" s="1048" t="s">
        <v>2733</v>
      </c>
    </row>
    <row r="2627" spans="1:45" s="520" customFormat="1" ht="12">
      <c r="A2627" s="758"/>
      <c r="B2627" s="758"/>
      <c r="C2627" s="758"/>
      <c r="D2627" s="758"/>
      <c r="E2627" s="758"/>
      <c r="F2627" s="753"/>
      <c r="G2627" s="758"/>
      <c r="H2627" s="758"/>
      <c r="I2627" s="519"/>
      <c r="J2627" s="758"/>
      <c r="K2627" s="758"/>
      <c r="L2627" s="758"/>
      <c r="M2627" s="758"/>
      <c r="N2627" s="758"/>
      <c r="O2627" s="758"/>
      <c r="P2627" s="758"/>
      <c r="Q2627" s="519"/>
      <c r="R2627" s="759">
        <f>$A2627*Q2627</f>
        <v>0</v>
      </c>
      <c r="S2627" s="519"/>
      <c r="T2627" s="760">
        <f>$A2627*S2627*$T$1</f>
        <v>0</v>
      </c>
      <c r="AR2627" s="758"/>
      <c r="AS2627" s="753"/>
    </row>
    <row r="2628" spans="1:45" s="520" customFormat="1" ht="12.6" thickBot="1">
      <c r="A2628" s="761" t="s">
        <v>145</v>
      </c>
      <c r="B2628" s="762">
        <f>(R2627+T2627)</f>
        <v>0</v>
      </c>
      <c r="C2628" s="763"/>
      <c r="D2628" s="763"/>
      <c r="E2628" s="763"/>
      <c r="F2628" s="764"/>
      <c r="G2628" s="763" t="s">
        <v>146</v>
      </c>
      <c r="H2628" s="763"/>
      <c r="I2628" s="765"/>
      <c r="J2628" s="763"/>
      <c r="K2628" s="763" t="s">
        <v>3</v>
      </c>
      <c r="L2628" s="766" t="s">
        <v>143</v>
      </c>
      <c r="M2628" s="766"/>
      <c r="N2628" s="766"/>
      <c r="O2628" s="766"/>
      <c r="P2628" s="766"/>
      <c r="Q2628" s="767"/>
      <c r="R2628" s="768">
        <f ca="1">SUM(R2624:R2627)</f>
        <v>25.62</v>
      </c>
      <c r="S2628" s="763"/>
      <c r="T2628" s="768">
        <f ca="1">SUM(T2624:T2627)</f>
        <v>0.5</v>
      </c>
      <c r="U2628" s="531"/>
      <c r="V2628" s="531"/>
      <c r="W2628" s="531"/>
      <c r="X2628" s="531"/>
      <c r="Y2628" s="531"/>
      <c r="Z2628" s="531"/>
      <c r="AA2628" s="531"/>
      <c r="AB2628" s="531"/>
      <c r="AC2628" s="531"/>
      <c r="AD2628" s="531"/>
      <c r="AE2628" s="531"/>
      <c r="AF2628" s="531"/>
      <c r="AG2628" s="531"/>
      <c r="AH2628" s="531"/>
      <c r="AI2628" s="531"/>
      <c r="AJ2628" s="531"/>
      <c r="AK2628" s="531"/>
      <c r="AL2628" s="531"/>
      <c r="AM2628" s="531"/>
      <c r="AN2628" s="531"/>
      <c r="AO2628" s="531"/>
      <c r="AR2628" s="761" t="s">
        <v>145</v>
      </c>
      <c r="AS2628" s="764"/>
    </row>
    <row r="2629" spans="1:45" s="520" customFormat="1" ht="12" thickTop="1">
      <c r="A2629" s="51"/>
      <c r="B2629" s="41"/>
      <c r="C2629" s="51"/>
      <c r="E2629" s="42" t="s">
        <v>138</v>
      </c>
      <c r="F2629" s="42" t="s">
        <v>139</v>
      </c>
      <c r="G2629" s="51"/>
      <c r="H2629" s="51"/>
      <c r="I2629" s="51"/>
      <c r="J2629" s="51"/>
      <c r="K2629" s="51" t="s">
        <v>140</v>
      </c>
      <c r="L2629" s="51"/>
      <c r="M2629" s="51"/>
      <c r="N2629" s="51"/>
      <c r="O2629" s="52"/>
      <c r="P2629" s="51"/>
      <c r="Q2629" s="51"/>
      <c r="R2629" s="51"/>
      <c r="S2629" s="51"/>
      <c r="T2629" s="41"/>
      <c r="AG2629" s="521" t="s">
        <v>268</v>
      </c>
      <c r="AH2629" s="521" t="s">
        <v>269</v>
      </c>
      <c r="AI2629" s="521" t="s">
        <v>270</v>
      </c>
      <c r="AJ2629" s="521" t="s">
        <v>271</v>
      </c>
      <c r="AK2629" s="521" t="s">
        <v>272</v>
      </c>
      <c r="AM2629" s="745" t="s">
        <v>281</v>
      </c>
      <c r="AN2629" s="746" t="s">
        <v>282</v>
      </c>
      <c r="AO2629" s="522" t="s">
        <v>278</v>
      </c>
      <c r="AR2629" s="51"/>
      <c r="AS2629" s="42" t="s">
        <v>139</v>
      </c>
    </row>
    <row r="2630" spans="1:45" s="520" customFormat="1" ht="12" customHeight="1">
      <c r="A2630" s="747">
        <v>1</v>
      </c>
      <c r="B2630" s="523" t="s">
        <v>141</v>
      </c>
      <c r="C2630" s="748"/>
      <c r="D2630" s="749" t="s">
        <v>1548</v>
      </c>
      <c r="E2630" s="750">
        <f ca="1">IF(AND($A2630=0,$A$1="DIF"),0, ROUND(ROUND(($R2635*$S$2+($T2635*$T$2))/A2630,2)*$C$2,2))</f>
        <v>104.97</v>
      </c>
      <c r="F2630" s="751">
        <f ca="1">ROUND($A2630*$E2630,2)</f>
        <v>104.97</v>
      </c>
      <c r="G2630" s="752" t="s">
        <v>142</v>
      </c>
      <c r="H2630" s="753"/>
      <c r="I2630" s="754"/>
      <c r="J2630" s="753"/>
      <c r="K2630" s="753" t="s">
        <v>3</v>
      </c>
      <c r="L2630" s="755" t="s">
        <v>143</v>
      </c>
      <c r="M2630" s="755"/>
      <c r="N2630" s="755"/>
      <c r="O2630" s="755"/>
      <c r="P2630" s="755"/>
      <c r="Q2630" s="51"/>
      <c r="T2630" s="756" t="str">
        <f ca="1">IF(AND($R2635=0,$T2635=0),"0.00","mu :" &amp; ROUND($F2630/$C$2/($R2635+$T2635*$D$9),2))</f>
        <v>mu :1.23</v>
      </c>
      <c r="W2630" s="524"/>
      <c r="AG2630" s="481">
        <f ca="1">IF($E2630=0,0,ROUND($R2635*$S$2*$C$2/$A2630,2))</f>
        <v>72.849999999999994</v>
      </c>
      <c r="AH2630" s="481">
        <f ca="1">$AG2630*$A2630</f>
        <v>72.849999999999994</v>
      </c>
      <c r="AI2630" s="525">
        <f ca="1">$E2630-$AG2630</f>
        <v>32.120000000000005</v>
      </c>
      <c r="AJ2630" s="525">
        <f ca="1">$A2630*$AI2630</f>
        <v>32.120000000000005</v>
      </c>
      <c r="AK2630" s="526">
        <f ca="1">ROUND(($AG2630+$AI2630)*$A2630,2)</f>
        <v>104.97</v>
      </c>
      <c r="AM2630" s="527">
        <f ca="1">ROUND(R2635,2)</f>
        <v>59.16</v>
      </c>
      <c r="AN2630" s="528">
        <f ca="1">ROUND(T2635,2)</f>
        <v>0.95</v>
      </c>
      <c r="AO2630" s="529">
        <f ca="1">ROUND(AM2630+AN2630,2)*A2630</f>
        <v>60.11</v>
      </c>
      <c r="AR2630" s="747">
        <v>1</v>
      </c>
      <c r="AS2630" s="751">
        <v>108.35</v>
      </c>
    </row>
    <row r="2631" spans="1:45" s="520" customFormat="1" ht="13.2">
      <c r="A2631" s="748"/>
      <c r="B2631"/>
      <c r="C2631" s="748"/>
      <c r="D2631" s="749" t="s">
        <v>1221</v>
      </c>
      <c r="F2631" s="753"/>
      <c r="G2631" s="3"/>
      <c r="H2631" s="753"/>
      <c r="I2631" s="754"/>
      <c r="J2631" s="753"/>
      <c r="K2631" s="753" t="s">
        <v>144</v>
      </c>
      <c r="L2631" s="753"/>
      <c r="M2631" s="753"/>
      <c r="N2631" s="753"/>
      <c r="O2631" s="753"/>
      <c r="P2631" s="753"/>
      <c r="Q2631" s="51"/>
      <c r="R2631" s="530"/>
      <c r="S2631" s="757"/>
      <c r="T2631" s="753"/>
      <c r="AR2631" s="748"/>
      <c r="AS2631" s="753"/>
    </row>
    <row r="2632" spans="1:45" s="520" customFormat="1" ht="12">
      <c r="A2632" s="51"/>
      <c r="B2632" s="758"/>
      <c r="C2632" s="753" t="s">
        <v>2597</v>
      </c>
      <c r="D2632" s="753" t="str">
        <f ca="1">CELL("Address",Elec_Rates!$D$219)</f>
        <v>[E25_0062_Quintano_Foods_Elec_ELV_As_Awarded.xlsx]Elec_Rates!$D$219</v>
      </c>
      <c r="E2632" s="758"/>
      <c r="F2632" s="753"/>
      <c r="G2632" s="1049" t="s">
        <v>2598</v>
      </c>
      <c r="H2632" s="1050"/>
      <c r="I2632" s="1051"/>
      <c r="J2632" s="1050"/>
      <c r="K2632" s="1050"/>
      <c r="L2632" s="758"/>
      <c r="M2632" s="758"/>
      <c r="N2632" s="758"/>
      <c r="O2632" s="758"/>
      <c r="P2632" s="758"/>
      <c r="Q2632" s="519"/>
      <c r="R2632" s="759"/>
      <c r="S2632" s="519"/>
      <c r="T2632" s="760"/>
      <c r="AR2632" s="51"/>
      <c r="AS2632" s="753"/>
    </row>
    <row r="2633" spans="1:45" s="520" customFormat="1" ht="11.4">
      <c r="A2633" s="51">
        <v>1</v>
      </c>
      <c r="B2633" s="519">
        <v>1</v>
      </c>
      <c r="C2633" s="519">
        <f>$A2633*$B2633</f>
        <v>1</v>
      </c>
      <c r="D2633" s="1048" t="str">
        <f>Elec_Rates!$D$219</f>
        <v>021# 3-Phase 40A Isolator</v>
      </c>
      <c r="E2633" s="1048"/>
      <c r="F2633" s="1048" t="s">
        <v>2733</v>
      </c>
      <c r="G2633" s="1050" t="s">
        <v>2600</v>
      </c>
      <c r="H2633" s="1050"/>
      <c r="I2633" s="1051"/>
      <c r="J2633" s="1050"/>
      <c r="K2633" s="1050"/>
      <c r="L2633" s="758"/>
      <c r="M2633" s="758"/>
      <c r="N2633" s="758"/>
      <c r="O2633" s="758"/>
      <c r="P2633" s="758"/>
      <c r="Q2633" s="1052">
        <f ca="1">$B2633*Elec_Rates!$R$219</f>
        <v>59.16</v>
      </c>
      <c r="R2633" s="759">
        <f ca="1">$A2633*Q2633</f>
        <v>59.16</v>
      </c>
      <c r="S2633" s="1052">
        <f ca="1">$B2633*Elec_Rates!$T$219</f>
        <v>0.95</v>
      </c>
      <c r="T2633" s="917">
        <f ca="1">$A2633*S2633</f>
        <v>0.95</v>
      </c>
      <c r="AR2633" s="51">
        <v>1</v>
      </c>
      <c r="AS2633" s="1048" t="s">
        <v>2733</v>
      </c>
    </row>
    <row r="2634" spans="1:45" s="520" customFormat="1" ht="12">
      <c r="A2634" s="758"/>
      <c r="B2634" s="758"/>
      <c r="C2634" s="758"/>
      <c r="D2634" s="758"/>
      <c r="E2634" s="758"/>
      <c r="F2634" s="753"/>
      <c r="G2634" s="758"/>
      <c r="H2634" s="758"/>
      <c r="I2634" s="519"/>
      <c r="J2634" s="758"/>
      <c r="K2634" s="758"/>
      <c r="L2634" s="758"/>
      <c r="M2634" s="758"/>
      <c r="N2634" s="758"/>
      <c r="O2634" s="758"/>
      <c r="P2634" s="758"/>
      <c r="Q2634" s="519"/>
      <c r="R2634" s="759">
        <f>$A2634*Q2634</f>
        <v>0</v>
      </c>
      <c r="S2634" s="519"/>
      <c r="T2634" s="760">
        <f>$A2634*S2634*$T$1</f>
        <v>0</v>
      </c>
      <c r="AR2634" s="758"/>
      <c r="AS2634" s="753"/>
    </row>
    <row r="2635" spans="1:45" s="520" customFormat="1" ht="12.6" thickBot="1">
      <c r="A2635" s="761" t="s">
        <v>145</v>
      </c>
      <c r="B2635" s="762">
        <f>(R2634+T2634)</f>
        <v>0</v>
      </c>
      <c r="C2635" s="763"/>
      <c r="D2635" s="763"/>
      <c r="E2635" s="763"/>
      <c r="F2635" s="764"/>
      <c r="G2635" s="763" t="s">
        <v>146</v>
      </c>
      <c r="H2635" s="763"/>
      <c r="I2635" s="765"/>
      <c r="J2635" s="763"/>
      <c r="K2635" s="763" t="s">
        <v>3</v>
      </c>
      <c r="L2635" s="766" t="s">
        <v>143</v>
      </c>
      <c r="M2635" s="766"/>
      <c r="N2635" s="766"/>
      <c r="O2635" s="766"/>
      <c r="P2635" s="766"/>
      <c r="Q2635" s="767"/>
      <c r="R2635" s="768">
        <f ca="1">SUM(R2631:R2634)</f>
        <v>59.16</v>
      </c>
      <c r="S2635" s="763"/>
      <c r="T2635" s="768">
        <f ca="1">SUM(T2631:T2634)</f>
        <v>0.95</v>
      </c>
      <c r="U2635" s="531"/>
      <c r="V2635" s="531"/>
      <c r="W2635" s="531"/>
      <c r="X2635" s="531"/>
      <c r="Y2635" s="531"/>
      <c r="Z2635" s="531"/>
      <c r="AA2635" s="531"/>
      <c r="AB2635" s="531"/>
      <c r="AC2635" s="531"/>
      <c r="AD2635" s="531"/>
      <c r="AE2635" s="531"/>
      <c r="AF2635" s="531"/>
      <c r="AG2635" s="531"/>
      <c r="AH2635" s="531"/>
      <c r="AI2635" s="531"/>
      <c r="AJ2635" s="531"/>
      <c r="AK2635" s="531"/>
      <c r="AL2635" s="531"/>
      <c r="AM2635" s="531"/>
      <c r="AN2635" s="531"/>
      <c r="AO2635" s="531"/>
      <c r="AR2635" s="761" t="s">
        <v>145</v>
      </c>
      <c r="AS2635" s="764"/>
    </row>
    <row r="2636" spans="1:45" s="520" customFormat="1" thickTop="1">
      <c r="A2636" s="51"/>
      <c r="B2636" s="51"/>
      <c r="C2636" s="3"/>
      <c r="D2636" s="3"/>
      <c r="E2636" s="51"/>
      <c r="F2636" s="51"/>
      <c r="G2636" s="51"/>
      <c r="H2636" s="51"/>
      <c r="I2636" s="51"/>
      <c r="J2636" s="51"/>
      <c r="K2636" s="51" t="s">
        <v>134</v>
      </c>
      <c r="L2636" s="51"/>
      <c r="M2636" s="51"/>
      <c r="N2636" s="51"/>
      <c r="O2636" s="52"/>
      <c r="P2636" s="51"/>
      <c r="Q2636" s="51"/>
      <c r="R2636" s="51"/>
      <c r="S2636" s="51"/>
      <c r="T2636" s="51"/>
      <c r="AR2636" s="51"/>
      <c r="AS2636" s="51"/>
    </row>
    <row r="2637" spans="1:45" s="520" customFormat="1" ht="12">
      <c r="A2637" s="51"/>
      <c r="B2637" s="51"/>
      <c r="C2637" s="51" t="s">
        <v>135</v>
      </c>
      <c r="D2637" s="37"/>
      <c r="E2637" s="51"/>
      <c r="F2637" s="51"/>
      <c r="G2637" s="51"/>
      <c r="H2637" s="51"/>
      <c r="I2637" s="51"/>
      <c r="J2637" s="51"/>
      <c r="K2637" s="51"/>
      <c r="L2637" s="51"/>
      <c r="M2637" s="51"/>
      <c r="N2637" s="51"/>
      <c r="O2637" s="52"/>
      <c r="P2637" s="51"/>
      <c r="Q2637" s="51"/>
      <c r="R2637" s="51"/>
      <c r="S2637" s="51"/>
      <c r="T2637" s="51"/>
      <c r="AR2637" s="51"/>
      <c r="AS2637" s="51"/>
    </row>
    <row r="2638" spans="1:45" s="520" customFormat="1" ht="39.9" customHeight="1">
      <c r="A2638" s="51"/>
      <c r="B2638" s="51"/>
      <c r="C2638" s="51"/>
      <c r="D2638" s="1453" t="s">
        <v>498</v>
      </c>
      <c r="E2638" s="1452"/>
      <c r="F2638" s="1452"/>
      <c r="G2638" s="1452"/>
      <c r="H2638" s="1452"/>
      <c r="I2638" s="1452"/>
      <c r="J2638" s="1452"/>
      <c r="K2638" s="1452"/>
      <c r="L2638" s="1452"/>
      <c r="M2638" s="1452"/>
      <c r="N2638" s="1452"/>
      <c r="O2638" s="1452"/>
      <c r="P2638" s="1452"/>
      <c r="Q2638" s="1452"/>
      <c r="R2638" s="1452"/>
      <c r="S2638" s="1452"/>
      <c r="T2638" s="1452"/>
      <c r="AR2638" s="51"/>
    </row>
    <row r="2639" spans="1:45" s="3" customFormat="1" thickBot="1">
      <c r="A2639" s="531"/>
      <c r="O2639" s="107"/>
      <c r="AR2639" s="531"/>
    </row>
    <row r="2640" spans="1:45" s="520" customFormat="1" thickTop="1">
      <c r="A2640" s="51"/>
      <c r="B2640" s="51"/>
      <c r="C2640" s="3"/>
      <c r="D2640" s="3"/>
      <c r="E2640" s="51"/>
      <c r="F2640" s="51"/>
      <c r="G2640" s="51"/>
      <c r="H2640" s="51"/>
      <c r="I2640" s="51"/>
      <c r="J2640" s="51"/>
      <c r="K2640" s="51" t="s">
        <v>134</v>
      </c>
      <c r="L2640" s="51"/>
      <c r="M2640" s="51"/>
      <c r="N2640" s="51"/>
      <c r="O2640" s="52"/>
      <c r="P2640" s="51"/>
      <c r="Q2640" s="51"/>
      <c r="R2640" s="51"/>
      <c r="S2640" s="51"/>
      <c r="T2640" s="51"/>
      <c r="AR2640" s="51"/>
      <c r="AS2640" s="51"/>
    </row>
    <row r="2641" spans="1:45" s="520" customFormat="1" ht="12">
      <c r="A2641" s="51"/>
      <c r="B2641" s="51"/>
      <c r="C2641" s="51" t="s">
        <v>135</v>
      </c>
      <c r="D2641" s="37"/>
      <c r="E2641" s="51"/>
      <c r="F2641" s="51"/>
      <c r="G2641" s="51"/>
      <c r="H2641" s="51"/>
      <c r="I2641" s="51"/>
      <c r="J2641" s="51"/>
      <c r="K2641" s="51"/>
      <c r="L2641" s="51"/>
      <c r="M2641" s="51"/>
      <c r="N2641" s="51"/>
      <c r="O2641" s="52"/>
      <c r="P2641" s="51"/>
      <c r="Q2641" s="51"/>
      <c r="R2641" s="51"/>
      <c r="S2641" s="51"/>
      <c r="T2641" s="51"/>
      <c r="AR2641" s="51"/>
      <c r="AS2641" s="51"/>
    </row>
    <row r="2642" spans="1:45" s="520" customFormat="1" ht="12">
      <c r="A2642" s="51"/>
      <c r="B2642" s="51"/>
      <c r="C2642" s="51"/>
      <c r="D2642" s="37" t="s">
        <v>720</v>
      </c>
      <c r="E2642" s="51"/>
      <c r="F2642" s="51"/>
      <c r="G2642" s="51"/>
      <c r="H2642" s="51"/>
      <c r="I2642" s="51"/>
      <c r="J2642" s="51"/>
      <c r="K2642" s="51"/>
      <c r="L2642" s="51"/>
      <c r="M2642" s="51"/>
      <c r="N2642" s="51"/>
      <c r="O2642" s="52"/>
      <c r="P2642" s="51"/>
      <c r="Q2642" s="51"/>
      <c r="R2642" s="51"/>
      <c r="S2642" s="38"/>
      <c r="T2642" s="38"/>
      <c r="AR2642" s="51"/>
      <c r="AS2642" s="51"/>
    </row>
    <row r="2643" spans="1:45" s="3" customFormat="1" thickBot="1">
      <c r="A2643" s="531"/>
      <c r="O2643" s="107"/>
      <c r="AR2643" s="531"/>
    </row>
    <row r="2644" spans="1:45" s="520" customFormat="1" ht="12" thickTop="1">
      <c r="A2644" s="51"/>
      <c r="B2644" s="41"/>
      <c r="C2644" s="51"/>
      <c r="E2644" s="42" t="s">
        <v>138</v>
      </c>
      <c r="F2644" s="42" t="s">
        <v>139</v>
      </c>
      <c r="G2644" s="51"/>
      <c r="H2644" s="51"/>
      <c r="I2644" s="51"/>
      <c r="J2644" s="51"/>
      <c r="K2644" s="51" t="s">
        <v>140</v>
      </c>
      <c r="L2644" s="51"/>
      <c r="M2644" s="51"/>
      <c r="N2644" s="51"/>
      <c r="O2644" s="52"/>
      <c r="P2644" s="51"/>
      <c r="Q2644" s="51"/>
      <c r="R2644" s="51"/>
      <c r="S2644" s="51"/>
      <c r="T2644" s="41"/>
      <c r="AG2644" s="521" t="s">
        <v>268</v>
      </c>
      <c r="AH2644" s="521" t="s">
        <v>269</v>
      </c>
      <c r="AI2644" s="521" t="s">
        <v>270</v>
      </c>
      <c r="AJ2644" s="521" t="s">
        <v>271</v>
      </c>
      <c r="AK2644" s="521" t="s">
        <v>272</v>
      </c>
      <c r="AM2644" s="745" t="s">
        <v>281</v>
      </c>
      <c r="AN2644" s="746" t="s">
        <v>282</v>
      </c>
      <c r="AO2644" s="522" t="s">
        <v>278</v>
      </c>
      <c r="AR2644" s="51"/>
      <c r="AS2644" s="42" t="s">
        <v>139</v>
      </c>
    </row>
    <row r="2645" spans="1:45" s="520" customFormat="1" ht="12" customHeight="1">
      <c r="A2645" s="747">
        <v>25</v>
      </c>
      <c r="B2645" s="523" t="s">
        <v>320</v>
      </c>
      <c r="C2645" s="748"/>
      <c r="D2645" s="749" t="s">
        <v>1549</v>
      </c>
      <c r="E2645" s="750">
        <f ca="1">IF(AND($A2645=0,$A$1="DIF"),0, ROUND(ROUND(($R2650*$S$2+($T2650*$T$2))/A2645,2)*$C$2,2))</f>
        <v>5.63</v>
      </c>
      <c r="F2645" s="751">
        <f ca="1">ROUND($A2645*$E2645,2)</f>
        <v>140.75</v>
      </c>
      <c r="G2645" s="752" t="s">
        <v>142</v>
      </c>
      <c r="H2645" s="753"/>
      <c r="I2645" s="754"/>
      <c r="J2645" s="753"/>
      <c r="K2645" s="753" t="s">
        <v>3</v>
      </c>
      <c r="L2645" s="755" t="s">
        <v>143</v>
      </c>
      <c r="M2645" s="755"/>
      <c r="N2645" s="755"/>
      <c r="O2645" s="755"/>
      <c r="P2645" s="755"/>
      <c r="Q2645" s="51"/>
      <c r="T2645" s="756" t="str">
        <f ca="1">IF(AND($R2650=0,$T2650=0),"0.00","mu :" &amp; ROUND($F2645/$C$2/($R2650+$T2650*$D$9),2))</f>
        <v>mu :1.23</v>
      </c>
      <c r="W2645" s="524"/>
      <c r="AG2645" s="481">
        <f ca="1">IF($E2645=0,0,ROUND($R2650*$S$2*$C$2/$A2645,2))</f>
        <v>3.26</v>
      </c>
      <c r="AH2645" s="481">
        <f ca="1">$AG2645*$A2645</f>
        <v>81.5</v>
      </c>
      <c r="AI2645" s="525">
        <f ca="1">$E2645-$AG2645</f>
        <v>2.37</v>
      </c>
      <c r="AJ2645" s="525">
        <f ca="1">$A2645*$AI2645</f>
        <v>59.25</v>
      </c>
      <c r="AK2645" s="526">
        <f ca="1">ROUND(($AG2645+$AI2645)*$A2645,2)</f>
        <v>140.75</v>
      </c>
      <c r="AM2645" s="527">
        <f ca="1">ROUND(R2650,2)</f>
        <v>66.25</v>
      </c>
      <c r="AN2645" s="528">
        <f ca="1">ROUND(T2650,2)</f>
        <v>1.75</v>
      </c>
      <c r="AO2645" s="529">
        <f ca="1">ROUND(AM2645+AN2645,2)*A2645</f>
        <v>1700</v>
      </c>
      <c r="AR2645" s="747">
        <v>25</v>
      </c>
      <c r="AS2645" s="751">
        <v>149.25</v>
      </c>
    </row>
    <row r="2646" spans="1:45" s="520" customFormat="1" ht="13.2">
      <c r="A2646" s="748"/>
      <c r="B2646"/>
      <c r="C2646" s="748"/>
      <c r="D2646" s="749" t="s">
        <v>1550</v>
      </c>
      <c r="F2646" s="753"/>
      <c r="G2646" s="3"/>
      <c r="H2646" s="753"/>
      <c r="I2646" s="754"/>
      <c r="J2646" s="753"/>
      <c r="K2646" s="753" t="s">
        <v>144</v>
      </c>
      <c r="L2646" s="753"/>
      <c r="M2646" s="753"/>
      <c r="N2646" s="753"/>
      <c r="O2646" s="753"/>
      <c r="P2646" s="753"/>
      <c r="Q2646" s="51"/>
      <c r="R2646" s="530"/>
      <c r="S2646" s="757"/>
      <c r="T2646" s="753"/>
      <c r="AR2646" s="748"/>
      <c r="AS2646" s="753"/>
    </row>
    <row r="2647" spans="1:45" s="886" customFormat="1" ht="13.2">
      <c r="A2647"/>
      <c r="B2647" s="910"/>
      <c r="C2647" s="910" t="s">
        <v>2597</v>
      </c>
      <c r="D2647" s="910" t="str">
        <f ca="1">CELL("Address",Elec_Rates!D$478)</f>
        <v>[E25_0062_Quintano_Foods_Elec_ELV_As_Awarded.xlsx]Elec_Rates!$D$478</v>
      </c>
      <c r="E2647" s="911"/>
      <c r="F2647" s="911"/>
      <c r="G2647" s="912" t="s">
        <v>2598</v>
      </c>
      <c r="H2647" s="912"/>
      <c r="I2647" s="912"/>
      <c r="J2647" s="912"/>
      <c r="K2647" s="913"/>
      <c r="L2647" s="911"/>
      <c r="M2647" s="911"/>
      <c r="N2647" s="911"/>
      <c r="O2647" s="914"/>
      <c r="P2647" s="911"/>
      <c r="Q2647" s="915"/>
      <c r="R2647" s="916"/>
      <c r="S2647" s="915"/>
      <c r="T2647" s="917"/>
      <c r="U2647" s="918"/>
      <c r="AR2647"/>
      <c r="AS2647" s="911"/>
    </row>
    <row r="2648" spans="1:45" s="886" customFormat="1" ht="11.4">
      <c r="A2648" s="919">
        <v>25</v>
      </c>
      <c r="B2648" s="920">
        <v>1</v>
      </c>
      <c r="C2648" s="920">
        <f>$A2648*$B2648</f>
        <v>25</v>
      </c>
      <c r="D2648" s="921" t="str">
        <f>Elec_Rates!$D$478</f>
        <v>046# 3 x 4mm2 XLPE/SWA/LSZH</v>
      </c>
      <c r="E2648" s="921"/>
      <c r="F2648" s="921" t="s">
        <v>2599</v>
      </c>
      <c r="G2648" s="922" t="s">
        <v>2601</v>
      </c>
      <c r="H2648" s="922"/>
      <c r="I2648" s="922"/>
      <c r="J2648" s="922"/>
      <c r="K2648" s="923"/>
      <c r="L2648" s="918"/>
      <c r="M2648" s="918"/>
      <c r="N2648" s="918"/>
      <c r="O2648" s="924"/>
      <c r="P2648" s="921"/>
      <c r="Q2648" s="925">
        <f ca="1">$B2648*Elec_Rates!$R$478</f>
        <v>2.65</v>
      </c>
      <c r="R2648" s="916">
        <f ca="1">$A2648*Q2648</f>
        <v>66.25</v>
      </c>
      <c r="S2648" s="925">
        <f ca="1">$B2648*Elec_Rates!$T$478</f>
        <v>7.0000000000000007E-2</v>
      </c>
      <c r="T2648" s="917">
        <f ca="1">$A2648*S2648</f>
        <v>1.7500000000000002</v>
      </c>
      <c r="U2648" s="926"/>
      <c r="AR2648" s="919">
        <v>25</v>
      </c>
      <c r="AS2648" s="921" t="s">
        <v>2599</v>
      </c>
    </row>
    <row r="2649" spans="1:45" s="520" customFormat="1" ht="12">
      <c r="A2649" s="758"/>
      <c r="B2649" s="758"/>
      <c r="C2649" s="758"/>
      <c r="D2649" s="758"/>
      <c r="E2649" s="758"/>
      <c r="F2649" s="753"/>
      <c r="G2649" s="758"/>
      <c r="H2649" s="758"/>
      <c r="I2649" s="519"/>
      <c r="J2649" s="758"/>
      <c r="K2649" s="758"/>
      <c r="L2649" s="758"/>
      <c r="M2649" s="758"/>
      <c r="N2649" s="758"/>
      <c r="O2649" s="758"/>
      <c r="P2649" s="758"/>
      <c r="Q2649" s="519"/>
      <c r="R2649" s="759">
        <f>$A2649*Q2649</f>
        <v>0</v>
      </c>
      <c r="S2649" s="519"/>
      <c r="T2649" s="760">
        <f>$A2649*S2649*$T$1</f>
        <v>0</v>
      </c>
      <c r="AR2649" s="758"/>
      <c r="AS2649" s="753"/>
    </row>
    <row r="2650" spans="1:45" s="520" customFormat="1" ht="12.6" thickBot="1">
      <c r="A2650" s="761" t="s">
        <v>145</v>
      </c>
      <c r="B2650" s="762">
        <f>(R2649+T2649)</f>
        <v>0</v>
      </c>
      <c r="C2650" s="763"/>
      <c r="D2650" s="763"/>
      <c r="E2650" s="763"/>
      <c r="F2650" s="764"/>
      <c r="G2650" s="763" t="s">
        <v>146</v>
      </c>
      <c r="H2650" s="763"/>
      <c r="I2650" s="765"/>
      <c r="J2650" s="763"/>
      <c r="K2650" s="763" t="s">
        <v>3</v>
      </c>
      <c r="L2650" s="766" t="s">
        <v>143</v>
      </c>
      <c r="M2650" s="766"/>
      <c r="N2650" s="766"/>
      <c r="O2650" s="766"/>
      <c r="P2650" s="766"/>
      <c r="Q2650" s="767"/>
      <c r="R2650" s="768">
        <f ca="1">SUM(R2646:R2649)</f>
        <v>66.25</v>
      </c>
      <c r="S2650" s="763"/>
      <c r="T2650" s="768">
        <f ca="1">SUM(T2646:T2649)</f>
        <v>1.7500000000000002</v>
      </c>
      <c r="U2650" s="531"/>
      <c r="V2650" s="531"/>
      <c r="W2650" s="531"/>
      <c r="X2650" s="531"/>
      <c r="Y2650" s="531"/>
      <c r="Z2650" s="531"/>
      <c r="AA2650" s="531"/>
      <c r="AB2650" s="531"/>
      <c r="AC2650" s="531"/>
      <c r="AD2650" s="531"/>
      <c r="AE2650" s="531"/>
      <c r="AF2650" s="531"/>
      <c r="AG2650" s="531"/>
      <c r="AH2650" s="531"/>
      <c r="AI2650" s="531"/>
      <c r="AJ2650" s="531"/>
      <c r="AK2650" s="531"/>
      <c r="AL2650" s="531"/>
      <c r="AM2650" s="531"/>
      <c r="AN2650" s="531"/>
      <c r="AO2650" s="531"/>
      <c r="AR2650" s="761" t="s">
        <v>145</v>
      </c>
      <c r="AS2650" s="764"/>
    </row>
    <row r="2651" spans="1:45" s="520" customFormat="1" ht="12" thickTop="1">
      <c r="A2651" s="51"/>
      <c r="B2651" s="41"/>
      <c r="C2651" s="51"/>
      <c r="E2651" s="42" t="s">
        <v>138</v>
      </c>
      <c r="F2651" s="42" t="s">
        <v>139</v>
      </c>
      <c r="G2651" s="51"/>
      <c r="H2651" s="51"/>
      <c r="I2651" s="51"/>
      <c r="J2651" s="51"/>
      <c r="K2651" s="51" t="s">
        <v>140</v>
      </c>
      <c r="L2651" s="51"/>
      <c r="M2651" s="51"/>
      <c r="N2651" s="51"/>
      <c r="O2651" s="52"/>
      <c r="P2651" s="51"/>
      <c r="Q2651" s="51"/>
      <c r="R2651" s="51"/>
      <c r="S2651" s="51"/>
      <c r="T2651" s="41"/>
      <c r="AG2651" s="521" t="s">
        <v>268</v>
      </c>
      <c r="AH2651" s="521" t="s">
        <v>269</v>
      </c>
      <c r="AI2651" s="521" t="s">
        <v>270</v>
      </c>
      <c r="AJ2651" s="521" t="s">
        <v>271</v>
      </c>
      <c r="AK2651" s="521" t="s">
        <v>272</v>
      </c>
      <c r="AM2651" s="745" t="s">
        <v>281</v>
      </c>
      <c r="AN2651" s="746" t="s">
        <v>282</v>
      </c>
      <c r="AO2651" s="522" t="s">
        <v>278</v>
      </c>
      <c r="AR2651" s="51"/>
      <c r="AS2651" s="42" t="s">
        <v>139</v>
      </c>
    </row>
    <row r="2652" spans="1:45" s="520" customFormat="1" ht="12" customHeight="1">
      <c r="A2652" s="747">
        <v>30</v>
      </c>
      <c r="B2652" s="523" t="s">
        <v>320</v>
      </c>
      <c r="C2652" s="748"/>
      <c r="D2652" s="749" t="s">
        <v>1551</v>
      </c>
      <c r="E2652" s="750">
        <f ca="1">IF(AND($A2652=0,$A$1="DIF"),0, ROUND(ROUND(($R2657*$S$2+($T2657*$T$2))/A2652,2)*$C$2,2))</f>
        <v>5.63</v>
      </c>
      <c r="F2652" s="751">
        <f ca="1">ROUND($A2652*$E2652,2)</f>
        <v>168.9</v>
      </c>
      <c r="G2652" s="752" t="s">
        <v>142</v>
      </c>
      <c r="H2652" s="753"/>
      <c r="I2652" s="754"/>
      <c r="J2652" s="753"/>
      <c r="K2652" s="753" t="s">
        <v>3</v>
      </c>
      <c r="L2652" s="755" t="s">
        <v>143</v>
      </c>
      <c r="M2652" s="755"/>
      <c r="N2652" s="755"/>
      <c r="O2652" s="755"/>
      <c r="P2652" s="755"/>
      <c r="Q2652" s="51"/>
      <c r="T2652" s="756" t="str">
        <f ca="1">IF(AND($R2657=0,$T2657=0),"0.00","mu :" &amp; ROUND($F2652/$C$2/($R2657+$T2657*$D$9),2))</f>
        <v>mu :1.23</v>
      </c>
      <c r="W2652" s="524"/>
      <c r="AG2652" s="481">
        <f ca="1">IF($E2652=0,0,ROUND($R2657*$S$2*$C$2/$A2652,2))</f>
        <v>3.26</v>
      </c>
      <c r="AH2652" s="481">
        <f ca="1">$AG2652*$A2652</f>
        <v>97.8</v>
      </c>
      <c r="AI2652" s="525">
        <f ca="1">$E2652-$AG2652</f>
        <v>2.37</v>
      </c>
      <c r="AJ2652" s="525">
        <f ca="1">$A2652*$AI2652</f>
        <v>71.100000000000009</v>
      </c>
      <c r="AK2652" s="526">
        <f ca="1">ROUND(($AG2652+$AI2652)*$A2652,2)</f>
        <v>168.9</v>
      </c>
      <c r="AM2652" s="527">
        <f ca="1">ROUND(R2657,2)</f>
        <v>79.5</v>
      </c>
      <c r="AN2652" s="528">
        <f ca="1">ROUND(T2657,2)</f>
        <v>2.1</v>
      </c>
      <c r="AO2652" s="529">
        <f ca="1">ROUND(AM2652+AN2652,2)*A2652</f>
        <v>2448</v>
      </c>
      <c r="AR2652" s="747">
        <v>30</v>
      </c>
      <c r="AS2652" s="751">
        <v>179.1</v>
      </c>
    </row>
    <row r="2653" spans="1:45" s="520" customFormat="1" ht="13.2">
      <c r="A2653" s="748"/>
      <c r="B2653"/>
      <c r="C2653" s="748"/>
      <c r="D2653" s="749" t="s">
        <v>1552</v>
      </c>
      <c r="F2653" s="753"/>
      <c r="G2653" s="3"/>
      <c r="H2653" s="753"/>
      <c r="I2653" s="754"/>
      <c r="J2653" s="753"/>
      <c r="K2653" s="753" t="s">
        <v>144</v>
      </c>
      <c r="L2653" s="753"/>
      <c r="M2653" s="753"/>
      <c r="N2653" s="753"/>
      <c r="O2653" s="753"/>
      <c r="P2653" s="753"/>
      <c r="Q2653" s="51"/>
      <c r="R2653" s="530"/>
      <c r="S2653" s="757"/>
      <c r="T2653" s="753"/>
      <c r="AR2653" s="748"/>
      <c r="AS2653" s="753"/>
    </row>
    <row r="2654" spans="1:45" s="886" customFormat="1" ht="13.2">
      <c r="A2654"/>
      <c r="B2654" s="910"/>
      <c r="C2654" s="910" t="s">
        <v>2597</v>
      </c>
      <c r="D2654" s="910" t="str">
        <f ca="1">CELL("Address",Elec_Rates!D$478)</f>
        <v>[E25_0062_Quintano_Foods_Elec_ELV_As_Awarded.xlsx]Elec_Rates!$D$478</v>
      </c>
      <c r="E2654" s="911"/>
      <c r="F2654" s="911"/>
      <c r="G2654" s="912" t="s">
        <v>2598</v>
      </c>
      <c r="H2654" s="912"/>
      <c r="I2654" s="912"/>
      <c r="J2654" s="912"/>
      <c r="K2654" s="913"/>
      <c r="L2654" s="911"/>
      <c r="M2654" s="911"/>
      <c r="N2654" s="911"/>
      <c r="O2654" s="914"/>
      <c r="P2654" s="911"/>
      <c r="Q2654" s="915"/>
      <c r="R2654" s="916"/>
      <c r="S2654" s="915"/>
      <c r="T2654" s="917"/>
      <c r="U2654" s="918"/>
      <c r="AR2654"/>
      <c r="AS2654" s="911"/>
    </row>
    <row r="2655" spans="1:45" s="886" customFormat="1" ht="11.4">
      <c r="A2655" s="919">
        <v>30</v>
      </c>
      <c r="B2655" s="920">
        <v>1</v>
      </c>
      <c r="C2655" s="920">
        <f>$A2655*$B2655</f>
        <v>30</v>
      </c>
      <c r="D2655" s="921" t="str">
        <f>Elec_Rates!$D$478</f>
        <v>046# 3 x 4mm2 XLPE/SWA/LSZH</v>
      </c>
      <c r="E2655" s="921"/>
      <c r="F2655" s="921" t="s">
        <v>2599</v>
      </c>
      <c r="G2655" s="922" t="s">
        <v>2601</v>
      </c>
      <c r="H2655" s="922"/>
      <c r="I2655" s="922"/>
      <c r="J2655" s="922"/>
      <c r="K2655" s="923"/>
      <c r="L2655" s="918"/>
      <c r="M2655" s="918"/>
      <c r="N2655" s="918"/>
      <c r="O2655" s="924"/>
      <c r="P2655" s="921"/>
      <c r="Q2655" s="925">
        <f ca="1">$B2655*Elec_Rates!$R$478</f>
        <v>2.65</v>
      </c>
      <c r="R2655" s="916">
        <f ca="1">$A2655*Q2655</f>
        <v>79.5</v>
      </c>
      <c r="S2655" s="925">
        <f ca="1">$B2655*Elec_Rates!$T$478</f>
        <v>7.0000000000000007E-2</v>
      </c>
      <c r="T2655" s="917">
        <f ca="1">$A2655*S2655</f>
        <v>2.1</v>
      </c>
      <c r="U2655" s="926"/>
      <c r="AR2655" s="919">
        <v>30</v>
      </c>
      <c r="AS2655" s="921" t="s">
        <v>2599</v>
      </c>
    </row>
    <row r="2656" spans="1:45" s="520" customFormat="1" ht="12">
      <c r="A2656" s="758"/>
      <c r="B2656" s="758"/>
      <c r="C2656" s="758"/>
      <c r="D2656" s="758"/>
      <c r="E2656" s="758"/>
      <c r="F2656" s="753"/>
      <c r="G2656" s="758"/>
      <c r="H2656" s="758"/>
      <c r="I2656" s="519"/>
      <c r="J2656" s="758"/>
      <c r="K2656" s="758"/>
      <c r="L2656" s="758"/>
      <c r="M2656" s="758"/>
      <c r="N2656" s="758"/>
      <c r="O2656" s="758"/>
      <c r="P2656" s="758"/>
      <c r="Q2656" s="519"/>
      <c r="R2656" s="759">
        <f>$A2656*Q2656</f>
        <v>0</v>
      </c>
      <c r="S2656" s="519"/>
      <c r="T2656" s="760">
        <f>$A2656*S2656*$T$1</f>
        <v>0</v>
      </c>
      <c r="AR2656" s="758"/>
      <c r="AS2656" s="753"/>
    </row>
    <row r="2657" spans="1:45" s="520" customFormat="1" ht="12.6" thickBot="1">
      <c r="A2657" s="761" t="s">
        <v>145</v>
      </c>
      <c r="B2657" s="762">
        <f>(R2656+T2656)</f>
        <v>0</v>
      </c>
      <c r="C2657" s="763"/>
      <c r="D2657" s="763"/>
      <c r="E2657" s="763"/>
      <c r="F2657" s="764"/>
      <c r="G2657" s="763" t="s">
        <v>146</v>
      </c>
      <c r="H2657" s="763"/>
      <c r="I2657" s="765"/>
      <c r="J2657" s="763"/>
      <c r="K2657" s="763" t="s">
        <v>3</v>
      </c>
      <c r="L2657" s="766" t="s">
        <v>143</v>
      </c>
      <c r="M2657" s="766"/>
      <c r="N2657" s="766"/>
      <c r="O2657" s="766"/>
      <c r="P2657" s="766"/>
      <c r="Q2657" s="767"/>
      <c r="R2657" s="768">
        <f ca="1">SUM(R2653:R2656)</f>
        <v>79.5</v>
      </c>
      <c r="S2657" s="763"/>
      <c r="T2657" s="768">
        <f ca="1">SUM(T2653:T2656)</f>
        <v>2.1</v>
      </c>
      <c r="U2657" s="531"/>
      <c r="V2657" s="531"/>
      <c r="W2657" s="531"/>
      <c r="X2657" s="531"/>
      <c r="Y2657" s="531"/>
      <c r="Z2657" s="531"/>
      <c r="AA2657" s="531"/>
      <c r="AB2657" s="531"/>
      <c r="AC2657" s="531"/>
      <c r="AD2657" s="531"/>
      <c r="AE2657" s="531"/>
      <c r="AF2657" s="531"/>
      <c r="AG2657" s="531"/>
      <c r="AH2657" s="531"/>
      <c r="AI2657" s="531"/>
      <c r="AJ2657" s="531"/>
      <c r="AK2657" s="531"/>
      <c r="AL2657" s="531"/>
      <c r="AM2657" s="531"/>
      <c r="AN2657" s="531"/>
      <c r="AO2657" s="531"/>
      <c r="AR2657" s="761" t="s">
        <v>145</v>
      </c>
      <c r="AS2657" s="764"/>
    </row>
    <row r="2658" spans="1:45" s="520" customFormat="1" ht="12" thickTop="1">
      <c r="A2658" s="51"/>
      <c r="B2658" s="41"/>
      <c r="C2658" s="51"/>
      <c r="E2658" s="42" t="s">
        <v>138</v>
      </c>
      <c r="F2658" s="42" t="s">
        <v>139</v>
      </c>
      <c r="G2658" s="51"/>
      <c r="H2658" s="51"/>
      <c r="I2658" s="51"/>
      <c r="J2658" s="51"/>
      <c r="K2658" s="51" t="s">
        <v>140</v>
      </c>
      <c r="L2658" s="51"/>
      <c r="M2658" s="51"/>
      <c r="N2658" s="51"/>
      <c r="O2658" s="52"/>
      <c r="P2658" s="51"/>
      <c r="Q2658" s="51"/>
      <c r="R2658" s="51"/>
      <c r="S2658" s="51"/>
      <c r="T2658" s="41"/>
      <c r="AG2658" s="521" t="s">
        <v>268</v>
      </c>
      <c r="AH2658" s="521" t="s">
        <v>269</v>
      </c>
      <c r="AI2658" s="521" t="s">
        <v>270</v>
      </c>
      <c r="AJ2658" s="521" t="s">
        <v>271</v>
      </c>
      <c r="AK2658" s="521" t="s">
        <v>272</v>
      </c>
      <c r="AM2658" s="745" t="s">
        <v>281</v>
      </c>
      <c r="AN2658" s="746" t="s">
        <v>282</v>
      </c>
      <c r="AO2658" s="522" t="s">
        <v>278</v>
      </c>
      <c r="AR2658" s="51"/>
      <c r="AS2658" s="42" t="s">
        <v>139</v>
      </c>
    </row>
    <row r="2659" spans="1:45" s="520" customFormat="1" ht="12" customHeight="1">
      <c r="A2659" s="747">
        <v>25</v>
      </c>
      <c r="B2659" s="523" t="s">
        <v>320</v>
      </c>
      <c r="C2659" s="748"/>
      <c r="D2659" s="749" t="s">
        <v>1553</v>
      </c>
      <c r="E2659" s="750">
        <f ca="1">IF(AND($A2659=0,$A$1="DIF"),0, ROUND(ROUND(($R2664*$S$2+($T2664*$T$2))/A2659,2)*$C$2,2))</f>
        <v>5.63</v>
      </c>
      <c r="F2659" s="751">
        <f ca="1">ROUND($A2659*$E2659,2)</f>
        <v>140.75</v>
      </c>
      <c r="G2659" s="752" t="s">
        <v>142</v>
      </c>
      <c r="H2659" s="753"/>
      <c r="I2659" s="754"/>
      <c r="J2659" s="753"/>
      <c r="K2659" s="753" t="s">
        <v>3</v>
      </c>
      <c r="L2659" s="755" t="s">
        <v>143</v>
      </c>
      <c r="M2659" s="755"/>
      <c r="N2659" s="755"/>
      <c r="O2659" s="755"/>
      <c r="P2659" s="755"/>
      <c r="Q2659" s="51"/>
      <c r="T2659" s="756" t="str">
        <f ca="1">IF(AND($R2664=0,$T2664=0),"0.00","mu :" &amp; ROUND($F2659/$C$2/($R2664+$T2664*$D$9),2))</f>
        <v>mu :1.23</v>
      </c>
      <c r="W2659" s="524"/>
      <c r="AG2659" s="481">
        <f ca="1">IF($E2659=0,0,ROUND($R2664*$S$2*$C$2/$A2659,2))</f>
        <v>3.26</v>
      </c>
      <c r="AH2659" s="481">
        <f ca="1">$AG2659*$A2659</f>
        <v>81.5</v>
      </c>
      <c r="AI2659" s="525">
        <f ca="1">$E2659-$AG2659</f>
        <v>2.37</v>
      </c>
      <c r="AJ2659" s="525">
        <f ca="1">$A2659*$AI2659</f>
        <v>59.25</v>
      </c>
      <c r="AK2659" s="526">
        <f ca="1">ROUND(($AG2659+$AI2659)*$A2659,2)</f>
        <v>140.75</v>
      </c>
      <c r="AM2659" s="527">
        <f ca="1">ROUND(R2664,2)</f>
        <v>66.25</v>
      </c>
      <c r="AN2659" s="528">
        <f ca="1">ROUND(T2664,2)</f>
        <v>1.75</v>
      </c>
      <c r="AO2659" s="529">
        <f ca="1">ROUND(AM2659+AN2659,2)*A2659</f>
        <v>1700</v>
      </c>
      <c r="AR2659" s="747">
        <v>25</v>
      </c>
      <c r="AS2659" s="751">
        <v>149.25</v>
      </c>
    </row>
    <row r="2660" spans="1:45" s="520" customFormat="1" ht="13.2">
      <c r="A2660" s="748"/>
      <c r="B2660"/>
      <c r="C2660" s="748"/>
      <c r="D2660" s="749" t="s">
        <v>1554</v>
      </c>
      <c r="F2660" s="753"/>
      <c r="G2660" s="3"/>
      <c r="H2660" s="753"/>
      <c r="I2660" s="754"/>
      <c r="J2660" s="753"/>
      <c r="K2660" s="753" t="s">
        <v>144</v>
      </c>
      <c r="L2660" s="753"/>
      <c r="M2660" s="753"/>
      <c r="N2660" s="753"/>
      <c r="O2660" s="753"/>
      <c r="P2660" s="753"/>
      <c r="Q2660" s="51"/>
      <c r="R2660" s="530"/>
      <c r="S2660" s="757"/>
      <c r="T2660" s="753"/>
      <c r="AR2660" s="748"/>
      <c r="AS2660" s="753"/>
    </row>
    <row r="2661" spans="1:45" s="886" customFormat="1" ht="13.2">
      <c r="A2661"/>
      <c r="B2661" s="910"/>
      <c r="C2661" s="910" t="s">
        <v>2597</v>
      </c>
      <c r="D2661" s="910" t="str">
        <f ca="1">CELL("Address",Elec_Rates!D$478)</f>
        <v>[E25_0062_Quintano_Foods_Elec_ELV_As_Awarded.xlsx]Elec_Rates!$D$478</v>
      </c>
      <c r="E2661" s="911"/>
      <c r="F2661" s="911"/>
      <c r="G2661" s="912" t="s">
        <v>2598</v>
      </c>
      <c r="H2661" s="912"/>
      <c r="I2661" s="912"/>
      <c r="J2661" s="912"/>
      <c r="K2661" s="913"/>
      <c r="L2661" s="911"/>
      <c r="M2661" s="911"/>
      <c r="N2661" s="911"/>
      <c r="O2661" s="914"/>
      <c r="P2661" s="911"/>
      <c r="Q2661" s="915"/>
      <c r="R2661" s="916"/>
      <c r="S2661" s="915"/>
      <c r="T2661" s="917"/>
      <c r="U2661" s="918"/>
      <c r="AR2661"/>
      <c r="AS2661" s="911"/>
    </row>
    <row r="2662" spans="1:45" s="886" customFormat="1" ht="11.4">
      <c r="A2662" s="919">
        <v>25</v>
      </c>
      <c r="B2662" s="920">
        <v>1</v>
      </c>
      <c r="C2662" s="920">
        <f>$A2662*$B2662</f>
        <v>25</v>
      </c>
      <c r="D2662" s="921" t="str">
        <f>Elec_Rates!$D$478</f>
        <v>046# 3 x 4mm2 XLPE/SWA/LSZH</v>
      </c>
      <c r="E2662" s="921"/>
      <c r="F2662" s="921" t="s">
        <v>2599</v>
      </c>
      <c r="G2662" s="922" t="s">
        <v>2601</v>
      </c>
      <c r="H2662" s="922"/>
      <c r="I2662" s="922"/>
      <c r="J2662" s="922"/>
      <c r="K2662" s="923"/>
      <c r="L2662" s="918"/>
      <c r="M2662" s="918"/>
      <c r="N2662" s="918"/>
      <c r="O2662" s="924"/>
      <c r="P2662" s="921"/>
      <c r="Q2662" s="925">
        <f ca="1">$B2662*Elec_Rates!$R$478</f>
        <v>2.65</v>
      </c>
      <c r="R2662" s="916">
        <f ca="1">$A2662*Q2662</f>
        <v>66.25</v>
      </c>
      <c r="S2662" s="925">
        <f ca="1">$B2662*Elec_Rates!$T$478</f>
        <v>7.0000000000000007E-2</v>
      </c>
      <c r="T2662" s="917">
        <f ca="1">$A2662*S2662</f>
        <v>1.7500000000000002</v>
      </c>
      <c r="U2662" s="926"/>
      <c r="AR2662" s="919">
        <v>25</v>
      </c>
      <c r="AS2662" s="921" t="s">
        <v>2599</v>
      </c>
    </row>
    <row r="2663" spans="1:45" s="520" customFormat="1" ht="12">
      <c r="A2663" s="758"/>
      <c r="B2663" s="758"/>
      <c r="C2663" s="758"/>
      <c r="D2663" s="758"/>
      <c r="E2663" s="758"/>
      <c r="F2663" s="753"/>
      <c r="G2663" s="758"/>
      <c r="H2663" s="758"/>
      <c r="I2663" s="519"/>
      <c r="J2663" s="758"/>
      <c r="K2663" s="758"/>
      <c r="L2663" s="758"/>
      <c r="M2663" s="758"/>
      <c r="N2663" s="758"/>
      <c r="O2663" s="758"/>
      <c r="P2663" s="758"/>
      <c r="Q2663" s="519"/>
      <c r="R2663" s="759">
        <f>$A2663*Q2663</f>
        <v>0</v>
      </c>
      <c r="S2663" s="519"/>
      <c r="T2663" s="760">
        <f>$A2663*S2663*$T$1</f>
        <v>0</v>
      </c>
      <c r="AR2663" s="758"/>
      <c r="AS2663" s="753"/>
    </row>
    <row r="2664" spans="1:45" s="520" customFormat="1" ht="12.6" thickBot="1">
      <c r="A2664" s="761" t="s">
        <v>145</v>
      </c>
      <c r="B2664" s="762">
        <f>(R2663+T2663)</f>
        <v>0</v>
      </c>
      <c r="C2664" s="763"/>
      <c r="D2664" s="763"/>
      <c r="E2664" s="763"/>
      <c r="F2664" s="764"/>
      <c r="G2664" s="763" t="s">
        <v>146</v>
      </c>
      <c r="H2664" s="763"/>
      <c r="I2664" s="765"/>
      <c r="J2664" s="763"/>
      <c r="K2664" s="763" t="s">
        <v>3</v>
      </c>
      <c r="L2664" s="766" t="s">
        <v>143</v>
      </c>
      <c r="M2664" s="766"/>
      <c r="N2664" s="766"/>
      <c r="O2664" s="766"/>
      <c r="P2664" s="766"/>
      <c r="Q2664" s="767"/>
      <c r="R2664" s="768">
        <f ca="1">SUM(R2660:R2663)</f>
        <v>66.25</v>
      </c>
      <c r="S2664" s="763"/>
      <c r="T2664" s="768">
        <f ca="1">SUM(T2660:T2663)</f>
        <v>1.7500000000000002</v>
      </c>
      <c r="U2664" s="531"/>
      <c r="V2664" s="531"/>
      <c r="W2664" s="531"/>
      <c r="X2664" s="531"/>
      <c r="Y2664" s="531"/>
      <c r="Z2664" s="531"/>
      <c r="AA2664" s="531"/>
      <c r="AB2664" s="531"/>
      <c r="AC2664" s="531"/>
      <c r="AD2664" s="531"/>
      <c r="AE2664" s="531"/>
      <c r="AF2664" s="531"/>
      <c r="AG2664" s="531"/>
      <c r="AH2664" s="531"/>
      <c r="AI2664" s="531"/>
      <c r="AJ2664" s="531"/>
      <c r="AK2664" s="531"/>
      <c r="AL2664" s="531"/>
      <c r="AM2664" s="531"/>
      <c r="AN2664" s="531"/>
      <c r="AO2664" s="531"/>
      <c r="AR2664" s="761" t="s">
        <v>145</v>
      </c>
      <c r="AS2664" s="764"/>
    </row>
    <row r="2665" spans="1:45" s="520" customFormat="1" thickTop="1">
      <c r="A2665" s="51"/>
      <c r="B2665" s="51"/>
      <c r="C2665" s="3"/>
      <c r="D2665" s="3"/>
      <c r="E2665" s="51"/>
      <c r="F2665" s="51"/>
      <c r="G2665" s="51"/>
      <c r="H2665" s="51"/>
      <c r="I2665" s="51"/>
      <c r="J2665" s="51"/>
      <c r="K2665" s="51" t="s">
        <v>134</v>
      </c>
      <c r="L2665" s="51"/>
      <c r="M2665" s="51"/>
      <c r="N2665" s="51"/>
      <c r="O2665" s="52"/>
      <c r="P2665" s="51"/>
      <c r="Q2665" s="51"/>
      <c r="R2665" s="51"/>
      <c r="S2665" s="51"/>
      <c r="T2665" s="51"/>
      <c r="AR2665" s="51"/>
      <c r="AS2665" s="51"/>
    </row>
    <row r="2666" spans="1:45" s="520" customFormat="1" ht="12">
      <c r="A2666" s="51"/>
      <c r="B2666" s="51"/>
      <c r="C2666" s="51" t="s">
        <v>135</v>
      </c>
      <c r="D2666" s="37"/>
      <c r="E2666" s="51"/>
      <c r="F2666" s="51"/>
      <c r="G2666" s="51"/>
      <c r="H2666" s="51"/>
      <c r="I2666" s="51"/>
      <c r="J2666" s="51"/>
      <c r="K2666" s="51"/>
      <c r="L2666" s="51"/>
      <c r="M2666" s="51"/>
      <c r="N2666" s="51"/>
      <c r="O2666" s="52"/>
      <c r="P2666" s="51"/>
      <c r="Q2666" s="51"/>
      <c r="R2666" s="51"/>
      <c r="S2666" s="51"/>
      <c r="T2666" s="51"/>
      <c r="AR2666" s="51"/>
      <c r="AS2666" s="51"/>
    </row>
    <row r="2667" spans="1:45" s="520" customFormat="1" ht="12">
      <c r="A2667" s="51"/>
      <c r="B2667" s="51"/>
      <c r="C2667" s="51"/>
      <c r="D2667" s="37" t="s">
        <v>463</v>
      </c>
      <c r="E2667" s="51"/>
      <c r="F2667" s="51"/>
      <c r="G2667" s="51"/>
      <c r="H2667" s="51"/>
      <c r="I2667" s="51"/>
      <c r="J2667" s="51"/>
      <c r="K2667" s="51"/>
      <c r="L2667" s="51"/>
      <c r="M2667" s="51"/>
      <c r="N2667" s="51"/>
      <c r="O2667" s="52"/>
      <c r="P2667" s="51"/>
      <c r="Q2667" s="51"/>
      <c r="R2667" s="51"/>
      <c r="S2667" s="38"/>
      <c r="T2667" s="38"/>
      <c r="AR2667" s="51"/>
      <c r="AS2667" s="51"/>
    </row>
    <row r="2668" spans="1:45" s="3" customFormat="1" thickBot="1">
      <c r="A2668" s="531"/>
      <c r="O2668" s="107"/>
      <c r="AR2668" s="531"/>
    </row>
    <row r="2669" spans="1:45" s="520" customFormat="1" ht="12" thickTop="1">
      <c r="A2669" s="51"/>
      <c r="B2669" s="41"/>
      <c r="C2669" s="51"/>
      <c r="E2669" s="42" t="s">
        <v>138</v>
      </c>
      <c r="F2669" s="42" t="s">
        <v>139</v>
      </c>
      <c r="G2669" s="51"/>
      <c r="H2669" s="51"/>
      <c r="I2669" s="51"/>
      <c r="J2669" s="51"/>
      <c r="K2669" s="51" t="s">
        <v>140</v>
      </c>
      <c r="L2669" s="51"/>
      <c r="M2669" s="51"/>
      <c r="N2669" s="51"/>
      <c r="O2669" s="52"/>
      <c r="P2669" s="51"/>
      <c r="Q2669" s="51"/>
      <c r="R2669" s="51"/>
      <c r="S2669" s="51"/>
      <c r="T2669" s="41"/>
      <c r="AG2669" s="521" t="s">
        <v>268</v>
      </c>
      <c r="AH2669" s="521" t="s">
        <v>269</v>
      </c>
      <c r="AI2669" s="521" t="s">
        <v>270</v>
      </c>
      <c r="AJ2669" s="521" t="s">
        <v>271</v>
      </c>
      <c r="AK2669" s="521" t="s">
        <v>272</v>
      </c>
      <c r="AM2669" s="745" t="s">
        <v>281</v>
      </c>
      <c r="AN2669" s="746" t="s">
        <v>282</v>
      </c>
      <c r="AO2669" s="522" t="s">
        <v>278</v>
      </c>
      <c r="AR2669" s="51"/>
      <c r="AS2669" s="42" t="s">
        <v>139</v>
      </c>
    </row>
    <row r="2670" spans="1:45" s="520" customFormat="1" ht="12" customHeight="1">
      <c r="A2670" s="747">
        <v>2</v>
      </c>
      <c r="B2670" s="523" t="s">
        <v>141</v>
      </c>
      <c r="C2670" s="748"/>
      <c r="D2670" s="749" t="s">
        <v>1555</v>
      </c>
      <c r="E2670" s="750">
        <f ca="1">IF(AND($A2670=0,$A$1="DIF"),0, ROUND(ROUND(($R2675*$S$2+($T2675*$T$2))/A2670,2)*$C$2,2))</f>
        <v>48.45</v>
      </c>
      <c r="F2670" s="751">
        <f ca="1">ROUND($A2670*$E2670,2)</f>
        <v>96.9</v>
      </c>
      <c r="G2670" s="752" t="s">
        <v>142</v>
      </c>
      <c r="H2670" s="753"/>
      <c r="I2670" s="754"/>
      <c r="J2670" s="753"/>
      <c r="K2670" s="753" t="s">
        <v>3</v>
      </c>
      <c r="L2670" s="755" t="s">
        <v>143</v>
      </c>
      <c r="M2670" s="755"/>
      <c r="N2670" s="755"/>
      <c r="O2670" s="755"/>
      <c r="P2670" s="755"/>
      <c r="Q2670" s="51"/>
      <c r="T2670" s="756" t="str">
        <f ca="1">IF(AND($R2675=0,$T2675=0),"0.00","mu :" &amp; ROUND($F2670/$C$2/($R2675+$T2675*$D$9),2))</f>
        <v>mu :1.23</v>
      </c>
      <c r="W2670" s="524"/>
      <c r="AG2670" s="481">
        <f ca="1">IF($E2670=0,0,ROUND($R2675*$S$2*$C$2/$A2670,2))</f>
        <v>31.55</v>
      </c>
      <c r="AH2670" s="481">
        <f ca="1">$AG2670*$A2670</f>
        <v>63.1</v>
      </c>
      <c r="AI2670" s="525">
        <f ca="1">$E2670-$AG2670</f>
        <v>16.900000000000002</v>
      </c>
      <c r="AJ2670" s="525">
        <f ca="1">$A2670*$AI2670</f>
        <v>33.800000000000004</v>
      </c>
      <c r="AK2670" s="526">
        <f ca="1">ROUND(($AG2670+$AI2670)*$A2670,2)</f>
        <v>96.9</v>
      </c>
      <c r="AM2670" s="527">
        <f ca="1">ROUND(R2675,2)</f>
        <v>51.24</v>
      </c>
      <c r="AN2670" s="528">
        <f ca="1">ROUND(T2675,2)</f>
        <v>1</v>
      </c>
      <c r="AO2670" s="529">
        <f ca="1">ROUND(AM2670+AN2670,2)*A2670</f>
        <v>104.48</v>
      </c>
      <c r="AR2670" s="747">
        <v>2</v>
      </c>
      <c r="AS2670" s="751">
        <v>100.28</v>
      </c>
    </row>
    <row r="2671" spans="1:45" s="520" customFormat="1" ht="13.2">
      <c r="A2671" s="748"/>
      <c r="B2671"/>
      <c r="C2671" s="748"/>
      <c r="D2671" s="749" t="s">
        <v>1245</v>
      </c>
      <c r="F2671" s="753"/>
      <c r="G2671" s="3"/>
      <c r="H2671" s="753"/>
      <c r="I2671" s="754"/>
      <c r="J2671" s="753"/>
      <c r="K2671" s="753" t="s">
        <v>144</v>
      </c>
      <c r="L2671" s="753"/>
      <c r="M2671" s="753"/>
      <c r="N2671" s="753"/>
      <c r="O2671" s="753"/>
      <c r="P2671" s="753"/>
      <c r="Q2671" s="51"/>
      <c r="R2671" s="530"/>
      <c r="S2671" s="757"/>
      <c r="T2671" s="753"/>
      <c r="AR2671" s="748"/>
      <c r="AS2671" s="753"/>
    </row>
    <row r="2672" spans="1:45" s="520" customFormat="1" ht="12">
      <c r="A2672" s="51"/>
      <c r="B2672" s="758"/>
      <c r="C2672" s="753" t="s">
        <v>2597</v>
      </c>
      <c r="D2672" s="753" t="str">
        <f ca="1">CELL("Address",Elec_Rates!$D$192)</f>
        <v>[E25_0062_Quintano_Foods_Elec_ELV_As_Awarded.xlsx]Elec_Rates!$D$192</v>
      </c>
      <c r="E2672" s="758"/>
      <c r="F2672" s="753"/>
      <c r="G2672" s="1049" t="s">
        <v>2598</v>
      </c>
      <c r="H2672" s="1050"/>
      <c r="I2672" s="1051"/>
      <c r="J2672" s="1050"/>
      <c r="K2672" s="1050"/>
      <c r="L2672" s="758"/>
      <c r="M2672" s="758"/>
      <c r="N2672" s="758"/>
      <c r="O2672" s="758"/>
      <c r="P2672" s="758"/>
      <c r="Q2672" s="519"/>
      <c r="R2672" s="759"/>
      <c r="S2672" s="519"/>
      <c r="T2672" s="760"/>
      <c r="AR2672" s="51"/>
      <c r="AS2672" s="753"/>
    </row>
    <row r="2673" spans="1:45" s="520" customFormat="1" ht="11.4">
      <c r="A2673" s="51">
        <v>2</v>
      </c>
      <c r="B2673" s="519">
        <v>1</v>
      </c>
      <c r="C2673" s="519">
        <f>$A2673*$B2673</f>
        <v>2</v>
      </c>
      <c r="D2673" s="1048" t="str">
        <f>Elec_Rates!$D$192</f>
        <v>018# 1-Phase 25/32A Isolator</v>
      </c>
      <c r="E2673" s="1048"/>
      <c r="F2673" s="1048" t="s">
        <v>2733</v>
      </c>
      <c r="G2673" s="1050" t="s">
        <v>2600</v>
      </c>
      <c r="H2673" s="1050"/>
      <c r="I2673" s="1051"/>
      <c r="J2673" s="1050"/>
      <c r="K2673" s="1050"/>
      <c r="L2673" s="758"/>
      <c r="M2673" s="758"/>
      <c r="N2673" s="758"/>
      <c r="O2673" s="758"/>
      <c r="P2673" s="758"/>
      <c r="Q2673" s="1052">
        <f ca="1">$B2673*Elec_Rates!$R$192</f>
        <v>25.62</v>
      </c>
      <c r="R2673" s="759">
        <f ca="1">$A2673*Q2673</f>
        <v>51.24</v>
      </c>
      <c r="S2673" s="1052">
        <f ca="1">$B2673*Elec_Rates!$T$192</f>
        <v>0.5</v>
      </c>
      <c r="T2673" s="917">
        <f ca="1">$A2673*S2673</f>
        <v>1</v>
      </c>
      <c r="AR2673" s="51">
        <v>2</v>
      </c>
      <c r="AS2673" s="1048" t="s">
        <v>2733</v>
      </c>
    </row>
    <row r="2674" spans="1:45" s="520" customFormat="1" ht="12">
      <c r="A2674" s="758"/>
      <c r="B2674" s="758"/>
      <c r="C2674" s="758"/>
      <c r="D2674" s="758"/>
      <c r="E2674" s="758"/>
      <c r="F2674" s="753"/>
      <c r="G2674" s="758"/>
      <c r="H2674" s="758"/>
      <c r="I2674" s="519"/>
      <c r="J2674" s="758"/>
      <c r="K2674" s="758"/>
      <c r="L2674" s="758"/>
      <c r="M2674" s="758"/>
      <c r="N2674" s="758"/>
      <c r="O2674" s="758"/>
      <c r="P2674" s="758"/>
      <c r="Q2674" s="519"/>
      <c r="R2674" s="759">
        <f>$A2674*Q2674</f>
        <v>0</v>
      </c>
      <c r="S2674" s="519"/>
      <c r="T2674" s="760">
        <f>$A2674*S2674*$T$1</f>
        <v>0</v>
      </c>
      <c r="AR2674" s="758"/>
      <c r="AS2674" s="753"/>
    </row>
    <row r="2675" spans="1:45" s="520" customFormat="1" ht="12.6" thickBot="1">
      <c r="A2675" s="761" t="s">
        <v>145</v>
      </c>
      <c r="B2675" s="762">
        <f>(R2674+T2674)</f>
        <v>0</v>
      </c>
      <c r="C2675" s="763"/>
      <c r="D2675" s="763"/>
      <c r="E2675" s="763"/>
      <c r="F2675" s="764"/>
      <c r="G2675" s="763" t="s">
        <v>146</v>
      </c>
      <c r="H2675" s="763"/>
      <c r="I2675" s="765"/>
      <c r="J2675" s="763"/>
      <c r="K2675" s="763" t="s">
        <v>3</v>
      </c>
      <c r="L2675" s="766" t="s">
        <v>143</v>
      </c>
      <c r="M2675" s="766"/>
      <c r="N2675" s="766"/>
      <c r="O2675" s="766"/>
      <c r="P2675" s="766"/>
      <c r="Q2675" s="767"/>
      <c r="R2675" s="768">
        <f ca="1">SUM(R2671:R2674)</f>
        <v>51.24</v>
      </c>
      <c r="S2675" s="763"/>
      <c r="T2675" s="768">
        <f ca="1">SUM(T2671:T2674)</f>
        <v>1</v>
      </c>
      <c r="U2675" s="531"/>
      <c r="V2675" s="531"/>
      <c r="W2675" s="531"/>
      <c r="X2675" s="531"/>
      <c r="Y2675" s="531"/>
      <c r="Z2675" s="531"/>
      <c r="AA2675" s="531"/>
      <c r="AB2675" s="531"/>
      <c r="AC2675" s="531"/>
      <c r="AD2675" s="531"/>
      <c r="AE2675" s="531"/>
      <c r="AF2675" s="531"/>
      <c r="AG2675" s="531"/>
      <c r="AH2675" s="531"/>
      <c r="AI2675" s="531"/>
      <c r="AJ2675" s="531"/>
      <c r="AK2675" s="531"/>
      <c r="AL2675" s="531"/>
      <c r="AM2675" s="531"/>
      <c r="AN2675" s="531"/>
      <c r="AO2675" s="531"/>
      <c r="AR2675" s="761" t="s">
        <v>145</v>
      </c>
      <c r="AS2675" s="764"/>
    </row>
    <row r="2676" spans="1:45" s="520" customFormat="1" ht="12" thickTop="1">
      <c r="A2676" s="51"/>
      <c r="B2676" s="41"/>
      <c r="C2676" s="51"/>
      <c r="E2676" s="42" t="s">
        <v>138</v>
      </c>
      <c r="F2676" s="42" t="s">
        <v>139</v>
      </c>
      <c r="G2676" s="51"/>
      <c r="H2676" s="51"/>
      <c r="I2676" s="51"/>
      <c r="J2676" s="51"/>
      <c r="K2676" s="51" t="s">
        <v>140</v>
      </c>
      <c r="L2676" s="51"/>
      <c r="M2676" s="51"/>
      <c r="N2676" s="51"/>
      <c r="O2676" s="52"/>
      <c r="P2676" s="51"/>
      <c r="Q2676" s="51"/>
      <c r="R2676" s="51"/>
      <c r="S2676" s="51"/>
      <c r="T2676" s="41"/>
      <c r="AG2676" s="521" t="s">
        <v>268</v>
      </c>
      <c r="AH2676" s="521" t="s">
        <v>269</v>
      </c>
      <c r="AI2676" s="521" t="s">
        <v>270</v>
      </c>
      <c r="AJ2676" s="521" t="s">
        <v>271</v>
      </c>
      <c r="AK2676" s="521" t="s">
        <v>272</v>
      </c>
      <c r="AM2676" s="745" t="s">
        <v>281</v>
      </c>
      <c r="AN2676" s="746" t="s">
        <v>282</v>
      </c>
      <c r="AO2676" s="522" t="s">
        <v>278</v>
      </c>
      <c r="AR2676" s="51"/>
      <c r="AS2676" s="42" t="s">
        <v>139</v>
      </c>
    </row>
    <row r="2677" spans="1:45" s="520" customFormat="1" ht="12" customHeight="1">
      <c r="A2677" s="747">
        <v>1</v>
      </c>
      <c r="B2677" s="523" t="s">
        <v>141</v>
      </c>
      <c r="C2677" s="748"/>
      <c r="D2677" s="749" t="s">
        <v>1556</v>
      </c>
      <c r="E2677" s="750">
        <f ca="1">IF(AND($A2677=0,$A$1="DIF"),0, ROUND(ROUND(($R2683*$S$2+($T2683*$T$2))/A2677,2)*$C$2,2))</f>
        <v>195.54</v>
      </c>
      <c r="F2677" s="751">
        <f ca="1">ROUND($A2677*$E2677,2)</f>
        <v>195.54</v>
      </c>
      <c r="G2677" s="752" t="s">
        <v>142</v>
      </c>
      <c r="H2677" s="753"/>
      <c r="I2677" s="754"/>
      <c r="J2677" s="753"/>
      <c r="K2677" s="753" t="s">
        <v>3</v>
      </c>
      <c r="L2677" s="755" t="s">
        <v>143</v>
      </c>
      <c r="M2677" s="755"/>
      <c r="N2677" s="755"/>
      <c r="O2677" s="755"/>
      <c r="P2677" s="755"/>
      <c r="Q2677" s="51"/>
      <c r="T2677" s="756" t="str">
        <f ca="1">IF(AND($R2683=0,$T2683=0),"0.00","mu :" &amp; ROUND($F2677/$C$2/($R2683+$T2683*$D$9),2))</f>
        <v>mu :1.23</v>
      </c>
      <c r="W2677" s="524"/>
      <c r="AG2677" s="481">
        <f ca="1">IF($E2677=0,0,ROUND($R2683*$S$2*$C$2/$A2677,2))</f>
        <v>88.25</v>
      </c>
      <c r="AH2677" s="481">
        <f ca="1">$AG2677*$A2677</f>
        <v>88.25</v>
      </c>
      <c r="AI2677" s="525">
        <f ca="1">$E2677-$AG2677</f>
        <v>107.28999999999999</v>
      </c>
      <c r="AJ2677" s="525">
        <f ca="1">$A2677*$AI2677</f>
        <v>107.28999999999999</v>
      </c>
      <c r="AK2677" s="526">
        <f ca="1">ROUND(($AG2677+$AI2677)*$A2677,2)</f>
        <v>195.54</v>
      </c>
      <c r="AM2677" s="527">
        <f ca="1">ROUND(R2683,2)</f>
        <v>71.67</v>
      </c>
      <c r="AN2677" s="528">
        <f ca="1">ROUND(T2683,2)</f>
        <v>3.17</v>
      </c>
      <c r="AO2677" s="529">
        <f ca="1">ROUND(AM2677+AN2677,2)*A2677</f>
        <v>74.84</v>
      </c>
      <c r="AR2677" s="747">
        <v>1</v>
      </c>
      <c r="AS2677" s="751">
        <v>207.27</v>
      </c>
    </row>
    <row r="2678" spans="1:45" s="520" customFormat="1" ht="13.2">
      <c r="A2678" s="748"/>
      <c r="B2678"/>
      <c r="C2678" s="748"/>
      <c r="D2678" s="749" t="s">
        <v>724</v>
      </c>
      <c r="F2678" s="753"/>
      <c r="G2678" s="3"/>
      <c r="H2678" s="753"/>
      <c r="I2678" s="754"/>
      <c r="J2678" s="753"/>
      <c r="K2678" s="753" t="s">
        <v>144</v>
      </c>
      <c r="L2678" s="753"/>
      <c r="M2678" s="753"/>
      <c r="N2678" s="753"/>
      <c r="O2678" s="753"/>
      <c r="P2678" s="753"/>
      <c r="Q2678" s="51"/>
      <c r="R2678" s="530"/>
      <c r="S2678" s="757"/>
      <c r="T2678" s="753"/>
      <c r="AR2678" s="748"/>
      <c r="AS2678" s="753"/>
    </row>
    <row r="2679" spans="1:45" s="886" customFormat="1" ht="13.2">
      <c r="A2679"/>
      <c r="B2679" s="910"/>
      <c r="C2679" s="910" t="s">
        <v>2597</v>
      </c>
      <c r="D2679" s="910" t="str">
        <f ca="1">CELL("Address",Elec_Rates!D$112)</f>
        <v>[E25_0062_Quintano_Foods_Elec_ELV_As_Awarded.xlsx]Elec_Rates!$D$112</v>
      </c>
      <c r="E2679" s="911"/>
      <c r="F2679" s="911"/>
      <c r="G2679" s="912" t="s">
        <v>2598</v>
      </c>
      <c r="H2679" s="912"/>
      <c r="I2679" s="912"/>
      <c r="J2679" s="912"/>
      <c r="K2679" s="913"/>
      <c r="L2679" s="911"/>
      <c r="M2679" s="911"/>
      <c r="N2679" s="911"/>
      <c r="O2679" s="914"/>
      <c r="P2679" s="911"/>
      <c r="Q2679" s="915"/>
      <c r="R2679" s="916"/>
      <c r="S2679" s="915"/>
      <c r="T2679" s="917"/>
      <c r="U2679" s="918"/>
      <c r="AR2679"/>
      <c r="AS2679" s="911"/>
    </row>
    <row r="2680" spans="1:45" s="886" customFormat="1" ht="11.4">
      <c r="A2680" s="919">
        <v>1</v>
      </c>
      <c r="B2680" s="920">
        <v>1</v>
      </c>
      <c r="C2680" s="920">
        <f>$A2680*$B2680</f>
        <v>1</v>
      </c>
      <c r="D2680" s="921" t="str">
        <f>Elec_Rates!$D$112</f>
        <v>009# Power points rate (Galvanised conduit)</v>
      </c>
      <c r="E2680" s="921"/>
      <c r="F2680" s="921" t="s">
        <v>2599</v>
      </c>
      <c r="G2680" s="922" t="s">
        <v>2601</v>
      </c>
      <c r="H2680" s="922"/>
      <c r="I2680" s="922"/>
      <c r="J2680" s="922"/>
      <c r="K2680" s="923"/>
      <c r="L2680" s="918"/>
      <c r="M2680" s="918"/>
      <c r="N2680" s="918"/>
      <c r="O2680" s="924"/>
      <c r="P2680" s="921"/>
      <c r="Q2680" s="925">
        <f ca="1">$B2680*Elec_Rates!$R$112</f>
        <v>64.069999999999993</v>
      </c>
      <c r="R2680" s="916">
        <f ca="1">$A2680*Q2680</f>
        <v>64.069999999999993</v>
      </c>
      <c r="S2680" s="925">
        <f ca="1">$B2680*Elec_Rates!$T$112</f>
        <v>3.02</v>
      </c>
      <c r="T2680" s="917">
        <f ca="1">$A2680*S2680</f>
        <v>3.02</v>
      </c>
      <c r="U2680" s="926"/>
      <c r="AR2680" s="919">
        <v>1</v>
      </c>
      <c r="AS2680" s="921" t="s">
        <v>2599</v>
      </c>
    </row>
    <row r="2681" spans="1:45" s="901" customFormat="1" ht="13.2">
      <c r="A2681" s="116">
        <v>1</v>
      </c>
      <c r="B2681" s="901" t="s">
        <v>141</v>
      </c>
      <c r="D2681" s="901" t="s">
        <v>2874</v>
      </c>
      <c r="E2681" s="901" t="s">
        <v>3424</v>
      </c>
      <c r="F2681" s="1054" t="s">
        <v>3431</v>
      </c>
      <c r="G2681" s="941" t="s">
        <v>2875</v>
      </c>
      <c r="H2681" s="942">
        <v>705</v>
      </c>
      <c r="I2681" s="901" t="s">
        <v>2872</v>
      </c>
      <c r="J2681" s="901" t="s">
        <v>2876</v>
      </c>
      <c r="O2681" s="943">
        <v>3</v>
      </c>
      <c r="P2681" s="944">
        <v>34700</v>
      </c>
      <c r="Q2681" s="945">
        <v>7.6</v>
      </c>
      <c r="R2681" s="946">
        <f>$A2681*Q2681</f>
        <v>7.6</v>
      </c>
      <c r="S2681" s="945">
        <v>0.17</v>
      </c>
      <c r="T2681" s="947">
        <f>$A2681*S2681*$T$1</f>
        <v>0.15300000000000002</v>
      </c>
      <c r="AR2681" s="116">
        <v>1</v>
      </c>
      <c r="AS2681" s="1054" t="s">
        <v>3431</v>
      </c>
    </row>
    <row r="2682" spans="1:45" s="520" customFormat="1" ht="12">
      <c r="A2682" s="758"/>
      <c r="B2682" s="758"/>
      <c r="C2682" s="758"/>
      <c r="D2682" s="758"/>
      <c r="E2682" s="758"/>
      <c r="F2682" s="753"/>
      <c r="G2682" s="758"/>
      <c r="H2682" s="758"/>
      <c r="I2682" s="519"/>
      <c r="J2682" s="758"/>
      <c r="K2682" s="758"/>
      <c r="L2682" s="758"/>
      <c r="M2682" s="758"/>
      <c r="N2682" s="758"/>
      <c r="O2682" s="758"/>
      <c r="P2682" s="758"/>
      <c r="Q2682" s="519"/>
      <c r="R2682" s="759">
        <f t="shared" ref="R2682" si="100">$A2682*Q2682</f>
        <v>0</v>
      </c>
      <c r="S2682" s="519"/>
      <c r="T2682" s="760">
        <f t="shared" ref="T2682" si="101">$A2682*S2682*$T$1</f>
        <v>0</v>
      </c>
      <c r="AR2682" s="758"/>
      <c r="AS2682" s="753"/>
    </row>
    <row r="2683" spans="1:45" s="520" customFormat="1" ht="12.6" thickBot="1">
      <c r="A2683" s="761" t="s">
        <v>145</v>
      </c>
      <c r="B2683" s="762">
        <f>(R2682+T2682)</f>
        <v>0</v>
      </c>
      <c r="C2683" s="763"/>
      <c r="D2683" s="763"/>
      <c r="E2683" s="763"/>
      <c r="F2683" s="764"/>
      <c r="G2683" s="763" t="s">
        <v>146</v>
      </c>
      <c r="H2683" s="763"/>
      <c r="I2683" s="765"/>
      <c r="J2683" s="763"/>
      <c r="K2683" s="763" t="s">
        <v>3</v>
      </c>
      <c r="L2683" s="766" t="s">
        <v>143</v>
      </c>
      <c r="M2683" s="766"/>
      <c r="N2683" s="766"/>
      <c r="O2683" s="766"/>
      <c r="P2683" s="766"/>
      <c r="Q2683" s="767"/>
      <c r="R2683" s="768">
        <f ca="1">SUM(R2678:R2682)</f>
        <v>71.669999999999987</v>
      </c>
      <c r="S2683" s="763"/>
      <c r="T2683" s="768">
        <f ca="1">SUM(T2678:T2682)</f>
        <v>3.173</v>
      </c>
      <c r="U2683" s="531"/>
      <c r="V2683" s="531"/>
      <c r="W2683" s="531"/>
      <c r="X2683" s="531"/>
      <c r="Y2683" s="531"/>
      <c r="Z2683" s="531"/>
      <c r="AA2683" s="531"/>
      <c r="AB2683" s="531"/>
      <c r="AC2683" s="531"/>
      <c r="AD2683" s="531"/>
      <c r="AE2683" s="531"/>
      <c r="AF2683" s="531"/>
      <c r="AG2683" s="531"/>
      <c r="AH2683" s="531"/>
      <c r="AI2683" s="531"/>
      <c r="AJ2683" s="531"/>
      <c r="AK2683" s="531"/>
      <c r="AL2683" s="531"/>
      <c r="AM2683" s="531"/>
      <c r="AN2683" s="531"/>
      <c r="AO2683" s="531"/>
      <c r="AR2683" s="761" t="s">
        <v>145</v>
      </c>
      <c r="AS2683" s="764"/>
    </row>
    <row r="2684" spans="1:45" s="520" customFormat="1" thickTop="1">
      <c r="A2684" s="51"/>
      <c r="B2684" s="51"/>
      <c r="C2684" s="3"/>
      <c r="D2684" s="3"/>
      <c r="E2684" s="51"/>
      <c r="F2684" s="51"/>
      <c r="G2684" s="51"/>
      <c r="H2684" s="51"/>
      <c r="I2684" s="51"/>
      <c r="J2684" s="51"/>
      <c r="K2684" s="51" t="s">
        <v>134</v>
      </c>
      <c r="L2684" s="51"/>
      <c r="M2684" s="51"/>
      <c r="N2684" s="51"/>
      <c r="O2684" s="52"/>
      <c r="P2684" s="51"/>
      <c r="Q2684" s="51"/>
      <c r="R2684" s="51"/>
      <c r="S2684" s="51"/>
      <c r="T2684" s="51"/>
      <c r="AR2684" s="51"/>
      <c r="AS2684" s="51"/>
    </row>
    <row r="2685" spans="1:45" s="520" customFormat="1" ht="12">
      <c r="A2685" s="51"/>
      <c r="B2685" s="51"/>
      <c r="C2685" s="51" t="s">
        <v>135</v>
      </c>
      <c r="D2685" s="37"/>
      <c r="E2685" s="51"/>
      <c r="F2685" s="51"/>
      <c r="G2685" s="51"/>
      <c r="H2685" s="51"/>
      <c r="I2685" s="51"/>
      <c r="J2685" s="51"/>
      <c r="K2685" s="51"/>
      <c r="L2685" s="51"/>
      <c r="M2685" s="51"/>
      <c r="N2685" s="51"/>
      <c r="O2685" s="52"/>
      <c r="P2685" s="51"/>
      <c r="Q2685" s="51"/>
      <c r="R2685" s="51"/>
      <c r="S2685" s="51"/>
      <c r="T2685" s="51"/>
      <c r="AR2685" s="51"/>
      <c r="AS2685" s="51"/>
    </row>
    <row r="2686" spans="1:45" s="520" customFormat="1" ht="39.9" customHeight="1">
      <c r="A2686" s="51"/>
      <c r="B2686" s="51"/>
      <c r="C2686" s="51"/>
      <c r="D2686" s="1453" t="s">
        <v>498</v>
      </c>
      <c r="E2686" s="1452"/>
      <c r="F2686" s="1452"/>
      <c r="G2686" s="1452"/>
      <c r="H2686" s="1452"/>
      <c r="I2686" s="1452"/>
      <c r="J2686" s="1452"/>
      <c r="K2686" s="1452"/>
      <c r="L2686" s="1452"/>
      <c r="M2686" s="1452"/>
      <c r="N2686" s="1452"/>
      <c r="O2686" s="1452"/>
      <c r="P2686" s="1452"/>
      <c r="Q2686" s="1452"/>
      <c r="R2686" s="1452"/>
      <c r="S2686" s="1452"/>
      <c r="T2686" s="1452"/>
      <c r="AR2686" s="51"/>
    </row>
    <row r="2687" spans="1:45" s="3" customFormat="1" thickBot="1">
      <c r="A2687" s="531"/>
      <c r="O2687" s="107"/>
      <c r="AR2687" s="531"/>
    </row>
    <row r="2688" spans="1:45" s="520" customFormat="1" thickTop="1">
      <c r="A2688" s="51"/>
      <c r="B2688" s="51"/>
      <c r="C2688" s="3"/>
      <c r="D2688" s="3"/>
      <c r="E2688" s="51"/>
      <c r="F2688" s="51"/>
      <c r="G2688" s="51"/>
      <c r="H2688" s="51"/>
      <c r="I2688" s="51"/>
      <c r="J2688" s="51"/>
      <c r="K2688" s="51" t="s">
        <v>134</v>
      </c>
      <c r="L2688" s="51"/>
      <c r="M2688" s="51"/>
      <c r="N2688" s="51"/>
      <c r="O2688" s="52"/>
      <c r="P2688" s="51"/>
      <c r="Q2688" s="51"/>
      <c r="R2688" s="51"/>
      <c r="S2688" s="51"/>
      <c r="T2688" s="51"/>
      <c r="AR2688" s="51"/>
      <c r="AS2688" s="51"/>
    </row>
    <row r="2689" spans="1:45" s="520" customFormat="1" ht="12">
      <c r="A2689" s="51"/>
      <c r="B2689" s="51"/>
      <c r="C2689" s="51" t="s">
        <v>135</v>
      </c>
      <c r="D2689" s="37"/>
      <c r="E2689" s="51"/>
      <c r="F2689" s="51"/>
      <c r="G2689" s="51"/>
      <c r="H2689" s="51"/>
      <c r="I2689" s="51"/>
      <c r="J2689" s="51"/>
      <c r="K2689" s="51"/>
      <c r="L2689" s="51"/>
      <c r="M2689" s="51"/>
      <c r="N2689" s="51"/>
      <c r="O2689" s="52"/>
      <c r="P2689" s="51"/>
      <c r="Q2689" s="51"/>
      <c r="R2689" s="51"/>
      <c r="S2689" s="51"/>
      <c r="T2689" s="51"/>
      <c r="AR2689" s="51"/>
      <c r="AS2689" s="51"/>
    </row>
    <row r="2690" spans="1:45" s="520" customFormat="1" ht="12">
      <c r="A2690" s="51"/>
      <c r="B2690" s="51"/>
      <c r="C2690" s="51"/>
      <c r="D2690" s="37" t="s">
        <v>725</v>
      </c>
      <c r="E2690" s="51"/>
      <c r="F2690" s="51"/>
      <c r="G2690" s="51"/>
      <c r="H2690" s="51"/>
      <c r="I2690" s="51"/>
      <c r="J2690" s="51"/>
      <c r="K2690" s="51"/>
      <c r="L2690" s="51"/>
      <c r="M2690" s="51"/>
      <c r="N2690" s="51"/>
      <c r="O2690" s="52"/>
      <c r="P2690" s="51"/>
      <c r="Q2690" s="51"/>
      <c r="R2690" s="51"/>
      <c r="S2690" s="38"/>
      <c r="T2690" s="38"/>
      <c r="AR2690" s="51"/>
      <c r="AS2690" s="51"/>
    </row>
    <row r="2691" spans="1:45" s="3" customFormat="1" thickBot="1">
      <c r="A2691" s="531"/>
      <c r="O2691" s="107"/>
      <c r="AR2691" s="531"/>
    </row>
    <row r="2692" spans="1:45" s="520" customFormat="1" ht="12" thickTop="1">
      <c r="A2692" s="51"/>
      <c r="B2692" s="41"/>
      <c r="C2692" s="51"/>
      <c r="E2692" s="42" t="s">
        <v>138</v>
      </c>
      <c r="F2692" s="42" t="s">
        <v>139</v>
      </c>
      <c r="G2692" s="51"/>
      <c r="H2692" s="51"/>
      <c r="I2692" s="51"/>
      <c r="J2692" s="51"/>
      <c r="K2692" s="51" t="s">
        <v>140</v>
      </c>
      <c r="L2692" s="51"/>
      <c r="M2692" s="51"/>
      <c r="N2692" s="51"/>
      <c r="O2692" s="52"/>
      <c r="P2692" s="51"/>
      <c r="Q2692" s="51"/>
      <c r="R2692" s="51"/>
      <c r="S2692" s="51"/>
      <c r="T2692" s="41"/>
      <c r="AG2692" s="521" t="s">
        <v>268</v>
      </c>
      <c r="AH2692" s="521" t="s">
        <v>269</v>
      </c>
      <c r="AI2692" s="521" t="s">
        <v>270</v>
      </c>
      <c r="AJ2692" s="521" t="s">
        <v>271</v>
      </c>
      <c r="AK2692" s="521" t="s">
        <v>272</v>
      </c>
      <c r="AM2692" s="745" t="s">
        <v>281</v>
      </c>
      <c r="AN2692" s="746" t="s">
        <v>282</v>
      </c>
      <c r="AO2692" s="522" t="s">
        <v>278</v>
      </c>
      <c r="AR2692" s="51"/>
      <c r="AS2692" s="42" t="s">
        <v>139</v>
      </c>
    </row>
    <row r="2693" spans="1:45" s="520" customFormat="1" ht="12" customHeight="1">
      <c r="A2693" s="747">
        <v>5</v>
      </c>
      <c r="B2693" s="523" t="s">
        <v>320</v>
      </c>
      <c r="C2693" s="748"/>
      <c r="D2693" s="749" t="s">
        <v>1557</v>
      </c>
      <c r="E2693" s="750">
        <f ca="1">IF(AND($A2693=0,$A$1="DIF"),0, ROUND(ROUND(($R2698*$S$2+($T2698*$T$2))/A2693,2)*$C$2,2))</f>
        <v>11.7</v>
      </c>
      <c r="F2693" s="751">
        <f ca="1">ROUND($A2693*$E2693,2)</f>
        <v>58.5</v>
      </c>
      <c r="G2693" s="752" t="s">
        <v>142</v>
      </c>
      <c r="H2693" s="753"/>
      <c r="I2693" s="754"/>
      <c r="J2693" s="753"/>
      <c r="K2693" s="753" t="s">
        <v>3</v>
      </c>
      <c r="L2693" s="755" t="s">
        <v>143</v>
      </c>
      <c r="M2693" s="755"/>
      <c r="N2693" s="755"/>
      <c r="O2693" s="755"/>
      <c r="P2693" s="755"/>
      <c r="Q2693" s="51"/>
      <c r="T2693" s="756" t="str">
        <f ca="1">IF(AND($R2698=0,$T2698=0),"0.00","mu :" &amp; ROUND($F2693/$C$2/($R2698+$T2698*$D$9),2))</f>
        <v>mu :1.23</v>
      </c>
      <c r="W2693" s="524"/>
      <c r="AG2693" s="481">
        <f ca="1">IF($E2693=0,0,ROUND($R2698*$S$2*$C$2/$A2693,2))</f>
        <v>5.95</v>
      </c>
      <c r="AH2693" s="481">
        <f ca="1">$AG2693*$A2693</f>
        <v>29.75</v>
      </c>
      <c r="AI2693" s="525">
        <f ca="1">$E2693-$AG2693</f>
        <v>5.7499999999999991</v>
      </c>
      <c r="AJ2693" s="525">
        <f ca="1">$A2693*$AI2693</f>
        <v>28.749999999999996</v>
      </c>
      <c r="AK2693" s="526">
        <f ca="1">ROUND(($AG2693+$AI2693)*$A2693,2)</f>
        <v>58.5</v>
      </c>
      <c r="AM2693" s="527">
        <f ca="1">ROUND(R2698,2)</f>
        <v>24.15</v>
      </c>
      <c r="AN2693" s="528">
        <f ca="1">ROUND(T2698,2)</f>
        <v>0.85</v>
      </c>
      <c r="AO2693" s="529">
        <f ca="1">ROUND(AM2693+AN2693,2)*A2693</f>
        <v>125</v>
      </c>
      <c r="AR2693" s="747">
        <v>5</v>
      </c>
      <c r="AS2693" s="751">
        <v>61.85</v>
      </c>
    </row>
    <row r="2694" spans="1:45" s="520" customFormat="1" ht="13.2">
      <c r="A2694" s="748"/>
      <c r="B2694"/>
      <c r="C2694" s="748"/>
      <c r="D2694" s="749" t="s">
        <v>1558</v>
      </c>
      <c r="F2694" s="753"/>
      <c r="G2694" s="3"/>
      <c r="H2694" s="753"/>
      <c r="I2694" s="754"/>
      <c r="J2694" s="753"/>
      <c r="K2694" s="753" t="s">
        <v>144</v>
      </c>
      <c r="L2694" s="753"/>
      <c r="M2694" s="753"/>
      <c r="N2694" s="753"/>
      <c r="O2694" s="753"/>
      <c r="P2694" s="753"/>
      <c r="Q2694" s="51"/>
      <c r="R2694" s="530"/>
      <c r="S2694" s="757"/>
      <c r="T2694" s="753"/>
      <c r="AR2694" s="748"/>
      <c r="AS2694" s="753"/>
    </row>
    <row r="2695" spans="1:45" s="886" customFormat="1" ht="13.2">
      <c r="A2695"/>
      <c r="B2695" s="910"/>
      <c r="C2695" s="910" t="s">
        <v>2597</v>
      </c>
      <c r="D2695" s="910" t="str">
        <f ca="1">CELL("Address",Elec_Rates!D$448)</f>
        <v>[E25_0062_Quintano_Foods_Elec_ELV_As_Awarded.xlsx]Elec_Rates!$D$448</v>
      </c>
      <c r="E2695" s="911"/>
      <c r="F2695" s="911"/>
      <c r="G2695" s="912" t="s">
        <v>2598</v>
      </c>
      <c r="H2695" s="912"/>
      <c r="I2695" s="912"/>
      <c r="J2695" s="912"/>
      <c r="K2695" s="913"/>
      <c r="L2695" s="911"/>
      <c r="M2695" s="911"/>
      <c r="N2695" s="911"/>
      <c r="O2695" s="914"/>
      <c r="P2695" s="911"/>
      <c r="Q2695" s="915"/>
      <c r="R2695" s="916"/>
      <c r="S2695" s="915"/>
      <c r="T2695" s="917"/>
      <c r="U2695" s="918"/>
      <c r="AR2695"/>
      <c r="AS2695" s="911"/>
    </row>
    <row r="2696" spans="1:45" s="886" customFormat="1" ht="11.4">
      <c r="A2696" s="919">
        <v>5</v>
      </c>
      <c r="B2696" s="920">
        <v>1</v>
      </c>
      <c r="C2696" s="920">
        <f>$A2696*$B2696</f>
        <v>5</v>
      </c>
      <c r="D2696" s="921" t="str">
        <f>Elec_Rates!$D$448</f>
        <v>043# 3 x 6mm2 LSZH/LSZH</v>
      </c>
      <c r="E2696" s="921"/>
      <c r="F2696" s="921" t="s">
        <v>2599</v>
      </c>
      <c r="G2696" s="922" t="s">
        <v>2601</v>
      </c>
      <c r="H2696" s="922"/>
      <c r="I2696" s="922"/>
      <c r="J2696" s="922"/>
      <c r="K2696" s="923"/>
      <c r="L2696" s="918"/>
      <c r="M2696" s="918"/>
      <c r="N2696" s="918"/>
      <c r="O2696" s="924"/>
      <c r="P2696" s="921"/>
      <c r="Q2696" s="925">
        <f ca="1">$B2696*Elec_Rates!$R$448</f>
        <v>4.83</v>
      </c>
      <c r="R2696" s="916">
        <f ca="1">$A2696*Q2696</f>
        <v>24.15</v>
      </c>
      <c r="S2696" s="925">
        <f ca="1">$B2696*Elec_Rates!$T$448</f>
        <v>0.17</v>
      </c>
      <c r="T2696" s="917">
        <f ca="1">$A2696*S2696</f>
        <v>0.85000000000000009</v>
      </c>
      <c r="U2696" s="926"/>
      <c r="AR2696" s="919">
        <v>5</v>
      </c>
      <c r="AS2696" s="921" t="s">
        <v>2599</v>
      </c>
    </row>
    <row r="2697" spans="1:45" s="520" customFormat="1" ht="12">
      <c r="A2697" s="758"/>
      <c r="B2697" s="758"/>
      <c r="C2697" s="758"/>
      <c r="D2697" s="758"/>
      <c r="E2697" s="758"/>
      <c r="F2697" s="753"/>
      <c r="G2697" s="758"/>
      <c r="H2697" s="758"/>
      <c r="I2697" s="519"/>
      <c r="J2697" s="758"/>
      <c r="K2697" s="758"/>
      <c r="L2697" s="758"/>
      <c r="M2697" s="758"/>
      <c r="N2697" s="758"/>
      <c r="O2697" s="758"/>
      <c r="P2697" s="758"/>
      <c r="Q2697" s="519"/>
      <c r="R2697" s="759">
        <f>$A2697*Q2697</f>
        <v>0</v>
      </c>
      <c r="S2697" s="519"/>
      <c r="T2697" s="760">
        <f>$A2697*S2697*$T$1</f>
        <v>0</v>
      </c>
      <c r="AR2697" s="758"/>
      <c r="AS2697" s="753"/>
    </row>
    <row r="2698" spans="1:45" s="520" customFormat="1" ht="12.6" thickBot="1">
      <c r="A2698" s="761" t="s">
        <v>145</v>
      </c>
      <c r="B2698" s="762">
        <f>(R2697+T2697)</f>
        <v>0</v>
      </c>
      <c r="C2698" s="763"/>
      <c r="D2698" s="763"/>
      <c r="E2698" s="763"/>
      <c r="F2698" s="764"/>
      <c r="G2698" s="763" t="s">
        <v>146</v>
      </c>
      <c r="H2698" s="763"/>
      <c r="I2698" s="765"/>
      <c r="J2698" s="763"/>
      <c r="K2698" s="763" t="s">
        <v>3</v>
      </c>
      <c r="L2698" s="766" t="s">
        <v>143</v>
      </c>
      <c r="M2698" s="766"/>
      <c r="N2698" s="766"/>
      <c r="O2698" s="766"/>
      <c r="P2698" s="766"/>
      <c r="Q2698" s="767"/>
      <c r="R2698" s="768">
        <f ca="1">SUM(R2694:R2697)</f>
        <v>24.15</v>
      </c>
      <c r="S2698" s="763"/>
      <c r="T2698" s="768">
        <f ca="1">SUM(T2694:T2697)</f>
        <v>0.85000000000000009</v>
      </c>
      <c r="U2698" s="531"/>
      <c r="V2698" s="531"/>
      <c r="W2698" s="531"/>
      <c r="X2698" s="531"/>
      <c r="Y2698" s="531"/>
      <c r="Z2698" s="531"/>
      <c r="AA2698" s="531"/>
      <c r="AB2698" s="531"/>
      <c r="AC2698" s="531"/>
      <c r="AD2698" s="531"/>
      <c r="AE2698" s="531"/>
      <c r="AF2698" s="531"/>
      <c r="AG2698" s="531"/>
      <c r="AH2698" s="531"/>
      <c r="AI2698" s="531"/>
      <c r="AJ2698" s="531"/>
      <c r="AK2698" s="531"/>
      <c r="AL2698" s="531"/>
      <c r="AM2698" s="531"/>
      <c r="AN2698" s="531"/>
      <c r="AO2698" s="531"/>
      <c r="AR2698" s="761" t="s">
        <v>145</v>
      </c>
      <c r="AS2698" s="764"/>
    </row>
    <row r="2699" spans="1:45" s="520" customFormat="1" thickTop="1">
      <c r="A2699" s="51"/>
      <c r="B2699" s="51"/>
      <c r="C2699" s="3"/>
      <c r="D2699" s="3"/>
      <c r="E2699" s="51"/>
      <c r="F2699" s="51"/>
      <c r="G2699" s="51"/>
      <c r="H2699" s="51"/>
      <c r="I2699" s="51"/>
      <c r="J2699" s="51"/>
      <c r="K2699" s="51" t="s">
        <v>134</v>
      </c>
      <c r="L2699" s="51"/>
      <c r="M2699" s="51"/>
      <c r="N2699" s="51"/>
      <c r="O2699" s="52"/>
      <c r="P2699" s="51"/>
      <c r="Q2699" s="51"/>
      <c r="R2699" s="51"/>
      <c r="S2699" s="51"/>
      <c r="T2699" s="51"/>
      <c r="AR2699" s="51"/>
      <c r="AS2699" s="51"/>
    </row>
    <row r="2700" spans="1:45" s="520" customFormat="1" ht="12">
      <c r="A2700" s="51"/>
      <c r="B2700" s="51"/>
      <c r="C2700" s="51" t="s">
        <v>135</v>
      </c>
      <c r="D2700" s="37"/>
      <c r="E2700" s="51"/>
      <c r="F2700" s="51"/>
      <c r="G2700" s="51"/>
      <c r="H2700" s="51"/>
      <c r="I2700" s="51"/>
      <c r="J2700" s="51"/>
      <c r="K2700" s="51"/>
      <c r="L2700" s="51"/>
      <c r="M2700" s="51"/>
      <c r="N2700" s="51"/>
      <c r="O2700" s="52"/>
      <c r="P2700" s="51"/>
      <c r="Q2700" s="51"/>
      <c r="R2700" s="51"/>
      <c r="S2700" s="51"/>
      <c r="T2700" s="51"/>
      <c r="AR2700" s="51"/>
      <c r="AS2700" s="51"/>
    </row>
    <row r="2701" spans="1:45" s="520" customFormat="1" ht="12">
      <c r="A2701" s="51"/>
      <c r="B2701" s="51"/>
      <c r="C2701" s="51"/>
      <c r="D2701" s="37" t="s">
        <v>727</v>
      </c>
      <c r="E2701" s="51"/>
      <c r="F2701" s="51"/>
      <c r="G2701" s="51"/>
      <c r="H2701" s="51"/>
      <c r="I2701" s="51"/>
      <c r="J2701" s="51"/>
      <c r="K2701" s="51"/>
      <c r="L2701" s="51"/>
      <c r="M2701" s="51"/>
      <c r="N2701" s="51"/>
      <c r="O2701" s="52"/>
      <c r="P2701" s="51"/>
      <c r="Q2701" s="51"/>
      <c r="R2701" s="51"/>
      <c r="S2701" s="38"/>
      <c r="T2701" s="38"/>
      <c r="AR2701" s="51"/>
      <c r="AS2701" s="51"/>
    </row>
    <row r="2702" spans="1:45" s="3" customFormat="1" thickBot="1">
      <c r="A2702" s="531"/>
      <c r="O2702" s="107"/>
      <c r="AR2702" s="531"/>
    </row>
    <row r="2703" spans="1:45" s="520" customFormat="1" ht="12" thickTop="1">
      <c r="A2703" s="51"/>
      <c r="B2703" s="41"/>
      <c r="C2703" s="51"/>
      <c r="E2703" s="42" t="s">
        <v>138</v>
      </c>
      <c r="F2703" s="42" t="s">
        <v>139</v>
      </c>
      <c r="G2703" s="51"/>
      <c r="H2703" s="51"/>
      <c r="I2703" s="51"/>
      <c r="J2703" s="51"/>
      <c r="K2703" s="51" t="s">
        <v>140</v>
      </c>
      <c r="L2703" s="51"/>
      <c r="M2703" s="51"/>
      <c r="N2703" s="51"/>
      <c r="O2703" s="52"/>
      <c r="P2703" s="51"/>
      <c r="Q2703" s="51"/>
      <c r="R2703" s="51"/>
      <c r="S2703" s="51"/>
      <c r="T2703" s="41"/>
      <c r="AG2703" s="521" t="s">
        <v>268</v>
      </c>
      <c r="AH2703" s="521" t="s">
        <v>269</v>
      </c>
      <c r="AI2703" s="521" t="s">
        <v>270</v>
      </c>
      <c r="AJ2703" s="521" t="s">
        <v>271</v>
      </c>
      <c r="AK2703" s="521" t="s">
        <v>272</v>
      </c>
      <c r="AM2703" s="745" t="s">
        <v>281</v>
      </c>
      <c r="AN2703" s="746" t="s">
        <v>282</v>
      </c>
      <c r="AO2703" s="522" t="s">
        <v>278</v>
      </c>
      <c r="AR2703" s="51"/>
      <c r="AS2703" s="42" t="s">
        <v>139</v>
      </c>
    </row>
    <row r="2704" spans="1:45" s="520" customFormat="1" ht="12" customHeight="1">
      <c r="A2704" s="747">
        <v>35</v>
      </c>
      <c r="B2704" s="523" t="s">
        <v>320</v>
      </c>
      <c r="C2704" s="748"/>
      <c r="D2704" s="749" t="s">
        <v>1559</v>
      </c>
      <c r="E2704" s="750">
        <f ca="1">IF(AND($A2704=0,$A$1="DIF"),0, ROUND(ROUND(($R2709*$S$2+($T2709*$T$2))/A2704,2)*$C$2,2))</f>
        <v>5.63</v>
      </c>
      <c r="F2704" s="751">
        <f ca="1">ROUND($A2704*$E2704,2)</f>
        <v>197.05</v>
      </c>
      <c r="G2704" s="752" t="s">
        <v>142</v>
      </c>
      <c r="H2704" s="753"/>
      <c r="I2704" s="754"/>
      <c r="J2704" s="753"/>
      <c r="K2704" s="753" t="s">
        <v>3</v>
      </c>
      <c r="L2704" s="755" t="s">
        <v>143</v>
      </c>
      <c r="M2704" s="755"/>
      <c r="N2704" s="755"/>
      <c r="O2704" s="755"/>
      <c r="P2704" s="755"/>
      <c r="Q2704" s="51"/>
      <c r="T2704" s="756" t="str">
        <f ca="1">IF(AND($R2709=0,$T2709=0),"0.00","mu :" &amp; ROUND($F2704/$C$2/($R2709+$T2709*$D$9),2))</f>
        <v>mu :1.23</v>
      </c>
      <c r="W2704" s="524"/>
      <c r="AG2704" s="481">
        <f ca="1">IF($E2704=0,0,ROUND($R2709*$S$2*$C$2/$A2704,2))</f>
        <v>3.26</v>
      </c>
      <c r="AH2704" s="481">
        <f ca="1">$AG2704*$A2704</f>
        <v>114.1</v>
      </c>
      <c r="AI2704" s="525">
        <f ca="1">$E2704-$AG2704</f>
        <v>2.37</v>
      </c>
      <c r="AJ2704" s="525">
        <f ca="1">$A2704*$AI2704</f>
        <v>82.95</v>
      </c>
      <c r="AK2704" s="526">
        <f ca="1">ROUND(($AG2704+$AI2704)*$A2704,2)</f>
        <v>197.05</v>
      </c>
      <c r="AM2704" s="527">
        <f ca="1">ROUND(R2709,2)</f>
        <v>92.75</v>
      </c>
      <c r="AN2704" s="528">
        <f ca="1">ROUND(T2709,2)</f>
        <v>2.4500000000000002</v>
      </c>
      <c r="AO2704" s="529">
        <f ca="1">ROUND(AM2704+AN2704,2)*A2704</f>
        <v>3332</v>
      </c>
      <c r="AR2704" s="747">
        <v>35</v>
      </c>
      <c r="AS2704" s="751">
        <v>208.95</v>
      </c>
    </row>
    <row r="2705" spans="1:45" s="520" customFormat="1" ht="13.2">
      <c r="A2705" s="748"/>
      <c r="B2705"/>
      <c r="C2705" s="748"/>
      <c r="D2705" s="749" t="s">
        <v>1560</v>
      </c>
      <c r="F2705" s="753"/>
      <c r="G2705" s="3"/>
      <c r="H2705" s="753"/>
      <c r="I2705" s="754"/>
      <c r="J2705" s="753"/>
      <c r="K2705" s="753" t="s">
        <v>144</v>
      </c>
      <c r="L2705" s="753"/>
      <c r="M2705" s="753"/>
      <c r="N2705" s="753"/>
      <c r="O2705" s="753"/>
      <c r="P2705" s="753"/>
      <c r="Q2705" s="51"/>
      <c r="R2705" s="530"/>
      <c r="S2705" s="757"/>
      <c r="T2705" s="753"/>
      <c r="AR2705" s="748"/>
      <c r="AS2705" s="753"/>
    </row>
    <row r="2706" spans="1:45" s="886" customFormat="1" ht="13.2">
      <c r="A2706"/>
      <c r="B2706" s="910"/>
      <c r="C2706" s="910" t="s">
        <v>2597</v>
      </c>
      <c r="D2706" s="910" t="str">
        <f ca="1">CELL("Address",Elec_Rates!D$478)</f>
        <v>[E25_0062_Quintano_Foods_Elec_ELV_As_Awarded.xlsx]Elec_Rates!$D$478</v>
      </c>
      <c r="E2706" s="911"/>
      <c r="F2706" s="911"/>
      <c r="G2706" s="912" t="s">
        <v>2598</v>
      </c>
      <c r="H2706" s="912"/>
      <c r="I2706" s="912"/>
      <c r="J2706" s="912"/>
      <c r="K2706" s="913"/>
      <c r="L2706" s="911"/>
      <c r="M2706" s="911"/>
      <c r="N2706" s="911"/>
      <c r="O2706" s="914"/>
      <c r="P2706" s="911"/>
      <c r="Q2706" s="915"/>
      <c r="R2706" s="916"/>
      <c r="S2706" s="915"/>
      <c r="T2706" s="917"/>
      <c r="U2706" s="918"/>
      <c r="AR2706"/>
      <c r="AS2706" s="911"/>
    </row>
    <row r="2707" spans="1:45" s="886" customFormat="1" ht="11.4">
      <c r="A2707" s="919">
        <v>35</v>
      </c>
      <c r="B2707" s="920">
        <v>1</v>
      </c>
      <c r="C2707" s="920">
        <f>$A2707*$B2707</f>
        <v>35</v>
      </c>
      <c r="D2707" s="921" t="str">
        <f>Elec_Rates!$D$478</f>
        <v>046# 3 x 4mm2 XLPE/SWA/LSZH</v>
      </c>
      <c r="E2707" s="921"/>
      <c r="F2707" s="921" t="s">
        <v>2599</v>
      </c>
      <c r="G2707" s="922" t="s">
        <v>2601</v>
      </c>
      <c r="H2707" s="922"/>
      <c r="I2707" s="922"/>
      <c r="J2707" s="922"/>
      <c r="K2707" s="923"/>
      <c r="L2707" s="918"/>
      <c r="M2707" s="918"/>
      <c r="N2707" s="918"/>
      <c r="O2707" s="924"/>
      <c r="P2707" s="921"/>
      <c r="Q2707" s="925">
        <f ca="1">$B2707*Elec_Rates!$R$478</f>
        <v>2.65</v>
      </c>
      <c r="R2707" s="916">
        <f ca="1">$A2707*Q2707</f>
        <v>92.75</v>
      </c>
      <c r="S2707" s="925">
        <f ca="1">$B2707*Elec_Rates!$T$478</f>
        <v>7.0000000000000007E-2</v>
      </c>
      <c r="T2707" s="917">
        <f ca="1">$A2707*S2707</f>
        <v>2.4500000000000002</v>
      </c>
      <c r="U2707" s="926"/>
      <c r="AR2707" s="919">
        <v>35</v>
      </c>
      <c r="AS2707" s="921" t="s">
        <v>2599</v>
      </c>
    </row>
    <row r="2708" spans="1:45" s="520" customFormat="1" ht="12">
      <c r="A2708" s="758"/>
      <c r="B2708" s="758"/>
      <c r="C2708" s="758"/>
      <c r="D2708" s="758"/>
      <c r="E2708" s="758"/>
      <c r="F2708" s="753"/>
      <c r="G2708" s="758"/>
      <c r="H2708" s="758"/>
      <c r="I2708" s="519"/>
      <c r="J2708" s="758"/>
      <c r="K2708" s="758"/>
      <c r="L2708" s="758"/>
      <c r="M2708" s="758"/>
      <c r="N2708" s="758"/>
      <c r="O2708" s="758"/>
      <c r="P2708" s="758"/>
      <c r="Q2708" s="519"/>
      <c r="R2708" s="759">
        <f>$A2708*Q2708</f>
        <v>0</v>
      </c>
      <c r="S2708" s="519"/>
      <c r="T2708" s="760">
        <f>$A2708*S2708*$T$1</f>
        <v>0</v>
      </c>
      <c r="AR2708" s="758"/>
      <c r="AS2708" s="753"/>
    </row>
    <row r="2709" spans="1:45" s="520" customFormat="1" ht="12.6" thickBot="1">
      <c r="A2709" s="761" t="s">
        <v>145</v>
      </c>
      <c r="B2709" s="762">
        <f>(R2708+T2708)</f>
        <v>0</v>
      </c>
      <c r="C2709" s="763"/>
      <c r="D2709" s="763"/>
      <c r="E2709" s="763"/>
      <c r="F2709" s="764"/>
      <c r="G2709" s="763" t="s">
        <v>146</v>
      </c>
      <c r="H2709" s="763"/>
      <c r="I2709" s="765"/>
      <c r="J2709" s="763"/>
      <c r="K2709" s="763" t="s">
        <v>3</v>
      </c>
      <c r="L2709" s="766" t="s">
        <v>143</v>
      </c>
      <c r="M2709" s="766"/>
      <c r="N2709" s="766"/>
      <c r="O2709" s="766"/>
      <c r="P2709" s="766"/>
      <c r="Q2709" s="767"/>
      <c r="R2709" s="768">
        <f ca="1">SUM(R2705:R2708)</f>
        <v>92.75</v>
      </c>
      <c r="S2709" s="763"/>
      <c r="T2709" s="768">
        <f ca="1">SUM(T2705:T2708)</f>
        <v>2.4500000000000002</v>
      </c>
      <c r="U2709" s="531"/>
      <c r="V2709" s="531"/>
      <c r="W2709" s="531"/>
      <c r="X2709" s="531"/>
      <c r="Y2709" s="531"/>
      <c r="Z2709" s="531"/>
      <c r="AA2709" s="531"/>
      <c r="AB2709" s="531"/>
      <c r="AC2709" s="531"/>
      <c r="AD2709" s="531"/>
      <c r="AE2709" s="531"/>
      <c r="AF2709" s="531"/>
      <c r="AG2709" s="531"/>
      <c r="AH2709" s="531"/>
      <c r="AI2709" s="531"/>
      <c r="AJ2709" s="531"/>
      <c r="AK2709" s="531"/>
      <c r="AL2709" s="531"/>
      <c r="AM2709" s="531"/>
      <c r="AN2709" s="531"/>
      <c r="AO2709" s="531"/>
      <c r="AR2709" s="761" t="s">
        <v>145</v>
      </c>
      <c r="AS2709" s="764"/>
    </row>
    <row r="2710" spans="1:45" s="520" customFormat="1" ht="12" thickTop="1">
      <c r="A2710" s="51"/>
      <c r="B2710" s="41"/>
      <c r="C2710" s="51"/>
      <c r="E2710" s="42" t="s">
        <v>138</v>
      </c>
      <c r="F2710" s="42" t="s">
        <v>139</v>
      </c>
      <c r="G2710" s="51"/>
      <c r="H2710" s="51"/>
      <c r="I2710" s="51"/>
      <c r="J2710" s="51"/>
      <c r="K2710" s="51" t="s">
        <v>140</v>
      </c>
      <c r="L2710" s="51"/>
      <c r="M2710" s="51"/>
      <c r="N2710" s="51"/>
      <c r="O2710" s="52"/>
      <c r="P2710" s="51"/>
      <c r="Q2710" s="51"/>
      <c r="R2710" s="51"/>
      <c r="S2710" s="51"/>
      <c r="T2710" s="41"/>
      <c r="AG2710" s="521" t="s">
        <v>268</v>
      </c>
      <c r="AH2710" s="521" t="s">
        <v>269</v>
      </c>
      <c r="AI2710" s="521" t="s">
        <v>270</v>
      </c>
      <c r="AJ2710" s="521" t="s">
        <v>271</v>
      </c>
      <c r="AK2710" s="521" t="s">
        <v>272</v>
      </c>
      <c r="AM2710" s="745" t="s">
        <v>281</v>
      </c>
      <c r="AN2710" s="746" t="s">
        <v>282</v>
      </c>
      <c r="AO2710" s="522" t="s">
        <v>278</v>
      </c>
      <c r="AR2710" s="51"/>
      <c r="AS2710" s="42" t="s">
        <v>139</v>
      </c>
    </row>
    <row r="2711" spans="1:45" s="520" customFormat="1" ht="12" customHeight="1">
      <c r="A2711" s="747">
        <v>60</v>
      </c>
      <c r="B2711" s="523" t="s">
        <v>320</v>
      </c>
      <c r="C2711" s="748"/>
      <c r="D2711" s="749" t="s">
        <v>1561</v>
      </c>
      <c r="E2711" s="750">
        <f ca="1">IF(AND($A2711=0,$A$1="DIF"),0, ROUND(ROUND(($R2716*$S$2+($T2716*$T$2))/A2711,2)*$C$2,2))</f>
        <v>5.63</v>
      </c>
      <c r="F2711" s="751">
        <f ca="1">ROUND($A2711*$E2711,2)</f>
        <v>337.8</v>
      </c>
      <c r="G2711" s="752" t="s">
        <v>142</v>
      </c>
      <c r="H2711" s="753"/>
      <c r="I2711" s="754"/>
      <c r="J2711" s="753"/>
      <c r="K2711" s="753" t="s">
        <v>3</v>
      </c>
      <c r="L2711" s="755" t="s">
        <v>143</v>
      </c>
      <c r="M2711" s="755"/>
      <c r="N2711" s="755"/>
      <c r="O2711" s="755"/>
      <c r="P2711" s="755"/>
      <c r="Q2711" s="51"/>
      <c r="T2711" s="756" t="str">
        <f ca="1">IF(AND($R2716=0,$T2716=0),"0.00","mu :" &amp; ROUND($F2711/$C$2/($R2716+$T2716*$D$9),2))</f>
        <v>mu :1.23</v>
      </c>
      <c r="W2711" s="524"/>
      <c r="AG2711" s="481">
        <f ca="1">IF($E2711=0,0,ROUND($R2716*$S$2*$C$2/$A2711,2))</f>
        <v>3.26</v>
      </c>
      <c r="AH2711" s="481">
        <f ca="1">$AG2711*$A2711</f>
        <v>195.6</v>
      </c>
      <c r="AI2711" s="525">
        <f ca="1">$E2711-$AG2711</f>
        <v>2.37</v>
      </c>
      <c r="AJ2711" s="525">
        <f ca="1">$A2711*$AI2711</f>
        <v>142.20000000000002</v>
      </c>
      <c r="AK2711" s="526">
        <f ca="1">ROUND(($AG2711+$AI2711)*$A2711,2)</f>
        <v>337.8</v>
      </c>
      <c r="AM2711" s="527">
        <f ca="1">ROUND(R2716,2)</f>
        <v>159</v>
      </c>
      <c r="AN2711" s="528">
        <f ca="1">ROUND(T2716,2)</f>
        <v>4.2</v>
      </c>
      <c r="AO2711" s="529">
        <f ca="1">ROUND(AM2711+AN2711,2)*A2711</f>
        <v>9792</v>
      </c>
      <c r="AR2711" s="747">
        <v>60</v>
      </c>
      <c r="AS2711" s="751">
        <v>358.2</v>
      </c>
    </row>
    <row r="2712" spans="1:45" s="520" customFormat="1" ht="13.2">
      <c r="A2712" s="748"/>
      <c r="B2712"/>
      <c r="C2712" s="748"/>
      <c r="D2712" s="749" t="s">
        <v>1562</v>
      </c>
      <c r="F2712" s="753"/>
      <c r="G2712" s="3"/>
      <c r="H2712" s="753"/>
      <c r="I2712" s="754"/>
      <c r="J2712" s="753"/>
      <c r="K2712" s="753" t="s">
        <v>144</v>
      </c>
      <c r="L2712" s="753"/>
      <c r="M2712" s="753"/>
      <c r="N2712" s="753"/>
      <c r="O2712" s="753"/>
      <c r="P2712" s="753"/>
      <c r="Q2712" s="51"/>
      <c r="R2712" s="530"/>
      <c r="S2712" s="757"/>
      <c r="T2712" s="753"/>
      <c r="AR2712" s="748"/>
      <c r="AS2712" s="753"/>
    </row>
    <row r="2713" spans="1:45" s="886" customFormat="1" ht="13.2">
      <c r="A2713"/>
      <c r="B2713" s="910"/>
      <c r="C2713" s="910" t="s">
        <v>2597</v>
      </c>
      <c r="D2713" s="910" t="str">
        <f ca="1">CELL("Address",Elec_Rates!D$478)</f>
        <v>[E25_0062_Quintano_Foods_Elec_ELV_As_Awarded.xlsx]Elec_Rates!$D$478</v>
      </c>
      <c r="E2713" s="911"/>
      <c r="F2713" s="911"/>
      <c r="G2713" s="912" t="s">
        <v>2598</v>
      </c>
      <c r="H2713" s="912"/>
      <c r="I2713" s="912"/>
      <c r="J2713" s="912"/>
      <c r="K2713" s="913"/>
      <c r="L2713" s="911"/>
      <c r="M2713" s="911"/>
      <c r="N2713" s="911"/>
      <c r="O2713" s="914"/>
      <c r="P2713" s="911"/>
      <c r="Q2713" s="915"/>
      <c r="R2713" s="916"/>
      <c r="S2713" s="915"/>
      <c r="T2713" s="917"/>
      <c r="U2713" s="918"/>
      <c r="AR2713"/>
      <c r="AS2713" s="911"/>
    </row>
    <row r="2714" spans="1:45" s="886" customFormat="1" ht="11.4">
      <c r="A2714" s="919">
        <v>60</v>
      </c>
      <c r="B2714" s="920">
        <v>1</v>
      </c>
      <c r="C2714" s="920">
        <f>$A2714*$B2714</f>
        <v>60</v>
      </c>
      <c r="D2714" s="921" t="str">
        <f>Elec_Rates!$D$478</f>
        <v>046# 3 x 4mm2 XLPE/SWA/LSZH</v>
      </c>
      <c r="E2714" s="921"/>
      <c r="F2714" s="921" t="s">
        <v>2599</v>
      </c>
      <c r="G2714" s="922" t="s">
        <v>2601</v>
      </c>
      <c r="H2714" s="922"/>
      <c r="I2714" s="922"/>
      <c r="J2714" s="922"/>
      <c r="K2714" s="923"/>
      <c r="L2714" s="918"/>
      <c r="M2714" s="918"/>
      <c r="N2714" s="918"/>
      <c r="O2714" s="924"/>
      <c r="P2714" s="921"/>
      <c r="Q2714" s="925">
        <f ca="1">$B2714*Elec_Rates!$R$478</f>
        <v>2.65</v>
      </c>
      <c r="R2714" s="916">
        <f ca="1">$A2714*Q2714</f>
        <v>159</v>
      </c>
      <c r="S2714" s="925">
        <f ca="1">$B2714*Elec_Rates!$T$478</f>
        <v>7.0000000000000007E-2</v>
      </c>
      <c r="T2714" s="917">
        <f ca="1">$A2714*S2714</f>
        <v>4.2</v>
      </c>
      <c r="U2714" s="926"/>
      <c r="AR2714" s="919">
        <v>60</v>
      </c>
      <c r="AS2714" s="921" t="s">
        <v>2599</v>
      </c>
    </row>
    <row r="2715" spans="1:45" s="520" customFormat="1" ht="12">
      <c r="A2715" s="758"/>
      <c r="B2715" s="758"/>
      <c r="C2715" s="758"/>
      <c r="D2715" s="758"/>
      <c r="E2715" s="758"/>
      <c r="F2715" s="753"/>
      <c r="G2715" s="758"/>
      <c r="H2715" s="758"/>
      <c r="I2715" s="519"/>
      <c r="J2715" s="758"/>
      <c r="K2715" s="758"/>
      <c r="L2715" s="758"/>
      <c r="M2715" s="758"/>
      <c r="N2715" s="758"/>
      <c r="O2715" s="758"/>
      <c r="P2715" s="758"/>
      <c r="Q2715" s="519"/>
      <c r="R2715" s="759">
        <f>$A2715*Q2715</f>
        <v>0</v>
      </c>
      <c r="S2715" s="519"/>
      <c r="T2715" s="760">
        <f>$A2715*S2715*$T$1</f>
        <v>0</v>
      </c>
      <c r="AR2715" s="758"/>
      <c r="AS2715" s="753"/>
    </row>
    <row r="2716" spans="1:45" s="520" customFormat="1" ht="12.6" thickBot="1">
      <c r="A2716" s="761" t="s">
        <v>145</v>
      </c>
      <c r="B2716" s="762">
        <f>(R2715+T2715)</f>
        <v>0</v>
      </c>
      <c r="C2716" s="763"/>
      <c r="D2716" s="763"/>
      <c r="E2716" s="763"/>
      <c r="F2716" s="764"/>
      <c r="G2716" s="763" t="s">
        <v>146</v>
      </c>
      <c r="H2716" s="763"/>
      <c r="I2716" s="765"/>
      <c r="J2716" s="763"/>
      <c r="K2716" s="763" t="s">
        <v>3</v>
      </c>
      <c r="L2716" s="766" t="s">
        <v>143</v>
      </c>
      <c r="M2716" s="766"/>
      <c r="N2716" s="766"/>
      <c r="O2716" s="766"/>
      <c r="P2716" s="766"/>
      <c r="Q2716" s="767"/>
      <c r="R2716" s="768">
        <f ca="1">SUM(R2712:R2715)</f>
        <v>159</v>
      </c>
      <c r="S2716" s="763"/>
      <c r="T2716" s="768">
        <f ca="1">SUM(T2712:T2715)</f>
        <v>4.2</v>
      </c>
      <c r="U2716" s="531"/>
      <c r="V2716" s="531"/>
      <c r="W2716" s="531"/>
      <c r="X2716" s="531"/>
      <c r="Y2716" s="531"/>
      <c r="Z2716" s="531"/>
      <c r="AA2716" s="531"/>
      <c r="AB2716" s="531"/>
      <c r="AC2716" s="531"/>
      <c r="AD2716" s="531"/>
      <c r="AE2716" s="531"/>
      <c r="AF2716" s="531"/>
      <c r="AG2716" s="531"/>
      <c r="AH2716" s="531"/>
      <c r="AI2716" s="531"/>
      <c r="AJ2716" s="531"/>
      <c r="AK2716" s="531"/>
      <c r="AL2716" s="531"/>
      <c r="AM2716" s="531"/>
      <c r="AN2716" s="531"/>
      <c r="AO2716" s="531"/>
      <c r="AR2716" s="761" t="s">
        <v>145</v>
      </c>
      <c r="AS2716" s="764"/>
    </row>
    <row r="2717" spans="1:45" s="520" customFormat="1" thickTop="1">
      <c r="A2717" s="51"/>
      <c r="B2717" s="51"/>
      <c r="C2717" s="3"/>
      <c r="D2717" s="3"/>
      <c r="E2717" s="51"/>
      <c r="F2717" s="51"/>
      <c r="G2717" s="51"/>
      <c r="H2717" s="51"/>
      <c r="I2717" s="51"/>
      <c r="J2717" s="51"/>
      <c r="K2717" s="51" t="s">
        <v>134</v>
      </c>
      <c r="L2717" s="51"/>
      <c r="M2717" s="51"/>
      <c r="N2717" s="51"/>
      <c r="O2717" s="52"/>
      <c r="P2717" s="51"/>
      <c r="Q2717" s="51"/>
      <c r="R2717" s="51"/>
      <c r="S2717" s="51"/>
      <c r="T2717" s="51"/>
      <c r="AR2717" s="51"/>
      <c r="AS2717" s="51"/>
    </row>
    <row r="2718" spans="1:45" s="520" customFormat="1" ht="12">
      <c r="A2718" s="51"/>
      <c r="B2718" s="51"/>
      <c r="C2718" s="51" t="s">
        <v>135</v>
      </c>
      <c r="D2718" s="37"/>
      <c r="E2718" s="51"/>
      <c r="F2718" s="51"/>
      <c r="G2718" s="51"/>
      <c r="H2718" s="51"/>
      <c r="I2718" s="51"/>
      <c r="J2718" s="51"/>
      <c r="K2718" s="51"/>
      <c r="L2718" s="51"/>
      <c r="M2718" s="51"/>
      <c r="N2718" s="51"/>
      <c r="O2718" s="52"/>
      <c r="P2718" s="51"/>
      <c r="Q2718" s="51"/>
      <c r="R2718" s="51"/>
      <c r="S2718" s="51"/>
      <c r="T2718" s="51"/>
      <c r="AR2718" s="51"/>
      <c r="AS2718" s="51"/>
    </row>
    <row r="2719" spans="1:45" s="520" customFormat="1" ht="12">
      <c r="A2719" s="51"/>
      <c r="B2719" s="51"/>
      <c r="C2719" s="51"/>
      <c r="D2719" s="37" t="s">
        <v>463</v>
      </c>
      <c r="E2719" s="51"/>
      <c r="F2719" s="51"/>
      <c r="G2719" s="51"/>
      <c r="H2719" s="51"/>
      <c r="I2719" s="51"/>
      <c r="J2719" s="51"/>
      <c r="K2719" s="51"/>
      <c r="L2719" s="51"/>
      <c r="M2719" s="51"/>
      <c r="N2719" s="51"/>
      <c r="O2719" s="52"/>
      <c r="P2719" s="51"/>
      <c r="Q2719" s="51"/>
      <c r="R2719" s="51"/>
      <c r="S2719" s="38"/>
      <c r="T2719" s="38"/>
      <c r="AR2719" s="51"/>
      <c r="AS2719" s="51"/>
    </row>
    <row r="2720" spans="1:45" s="3" customFormat="1" thickBot="1">
      <c r="A2720" s="531"/>
      <c r="O2720" s="107"/>
      <c r="AR2720" s="531"/>
    </row>
    <row r="2721" spans="1:45" s="520" customFormat="1" ht="12" thickTop="1">
      <c r="A2721" s="51"/>
      <c r="B2721" s="41"/>
      <c r="C2721" s="51"/>
      <c r="E2721" s="42" t="s">
        <v>138</v>
      </c>
      <c r="F2721" s="42" t="s">
        <v>139</v>
      </c>
      <c r="G2721" s="51"/>
      <c r="H2721" s="51"/>
      <c r="I2721" s="51"/>
      <c r="J2721" s="51"/>
      <c r="K2721" s="51" t="s">
        <v>140</v>
      </c>
      <c r="L2721" s="51"/>
      <c r="M2721" s="51"/>
      <c r="N2721" s="51"/>
      <c r="O2721" s="52"/>
      <c r="P2721" s="51"/>
      <c r="Q2721" s="51"/>
      <c r="R2721" s="51"/>
      <c r="S2721" s="51"/>
      <c r="T2721" s="41"/>
      <c r="AG2721" s="521" t="s">
        <v>268</v>
      </c>
      <c r="AH2721" s="521" t="s">
        <v>269</v>
      </c>
      <c r="AI2721" s="521" t="s">
        <v>270</v>
      </c>
      <c r="AJ2721" s="521" t="s">
        <v>271</v>
      </c>
      <c r="AK2721" s="521" t="s">
        <v>272</v>
      </c>
      <c r="AM2721" s="745" t="s">
        <v>281</v>
      </c>
      <c r="AN2721" s="746" t="s">
        <v>282</v>
      </c>
      <c r="AO2721" s="522" t="s">
        <v>278</v>
      </c>
      <c r="AR2721" s="51"/>
      <c r="AS2721" s="42" t="s">
        <v>139</v>
      </c>
    </row>
    <row r="2722" spans="1:45" s="520" customFormat="1" ht="12" customHeight="1">
      <c r="A2722" s="747">
        <v>2</v>
      </c>
      <c r="B2722" s="523" t="s">
        <v>141</v>
      </c>
      <c r="C2722" s="748"/>
      <c r="D2722" s="749" t="s">
        <v>1563</v>
      </c>
      <c r="E2722" s="750">
        <f ca="1">IF(AND($A2722=0,$A$1="DIF"),0, ROUND(ROUND(($R2727*$S$2+($T2727*$T$2))/A2722,2)*$C$2,2))</f>
        <v>48.45</v>
      </c>
      <c r="F2722" s="751">
        <f ca="1">ROUND($A2722*$E2722,2)</f>
        <v>96.9</v>
      </c>
      <c r="G2722" s="752" t="s">
        <v>142</v>
      </c>
      <c r="H2722" s="753"/>
      <c r="I2722" s="754"/>
      <c r="J2722" s="753"/>
      <c r="K2722" s="753" t="s">
        <v>3</v>
      </c>
      <c r="L2722" s="755" t="s">
        <v>143</v>
      </c>
      <c r="M2722" s="755"/>
      <c r="N2722" s="755"/>
      <c r="O2722" s="755"/>
      <c r="P2722" s="755"/>
      <c r="Q2722" s="51"/>
      <c r="T2722" s="756" t="str">
        <f ca="1">IF(AND($R2727=0,$T2727=0),"0.00","mu :" &amp; ROUND($F2722/$C$2/($R2727+$T2727*$D$9),2))</f>
        <v>mu :1.23</v>
      </c>
      <c r="W2722" s="524"/>
      <c r="AG2722" s="481">
        <f ca="1">IF($E2722=0,0,ROUND($R2727*$S$2*$C$2/$A2722,2))</f>
        <v>31.55</v>
      </c>
      <c r="AH2722" s="481">
        <f ca="1">$AG2722*$A2722</f>
        <v>63.1</v>
      </c>
      <c r="AI2722" s="525">
        <f ca="1">$E2722-$AG2722</f>
        <v>16.900000000000002</v>
      </c>
      <c r="AJ2722" s="525">
        <f ca="1">$A2722*$AI2722</f>
        <v>33.800000000000004</v>
      </c>
      <c r="AK2722" s="526">
        <f ca="1">ROUND(($AG2722+$AI2722)*$A2722,2)</f>
        <v>96.9</v>
      </c>
      <c r="AM2722" s="527">
        <f ca="1">ROUND(R2727,2)</f>
        <v>51.24</v>
      </c>
      <c r="AN2722" s="528">
        <f ca="1">ROUND(T2727,2)</f>
        <v>1</v>
      </c>
      <c r="AO2722" s="529">
        <f ca="1">ROUND(AM2722+AN2722,2)*A2722</f>
        <v>104.48</v>
      </c>
      <c r="AR2722" s="747">
        <v>2</v>
      </c>
      <c r="AS2722" s="751">
        <v>100.28</v>
      </c>
    </row>
    <row r="2723" spans="1:45" s="520" customFormat="1" ht="13.2">
      <c r="A2723" s="748"/>
      <c r="B2723"/>
      <c r="C2723" s="748"/>
      <c r="D2723" s="749" t="s">
        <v>1245</v>
      </c>
      <c r="F2723" s="753"/>
      <c r="G2723" s="3"/>
      <c r="H2723" s="753"/>
      <c r="I2723" s="754"/>
      <c r="J2723" s="753"/>
      <c r="K2723" s="753" t="s">
        <v>144</v>
      </c>
      <c r="L2723" s="753"/>
      <c r="M2723" s="753"/>
      <c r="N2723" s="753"/>
      <c r="O2723" s="753"/>
      <c r="P2723" s="753"/>
      <c r="Q2723" s="51"/>
      <c r="R2723" s="530"/>
      <c r="S2723" s="757"/>
      <c r="T2723" s="753"/>
      <c r="AR2723" s="748"/>
      <c r="AS2723" s="753"/>
    </row>
    <row r="2724" spans="1:45" s="520" customFormat="1" ht="12">
      <c r="A2724" s="51"/>
      <c r="B2724" s="758"/>
      <c r="C2724" s="753" t="s">
        <v>2597</v>
      </c>
      <c r="D2724" s="753" t="str">
        <f ca="1">CELL("Address",Elec_Rates!$D$192)</f>
        <v>[E25_0062_Quintano_Foods_Elec_ELV_As_Awarded.xlsx]Elec_Rates!$D$192</v>
      </c>
      <c r="E2724" s="758"/>
      <c r="F2724" s="753"/>
      <c r="G2724" s="1049" t="s">
        <v>2598</v>
      </c>
      <c r="H2724" s="1050"/>
      <c r="I2724" s="1051"/>
      <c r="J2724" s="1050"/>
      <c r="K2724" s="1050"/>
      <c r="L2724" s="758"/>
      <c r="M2724" s="758"/>
      <c r="N2724" s="758"/>
      <c r="O2724" s="758"/>
      <c r="P2724" s="758"/>
      <c r="Q2724" s="519"/>
      <c r="R2724" s="759"/>
      <c r="S2724" s="519"/>
      <c r="T2724" s="760"/>
      <c r="AR2724" s="51"/>
      <c r="AS2724" s="753"/>
    </row>
    <row r="2725" spans="1:45" s="520" customFormat="1" ht="11.4">
      <c r="A2725" s="51">
        <v>2</v>
      </c>
      <c r="B2725" s="519">
        <v>1</v>
      </c>
      <c r="C2725" s="519">
        <f>$A2725*$B2725</f>
        <v>2</v>
      </c>
      <c r="D2725" s="1048" t="str">
        <f>Elec_Rates!$D$192</f>
        <v>018# 1-Phase 25/32A Isolator</v>
      </c>
      <c r="E2725" s="1048"/>
      <c r="F2725" s="1048" t="s">
        <v>2733</v>
      </c>
      <c r="G2725" s="1050" t="s">
        <v>2600</v>
      </c>
      <c r="H2725" s="1050"/>
      <c r="I2725" s="1051"/>
      <c r="J2725" s="1050"/>
      <c r="K2725" s="1050"/>
      <c r="L2725" s="758"/>
      <c r="M2725" s="758"/>
      <c r="N2725" s="758"/>
      <c r="O2725" s="758"/>
      <c r="P2725" s="758"/>
      <c r="Q2725" s="1052">
        <f ca="1">$B2725*Elec_Rates!$R$192</f>
        <v>25.62</v>
      </c>
      <c r="R2725" s="759">
        <f ca="1">$A2725*Q2725</f>
        <v>51.24</v>
      </c>
      <c r="S2725" s="1052">
        <f ca="1">$B2725*Elec_Rates!$T$192</f>
        <v>0.5</v>
      </c>
      <c r="T2725" s="917">
        <f ca="1">$A2725*S2725</f>
        <v>1</v>
      </c>
      <c r="AR2725" s="51">
        <v>2</v>
      </c>
      <c r="AS2725" s="1048" t="s">
        <v>2733</v>
      </c>
    </row>
    <row r="2726" spans="1:45" s="520" customFormat="1" ht="12">
      <c r="A2726" s="758"/>
      <c r="B2726" s="758"/>
      <c r="C2726" s="758"/>
      <c r="D2726" s="758"/>
      <c r="E2726" s="758"/>
      <c r="F2726" s="753"/>
      <c r="G2726" s="758"/>
      <c r="H2726" s="758"/>
      <c r="I2726" s="519"/>
      <c r="J2726" s="758"/>
      <c r="K2726" s="758"/>
      <c r="L2726" s="758"/>
      <c r="M2726" s="758"/>
      <c r="N2726" s="758"/>
      <c r="O2726" s="758"/>
      <c r="P2726" s="758"/>
      <c r="Q2726" s="519"/>
      <c r="R2726" s="759">
        <f>$A2726*Q2726</f>
        <v>0</v>
      </c>
      <c r="S2726" s="519"/>
      <c r="T2726" s="760">
        <f>$A2726*S2726*$T$1</f>
        <v>0</v>
      </c>
      <c r="AR2726" s="758"/>
      <c r="AS2726" s="753"/>
    </row>
    <row r="2727" spans="1:45" s="520" customFormat="1" ht="12.6" thickBot="1">
      <c r="A2727" s="761" t="s">
        <v>145</v>
      </c>
      <c r="B2727" s="762">
        <f>(R2726+T2726)</f>
        <v>0</v>
      </c>
      <c r="C2727" s="763"/>
      <c r="D2727" s="763"/>
      <c r="E2727" s="763"/>
      <c r="F2727" s="764"/>
      <c r="G2727" s="763" t="s">
        <v>146</v>
      </c>
      <c r="H2727" s="763"/>
      <c r="I2727" s="765"/>
      <c r="J2727" s="763"/>
      <c r="K2727" s="763" t="s">
        <v>3</v>
      </c>
      <c r="L2727" s="766" t="s">
        <v>143</v>
      </c>
      <c r="M2727" s="766"/>
      <c r="N2727" s="766"/>
      <c r="O2727" s="766"/>
      <c r="P2727" s="766"/>
      <c r="Q2727" s="767"/>
      <c r="R2727" s="768">
        <f ca="1">SUM(R2723:R2726)</f>
        <v>51.24</v>
      </c>
      <c r="S2727" s="763"/>
      <c r="T2727" s="768">
        <f ca="1">SUM(T2723:T2726)</f>
        <v>1</v>
      </c>
      <c r="U2727" s="531"/>
      <c r="V2727" s="531"/>
      <c r="W2727" s="531"/>
      <c r="X2727" s="531"/>
      <c r="Y2727" s="531"/>
      <c r="Z2727" s="531"/>
      <c r="AA2727" s="531"/>
      <c r="AB2727" s="531"/>
      <c r="AC2727" s="531"/>
      <c r="AD2727" s="531"/>
      <c r="AE2727" s="531"/>
      <c r="AF2727" s="531"/>
      <c r="AG2727" s="531"/>
      <c r="AH2727" s="531"/>
      <c r="AI2727" s="531"/>
      <c r="AJ2727" s="531"/>
      <c r="AK2727" s="531"/>
      <c r="AL2727" s="531"/>
      <c r="AM2727" s="531"/>
      <c r="AN2727" s="531"/>
      <c r="AO2727" s="531"/>
      <c r="AR2727" s="761" t="s">
        <v>145</v>
      </c>
      <c r="AS2727" s="764"/>
    </row>
    <row r="2728" spans="1:45" s="520" customFormat="1" ht="12" thickTop="1">
      <c r="A2728" s="48" t="s">
        <v>148</v>
      </c>
      <c r="D2728" s="13"/>
      <c r="E2728" s="42"/>
      <c r="O2728" s="771"/>
      <c r="AR2728" s="48" t="s">
        <v>148</v>
      </c>
    </row>
    <row r="2729" spans="1:45" s="520" customFormat="1" ht="13.2">
      <c r="B2729" s="3"/>
      <c r="O2729" s="771"/>
    </row>
    <row r="2730" spans="1:45" s="520" customFormat="1" ht="12">
      <c r="B2730" s="772">
        <f ca="1">$F2730/$C$2-($R2730*$S$2+$T2730*$T$2)</f>
        <v>0.10614753247955377</v>
      </c>
      <c r="D2730" s="773" t="s">
        <v>3628</v>
      </c>
      <c r="E2730" s="774"/>
      <c r="F2730" s="775">
        <f ca="1">SUMIF($L2491:$L2728,"ITEM",F2491:F2728)</f>
        <v>4047.26</v>
      </c>
      <c r="G2730" s="758"/>
      <c r="H2730" s="758"/>
      <c r="I2730" s="519"/>
      <c r="J2730" s="758"/>
      <c r="K2730" s="758"/>
      <c r="L2730" s="755" t="s">
        <v>157</v>
      </c>
      <c r="M2730" s="755"/>
      <c r="N2730" s="755"/>
      <c r="O2730" s="755"/>
      <c r="P2730" s="755"/>
      <c r="R2730" s="775">
        <f ca="1">SUMIF($L2491:$L2728,"ITEM",R2491:R2728)</f>
        <v>2253.65</v>
      </c>
      <c r="S2730" s="776"/>
      <c r="T2730" s="775">
        <f ca="1">SUMIF($L2491:$L2728,"ITEM",T2491:T2728)</f>
        <v>37.623000000000012</v>
      </c>
      <c r="AS2730" s="775">
        <v>4209.9599999999991</v>
      </c>
    </row>
    <row r="2731" spans="1:45" s="520" customFormat="1" ht="13.2">
      <c r="A2731" s="51"/>
      <c r="B2731" s="49" t="s">
        <v>1064</v>
      </c>
      <c r="C2731" s="51"/>
      <c r="D2731" s="3"/>
      <c r="F2731" s="777" t="s">
        <v>158</v>
      </c>
      <c r="G2731" s="758"/>
      <c r="H2731" s="758"/>
      <c r="I2731" s="519"/>
      <c r="J2731" s="758"/>
      <c r="K2731" s="758"/>
      <c r="L2731" s="758"/>
      <c r="M2731" s="758"/>
      <c r="N2731" s="758"/>
      <c r="O2731" s="758"/>
      <c r="P2731" s="758"/>
      <c r="Q2731" s="778"/>
      <c r="R2731" s="777" t="s">
        <v>159</v>
      </c>
      <c r="S2731" s="38"/>
      <c r="T2731" s="777" t="s">
        <v>160</v>
      </c>
      <c r="AR2731" s="51"/>
      <c r="AS2731" s="777" t="s">
        <v>158</v>
      </c>
    </row>
    <row r="2732" spans="1:45" s="520" customFormat="1" ht="13.2">
      <c r="A2732" s="758"/>
      <c r="B2732" s="3"/>
      <c r="C2732" s="758"/>
      <c r="D2732" s="3"/>
      <c r="E2732" s="3"/>
      <c r="G2732" s="3"/>
      <c r="H2732" s="3"/>
      <c r="I2732" s="3"/>
      <c r="J2732" s="3"/>
      <c r="K2732" s="3"/>
      <c r="L2732" s="3"/>
      <c r="M2732" s="3"/>
      <c r="N2732" s="3"/>
      <c r="O2732" s="107"/>
      <c r="P2732" s="3"/>
      <c r="Q2732" s="3"/>
      <c r="R2732" s="3"/>
      <c r="S2732" s="3"/>
      <c r="T2732" s="3"/>
      <c r="AR2732" s="758"/>
    </row>
    <row r="2733" spans="1:45" s="520" customFormat="1" ht="12" thickBot="1">
      <c r="A2733" s="531"/>
      <c r="B2733" s="763"/>
      <c r="C2733" s="763"/>
      <c r="D2733" s="531"/>
      <c r="E2733" s="39"/>
      <c r="F2733" s="779"/>
      <c r="G2733" s="763"/>
      <c r="H2733" s="763"/>
      <c r="I2733" s="765"/>
      <c r="J2733" s="763"/>
      <c r="K2733" s="763"/>
      <c r="L2733" s="766"/>
      <c r="M2733" s="766"/>
      <c r="N2733" s="766"/>
      <c r="O2733" s="766"/>
      <c r="P2733" s="766"/>
      <c r="Q2733" s="767"/>
      <c r="R2733" s="779"/>
      <c r="S2733" s="780"/>
      <c r="T2733" s="779"/>
      <c r="U2733" s="531"/>
      <c r="V2733" s="531"/>
      <c r="W2733" s="531"/>
      <c r="X2733" s="531"/>
      <c r="Y2733" s="531"/>
      <c r="Z2733" s="531"/>
      <c r="AA2733" s="531"/>
      <c r="AB2733" s="531"/>
      <c r="AC2733" s="531"/>
      <c r="AD2733" s="531"/>
      <c r="AE2733" s="531"/>
      <c r="AF2733" s="531"/>
      <c r="AG2733" s="531"/>
      <c r="AH2733" s="531"/>
      <c r="AI2733" s="531"/>
      <c r="AJ2733" s="531"/>
      <c r="AK2733" s="531"/>
      <c r="AR2733" s="531"/>
      <c r="AS2733" s="779"/>
    </row>
    <row r="2734" spans="1:45" s="520" customFormat="1" thickTop="1">
      <c r="A2734" s="51"/>
      <c r="B2734" s="51"/>
      <c r="C2734" s="3"/>
      <c r="D2734" s="3"/>
      <c r="E2734" s="51"/>
      <c r="F2734" s="51"/>
      <c r="G2734" s="51"/>
      <c r="H2734" s="51"/>
      <c r="I2734" s="51"/>
      <c r="J2734" s="51"/>
      <c r="K2734" s="51" t="s">
        <v>134</v>
      </c>
      <c r="L2734" s="51"/>
      <c r="M2734" s="51"/>
      <c r="N2734" s="51"/>
      <c r="O2734" s="52"/>
      <c r="P2734" s="51"/>
      <c r="Q2734" s="51"/>
      <c r="R2734" s="51"/>
      <c r="S2734" s="51"/>
      <c r="T2734" s="51"/>
      <c r="AR2734" s="51"/>
      <c r="AS2734" s="51"/>
    </row>
    <row r="2735" spans="1:45" s="520" customFormat="1" ht="12">
      <c r="A2735" s="51"/>
      <c r="B2735" s="51"/>
      <c r="C2735" s="51" t="s">
        <v>135</v>
      </c>
      <c r="D2735" s="37"/>
      <c r="E2735" s="51"/>
      <c r="F2735" s="51"/>
      <c r="G2735" s="51"/>
      <c r="H2735" s="51"/>
      <c r="I2735" s="51"/>
      <c r="J2735" s="51"/>
      <c r="K2735" s="51"/>
      <c r="L2735" s="51"/>
      <c r="M2735" s="51"/>
      <c r="N2735" s="51"/>
      <c r="O2735" s="52"/>
      <c r="P2735" s="51"/>
      <c r="Q2735" s="51"/>
      <c r="R2735" s="51"/>
      <c r="S2735" s="51"/>
      <c r="T2735" s="51"/>
      <c r="AR2735" s="51"/>
      <c r="AS2735" s="51"/>
    </row>
    <row r="2736" spans="1:45" s="520" customFormat="1" ht="39.9" customHeight="1">
      <c r="A2736" s="51"/>
      <c r="B2736" s="51"/>
      <c r="C2736" s="51"/>
      <c r="D2736" s="1453" t="s">
        <v>498</v>
      </c>
      <c r="E2736" s="1452"/>
      <c r="F2736" s="1452"/>
      <c r="G2736" s="1452"/>
      <c r="H2736" s="1452"/>
      <c r="I2736" s="1452"/>
      <c r="J2736" s="1452"/>
      <c r="K2736" s="1452"/>
      <c r="L2736" s="1452"/>
      <c r="M2736" s="1452"/>
      <c r="N2736" s="1452"/>
      <c r="O2736" s="1452"/>
      <c r="P2736" s="1452"/>
      <c r="Q2736" s="1452"/>
      <c r="R2736" s="1452"/>
      <c r="S2736" s="1452"/>
      <c r="T2736" s="1452"/>
      <c r="AR2736" s="51"/>
    </row>
    <row r="2737" spans="1:45" s="3" customFormat="1" thickBot="1">
      <c r="A2737" s="531"/>
      <c r="O2737" s="107"/>
      <c r="AR2737" s="531"/>
    </row>
    <row r="2738" spans="1:45" s="520" customFormat="1" thickTop="1">
      <c r="A2738" s="51"/>
      <c r="B2738" s="51"/>
      <c r="C2738" s="3"/>
      <c r="D2738" s="3"/>
      <c r="E2738" s="51"/>
      <c r="F2738" s="51"/>
      <c r="G2738" s="51"/>
      <c r="H2738" s="51"/>
      <c r="I2738" s="51"/>
      <c r="J2738" s="51"/>
      <c r="K2738" s="51" t="s">
        <v>134</v>
      </c>
      <c r="L2738" s="51"/>
      <c r="M2738" s="51"/>
      <c r="N2738" s="51"/>
      <c r="O2738" s="52"/>
      <c r="P2738" s="51"/>
      <c r="Q2738" s="51"/>
      <c r="R2738" s="51"/>
      <c r="S2738" s="51"/>
      <c r="T2738" s="51"/>
      <c r="AR2738" s="51"/>
      <c r="AS2738" s="51"/>
    </row>
    <row r="2739" spans="1:45" s="520" customFormat="1" ht="12">
      <c r="A2739" s="51"/>
      <c r="B2739" s="51"/>
      <c r="C2739" s="51" t="s">
        <v>135</v>
      </c>
      <c r="D2739" s="37"/>
      <c r="E2739" s="51"/>
      <c r="F2739" s="51"/>
      <c r="G2739" s="51"/>
      <c r="H2739" s="51"/>
      <c r="I2739" s="51"/>
      <c r="J2739" s="51"/>
      <c r="K2739" s="51"/>
      <c r="L2739" s="51"/>
      <c r="M2739" s="51"/>
      <c r="N2739" s="51"/>
      <c r="O2739" s="52"/>
      <c r="P2739" s="51"/>
      <c r="Q2739" s="51"/>
      <c r="R2739" s="51"/>
      <c r="S2739" s="51"/>
      <c r="T2739" s="51"/>
      <c r="AR2739" s="51"/>
      <c r="AS2739" s="51"/>
    </row>
    <row r="2740" spans="1:45" s="520" customFormat="1" ht="12">
      <c r="A2740" s="51"/>
      <c r="B2740" s="51"/>
      <c r="C2740" s="51"/>
      <c r="D2740" s="37" t="s">
        <v>731</v>
      </c>
      <c r="E2740" s="51"/>
      <c r="F2740" s="51"/>
      <c r="G2740" s="51"/>
      <c r="H2740" s="51"/>
      <c r="I2740" s="51"/>
      <c r="J2740" s="51"/>
      <c r="K2740" s="51"/>
      <c r="L2740" s="51"/>
      <c r="M2740" s="51"/>
      <c r="N2740" s="51"/>
      <c r="O2740" s="52"/>
      <c r="P2740" s="51"/>
      <c r="Q2740" s="51"/>
      <c r="R2740" s="51"/>
      <c r="S2740" s="38"/>
      <c r="T2740" s="38"/>
      <c r="AR2740" s="51"/>
      <c r="AS2740" s="51"/>
    </row>
    <row r="2741" spans="1:45" s="3" customFormat="1" thickBot="1">
      <c r="A2741" s="531"/>
      <c r="O2741" s="107"/>
      <c r="AR2741" s="531"/>
    </row>
    <row r="2742" spans="1:45" s="520" customFormat="1" ht="12" thickTop="1">
      <c r="A2742" s="51"/>
      <c r="B2742" s="41"/>
      <c r="C2742" s="51"/>
      <c r="E2742" s="42" t="s">
        <v>138</v>
      </c>
      <c r="F2742" s="42" t="s">
        <v>139</v>
      </c>
      <c r="G2742" s="51"/>
      <c r="H2742" s="51"/>
      <c r="I2742" s="51"/>
      <c r="J2742" s="51"/>
      <c r="K2742" s="51" t="s">
        <v>140</v>
      </c>
      <c r="L2742" s="51"/>
      <c r="M2742" s="51"/>
      <c r="N2742" s="51"/>
      <c r="O2742" s="52"/>
      <c r="P2742" s="51"/>
      <c r="Q2742" s="51"/>
      <c r="R2742" s="51"/>
      <c r="S2742" s="51"/>
      <c r="T2742" s="41"/>
      <c r="AG2742" s="521" t="s">
        <v>268</v>
      </c>
      <c r="AH2742" s="521" t="s">
        <v>269</v>
      </c>
      <c r="AI2742" s="521" t="s">
        <v>270</v>
      </c>
      <c r="AJ2742" s="521" t="s">
        <v>271</v>
      </c>
      <c r="AK2742" s="521" t="s">
        <v>272</v>
      </c>
      <c r="AM2742" s="745" t="s">
        <v>281</v>
      </c>
      <c r="AN2742" s="746" t="s">
        <v>282</v>
      </c>
      <c r="AO2742" s="522" t="s">
        <v>278</v>
      </c>
      <c r="AR2742" s="51"/>
      <c r="AS2742" s="42" t="s">
        <v>139</v>
      </c>
    </row>
    <row r="2743" spans="1:45" s="520" customFormat="1" ht="12" customHeight="1">
      <c r="A2743" s="747">
        <v>5</v>
      </c>
      <c r="B2743" s="523" t="s">
        <v>320</v>
      </c>
      <c r="C2743" s="748"/>
      <c r="D2743" s="749" t="s">
        <v>1564</v>
      </c>
      <c r="E2743" s="750">
        <f ca="1">IF(AND($A2743=0,$A$1="DIF"),0, ROUND(ROUND(($R2748*$S$2+($T2748*$T$2))/A2743,2)*$C$2,2))</f>
        <v>36.25</v>
      </c>
      <c r="F2743" s="751">
        <f ca="1">ROUND($A2743*$E2743,2)</f>
        <v>181.25</v>
      </c>
      <c r="G2743" s="752" t="s">
        <v>142</v>
      </c>
      <c r="H2743" s="753"/>
      <c r="I2743" s="754"/>
      <c r="J2743" s="753"/>
      <c r="K2743" s="753" t="s">
        <v>3</v>
      </c>
      <c r="L2743" s="755" t="s">
        <v>143</v>
      </c>
      <c r="M2743" s="755"/>
      <c r="N2743" s="755"/>
      <c r="O2743" s="755"/>
      <c r="P2743" s="755"/>
      <c r="Q2743" s="51"/>
      <c r="T2743" s="756" t="str">
        <f ca="1">IF(AND($R2748=0,$T2748=0),"0.00","mu :" &amp; ROUND($F2743/$C$2/($R2748+$T2748*$D$9),2))</f>
        <v>mu :1.23</v>
      </c>
      <c r="W2743" s="524"/>
      <c r="AG2743" s="481">
        <f ca="1">IF($E2743=0,0,ROUND($R2748*$S$2*$C$2/$A2743,2))</f>
        <v>25.43</v>
      </c>
      <c r="AH2743" s="481">
        <f ca="1">$AG2743*$A2743</f>
        <v>127.15</v>
      </c>
      <c r="AI2743" s="525">
        <f ca="1">$E2743-$AG2743</f>
        <v>10.82</v>
      </c>
      <c r="AJ2743" s="525">
        <f ca="1">$A2743*$AI2743</f>
        <v>54.1</v>
      </c>
      <c r="AK2743" s="526">
        <f ca="1">ROUND(($AG2743+$AI2743)*$A2743,2)</f>
        <v>181.25</v>
      </c>
      <c r="AM2743" s="527">
        <f ca="1">ROUND(R2748,2)</f>
        <v>103.25</v>
      </c>
      <c r="AN2743" s="528">
        <f ca="1">ROUND(T2748,2)</f>
        <v>1.6</v>
      </c>
      <c r="AO2743" s="529">
        <f ca="1">ROUND(AM2743+AN2743,2)*A2743</f>
        <v>524.25</v>
      </c>
      <c r="AR2743" s="747">
        <v>5</v>
      </c>
      <c r="AS2743" s="751">
        <v>188</v>
      </c>
    </row>
    <row r="2744" spans="1:45" s="520" customFormat="1" ht="13.2">
      <c r="A2744" s="748"/>
      <c r="B2744"/>
      <c r="C2744" s="748"/>
      <c r="D2744" s="749" t="s">
        <v>1565</v>
      </c>
      <c r="F2744" s="753"/>
      <c r="G2744" s="3"/>
      <c r="H2744" s="753"/>
      <c r="I2744" s="754"/>
      <c r="J2744" s="753"/>
      <c r="K2744" s="753" t="s">
        <v>144</v>
      </c>
      <c r="L2744" s="753"/>
      <c r="M2744" s="753"/>
      <c r="N2744" s="753"/>
      <c r="O2744" s="753"/>
      <c r="P2744" s="753"/>
      <c r="Q2744" s="51"/>
      <c r="R2744" s="530"/>
      <c r="S2744" s="757"/>
      <c r="T2744" s="753"/>
      <c r="AR2744" s="748"/>
      <c r="AS2744" s="753"/>
    </row>
    <row r="2745" spans="1:45" s="886" customFormat="1" ht="13.2">
      <c r="A2745"/>
      <c r="B2745" s="910"/>
      <c r="C2745" s="910" t="s">
        <v>2597</v>
      </c>
      <c r="D2745" s="910" t="str">
        <f ca="1">CELL("Address",Elec_Rates!D$375)</f>
        <v>[E25_0062_Quintano_Foods_Elec_ELV_As_Awarded.xlsx]Elec_Rates!$D$375</v>
      </c>
      <c r="E2745" s="911"/>
      <c r="F2745" s="911"/>
      <c r="G2745" s="912" t="s">
        <v>2598</v>
      </c>
      <c r="H2745" s="912"/>
      <c r="I2745" s="912"/>
      <c r="J2745" s="912"/>
      <c r="K2745" s="913"/>
      <c r="L2745" s="911"/>
      <c r="M2745" s="911"/>
      <c r="N2745" s="911"/>
      <c r="O2745" s="914"/>
      <c r="P2745" s="911"/>
      <c r="Q2745" s="915"/>
      <c r="R2745" s="916"/>
      <c r="S2745" s="915"/>
      <c r="T2745" s="917"/>
      <c r="U2745" s="918"/>
      <c r="AR2745"/>
      <c r="AS2745" s="911"/>
    </row>
    <row r="2746" spans="1:45" s="886" customFormat="1" ht="11.4">
      <c r="A2746" s="919">
        <v>5</v>
      </c>
      <c r="B2746" s="920">
        <v>1</v>
      </c>
      <c r="C2746" s="920">
        <f>$A2746*$B2746</f>
        <v>5</v>
      </c>
      <c r="D2746" s="921" t="str">
        <f>Elec_Rates!$D$375</f>
        <v>036# 5 x 25mm2 XLPE/SWA/LSZH</v>
      </c>
      <c r="E2746" s="921"/>
      <c r="F2746" s="921" t="s">
        <v>2599</v>
      </c>
      <c r="G2746" s="922" t="s">
        <v>2601</v>
      </c>
      <c r="H2746" s="922"/>
      <c r="I2746" s="922"/>
      <c r="J2746" s="922"/>
      <c r="K2746" s="923"/>
      <c r="L2746" s="918"/>
      <c r="M2746" s="918"/>
      <c r="N2746" s="918"/>
      <c r="O2746" s="924"/>
      <c r="P2746" s="921"/>
      <c r="Q2746" s="925">
        <f ca="1">$B2746*Elec_Rates!$R$375</f>
        <v>20.65</v>
      </c>
      <c r="R2746" s="916">
        <f ca="1">$A2746*Q2746</f>
        <v>103.25</v>
      </c>
      <c r="S2746" s="925">
        <f ca="1">$B2746*Elec_Rates!$T$375</f>
        <v>0.32</v>
      </c>
      <c r="T2746" s="917">
        <f ca="1">$A2746*S2746</f>
        <v>1.6</v>
      </c>
      <c r="U2746" s="926"/>
      <c r="AR2746" s="919">
        <v>5</v>
      </c>
      <c r="AS2746" s="921" t="s">
        <v>2599</v>
      </c>
    </row>
    <row r="2747" spans="1:45" s="520" customFormat="1" ht="12">
      <c r="A2747" s="758"/>
      <c r="B2747" s="758"/>
      <c r="C2747" s="758"/>
      <c r="D2747" s="758"/>
      <c r="E2747" s="758"/>
      <c r="F2747" s="753"/>
      <c r="G2747" s="758"/>
      <c r="H2747" s="758"/>
      <c r="I2747" s="519"/>
      <c r="J2747" s="758"/>
      <c r="K2747" s="758"/>
      <c r="L2747" s="758"/>
      <c r="M2747" s="758"/>
      <c r="N2747" s="758"/>
      <c r="O2747" s="758"/>
      <c r="P2747" s="758"/>
      <c r="Q2747" s="519"/>
      <c r="R2747" s="759">
        <f>$A2747*Q2747</f>
        <v>0</v>
      </c>
      <c r="S2747" s="519"/>
      <c r="T2747" s="760">
        <f>$A2747*S2747*$T$1</f>
        <v>0</v>
      </c>
      <c r="AR2747" s="758"/>
      <c r="AS2747" s="753"/>
    </row>
    <row r="2748" spans="1:45" s="520" customFormat="1" ht="12.6" thickBot="1">
      <c r="A2748" s="761" t="s">
        <v>145</v>
      </c>
      <c r="B2748" s="762">
        <f>(R2747+T2747)</f>
        <v>0</v>
      </c>
      <c r="C2748" s="763"/>
      <c r="D2748" s="763"/>
      <c r="E2748" s="763"/>
      <c r="F2748" s="764"/>
      <c r="G2748" s="763" t="s">
        <v>146</v>
      </c>
      <c r="H2748" s="763"/>
      <c r="I2748" s="765"/>
      <c r="J2748" s="763"/>
      <c r="K2748" s="763" t="s">
        <v>3</v>
      </c>
      <c r="L2748" s="766" t="s">
        <v>143</v>
      </c>
      <c r="M2748" s="766"/>
      <c r="N2748" s="766"/>
      <c r="O2748" s="766"/>
      <c r="P2748" s="766"/>
      <c r="Q2748" s="767"/>
      <c r="R2748" s="768">
        <f ca="1">SUM(R2744:R2747)</f>
        <v>103.25</v>
      </c>
      <c r="S2748" s="763"/>
      <c r="T2748" s="768">
        <f ca="1">SUM(T2744:T2747)</f>
        <v>1.6</v>
      </c>
      <c r="U2748" s="531"/>
      <c r="V2748" s="531"/>
      <c r="W2748" s="531"/>
      <c r="X2748" s="531"/>
      <c r="Y2748" s="531"/>
      <c r="Z2748" s="531"/>
      <c r="AA2748" s="531"/>
      <c r="AB2748" s="531"/>
      <c r="AC2748" s="531"/>
      <c r="AD2748" s="531"/>
      <c r="AE2748" s="531"/>
      <c r="AF2748" s="531"/>
      <c r="AG2748" s="531"/>
      <c r="AH2748" s="531"/>
      <c r="AI2748" s="531"/>
      <c r="AJ2748" s="531"/>
      <c r="AK2748" s="531"/>
      <c r="AL2748" s="531"/>
      <c r="AM2748" s="531"/>
      <c r="AN2748" s="531"/>
      <c r="AO2748" s="531"/>
      <c r="AR2748" s="761" t="s">
        <v>145</v>
      </c>
      <c r="AS2748" s="764"/>
    </row>
    <row r="2749" spans="1:45" s="520" customFormat="1" ht="12" thickTop="1">
      <c r="A2749" s="51"/>
      <c r="B2749" s="41"/>
      <c r="C2749" s="51"/>
      <c r="E2749" s="42" t="s">
        <v>138</v>
      </c>
      <c r="F2749" s="42" t="s">
        <v>139</v>
      </c>
      <c r="G2749" s="51"/>
      <c r="H2749" s="51"/>
      <c r="I2749" s="51"/>
      <c r="J2749" s="51"/>
      <c r="K2749" s="51" t="s">
        <v>140</v>
      </c>
      <c r="L2749" s="51"/>
      <c r="M2749" s="51"/>
      <c r="N2749" s="51"/>
      <c r="O2749" s="52"/>
      <c r="P2749" s="51"/>
      <c r="Q2749" s="51"/>
      <c r="R2749" s="51"/>
      <c r="S2749" s="51"/>
      <c r="T2749" s="41"/>
      <c r="AG2749" s="521" t="s">
        <v>268</v>
      </c>
      <c r="AH2749" s="521" t="s">
        <v>269</v>
      </c>
      <c r="AI2749" s="521" t="s">
        <v>270</v>
      </c>
      <c r="AJ2749" s="521" t="s">
        <v>271</v>
      </c>
      <c r="AK2749" s="521" t="s">
        <v>272</v>
      </c>
      <c r="AM2749" s="745" t="s">
        <v>281</v>
      </c>
      <c r="AN2749" s="746" t="s">
        <v>282</v>
      </c>
      <c r="AO2749" s="522" t="s">
        <v>278</v>
      </c>
      <c r="AR2749" s="51"/>
      <c r="AS2749" s="42" t="s">
        <v>139</v>
      </c>
    </row>
    <row r="2750" spans="1:45" s="520" customFormat="1" ht="12" customHeight="1">
      <c r="A2750" s="747">
        <v>5</v>
      </c>
      <c r="B2750" s="523" t="s">
        <v>320</v>
      </c>
      <c r="C2750" s="748"/>
      <c r="D2750" s="749" t="s">
        <v>1566</v>
      </c>
      <c r="E2750" s="750">
        <f ca="1">IF(AND($A2750=0,$A$1="DIF"),0, ROUND(ROUND(($R2755*$S$2+($T2755*$T$2))/A2750,2)*$C$2,2))</f>
        <v>36.25</v>
      </c>
      <c r="F2750" s="751">
        <f ca="1">ROUND($A2750*$E2750,2)</f>
        <v>181.25</v>
      </c>
      <c r="G2750" s="752" t="s">
        <v>142</v>
      </c>
      <c r="H2750" s="753"/>
      <c r="I2750" s="754"/>
      <c r="J2750" s="753"/>
      <c r="K2750" s="753" t="s">
        <v>3</v>
      </c>
      <c r="L2750" s="755" t="s">
        <v>143</v>
      </c>
      <c r="M2750" s="755"/>
      <c r="N2750" s="755"/>
      <c r="O2750" s="755"/>
      <c r="P2750" s="755"/>
      <c r="Q2750" s="51"/>
      <c r="T2750" s="756" t="str">
        <f ca="1">IF(AND($R2755=0,$T2755=0),"0.00","mu :" &amp; ROUND($F2750/$C$2/($R2755+$T2755*$D$9),2))</f>
        <v>mu :1.23</v>
      </c>
      <c r="W2750" s="524"/>
      <c r="AG2750" s="481">
        <f ca="1">IF($E2750=0,0,ROUND($R2755*$S$2*$C$2/$A2750,2))</f>
        <v>25.43</v>
      </c>
      <c r="AH2750" s="481">
        <f ca="1">$AG2750*$A2750</f>
        <v>127.15</v>
      </c>
      <c r="AI2750" s="525">
        <f ca="1">$E2750-$AG2750</f>
        <v>10.82</v>
      </c>
      <c r="AJ2750" s="525">
        <f ca="1">$A2750*$AI2750</f>
        <v>54.1</v>
      </c>
      <c r="AK2750" s="526">
        <f ca="1">ROUND(($AG2750+$AI2750)*$A2750,2)</f>
        <v>181.25</v>
      </c>
      <c r="AM2750" s="527">
        <f ca="1">ROUND(R2755,2)</f>
        <v>103.25</v>
      </c>
      <c r="AN2750" s="528">
        <f ca="1">ROUND(T2755,2)</f>
        <v>1.6</v>
      </c>
      <c r="AO2750" s="529">
        <f ca="1">ROUND(AM2750+AN2750,2)*A2750</f>
        <v>524.25</v>
      </c>
      <c r="AR2750" s="747">
        <v>5</v>
      </c>
      <c r="AS2750" s="751">
        <v>188</v>
      </c>
    </row>
    <row r="2751" spans="1:45" s="520" customFormat="1" ht="13.2">
      <c r="A2751" s="748"/>
      <c r="B2751"/>
      <c r="C2751" s="748"/>
      <c r="D2751" s="749" t="s">
        <v>1567</v>
      </c>
      <c r="F2751" s="753"/>
      <c r="G2751" s="3"/>
      <c r="H2751" s="753"/>
      <c r="I2751" s="754"/>
      <c r="J2751" s="753"/>
      <c r="K2751" s="753" t="s">
        <v>144</v>
      </c>
      <c r="L2751" s="753"/>
      <c r="M2751" s="753"/>
      <c r="N2751" s="753"/>
      <c r="O2751" s="753"/>
      <c r="P2751" s="753"/>
      <c r="Q2751" s="51"/>
      <c r="R2751" s="530"/>
      <c r="S2751" s="757"/>
      <c r="T2751" s="753"/>
      <c r="AR2751" s="748"/>
      <c r="AS2751" s="753"/>
    </row>
    <row r="2752" spans="1:45" s="886" customFormat="1" ht="13.2">
      <c r="A2752"/>
      <c r="B2752" s="910"/>
      <c r="C2752" s="910" t="s">
        <v>2597</v>
      </c>
      <c r="D2752" s="910" t="str">
        <f ca="1">CELL("Address",Elec_Rates!D$375)</f>
        <v>[E25_0062_Quintano_Foods_Elec_ELV_As_Awarded.xlsx]Elec_Rates!$D$375</v>
      </c>
      <c r="E2752" s="911"/>
      <c r="F2752" s="911"/>
      <c r="G2752" s="912" t="s">
        <v>2598</v>
      </c>
      <c r="H2752" s="912"/>
      <c r="I2752" s="912"/>
      <c r="J2752" s="912"/>
      <c r="K2752" s="913"/>
      <c r="L2752" s="911"/>
      <c r="M2752" s="911"/>
      <c r="N2752" s="911"/>
      <c r="O2752" s="914"/>
      <c r="P2752" s="911"/>
      <c r="Q2752" s="915"/>
      <c r="R2752" s="916"/>
      <c r="S2752" s="915"/>
      <c r="T2752" s="917"/>
      <c r="U2752" s="918"/>
      <c r="AR2752"/>
      <c r="AS2752" s="911"/>
    </row>
    <row r="2753" spans="1:45" s="886" customFormat="1" ht="11.4">
      <c r="A2753" s="919">
        <v>5</v>
      </c>
      <c r="B2753" s="920">
        <v>1</v>
      </c>
      <c r="C2753" s="920">
        <f>$A2753*$B2753</f>
        <v>5</v>
      </c>
      <c r="D2753" s="921" t="str">
        <f>Elec_Rates!$D$375</f>
        <v>036# 5 x 25mm2 XLPE/SWA/LSZH</v>
      </c>
      <c r="E2753" s="921"/>
      <c r="F2753" s="921" t="s">
        <v>2599</v>
      </c>
      <c r="G2753" s="922" t="s">
        <v>2601</v>
      </c>
      <c r="H2753" s="922"/>
      <c r="I2753" s="922"/>
      <c r="J2753" s="922"/>
      <c r="K2753" s="923"/>
      <c r="L2753" s="918"/>
      <c r="M2753" s="918"/>
      <c r="N2753" s="918"/>
      <c r="O2753" s="924"/>
      <c r="P2753" s="921"/>
      <c r="Q2753" s="925">
        <f ca="1">$B2753*Elec_Rates!$R$375</f>
        <v>20.65</v>
      </c>
      <c r="R2753" s="916">
        <f ca="1">$A2753*Q2753</f>
        <v>103.25</v>
      </c>
      <c r="S2753" s="925">
        <f ca="1">$B2753*Elec_Rates!$T$375</f>
        <v>0.32</v>
      </c>
      <c r="T2753" s="917">
        <f ca="1">$A2753*S2753</f>
        <v>1.6</v>
      </c>
      <c r="U2753" s="926"/>
      <c r="AR2753" s="919">
        <v>5</v>
      </c>
      <c r="AS2753" s="921" t="s">
        <v>2599</v>
      </c>
    </row>
    <row r="2754" spans="1:45" s="520" customFormat="1" ht="12">
      <c r="A2754" s="758"/>
      <c r="B2754" s="758"/>
      <c r="C2754" s="758"/>
      <c r="D2754" s="758"/>
      <c r="E2754" s="758"/>
      <c r="F2754" s="753"/>
      <c r="G2754" s="758"/>
      <c r="H2754" s="758"/>
      <c r="I2754" s="519"/>
      <c r="J2754" s="758"/>
      <c r="K2754" s="758"/>
      <c r="L2754" s="758"/>
      <c r="M2754" s="758"/>
      <c r="N2754" s="758"/>
      <c r="O2754" s="758"/>
      <c r="P2754" s="758"/>
      <c r="Q2754" s="519"/>
      <c r="R2754" s="759">
        <f>$A2754*Q2754</f>
        <v>0</v>
      </c>
      <c r="S2754" s="519"/>
      <c r="T2754" s="760">
        <f>$A2754*S2754*$T$1</f>
        <v>0</v>
      </c>
      <c r="AR2754" s="758"/>
      <c r="AS2754" s="753"/>
    </row>
    <row r="2755" spans="1:45" s="520" customFormat="1" ht="12.6" thickBot="1">
      <c r="A2755" s="761" t="s">
        <v>145</v>
      </c>
      <c r="B2755" s="762">
        <f>(R2754+T2754)</f>
        <v>0</v>
      </c>
      <c r="C2755" s="763"/>
      <c r="D2755" s="763"/>
      <c r="E2755" s="763"/>
      <c r="F2755" s="764"/>
      <c r="G2755" s="763" t="s">
        <v>146</v>
      </c>
      <c r="H2755" s="763"/>
      <c r="I2755" s="765"/>
      <c r="J2755" s="763"/>
      <c r="K2755" s="763" t="s">
        <v>3</v>
      </c>
      <c r="L2755" s="766" t="s">
        <v>143</v>
      </c>
      <c r="M2755" s="766"/>
      <c r="N2755" s="766"/>
      <c r="O2755" s="766"/>
      <c r="P2755" s="766"/>
      <c r="Q2755" s="767"/>
      <c r="R2755" s="768">
        <f ca="1">SUM(R2751:R2754)</f>
        <v>103.25</v>
      </c>
      <c r="S2755" s="763"/>
      <c r="T2755" s="768">
        <f ca="1">SUM(T2751:T2754)</f>
        <v>1.6</v>
      </c>
      <c r="U2755" s="531"/>
      <c r="V2755" s="531"/>
      <c r="W2755" s="531"/>
      <c r="X2755" s="531"/>
      <c r="Y2755" s="531"/>
      <c r="Z2755" s="531"/>
      <c r="AA2755" s="531"/>
      <c r="AB2755" s="531"/>
      <c r="AC2755" s="531"/>
      <c r="AD2755" s="531"/>
      <c r="AE2755" s="531"/>
      <c r="AF2755" s="531"/>
      <c r="AG2755" s="531"/>
      <c r="AH2755" s="531"/>
      <c r="AI2755" s="531"/>
      <c r="AJ2755" s="531"/>
      <c r="AK2755" s="531"/>
      <c r="AL2755" s="531"/>
      <c r="AM2755" s="531"/>
      <c r="AN2755" s="531"/>
      <c r="AO2755" s="531"/>
      <c r="AR2755" s="761" t="s">
        <v>145</v>
      </c>
      <c r="AS2755" s="764"/>
    </row>
    <row r="2756" spans="1:45" s="520" customFormat="1" ht="12" thickTop="1">
      <c r="A2756" s="51"/>
      <c r="B2756" s="41"/>
      <c r="C2756" s="51"/>
      <c r="E2756" s="42" t="s">
        <v>138</v>
      </c>
      <c r="F2756" s="42" t="s">
        <v>139</v>
      </c>
      <c r="G2756" s="51"/>
      <c r="H2756" s="51"/>
      <c r="I2756" s="51"/>
      <c r="J2756" s="51"/>
      <c r="K2756" s="51" t="s">
        <v>140</v>
      </c>
      <c r="L2756" s="51"/>
      <c r="M2756" s="51"/>
      <c r="N2756" s="51"/>
      <c r="O2756" s="52"/>
      <c r="P2756" s="51"/>
      <c r="Q2756" s="51"/>
      <c r="R2756" s="51"/>
      <c r="S2756" s="51"/>
      <c r="T2756" s="41"/>
      <c r="AG2756" s="521" t="s">
        <v>268</v>
      </c>
      <c r="AH2756" s="521" t="s">
        <v>269</v>
      </c>
      <c r="AI2756" s="521" t="s">
        <v>270</v>
      </c>
      <c r="AJ2756" s="521" t="s">
        <v>271</v>
      </c>
      <c r="AK2756" s="521" t="s">
        <v>272</v>
      </c>
      <c r="AM2756" s="745" t="s">
        <v>281</v>
      </c>
      <c r="AN2756" s="746" t="s">
        <v>282</v>
      </c>
      <c r="AO2756" s="522" t="s">
        <v>278</v>
      </c>
      <c r="AR2756" s="51"/>
      <c r="AS2756" s="42" t="s">
        <v>139</v>
      </c>
    </row>
    <row r="2757" spans="1:45" s="520" customFormat="1" ht="12" customHeight="1">
      <c r="A2757" s="747">
        <v>10</v>
      </c>
      <c r="B2757" s="523" t="s">
        <v>320</v>
      </c>
      <c r="C2757" s="748"/>
      <c r="D2757" s="749" t="s">
        <v>1568</v>
      </c>
      <c r="E2757" s="750">
        <f ca="1">IF(AND($A2757=0,$A$1="DIF"),0, ROUND(ROUND(($R2762*$S$2+($T2762*$T$2))/A2757,2)*$C$2,2))</f>
        <v>36.25</v>
      </c>
      <c r="F2757" s="751">
        <f ca="1">ROUND($A2757*$E2757,2)</f>
        <v>362.5</v>
      </c>
      <c r="G2757" s="752" t="s">
        <v>142</v>
      </c>
      <c r="H2757" s="753"/>
      <c r="I2757" s="754"/>
      <c r="J2757" s="753"/>
      <c r="K2757" s="753" t="s">
        <v>3</v>
      </c>
      <c r="L2757" s="755" t="s">
        <v>143</v>
      </c>
      <c r="M2757" s="755"/>
      <c r="N2757" s="755"/>
      <c r="O2757" s="755"/>
      <c r="P2757" s="755"/>
      <c r="Q2757" s="51"/>
      <c r="T2757" s="756" t="str">
        <f ca="1">IF(AND($R2762=0,$T2762=0),"0.00","mu :" &amp; ROUND($F2757/$C$2/($R2762+$T2762*$D$9),2))</f>
        <v>mu :1.23</v>
      </c>
      <c r="W2757" s="524"/>
      <c r="AG2757" s="481">
        <f ca="1">IF($E2757=0,0,ROUND($R2762*$S$2*$C$2/$A2757,2))</f>
        <v>25.43</v>
      </c>
      <c r="AH2757" s="481">
        <f ca="1">$AG2757*$A2757</f>
        <v>254.3</v>
      </c>
      <c r="AI2757" s="525">
        <f ca="1">$E2757-$AG2757</f>
        <v>10.82</v>
      </c>
      <c r="AJ2757" s="525">
        <f ca="1">$A2757*$AI2757</f>
        <v>108.2</v>
      </c>
      <c r="AK2757" s="526">
        <f ca="1">ROUND(($AG2757+$AI2757)*$A2757,2)</f>
        <v>362.5</v>
      </c>
      <c r="AM2757" s="527">
        <f ca="1">ROUND(R2762,2)</f>
        <v>206.5</v>
      </c>
      <c r="AN2757" s="528">
        <f ca="1">ROUND(T2762,2)</f>
        <v>3.2</v>
      </c>
      <c r="AO2757" s="529">
        <f ca="1">ROUND(AM2757+AN2757,2)*A2757</f>
        <v>2097</v>
      </c>
      <c r="AR2757" s="747">
        <v>10</v>
      </c>
      <c r="AS2757" s="751">
        <v>376</v>
      </c>
    </row>
    <row r="2758" spans="1:45" s="520" customFormat="1" ht="13.2">
      <c r="A2758" s="748"/>
      <c r="B2758"/>
      <c r="C2758" s="748"/>
      <c r="D2758" s="749" t="s">
        <v>1569</v>
      </c>
      <c r="F2758" s="753"/>
      <c r="G2758" s="3"/>
      <c r="H2758" s="753"/>
      <c r="I2758" s="754"/>
      <c r="J2758" s="753"/>
      <c r="K2758" s="753" t="s">
        <v>144</v>
      </c>
      <c r="L2758" s="753"/>
      <c r="M2758" s="753"/>
      <c r="N2758" s="753"/>
      <c r="O2758" s="753"/>
      <c r="P2758" s="753"/>
      <c r="Q2758" s="51"/>
      <c r="R2758" s="530"/>
      <c r="S2758" s="757"/>
      <c r="T2758" s="753"/>
      <c r="AR2758" s="748"/>
      <c r="AS2758" s="753"/>
    </row>
    <row r="2759" spans="1:45" s="886" customFormat="1" ht="13.2">
      <c r="A2759"/>
      <c r="B2759" s="910"/>
      <c r="C2759" s="910" t="s">
        <v>2597</v>
      </c>
      <c r="D2759" s="910" t="str">
        <f ca="1">CELL("Address",Elec_Rates!D$375)</f>
        <v>[E25_0062_Quintano_Foods_Elec_ELV_As_Awarded.xlsx]Elec_Rates!$D$375</v>
      </c>
      <c r="E2759" s="911"/>
      <c r="F2759" s="911"/>
      <c r="G2759" s="912" t="s">
        <v>2598</v>
      </c>
      <c r="H2759" s="912"/>
      <c r="I2759" s="912"/>
      <c r="J2759" s="912"/>
      <c r="K2759" s="913"/>
      <c r="L2759" s="911"/>
      <c r="M2759" s="911"/>
      <c r="N2759" s="911"/>
      <c r="O2759" s="914"/>
      <c r="P2759" s="911"/>
      <c r="Q2759" s="915"/>
      <c r="R2759" s="916"/>
      <c r="S2759" s="915"/>
      <c r="T2759" s="917"/>
      <c r="U2759" s="918"/>
      <c r="AR2759"/>
      <c r="AS2759" s="911"/>
    </row>
    <row r="2760" spans="1:45" s="886" customFormat="1" ht="11.4">
      <c r="A2760" s="919">
        <v>10</v>
      </c>
      <c r="B2760" s="920">
        <v>1</v>
      </c>
      <c r="C2760" s="920">
        <f>$A2760*$B2760</f>
        <v>10</v>
      </c>
      <c r="D2760" s="921" t="str">
        <f>Elec_Rates!$D$375</f>
        <v>036# 5 x 25mm2 XLPE/SWA/LSZH</v>
      </c>
      <c r="E2760" s="921"/>
      <c r="F2760" s="921" t="s">
        <v>2599</v>
      </c>
      <c r="G2760" s="922" t="s">
        <v>2601</v>
      </c>
      <c r="H2760" s="922"/>
      <c r="I2760" s="922"/>
      <c r="J2760" s="922"/>
      <c r="K2760" s="923"/>
      <c r="L2760" s="918"/>
      <c r="M2760" s="918"/>
      <c r="N2760" s="918"/>
      <c r="O2760" s="924"/>
      <c r="P2760" s="921"/>
      <c r="Q2760" s="925">
        <f ca="1">$B2760*Elec_Rates!$R$375</f>
        <v>20.65</v>
      </c>
      <c r="R2760" s="916">
        <f ca="1">$A2760*Q2760</f>
        <v>206.5</v>
      </c>
      <c r="S2760" s="925">
        <f ca="1">$B2760*Elec_Rates!$T$375</f>
        <v>0.32</v>
      </c>
      <c r="T2760" s="917">
        <f ca="1">$A2760*S2760</f>
        <v>3.2</v>
      </c>
      <c r="U2760" s="926"/>
      <c r="AR2760" s="919">
        <v>10</v>
      </c>
      <c r="AS2760" s="921" t="s">
        <v>2599</v>
      </c>
    </row>
    <row r="2761" spans="1:45" s="520" customFormat="1" ht="12">
      <c r="A2761" s="758"/>
      <c r="B2761" s="758"/>
      <c r="C2761" s="758"/>
      <c r="D2761" s="758"/>
      <c r="E2761" s="758"/>
      <c r="F2761" s="753"/>
      <c r="G2761" s="758"/>
      <c r="H2761" s="758"/>
      <c r="I2761" s="519"/>
      <c r="J2761" s="758"/>
      <c r="K2761" s="758"/>
      <c r="L2761" s="758"/>
      <c r="M2761" s="758"/>
      <c r="N2761" s="758"/>
      <c r="O2761" s="758"/>
      <c r="P2761" s="758"/>
      <c r="Q2761" s="519"/>
      <c r="R2761" s="759">
        <f>$A2761*Q2761</f>
        <v>0</v>
      </c>
      <c r="S2761" s="519"/>
      <c r="T2761" s="760">
        <f>$A2761*S2761*$T$1</f>
        <v>0</v>
      </c>
      <c r="AR2761" s="758"/>
      <c r="AS2761" s="753"/>
    </row>
    <row r="2762" spans="1:45" s="520" customFormat="1" ht="12.6" thickBot="1">
      <c r="A2762" s="761" t="s">
        <v>145</v>
      </c>
      <c r="B2762" s="762">
        <f>(R2761+T2761)</f>
        <v>0</v>
      </c>
      <c r="C2762" s="763"/>
      <c r="D2762" s="763"/>
      <c r="E2762" s="763"/>
      <c r="F2762" s="764"/>
      <c r="G2762" s="763" t="s">
        <v>146</v>
      </c>
      <c r="H2762" s="763"/>
      <c r="I2762" s="765"/>
      <c r="J2762" s="763"/>
      <c r="K2762" s="763" t="s">
        <v>3</v>
      </c>
      <c r="L2762" s="766" t="s">
        <v>143</v>
      </c>
      <c r="M2762" s="766"/>
      <c r="N2762" s="766"/>
      <c r="O2762" s="766"/>
      <c r="P2762" s="766"/>
      <c r="Q2762" s="767"/>
      <c r="R2762" s="768">
        <f ca="1">SUM(R2758:R2761)</f>
        <v>206.5</v>
      </c>
      <c r="S2762" s="763"/>
      <c r="T2762" s="768">
        <f ca="1">SUM(T2758:T2761)</f>
        <v>3.2</v>
      </c>
      <c r="U2762" s="531"/>
      <c r="V2762" s="531"/>
      <c r="W2762" s="531"/>
      <c r="X2762" s="531"/>
      <c r="Y2762" s="531"/>
      <c r="Z2762" s="531"/>
      <c r="AA2762" s="531"/>
      <c r="AB2762" s="531"/>
      <c r="AC2762" s="531"/>
      <c r="AD2762" s="531"/>
      <c r="AE2762" s="531"/>
      <c r="AF2762" s="531"/>
      <c r="AG2762" s="531"/>
      <c r="AH2762" s="531"/>
      <c r="AI2762" s="531"/>
      <c r="AJ2762" s="531"/>
      <c r="AK2762" s="531"/>
      <c r="AL2762" s="531"/>
      <c r="AM2762" s="531"/>
      <c r="AN2762" s="531"/>
      <c r="AO2762" s="531"/>
      <c r="AR2762" s="761" t="s">
        <v>145</v>
      </c>
      <c r="AS2762" s="764"/>
    </row>
    <row r="2763" spans="1:45" s="520" customFormat="1" ht="12" thickTop="1">
      <c r="A2763" s="51"/>
      <c r="B2763" s="41"/>
      <c r="C2763" s="51"/>
      <c r="E2763" s="42" t="s">
        <v>138</v>
      </c>
      <c r="F2763" s="42" t="s">
        <v>139</v>
      </c>
      <c r="G2763" s="51"/>
      <c r="H2763" s="51"/>
      <c r="I2763" s="51"/>
      <c r="J2763" s="51"/>
      <c r="K2763" s="51" t="s">
        <v>140</v>
      </c>
      <c r="L2763" s="51"/>
      <c r="M2763" s="51"/>
      <c r="N2763" s="51"/>
      <c r="O2763" s="52"/>
      <c r="P2763" s="51"/>
      <c r="Q2763" s="51"/>
      <c r="R2763" s="51"/>
      <c r="S2763" s="51"/>
      <c r="T2763" s="41"/>
      <c r="AG2763" s="521" t="s">
        <v>268</v>
      </c>
      <c r="AH2763" s="521" t="s">
        <v>269</v>
      </c>
      <c r="AI2763" s="521" t="s">
        <v>270</v>
      </c>
      <c r="AJ2763" s="521" t="s">
        <v>271</v>
      </c>
      <c r="AK2763" s="521" t="s">
        <v>272</v>
      </c>
      <c r="AM2763" s="745" t="s">
        <v>281</v>
      </c>
      <c r="AN2763" s="746" t="s">
        <v>282</v>
      </c>
      <c r="AO2763" s="522" t="s">
        <v>278</v>
      </c>
      <c r="AR2763" s="51"/>
      <c r="AS2763" s="42" t="s">
        <v>139</v>
      </c>
    </row>
    <row r="2764" spans="1:45" s="520" customFormat="1" ht="12" customHeight="1">
      <c r="A2764" s="747">
        <v>10</v>
      </c>
      <c r="B2764" s="523" t="s">
        <v>320</v>
      </c>
      <c r="C2764" s="748"/>
      <c r="D2764" s="749" t="s">
        <v>1570</v>
      </c>
      <c r="E2764" s="750">
        <f ca="1">IF(AND($A2764=0,$A$1="DIF"),0, ROUND(ROUND(($R2769*$S$2+($T2769*$T$2))/A2764,2)*$C$2,2))</f>
        <v>36.25</v>
      </c>
      <c r="F2764" s="751">
        <f ca="1">ROUND($A2764*$E2764,2)</f>
        <v>362.5</v>
      </c>
      <c r="G2764" s="752" t="s">
        <v>142</v>
      </c>
      <c r="H2764" s="753"/>
      <c r="I2764" s="754"/>
      <c r="J2764" s="753"/>
      <c r="K2764" s="753" t="s">
        <v>3</v>
      </c>
      <c r="L2764" s="755" t="s">
        <v>143</v>
      </c>
      <c r="M2764" s="755"/>
      <c r="N2764" s="755"/>
      <c r="O2764" s="755"/>
      <c r="P2764" s="755"/>
      <c r="Q2764" s="51"/>
      <c r="T2764" s="756" t="str">
        <f ca="1">IF(AND($R2769=0,$T2769=0),"0.00","mu :" &amp; ROUND($F2764/$C$2/($R2769+$T2769*$D$9),2))</f>
        <v>mu :1.23</v>
      </c>
      <c r="W2764" s="524"/>
      <c r="AG2764" s="481">
        <f ca="1">IF($E2764=0,0,ROUND($R2769*$S$2*$C$2/$A2764,2))</f>
        <v>25.43</v>
      </c>
      <c r="AH2764" s="481">
        <f ca="1">$AG2764*$A2764</f>
        <v>254.3</v>
      </c>
      <c r="AI2764" s="525">
        <f ca="1">$E2764-$AG2764</f>
        <v>10.82</v>
      </c>
      <c r="AJ2764" s="525">
        <f ca="1">$A2764*$AI2764</f>
        <v>108.2</v>
      </c>
      <c r="AK2764" s="526">
        <f ca="1">ROUND(($AG2764+$AI2764)*$A2764,2)</f>
        <v>362.5</v>
      </c>
      <c r="AM2764" s="527">
        <f ca="1">ROUND(R2769,2)</f>
        <v>206.5</v>
      </c>
      <c r="AN2764" s="528">
        <f ca="1">ROUND(T2769,2)</f>
        <v>3.2</v>
      </c>
      <c r="AO2764" s="529">
        <f ca="1">ROUND(AM2764+AN2764,2)*A2764</f>
        <v>2097</v>
      </c>
      <c r="AR2764" s="747">
        <v>10</v>
      </c>
      <c r="AS2764" s="751">
        <v>376</v>
      </c>
    </row>
    <row r="2765" spans="1:45" s="520" customFormat="1" ht="13.2">
      <c r="A2765" s="748"/>
      <c r="B2765"/>
      <c r="C2765" s="748"/>
      <c r="D2765" s="749" t="s">
        <v>1571</v>
      </c>
      <c r="F2765" s="753"/>
      <c r="G2765" s="3"/>
      <c r="H2765" s="753"/>
      <c r="I2765" s="754"/>
      <c r="J2765" s="753"/>
      <c r="K2765" s="753" t="s">
        <v>144</v>
      </c>
      <c r="L2765" s="753"/>
      <c r="M2765" s="753"/>
      <c r="N2765" s="753"/>
      <c r="O2765" s="753"/>
      <c r="P2765" s="753"/>
      <c r="Q2765" s="51"/>
      <c r="R2765" s="530"/>
      <c r="S2765" s="757"/>
      <c r="T2765" s="753"/>
      <c r="AR2765" s="748"/>
      <c r="AS2765" s="753"/>
    </row>
    <row r="2766" spans="1:45" s="886" customFormat="1" ht="13.2">
      <c r="A2766"/>
      <c r="B2766" s="910"/>
      <c r="C2766" s="910" t="s">
        <v>2597</v>
      </c>
      <c r="D2766" s="910" t="str">
        <f ca="1">CELL("Address",Elec_Rates!D$375)</f>
        <v>[E25_0062_Quintano_Foods_Elec_ELV_As_Awarded.xlsx]Elec_Rates!$D$375</v>
      </c>
      <c r="E2766" s="911"/>
      <c r="F2766" s="911"/>
      <c r="G2766" s="912" t="s">
        <v>2598</v>
      </c>
      <c r="H2766" s="912"/>
      <c r="I2766" s="912"/>
      <c r="J2766" s="912"/>
      <c r="K2766" s="913"/>
      <c r="L2766" s="911"/>
      <c r="M2766" s="911"/>
      <c r="N2766" s="911"/>
      <c r="O2766" s="914"/>
      <c r="P2766" s="911"/>
      <c r="Q2766" s="915"/>
      <c r="R2766" s="916"/>
      <c r="S2766" s="915"/>
      <c r="T2766" s="917"/>
      <c r="U2766" s="918"/>
      <c r="AR2766"/>
      <c r="AS2766" s="911"/>
    </row>
    <row r="2767" spans="1:45" s="886" customFormat="1" ht="11.4">
      <c r="A2767" s="919">
        <v>10</v>
      </c>
      <c r="B2767" s="920">
        <v>1</v>
      </c>
      <c r="C2767" s="920">
        <f>$A2767*$B2767</f>
        <v>10</v>
      </c>
      <c r="D2767" s="921" t="str">
        <f>Elec_Rates!$D$375</f>
        <v>036# 5 x 25mm2 XLPE/SWA/LSZH</v>
      </c>
      <c r="E2767" s="921"/>
      <c r="F2767" s="921" t="s">
        <v>2599</v>
      </c>
      <c r="G2767" s="922" t="s">
        <v>2601</v>
      </c>
      <c r="H2767" s="922"/>
      <c r="I2767" s="922"/>
      <c r="J2767" s="922"/>
      <c r="K2767" s="923"/>
      <c r="L2767" s="918"/>
      <c r="M2767" s="918"/>
      <c r="N2767" s="918"/>
      <c r="O2767" s="924"/>
      <c r="P2767" s="921"/>
      <c r="Q2767" s="925">
        <f ca="1">$B2767*Elec_Rates!$R$375</f>
        <v>20.65</v>
      </c>
      <c r="R2767" s="916">
        <f ca="1">$A2767*Q2767</f>
        <v>206.5</v>
      </c>
      <c r="S2767" s="925">
        <f ca="1">$B2767*Elec_Rates!$T$375</f>
        <v>0.32</v>
      </c>
      <c r="T2767" s="917">
        <f ca="1">$A2767*S2767</f>
        <v>3.2</v>
      </c>
      <c r="U2767" s="926"/>
      <c r="AR2767" s="919">
        <v>10</v>
      </c>
      <c r="AS2767" s="921" t="s">
        <v>2599</v>
      </c>
    </row>
    <row r="2768" spans="1:45" s="520" customFormat="1" ht="12">
      <c r="A2768" s="758"/>
      <c r="B2768" s="758"/>
      <c r="C2768" s="758"/>
      <c r="D2768" s="758"/>
      <c r="E2768" s="758"/>
      <c r="F2768" s="753"/>
      <c r="G2768" s="758"/>
      <c r="H2768" s="758"/>
      <c r="I2768" s="519"/>
      <c r="J2768" s="758"/>
      <c r="K2768" s="758"/>
      <c r="L2768" s="758"/>
      <c r="M2768" s="758"/>
      <c r="N2768" s="758"/>
      <c r="O2768" s="758"/>
      <c r="P2768" s="758"/>
      <c r="Q2768" s="519"/>
      <c r="R2768" s="759">
        <f>$A2768*Q2768</f>
        <v>0</v>
      </c>
      <c r="S2768" s="519"/>
      <c r="T2768" s="760">
        <f>$A2768*S2768*$T$1</f>
        <v>0</v>
      </c>
      <c r="AR2768" s="758"/>
      <c r="AS2768" s="753"/>
    </row>
    <row r="2769" spans="1:45" s="520" customFormat="1" ht="12.6" thickBot="1">
      <c r="A2769" s="761" t="s">
        <v>145</v>
      </c>
      <c r="B2769" s="762">
        <f>(R2768+T2768)</f>
        <v>0</v>
      </c>
      <c r="C2769" s="763"/>
      <c r="D2769" s="763"/>
      <c r="E2769" s="763"/>
      <c r="F2769" s="764"/>
      <c r="G2769" s="763" t="s">
        <v>146</v>
      </c>
      <c r="H2769" s="763"/>
      <c r="I2769" s="765"/>
      <c r="J2769" s="763"/>
      <c r="K2769" s="763" t="s">
        <v>3</v>
      </c>
      <c r="L2769" s="766" t="s">
        <v>143</v>
      </c>
      <c r="M2769" s="766"/>
      <c r="N2769" s="766"/>
      <c r="O2769" s="766"/>
      <c r="P2769" s="766"/>
      <c r="Q2769" s="767"/>
      <c r="R2769" s="768">
        <f ca="1">SUM(R2765:R2768)</f>
        <v>206.5</v>
      </c>
      <c r="S2769" s="763"/>
      <c r="T2769" s="768">
        <f ca="1">SUM(T2765:T2768)</f>
        <v>3.2</v>
      </c>
      <c r="U2769" s="531"/>
      <c r="V2769" s="531"/>
      <c r="W2769" s="531"/>
      <c r="X2769" s="531"/>
      <c r="Y2769" s="531"/>
      <c r="Z2769" s="531"/>
      <c r="AA2769" s="531"/>
      <c r="AB2769" s="531"/>
      <c r="AC2769" s="531"/>
      <c r="AD2769" s="531"/>
      <c r="AE2769" s="531"/>
      <c r="AF2769" s="531"/>
      <c r="AG2769" s="531"/>
      <c r="AH2769" s="531"/>
      <c r="AI2769" s="531"/>
      <c r="AJ2769" s="531"/>
      <c r="AK2769" s="531"/>
      <c r="AL2769" s="531"/>
      <c r="AM2769" s="531"/>
      <c r="AN2769" s="531"/>
      <c r="AO2769" s="531"/>
      <c r="AR2769" s="761" t="s">
        <v>145</v>
      </c>
      <c r="AS2769" s="764"/>
    </row>
    <row r="2770" spans="1:45" s="520" customFormat="1" ht="12" thickTop="1">
      <c r="A2770" s="51"/>
      <c r="B2770" s="41"/>
      <c r="C2770" s="51"/>
      <c r="E2770" s="42" t="s">
        <v>138</v>
      </c>
      <c r="F2770" s="42" t="s">
        <v>139</v>
      </c>
      <c r="G2770" s="51"/>
      <c r="H2770" s="51"/>
      <c r="I2770" s="51"/>
      <c r="J2770" s="51"/>
      <c r="K2770" s="51" t="s">
        <v>140</v>
      </c>
      <c r="L2770" s="51"/>
      <c r="M2770" s="51"/>
      <c r="N2770" s="51"/>
      <c r="O2770" s="52"/>
      <c r="P2770" s="51"/>
      <c r="Q2770" s="51"/>
      <c r="R2770" s="51"/>
      <c r="S2770" s="51"/>
      <c r="T2770" s="41"/>
      <c r="AG2770" s="521" t="s">
        <v>268</v>
      </c>
      <c r="AH2770" s="521" t="s">
        <v>269</v>
      </c>
      <c r="AI2770" s="521" t="s">
        <v>270</v>
      </c>
      <c r="AJ2770" s="521" t="s">
        <v>271</v>
      </c>
      <c r="AK2770" s="521" t="s">
        <v>272</v>
      </c>
      <c r="AM2770" s="745" t="s">
        <v>281</v>
      </c>
      <c r="AN2770" s="746" t="s">
        <v>282</v>
      </c>
      <c r="AO2770" s="522" t="s">
        <v>278</v>
      </c>
      <c r="AR2770" s="51"/>
      <c r="AS2770" s="42" t="s">
        <v>139</v>
      </c>
    </row>
    <row r="2771" spans="1:45" s="520" customFormat="1" ht="12" customHeight="1">
      <c r="A2771" s="747">
        <v>10</v>
      </c>
      <c r="B2771" s="523" t="s">
        <v>320</v>
      </c>
      <c r="C2771" s="748"/>
      <c r="D2771" s="749" t="s">
        <v>1572</v>
      </c>
      <c r="E2771" s="750">
        <f ca="1">IF(AND($A2771=0,$A$1="DIF"),0, ROUND(ROUND(($R2776*$S$2+($T2776*$T$2))/A2771,2)*$C$2,2))</f>
        <v>36.25</v>
      </c>
      <c r="F2771" s="751">
        <f ca="1">ROUND($A2771*$E2771,2)</f>
        <v>362.5</v>
      </c>
      <c r="G2771" s="752" t="s">
        <v>142</v>
      </c>
      <c r="H2771" s="753"/>
      <c r="I2771" s="754"/>
      <c r="J2771" s="753"/>
      <c r="K2771" s="753" t="s">
        <v>3</v>
      </c>
      <c r="L2771" s="755" t="s">
        <v>143</v>
      </c>
      <c r="M2771" s="755"/>
      <c r="N2771" s="755"/>
      <c r="O2771" s="755"/>
      <c r="P2771" s="755"/>
      <c r="Q2771" s="51"/>
      <c r="T2771" s="756" t="str">
        <f ca="1">IF(AND($R2776=0,$T2776=0),"0.00","mu :" &amp; ROUND($F2771/$C$2/($R2776+$T2776*$D$9),2))</f>
        <v>mu :1.23</v>
      </c>
      <c r="W2771" s="524"/>
      <c r="AG2771" s="481">
        <f ca="1">IF($E2771=0,0,ROUND($R2776*$S$2*$C$2/$A2771,2))</f>
        <v>25.43</v>
      </c>
      <c r="AH2771" s="481">
        <f ca="1">$AG2771*$A2771</f>
        <v>254.3</v>
      </c>
      <c r="AI2771" s="525">
        <f ca="1">$E2771-$AG2771</f>
        <v>10.82</v>
      </c>
      <c r="AJ2771" s="525">
        <f ca="1">$A2771*$AI2771</f>
        <v>108.2</v>
      </c>
      <c r="AK2771" s="526">
        <f ca="1">ROUND(($AG2771+$AI2771)*$A2771,2)</f>
        <v>362.5</v>
      </c>
      <c r="AM2771" s="527">
        <f ca="1">ROUND(R2776,2)</f>
        <v>206.5</v>
      </c>
      <c r="AN2771" s="528">
        <f ca="1">ROUND(T2776,2)</f>
        <v>3.2</v>
      </c>
      <c r="AO2771" s="529">
        <f ca="1">ROUND(AM2771+AN2771,2)*A2771</f>
        <v>2097</v>
      </c>
      <c r="AR2771" s="747">
        <v>10</v>
      </c>
      <c r="AS2771" s="751">
        <v>376</v>
      </c>
    </row>
    <row r="2772" spans="1:45" s="520" customFormat="1" ht="13.2">
      <c r="A2772" s="748"/>
      <c r="B2772"/>
      <c r="C2772" s="748"/>
      <c r="D2772" s="749" t="s">
        <v>1573</v>
      </c>
      <c r="F2772" s="753"/>
      <c r="G2772" s="3"/>
      <c r="H2772" s="753"/>
      <c r="I2772" s="754"/>
      <c r="J2772" s="753"/>
      <c r="K2772" s="753" t="s">
        <v>144</v>
      </c>
      <c r="L2772" s="753"/>
      <c r="M2772" s="753"/>
      <c r="N2772" s="753"/>
      <c r="O2772" s="753"/>
      <c r="P2772" s="753"/>
      <c r="Q2772" s="51"/>
      <c r="R2772" s="530"/>
      <c r="S2772" s="757"/>
      <c r="T2772" s="753"/>
      <c r="AR2772" s="748"/>
      <c r="AS2772" s="753"/>
    </row>
    <row r="2773" spans="1:45" s="886" customFormat="1" ht="13.2">
      <c r="A2773"/>
      <c r="B2773" s="910"/>
      <c r="C2773" s="910" t="s">
        <v>2597</v>
      </c>
      <c r="D2773" s="910" t="str">
        <f ca="1">CELL("Address",Elec_Rates!D$375)</f>
        <v>[E25_0062_Quintano_Foods_Elec_ELV_As_Awarded.xlsx]Elec_Rates!$D$375</v>
      </c>
      <c r="E2773" s="911"/>
      <c r="F2773" s="911"/>
      <c r="G2773" s="912" t="s">
        <v>2598</v>
      </c>
      <c r="H2773" s="912"/>
      <c r="I2773" s="912"/>
      <c r="J2773" s="912"/>
      <c r="K2773" s="913"/>
      <c r="L2773" s="911"/>
      <c r="M2773" s="911"/>
      <c r="N2773" s="911"/>
      <c r="O2773" s="914"/>
      <c r="P2773" s="911"/>
      <c r="Q2773" s="915"/>
      <c r="R2773" s="916"/>
      <c r="S2773" s="915"/>
      <c r="T2773" s="917"/>
      <c r="U2773" s="918"/>
      <c r="AR2773"/>
      <c r="AS2773" s="911"/>
    </row>
    <row r="2774" spans="1:45" s="886" customFormat="1" ht="11.4">
      <c r="A2774" s="919">
        <v>10</v>
      </c>
      <c r="B2774" s="920">
        <v>1</v>
      </c>
      <c r="C2774" s="920">
        <f>$A2774*$B2774</f>
        <v>10</v>
      </c>
      <c r="D2774" s="921" t="str">
        <f>Elec_Rates!$D$375</f>
        <v>036# 5 x 25mm2 XLPE/SWA/LSZH</v>
      </c>
      <c r="E2774" s="921"/>
      <c r="F2774" s="921" t="s">
        <v>2599</v>
      </c>
      <c r="G2774" s="922" t="s">
        <v>2601</v>
      </c>
      <c r="H2774" s="922"/>
      <c r="I2774" s="922"/>
      <c r="J2774" s="922"/>
      <c r="K2774" s="923"/>
      <c r="L2774" s="918"/>
      <c r="M2774" s="918"/>
      <c r="N2774" s="918"/>
      <c r="O2774" s="924"/>
      <c r="P2774" s="921"/>
      <c r="Q2774" s="925">
        <f ca="1">$B2774*Elec_Rates!$R$375</f>
        <v>20.65</v>
      </c>
      <c r="R2774" s="916">
        <f ca="1">$A2774*Q2774</f>
        <v>206.5</v>
      </c>
      <c r="S2774" s="925">
        <f ca="1">$B2774*Elec_Rates!$T$375</f>
        <v>0.32</v>
      </c>
      <c r="T2774" s="917">
        <f ca="1">$A2774*S2774</f>
        <v>3.2</v>
      </c>
      <c r="U2774" s="926"/>
      <c r="AR2774" s="919">
        <v>10</v>
      </c>
      <c r="AS2774" s="921" t="s">
        <v>2599</v>
      </c>
    </row>
    <row r="2775" spans="1:45" s="520" customFormat="1" ht="12">
      <c r="A2775" s="758"/>
      <c r="B2775" s="758"/>
      <c r="C2775" s="758"/>
      <c r="D2775" s="758"/>
      <c r="E2775" s="758"/>
      <c r="F2775" s="753"/>
      <c r="G2775" s="758"/>
      <c r="H2775" s="758"/>
      <c r="I2775" s="519"/>
      <c r="J2775" s="758"/>
      <c r="K2775" s="758"/>
      <c r="L2775" s="758"/>
      <c r="M2775" s="758"/>
      <c r="N2775" s="758"/>
      <c r="O2775" s="758"/>
      <c r="P2775" s="758"/>
      <c r="Q2775" s="519"/>
      <c r="R2775" s="759">
        <f>$A2775*Q2775</f>
        <v>0</v>
      </c>
      <c r="S2775" s="519"/>
      <c r="T2775" s="760">
        <f>$A2775*S2775*$T$1</f>
        <v>0</v>
      </c>
      <c r="AR2775" s="758"/>
      <c r="AS2775" s="753"/>
    </row>
    <row r="2776" spans="1:45" s="520" customFormat="1" ht="12.6" thickBot="1">
      <c r="A2776" s="761" t="s">
        <v>145</v>
      </c>
      <c r="B2776" s="762">
        <f>(R2775+T2775)</f>
        <v>0</v>
      </c>
      <c r="C2776" s="763"/>
      <c r="D2776" s="763"/>
      <c r="E2776" s="763"/>
      <c r="F2776" s="764"/>
      <c r="G2776" s="763" t="s">
        <v>146</v>
      </c>
      <c r="H2776" s="763"/>
      <c r="I2776" s="765"/>
      <c r="J2776" s="763"/>
      <c r="K2776" s="763" t="s">
        <v>3</v>
      </c>
      <c r="L2776" s="766" t="s">
        <v>143</v>
      </c>
      <c r="M2776" s="766"/>
      <c r="N2776" s="766"/>
      <c r="O2776" s="766"/>
      <c r="P2776" s="766"/>
      <c r="Q2776" s="767"/>
      <c r="R2776" s="768">
        <f ca="1">SUM(R2772:R2775)</f>
        <v>206.5</v>
      </c>
      <c r="S2776" s="763"/>
      <c r="T2776" s="768">
        <f ca="1">SUM(T2772:T2775)</f>
        <v>3.2</v>
      </c>
      <c r="U2776" s="531"/>
      <c r="V2776" s="531"/>
      <c r="W2776" s="531"/>
      <c r="X2776" s="531"/>
      <c r="Y2776" s="531"/>
      <c r="Z2776" s="531"/>
      <c r="AA2776" s="531"/>
      <c r="AB2776" s="531"/>
      <c r="AC2776" s="531"/>
      <c r="AD2776" s="531"/>
      <c r="AE2776" s="531"/>
      <c r="AF2776" s="531"/>
      <c r="AG2776" s="531"/>
      <c r="AH2776" s="531"/>
      <c r="AI2776" s="531"/>
      <c r="AJ2776" s="531"/>
      <c r="AK2776" s="531"/>
      <c r="AL2776" s="531"/>
      <c r="AM2776" s="531"/>
      <c r="AN2776" s="531"/>
      <c r="AO2776" s="531"/>
      <c r="AR2776" s="761" t="s">
        <v>145</v>
      </c>
      <c r="AS2776" s="764"/>
    </row>
    <row r="2777" spans="1:45" s="520" customFormat="1" ht="12" thickTop="1">
      <c r="A2777" s="51"/>
      <c r="B2777" s="41"/>
      <c r="C2777" s="51"/>
      <c r="E2777" s="42" t="s">
        <v>138</v>
      </c>
      <c r="F2777" s="42" t="s">
        <v>139</v>
      </c>
      <c r="G2777" s="51"/>
      <c r="H2777" s="51"/>
      <c r="I2777" s="51"/>
      <c r="J2777" s="51"/>
      <c r="K2777" s="51" t="s">
        <v>140</v>
      </c>
      <c r="L2777" s="51"/>
      <c r="M2777" s="51"/>
      <c r="N2777" s="51"/>
      <c r="O2777" s="52"/>
      <c r="P2777" s="51"/>
      <c r="Q2777" s="51"/>
      <c r="R2777" s="51"/>
      <c r="S2777" s="51"/>
      <c r="T2777" s="41"/>
      <c r="AG2777" s="521" t="s">
        <v>268</v>
      </c>
      <c r="AH2777" s="521" t="s">
        <v>269</v>
      </c>
      <c r="AI2777" s="521" t="s">
        <v>270</v>
      </c>
      <c r="AJ2777" s="521" t="s">
        <v>271</v>
      </c>
      <c r="AK2777" s="521" t="s">
        <v>272</v>
      </c>
      <c r="AM2777" s="745" t="s">
        <v>281</v>
      </c>
      <c r="AN2777" s="746" t="s">
        <v>282</v>
      </c>
      <c r="AO2777" s="522" t="s">
        <v>278</v>
      </c>
      <c r="AR2777" s="51"/>
      <c r="AS2777" s="42" t="s">
        <v>139</v>
      </c>
    </row>
    <row r="2778" spans="1:45" s="520" customFormat="1" ht="12" customHeight="1">
      <c r="A2778" s="747">
        <v>10</v>
      </c>
      <c r="B2778" s="523" t="s">
        <v>320</v>
      </c>
      <c r="C2778" s="748"/>
      <c r="D2778" s="749" t="s">
        <v>1574</v>
      </c>
      <c r="E2778" s="750">
        <f ca="1">IF(AND($A2778=0,$A$1="DIF"),0, ROUND(ROUND(($R2783*$S$2+($T2783*$T$2))/A2778,2)*$C$2,2))</f>
        <v>36.25</v>
      </c>
      <c r="F2778" s="751">
        <f ca="1">ROUND($A2778*$E2778,2)</f>
        <v>362.5</v>
      </c>
      <c r="G2778" s="752" t="s">
        <v>142</v>
      </c>
      <c r="H2778" s="753"/>
      <c r="I2778" s="754"/>
      <c r="J2778" s="753"/>
      <c r="K2778" s="753" t="s">
        <v>3</v>
      </c>
      <c r="L2778" s="755" t="s">
        <v>143</v>
      </c>
      <c r="M2778" s="755"/>
      <c r="N2778" s="755"/>
      <c r="O2778" s="755"/>
      <c r="P2778" s="755"/>
      <c r="Q2778" s="51"/>
      <c r="T2778" s="756" t="str">
        <f ca="1">IF(AND($R2783=0,$T2783=0),"0.00","mu :" &amp; ROUND($F2778/$C$2/($R2783+$T2783*$D$9),2))</f>
        <v>mu :1.23</v>
      </c>
      <c r="W2778" s="524"/>
      <c r="AG2778" s="481">
        <f ca="1">IF($E2778=0,0,ROUND($R2783*$S$2*$C$2/$A2778,2))</f>
        <v>25.43</v>
      </c>
      <c r="AH2778" s="481">
        <f ca="1">$AG2778*$A2778</f>
        <v>254.3</v>
      </c>
      <c r="AI2778" s="525">
        <f ca="1">$E2778-$AG2778</f>
        <v>10.82</v>
      </c>
      <c r="AJ2778" s="525">
        <f ca="1">$A2778*$AI2778</f>
        <v>108.2</v>
      </c>
      <c r="AK2778" s="526">
        <f ca="1">ROUND(($AG2778+$AI2778)*$A2778,2)</f>
        <v>362.5</v>
      </c>
      <c r="AM2778" s="527">
        <f ca="1">ROUND(R2783,2)</f>
        <v>206.5</v>
      </c>
      <c r="AN2778" s="528">
        <f ca="1">ROUND(T2783,2)</f>
        <v>3.2</v>
      </c>
      <c r="AO2778" s="529">
        <f ca="1">ROUND(AM2778+AN2778,2)*A2778</f>
        <v>2097</v>
      </c>
      <c r="AR2778" s="747">
        <v>10</v>
      </c>
      <c r="AS2778" s="751">
        <v>376</v>
      </c>
    </row>
    <row r="2779" spans="1:45" s="520" customFormat="1" ht="13.2">
      <c r="A2779" s="748"/>
      <c r="B2779"/>
      <c r="C2779" s="748"/>
      <c r="D2779" s="749" t="s">
        <v>1575</v>
      </c>
      <c r="F2779" s="753"/>
      <c r="G2779" s="3"/>
      <c r="H2779" s="753"/>
      <c r="I2779" s="754"/>
      <c r="J2779" s="753"/>
      <c r="K2779" s="753" t="s">
        <v>144</v>
      </c>
      <c r="L2779" s="753"/>
      <c r="M2779" s="753"/>
      <c r="N2779" s="753"/>
      <c r="O2779" s="753"/>
      <c r="P2779" s="753"/>
      <c r="Q2779" s="51"/>
      <c r="R2779" s="530"/>
      <c r="S2779" s="757"/>
      <c r="T2779" s="753"/>
      <c r="AR2779" s="748"/>
      <c r="AS2779" s="753"/>
    </row>
    <row r="2780" spans="1:45" s="886" customFormat="1" ht="13.2">
      <c r="A2780"/>
      <c r="B2780" s="910"/>
      <c r="C2780" s="910" t="s">
        <v>2597</v>
      </c>
      <c r="D2780" s="910" t="str">
        <f ca="1">CELL("Address",Elec_Rates!D$375)</f>
        <v>[E25_0062_Quintano_Foods_Elec_ELV_As_Awarded.xlsx]Elec_Rates!$D$375</v>
      </c>
      <c r="E2780" s="911"/>
      <c r="F2780" s="911"/>
      <c r="G2780" s="912" t="s">
        <v>2598</v>
      </c>
      <c r="H2780" s="912"/>
      <c r="I2780" s="912"/>
      <c r="J2780" s="912"/>
      <c r="K2780" s="913"/>
      <c r="L2780" s="911"/>
      <c r="M2780" s="911"/>
      <c r="N2780" s="911"/>
      <c r="O2780" s="914"/>
      <c r="P2780" s="911"/>
      <c r="Q2780" s="915"/>
      <c r="R2780" s="916"/>
      <c r="S2780" s="915"/>
      <c r="T2780" s="917"/>
      <c r="U2780" s="918"/>
      <c r="AR2780"/>
      <c r="AS2780" s="911"/>
    </row>
    <row r="2781" spans="1:45" s="886" customFormat="1" ht="11.4">
      <c r="A2781" s="919">
        <v>10</v>
      </c>
      <c r="B2781" s="920">
        <v>1</v>
      </c>
      <c r="C2781" s="920">
        <f>$A2781*$B2781</f>
        <v>10</v>
      </c>
      <c r="D2781" s="921" t="str">
        <f>Elec_Rates!$D$375</f>
        <v>036# 5 x 25mm2 XLPE/SWA/LSZH</v>
      </c>
      <c r="E2781" s="921"/>
      <c r="F2781" s="921" t="s">
        <v>2599</v>
      </c>
      <c r="G2781" s="922" t="s">
        <v>2601</v>
      </c>
      <c r="H2781" s="922"/>
      <c r="I2781" s="922"/>
      <c r="J2781" s="922"/>
      <c r="K2781" s="923"/>
      <c r="L2781" s="918"/>
      <c r="M2781" s="918"/>
      <c r="N2781" s="918"/>
      <c r="O2781" s="924"/>
      <c r="P2781" s="921"/>
      <c r="Q2781" s="925">
        <f ca="1">$B2781*Elec_Rates!$R$375</f>
        <v>20.65</v>
      </c>
      <c r="R2781" s="916">
        <f ca="1">$A2781*Q2781</f>
        <v>206.5</v>
      </c>
      <c r="S2781" s="925">
        <f ca="1">$B2781*Elec_Rates!$T$375</f>
        <v>0.32</v>
      </c>
      <c r="T2781" s="917">
        <f ca="1">$A2781*S2781</f>
        <v>3.2</v>
      </c>
      <c r="U2781" s="926"/>
      <c r="AR2781" s="919">
        <v>10</v>
      </c>
      <c r="AS2781" s="921" t="s">
        <v>2599</v>
      </c>
    </row>
    <row r="2782" spans="1:45" s="520" customFormat="1" ht="12">
      <c r="A2782" s="758"/>
      <c r="B2782" s="758"/>
      <c r="C2782" s="758"/>
      <c r="D2782" s="758"/>
      <c r="E2782" s="758"/>
      <c r="F2782" s="753"/>
      <c r="G2782" s="758"/>
      <c r="H2782" s="758"/>
      <c r="I2782" s="519"/>
      <c r="J2782" s="758"/>
      <c r="K2782" s="758"/>
      <c r="L2782" s="758"/>
      <c r="M2782" s="758"/>
      <c r="N2782" s="758"/>
      <c r="O2782" s="758"/>
      <c r="P2782" s="758"/>
      <c r="Q2782" s="519"/>
      <c r="R2782" s="759">
        <f>$A2782*Q2782</f>
        <v>0</v>
      </c>
      <c r="S2782" s="519"/>
      <c r="T2782" s="760">
        <f>$A2782*S2782*$T$1</f>
        <v>0</v>
      </c>
      <c r="AR2782" s="758"/>
      <c r="AS2782" s="753"/>
    </row>
    <row r="2783" spans="1:45" s="520" customFormat="1" ht="12.6" thickBot="1">
      <c r="A2783" s="761" t="s">
        <v>145</v>
      </c>
      <c r="B2783" s="762">
        <f>(R2782+T2782)</f>
        <v>0</v>
      </c>
      <c r="C2783" s="763"/>
      <c r="D2783" s="763"/>
      <c r="E2783" s="763"/>
      <c r="F2783" s="764"/>
      <c r="G2783" s="763" t="s">
        <v>146</v>
      </c>
      <c r="H2783" s="763"/>
      <c r="I2783" s="765"/>
      <c r="J2783" s="763"/>
      <c r="K2783" s="763" t="s">
        <v>3</v>
      </c>
      <c r="L2783" s="766" t="s">
        <v>143</v>
      </c>
      <c r="M2783" s="766"/>
      <c r="N2783" s="766"/>
      <c r="O2783" s="766"/>
      <c r="P2783" s="766"/>
      <c r="Q2783" s="767"/>
      <c r="R2783" s="768">
        <f ca="1">SUM(R2779:R2782)</f>
        <v>206.5</v>
      </c>
      <c r="S2783" s="763"/>
      <c r="T2783" s="768">
        <f ca="1">SUM(T2779:T2782)</f>
        <v>3.2</v>
      </c>
      <c r="U2783" s="531"/>
      <c r="V2783" s="531"/>
      <c r="W2783" s="531"/>
      <c r="X2783" s="531"/>
      <c r="Y2783" s="531"/>
      <c r="Z2783" s="531"/>
      <c r="AA2783" s="531"/>
      <c r="AB2783" s="531"/>
      <c r="AC2783" s="531"/>
      <c r="AD2783" s="531"/>
      <c r="AE2783" s="531"/>
      <c r="AF2783" s="531"/>
      <c r="AG2783" s="531"/>
      <c r="AH2783" s="531"/>
      <c r="AI2783" s="531"/>
      <c r="AJ2783" s="531"/>
      <c r="AK2783" s="531"/>
      <c r="AL2783" s="531"/>
      <c r="AM2783" s="531"/>
      <c r="AN2783" s="531"/>
      <c r="AO2783" s="531"/>
      <c r="AR2783" s="761" t="s">
        <v>145</v>
      </c>
      <c r="AS2783" s="764"/>
    </row>
    <row r="2784" spans="1:45" s="520" customFormat="1" thickTop="1">
      <c r="A2784" s="51"/>
      <c r="B2784" s="51"/>
      <c r="C2784" s="3"/>
      <c r="D2784" s="3"/>
      <c r="E2784" s="51"/>
      <c r="F2784" s="51"/>
      <c r="G2784" s="51"/>
      <c r="H2784" s="51"/>
      <c r="I2784" s="51"/>
      <c r="J2784" s="51"/>
      <c r="K2784" s="51" t="s">
        <v>134</v>
      </c>
      <c r="L2784" s="51"/>
      <c r="M2784" s="51"/>
      <c r="N2784" s="51"/>
      <c r="O2784" s="52"/>
      <c r="P2784" s="51"/>
      <c r="Q2784" s="51"/>
      <c r="R2784" s="51"/>
      <c r="S2784" s="51"/>
      <c r="T2784" s="51"/>
      <c r="AR2784" s="51"/>
      <c r="AS2784" s="51"/>
    </row>
    <row r="2785" spans="1:45" s="520" customFormat="1" ht="12">
      <c r="A2785" s="51"/>
      <c r="B2785" s="51"/>
      <c r="C2785" s="51" t="s">
        <v>135</v>
      </c>
      <c r="D2785" s="37"/>
      <c r="E2785" s="51"/>
      <c r="F2785" s="51"/>
      <c r="G2785" s="51"/>
      <c r="H2785" s="51"/>
      <c r="I2785" s="51"/>
      <c r="J2785" s="51"/>
      <c r="K2785" s="51"/>
      <c r="L2785" s="51"/>
      <c r="M2785" s="51"/>
      <c r="N2785" s="51"/>
      <c r="O2785" s="52"/>
      <c r="P2785" s="51"/>
      <c r="Q2785" s="51"/>
      <c r="R2785" s="51"/>
      <c r="S2785" s="51"/>
      <c r="T2785" s="51"/>
      <c r="AR2785" s="51"/>
      <c r="AS2785" s="51"/>
    </row>
    <row r="2786" spans="1:45" s="520" customFormat="1" ht="39.9" customHeight="1">
      <c r="A2786" s="51"/>
      <c r="B2786" s="51"/>
      <c r="C2786" s="51"/>
      <c r="D2786" s="1453" t="s">
        <v>498</v>
      </c>
      <c r="E2786" s="1452"/>
      <c r="F2786" s="1452"/>
      <c r="G2786" s="1452"/>
      <c r="H2786" s="1452"/>
      <c r="I2786" s="1452"/>
      <c r="J2786" s="1452"/>
      <c r="K2786" s="1452"/>
      <c r="L2786" s="1452"/>
      <c r="M2786" s="1452"/>
      <c r="N2786" s="1452"/>
      <c r="O2786" s="1452"/>
      <c r="P2786" s="1452"/>
      <c r="Q2786" s="1452"/>
      <c r="R2786" s="1452"/>
      <c r="S2786" s="1452"/>
      <c r="T2786" s="1452"/>
      <c r="AR2786" s="51"/>
    </row>
    <row r="2787" spans="1:45" s="3" customFormat="1" thickBot="1">
      <c r="A2787" s="531"/>
      <c r="O2787" s="107"/>
      <c r="AR2787" s="531"/>
    </row>
    <row r="2788" spans="1:45" s="520" customFormat="1" thickTop="1">
      <c r="A2788" s="51"/>
      <c r="B2788" s="51"/>
      <c r="C2788" s="3"/>
      <c r="D2788" s="3"/>
      <c r="E2788" s="51"/>
      <c r="F2788" s="51"/>
      <c r="G2788" s="51"/>
      <c r="H2788" s="51"/>
      <c r="I2788" s="51"/>
      <c r="J2788" s="51"/>
      <c r="K2788" s="51" t="s">
        <v>134</v>
      </c>
      <c r="L2788" s="51"/>
      <c r="M2788" s="51"/>
      <c r="N2788" s="51"/>
      <c r="O2788" s="52"/>
      <c r="P2788" s="51"/>
      <c r="Q2788" s="51"/>
      <c r="R2788" s="51"/>
      <c r="S2788" s="51"/>
      <c r="T2788" s="51"/>
      <c r="AR2788" s="51"/>
      <c r="AS2788" s="51"/>
    </row>
    <row r="2789" spans="1:45" s="520" customFormat="1" ht="12">
      <c r="A2789" s="51"/>
      <c r="B2789" s="51"/>
      <c r="C2789" s="51" t="s">
        <v>135</v>
      </c>
      <c r="D2789" s="37"/>
      <c r="E2789" s="51"/>
      <c r="F2789" s="51"/>
      <c r="G2789" s="51"/>
      <c r="H2789" s="51"/>
      <c r="I2789" s="51"/>
      <c r="J2789" s="51"/>
      <c r="K2789" s="51"/>
      <c r="L2789" s="51"/>
      <c r="M2789" s="51"/>
      <c r="N2789" s="51"/>
      <c r="O2789" s="52"/>
      <c r="P2789" s="51"/>
      <c r="Q2789" s="51"/>
      <c r="R2789" s="51"/>
      <c r="S2789" s="51"/>
      <c r="T2789" s="51"/>
      <c r="AR2789" s="51"/>
      <c r="AS2789" s="51"/>
    </row>
    <row r="2790" spans="1:45" s="520" customFormat="1" ht="12">
      <c r="A2790" s="51"/>
      <c r="B2790" s="51"/>
      <c r="C2790" s="51"/>
      <c r="D2790" s="37" t="s">
        <v>738</v>
      </c>
      <c r="E2790" s="51"/>
      <c r="F2790" s="51"/>
      <c r="G2790" s="51"/>
      <c r="H2790" s="51"/>
      <c r="I2790" s="51"/>
      <c r="J2790" s="51"/>
      <c r="K2790" s="51"/>
      <c r="L2790" s="51"/>
      <c r="M2790" s="51"/>
      <c r="N2790" s="51"/>
      <c r="O2790" s="52"/>
      <c r="P2790" s="51"/>
      <c r="Q2790" s="51"/>
      <c r="R2790" s="51"/>
      <c r="S2790" s="38"/>
      <c r="T2790" s="38"/>
      <c r="AR2790" s="51"/>
      <c r="AS2790" s="51"/>
    </row>
    <row r="2791" spans="1:45" s="3" customFormat="1" thickBot="1">
      <c r="A2791" s="531"/>
      <c r="O2791" s="107"/>
      <c r="AR2791" s="531"/>
    </row>
    <row r="2792" spans="1:45" s="520" customFormat="1" ht="12" thickTop="1">
      <c r="A2792" s="51"/>
      <c r="B2792" s="41"/>
      <c r="C2792" s="51"/>
      <c r="E2792" s="42" t="s">
        <v>138</v>
      </c>
      <c r="F2792" s="42" t="s">
        <v>139</v>
      </c>
      <c r="G2792" s="51"/>
      <c r="H2792" s="51"/>
      <c r="I2792" s="51"/>
      <c r="J2792" s="51"/>
      <c r="K2792" s="51" t="s">
        <v>140</v>
      </c>
      <c r="L2792" s="51"/>
      <c r="M2792" s="51"/>
      <c r="N2792" s="51"/>
      <c r="O2792" s="52"/>
      <c r="P2792" s="51"/>
      <c r="Q2792" s="51"/>
      <c r="R2792" s="51"/>
      <c r="S2792" s="51"/>
      <c r="T2792" s="41"/>
      <c r="AG2792" s="521" t="s">
        <v>268</v>
      </c>
      <c r="AH2792" s="521" t="s">
        <v>269</v>
      </c>
      <c r="AI2792" s="521" t="s">
        <v>270</v>
      </c>
      <c r="AJ2792" s="521" t="s">
        <v>271</v>
      </c>
      <c r="AK2792" s="521" t="s">
        <v>272</v>
      </c>
      <c r="AM2792" s="745" t="s">
        <v>281</v>
      </c>
      <c r="AN2792" s="746" t="s">
        <v>282</v>
      </c>
      <c r="AO2792" s="522" t="s">
        <v>278</v>
      </c>
      <c r="AR2792" s="51"/>
      <c r="AS2792" s="42" t="s">
        <v>139</v>
      </c>
    </row>
    <row r="2793" spans="1:45" s="520" customFormat="1" ht="12" customHeight="1">
      <c r="A2793" s="747">
        <v>5</v>
      </c>
      <c r="B2793" s="523" t="s">
        <v>320</v>
      </c>
      <c r="C2793" s="748"/>
      <c r="D2793" s="749" t="s">
        <v>1576</v>
      </c>
      <c r="E2793" s="750">
        <f ca="1">IF(AND($A2793=0,$A$1="DIF"),0, ROUND(ROUND(($R2798*$S$2+($T2798*$T$2))/A2793,2)*$C$2,2))</f>
        <v>11.7</v>
      </c>
      <c r="F2793" s="751">
        <f ca="1">ROUND($A2793*$E2793,2)</f>
        <v>58.5</v>
      </c>
      <c r="G2793" s="752" t="s">
        <v>142</v>
      </c>
      <c r="H2793" s="753"/>
      <c r="I2793" s="754"/>
      <c r="J2793" s="753"/>
      <c r="K2793" s="753" t="s">
        <v>3</v>
      </c>
      <c r="L2793" s="755" t="s">
        <v>143</v>
      </c>
      <c r="M2793" s="755"/>
      <c r="N2793" s="755"/>
      <c r="O2793" s="755"/>
      <c r="P2793" s="755"/>
      <c r="Q2793" s="51"/>
      <c r="T2793" s="756" t="str">
        <f ca="1">IF(AND($R2798=0,$T2798=0),"0.00","mu :" &amp; ROUND($F2793/$C$2/($R2798+$T2798*$D$9),2))</f>
        <v>mu :1.23</v>
      </c>
      <c r="W2793" s="524"/>
      <c r="AG2793" s="481">
        <f ca="1">IF($E2793=0,0,ROUND($R2798*$S$2*$C$2/$A2793,2))</f>
        <v>5.95</v>
      </c>
      <c r="AH2793" s="481">
        <f ca="1">$AG2793*$A2793</f>
        <v>29.75</v>
      </c>
      <c r="AI2793" s="525">
        <f ca="1">$E2793-$AG2793</f>
        <v>5.7499999999999991</v>
      </c>
      <c r="AJ2793" s="525">
        <f ca="1">$A2793*$AI2793</f>
        <v>28.749999999999996</v>
      </c>
      <c r="AK2793" s="526">
        <f ca="1">ROUND(($AG2793+$AI2793)*$A2793,2)</f>
        <v>58.5</v>
      </c>
      <c r="AM2793" s="527">
        <f ca="1">ROUND(R2798,2)</f>
        <v>24.15</v>
      </c>
      <c r="AN2793" s="528">
        <f ca="1">ROUND(T2798,2)</f>
        <v>0.85</v>
      </c>
      <c r="AO2793" s="529">
        <f ca="1">ROUND(AM2793+AN2793,2)*A2793</f>
        <v>125</v>
      </c>
      <c r="AR2793" s="747">
        <v>5</v>
      </c>
      <c r="AS2793" s="751">
        <v>61.85</v>
      </c>
    </row>
    <row r="2794" spans="1:45" s="520" customFormat="1" ht="13.2">
      <c r="A2794" s="748"/>
      <c r="B2794"/>
      <c r="C2794" s="748"/>
      <c r="D2794" s="749" t="s">
        <v>1577</v>
      </c>
      <c r="F2794" s="753"/>
      <c r="G2794" s="3"/>
      <c r="H2794" s="753"/>
      <c r="I2794" s="754"/>
      <c r="J2794" s="753"/>
      <c r="K2794" s="753" t="s">
        <v>144</v>
      </c>
      <c r="L2794" s="753"/>
      <c r="M2794" s="753"/>
      <c r="N2794" s="753"/>
      <c r="O2794" s="753"/>
      <c r="P2794" s="753"/>
      <c r="Q2794" s="51"/>
      <c r="R2794" s="530"/>
      <c r="S2794" s="757"/>
      <c r="T2794" s="753"/>
      <c r="AR2794" s="748"/>
      <c r="AS2794" s="753"/>
    </row>
    <row r="2795" spans="1:45" s="886" customFormat="1" ht="13.2">
      <c r="A2795"/>
      <c r="B2795" s="910"/>
      <c r="C2795" s="910" t="s">
        <v>2597</v>
      </c>
      <c r="D2795" s="910" t="str">
        <f ca="1">CELL("Address",Elec_Rates!D$448)</f>
        <v>[E25_0062_Quintano_Foods_Elec_ELV_As_Awarded.xlsx]Elec_Rates!$D$448</v>
      </c>
      <c r="E2795" s="911"/>
      <c r="F2795" s="911"/>
      <c r="G2795" s="912" t="s">
        <v>2598</v>
      </c>
      <c r="H2795" s="912"/>
      <c r="I2795" s="912"/>
      <c r="J2795" s="912"/>
      <c r="K2795" s="913"/>
      <c r="L2795" s="911"/>
      <c r="M2795" s="911"/>
      <c r="N2795" s="911"/>
      <c r="O2795" s="914"/>
      <c r="P2795" s="911"/>
      <c r="Q2795" s="915"/>
      <c r="R2795" s="916"/>
      <c r="S2795" s="915"/>
      <c r="T2795" s="917"/>
      <c r="U2795" s="918"/>
      <c r="AR2795"/>
      <c r="AS2795" s="911"/>
    </row>
    <row r="2796" spans="1:45" s="886" customFormat="1" ht="11.4">
      <c r="A2796" s="919">
        <v>5</v>
      </c>
      <c r="B2796" s="920">
        <v>1</v>
      </c>
      <c r="C2796" s="920">
        <f>$A2796*$B2796</f>
        <v>5</v>
      </c>
      <c r="D2796" s="921" t="str">
        <f>Elec_Rates!$D$448</f>
        <v>043# 3 x 6mm2 LSZH/LSZH</v>
      </c>
      <c r="E2796" s="921"/>
      <c r="F2796" s="921" t="s">
        <v>2599</v>
      </c>
      <c r="G2796" s="922" t="s">
        <v>2601</v>
      </c>
      <c r="H2796" s="922"/>
      <c r="I2796" s="922"/>
      <c r="J2796" s="922"/>
      <c r="K2796" s="923"/>
      <c r="L2796" s="918"/>
      <c r="M2796" s="918"/>
      <c r="N2796" s="918"/>
      <c r="O2796" s="924"/>
      <c r="P2796" s="921"/>
      <c r="Q2796" s="925">
        <f ca="1">$B2796*Elec_Rates!$R$448</f>
        <v>4.83</v>
      </c>
      <c r="R2796" s="916">
        <f ca="1">$A2796*Q2796</f>
        <v>24.15</v>
      </c>
      <c r="S2796" s="925">
        <f ca="1">$B2796*Elec_Rates!$T$448</f>
        <v>0.17</v>
      </c>
      <c r="T2796" s="917">
        <f ca="1">$A2796*S2796</f>
        <v>0.85000000000000009</v>
      </c>
      <c r="U2796" s="926"/>
      <c r="AR2796" s="919">
        <v>5</v>
      </c>
      <c r="AS2796" s="921" t="s">
        <v>2599</v>
      </c>
    </row>
    <row r="2797" spans="1:45" s="520" customFormat="1" ht="12">
      <c r="A2797" s="758"/>
      <c r="B2797" s="758"/>
      <c r="C2797" s="758"/>
      <c r="D2797" s="758"/>
      <c r="E2797" s="758"/>
      <c r="F2797" s="753"/>
      <c r="G2797" s="758"/>
      <c r="H2797" s="758"/>
      <c r="I2797" s="519"/>
      <c r="J2797" s="758"/>
      <c r="K2797" s="758"/>
      <c r="L2797" s="758"/>
      <c r="M2797" s="758"/>
      <c r="N2797" s="758"/>
      <c r="O2797" s="758"/>
      <c r="P2797" s="758"/>
      <c r="Q2797" s="519"/>
      <c r="R2797" s="759">
        <f>$A2797*Q2797</f>
        <v>0</v>
      </c>
      <c r="S2797" s="519"/>
      <c r="T2797" s="760">
        <f>$A2797*S2797*$T$1</f>
        <v>0</v>
      </c>
      <c r="AR2797" s="758"/>
      <c r="AS2797" s="753"/>
    </row>
    <row r="2798" spans="1:45" s="520" customFormat="1" ht="12.6" thickBot="1">
      <c r="A2798" s="761" t="s">
        <v>145</v>
      </c>
      <c r="B2798" s="762">
        <f>(R2797+T2797)</f>
        <v>0</v>
      </c>
      <c r="C2798" s="763"/>
      <c r="D2798" s="763"/>
      <c r="E2798" s="763"/>
      <c r="F2798" s="764"/>
      <c r="G2798" s="763" t="s">
        <v>146</v>
      </c>
      <c r="H2798" s="763"/>
      <c r="I2798" s="765"/>
      <c r="J2798" s="763"/>
      <c r="K2798" s="763" t="s">
        <v>3</v>
      </c>
      <c r="L2798" s="766" t="s">
        <v>143</v>
      </c>
      <c r="M2798" s="766"/>
      <c r="N2798" s="766"/>
      <c r="O2798" s="766"/>
      <c r="P2798" s="766"/>
      <c r="Q2798" s="767"/>
      <c r="R2798" s="768">
        <f ca="1">SUM(R2794:R2797)</f>
        <v>24.15</v>
      </c>
      <c r="S2798" s="763"/>
      <c r="T2798" s="768">
        <f ca="1">SUM(T2794:T2797)</f>
        <v>0.85000000000000009</v>
      </c>
      <c r="U2798" s="531"/>
      <c r="V2798" s="531"/>
      <c r="W2798" s="531"/>
      <c r="X2798" s="531"/>
      <c r="Y2798" s="531"/>
      <c r="Z2798" s="531"/>
      <c r="AA2798" s="531"/>
      <c r="AB2798" s="531"/>
      <c r="AC2798" s="531"/>
      <c r="AD2798" s="531"/>
      <c r="AE2798" s="531"/>
      <c r="AF2798" s="531"/>
      <c r="AG2798" s="531"/>
      <c r="AH2798" s="531"/>
      <c r="AI2798" s="531"/>
      <c r="AJ2798" s="531"/>
      <c r="AK2798" s="531"/>
      <c r="AL2798" s="531"/>
      <c r="AM2798" s="531"/>
      <c r="AN2798" s="531"/>
      <c r="AO2798" s="531"/>
      <c r="AR2798" s="761" t="s">
        <v>145</v>
      </c>
      <c r="AS2798" s="764"/>
    </row>
    <row r="2799" spans="1:45" s="520" customFormat="1" thickTop="1">
      <c r="A2799" s="51"/>
      <c r="B2799" s="51"/>
      <c r="C2799" s="3"/>
      <c r="D2799" s="3"/>
      <c r="E2799" s="51"/>
      <c r="F2799" s="51"/>
      <c r="G2799" s="51"/>
      <c r="H2799" s="51"/>
      <c r="I2799" s="51"/>
      <c r="J2799" s="51"/>
      <c r="K2799" s="51" t="s">
        <v>134</v>
      </c>
      <c r="L2799" s="51"/>
      <c r="M2799" s="51"/>
      <c r="N2799" s="51"/>
      <c r="O2799" s="52"/>
      <c r="P2799" s="51"/>
      <c r="Q2799" s="51"/>
      <c r="R2799" s="51"/>
      <c r="S2799" s="51"/>
      <c r="T2799" s="51"/>
      <c r="AR2799" s="51"/>
      <c r="AS2799" s="51"/>
    </row>
    <row r="2800" spans="1:45" s="520" customFormat="1" ht="12">
      <c r="A2800" s="51"/>
      <c r="B2800" s="51"/>
      <c r="C2800" s="51" t="s">
        <v>135</v>
      </c>
      <c r="D2800" s="37"/>
      <c r="E2800" s="51"/>
      <c r="F2800" s="51"/>
      <c r="G2800" s="51"/>
      <c r="H2800" s="51"/>
      <c r="I2800" s="51"/>
      <c r="J2800" s="51"/>
      <c r="K2800" s="51"/>
      <c r="L2800" s="51"/>
      <c r="M2800" s="51"/>
      <c r="N2800" s="51"/>
      <c r="O2800" s="52"/>
      <c r="P2800" s="51"/>
      <c r="Q2800" s="51"/>
      <c r="R2800" s="51"/>
      <c r="S2800" s="51"/>
      <c r="T2800" s="51"/>
      <c r="AR2800" s="51"/>
      <c r="AS2800" s="51"/>
    </row>
    <row r="2801" spans="1:45" s="520" customFormat="1" ht="12">
      <c r="A2801" s="51"/>
      <c r="B2801" s="51"/>
      <c r="C2801" s="51"/>
      <c r="D2801" s="37" t="s">
        <v>740</v>
      </c>
      <c r="E2801" s="51"/>
      <c r="F2801" s="51"/>
      <c r="G2801" s="51"/>
      <c r="H2801" s="51"/>
      <c r="I2801" s="51"/>
      <c r="J2801" s="51"/>
      <c r="K2801" s="51"/>
      <c r="L2801" s="51"/>
      <c r="M2801" s="51"/>
      <c r="N2801" s="51"/>
      <c r="O2801" s="52"/>
      <c r="P2801" s="51"/>
      <c r="Q2801" s="51"/>
      <c r="R2801" s="51"/>
      <c r="S2801" s="38"/>
      <c r="T2801" s="38"/>
      <c r="AR2801" s="51"/>
      <c r="AS2801" s="51"/>
    </row>
    <row r="2802" spans="1:45" s="3" customFormat="1" thickBot="1">
      <c r="A2802" s="531"/>
      <c r="O2802" s="107"/>
      <c r="AR2802" s="531"/>
    </row>
    <row r="2803" spans="1:45" s="520" customFormat="1" ht="12" thickTop="1">
      <c r="A2803" s="51"/>
      <c r="B2803" s="41"/>
      <c r="C2803" s="51"/>
      <c r="E2803" s="42" t="s">
        <v>138</v>
      </c>
      <c r="F2803" s="42" t="s">
        <v>139</v>
      </c>
      <c r="G2803" s="51"/>
      <c r="H2803" s="51"/>
      <c r="I2803" s="51"/>
      <c r="J2803" s="51"/>
      <c r="K2803" s="51" t="s">
        <v>140</v>
      </c>
      <c r="L2803" s="51"/>
      <c r="M2803" s="51"/>
      <c r="N2803" s="51"/>
      <c r="O2803" s="52"/>
      <c r="P2803" s="51"/>
      <c r="Q2803" s="51"/>
      <c r="R2803" s="51"/>
      <c r="S2803" s="51"/>
      <c r="T2803" s="41"/>
      <c r="AG2803" s="521" t="s">
        <v>268</v>
      </c>
      <c r="AH2803" s="521" t="s">
        <v>269</v>
      </c>
      <c r="AI2803" s="521" t="s">
        <v>270</v>
      </c>
      <c r="AJ2803" s="521" t="s">
        <v>271</v>
      </c>
      <c r="AK2803" s="521" t="s">
        <v>272</v>
      </c>
      <c r="AM2803" s="745" t="s">
        <v>281</v>
      </c>
      <c r="AN2803" s="746" t="s">
        <v>282</v>
      </c>
      <c r="AO2803" s="522" t="s">
        <v>278</v>
      </c>
      <c r="AR2803" s="51"/>
      <c r="AS2803" s="42" t="s">
        <v>139</v>
      </c>
    </row>
    <row r="2804" spans="1:45" s="520" customFormat="1" ht="12" customHeight="1">
      <c r="A2804" s="747">
        <v>60</v>
      </c>
      <c r="B2804" s="523" t="s">
        <v>320</v>
      </c>
      <c r="C2804" s="748"/>
      <c r="D2804" s="749" t="s">
        <v>1578</v>
      </c>
      <c r="E2804" s="750">
        <f ca="1">IF(AND($A2804=0,$A$1="DIF"),0, ROUND(ROUND(($R2809*$S$2+($T2809*$T$2))/A2804,2)*$C$2,2))</f>
        <v>5.63</v>
      </c>
      <c r="F2804" s="751">
        <f ca="1">ROUND($A2804*$E2804,2)</f>
        <v>337.8</v>
      </c>
      <c r="G2804" s="752" t="s">
        <v>142</v>
      </c>
      <c r="H2804" s="753"/>
      <c r="I2804" s="754"/>
      <c r="J2804" s="753"/>
      <c r="K2804" s="753" t="s">
        <v>3</v>
      </c>
      <c r="L2804" s="755" t="s">
        <v>143</v>
      </c>
      <c r="M2804" s="755"/>
      <c r="N2804" s="755"/>
      <c r="O2804" s="755"/>
      <c r="P2804" s="755"/>
      <c r="Q2804" s="51"/>
      <c r="T2804" s="756" t="str">
        <f ca="1">IF(AND($R2809=0,$T2809=0),"0.00","mu :" &amp; ROUND($F2804/$C$2/($R2809+$T2809*$D$9),2))</f>
        <v>mu :1.23</v>
      </c>
      <c r="W2804" s="524"/>
      <c r="AG2804" s="481">
        <f ca="1">IF($E2804=0,0,ROUND($R2809*$S$2*$C$2/$A2804,2))</f>
        <v>3.26</v>
      </c>
      <c r="AH2804" s="481">
        <f ca="1">$AG2804*$A2804</f>
        <v>195.6</v>
      </c>
      <c r="AI2804" s="525">
        <f ca="1">$E2804-$AG2804</f>
        <v>2.37</v>
      </c>
      <c r="AJ2804" s="525">
        <f ca="1">$A2804*$AI2804</f>
        <v>142.20000000000002</v>
      </c>
      <c r="AK2804" s="526">
        <f ca="1">ROUND(($AG2804+$AI2804)*$A2804,2)</f>
        <v>337.8</v>
      </c>
      <c r="AM2804" s="527">
        <f ca="1">ROUND(R2809,2)</f>
        <v>159</v>
      </c>
      <c r="AN2804" s="528">
        <f ca="1">ROUND(T2809,2)</f>
        <v>4.2</v>
      </c>
      <c r="AO2804" s="529">
        <f ca="1">ROUND(AM2804+AN2804,2)*A2804</f>
        <v>9792</v>
      </c>
      <c r="AR2804" s="747">
        <v>60</v>
      </c>
      <c r="AS2804" s="751">
        <v>358.2</v>
      </c>
    </row>
    <row r="2805" spans="1:45" s="520" customFormat="1" ht="13.2">
      <c r="A2805" s="748"/>
      <c r="B2805"/>
      <c r="C2805" s="748"/>
      <c r="D2805" s="749" t="s">
        <v>1579</v>
      </c>
      <c r="F2805" s="753"/>
      <c r="G2805" s="3"/>
      <c r="H2805" s="753"/>
      <c r="I2805" s="754"/>
      <c r="J2805" s="753"/>
      <c r="K2805" s="753" t="s">
        <v>144</v>
      </c>
      <c r="L2805" s="753"/>
      <c r="M2805" s="753"/>
      <c r="N2805" s="753"/>
      <c r="O2805" s="753"/>
      <c r="P2805" s="753"/>
      <c r="Q2805" s="51"/>
      <c r="R2805" s="530"/>
      <c r="S2805" s="757"/>
      <c r="T2805" s="753"/>
      <c r="AR2805" s="748"/>
      <c r="AS2805" s="753"/>
    </row>
    <row r="2806" spans="1:45" s="886" customFormat="1" ht="13.2">
      <c r="A2806"/>
      <c r="B2806" s="910"/>
      <c r="C2806" s="910" t="s">
        <v>2597</v>
      </c>
      <c r="D2806" s="910" t="str">
        <f ca="1">CELL("Address",Elec_Rates!D$478)</f>
        <v>[E25_0062_Quintano_Foods_Elec_ELV_As_Awarded.xlsx]Elec_Rates!$D$478</v>
      </c>
      <c r="E2806" s="911"/>
      <c r="F2806" s="911"/>
      <c r="G2806" s="912" t="s">
        <v>2598</v>
      </c>
      <c r="H2806" s="912"/>
      <c r="I2806" s="912"/>
      <c r="J2806" s="912"/>
      <c r="K2806" s="913"/>
      <c r="L2806" s="911"/>
      <c r="M2806" s="911"/>
      <c r="N2806" s="911"/>
      <c r="O2806" s="914"/>
      <c r="P2806" s="911"/>
      <c r="Q2806" s="915"/>
      <c r="R2806" s="916"/>
      <c r="S2806" s="915"/>
      <c r="T2806" s="917"/>
      <c r="U2806" s="918"/>
      <c r="AR2806"/>
      <c r="AS2806" s="911"/>
    </row>
    <row r="2807" spans="1:45" s="886" customFormat="1" ht="11.4">
      <c r="A2807" s="919">
        <v>60</v>
      </c>
      <c r="B2807" s="920">
        <v>1</v>
      </c>
      <c r="C2807" s="920">
        <f>$A2807*$B2807</f>
        <v>60</v>
      </c>
      <c r="D2807" s="921" t="str">
        <f>Elec_Rates!$D$478</f>
        <v>046# 3 x 4mm2 XLPE/SWA/LSZH</v>
      </c>
      <c r="E2807" s="921"/>
      <c r="F2807" s="921" t="s">
        <v>2599</v>
      </c>
      <c r="G2807" s="922" t="s">
        <v>2601</v>
      </c>
      <c r="H2807" s="922"/>
      <c r="I2807" s="922"/>
      <c r="J2807" s="922"/>
      <c r="K2807" s="923"/>
      <c r="L2807" s="918"/>
      <c r="M2807" s="918"/>
      <c r="N2807" s="918"/>
      <c r="O2807" s="924"/>
      <c r="P2807" s="921"/>
      <c r="Q2807" s="925">
        <f ca="1">$B2807*Elec_Rates!$R$478</f>
        <v>2.65</v>
      </c>
      <c r="R2807" s="916">
        <f ca="1">$A2807*Q2807</f>
        <v>159</v>
      </c>
      <c r="S2807" s="925">
        <f ca="1">$B2807*Elec_Rates!$T$478</f>
        <v>7.0000000000000007E-2</v>
      </c>
      <c r="T2807" s="917">
        <f ca="1">$A2807*S2807</f>
        <v>4.2</v>
      </c>
      <c r="U2807" s="926"/>
      <c r="AR2807" s="919">
        <v>60</v>
      </c>
      <c r="AS2807" s="921" t="s">
        <v>2599</v>
      </c>
    </row>
    <row r="2808" spans="1:45" s="520" customFormat="1" ht="12">
      <c r="A2808" s="758"/>
      <c r="B2808" s="758"/>
      <c r="C2808" s="758"/>
      <c r="D2808" s="758"/>
      <c r="E2808" s="758"/>
      <c r="F2808" s="753"/>
      <c r="G2808" s="758"/>
      <c r="H2808" s="758"/>
      <c r="I2808" s="519"/>
      <c r="J2808" s="758"/>
      <c r="K2808" s="758"/>
      <c r="L2808" s="758"/>
      <c r="M2808" s="758"/>
      <c r="N2808" s="758"/>
      <c r="O2808" s="758"/>
      <c r="P2808" s="758"/>
      <c r="Q2808" s="519"/>
      <c r="R2808" s="759">
        <f>$A2808*Q2808</f>
        <v>0</v>
      </c>
      <c r="S2808" s="519"/>
      <c r="T2808" s="760">
        <f>$A2808*S2808*$T$1</f>
        <v>0</v>
      </c>
      <c r="AR2808" s="758"/>
      <c r="AS2808" s="753"/>
    </row>
    <row r="2809" spans="1:45" s="520" customFormat="1" ht="12.6" thickBot="1">
      <c r="A2809" s="761" t="s">
        <v>145</v>
      </c>
      <c r="B2809" s="762">
        <f>(R2808+T2808)</f>
        <v>0</v>
      </c>
      <c r="C2809" s="763"/>
      <c r="D2809" s="763"/>
      <c r="E2809" s="763"/>
      <c r="F2809" s="764"/>
      <c r="G2809" s="763" t="s">
        <v>146</v>
      </c>
      <c r="H2809" s="763"/>
      <c r="I2809" s="765"/>
      <c r="J2809" s="763"/>
      <c r="K2809" s="763" t="s">
        <v>3</v>
      </c>
      <c r="L2809" s="766" t="s">
        <v>143</v>
      </c>
      <c r="M2809" s="766"/>
      <c r="N2809" s="766"/>
      <c r="O2809" s="766"/>
      <c r="P2809" s="766"/>
      <c r="Q2809" s="767"/>
      <c r="R2809" s="768">
        <f ca="1">SUM(R2805:R2808)</f>
        <v>159</v>
      </c>
      <c r="S2809" s="763"/>
      <c r="T2809" s="768">
        <f ca="1">SUM(T2805:T2808)</f>
        <v>4.2</v>
      </c>
      <c r="U2809" s="531"/>
      <c r="V2809" s="531"/>
      <c r="W2809" s="531"/>
      <c r="X2809" s="531"/>
      <c r="Y2809" s="531"/>
      <c r="Z2809" s="531"/>
      <c r="AA2809" s="531"/>
      <c r="AB2809" s="531"/>
      <c r="AC2809" s="531"/>
      <c r="AD2809" s="531"/>
      <c r="AE2809" s="531"/>
      <c r="AF2809" s="531"/>
      <c r="AG2809" s="531"/>
      <c r="AH2809" s="531"/>
      <c r="AI2809" s="531"/>
      <c r="AJ2809" s="531"/>
      <c r="AK2809" s="531"/>
      <c r="AL2809" s="531"/>
      <c r="AM2809" s="531"/>
      <c r="AN2809" s="531"/>
      <c r="AO2809" s="531"/>
      <c r="AR2809" s="761" t="s">
        <v>145</v>
      </c>
      <c r="AS2809" s="764"/>
    </row>
    <row r="2810" spans="1:45" s="520" customFormat="1" ht="12" thickTop="1">
      <c r="A2810" s="51"/>
      <c r="B2810" s="41"/>
      <c r="C2810" s="51"/>
      <c r="E2810" s="42" t="s">
        <v>138</v>
      </c>
      <c r="F2810" s="42" t="s">
        <v>139</v>
      </c>
      <c r="G2810" s="51"/>
      <c r="H2810" s="51"/>
      <c r="I2810" s="51"/>
      <c r="J2810" s="51"/>
      <c r="K2810" s="51" t="s">
        <v>140</v>
      </c>
      <c r="L2810" s="51"/>
      <c r="M2810" s="51"/>
      <c r="N2810" s="51"/>
      <c r="O2810" s="52"/>
      <c r="P2810" s="51"/>
      <c r="Q2810" s="51"/>
      <c r="R2810" s="51"/>
      <c r="S2810" s="51"/>
      <c r="T2810" s="41"/>
      <c r="AG2810" s="521" t="s">
        <v>268</v>
      </c>
      <c r="AH2810" s="521" t="s">
        <v>269</v>
      </c>
      <c r="AI2810" s="521" t="s">
        <v>270</v>
      </c>
      <c r="AJ2810" s="521" t="s">
        <v>271</v>
      </c>
      <c r="AK2810" s="521" t="s">
        <v>272</v>
      </c>
      <c r="AM2810" s="745" t="s">
        <v>281</v>
      </c>
      <c r="AN2810" s="746" t="s">
        <v>282</v>
      </c>
      <c r="AO2810" s="522" t="s">
        <v>278</v>
      </c>
      <c r="AR2810" s="51"/>
      <c r="AS2810" s="42" t="s">
        <v>139</v>
      </c>
    </row>
    <row r="2811" spans="1:45" s="520" customFormat="1" ht="12" customHeight="1">
      <c r="A2811" s="747">
        <v>90</v>
      </c>
      <c r="B2811" s="523" t="s">
        <v>320</v>
      </c>
      <c r="C2811" s="748"/>
      <c r="D2811" s="749" t="s">
        <v>1580</v>
      </c>
      <c r="E2811" s="750">
        <f ca="1">IF(AND($A2811=0,$A$1="DIF"),0, ROUND(ROUND(($R2816*$S$2+($T2816*$T$2))/A2811,2)*$C$2,2))</f>
        <v>5.63</v>
      </c>
      <c r="F2811" s="751">
        <f ca="1">ROUND($A2811*$E2811,2)</f>
        <v>506.7</v>
      </c>
      <c r="G2811" s="752" t="s">
        <v>142</v>
      </c>
      <c r="H2811" s="753"/>
      <c r="I2811" s="754"/>
      <c r="J2811" s="753"/>
      <c r="K2811" s="753" t="s">
        <v>3</v>
      </c>
      <c r="L2811" s="755" t="s">
        <v>143</v>
      </c>
      <c r="M2811" s="755"/>
      <c r="N2811" s="755"/>
      <c r="O2811" s="755"/>
      <c r="P2811" s="755"/>
      <c r="Q2811" s="51"/>
      <c r="T2811" s="756" t="str">
        <f ca="1">IF(AND($R2816=0,$T2816=0),"0.00","mu :" &amp; ROUND($F2811/$C$2/($R2816+$T2816*$D$9),2))</f>
        <v>mu :1.23</v>
      </c>
      <c r="W2811" s="524"/>
      <c r="AG2811" s="481">
        <f ca="1">IF($E2811=0,0,ROUND($R2816*$S$2*$C$2/$A2811,2))</f>
        <v>3.26</v>
      </c>
      <c r="AH2811" s="481">
        <f ca="1">$AG2811*$A2811</f>
        <v>293.39999999999998</v>
      </c>
      <c r="AI2811" s="525">
        <f ca="1">$E2811-$AG2811</f>
        <v>2.37</v>
      </c>
      <c r="AJ2811" s="525">
        <f ca="1">$A2811*$AI2811</f>
        <v>213.3</v>
      </c>
      <c r="AK2811" s="526">
        <f ca="1">ROUND(($AG2811+$AI2811)*$A2811,2)</f>
        <v>506.7</v>
      </c>
      <c r="AM2811" s="527">
        <f ca="1">ROUND(R2816,2)</f>
        <v>238.5</v>
      </c>
      <c r="AN2811" s="528">
        <f ca="1">ROUND(T2816,2)</f>
        <v>6.3</v>
      </c>
      <c r="AO2811" s="529">
        <f ca="1">ROUND(AM2811+AN2811,2)*A2811</f>
        <v>22032</v>
      </c>
      <c r="AR2811" s="747">
        <v>90</v>
      </c>
      <c r="AS2811" s="751">
        <v>537.29999999999995</v>
      </c>
    </row>
    <row r="2812" spans="1:45" s="520" customFormat="1" ht="13.2">
      <c r="A2812" s="748"/>
      <c r="B2812"/>
      <c r="C2812" s="748"/>
      <c r="D2812" s="749" t="s">
        <v>1581</v>
      </c>
      <c r="F2812" s="753"/>
      <c r="G2812" s="3"/>
      <c r="H2812" s="753"/>
      <c r="I2812" s="754"/>
      <c r="J2812" s="753"/>
      <c r="K2812" s="753" t="s">
        <v>144</v>
      </c>
      <c r="L2812" s="753"/>
      <c r="M2812" s="753"/>
      <c r="N2812" s="753"/>
      <c r="O2812" s="753"/>
      <c r="P2812" s="753"/>
      <c r="Q2812" s="51"/>
      <c r="R2812" s="530"/>
      <c r="S2812" s="757"/>
      <c r="T2812" s="753"/>
      <c r="AR2812" s="748"/>
      <c r="AS2812" s="753"/>
    </row>
    <row r="2813" spans="1:45" s="886" customFormat="1" ht="13.2">
      <c r="A2813"/>
      <c r="B2813" s="910"/>
      <c r="C2813" s="910" t="s">
        <v>2597</v>
      </c>
      <c r="D2813" s="910" t="str">
        <f ca="1">CELL("Address",Elec_Rates!D$478)</f>
        <v>[E25_0062_Quintano_Foods_Elec_ELV_As_Awarded.xlsx]Elec_Rates!$D$478</v>
      </c>
      <c r="E2813" s="911"/>
      <c r="F2813" s="911"/>
      <c r="G2813" s="912" t="s">
        <v>2598</v>
      </c>
      <c r="H2813" s="912"/>
      <c r="I2813" s="912"/>
      <c r="J2813" s="912"/>
      <c r="K2813" s="913"/>
      <c r="L2813" s="911"/>
      <c r="M2813" s="911"/>
      <c r="N2813" s="911"/>
      <c r="O2813" s="914"/>
      <c r="P2813" s="911"/>
      <c r="Q2813" s="915"/>
      <c r="R2813" s="916"/>
      <c r="S2813" s="915"/>
      <c r="T2813" s="917"/>
      <c r="U2813" s="918"/>
      <c r="AR2813"/>
      <c r="AS2813" s="911"/>
    </row>
    <row r="2814" spans="1:45" s="886" customFormat="1" ht="11.4">
      <c r="A2814" s="919">
        <v>90</v>
      </c>
      <c r="B2814" s="920">
        <v>1</v>
      </c>
      <c r="C2814" s="920">
        <f>$A2814*$B2814</f>
        <v>90</v>
      </c>
      <c r="D2814" s="921" t="str">
        <f>Elec_Rates!$D$478</f>
        <v>046# 3 x 4mm2 XLPE/SWA/LSZH</v>
      </c>
      <c r="E2814" s="921"/>
      <c r="F2814" s="921" t="s">
        <v>2599</v>
      </c>
      <c r="G2814" s="922" t="s">
        <v>2601</v>
      </c>
      <c r="H2814" s="922"/>
      <c r="I2814" s="922"/>
      <c r="J2814" s="922"/>
      <c r="K2814" s="923"/>
      <c r="L2814" s="918"/>
      <c r="M2814" s="918"/>
      <c r="N2814" s="918"/>
      <c r="O2814" s="924"/>
      <c r="P2814" s="921"/>
      <c r="Q2814" s="925">
        <f ca="1">$B2814*Elec_Rates!$R$478</f>
        <v>2.65</v>
      </c>
      <c r="R2814" s="916">
        <f ca="1">$A2814*Q2814</f>
        <v>238.5</v>
      </c>
      <c r="S2814" s="925">
        <f ca="1">$B2814*Elec_Rates!$T$478</f>
        <v>7.0000000000000007E-2</v>
      </c>
      <c r="T2814" s="917">
        <f ca="1">$A2814*S2814</f>
        <v>6.3000000000000007</v>
      </c>
      <c r="U2814" s="926"/>
      <c r="AR2814" s="919">
        <v>90</v>
      </c>
      <c r="AS2814" s="921" t="s">
        <v>2599</v>
      </c>
    </row>
    <row r="2815" spans="1:45" s="520" customFormat="1" ht="12">
      <c r="A2815" s="758"/>
      <c r="B2815" s="758"/>
      <c r="C2815" s="758"/>
      <c r="D2815" s="758"/>
      <c r="E2815" s="758"/>
      <c r="F2815" s="753"/>
      <c r="G2815" s="758"/>
      <c r="H2815" s="758"/>
      <c r="I2815" s="519"/>
      <c r="J2815" s="758"/>
      <c r="K2815" s="758"/>
      <c r="L2815" s="758"/>
      <c r="M2815" s="758"/>
      <c r="N2815" s="758"/>
      <c r="O2815" s="758"/>
      <c r="P2815" s="758"/>
      <c r="Q2815" s="519"/>
      <c r="R2815" s="759">
        <f>$A2815*Q2815</f>
        <v>0</v>
      </c>
      <c r="S2815" s="519"/>
      <c r="T2815" s="760">
        <f>$A2815*S2815*$T$1</f>
        <v>0</v>
      </c>
      <c r="AR2815" s="758"/>
      <c r="AS2815" s="753"/>
    </row>
    <row r="2816" spans="1:45" s="520" customFormat="1" ht="12.6" thickBot="1">
      <c r="A2816" s="761" t="s">
        <v>145</v>
      </c>
      <c r="B2816" s="762">
        <f>(R2815+T2815)</f>
        <v>0</v>
      </c>
      <c r="C2816" s="763"/>
      <c r="D2816" s="763"/>
      <c r="E2816" s="763"/>
      <c r="F2816" s="764"/>
      <c r="G2816" s="763" t="s">
        <v>146</v>
      </c>
      <c r="H2816" s="763"/>
      <c r="I2816" s="765"/>
      <c r="J2816" s="763"/>
      <c r="K2816" s="763" t="s">
        <v>3</v>
      </c>
      <c r="L2816" s="766" t="s">
        <v>143</v>
      </c>
      <c r="M2816" s="766"/>
      <c r="N2816" s="766"/>
      <c r="O2816" s="766"/>
      <c r="P2816" s="766"/>
      <c r="Q2816" s="767"/>
      <c r="R2816" s="768">
        <f ca="1">SUM(R2812:R2815)</f>
        <v>238.5</v>
      </c>
      <c r="S2816" s="763"/>
      <c r="T2816" s="768">
        <f ca="1">SUM(T2812:T2815)</f>
        <v>6.3000000000000007</v>
      </c>
      <c r="U2816" s="531"/>
      <c r="V2816" s="531"/>
      <c r="W2816" s="531"/>
      <c r="X2816" s="531"/>
      <c r="Y2816" s="531"/>
      <c r="Z2816" s="531"/>
      <c r="AA2816" s="531"/>
      <c r="AB2816" s="531"/>
      <c r="AC2816" s="531"/>
      <c r="AD2816" s="531"/>
      <c r="AE2816" s="531"/>
      <c r="AF2816" s="531"/>
      <c r="AG2816" s="531"/>
      <c r="AH2816" s="531"/>
      <c r="AI2816" s="531"/>
      <c r="AJ2816" s="531"/>
      <c r="AK2816" s="531"/>
      <c r="AL2816" s="531"/>
      <c r="AM2816" s="531"/>
      <c r="AN2816" s="531"/>
      <c r="AO2816" s="531"/>
      <c r="AR2816" s="761" t="s">
        <v>145</v>
      </c>
      <c r="AS2816" s="764"/>
    </row>
    <row r="2817" spans="1:45" s="520" customFormat="1" ht="12" thickTop="1">
      <c r="A2817" s="51"/>
      <c r="B2817" s="41"/>
      <c r="C2817" s="51"/>
      <c r="E2817" s="42" t="s">
        <v>138</v>
      </c>
      <c r="F2817" s="42" t="s">
        <v>139</v>
      </c>
      <c r="G2817" s="51"/>
      <c r="H2817" s="51"/>
      <c r="I2817" s="51"/>
      <c r="J2817" s="51"/>
      <c r="K2817" s="51" t="s">
        <v>140</v>
      </c>
      <c r="L2817" s="51"/>
      <c r="M2817" s="51"/>
      <c r="N2817" s="51"/>
      <c r="O2817" s="52"/>
      <c r="P2817" s="51"/>
      <c r="Q2817" s="51"/>
      <c r="R2817" s="51"/>
      <c r="S2817" s="51"/>
      <c r="T2817" s="41"/>
      <c r="AG2817" s="521" t="s">
        <v>268</v>
      </c>
      <c r="AH2817" s="521" t="s">
        <v>269</v>
      </c>
      <c r="AI2817" s="521" t="s">
        <v>270</v>
      </c>
      <c r="AJ2817" s="521" t="s">
        <v>271</v>
      </c>
      <c r="AK2817" s="521" t="s">
        <v>272</v>
      </c>
      <c r="AM2817" s="745" t="s">
        <v>281</v>
      </c>
      <c r="AN2817" s="746" t="s">
        <v>282</v>
      </c>
      <c r="AO2817" s="522" t="s">
        <v>278</v>
      </c>
      <c r="AR2817" s="51"/>
      <c r="AS2817" s="42" t="s">
        <v>139</v>
      </c>
    </row>
    <row r="2818" spans="1:45" s="520" customFormat="1" ht="12" customHeight="1">
      <c r="A2818" s="747">
        <v>90</v>
      </c>
      <c r="B2818" s="523" t="s">
        <v>320</v>
      </c>
      <c r="C2818" s="748"/>
      <c r="D2818" s="749" t="s">
        <v>1582</v>
      </c>
      <c r="E2818" s="750">
        <f ca="1">IF(AND($A2818=0,$A$1="DIF"),0, ROUND(ROUND(($R2823*$S$2+($T2823*$T$2))/A2818,2)*$C$2,2))</f>
        <v>5.63</v>
      </c>
      <c r="F2818" s="751">
        <f ca="1">ROUND($A2818*$E2818,2)</f>
        <v>506.7</v>
      </c>
      <c r="G2818" s="752" t="s">
        <v>142</v>
      </c>
      <c r="H2818" s="753"/>
      <c r="I2818" s="754"/>
      <c r="J2818" s="753"/>
      <c r="K2818" s="753" t="s">
        <v>3</v>
      </c>
      <c r="L2818" s="755" t="s">
        <v>143</v>
      </c>
      <c r="M2818" s="755"/>
      <c r="N2818" s="755"/>
      <c r="O2818" s="755"/>
      <c r="P2818" s="755"/>
      <c r="Q2818" s="51"/>
      <c r="T2818" s="756" t="str">
        <f ca="1">IF(AND($R2823=0,$T2823=0),"0.00","mu :" &amp; ROUND($F2818/$C$2/($R2823+$T2823*$D$9),2))</f>
        <v>mu :1.23</v>
      </c>
      <c r="W2818" s="524"/>
      <c r="AG2818" s="481">
        <f ca="1">IF($E2818=0,0,ROUND($R2823*$S$2*$C$2/$A2818,2))</f>
        <v>3.26</v>
      </c>
      <c r="AH2818" s="481">
        <f ca="1">$AG2818*$A2818</f>
        <v>293.39999999999998</v>
      </c>
      <c r="AI2818" s="525">
        <f ca="1">$E2818-$AG2818</f>
        <v>2.37</v>
      </c>
      <c r="AJ2818" s="525">
        <f ca="1">$A2818*$AI2818</f>
        <v>213.3</v>
      </c>
      <c r="AK2818" s="526">
        <f ca="1">ROUND(($AG2818+$AI2818)*$A2818,2)</f>
        <v>506.7</v>
      </c>
      <c r="AM2818" s="527">
        <f ca="1">ROUND(R2823,2)</f>
        <v>238.5</v>
      </c>
      <c r="AN2818" s="528">
        <f ca="1">ROUND(T2823,2)</f>
        <v>6.3</v>
      </c>
      <c r="AO2818" s="529">
        <f ca="1">ROUND(AM2818+AN2818,2)*A2818</f>
        <v>22032</v>
      </c>
      <c r="AR2818" s="747">
        <v>90</v>
      </c>
      <c r="AS2818" s="751">
        <v>537.29999999999995</v>
      </c>
    </row>
    <row r="2819" spans="1:45" s="520" customFormat="1" ht="13.2">
      <c r="A2819" s="748"/>
      <c r="B2819"/>
      <c r="C2819" s="748"/>
      <c r="D2819" s="749" t="s">
        <v>1583</v>
      </c>
      <c r="F2819" s="753"/>
      <c r="G2819" s="3"/>
      <c r="H2819" s="753"/>
      <c r="I2819" s="754"/>
      <c r="J2819" s="753"/>
      <c r="K2819" s="753" t="s">
        <v>144</v>
      </c>
      <c r="L2819" s="753"/>
      <c r="M2819" s="753"/>
      <c r="N2819" s="753"/>
      <c r="O2819" s="753"/>
      <c r="P2819" s="753"/>
      <c r="Q2819" s="51"/>
      <c r="R2819" s="530"/>
      <c r="S2819" s="757"/>
      <c r="T2819" s="753"/>
      <c r="AR2819" s="748"/>
      <c r="AS2819" s="753"/>
    </row>
    <row r="2820" spans="1:45" s="886" customFormat="1" ht="13.2">
      <c r="A2820"/>
      <c r="B2820" s="910"/>
      <c r="C2820" s="910" t="s">
        <v>2597</v>
      </c>
      <c r="D2820" s="910" t="str">
        <f ca="1">CELL("Address",Elec_Rates!D$478)</f>
        <v>[E25_0062_Quintano_Foods_Elec_ELV_As_Awarded.xlsx]Elec_Rates!$D$478</v>
      </c>
      <c r="E2820" s="911"/>
      <c r="F2820" s="911"/>
      <c r="G2820" s="912" t="s">
        <v>2598</v>
      </c>
      <c r="H2820" s="912"/>
      <c r="I2820" s="912"/>
      <c r="J2820" s="912"/>
      <c r="K2820" s="913"/>
      <c r="L2820" s="911"/>
      <c r="M2820" s="911"/>
      <c r="N2820" s="911"/>
      <c r="O2820" s="914"/>
      <c r="P2820" s="911"/>
      <c r="Q2820" s="915"/>
      <c r="R2820" s="916"/>
      <c r="S2820" s="915"/>
      <c r="T2820" s="917"/>
      <c r="U2820" s="918"/>
      <c r="AR2820"/>
      <c r="AS2820" s="911"/>
    </row>
    <row r="2821" spans="1:45" s="886" customFormat="1" ht="11.4">
      <c r="A2821" s="919">
        <v>90</v>
      </c>
      <c r="B2821" s="920">
        <v>1</v>
      </c>
      <c r="C2821" s="920">
        <f>$A2821*$B2821</f>
        <v>90</v>
      </c>
      <c r="D2821" s="921" t="str">
        <f>Elec_Rates!$D$478</f>
        <v>046# 3 x 4mm2 XLPE/SWA/LSZH</v>
      </c>
      <c r="E2821" s="921"/>
      <c r="F2821" s="921" t="s">
        <v>2599</v>
      </c>
      <c r="G2821" s="922" t="s">
        <v>2601</v>
      </c>
      <c r="H2821" s="922"/>
      <c r="I2821" s="922"/>
      <c r="J2821" s="922"/>
      <c r="K2821" s="923"/>
      <c r="L2821" s="918"/>
      <c r="M2821" s="918"/>
      <c r="N2821" s="918"/>
      <c r="O2821" s="924"/>
      <c r="P2821" s="921"/>
      <c r="Q2821" s="925">
        <f ca="1">$B2821*Elec_Rates!$R$478</f>
        <v>2.65</v>
      </c>
      <c r="R2821" s="916">
        <f ca="1">$A2821*Q2821</f>
        <v>238.5</v>
      </c>
      <c r="S2821" s="925">
        <f ca="1">$B2821*Elec_Rates!$T$478</f>
        <v>7.0000000000000007E-2</v>
      </c>
      <c r="T2821" s="917">
        <f ca="1">$A2821*S2821</f>
        <v>6.3000000000000007</v>
      </c>
      <c r="U2821" s="926"/>
      <c r="AR2821" s="919">
        <v>90</v>
      </c>
      <c r="AS2821" s="921" t="s">
        <v>2599</v>
      </c>
    </row>
    <row r="2822" spans="1:45" s="520" customFormat="1" ht="12">
      <c r="A2822" s="758"/>
      <c r="B2822" s="758"/>
      <c r="C2822" s="758"/>
      <c r="D2822" s="758"/>
      <c r="E2822" s="758"/>
      <c r="F2822" s="753"/>
      <c r="G2822" s="758"/>
      <c r="H2822" s="758"/>
      <c r="I2822" s="519"/>
      <c r="J2822" s="758"/>
      <c r="K2822" s="758"/>
      <c r="L2822" s="758"/>
      <c r="M2822" s="758"/>
      <c r="N2822" s="758"/>
      <c r="O2822" s="758"/>
      <c r="P2822" s="758"/>
      <c r="Q2822" s="519"/>
      <c r="R2822" s="759">
        <f>$A2822*Q2822</f>
        <v>0</v>
      </c>
      <c r="S2822" s="519"/>
      <c r="T2822" s="760">
        <f>$A2822*S2822*$T$1</f>
        <v>0</v>
      </c>
      <c r="AR2822" s="758"/>
      <c r="AS2822" s="753"/>
    </row>
    <row r="2823" spans="1:45" s="520" customFormat="1" ht="12.6" thickBot="1">
      <c r="A2823" s="761" t="s">
        <v>145</v>
      </c>
      <c r="B2823" s="762">
        <f>(R2822+T2822)</f>
        <v>0</v>
      </c>
      <c r="C2823" s="763"/>
      <c r="D2823" s="763"/>
      <c r="E2823" s="763"/>
      <c r="F2823" s="764"/>
      <c r="G2823" s="763" t="s">
        <v>146</v>
      </c>
      <c r="H2823" s="763"/>
      <c r="I2823" s="765"/>
      <c r="J2823" s="763"/>
      <c r="K2823" s="763" t="s">
        <v>3</v>
      </c>
      <c r="L2823" s="766" t="s">
        <v>143</v>
      </c>
      <c r="M2823" s="766"/>
      <c r="N2823" s="766"/>
      <c r="O2823" s="766"/>
      <c r="P2823" s="766"/>
      <c r="Q2823" s="767"/>
      <c r="R2823" s="768">
        <f ca="1">SUM(R2819:R2822)</f>
        <v>238.5</v>
      </c>
      <c r="S2823" s="763"/>
      <c r="T2823" s="768">
        <f ca="1">SUM(T2819:T2822)</f>
        <v>6.3000000000000007</v>
      </c>
      <c r="U2823" s="531"/>
      <c r="V2823" s="531"/>
      <c r="W2823" s="531"/>
      <c r="X2823" s="531"/>
      <c r="Y2823" s="531"/>
      <c r="Z2823" s="531"/>
      <c r="AA2823" s="531"/>
      <c r="AB2823" s="531"/>
      <c r="AC2823" s="531"/>
      <c r="AD2823" s="531"/>
      <c r="AE2823" s="531"/>
      <c r="AF2823" s="531"/>
      <c r="AG2823" s="531"/>
      <c r="AH2823" s="531"/>
      <c r="AI2823" s="531"/>
      <c r="AJ2823" s="531"/>
      <c r="AK2823" s="531"/>
      <c r="AL2823" s="531"/>
      <c r="AM2823" s="531"/>
      <c r="AN2823" s="531"/>
      <c r="AO2823" s="531"/>
      <c r="AR2823" s="761" t="s">
        <v>145</v>
      </c>
      <c r="AS2823" s="764"/>
    </row>
    <row r="2824" spans="1:45" s="520" customFormat="1" thickTop="1">
      <c r="A2824" s="51"/>
      <c r="B2824" s="51"/>
      <c r="C2824" s="3"/>
      <c r="D2824" s="3"/>
      <c r="E2824" s="51"/>
      <c r="F2824" s="51"/>
      <c r="G2824" s="51"/>
      <c r="H2824" s="51"/>
      <c r="I2824" s="51"/>
      <c r="J2824" s="51"/>
      <c r="K2824" s="51" t="s">
        <v>134</v>
      </c>
      <c r="L2824" s="51"/>
      <c r="M2824" s="51"/>
      <c r="N2824" s="51"/>
      <c r="O2824" s="52"/>
      <c r="P2824" s="51"/>
      <c r="Q2824" s="51"/>
      <c r="R2824" s="51"/>
      <c r="S2824" s="51"/>
      <c r="T2824" s="51"/>
      <c r="AR2824" s="51"/>
      <c r="AS2824" s="51"/>
    </row>
    <row r="2825" spans="1:45" s="520" customFormat="1" ht="12">
      <c r="A2825" s="51"/>
      <c r="B2825" s="51"/>
      <c r="C2825" s="51" t="s">
        <v>135</v>
      </c>
      <c r="D2825" s="37"/>
      <c r="E2825" s="51"/>
      <c r="F2825" s="51"/>
      <c r="G2825" s="51"/>
      <c r="H2825" s="51"/>
      <c r="I2825" s="51"/>
      <c r="J2825" s="51"/>
      <c r="K2825" s="51"/>
      <c r="L2825" s="51"/>
      <c r="M2825" s="51"/>
      <c r="N2825" s="51"/>
      <c r="O2825" s="52"/>
      <c r="P2825" s="51"/>
      <c r="Q2825" s="51"/>
      <c r="R2825" s="51"/>
      <c r="S2825" s="51"/>
      <c r="T2825" s="51"/>
      <c r="AR2825" s="51"/>
      <c r="AS2825" s="51"/>
    </row>
    <row r="2826" spans="1:45" s="520" customFormat="1" ht="12">
      <c r="A2826" s="51"/>
      <c r="B2826" s="51"/>
      <c r="C2826" s="51"/>
      <c r="D2826" s="37" t="s">
        <v>463</v>
      </c>
      <c r="E2826" s="51"/>
      <c r="F2826" s="51"/>
      <c r="G2826" s="51"/>
      <c r="H2826" s="51"/>
      <c r="I2826" s="51"/>
      <c r="J2826" s="51"/>
      <c r="K2826" s="51"/>
      <c r="L2826" s="51"/>
      <c r="M2826" s="51"/>
      <c r="N2826" s="51"/>
      <c r="O2826" s="52"/>
      <c r="P2826" s="51"/>
      <c r="Q2826" s="51"/>
      <c r="R2826" s="51"/>
      <c r="S2826" s="38"/>
      <c r="T2826" s="38"/>
      <c r="AR2826" s="51"/>
      <c r="AS2826" s="51"/>
    </row>
    <row r="2827" spans="1:45" s="3" customFormat="1" thickBot="1">
      <c r="A2827" s="531"/>
      <c r="O2827" s="107"/>
      <c r="AR2827" s="531"/>
    </row>
    <row r="2828" spans="1:45" s="520" customFormat="1" ht="12" thickTop="1">
      <c r="A2828" s="51"/>
      <c r="B2828" s="41"/>
      <c r="C2828" s="51"/>
      <c r="E2828" s="42" t="s">
        <v>138</v>
      </c>
      <c r="F2828" s="42" t="s">
        <v>139</v>
      </c>
      <c r="G2828" s="51"/>
      <c r="H2828" s="51"/>
      <c r="I2828" s="51"/>
      <c r="J2828" s="51"/>
      <c r="K2828" s="51" t="s">
        <v>140</v>
      </c>
      <c r="L2828" s="51"/>
      <c r="M2828" s="51"/>
      <c r="N2828" s="51"/>
      <c r="O2828" s="52"/>
      <c r="P2828" s="51"/>
      <c r="Q2828" s="51"/>
      <c r="R2828" s="51"/>
      <c r="S2828" s="51"/>
      <c r="T2828" s="41"/>
      <c r="AG2828" s="521" t="s">
        <v>268</v>
      </c>
      <c r="AH2828" s="521" t="s">
        <v>269</v>
      </c>
      <c r="AI2828" s="521" t="s">
        <v>270</v>
      </c>
      <c r="AJ2828" s="521" t="s">
        <v>271</v>
      </c>
      <c r="AK2828" s="521" t="s">
        <v>272</v>
      </c>
      <c r="AM2828" s="745" t="s">
        <v>281</v>
      </c>
      <c r="AN2828" s="746" t="s">
        <v>282</v>
      </c>
      <c r="AO2828" s="522" t="s">
        <v>278</v>
      </c>
      <c r="AR2828" s="51"/>
      <c r="AS2828" s="42" t="s">
        <v>139</v>
      </c>
    </row>
    <row r="2829" spans="1:45" s="520" customFormat="1" ht="12" customHeight="1">
      <c r="A2829" s="747">
        <v>3</v>
      </c>
      <c r="B2829" s="523" t="s">
        <v>141</v>
      </c>
      <c r="C2829" s="748"/>
      <c r="D2829" s="749" t="s">
        <v>1584</v>
      </c>
      <c r="E2829" s="750">
        <f ca="1">IF(AND($A2829=0,$A$1="DIF"),0, ROUND(ROUND(($R2834*$S$2+($T2834*$T$2))/A2829,2)*$C$2,2))</f>
        <v>48.45</v>
      </c>
      <c r="F2829" s="751">
        <f ca="1">ROUND($A2829*$E2829,2)</f>
        <v>145.35</v>
      </c>
      <c r="G2829" s="752" t="s">
        <v>142</v>
      </c>
      <c r="H2829" s="753"/>
      <c r="I2829" s="754"/>
      <c r="J2829" s="753"/>
      <c r="K2829" s="753" t="s">
        <v>3</v>
      </c>
      <c r="L2829" s="755" t="s">
        <v>143</v>
      </c>
      <c r="M2829" s="755"/>
      <c r="N2829" s="755"/>
      <c r="O2829" s="755"/>
      <c r="P2829" s="755"/>
      <c r="Q2829" s="51"/>
      <c r="T2829" s="756" t="str">
        <f ca="1">IF(AND($R2834=0,$T2834=0),"0.00","mu :" &amp; ROUND($F2829/$C$2/($R2834+$T2834*$D$9),2))</f>
        <v>mu :1.23</v>
      </c>
      <c r="W2829" s="524"/>
      <c r="AG2829" s="481">
        <f ca="1">IF($E2829=0,0,ROUND($R2834*$S$2*$C$2/$A2829,2))</f>
        <v>31.55</v>
      </c>
      <c r="AH2829" s="481">
        <f ca="1">$AG2829*$A2829</f>
        <v>94.65</v>
      </c>
      <c r="AI2829" s="525">
        <f ca="1">$E2829-$AG2829</f>
        <v>16.900000000000002</v>
      </c>
      <c r="AJ2829" s="525">
        <f ca="1">$A2829*$AI2829</f>
        <v>50.7</v>
      </c>
      <c r="AK2829" s="526">
        <f ca="1">ROUND(($AG2829+$AI2829)*$A2829,2)</f>
        <v>145.35</v>
      </c>
      <c r="AM2829" s="527">
        <f ca="1">ROUND(R2834,2)</f>
        <v>76.86</v>
      </c>
      <c r="AN2829" s="528">
        <f ca="1">ROUND(T2834,2)</f>
        <v>1.5</v>
      </c>
      <c r="AO2829" s="529">
        <f ca="1">ROUND(AM2829+AN2829,2)*A2829</f>
        <v>235.07999999999998</v>
      </c>
      <c r="AR2829" s="747">
        <v>3</v>
      </c>
      <c r="AS2829" s="751">
        <v>150.41999999999999</v>
      </c>
    </row>
    <row r="2830" spans="1:45" s="520" customFormat="1" ht="13.2">
      <c r="A2830" s="748"/>
      <c r="B2830"/>
      <c r="C2830" s="748"/>
      <c r="D2830" s="749" t="s">
        <v>1245</v>
      </c>
      <c r="F2830" s="753"/>
      <c r="G2830" s="3"/>
      <c r="H2830" s="753"/>
      <c r="I2830" s="754"/>
      <c r="J2830" s="753"/>
      <c r="K2830" s="753" t="s">
        <v>144</v>
      </c>
      <c r="L2830" s="753"/>
      <c r="M2830" s="753"/>
      <c r="N2830" s="753"/>
      <c r="O2830" s="753"/>
      <c r="P2830" s="753"/>
      <c r="Q2830" s="51"/>
      <c r="R2830" s="530"/>
      <c r="S2830" s="757"/>
      <c r="T2830" s="753"/>
      <c r="AR2830" s="748"/>
      <c r="AS2830" s="753"/>
    </row>
    <row r="2831" spans="1:45" s="520" customFormat="1" ht="12">
      <c r="A2831" s="51"/>
      <c r="B2831" s="758"/>
      <c r="C2831" s="753" t="s">
        <v>2597</v>
      </c>
      <c r="D2831" s="753" t="str">
        <f ca="1">CELL("Address",Elec_Rates!$D$192)</f>
        <v>[E25_0062_Quintano_Foods_Elec_ELV_As_Awarded.xlsx]Elec_Rates!$D$192</v>
      </c>
      <c r="E2831" s="758"/>
      <c r="F2831" s="753"/>
      <c r="G2831" s="1049" t="s">
        <v>2598</v>
      </c>
      <c r="H2831" s="1050"/>
      <c r="I2831" s="1051"/>
      <c r="J2831" s="1050"/>
      <c r="K2831" s="1050"/>
      <c r="L2831" s="758"/>
      <c r="M2831" s="758"/>
      <c r="N2831" s="758"/>
      <c r="O2831" s="758"/>
      <c r="P2831" s="758"/>
      <c r="Q2831" s="519"/>
      <c r="R2831" s="759"/>
      <c r="S2831" s="519"/>
      <c r="T2831" s="760"/>
      <c r="AR2831" s="51"/>
      <c r="AS2831" s="753"/>
    </row>
    <row r="2832" spans="1:45" s="520" customFormat="1" ht="11.4">
      <c r="A2832" s="51">
        <v>3</v>
      </c>
      <c r="B2832" s="519">
        <v>1</v>
      </c>
      <c r="C2832" s="519">
        <f>$A2832*$B2832</f>
        <v>3</v>
      </c>
      <c r="D2832" s="1048" t="str">
        <f>Elec_Rates!$D$192</f>
        <v>018# 1-Phase 25/32A Isolator</v>
      </c>
      <c r="E2832" s="1048"/>
      <c r="F2832" s="1048" t="s">
        <v>2733</v>
      </c>
      <c r="G2832" s="1050" t="s">
        <v>2600</v>
      </c>
      <c r="H2832" s="1050"/>
      <c r="I2832" s="1051"/>
      <c r="J2832" s="1050"/>
      <c r="K2832" s="1050"/>
      <c r="L2832" s="758"/>
      <c r="M2832" s="758"/>
      <c r="N2832" s="758"/>
      <c r="O2832" s="758"/>
      <c r="P2832" s="758"/>
      <c r="Q2832" s="1052">
        <f ca="1">$B2832*Elec_Rates!$R$192</f>
        <v>25.62</v>
      </c>
      <c r="R2832" s="759">
        <f ca="1">$A2832*Q2832</f>
        <v>76.86</v>
      </c>
      <c r="S2832" s="1052">
        <f ca="1">$B2832*Elec_Rates!$T$192</f>
        <v>0.5</v>
      </c>
      <c r="T2832" s="917">
        <f ca="1">$A2832*S2832</f>
        <v>1.5</v>
      </c>
      <c r="AR2832" s="51">
        <v>3</v>
      </c>
      <c r="AS2832" s="1048" t="s">
        <v>2733</v>
      </c>
    </row>
    <row r="2833" spans="1:45" s="520" customFormat="1" ht="12">
      <c r="A2833" s="758"/>
      <c r="B2833" s="758"/>
      <c r="C2833" s="758"/>
      <c r="D2833" s="758"/>
      <c r="E2833" s="758"/>
      <c r="F2833" s="753"/>
      <c r="G2833" s="758"/>
      <c r="H2833" s="758"/>
      <c r="I2833" s="519"/>
      <c r="J2833" s="758"/>
      <c r="K2833" s="758"/>
      <c r="L2833" s="758"/>
      <c r="M2833" s="758"/>
      <c r="N2833" s="758"/>
      <c r="O2833" s="758"/>
      <c r="P2833" s="758"/>
      <c r="Q2833" s="519"/>
      <c r="R2833" s="759">
        <f>$A2833*Q2833</f>
        <v>0</v>
      </c>
      <c r="S2833" s="519"/>
      <c r="T2833" s="760">
        <f>$A2833*S2833*$T$1</f>
        <v>0</v>
      </c>
      <c r="AR2833" s="758"/>
      <c r="AS2833" s="753"/>
    </row>
    <row r="2834" spans="1:45" s="520" customFormat="1" ht="12.6" thickBot="1">
      <c r="A2834" s="761" t="s">
        <v>145</v>
      </c>
      <c r="B2834" s="762">
        <f>(R2833+T2833)</f>
        <v>0</v>
      </c>
      <c r="C2834" s="763"/>
      <c r="D2834" s="763"/>
      <c r="E2834" s="763"/>
      <c r="F2834" s="764"/>
      <c r="G2834" s="763" t="s">
        <v>146</v>
      </c>
      <c r="H2834" s="763"/>
      <c r="I2834" s="765"/>
      <c r="J2834" s="763"/>
      <c r="K2834" s="763" t="s">
        <v>3</v>
      </c>
      <c r="L2834" s="766" t="s">
        <v>143</v>
      </c>
      <c r="M2834" s="766"/>
      <c r="N2834" s="766"/>
      <c r="O2834" s="766"/>
      <c r="P2834" s="766"/>
      <c r="Q2834" s="767"/>
      <c r="R2834" s="768">
        <f ca="1">SUM(R2830:R2833)</f>
        <v>76.86</v>
      </c>
      <c r="S2834" s="763"/>
      <c r="T2834" s="768">
        <f ca="1">SUM(T2830:T2833)</f>
        <v>1.5</v>
      </c>
      <c r="U2834" s="531"/>
      <c r="V2834" s="531"/>
      <c r="W2834" s="531"/>
      <c r="X2834" s="531"/>
      <c r="Y2834" s="531"/>
      <c r="Z2834" s="531"/>
      <c r="AA2834" s="531"/>
      <c r="AB2834" s="531"/>
      <c r="AC2834" s="531"/>
      <c r="AD2834" s="531"/>
      <c r="AE2834" s="531"/>
      <c r="AF2834" s="531"/>
      <c r="AG2834" s="531"/>
      <c r="AH2834" s="531"/>
      <c r="AI2834" s="531"/>
      <c r="AJ2834" s="531"/>
      <c r="AK2834" s="531"/>
      <c r="AL2834" s="531"/>
      <c r="AM2834" s="531"/>
      <c r="AN2834" s="531"/>
      <c r="AO2834" s="531"/>
      <c r="AR2834" s="761" t="s">
        <v>145</v>
      </c>
      <c r="AS2834" s="764"/>
    </row>
    <row r="2835" spans="1:45" s="520" customFormat="1" thickTop="1">
      <c r="A2835" s="51"/>
      <c r="B2835" s="51"/>
      <c r="C2835" s="3"/>
      <c r="D2835" s="3"/>
      <c r="E2835" s="51"/>
      <c r="F2835" s="51"/>
      <c r="G2835" s="51"/>
      <c r="H2835" s="51"/>
      <c r="I2835" s="51"/>
      <c r="J2835" s="51"/>
      <c r="K2835" s="51" t="s">
        <v>134</v>
      </c>
      <c r="L2835" s="51"/>
      <c r="M2835" s="51"/>
      <c r="N2835" s="51"/>
      <c r="O2835" s="52"/>
      <c r="P2835" s="51"/>
      <c r="Q2835" s="51"/>
      <c r="R2835" s="51"/>
      <c r="S2835" s="51"/>
      <c r="T2835" s="51"/>
      <c r="AR2835" s="51"/>
      <c r="AS2835" s="51"/>
    </row>
    <row r="2836" spans="1:45" s="520" customFormat="1" ht="12">
      <c r="A2836" s="51"/>
      <c r="B2836" s="51"/>
      <c r="C2836" s="51" t="s">
        <v>135</v>
      </c>
      <c r="D2836" s="37"/>
      <c r="E2836" s="51"/>
      <c r="F2836" s="51"/>
      <c r="G2836" s="51"/>
      <c r="H2836" s="51"/>
      <c r="I2836" s="51"/>
      <c r="J2836" s="51"/>
      <c r="K2836" s="51"/>
      <c r="L2836" s="51"/>
      <c r="M2836" s="51"/>
      <c r="N2836" s="51"/>
      <c r="O2836" s="52"/>
      <c r="P2836" s="51"/>
      <c r="Q2836" s="51"/>
      <c r="R2836" s="51"/>
      <c r="S2836" s="51"/>
      <c r="T2836" s="51"/>
      <c r="AR2836" s="51"/>
      <c r="AS2836" s="51"/>
    </row>
    <row r="2837" spans="1:45" s="520" customFormat="1" ht="39.9" customHeight="1">
      <c r="A2837" s="51"/>
      <c r="B2837" s="51"/>
      <c r="C2837" s="51"/>
      <c r="D2837" s="1453" t="s">
        <v>498</v>
      </c>
      <c r="E2837" s="1452"/>
      <c r="F2837" s="1452"/>
      <c r="G2837" s="1452"/>
      <c r="H2837" s="1452"/>
      <c r="I2837" s="1452"/>
      <c r="J2837" s="1452"/>
      <c r="K2837" s="1452"/>
      <c r="L2837" s="1452"/>
      <c r="M2837" s="1452"/>
      <c r="N2837" s="1452"/>
      <c r="O2837" s="1452"/>
      <c r="P2837" s="1452"/>
      <c r="Q2837" s="1452"/>
      <c r="R2837" s="1452"/>
      <c r="S2837" s="1452"/>
      <c r="T2837" s="1452"/>
      <c r="AR2837" s="51"/>
    </row>
    <row r="2838" spans="1:45" s="3" customFormat="1" thickBot="1">
      <c r="A2838" s="531"/>
      <c r="O2838" s="107"/>
      <c r="AR2838" s="531"/>
    </row>
    <row r="2839" spans="1:45" s="520" customFormat="1" thickTop="1">
      <c r="A2839" s="51"/>
      <c r="B2839" s="51"/>
      <c r="C2839" s="3"/>
      <c r="D2839" s="3"/>
      <c r="E2839" s="51"/>
      <c r="F2839" s="51"/>
      <c r="G2839" s="51"/>
      <c r="H2839" s="51"/>
      <c r="I2839" s="51"/>
      <c r="J2839" s="51"/>
      <c r="K2839" s="51" t="s">
        <v>134</v>
      </c>
      <c r="L2839" s="51"/>
      <c r="M2839" s="51"/>
      <c r="N2839" s="51"/>
      <c r="O2839" s="52"/>
      <c r="P2839" s="51"/>
      <c r="Q2839" s="51"/>
      <c r="R2839" s="51"/>
      <c r="S2839" s="51"/>
      <c r="T2839" s="51"/>
      <c r="AR2839" s="51"/>
      <c r="AS2839" s="51"/>
    </row>
    <row r="2840" spans="1:45" s="520" customFormat="1" ht="12">
      <c r="A2840" s="51"/>
      <c r="B2840" s="51"/>
      <c r="C2840" s="51" t="s">
        <v>135</v>
      </c>
      <c r="D2840" s="37"/>
      <c r="E2840" s="51"/>
      <c r="F2840" s="51"/>
      <c r="G2840" s="51"/>
      <c r="H2840" s="51"/>
      <c r="I2840" s="51"/>
      <c r="J2840" s="51"/>
      <c r="K2840" s="51"/>
      <c r="L2840" s="51"/>
      <c r="M2840" s="51"/>
      <c r="N2840" s="51"/>
      <c r="O2840" s="52"/>
      <c r="P2840" s="51"/>
      <c r="Q2840" s="51"/>
      <c r="R2840" s="51"/>
      <c r="S2840" s="51"/>
      <c r="T2840" s="51"/>
      <c r="AR2840" s="51"/>
      <c r="AS2840" s="51"/>
    </row>
    <row r="2841" spans="1:45" s="520" customFormat="1" ht="12">
      <c r="A2841" s="51"/>
      <c r="B2841" s="51"/>
      <c r="C2841" s="51"/>
      <c r="D2841" s="37" t="s">
        <v>744</v>
      </c>
      <c r="E2841" s="51"/>
      <c r="F2841" s="51"/>
      <c r="G2841" s="51"/>
      <c r="H2841" s="51"/>
      <c r="I2841" s="51"/>
      <c r="J2841" s="51"/>
      <c r="K2841" s="51"/>
      <c r="L2841" s="51"/>
      <c r="M2841" s="51"/>
      <c r="N2841" s="51"/>
      <c r="O2841" s="52"/>
      <c r="P2841" s="51"/>
      <c r="Q2841" s="51"/>
      <c r="R2841" s="51"/>
      <c r="S2841" s="38"/>
      <c r="T2841" s="38"/>
      <c r="AR2841" s="51"/>
      <c r="AS2841" s="51"/>
    </row>
    <row r="2842" spans="1:45" s="3" customFormat="1" thickBot="1">
      <c r="A2842" s="531"/>
      <c r="O2842" s="107"/>
      <c r="AR2842" s="531"/>
    </row>
    <row r="2843" spans="1:45" s="520" customFormat="1" ht="12" thickTop="1">
      <c r="A2843" s="51"/>
      <c r="B2843" s="41"/>
      <c r="C2843" s="51"/>
      <c r="E2843" s="42" t="s">
        <v>138</v>
      </c>
      <c r="F2843" s="42" t="s">
        <v>139</v>
      </c>
      <c r="G2843" s="51"/>
      <c r="H2843" s="51"/>
      <c r="I2843" s="51"/>
      <c r="J2843" s="51"/>
      <c r="K2843" s="51" t="s">
        <v>140</v>
      </c>
      <c r="L2843" s="51"/>
      <c r="M2843" s="51"/>
      <c r="N2843" s="51"/>
      <c r="O2843" s="52"/>
      <c r="P2843" s="51"/>
      <c r="Q2843" s="51"/>
      <c r="R2843" s="51"/>
      <c r="S2843" s="51"/>
      <c r="T2843" s="41"/>
      <c r="AG2843" s="521" t="s">
        <v>268</v>
      </c>
      <c r="AH2843" s="521" t="s">
        <v>269</v>
      </c>
      <c r="AI2843" s="521" t="s">
        <v>270</v>
      </c>
      <c r="AJ2843" s="521" t="s">
        <v>271</v>
      </c>
      <c r="AK2843" s="521" t="s">
        <v>272</v>
      </c>
      <c r="AM2843" s="745" t="s">
        <v>281</v>
      </c>
      <c r="AN2843" s="746" t="s">
        <v>282</v>
      </c>
      <c r="AO2843" s="522" t="s">
        <v>278</v>
      </c>
      <c r="AR2843" s="51"/>
      <c r="AS2843" s="42" t="s">
        <v>139</v>
      </c>
    </row>
    <row r="2844" spans="1:45" s="520" customFormat="1" ht="12" customHeight="1">
      <c r="A2844" s="747">
        <v>20</v>
      </c>
      <c r="B2844" s="523" t="s">
        <v>320</v>
      </c>
      <c r="C2844" s="748"/>
      <c r="D2844" s="749" t="s">
        <v>1585</v>
      </c>
      <c r="E2844" s="750">
        <f ca="1">IF(AND($A2844=0,$A$1="DIF"),0, ROUND(ROUND(($R2849*$S$2+($T2849*$T$2))/A2844,2)*$C$2,2))</f>
        <v>9.9499999999999993</v>
      </c>
      <c r="F2844" s="751">
        <f ca="1">ROUND($A2844*$E2844,2)</f>
        <v>199</v>
      </c>
      <c r="G2844" s="752" t="s">
        <v>142</v>
      </c>
      <c r="H2844" s="753"/>
      <c r="I2844" s="754"/>
      <c r="J2844" s="753"/>
      <c r="K2844" s="753" t="s">
        <v>3</v>
      </c>
      <c r="L2844" s="755" t="s">
        <v>143</v>
      </c>
      <c r="M2844" s="755"/>
      <c r="N2844" s="755"/>
      <c r="O2844" s="755"/>
      <c r="P2844" s="755"/>
      <c r="Q2844" s="51"/>
      <c r="T2844" s="756" t="str">
        <f ca="1">IF(AND($R2849=0,$T2849=0),"0.00","mu :" &amp; ROUND($F2844/$C$2/($R2849+$T2849*$D$9),2))</f>
        <v>mu :1.23</v>
      </c>
      <c r="W2844" s="524"/>
      <c r="AG2844" s="481">
        <f ca="1">IF($E2844=0,0,ROUND($R2849*$S$2*$C$2/$A2844,2))</f>
        <v>6.91</v>
      </c>
      <c r="AH2844" s="481">
        <f ca="1">$AG2844*$A2844</f>
        <v>138.19999999999999</v>
      </c>
      <c r="AI2844" s="525">
        <f ca="1">$E2844-$AG2844</f>
        <v>3.0399999999999991</v>
      </c>
      <c r="AJ2844" s="525">
        <f ca="1">$A2844*$AI2844</f>
        <v>60.799999999999983</v>
      </c>
      <c r="AK2844" s="526">
        <f ca="1">ROUND(($AG2844+$AI2844)*$A2844,2)</f>
        <v>199</v>
      </c>
      <c r="AM2844" s="527">
        <f ca="1">ROUND(R2849,2)</f>
        <v>112.2</v>
      </c>
      <c r="AN2844" s="528">
        <f ca="1">ROUND(T2849,2)</f>
        <v>1.8</v>
      </c>
      <c r="AO2844" s="529">
        <f ca="1">ROUND(AM2844+AN2844,2)*A2844</f>
        <v>2280</v>
      </c>
      <c r="AR2844" s="747">
        <v>20</v>
      </c>
      <c r="AS2844" s="751">
        <v>205.8</v>
      </c>
    </row>
    <row r="2845" spans="1:45" s="520" customFormat="1" ht="13.2">
      <c r="A2845" s="748"/>
      <c r="B2845"/>
      <c r="C2845" s="748"/>
      <c r="D2845" s="749" t="s">
        <v>1586</v>
      </c>
      <c r="F2845" s="753"/>
      <c r="G2845" s="3"/>
      <c r="H2845" s="753"/>
      <c r="I2845" s="754"/>
      <c r="J2845" s="753"/>
      <c r="K2845" s="753" t="s">
        <v>144</v>
      </c>
      <c r="L2845" s="753"/>
      <c r="M2845" s="753"/>
      <c r="N2845" s="753"/>
      <c r="O2845" s="753"/>
      <c r="P2845" s="753"/>
      <c r="Q2845" s="51"/>
      <c r="R2845" s="530"/>
      <c r="S2845" s="757"/>
      <c r="T2845" s="753"/>
      <c r="AR2845" s="748"/>
      <c r="AS2845" s="753"/>
    </row>
    <row r="2846" spans="1:45" s="886" customFormat="1" ht="13.2">
      <c r="A2846"/>
      <c r="B2846" s="910"/>
      <c r="C2846" s="910" t="s">
        <v>2597</v>
      </c>
      <c r="D2846" s="910" t="str">
        <f ca="1">CELL("Address",Elec_Rates!D$437)</f>
        <v>[E25_0062_Quintano_Foods_Elec_ELV_As_Awarded.xlsx]Elec_Rates!$D$437</v>
      </c>
      <c r="E2846" s="911"/>
      <c r="F2846" s="911"/>
      <c r="G2846" s="912" t="s">
        <v>2598</v>
      </c>
      <c r="H2846" s="912"/>
      <c r="I2846" s="912"/>
      <c r="J2846" s="912"/>
      <c r="K2846" s="913"/>
      <c r="L2846" s="911"/>
      <c r="M2846" s="911"/>
      <c r="N2846" s="911"/>
      <c r="O2846" s="914"/>
      <c r="P2846" s="911"/>
      <c r="Q2846" s="915"/>
      <c r="R2846" s="916"/>
      <c r="S2846" s="915"/>
      <c r="T2846" s="917"/>
      <c r="U2846" s="918"/>
      <c r="AR2846"/>
      <c r="AS2846" s="911"/>
    </row>
    <row r="2847" spans="1:45" s="886" customFormat="1" ht="11.4">
      <c r="A2847" s="919">
        <v>20</v>
      </c>
      <c r="B2847" s="920">
        <v>1</v>
      </c>
      <c r="C2847" s="920">
        <f>$A2847*$B2847</f>
        <v>20</v>
      </c>
      <c r="D2847" s="921" t="str">
        <f>Elec_Rates!$D$437</f>
        <v>042# 5 x 6mm2 XLPE/SWA/LSZH</v>
      </c>
      <c r="E2847" s="921"/>
      <c r="F2847" s="921" t="s">
        <v>2599</v>
      </c>
      <c r="G2847" s="922" t="s">
        <v>2601</v>
      </c>
      <c r="H2847" s="922"/>
      <c r="I2847" s="922"/>
      <c r="J2847" s="922"/>
      <c r="K2847" s="923"/>
      <c r="L2847" s="918"/>
      <c r="M2847" s="918"/>
      <c r="N2847" s="918"/>
      <c r="O2847" s="924"/>
      <c r="P2847" s="921"/>
      <c r="Q2847" s="925">
        <f ca="1">$B2847*Elec_Rates!$R$437</f>
        <v>5.61</v>
      </c>
      <c r="R2847" s="916">
        <f ca="1">$A2847*Q2847</f>
        <v>112.2</v>
      </c>
      <c r="S2847" s="925">
        <f ca="1">$B2847*Elec_Rates!$T$437</f>
        <v>0.09</v>
      </c>
      <c r="T2847" s="917">
        <f ca="1">$A2847*S2847</f>
        <v>1.7999999999999998</v>
      </c>
      <c r="U2847" s="926"/>
      <c r="AR2847" s="919">
        <v>20</v>
      </c>
      <c r="AS2847" s="921" t="s">
        <v>2599</v>
      </c>
    </row>
    <row r="2848" spans="1:45" s="520" customFormat="1" ht="12">
      <c r="A2848" s="758"/>
      <c r="B2848" s="758"/>
      <c r="C2848" s="758"/>
      <c r="D2848" s="758"/>
      <c r="E2848" s="758"/>
      <c r="F2848" s="753"/>
      <c r="G2848" s="758"/>
      <c r="H2848" s="758"/>
      <c r="I2848" s="519"/>
      <c r="J2848" s="758"/>
      <c r="K2848" s="758"/>
      <c r="L2848" s="758"/>
      <c r="M2848" s="758"/>
      <c r="N2848" s="758"/>
      <c r="O2848" s="758"/>
      <c r="P2848" s="758"/>
      <c r="Q2848" s="519"/>
      <c r="R2848" s="759">
        <f>$A2848*Q2848</f>
        <v>0</v>
      </c>
      <c r="S2848" s="519"/>
      <c r="T2848" s="760">
        <f>$A2848*S2848*$T$1</f>
        <v>0</v>
      </c>
      <c r="AR2848" s="758"/>
      <c r="AS2848" s="753"/>
    </row>
    <row r="2849" spans="1:45" s="520" customFormat="1" ht="12.6" thickBot="1">
      <c r="A2849" s="761" t="s">
        <v>145</v>
      </c>
      <c r="B2849" s="762">
        <f>(R2848+T2848)</f>
        <v>0</v>
      </c>
      <c r="C2849" s="763"/>
      <c r="D2849" s="763"/>
      <c r="E2849" s="763"/>
      <c r="F2849" s="764"/>
      <c r="G2849" s="763" t="s">
        <v>146</v>
      </c>
      <c r="H2849" s="763"/>
      <c r="I2849" s="765"/>
      <c r="J2849" s="763"/>
      <c r="K2849" s="763" t="s">
        <v>3</v>
      </c>
      <c r="L2849" s="766" t="s">
        <v>143</v>
      </c>
      <c r="M2849" s="766"/>
      <c r="N2849" s="766"/>
      <c r="O2849" s="766"/>
      <c r="P2849" s="766"/>
      <c r="Q2849" s="767"/>
      <c r="R2849" s="768">
        <f ca="1">SUM(R2845:R2848)</f>
        <v>112.2</v>
      </c>
      <c r="S2849" s="763"/>
      <c r="T2849" s="768">
        <f ca="1">SUM(T2845:T2848)</f>
        <v>1.7999999999999998</v>
      </c>
      <c r="U2849" s="531"/>
      <c r="V2849" s="531"/>
      <c r="W2849" s="531"/>
      <c r="X2849" s="531"/>
      <c r="Y2849" s="531"/>
      <c r="Z2849" s="531"/>
      <c r="AA2849" s="531"/>
      <c r="AB2849" s="531"/>
      <c r="AC2849" s="531"/>
      <c r="AD2849" s="531"/>
      <c r="AE2849" s="531"/>
      <c r="AF2849" s="531"/>
      <c r="AG2849" s="531"/>
      <c r="AH2849" s="531"/>
      <c r="AI2849" s="531"/>
      <c r="AJ2849" s="531"/>
      <c r="AK2849" s="531"/>
      <c r="AL2849" s="531"/>
      <c r="AM2849" s="531"/>
      <c r="AN2849" s="531"/>
      <c r="AO2849" s="531"/>
      <c r="AR2849" s="761" t="s">
        <v>145</v>
      </c>
      <c r="AS2849" s="764"/>
    </row>
    <row r="2850" spans="1:45" s="520" customFormat="1" ht="12" thickTop="1">
      <c r="A2850" s="51"/>
      <c r="B2850" s="41"/>
      <c r="C2850" s="51"/>
      <c r="E2850" s="42" t="s">
        <v>138</v>
      </c>
      <c r="F2850" s="42" t="s">
        <v>139</v>
      </c>
      <c r="G2850" s="51"/>
      <c r="H2850" s="51"/>
      <c r="I2850" s="51"/>
      <c r="J2850" s="51"/>
      <c r="K2850" s="51" t="s">
        <v>140</v>
      </c>
      <c r="L2850" s="51"/>
      <c r="M2850" s="51"/>
      <c r="N2850" s="51"/>
      <c r="O2850" s="52"/>
      <c r="P2850" s="51"/>
      <c r="Q2850" s="51"/>
      <c r="R2850" s="51"/>
      <c r="S2850" s="51"/>
      <c r="T2850" s="41"/>
      <c r="AG2850" s="521" t="s">
        <v>268</v>
      </c>
      <c r="AH2850" s="521" t="s">
        <v>269</v>
      </c>
      <c r="AI2850" s="521" t="s">
        <v>270</v>
      </c>
      <c r="AJ2850" s="521" t="s">
        <v>271</v>
      </c>
      <c r="AK2850" s="521" t="s">
        <v>272</v>
      </c>
      <c r="AM2850" s="745" t="s">
        <v>281</v>
      </c>
      <c r="AN2850" s="746" t="s">
        <v>282</v>
      </c>
      <c r="AO2850" s="522" t="s">
        <v>278</v>
      </c>
      <c r="AR2850" s="51"/>
      <c r="AS2850" s="42" t="s">
        <v>139</v>
      </c>
    </row>
    <row r="2851" spans="1:45" s="520" customFormat="1" ht="12" customHeight="1">
      <c r="A2851" s="747">
        <v>20</v>
      </c>
      <c r="B2851" s="523" t="s">
        <v>320</v>
      </c>
      <c r="C2851" s="748"/>
      <c r="D2851" s="749" t="s">
        <v>1587</v>
      </c>
      <c r="E2851" s="750">
        <f ca="1">IF(AND($A2851=0,$A$1="DIF"),0, ROUND(ROUND(($R2856*$S$2+($T2856*$T$2))/A2851,2)*$C$2,2))</f>
        <v>9.9499999999999993</v>
      </c>
      <c r="F2851" s="751">
        <f ca="1">ROUND($A2851*$E2851,2)</f>
        <v>199</v>
      </c>
      <c r="G2851" s="752" t="s">
        <v>142</v>
      </c>
      <c r="H2851" s="753"/>
      <c r="I2851" s="754"/>
      <c r="J2851" s="753"/>
      <c r="K2851" s="753" t="s">
        <v>3</v>
      </c>
      <c r="L2851" s="755" t="s">
        <v>143</v>
      </c>
      <c r="M2851" s="755"/>
      <c r="N2851" s="755"/>
      <c r="O2851" s="755"/>
      <c r="P2851" s="755"/>
      <c r="Q2851" s="51"/>
      <c r="T2851" s="756" t="str">
        <f ca="1">IF(AND($R2856=0,$T2856=0),"0.00","mu :" &amp; ROUND($F2851/$C$2/($R2856+$T2856*$D$9),2))</f>
        <v>mu :1.23</v>
      </c>
      <c r="W2851" s="524"/>
      <c r="AG2851" s="481">
        <f ca="1">IF($E2851=0,0,ROUND($R2856*$S$2*$C$2/$A2851,2))</f>
        <v>6.91</v>
      </c>
      <c r="AH2851" s="481">
        <f ca="1">$AG2851*$A2851</f>
        <v>138.19999999999999</v>
      </c>
      <c r="AI2851" s="525">
        <f ca="1">$E2851-$AG2851</f>
        <v>3.0399999999999991</v>
      </c>
      <c r="AJ2851" s="525">
        <f ca="1">$A2851*$AI2851</f>
        <v>60.799999999999983</v>
      </c>
      <c r="AK2851" s="526">
        <f ca="1">ROUND(($AG2851+$AI2851)*$A2851,2)</f>
        <v>199</v>
      </c>
      <c r="AM2851" s="527">
        <f ca="1">ROUND(R2856,2)</f>
        <v>112.2</v>
      </c>
      <c r="AN2851" s="528">
        <f ca="1">ROUND(T2856,2)</f>
        <v>1.8</v>
      </c>
      <c r="AO2851" s="529">
        <f ca="1">ROUND(AM2851+AN2851,2)*A2851</f>
        <v>2280</v>
      </c>
      <c r="AR2851" s="747">
        <v>20</v>
      </c>
      <c r="AS2851" s="751">
        <v>205.8</v>
      </c>
    </row>
    <row r="2852" spans="1:45" s="520" customFormat="1" ht="13.2">
      <c r="A2852" s="748"/>
      <c r="B2852"/>
      <c r="C2852" s="748"/>
      <c r="D2852" s="749" t="s">
        <v>1588</v>
      </c>
      <c r="F2852" s="753"/>
      <c r="G2852" s="3"/>
      <c r="H2852" s="753"/>
      <c r="I2852" s="754"/>
      <c r="J2852" s="753"/>
      <c r="K2852" s="753" t="s">
        <v>144</v>
      </c>
      <c r="L2852" s="753"/>
      <c r="M2852" s="753"/>
      <c r="N2852" s="753"/>
      <c r="O2852" s="753"/>
      <c r="P2852" s="753"/>
      <c r="Q2852" s="51"/>
      <c r="R2852" s="530"/>
      <c r="S2852" s="757"/>
      <c r="T2852" s="753"/>
      <c r="AR2852" s="748"/>
      <c r="AS2852" s="753"/>
    </row>
    <row r="2853" spans="1:45" s="886" customFormat="1" ht="13.2">
      <c r="A2853"/>
      <c r="B2853" s="910"/>
      <c r="C2853" s="910" t="s">
        <v>2597</v>
      </c>
      <c r="D2853" s="910" t="str">
        <f ca="1">CELL("Address",Elec_Rates!D$437)</f>
        <v>[E25_0062_Quintano_Foods_Elec_ELV_As_Awarded.xlsx]Elec_Rates!$D$437</v>
      </c>
      <c r="E2853" s="911"/>
      <c r="F2853" s="911"/>
      <c r="G2853" s="912" t="s">
        <v>2598</v>
      </c>
      <c r="H2853" s="912"/>
      <c r="I2853" s="912"/>
      <c r="J2853" s="912"/>
      <c r="K2853" s="913"/>
      <c r="L2853" s="911"/>
      <c r="M2853" s="911"/>
      <c r="N2853" s="911"/>
      <c r="O2853" s="914"/>
      <c r="P2853" s="911"/>
      <c r="Q2853" s="915"/>
      <c r="R2853" s="916"/>
      <c r="S2853" s="915"/>
      <c r="T2853" s="917"/>
      <c r="U2853" s="918"/>
      <c r="AR2853"/>
      <c r="AS2853" s="911"/>
    </row>
    <row r="2854" spans="1:45" s="886" customFormat="1" ht="11.4">
      <c r="A2854" s="919">
        <v>20</v>
      </c>
      <c r="B2854" s="920">
        <v>1</v>
      </c>
      <c r="C2854" s="920">
        <f>$A2854*$B2854</f>
        <v>20</v>
      </c>
      <c r="D2854" s="921" t="str">
        <f>Elec_Rates!$D$437</f>
        <v>042# 5 x 6mm2 XLPE/SWA/LSZH</v>
      </c>
      <c r="E2854" s="921"/>
      <c r="F2854" s="921" t="s">
        <v>2599</v>
      </c>
      <c r="G2854" s="922" t="s">
        <v>2601</v>
      </c>
      <c r="H2854" s="922"/>
      <c r="I2854" s="922"/>
      <c r="J2854" s="922"/>
      <c r="K2854" s="923"/>
      <c r="L2854" s="918"/>
      <c r="M2854" s="918"/>
      <c r="N2854" s="918"/>
      <c r="O2854" s="924"/>
      <c r="P2854" s="921"/>
      <c r="Q2854" s="925">
        <f ca="1">$B2854*Elec_Rates!$R$437</f>
        <v>5.61</v>
      </c>
      <c r="R2854" s="916">
        <f ca="1">$A2854*Q2854</f>
        <v>112.2</v>
      </c>
      <c r="S2854" s="925">
        <f ca="1">$B2854*Elec_Rates!$T$437</f>
        <v>0.09</v>
      </c>
      <c r="T2854" s="917">
        <f ca="1">$A2854*S2854</f>
        <v>1.7999999999999998</v>
      </c>
      <c r="U2854" s="926"/>
      <c r="AR2854" s="919">
        <v>20</v>
      </c>
      <c r="AS2854" s="921" t="s">
        <v>2599</v>
      </c>
    </row>
    <row r="2855" spans="1:45" s="520" customFormat="1" ht="12">
      <c r="A2855" s="758"/>
      <c r="B2855" s="758"/>
      <c r="C2855" s="758"/>
      <c r="D2855" s="758"/>
      <c r="E2855" s="758"/>
      <c r="F2855" s="753"/>
      <c r="G2855" s="758"/>
      <c r="H2855" s="758"/>
      <c r="I2855" s="519"/>
      <c r="J2855" s="758"/>
      <c r="K2855" s="758"/>
      <c r="L2855" s="758"/>
      <c r="M2855" s="758"/>
      <c r="N2855" s="758"/>
      <c r="O2855" s="758"/>
      <c r="P2855" s="758"/>
      <c r="Q2855" s="519"/>
      <c r="R2855" s="759">
        <f>$A2855*Q2855</f>
        <v>0</v>
      </c>
      <c r="S2855" s="519"/>
      <c r="T2855" s="760">
        <f>$A2855*S2855*$T$1</f>
        <v>0</v>
      </c>
      <c r="AR2855" s="758"/>
      <c r="AS2855" s="753"/>
    </row>
    <row r="2856" spans="1:45" s="520" customFormat="1" ht="12.6" thickBot="1">
      <c r="A2856" s="761" t="s">
        <v>145</v>
      </c>
      <c r="B2856" s="762">
        <f>(R2855+T2855)</f>
        <v>0</v>
      </c>
      <c r="C2856" s="763"/>
      <c r="D2856" s="763"/>
      <c r="E2856" s="763"/>
      <c r="F2856" s="764"/>
      <c r="G2856" s="763" t="s">
        <v>146</v>
      </c>
      <c r="H2856" s="763"/>
      <c r="I2856" s="765"/>
      <c r="J2856" s="763"/>
      <c r="K2856" s="763" t="s">
        <v>3</v>
      </c>
      <c r="L2856" s="766" t="s">
        <v>143</v>
      </c>
      <c r="M2856" s="766"/>
      <c r="N2856" s="766"/>
      <c r="O2856" s="766"/>
      <c r="P2856" s="766"/>
      <c r="Q2856" s="767"/>
      <c r="R2856" s="768">
        <f ca="1">SUM(R2852:R2855)</f>
        <v>112.2</v>
      </c>
      <c r="S2856" s="763"/>
      <c r="T2856" s="768">
        <f ca="1">SUM(T2852:T2855)</f>
        <v>1.7999999999999998</v>
      </c>
      <c r="U2856" s="531"/>
      <c r="V2856" s="531"/>
      <c r="W2856" s="531"/>
      <c r="X2856" s="531"/>
      <c r="Y2856" s="531"/>
      <c r="Z2856" s="531"/>
      <c r="AA2856" s="531"/>
      <c r="AB2856" s="531"/>
      <c r="AC2856" s="531"/>
      <c r="AD2856" s="531"/>
      <c r="AE2856" s="531"/>
      <c r="AF2856" s="531"/>
      <c r="AG2856" s="531"/>
      <c r="AH2856" s="531"/>
      <c r="AI2856" s="531"/>
      <c r="AJ2856" s="531"/>
      <c r="AK2856" s="531"/>
      <c r="AL2856" s="531"/>
      <c r="AM2856" s="531"/>
      <c r="AN2856" s="531"/>
      <c r="AO2856" s="531"/>
      <c r="AR2856" s="761" t="s">
        <v>145</v>
      </c>
      <c r="AS2856" s="764"/>
    </row>
    <row r="2857" spans="1:45" s="520" customFormat="1" ht="12" thickTop="1">
      <c r="A2857" s="51"/>
      <c r="B2857" s="41"/>
      <c r="C2857" s="51"/>
      <c r="E2857" s="42" t="s">
        <v>138</v>
      </c>
      <c r="F2857" s="42" t="s">
        <v>139</v>
      </c>
      <c r="G2857" s="51"/>
      <c r="H2857" s="51"/>
      <c r="I2857" s="51"/>
      <c r="J2857" s="51"/>
      <c r="K2857" s="51" t="s">
        <v>140</v>
      </c>
      <c r="L2857" s="51"/>
      <c r="M2857" s="51"/>
      <c r="N2857" s="51"/>
      <c r="O2857" s="52"/>
      <c r="P2857" s="51"/>
      <c r="Q2857" s="51"/>
      <c r="R2857" s="51"/>
      <c r="S2857" s="51"/>
      <c r="T2857" s="41"/>
      <c r="AG2857" s="521" t="s">
        <v>268</v>
      </c>
      <c r="AH2857" s="521" t="s">
        <v>269</v>
      </c>
      <c r="AI2857" s="521" t="s">
        <v>270</v>
      </c>
      <c r="AJ2857" s="521" t="s">
        <v>271</v>
      </c>
      <c r="AK2857" s="521" t="s">
        <v>272</v>
      </c>
      <c r="AM2857" s="745" t="s">
        <v>281</v>
      </c>
      <c r="AN2857" s="746" t="s">
        <v>282</v>
      </c>
      <c r="AO2857" s="522" t="s">
        <v>278</v>
      </c>
      <c r="AR2857" s="51"/>
      <c r="AS2857" s="42" t="s">
        <v>139</v>
      </c>
    </row>
    <row r="2858" spans="1:45" s="520" customFormat="1" ht="12" customHeight="1">
      <c r="A2858" s="747">
        <v>20</v>
      </c>
      <c r="B2858" s="523" t="s">
        <v>320</v>
      </c>
      <c r="C2858" s="748"/>
      <c r="D2858" s="749" t="s">
        <v>1589</v>
      </c>
      <c r="E2858" s="750">
        <f ca="1">IF(AND($A2858=0,$A$1="DIF"),0, ROUND(ROUND(($R2863*$S$2+($T2863*$T$2))/A2858,2)*$C$2,2))</f>
        <v>14.65</v>
      </c>
      <c r="F2858" s="751">
        <f ca="1">ROUND($A2858*$E2858,2)</f>
        <v>293</v>
      </c>
      <c r="G2858" s="752" t="s">
        <v>142</v>
      </c>
      <c r="H2858" s="753"/>
      <c r="I2858" s="754"/>
      <c r="J2858" s="753"/>
      <c r="K2858" s="753" t="s">
        <v>3</v>
      </c>
      <c r="L2858" s="755" t="s">
        <v>143</v>
      </c>
      <c r="M2858" s="755"/>
      <c r="N2858" s="755"/>
      <c r="O2858" s="755"/>
      <c r="P2858" s="755"/>
      <c r="Q2858" s="51"/>
      <c r="T2858" s="756" t="str">
        <f ca="1">IF(AND($R2863=0,$T2863=0),"0.00","mu :" &amp; ROUND($F2858/$C$2/($R2863+$T2863*$D$9),2))</f>
        <v>mu :1.23</v>
      </c>
      <c r="W2858" s="524"/>
      <c r="AG2858" s="481">
        <f ca="1">IF($E2858=0,0,ROUND($R2863*$S$2*$C$2/$A2858,2))</f>
        <v>10.59</v>
      </c>
      <c r="AH2858" s="481">
        <f ca="1">$AG2858*$A2858</f>
        <v>211.8</v>
      </c>
      <c r="AI2858" s="525">
        <f ca="1">$E2858-$AG2858</f>
        <v>4.0600000000000005</v>
      </c>
      <c r="AJ2858" s="525">
        <f ca="1">$A2858*$AI2858</f>
        <v>81.200000000000017</v>
      </c>
      <c r="AK2858" s="526">
        <f ca="1">ROUND(($AG2858+$AI2858)*$A2858,2)</f>
        <v>293</v>
      </c>
      <c r="AM2858" s="527">
        <f ca="1">ROUND(R2863,2)</f>
        <v>172</v>
      </c>
      <c r="AN2858" s="528">
        <f ca="1">ROUND(T2863,2)</f>
        <v>2.4</v>
      </c>
      <c r="AO2858" s="529">
        <f ca="1">ROUND(AM2858+AN2858,2)*A2858</f>
        <v>3488</v>
      </c>
      <c r="AR2858" s="747">
        <v>20</v>
      </c>
      <c r="AS2858" s="751">
        <v>299.8</v>
      </c>
    </row>
    <row r="2859" spans="1:45" s="520" customFormat="1" ht="13.2">
      <c r="A2859" s="748"/>
      <c r="B2859"/>
      <c r="C2859" s="748"/>
      <c r="D2859" s="749" t="s">
        <v>1590</v>
      </c>
      <c r="F2859" s="753"/>
      <c r="G2859" s="3"/>
      <c r="H2859" s="753"/>
      <c r="I2859" s="754"/>
      <c r="J2859" s="753"/>
      <c r="K2859" s="753" t="s">
        <v>144</v>
      </c>
      <c r="L2859" s="753"/>
      <c r="M2859" s="753"/>
      <c r="N2859" s="753"/>
      <c r="O2859" s="753"/>
      <c r="P2859" s="753"/>
      <c r="Q2859" s="51"/>
      <c r="R2859" s="530"/>
      <c r="S2859" s="757"/>
      <c r="T2859" s="753"/>
      <c r="AR2859" s="748"/>
      <c r="AS2859" s="753"/>
    </row>
    <row r="2860" spans="1:45" s="886" customFormat="1" ht="13.2">
      <c r="A2860"/>
      <c r="B2860" s="910"/>
      <c r="C2860" s="910" t="s">
        <v>2597</v>
      </c>
      <c r="D2860" s="910" t="str">
        <f ca="1">CELL("Address",Elec_Rates!D$417)</f>
        <v>[E25_0062_Quintano_Foods_Elec_ELV_As_Awarded.xlsx]Elec_Rates!$D$417</v>
      </c>
      <c r="E2860" s="911"/>
      <c r="F2860" s="911"/>
      <c r="G2860" s="912" t="s">
        <v>2598</v>
      </c>
      <c r="H2860" s="912"/>
      <c r="I2860" s="912"/>
      <c r="J2860" s="912"/>
      <c r="K2860" s="913"/>
      <c r="L2860" s="911"/>
      <c r="M2860" s="911"/>
      <c r="N2860" s="911"/>
      <c r="O2860" s="914"/>
      <c r="P2860" s="911"/>
      <c r="Q2860" s="915"/>
      <c r="R2860" s="916"/>
      <c r="S2860" s="915"/>
      <c r="T2860" s="917"/>
      <c r="U2860" s="918"/>
      <c r="AR2860"/>
      <c r="AS2860" s="911"/>
    </row>
    <row r="2861" spans="1:45" s="886" customFormat="1" ht="11.4">
      <c r="A2861" s="919">
        <v>20</v>
      </c>
      <c r="B2861" s="920">
        <v>1</v>
      </c>
      <c r="C2861" s="920">
        <f>$A2861*$B2861</f>
        <v>20</v>
      </c>
      <c r="D2861" s="921" t="str">
        <f>Elec_Rates!$D$417</f>
        <v>040# 5 x 10mm2 XLPE/SWA/LSZH</v>
      </c>
      <c r="E2861" s="921"/>
      <c r="F2861" s="921" t="s">
        <v>2599</v>
      </c>
      <c r="G2861" s="922" t="s">
        <v>2601</v>
      </c>
      <c r="H2861" s="922"/>
      <c r="I2861" s="922"/>
      <c r="J2861" s="922"/>
      <c r="K2861" s="923"/>
      <c r="L2861" s="918"/>
      <c r="M2861" s="918"/>
      <c r="N2861" s="918"/>
      <c r="O2861" s="924"/>
      <c r="P2861" s="921"/>
      <c r="Q2861" s="925">
        <f ca="1">$B2861*Elec_Rates!$R$417</f>
        <v>8.6</v>
      </c>
      <c r="R2861" s="916">
        <f ca="1">$A2861*Q2861</f>
        <v>172</v>
      </c>
      <c r="S2861" s="925">
        <f ca="1">$B2861*Elec_Rates!$T$417</f>
        <v>0.12</v>
      </c>
      <c r="T2861" s="917">
        <f ca="1">$A2861*S2861</f>
        <v>2.4</v>
      </c>
      <c r="U2861" s="926"/>
      <c r="AR2861" s="919">
        <v>20</v>
      </c>
      <c r="AS2861" s="921" t="s">
        <v>2599</v>
      </c>
    </row>
    <row r="2862" spans="1:45" s="520" customFormat="1" ht="12">
      <c r="A2862" s="758"/>
      <c r="B2862" s="758"/>
      <c r="C2862" s="758"/>
      <c r="D2862" s="758"/>
      <c r="E2862" s="758"/>
      <c r="F2862" s="753"/>
      <c r="G2862" s="758"/>
      <c r="H2862" s="758"/>
      <c r="I2862" s="519"/>
      <c r="J2862" s="758"/>
      <c r="K2862" s="758"/>
      <c r="L2862" s="758"/>
      <c r="M2862" s="758"/>
      <c r="N2862" s="758"/>
      <c r="O2862" s="758"/>
      <c r="P2862" s="758"/>
      <c r="Q2862" s="519"/>
      <c r="R2862" s="759">
        <f>$A2862*Q2862</f>
        <v>0</v>
      </c>
      <c r="S2862" s="519"/>
      <c r="T2862" s="760">
        <f>$A2862*S2862*$T$1</f>
        <v>0</v>
      </c>
      <c r="AR2862" s="758"/>
      <c r="AS2862" s="753"/>
    </row>
    <row r="2863" spans="1:45" s="520" customFormat="1" ht="12.6" thickBot="1">
      <c r="A2863" s="761" t="s">
        <v>145</v>
      </c>
      <c r="B2863" s="762">
        <f>(R2862+T2862)</f>
        <v>0</v>
      </c>
      <c r="C2863" s="763"/>
      <c r="D2863" s="763"/>
      <c r="E2863" s="763"/>
      <c r="F2863" s="764"/>
      <c r="G2863" s="763" t="s">
        <v>146</v>
      </c>
      <c r="H2863" s="763"/>
      <c r="I2863" s="765"/>
      <c r="J2863" s="763"/>
      <c r="K2863" s="763" t="s">
        <v>3</v>
      </c>
      <c r="L2863" s="766" t="s">
        <v>143</v>
      </c>
      <c r="M2863" s="766"/>
      <c r="N2863" s="766"/>
      <c r="O2863" s="766"/>
      <c r="P2863" s="766"/>
      <c r="Q2863" s="767"/>
      <c r="R2863" s="768">
        <f ca="1">SUM(R2859:R2862)</f>
        <v>172</v>
      </c>
      <c r="S2863" s="763"/>
      <c r="T2863" s="768">
        <f ca="1">SUM(T2859:T2862)</f>
        <v>2.4</v>
      </c>
      <c r="U2863" s="531"/>
      <c r="V2863" s="531"/>
      <c r="W2863" s="531"/>
      <c r="X2863" s="531"/>
      <c r="Y2863" s="531"/>
      <c r="Z2863" s="531"/>
      <c r="AA2863" s="531"/>
      <c r="AB2863" s="531"/>
      <c r="AC2863" s="531"/>
      <c r="AD2863" s="531"/>
      <c r="AE2863" s="531"/>
      <c r="AF2863" s="531"/>
      <c r="AG2863" s="531"/>
      <c r="AH2863" s="531"/>
      <c r="AI2863" s="531"/>
      <c r="AJ2863" s="531"/>
      <c r="AK2863" s="531"/>
      <c r="AL2863" s="531"/>
      <c r="AM2863" s="531"/>
      <c r="AN2863" s="531"/>
      <c r="AO2863" s="531"/>
      <c r="AR2863" s="761" t="s">
        <v>145</v>
      </c>
      <c r="AS2863" s="764"/>
    </row>
    <row r="2864" spans="1:45" s="520" customFormat="1" ht="12" thickTop="1">
      <c r="A2864" s="51"/>
      <c r="B2864" s="41"/>
      <c r="C2864" s="51"/>
      <c r="E2864" s="42" t="s">
        <v>138</v>
      </c>
      <c r="F2864" s="42" t="s">
        <v>139</v>
      </c>
      <c r="G2864" s="51"/>
      <c r="H2864" s="51"/>
      <c r="I2864" s="51"/>
      <c r="J2864" s="51"/>
      <c r="K2864" s="51" t="s">
        <v>140</v>
      </c>
      <c r="L2864" s="51"/>
      <c r="M2864" s="51"/>
      <c r="N2864" s="51"/>
      <c r="O2864" s="52"/>
      <c r="P2864" s="51"/>
      <c r="Q2864" s="51"/>
      <c r="R2864" s="51"/>
      <c r="S2864" s="51"/>
      <c r="T2864" s="41"/>
      <c r="AG2864" s="521" t="s">
        <v>268</v>
      </c>
      <c r="AH2864" s="521" t="s">
        <v>269</v>
      </c>
      <c r="AI2864" s="521" t="s">
        <v>270</v>
      </c>
      <c r="AJ2864" s="521" t="s">
        <v>271</v>
      </c>
      <c r="AK2864" s="521" t="s">
        <v>272</v>
      </c>
      <c r="AM2864" s="745" t="s">
        <v>281</v>
      </c>
      <c r="AN2864" s="746" t="s">
        <v>282</v>
      </c>
      <c r="AO2864" s="522" t="s">
        <v>278</v>
      </c>
      <c r="AR2864" s="51"/>
      <c r="AS2864" s="42" t="s">
        <v>139</v>
      </c>
    </row>
    <row r="2865" spans="1:45" s="520" customFormat="1" ht="12" customHeight="1">
      <c r="A2865" s="747">
        <v>20</v>
      </c>
      <c r="B2865" s="523" t="s">
        <v>320</v>
      </c>
      <c r="C2865" s="748"/>
      <c r="D2865" s="749" t="s">
        <v>1591</v>
      </c>
      <c r="E2865" s="750">
        <f ca="1">IF(AND($A2865=0,$A$1="DIF"),0, ROUND(ROUND(($R2870*$S$2+($T2870*$T$2))/A2865,2)*$C$2,2))</f>
        <v>14.65</v>
      </c>
      <c r="F2865" s="751">
        <f ca="1">ROUND($A2865*$E2865,2)</f>
        <v>293</v>
      </c>
      <c r="G2865" s="752" t="s">
        <v>142</v>
      </c>
      <c r="H2865" s="753"/>
      <c r="I2865" s="754"/>
      <c r="J2865" s="753"/>
      <c r="K2865" s="753" t="s">
        <v>3</v>
      </c>
      <c r="L2865" s="755" t="s">
        <v>143</v>
      </c>
      <c r="M2865" s="755"/>
      <c r="N2865" s="755"/>
      <c r="O2865" s="755"/>
      <c r="P2865" s="755"/>
      <c r="Q2865" s="51"/>
      <c r="T2865" s="756" t="str">
        <f ca="1">IF(AND($R2870=0,$T2870=0),"0.00","mu :" &amp; ROUND($F2865/$C$2/($R2870+$T2870*$D$9),2))</f>
        <v>mu :1.23</v>
      </c>
      <c r="W2865" s="524"/>
      <c r="AG2865" s="481">
        <f ca="1">IF($E2865=0,0,ROUND($R2870*$S$2*$C$2/$A2865,2))</f>
        <v>10.59</v>
      </c>
      <c r="AH2865" s="481">
        <f ca="1">$AG2865*$A2865</f>
        <v>211.8</v>
      </c>
      <c r="AI2865" s="525">
        <f ca="1">$E2865-$AG2865</f>
        <v>4.0600000000000005</v>
      </c>
      <c r="AJ2865" s="525">
        <f ca="1">$A2865*$AI2865</f>
        <v>81.200000000000017</v>
      </c>
      <c r="AK2865" s="526">
        <f ca="1">ROUND(($AG2865+$AI2865)*$A2865,2)</f>
        <v>293</v>
      </c>
      <c r="AM2865" s="527">
        <f ca="1">ROUND(R2870,2)</f>
        <v>172</v>
      </c>
      <c r="AN2865" s="528">
        <f ca="1">ROUND(T2870,2)</f>
        <v>2.4</v>
      </c>
      <c r="AO2865" s="529">
        <f ca="1">ROUND(AM2865+AN2865,2)*A2865</f>
        <v>3488</v>
      </c>
      <c r="AR2865" s="747">
        <v>20</v>
      </c>
      <c r="AS2865" s="751">
        <v>299.8</v>
      </c>
    </row>
    <row r="2866" spans="1:45" s="520" customFormat="1" ht="13.2">
      <c r="A2866" s="748"/>
      <c r="B2866"/>
      <c r="C2866" s="748"/>
      <c r="D2866" s="749" t="s">
        <v>1592</v>
      </c>
      <c r="F2866" s="753"/>
      <c r="G2866" s="3"/>
      <c r="H2866" s="753"/>
      <c r="I2866" s="754"/>
      <c r="J2866" s="753"/>
      <c r="K2866" s="753" t="s">
        <v>144</v>
      </c>
      <c r="L2866" s="753"/>
      <c r="M2866" s="753"/>
      <c r="N2866" s="753"/>
      <c r="O2866" s="753"/>
      <c r="P2866" s="753"/>
      <c r="Q2866" s="51"/>
      <c r="R2866" s="530"/>
      <c r="S2866" s="757"/>
      <c r="T2866" s="753"/>
      <c r="AR2866" s="748"/>
      <c r="AS2866" s="753"/>
    </row>
    <row r="2867" spans="1:45" s="886" customFormat="1" ht="13.2">
      <c r="A2867"/>
      <c r="B2867" s="910"/>
      <c r="C2867" s="910" t="s">
        <v>2597</v>
      </c>
      <c r="D2867" s="910" t="str">
        <f ca="1">CELL("Address",Elec_Rates!D$417)</f>
        <v>[E25_0062_Quintano_Foods_Elec_ELV_As_Awarded.xlsx]Elec_Rates!$D$417</v>
      </c>
      <c r="E2867" s="911"/>
      <c r="F2867" s="911"/>
      <c r="G2867" s="912" t="s">
        <v>2598</v>
      </c>
      <c r="H2867" s="912"/>
      <c r="I2867" s="912"/>
      <c r="J2867" s="912"/>
      <c r="K2867" s="913"/>
      <c r="L2867" s="911"/>
      <c r="M2867" s="911"/>
      <c r="N2867" s="911"/>
      <c r="O2867" s="914"/>
      <c r="P2867" s="911"/>
      <c r="Q2867" s="915"/>
      <c r="R2867" s="916"/>
      <c r="S2867" s="915"/>
      <c r="T2867" s="917"/>
      <c r="U2867" s="918"/>
      <c r="AR2867"/>
      <c r="AS2867" s="911"/>
    </row>
    <row r="2868" spans="1:45" s="886" customFormat="1" ht="11.4">
      <c r="A2868" s="919">
        <v>20</v>
      </c>
      <c r="B2868" s="920">
        <v>1</v>
      </c>
      <c r="C2868" s="920">
        <f>$A2868*$B2868</f>
        <v>20</v>
      </c>
      <c r="D2868" s="921" t="str">
        <f>Elec_Rates!$D$417</f>
        <v>040# 5 x 10mm2 XLPE/SWA/LSZH</v>
      </c>
      <c r="E2868" s="921"/>
      <c r="F2868" s="921" t="s">
        <v>2599</v>
      </c>
      <c r="G2868" s="922" t="s">
        <v>2601</v>
      </c>
      <c r="H2868" s="922"/>
      <c r="I2868" s="922"/>
      <c r="J2868" s="922"/>
      <c r="K2868" s="923"/>
      <c r="L2868" s="918"/>
      <c r="M2868" s="918"/>
      <c r="N2868" s="918"/>
      <c r="O2868" s="924"/>
      <c r="P2868" s="921"/>
      <c r="Q2868" s="925">
        <f ca="1">$B2868*Elec_Rates!$R$417</f>
        <v>8.6</v>
      </c>
      <c r="R2868" s="916">
        <f ca="1">$A2868*Q2868</f>
        <v>172</v>
      </c>
      <c r="S2868" s="925">
        <f ca="1">$B2868*Elec_Rates!$T$417</f>
        <v>0.12</v>
      </c>
      <c r="T2868" s="917">
        <f ca="1">$A2868*S2868</f>
        <v>2.4</v>
      </c>
      <c r="U2868" s="926"/>
      <c r="AR2868" s="919">
        <v>20</v>
      </c>
      <c r="AS2868" s="921" t="s">
        <v>2599</v>
      </c>
    </row>
    <row r="2869" spans="1:45" s="520" customFormat="1" ht="12">
      <c r="A2869" s="758"/>
      <c r="B2869" s="758"/>
      <c r="C2869" s="758"/>
      <c r="D2869" s="758"/>
      <c r="E2869" s="758"/>
      <c r="F2869" s="753"/>
      <c r="G2869" s="758"/>
      <c r="H2869" s="758"/>
      <c r="I2869" s="519"/>
      <c r="J2869" s="758"/>
      <c r="K2869" s="758"/>
      <c r="L2869" s="758"/>
      <c r="M2869" s="758"/>
      <c r="N2869" s="758"/>
      <c r="O2869" s="758"/>
      <c r="P2869" s="758"/>
      <c r="Q2869" s="519"/>
      <c r="R2869" s="759">
        <f>$A2869*Q2869</f>
        <v>0</v>
      </c>
      <c r="S2869" s="519"/>
      <c r="T2869" s="760">
        <f>$A2869*S2869*$T$1</f>
        <v>0</v>
      </c>
      <c r="AR2869" s="758"/>
      <c r="AS2869" s="753"/>
    </row>
    <row r="2870" spans="1:45" s="520" customFormat="1" ht="12.6" thickBot="1">
      <c r="A2870" s="761" t="s">
        <v>145</v>
      </c>
      <c r="B2870" s="762">
        <f>(R2869+T2869)</f>
        <v>0</v>
      </c>
      <c r="C2870" s="763"/>
      <c r="D2870" s="763"/>
      <c r="E2870" s="763"/>
      <c r="F2870" s="764"/>
      <c r="G2870" s="763" t="s">
        <v>146</v>
      </c>
      <c r="H2870" s="763"/>
      <c r="I2870" s="765"/>
      <c r="J2870" s="763"/>
      <c r="K2870" s="763" t="s">
        <v>3</v>
      </c>
      <c r="L2870" s="766" t="s">
        <v>143</v>
      </c>
      <c r="M2870" s="766"/>
      <c r="N2870" s="766"/>
      <c r="O2870" s="766"/>
      <c r="P2870" s="766"/>
      <c r="Q2870" s="767"/>
      <c r="R2870" s="768">
        <f ca="1">SUM(R2866:R2869)</f>
        <v>172</v>
      </c>
      <c r="S2870" s="763"/>
      <c r="T2870" s="768">
        <f ca="1">SUM(T2866:T2869)</f>
        <v>2.4</v>
      </c>
      <c r="U2870" s="531"/>
      <c r="V2870" s="531"/>
      <c r="W2870" s="531"/>
      <c r="X2870" s="531"/>
      <c r="Y2870" s="531"/>
      <c r="Z2870" s="531"/>
      <c r="AA2870" s="531"/>
      <c r="AB2870" s="531"/>
      <c r="AC2870" s="531"/>
      <c r="AD2870" s="531"/>
      <c r="AE2870" s="531"/>
      <c r="AF2870" s="531"/>
      <c r="AG2870" s="531"/>
      <c r="AH2870" s="531"/>
      <c r="AI2870" s="531"/>
      <c r="AJ2870" s="531"/>
      <c r="AK2870" s="531"/>
      <c r="AL2870" s="531"/>
      <c r="AM2870" s="531"/>
      <c r="AN2870" s="531"/>
      <c r="AO2870" s="531"/>
      <c r="AR2870" s="761" t="s">
        <v>145</v>
      </c>
      <c r="AS2870" s="764"/>
    </row>
    <row r="2871" spans="1:45" s="520" customFormat="1" ht="12" thickTop="1">
      <c r="A2871" s="51"/>
      <c r="B2871" s="41"/>
      <c r="C2871" s="51"/>
      <c r="E2871" s="42" t="s">
        <v>138</v>
      </c>
      <c r="F2871" s="42" t="s">
        <v>139</v>
      </c>
      <c r="G2871" s="51"/>
      <c r="H2871" s="51"/>
      <c r="I2871" s="51"/>
      <c r="J2871" s="51"/>
      <c r="K2871" s="51" t="s">
        <v>140</v>
      </c>
      <c r="L2871" s="51"/>
      <c r="M2871" s="51"/>
      <c r="N2871" s="51"/>
      <c r="O2871" s="52"/>
      <c r="P2871" s="51"/>
      <c r="Q2871" s="51"/>
      <c r="R2871" s="51"/>
      <c r="S2871" s="51"/>
      <c r="T2871" s="41"/>
      <c r="AG2871" s="521" t="s">
        <v>268</v>
      </c>
      <c r="AH2871" s="521" t="s">
        <v>269</v>
      </c>
      <c r="AI2871" s="521" t="s">
        <v>270</v>
      </c>
      <c r="AJ2871" s="521" t="s">
        <v>271</v>
      </c>
      <c r="AK2871" s="521" t="s">
        <v>272</v>
      </c>
      <c r="AM2871" s="745" t="s">
        <v>281</v>
      </c>
      <c r="AN2871" s="746" t="s">
        <v>282</v>
      </c>
      <c r="AO2871" s="522" t="s">
        <v>278</v>
      </c>
      <c r="AR2871" s="51"/>
      <c r="AS2871" s="42" t="s">
        <v>139</v>
      </c>
    </row>
    <row r="2872" spans="1:45" s="520" customFormat="1" ht="12" customHeight="1">
      <c r="A2872" s="747">
        <v>20</v>
      </c>
      <c r="B2872" s="523" t="s">
        <v>320</v>
      </c>
      <c r="C2872" s="748"/>
      <c r="D2872" s="749" t="s">
        <v>1593</v>
      </c>
      <c r="E2872" s="750">
        <f ca="1">IF(AND($A2872=0,$A$1="DIF"),0, ROUND(ROUND(($R2877*$S$2+($T2877*$T$2))/A2872,2)*$C$2,2))</f>
        <v>14.65</v>
      </c>
      <c r="F2872" s="751">
        <f ca="1">ROUND($A2872*$E2872,2)</f>
        <v>293</v>
      </c>
      <c r="G2872" s="752" t="s">
        <v>142</v>
      </c>
      <c r="H2872" s="753"/>
      <c r="I2872" s="754"/>
      <c r="J2872" s="753"/>
      <c r="K2872" s="753" t="s">
        <v>3</v>
      </c>
      <c r="L2872" s="755" t="s">
        <v>143</v>
      </c>
      <c r="M2872" s="755"/>
      <c r="N2872" s="755"/>
      <c r="O2872" s="755"/>
      <c r="P2872" s="755"/>
      <c r="Q2872" s="51"/>
      <c r="T2872" s="756" t="str">
        <f ca="1">IF(AND($R2877=0,$T2877=0),"0.00","mu :" &amp; ROUND($F2872/$C$2/($R2877+$T2877*$D$9),2))</f>
        <v>mu :1.23</v>
      </c>
      <c r="W2872" s="524"/>
      <c r="AG2872" s="481">
        <f ca="1">IF($E2872=0,0,ROUND($R2877*$S$2*$C$2/$A2872,2))</f>
        <v>10.59</v>
      </c>
      <c r="AH2872" s="481">
        <f ca="1">$AG2872*$A2872</f>
        <v>211.8</v>
      </c>
      <c r="AI2872" s="525">
        <f ca="1">$E2872-$AG2872</f>
        <v>4.0600000000000005</v>
      </c>
      <c r="AJ2872" s="525">
        <f ca="1">$A2872*$AI2872</f>
        <v>81.200000000000017</v>
      </c>
      <c r="AK2872" s="526">
        <f ca="1">ROUND(($AG2872+$AI2872)*$A2872,2)</f>
        <v>293</v>
      </c>
      <c r="AM2872" s="527">
        <f ca="1">ROUND(R2877,2)</f>
        <v>172</v>
      </c>
      <c r="AN2872" s="528">
        <f ca="1">ROUND(T2877,2)</f>
        <v>2.4</v>
      </c>
      <c r="AO2872" s="529">
        <f ca="1">ROUND(AM2872+AN2872,2)*A2872</f>
        <v>3488</v>
      </c>
      <c r="AR2872" s="747">
        <v>20</v>
      </c>
      <c r="AS2872" s="751">
        <v>299.8</v>
      </c>
    </row>
    <row r="2873" spans="1:45" s="520" customFormat="1" ht="13.2">
      <c r="A2873" s="748"/>
      <c r="B2873"/>
      <c r="C2873" s="748"/>
      <c r="D2873" s="749" t="s">
        <v>1594</v>
      </c>
      <c r="F2873" s="753"/>
      <c r="G2873" s="3"/>
      <c r="H2873" s="753"/>
      <c r="I2873" s="754"/>
      <c r="J2873" s="753"/>
      <c r="K2873" s="753" t="s">
        <v>144</v>
      </c>
      <c r="L2873" s="753"/>
      <c r="M2873" s="753"/>
      <c r="N2873" s="753"/>
      <c r="O2873" s="753"/>
      <c r="P2873" s="753"/>
      <c r="Q2873" s="51"/>
      <c r="R2873" s="530"/>
      <c r="S2873" s="757"/>
      <c r="T2873" s="753"/>
      <c r="AR2873" s="748"/>
      <c r="AS2873" s="753"/>
    </row>
    <row r="2874" spans="1:45" s="886" customFormat="1" ht="13.2">
      <c r="A2874"/>
      <c r="B2874" s="910"/>
      <c r="C2874" s="910" t="s">
        <v>2597</v>
      </c>
      <c r="D2874" s="910" t="str">
        <f ca="1">CELL("Address",Elec_Rates!D$417)</f>
        <v>[E25_0062_Quintano_Foods_Elec_ELV_As_Awarded.xlsx]Elec_Rates!$D$417</v>
      </c>
      <c r="E2874" s="911"/>
      <c r="F2874" s="911"/>
      <c r="G2874" s="912" t="s">
        <v>2598</v>
      </c>
      <c r="H2874" s="912"/>
      <c r="I2874" s="912"/>
      <c r="J2874" s="912"/>
      <c r="K2874" s="913"/>
      <c r="L2874" s="911"/>
      <c r="M2874" s="911"/>
      <c r="N2874" s="911"/>
      <c r="O2874" s="914"/>
      <c r="P2874" s="911"/>
      <c r="Q2874" s="915"/>
      <c r="R2874" s="916"/>
      <c r="S2874" s="915"/>
      <c r="T2874" s="917"/>
      <c r="U2874" s="918"/>
      <c r="AR2874"/>
      <c r="AS2874" s="911"/>
    </row>
    <row r="2875" spans="1:45" s="886" customFormat="1" ht="11.4">
      <c r="A2875" s="919">
        <v>20</v>
      </c>
      <c r="B2875" s="920">
        <v>1</v>
      </c>
      <c r="C2875" s="920">
        <f>$A2875*$B2875</f>
        <v>20</v>
      </c>
      <c r="D2875" s="921" t="str">
        <f>Elec_Rates!$D$417</f>
        <v>040# 5 x 10mm2 XLPE/SWA/LSZH</v>
      </c>
      <c r="E2875" s="921"/>
      <c r="F2875" s="921" t="s">
        <v>2599</v>
      </c>
      <c r="G2875" s="922" t="s">
        <v>2601</v>
      </c>
      <c r="H2875" s="922"/>
      <c r="I2875" s="922"/>
      <c r="J2875" s="922"/>
      <c r="K2875" s="923"/>
      <c r="L2875" s="918"/>
      <c r="M2875" s="918"/>
      <c r="N2875" s="918"/>
      <c r="O2875" s="924"/>
      <c r="P2875" s="921"/>
      <c r="Q2875" s="925">
        <f ca="1">$B2875*Elec_Rates!$R$417</f>
        <v>8.6</v>
      </c>
      <c r="R2875" s="916">
        <f ca="1">$A2875*Q2875</f>
        <v>172</v>
      </c>
      <c r="S2875" s="925">
        <f ca="1">$B2875*Elec_Rates!$T$417</f>
        <v>0.12</v>
      </c>
      <c r="T2875" s="917">
        <f ca="1">$A2875*S2875</f>
        <v>2.4</v>
      </c>
      <c r="U2875" s="926"/>
      <c r="AR2875" s="919">
        <v>20</v>
      </c>
      <c r="AS2875" s="921" t="s">
        <v>2599</v>
      </c>
    </row>
    <row r="2876" spans="1:45" s="520" customFormat="1" ht="12">
      <c r="A2876" s="758"/>
      <c r="B2876" s="758"/>
      <c r="C2876" s="758"/>
      <c r="D2876" s="758"/>
      <c r="E2876" s="758"/>
      <c r="F2876" s="753"/>
      <c r="G2876" s="758"/>
      <c r="H2876" s="758"/>
      <c r="I2876" s="519"/>
      <c r="J2876" s="758"/>
      <c r="K2876" s="758"/>
      <c r="L2876" s="758"/>
      <c r="M2876" s="758"/>
      <c r="N2876" s="758"/>
      <c r="O2876" s="758"/>
      <c r="P2876" s="758"/>
      <c r="Q2876" s="519"/>
      <c r="R2876" s="759">
        <f>$A2876*Q2876</f>
        <v>0</v>
      </c>
      <c r="S2876" s="519"/>
      <c r="T2876" s="760">
        <f>$A2876*S2876*$T$1</f>
        <v>0</v>
      </c>
      <c r="AR2876" s="758"/>
      <c r="AS2876" s="753"/>
    </row>
    <row r="2877" spans="1:45" s="520" customFormat="1" ht="12.6" thickBot="1">
      <c r="A2877" s="761" t="s">
        <v>145</v>
      </c>
      <c r="B2877" s="762">
        <f>(R2876+T2876)</f>
        <v>0</v>
      </c>
      <c r="C2877" s="763"/>
      <c r="D2877" s="763"/>
      <c r="E2877" s="763"/>
      <c r="F2877" s="764"/>
      <c r="G2877" s="763" t="s">
        <v>146</v>
      </c>
      <c r="H2877" s="763"/>
      <c r="I2877" s="765"/>
      <c r="J2877" s="763"/>
      <c r="K2877" s="763" t="s">
        <v>3</v>
      </c>
      <c r="L2877" s="766" t="s">
        <v>143</v>
      </c>
      <c r="M2877" s="766"/>
      <c r="N2877" s="766"/>
      <c r="O2877" s="766"/>
      <c r="P2877" s="766"/>
      <c r="Q2877" s="767"/>
      <c r="R2877" s="768">
        <f ca="1">SUM(R2873:R2876)</f>
        <v>172</v>
      </c>
      <c r="S2877" s="763"/>
      <c r="T2877" s="768">
        <f ca="1">SUM(T2873:T2876)</f>
        <v>2.4</v>
      </c>
      <c r="U2877" s="531"/>
      <c r="V2877" s="531"/>
      <c r="W2877" s="531"/>
      <c r="X2877" s="531"/>
      <c r="Y2877" s="531"/>
      <c r="Z2877" s="531"/>
      <c r="AA2877" s="531"/>
      <c r="AB2877" s="531"/>
      <c r="AC2877" s="531"/>
      <c r="AD2877" s="531"/>
      <c r="AE2877" s="531"/>
      <c r="AF2877" s="531"/>
      <c r="AG2877" s="531"/>
      <c r="AH2877" s="531"/>
      <c r="AI2877" s="531"/>
      <c r="AJ2877" s="531"/>
      <c r="AK2877" s="531"/>
      <c r="AL2877" s="531"/>
      <c r="AM2877" s="531"/>
      <c r="AN2877" s="531"/>
      <c r="AO2877" s="531"/>
      <c r="AR2877" s="761" t="s">
        <v>145</v>
      </c>
      <c r="AS2877" s="764"/>
    </row>
    <row r="2878" spans="1:45" s="520" customFormat="1" ht="12" thickTop="1">
      <c r="A2878" s="51"/>
      <c r="B2878" s="41"/>
      <c r="C2878" s="51"/>
      <c r="E2878" s="42" t="s">
        <v>138</v>
      </c>
      <c r="F2878" s="42" t="s">
        <v>139</v>
      </c>
      <c r="G2878" s="51"/>
      <c r="H2878" s="51"/>
      <c r="I2878" s="51"/>
      <c r="J2878" s="51"/>
      <c r="K2878" s="51" t="s">
        <v>140</v>
      </c>
      <c r="L2878" s="51"/>
      <c r="M2878" s="51"/>
      <c r="N2878" s="51"/>
      <c r="O2878" s="52"/>
      <c r="P2878" s="51"/>
      <c r="Q2878" s="51"/>
      <c r="R2878" s="51"/>
      <c r="S2878" s="51"/>
      <c r="T2878" s="41"/>
      <c r="AG2878" s="521" t="s">
        <v>268</v>
      </c>
      <c r="AH2878" s="521" t="s">
        <v>269</v>
      </c>
      <c r="AI2878" s="521" t="s">
        <v>270</v>
      </c>
      <c r="AJ2878" s="521" t="s">
        <v>271</v>
      </c>
      <c r="AK2878" s="521" t="s">
        <v>272</v>
      </c>
      <c r="AM2878" s="745" t="s">
        <v>281</v>
      </c>
      <c r="AN2878" s="746" t="s">
        <v>282</v>
      </c>
      <c r="AO2878" s="522" t="s">
        <v>278</v>
      </c>
      <c r="AR2878" s="51"/>
      <c r="AS2878" s="42" t="s">
        <v>139</v>
      </c>
    </row>
    <row r="2879" spans="1:45" s="520" customFormat="1" ht="12" customHeight="1">
      <c r="A2879" s="747">
        <v>15</v>
      </c>
      <c r="B2879" s="523" t="s">
        <v>320</v>
      </c>
      <c r="C2879" s="748"/>
      <c r="D2879" s="749" t="s">
        <v>1595</v>
      </c>
      <c r="E2879" s="750">
        <f ca="1">IF(AND($A2879=0,$A$1="DIF"),0, ROUND(ROUND(($R2884*$S$2+($T2884*$T$2))/A2879,2)*$C$2,2))</f>
        <v>8.18</v>
      </c>
      <c r="F2879" s="751">
        <f ca="1">ROUND($A2879*$E2879,2)</f>
        <v>122.7</v>
      </c>
      <c r="G2879" s="752" t="s">
        <v>142</v>
      </c>
      <c r="H2879" s="753"/>
      <c r="I2879" s="754"/>
      <c r="J2879" s="753"/>
      <c r="K2879" s="753" t="s">
        <v>3</v>
      </c>
      <c r="L2879" s="755" t="s">
        <v>143</v>
      </c>
      <c r="M2879" s="755"/>
      <c r="N2879" s="755"/>
      <c r="O2879" s="755"/>
      <c r="P2879" s="755"/>
      <c r="Q2879" s="51"/>
      <c r="T2879" s="756" t="str">
        <f ca="1">IF(AND($R2884=0,$T2884=0),"0.00","mu :" &amp; ROUND($F2879/$C$2/($R2884+$T2884*$D$9),2))</f>
        <v>mu :1.23</v>
      </c>
      <c r="W2879" s="524"/>
      <c r="AG2879" s="481">
        <f ca="1">IF($E2879=0,0,ROUND($R2884*$S$2*$C$2/$A2879,2))</f>
        <v>5.13</v>
      </c>
      <c r="AH2879" s="481">
        <f ca="1">$AG2879*$A2879</f>
        <v>76.95</v>
      </c>
      <c r="AI2879" s="525">
        <f ca="1">$E2879-$AG2879</f>
        <v>3.05</v>
      </c>
      <c r="AJ2879" s="525">
        <f ca="1">$A2879*$AI2879</f>
        <v>45.75</v>
      </c>
      <c r="AK2879" s="526">
        <f ca="1">ROUND(($AG2879+$AI2879)*$A2879,2)</f>
        <v>122.7</v>
      </c>
      <c r="AM2879" s="527">
        <f ca="1">ROUND(R2884,2)</f>
        <v>62.55</v>
      </c>
      <c r="AN2879" s="528">
        <f ca="1">ROUND(T2884,2)</f>
        <v>1.35</v>
      </c>
      <c r="AO2879" s="529">
        <f ca="1">ROUND(AM2879+AN2879,2)*A2879</f>
        <v>958.5</v>
      </c>
      <c r="AR2879" s="747">
        <v>15</v>
      </c>
      <c r="AS2879" s="751">
        <v>127.8</v>
      </c>
    </row>
    <row r="2880" spans="1:45" s="520" customFormat="1" ht="13.2">
      <c r="A2880" s="748"/>
      <c r="B2880"/>
      <c r="C2880" s="748"/>
      <c r="D2880" s="749" t="s">
        <v>1596</v>
      </c>
      <c r="F2880" s="753"/>
      <c r="G2880" s="3"/>
      <c r="H2880" s="753"/>
      <c r="I2880" s="754"/>
      <c r="J2880" s="753"/>
      <c r="K2880" s="753" t="s">
        <v>144</v>
      </c>
      <c r="L2880" s="753"/>
      <c r="M2880" s="753"/>
      <c r="N2880" s="753"/>
      <c r="O2880" s="753"/>
      <c r="P2880" s="753"/>
      <c r="Q2880" s="51"/>
      <c r="R2880" s="530"/>
      <c r="S2880" s="757"/>
      <c r="T2880" s="753"/>
      <c r="AR2880" s="748"/>
      <c r="AS2880" s="753"/>
    </row>
    <row r="2881" spans="1:45" s="886" customFormat="1" ht="13.2">
      <c r="A2881"/>
      <c r="B2881" s="910"/>
      <c r="C2881" s="910" t="s">
        <v>2597</v>
      </c>
      <c r="D2881" s="910" t="str">
        <f ca="1">CELL("Address",Elec_Rates!D$468)</f>
        <v>[E25_0062_Quintano_Foods_Elec_ELV_As_Awarded.xlsx]Elec_Rates!$D$468</v>
      </c>
      <c r="E2881" s="911"/>
      <c r="F2881" s="911"/>
      <c r="G2881" s="912" t="s">
        <v>2598</v>
      </c>
      <c r="H2881" s="912"/>
      <c r="I2881" s="912"/>
      <c r="J2881" s="912"/>
      <c r="K2881" s="913"/>
      <c r="L2881" s="911"/>
      <c r="M2881" s="911"/>
      <c r="N2881" s="911"/>
      <c r="O2881" s="914"/>
      <c r="P2881" s="911"/>
      <c r="Q2881" s="915"/>
      <c r="R2881" s="916"/>
      <c r="S2881" s="915"/>
      <c r="T2881" s="917"/>
      <c r="U2881" s="918"/>
      <c r="AR2881"/>
      <c r="AS2881" s="911"/>
    </row>
    <row r="2882" spans="1:45" s="886" customFormat="1" ht="11.4">
      <c r="A2882" s="919">
        <v>15</v>
      </c>
      <c r="B2882" s="920">
        <v>1</v>
      </c>
      <c r="C2882" s="920">
        <f>$A2882*$B2882</f>
        <v>15</v>
      </c>
      <c r="D2882" s="921" t="str">
        <f>Elec_Rates!$D$468</f>
        <v>045# 5 x 4mm2 XLPE/SWA/LSZH</v>
      </c>
      <c r="E2882" s="921"/>
      <c r="F2882" s="921" t="s">
        <v>2599</v>
      </c>
      <c r="G2882" s="922" t="s">
        <v>2601</v>
      </c>
      <c r="H2882" s="922"/>
      <c r="I2882" s="922"/>
      <c r="J2882" s="922"/>
      <c r="K2882" s="923"/>
      <c r="L2882" s="918"/>
      <c r="M2882" s="918"/>
      <c r="N2882" s="918"/>
      <c r="O2882" s="924"/>
      <c r="P2882" s="921"/>
      <c r="Q2882" s="925">
        <f ca="1">$B2882*Elec_Rates!$R$468</f>
        <v>4.17</v>
      </c>
      <c r="R2882" s="916">
        <f ca="1">$A2882*Q2882</f>
        <v>62.55</v>
      </c>
      <c r="S2882" s="925">
        <f ca="1">$B2882*Elec_Rates!$T$468</f>
        <v>0.09</v>
      </c>
      <c r="T2882" s="917">
        <f ca="1">$A2882*S2882</f>
        <v>1.3499999999999999</v>
      </c>
      <c r="U2882" s="926"/>
      <c r="AR2882" s="919">
        <v>15</v>
      </c>
      <c r="AS2882" s="921" t="s">
        <v>2599</v>
      </c>
    </row>
    <row r="2883" spans="1:45" s="520" customFormat="1" ht="12">
      <c r="A2883" s="758"/>
      <c r="B2883" s="758"/>
      <c r="C2883" s="758"/>
      <c r="D2883" s="758"/>
      <c r="E2883" s="758"/>
      <c r="F2883" s="753"/>
      <c r="G2883" s="758"/>
      <c r="H2883" s="758"/>
      <c r="I2883" s="519"/>
      <c r="J2883" s="758"/>
      <c r="K2883" s="758"/>
      <c r="L2883" s="758"/>
      <c r="M2883" s="758"/>
      <c r="N2883" s="758"/>
      <c r="O2883" s="758"/>
      <c r="P2883" s="758"/>
      <c r="Q2883" s="519"/>
      <c r="R2883" s="759">
        <f>$A2883*Q2883</f>
        <v>0</v>
      </c>
      <c r="S2883" s="519"/>
      <c r="T2883" s="760">
        <f>$A2883*S2883*$T$1</f>
        <v>0</v>
      </c>
      <c r="AR2883" s="758"/>
      <c r="AS2883" s="753"/>
    </row>
    <row r="2884" spans="1:45" s="520" customFormat="1" ht="12.6" thickBot="1">
      <c r="A2884" s="761" t="s">
        <v>145</v>
      </c>
      <c r="B2884" s="762">
        <f>(R2883+T2883)</f>
        <v>0</v>
      </c>
      <c r="C2884" s="763"/>
      <c r="D2884" s="763"/>
      <c r="E2884" s="763"/>
      <c r="F2884" s="764"/>
      <c r="G2884" s="763" t="s">
        <v>146</v>
      </c>
      <c r="H2884" s="763"/>
      <c r="I2884" s="765"/>
      <c r="J2884" s="763"/>
      <c r="K2884" s="763" t="s">
        <v>3</v>
      </c>
      <c r="L2884" s="766" t="s">
        <v>143</v>
      </c>
      <c r="M2884" s="766"/>
      <c r="N2884" s="766"/>
      <c r="O2884" s="766"/>
      <c r="P2884" s="766"/>
      <c r="Q2884" s="767"/>
      <c r="R2884" s="768">
        <f ca="1">SUM(R2880:R2883)</f>
        <v>62.55</v>
      </c>
      <c r="S2884" s="763"/>
      <c r="T2884" s="768">
        <f ca="1">SUM(T2880:T2883)</f>
        <v>1.3499999999999999</v>
      </c>
      <c r="U2884" s="531"/>
      <c r="V2884" s="531"/>
      <c r="W2884" s="531"/>
      <c r="X2884" s="531"/>
      <c r="Y2884" s="531"/>
      <c r="Z2884" s="531"/>
      <c r="AA2884" s="531"/>
      <c r="AB2884" s="531"/>
      <c r="AC2884" s="531"/>
      <c r="AD2884" s="531"/>
      <c r="AE2884" s="531"/>
      <c r="AF2884" s="531"/>
      <c r="AG2884" s="531"/>
      <c r="AH2884" s="531"/>
      <c r="AI2884" s="531"/>
      <c r="AJ2884" s="531"/>
      <c r="AK2884" s="531"/>
      <c r="AL2884" s="531"/>
      <c r="AM2884" s="531"/>
      <c r="AN2884" s="531"/>
      <c r="AO2884" s="531"/>
      <c r="AR2884" s="761" t="s">
        <v>145</v>
      </c>
      <c r="AS2884" s="764"/>
    </row>
    <row r="2885" spans="1:45" s="520" customFormat="1" ht="12" thickTop="1">
      <c r="A2885" s="51"/>
      <c r="B2885" s="41"/>
      <c r="C2885" s="51"/>
      <c r="E2885" s="42" t="s">
        <v>138</v>
      </c>
      <c r="F2885" s="42" t="s">
        <v>139</v>
      </c>
      <c r="G2885" s="51"/>
      <c r="H2885" s="51"/>
      <c r="I2885" s="51"/>
      <c r="J2885" s="51"/>
      <c r="K2885" s="51" t="s">
        <v>140</v>
      </c>
      <c r="L2885" s="51"/>
      <c r="M2885" s="51"/>
      <c r="N2885" s="51"/>
      <c r="O2885" s="52"/>
      <c r="P2885" s="51"/>
      <c r="Q2885" s="51"/>
      <c r="R2885" s="51"/>
      <c r="S2885" s="51"/>
      <c r="T2885" s="41"/>
      <c r="AG2885" s="521" t="s">
        <v>268</v>
      </c>
      <c r="AH2885" s="521" t="s">
        <v>269</v>
      </c>
      <c r="AI2885" s="521" t="s">
        <v>270</v>
      </c>
      <c r="AJ2885" s="521" t="s">
        <v>271</v>
      </c>
      <c r="AK2885" s="521" t="s">
        <v>272</v>
      </c>
      <c r="AM2885" s="745" t="s">
        <v>281</v>
      </c>
      <c r="AN2885" s="746" t="s">
        <v>282</v>
      </c>
      <c r="AO2885" s="522" t="s">
        <v>278</v>
      </c>
      <c r="AR2885" s="51"/>
      <c r="AS2885" s="42" t="s">
        <v>139</v>
      </c>
    </row>
    <row r="2886" spans="1:45" s="520" customFormat="1" ht="12" customHeight="1">
      <c r="A2886" s="747">
        <v>25</v>
      </c>
      <c r="B2886" s="523" t="s">
        <v>320</v>
      </c>
      <c r="C2886" s="748"/>
      <c r="D2886" s="749" t="s">
        <v>1597</v>
      </c>
      <c r="E2886" s="750">
        <f ca="1">IF(AND($A2886=0,$A$1="DIF"),0, ROUND(ROUND(($R2891*$S$2+($T2891*$T$2))/A2886,2)*$C$2,2))</f>
        <v>5.63</v>
      </c>
      <c r="F2886" s="751">
        <f ca="1">ROUND($A2886*$E2886,2)</f>
        <v>140.75</v>
      </c>
      <c r="G2886" s="752" t="s">
        <v>142</v>
      </c>
      <c r="H2886" s="753"/>
      <c r="I2886" s="754"/>
      <c r="J2886" s="753"/>
      <c r="K2886" s="753" t="s">
        <v>3</v>
      </c>
      <c r="L2886" s="755" t="s">
        <v>143</v>
      </c>
      <c r="M2886" s="755"/>
      <c r="N2886" s="755"/>
      <c r="O2886" s="755"/>
      <c r="P2886" s="755"/>
      <c r="Q2886" s="51"/>
      <c r="T2886" s="756" t="str">
        <f ca="1">IF(AND($R2891=0,$T2891=0),"0.00","mu :" &amp; ROUND($F2886/$C$2/($R2891+$T2891*$D$9),2))</f>
        <v>mu :1.23</v>
      </c>
      <c r="W2886" s="524"/>
      <c r="AG2886" s="481">
        <f ca="1">IF($E2886=0,0,ROUND($R2891*$S$2*$C$2/$A2886,2))</f>
        <v>3.26</v>
      </c>
      <c r="AH2886" s="481">
        <f ca="1">$AG2886*$A2886</f>
        <v>81.5</v>
      </c>
      <c r="AI2886" s="525">
        <f ca="1">$E2886-$AG2886</f>
        <v>2.37</v>
      </c>
      <c r="AJ2886" s="525">
        <f ca="1">$A2886*$AI2886</f>
        <v>59.25</v>
      </c>
      <c r="AK2886" s="526">
        <f ca="1">ROUND(($AG2886+$AI2886)*$A2886,2)</f>
        <v>140.75</v>
      </c>
      <c r="AM2886" s="527">
        <f ca="1">ROUND(R2891,2)</f>
        <v>66.25</v>
      </c>
      <c r="AN2886" s="528">
        <f ca="1">ROUND(T2891,2)</f>
        <v>1.75</v>
      </c>
      <c r="AO2886" s="529">
        <f ca="1">ROUND(AM2886+AN2886,2)*A2886</f>
        <v>1700</v>
      </c>
      <c r="AR2886" s="747">
        <v>25</v>
      </c>
      <c r="AS2886" s="751">
        <v>149.25</v>
      </c>
    </row>
    <row r="2887" spans="1:45" s="520" customFormat="1" ht="13.2">
      <c r="A2887" s="748"/>
      <c r="B2887"/>
      <c r="C2887" s="748"/>
      <c r="D2887" s="749" t="s">
        <v>1544</v>
      </c>
      <c r="F2887" s="753"/>
      <c r="G2887" s="3"/>
      <c r="H2887" s="753"/>
      <c r="I2887" s="754"/>
      <c r="J2887" s="753"/>
      <c r="K2887" s="753" t="s">
        <v>144</v>
      </c>
      <c r="L2887" s="753"/>
      <c r="M2887" s="753"/>
      <c r="N2887" s="753"/>
      <c r="O2887" s="753"/>
      <c r="P2887" s="753"/>
      <c r="Q2887" s="51"/>
      <c r="R2887" s="530"/>
      <c r="S2887" s="757"/>
      <c r="T2887" s="753"/>
      <c r="AR2887" s="748"/>
      <c r="AS2887" s="753"/>
    </row>
    <row r="2888" spans="1:45" s="886" customFormat="1" ht="13.2">
      <c r="A2888"/>
      <c r="B2888" s="910"/>
      <c r="C2888" s="910" t="s">
        <v>2597</v>
      </c>
      <c r="D2888" s="910" t="str">
        <f ca="1">CELL("Address",Elec_Rates!D$478)</f>
        <v>[E25_0062_Quintano_Foods_Elec_ELV_As_Awarded.xlsx]Elec_Rates!$D$478</v>
      </c>
      <c r="E2888" s="911"/>
      <c r="F2888" s="911"/>
      <c r="G2888" s="912" t="s">
        <v>2598</v>
      </c>
      <c r="H2888" s="912"/>
      <c r="I2888" s="912"/>
      <c r="J2888" s="912"/>
      <c r="K2888" s="913"/>
      <c r="L2888" s="911"/>
      <c r="M2888" s="911"/>
      <c r="N2888" s="911"/>
      <c r="O2888" s="914"/>
      <c r="P2888" s="911"/>
      <c r="Q2888" s="915"/>
      <c r="R2888" s="916"/>
      <c r="S2888" s="915"/>
      <c r="T2888" s="917"/>
      <c r="U2888" s="918"/>
      <c r="AR2888"/>
      <c r="AS2888" s="911"/>
    </row>
    <row r="2889" spans="1:45" s="886" customFormat="1" ht="11.4">
      <c r="A2889" s="919">
        <v>25</v>
      </c>
      <c r="B2889" s="920">
        <v>1</v>
      </c>
      <c r="C2889" s="920">
        <f>$A2889*$B2889</f>
        <v>25</v>
      </c>
      <c r="D2889" s="921" t="str">
        <f>Elec_Rates!$D$478</f>
        <v>046# 3 x 4mm2 XLPE/SWA/LSZH</v>
      </c>
      <c r="E2889" s="921"/>
      <c r="F2889" s="921" t="s">
        <v>2599</v>
      </c>
      <c r="G2889" s="922" t="s">
        <v>2601</v>
      </c>
      <c r="H2889" s="922"/>
      <c r="I2889" s="922"/>
      <c r="J2889" s="922"/>
      <c r="K2889" s="923"/>
      <c r="L2889" s="918"/>
      <c r="M2889" s="918"/>
      <c r="N2889" s="918"/>
      <c r="O2889" s="924"/>
      <c r="P2889" s="921"/>
      <c r="Q2889" s="925">
        <f ca="1">$B2889*Elec_Rates!$R$478</f>
        <v>2.65</v>
      </c>
      <c r="R2889" s="916">
        <f ca="1">$A2889*Q2889</f>
        <v>66.25</v>
      </c>
      <c r="S2889" s="925">
        <f ca="1">$B2889*Elec_Rates!$T$478</f>
        <v>7.0000000000000007E-2</v>
      </c>
      <c r="T2889" s="917">
        <f ca="1">$A2889*S2889</f>
        <v>1.7500000000000002</v>
      </c>
      <c r="U2889" s="926"/>
      <c r="AR2889" s="919">
        <v>25</v>
      </c>
      <c r="AS2889" s="921" t="s">
        <v>2599</v>
      </c>
    </row>
    <row r="2890" spans="1:45" s="520" customFormat="1" ht="12">
      <c r="A2890" s="758"/>
      <c r="B2890" s="758"/>
      <c r="C2890" s="758"/>
      <c r="D2890" s="758"/>
      <c r="E2890" s="758"/>
      <c r="F2890" s="753"/>
      <c r="G2890" s="758"/>
      <c r="H2890" s="758"/>
      <c r="I2890" s="519"/>
      <c r="J2890" s="758"/>
      <c r="K2890" s="758"/>
      <c r="L2890" s="758"/>
      <c r="M2890" s="758"/>
      <c r="N2890" s="758"/>
      <c r="O2890" s="758"/>
      <c r="P2890" s="758"/>
      <c r="Q2890" s="519"/>
      <c r="R2890" s="759">
        <f>$A2890*Q2890</f>
        <v>0</v>
      </c>
      <c r="S2890" s="519"/>
      <c r="T2890" s="760">
        <f>$A2890*S2890*$T$1</f>
        <v>0</v>
      </c>
      <c r="AR2890" s="758"/>
      <c r="AS2890" s="753"/>
    </row>
    <row r="2891" spans="1:45" s="520" customFormat="1" ht="12.6" thickBot="1">
      <c r="A2891" s="761" t="s">
        <v>145</v>
      </c>
      <c r="B2891" s="762">
        <f>(R2890+T2890)</f>
        <v>0</v>
      </c>
      <c r="C2891" s="763"/>
      <c r="D2891" s="763"/>
      <c r="E2891" s="763"/>
      <c r="F2891" s="764"/>
      <c r="G2891" s="763" t="s">
        <v>146</v>
      </c>
      <c r="H2891" s="763"/>
      <c r="I2891" s="765"/>
      <c r="J2891" s="763"/>
      <c r="K2891" s="763" t="s">
        <v>3</v>
      </c>
      <c r="L2891" s="766" t="s">
        <v>143</v>
      </c>
      <c r="M2891" s="766"/>
      <c r="N2891" s="766"/>
      <c r="O2891" s="766"/>
      <c r="P2891" s="766"/>
      <c r="Q2891" s="767"/>
      <c r="R2891" s="768">
        <f ca="1">SUM(R2887:R2890)</f>
        <v>66.25</v>
      </c>
      <c r="S2891" s="763"/>
      <c r="T2891" s="768">
        <f ca="1">SUM(T2887:T2890)</f>
        <v>1.7500000000000002</v>
      </c>
      <c r="U2891" s="531"/>
      <c r="V2891" s="531"/>
      <c r="W2891" s="531"/>
      <c r="X2891" s="531"/>
      <c r="Y2891" s="531"/>
      <c r="Z2891" s="531"/>
      <c r="AA2891" s="531"/>
      <c r="AB2891" s="531"/>
      <c r="AC2891" s="531"/>
      <c r="AD2891" s="531"/>
      <c r="AE2891" s="531"/>
      <c r="AF2891" s="531"/>
      <c r="AG2891" s="531"/>
      <c r="AH2891" s="531"/>
      <c r="AI2891" s="531"/>
      <c r="AJ2891" s="531"/>
      <c r="AK2891" s="531"/>
      <c r="AL2891" s="531"/>
      <c r="AM2891" s="531"/>
      <c r="AN2891" s="531"/>
      <c r="AO2891" s="531"/>
      <c r="AR2891" s="761" t="s">
        <v>145</v>
      </c>
      <c r="AS2891" s="764"/>
    </row>
    <row r="2892" spans="1:45" s="520" customFormat="1" thickTop="1">
      <c r="A2892" s="51"/>
      <c r="B2892" s="51"/>
      <c r="C2892" s="3"/>
      <c r="D2892" s="3"/>
      <c r="E2892" s="51"/>
      <c r="F2892" s="51"/>
      <c r="G2892" s="51"/>
      <c r="H2892" s="51"/>
      <c r="I2892" s="51"/>
      <c r="J2892" s="51"/>
      <c r="K2892" s="51" t="s">
        <v>134</v>
      </c>
      <c r="L2892" s="51"/>
      <c r="M2892" s="51"/>
      <c r="N2892" s="51"/>
      <c r="O2892" s="52"/>
      <c r="P2892" s="51"/>
      <c r="Q2892" s="51"/>
      <c r="R2892" s="51"/>
      <c r="S2892" s="51"/>
      <c r="T2892" s="51"/>
      <c r="AR2892" s="51"/>
      <c r="AS2892" s="51"/>
    </row>
    <row r="2893" spans="1:45" s="520" customFormat="1" ht="12">
      <c r="A2893" s="51"/>
      <c r="B2893" s="51"/>
      <c r="C2893" s="51" t="s">
        <v>135</v>
      </c>
      <c r="D2893" s="37"/>
      <c r="E2893" s="51"/>
      <c r="F2893" s="51"/>
      <c r="G2893" s="51"/>
      <c r="H2893" s="51"/>
      <c r="I2893" s="51"/>
      <c r="J2893" s="51"/>
      <c r="K2893" s="51"/>
      <c r="L2893" s="51"/>
      <c r="M2893" s="51"/>
      <c r="N2893" s="51"/>
      <c r="O2893" s="52"/>
      <c r="P2893" s="51"/>
      <c r="Q2893" s="51"/>
      <c r="R2893" s="51"/>
      <c r="S2893" s="51"/>
      <c r="T2893" s="51"/>
      <c r="AR2893" s="51"/>
      <c r="AS2893" s="51"/>
    </row>
    <row r="2894" spans="1:45" s="520" customFormat="1" ht="12">
      <c r="A2894" s="51"/>
      <c r="B2894" s="51"/>
      <c r="C2894" s="51"/>
      <c r="D2894" s="37" t="s">
        <v>463</v>
      </c>
      <c r="E2894" s="51"/>
      <c r="F2894" s="51"/>
      <c r="G2894" s="51"/>
      <c r="H2894" s="51"/>
      <c r="I2894" s="51"/>
      <c r="J2894" s="51"/>
      <c r="K2894" s="51"/>
      <c r="L2894" s="51"/>
      <c r="M2894" s="51"/>
      <c r="N2894" s="51"/>
      <c r="O2894" s="52"/>
      <c r="P2894" s="51"/>
      <c r="Q2894" s="51"/>
      <c r="R2894" s="51"/>
      <c r="S2894" s="38"/>
      <c r="T2894" s="38"/>
      <c r="AR2894" s="51"/>
      <c r="AS2894" s="51"/>
    </row>
    <row r="2895" spans="1:45" s="3" customFormat="1" thickBot="1">
      <c r="A2895" s="531"/>
      <c r="O2895" s="107"/>
      <c r="AR2895" s="531"/>
    </row>
    <row r="2896" spans="1:45" s="520" customFormat="1" ht="12" thickTop="1">
      <c r="A2896" s="51"/>
      <c r="B2896" s="41"/>
      <c r="C2896" s="51"/>
      <c r="E2896" s="42" t="s">
        <v>138</v>
      </c>
      <c r="F2896" s="42" t="s">
        <v>139</v>
      </c>
      <c r="G2896" s="51"/>
      <c r="H2896" s="51"/>
      <c r="I2896" s="51"/>
      <c r="J2896" s="51"/>
      <c r="K2896" s="51" t="s">
        <v>140</v>
      </c>
      <c r="L2896" s="51"/>
      <c r="M2896" s="51"/>
      <c r="N2896" s="51"/>
      <c r="O2896" s="52"/>
      <c r="P2896" s="51"/>
      <c r="Q2896" s="51"/>
      <c r="R2896" s="51"/>
      <c r="S2896" s="51"/>
      <c r="T2896" s="41"/>
      <c r="AG2896" s="521" t="s">
        <v>268</v>
      </c>
      <c r="AH2896" s="521" t="s">
        <v>269</v>
      </c>
      <c r="AI2896" s="521" t="s">
        <v>270</v>
      </c>
      <c r="AJ2896" s="521" t="s">
        <v>271</v>
      </c>
      <c r="AK2896" s="521" t="s">
        <v>272</v>
      </c>
      <c r="AM2896" s="745" t="s">
        <v>281</v>
      </c>
      <c r="AN2896" s="746" t="s">
        <v>282</v>
      </c>
      <c r="AO2896" s="522" t="s">
        <v>278</v>
      </c>
      <c r="AR2896" s="51"/>
      <c r="AS2896" s="42" t="s">
        <v>139</v>
      </c>
    </row>
    <row r="2897" spans="1:45" s="520" customFormat="1" ht="12" customHeight="1">
      <c r="A2897" s="747">
        <v>1</v>
      </c>
      <c r="B2897" s="523" t="s">
        <v>141</v>
      </c>
      <c r="C2897" s="748"/>
      <c r="D2897" s="749" t="s">
        <v>1598</v>
      </c>
      <c r="E2897" s="750">
        <f ca="1">IF(AND($A2897=0,$A$1="DIF"),0, ROUND(ROUND(($R2902*$S$2+($T2902*$T$2))/A2897,2)*$C$2,2))</f>
        <v>57.79</v>
      </c>
      <c r="F2897" s="751">
        <f ca="1">ROUND($A2897*$E2897,2)</f>
        <v>57.79</v>
      </c>
      <c r="G2897" s="752" t="s">
        <v>142</v>
      </c>
      <c r="H2897" s="753"/>
      <c r="I2897" s="754"/>
      <c r="J2897" s="753"/>
      <c r="K2897" s="753" t="s">
        <v>3</v>
      </c>
      <c r="L2897" s="755" t="s">
        <v>143</v>
      </c>
      <c r="M2897" s="755"/>
      <c r="N2897" s="755"/>
      <c r="O2897" s="755"/>
      <c r="P2897" s="755"/>
      <c r="Q2897" s="51"/>
      <c r="T2897" s="756" t="str">
        <f ca="1">IF(AND($R2902=0,$T2902=0),"0.00","mu :" &amp; ROUND($F2897/$C$2/($R2902+$T2902*$D$9),2))</f>
        <v>mu :1.23</v>
      </c>
      <c r="W2897" s="524"/>
      <c r="AG2897" s="481">
        <f ca="1">IF($E2897=0,0,ROUND($R2902*$S$2*$C$2/$A2897,2))</f>
        <v>33.44</v>
      </c>
      <c r="AH2897" s="481">
        <f ca="1">$AG2897*$A2897</f>
        <v>33.44</v>
      </c>
      <c r="AI2897" s="525">
        <f ca="1">$E2897-$AG2897</f>
        <v>24.35</v>
      </c>
      <c r="AJ2897" s="525">
        <f ca="1">$A2897*$AI2897</f>
        <v>24.35</v>
      </c>
      <c r="AK2897" s="526">
        <f ca="1">ROUND(($AG2897+$AI2897)*$A2897,2)</f>
        <v>57.79</v>
      </c>
      <c r="AM2897" s="527">
        <f ca="1">ROUND(R2902,2)</f>
        <v>27.16</v>
      </c>
      <c r="AN2897" s="528">
        <f ca="1">ROUND(T2902,2)</f>
        <v>0.72</v>
      </c>
      <c r="AO2897" s="529">
        <f ca="1">ROUND(AM2897+AN2897,2)*A2897</f>
        <v>27.88</v>
      </c>
      <c r="AR2897" s="747">
        <v>1</v>
      </c>
      <c r="AS2897" s="751">
        <v>60.49</v>
      </c>
    </row>
    <row r="2898" spans="1:45" s="520" customFormat="1" ht="13.2">
      <c r="A2898" s="748"/>
      <c r="B2898"/>
      <c r="C2898" s="748"/>
      <c r="D2898" s="749" t="s">
        <v>701</v>
      </c>
      <c r="F2898" s="753"/>
      <c r="G2898" s="3"/>
      <c r="H2898" s="753"/>
      <c r="I2898" s="754"/>
      <c r="J2898" s="753"/>
      <c r="K2898" s="753" t="s">
        <v>144</v>
      </c>
      <c r="L2898" s="753"/>
      <c r="M2898" s="753"/>
      <c r="N2898" s="753"/>
      <c r="O2898" s="753"/>
      <c r="P2898" s="753"/>
      <c r="Q2898" s="51"/>
      <c r="R2898" s="530"/>
      <c r="S2898" s="757"/>
      <c r="T2898" s="753"/>
      <c r="AR2898" s="748"/>
      <c r="AS2898" s="753"/>
    </row>
    <row r="2899" spans="1:45" s="886" customFormat="1" ht="13.2">
      <c r="A2899"/>
      <c r="B2899" s="910"/>
      <c r="C2899" s="910" t="s">
        <v>2597</v>
      </c>
      <c r="D2899" s="910" t="str">
        <f ca="1">CELL("Address",Elec_Rates!D$210)</f>
        <v>[E25_0062_Quintano_Foods_Elec_ELV_As_Awarded.xlsx]Elec_Rates!$D$210</v>
      </c>
      <c r="E2899" s="911"/>
      <c r="F2899" s="911"/>
      <c r="G2899" s="912" t="s">
        <v>2598</v>
      </c>
      <c r="H2899" s="912"/>
      <c r="I2899" s="912"/>
      <c r="J2899" s="912"/>
      <c r="K2899" s="913"/>
      <c r="L2899" s="911"/>
      <c r="M2899" s="911"/>
      <c r="N2899" s="911"/>
      <c r="O2899" s="914"/>
      <c r="P2899" s="911"/>
      <c r="Q2899" s="915"/>
      <c r="R2899" s="916"/>
      <c r="S2899" s="915"/>
      <c r="T2899" s="917"/>
      <c r="U2899" s="918"/>
      <c r="AR2899"/>
      <c r="AS2899" s="911"/>
    </row>
    <row r="2900" spans="1:45" s="886" customFormat="1" ht="11.4">
      <c r="A2900" s="919">
        <v>1</v>
      </c>
      <c r="B2900" s="920">
        <v>1</v>
      </c>
      <c r="C2900" s="920">
        <f>$A2900*$B2900</f>
        <v>1</v>
      </c>
      <c r="D2900" s="921" t="str">
        <f>Elec_Rates!$D$210</f>
        <v>020# 3-Phase 20/25/32A Isolator</v>
      </c>
      <c r="E2900" s="921"/>
      <c r="F2900" s="921" t="s">
        <v>2599</v>
      </c>
      <c r="G2900" s="922" t="s">
        <v>2601</v>
      </c>
      <c r="H2900" s="922"/>
      <c r="I2900" s="922"/>
      <c r="J2900" s="922"/>
      <c r="K2900" s="923"/>
      <c r="L2900" s="918"/>
      <c r="M2900" s="918"/>
      <c r="N2900" s="918"/>
      <c r="O2900" s="924"/>
      <c r="P2900" s="921"/>
      <c r="Q2900" s="925">
        <f ca="1">$B2900*Elec_Rates!$R$210</f>
        <v>27.16</v>
      </c>
      <c r="R2900" s="916">
        <f ca="1">$A2900*Q2900</f>
        <v>27.16</v>
      </c>
      <c r="S2900" s="925">
        <f ca="1">$B2900*Elec_Rates!$T$210</f>
        <v>0.72</v>
      </c>
      <c r="T2900" s="917">
        <f ca="1">$A2900*S2900</f>
        <v>0.72</v>
      </c>
      <c r="U2900" s="926"/>
      <c r="AR2900" s="919">
        <v>1</v>
      </c>
      <c r="AS2900" s="921" t="s">
        <v>2599</v>
      </c>
    </row>
    <row r="2901" spans="1:45" s="520" customFormat="1" ht="12">
      <c r="A2901" s="758"/>
      <c r="B2901" s="758"/>
      <c r="C2901" s="758"/>
      <c r="D2901" s="758"/>
      <c r="E2901" s="758"/>
      <c r="F2901" s="753"/>
      <c r="G2901" s="758"/>
      <c r="H2901" s="758"/>
      <c r="I2901" s="519"/>
      <c r="J2901" s="758"/>
      <c r="K2901" s="758"/>
      <c r="L2901" s="758"/>
      <c r="M2901" s="758"/>
      <c r="N2901" s="758"/>
      <c r="O2901" s="758"/>
      <c r="P2901" s="758"/>
      <c r="Q2901" s="519"/>
      <c r="R2901" s="759">
        <f>$A2901*Q2901</f>
        <v>0</v>
      </c>
      <c r="S2901" s="519"/>
      <c r="T2901" s="760">
        <f>$A2901*S2901*$T$1</f>
        <v>0</v>
      </c>
      <c r="AR2901" s="758"/>
      <c r="AS2901" s="753"/>
    </row>
    <row r="2902" spans="1:45" s="520" customFormat="1" ht="12.6" thickBot="1">
      <c r="A2902" s="761" t="s">
        <v>145</v>
      </c>
      <c r="B2902" s="762">
        <f>(R2901+T2901)</f>
        <v>0</v>
      </c>
      <c r="C2902" s="763"/>
      <c r="D2902" s="763"/>
      <c r="E2902" s="763"/>
      <c r="F2902" s="764"/>
      <c r="G2902" s="763" t="s">
        <v>146</v>
      </c>
      <c r="H2902" s="763"/>
      <c r="I2902" s="765"/>
      <c r="J2902" s="763"/>
      <c r="K2902" s="763" t="s">
        <v>3</v>
      </c>
      <c r="L2902" s="766" t="s">
        <v>143</v>
      </c>
      <c r="M2902" s="766"/>
      <c r="N2902" s="766"/>
      <c r="O2902" s="766"/>
      <c r="P2902" s="766"/>
      <c r="Q2902" s="767"/>
      <c r="R2902" s="768">
        <f ca="1">SUM(R2898:R2901)</f>
        <v>27.16</v>
      </c>
      <c r="S2902" s="763"/>
      <c r="T2902" s="768">
        <f ca="1">SUM(T2898:T2901)</f>
        <v>0.72</v>
      </c>
      <c r="U2902" s="531"/>
      <c r="V2902" s="531"/>
      <c r="W2902" s="531"/>
      <c r="X2902" s="531"/>
      <c r="Y2902" s="531"/>
      <c r="Z2902" s="531"/>
      <c r="AA2902" s="531"/>
      <c r="AB2902" s="531"/>
      <c r="AC2902" s="531"/>
      <c r="AD2902" s="531"/>
      <c r="AE2902" s="531"/>
      <c r="AF2902" s="531"/>
      <c r="AG2902" s="531"/>
      <c r="AH2902" s="531"/>
      <c r="AI2902" s="531"/>
      <c r="AJ2902" s="531"/>
      <c r="AK2902" s="531"/>
      <c r="AL2902" s="531"/>
      <c r="AM2902" s="531"/>
      <c r="AN2902" s="531"/>
      <c r="AO2902" s="531"/>
      <c r="AR2902" s="761" t="s">
        <v>145</v>
      </c>
      <c r="AS2902" s="764"/>
    </row>
    <row r="2903" spans="1:45" s="520" customFormat="1" ht="12" thickTop="1">
      <c r="A2903" s="51"/>
      <c r="B2903" s="41"/>
      <c r="C2903" s="51"/>
      <c r="E2903" s="42" t="s">
        <v>138</v>
      </c>
      <c r="F2903" s="42" t="s">
        <v>139</v>
      </c>
      <c r="G2903" s="51"/>
      <c r="H2903" s="51"/>
      <c r="I2903" s="51"/>
      <c r="J2903" s="51"/>
      <c r="K2903" s="51" t="s">
        <v>140</v>
      </c>
      <c r="L2903" s="51"/>
      <c r="M2903" s="51"/>
      <c r="N2903" s="51"/>
      <c r="O2903" s="52"/>
      <c r="P2903" s="51"/>
      <c r="Q2903" s="51"/>
      <c r="R2903" s="51"/>
      <c r="S2903" s="51"/>
      <c r="T2903" s="41"/>
      <c r="AG2903" s="521" t="s">
        <v>268</v>
      </c>
      <c r="AH2903" s="521" t="s">
        <v>269</v>
      </c>
      <c r="AI2903" s="521" t="s">
        <v>270</v>
      </c>
      <c r="AJ2903" s="521" t="s">
        <v>271</v>
      </c>
      <c r="AK2903" s="521" t="s">
        <v>272</v>
      </c>
      <c r="AM2903" s="745" t="s">
        <v>281</v>
      </c>
      <c r="AN2903" s="746" t="s">
        <v>282</v>
      </c>
      <c r="AO2903" s="522" t="s">
        <v>278</v>
      </c>
      <c r="AR2903" s="51"/>
      <c r="AS2903" s="42" t="s">
        <v>139</v>
      </c>
    </row>
    <row r="2904" spans="1:45" s="520" customFormat="1" ht="12" customHeight="1">
      <c r="A2904" s="747">
        <v>2</v>
      </c>
      <c r="B2904" s="523" t="s">
        <v>141</v>
      </c>
      <c r="C2904" s="748"/>
      <c r="D2904" s="749" t="s">
        <v>1599</v>
      </c>
      <c r="E2904" s="750">
        <f ca="1">IF(AND($A2904=0,$A$1="DIF"),0, ROUND(ROUND(($R2909*$S$2+($T2909*$T$2))/A2904,2)*$C$2,2))</f>
        <v>57.79</v>
      </c>
      <c r="F2904" s="751">
        <f ca="1">ROUND($A2904*$E2904,2)</f>
        <v>115.58</v>
      </c>
      <c r="G2904" s="752" t="s">
        <v>142</v>
      </c>
      <c r="H2904" s="753"/>
      <c r="I2904" s="754"/>
      <c r="J2904" s="753"/>
      <c r="K2904" s="753" t="s">
        <v>3</v>
      </c>
      <c r="L2904" s="755" t="s">
        <v>143</v>
      </c>
      <c r="M2904" s="755"/>
      <c r="N2904" s="755"/>
      <c r="O2904" s="755"/>
      <c r="P2904" s="755"/>
      <c r="Q2904" s="51"/>
      <c r="T2904" s="756" t="str">
        <f ca="1">IF(AND($R2909=0,$T2909=0),"0.00","mu :" &amp; ROUND($F2904/$C$2/($R2909+$T2909*$D$9),2))</f>
        <v>mu :1.23</v>
      </c>
      <c r="W2904" s="524"/>
      <c r="AG2904" s="481">
        <f ca="1">IF($E2904=0,0,ROUND($R2909*$S$2*$C$2/$A2904,2))</f>
        <v>33.44</v>
      </c>
      <c r="AH2904" s="481">
        <f ca="1">$AG2904*$A2904</f>
        <v>66.88</v>
      </c>
      <c r="AI2904" s="525">
        <f ca="1">$E2904-$AG2904</f>
        <v>24.35</v>
      </c>
      <c r="AJ2904" s="525">
        <f ca="1">$A2904*$AI2904</f>
        <v>48.7</v>
      </c>
      <c r="AK2904" s="526">
        <f ca="1">ROUND(($AG2904+$AI2904)*$A2904,2)</f>
        <v>115.58</v>
      </c>
      <c r="AM2904" s="527">
        <f ca="1">ROUND(R2909,2)</f>
        <v>54.32</v>
      </c>
      <c r="AN2904" s="528">
        <f ca="1">ROUND(T2909,2)</f>
        <v>1.44</v>
      </c>
      <c r="AO2904" s="529">
        <f ca="1">ROUND(AM2904+AN2904,2)*A2904</f>
        <v>111.52</v>
      </c>
      <c r="AR2904" s="747">
        <v>2</v>
      </c>
      <c r="AS2904" s="751">
        <v>120.98</v>
      </c>
    </row>
    <row r="2905" spans="1:45" s="520" customFormat="1" ht="13.2">
      <c r="A2905" s="748"/>
      <c r="B2905"/>
      <c r="C2905" s="748"/>
      <c r="D2905" s="749" t="s">
        <v>1318</v>
      </c>
      <c r="F2905" s="753"/>
      <c r="G2905" s="3"/>
      <c r="H2905" s="753"/>
      <c r="I2905" s="754"/>
      <c r="J2905" s="753"/>
      <c r="K2905" s="753" t="s">
        <v>144</v>
      </c>
      <c r="L2905" s="753"/>
      <c r="M2905" s="753"/>
      <c r="N2905" s="753"/>
      <c r="O2905" s="753"/>
      <c r="P2905" s="753"/>
      <c r="Q2905" s="51"/>
      <c r="R2905" s="530"/>
      <c r="S2905" s="757"/>
      <c r="T2905" s="753"/>
      <c r="AR2905" s="748"/>
      <c r="AS2905" s="753"/>
    </row>
    <row r="2906" spans="1:45" s="886" customFormat="1" ht="13.2">
      <c r="A2906"/>
      <c r="B2906" s="910"/>
      <c r="C2906" s="910" t="s">
        <v>2597</v>
      </c>
      <c r="D2906" s="910" t="str">
        <f ca="1">CELL("Address",Elec_Rates!D$210)</f>
        <v>[E25_0062_Quintano_Foods_Elec_ELV_As_Awarded.xlsx]Elec_Rates!$D$210</v>
      </c>
      <c r="E2906" s="911"/>
      <c r="F2906" s="911"/>
      <c r="G2906" s="912" t="s">
        <v>2598</v>
      </c>
      <c r="H2906" s="912"/>
      <c r="I2906" s="912"/>
      <c r="J2906" s="912"/>
      <c r="K2906" s="913"/>
      <c r="L2906" s="911"/>
      <c r="M2906" s="911"/>
      <c r="N2906" s="911"/>
      <c r="O2906" s="914"/>
      <c r="P2906" s="911"/>
      <c r="Q2906" s="915"/>
      <c r="R2906" s="916"/>
      <c r="S2906" s="915"/>
      <c r="T2906" s="917"/>
      <c r="U2906" s="918"/>
      <c r="AR2906"/>
      <c r="AS2906" s="911"/>
    </row>
    <row r="2907" spans="1:45" s="886" customFormat="1" ht="11.4">
      <c r="A2907" s="919">
        <v>2</v>
      </c>
      <c r="B2907" s="920">
        <v>1</v>
      </c>
      <c r="C2907" s="920">
        <f>$A2907*$B2907</f>
        <v>2</v>
      </c>
      <c r="D2907" s="921" t="str">
        <f>Elec_Rates!$D$210</f>
        <v>020# 3-Phase 20/25/32A Isolator</v>
      </c>
      <c r="E2907" s="921"/>
      <c r="F2907" s="921" t="s">
        <v>2599</v>
      </c>
      <c r="G2907" s="922" t="s">
        <v>2601</v>
      </c>
      <c r="H2907" s="922"/>
      <c r="I2907" s="922"/>
      <c r="J2907" s="922"/>
      <c r="K2907" s="923"/>
      <c r="L2907" s="918"/>
      <c r="M2907" s="918"/>
      <c r="N2907" s="918"/>
      <c r="O2907" s="924"/>
      <c r="P2907" s="921"/>
      <c r="Q2907" s="925">
        <f ca="1">$B2907*Elec_Rates!$R$210</f>
        <v>27.16</v>
      </c>
      <c r="R2907" s="916">
        <f ca="1">$A2907*Q2907</f>
        <v>54.32</v>
      </c>
      <c r="S2907" s="925">
        <f ca="1">$B2907*Elec_Rates!$T$210</f>
        <v>0.72</v>
      </c>
      <c r="T2907" s="917">
        <f ca="1">$A2907*S2907</f>
        <v>1.44</v>
      </c>
      <c r="U2907" s="926"/>
      <c r="AR2907" s="919">
        <v>2</v>
      </c>
      <c r="AS2907" s="921" t="s">
        <v>2599</v>
      </c>
    </row>
    <row r="2908" spans="1:45" s="520" customFormat="1" ht="12">
      <c r="A2908" s="758"/>
      <c r="B2908" s="758"/>
      <c r="C2908" s="758"/>
      <c r="D2908" s="758"/>
      <c r="E2908" s="758"/>
      <c r="F2908" s="753"/>
      <c r="G2908" s="758"/>
      <c r="H2908" s="758"/>
      <c r="I2908" s="519"/>
      <c r="J2908" s="758"/>
      <c r="K2908" s="758"/>
      <c r="L2908" s="758"/>
      <c r="M2908" s="758"/>
      <c r="N2908" s="758"/>
      <c r="O2908" s="758"/>
      <c r="P2908" s="758"/>
      <c r="Q2908" s="519"/>
      <c r="R2908" s="759">
        <f>$A2908*Q2908</f>
        <v>0</v>
      </c>
      <c r="S2908" s="519"/>
      <c r="T2908" s="760">
        <f>$A2908*S2908*$T$1</f>
        <v>0</v>
      </c>
      <c r="AR2908" s="758"/>
      <c r="AS2908" s="753"/>
    </row>
    <row r="2909" spans="1:45" s="520" customFormat="1" ht="12.6" thickBot="1">
      <c r="A2909" s="761" t="s">
        <v>145</v>
      </c>
      <c r="B2909" s="762">
        <f>(R2908+T2908)</f>
        <v>0</v>
      </c>
      <c r="C2909" s="763"/>
      <c r="D2909" s="763"/>
      <c r="E2909" s="763"/>
      <c r="F2909" s="764"/>
      <c r="G2909" s="763" t="s">
        <v>146</v>
      </c>
      <c r="H2909" s="763"/>
      <c r="I2909" s="765"/>
      <c r="J2909" s="763"/>
      <c r="K2909" s="763" t="s">
        <v>3</v>
      </c>
      <c r="L2909" s="766" t="s">
        <v>143</v>
      </c>
      <c r="M2909" s="766"/>
      <c r="N2909" s="766"/>
      <c r="O2909" s="766"/>
      <c r="P2909" s="766"/>
      <c r="Q2909" s="767"/>
      <c r="R2909" s="768">
        <f ca="1">SUM(R2905:R2908)</f>
        <v>54.32</v>
      </c>
      <c r="S2909" s="763"/>
      <c r="T2909" s="768">
        <f ca="1">SUM(T2905:T2908)</f>
        <v>1.44</v>
      </c>
      <c r="U2909" s="531"/>
      <c r="V2909" s="531"/>
      <c r="W2909" s="531"/>
      <c r="X2909" s="531"/>
      <c r="Y2909" s="531"/>
      <c r="Z2909" s="531"/>
      <c r="AA2909" s="531"/>
      <c r="AB2909" s="531"/>
      <c r="AC2909" s="531"/>
      <c r="AD2909" s="531"/>
      <c r="AE2909" s="531"/>
      <c r="AF2909" s="531"/>
      <c r="AG2909" s="531"/>
      <c r="AH2909" s="531"/>
      <c r="AI2909" s="531"/>
      <c r="AJ2909" s="531"/>
      <c r="AK2909" s="531"/>
      <c r="AL2909" s="531"/>
      <c r="AM2909" s="531"/>
      <c r="AN2909" s="531"/>
      <c r="AO2909" s="531"/>
      <c r="AR2909" s="761" t="s">
        <v>145</v>
      </c>
      <c r="AS2909" s="764"/>
    </row>
    <row r="2910" spans="1:45" s="520" customFormat="1" ht="12" thickTop="1">
      <c r="A2910" s="51"/>
      <c r="B2910" s="41"/>
      <c r="C2910" s="51"/>
      <c r="E2910" s="42" t="s">
        <v>138</v>
      </c>
      <c r="F2910" s="42" t="s">
        <v>139</v>
      </c>
      <c r="G2910" s="51"/>
      <c r="H2910" s="51"/>
      <c r="I2910" s="51"/>
      <c r="J2910" s="51"/>
      <c r="K2910" s="51" t="s">
        <v>140</v>
      </c>
      <c r="L2910" s="51"/>
      <c r="M2910" s="51"/>
      <c r="N2910" s="51"/>
      <c r="O2910" s="52"/>
      <c r="P2910" s="51"/>
      <c r="Q2910" s="51"/>
      <c r="R2910" s="51"/>
      <c r="S2910" s="51"/>
      <c r="T2910" s="41"/>
      <c r="AG2910" s="521" t="s">
        <v>268</v>
      </c>
      <c r="AH2910" s="521" t="s">
        <v>269</v>
      </c>
      <c r="AI2910" s="521" t="s">
        <v>270</v>
      </c>
      <c r="AJ2910" s="521" t="s">
        <v>271</v>
      </c>
      <c r="AK2910" s="521" t="s">
        <v>272</v>
      </c>
      <c r="AM2910" s="745" t="s">
        <v>281</v>
      </c>
      <c r="AN2910" s="746" t="s">
        <v>282</v>
      </c>
      <c r="AO2910" s="522" t="s">
        <v>278</v>
      </c>
      <c r="AR2910" s="51"/>
      <c r="AS2910" s="42" t="s">
        <v>139</v>
      </c>
    </row>
    <row r="2911" spans="1:45" s="520" customFormat="1" ht="12" customHeight="1">
      <c r="A2911" s="747">
        <v>3</v>
      </c>
      <c r="B2911" s="523" t="s">
        <v>141</v>
      </c>
      <c r="C2911" s="748"/>
      <c r="D2911" s="749" t="s">
        <v>1600</v>
      </c>
      <c r="E2911" s="750">
        <f ca="1">IF(AND($A2911=0,$A$1="DIF"),0, ROUND(ROUND(($R2916*$S$2+($T2916*$T$2))/A2911,2)*$C$2,2))</f>
        <v>104.97</v>
      </c>
      <c r="F2911" s="751">
        <f ca="1">ROUND($A2911*$E2911,2)</f>
        <v>314.91000000000003</v>
      </c>
      <c r="G2911" s="752" t="s">
        <v>142</v>
      </c>
      <c r="H2911" s="753"/>
      <c r="I2911" s="754"/>
      <c r="J2911" s="753"/>
      <c r="K2911" s="753" t="s">
        <v>3</v>
      </c>
      <c r="L2911" s="755" t="s">
        <v>143</v>
      </c>
      <c r="M2911" s="755"/>
      <c r="N2911" s="755"/>
      <c r="O2911" s="755"/>
      <c r="P2911" s="755"/>
      <c r="Q2911" s="51"/>
      <c r="T2911" s="756" t="str">
        <f ca="1">IF(AND($R2916=0,$T2916=0),"0.00","mu :" &amp; ROUND($F2911/$C$2/($R2916+$T2916*$D$9),2))</f>
        <v>mu :1.23</v>
      </c>
      <c r="W2911" s="524"/>
      <c r="AG2911" s="481">
        <f ca="1">IF($E2911=0,0,ROUND($R2916*$S$2*$C$2/$A2911,2))</f>
        <v>72.849999999999994</v>
      </c>
      <c r="AH2911" s="481">
        <f ca="1">$AG2911*$A2911</f>
        <v>218.54999999999998</v>
      </c>
      <c r="AI2911" s="525">
        <f ca="1">$E2911-$AG2911</f>
        <v>32.120000000000005</v>
      </c>
      <c r="AJ2911" s="525">
        <f ca="1">$A2911*$AI2911</f>
        <v>96.360000000000014</v>
      </c>
      <c r="AK2911" s="526">
        <f ca="1">ROUND(($AG2911+$AI2911)*$A2911,2)</f>
        <v>314.91000000000003</v>
      </c>
      <c r="AM2911" s="527">
        <f ca="1">ROUND(R2916,2)</f>
        <v>177.48</v>
      </c>
      <c r="AN2911" s="528">
        <f ca="1">ROUND(T2916,2)</f>
        <v>2.85</v>
      </c>
      <c r="AO2911" s="529">
        <f ca="1">ROUND(AM2911+AN2911,2)*A2911</f>
        <v>540.99</v>
      </c>
      <c r="AR2911" s="747">
        <v>3</v>
      </c>
      <c r="AS2911" s="751">
        <v>325.05</v>
      </c>
    </row>
    <row r="2912" spans="1:45" s="520" customFormat="1" ht="13.2">
      <c r="A2912" s="748"/>
      <c r="B2912"/>
      <c r="C2912" s="748"/>
      <c r="D2912" s="749" t="s">
        <v>1221</v>
      </c>
      <c r="F2912" s="753"/>
      <c r="G2912" s="3"/>
      <c r="H2912" s="753"/>
      <c r="I2912" s="754"/>
      <c r="J2912" s="753"/>
      <c r="K2912" s="753" t="s">
        <v>144</v>
      </c>
      <c r="L2912" s="753"/>
      <c r="M2912" s="753"/>
      <c r="N2912" s="753"/>
      <c r="O2912" s="753"/>
      <c r="P2912" s="753"/>
      <c r="Q2912" s="51"/>
      <c r="R2912" s="530"/>
      <c r="S2912" s="757"/>
      <c r="T2912" s="753"/>
      <c r="AR2912" s="748"/>
      <c r="AS2912" s="753"/>
    </row>
    <row r="2913" spans="1:45" s="520" customFormat="1" ht="12">
      <c r="A2913" s="51"/>
      <c r="B2913" s="758"/>
      <c r="C2913" s="753" t="s">
        <v>2597</v>
      </c>
      <c r="D2913" s="753" t="str">
        <f ca="1">CELL("Address",Elec_Rates!$D$219)</f>
        <v>[E25_0062_Quintano_Foods_Elec_ELV_As_Awarded.xlsx]Elec_Rates!$D$219</v>
      </c>
      <c r="E2913" s="758"/>
      <c r="F2913" s="753"/>
      <c r="G2913" s="1049" t="s">
        <v>2598</v>
      </c>
      <c r="H2913" s="1050"/>
      <c r="I2913" s="1051"/>
      <c r="J2913" s="1050"/>
      <c r="K2913" s="1050"/>
      <c r="L2913" s="758"/>
      <c r="M2913" s="758"/>
      <c r="N2913" s="758"/>
      <c r="O2913" s="758"/>
      <c r="P2913" s="758"/>
      <c r="Q2913" s="519"/>
      <c r="R2913" s="759"/>
      <c r="S2913" s="519"/>
      <c r="T2913" s="760"/>
      <c r="AR2913" s="51"/>
      <c r="AS2913" s="753"/>
    </row>
    <row r="2914" spans="1:45" s="520" customFormat="1" ht="11.4">
      <c r="A2914" s="51">
        <v>3</v>
      </c>
      <c r="B2914" s="519">
        <v>1</v>
      </c>
      <c r="C2914" s="519">
        <f>$A2914*$B2914</f>
        <v>3</v>
      </c>
      <c r="D2914" s="1048" t="str">
        <f>Elec_Rates!$D$219</f>
        <v>021# 3-Phase 40A Isolator</v>
      </c>
      <c r="E2914" s="1048"/>
      <c r="F2914" s="1048" t="s">
        <v>2733</v>
      </c>
      <c r="G2914" s="1050" t="s">
        <v>2600</v>
      </c>
      <c r="H2914" s="1050"/>
      <c r="I2914" s="1051"/>
      <c r="J2914" s="1050"/>
      <c r="K2914" s="1050"/>
      <c r="L2914" s="758"/>
      <c r="M2914" s="758"/>
      <c r="N2914" s="758"/>
      <c r="O2914" s="758"/>
      <c r="P2914" s="758"/>
      <c r="Q2914" s="1052">
        <f ca="1">$B2914*Elec_Rates!$R$219</f>
        <v>59.16</v>
      </c>
      <c r="R2914" s="759">
        <f ca="1">$A2914*Q2914</f>
        <v>177.48</v>
      </c>
      <c r="S2914" s="1052">
        <f ca="1">$B2914*Elec_Rates!$T$219</f>
        <v>0.95</v>
      </c>
      <c r="T2914" s="917">
        <f ca="1">$A2914*S2914</f>
        <v>2.8499999999999996</v>
      </c>
      <c r="AR2914" s="51">
        <v>3</v>
      </c>
      <c r="AS2914" s="1048" t="s">
        <v>2733</v>
      </c>
    </row>
    <row r="2915" spans="1:45" s="520" customFormat="1" ht="12">
      <c r="A2915" s="758"/>
      <c r="B2915" s="758"/>
      <c r="C2915" s="758"/>
      <c r="D2915" s="758"/>
      <c r="E2915" s="758"/>
      <c r="F2915" s="753"/>
      <c r="G2915" s="758"/>
      <c r="H2915" s="758"/>
      <c r="I2915" s="519"/>
      <c r="J2915" s="758"/>
      <c r="K2915" s="758"/>
      <c r="L2915" s="758"/>
      <c r="M2915" s="758"/>
      <c r="N2915" s="758"/>
      <c r="O2915" s="758"/>
      <c r="P2915" s="758"/>
      <c r="Q2915" s="519"/>
      <c r="R2915" s="759">
        <f>$A2915*Q2915</f>
        <v>0</v>
      </c>
      <c r="S2915" s="519"/>
      <c r="T2915" s="760">
        <f>$A2915*S2915*$T$1</f>
        <v>0</v>
      </c>
      <c r="AR2915" s="758"/>
      <c r="AS2915" s="753"/>
    </row>
    <row r="2916" spans="1:45" s="520" customFormat="1" ht="12.6" thickBot="1">
      <c r="A2916" s="761" t="s">
        <v>145</v>
      </c>
      <c r="B2916" s="762">
        <f>(R2915+T2915)</f>
        <v>0</v>
      </c>
      <c r="C2916" s="763"/>
      <c r="D2916" s="763"/>
      <c r="E2916" s="763"/>
      <c r="F2916" s="764"/>
      <c r="G2916" s="763" t="s">
        <v>146</v>
      </c>
      <c r="H2916" s="763"/>
      <c r="I2916" s="765"/>
      <c r="J2916" s="763"/>
      <c r="K2916" s="763" t="s">
        <v>3</v>
      </c>
      <c r="L2916" s="766" t="s">
        <v>143</v>
      </c>
      <c r="M2916" s="766"/>
      <c r="N2916" s="766"/>
      <c r="O2916" s="766"/>
      <c r="P2916" s="766"/>
      <c r="Q2916" s="767"/>
      <c r="R2916" s="768">
        <f ca="1">SUM(R2912:R2915)</f>
        <v>177.48</v>
      </c>
      <c r="S2916" s="763"/>
      <c r="T2916" s="768">
        <f ca="1">SUM(T2912:T2915)</f>
        <v>2.8499999999999996</v>
      </c>
      <c r="U2916" s="531"/>
      <c r="V2916" s="531"/>
      <c r="W2916" s="531"/>
      <c r="X2916" s="531"/>
      <c r="Y2916" s="531"/>
      <c r="Z2916" s="531"/>
      <c r="AA2916" s="531"/>
      <c r="AB2916" s="531"/>
      <c r="AC2916" s="531"/>
      <c r="AD2916" s="531"/>
      <c r="AE2916" s="531"/>
      <c r="AF2916" s="531"/>
      <c r="AG2916" s="531"/>
      <c r="AH2916" s="531"/>
      <c r="AI2916" s="531"/>
      <c r="AJ2916" s="531"/>
      <c r="AK2916" s="531"/>
      <c r="AL2916" s="531"/>
      <c r="AM2916" s="531"/>
      <c r="AN2916" s="531"/>
      <c r="AO2916" s="531"/>
      <c r="AR2916" s="761" t="s">
        <v>145</v>
      </c>
      <c r="AS2916" s="764"/>
    </row>
    <row r="2917" spans="1:45" s="520" customFormat="1" ht="12" thickTop="1">
      <c r="A2917" s="51"/>
      <c r="B2917" s="41"/>
      <c r="C2917" s="51"/>
      <c r="E2917" s="42" t="s">
        <v>138</v>
      </c>
      <c r="F2917" s="42" t="s">
        <v>139</v>
      </c>
      <c r="G2917" s="51"/>
      <c r="H2917" s="51"/>
      <c r="I2917" s="51"/>
      <c r="J2917" s="51"/>
      <c r="K2917" s="51" t="s">
        <v>140</v>
      </c>
      <c r="L2917" s="51"/>
      <c r="M2917" s="51"/>
      <c r="N2917" s="51"/>
      <c r="O2917" s="52"/>
      <c r="P2917" s="51"/>
      <c r="Q2917" s="51"/>
      <c r="R2917" s="51"/>
      <c r="S2917" s="51"/>
      <c r="T2917" s="41"/>
      <c r="AG2917" s="521" t="s">
        <v>268</v>
      </c>
      <c r="AH2917" s="521" t="s">
        <v>269</v>
      </c>
      <c r="AI2917" s="521" t="s">
        <v>270</v>
      </c>
      <c r="AJ2917" s="521" t="s">
        <v>271</v>
      </c>
      <c r="AK2917" s="521" t="s">
        <v>272</v>
      </c>
      <c r="AM2917" s="745" t="s">
        <v>281</v>
      </c>
      <c r="AN2917" s="746" t="s">
        <v>282</v>
      </c>
      <c r="AO2917" s="522" t="s">
        <v>278</v>
      </c>
      <c r="AR2917" s="51"/>
      <c r="AS2917" s="42" t="s">
        <v>139</v>
      </c>
    </row>
    <row r="2918" spans="1:45" s="520" customFormat="1" ht="12" customHeight="1">
      <c r="A2918" s="747">
        <v>1</v>
      </c>
      <c r="B2918" s="523" t="s">
        <v>141</v>
      </c>
      <c r="C2918" s="748"/>
      <c r="D2918" s="749" t="s">
        <v>1601</v>
      </c>
      <c r="E2918" s="750">
        <f ca="1">IF(AND($A2918=0,$A$1="DIF"),0, ROUND(ROUND(($R2923*$S$2+($T2923*$T$2))/A2918,2)*$C$2,2))</f>
        <v>48.45</v>
      </c>
      <c r="F2918" s="751">
        <f ca="1">ROUND($A2918*$E2918,2)</f>
        <v>48.45</v>
      </c>
      <c r="G2918" s="752" t="s">
        <v>142</v>
      </c>
      <c r="H2918" s="753"/>
      <c r="I2918" s="754"/>
      <c r="J2918" s="753"/>
      <c r="K2918" s="753" t="s">
        <v>3</v>
      </c>
      <c r="L2918" s="755" t="s">
        <v>143</v>
      </c>
      <c r="M2918" s="755"/>
      <c r="N2918" s="755"/>
      <c r="O2918" s="755"/>
      <c r="P2918" s="755"/>
      <c r="Q2918" s="51"/>
      <c r="T2918" s="756" t="str">
        <f ca="1">IF(AND($R2923=0,$T2923=0),"0.00","mu :" &amp; ROUND($F2918/$C$2/($R2923+$T2923*$D$9),2))</f>
        <v>mu :1.23</v>
      </c>
      <c r="W2918" s="524"/>
      <c r="AG2918" s="481">
        <f ca="1">IF($E2918=0,0,ROUND($R2923*$S$2*$C$2/$A2918,2))</f>
        <v>31.55</v>
      </c>
      <c r="AH2918" s="481">
        <f ca="1">$AG2918*$A2918</f>
        <v>31.55</v>
      </c>
      <c r="AI2918" s="525">
        <f ca="1">$E2918-$AG2918</f>
        <v>16.900000000000002</v>
      </c>
      <c r="AJ2918" s="525">
        <f ca="1">$A2918*$AI2918</f>
        <v>16.900000000000002</v>
      </c>
      <c r="AK2918" s="526">
        <f ca="1">ROUND(($AG2918+$AI2918)*$A2918,2)</f>
        <v>48.45</v>
      </c>
      <c r="AM2918" s="527">
        <f ca="1">ROUND(R2923,2)</f>
        <v>25.62</v>
      </c>
      <c r="AN2918" s="528">
        <f ca="1">ROUND(T2923,2)</f>
        <v>0.5</v>
      </c>
      <c r="AO2918" s="529">
        <f ca="1">ROUND(AM2918+AN2918,2)*A2918</f>
        <v>26.12</v>
      </c>
      <c r="AR2918" s="747">
        <v>1</v>
      </c>
      <c r="AS2918" s="751">
        <v>50.14</v>
      </c>
    </row>
    <row r="2919" spans="1:45" s="520" customFormat="1" ht="13.2">
      <c r="A2919" s="748"/>
      <c r="B2919"/>
      <c r="C2919" s="748"/>
      <c r="D2919" s="749" t="s">
        <v>1245</v>
      </c>
      <c r="F2919" s="753"/>
      <c r="G2919" s="3"/>
      <c r="H2919" s="753"/>
      <c r="I2919" s="754"/>
      <c r="J2919" s="753"/>
      <c r="K2919" s="753" t="s">
        <v>144</v>
      </c>
      <c r="L2919" s="753"/>
      <c r="M2919" s="753"/>
      <c r="N2919" s="753"/>
      <c r="O2919" s="753"/>
      <c r="P2919" s="753"/>
      <c r="Q2919" s="51"/>
      <c r="R2919" s="530"/>
      <c r="S2919" s="757"/>
      <c r="T2919" s="753"/>
      <c r="AR2919" s="748"/>
      <c r="AS2919" s="753"/>
    </row>
    <row r="2920" spans="1:45" s="520" customFormat="1" ht="12">
      <c r="A2920" s="51"/>
      <c r="B2920" s="758"/>
      <c r="C2920" s="753" t="s">
        <v>2597</v>
      </c>
      <c r="D2920" s="753" t="str">
        <f ca="1">CELL("Address",Elec_Rates!$D$192)</f>
        <v>[E25_0062_Quintano_Foods_Elec_ELV_As_Awarded.xlsx]Elec_Rates!$D$192</v>
      </c>
      <c r="E2920" s="758"/>
      <c r="F2920" s="753"/>
      <c r="G2920" s="1049" t="s">
        <v>2598</v>
      </c>
      <c r="H2920" s="1050"/>
      <c r="I2920" s="1051"/>
      <c r="J2920" s="1050"/>
      <c r="K2920" s="1050"/>
      <c r="L2920" s="758"/>
      <c r="M2920" s="758"/>
      <c r="N2920" s="758"/>
      <c r="O2920" s="758"/>
      <c r="P2920" s="758"/>
      <c r="Q2920" s="519"/>
      <c r="R2920" s="759"/>
      <c r="S2920" s="519"/>
      <c r="T2920" s="760"/>
      <c r="AR2920" s="51"/>
      <c r="AS2920" s="753"/>
    </row>
    <row r="2921" spans="1:45" s="520" customFormat="1" ht="11.4">
      <c r="A2921" s="51">
        <v>1</v>
      </c>
      <c r="B2921" s="519">
        <v>1</v>
      </c>
      <c r="C2921" s="519">
        <f>$A2921*$B2921</f>
        <v>1</v>
      </c>
      <c r="D2921" s="1048" t="str">
        <f>Elec_Rates!$D$192</f>
        <v>018# 1-Phase 25/32A Isolator</v>
      </c>
      <c r="E2921" s="1048"/>
      <c r="F2921" s="1048" t="s">
        <v>2733</v>
      </c>
      <c r="G2921" s="1050" t="s">
        <v>2600</v>
      </c>
      <c r="H2921" s="1050"/>
      <c r="I2921" s="1051"/>
      <c r="J2921" s="1050"/>
      <c r="K2921" s="1050"/>
      <c r="L2921" s="758"/>
      <c r="M2921" s="758"/>
      <c r="N2921" s="758"/>
      <c r="O2921" s="758"/>
      <c r="P2921" s="758"/>
      <c r="Q2921" s="1052">
        <f ca="1">$B2921*Elec_Rates!$R$192</f>
        <v>25.62</v>
      </c>
      <c r="R2921" s="759">
        <f ca="1">$A2921*Q2921</f>
        <v>25.62</v>
      </c>
      <c r="S2921" s="1052">
        <f ca="1">$B2921*Elec_Rates!$T$192</f>
        <v>0.5</v>
      </c>
      <c r="T2921" s="917">
        <f ca="1">$A2921*S2921</f>
        <v>0.5</v>
      </c>
      <c r="AR2921" s="51">
        <v>1</v>
      </c>
      <c r="AS2921" s="1048" t="s">
        <v>2733</v>
      </c>
    </row>
    <row r="2922" spans="1:45" s="520" customFormat="1" ht="12">
      <c r="A2922" s="758"/>
      <c r="B2922" s="758"/>
      <c r="C2922" s="758"/>
      <c r="D2922" s="758"/>
      <c r="E2922" s="758"/>
      <c r="F2922" s="753"/>
      <c r="G2922" s="758"/>
      <c r="H2922" s="758"/>
      <c r="I2922" s="519"/>
      <c r="J2922" s="758"/>
      <c r="K2922" s="758"/>
      <c r="L2922" s="758"/>
      <c r="M2922" s="758"/>
      <c r="N2922" s="758"/>
      <c r="O2922" s="758"/>
      <c r="P2922" s="758"/>
      <c r="Q2922" s="519"/>
      <c r="R2922" s="759">
        <f>$A2922*Q2922</f>
        <v>0</v>
      </c>
      <c r="S2922" s="519"/>
      <c r="T2922" s="760">
        <f>$A2922*S2922*$T$1</f>
        <v>0</v>
      </c>
      <c r="AR2922" s="758"/>
      <c r="AS2922" s="753"/>
    </row>
    <row r="2923" spans="1:45" s="520" customFormat="1" ht="12.6" thickBot="1">
      <c r="A2923" s="761" t="s">
        <v>145</v>
      </c>
      <c r="B2923" s="762">
        <f>(R2922+T2922)</f>
        <v>0</v>
      </c>
      <c r="C2923" s="763"/>
      <c r="D2923" s="763"/>
      <c r="E2923" s="763"/>
      <c r="F2923" s="764"/>
      <c r="G2923" s="763" t="s">
        <v>146</v>
      </c>
      <c r="H2923" s="763"/>
      <c r="I2923" s="765"/>
      <c r="J2923" s="763"/>
      <c r="K2923" s="763" t="s">
        <v>3</v>
      </c>
      <c r="L2923" s="766" t="s">
        <v>143</v>
      </c>
      <c r="M2923" s="766"/>
      <c r="N2923" s="766"/>
      <c r="O2923" s="766"/>
      <c r="P2923" s="766"/>
      <c r="Q2923" s="767"/>
      <c r="R2923" s="768">
        <f ca="1">SUM(R2919:R2922)</f>
        <v>25.62</v>
      </c>
      <c r="S2923" s="763"/>
      <c r="T2923" s="768">
        <f ca="1">SUM(T2919:T2922)</f>
        <v>0.5</v>
      </c>
      <c r="U2923" s="531"/>
      <c r="V2923" s="531"/>
      <c r="W2923" s="531"/>
      <c r="X2923" s="531"/>
      <c r="Y2923" s="531"/>
      <c r="Z2923" s="531"/>
      <c r="AA2923" s="531"/>
      <c r="AB2923" s="531"/>
      <c r="AC2923" s="531"/>
      <c r="AD2923" s="531"/>
      <c r="AE2923" s="531"/>
      <c r="AF2923" s="531"/>
      <c r="AG2923" s="531"/>
      <c r="AH2923" s="531"/>
      <c r="AI2923" s="531"/>
      <c r="AJ2923" s="531"/>
      <c r="AK2923" s="531"/>
      <c r="AL2923" s="531"/>
      <c r="AM2923" s="531"/>
      <c r="AN2923" s="531"/>
      <c r="AO2923" s="531"/>
      <c r="AR2923" s="761" t="s">
        <v>145</v>
      </c>
      <c r="AS2923" s="764"/>
    </row>
    <row r="2924" spans="1:45" s="520" customFormat="1" ht="12" thickTop="1">
      <c r="A2924" s="48" t="s">
        <v>148</v>
      </c>
      <c r="D2924" s="13"/>
      <c r="E2924" s="42"/>
      <c r="O2924" s="771"/>
      <c r="AR2924" s="48" t="s">
        <v>148</v>
      </c>
    </row>
    <row r="2925" spans="1:45" s="520" customFormat="1" ht="13.2">
      <c r="B2925" s="3"/>
      <c r="O2925" s="771"/>
    </row>
    <row r="2926" spans="1:45" s="520" customFormat="1" ht="12">
      <c r="B2926" s="772">
        <f ca="1">$F2926/$C$2-($R2926*$S$2+$T2926*$T$2)</f>
        <v>0.33314578559838992</v>
      </c>
      <c r="D2926" s="773" t="s">
        <v>3629</v>
      </c>
      <c r="E2926" s="774"/>
      <c r="F2926" s="775">
        <f ca="1">SUMIF($L2734:$L2924,"ITEM",F2734:F2924)</f>
        <v>5444.7299999999987</v>
      </c>
      <c r="G2926" s="758"/>
      <c r="H2926" s="758"/>
      <c r="I2926" s="519"/>
      <c r="J2926" s="758"/>
      <c r="K2926" s="758"/>
      <c r="L2926" s="755" t="s">
        <v>157</v>
      </c>
      <c r="M2926" s="755"/>
      <c r="N2926" s="755"/>
      <c r="O2926" s="755"/>
      <c r="P2926" s="755"/>
      <c r="R2926" s="775">
        <f ca="1">SUMIF($L2734:$L2924,"ITEM",R2734:R2924)</f>
        <v>2923.29</v>
      </c>
      <c r="S2926" s="776"/>
      <c r="T2926" s="775">
        <f ca="1">SUMIF($L2734:$L2924,"ITEM",T2734:T2924)</f>
        <v>54.559999999999995</v>
      </c>
      <c r="AS2926" s="775">
        <v>5669.7800000000007</v>
      </c>
    </row>
    <row r="2927" spans="1:45" s="520" customFormat="1" ht="13.2">
      <c r="A2927" s="51"/>
      <c r="B2927" s="49" t="s">
        <v>1064</v>
      </c>
      <c r="C2927" s="51"/>
      <c r="D2927" s="3"/>
      <c r="F2927" s="777" t="s">
        <v>158</v>
      </c>
      <c r="G2927" s="758"/>
      <c r="H2927" s="758"/>
      <c r="I2927" s="519"/>
      <c r="J2927" s="758"/>
      <c r="K2927" s="758"/>
      <c r="L2927" s="758"/>
      <c r="M2927" s="758"/>
      <c r="N2927" s="758"/>
      <c r="O2927" s="758"/>
      <c r="P2927" s="758"/>
      <c r="Q2927" s="778"/>
      <c r="R2927" s="777" t="s">
        <v>159</v>
      </c>
      <c r="S2927" s="38"/>
      <c r="T2927" s="777" t="s">
        <v>160</v>
      </c>
      <c r="AR2927" s="51"/>
      <c r="AS2927" s="777" t="s">
        <v>158</v>
      </c>
    </row>
    <row r="2928" spans="1:45" s="520" customFormat="1" ht="13.2">
      <c r="A2928" s="758"/>
      <c r="B2928" s="3"/>
      <c r="C2928" s="758"/>
      <c r="D2928" s="3"/>
      <c r="E2928" s="3"/>
      <c r="G2928" s="3"/>
      <c r="H2928" s="3"/>
      <c r="I2928" s="3"/>
      <c r="J2928" s="3"/>
      <c r="K2928" s="3"/>
      <c r="L2928" s="3"/>
      <c r="M2928" s="3"/>
      <c r="N2928" s="3"/>
      <c r="O2928" s="107"/>
      <c r="P2928" s="3"/>
      <c r="Q2928" s="3"/>
      <c r="R2928" s="3"/>
      <c r="S2928" s="3"/>
      <c r="T2928" s="3"/>
      <c r="AR2928" s="758"/>
    </row>
    <row r="2929" spans="1:45" s="520" customFormat="1" ht="12" thickBot="1">
      <c r="A2929" s="531"/>
      <c r="B2929" s="763"/>
      <c r="C2929" s="763"/>
      <c r="D2929" s="531"/>
      <c r="E2929" s="39"/>
      <c r="F2929" s="779"/>
      <c r="G2929" s="763"/>
      <c r="H2929" s="763"/>
      <c r="I2929" s="765"/>
      <c r="J2929" s="763"/>
      <c r="K2929" s="763"/>
      <c r="L2929" s="766"/>
      <c r="M2929" s="766"/>
      <c r="N2929" s="766"/>
      <c r="O2929" s="766"/>
      <c r="P2929" s="766"/>
      <c r="Q2929" s="767"/>
      <c r="R2929" s="779"/>
      <c r="S2929" s="780"/>
      <c r="T2929" s="779"/>
      <c r="U2929" s="531"/>
      <c r="V2929" s="531"/>
      <c r="W2929" s="531"/>
      <c r="X2929" s="531"/>
      <c r="Y2929" s="531"/>
      <c r="Z2929" s="531"/>
      <c r="AA2929" s="531"/>
      <c r="AB2929" s="531"/>
      <c r="AC2929" s="531"/>
      <c r="AD2929" s="531"/>
      <c r="AE2929" s="531"/>
      <c r="AF2929" s="531"/>
      <c r="AG2929" s="531"/>
      <c r="AH2929" s="531"/>
      <c r="AI2929" s="531"/>
      <c r="AJ2929" s="531"/>
      <c r="AK2929" s="531"/>
      <c r="AR2929" s="531"/>
      <c r="AS2929" s="779"/>
    </row>
    <row r="2930" spans="1:45" s="520" customFormat="1" thickTop="1">
      <c r="A2930" s="51"/>
      <c r="B2930" s="51"/>
      <c r="C2930" s="3"/>
      <c r="D2930" s="3"/>
      <c r="E2930" s="51"/>
      <c r="F2930" s="51"/>
      <c r="G2930" s="51"/>
      <c r="H2930" s="51"/>
      <c r="I2930" s="51"/>
      <c r="J2930" s="51"/>
      <c r="K2930" s="51" t="s">
        <v>134</v>
      </c>
      <c r="L2930" s="51"/>
      <c r="M2930" s="51"/>
      <c r="N2930" s="51"/>
      <c r="O2930" s="52"/>
      <c r="P2930" s="51"/>
      <c r="Q2930" s="51"/>
      <c r="R2930" s="51"/>
      <c r="S2930" s="51"/>
      <c r="T2930" s="51"/>
      <c r="AR2930" s="51"/>
      <c r="AS2930" s="51"/>
    </row>
    <row r="2931" spans="1:45" s="520" customFormat="1" ht="12">
      <c r="A2931" s="51"/>
      <c r="B2931" s="51"/>
      <c r="C2931" s="51" t="s">
        <v>135</v>
      </c>
      <c r="D2931" s="37"/>
      <c r="E2931" s="51"/>
      <c r="F2931" s="51"/>
      <c r="G2931" s="51"/>
      <c r="H2931" s="51"/>
      <c r="I2931" s="51"/>
      <c r="J2931" s="51"/>
      <c r="K2931" s="51"/>
      <c r="L2931" s="51"/>
      <c r="M2931" s="51"/>
      <c r="N2931" s="51"/>
      <c r="O2931" s="52"/>
      <c r="P2931" s="51"/>
      <c r="Q2931" s="51"/>
      <c r="R2931" s="51"/>
      <c r="S2931" s="51"/>
      <c r="T2931" s="51"/>
      <c r="AR2931" s="51"/>
      <c r="AS2931" s="51"/>
    </row>
    <row r="2932" spans="1:45" s="520" customFormat="1" ht="12">
      <c r="A2932" s="51"/>
      <c r="B2932" s="51"/>
      <c r="C2932" s="51"/>
      <c r="D2932" s="37" t="s">
        <v>343</v>
      </c>
      <c r="E2932" s="51"/>
      <c r="F2932" s="51"/>
      <c r="G2932" s="51"/>
      <c r="H2932" s="51"/>
      <c r="I2932" s="51"/>
      <c r="J2932" s="51"/>
      <c r="K2932" s="51"/>
      <c r="L2932" s="51"/>
      <c r="M2932" s="51"/>
      <c r="N2932" s="51"/>
      <c r="O2932" s="52"/>
      <c r="P2932" s="51"/>
      <c r="Q2932" s="51"/>
      <c r="R2932" s="51"/>
      <c r="S2932" s="38"/>
      <c r="T2932" s="38"/>
      <c r="AR2932" s="51"/>
      <c r="AS2932" s="51"/>
    </row>
    <row r="2933" spans="1:45" s="3" customFormat="1" thickBot="1">
      <c r="A2933" s="531"/>
      <c r="O2933" s="107"/>
      <c r="AR2933" s="531"/>
    </row>
    <row r="2934" spans="1:45" s="520" customFormat="1" thickTop="1">
      <c r="A2934" s="51"/>
      <c r="B2934" s="51"/>
      <c r="C2934" s="3"/>
      <c r="D2934" s="3"/>
      <c r="E2934" s="51"/>
      <c r="F2934" s="51"/>
      <c r="G2934" s="51"/>
      <c r="H2934" s="51"/>
      <c r="I2934" s="51"/>
      <c r="J2934" s="51"/>
      <c r="K2934" s="51" t="s">
        <v>134</v>
      </c>
      <c r="L2934" s="51"/>
      <c r="M2934" s="51"/>
      <c r="N2934" s="51"/>
      <c r="O2934" s="52"/>
      <c r="P2934" s="51"/>
      <c r="Q2934" s="51"/>
      <c r="R2934" s="51"/>
      <c r="S2934" s="51"/>
      <c r="T2934" s="51"/>
      <c r="AR2934" s="51"/>
      <c r="AS2934" s="51"/>
    </row>
    <row r="2935" spans="1:45" s="520" customFormat="1" ht="12">
      <c r="A2935" s="51"/>
      <c r="B2935" s="51"/>
      <c r="C2935" s="51" t="s">
        <v>135</v>
      </c>
      <c r="D2935" s="37"/>
      <c r="E2935" s="51"/>
      <c r="F2935" s="51"/>
      <c r="G2935" s="51"/>
      <c r="H2935" s="51"/>
      <c r="I2935" s="51"/>
      <c r="J2935" s="51"/>
      <c r="K2935" s="51"/>
      <c r="L2935" s="51"/>
      <c r="M2935" s="51"/>
      <c r="N2935" s="51"/>
      <c r="O2935" s="52"/>
      <c r="P2935" s="51"/>
      <c r="Q2935" s="51"/>
      <c r="R2935" s="51"/>
      <c r="S2935" s="51"/>
      <c r="T2935" s="51"/>
      <c r="AR2935" s="51"/>
      <c r="AS2935" s="51"/>
    </row>
    <row r="2936" spans="1:45" s="520" customFormat="1" ht="39.9" customHeight="1">
      <c r="A2936" s="51"/>
      <c r="B2936" s="51"/>
      <c r="C2936" s="51"/>
      <c r="D2936" s="1453" t="s">
        <v>1602</v>
      </c>
      <c r="E2936" s="1452"/>
      <c r="F2936" s="1452"/>
      <c r="G2936" s="1452"/>
      <c r="H2936" s="1452"/>
      <c r="I2936" s="1452"/>
      <c r="J2936" s="1452"/>
      <c r="K2936" s="1452"/>
      <c r="L2936" s="1452"/>
      <c r="M2936" s="1452"/>
      <c r="N2936" s="1452"/>
      <c r="O2936" s="1452"/>
      <c r="P2936" s="1452"/>
      <c r="Q2936" s="1452"/>
      <c r="R2936" s="1452"/>
      <c r="S2936" s="1452"/>
      <c r="T2936" s="1452"/>
      <c r="AR2936" s="51"/>
    </row>
    <row r="2937" spans="1:45" s="3" customFormat="1" thickBot="1">
      <c r="A2937" s="531"/>
      <c r="O2937" s="107"/>
      <c r="AR2937" s="531"/>
    </row>
    <row r="2938" spans="1:45" s="520" customFormat="1" thickTop="1">
      <c r="A2938" s="51"/>
      <c r="B2938" s="51"/>
      <c r="C2938" s="3"/>
      <c r="D2938" s="3"/>
      <c r="E2938" s="51"/>
      <c r="F2938" s="51"/>
      <c r="G2938" s="51"/>
      <c r="H2938" s="51"/>
      <c r="I2938" s="51"/>
      <c r="J2938" s="51"/>
      <c r="K2938" s="51" t="s">
        <v>134</v>
      </c>
      <c r="L2938" s="51"/>
      <c r="M2938" s="51"/>
      <c r="N2938" s="51"/>
      <c r="O2938" s="52"/>
      <c r="P2938" s="51"/>
      <c r="Q2938" s="51"/>
      <c r="R2938" s="51"/>
      <c r="S2938" s="51"/>
      <c r="T2938" s="51"/>
      <c r="AR2938" s="51"/>
      <c r="AS2938" s="51"/>
    </row>
    <row r="2939" spans="1:45" s="520" customFormat="1" ht="12">
      <c r="A2939" s="51"/>
      <c r="B2939" s="51"/>
      <c r="C2939" s="51" t="s">
        <v>135</v>
      </c>
      <c r="D2939" s="37"/>
      <c r="E2939" s="51"/>
      <c r="F2939" s="51"/>
      <c r="G2939" s="51"/>
      <c r="H2939" s="51"/>
      <c r="I2939" s="51"/>
      <c r="J2939" s="51"/>
      <c r="K2939" s="51"/>
      <c r="L2939" s="51"/>
      <c r="M2939" s="51"/>
      <c r="N2939" s="51"/>
      <c r="O2939" s="52"/>
      <c r="P2939" s="51"/>
      <c r="Q2939" s="51"/>
      <c r="R2939" s="51"/>
      <c r="S2939" s="51"/>
      <c r="T2939" s="51"/>
      <c r="AR2939" s="51"/>
      <c r="AS2939" s="51"/>
    </row>
    <row r="2940" spans="1:45" s="520" customFormat="1" ht="12">
      <c r="A2940" s="51"/>
      <c r="B2940" s="51"/>
      <c r="C2940" s="51"/>
      <c r="D2940" s="37" t="s">
        <v>753</v>
      </c>
      <c r="E2940" s="51"/>
      <c r="F2940" s="51"/>
      <c r="G2940" s="51"/>
      <c r="H2940" s="51"/>
      <c r="I2940" s="51"/>
      <c r="J2940" s="51"/>
      <c r="K2940" s="51"/>
      <c r="L2940" s="51"/>
      <c r="M2940" s="51"/>
      <c r="N2940" s="51"/>
      <c r="O2940" s="52"/>
      <c r="P2940" s="51"/>
      <c r="Q2940" s="51"/>
      <c r="R2940" s="51"/>
      <c r="S2940" s="38"/>
      <c r="T2940" s="38"/>
      <c r="AR2940" s="51"/>
      <c r="AS2940" s="51"/>
    </row>
    <row r="2941" spans="1:45" s="3" customFormat="1" thickBot="1">
      <c r="A2941" s="531"/>
      <c r="O2941" s="107"/>
      <c r="AR2941" s="531"/>
    </row>
    <row r="2942" spans="1:45" s="520" customFormat="1" ht="12" thickTop="1">
      <c r="A2942" s="51"/>
      <c r="B2942" s="41"/>
      <c r="C2942" s="51"/>
      <c r="E2942" s="42" t="s">
        <v>138</v>
      </c>
      <c r="F2942" s="42" t="s">
        <v>139</v>
      </c>
      <c r="G2942" s="51"/>
      <c r="H2942" s="51"/>
      <c r="I2942" s="51"/>
      <c r="J2942" s="51"/>
      <c r="K2942" s="51" t="s">
        <v>140</v>
      </c>
      <c r="L2942" s="51"/>
      <c r="M2942" s="51"/>
      <c r="N2942" s="51"/>
      <c r="O2942" s="52"/>
      <c r="P2942" s="51"/>
      <c r="Q2942" s="51"/>
      <c r="R2942" s="51"/>
      <c r="S2942" s="51"/>
      <c r="T2942" s="41"/>
      <c r="AG2942" s="521" t="s">
        <v>268</v>
      </c>
      <c r="AH2942" s="521" t="s">
        <v>269</v>
      </c>
      <c r="AI2942" s="521" t="s">
        <v>270</v>
      </c>
      <c r="AJ2942" s="521" t="s">
        <v>271</v>
      </c>
      <c r="AK2942" s="521" t="s">
        <v>272</v>
      </c>
      <c r="AM2942" s="745" t="s">
        <v>281</v>
      </c>
      <c r="AN2942" s="746" t="s">
        <v>282</v>
      </c>
      <c r="AO2942" s="522" t="s">
        <v>278</v>
      </c>
      <c r="AR2942" s="51"/>
      <c r="AS2942" s="42" t="s">
        <v>139</v>
      </c>
    </row>
    <row r="2943" spans="1:45" s="520" customFormat="1" ht="12" customHeight="1">
      <c r="A2943" s="747">
        <v>16</v>
      </c>
      <c r="B2943" s="523" t="s">
        <v>141</v>
      </c>
      <c r="C2943" s="748"/>
      <c r="D2943" s="749" t="s">
        <v>1603</v>
      </c>
      <c r="E2943" s="750">
        <f ca="1">IF(AND($A2943=0,$A$1="DIF"),0, ROUND(ROUND(($R2949*$S$2+($T2949*$T$2))/A2943,2)*$C$2,2))</f>
        <v>196.52</v>
      </c>
      <c r="F2943" s="751">
        <f ca="1">ROUND($A2943*$E2943,2)</f>
        <v>3144.32</v>
      </c>
      <c r="G2943" s="752" t="s">
        <v>142</v>
      </c>
      <c r="H2943" s="753"/>
      <c r="I2943" s="754"/>
      <c r="J2943" s="753"/>
      <c r="K2943" s="753" t="s">
        <v>3</v>
      </c>
      <c r="L2943" s="755" t="s">
        <v>143</v>
      </c>
      <c r="M2943" s="755"/>
      <c r="N2943" s="755"/>
      <c r="O2943" s="755"/>
      <c r="P2943" s="755"/>
      <c r="Q2943" s="51"/>
      <c r="T2943" s="756" t="str">
        <f ca="1">IF(AND($R2949=0,$T2949=0),"0.00","mu :" &amp; ROUND($F2943/$C$2/($R2949+$T2949*$D$9),2))</f>
        <v>mu :1.23</v>
      </c>
      <c r="W2943" s="524"/>
      <c r="AG2943" s="481">
        <f ca="1">IF($E2943=0,0,ROUND($R2949*$S$2*$C$2/$A2943,2))</f>
        <v>89.24</v>
      </c>
      <c r="AH2943" s="481">
        <f ca="1">$AG2943*$A2943</f>
        <v>1427.84</v>
      </c>
      <c r="AI2943" s="525">
        <f ca="1">$E2943-$AG2943</f>
        <v>107.28000000000002</v>
      </c>
      <c r="AJ2943" s="525">
        <f ca="1">$A2943*$AI2943</f>
        <v>1716.4800000000002</v>
      </c>
      <c r="AK2943" s="526">
        <f ca="1">ROUND(($AG2943+$AI2943)*$A2943,2)</f>
        <v>3144.32</v>
      </c>
      <c r="AM2943" s="527">
        <f ca="1">ROUND(R2949,2)</f>
        <v>1159.52</v>
      </c>
      <c r="AN2943" s="528">
        <f ca="1">ROUND(T2949,2)</f>
        <v>50.77</v>
      </c>
      <c r="AO2943" s="529">
        <f ca="1">ROUND(AM2943+AN2943,2)*A2943</f>
        <v>19364.64</v>
      </c>
      <c r="AR2943" s="747">
        <v>16</v>
      </c>
      <c r="AS2943" s="751">
        <v>3332.16</v>
      </c>
    </row>
    <row r="2944" spans="1:45" s="520" customFormat="1" ht="13.2">
      <c r="A2944" s="748"/>
      <c r="B2944"/>
      <c r="C2944" s="748"/>
      <c r="D2944" s="749" t="s">
        <v>788</v>
      </c>
      <c r="F2944" s="753"/>
      <c r="G2944" s="3"/>
      <c r="H2944" s="753"/>
      <c r="I2944" s="754"/>
      <c r="J2944" s="753"/>
      <c r="K2944" s="753" t="s">
        <v>144</v>
      </c>
      <c r="L2944" s="753"/>
      <c r="M2944" s="753"/>
      <c r="N2944" s="753"/>
      <c r="O2944" s="753"/>
      <c r="P2944" s="753"/>
      <c r="Q2944" s="51"/>
      <c r="R2944" s="530"/>
      <c r="S2944" s="757"/>
      <c r="T2944" s="753"/>
      <c r="AR2944" s="748"/>
      <c r="AS2944" s="753"/>
    </row>
    <row r="2945" spans="1:45" s="886" customFormat="1" ht="13.2">
      <c r="A2945"/>
      <c r="B2945" s="910"/>
      <c r="C2945" s="910" t="s">
        <v>2597</v>
      </c>
      <c r="D2945" s="910" t="str">
        <f ca="1">CELL("Address",Elec_Rates!D$112)</f>
        <v>[E25_0062_Quintano_Foods_Elec_ELV_As_Awarded.xlsx]Elec_Rates!$D$112</v>
      </c>
      <c r="E2945" s="911"/>
      <c r="F2945" s="911"/>
      <c r="G2945" s="912" t="s">
        <v>2598</v>
      </c>
      <c r="H2945" s="912"/>
      <c r="I2945" s="912"/>
      <c r="J2945" s="912"/>
      <c r="K2945" s="913"/>
      <c r="L2945" s="911"/>
      <c r="M2945" s="911"/>
      <c r="N2945" s="911"/>
      <c r="O2945" s="914"/>
      <c r="P2945" s="911"/>
      <c r="Q2945" s="915"/>
      <c r="R2945" s="916"/>
      <c r="S2945" s="915"/>
      <c r="T2945" s="917"/>
      <c r="U2945" s="918"/>
      <c r="AR2945"/>
      <c r="AS2945" s="911"/>
    </row>
    <row r="2946" spans="1:45" s="886" customFormat="1" ht="11.4">
      <c r="A2946" s="919">
        <v>16</v>
      </c>
      <c r="B2946" s="920">
        <v>1</v>
      </c>
      <c r="C2946" s="920">
        <f>$A2946*$B2946</f>
        <v>16</v>
      </c>
      <c r="D2946" s="921" t="str">
        <f>Elec_Rates!$D$112</f>
        <v>009# Power points rate (Galvanised conduit)</v>
      </c>
      <c r="E2946" s="921"/>
      <c r="F2946" s="921" t="s">
        <v>2599</v>
      </c>
      <c r="G2946" s="922" t="s">
        <v>2601</v>
      </c>
      <c r="H2946" s="922"/>
      <c r="I2946" s="922"/>
      <c r="J2946" s="922"/>
      <c r="K2946" s="923"/>
      <c r="L2946" s="918"/>
      <c r="M2946" s="918"/>
      <c r="N2946" s="918"/>
      <c r="O2946" s="924"/>
      <c r="P2946" s="921"/>
      <c r="Q2946" s="925">
        <f ca="1">$B2946*Elec_Rates!$R$112</f>
        <v>64.069999999999993</v>
      </c>
      <c r="R2946" s="916">
        <f ca="1">$A2946*Q2946</f>
        <v>1025.1199999999999</v>
      </c>
      <c r="S2946" s="925">
        <f ca="1">$B2946*Elec_Rates!$T$112</f>
        <v>3.02</v>
      </c>
      <c r="T2946" s="917">
        <f ca="1">$A2946*S2946</f>
        <v>48.32</v>
      </c>
      <c r="U2946" s="926"/>
      <c r="AR2946" s="919">
        <v>16</v>
      </c>
      <c r="AS2946" s="921" t="s">
        <v>2599</v>
      </c>
    </row>
    <row r="2947" spans="1:45" s="901" customFormat="1" ht="13.2">
      <c r="A2947" s="116">
        <v>16</v>
      </c>
      <c r="B2947" s="901" t="s">
        <v>141</v>
      </c>
      <c r="D2947" s="901" t="s">
        <v>2870</v>
      </c>
      <c r="E2947" s="901" t="s">
        <v>3424</v>
      </c>
      <c r="F2947" s="1054" t="s">
        <v>3433</v>
      </c>
      <c r="G2947" s="941" t="s">
        <v>2871</v>
      </c>
      <c r="H2947" s="942">
        <v>705</v>
      </c>
      <c r="I2947" s="901" t="s">
        <v>2872</v>
      </c>
      <c r="J2947" s="901" t="s">
        <v>2873</v>
      </c>
      <c r="O2947" s="943">
        <v>3</v>
      </c>
      <c r="P2947" s="944">
        <v>34669</v>
      </c>
      <c r="Q2947" s="945">
        <v>8.4</v>
      </c>
      <c r="R2947" s="946">
        <f>$A2947*Q2947</f>
        <v>134.4</v>
      </c>
      <c r="S2947" s="945">
        <v>0.17</v>
      </c>
      <c r="T2947" s="947">
        <f>$A2947*S2947*$T$1</f>
        <v>2.4480000000000004</v>
      </c>
      <c r="AR2947" s="116">
        <v>16</v>
      </c>
      <c r="AS2947" s="1054" t="s">
        <v>3433</v>
      </c>
    </row>
    <row r="2948" spans="1:45" s="520" customFormat="1" ht="12">
      <c r="A2948" s="758"/>
      <c r="B2948" s="758"/>
      <c r="C2948" s="758"/>
      <c r="D2948" s="758"/>
      <c r="E2948" s="758"/>
      <c r="F2948" s="753"/>
      <c r="G2948" s="758"/>
      <c r="H2948" s="758"/>
      <c r="I2948" s="519"/>
      <c r="J2948" s="758"/>
      <c r="K2948" s="758"/>
      <c r="L2948" s="758"/>
      <c r="M2948" s="758"/>
      <c r="N2948" s="758"/>
      <c r="O2948" s="758"/>
      <c r="P2948" s="758"/>
      <c r="Q2948" s="519"/>
      <c r="R2948" s="759">
        <f>$A2948*Q2948</f>
        <v>0</v>
      </c>
      <c r="S2948" s="519"/>
      <c r="T2948" s="760">
        <f>$A2948*S2948*$T$1</f>
        <v>0</v>
      </c>
      <c r="AR2948" s="758"/>
      <c r="AS2948" s="753"/>
    </row>
    <row r="2949" spans="1:45" s="520" customFormat="1" ht="12.6" thickBot="1">
      <c r="A2949" s="761" t="s">
        <v>145</v>
      </c>
      <c r="B2949" s="762">
        <f>(R2948+T2948)</f>
        <v>0</v>
      </c>
      <c r="C2949" s="763"/>
      <c r="D2949" s="763"/>
      <c r="E2949" s="763"/>
      <c r="F2949" s="764"/>
      <c r="G2949" s="763" t="s">
        <v>146</v>
      </c>
      <c r="H2949" s="763"/>
      <c r="I2949" s="765"/>
      <c r="J2949" s="763"/>
      <c r="K2949" s="763" t="s">
        <v>3</v>
      </c>
      <c r="L2949" s="766" t="s">
        <v>143</v>
      </c>
      <c r="M2949" s="766"/>
      <c r="N2949" s="766"/>
      <c r="O2949" s="766"/>
      <c r="P2949" s="766"/>
      <c r="Q2949" s="767"/>
      <c r="R2949" s="768">
        <f ca="1">SUM(R2944:R2948)</f>
        <v>1159.52</v>
      </c>
      <c r="S2949" s="763"/>
      <c r="T2949" s="768">
        <f ca="1">SUM(T2944:T2948)</f>
        <v>50.768000000000001</v>
      </c>
      <c r="U2949" s="531"/>
      <c r="V2949" s="531"/>
      <c r="W2949" s="531"/>
      <c r="X2949" s="531"/>
      <c r="Y2949" s="531"/>
      <c r="Z2949" s="531"/>
      <c r="AA2949" s="531"/>
      <c r="AB2949" s="531"/>
      <c r="AC2949" s="531"/>
      <c r="AD2949" s="531"/>
      <c r="AE2949" s="531"/>
      <c r="AF2949" s="531"/>
      <c r="AG2949" s="531"/>
      <c r="AH2949" s="531"/>
      <c r="AI2949" s="531"/>
      <c r="AJ2949" s="531"/>
      <c r="AK2949" s="531"/>
      <c r="AL2949" s="531"/>
      <c r="AM2949" s="531"/>
      <c r="AN2949" s="531"/>
      <c r="AO2949" s="531"/>
      <c r="AR2949" s="761" t="s">
        <v>145</v>
      </c>
      <c r="AS2949" s="764"/>
    </row>
    <row r="2950" spans="1:45" s="520" customFormat="1" ht="12" thickTop="1">
      <c r="A2950" s="51"/>
      <c r="B2950" s="41"/>
      <c r="C2950" s="51"/>
      <c r="E2950" s="42" t="s">
        <v>138</v>
      </c>
      <c r="F2950" s="42" t="s">
        <v>139</v>
      </c>
      <c r="G2950" s="51"/>
      <c r="H2950" s="51"/>
      <c r="I2950" s="51"/>
      <c r="J2950" s="51"/>
      <c r="K2950" s="51" t="s">
        <v>140</v>
      </c>
      <c r="L2950" s="51"/>
      <c r="M2950" s="51"/>
      <c r="N2950" s="51"/>
      <c r="O2950" s="52"/>
      <c r="P2950" s="51"/>
      <c r="Q2950" s="51"/>
      <c r="R2950" s="51"/>
      <c r="S2950" s="51"/>
      <c r="T2950" s="41"/>
      <c r="AG2950" s="521" t="s">
        <v>268</v>
      </c>
      <c r="AH2950" s="521" t="s">
        <v>269</v>
      </c>
      <c r="AI2950" s="521" t="s">
        <v>270</v>
      </c>
      <c r="AJ2950" s="521" t="s">
        <v>271</v>
      </c>
      <c r="AK2950" s="521" t="s">
        <v>272</v>
      </c>
      <c r="AM2950" s="745" t="s">
        <v>281</v>
      </c>
      <c r="AN2950" s="746" t="s">
        <v>282</v>
      </c>
      <c r="AO2950" s="522" t="s">
        <v>278</v>
      </c>
      <c r="AR2950" s="51"/>
      <c r="AS2950" s="42" t="s">
        <v>139</v>
      </c>
    </row>
    <row r="2951" spans="1:45" s="520" customFormat="1" ht="12" customHeight="1">
      <c r="A2951" s="747">
        <v>5</v>
      </c>
      <c r="B2951" s="523" t="s">
        <v>141</v>
      </c>
      <c r="C2951" s="748"/>
      <c r="D2951" s="749" t="s">
        <v>1604</v>
      </c>
      <c r="E2951" s="750">
        <f ca="1">IF(AND($A2951=0,$A$1="DIF"),0, ROUND(ROUND(($R2957*$S$2+($T2957*$T$2))/A2951,2)*$C$2,2))</f>
        <v>195.54</v>
      </c>
      <c r="F2951" s="751">
        <f ca="1">ROUND($A2951*$E2951,2)</f>
        <v>977.7</v>
      </c>
      <c r="G2951" s="752" t="s">
        <v>142</v>
      </c>
      <c r="H2951" s="753"/>
      <c r="I2951" s="754"/>
      <c r="J2951" s="753"/>
      <c r="K2951" s="753" t="s">
        <v>3</v>
      </c>
      <c r="L2951" s="755" t="s">
        <v>143</v>
      </c>
      <c r="M2951" s="755"/>
      <c r="N2951" s="755"/>
      <c r="O2951" s="755"/>
      <c r="P2951" s="755"/>
      <c r="Q2951" s="51"/>
      <c r="T2951" s="756" t="str">
        <f ca="1">IF(AND($R2957=0,$T2957=0),"0.00","mu :" &amp; ROUND($F2951/$C$2/($R2957+$T2957*$D$9),2))</f>
        <v>mu :1.23</v>
      </c>
      <c r="W2951" s="524"/>
      <c r="AG2951" s="481">
        <f ca="1">IF($E2951=0,0,ROUND($R2957*$S$2*$C$2/$A2951,2))</f>
        <v>88.25</v>
      </c>
      <c r="AH2951" s="481">
        <f ca="1">$AG2951*$A2951</f>
        <v>441.25</v>
      </c>
      <c r="AI2951" s="525">
        <f ca="1">$E2951-$AG2951</f>
        <v>107.28999999999999</v>
      </c>
      <c r="AJ2951" s="525">
        <f ca="1">$A2951*$AI2951</f>
        <v>536.44999999999993</v>
      </c>
      <c r="AK2951" s="526">
        <f ca="1">ROUND(($AG2951+$AI2951)*$A2951,2)</f>
        <v>977.7</v>
      </c>
      <c r="AM2951" s="527">
        <f ca="1">ROUND(R2957,2)</f>
        <v>358.35</v>
      </c>
      <c r="AN2951" s="528">
        <f ca="1">ROUND(T2957,2)</f>
        <v>15.87</v>
      </c>
      <c r="AO2951" s="529">
        <f ca="1">ROUND(AM2951+AN2951,2)*A2951</f>
        <v>1871.1000000000001</v>
      </c>
      <c r="AR2951" s="747">
        <v>5</v>
      </c>
      <c r="AS2951" s="751">
        <v>1036.3499999999999</v>
      </c>
    </row>
    <row r="2952" spans="1:45" s="520" customFormat="1" ht="13.2">
      <c r="A2952" s="748"/>
      <c r="B2952"/>
      <c r="C2952" s="748"/>
      <c r="D2952" s="749" t="s">
        <v>724</v>
      </c>
      <c r="F2952" s="753"/>
      <c r="G2952" s="3"/>
      <c r="H2952" s="753"/>
      <c r="I2952" s="754"/>
      <c r="J2952" s="753"/>
      <c r="K2952" s="753" t="s">
        <v>144</v>
      </c>
      <c r="L2952" s="753"/>
      <c r="M2952" s="753"/>
      <c r="N2952" s="753"/>
      <c r="O2952" s="753"/>
      <c r="P2952" s="753"/>
      <c r="Q2952" s="51"/>
      <c r="R2952" s="530"/>
      <c r="S2952" s="757"/>
      <c r="T2952" s="753"/>
      <c r="AR2952" s="748"/>
      <c r="AS2952" s="753"/>
    </row>
    <row r="2953" spans="1:45" s="886" customFormat="1" ht="13.2">
      <c r="A2953"/>
      <c r="B2953" s="910"/>
      <c r="C2953" s="910" t="s">
        <v>2597</v>
      </c>
      <c r="D2953" s="910" t="str">
        <f ca="1">CELL("Address",Elec_Rates!D$112)</f>
        <v>[E25_0062_Quintano_Foods_Elec_ELV_As_Awarded.xlsx]Elec_Rates!$D$112</v>
      </c>
      <c r="E2953" s="911"/>
      <c r="F2953" s="911"/>
      <c r="G2953" s="912" t="s">
        <v>2598</v>
      </c>
      <c r="H2953" s="912"/>
      <c r="I2953" s="912"/>
      <c r="J2953" s="912"/>
      <c r="K2953" s="913"/>
      <c r="L2953" s="911"/>
      <c r="M2953" s="911"/>
      <c r="N2953" s="911"/>
      <c r="O2953" s="914"/>
      <c r="P2953" s="911"/>
      <c r="Q2953" s="915"/>
      <c r="R2953" s="916"/>
      <c r="S2953" s="915"/>
      <c r="T2953" s="917"/>
      <c r="U2953" s="918"/>
      <c r="AR2953"/>
      <c r="AS2953" s="911"/>
    </row>
    <row r="2954" spans="1:45" s="886" customFormat="1" ht="11.4">
      <c r="A2954" s="919">
        <v>5</v>
      </c>
      <c r="B2954" s="920">
        <v>1</v>
      </c>
      <c r="C2954" s="920">
        <f>$A2954*$B2954</f>
        <v>5</v>
      </c>
      <c r="D2954" s="921" t="str">
        <f>Elec_Rates!$D$112</f>
        <v>009# Power points rate (Galvanised conduit)</v>
      </c>
      <c r="E2954" s="921"/>
      <c r="F2954" s="921" t="s">
        <v>2599</v>
      </c>
      <c r="G2954" s="922" t="s">
        <v>2601</v>
      </c>
      <c r="H2954" s="922"/>
      <c r="I2954" s="922"/>
      <c r="J2954" s="922"/>
      <c r="K2954" s="923"/>
      <c r="L2954" s="918"/>
      <c r="M2954" s="918"/>
      <c r="N2954" s="918"/>
      <c r="O2954" s="924"/>
      <c r="P2954" s="921"/>
      <c r="Q2954" s="925">
        <f ca="1">$B2954*Elec_Rates!$R$112</f>
        <v>64.069999999999993</v>
      </c>
      <c r="R2954" s="916">
        <f ca="1">$A2954*Q2954</f>
        <v>320.34999999999997</v>
      </c>
      <c r="S2954" s="925">
        <f ca="1">$B2954*Elec_Rates!$T$112</f>
        <v>3.02</v>
      </c>
      <c r="T2954" s="917">
        <f ca="1">$A2954*S2954</f>
        <v>15.1</v>
      </c>
      <c r="U2954" s="926"/>
      <c r="AR2954" s="919">
        <v>5</v>
      </c>
      <c r="AS2954" s="921" t="s">
        <v>2599</v>
      </c>
    </row>
    <row r="2955" spans="1:45" s="901" customFormat="1" ht="13.2">
      <c r="A2955" s="116">
        <v>5</v>
      </c>
      <c r="B2955" s="901" t="s">
        <v>141</v>
      </c>
      <c r="D2955" s="901" t="s">
        <v>2874</v>
      </c>
      <c r="E2955" s="901" t="s">
        <v>3424</v>
      </c>
      <c r="F2955" s="1054" t="s">
        <v>3431</v>
      </c>
      <c r="G2955" s="941" t="s">
        <v>2875</v>
      </c>
      <c r="H2955" s="942">
        <v>705</v>
      </c>
      <c r="I2955" s="901" t="s">
        <v>2872</v>
      </c>
      <c r="J2955" s="901" t="s">
        <v>2876</v>
      </c>
      <c r="O2955" s="943">
        <v>3</v>
      </c>
      <c r="P2955" s="944">
        <v>34700</v>
      </c>
      <c r="Q2955" s="945">
        <v>7.6</v>
      </c>
      <c r="R2955" s="946">
        <f>$A2955*Q2955</f>
        <v>38</v>
      </c>
      <c r="S2955" s="945">
        <v>0.17</v>
      </c>
      <c r="T2955" s="947">
        <f>$A2955*S2955*$T$1</f>
        <v>0.76500000000000012</v>
      </c>
      <c r="AR2955" s="116">
        <v>5</v>
      </c>
      <c r="AS2955" s="1054" t="s">
        <v>3431</v>
      </c>
    </row>
    <row r="2956" spans="1:45" s="520" customFormat="1" ht="12">
      <c r="A2956" s="758"/>
      <c r="B2956" s="758"/>
      <c r="C2956" s="758"/>
      <c r="D2956" s="758"/>
      <c r="E2956" s="758"/>
      <c r="F2956" s="753"/>
      <c r="G2956" s="758"/>
      <c r="H2956" s="758"/>
      <c r="I2956" s="519"/>
      <c r="J2956" s="758"/>
      <c r="K2956" s="758"/>
      <c r="L2956" s="758"/>
      <c r="M2956" s="758"/>
      <c r="N2956" s="758"/>
      <c r="O2956" s="758"/>
      <c r="P2956" s="758"/>
      <c r="Q2956" s="519"/>
      <c r="R2956" s="759">
        <f>$A2956*Q2956</f>
        <v>0</v>
      </c>
      <c r="S2956" s="519"/>
      <c r="T2956" s="760">
        <f>$A2956*S2956*$T$1</f>
        <v>0</v>
      </c>
      <c r="AR2956" s="758"/>
      <c r="AS2956" s="753"/>
    </row>
    <row r="2957" spans="1:45" s="520" customFormat="1" ht="12.6" thickBot="1">
      <c r="A2957" s="761" t="s">
        <v>145</v>
      </c>
      <c r="B2957" s="762">
        <f>(R2956+T2956)</f>
        <v>0</v>
      </c>
      <c r="C2957" s="763"/>
      <c r="D2957" s="763"/>
      <c r="E2957" s="763"/>
      <c r="F2957" s="764"/>
      <c r="G2957" s="763" t="s">
        <v>146</v>
      </c>
      <c r="H2957" s="763"/>
      <c r="I2957" s="765"/>
      <c r="J2957" s="763"/>
      <c r="K2957" s="763" t="s">
        <v>3</v>
      </c>
      <c r="L2957" s="766" t="s">
        <v>143</v>
      </c>
      <c r="M2957" s="766"/>
      <c r="N2957" s="766"/>
      <c r="O2957" s="766"/>
      <c r="P2957" s="766"/>
      <c r="Q2957" s="767"/>
      <c r="R2957" s="768">
        <f ca="1">SUM(R2952:R2956)</f>
        <v>358.34999999999997</v>
      </c>
      <c r="S2957" s="763"/>
      <c r="T2957" s="768">
        <f ca="1">SUM(T2952:T2956)</f>
        <v>15.865</v>
      </c>
      <c r="U2957" s="531"/>
      <c r="V2957" s="531"/>
      <c r="W2957" s="531"/>
      <c r="X2957" s="531"/>
      <c r="Y2957" s="531"/>
      <c r="Z2957" s="531"/>
      <c r="AA2957" s="531"/>
      <c r="AB2957" s="531"/>
      <c r="AC2957" s="531"/>
      <c r="AD2957" s="531"/>
      <c r="AE2957" s="531"/>
      <c r="AF2957" s="531"/>
      <c r="AG2957" s="531"/>
      <c r="AH2957" s="531"/>
      <c r="AI2957" s="531"/>
      <c r="AJ2957" s="531"/>
      <c r="AK2957" s="531"/>
      <c r="AL2957" s="531"/>
      <c r="AM2957" s="531"/>
      <c r="AN2957" s="531"/>
      <c r="AO2957" s="531"/>
      <c r="AR2957" s="761" t="s">
        <v>145</v>
      </c>
      <c r="AS2957" s="764"/>
    </row>
    <row r="2958" spans="1:45" s="520" customFormat="1" ht="12" thickTop="1">
      <c r="A2958" s="51"/>
      <c r="B2958" s="41"/>
      <c r="C2958" s="51"/>
      <c r="E2958" s="42" t="s">
        <v>138</v>
      </c>
      <c r="F2958" s="42" t="s">
        <v>139</v>
      </c>
      <c r="G2958" s="51"/>
      <c r="H2958" s="51"/>
      <c r="I2958" s="51"/>
      <c r="J2958" s="51"/>
      <c r="K2958" s="51" t="s">
        <v>140</v>
      </c>
      <c r="L2958" s="51"/>
      <c r="M2958" s="51"/>
      <c r="N2958" s="51"/>
      <c r="O2958" s="52"/>
      <c r="P2958" s="51"/>
      <c r="Q2958" s="51"/>
      <c r="R2958" s="51"/>
      <c r="S2958" s="51"/>
      <c r="T2958" s="41"/>
      <c r="AG2958" s="521" t="s">
        <v>268</v>
      </c>
      <c r="AH2958" s="521" t="s">
        <v>269</v>
      </c>
      <c r="AI2958" s="521" t="s">
        <v>270</v>
      </c>
      <c r="AJ2958" s="521" t="s">
        <v>271</v>
      </c>
      <c r="AK2958" s="521" t="s">
        <v>272</v>
      </c>
      <c r="AM2958" s="745" t="s">
        <v>281</v>
      </c>
      <c r="AN2958" s="746" t="s">
        <v>282</v>
      </c>
      <c r="AO2958" s="522" t="s">
        <v>278</v>
      </c>
      <c r="AR2958" s="51"/>
      <c r="AS2958" s="42" t="s">
        <v>139</v>
      </c>
    </row>
    <row r="2959" spans="1:45" s="520" customFormat="1" ht="12" customHeight="1">
      <c r="A2959" s="747">
        <v>6</v>
      </c>
      <c r="B2959" s="523" t="s">
        <v>141</v>
      </c>
      <c r="C2959" s="748"/>
      <c r="D2959" s="749" t="s">
        <v>1605</v>
      </c>
      <c r="E2959" s="750">
        <f ca="1">IF(AND($A2959=0,$A$1="DIF"),0, ROUND(ROUND(($R2965*$S$2+($T2965*$T$2))/A2959,2)*$C$2,2))</f>
        <v>759.48</v>
      </c>
      <c r="F2959" s="751">
        <f ca="1">ROUND($A2959*$E2959,2)</f>
        <v>4556.88</v>
      </c>
      <c r="G2959" s="752" t="s">
        <v>142</v>
      </c>
      <c r="H2959" s="753"/>
      <c r="I2959" s="754"/>
      <c r="J2959" s="753"/>
      <c r="K2959" s="753" t="s">
        <v>3</v>
      </c>
      <c r="L2959" s="755" t="s">
        <v>143</v>
      </c>
      <c r="M2959" s="755"/>
      <c r="N2959" s="755"/>
      <c r="O2959" s="755"/>
      <c r="P2959" s="755"/>
      <c r="Q2959" s="51"/>
      <c r="T2959" s="756" t="str">
        <f ca="1">IF(AND($R2965=0,$T2965=0),"0.00","mu :" &amp; ROUND($F2959/$C$2/($R2965+$T2965*$D$9),2))</f>
        <v>mu :1.23</v>
      </c>
      <c r="W2959" s="524"/>
      <c r="AG2959" s="481">
        <f ca="1">IF($E2959=0,0,ROUND($R2965*$S$2*$C$2/$A2959,2))</f>
        <v>585.58000000000004</v>
      </c>
      <c r="AH2959" s="481">
        <f ca="1">$AG2959*$A2959</f>
        <v>3513.4800000000005</v>
      </c>
      <c r="AI2959" s="525">
        <f ca="1">$E2959-$AG2959</f>
        <v>173.89999999999998</v>
      </c>
      <c r="AJ2959" s="525">
        <f ca="1">$A2959*$AI2959</f>
        <v>1043.3999999999999</v>
      </c>
      <c r="AK2959" s="526">
        <f ca="1">ROUND(($AG2959+$AI2959)*$A2959,2)</f>
        <v>4556.88</v>
      </c>
      <c r="AM2959" s="527">
        <f ca="1">ROUND(R2965,2)</f>
        <v>2853.36</v>
      </c>
      <c r="AN2959" s="528">
        <f ca="1">ROUND(T2965,2)</f>
        <v>30.86</v>
      </c>
      <c r="AO2959" s="529">
        <f ca="1">ROUND(AM2959+AN2959,2)*A2959</f>
        <v>17305.32</v>
      </c>
      <c r="AR2959" s="747">
        <v>6</v>
      </c>
      <c r="AS2959" s="751">
        <v>4796.58</v>
      </c>
    </row>
    <row r="2960" spans="1:45" s="520" customFormat="1" ht="13.2">
      <c r="A2960" s="748"/>
      <c r="B2960"/>
      <c r="C2960" s="748"/>
      <c r="D2960" s="749" t="s">
        <v>755</v>
      </c>
      <c r="F2960" s="753"/>
      <c r="G2960" s="3"/>
      <c r="H2960" s="753"/>
      <c r="I2960" s="754"/>
      <c r="J2960" s="753"/>
      <c r="K2960" s="753" t="s">
        <v>144</v>
      </c>
      <c r="L2960" s="753"/>
      <c r="M2960" s="753"/>
      <c r="N2960" s="753"/>
      <c r="O2960" s="753"/>
      <c r="P2960" s="753"/>
      <c r="Q2960" s="51"/>
      <c r="R2960" s="530"/>
      <c r="S2960" s="757"/>
      <c r="T2960" s="753"/>
      <c r="AR2960" s="748"/>
      <c r="AS2960" s="753"/>
    </row>
    <row r="2961" spans="1:45" s="886" customFormat="1" ht="13.2">
      <c r="A2961"/>
      <c r="B2961" s="910"/>
      <c r="C2961" s="910" t="s">
        <v>2597</v>
      </c>
      <c r="D2961" s="910" t="str">
        <f ca="1">CELL("Address",Elec_Rates!D$120)</f>
        <v>[E25_0062_Quintano_Foods_Elec_ELV_As_Awarded.xlsx]Elec_Rates!$D$120</v>
      </c>
      <c r="E2961" s="911"/>
      <c r="F2961" s="911"/>
      <c r="G2961" s="912" t="s">
        <v>2598</v>
      </c>
      <c r="H2961" s="912"/>
      <c r="I2961" s="912"/>
      <c r="J2961" s="912"/>
      <c r="K2961" s="913"/>
      <c r="L2961" s="911"/>
      <c r="M2961" s="911"/>
      <c r="N2961" s="911"/>
      <c r="O2961" s="914"/>
      <c r="P2961" s="911"/>
      <c r="Q2961" s="915"/>
      <c r="R2961" s="916"/>
      <c r="S2961" s="915"/>
      <c r="T2961" s="917"/>
      <c r="U2961" s="918"/>
      <c r="AR2961"/>
      <c r="AS2961" s="911"/>
    </row>
    <row r="2962" spans="1:45" s="886" customFormat="1" ht="11.4">
      <c r="A2962" s="919">
        <v>6</v>
      </c>
      <c r="B2962" s="920">
        <v>1</v>
      </c>
      <c r="C2962" s="920">
        <f>$A2962*$B2962</f>
        <v>6</v>
      </c>
      <c r="D2962" s="921" t="str">
        <f>Elec_Rates!$D$120</f>
        <v>010# Power points rate galvanised conduit (CWZ LSZH Cable)</v>
      </c>
      <c r="E2962" s="921"/>
      <c r="F2962" s="921" t="s">
        <v>2599</v>
      </c>
      <c r="G2962" s="922" t="s">
        <v>2601</v>
      </c>
      <c r="H2962" s="922"/>
      <c r="I2962" s="922"/>
      <c r="J2962" s="922"/>
      <c r="K2962" s="923"/>
      <c r="L2962" s="918"/>
      <c r="M2962" s="918"/>
      <c r="N2962" s="918"/>
      <c r="O2962" s="924"/>
      <c r="P2962" s="921"/>
      <c r="Q2962" s="925">
        <f ca="1">$B2962*Elec_Rates!$R$120</f>
        <v>467.96</v>
      </c>
      <c r="R2962" s="916">
        <f ca="1">$A2962*Q2962</f>
        <v>2807.7599999999998</v>
      </c>
      <c r="S2962" s="925">
        <f ca="1">$B2962*Elec_Rates!$T$120</f>
        <v>4.99</v>
      </c>
      <c r="T2962" s="917">
        <f ca="1">$A2962*S2962</f>
        <v>29.94</v>
      </c>
      <c r="U2962" s="926"/>
      <c r="AR2962" s="919">
        <v>6</v>
      </c>
      <c r="AS2962" s="921" t="s">
        <v>2599</v>
      </c>
    </row>
    <row r="2963" spans="1:45" s="901" customFormat="1" ht="13.2">
      <c r="A2963" s="116">
        <v>6</v>
      </c>
      <c r="B2963" s="901" t="s">
        <v>141</v>
      </c>
      <c r="D2963" s="901" t="s">
        <v>2874</v>
      </c>
      <c r="E2963" s="901" t="s">
        <v>3424</v>
      </c>
      <c r="F2963" s="1054" t="s">
        <v>3431</v>
      </c>
      <c r="G2963" s="941" t="s">
        <v>2875</v>
      </c>
      <c r="H2963" s="942">
        <v>705</v>
      </c>
      <c r="I2963" s="901" t="s">
        <v>2872</v>
      </c>
      <c r="J2963" s="901" t="s">
        <v>2876</v>
      </c>
      <c r="O2963" s="943">
        <v>3</v>
      </c>
      <c r="P2963" s="944">
        <v>34700</v>
      </c>
      <c r="Q2963" s="945">
        <v>7.6</v>
      </c>
      <c r="R2963" s="946">
        <f>$A2963*Q2963</f>
        <v>45.599999999999994</v>
      </c>
      <c r="S2963" s="945">
        <v>0.17</v>
      </c>
      <c r="T2963" s="947">
        <f>$A2963*S2963*$T$1</f>
        <v>0.91800000000000004</v>
      </c>
      <c r="AR2963" s="116">
        <v>6</v>
      </c>
      <c r="AS2963" s="1054" t="s">
        <v>3431</v>
      </c>
    </row>
    <row r="2964" spans="1:45" s="520" customFormat="1" ht="12">
      <c r="A2964" s="758"/>
      <c r="B2964" s="758"/>
      <c r="C2964" s="758"/>
      <c r="D2964" s="758"/>
      <c r="E2964" s="758"/>
      <c r="F2964" s="753"/>
      <c r="G2964" s="758"/>
      <c r="H2964" s="758"/>
      <c r="I2964" s="519"/>
      <c r="J2964" s="758"/>
      <c r="K2964" s="758"/>
      <c r="L2964" s="758"/>
      <c r="M2964" s="758"/>
      <c r="N2964" s="758"/>
      <c r="O2964" s="758"/>
      <c r="P2964" s="758"/>
      <c r="Q2964" s="519"/>
      <c r="R2964" s="759">
        <f>$A2964*Q2964</f>
        <v>0</v>
      </c>
      <c r="S2964" s="519"/>
      <c r="T2964" s="760">
        <f>$A2964*S2964*$T$1</f>
        <v>0</v>
      </c>
      <c r="AR2964" s="758"/>
      <c r="AS2964" s="753"/>
    </row>
    <row r="2965" spans="1:45" s="520" customFormat="1" ht="12.6" thickBot="1">
      <c r="A2965" s="761" t="s">
        <v>145</v>
      </c>
      <c r="B2965" s="762">
        <f>(R2964+T2964)</f>
        <v>0</v>
      </c>
      <c r="C2965" s="763"/>
      <c r="D2965" s="763"/>
      <c r="E2965" s="763"/>
      <c r="F2965" s="764"/>
      <c r="G2965" s="763" t="s">
        <v>146</v>
      </c>
      <c r="H2965" s="763"/>
      <c r="I2965" s="765"/>
      <c r="J2965" s="763"/>
      <c r="K2965" s="763" t="s">
        <v>3</v>
      </c>
      <c r="L2965" s="766" t="s">
        <v>143</v>
      </c>
      <c r="M2965" s="766"/>
      <c r="N2965" s="766"/>
      <c r="O2965" s="766"/>
      <c r="P2965" s="766"/>
      <c r="Q2965" s="767"/>
      <c r="R2965" s="768">
        <f ca="1">SUM(R2960:R2964)</f>
        <v>2853.3599999999997</v>
      </c>
      <c r="S2965" s="763"/>
      <c r="T2965" s="768">
        <f ca="1">SUM(T2960:T2964)</f>
        <v>30.858000000000001</v>
      </c>
      <c r="U2965" s="531"/>
      <c r="V2965" s="531"/>
      <c r="W2965" s="531"/>
      <c r="X2965" s="531"/>
      <c r="Y2965" s="531"/>
      <c r="Z2965" s="531"/>
      <c r="AA2965" s="531"/>
      <c r="AB2965" s="531"/>
      <c r="AC2965" s="531"/>
      <c r="AD2965" s="531"/>
      <c r="AE2965" s="531"/>
      <c r="AF2965" s="531"/>
      <c r="AG2965" s="531"/>
      <c r="AH2965" s="531"/>
      <c r="AI2965" s="531"/>
      <c r="AJ2965" s="531"/>
      <c r="AK2965" s="531"/>
      <c r="AL2965" s="531"/>
      <c r="AM2965" s="531"/>
      <c r="AN2965" s="531"/>
      <c r="AO2965" s="531"/>
      <c r="AR2965" s="761" t="s">
        <v>145</v>
      </c>
      <c r="AS2965" s="764"/>
    </row>
    <row r="2966" spans="1:45" s="520" customFormat="1" ht="12" thickTop="1">
      <c r="A2966" s="51"/>
      <c r="B2966" s="41"/>
      <c r="C2966" s="51"/>
      <c r="E2966" s="42" t="s">
        <v>138</v>
      </c>
      <c r="F2966" s="42" t="s">
        <v>139</v>
      </c>
      <c r="G2966" s="51"/>
      <c r="H2966" s="51"/>
      <c r="I2966" s="51"/>
      <c r="J2966" s="51"/>
      <c r="K2966" s="51" t="s">
        <v>140</v>
      </c>
      <c r="L2966" s="51"/>
      <c r="M2966" s="51"/>
      <c r="N2966" s="51"/>
      <c r="O2966" s="52"/>
      <c r="P2966" s="51"/>
      <c r="Q2966" s="51"/>
      <c r="R2966" s="51"/>
      <c r="S2966" s="51"/>
      <c r="T2966" s="41"/>
      <c r="AG2966" s="521" t="s">
        <v>268</v>
      </c>
      <c r="AH2966" s="521" t="s">
        <v>269</v>
      </c>
      <c r="AI2966" s="521" t="s">
        <v>270</v>
      </c>
      <c r="AJ2966" s="521" t="s">
        <v>271</v>
      </c>
      <c r="AK2966" s="521" t="s">
        <v>272</v>
      </c>
      <c r="AM2966" s="745" t="s">
        <v>281</v>
      </c>
      <c r="AN2966" s="746" t="s">
        <v>282</v>
      </c>
      <c r="AO2966" s="522" t="s">
        <v>278</v>
      </c>
      <c r="AR2966" s="51"/>
      <c r="AS2966" s="42" t="s">
        <v>139</v>
      </c>
    </row>
    <row r="2967" spans="1:45" s="520" customFormat="1" ht="12" customHeight="1">
      <c r="A2967" s="747">
        <v>2</v>
      </c>
      <c r="B2967" s="523" t="s">
        <v>141</v>
      </c>
      <c r="C2967" s="748"/>
      <c r="D2967" s="749" t="s">
        <v>1606</v>
      </c>
      <c r="E2967" s="750">
        <f ca="1">IF(AND($A2967=0,$A$1="DIF"),0, ROUND(ROUND(($R2972*$S$2+($T2972*$T$2))/A2967,2)*$C$2,2))</f>
        <v>208.63</v>
      </c>
      <c r="F2967" s="751">
        <f ca="1">ROUND($A2967*$E2967,2)</f>
        <v>417.26</v>
      </c>
      <c r="G2967" s="752" t="s">
        <v>142</v>
      </c>
      <c r="H2967" s="753"/>
      <c r="I2967" s="754"/>
      <c r="J2967" s="753"/>
      <c r="K2967" s="753" t="s">
        <v>3</v>
      </c>
      <c r="L2967" s="755" t="s">
        <v>143</v>
      </c>
      <c r="M2967" s="755"/>
      <c r="N2967" s="755"/>
      <c r="O2967" s="755"/>
      <c r="P2967" s="755"/>
      <c r="Q2967" s="51"/>
      <c r="T2967" s="756" t="str">
        <f ca="1">IF(AND($R2972=0,$T2972=0),"0.00","mu :" &amp; ROUND($F2967/$C$2/($R2972+$T2972*$D$9),2))</f>
        <v>mu :1.23</v>
      </c>
      <c r="W2967" s="524"/>
      <c r="AG2967" s="481">
        <f ca="1">IF($E2967=0,0,ROUND($R2972*$S$2*$C$2/$A2967,2))</f>
        <v>91.64</v>
      </c>
      <c r="AH2967" s="481">
        <f ca="1">$AG2967*$A2967</f>
        <v>183.28</v>
      </c>
      <c r="AI2967" s="525">
        <f ca="1">$E2967-$AG2967</f>
        <v>116.99</v>
      </c>
      <c r="AJ2967" s="525">
        <f ca="1">$A2967*$AI2967</f>
        <v>233.98</v>
      </c>
      <c r="AK2967" s="526">
        <f ca="1">ROUND(($AG2967+$AI2967)*$A2967,2)</f>
        <v>417.26</v>
      </c>
      <c r="AM2967" s="527">
        <f ca="1">ROUND(R2972,2)</f>
        <v>148.84</v>
      </c>
      <c r="AN2967" s="528">
        <f ca="1">ROUND(T2972,2)</f>
        <v>6.92</v>
      </c>
      <c r="AO2967" s="529">
        <f ca="1">ROUND(AM2967+AN2967,2)*A2967</f>
        <v>311.52</v>
      </c>
      <c r="AR2967" s="747">
        <v>2</v>
      </c>
      <c r="AS2967" s="751">
        <v>442.96</v>
      </c>
    </row>
    <row r="2968" spans="1:45" s="520" customFormat="1" ht="13.2">
      <c r="A2968" s="748"/>
      <c r="B2968"/>
      <c r="C2968" s="748"/>
      <c r="D2968" s="749" t="s">
        <v>756</v>
      </c>
      <c r="F2968" s="753"/>
      <c r="G2968" s="3"/>
      <c r="H2968" s="753"/>
      <c r="I2968" s="754"/>
      <c r="J2968" s="753"/>
      <c r="K2968" s="753" t="s">
        <v>144</v>
      </c>
      <c r="L2968" s="753"/>
      <c r="M2968" s="753"/>
      <c r="N2968" s="753"/>
      <c r="O2968" s="753"/>
      <c r="P2968" s="753"/>
      <c r="Q2968" s="51"/>
      <c r="R2968" s="530"/>
      <c r="S2968" s="757"/>
      <c r="T2968" s="753"/>
      <c r="AR2968" s="748"/>
      <c r="AS2968" s="753"/>
    </row>
    <row r="2969" spans="1:45" s="886" customFormat="1" ht="13.2">
      <c r="A2969"/>
      <c r="B2969" s="910"/>
      <c r="C2969" s="910" t="s">
        <v>2597</v>
      </c>
      <c r="D2969" s="910" t="str">
        <f ca="1">CELL("Address",Elec_Rates!D$134)</f>
        <v>[E25_0062_Quintano_Foods_Elec_ELV_As_Awarded.xlsx]Elec_Rates!$D$134</v>
      </c>
      <c r="E2969" s="911"/>
      <c r="F2969" s="911"/>
      <c r="G2969" s="912" t="s">
        <v>2598</v>
      </c>
      <c r="H2969" s="912"/>
      <c r="I2969" s="912"/>
      <c r="J2969" s="912"/>
      <c r="K2969" s="913"/>
      <c r="L2969" s="911"/>
      <c r="M2969" s="911"/>
      <c r="N2969" s="911"/>
      <c r="O2969" s="914"/>
      <c r="P2969" s="911"/>
      <c r="Q2969" s="915"/>
      <c r="R2969" s="916"/>
      <c r="S2969" s="915"/>
      <c r="T2969" s="917"/>
      <c r="U2969" s="918"/>
      <c r="AR2969"/>
      <c r="AS2969" s="911"/>
    </row>
    <row r="2970" spans="1:45" s="886" customFormat="1" ht="11.4">
      <c r="A2970" s="919">
        <v>2</v>
      </c>
      <c r="B2970" s="920">
        <v>1</v>
      </c>
      <c r="C2970" s="920">
        <f>$A2970*$B2970</f>
        <v>2</v>
      </c>
      <c r="D2970" s="921" t="str">
        <f>Elec_Rates!$D$134</f>
        <v>012# Single phase isolator / socket outlet point Galvanised conduit</v>
      </c>
      <c r="E2970" s="921"/>
      <c r="F2970" s="921" t="s">
        <v>2599</v>
      </c>
      <c r="G2970" s="922" t="s">
        <v>2600</v>
      </c>
      <c r="H2970" s="922"/>
      <c r="I2970" s="922"/>
      <c r="J2970" s="922"/>
      <c r="K2970" s="923"/>
      <c r="L2970" s="918"/>
      <c r="M2970" s="918"/>
      <c r="N2970" s="918"/>
      <c r="O2970" s="924"/>
      <c r="P2970" s="921"/>
      <c r="Q2970" s="925">
        <f ca="1">$B2970*Elec_Rates!$R$134</f>
        <v>74.42</v>
      </c>
      <c r="R2970" s="916">
        <f ca="1">$A2970*Q2970</f>
        <v>148.84</v>
      </c>
      <c r="S2970" s="925">
        <f ca="1">$B2970*Elec_Rates!$T$134</f>
        <v>3.46</v>
      </c>
      <c r="T2970" s="917">
        <f ca="1">$A2970*S2970</f>
        <v>6.92</v>
      </c>
      <c r="U2970" s="926"/>
      <c r="AR2970" s="919">
        <v>2</v>
      </c>
      <c r="AS2970" s="921" t="s">
        <v>2599</v>
      </c>
    </row>
    <row r="2971" spans="1:45" s="520" customFormat="1" ht="12">
      <c r="A2971" s="758"/>
      <c r="B2971" s="758"/>
      <c r="C2971" s="758"/>
      <c r="D2971" s="758"/>
      <c r="E2971" s="758"/>
      <c r="F2971" s="753"/>
      <c r="G2971" s="758"/>
      <c r="H2971" s="758"/>
      <c r="I2971" s="519"/>
      <c r="J2971" s="758"/>
      <c r="K2971" s="758"/>
      <c r="L2971" s="758"/>
      <c r="M2971" s="758"/>
      <c r="N2971" s="758"/>
      <c r="O2971" s="758"/>
      <c r="P2971" s="758"/>
      <c r="Q2971" s="519"/>
      <c r="R2971" s="759">
        <f>$A2971*Q2971</f>
        <v>0</v>
      </c>
      <c r="S2971" s="519"/>
      <c r="T2971" s="760">
        <f>$A2971*S2971*$T$1</f>
        <v>0</v>
      </c>
      <c r="AR2971" s="758"/>
      <c r="AS2971" s="753"/>
    </row>
    <row r="2972" spans="1:45" s="520" customFormat="1" ht="12.6" thickBot="1">
      <c r="A2972" s="761" t="s">
        <v>145</v>
      </c>
      <c r="B2972" s="762">
        <f>(R2971+T2971)</f>
        <v>0</v>
      </c>
      <c r="C2972" s="763"/>
      <c r="D2972" s="763"/>
      <c r="E2972" s="763"/>
      <c r="F2972" s="764"/>
      <c r="G2972" s="763" t="s">
        <v>146</v>
      </c>
      <c r="H2972" s="763"/>
      <c r="I2972" s="765"/>
      <c r="J2972" s="763"/>
      <c r="K2972" s="763" t="s">
        <v>3</v>
      </c>
      <c r="L2972" s="766" t="s">
        <v>143</v>
      </c>
      <c r="M2972" s="766"/>
      <c r="N2972" s="766"/>
      <c r="O2972" s="766"/>
      <c r="P2972" s="766"/>
      <c r="Q2972" s="767"/>
      <c r="R2972" s="768">
        <f ca="1">SUM(R2968:R2971)</f>
        <v>148.84</v>
      </c>
      <c r="S2972" s="763"/>
      <c r="T2972" s="768">
        <f ca="1">SUM(T2968:T2971)</f>
        <v>6.92</v>
      </c>
      <c r="U2972" s="531"/>
      <c r="V2972" s="531"/>
      <c r="W2972" s="531"/>
      <c r="X2972" s="531"/>
      <c r="Y2972" s="531"/>
      <c r="Z2972" s="531"/>
      <c r="AA2972" s="531"/>
      <c r="AB2972" s="531"/>
      <c r="AC2972" s="531"/>
      <c r="AD2972" s="531"/>
      <c r="AE2972" s="531"/>
      <c r="AF2972" s="531"/>
      <c r="AG2972" s="531"/>
      <c r="AH2972" s="531"/>
      <c r="AI2972" s="531"/>
      <c r="AJ2972" s="531"/>
      <c r="AK2972" s="531"/>
      <c r="AL2972" s="531"/>
      <c r="AM2972" s="531"/>
      <c r="AN2972" s="531"/>
      <c r="AO2972" s="531"/>
      <c r="AR2972" s="761" t="s">
        <v>145</v>
      </c>
      <c r="AS2972" s="764"/>
    </row>
    <row r="2973" spans="1:45" s="520" customFormat="1" ht="12" thickTop="1">
      <c r="A2973" s="51"/>
      <c r="B2973" s="41"/>
      <c r="C2973" s="51"/>
      <c r="E2973" s="42" t="s">
        <v>138</v>
      </c>
      <c r="F2973" s="42" t="s">
        <v>139</v>
      </c>
      <c r="G2973" s="51"/>
      <c r="H2973" s="51"/>
      <c r="I2973" s="51"/>
      <c r="J2973" s="51"/>
      <c r="K2973" s="51" t="s">
        <v>140</v>
      </c>
      <c r="L2973" s="51"/>
      <c r="M2973" s="51"/>
      <c r="N2973" s="51"/>
      <c r="O2973" s="52"/>
      <c r="P2973" s="51"/>
      <c r="Q2973" s="51"/>
      <c r="R2973" s="51"/>
      <c r="S2973" s="51"/>
      <c r="T2973" s="41"/>
      <c r="AG2973" s="521" t="s">
        <v>268</v>
      </c>
      <c r="AH2973" s="521" t="s">
        <v>269</v>
      </c>
      <c r="AI2973" s="521" t="s">
        <v>270</v>
      </c>
      <c r="AJ2973" s="521" t="s">
        <v>271</v>
      </c>
      <c r="AK2973" s="521" t="s">
        <v>272</v>
      </c>
      <c r="AM2973" s="745" t="s">
        <v>281</v>
      </c>
      <c r="AN2973" s="746" t="s">
        <v>282</v>
      </c>
      <c r="AO2973" s="522" t="s">
        <v>278</v>
      </c>
      <c r="AR2973" s="51"/>
      <c r="AS2973" s="42" t="s">
        <v>139</v>
      </c>
    </row>
    <row r="2974" spans="1:45" s="520" customFormat="1" ht="12" customHeight="1">
      <c r="A2974" s="747">
        <v>3</v>
      </c>
      <c r="B2974" s="523" t="s">
        <v>141</v>
      </c>
      <c r="C2974" s="748"/>
      <c r="D2974" s="749" t="s">
        <v>1607</v>
      </c>
      <c r="E2974" s="750">
        <f ca="1">IF(AND($A2974=0,$A$1="DIF"),0, ROUND(ROUND(($R2979*$S$2+($T2979*$T$2))/A2974,2)*$C$2,2))</f>
        <v>208.63</v>
      </c>
      <c r="F2974" s="751">
        <f ca="1">ROUND($A2974*$E2974,2)</f>
        <v>625.89</v>
      </c>
      <c r="G2974" s="752" t="s">
        <v>142</v>
      </c>
      <c r="H2974" s="753"/>
      <c r="I2974" s="754"/>
      <c r="J2974" s="753"/>
      <c r="K2974" s="753" t="s">
        <v>3</v>
      </c>
      <c r="L2974" s="755" t="s">
        <v>143</v>
      </c>
      <c r="M2974" s="755"/>
      <c r="N2974" s="755"/>
      <c r="O2974" s="755"/>
      <c r="P2974" s="755"/>
      <c r="Q2974" s="51"/>
      <c r="T2974" s="756" t="str">
        <f ca="1">IF(AND($R2979=0,$T2979=0),"0.00","mu :" &amp; ROUND($F2974/$C$2/($R2979+$T2979*$D$9),2))</f>
        <v>mu :1.23</v>
      </c>
      <c r="W2974" s="524"/>
      <c r="AG2974" s="481">
        <f ca="1">IF($E2974=0,0,ROUND($R2979*$S$2*$C$2/$A2974,2))</f>
        <v>91.64</v>
      </c>
      <c r="AH2974" s="481">
        <f ca="1">$AG2974*$A2974</f>
        <v>274.92</v>
      </c>
      <c r="AI2974" s="525">
        <f ca="1">$E2974-$AG2974</f>
        <v>116.99</v>
      </c>
      <c r="AJ2974" s="525">
        <f ca="1">$A2974*$AI2974</f>
        <v>350.96999999999997</v>
      </c>
      <c r="AK2974" s="526">
        <f ca="1">ROUND(($AG2974+$AI2974)*$A2974,2)</f>
        <v>625.89</v>
      </c>
      <c r="AM2974" s="527">
        <f ca="1">ROUND(R2979,2)</f>
        <v>223.26</v>
      </c>
      <c r="AN2974" s="528">
        <f ca="1">ROUND(T2979,2)</f>
        <v>10.38</v>
      </c>
      <c r="AO2974" s="529">
        <f ca="1">ROUND(AM2974+AN2974,2)*A2974</f>
        <v>700.92</v>
      </c>
      <c r="AR2974" s="747">
        <v>3</v>
      </c>
      <c r="AS2974" s="751">
        <v>664.44</v>
      </c>
    </row>
    <row r="2975" spans="1:45" s="520" customFormat="1" ht="13.2">
      <c r="A2975" s="748"/>
      <c r="B2975"/>
      <c r="C2975" s="748"/>
      <c r="D2975" s="749" t="s">
        <v>757</v>
      </c>
      <c r="F2975" s="753"/>
      <c r="G2975" s="3"/>
      <c r="H2975" s="753"/>
      <c r="I2975" s="754"/>
      <c r="J2975" s="753"/>
      <c r="K2975" s="753" t="s">
        <v>144</v>
      </c>
      <c r="L2975" s="753"/>
      <c r="M2975" s="753"/>
      <c r="N2975" s="753"/>
      <c r="O2975" s="753"/>
      <c r="P2975" s="753"/>
      <c r="Q2975" s="51"/>
      <c r="R2975" s="530"/>
      <c r="S2975" s="757"/>
      <c r="T2975" s="753"/>
      <c r="AR2975" s="748"/>
      <c r="AS2975" s="753"/>
    </row>
    <row r="2976" spans="1:45" s="886" customFormat="1" ht="13.2">
      <c r="A2976"/>
      <c r="B2976" s="910"/>
      <c r="C2976" s="910" t="s">
        <v>2597</v>
      </c>
      <c r="D2976" s="910" t="str">
        <f ca="1">CELL("Address",Elec_Rates!D$134)</f>
        <v>[E25_0062_Quintano_Foods_Elec_ELV_As_Awarded.xlsx]Elec_Rates!$D$134</v>
      </c>
      <c r="E2976" s="911"/>
      <c r="F2976" s="911"/>
      <c r="G2976" s="912" t="s">
        <v>2598</v>
      </c>
      <c r="H2976" s="912"/>
      <c r="I2976" s="912"/>
      <c r="J2976" s="912"/>
      <c r="K2976" s="913"/>
      <c r="L2976" s="911"/>
      <c r="M2976" s="911"/>
      <c r="N2976" s="911"/>
      <c r="O2976" s="914"/>
      <c r="P2976" s="911"/>
      <c r="Q2976" s="915"/>
      <c r="R2976" s="916"/>
      <c r="S2976" s="915"/>
      <c r="T2976" s="917"/>
      <c r="U2976" s="918"/>
      <c r="AR2976"/>
      <c r="AS2976" s="911"/>
    </row>
    <row r="2977" spans="1:45" s="886" customFormat="1" ht="11.4">
      <c r="A2977" s="919">
        <v>3</v>
      </c>
      <c r="B2977" s="920">
        <v>1</v>
      </c>
      <c r="C2977" s="920">
        <f>$A2977*$B2977</f>
        <v>3</v>
      </c>
      <c r="D2977" s="921" t="str">
        <f>Elec_Rates!$D$134</f>
        <v>012# Single phase isolator / socket outlet point Galvanised conduit</v>
      </c>
      <c r="E2977" s="921"/>
      <c r="F2977" s="921" t="s">
        <v>2599</v>
      </c>
      <c r="G2977" s="922" t="s">
        <v>2600</v>
      </c>
      <c r="H2977" s="922"/>
      <c r="I2977" s="922"/>
      <c r="J2977" s="922"/>
      <c r="K2977" s="923"/>
      <c r="L2977" s="918"/>
      <c r="M2977" s="918"/>
      <c r="N2977" s="918"/>
      <c r="O2977" s="924"/>
      <c r="P2977" s="921"/>
      <c r="Q2977" s="925">
        <f ca="1">$B2977*Elec_Rates!$R$134</f>
        <v>74.42</v>
      </c>
      <c r="R2977" s="916">
        <f ca="1">$A2977*Q2977</f>
        <v>223.26</v>
      </c>
      <c r="S2977" s="925">
        <f ca="1">$B2977*Elec_Rates!$T$134</f>
        <v>3.46</v>
      </c>
      <c r="T2977" s="917">
        <f ca="1">$A2977*S2977</f>
        <v>10.379999999999999</v>
      </c>
      <c r="U2977" s="926"/>
      <c r="AR2977" s="919">
        <v>3</v>
      </c>
      <c r="AS2977" s="921" t="s">
        <v>2599</v>
      </c>
    </row>
    <row r="2978" spans="1:45" s="520" customFormat="1" ht="12">
      <c r="A2978" s="758"/>
      <c r="B2978" s="758"/>
      <c r="C2978" s="758"/>
      <c r="D2978" s="758"/>
      <c r="E2978" s="758"/>
      <c r="F2978" s="753"/>
      <c r="G2978" s="758"/>
      <c r="H2978" s="758"/>
      <c r="I2978" s="519"/>
      <c r="J2978" s="758"/>
      <c r="K2978" s="758"/>
      <c r="L2978" s="758"/>
      <c r="M2978" s="758"/>
      <c r="N2978" s="758"/>
      <c r="O2978" s="758"/>
      <c r="P2978" s="758"/>
      <c r="Q2978" s="519"/>
      <c r="R2978" s="759">
        <f>$A2978*Q2978</f>
        <v>0</v>
      </c>
      <c r="S2978" s="519"/>
      <c r="T2978" s="760">
        <f>$A2978*S2978*$T$1</f>
        <v>0</v>
      </c>
      <c r="AR2978" s="758"/>
      <c r="AS2978" s="753"/>
    </row>
    <row r="2979" spans="1:45" s="520" customFormat="1" ht="12.6" thickBot="1">
      <c r="A2979" s="761" t="s">
        <v>145</v>
      </c>
      <c r="B2979" s="762">
        <f>(R2978+T2978)</f>
        <v>0</v>
      </c>
      <c r="C2979" s="763"/>
      <c r="D2979" s="763"/>
      <c r="E2979" s="763"/>
      <c r="F2979" s="764"/>
      <c r="G2979" s="763" t="s">
        <v>146</v>
      </c>
      <c r="H2979" s="763"/>
      <c r="I2979" s="765"/>
      <c r="J2979" s="763"/>
      <c r="K2979" s="763" t="s">
        <v>3</v>
      </c>
      <c r="L2979" s="766" t="s">
        <v>143</v>
      </c>
      <c r="M2979" s="766"/>
      <c r="N2979" s="766"/>
      <c r="O2979" s="766"/>
      <c r="P2979" s="766"/>
      <c r="Q2979" s="767"/>
      <c r="R2979" s="768">
        <f ca="1">SUM(R2975:R2978)</f>
        <v>223.26</v>
      </c>
      <c r="S2979" s="763"/>
      <c r="T2979" s="768">
        <f ca="1">SUM(T2975:T2978)</f>
        <v>10.379999999999999</v>
      </c>
      <c r="U2979" s="531"/>
      <c r="V2979" s="531"/>
      <c r="W2979" s="531"/>
      <c r="X2979" s="531"/>
      <c r="Y2979" s="531"/>
      <c r="Z2979" s="531"/>
      <c r="AA2979" s="531"/>
      <c r="AB2979" s="531"/>
      <c r="AC2979" s="531"/>
      <c r="AD2979" s="531"/>
      <c r="AE2979" s="531"/>
      <c r="AF2979" s="531"/>
      <c r="AG2979" s="531"/>
      <c r="AH2979" s="531"/>
      <c r="AI2979" s="531"/>
      <c r="AJ2979" s="531"/>
      <c r="AK2979" s="531"/>
      <c r="AL2979" s="531"/>
      <c r="AM2979" s="531"/>
      <c r="AN2979" s="531"/>
      <c r="AO2979" s="531"/>
      <c r="AR2979" s="761" t="s">
        <v>145</v>
      </c>
      <c r="AS2979" s="764"/>
    </row>
    <row r="2980" spans="1:45" s="520" customFormat="1" ht="12" thickTop="1">
      <c r="A2980" s="51"/>
      <c r="B2980" s="41"/>
      <c r="C2980" s="51"/>
      <c r="E2980" s="42" t="s">
        <v>138</v>
      </c>
      <c r="F2980" s="42" t="s">
        <v>139</v>
      </c>
      <c r="G2980" s="51"/>
      <c r="H2980" s="51"/>
      <c r="I2980" s="51"/>
      <c r="J2980" s="51"/>
      <c r="K2980" s="51" t="s">
        <v>140</v>
      </c>
      <c r="L2980" s="51"/>
      <c r="M2980" s="51"/>
      <c r="N2980" s="51"/>
      <c r="O2980" s="52"/>
      <c r="P2980" s="51"/>
      <c r="Q2980" s="51"/>
      <c r="R2980" s="51"/>
      <c r="S2980" s="51"/>
      <c r="T2980" s="41"/>
      <c r="AG2980" s="521" t="s">
        <v>268</v>
      </c>
      <c r="AH2980" s="521" t="s">
        <v>269</v>
      </c>
      <c r="AI2980" s="521" t="s">
        <v>270</v>
      </c>
      <c r="AJ2980" s="521" t="s">
        <v>271</v>
      </c>
      <c r="AK2980" s="521" t="s">
        <v>272</v>
      </c>
      <c r="AM2980" s="745" t="s">
        <v>281</v>
      </c>
      <c r="AN2980" s="746" t="s">
        <v>282</v>
      </c>
      <c r="AO2980" s="522" t="s">
        <v>278</v>
      </c>
      <c r="AR2980" s="51"/>
      <c r="AS2980" s="42" t="s">
        <v>139</v>
      </c>
    </row>
    <row r="2981" spans="1:45" s="520" customFormat="1" ht="12" customHeight="1">
      <c r="A2981" s="747">
        <v>1</v>
      </c>
      <c r="B2981" s="523" t="s">
        <v>141</v>
      </c>
      <c r="C2981" s="748"/>
      <c r="D2981" s="749" t="s">
        <v>1608</v>
      </c>
      <c r="E2981" s="750">
        <f ca="1">IF(AND($A2981=0,$A$1="DIF"),0, ROUND(ROUND(($R2986*$S$2+($T2986*$T$2))/A2981,2)*$C$2,2))</f>
        <v>158.15</v>
      </c>
      <c r="F2981" s="751">
        <f ca="1">ROUND($A2981*$E2981,2)</f>
        <v>158.15</v>
      </c>
      <c r="G2981" s="752" t="s">
        <v>142</v>
      </c>
      <c r="H2981" s="753"/>
      <c r="I2981" s="754"/>
      <c r="J2981" s="753"/>
      <c r="K2981" s="753" t="s">
        <v>3</v>
      </c>
      <c r="L2981" s="755" t="s">
        <v>143</v>
      </c>
      <c r="M2981" s="755"/>
      <c r="N2981" s="755"/>
      <c r="O2981" s="755"/>
      <c r="P2981" s="755"/>
      <c r="Q2981" s="51"/>
      <c r="T2981" s="756" t="str">
        <f ca="1">IF(AND($R2986=0,$T2986=0),"0.00","mu :" &amp; ROUND($F2981/$C$2/($R2986+$T2986*$D$9),2))</f>
        <v>mu :1.23</v>
      </c>
      <c r="W2981" s="524"/>
      <c r="AG2981" s="481">
        <f ca="1">IF($E2981=0,0,ROUND($R2986*$S$2*$C$2/$A2981,2))</f>
        <v>57.39</v>
      </c>
      <c r="AH2981" s="481">
        <f ca="1">$AG2981*$A2981</f>
        <v>57.39</v>
      </c>
      <c r="AI2981" s="525">
        <f ca="1">$E2981-$AG2981</f>
        <v>100.76</v>
      </c>
      <c r="AJ2981" s="525">
        <f ca="1">$A2981*$AI2981</f>
        <v>100.76</v>
      </c>
      <c r="AK2981" s="526">
        <f ca="1">ROUND(($AG2981+$AI2981)*$A2981,2)</f>
        <v>158.15</v>
      </c>
      <c r="AM2981" s="527">
        <f ca="1">ROUND(R2986,2)</f>
        <v>46.61</v>
      </c>
      <c r="AN2981" s="528">
        <f ca="1">ROUND(T2986,2)</f>
        <v>2.98</v>
      </c>
      <c r="AO2981" s="529">
        <f ca="1">ROUND(AM2981+AN2981,2)*A2981</f>
        <v>49.59</v>
      </c>
      <c r="AR2981" s="747">
        <v>1</v>
      </c>
      <c r="AS2981" s="751">
        <v>169.31</v>
      </c>
    </row>
    <row r="2982" spans="1:45" s="520" customFormat="1" ht="13.2">
      <c r="A2982" s="748"/>
      <c r="B2982"/>
      <c r="C2982" s="748"/>
      <c r="D2982" s="749" t="s">
        <v>758</v>
      </c>
      <c r="F2982" s="753"/>
      <c r="G2982" s="3"/>
      <c r="H2982" s="753"/>
      <c r="I2982" s="754"/>
      <c r="J2982" s="753"/>
      <c r="K2982" s="753" t="s">
        <v>144</v>
      </c>
      <c r="L2982" s="753"/>
      <c r="M2982" s="753"/>
      <c r="N2982" s="753"/>
      <c r="O2982" s="753"/>
      <c r="P2982" s="753"/>
      <c r="Q2982" s="51"/>
      <c r="R2982" s="530"/>
      <c r="S2982" s="757"/>
      <c r="T2982" s="753"/>
      <c r="AR2982" s="748"/>
      <c r="AS2982" s="753"/>
    </row>
    <row r="2983" spans="1:45" s="886" customFormat="1" ht="13.2">
      <c r="A2983"/>
      <c r="B2983" s="910"/>
      <c r="C2983" s="910" t="s">
        <v>2597</v>
      </c>
      <c r="D2983" s="910" t="str">
        <f ca="1">CELL("Address",Elec_Rates!D$46)</f>
        <v>[E25_0062_Quintano_Foods_Elec_ELV_As_Awarded.xlsx]Elec_Rates!$D$46</v>
      </c>
      <c r="E2983" s="911"/>
      <c r="F2983" s="911"/>
      <c r="G2983" s="912" t="s">
        <v>2598</v>
      </c>
      <c r="H2983" s="912"/>
      <c r="I2983" s="912"/>
      <c r="J2983" s="912"/>
      <c r="K2983" s="913"/>
      <c r="L2983" s="911"/>
      <c r="M2983" s="911"/>
      <c r="N2983" s="911"/>
      <c r="O2983" s="914"/>
      <c r="P2983" s="911"/>
      <c r="Q2983" s="915"/>
      <c r="R2983" s="916"/>
      <c r="S2983" s="915"/>
      <c r="T2983" s="917"/>
      <c r="U2983" s="918"/>
      <c r="AR2983"/>
      <c r="AS2983" s="911"/>
    </row>
    <row r="2984" spans="1:45" s="886" customFormat="1" ht="11.4">
      <c r="A2984" s="919">
        <v>1</v>
      </c>
      <c r="B2984" s="920">
        <v>1</v>
      </c>
      <c r="C2984" s="920">
        <f>$A2984*$B2984</f>
        <v>1</v>
      </c>
      <c r="D2984" s="921" t="str">
        <f>Elec_Rates!$D$46</f>
        <v>004# Light point rate (Galvanised Conduit)</v>
      </c>
      <c r="E2984" s="921" t="s">
        <v>2877</v>
      </c>
      <c r="F2984" s="918"/>
      <c r="G2984" s="922" t="s">
        <v>2878</v>
      </c>
      <c r="H2984" s="922"/>
      <c r="I2984" s="922"/>
      <c r="J2984" s="922"/>
      <c r="K2984" s="923"/>
      <c r="L2984" s="918"/>
      <c r="M2984" s="918"/>
      <c r="N2984" s="918"/>
      <c r="O2984" s="924"/>
      <c r="P2984" s="921"/>
      <c r="Q2984" s="925">
        <f ca="1">$B2984*Elec_Rates!$R$46</f>
        <v>46.61</v>
      </c>
      <c r="R2984" s="916">
        <f ca="1">$A2984*Q2984</f>
        <v>46.61</v>
      </c>
      <c r="S2984" s="925">
        <f ca="1">$B2984*Elec_Rates!$T$46</f>
        <v>2.98</v>
      </c>
      <c r="T2984" s="917">
        <f ca="1">$A2984*S2984</f>
        <v>2.98</v>
      </c>
      <c r="U2984" s="926"/>
      <c r="AR2984" s="919">
        <v>1</v>
      </c>
      <c r="AS2984" s="918"/>
    </row>
    <row r="2985" spans="1:45" s="520" customFormat="1" ht="12">
      <c r="A2985" s="758"/>
      <c r="B2985" s="758"/>
      <c r="C2985" s="758"/>
      <c r="D2985" s="758"/>
      <c r="E2985" s="758"/>
      <c r="F2985" s="753"/>
      <c r="G2985" s="758"/>
      <c r="H2985" s="758"/>
      <c r="I2985" s="519"/>
      <c r="J2985" s="758"/>
      <c r="K2985" s="758"/>
      <c r="L2985" s="758"/>
      <c r="M2985" s="758"/>
      <c r="N2985" s="758"/>
      <c r="O2985" s="758"/>
      <c r="P2985" s="758"/>
      <c r="Q2985" s="519"/>
      <c r="R2985" s="759">
        <f>$A2985*Q2985</f>
        <v>0</v>
      </c>
      <c r="S2985" s="519"/>
      <c r="T2985" s="760">
        <f>$A2985*S2985*$T$1</f>
        <v>0</v>
      </c>
      <c r="AR2985" s="758"/>
      <c r="AS2985" s="753"/>
    </row>
    <row r="2986" spans="1:45" s="520" customFormat="1" ht="12.6" thickBot="1">
      <c r="A2986" s="761" t="s">
        <v>145</v>
      </c>
      <c r="B2986" s="762">
        <f>(R2985+T2985)</f>
        <v>0</v>
      </c>
      <c r="C2986" s="763"/>
      <c r="D2986" s="763"/>
      <c r="E2986" s="763"/>
      <c r="F2986" s="764"/>
      <c r="G2986" s="763" t="s">
        <v>146</v>
      </c>
      <c r="H2986" s="763"/>
      <c r="I2986" s="765"/>
      <c r="J2986" s="763"/>
      <c r="K2986" s="763" t="s">
        <v>3</v>
      </c>
      <c r="L2986" s="766" t="s">
        <v>143</v>
      </c>
      <c r="M2986" s="766"/>
      <c r="N2986" s="766"/>
      <c r="O2986" s="766"/>
      <c r="P2986" s="766"/>
      <c r="Q2986" s="767"/>
      <c r="R2986" s="768">
        <f ca="1">SUM(R2982:R2985)</f>
        <v>46.61</v>
      </c>
      <c r="S2986" s="763"/>
      <c r="T2986" s="768">
        <f ca="1">SUM(T2982:T2985)</f>
        <v>2.98</v>
      </c>
      <c r="U2986" s="531"/>
      <c r="V2986" s="531"/>
      <c r="W2986" s="531"/>
      <c r="X2986" s="531"/>
      <c r="Y2986" s="531"/>
      <c r="Z2986" s="531"/>
      <c r="AA2986" s="531"/>
      <c r="AB2986" s="531"/>
      <c r="AC2986" s="531"/>
      <c r="AD2986" s="531"/>
      <c r="AE2986" s="531"/>
      <c r="AF2986" s="531"/>
      <c r="AG2986" s="531"/>
      <c r="AH2986" s="531"/>
      <c r="AI2986" s="531"/>
      <c r="AJ2986" s="531"/>
      <c r="AK2986" s="531"/>
      <c r="AL2986" s="531"/>
      <c r="AM2986" s="531"/>
      <c r="AN2986" s="531"/>
      <c r="AO2986" s="531"/>
      <c r="AR2986" s="761" t="s">
        <v>145</v>
      </c>
      <c r="AS2986" s="764"/>
    </row>
    <row r="2987" spans="1:45" s="520" customFormat="1" ht="12" thickTop="1">
      <c r="A2987" s="51"/>
      <c r="B2987" s="41"/>
      <c r="C2987" s="51"/>
      <c r="E2987" s="42" t="s">
        <v>138</v>
      </c>
      <c r="F2987" s="42" t="s">
        <v>139</v>
      </c>
      <c r="G2987" s="51"/>
      <c r="H2987" s="51"/>
      <c r="I2987" s="51"/>
      <c r="J2987" s="51"/>
      <c r="K2987" s="51" t="s">
        <v>140</v>
      </c>
      <c r="L2987" s="51"/>
      <c r="M2987" s="51"/>
      <c r="N2987" s="51"/>
      <c r="O2987" s="52"/>
      <c r="P2987" s="51"/>
      <c r="Q2987" s="51"/>
      <c r="R2987" s="51"/>
      <c r="S2987" s="51"/>
      <c r="T2987" s="41"/>
      <c r="AG2987" s="521" t="s">
        <v>268</v>
      </c>
      <c r="AH2987" s="521" t="s">
        <v>269</v>
      </c>
      <c r="AI2987" s="521" t="s">
        <v>270</v>
      </c>
      <c r="AJ2987" s="521" t="s">
        <v>271</v>
      </c>
      <c r="AK2987" s="521" t="s">
        <v>272</v>
      </c>
      <c r="AM2987" s="745" t="s">
        <v>281</v>
      </c>
      <c r="AN2987" s="746" t="s">
        <v>282</v>
      </c>
      <c r="AO2987" s="522" t="s">
        <v>278</v>
      </c>
      <c r="AR2987" s="51"/>
      <c r="AS2987" s="42" t="s">
        <v>139</v>
      </c>
    </row>
    <row r="2988" spans="1:45" s="520" customFormat="1" ht="12" customHeight="1">
      <c r="A2988" s="747">
        <v>1</v>
      </c>
      <c r="B2988" s="523" t="s">
        <v>141</v>
      </c>
      <c r="C2988" s="748"/>
      <c r="D2988" s="749" t="s">
        <v>1609</v>
      </c>
      <c r="E2988" s="750">
        <f ca="1">IF(AND($A2988=0,$A$1="DIF"),0, ROUND(ROUND(($R2993*$S$2+($T2993*$T$2))/A2988,2)*$C$2,2))</f>
        <v>237.23</v>
      </c>
      <c r="F2988" s="751">
        <f ca="1">ROUND($A2988*$E2988,2)</f>
        <v>237.23</v>
      </c>
      <c r="G2988" s="752" t="s">
        <v>142</v>
      </c>
      <c r="H2988" s="753"/>
      <c r="I2988" s="754"/>
      <c r="J2988" s="753"/>
      <c r="K2988" s="753" t="s">
        <v>3</v>
      </c>
      <c r="L2988" s="755" t="s">
        <v>143</v>
      </c>
      <c r="M2988" s="755"/>
      <c r="N2988" s="755"/>
      <c r="O2988" s="755"/>
      <c r="P2988" s="755"/>
      <c r="Q2988" s="51"/>
      <c r="T2988" s="756" t="str">
        <f ca="1">IF(AND($R2993=0,$T2993=0),"0.00","mu :" &amp; ROUND($F2988/$C$2/($R2993+$T2993*$D$9),2))</f>
        <v>mu :1.23</v>
      </c>
      <c r="W2988" s="524"/>
      <c r="AG2988" s="481">
        <f ca="1">IF($E2988=0,0,ROUND($R2993*$S$2*$C$2/$A2988,2))</f>
        <v>86.09</v>
      </c>
      <c r="AH2988" s="481">
        <f ca="1">$AG2988*$A2988</f>
        <v>86.09</v>
      </c>
      <c r="AI2988" s="525">
        <f ca="1">$E2988-$AG2988</f>
        <v>151.13999999999999</v>
      </c>
      <c r="AJ2988" s="525">
        <f ca="1">$A2988*$AI2988</f>
        <v>151.13999999999999</v>
      </c>
      <c r="AK2988" s="526">
        <f ca="1">ROUND(($AG2988+$AI2988)*$A2988,2)</f>
        <v>237.23</v>
      </c>
      <c r="AM2988" s="527">
        <f ca="1">ROUND(R2993,2)</f>
        <v>69.92</v>
      </c>
      <c r="AN2988" s="528">
        <f ca="1">ROUND(T2993,2)</f>
        <v>4.47</v>
      </c>
      <c r="AO2988" s="529">
        <f ca="1">ROUND(AM2988+AN2988,2)*A2988</f>
        <v>74.39</v>
      </c>
      <c r="AR2988" s="747">
        <v>1</v>
      </c>
      <c r="AS2988" s="751">
        <v>253.97</v>
      </c>
    </row>
    <row r="2989" spans="1:45" s="520" customFormat="1" ht="13.2">
      <c r="A2989" s="748"/>
      <c r="B2989"/>
      <c r="C2989" s="748"/>
      <c r="D2989" s="749" t="s">
        <v>759</v>
      </c>
      <c r="F2989" s="753"/>
      <c r="G2989" s="3"/>
      <c r="H2989" s="753"/>
      <c r="I2989" s="754"/>
      <c r="J2989" s="753"/>
      <c r="K2989" s="753" t="s">
        <v>144</v>
      </c>
      <c r="L2989" s="753"/>
      <c r="M2989" s="753"/>
      <c r="N2989" s="753"/>
      <c r="O2989" s="753"/>
      <c r="P2989" s="753"/>
      <c r="Q2989" s="51"/>
      <c r="R2989" s="530"/>
      <c r="S2989" s="757"/>
      <c r="T2989" s="753"/>
      <c r="AR2989" s="748"/>
      <c r="AS2989" s="753"/>
    </row>
    <row r="2990" spans="1:45" s="886" customFormat="1" ht="13.2">
      <c r="A2990"/>
      <c r="B2990" s="910"/>
      <c r="C2990" s="910" t="s">
        <v>2597</v>
      </c>
      <c r="D2990" s="910" t="str">
        <f ca="1">CELL("Address",Elec_Rates!D$46)</f>
        <v>[E25_0062_Quintano_Foods_Elec_ELV_As_Awarded.xlsx]Elec_Rates!$D$46</v>
      </c>
      <c r="E2990" s="911"/>
      <c r="F2990" s="911"/>
      <c r="G2990" s="912" t="s">
        <v>2598</v>
      </c>
      <c r="H2990" s="912"/>
      <c r="I2990" s="912"/>
      <c r="J2990" s="912"/>
      <c r="K2990" s="913"/>
      <c r="L2990" s="911"/>
      <c r="M2990" s="911"/>
      <c r="N2990" s="911"/>
      <c r="O2990" s="914"/>
      <c r="P2990" s="911"/>
      <c r="Q2990" s="915"/>
      <c r="R2990" s="916"/>
      <c r="S2990" s="915"/>
      <c r="T2990" s="917"/>
      <c r="U2990" s="918"/>
      <c r="AR2990"/>
      <c r="AS2990" s="911"/>
    </row>
    <row r="2991" spans="1:45" s="886" customFormat="1" ht="11.4">
      <c r="A2991" s="919">
        <v>1</v>
      </c>
      <c r="B2991" s="920">
        <v>1.5</v>
      </c>
      <c r="C2991" s="920">
        <f>$A2991*$B2991</f>
        <v>1.5</v>
      </c>
      <c r="D2991" s="921" t="str">
        <f>Elec_Rates!$D$46</f>
        <v>004# Light point rate (Galvanised Conduit)</v>
      </c>
      <c r="E2991" s="921" t="s">
        <v>2879</v>
      </c>
      <c r="F2991" s="918"/>
      <c r="G2991" s="922" t="s">
        <v>2878</v>
      </c>
      <c r="H2991" s="922"/>
      <c r="I2991" s="922"/>
      <c r="J2991" s="922"/>
      <c r="K2991" s="923"/>
      <c r="L2991" s="918"/>
      <c r="M2991" s="918"/>
      <c r="N2991" s="918"/>
      <c r="O2991" s="924"/>
      <c r="P2991" s="921"/>
      <c r="Q2991" s="925">
        <f ca="1">$B2991*Elec_Rates!$R$46</f>
        <v>69.914999999999992</v>
      </c>
      <c r="R2991" s="916">
        <f ca="1">$A2991*Q2991</f>
        <v>69.914999999999992</v>
      </c>
      <c r="S2991" s="925">
        <f ca="1">$B2991*Elec_Rates!$T$46</f>
        <v>4.47</v>
      </c>
      <c r="T2991" s="917">
        <f ca="1">$A2991*S2991</f>
        <v>4.47</v>
      </c>
      <c r="U2991" s="926"/>
      <c r="AR2991" s="919">
        <v>1</v>
      </c>
      <c r="AS2991" s="918"/>
    </row>
    <row r="2992" spans="1:45" s="520" customFormat="1" ht="12">
      <c r="A2992" s="758"/>
      <c r="B2992" s="758"/>
      <c r="C2992" s="758"/>
      <c r="D2992" s="758"/>
      <c r="E2992" s="758"/>
      <c r="F2992" s="753"/>
      <c r="G2992" s="758"/>
      <c r="H2992" s="758"/>
      <c r="I2992" s="519"/>
      <c r="J2992" s="758"/>
      <c r="K2992" s="758"/>
      <c r="L2992" s="758"/>
      <c r="M2992" s="758"/>
      <c r="N2992" s="758"/>
      <c r="O2992" s="758"/>
      <c r="P2992" s="758"/>
      <c r="Q2992" s="519"/>
      <c r="R2992" s="759">
        <f>$A2992*Q2992</f>
        <v>0</v>
      </c>
      <c r="S2992" s="519"/>
      <c r="T2992" s="760">
        <f>$A2992*S2992*$T$1</f>
        <v>0</v>
      </c>
      <c r="AR2992" s="758"/>
      <c r="AS2992" s="753"/>
    </row>
    <row r="2993" spans="1:45" s="520" customFormat="1" ht="12.6" thickBot="1">
      <c r="A2993" s="761" t="s">
        <v>145</v>
      </c>
      <c r="B2993" s="762">
        <f>(R2992+T2992)</f>
        <v>0</v>
      </c>
      <c r="C2993" s="763"/>
      <c r="D2993" s="763"/>
      <c r="E2993" s="763"/>
      <c r="F2993" s="764"/>
      <c r="G2993" s="763" t="s">
        <v>146</v>
      </c>
      <c r="H2993" s="763"/>
      <c r="I2993" s="765"/>
      <c r="J2993" s="763"/>
      <c r="K2993" s="763" t="s">
        <v>3</v>
      </c>
      <c r="L2993" s="766" t="s">
        <v>143</v>
      </c>
      <c r="M2993" s="766"/>
      <c r="N2993" s="766"/>
      <c r="O2993" s="766"/>
      <c r="P2993" s="766"/>
      <c r="Q2993" s="767"/>
      <c r="R2993" s="768">
        <f ca="1">SUM(R2989:R2992)</f>
        <v>69.914999999999992</v>
      </c>
      <c r="S2993" s="763"/>
      <c r="T2993" s="768">
        <f ca="1">SUM(T2989:T2992)</f>
        <v>4.47</v>
      </c>
      <c r="U2993" s="531"/>
      <c r="V2993" s="531"/>
      <c r="W2993" s="531"/>
      <c r="X2993" s="531"/>
      <c r="Y2993" s="531"/>
      <c r="Z2993" s="531"/>
      <c r="AA2993" s="531"/>
      <c r="AB2993" s="531"/>
      <c r="AC2993" s="531"/>
      <c r="AD2993" s="531"/>
      <c r="AE2993" s="531"/>
      <c r="AF2993" s="531"/>
      <c r="AG2993" s="531"/>
      <c r="AH2993" s="531"/>
      <c r="AI2993" s="531"/>
      <c r="AJ2993" s="531"/>
      <c r="AK2993" s="531"/>
      <c r="AL2993" s="531"/>
      <c r="AM2993" s="531"/>
      <c r="AN2993" s="531"/>
      <c r="AO2993" s="531"/>
      <c r="AR2993" s="761" t="s">
        <v>145</v>
      </c>
      <c r="AS2993" s="764"/>
    </row>
    <row r="2994" spans="1:45" s="520" customFormat="1" ht="12" thickTop="1">
      <c r="A2994" s="51"/>
      <c r="B2994" s="41"/>
      <c r="C2994" s="51"/>
      <c r="E2994" s="42" t="s">
        <v>138</v>
      </c>
      <c r="F2994" s="42" t="s">
        <v>139</v>
      </c>
      <c r="G2994" s="51"/>
      <c r="H2994" s="51"/>
      <c r="I2994" s="51"/>
      <c r="J2994" s="51"/>
      <c r="K2994" s="51" t="s">
        <v>140</v>
      </c>
      <c r="L2994" s="51"/>
      <c r="M2994" s="51"/>
      <c r="N2994" s="51"/>
      <c r="O2994" s="52"/>
      <c r="P2994" s="51"/>
      <c r="Q2994" s="51"/>
      <c r="R2994" s="51"/>
      <c r="S2994" s="51"/>
      <c r="T2994" s="41"/>
      <c r="AG2994" s="521" t="s">
        <v>268</v>
      </c>
      <c r="AH2994" s="521" t="s">
        <v>269</v>
      </c>
      <c r="AI2994" s="521" t="s">
        <v>270</v>
      </c>
      <c r="AJ2994" s="521" t="s">
        <v>271</v>
      </c>
      <c r="AK2994" s="521" t="s">
        <v>272</v>
      </c>
      <c r="AM2994" s="745" t="s">
        <v>281</v>
      </c>
      <c r="AN2994" s="746" t="s">
        <v>282</v>
      </c>
      <c r="AO2994" s="522" t="s">
        <v>278</v>
      </c>
      <c r="AR2994" s="51"/>
      <c r="AS2994" s="42" t="s">
        <v>139</v>
      </c>
    </row>
    <row r="2995" spans="1:45" s="520" customFormat="1" ht="12" customHeight="1">
      <c r="A2995" s="747">
        <v>1</v>
      </c>
      <c r="B2995" s="523" t="s">
        <v>141</v>
      </c>
      <c r="C2995" s="748"/>
      <c r="D2995" s="749" t="s">
        <v>1610</v>
      </c>
      <c r="E2995" s="750">
        <f ca="1">IF(AND($A2995=0,$A$1="DIF"),0, ROUND(ROUND(($R3001*$S$2+($T3001*$T$2))/A2995,2)*$C$2,2))</f>
        <v>255</v>
      </c>
      <c r="F2995" s="751">
        <f ca="1">ROUND($A2995*$E2995,2)</f>
        <v>255</v>
      </c>
      <c r="G2995" s="752" t="s">
        <v>142</v>
      </c>
      <c r="H2995" s="753"/>
      <c r="I2995" s="754"/>
      <c r="J2995" s="753"/>
      <c r="K2995" s="753" t="s">
        <v>3</v>
      </c>
      <c r="L2995" s="755" t="s">
        <v>143</v>
      </c>
      <c r="M2995" s="755"/>
      <c r="N2995" s="755"/>
      <c r="O2995" s="755"/>
      <c r="P2995" s="755"/>
      <c r="Q2995" s="51"/>
      <c r="T2995" s="756" t="str">
        <f ca="1">IF(AND($R3001=0,$T3001=0),"0.00","mu :" &amp; ROUND($F2995/$C$2/($R3001+$T3001*$D$9),2))</f>
        <v>mu :1.23</v>
      </c>
      <c r="W2995" s="524"/>
      <c r="AG2995" s="481">
        <f ca="1">IF($E2995=0,0,ROUND($R3001*$S$2*$C$2/$A2995,2))</f>
        <v>98.69</v>
      </c>
      <c r="AH2995" s="481">
        <f ca="1">$AG2995*$A2995</f>
        <v>98.69</v>
      </c>
      <c r="AI2995" s="525">
        <f ca="1">$E2995-$AG2995</f>
        <v>156.31</v>
      </c>
      <c r="AJ2995" s="525">
        <f ca="1">$A2995*$AI2995</f>
        <v>156.31</v>
      </c>
      <c r="AK2995" s="526">
        <f ca="1">ROUND(($AG2995+$AI2995)*$A2995,2)</f>
        <v>255</v>
      </c>
      <c r="AM2995" s="527">
        <f ca="1">ROUND(R3001,2)</f>
        <v>80.150000000000006</v>
      </c>
      <c r="AN2995" s="528">
        <f ca="1">ROUND(T3001,2)</f>
        <v>4.62</v>
      </c>
      <c r="AO2995" s="529">
        <f ca="1">ROUND(AM2995+AN2995,2)*A2995</f>
        <v>84.77</v>
      </c>
      <c r="AR2995" s="747">
        <v>1</v>
      </c>
      <c r="AS2995" s="751">
        <v>272.31</v>
      </c>
    </row>
    <row r="2996" spans="1:45" s="520" customFormat="1" ht="13.2">
      <c r="A2996" s="748"/>
      <c r="B2996"/>
      <c r="C2996" s="748"/>
      <c r="D2996" s="749" t="s">
        <v>760</v>
      </c>
      <c r="F2996" s="753"/>
      <c r="G2996" s="3"/>
      <c r="H2996" s="753"/>
      <c r="I2996" s="754"/>
      <c r="J2996" s="753"/>
      <c r="K2996" s="753" t="s">
        <v>144</v>
      </c>
      <c r="L2996" s="753"/>
      <c r="M2996" s="753"/>
      <c r="N2996" s="753"/>
      <c r="O2996" s="753"/>
      <c r="P2996" s="753"/>
      <c r="Q2996" s="51"/>
      <c r="R2996" s="530"/>
      <c r="S2996" s="757"/>
      <c r="T2996" s="753"/>
      <c r="AR2996" s="748"/>
      <c r="AS2996" s="753"/>
    </row>
    <row r="2997" spans="1:45" s="886" customFormat="1" ht="13.2">
      <c r="A2997"/>
      <c r="B2997" s="910"/>
      <c r="C2997" s="910" t="s">
        <v>2597</v>
      </c>
      <c r="D2997" s="910" t="str">
        <f ca="1">CELL("Address",Elec_Rates!D$46)</f>
        <v>[E25_0062_Quintano_Foods_Elec_ELV_As_Awarded.xlsx]Elec_Rates!$D$46</v>
      </c>
      <c r="E2997" s="911"/>
      <c r="F2997" s="911"/>
      <c r="G2997" s="912" t="s">
        <v>2598</v>
      </c>
      <c r="H2997" s="912"/>
      <c r="I2997" s="912"/>
      <c r="J2997" s="912"/>
      <c r="K2997" s="913"/>
      <c r="L2997" s="911"/>
      <c r="M2997" s="911"/>
      <c r="N2997" s="911"/>
      <c r="O2997" s="914"/>
      <c r="P2997" s="911"/>
      <c r="Q2997" s="915"/>
      <c r="R2997" s="916"/>
      <c r="S2997" s="915"/>
      <c r="T2997" s="917"/>
      <c r="U2997" s="918"/>
      <c r="AR2997"/>
      <c r="AS2997" s="911"/>
    </row>
    <row r="2998" spans="1:45" s="886" customFormat="1" ht="11.4">
      <c r="A2998" s="919">
        <v>1</v>
      </c>
      <c r="B2998" s="920">
        <v>1.5</v>
      </c>
      <c r="C2998" s="920">
        <f>$A2998*$B2998</f>
        <v>1.5</v>
      </c>
      <c r="D2998" s="921" t="str">
        <f>Elec_Rates!$D$46</f>
        <v>004# Light point rate (Galvanised Conduit)</v>
      </c>
      <c r="E2998" s="921" t="s">
        <v>2879</v>
      </c>
      <c r="F2998" s="918"/>
      <c r="G2998" s="922" t="s">
        <v>2878</v>
      </c>
      <c r="H2998" s="922"/>
      <c r="I2998" s="922"/>
      <c r="J2998" s="922"/>
      <c r="K2998" s="923"/>
      <c r="L2998" s="918"/>
      <c r="M2998" s="918"/>
      <c r="N2998" s="918"/>
      <c r="O2998" s="924"/>
      <c r="P2998" s="921"/>
      <c r="Q2998" s="925">
        <f ca="1">$B2998*Elec_Rates!$R$46</f>
        <v>69.914999999999992</v>
      </c>
      <c r="R2998" s="916">
        <f ca="1">$A2998*Q2998</f>
        <v>69.914999999999992</v>
      </c>
      <c r="S2998" s="925">
        <f ca="1">$B2998*Elec_Rates!$T$46</f>
        <v>4.47</v>
      </c>
      <c r="T2998" s="917">
        <f ca="1">$A2998*S2998</f>
        <v>4.47</v>
      </c>
      <c r="U2998" s="926"/>
      <c r="AR2998" s="919">
        <v>1</v>
      </c>
      <c r="AS2998" s="918"/>
    </row>
    <row r="2999" spans="1:45" s="901" customFormat="1" ht="13.2">
      <c r="A2999" s="116">
        <v>1</v>
      </c>
      <c r="B2999" s="901" t="s">
        <v>141</v>
      </c>
      <c r="D2999" s="901" t="s">
        <v>2880</v>
      </c>
      <c r="E2999" s="901" t="s">
        <v>3424</v>
      </c>
      <c r="F2999" s="1054" t="s">
        <v>3430</v>
      </c>
      <c r="G2999" s="941" t="s">
        <v>2881</v>
      </c>
      <c r="H2999" s="942">
        <v>705</v>
      </c>
      <c r="I2999" s="901" t="s">
        <v>2607</v>
      </c>
      <c r="O2999" s="943">
        <v>3</v>
      </c>
      <c r="P2999" s="944"/>
      <c r="Q2999" s="945">
        <v>10.23</v>
      </c>
      <c r="R2999" s="946">
        <f>$A2999*Q2999</f>
        <v>10.23</v>
      </c>
      <c r="S2999" s="945">
        <v>0.17</v>
      </c>
      <c r="T2999" s="947">
        <f>$A2999*S2999*$T$1</f>
        <v>0.15300000000000002</v>
      </c>
      <c r="AR2999" s="116">
        <v>1</v>
      </c>
      <c r="AS2999" s="1054" t="s">
        <v>3430</v>
      </c>
    </row>
    <row r="3000" spans="1:45" s="520" customFormat="1" ht="12">
      <c r="A3000" s="758"/>
      <c r="B3000" s="758"/>
      <c r="C3000" s="758"/>
      <c r="D3000" s="758"/>
      <c r="E3000" s="758"/>
      <c r="F3000" s="753"/>
      <c r="G3000" s="758"/>
      <c r="H3000" s="758"/>
      <c r="I3000" s="519"/>
      <c r="J3000" s="758"/>
      <c r="K3000" s="758"/>
      <c r="L3000" s="758"/>
      <c r="M3000" s="758"/>
      <c r="N3000" s="758"/>
      <c r="O3000" s="758"/>
      <c r="P3000" s="758"/>
      <c r="Q3000" s="519"/>
      <c r="R3000" s="759">
        <f>$A3000*Q3000</f>
        <v>0</v>
      </c>
      <c r="S3000" s="519"/>
      <c r="T3000" s="760">
        <f>$A3000*S3000*$T$1</f>
        <v>0</v>
      </c>
      <c r="AR3000" s="758"/>
      <c r="AS3000" s="753"/>
    </row>
    <row r="3001" spans="1:45" s="520" customFormat="1" ht="12.6" thickBot="1">
      <c r="A3001" s="761" t="s">
        <v>145</v>
      </c>
      <c r="B3001" s="762">
        <f>(R3000+T3000)</f>
        <v>0</v>
      </c>
      <c r="C3001" s="763"/>
      <c r="D3001" s="763"/>
      <c r="E3001" s="763"/>
      <c r="F3001" s="764"/>
      <c r="G3001" s="763" t="s">
        <v>146</v>
      </c>
      <c r="H3001" s="763"/>
      <c r="I3001" s="765"/>
      <c r="J3001" s="763"/>
      <c r="K3001" s="763" t="s">
        <v>3</v>
      </c>
      <c r="L3001" s="766" t="s">
        <v>143</v>
      </c>
      <c r="M3001" s="766"/>
      <c r="N3001" s="766"/>
      <c r="O3001" s="766"/>
      <c r="P3001" s="766"/>
      <c r="Q3001" s="767"/>
      <c r="R3001" s="768">
        <f ca="1">SUM(R2996:R3000)</f>
        <v>80.144999999999996</v>
      </c>
      <c r="S3001" s="763"/>
      <c r="T3001" s="768">
        <f ca="1">SUM(T2996:T3000)</f>
        <v>4.6229999999999993</v>
      </c>
      <c r="U3001" s="531"/>
      <c r="V3001" s="531"/>
      <c r="W3001" s="531"/>
      <c r="X3001" s="531"/>
      <c r="Y3001" s="531"/>
      <c r="Z3001" s="531"/>
      <c r="AA3001" s="531"/>
      <c r="AB3001" s="531"/>
      <c r="AC3001" s="531"/>
      <c r="AD3001" s="531"/>
      <c r="AE3001" s="531"/>
      <c r="AF3001" s="531"/>
      <c r="AG3001" s="531"/>
      <c r="AH3001" s="531"/>
      <c r="AI3001" s="531"/>
      <c r="AJ3001" s="531"/>
      <c r="AK3001" s="531"/>
      <c r="AL3001" s="531"/>
      <c r="AM3001" s="531"/>
      <c r="AN3001" s="531"/>
      <c r="AO3001" s="531"/>
      <c r="AR3001" s="761" t="s">
        <v>145</v>
      </c>
      <c r="AS3001" s="764"/>
    </row>
    <row r="3002" spans="1:45" s="520" customFormat="1" ht="12" thickTop="1">
      <c r="A3002" s="51"/>
      <c r="B3002" s="41"/>
      <c r="C3002" s="51"/>
      <c r="E3002" s="42" t="s">
        <v>138</v>
      </c>
      <c r="F3002" s="42" t="s">
        <v>139</v>
      </c>
      <c r="G3002" s="51"/>
      <c r="H3002" s="51"/>
      <c r="I3002" s="51"/>
      <c r="J3002" s="51"/>
      <c r="K3002" s="51" t="s">
        <v>140</v>
      </c>
      <c r="L3002" s="51"/>
      <c r="M3002" s="51"/>
      <c r="N3002" s="51"/>
      <c r="O3002" s="52"/>
      <c r="P3002" s="51"/>
      <c r="Q3002" s="51"/>
      <c r="R3002" s="51"/>
      <c r="S3002" s="51"/>
      <c r="T3002" s="41"/>
      <c r="AG3002" s="521" t="s">
        <v>268</v>
      </c>
      <c r="AH3002" s="521" t="s">
        <v>269</v>
      </c>
      <c r="AI3002" s="521" t="s">
        <v>270</v>
      </c>
      <c r="AJ3002" s="521" t="s">
        <v>271</v>
      </c>
      <c r="AK3002" s="521" t="s">
        <v>272</v>
      </c>
      <c r="AM3002" s="745" t="s">
        <v>281</v>
      </c>
      <c r="AN3002" s="746" t="s">
        <v>282</v>
      </c>
      <c r="AO3002" s="522" t="s">
        <v>278</v>
      </c>
      <c r="AR3002" s="51"/>
      <c r="AS3002" s="42" t="s">
        <v>139</v>
      </c>
    </row>
    <row r="3003" spans="1:45" s="520" customFormat="1" ht="12" customHeight="1">
      <c r="A3003" s="747">
        <v>2</v>
      </c>
      <c r="B3003" s="523" t="s">
        <v>141</v>
      </c>
      <c r="C3003" s="748"/>
      <c r="D3003" s="749" t="s">
        <v>1611</v>
      </c>
      <c r="E3003" s="750">
        <f ca="1">IF(AND($A3003=0,$A$1="DIF"),0, ROUND(ROUND(($R3008*$S$2+($T3008*$T$2))/A3003,2)*$C$2,2))</f>
        <v>395.39</v>
      </c>
      <c r="F3003" s="751">
        <f ca="1">ROUND($A3003*$E3003,2)</f>
        <v>790.78</v>
      </c>
      <c r="G3003" s="752" t="s">
        <v>142</v>
      </c>
      <c r="H3003" s="753"/>
      <c r="I3003" s="754"/>
      <c r="J3003" s="753"/>
      <c r="K3003" s="753" t="s">
        <v>3</v>
      </c>
      <c r="L3003" s="755" t="s">
        <v>143</v>
      </c>
      <c r="M3003" s="755"/>
      <c r="N3003" s="755"/>
      <c r="O3003" s="755"/>
      <c r="P3003" s="755"/>
      <c r="Q3003" s="51"/>
      <c r="T3003" s="756" t="str">
        <f ca="1">IF(AND($R3008=0,$T3008=0),"0.00","mu :" &amp; ROUND($F3003/$C$2/($R3008+$T3008*$D$9),2))</f>
        <v>mu :1.23</v>
      </c>
      <c r="W3003" s="524"/>
      <c r="AG3003" s="481">
        <f ca="1">IF($E3003=0,0,ROUND($R3008*$S$2*$C$2/$A3003,2))</f>
        <v>143.47999999999999</v>
      </c>
      <c r="AH3003" s="481">
        <f ca="1">$AG3003*$A3003</f>
        <v>286.95999999999998</v>
      </c>
      <c r="AI3003" s="525">
        <f ca="1">$E3003-$AG3003</f>
        <v>251.91</v>
      </c>
      <c r="AJ3003" s="525">
        <f ca="1">$A3003*$AI3003</f>
        <v>503.82</v>
      </c>
      <c r="AK3003" s="526">
        <f ca="1">ROUND(($AG3003+$AI3003)*$A3003,2)</f>
        <v>790.78</v>
      </c>
      <c r="AM3003" s="527">
        <f ca="1">ROUND(R3008,2)</f>
        <v>233.05</v>
      </c>
      <c r="AN3003" s="528">
        <f ca="1">ROUND(T3008,2)</f>
        <v>14.9</v>
      </c>
      <c r="AO3003" s="529">
        <f ca="1">ROUND(AM3003+AN3003,2)*A3003</f>
        <v>495.9</v>
      </c>
      <c r="AR3003" s="747">
        <v>1</v>
      </c>
      <c r="AS3003" s="751">
        <v>423.28</v>
      </c>
    </row>
    <row r="3004" spans="1:45" s="520" customFormat="1" ht="13.2">
      <c r="A3004" s="748"/>
      <c r="B3004"/>
      <c r="C3004" s="748"/>
      <c r="D3004" s="749" t="s">
        <v>761</v>
      </c>
      <c r="F3004" s="753"/>
      <c r="G3004" s="3"/>
      <c r="H3004" s="753"/>
      <c r="I3004" s="754"/>
      <c r="J3004" s="753"/>
      <c r="K3004" s="753" t="s">
        <v>144</v>
      </c>
      <c r="L3004" s="753"/>
      <c r="M3004" s="753"/>
      <c r="N3004" s="753"/>
      <c r="O3004" s="753"/>
      <c r="P3004" s="753"/>
      <c r="Q3004" s="51"/>
      <c r="R3004" s="530"/>
      <c r="S3004" s="757"/>
      <c r="T3004" s="753"/>
      <c r="AR3004" s="748"/>
      <c r="AS3004" s="753"/>
    </row>
    <row r="3005" spans="1:45" s="886" customFormat="1" ht="13.2">
      <c r="A3005"/>
      <c r="B3005" s="910"/>
      <c r="C3005" s="910" t="s">
        <v>2597</v>
      </c>
      <c r="D3005" s="910" t="str">
        <f ca="1">CELL("Address",Elec_Rates!D$46)</f>
        <v>[E25_0062_Quintano_Foods_Elec_ELV_As_Awarded.xlsx]Elec_Rates!$D$46</v>
      </c>
      <c r="E3005" s="911"/>
      <c r="F3005" s="911"/>
      <c r="G3005" s="912" t="s">
        <v>2598</v>
      </c>
      <c r="H3005" s="912"/>
      <c r="I3005" s="912"/>
      <c r="J3005" s="912"/>
      <c r="K3005" s="913"/>
      <c r="L3005" s="911"/>
      <c r="M3005" s="911"/>
      <c r="N3005" s="911"/>
      <c r="O3005" s="914"/>
      <c r="P3005" s="911"/>
      <c r="Q3005" s="915"/>
      <c r="R3005" s="916"/>
      <c r="S3005" s="915"/>
      <c r="T3005" s="917"/>
      <c r="U3005" s="918"/>
      <c r="AR3005"/>
      <c r="AS3005" s="911"/>
    </row>
    <row r="3006" spans="1:45" s="886" customFormat="1" ht="11.4">
      <c r="A3006" s="919">
        <v>2</v>
      </c>
      <c r="B3006" s="920">
        <v>2.5</v>
      </c>
      <c r="C3006" s="920">
        <f>$A3006*$B3006</f>
        <v>5</v>
      </c>
      <c r="D3006" s="921" t="str">
        <f>Elec_Rates!$D$46</f>
        <v>004# Light point rate (Galvanised Conduit)</v>
      </c>
      <c r="E3006" s="921" t="s">
        <v>2882</v>
      </c>
      <c r="F3006" s="918"/>
      <c r="G3006" s="922" t="s">
        <v>2878</v>
      </c>
      <c r="H3006" s="922"/>
      <c r="I3006" s="922"/>
      <c r="J3006" s="922"/>
      <c r="K3006" s="923"/>
      <c r="L3006" s="918"/>
      <c r="M3006" s="918"/>
      <c r="N3006" s="918"/>
      <c r="O3006" s="924"/>
      <c r="P3006" s="921"/>
      <c r="Q3006" s="925">
        <f ca="1">$B3006*Elec_Rates!$R$46</f>
        <v>116.52500000000001</v>
      </c>
      <c r="R3006" s="916">
        <f ca="1">$A3006*Q3006</f>
        <v>233.05</v>
      </c>
      <c r="S3006" s="925">
        <f ca="1">$B3006*Elec_Rates!$T$46</f>
        <v>7.45</v>
      </c>
      <c r="T3006" s="917">
        <f ca="1">$A3006*S3006</f>
        <v>14.9</v>
      </c>
      <c r="U3006" s="926"/>
      <c r="AR3006" s="919">
        <v>1</v>
      </c>
      <c r="AS3006" s="918"/>
    </row>
    <row r="3007" spans="1:45" s="520" customFormat="1" ht="12">
      <c r="A3007" s="758"/>
      <c r="B3007" s="758"/>
      <c r="C3007" s="758"/>
      <c r="D3007" s="758"/>
      <c r="E3007" s="758"/>
      <c r="F3007" s="753"/>
      <c r="G3007" s="758"/>
      <c r="H3007" s="758"/>
      <c r="I3007" s="519"/>
      <c r="J3007" s="758"/>
      <c r="K3007" s="758"/>
      <c r="L3007" s="758"/>
      <c r="M3007" s="758"/>
      <c r="N3007" s="758"/>
      <c r="O3007" s="758"/>
      <c r="P3007" s="758"/>
      <c r="Q3007" s="519"/>
      <c r="R3007" s="759">
        <f>$A3007*Q3007</f>
        <v>0</v>
      </c>
      <c r="S3007" s="519"/>
      <c r="T3007" s="760">
        <f>$A3007*S3007*$T$1</f>
        <v>0</v>
      </c>
      <c r="AR3007" s="758"/>
      <c r="AS3007" s="753"/>
    </row>
    <row r="3008" spans="1:45" s="520" customFormat="1" ht="12.6" thickBot="1">
      <c r="A3008" s="761" t="s">
        <v>145</v>
      </c>
      <c r="B3008" s="762">
        <f>(R3007+T3007)</f>
        <v>0</v>
      </c>
      <c r="C3008" s="763"/>
      <c r="D3008" s="763"/>
      <c r="E3008" s="763"/>
      <c r="F3008" s="764"/>
      <c r="G3008" s="763" t="s">
        <v>146</v>
      </c>
      <c r="H3008" s="763"/>
      <c r="I3008" s="765"/>
      <c r="J3008" s="763"/>
      <c r="K3008" s="763" t="s">
        <v>3</v>
      </c>
      <c r="L3008" s="766" t="s">
        <v>143</v>
      </c>
      <c r="M3008" s="766"/>
      <c r="N3008" s="766"/>
      <c r="O3008" s="766"/>
      <c r="P3008" s="766"/>
      <c r="Q3008" s="767"/>
      <c r="R3008" s="768">
        <f ca="1">SUM(R3004:R3007)</f>
        <v>233.05</v>
      </c>
      <c r="S3008" s="763"/>
      <c r="T3008" s="768">
        <f ca="1">SUM(T3004:T3007)</f>
        <v>14.9</v>
      </c>
      <c r="U3008" s="531"/>
      <c r="V3008" s="531"/>
      <c r="W3008" s="531"/>
      <c r="X3008" s="531"/>
      <c r="Y3008" s="531"/>
      <c r="Z3008" s="531"/>
      <c r="AA3008" s="531"/>
      <c r="AB3008" s="531"/>
      <c r="AC3008" s="531"/>
      <c r="AD3008" s="531"/>
      <c r="AE3008" s="531"/>
      <c r="AF3008" s="531"/>
      <c r="AG3008" s="531"/>
      <c r="AH3008" s="531"/>
      <c r="AI3008" s="531"/>
      <c r="AJ3008" s="531"/>
      <c r="AK3008" s="531"/>
      <c r="AL3008" s="531"/>
      <c r="AM3008" s="531"/>
      <c r="AN3008" s="531"/>
      <c r="AO3008" s="531"/>
      <c r="AR3008" s="761" t="s">
        <v>145</v>
      </c>
      <c r="AS3008" s="764"/>
    </row>
    <row r="3009" spans="1:45" s="520" customFormat="1" ht="12" thickTop="1">
      <c r="A3009" s="51"/>
      <c r="B3009" s="41"/>
      <c r="C3009" s="51"/>
      <c r="E3009" s="42" t="s">
        <v>138</v>
      </c>
      <c r="F3009" s="42" t="s">
        <v>139</v>
      </c>
      <c r="G3009" s="51"/>
      <c r="H3009" s="51"/>
      <c r="I3009" s="51"/>
      <c r="J3009" s="51"/>
      <c r="K3009" s="51" t="s">
        <v>140</v>
      </c>
      <c r="L3009" s="51"/>
      <c r="M3009" s="51"/>
      <c r="N3009" s="51"/>
      <c r="O3009" s="52"/>
      <c r="P3009" s="51"/>
      <c r="Q3009" s="51"/>
      <c r="R3009" s="51"/>
      <c r="S3009" s="51"/>
      <c r="T3009" s="41"/>
      <c r="AG3009" s="521" t="s">
        <v>268</v>
      </c>
      <c r="AH3009" s="521" t="s">
        <v>269</v>
      </c>
      <c r="AI3009" s="521" t="s">
        <v>270</v>
      </c>
      <c r="AJ3009" s="521" t="s">
        <v>271</v>
      </c>
      <c r="AK3009" s="521" t="s">
        <v>272</v>
      </c>
      <c r="AM3009" s="745" t="s">
        <v>281</v>
      </c>
      <c r="AN3009" s="746" t="s">
        <v>282</v>
      </c>
      <c r="AO3009" s="522" t="s">
        <v>278</v>
      </c>
      <c r="AR3009" s="51"/>
      <c r="AS3009" s="42" t="s">
        <v>139</v>
      </c>
    </row>
    <row r="3010" spans="1:45" s="520" customFormat="1" ht="12" customHeight="1">
      <c r="A3010" s="747">
        <v>1</v>
      </c>
      <c r="B3010" s="523" t="s">
        <v>141</v>
      </c>
      <c r="C3010" s="748"/>
      <c r="D3010" s="749" t="s">
        <v>1612</v>
      </c>
      <c r="E3010" s="750">
        <f ca="1">IF(AND($A3010=0,$A$1="DIF"),0, ROUND(ROUND(($R3015*$S$2+($T3015*$T$2))/A3010,2)*$C$2,2))</f>
        <v>474.46</v>
      </c>
      <c r="F3010" s="751">
        <f ca="1">ROUND($A3010*$E3010,2)</f>
        <v>474.46</v>
      </c>
      <c r="G3010" s="752" t="s">
        <v>142</v>
      </c>
      <c r="H3010" s="753"/>
      <c r="I3010" s="754"/>
      <c r="J3010" s="753"/>
      <c r="K3010" s="753" t="s">
        <v>3</v>
      </c>
      <c r="L3010" s="755" t="s">
        <v>143</v>
      </c>
      <c r="M3010" s="755"/>
      <c r="N3010" s="755"/>
      <c r="O3010" s="755"/>
      <c r="P3010" s="755"/>
      <c r="Q3010" s="51"/>
      <c r="T3010" s="756" t="str">
        <f ca="1">IF(AND($R3015=0,$T3015=0),"0.00","mu :" &amp; ROUND($F3010/$C$2/($R3015+$T3015*$D$9),2))</f>
        <v>mu :1.23</v>
      </c>
      <c r="W3010" s="524"/>
      <c r="AG3010" s="481">
        <f ca="1">IF($E3010=0,0,ROUND($R3015*$S$2*$C$2/$A3010,2))</f>
        <v>172.18</v>
      </c>
      <c r="AH3010" s="481">
        <f ca="1">$AG3010*$A3010</f>
        <v>172.18</v>
      </c>
      <c r="AI3010" s="525">
        <f ca="1">$E3010-$AG3010</f>
        <v>302.27999999999997</v>
      </c>
      <c r="AJ3010" s="525">
        <f ca="1">$A3010*$AI3010</f>
        <v>302.27999999999997</v>
      </c>
      <c r="AK3010" s="526">
        <f ca="1">ROUND(($AG3010+$AI3010)*$A3010,2)</f>
        <v>474.46</v>
      </c>
      <c r="AM3010" s="527">
        <f ca="1">ROUND(R3015,2)</f>
        <v>139.83000000000001</v>
      </c>
      <c r="AN3010" s="528">
        <f ca="1">ROUND(T3015,2)</f>
        <v>8.94</v>
      </c>
      <c r="AO3010" s="529">
        <f ca="1">ROUND(AM3010+AN3010,2)*A3010</f>
        <v>148.77000000000001</v>
      </c>
      <c r="AR3010" s="747">
        <v>1</v>
      </c>
      <c r="AS3010" s="751">
        <v>507.94</v>
      </c>
    </row>
    <row r="3011" spans="1:45" s="520" customFormat="1" ht="13.2">
      <c r="A3011" s="748"/>
      <c r="B3011"/>
      <c r="C3011" s="748"/>
      <c r="D3011" s="749" t="s">
        <v>762</v>
      </c>
      <c r="F3011" s="753"/>
      <c r="G3011" s="3"/>
      <c r="H3011" s="753"/>
      <c r="I3011" s="754"/>
      <c r="J3011" s="753"/>
      <c r="K3011" s="753" t="s">
        <v>144</v>
      </c>
      <c r="L3011" s="753"/>
      <c r="M3011" s="753"/>
      <c r="N3011" s="753"/>
      <c r="O3011" s="753"/>
      <c r="P3011" s="753"/>
      <c r="Q3011" s="51"/>
      <c r="R3011" s="530"/>
      <c r="S3011" s="757"/>
      <c r="T3011" s="753"/>
      <c r="AR3011" s="748"/>
      <c r="AS3011" s="753"/>
    </row>
    <row r="3012" spans="1:45" s="886" customFormat="1" ht="13.2">
      <c r="A3012"/>
      <c r="B3012" s="910"/>
      <c r="C3012" s="910" t="s">
        <v>2597</v>
      </c>
      <c r="D3012" s="910" t="str">
        <f ca="1">CELL("Address",Elec_Rates!D$46)</f>
        <v>[E25_0062_Quintano_Foods_Elec_ELV_As_Awarded.xlsx]Elec_Rates!$D$46</v>
      </c>
      <c r="E3012" s="911"/>
      <c r="F3012" s="911"/>
      <c r="G3012" s="912" t="s">
        <v>2598</v>
      </c>
      <c r="H3012" s="912"/>
      <c r="I3012" s="912"/>
      <c r="J3012" s="912"/>
      <c r="K3012" s="913"/>
      <c r="L3012" s="911"/>
      <c r="M3012" s="911"/>
      <c r="N3012" s="911"/>
      <c r="O3012" s="914"/>
      <c r="P3012" s="911"/>
      <c r="Q3012" s="915"/>
      <c r="R3012" s="916"/>
      <c r="S3012" s="915"/>
      <c r="T3012" s="917"/>
      <c r="U3012" s="918"/>
      <c r="AR3012"/>
      <c r="AS3012" s="911"/>
    </row>
    <row r="3013" spans="1:45" s="886" customFormat="1" ht="11.4">
      <c r="A3013" s="919">
        <v>1</v>
      </c>
      <c r="B3013" s="920">
        <v>3</v>
      </c>
      <c r="C3013" s="920">
        <f>$A3013*$B3013</f>
        <v>3</v>
      </c>
      <c r="D3013" s="921" t="str">
        <f>Elec_Rates!$D$46</f>
        <v>004# Light point rate (Galvanised Conduit)</v>
      </c>
      <c r="E3013" s="921" t="s">
        <v>2883</v>
      </c>
      <c r="F3013" s="918"/>
      <c r="G3013" s="922" t="s">
        <v>2878</v>
      </c>
      <c r="H3013" s="922"/>
      <c r="I3013" s="922"/>
      <c r="J3013" s="922"/>
      <c r="K3013" s="923"/>
      <c r="L3013" s="918"/>
      <c r="M3013" s="918"/>
      <c r="N3013" s="918"/>
      <c r="O3013" s="924"/>
      <c r="P3013" s="921"/>
      <c r="Q3013" s="925">
        <f ca="1">$B3013*Elec_Rates!$R$46</f>
        <v>139.82999999999998</v>
      </c>
      <c r="R3013" s="916">
        <f ca="1">$A3013*Q3013</f>
        <v>139.82999999999998</v>
      </c>
      <c r="S3013" s="925">
        <f ca="1">$B3013*Elec_Rates!$T$46</f>
        <v>8.94</v>
      </c>
      <c r="T3013" s="917">
        <f ca="1">$A3013*S3013</f>
        <v>8.94</v>
      </c>
      <c r="U3013" s="926"/>
      <c r="AR3013" s="919">
        <v>1</v>
      </c>
      <c r="AS3013" s="918"/>
    </row>
    <row r="3014" spans="1:45" s="520" customFormat="1" ht="12">
      <c r="A3014" s="758"/>
      <c r="B3014" s="758"/>
      <c r="C3014" s="758"/>
      <c r="D3014" s="758"/>
      <c r="E3014" s="758"/>
      <c r="F3014" s="753"/>
      <c r="G3014" s="758"/>
      <c r="H3014" s="758"/>
      <c r="I3014" s="519"/>
      <c r="J3014" s="758"/>
      <c r="K3014" s="758"/>
      <c r="L3014" s="758"/>
      <c r="M3014" s="758"/>
      <c r="N3014" s="758"/>
      <c r="O3014" s="758"/>
      <c r="P3014" s="758"/>
      <c r="Q3014" s="519"/>
      <c r="R3014" s="759">
        <f>$A3014*Q3014</f>
        <v>0</v>
      </c>
      <c r="S3014" s="519"/>
      <c r="T3014" s="760">
        <f>$A3014*S3014*$T$1</f>
        <v>0</v>
      </c>
      <c r="AR3014" s="758"/>
      <c r="AS3014" s="753"/>
    </row>
    <row r="3015" spans="1:45" s="520" customFormat="1" ht="12.6" thickBot="1">
      <c r="A3015" s="761" t="s">
        <v>145</v>
      </c>
      <c r="B3015" s="762">
        <f>(R3014+T3014)</f>
        <v>0</v>
      </c>
      <c r="C3015" s="763"/>
      <c r="D3015" s="763"/>
      <c r="E3015" s="763"/>
      <c r="F3015" s="764"/>
      <c r="G3015" s="763" t="s">
        <v>146</v>
      </c>
      <c r="H3015" s="763"/>
      <c r="I3015" s="765"/>
      <c r="J3015" s="763"/>
      <c r="K3015" s="763" t="s">
        <v>3</v>
      </c>
      <c r="L3015" s="766" t="s">
        <v>143</v>
      </c>
      <c r="M3015" s="766"/>
      <c r="N3015" s="766"/>
      <c r="O3015" s="766"/>
      <c r="P3015" s="766"/>
      <c r="Q3015" s="767"/>
      <c r="R3015" s="768">
        <f ca="1">SUM(R3011:R3014)</f>
        <v>139.82999999999998</v>
      </c>
      <c r="S3015" s="763"/>
      <c r="T3015" s="768">
        <f ca="1">SUM(T3011:T3014)</f>
        <v>8.94</v>
      </c>
      <c r="U3015" s="531"/>
      <c r="V3015" s="531"/>
      <c r="W3015" s="531"/>
      <c r="X3015" s="531"/>
      <c r="Y3015" s="531"/>
      <c r="Z3015" s="531"/>
      <c r="AA3015" s="531"/>
      <c r="AB3015" s="531"/>
      <c r="AC3015" s="531"/>
      <c r="AD3015" s="531"/>
      <c r="AE3015" s="531"/>
      <c r="AF3015" s="531"/>
      <c r="AG3015" s="531"/>
      <c r="AH3015" s="531"/>
      <c r="AI3015" s="531"/>
      <c r="AJ3015" s="531"/>
      <c r="AK3015" s="531"/>
      <c r="AL3015" s="531"/>
      <c r="AM3015" s="531"/>
      <c r="AN3015" s="531"/>
      <c r="AO3015" s="531"/>
      <c r="AR3015" s="761" t="s">
        <v>145</v>
      </c>
      <c r="AS3015" s="764"/>
    </row>
    <row r="3016" spans="1:45" s="520" customFormat="1" ht="12" thickTop="1">
      <c r="A3016" s="51"/>
      <c r="B3016" s="41"/>
      <c r="C3016" s="51"/>
      <c r="E3016" s="42" t="s">
        <v>138</v>
      </c>
      <c r="F3016" s="42" t="s">
        <v>139</v>
      </c>
      <c r="G3016" s="51"/>
      <c r="H3016" s="51"/>
      <c r="I3016" s="51"/>
      <c r="J3016" s="51"/>
      <c r="K3016" s="51" t="s">
        <v>140</v>
      </c>
      <c r="L3016" s="51"/>
      <c r="M3016" s="51"/>
      <c r="N3016" s="51"/>
      <c r="O3016" s="52"/>
      <c r="P3016" s="51"/>
      <c r="Q3016" s="51"/>
      <c r="R3016" s="51"/>
      <c r="S3016" s="51"/>
      <c r="T3016" s="41"/>
      <c r="AG3016" s="521" t="s">
        <v>268</v>
      </c>
      <c r="AH3016" s="521" t="s">
        <v>269</v>
      </c>
      <c r="AI3016" s="521" t="s">
        <v>270</v>
      </c>
      <c r="AJ3016" s="521" t="s">
        <v>271</v>
      </c>
      <c r="AK3016" s="521" t="s">
        <v>272</v>
      </c>
      <c r="AM3016" s="745" t="s">
        <v>281</v>
      </c>
      <c r="AN3016" s="746" t="s">
        <v>282</v>
      </c>
      <c r="AO3016" s="522" t="s">
        <v>278</v>
      </c>
      <c r="AR3016" s="51"/>
      <c r="AS3016" s="42" t="s">
        <v>139</v>
      </c>
    </row>
    <row r="3017" spans="1:45" s="520" customFormat="1" ht="12" customHeight="1">
      <c r="A3017" s="747">
        <v>1</v>
      </c>
      <c r="B3017" s="523" t="s">
        <v>141</v>
      </c>
      <c r="C3017" s="748"/>
      <c r="D3017" s="749" t="s">
        <v>3878</v>
      </c>
      <c r="E3017" s="750">
        <f ca="1">IF(AND($A3017=0,$A$1="DIF"),0, ROUND(ROUND(($R3022*$S$2+($T3022*$T$2))/A3017,2)*$C$2,2))</f>
        <v>553.54</v>
      </c>
      <c r="F3017" s="751">
        <f ca="1">ROUND($A3017*$E3017,2)</f>
        <v>553.54</v>
      </c>
      <c r="G3017" s="752" t="s">
        <v>142</v>
      </c>
      <c r="H3017" s="753"/>
      <c r="I3017" s="754"/>
      <c r="J3017" s="753"/>
      <c r="K3017" s="753" t="s">
        <v>3</v>
      </c>
      <c r="L3017" s="755" t="s">
        <v>143</v>
      </c>
      <c r="M3017" s="755"/>
      <c r="N3017" s="755"/>
      <c r="O3017" s="755"/>
      <c r="P3017" s="755"/>
      <c r="Q3017" s="51"/>
      <c r="T3017" s="756" t="str">
        <f ca="1">IF(AND($R3022=0,$T3022=0),"0.00","mu :" &amp; ROUND($F3017/$C$2/($R3022+$T3022*$D$9),2))</f>
        <v>mu :1.23</v>
      </c>
      <c r="W3017" s="524"/>
      <c r="AG3017" s="481">
        <f ca="1">IF($E3017=0,0,ROUND($R3022*$S$2*$C$2/$A3017,2))</f>
        <v>200.88</v>
      </c>
      <c r="AH3017" s="481">
        <f ca="1">$AG3017*$A3017</f>
        <v>200.88</v>
      </c>
      <c r="AI3017" s="525">
        <f ca="1">$E3017-$AG3017</f>
        <v>352.65999999999997</v>
      </c>
      <c r="AJ3017" s="525">
        <f ca="1">$A3017*$AI3017</f>
        <v>352.65999999999997</v>
      </c>
      <c r="AK3017" s="526">
        <f ca="1">ROUND(($AG3017+$AI3017)*$A3017,2)</f>
        <v>553.54</v>
      </c>
      <c r="AM3017" s="527">
        <f ca="1">ROUND(R3022,2)</f>
        <v>163.13999999999999</v>
      </c>
      <c r="AN3017" s="528">
        <f ca="1">ROUND(T3022,2)</f>
        <v>10.43</v>
      </c>
      <c r="AO3017" s="529">
        <f ca="1">ROUND(AM3017+AN3017,2)*A3017</f>
        <v>173.57</v>
      </c>
      <c r="AR3017" s="747">
        <v>1</v>
      </c>
      <c r="AS3017" s="751">
        <v>507.94</v>
      </c>
    </row>
    <row r="3018" spans="1:45" s="520" customFormat="1" ht="13.2">
      <c r="A3018" s="748"/>
      <c r="B3018"/>
      <c r="C3018" s="748"/>
      <c r="D3018" s="749" t="s">
        <v>792</v>
      </c>
      <c r="F3018" s="753"/>
      <c r="G3018" s="3"/>
      <c r="H3018" s="753"/>
      <c r="I3018" s="754"/>
      <c r="J3018" s="753"/>
      <c r="K3018" s="753" t="s">
        <v>144</v>
      </c>
      <c r="L3018" s="753"/>
      <c r="M3018" s="753"/>
      <c r="N3018" s="753"/>
      <c r="O3018" s="753"/>
      <c r="P3018" s="753"/>
      <c r="Q3018" s="51"/>
      <c r="R3018" s="530"/>
      <c r="S3018" s="757"/>
      <c r="T3018" s="753"/>
      <c r="AR3018" s="748"/>
      <c r="AS3018" s="753"/>
    </row>
    <row r="3019" spans="1:45" s="886" customFormat="1" ht="13.2">
      <c r="A3019"/>
      <c r="B3019" s="910"/>
      <c r="C3019" s="910" t="s">
        <v>2597</v>
      </c>
      <c r="D3019" s="910" t="str">
        <f ca="1">CELL("Address",Elec_Rates!D$46)</f>
        <v>[E25_0062_Quintano_Foods_Elec_ELV_As_Awarded.xlsx]Elec_Rates!$D$46</v>
      </c>
      <c r="E3019" s="911"/>
      <c r="F3019" s="911"/>
      <c r="G3019" s="912" t="s">
        <v>2598</v>
      </c>
      <c r="H3019" s="912"/>
      <c r="I3019" s="912"/>
      <c r="J3019" s="912"/>
      <c r="K3019" s="913"/>
      <c r="L3019" s="911"/>
      <c r="M3019" s="911"/>
      <c r="N3019" s="911"/>
      <c r="O3019" s="914"/>
      <c r="P3019" s="911"/>
      <c r="Q3019" s="915"/>
      <c r="R3019" s="916"/>
      <c r="S3019" s="915"/>
      <c r="T3019" s="917"/>
      <c r="U3019" s="918"/>
      <c r="AR3019"/>
      <c r="AS3019" s="911"/>
    </row>
    <row r="3020" spans="1:45" s="886" customFormat="1" ht="11.4">
      <c r="A3020" s="919">
        <v>1</v>
      </c>
      <c r="B3020" s="920">
        <v>3.5</v>
      </c>
      <c r="C3020" s="920">
        <f>$A3020*$B3020</f>
        <v>3.5</v>
      </c>
      <c r="D3020" s="921" t="str">
        <f>Elec_Rates!$D$46</f>
        <v>004# Light point rate (Galvanised Conduit)</v>
      </c>
      <c r="E3020" s="921" t="s">
        <v>2968</v>
      </c>
      <c r="F3020" s="918"/>
      <c r="G3020" s="922" t="s">
        <v>2878</v>
      </c>
      <c r="H3020" s="922"/>
      <c r="I3020" s="922"/>
      <c r="J3020" s="922"/>
      <c r="K3020" s="923"/>
      <c r="L3020" s="918"/>
      <c r="M3020" s="918"/>
      <c r="N3020" s="918"/>
      <c r="O3020" s="924"/>
      <c r="P3020" s="921"/>
      <c r="Q3020" s="925">
        <f ca="1">$B3020*Elec_Rates!$R$46</f>
        <v>163.13499999999999</v>
      </c>
      <c r="R3020" s="916">
        <f ca="1">$A3020*Q3020</f>
        <v>163.13499999999999</v>
      </c>
      <c r="S3020" s="925">
        <f ca="1">$B3020*Elec_Rates!$T$46</f>
        <v>10.43</v>
      </c>
      <c r="T3020" s="917">
        <f ca="1">$A3020*S3020</f>
        <v>10.43</v>
      </c>
      <c r="U3020" s="926"/>
      <c r="AR3020" s="919">
        <v>1</v>
      </c>
      <c r="AS3020" s="918"/>
    </row>
    <row r="3021" spans="1:45" s="520" customFormat="1" ht="12">
      <c r="A3021" s="758"/>
      <c r="B3021" s="758"/>
      <c r="C3021" s="758"/>
      <c r="D3021" s="758"/>
      <c r="E3021" s="758"/>
      <c r="F3021" s="753"/>
      <c r="G3021" s="758"/>
      <c r="H3021" s="758"/>
      <c r="I3021" s="519"/>
      <c r="J3021" s="758"/>
      <c r="K3021" s="758"/>
      <c r="L3021" s="758"/>
      <c r="M3021" s="758"/>
      <c r="N3021" s="758"/>
      <c r="O3021" s="758"/>
      <c r="P3021" s="758"/>
      <c r="Q3021" s="519"/>
      <c r="R3021" s="759">
        <f>$A3021*Q3021</f>
        <v>0</v>
      </c>
      <c r="S3021" s="519"/>
      <c r="T3021" s="760">
        <f>$A3021*S3021*$T$1</f>
        <v>0</v>
      </c>
      <c r="AR3021" s="758"/>
      <c r="AS3021" s="753"/>
    </row>
    <row r="3022" spans="1:45" s="520" customFormat="1" ht="12.6" thickBot="1">
      <c r="A3022" s="761" t="s">
        <v>145</v>
      </c>
      <c r="B3022" s="762">
        <f>(R3021+T3021)</f>
        <v>0</v>
      </c>
      <c r="C3022" s="763"/>
      <c r="D3022" s="763"/>
      <c r="E3022" s="763"/>
      <c r="F3022" s="764"/>
      <c r="G3022" s="763" t="s">
        <v>146</v>
      </c>
      <c r="H3022" s="763"/>
      <c r="I3022" s="765"/>
      <c r="J3022" s="763"/>
      <c r="K3022" s="763" t="s">
        <v>3</v>
      </c>
      <c r="L3022" s="766" t="s">
        <v>143</v>
      </c>
      <c r="M3022" s="766"/>
      <c r="N3022" s="766"/>
      <c r="O3022" s="766"/>
      <c r="P3022" s="766"/>
      <c r="Q3022" s="767"/>
      <c r="R3022" s="768">
        <f ca="1">SUM(R3018:R3021)</f>
        <v>163.13499999999999</v>
      </c>
      <c r="S3022" s="763"/>
      <c r="T3022" s="768">
        <f ca="1">SUM(T3018:T3021)</f>
        <v>10.43</v>
      </c>
      <c r="U3022" s="531"/>
      <c r="V3022" s="531"/>
      <c r="W3022" s="531"/>
      <c r="X3022" s="531"/>
      <c r="Y3022" s="531"/>
      <c r="Z3022" s="531"/>
      <c r="AA3022" s="531"/>
      <c r="AB3022" s="531"/>
      <c r="AC3022" s="531"/>
      <c r="AD3022" s="531"/>
      <c r="AE3022" s="531"/>
      <c r="AF3022" s="531"/>
      <c r="AG3022" s="531"/>
      <c r="AH3022" s="531"/>
      <c r="AI3022" s="531"/>
      <c r="AJ3022" s="531"/>
      <c r="AK3022" s="531"/>
      <c r="AL3022" s="531"/>
      <c r="AM3022" s="531"/>
      <c r="AN3022" s="531"/>
      <c r="AO3022" s="531"/>
      <c r="AR3022" s="761" t="s">
        <v>145</v>
      </c>
      <c r="AS3022" s="764"/>
    </row>
    <row r="3023" spans="1:45" s="520" customFormat="1" ht="12" thickTop="1">
      <c r="A3023" s="51"/>
      <c r="B3023" s="41"/>
      <c r="C3023" s="51"/>
      <c r="E3023" s="42" t="s">
        <v>138</v>
      </c>
      <c r="F3023" s="42" t="s">
        <v>139</v>
      </c>
      <c r="G3023" s="51"/>
      <c r="H3023" s="51"/>
      <c r="I3023" s="51"/>
      <c r="J3023" s="51"/>
      <c r="K3023" s="51" t="s">
        <v>140</v>
      </c>
      <c r="L3023" s="51"/>
      <c r="M3023" s="51"/>
      <c r="N3023" s="51"/>
      <c r="O3023" s="52"/>
      <c r="P3023" s="51"/>
      <c r="Q3023" s="51"/>
      <c r="R3023" s="51"/>
      <c r="S3023" s="51"/>
      <c r="T3023" s="41"/>
      <c r="AG3023" s="521" t="s">
        <v>268</v>
      </c>
      <c r="AH3023" s="521" t="s">
        <v>269</v>
      </c>
      <c r="AI3023" s="521" t="s">
        <v>270</v>
      </c>
      <c r="AJ3023" s="521" t="s">
        <v>271</v>
      </c>
      <c r="AK3023" s="521" t="s">
        <v>272</v>
      </c>
      <c r="AM3023" s="745" t="s">
        <v>281</v>
      </c>
      <c r="AN3023" s="746" t="s">
        <v>282</v>
      </c>
      <c r="AO3023" s="522" t="s">
        <v>278</v>
      </c>
      <c r="AR3023" s="51"/>
      <c r="AS3023" s="42" t="s">
        <v>139</v>
      </c>
    </row>
    <row r="3024" spans="1:45" s="520" customFormat="1" ht="12" customHeight="1">
      <c r="A3024" s="747">
        <v>1</v>
      </c>
      <c r="B3024" s="523" t="s">
        <v>141</v>
      </c>
      <c r="C3024" s="748"/>
      <c r="D3024" s="749" t="s">
        <v>1613</v>
      </c>
      <c r="E3024" s="750">
        <f ca="1">IF(AND($A3024=0,$A$1="DIF"),0, ROUND(ROUND(($R3029*$S$2+($T3029*$T$2))/A3024,2)*$C$2,2))</f>
        <v>632.62</v>
      </c>
      <c r="F3024" s="751">
        <f ca="1">ROUND($A3024*$E3024,2)</f>
        <v>632.62</v>
      </c>
      <c r="G3024" s="752" t="s">
        <v>142</v>
      </c>
      <c r="H3024" s="753"/>
      <c r="I3024" s="754"/>
      <c r="J3024" s="753"/>
      <c r="K3024" s="753" t="s">
        <v>3</v>
      </c>
      <c r="L3024" s="755" t="s">
        <v>143</v>
      </c>
      <c r="M3024" s="755"/>
      <c r="N3024" s="755"/>
      <c r="O3024" s="755"/>
      <c r="P3024" s="755"/>
      <c r="Q3024" s="51"/>
      <c r="T3024" s="756" t="str">
        <f ca="1">IF(AND($R3029=0,$T3029=0),"0.00","mu :" &amp; ROUND($F3024/$C$2/($R3029+$T3029*$D$9),2))</f>
        <v>mu :1.23</v>
      </c>
      <c r="W3024" s="524"/>
      <c r="AG3024" s="481">
        <f ca="1">IF($E3024=0,0,ROUND($R3029*$S$2*$C$2/$A3024,2))</f>
        <v>229.57</v>
      </c>
      <c r="AH3024" s="481">
        <f ca="1">$AG3024*$A3024</f>
        <v>229.57</v>
      </c>
      <c r="AI3024" s="525">
        <f ca="1">$E3024-$AG3024</f>
        <v>403.05</v>
      </c>
      <c r="AJ3024" s="525">
        <f ca="1">$A3024*$AI3024</f>
        <v>403.05</v>
      </c>
      <c r="AK3024" s="526">
        <f ca="1">ROUND(($AG3024+$AI3024)*$A3024,2)</f>
        <v>632.62</v>
      </c>
      <c r="AM3024" s="527">
        <f ca="1">ROUND(R3029,2)</f>
        <v>186.44</v>
      </c>
      <c r="AN3024" s="528">
        <f ca="1">ROUND(T3029,2)</f>
        <v>11.92</v>
      </c>
      <c r="AO3024" s="529">
        <f ca="1">ROUND(AM3024+AN3024,2)*A3024</f>
        <v>198.36</v>
      </c>
      <c r="AR3024" s="747">
        <v>1</v>
      </c>
      <c r="AS3024" s="751">
        <v>677.25</v>
      </c>
    </row>
    <row r="3025" spans="1:45" s="520" customFormat="1" ht="13.2">
      <c r="A3025" s="748"/>
      <c r="B3025"/>
      <c r="C3025" s="748"/>
      <c r="D3025" s="749" t="s">
        <v>763</v>
      </c>
      <c r="F3025" s="753"/>
      <c r="G3025" s="3"/>
      <c r="H3025" s="753"/>
      <c r="I3025" s="754"/>
      <c r="J3025" s="753"/>
      <c r="K3025" s="753" t="s">
        <v>144</v>
      </c>
      <c r="L3025" s="753"/>
      <c r="M3025" s="753"/>
      <c r="N3025" s="753"/>
      <c r="O3025" s="753"/>
      <c r="P3025" s="753"/>
      <c r="Q3025" s="51"/>
      <c r="R3025" s="530"/>
      <c r="S3025" s="757"/>
      <c r="T3025" s="753"/>
      <c r="AR3025" s="748"/>
      <c r="AS3025" s="753"/>
    </row>
    <row r="3026" spans="1:45" s="886" customFormat="1" ht="13.2">
      <c r="A3026"/>
      <c r="B3026" s="910"/>
      <c r="C3026" s="910" t="s">
        <v>2597</v>
      </c>
      <c r="D3026" s="910" t="str">
        <f ca="1">CELL("Address",Elec_Rates!D$46)</f>
        <v>[E25_0062_Quintano_Foods_Elec_ELV_As_Awarded.xlsx]Elec_Rates!$D$46</v>
      </c>
      <c r="E3026" s="911"/>
      <c r="F3026" s="911"/>
      <c r="G3026" s="912" t="s">
        <v>2598</v>
      </c>
      <c r="H3026" s="912"/>
      <c r="I3026" s="912"/>
      <c r="J3026" s="912"/>
      <c r="K3026" s="913"/>
      <c r="L3026" s="911"/>
      <c r="M3026" s="911"/>
      <c r="N3026" s="911"/>
      <c r="O3026" s="914"/>
      <c r="P3026" s="911"/>
      <c r="Q3026" s="915"/>
      <c r="R3026" s="916"/>
      <c r="S3026" s="915"/>
      <c r="T3026" s="917"/>
      <c r="U3026" s="918"/>
      <c r="AR3026"/>
      <c r="AS3026" s="911"/>
    </row>
    <row r="3027" spans="1:45" s="886" customFormat="1" ht="11.4">
      <c r="A3027" s="919">
        <v>1</v>
      </c>
      <c r="B3027" s="920">
        <v>4</v>
      </c>
      <c r="C3027" s="920">
        <f>$A3027*$B3027</f>
        <v>4</v>
      </c>
      <c r="D3027" s="921" t="str">
        <f>Elec_Rates!$D$46</f>
        <v>004# Light point rate (Galvanised Conduit)</v>
      </c>
      <c r="E3027" s="921" t="s">
        <v>2884</v>
      </c>
      <c r="F3027" s="918"/>
      <c r="G3027" s="922" t="s">
        <v>2878</v>
      </c>
      <c r="H3027" s="922"/>
      <c r="I3027" s="922"/>
      <c r="J3027" s="922"/>
      <c r="K3027" s="923"/>
      <c r="L3027" s="918"/>
      <c r="M3027" s="918"/>
      <c r="N3027" s="918"/>
      <c r="O3027" s="924"/>
      <c r="P3027" s="921"/>
      <c r="Q3027" s="925">
        <f ca="1">$B3027*Elec_Rates!$R$46</f>
        <v>186.44</v>
      </c>
      <c r="R3027" s="916">
        <f ca="1">$A3027*Q3027</f>
        <v>186.44</v>
      </c>
      <c r="S3027" s="925">
        <f ca="1">$B3027*Elec_Rates!$T$46</f>
        <v>11.92</v>
      </c>
      <c r="T3027" s="917">
        <f ca="1">$A3027*S3027</f>
        <v>11.92</v>
      </c>
      <c r="U3027" s="926"/>
      <c r="AR3027" s="919">
        <v>1</v>
      </c>
      <c r="AS3027" s="918"/>
    </row>
    <row r="3028" spans="1:45" s="520" customFormat="1" ht="12">
      <c r="A3028" s="758"/>
      <c r="B3028" s="758"/>
      <c r="C3028" s="758"/>
      <c r="D3028" s="758"/>
      <c r="E3028" s="758"/>
      <c r="F3028" s="753"/>
      <c r="G3028" s="758"/>
      <c r="H3028" s="758"/>
      <c r="I3028" s="519"/>
      <c r="J3028" s="758"/>
      <c r="K3028" s="758"/>
      <c r="L3028" s="758"/>
      <c r="M3028" s="758"/>
      <c r="N3028" s="758"/>
      <c r="O3028" s="758"/>
      <c r="P3028" s="758"/>
      <c r="Q3028" s="519"/>
      <c r="R3028" s="759">
        <f>$A3028*Q3028</f>
        <v>0</v>
      </c>
      <c r="S3028" s="519"/>
      <c r="T3028" s="760">
        <f>$A3028*S3028*$T$1</f>
        <v>0</v>
      </c>
      <c r="AR3028" s="758"/>
      <c r="AS3028" s="753"/>
    </row>
    <row r="3029" spans="1:45" s="520" customFormat="1" ht="12.6" thickBot="1">
      <c r="A3029" s="761" t="s">
        <v>145</v>
      </c>
      <c r="B3029" s="762">
        <f>(R3028+T3028)</f>
        <v>0</v>
      </c>
      <c r="C3029" s="763"/>
      <c r="D3029" s="763"/>
      <c r="E3029" s="763"/>
      <c r="F3029" s="764"/>
      <c r="G3029" s="763" t="s">
        <v>146</v>
      </c>
      <c r="H3029" s="763"/>
      <c r="I3029" s="765"/>
      <c r="J3029" s="763"/>
      <c r="K3029" s="763" t="s">
        <v>3</v>
      </c>
      <c r="L3029" s="766" t="s">
        <v>143</v>
      </c>
      <c r="M3029" s="766"/>
      <c r="N3029" s="766"/>
      <c r="O3029" s="766"/>
      <c r="P3029" s="766"/>
      <c r="Q3029" s="767"/>
      <c r="R3029" s="768">
        <f ca="1">SUM(R3025:R3028)</f>
        <v>186.44</v>
      </c>
      <c r="S3029" s="763"/>
      <c r="T3029" s="768">
        <f ca="1">SUM(T3025:T3028)</f>
        <v>11.92</v>
      </c>
      <c r="U3029" s="531"/>
      <c r="V3029" s="531"/>
      <c r="W3029" s="531"/>
      <c r="X3029" s="531"/>
      <c r="Y3029" s="531"/>
      <c r="Z3029" s="531"/>
      <c r="AA3029" s="531"/>
      <c r="AB3029" s="531"/>
      <c r="AC3029" s="531"/>
      <c r="AD3029" s="531"/>
      <c r="AE3029" s="531"/>
      <c r="AF3029" s="531"/>
      <c r="AG3029" s="531"/>
      <c r="AH3029" s="531"/>
      <c r="AI3029" s="531"/>
      <c r="AJ3029" s="531"/>
      <c r="AK3029" s="531"/>
      <c r="AL3029" s="531"/>
      <c r="AM3029" s="531"/>
      <c r="AN3029" s="531"/>
      <c r="AO3029" s="531"/>
      <c r="AR3029" s="761" t="s">
        <v>145</v>
      </c>
      <c r="AS3029" s="764"/>
    </row>
    <row r="3030" spans="1:45" s="520" customFormat="1" ht="12" thickTop="1">
      <c r="A3030" s="51"/>
      <c r="B3030" s="41"/>
      <c r="C3030" s="51"/>
      <c r="E3030" s="42" t="s">
        <v>138</v>
      </c>
      <c r="F3030" s="42" t="s">
        <v>139</v>
      </c>
      <c r="G3030" s="51"/>
      <c r="H3030" s="51"/>
      <c r="I3030" s="51"/>
      <c r="J3030" s="51"/>
      <c r="K3030" s="51" t="s">
        <v>140</v>
      </c>
      <c r="L3030" s="51"/>
      <c r="M3030" s="51"/>
      <c r="N3030" s="51"/>
      <c r="O3030" s="52"/>
      <c r="P3030" s="51"/>
      <c r="Q3030" s="51"/>
      <c r="R3030" s="51"/>
      <c r="S3030" s="51"/>
      <c r="T3030" s="41"/>
      <c r="AG3030" s="521" t="s">
        <v>268</v>
      </c>
      <c r="AH3030" s="521" t="s">
        <v>269</v>
      </c>
      <c r="AI3030" s="521" t="s">
        <v>270</v>
      </c>
      <c r="AJ3030" s="521" t="s">
        <v>271</v>
      </c>
      <c r="AK3030" s="521" t="s">
        <v>272</v>
      </c>
      <c r="AM3030" s="745" t="s">
        <v>281</v>
      </c>
      <c r="AN3030" s="746" t="s">
        <v>282</v>
      </c>
      <c r="AO3030" s="522" t="s">
        <v>278</v>
      </c>
      <c r="AR3030" s="51"/>
      <c r="AS3030" s="42" t="s">
        <v>139</v>
      </c>
    </row>
    <row r="3031" spans="1:45" s="520" customFormat="1" ht="12" customHeight="1">
      <c r="A3031" s="747">
        <v>1</v>
      </c>
      <c r="B3031" s="523" t="s">
        <v>141</v>
      </c>
      <c r="C3031" s="748"/>
      <c r="D3031" s="749" t="s">
        <v>3879</v>
      </c>
      <c r="E3031" s="750">
        <f ca="1">IF(AND($A3031=0,$A$1="DIF"),0, ROUND(ROUND(($R3036*$S$2+($T3036*$T$2))/A3031,2)*$C$2,2))</f>
        <v>711.7</v>
      </c>
      <c r="F3031" s="751">
        <f ca="1">ROUND($A3031*$E3031,2)</f>
        <v>711.7</v>
      </c>
      <c r="G3031" s="752" t="s">
        <v>142</v>
      </c>
      <c r="H3031" s="753"/>
      <c r="I3031" s="754"/>
      <c r="J3031" s="753"/>
      <c r="K3031" s="753" t="s">
        <v>3</v>
      </c>
      <c r="L3031" s="755" t="s">
        <v>143</v>
      </c>
      <c r="M3031" s="755"/>
      <c r="N3031" s="755"/>
      <c r="O3031" s="755"/>
      <c r="P3031" s="755"/>
      <c r="Q3031" s="51"/>
      <c r="T3031" s="756" t="str">
        <f ca="1">IF(AND($R3036=0,$T3036=0),"0.00","mu :" &amp; ROUND($F3031/$C$2/($R3036+$T3036*$D$9),2))</f>
        <v>mu :1.23</v>
      </c>
      <c r="W3031" s="524"/>
      <c r="AG3031" s="481">
        <f ca="1">IF($E3031=0,0,ROUND($R3036*$S$2*$C$2/$A3031,2))</f>
        <v>258.27</v>
      </c>
      <c r="AH3031" s="481">
        <f ca="1">$AG3031*$A3031</f>
        <v>258.27</v>
      </c>
      <c r="AI3031" s="525">
        <f ca="1">$E3031-$AG3031</f>
        <v>453.43000000000006</v>
      </c>
      <c r="AJ3031" s="525">
        <f ca="1">$A3031*$AI3031</f>
        <v>453.43000000000006</v>
      </c>
      <c r="AK3031" s="526">
        <f ca="1">ROUND(($AG3031+$AI3031)*$A3031,2)</f>
        <v>711.7</v>
      </c>
      <c r="AM3031" s="527">
        <f ca="1">ROUND(R3036,2)</f>
        <v>209.75</v>
      </c>
      <c r="AN3031" s="528">
        <f ca="1">ROUND(T3036,2)</f>
        <v>13.41</v>
      </c>
      <c r="AO3031" s="529">
        <f ca="1">ROUND(AM3031+AN3031,2)*A3031</f>
        <v>223.16</v>
      </c>
      <c r="AR3031" s="747">
        <v>1</v>
      </c>
      <c r="AS3031" s="751">
        <v>677.25</v>
      </c>
    </row>
    <row r="3032" spans="1:45" s="520" customFormat="1" ht="13.2">
      <c r="A3032" s="748"/>
      <c r="B3032"/>
      <c r="C3032" s="748"/>
      <c r="D3032" s="749" t="s">
        <v>3833</v>
      </c>
      <c r="F3032" s="753"/>
      <c r="G3032" s="3"/>
      <c r="H3032" s="753"/>
      <c r="I3032" s="754"/>
      <c r="J3032" s="753"/>
      <c r="K3032" s="753" t="s">
        <v>144</v>
      </c>
      <c r="L3032" s="753"/>
      <c r="M3032" s="753"/>
      <c r="N3032" s="753"/>
      <c r="O3032" s="753"/>
      <c r="P3032" s="753"/>
      <c r="Q3032" s="51"/>
      <c r="R3032" s="530"/>
      <c r="S3032" s="757"/>
      <c r="T3032" s="753"/>
      <c r="AR3032" s="748"/>
      <c r="AS3032" s="753"/>
    </row>
    <row r="3033" spans="1:45" s="886" customFormat="1" ht="13.2">
      <c r="A3033"/>
      <c r="B3033" s="910"/>
      <c r="C3033" s="910" t="s">
        <v>2597</v>
      </c>
      <c r="D3033" s="910" t="str">
        <f ca="1">CELL("Address",Elec_Rates!D$46)</f>
        <v>[E25_0062_Quintano_Foods_Elec_ELV_As_Awarded.xlsx]Elec_Rates!$D$46</v>
      </c>
      <c r="E3033" s="911"/>
      <c r="F3033" s="911"/>
      <c r="G3033" s="912" t="s">
        <v>2598</v>
      </c>
      <c r="H3033" s="912"/>
      <c r="I3033" s="912"/>
      <c r="J3033" s="912"/>
      <c r="K3033" s="913"/>
      <c r="L3033" s="911"/>
      <c r="M3033" s="911"/>
      <c r="N3033" s="911"/>
      <c r="O3033" s="914"/>
      <c r="P3033" s="911"/>
      <c r="Q3033" s="915"/>
      <c r="R3033" s="916"/>
      <c r="S3033" s="915"/>
      <c r="T3033" s="917"/>
      <c r="U3033" s="918"/>
      <c r="AR3033"/>
      <c r="AS3033" s="911"/>
    </row>
    <row r="3034" spans="1:45" s="886" customFormat="1" ht="11.4">
      <c r="A3034" s="919">
        <v>1</v>
      </c>
      <c r="B3034" s="920">
        <v>4.5</v>
      </c>
      <c r="C3034" s="920">
        <f>$A3034*$B3034</f>
        <v>4.5</v>
      </c>
      <c r="D3034" s="921" t="str">
        <f>Elec_Rates!$D$46</f>
        <v>004# Light point rate (Galvanised Conduit)</v>
      </c>
      <c r="E3034" s="921" t="s">
        <v>3880</v>
      </c>
      <c r="F3034" s="918"/>
      <c r="G3034" s="922" t="s">
        <v>2878</v>
      </c>
      <c r="H3034" s="922"/>
      <c r="I3034" s="922"/>
      <c r="J3034" s="922"/>
      <c r="K3034" s="923"/>
      <c r="L3034" s="918"/>
      <c r="M3034" s="918"/>
      <c r="N3034" s="918"/>
      <c r="O3034" s="924"/>
      <c r="P3034" s="921"/>
      <c r="Q3034" s="925">
        <f ca="1">$B3034*Elec_Rates!$R$46</f>
        <v>209.745</v>
      </c>
      <c r="R3034" s="916">
        <f ca="1">$A3034*Q3034</f>
        <v>209.745</v>
      </c>
      <c r="S3034" s="925">
        <f ca="1">$B3034*Elec_Rates!$T$46</f>
        <v>13.41</v>
      </c>
      <c r="T3034" s="917">
        <f ca="1">$A3034*S3034</f>
        <v>13.41</v>
      </c>
      <c r="U3034" s="926"/>
      <c r="AR3034" s="919">
        <v>1</v>
      </c>
      <c r="AS3034" s="918"/>
    </row>
    <row r="3035" spans="1:45" s="520" customFormat="1" ht="12">
      <c r="A3035" s="758"/>
      <c r="B3035" s="758"/>
      <c r="C3035" s="758"/>
      <c r="D3035" s="758"/>
      <c r="E3035" s="758"/>
      <c r="F3035" s="753"/>
      <c r="G3035" s="758"/>
      <c r="H3035" s="758"/>
      <c r="I3035" s="519"/>
      <c r="J3035" s="758"/>
      <c r="K3035" s="758"/>
      <c r="L3035" s="758"/>
      <c r="M3035" s="758"/>
      <c r="N3035" s="758"/>
      <c r="O3035" s="758"/>
      <c r="P3035" s="758"/>
      <c r="Q3035" s="519"/>
      <c r="R3035" s="759">
        <f>$A3035*Q3035</f>
        <v>0</v>
      </c>
      <c r="S3035" s="519"/>
      <c r="T3035" s="760">
        <f>$A3035*S3035*$T$1</f>
        <v>0</v>
      </c>
      <c r="AR3035" s="758"/>
      <c r="AS3035" s="753"/>
    </row>
    <row r="3036" spans="1:45" s="520" customFormat="1" ht="12.6" thickBot="1">
      <c r="A3036" s="761" t="s">
        <v>145</v>
      </c>
      <c r="B3036" s="762">
        <f>(R3035+T3035)</f>
        <v>0</v>
      </c>
      <c r="C3036" s="763"/>
      <c r="D3036" s="763"/>
      <c r="E3036" s="763"/>
      <c r="F3036" s="764"/>
      <c r="G3036" s="763" t="s">
        <v>146</v>
      </c>
      <c r="H3036" s="763"/>
      <c r="I3036" s="765"/>
      <c r="J3036" s="763"/>
      <c r="K3036" s="763" t="s">
        <v>3</v>
      </c>
      <c r="L3036" s="766" t="s">
        <v>143</v>
      </c>
      <c r="M3036" s="766"/>
      <c r="N3036" s="766"/>
      <c r="O3036" s="766"/>
      <c r="P3036" s="766"/>
      <c r="Q3036" s="767"/>
      <c r="R3036" s="768">
        <f ca="1">SUM(R3032:R3035)</f>
        <v>209.745</v>
      </c>
      <c r="S3036" s="763"/>
      <c r="T3036" s="768">
        <f ca="1">SUM(T3032:T3035)</f>
        <v>13.41</v>
      </c>
      <c r="U3036" s="531"/>
      <c r="V3036" s="531"/>
      <c r="W3036" s="531"/>
      <c r="X3036" s="531"/>
      <c r="Y3036" s="531"/>
      <c r="Z3036" s="531"/>
      <c r="AA3036" s="531"/>
      <c r="AB3036" s="531"/>
      <c r="AC3036" s="531"/>
      <c r="AD3036" s="531"/>
      <c r="AE3036" s="531"/>
      <c r="AF3036" s="531"/>
      <c r="AG3036" s="531"/>
      <c r="AH3036" s="531"/>
      <c r="AI3036" s="531"/>
      <c r="AJ3036" s="531"/>
      <c r="AK3036" s="531"/>
      <c r="AL3036" s="531"/>
      <c r="AM3036" s="531"/>
      <c r="AN3036" s="531"/>
      <c r="AO3036" s="531"/>
      <c r="AR3036" s="761" t="s">
        <v>145</v>
      </c>
      <c r="AS3036" s="764"/>
    </row>
    <row r="3037" spans="1:45" s="520" customFormat="1" ht="12" thickTop="1">
      <c r="A3037" s="51"/>
      <c r="B3037" s="41"/>
      <c r="C3037" s="51"/>
      <c r="E3037" s="42" t="s">
        <v>138</v>
      </c>
      <c r="F3037" s="42" t="s">
        <v>139</v>
      </c>
      <c r="G3037" s="51"/>
      <c r="H3037" s="51"/>
      <c r="I3037" s="51"/>
      <c r="J3037" s="51"/>
      <c r="K3037" s="51" t="s">
        <v>140</v>
      </c>
      <c r="L3037" s="51"/>
      <c r="M3037" s="51"/>
      <c r="N3037" s="51"/>
      <c r="O3037" s="52"/>
      <c r="P3037" s="51"/>
      <c r="Q3037" s="51"/>
      <c r="R3037" s="51"/>
      <c r="S3037" s="51"/>
      <c r="T3037" s="41"/>
      <c r="AG3037" s="521" t="s">
        <v>268</v>
      </c>
      <c r="AH3037" s="521" t="s">
        <v>269</v>
      </c>
      <c r="AI3037" s="521" t="s">
        <v>270</v>
      </c>
      <c r="AJ3037" s="521" t="s">
        <v>271</v>
      </c>
      <c r="AK3037" s="521" t="s">
        <v>272</v>
      </c>
      <c r="AM3037" s="745" t="s">
        <v>281</v>
      </c>
      <c r="AN3037" s="746" t="s">
        <v>282</v>
      </c>
      <c r="AO3037" s="522" t="s">
        <v>278</v>
      </c>
      <c r="AR3037" s="51"/>
      <c r="AS3037" s="42" t="s">
        <v>139</v>
      </c>
    </row>
    <row r="3038" spans="1:45" s="520" customFormat="1" ht="12" customHeight="1">
      <c r="A3038" s="747">
        <v>2</v>
      </c>
      <c r="B3038" s="523" t="s">
        <v>141</v>
      </c>
      <c r="C3038" s="748"/>
      <c r="D3038" s="749" t="s">
        <v>1614</v>
      </c>
      <c r="E3038" s="750">
        <f ca="1">IF(AND($A3038=0,$A$1="DIF"),0, ROUND(ROUND(($R3043*$S$2+($T3043*$T$2))/A3038,2)*$C$2,2))</f>
        <v>474.46</v>
      </c>
      <c r="F3038" s="751">
        <f ca="1">ROUND($A3038*$E3038,2)</f>
        <v>948.92</v>
      </c>
      <c r="G3038" s="752" t="s">
        <v>142</v>
      </c>
      <c r="H3038" s="753"/>
      <c r="I3038" s="754"/>
      <c r="J3038" s="753"/>
      <c r="K3038" s="753" t="s">
        <v>3</v>
      </c>
      <c r="L3038" s="755" t="s">
        <v>143</v>
      </c>
      <c r="M3038" s="755"/>
      <c r="N3038" s="755"/>
      <c r="O3038" s="755"/>
      <c r="P3038" s="755"/>
      <c r="Q3038" s="51"/>
      <c r="T3038" s="756" t="str">
        <f ca="1">IF(AND($R3043=0,$T3043=0),"0.00","mu :" &amp; ROUND($F3038/$C$2/($R3043+$T3043*$D$9),2))</f>
        <v>mu :1.23</v>
      </c>
      <c r="W3038" s="524"/>
      <c r="AG3038" s="481">
        <f ca="1">IF($E3038=0,0,ROUND($R3043*$S$2*$C$2/$A3038,2))</f>
        <v>172.18</v>
      </c>
      <c r="AH3038" s="481">
        <f ca="1">$AG3038*$A3038</f>
        <v>344.36</v>
      </c>
      <c r="AI3038" s="525">
        <f ca="1">$E3038-$AG3038</f>
        <v>302.27999999999997</v>
      </c>
      <c r="AJ3038" s="525">
        <f ca="1">$A3038*$AI3038</f>
        <v>604.55999999999995</v>
      </c>
      <c r="AK3038" s="526">
        <f ca="1">ROUND(($AG3038+$AI3038)*$A3038,2)</f>
        <v>948.92</v>
      </c>
      <c r="AM3038" s="527">
        <f ca="1">ROUND(R3043,2)</f>
        <v>279.66000000000003</v>
      </c>
      <c r="AN3038" s="528">
        <f ca="1">ROUND(T3043,2)</f>
        <v>17.88</v>
      </c>
      <c r="AO3038" s="529">
        <f ca="1">ROUND(AM3038+AN3038,2)*A3038</f>
        <v>595.08000000000004</v>
      </c>
      <c r="AR3038" s="747">
        <v>2</v>
      </c>
      <c r="AS3038" s="751">
        <v>1015.88</v>
      </c>
    </row>
    <row r="3039" spans="1:45" s="520" customFormat="1" ht="13.2">
      <c r="A3039" s="748"/>
      <c r="B3039"/>
      <c r="C3039" s="748"/>
      <c r="D3039" s="749" t="s">
        <v>764</v>
      </c>
      <c r="F3039" s="753"/>
      <c r="G3039" s="3"/>
      <c r="H3039" s="753"/>
      <c r="I3039" s="754"/>
      <c r="J3039" s="753"/>
      <c r="K3039" s="753" t="s">
        <v>144</v>
      </c>
      <c r="L3039" s="753"/>
      <c r="M3039" s="753"/>
      <c r="N3039" s="753"/>
      <c r="O3039" s="753"/>
      <c r="P3039" s="753"/>
      <c r="Q3039" s="51"/>
      <c r="R3039" s="530"/>
      <c r="S3039" s="757"/>
      <c r="T3039" s="753"/>
      <c r="AR3039" s="748"/>
      <c r="AS3039" s="753"/>
    </row>
    <row r="3040" spans="1:45" s="886" customFormat="1" ht="13.2">
      <c r="A3040"/>
      <c r="B3040" s="910"/>
      <c r="C3040" s="910" t="s">
        <v>2597</v>
      </c>
      <c r="D3040" s="910" t="str">
        <f ca="1">CELL("Address",Elec_Rates!D$46)</f>
        <v>[E25_0062_Quintano_Foods_Elec_ELV_As_Awarded.xlsx]Elec_Rates!$D$46</v>
      </c>
      <c r="E3040" s="911"/>
      <c r="F3040" s="911"/>
      <c r="G3040" s="912" t="s">
        <v>2598</v>
      </c>
      <c r="H3040" s="912"/>
      <c r="I3040" s="912"/>
      <c r="J3040" s="912"/>
      <c r="K3040" s="913"/>
      <c r="L3040" s="911"/>
      <c r="M3040" s="911"/>
      <c r="N3040" s="911"/>
      <c r="O3040" s="914"/>
      <c r="P3040" s="911"/>
      <c r="Q3040" s="915"/>
      <c r="R3040" s="916"/>
      <c r="S3040" s="915"/>
      <c r="T3040" s="917"/>
      <c r="U3040" s="918"/>
      <c r="AR3040"/>
      <c r="AS3040" s="911"/>
    </row>
    <row r="3041" spans="1:45" s="886" customFormat="1" ht="11.4">
      <c r="A3041" s="919">
        <v>2</v>
      </c>
      <c r="B3041" s="920">
        <v>3</v>
      </c>
      <c r="C3041" s="920">
        <f>$A3041*$B3041</f>
        <v>6</v>
      </c>
      <c r="D3041" s="921" t="str">
        <f>Elec_Rates!$D$46</f>
        <v>004# Light point rate (Galvanised Conduit)</v>
      </c>
      <c r="E3041" s="921" t="s">
        <v>2885</v>
      </c>
      <c r="F3041" s="918"/>
      <c r="G3041" s="922" t="s">
        <v>2878</v>
      </c>
      <c r="H3041" s="922"/>
      <c r="I3041" s="922"/>
      <c r="J3041" s="922"/>
      <c r="K3041" s="923"/>
      <c r="L3041" s="918"/>
      <c r="M3041" s="918"/>
      <c r="N3041" s="918"/>
      <c r="O3041" s="924"/>
      <c r="P3041" s="921"/>
      <c r="Q3041" s="925">
        <f ca="1">$B3041*Elec_Rates!$R$46</f>
        <v>139.82999999999998</v>
      </c>
      <c r="R3041" s="916">
        <f ca="1">$A3041*Q3041</f>
        <v>279.65999999999997</v>
      </c>
      <c r="S3041" s="925">
        <f ca="1">$B3041*Elec_Rates!$T$46</f>
        <v>8.94</v>
      </c>
      <c r="T3041" s="917">
        <f ca="1">$A3041*S3041</f>
        <v>17.88</v>
      </c>
      <c r="U3041" s="926"/>
      <c r="AR3041" s="919">
        <v>2</v>
      </c>
      <c r="AS3041" s="918"/>
    </row>
    <row r="3042" spans="1:45" s="520" customFormat="1" ht="12">
      <c r="A3042" s="758"/>
      <c r="B3042" s="758"/>
      <c r="C3042" s="758"/>
      <c r="D3042" s="758"/>
      <c r="E3042" s="758"/>
      <c r="F3042" s="753"/>
      <c r="G3042" s="758"/>
      <c r="H3042" s="758"/>
      <c r="I3042" s="519"/>
      <c r="J3042" s="758"/>
      <c r="K3042" s="758"/>
      <c r="L3042" s="758"/>
      <c r="M3042" s="758"/>
      <c r="N3042" s="758"/>
      <c r="O3042" s="758"/>
      <c r="P3042" s="758"/>
      <c r="Q3042" s="519"/>
      <c r="R3042" s="759">
        <f>$A3042*Q3042</f>
        <v>0</v>
      </c>
      <c r="S3042" s="519"/>
      <c r="T3042" s="760">
        <f>$A3042*S3042*$T$1</f>
        <v>0</v>
      </c>
      <c r="AR3042" s="758"/>
      <c r="AS3042" s="753"/>
    </row>
    <row r="3043" spans="1:45" s="520" customFormat="1" ht="12.6" thickBot="1">
      <c r="A3043" s="761" t="s">
        <v>145</v>
      </c>
      <c r="B3043" s="762">
        <f>(R3042+T3042)</f>
        <v>0</v>
      </c>
      <c r="C3043" s="763"/>
      <c r="D3043" s="763"/>
      <c r="E3043" s="763"/>
      <c r="F3043" s="764"/>
      <c r="G3043" s="763" t="s">
        <v>146</v>
      </c>
      <c r="H3043" s="763"/>
      <c r="I3043" s="765"/>
      <c r="J3043" s="763"/>
      <c r="K3043" s="763" t="s">
        <v>3</v>
      </c>
      <c r="L3043" s="766" t="s">
        <v>143</v>
      </c>
      <c r="M3043" s="766"/>
      <c r="N3043" s="766"/>
      <c r="O3043" s="766"/>
      <c r="P3043" s="766"/>
      <c r="Q3043" s="767"/>
      <c r="R3043" s="768">
        <f ca="1">SUM(R3039:R3042)</f>
        <v>279.65999999999997</v>
      </c>
      <c r="S3043" s="763"/>
      <c r="T3043" s="768">
        <f ca="1">SUM(T3039:T3042)</f>
        <v>17.88</v>
      </c>
      <c r="U3043" s="531"/>
      <c r="V3043" s="531"/>
      <c r="W3043" s="531"/>
      <c r="X3043" s="531"/>
      <c r="Y3043" s="531"/>
      <c r="Z3043" s="531"/>
      <c r="AA3043" s="531"/>
      <c r="AB3043" s="531"/>
      <c r="AC3043" s="531"/>
      <c r="AD3043" s="531"/>
      <c r="AE3043" s="531"/>
      <c r="AF3043" s="531"/>
      <c r="AG3043" s="531"/>
      <c r="AH3043" s="531"/>
      <c r="AI3043" s="531"/>
      <c r="AJ3043" s="531"/>
      <c r="AK3043" s="531"/>
      <c r="AL3043" s="531"/>
      <c r="AM3043" s="531"/>
      <c r="AN3043" s="531"/>
      <c r="AO3043" s="531"/>
      <c r="AR3043" s="761" t="s">
        <v>145</v>
      </c>
      <c r="AS3043" s="764"/>
    </row>
    <row r="3044" spans="1:45" s="520" customFormat="1" ht="12" thickTop="1">
      <c r="A3044" s="51"/>
      <c r="B3044" s="41"/>
      <c r="C3044" s="51"/>
      <c r="E3044" s="42" t="s">
        <v>138</v>
      </c>
      <c r="F3044" s="42" t="s">
        <v>139</v>
      </c>
      <c r="G3044" s="51"/>
      <c r="H3044" s="51"/>
      <c r="I3044" s="51"/>
      <c r="J3044" s="51"/>
      <c r="K3044" s="51" t="s">
        <v>140</v>
      </c>
      <c r="L3044" s="51"/>
      <c r="M3044" s="51"/>
      <c r="N3044" s="51"/>
      <c r="O3044" s="52"/>
      <c r="P3044" s="51"/>
      <c r="Q3044" s="51"/>
      <c r="R3044" s="51"/>
      <c r="S3044" s="51"/>
      <c r="T3044" s="41"/>
      <c r="AG3044" s="521" t="s">
        <v>268</v>
      </c>
      <c r="AH3044" s="521" t="s">
        <v>269</v>
      </c>
      <c r="AI3044" s="521" t="s">
        <v>270</v>
      </c>
      <c r="AJ3044" s="521" t="s">
        <v>271</v>
      </c>
      <c r="AK3044" s="521" t="s">
        <v>272</v>
      </c>
      <c r="AM3044" s="745" t="s">
        <v>281</v>
      </c>
      <c r="AN3044" s="746" t="s">
        <v>282</v>
      </c>
      <c r="AO3044" s="522" t="s">
        <v>278</v>
      </c>
      <c r="AR3044" s="51"/>
      <c r="AS3044" s="42" t="s">
        <v>139</v>
      </c>
    </row>
    <row r="3045" spans="1:45" s="520" customFormat="1" ht="12" customHeight="1">
      <c r="A3045" s="747">
        <v>2</v>
      </c>
      <c r="B3045" s="523" t="s">
        <v>141</v>
      </c>
      <c r="C3045" s="748"/>
      <c r="D3045" s="749" t="s">
        <v>1615</v>
      </c>
      <c r="E3045" s="750">
        <f ca="1">IF(AND($A3045=0,$A$1="DIF"),0, ROUND(ROUND(($R3050*$S$2+($T3050*$T$2))/A3045,2)*$C$2,2))</f>
        <v>0</v>
      </c>
      <c r="F3045" s="751">
        <f ca="1">ROUND($A3045*$E3045,2)</f>
        <v>0</v>
      </c>
      <c r="G3045" s="752" t="s">
        <v>142</v>
      </c>
      <c r="H3045" s="753"/>
      <c r="I3045" s="754"/>
      <c r="J3045" s="753"/>
      <c r="K3045" s="753" t="s">
        <v>3</v>
      </c>
      <c r="L3045" s="755" t="s">
        <v>143</v>
      </c>
      <c r="M3045" s="755"/>
      <c r="N3045" s="755"/>
      <c r="O3045" s="755"/>
      <c r="P3045" s="755"/>
      <c r="Q3045" s="1058" t="s">
        <v>3848</v>
      </c>
      <c r="T3045" s="756" t="str">
        <f ca="1">IF(AND($R3050=0,$T3050=0),"0.00","mu :" &amp; ROUND($F3045/$C$2/($R3050+$T3050*$D$9),2))</f>
        <v>0.00</v>
      </c>
      <c r="W3045" s="524"/>
      <c r="AG3045" s="481">
        <f ca="1">IF($E3045=0,0,ROUND($R3050*$S$2*$C$2/$A3045,2))</f>
        <v>0</v>
      </c>
      <c r="AH3045" s="481">
        <f ca="1">$AG3045*$A3045</f>
        <v>0</v>
      </c>
      <c r="AI3045" s="525">
        <f ca="1">$E3045-$AG3045</f>
        <v>0</v>
      </c>
      <c r="AJ3045" s="525">
        <f ca="1">$A3045*$AI3045</f>
        <v>0</v>
      </c>
      <c r="AK3045" s="526">
        <f ca="1">ROUND(($AG3045+$AI3045)*$A3045,2)</f>
        <v>0</v>
      </c>
      <c r="AM3045" s="527">
        <f ca="1">ROUND(R3050,2)</f>
        <v>0</v>
      </c>
      <c r="AN3045" s="528">
        <f ca="1">ROUND(T3050,2)</f>
        <v>0</v>
      </c>
      <c r="AO3045" s="529">
        <f ca="1">ROUND(AM3045+AN3045,2)*A3045</f>
        <v>0</v>
      </c>
      <c r="AR3045" s="747">
        <v>2</v>
      </c>
      <c r="AS3045" s="751">
        <v>1693.14</v>
      </c>
    </row>
    <row r="3046" spans="1:45" s="520" customFormat="1" ht="13.2">
      <c r="A3046" s="748"/>
      <c r="B3046"/>
      <c r="C3046" s="748"/>
      <c r="D3046" s="749" t="s">
        <v>765</v>
      </c>
      <c r="F3046" s="753"/>
      <c r="G3046" s="3"/>
      <c r="H3046" s="753"/>
      <c r="I3046" s="754"/>
      <c r="J3046" s="753"/>
      <c r="K3046" s="753" t="s">
        <v>144</v>
      </c>
      <c r="L3046" s="753"/>
      <c r="M3046" s="753"/>
      <c r="N3046" s="753"/>
      <c r="O3046" s="753"/>
      <c r="P3046" s="753"/>
      <c r="Q3046" s="51"/>
      <c r="R3046" s="530"/>
      <c r="S3046" s="757"/>
      <c r="T3046" s="753"/>
      <c r="AR3046" s="748"/>
      <c r="AS3046" s="753"/>
    </row>
    <row r="3047" spans="1:45" s="1336" customFormat="1" ht="13.2">
      <c r="A3047" s="1086"/>
      <c r="B3047" s="1328"/>
      <c r="C3047" s="1328" t="s">
        <v>2597</v>
      </c>
      <c r="D3047" s="1328" t="str">
        <f ca="1">CELL("Address",Elec_Rates!D$46)</f>
        <v>[E25_0062_Quintano_Foods_Elec_ELV_As_Awarded.xlsx]Elec_Rates!$D$46</v>
      </c>
      <c r="E3047" s="1060"/>
      <c r="F3047" s="1060"/>
      <c r="G3047" s="1329" t="s">
        <v>2598</v>
      </c>
      <c r="H3047" s="1329"/>
      <c r="I3047" s="1329"/>
      <c r="J3047" s="1329"/>
      <c r="K3047" s="1330"/>
      <c r="L3047" s="1060"/>
      <c r="M3047" s="1060"/>
      <c r="N3047" s="1060"/>
      <c r="O3047" s="1331"/>
      <c r="P3047" s="1060"/>
      <c r="Q3047" s="1332"/>
      <c r="R3047" s="1333"/>
      <c r="S3047" s="1332"/>
      <c r="T3047" s="1334"/>
      <c r="U3047" s="1335"/>
      <c r="AR3047" s="1086"/>
      <c r="AS3047" s="1060"/>
    </row>
    <row r="3048" spans="1:45" s="1336" customFormat="1" ht="11.4">
      <c r="A3048" s="1337">
        <v>0</v>
      </c>
      <c r="B3048" s="1338">
        <v>5</v>
      </c>
      <c r="C3048" s="1338">
        <f>$A3048*$B3048</f>
        <v>0</v>
      </c>
      <c r="D3048" s="1339" t="str">
        <f>Elec_Rates!$D$46</f>
        <v>004# Light point rate (Galvanised Conduit)</v>
      </c>
      <c r="E3048" s="1339" t="s">
        <v>2886</v>
      </c>
      <c r="F3048" s="1335"/>
      <c r="G3048" s="1340" t="s">
        <v>2878</v>
      </c>
      <c r="H3048" s="1340"/>
      <c r="I3048" s="1340"/>
      <c r="J3048" s="1340"/>
      <c r="K3048" s="1341"/>
      <c r="L3048" s="1335"/>
      <c r="M3048" s="1335"/>
      <c r="N3048" s="1335"/>
      <c r="O3048" s="1342"/>
      <c r="P3048" s="1339"/>
      <c r="Q3048" s="1343">
        <f ca="1">$B3048*Elec_Rates!$R$46</f>
        <v>233.05</v>
      </c>
      <c r="R3048" s="1333">
        <f ca="1">$A3048*Q3048</f>
        <v>0</v>
      </c>
      <c r="S3048" s="1343">
        <f ca="1">$B3048*Elec_Rates!$T$46</f>
        <v>14.9</v>
      </c>
      <c r="T3048" s="1334">
        <f ca="1">$A3048*S3048</f>
        <v>0</v>
      </c>
      <c r="U3048" s="1344"/>
      <c r="AR3048" s="1337">
        <v>2</v>
      </c>
      <c r="AS3048" s="1335"/>
    </row>
    <row r="3049" spans="1:45" s="520" customFormat="1" ht="12">
      <c r="A3049" s="758"/>
      <c r="B3049" s="758"/>
      <c r="C3049" s="758"/>
      <c r="D3049" s="758"/>
      <c r="E3049" s="758"/>
      <c r="F3049" s="753"/>
      <c r="G3049" s="758"/>
      <c r="H3049" s="758"/>
      <c r="I3049" s="519"/>
      <c r="J3049" s="758"/>
      <c r="K3049" s="758"/>
      <c r="L3049" s="758"/>
      <c r="M3049" s="758"/>
      <c r="N3049" s="758"/>
      <c r="O3049" s="758"/>
      <c r="P3049" s="758"/>
      <c r="Q3049" s="519"/>
      <c r="R3049" s="759">
        <f>$A3049*Q3049</f>
        <v>0</v>
      </c>
      <c r="S3049" s="519"/>
      <c r="T3049" s="760">
        <f>$A3049*S3049*$T$1</f>
        <v>0</v>
      </c>
      <c r="AR3049" s="758"/>
      <c r="AS3049" s="753"/>
    </row>
    <row r="3050" spans="1:45" s="520" customFormat="1" ht="12.6" thickBot="1">
      <c r="A3050" s="761" t="s">
        <v>145</v>
      </c>
      <c r="B3050" s="762">
        <f>(R3049+T3049)</f>
        <v>0</v>
      </c>
      <c r="C3050" s="763"/>
      <c r="D3050" s="763"/>
      <c r="E3050" s="763"/>
      <c r="F3050" s="764"/>
      <c r="G3050" s="763" t="s">
        <v>146</v>
      </c>
      <c r="H3050" s="763"/>
      <c r="I3050" s="765"/>
      <c r="J3050" s="763"/>
      <c r="K3050" s="763" t="s">
        <v>3</v>
      </c>
      <c r="L3050" s="766" t="s">
        <v>143</v>
      </c>
      <c r="M3050" s="766"/>
      <c r="N3050" s="766"/>
      <c r="O3050" s="766"/>
      <c r="P3050" s="766"/>
      <c r="Q3050" s="767"/>
      <c r="R3050" s="768">
        <f ca="1">SUM(R3046:R3049)</f>
        <v>0</v>
      </c>
      <c r="S3050" s="763"/>
      <c r="T3050" s="768">
        <f ca="1">SUM(T3046:T3049)</f>
        <v>0</v>
      </c>
      <c r="U3050" s="531"/>
      <c r="V3050" s="531"/>
      <c r="W3050" s="531"/>
      <c r="X3050" s="531"/>
      <c r="Y3050" s="531"/>
      <c r="Z3050" s="531"/>
      <c r="AA3050" s="531"/>
      <c r="AB3050" s="531"/>
      <c r="AC3050" s="531"/>
      <c r="AD3050" s="531"/>
      <c r="AE3050" s="531"/>
      <c r="AF3050" s="531"/>
      <c r="AG3050" s="531"/>
      <c r="AH3050" s="531"/>
      <c r="AI3050" s="531"/>
      <c r="AJ3050" s="531"/>
      <c r="AK3050" s="531"/>
      <c r="AL3050" s="531"/>
      <c r="AM3050" s="531"/>
      <c r="AN3050" s="531"/>
      <c r="AO3050" s="531"/>
      <c r="AR3050" s="761" t="s">
        <v>145</v>
      </c>
      <c r="AS3050" s="764"/>
    </row>
    <row r="3051" spans="1:45" s="520" customFormat="1" ht="12" thickTop="1">
      <c r="A3051" s="51"/>
      <c r="B3051" s="41"/>
      <c r="C3051" s="51"/>
      <c r="E3051" s="42" t="s">
        <v>138</v>
      </c>
      <c r="F3051" s="42" t="s">
        <v>139</v>
      </c>
      <c r="G3051" s="51"/>
      <c r="H3051" s="51"/>
      <c r="I3051" s="51"/>
      <c r="J3051" s="51"/>
      <c r="K3051" s="51" t="s">
        <v>140</v>
      </c>
      <c r="L3051" s="51"/>
      <c r="M3051" s="51"/>
      <c r="N3051" s="51"/>
      <c r="O3051" s="52"/>
      <c r="P3051" s="51"/>
      <c r="Q3051" s="51"/>
      <c r="R3051" s="51"/>
      <c r="S3051" s="51"/>
      <c r="T3051" s="41"/>
      <c r="AG3051" s="521" t="s">
        <v>268</v>
      </c>
      <c r="AH3051" s="521" t="s">
        <v>269</v>
      </c>
      <c r="AI3051" s="521" t="s">
        <v>270</v>
      </c>
      <c r="AJ3051" s="521" t="s">
        <v>271</v>
      </c>
      <c r="AK3051" s="521" t="s">
        <v>272</v>
      </c>
      <c r="AM3051" s="745" t="s">
        <v>281</v>
      </c>
      <c r="AN3051" s="746" t="s">
        <v>282</v>
      </c>
      <c r="AO3051" s="522" t="s">
        <v>278</v>
      </c>
      <c r="AR3051" s="51"/>
      <c r="AS3051" s="42" t="s">
        <v>139</v>
      </c>
    </row>
    <row r="3052" spans="1:45" s="520" customFormat="1" ht="12" customHeight="1">
      <c r="A3052" s="747">
        <v>1</v>
      </c>
      <c r="B3052" s="523" t="s">
        <v>141</v>
      </c>
      <c r="C3052" s="748"/>
      <c r="D3052" s="749" t="s">
        <v>1616</v>
      </c>
      <c r="E3052" s="750">
        <f ca="1">IF(AND($A3052=0,$A$1="DIF"),0, ROUND(ROUND(($R3057*$S$2+($T3057*$T$2))/A3052,2)*$C$2,2))</f>
        <v>316.31</v>
      </c>
      <c r="F3052" s="751">
        <f ca="1">ROUND($A3052*$E3052,2)</f>
        <v>316.31</v>
      </c>
      <c r="G3052" s="752" t="s">
        <v>142</v>
      </c>
      <c r="H3052" s="753"/>
      <c r="I3052" s="754"/>
      <c r="J3052" s="753"/>
      <c r="K3052" s="753" t="s">
        <v>3</v>
      </c>
      <c r="L3052" s="755" t="s">
        <v>143</v>
      </c>
      <c r="M3052" s="755"/>
      <c r="N3052" s="755"/>
      <c r="O3052" s="755"/>
      <c r="P3052" s="755"/>
      <c r="Q3052" s="51"/>
      <c r="T3052" s="756" t="str">
        <f ca="1">IF(AND($R3057=0,$T3057=0),"0.00","mu :" &amp; ROUND($F3052/$C$2/($R3057+$T3057*$D$9),2))</f>
        <v>mu :1.23</v>
      </c>
      <c r="W3052" s="524"/>
      <c r="AG3052" s="481">
        <f ca="1">IF($E3052=0,0,ROUND($R3057*$S$2*$C$2/$A3052,2))</f>
        <v>114.79</v>
      </c>
      <c r="AH3052" s="481">
        <f ca="1">$AG3052*$A3052</f>
        <v>114.79</v>
      </c>
      <c r="AI3052" s="525">
        <f ca="1">$E3052-$AG3052</f>
        <v>201.51999999999998</v>
      </c>
      <c r="AJ3052" s="525">
        <f ca="1">$A3052*$AI3052</f>
        <v>201.51999999999998</v>
      </c>
      <c r="AK3052" s="526">
        <f ca="1">ROUND(($AG3052+$AI3052)*$A3052,2)</f>
        <v>316.31</v>
      </c>
      <c r="AM3052" s="527">
        <f ca="1">ROUND(R3057,2)</f>
        <v>93.22</v>
      </c>
      <c r="AN3052" s="528">
        <f ca="1">ROUND(T3057,2)</f>
        <v>5.96</v>
      </c>
      <c r="AO3052" s="529">
        <f ca="1">ROUND(AM3052+AN3052,2)*A3052</f>
        <v>99.18</v>
      </c>
      <c r="AR3052" s="747">
        <v>1</v>
      </c>
      <c r="AS3052" s="751">
        <v>338.63</v>
      </c>
    </row>
    <row r="3053" spans="1:45" s="520" customFormat="1" ht="13.2">
      <c r="A3053" s="748"/>
      <c r="B3053"/>
      <c r="C3053" s="748"/>
      <c r="D3053" s="749" t="s">
        <v>766</v>
      </c>
      <c r="F3053" s="753"/>
      <c r="G3053" s="3"/>
      <c r="H3053" s="753"/>
      <c r="I3053" s="754"/>
      <c r="J3053" s="753"/>
      <c r="K3053" s="753" t="s">
        <v>144</v>
      </c>
      <c r="L3053" s="753"/>
      <c r="M3053" s="753"/>
      <c r="N3053" s="753"/>
      <c r="O3053" s="753"/>
      <c r="P3053" s="753"/>
      <c r="Q3053" s="51"/>
      <c r="R3053" s="530"/>
      <c r="S3053" s="757"/>
      <c r="T3053" s="753"/>
      <c r="AR3053" s="748"/>
      <c r="AS3053" s="753"/>
    </row>
    <row r="3054" spans="1:45" s="886" customFormat="1" ht="13.2">
      <c r="A3054"/>
      <c r="B3054" s="910"/>
      <c r="C3054" s="910" t="s">
        <v>2597</v>
      </c>
      <c r="D3054" s="910" t="str">
        <f ca="1">CELL("Address",Elec_Rates!D$46)</f>
        <v>[E25_0062_Quintano_Foods_Elec_ELV_As_Awarded.xlsx]Elec_Rates!$D$46</v>
      </c>
      <c r="E3054" s="911"/>
      <c r="F3054" s="911"/>
      <c r="G3054" s="912" t="s">
        <v>2598</v>
      </c>
      <c r="H3054" s="912"/>
      <c r="I3054" s="912"/>
      <c r="J3054" s="912"/>
      <c r="K3054" s="913"/>
      <c r="L3054" s="911"/>
      <c r="M3054" s="911"/>
      <c r="N3054" s="911"/>
      <c r="O3054" s="914"/>
      <c r="P3054" s="911"/>
      <c r="Q3054" s="915"/>
      <c r="R3054" s="916"/>
      <c r="S3054" s="915"/>
      <c r="T3054" s="917"/>
      <c r="U3054" s="918"/>
      <c r="AR3054"/>
      <c r="AS3054" s="911"/>
    </row>
    <row r="3055" spans="1:45" s="886" customFormat="1" ht="11.4">
      <c r="A3055" s="919">
        <v>1</v>
      </c>
      <c r="B3055" s="920">
        <v>2</v>
      </c>
      <c r="C3055" s="920">
        <f>$A3055*$B3055</f>
        <v>2</v>
      </c>
      <c r="D3055" s="921" t="str">
        <f>Elec_Rates!$D$46</f>
        <v>004# Light point rate (Galvanised Conduit)</v>
      </c>
      <c r="E3055" s="921" t="s">
        <v>2887</v>
      </c>
      <c r="F3055" s="918"/>
      <c r="G3055" s="922" t="s">
        <v>2878</v>
      </c>
      <c r="H3055" s="922"/>
      <c r="I3055" s="922"/>
      <c r="J3055" s="922"/>
      <c r="K3055" s="923"/>
      <c r="L3055" s="918"/>
      <c r="M3055" s="918"/>
      <c r="N3055" s="918"/>
      <c r="O3055" s="924"/>
      <c r="P3055" s="921"/>
      <c r="Q3055" s="925">
        <f ca="1">$B3055*Elec_Rates!$R$46</f>
        <v>93.22</v>
      </c>
      <c r="R3055" s="916">
        <f ca="1">$A3055*Q3055</f>
        <v>93.22</v>
      </c>
      <c r="S3055" s="925">
        <f ca="1">$B3055*Elec_Rates!$T$46</f>
        <v>5.96</v>
      </c>
      <c r="T3055" s="917">
        <f ca="1">$A3055*S3055</f>
        <v>5.96</v>
      </c>
      <c r="U3055" s="926"/>
      <c r="AR3055" s="919">
        <v>1</v>
      </c>
      <c r="AS3055" s="918"/>
    </row>
    <row r="3056" spans="1:45" s="520" customFormat="1" ht="12">
      <c r="A3056" s="758"/>
      <c r="B3056" s="758"/>
      <c r="C3056" s="758"/>
      <c r="D3056" s="758"/>
      <c r="E3056" s="758"/>
      <c r="F3056" s="753"/>
      <c r="G3056" s="758"/>
      <c r="H3056" s="758"/>
      <c r="I3056" s="519"/>
      <c r="J3056" s="758"/>
      <c r="K3056" s="758"/>
      <c r="L3056" s="758"/>
      <c r="M3056" s="758"/>
      <c r="N3056" s="758"/>
      <c r="O3056" s="758"/>
      <c r="P3056" s="758"/>
      <c r="Q3056" s="519"/>
      <c r="R3056" s="759">
        <f>$A3056*Q3056</f>
        <v>0</v>
      </c>
      <c r="S3056" s="519"/>
      <c r="T3056" s="760">
        <f>$A3056*S3056*$T$1</f>
        <v>0</v>
      </c>
      <c r="AR3056" s="758"/>
      <c r="AS3056" s="753"/>
    </row>
    <row r="3057" spans="1:45" s="520" customFormat="1" ht="12.6" thickBot="1">
      <c r="A3057" s="761" t="s">
        <v>145</v>
      </c>
      <c r="B3057" s="762">
        <f>(R3056+T3056)</f>
        <v>0</v>
      </c>
      <c r="C3057" s="763"/>
      <c r="D3057" s="763"/>
      <c r="E3057" s="763"/>
      <c r="F3057" s="764"/>
      <c r="G3057" s="763" t="s">
        <v>146</v>
      </c>
      <c r="H3057" s="763"/>
      <c r="I3057" s="765"/>
      <c r="J3057" s="763"/>
      <c r="K3057" s="763" t="s">
        <v>3</v>
      </c>
      <c r="L3057" s="766" t="s">
        <v>143</v>
      </c>
      <c r="M3057" s="766"/>
      <c r="N3057" s="766"/>
      <c r="O3057" s="766"/>
      <c r="P3057" s="766"/>
      <c r="Q3057" s="767"/>
      <c r="R3057" s="768">
        <f ca="1">SUM(R3053:R3056)</f>
        <v>93.22</v>
      </c>
      <c r="S3057" s="763"/>
      <c r="T3057" s="768">
        <f ca="1">SUM(T3053:T3056)</f>
        <v>5.96</v>
      </c>
      <c r="U3057" s="531"/>
      <c r="V3057" s="531"/>
      <c r="W3057" s="531"/>
      <c r="X3057" s="531"/>
      <c r="Y3057" s="531"/>
      <c r="Z3057" s="531"/>
      <c r="AA3057" s="531"/>
      <c r="AB3057" s="531"/>
      <c r="AC3057" s="531"/>
      <c r="AD3057" s="531"/>
      <c r="AE3057" s="531"/>
      <c r="AF3057" s="531"/>
      <c r="AG3057" s="531"/>
      <c r="AH3057" s="531"/>
      <c r="AI3057" s="531"/>
      <c r="AJ3057" s="531"/>
      <c r="AK3057" s="531"/>
      <c r="AL3057" s="531"/>
      <c r="AM3057" s="531"/>
      <c r="AN3057" s="531"/>
      <c r="AO3057" s="531"/>
      <c r="AR3057" s="761" t="s">
        <v>145</v>
      </c>
      <c r="AS3057" s="764"/>
    </row>
    <row r="3058" spans="1:45" s="520" customFormat="1" ht="12" thickTop="1">
      <c r="A3058" s="51"/>
      <c r="B3058" s="41"/>
      <c r="C3058" s="51"/>
      <c r="E3058" s="42" t="s">
        <v>138</v>
      </c>
      <c r="F3058" s="42" t="s">
        <v>139</v>
      </c>
      <c r="G3058" s="51"/>
      <c r="H3058" s="51"/>
      <c r="I3058" s="51"/>
      <c r="J3058" s="51"/>
      <c r="K3058" s="51" t="s">
        <v>140</v>
      </c>
      <c r="L3058" s="51"/>
      <c r="M3058" s="51"/>
      <c r="N3058" s="51"/>
      <c r="O3058" s="52"/>
      <c r="P3058" s="51"/>
      <c r="Q3058" s="51"/>
      <c r="R3058" s="51"/>
      <c r="S3058" s="51"/>
      <c r="T3058" s="41"/>
      <c r="AG3058" s="521" t="s">
        <v>268</v>
      </c>
      <c r="AH3058" s="521" t="s">
        <v>269</v>
      </c>
      <c r="AI3058" s="521" t="s">
        <v>270</v>
      </c>
      <c r="AJ3058" s="521" t="s">
        <v>271</v>
      </c>
      <c r="AK3058" s="521" t="s">
        <v>272</v>
      </c>
      <c r="AM3058" s="745" t="s">
        <v>281</v>
      </c>
      <c r="AN3058" s="746" t="s">
        <v>282</v>
      </c>
      <c r="AO3058" s="522" t="s">
        <v>278</v>
      </c>
      <c r="AR3058" s="51"/>
      <c r="AS3058" s="42" t="s">
        <v>139</v>
      </c>
    </row>
    <row r="3059" spans="1:45" s="520" customFormat="1" ht="12" customHeight="1">
      <c r="A3059" s="747">
        <v>1</v>
      </c>
      <c r="B3059" s="523" t="s">
        <v>141</v>
      </c>
      <c r="C3059" s="748"/>
      <c r="D3059" s="749" t="s">
        <v>1617</v>
      </c>
      <c r="E3059" s="750">
        <f ca="1">IF(AND($A3059=0,$A$1="DIF"),0, ROUND(ROUND(($R3064*$S$2+($T3064*$T$2))/A3059,2)*$C$2,2))</f>
        <v>948.93</v>
      </c>
      <c r="F3059" s="751">
        <f ca="1">ROUND($A3059*$E3059,2)</f>
        <v>948.93</v>
      </c>
      <c r="G3059" s="752" t="s">
        <v>142</v>
      </c>
      <c r="H3059" s="753"/>
      <c r="I3059" s="754"/>
      <c r="J3059" s="753"/>
      <c r="K3059" s="753" t="s">
        <v>3</v>
      </c>
      <c r="L3059" s="755" t="s">
        <v>143</v>
      </c>
      <c r="M3059" s="755"/>
      <c r="N3059" s="755"/>
      <c r="O3059" s="755"/>
      <c r="P3059" s="755"/>
      <c r="Q3059" s="51"/>
      <c r="T3059" s="756" t="str">
        <f ca="1">IF(AND($R3064=0,$T3064=0),"0.00","mu :" &amp; ROUND($F3059/$C$2/($R3064+$T3064*$D$9),2))</f>
        <v>mu :1.23</v>
      </c>
      <c r="W3059" s="524"/>
      <c r="AG3059" s="481">
        <f ca="1">IF($E3059=0,0,ROUND($R3064*$S$2*$C$2/$A3059,2))</f>
        <v>344.36</v>
      </c>
      <c r="AH3059" s="481">
        <f ca="1">$AG3059*$A3059</f>
        <v>344.36</v>
      </c>
      <c r="AI3059" s="525">
        <f ca="1">$E3059-$AG3059</f>
        <v>604.56999999999994</v>
      </c>
      <c r="AJ3059" s="525">
        <f ca="1">$A3059*$AI3059</f>
        <v>604.56999999999994</v>
      </c>
      <c r="AK3059" s="526">
        <f ca="1">ROUND(($AG3059+$AI3059)*$A3059,2)</f>
        <v>948.93</v>
      </c>
      <c r="AM3059" s="527">
        <f ca="1">ROUND(R3064,2)</f>
        <v>279.66000000000003</v>
      </c>
      <c r="AN3059" s="528">
        <f ca="1">ROUND(T3064,2)</f>
        <v>17.88</v>
      </c>
      <c r="AO3059" s="529">
        <f ca="1">ROUND(AM3059+AN3059,2)*A3059</f>
        <v>297.54000000000002</v>
      </c>
      <c r="AR3059" s="747">
        <v>1</v>
      </c>
      <c r="AS3059" s="751">
        <v>1015.88</v>
      </c>
    </row>
    <row r="3060" spans="1:45" s="520" customFormat="1" ht="13.2">
      <c r="A3060" s="748"/>
      <c r="B3060"/>
      <c r="C3060" s="748"/>
      <c r="D3060" s="749" t="s">
        <v>767</v>
      </c>
      <c r="F3060" s="753"/>
      <c r="G3060" s="3"/>
      <c r="H3060" s="753"/>
      <c r="I3060" s="754"/>
      <c r="J3060" s="753"/>
      <c r="K3060" s="753" t="s">
        <v>144</v>
      </c>
      <c r="L3060" s="753"/>
      <c r="M3060" s="753"/>
      <c r="N3060" s="753"/>
      <c r="O3060" s="753"/>
      <c r="P3060" s="753"/>
      <c r="Q3060" s="51"/>
      <c r="R3060" s="530"/>
      <c r="S3060" s="757"/>
      <c r="T3060" s="753"/>
      <c r="AR3060" s="748"/>
      <c r="AS3060" s="753"/>
    </row>
    <row r="3061" spans="1:45" s="886" customFormat="1" ht="13.2">
      <c r="A3061"/>
      <c r="B3061" s="910"/>
      <c r="C3061" s="910" t="s">
        <v>2597</v>
      </c>
      <c r="D3061" s="910" t="str">
        <f ca="1">CELL("Address",Elec_Rates!D$46)</f>
        <v>[E25_0062_Quintano_Foods_Elec_ELV_As_Awarded.xlsx]Elec_Rates!$D$46</v>
      </c>
      <c r="E3061" s="911"/>
      <c r="F3061" s="911"/>
      <c r="G3061" s="912" t="s">
        <v>2598</v>
      </c>
      <c r="H3061" s="912"/>
      <c r="I3061" s="912"/>
      <c r="J3061" s="912"/>
      <c r="K3061" s="913"/>
      <c r="L3061" s="911"/>
      <c r="M3061" s="911"/>
      <c r="N3061" s="911"/>
      <c r="O3061" s="914"/>
      <c r="P3061" s="911"/>
      <c r="Q3061" s="915"/>
      <c r="R3061" s="916"/>
      <c r="S3061" s="915"/>
      <c r="T3061" s="917"/>
      <c r="U3061" s="918"/>
      <c r="AR3061"/>
      <c r="AS3061" s="911"/>
    </row>
    <row r="3062" spans="1:45" s="886" customFormat="1" ht="11.4">
      <c r="A3062" s="919">
        <v>1</v>
      </c>
      <c r="B3062" s="920">
        <v>6</v>
      </c>
      <c r="C3062" s="920">
        <f>$A3062*$B3062</f>
        <v>6</v>
      </c>
      <c r="D3062" s="921" t="str">
        <f>Elec_Rates!$D$46</f>
        <v>004# Light point rate (Galvanised Conduit)</v>
      </c>
      <c r="E3062" s="921" t="s">
        <v>2888</v>
      </c>
      <c r="F3062" s="918"/>
      <c r="G3062" s="922" t="s">
        <v>2878</v>
      </c>
      <c r="H3062" s="922"/>
      <c r="I3062" s="922"/>
      <c r="J3062" s="922"/>
      <c r="K3062" s="923"/>
      <c r="L3062" s="918"/>
      <c r="M3062" s="918"/>
      <c r="N3062" s="918"/>
      <c r="O3062" s="924"/>
      <c r="P3062" s="921"/>
      <c r="Q3062" s="925">
        <f ca="1">$B3062*Elec_Rates!$R$46</f>
        <v>279.65999999999997</v>
      </c>
      <c r="R3062" s="916">
        <f ca="1">$A3062*Q3062</f>
        <v>279.65999999999997</v>
      </c>
      <c r="S3062" s="925">
        <f ca="1">$B3062*Elec_Rates!$T$46</f>
        <v>17.88</v>
      </c>
      <c r="T3062" s="917">
        <f ca="1">$A3062*S3062</f>
        <v>17.88</v>
      </c>
      <c r="U3062" s="926"/>
      <c r="AR3062" s="919">
        <v>1</v>
      </c>
      <c r="AS3062" s="918"/>
    </row>
    <row r="3063" spans="1:45" s="520" customFormat="1" ht="12">
      <c r="A3063" s="758"/>
      <c r="B3063" s="758"/>
      <c r="C3063" s="758"/>
      <c r="D3063" s="758"/>
      <c r="E3063" s="758"/>
      <c r="F3063" s="753"/>
      <c r="G3063" s="758"/>
      <c r="H3063" s="758"/>
      <c r="I3063" s="519"/>
      <c r="J3063" s="758"/>
      <c r="K3063" s="758"/>
      <c r="L3063" s="758"/>
      <c r="M3063" s="758"/>
      <c r="N3063" s="758"/>
      <c r="O3063" s="758"/>
      <c r="P3063" s="758"/>
      <c r="Q3063" s="519"/>
      <c r="R3063" s="759">
        <f>$A3063*Q3063</f>
        <v>0</v>
      </c>
      <c r="S3063" s="519"/>
      <c r="T3063" s="760">
        <f>$A3063*S3063*$T$1</f>
        <v>0</v>
      </c>
      <c r="AR3063" s="758"/>
      <c r="AS3063" s="753"/>
    </row>
    <row r="3064" spans="1:45" s="520" customFormat="1" ht="12.6" thickBot="1">
      <c r="A3064" s="761" t="s">
        <v>145</v>
      </c>
      <c r="B3064" s="762">
        <f>(R3063+T3063)</f>
        <v>0</v>
      </c>
      <c r="C3064" s="763"/>
      <c r="D3064" s="763"/>
      <c r="E3064" s="763"/>
      <c r="F3064" s="764"/>
      <c r="G3064" s="763" t="s">
        <v>146</v>
      </c>
      <c r="H3064" s="763"/>
      <c r="I3064" s="765"/>
      <c r="J3064" s="763"/>
      <c r="K3064" s="763" t="s">
        <v>3</v>
      </c>
      <c r="L3064" s="766" t="s">
        <v>143</v>
      </c>
      <c r="M3064" s="766"/>
      <c r="N3064" s="766"/>
      <c r="O3064" s="766"/>
      <c r="P3064" s="766"/>
      <c r="Q3064" s="767"/>
      <c r="R3064" s="768">
        <f ca="1">SUM(R3060:R3063)</f>
        <v>279.65999999999997</v>
      </c>
      <c r="S3064" s="763"/>
      <c r="T3064" s="768">
        <f ca="1">SUM(T3060:T3063)</f>
        <v>17.88</v>
      </c>
      <c r="U3064" s="531"/>
      <c r="V3064" s="531"/>
      <c r="W3064" s="531"/>
      <c r="X3064" s="531"/>
      <c r="Y3064" s="531"/>
      <c r="Z3064" s="531"/>
      <c r="AA3064" s="531"/>
      <c r="AB3064" s="531"/>
      <c r="AC3064" s="531"/>
      <c r="AD3064" s="531"/>
      <c r="AE3064" s="531"/>
      <c r="AF3064" s="531"/>
      <c r="AG3064" s="531"/>
      <c r="AH3064" s="531"/>
      <c r="AI3064" s="531"/>
      <c r="AJ3064" s="531"/>
      <c r="AK3064" s="531"/>
      <c r="AL3064" s="531"/>
      <c r="AM3064" s="531"/>
      <c r="AN3064" s="531"/>
      <c r="AO3064" s="531"/>
      <c r="AR3064" s="761" t="s">
        <v>145</v>
      </c>
      <c r="AS3064" s="764"/>
    </row>
    <row r="3065" spans="1:45" s="520" customFormat="1" ht="12" thickTop="1">
      <c r="A3065" s="51"/>
      <c r="B3065" s="41"/>
      <c r="C3065" s="51"/>
      <c r="E3065" s="42" t="s">
        <v>138</v>
      </c>
      <c r="F3065" s="42" t="s">
        <v>139</v>
      </c>
      <c r="G3065" s="51"/>
      <c r="H3065" s="51"/>
      <c r="I3065" s="51"/>
      <c r="J3065" s="51"/>
      <c r="K3065" s="51" t="s">
        <v>140</v>
      </c>
      <c r="L3065" s="51"/>
      <c r="M3065" s="51"/>
      <c r="N3065" s="51"/>
      <c r="O3065" s="52"/>
      <c r="P3065" s="51"/>
      <c r="Q3065" s="51"/>
      <c r="R3065" s="51"/>
      <c r="S3065" s="51"/>
      <c r="T3065" s="41"/>
      <c r="AG3065" s="521" t="s">
        <v>268</v>
      </c>
      <c r="AH3065" s="521" t="s">
        <v>269</v>
      </c>
      <c r="AI3065" s="521" t="s">
        <v>270</v>
      </c>
      <c r="AJ3065" s="521" t="s">
        <v>271</v>
      </c>
      <c r="AK3065" s="521" t="s">
        <v>272</v>
      </c>
      <c r="AM3065" s="745" t="s">
        <v>281</v>
      </c>
      <c r="AN3065" s="746" t="s">
        <v>282</v>
      </c>
      <c r="AO3065" s="522" t="s">
        <v>278</v>
      </c>
      <c r="AR3065" s="51"/>
      <c r="AS3065" s="42" t="s">
        <v>139</v>
      </c>
    </row>
    <row r="3066" spans="1:45" s="520" customFormat="1" ht="12" customHeight="1">
      <c r="A3066" s="747">
        <v>1</v>
      </c>
      <c r="B3066" s="523" t="s">
        <v>141</v>
      </c>
      <c r="C3066" s="748"/>
      <c r="D3066" s="749" t="s">
        <v>3881</v>
      </c>
      <c r="E3066" s="750">
        <f ca="1">IF(AND($A3066=0,$A$1="DIF"),0, ROUND(ROUND(($R3071*$S$2+($T3071*$T$2))/A3066,2)*$C$2,2))</f>
        <v>1186.1600000000001</v>
      </c>
      <c r="F3066" s="751">
        <f ca="1">ROUND($A3066*$E3066,2)</f>
        <v>1186.1600000000001</v>
      </c>
      <c r="G3066" s="752" t="s">
        <v>142</v>
      </c>
      <c r="H3066" s="753"/>
      <c r="I3066" s="754"/>
      <c r="J3066" s="753"/>
      <c r="K3066" s="753" t="s">
        <v>3</v>
      </c>
      <c r="L3066" s="755" t="s">
        <v>143</v>
      </c>
      <c r="M3066" s="755"/>
      <c r="N3066" s="755"/>
      <c r="O3066" s="755"/>
      <c r="P3066" s="755"/>
      <c r="Q3066" s="51"/>
      <c r="T3066" s="756" t="str">
        <f ca="1">IF(AND($R3071=0,$T3071=0),"0.00","mu :" &amp; ROUND($F3066/$C$2/($R3071+$T3071*$D$9),2))</f>
        <v>mu :1.23</v>
      </c>
      <c r="W3066" s="524"/>
      <c r="AG3066" s="481">
        <f ca="1">IF($E3066=0,0,ROUND($R3071*$S$2*$C$2/$A3066,2))</f>
        <v>430.45</v>
      </c>
      <c r="AH3066" s="481">
        <f ca="1">$AG3066*$A3066</f>
        <v>430.45</v>
      </c>
      <c r="AI3066" s="525">
        <f ca="1">$E3066-$AG3066</f>
        <v>755.71</v>
      </c>
      <c r="AJ3066" s="525">
        <f ca="1">$A3066*$AI3066</f>
        <v>755.71</v>
      </c>
      <c r="AK3066" s="526">
        <f ca="1">ROUND(($AG3066+$AI3066)*$A3066,2)</f>
        <v>1186.1600000000001</v>
      </c>
      <c r="AM3066" s="527">
        <f ca="1">ROUND(R3071,2)</f>
        <v>349.58</v>
      </c>
      <c r="AN3066" s="528">
        <f ca="1">ROUND(T3071,2)</f>
        <v>22.35</v>
      </c>
      <c r="AO3066" s="529">
        <f ca="1">ROUND(AM3066+AN3066,2)*A3066</f>
        <v>371.93</v>
      </c>
      <c r="AR3066" s="747">
        <v>1</v>
      </c>
      <c r="AS3066" s="751">
        <v>1015.88</v>
      </c>
    </row>
    <row r="3067" spans="1:45" s="520" customFormat="1" ht="13.2">
      <c r="A3067" s="748"/>
      <c r="B3067"/>
      <c r="C3067" s="748"/>
      <c r="D3067" s="749" t="s">
        <v>3835</v>
      </c>
      <c r="F3067" s="753"/>
      <c r="G3067" s="3"/>
      <c r="H3067" s="753"/>
      <c r="I3067" s="754"/>
      <c r="J3067" s="753"/>
      <c r="K3067" s="753" t="s">
        <v>144</v>
      </c>
      <c r="L3067" s="753"/>
      <c r="M3067" s="753"/>
      <c r="N3067" s="753"/>
      <c r="O3067" s="753"/>
      <c r="P3067" s="753"/>
      <c r="Q3067" s="51"/>
      <c r="R3067" s="530"/>
      <c r="S3067" s="757"/>
      <c r="T3067" s="753"/>
      <c r="AR3067" s="748"/>
      <c r="AS3067" s="753"/>
    </row>
    <row r="3068" spans="1:45" s="886" customFormat="1" ht="13.2">
      <c r="A3068"/>
      <c r="B3068" s="910"/>
      <c r="C3068" s="910" t="s">
        <v>2597</v>
      </c>
      <c r="D3068" s="910" t="str">
        <f ca="1">CELL("Address",Elec_Rates!D$46)</f>
        <v>[E25_0062_Quintano_Foods_Elec_ELV_As_Awarded.xlsx]Elec_Rates!$D$46</v>
      </c>
      <c r="E3068" s="911"/>
      <c r="F3068" s="911"/>
      <c r="G3068" s="912" t="s">
        <v>2598</v>
      </c>
      <c r="H3068" s="912"/>
      <c r="I3068" s="912"/>
      <c r="J3068" s="912"/>
      <c r="K3068" s="913"/>
      <c r="L3068" s="911"/>
      <c r="M3068" s="911"/>
      <c r="N3068" s="911"/>
      <c r="O3068" s="914"/>
      <c r="P3068" s="911"/>
      <c r="Q3068" s="915"/>
      <c r="R3068" s="916"/>
      <c r="S3068" s="915"/>
      <c r="T3068" s="917"/>
      <c r="U3068" s="918"/>
      <c r="AR3068"/>
      <c r="AS3068" s="911"/>
    </row>
    <row r="3069" spans="1:45" s="886" customFormat="1" ht="11.4">
      <c r="A3069" s="919">
        <v>1</v>
      </c>
      <c r="B3069" s="920">
        <v>7.5</v>
      </c>
      <c r="C3069" s="920">
        <f>$A3069*$B3069</f>
        <v>7.5</v>
      </c>
      <c r="D3069" s="921" t="str">
        <f>Elec_Rates!$D$46</f>
        <v>004# Light point rate (Galvanised Conduit)</v>
      </c>
      <c r="E3069" s="921" t="s">
        <v>3882</v>
      </c>
      <c r="F3069" s="918"/>
      <c r="G3069" s="922" t="s">
        <v>2878</v>
      </c>
      <c r="H3069" s="922"/>
      <c r="I3069" s="922"/>
      <c r="J3069" s="922"/>
      <c r="K3069" s="923"/>
      <c r="L3069" s="918"/>
      <c r="M3069" s="918"/>
      <c r="N3069" s="918"/>
      <c r="O3069" s="924"/>
      <c r="P3069" s="921"/>
      <c r="Q3069" s="925">
        <f ca="1">$B3069*Elec_Rates!$R$46</f>
        <v>349.57499999999999</v>
      </c>
      <c r="R3069" s="916">
        <f ca="1">$A3069*Q3069</f>
        <v>349.57499999999999</v>
      </c>
      <c r="S3069" s="925">
        <f ca="1">$B3069*Elec_Rates!$T$46</f>
        <v>22.35</v>
      </c>
      <c r="T3069" s="917">
        <f ca="1">$A3069*S3069</f>
        <v>22.35</v>
      </c>
      <c r="U3069" s="926"/>
      <c r="AR3069" s="919">
        <v>1</v>
      </c>
      <c r="AS3069" s="918"/>
    </row>
    <row r="3070" spans="1:45" s="520" customFormat="1" ht="12">
      <c r="A3070" s="758"/>
      <c r="B3070" s="758"/>
      <c r="C3070" s="758"/>
      <c r="D3070" s="758"/>
      <c r="E3070" s="758"/>
      <c r="F3070" s="753"/>
      <c r="G3070" s="758"/>
      <c r="H3070" s="758"/>
      <c r="I3070" s="519"/>
      <c r="J3070" s="758"/>
      <c r="K3070" s="758"/>
      <c r="L3070" s="758"/>
      <c r="M3070" s="758"/>
      <c r="N3070" s="758"/>
      <c r="O3070" s="758"/>
      <c r="P3070" s="758"/>
      <c r="Q3070" s="519"/>
      <c r="R3070" s="759">
        <f>$A3070*Q3070</f>
        <v>0</v>
      </c>
      <c r="S3070" s="519"/>
      <c r="T3070" s="760">
        <f>$A3070*S3070*$T$1</f>
        <v>0</v>
      </c>
      <c r="AR3070" s="758"/>
      <c r="AS3070" s="753"/>
    </row>
    <row r="3071" spans="1:45" s="520" customFormat="1" ht="12.6" thickBot="1">
      <c r="A3071" s="761" t="s">
        <v>145</v>
      </c>
      <c r="B3071" s="762">
        <f>(R3070+T3070)</f>
        <v>0</v>
      </c>
      <c r="C3071" s="763"/>
      <c r="D3071" s="763"/>
      <c r="E3071" s="763"/>
      <c r="F3071" s="764"/>
      <c r="G3071" s="763" t="s">
        <v>146</v>
      </c>
      <c r="H3071" s="763"/>
      <c r="I3071" s="765"/>
      <c r="J3071" s="763"/>
      <c r="K3071" s="763" t="s">
        <v>3</v>
      </c>
      <c r="L3071" s="766" t="s">
        <v>143</v>
      </c>
      <c r="M3071" s="766"/>
      <c r="N3071" s="766"/>
      <c r="O3071" s="766"/>
      <c r="P3071" s="766"/>
      <c r="Q3071" s="767"/>
      <c r="R3071" s="768">
        <f ca="1">SUM(R3067:R3070)</f>
        <v>349.57499999999999</v>
      </c>
      <c r="S3071" s="763"/>
      <c r="T3071" s="768">
        <f ca="1">SUM(T3067:T3070)</f>
        <v>22.35</v>
      </c>
      <c r="U3071" s="531"/>
      <c r="V3071" s="531"/>
      <c r="W3071" s="531"/>
      <c r="X3071" s="531"/>
      <c r="Y3071" s="531"/>
      <c r="Z3071" s="531"/>
      <c r="AA3071" s="531"/>
      <c r="AB3071" s="531"/>
      <c r="AC3071" s="531"/>
      <c r="AD3071" s="531"/>
      <c r="AE3071" s="531"/>
      <c r="AF3071" s="531"/>
      <c r="AG3071" s="531"/>
      <c r="AH3071" s="531"/>
      <c r="AI3071" s="531"/>
      <c r="AJ3071" s="531"/>
      <c r="AK3071" s="531"/>
      <c r="AL3071" s="531"/>
      <c r="AM3071" s="531"/>
      <c r="AN3071" s="531"/>
      <c r="AO3071" s="531"/>
      <c r="AR3071" s="761" t="s">
        <v>145</v>
      </c>
      <c r="AS3071" s="764"/>
    </row>
    <row r="3072" spans="1:45" s="520" customFormat="1" ht="12" thickTop="1">
      <c r="A3072" s="51"/>
      <c r="B3072" s="41"/>
      <c r="C3072" s="51"/>
      <c r="E3072" s="42" t="s">
        <v>138</v>
      </c>
      <c r="F3072" s="42" t="s">
        <v>139</v>
      </c>
      <c r="G3072" s="51"/>
      <c r="H3072" s="51"/>
      <c r="I3072" s="51"/>
      <c r="J3072" s="51"/>
      <c r="K3072" s="51" t="s">
        <v>140</v>
      </c>
      <c r="L3072" s="51"/>
      <c r="M3072" s="51"/>
      <c r="N3072" s="51"/>
      <c r="O3072" s="52"/>
      <c r="P3072" s="51"/>
      <c r="Q3072" s="51"/>
      <c r="R3072" s="51"/>
      <c r="S3072" s="51"/>
      <c r="T3072" s="41"/>
      <c r="AG3072" s="521" t="s">
        <v>268</v>
      </c>
      <c r="AH3072" s="521" t="s">
        <v>269</v>
      </c>
      <c r="AI3072" s="521" t="s">
        <v>270</v>
      </c>
      <c r="AJ3072" s="521" t="s">
        <v>271</v>
      </c>
      <c r="AK3072" s="521" t="s">
        <v>272</v>
      </c>
      <c r="AM3072" s="745" t="s">
        <v>281</v>
      </c>
      <c r="AN3072" s="746" t="s">
        <v>282</v>
      </c>
      <c r="AO3072" s="522" t="s">
        <v>278</v>
      </c>
      <c r="AR3072" s="51"/>
      <c r="AS3072" s="42" t="s">
        <v>139</v>
      </c>
    </row>
    <row r="3073" spans="1:45" s="520" customFormat="1" ht="12" customHeight="1">
      <c r="A3073" s="747">
        <v>1</v>
      </c>
      <c r="B3073" s="523" t="s">
        <v>141</v>
      </c>
      <c r="C3073" s="748"/>
      <c r="D3073" s="749" t="s">
        <v>1618</v>
      </c>
      <c r="E3073" s="750">
        <f ca="1">IF(AND($A3073=0,$A$1="DIF"),0, ROUND(ROUND(($R3078*$S$2+($T3078*$T$2))/A3073,2)*$C$2,2))</f>
        <v>0</v>
      </c>
      <c r="F3073" s="751">
        <f ca="1">ROUND($A3073*$E3073,2)</f>
        <v>0</v>
      </c>
      <c r="G3073" s="752" t="s">
        <v>142</v>
      </c>
      <c r="H3073" s="753"/>
      <c r="I3073" s="754"/>
      <c r="J3073" s="753"/>
      <c r="K3073" s="753" t="s">
        <v>3</v>
      </c>
      <c r="L3073" s="755" t="s">
        <v>143</v>
      </c>
      <c r="M3073" s="755"/>
      <c r="N3073" s="755"/>
      <c r="O3073" s="755"/>
      <c r="P3073" s="755"/>
      <c r="Q3073" s="1058" t="s">
        <v>3848</v>
      </c>
      <c r="T3073" s="756" t="str">
        <f ca="1">IF(AND($R3078=0,$T3078=0),"0.00","mu :" &amp; ROUND($F3073/$C$2/($R3078+$T3078*$D$9),2))</f>
        <v>0.00</v>
      </c>
      <c r="W3073" s="524"/>
      <c r="AG3073" s="481">
        <f ca="1">IF($E3073=0,0,ROUND($R3078*$S$2*$C$2/$A3073,2))</f>
        <v>0</v>
      </c>
      <c r="AH3073" s="481">
        <f ca="1">$AG3073*$A3073</f>
        <v>0</v>
      </c>
      <c r="AI3073" s="525">
        <f ca="1">$E3073-$AG3073</f>
        <v>0</v>
      </c>
      <c r="AJ3073" s="525">
        <f ca="1">$A3073*$AI3073</f>
        <v>0</v>
      </c>
      <c r="AK3073" s="526">
        <f ca="1">ROUND(($AG3073+$AI3073)*$A3073,2)</f>
        <v>0</v>
      </c>
      <c r="AM3073" s="527">
        <f ca="1">ROUND(R3078,2)</f>
        <v>0</v>
      </c>
      <c r="AN3073" s="528">
        <f ca="1">ROUND(T3078,2)</f>
        <v>0</v>
      </c>
      <c r="AO3073" s="529">
        <f ca="1">ROUND(AM3073+AN3073,2)*A3073</f>
        <v>0</v>
      </c>
      <c r="AR3073" s="747">
        <v>1</v>
      </c>
      <c r="AS3073" s="751">
        <v>1354.5</v>
      </c>
    </row>
    <row r="3074" spans="1:45" s="520" customFormat="1" ht="13.2">
      <c r="A3074" s="748"/>
      <c r="B3074"/>
      <c r="C3074" s="748"/>
      <c r="D3074" s="749" t="s">
        <v>768</v>
      </c>
      <c r="F3074" s="753"/>
      <c r="G3074" s="3"/>
      <c r="H3074" s="753"/>
      <c r="I3074" s="754"/>
      <c r="J3074" s="753"/>
      <c r="K3074" s="753" t="s">
        <v>144</v>
      </c>
      <c r="L3074" s="753"/>
      <c r="M3074" s="753"/>
      <c r="N3074" s="753"/>
      <c r="O3074" s="753"/>
      <c r="P3074" s="753"/>
      <c r="Q3074" s="51"/>
      <c r="R3074" s="530"/>
      <c r="S3074" s="757"/>
      <c r="T3074" s="753"/>
      <c r="AR3074" s="748"/>
      <c r="AS3074" s="753"/>
    </row>
    <row r="3075" spans="1:45" s="1336" customFormat="1" ht="13.2">
      <c r="A3075" s="1086"/>
      <c r="B3075" s="1328"/>
      <c r="C3075" s="1328" t="s">
        <v>2597</v>
      </c>
      <c r="D3075" s="1328" t="str">
        <f ca="1">CELL("Address",Elec_Rates!D$46)</f>
        <v>[E25_0062_Quintano_Foods_Elec_ELV_As_Awarded.xlsx]Elec_Rates!$D$46</v>
      </c>
      <c r="E3075" s="1060"/>
      <c r="F3075" s="1060"/>
      <c r="G3075" s="1329" t="s">
        <v>2598</v>
      </c>
      <c r="H3075" s="1329"/>
      <c r="I3075" s="1329"/>
      <c r="J3075" s="1329"/>
      <c r="K3075" s="1330"/>
      <c r="L3075" s="1060"/>
      <c r="M3075" s="1060"/>
      <c r="N3075" s="1060"/>
      <c r="O3075" s="1331"/>
      <c r="P3075" s="1060"/>
      <c r="Q3075" s="1332"/>
      <c r="R3075" s="1333"/>
      <c r="S3075" s="1332"/>
      <c r="T3075" s="1334"/>
      <c r="U3075" s="1335"/>
      <c r="AR3075" s="1086"/>
      <c r="AS3075" s="1060"/>
    </row>
    <row r="3076" spans="1:45" s="1336" customFormat="1" ht="11.4">
      <c r="A3076" s="1337">
        <v>0</v>
      </c>
      <c r="B3076" s="1338">
        <v>8</v>
      </c>
      <c r="C3076" s="1338">
        <f>$A3076*$B3076</f>
        <v>0</v>
      </c>
      <c r="D3076" s="1339" t="str">
        <f>Elec_Rates!$D$46</f>
        <v>004# Light point rate (Galvanised Conduit)</v>
      </c>
      <c r="E3076" s="1339" t="s">
        <v>2889</v>
      </c>
      <c r="F3076" s="1335"/>
      <c r="G3076" s="1340" t="s">
        <v>2878</v>
      </c>
      <c r="H3076" s="1340"/>
      <c r="I3076" s="1340"/>
      <c r="J3076" s="1340"/>
      <c r="K3076" s="1341"/>
      <c r="L3076" s="1335"/>
      <c r="M3076" s="1335"/>
      <c r="N3076" s="1335"/>
      <c r="O3076" s="1342"/>
      <c r="P3076" s="1339"/>
      <c r="Q3076" s="1343">
        <f ca="1">$B3076*Elec_Rates!$R$46</f>
        <v>372.88</v>
      </c>
      <c r="R3076" s="1333">
        <f ca="1">$A3076*Q3076</f>
        <v>0</v>
      </c>
      <c r="S3076" s="1343">
        <f ca="1">$B3076*Elec_Rates!$T$46</f>
        <v>23.84</v>
      </c>
      <c r="T3076" s="1334">
        <f ca="1">$A3076*S3076</f>
        <v>0</v>
      </c>
      <c r="U3076" s="1344"/>
      <c r="AR3076" s="1337">
        <v>1</v>
      </c>
      <c r="AS3076" s="1335"/>
    </row>
    <row r="3077" spans="1:45" s="520" customFormat="1" ht="12">
      <c r="A3077" s="758"/>
      <c r="B3077" s="758"/>
      <c r="C3077" s="758"/>
      <c r="D3077" s="758"/>
      <c r="E3077" s="758"/>
      <c r="F3077" s="753"/>
      <c r="G3077" s="758"/>
      <c r="H3077" s="758"/>
      <c r="I3077" s="519"/>
      <c r="J3077" s="758"/>
      <c r="K3077" s="758"/>
      <c r="L3077" s="758"/>
      <c r="M3077" s="758"/>
      <c r="N3077" s="758"/>
      <c r="O3077" s="758"/>
      <c r="P3077" s="758"/>
      <c r="Q3077" s="519"/>
      <c r="R3077" s="759">
        <f>$A3077*Q3077</f>
        <v>0</v>
      </c>
      <c r="S3077" s="519"/>
      <c r="T3077" s="760">
        <f>$A3077*S3077*$T$1</f>
        <v>0</v>
      </c>
      <c r="AR3077" s="758"/>
      <c r="AS3077" s="753"/>
    </row>
    <row r="3078" spans="1:45" s="520" customFormat="1" ht="12.6" thickBot="1">
      <c r="A3078" s="761" t="s">
        <v>145</v>
      </c>
      <c r="B3078" s="762">
        <f>(R3077+T3077)</f>
        <v>0</v>
      </c>
      <c r="C3078" s="763"/>
      <c r="D3078" s="763"/>
      <c r="E3078" s="763"/>
      <c r="F3078" s="764"/>
      <c r="G3078" s="763" t="s">
        <v>146</v>
      </c>
      <c r="H3078" s="763"/>
      <c r="I3078" s="765"/>
      <c r="J3078" s="763"/>
      <c r="K3078" s="763" t="s">
        <v>3</v>
      </c>
      <c r="L3078" s="766" t="s">
        <v>143</v>
      </c>
      <c r="M3078" s="766"/>
      <c r="N3078" s="766"/>
      <c r="O3078" s="766"/>
      <c r="P3078" s="766"/>
      <c r="Q3078" s="767"/>
      <c r="R3078" s="768">
        <f ca="1">SUM(R3074:R3077)</f>
        <v>0</v>
      </c>
      <c r="S3078" s="763"/>
      <c r="T3078" s="768">
        <f ca="1">SUM(T3074:T3077)</f>
        <v>0</v>
      </c>
      <c r="U3078" s="531"/>
      <c r="V3078" s="531"/>
      <c r="W3078" s="531"/>
      <c r="X3078" s="531"/>
      <c r="Y3078" s="531"/>
      <c r="Z3078" s="531"/>
      <c r="AA3078" s="531"/>
      <c r="AB3078" s="531"/>
      <c r="AC3078" s="531"/>
      <c r="AD3078" s="531"/>
      <c r="AE3078" s="531"/>
      <c r="AF3078" s="531"/>
      <c r="AG3078" s="531"/>
      <c r="AH3078" s="531"/>
      <c r="AI3078" s="531"/>
      <c r="AJ3078" s="531"/>
      <c r="AK3078" s="531"/>
      <c r="AL3078" s="531"/>
      <c r="AM3078" s="531"/>
      <c r="AN3078" s="531"/>
      <c r="AO3078" s="531"/>
      <c r="AR3078" s="761" t="s">
        <v>145</v>
      </c>
      <c r="AS3078" s="764"/>
    </row>
    <row r="3079" spans="1:45" s="520" customFormat="1" ht="12" thickTop="1">
      <c r="A3079" s="51"/>
      <c r="B3079" s="41"/>
      <c r="C3079" s="51"/>
      <c r="E3079" s="42" t="s">
        <v>138</v>
      </c>
      <c r="F3079" s="42" t="s">
        <v>139</v>
      </c>
      <c r="G3079" s="51"/>
      <c r="H3079" s="51"/>
      <c r="I3079" s="51"/>
      <c r="J3079" s="51"/>
      <c r="K3079" s="51" t="s">
        <v>140</v>
      </c>
      <c r="L3079" s="51"/>
      <c r="M3079" s="51"/>
      <c r="N3079" s="51"/>
      <c r="O3079" s="52"/>
      <c r="P3079" s="51"/>
      <c r="Q3079" s="51"/>
      <c r="R3079" s="51"/>
      <c r="S3079" s="51"/>
      <c r="T3079" s="41"/>
      <c r="AG3079" s="521" t="s">
        <v>268</v>
      </c>
      <c r="AH3079" s="521" t="s">
        <v>269</v>
      </c>
      <c r="AI3079" s="521" t="s">
        <v>270</v>
      </c>
      <c r="AJ3079" s="521" t="s">
        <v>271</v>
      </c>
      <c r="AK3079" s="521" t="s">
        <v>272</v>
      </c>
      <c r="AM3079" s="745" t="s">
        <v>281</v>
      </c>
      <c r="AN3079" s="746" t="s">
        <v>282</v>
      </c>
      <c r="AO3079" s="522" t="s">
        <v>278</v>
      </c>
      <c r="AR3079" s="51"/>
      <c r="AS3079" s="42" t="s">
        <v>139</v>
      </c>
    </row>
    <row r="3080" spans="1:45" s="520" customFormat="1" ht="12" customHeight="1">
      <c r="A3080" s="747">
        <v>1</v>
      </c>
      <c r="B3080" s="523" t="s">
        <v>141</v>
      </c>
      <c r="C3080" s="748"/>
      <c r="D3080" s="749" t="s">
        <v>1619</v>
      </c>
      <c r="E3080" s="750">
        <f ca="1">IF(AND($A3080=0,$A$1="DIF"),0, ROUND(ROUND(($R3085*$S$2+($T3085*$T$2))/A3080,2)*$C$2,2))</f>
        <v>316.31</v>
      </c>
      <c r="F3080" s="751">
        <f ca="1">ROUND($A3080*$E3080,2)</f>
        <v>316.31</v>
      </c>
      <c r="G3080" s="752" t="s">
        <v>142</v>
      </c>
      <c r="H3080" s="753"/>
      <c r="I3080" s="754"/>
      <c r="J3080" s="753"/>
      <c r="K3080" s="753" t="s">
        <v>3</v>
      </c>
      <c r="L3080" s="755" t="s">
        <v>143</v>
      </c>
      <c r="M3080" s="755"/>
      <c r="N3080" s="755"/>
      <c r="O3080" s="755"/>
      <c r="P3080" s="755"/>
      <c r="Q3080" s="51"/>
      <c r="T3080" s="756" t="str">
        <f ca="1">IF(AND($R3085=0,$T3085=0),"0.00","mu :" &amp; ROUND($F3080/$C$2/($R3085+$T3085*$D$9),2))</f>
        <v>mu :1.23</v>
      </c>
      <c r="W3080" s="524"/>
      <c r="AG3080" s="481">
        <f ca="1">IF($E3080=0,0,ROUND($R3085*$S$2*$C$2/$A3080,2))</f>
        <v>114.79</v>
      </c>
      <c r="AH3080" s="481">
        <f ca="1">$AG3080*$A3080</f>
        <v>114.79</v>
      </c>
      <c r="AI3080" s="525">
        <f ca="1">$E3080-$AG3080</f>
        <v>201.51999999999998</v>
      </c>
      <c r="AJ3080" s="525">
        <f ca="1">$A3080*$AI3080</f>
        <v>201.51999999999998</v>
      </c>
      <c r="AK3080" s="526">
        <f ca="1">ROUND(($AG3080+$AI3080)*$A3080,2)</f>
        <v>316.31</v>
      </c>
      <c r="AM3080" s="527">
        <f ca="1">ROUND(R3085,2)</f>
        <v>93.22</v>
      </c>
      <c r="AN3080" s="528">
        <f ca="1">ROUND(T3085,2)</f>
        <v>5.96</v>
      </c>
      <c r="AO3080" s="529">
        <f ca="1">ROUND(AM3080+AN3080,2)*A3080</f>
        <v>99.18</v>
      </c>
      <c r="AR3080" s="747">
        <v>1</v>
      </c>
      <c r="AS3080" s="751">
        <v>338.63</v>
      </c>
    </row>
    <row r="3081" spans="1:45" s="520" customFormat="1" ht="13.2">
      <c r="A3081" s="748"/>
      <c r="B3081"/>
      <c r="C3081" s="748"/>
      <c r="D3081" s="749" t="s">
        <v>769</v>
      </c>
      <c r="F3081" s="753"/>
      <c r="G3081" s="3"/>
      <c r="H3081" s="753"/>
      <c r="I3081" s="754"/>
      <c r="J3081" s="753"/>
      <c r="K3081" s="753" t="s">
        <v>144</v>
      </c>
      <c r="L3081" s="753"/>
      <c r="M3081" s="753"/>
      <c r="N3081" s="753"/>
      <c r="O3081" s="753"/>
      <c r="P3081" s="753"/>
      <c r="Q3081" s="51"/>
      <c r="R3081" s="530"/>
      <c r="S3081" s="757"/>
      <c r="T3081" s="753"/>
      <c r="AR3081" s="748"/>
      <c r="AS3081" s="753"/>
    </row>
    <row r="3082" spans="1:45" s="886" customFormat="1" ht="13.2">
      <c r="A3082"/>
      <c r="B3082" s="910"/>
      <c r="C3082" s="910" t="s">
        <v>2597</v>
      </c>
      <c r="D3082" s="910" t="str">
        <f ca="1">CELL("Address",Elec_Rates!D$46)</f>
        <v>[E25_0062_Quintano_Foods_Elec_ELV_As_Awarded.xlsx]Elec_Rates!$D$46</v>
      </c>
      <c r="E3082" s="911"/>
      <c r="F3082" s="911"/>
      <c r="G3082" s="912" t="s">
        <v>2598</v>
      </c>
      <c r="H3082" s="912"/>
      <c r="I3082" s="912"/>
      <c r="J3082" s="912"/>
      <c r="K3082" s="913"/>
      <c r="L3082" s="911"/>
      <c r="M3082" s="911"/>
      <c r="N3082" s="911"/>
      <c r="O3082" s="914"/>
      <c r="P3082" s="911"/>
      <c r="Q3082" s="915"/>
      <c r="R3082" s="916"/>
      <c r="S3082" s="915"/>
      <c r="T3082" s="917"/>
      <c r="U3082" s="918"/>
      <c r="AR3082"/>
      <c r="AS3082" s="911"/>
    </row>
    <row r="3083" spans="1:45" s="886" customFormat="1" ht="11.4">
      <c r="A3083" s="919">
        <v>1</v>
      </c>
      <c r="B3083" s="920">
        <v>2</v>
      </c>
      <c r="C3083" s="920">
        <f>$A3083*$B3083</f>
        <v>2</v>
      </c>
      <c r="D3083" s="921" t="str">
        <f>Elec_Rates!$D$46</f>
        <v>004# Light point rate (Galvanised Conduit)</v>
      </c>
      <c r="E3083" s="921" t="s">
        <v>2890</v>
      </c>
      <c r="F3083" s="918"/>
      <c r="G3083" s="922" t="s">
        <v>2878</v>
      </c>
      <c r="H3083" s="922"/>
      <c r="I3083" s="922"/>
      <c r="J3083" s="922"/>
      <c r="K3083" s="923"/>
      <c r="L3083" s="918"/>
      <c r="M3083" s="918"/>
      <c r="N3083" s="918"/>
      <c r="O3083" s="924"/>
      <c r="P3083" s="921"/>
      <c r="Q3083" s="925">
        <f ca="1">$B3083*Elec_Rates!$R$46</f>
        <v>93.22</v>
      </c>
      <c r="R3083" s="916">
        <f ca="1">$A3083*Q3083</f>
        <v>93.22</v>
      </c>
      <c r="S3083" s="925">
        <f ca="1">$B3083*Elec_Rates!$T$46</f>
        <v>5.96</v>
      </c>
      <c r="T3083" s="917">
        <f ca="1">$A3083*S3083</f>
        <v>5.96</v>
      </c>
      <c r="U3083" s="926"/>
      <c r="AR3083" s="919">
        <v>1</v>
      </c>
      <c r="AS3083" s="918"/>
    </row>
    <row r="3084" spans="1:45" s="520" customFormat="1" ht="12">
      <c r="A3084" s="758"/>
      <c r="B3084" s="758"/>
      <c r="C3084" s="758"/>
      <c r="D3084" s="758"/>
      <c r="E3084" s="758"/>
      <c r="F3084" s="753"/>
      <c r="G3084" s="758"/>
      <c r="H3084" s="758"/>
      <c r="I3084" s="519"/>
      <c r="J3084" s="758"/>
      <c r="K3084" s="758"/>
      <c r="L3084" s="758"/>
      <c r="M3084" s="758"/>
      <c r="N3084" s="758"/>
      <c r="O3084" s="758"/>
      <c r="P3084" s="758"/>
      <c r="Q3084" s="519"/>
      <c r="R3084" s="759">
        <f>$A3084*Q3084</f>
        <v>0</v>
      </c>
      <c r="S3084" s="519"/>
      <c r="T3084" s="760">
        <f>$A3084*S3084*$T$1</f>
        <v>0</v>
      </c>
      <c r="AR3084" s="758"/>
      <c r="AS3084" s="753"/>
    </row>
    <row r="3085" spans="1:45" s="520" customFormat="1" ht="12.6" thickBot="1">
      <c r="A3085" s="761" t="s">
        <v>145</v>
      </c>
      <c r="B3085" s="762">
        <f>(R3084+T3084)</f>
        <v>0</v>
      </c>
      <c r="C3085" s="763"/>
      <c r="D3085" s="763"/>
      <c r="E3085" s="763"/>
      <c r="F3085" s="764"/>
      <c r="G3085" s="763" t="s">
        <v>146</v>
      </c>
      <c r="H3085" s="763"/>
      <c r="I3085" s="765"/>
      <c r="J3085" s="763"/>
      <c r="K3085" s="763" t="s">
        <v>3</v>
      </c>
      <c r="L3085" s="766" t="s">
        <v>143</v>
      </c>
      <c r="M3085" s="766"/>
      <c r="N3085" s="766"/>
      <c r="O3085" s="766"/>
      <c r="P3085" s="766"/>
      <c r="Q3085" s="767"/>
      <c r="R3085" s="768">
        <f ca="1">SUM(R3081:R3084)</f>
        <v>93.22</v>
      </c>
      <c r="S3085" s="763"/>
      <c r="T3085" s="768">
        <f ca="1">SUM(T3081:T3084)</f>
        <v>5.96</v>
      </c>
      <c r="U3085" s="531"/>
      <c r="V3085" s="531"/>
      <c r="W3085" s="531"/>
      <c r="X3085" s="531"/>
      <c r="Y3085" s="531"/>
      <c r="Z3085" s="531"/>
      <c r="AA3085" s="531"/>
      <c r="AB3085" s="531"/>
      <c r="AC3085" s="531"/>
      <c r="AD3085" s="531"/>
      <c r="AE3085" s="531"/>
      <c r="AF3085" s="531"/>
      <c r="AG3085" s="531"/>
      <c r="AH3085" s="531"/>
      <c r="AI3085" s="531"/>
      <c r="AJ3085" s="531"/>
      <c r="AK3085" s="531"/>
      <c r="AL3085" s="531"/>
      <c r="AM3085" s="531"/>
      <c r="AN3085" s="531"/>
      <c r="AO3085" s="531"/>
      <c r="AR3085" s="761" t="s">
        <v>145</v>
      </c>
      <c r="AS3085" s="764"/>
    </row>
    <row r="3086" spans="1:45" s="520" customFormat="1" ht="12" thickTop="1">
      <c r="A3086" s="51"/>
      <c r="B3086" s="41"/>
      <c r="C3086" s="51"/>
      <c r="E3086" s="42" t="s">
        <v>138</v>
      </c>
      <c r="F3086" s="42" t="s">
        <v>139</v>
      </c>
      <c r="G3086" s="51"/>
      <c r="H3086" s="51"/>
      <c r="I3086" s="51"/>
      <c r="J3086" s="51"/>
      <c r="K3086" s="51" t="s">
        <v>140</v>
      </c>
      <c r="L3086" s="51"/>
      <c r="M3086" s="51"/>
      <c r="N3086" s="51"/>
      <c r="O3086" s="52"/>
      <c r="P3086" s="51"/>
      <c r="Q3086" s="51"/>
      <c r="R3086" s="51"/>
      <c r="S3086" s="51"/>
      <c r="T3086" s="41"/>
      <c r="AG3086" s="521" t="s">
        <v>268</v>
      </c>
      <c r="AH3086" s="521" t="s">
        <v>269</v>
      </c>
      <c r="AI3086" s="521" t="s">
        <v>270</v>
      </c>
      <c r="AJ3086" s="521" t="s">
        <v>271</v>
      </c>
      <c r="AK3086" s="521" t="s">
        <v>272</v>
      </c>
      <c r="AM3086" s="745" t="s">
        <v>281</v>
      </c>
      <c r="AN3086" s="746" t="s">
        <v>282</v>
      </c>
      <c r="AO3086" s="522" t="s">
        <v>278</v>
      </c>
      <c r="AR3086" s="51"/>
      <c r="AS3086" s="42" t="s">
        <v>139</v>
      </c>
    </row>
    <row r="3087" spans="1:45" s="520" customFormat="1" ht="12" customHeight="1">
      <c r="A3087" s="747">
        <v>4</v>
      </c>
      <c r="B3087" s="523" t="s">
        <v>141</v>
      </c>
      <c r="C3087" s="748"/>
      <c r="D3087" s="749" t="s">
        <v>1620</v>
      </c>
      <c r="E3087" s="750">
        <f ca="1">IF(AND($A3087=0,$A$1="DIF"),0, ROUND(ROUND(($R3092*$S$2+($T3092*$T$2))/A3087,2)*$C$2,2))</f>
        <v>316.31</v>
      </c>
      <c r="F3087" s="751">
        <f ca="1">ROUND($A3087*$E3087,2)</f>
        <v>1265.24</v>
      </c>
      <c r="G3087" s="752" t="s">
        <v>142</v>
      </c>
      <c r="H3087" s="753"/>
      <c r="I3087" s="754"/>
      <c r="J3087" s="753"/>
      <c r="K3087" s="753" t="s">
        <v>3</v>
      </c>
      <c r="L3087" s="755" t="s">
        <v>143</v>
      </c>
      <c r="M3087" s="755"/>
      <c r="N3087" s="755"/>
      <c r="O3087" s="755"/>
      <c r="P3087" s="755"/>
      <c r="Q3087" s="51"/>
      <c r="T3087" s="756" t="str">
        <f ca="1">IF(AND($R3092=0,$T3092=0),"0.00","mu :" &amp; ROUND($F3087/$C$2/($R3092+$T3092*$D$9),2))</f>
        <v>mu :1.23</v>
      </c>
      <c r="W3087" s="524"/>
      <c r="AG3087" s="481">
        <f ca="1">IF($E3087=0,0,ROUND($R3092*$S$2*$C$2/$A3087,2))</f>
        <v>114.79</v>
      </c>
      <c r="AH3087" s="481">
        <f ca="1">$AG3087*$A3087</f>
        <v>459.16</v>
      </c>
      <c r="AI3087" s="525">
        <f ca="1">$E3087-$AG3087</f>
        <v>201.51999999999998</v>
      </c>
      <c r="AJ3087" s="525">
        <f ca="1">$A3087*$AI3087</f>
        <v>806.07999999999993</v>
      </c>
      <c r="AK3087" s="526">
        <f ca="1">ROUND(($AG3087+$AI3087)*$A3087,2)</f>
        <v>1265.24</v>
      </c>
      <c r="AM3087" s="527">
        <f ca="1">ROUND(R3092,2)</f>
        <v>372.88</v>
      </c>
      <c r="AN3087" s="528">
        <f ca="1">ROUND(T3092,2)</f>
        <v>23.84</v>
      </c>
      <c r="AO3087" s="529">
        <f ca="1">ROUND(AM3087+AN3087,2)*A3087</f>
        <v>1586.88</v>
      </c>
      <c r="AR3087" s="747">
        <v>4</v>
      </c>
      <c r="AS3087" s="751">
        <v>1354.52</v>
      </c>
    </row>
    <row r="3088" spans="1:45" s="520" customFormat="1" ht="13.2">
      <c r="A3088" s="748"/>
      <c r="B3088"/>
      <c r="C3088" s="748"/>
      <c r="D3088" s="749" t="s">
        <v>770</v>
      </c>
      <c r="F3088" s="753"/>
      <c r="G3088" s="3"/>
      <c r="H3088" s="753"/>
      <c r="I3088" s="754"/>
      <c r="J3088" s="753"/>
      <c r="K3088" s="753" t="s">
        <v>144</v>
      </c>
      <c r="L3088" s="753"/>
      <c r="M3088" s="753"/>
      <c r="N3088" s="753"/>
      <c r="O3088" s="753"/>
      <c r="P3088" s="753"/>
      <c r="Q3088" s="51"/>
      <c r="R3088" s="530"/>
      <c r="S3088" s="757"/>
      <c r="T3088" s="753"/>
      <c r="AR3088" s="748"/>
      <c r="AS3088" s="753"/>
    </row>
    <row r="3089" spans="1:45" s="886" customFormat="1" ht="13.2">
      <c r="A3089"/>
      <c r="B3089" s="910"/>
      <c r="C3089" s="910" t="s">
        <v>2597</v>
      </c>
      <c r="D3089" s="910" t="str">
        <f ca="1">CELL("Address",Elec_Rates!D$46)</f>
        <v>[E25_0062_Quintano_Foods_Elec_ELV_As_Awarded.xlsx]Elec_Rates!$D$46</v>
      </c>
      <c r="E3089" s="911"/>
      <c r="F3089" s="911"/>
      <c r="G3089" s="912" t="s">
        <v>2598</v>
      </c>
      <c r="H3089" s="912"/>
      <c r="I3089" s="912"/>
      <c r="J3089" s="912"/>
      <c r="K3089" s="913"/>
      <c r="L3089" s="911"/>
      <c r="M3089" s="911"/>
      <c r="N3089" s="911"/>
      <c r="O3089" s="914"/>
      <c r="P3089" s="911"/>
      <c r="Q3089" s="915"/>
      <c r="R3089" s="916"/>
      <c r="S3089" s="915"/>
      <c r="T3089" s="917"/>
      <c r="U3089" s="918"/>
      <c r="AR3089"/>
      <c r="AS3089" s="911"/>
    </row>
    <row r="3090" spans="1:45" s="886" customFormat="1" ht="11.4">
      <c r="A3090" s="919">
        <v>4</v>
      </c>
      <c r="B3090" s="920">
        <v>2</v>
      </c>
      <c r="C3090" s="920">
        <f>$A3090*$B3090</f>
        <v>8</v>
      </c>
      <c r="D3090" s="921" t="str">
        <f>Elec_Rates!$D$46</f>
        <v>004# Light point rate (Galvanised Conduit)</v>
      </c>
      <c r="E3090" s="921" t="s">
        <v>2891</v>
      </c>
      <c r="F3090" s="918"/>
      <c r="G3090" s="922" t="s">
        <v>2878</v>
      </c>
      <c r="H3090" s="922"/>
      <c r="I3090" s="922"/>
      <c r="J3090" s="922"/>
      <c r="K3090" s="923"/>
      <c r="L3090" s="918"/>
      <c r="M3090" s="918"/>
      <c r="N3090" s="918"/>
      <c r="O3090" s="924"/>
      <c r="P3090" s="921"/>
      <c r="Q3090" s="925">
        <f ca="1">$B3090*Elec_Rates!$R$46</f>
        <v>93.22</v>
      </c>
      <c r="R3090" s="916">
        <f ca="1">$A3090*Q3090</f>
        <v>372.88</v>
      </c>
      <c r="S3090" s="925">
        <f ca="1">$B3090*Elec_Rates!$T$46</f>
        <v>5.96</v>
      </c>
      <c r="T3090" s="917">
        <f ca="1">$A3090*S3090</f>
        <v>23.84</v>
      </c>
      <c r="U3090" s="926"/>
      <c r="AR3090" s="919">
        <v>4</v>
      </c>
      <c r="AS3090" s="918"/>
    </row>
    <row r="3091" spans="1:45" s="520" customFormat="1" ht="12">
      <c r="A3091" s="758"/>
      <c r="B3091" s="758"/>
      <c r="C3091" s="758"/>
      <c r="D3091" s="758"/>
      <c r="E3091" s="758"/>
      <c r="F3091" s="753"/>
      <c r="G3091" s="758"/>
      <c r="H3091" s="758"/>
      <c r="I3091" s="519"/>
      <c r="J3091" s="758"/>
      <c r="K3091" s="758"/>
      <c r="L3091" s="758"/>
      <c r="M3091" s="758"/>
      <c r="N3091" s="758"/>
      <c r="O3091" s="758"/>
      <c r="P3091" s="758"/>
      <c r="Q3091" s="519"/>
      <c r="R3091" s="759">
        <f>$A3091*Q3091</f>
        <v>0</v>
      </c>
      <c r="S3091" s="519"/>
      <c r="T3091" s="760">
        <f>$A3091*S3091*$T$1</f>
        <v>0</v>
      </c>
      <c r="AR3091" s="758"/>
      <c r="AS3091" s="753"/>
    </row>
    <row r="3092" spans="1:45" s="520" customFormat="1" ht="12.6" thickBot="1">
      <c r="A3092" s="761" t="s">
        <v>145</v>
      </c>
      <c r="B3092" s="762">
        <f>(R3091+T3091)</f>
        <v>0</v>
      </c>
      <c r="C3092" s="763"/>
      <c r="D3092" s="763"/>
      <c r="E3092" s="763"/>
      <c r="F3092" s="764"/>
      <c r="G3092" s="763" t="s">
        <v>146</v>
      </c>
      <c r="H3092" s="763"/>
      <c r="I3092" s="765"/>
      <c r="J3092" s="763"/>
      <c r="K3092" s="763" t="s">
        <v>3</v>
      </c>
      <c r="L3092" s="766" t="s">
        <v>143</v>
      </c>
      <c r="M3092" s="766"/>
      <c r="N3092" s="766"/>
      <c r="O3092" s="766"/>
      <c r="P3092" s="766"/>
      <c r="Q3092" s="767"/>
      <c r="R3092" s="768">
        <f ca="1">SUM(R3088:R3091)</f>
        <v>372.88</v>
      </c>
      <c r="S3092" s="763"/>
      <c r="T3092" s="768">
        <f ca="1">SUM(T3088:T3091)</f>
        <v>23.84</v>
      </c>
      <c r="U3092" s="531"/>
      <c r="V3092" s="531"/>
      <c r="W3092" s="531"/>
      <c r="X3092" s="531"/>
      <c r="Y3092" s="531"/>
      <c r="Z3092" s="531"/>
      <c r="AA3092" s="531"/>
      <c r="AB3092" s="531"/>
      <c r="AC3092" s="531"/>
      <c r="AD3092" s="531"/>
      <c r="AE3092" s="531"/>
      <c r="AF3092" s="531"/>
      <c r="AG3092" s="531"/>
      <c r="AH3092" s="531"/>
      <c r="AI3092" s="531"/>
      <c r="AJ3092" s="531"/>
      <c r="AK3092" s="531"/>
      <c r="AL3092" s="531"/>
      <c r="AM3092" s="531"/>
      <c r="AN3092" s="531"/>
      <c r="AO3092" s="531"/>
      <c r="AR3092" s="761" t="s">
        <v>145</v>
      </c>
      <c r="AS3092" s="764"/>
    </row>
    <row r="3093" spans="1:45" s="520" customFormat="1" ht="12" thickTop="1">
      <c r="A3093" s="51"/>
      <c r="B3093" s="41"/>
      <c r="C3093" s="51"/>
      <c r="E3093" s="42" t="s">
        <v>138</v>
      </c>
      <c r="F3093" s="42" t="s">
        <v>139</v>
      </c>
      <c r="G3093" s="51"/>
      <c r="H3093" s="51"/>
      <c r="I3093" s="51"/>
      <c r="J3093" s="51"/>
      <c r="K3093" s="51" t="s">
        <v>140</v>
      </c>
      <c r="L3093" s="51"/>
      <c r="M3093" s="51"/>
      <c r="N3093" s="51"/>
      <c r="O3093" s="52"/>
      <c r="P3093" s="51"/>
      <c r="Q3093" s="51"/>
      <c r="R3093" s="51"/>
      <c r="S3093" s="51"/>
      <c r="T3093" s="41"/>
      <c r="AG3093" s="521" t="s">
        <v>268</v>
      </c>
      <c r="AH3093" s="521" t="s">
        <v>269</v>
      </c>
      <c r="AI3093" s="521" t="s">
        <v>270</v>
      </c>
      <c r="AJ3093" s="521" t="s">
        <v>271</v>
      </c>
      <c r="AK3093" s="521" t="s">
        <v>272</v>
      </c>
      <c r="AM3093" s="745" t="s">
        <v>281</v>
      </c>
      <c r="AN3093" s="746" t="s">
        <v>282</v>
      </c>
      <c r="AO3093" s="522" t="s">
        <v>278</v>
      </c>
      <c r="AR3093" s="51"/>
      <c r="AS3093" s="42" t="s">
        <v>139</v>
      </c>
    </row>
    <row r="3094" spans="1:45" s="520" customFormat="1" ht="12" customHeight="1">
      <c r="A3094" s="747">
        <v>1</v>
      </c>
      <c r="B3094" s="523" t="s">
        <v>141</v>
      </c>
      <c r="C3094" s="748"/>
      <c r="D3094" s="749" t="s">
        <v>1621</v>
      </c>
      <c r="E3094" s="750">
        <f ca="1">IF(AND($A3094=0,$A$1="DIF"),0, ROUND(ROUND(($R3099*$S$2+($T3099*$T$2))/A3094,2)*$C$2,2))</f>
        <v>474.46</v>
      </c>
      <c r="F3094" s="751">
        <f ca="1">ROUND($A3094*$E3094,2)</f>
        <v>474.46</v>
      </c>
      <c r="G3094" s="752" t="s">
        <v>142</v>
      </c>
      <c r="H3094" s="753"/>
      <c r="I3094" s="754"/>
      <c r="J3094" s="753"/>
      <c r="K3094" s="753" t="s">
        <v>3</v>
      </c>
      <c r="L3094" s="755" t="s">
        <v>143</v>
      </c>
      <c r="M3094" s="755"/>
      <c r="N3094" s="755"/>
      <c r="O3094" s="755"/>
      <c r="P3094" s="755"/>
      <c r="Q3094" s="51"/>
      <c r="T3094" s="756" t="str">
        <f ca="1">IF(AND($R3099=0,$T3099=0),"0.00","mu :" &amp; ROUND($F3094/$C$2/($R3099+$T3099*$D$9),2))</f>
        <v>mu :1.23</v>
      </c>
      <c r="W3094" s="524"/>
      <c r="AG3094" s="481">
        <f ca="1">IF($E3094=0,0,ROUND($R3099*$S$2*$C$2/$A3094,2))</f>
        <v>172.18</v>
      </c>
      <c r="AH3094" s="481">
        <f ca="1">$AG3094*$A3094</f>
        <v>172.18</v>
      </c>
      <c r="AI3094" s="525">
        <f ca="1">$E3094-$AG3094</f>
        <v>302.27999999999997</v>
      </c>
      <c r="AJ3094" s="525">
        <f ca="1">$A3094*$AI3094</f>
        <v>302.27999999999997</v>
      </c>
      <c r="AK3094" s="526">
        <f ca="1">ROUND(($AG3094+$AI3094)*$A3094,2)</f>
        <v>474.46</v>
      </c>
      <c r="AM3094" s="527">
        <f ca="1">ROUND(R3099,2)</f>
        <v>139.83000000000001</v>
      </c>
      <c r="AN3094" s="528">
        <f ca="1">ROUND(T3099,2)</f>
        <v>8.94</v>
      </c>
      <c r="AO3094" s="529">
        <f ca="1">ROUND(AM3094+AN3094,2)*A3094</f>
        <v>148.77000000000001</v>
      </c>
      <c r="AR3094" s="747">
        <v>1</v>
      </c>
      <c r="AS3094" s="751">
        <v>507.94</v>
      </c>
    </row>
    <row r="3095" spans="1:45" s="520" customFormat="1" ht="13.2">
      <c r="A3095" s="748"/>
      <c r="B3095"/>
      <c r="C3095" s="748"/>
      <c r="D3095" s="749" t="s">
        <v>771</v>
      </c>
      <c r="F3095" s="753"/>
      <c r="G3095" s="3"/>
      <c r="H3095" s="753"/>
      <c r="I3095" s="754"/>
      <c r="J3095" s="753"/>
      <c r="K3095" s="753" t="s">
        <v>144</v>
      </c>
      <c r="L3095" s="753"/>
      <c r="M3095" s="753"/>
      <c r="N3095" s="753"/>
      <c r="O3095" s="753"/>
      <c r="P3095" s="753"/>
      <c r="Q3095" s="51"/>
      <c r="R3095" s="530"/>
      <c r="S3095" s="757"/>
      <c r="T3095" s="753"/>
      <c r="AR3095" s="748"/>
      <c r="AS3095" s="753"/>
    </row>
    <row r="3096" spans="1:45" s="886" customFormat="1" ht="13.2">
      <c r="A3096"/>
      <c r="B3096" s="910"/>
      <c r="C3096" s="910" t="s">
        <v>2597</v>
      </c>
      <c r="D3096" s="910" t="str">
        <f ca="1">CELL("Address",Elec_Rates!D$46)</f>
        <v>[E25_0062_Quintano_Foods_Elec_ELV_As_Awarded.xlsx]Elec_Rates!$D$46</v>
      </c>
      <c r="E3096" s="911"/>
      <c r="F3096" s="911"/>
      <c r="G3096" s="912" t="s">
        <v>2598</v>
      </c>
      <c r="H3096" s="912"/>
      <c r="I3096" s="912"/>
      <c r="J3096" s="912"/>
      <c r="K3096" s="913"/>
      <c r="L3096" s="911"/>
      <c r="M3096" s="911"/>
      <c r="N3096" s="911"/>
      <c r="O3096" s="914"/>
      <c r="P3096" s="911"/>
      <c r="Q3096" s="915"/>
      <c r="R3096" s="916"/>
      <c r="S3096" s="915"/>
      <c r="T3096" s="917"/>
      <c r="U3096" s="918"/>
      <c r="AR3096"/>
      <c r="AS3096" s="911"/>
    </row>
    <row r="3097" spans="1:45" s="886" customFormat="1" ht="11.4">
      <c r="A3097" s="919">
        <v>1</v>
      </c>
      <c r="B3097" s="920">
        <v>3</v>
      </c>
      <c r="C3097" s="920">
        <f>$A3097*$B3097</f>
        <v>3</v>
      </c>
      <c r="D3097" s="921" t="str">
        <f>Elec_Rates!$D$46</f>
        <v>004# Light point rate (Galvanised Conduit)</v>
      </c>
      <c r="E3097" s="921" t="s">
        <v>2892</v>
      </c>
      <c r="F3097" s="918"/>
      <c r="G3097" s="922" t="s">
        <v>2878</v>
      </c>
      <c r="H3097" s="922"/>
      <c r="I3097" s="922"/>
      <c r="J3097" s="922"/>
      <c r="K3097" s="923"/>
      <c r="L3097" s="918"/>
      <c r="M3097" s="918"/>
      <c r="N3097" s="918"/>
      <c r="O3097" s="924"/>
      <c r="P3097" s="921"/>
      <c r="Q3097" s="925">
        <f ca="1">$B3097*Elec_Rates!$R$46</f>
        <v>139.82999999999998</v>
      </c>
      <c r="R3097" s="916">
        <f ca="1">$A3097*Q3097</f>
        <v>139.82999999999998</v>
      </c>
      <c r="S3097" s="925">
        <f ca="1">$B3097*Elec_Rates!$T$46</f>
        <v>8.94</v>
      </c>
      <c r="T3097" s="917">
        <f ca="1">$A3097*S3097</f>
        <v>8.94</v>
      </c>
      <c r="U3097" s="926"/>
      <c r="AR3097" s="919">
        <v>1</v>
      </c>
      <c r="AS3097" s="918"/>
    </row>
    <row r="3098" spans="1:45" s="520" customFormat="1" ht="12">
      <c r="A3098" s="758"/>
      <c r="B3098" s="758"/>
      <c r="C3098" s="758"/>
      <c r="D3098" s="758"/>
      <c r="E3098" s="758"/>
      <c r="F3098" s="753"/>
      <c r="G3098" s="758"/>
      <c r="H3098" s="758"/>
      <c r="I3098" s="519"/>
      <c r="J3098" s="758"/>
      <c r="K3098" s="758"/>
      <c r="L3098" s="758"/>
      <c r="M3098" s="758"/>
      <c r="N3098" s="758"/>
      <c r="O3098" s="758"/>
      <c r="P3098" s="758"/>
      <c r="Q3098" s="519"/>
      <c r="R3098" s="759">
        <f>$A3098*Q3098</f>
        <v>0</v>
      </c>
      <c r="S3098" s="519"/>
      <c r="T3098" s="760">
        <f>$A3098*S3098*$T$1</f>
        <v>0</v>
      </c>
      <c r="AR3098" s="758"/>
      <c r="AS3098" s="753"/>
    </row>
    <row r="3099" spans="1:45" s="520" customFormat="1" ht="12.6" thickBot="1">
      <c r="A3099" s="761" t="s">
        <v>145</v>
      </c>
      <c r="B3099" s="762">
        <f>(R3098+T3098)</f>
        <v>0</v>
      </c>
      <c r="C3099" s="763"/>
      <c r="D3099" s="763"/>
      <c r="E3099" s="763"/>
      <c r="F3099" s="764"/>
      <c r="G3099" s="763" t="s">
        <v>146</v>
      </c>
      <c r="H3099" s="763"/>
      <c r="I3099" s="765"/>
      <c r="J3099" s="763"/>
      <c r="K3099" s="763" t="s">
        <v>3</v>
      </c>
      <c r="L3099" s="766" t="s">
        <v>143</v>
      </c>
      <c r="M3099" s="766"/>
      <c r="N3099" s="766"/>
      <c r="O3099" s="766"/>
      <c r="P3099" s="766"/>
      <c r="Q3099" s="767"/>
      <c r="R3099" s="768">
        <f ca="1">SUM(R3095:R3098)</f>
        <v>139.82999999999998</v>
      </c>
      <c r="S3099" s="763"/>
      <c r="T3099" s="768">
        <f ca="1">SUM(T3095:T3098)</f>
        <v>8.94</v>
      </c>
      <c r="U3099" s="531"/>
      <c r="V3099" s="531"/>
      <c r="W3099" s="531"/>
      <c r="X3099" s="531"/>
      <c r="Y3099" s="531"/>
      <c r="Z3099" s="531"/>
      <c r="AA3099" s="531"/>
      <c r="AB3099" s="531"/>
      <c r="AC3099" s="531"/>
      <c r="AD3099" s="531"/>
      <c r="AE3099" s="531"/>
      <c r="AF3099" s="531"/>
      <c r="AG3099" s="531"/>
      <c r="AH3099" s="531"/>
      <c r="AI3099" s="531"/>
      <c r="AJ3099" s="531"/>
      <c r="AK3099" s="531"/>
      <c r="AL3099" s="531"/>
      <c r="AM3099" s="531"/>
      <c r="AN3099" s="531"/>
      <c r="AO3099" s="531"/>
      <c r="AR3099" s="761" t="s">
        <v>145</v>
      </c>
      <c r="AS3099" s="764"/>
    </row>
    <row r="3100" spans="1:45" s="520" customFormat="1" ht="12" thickTop="1">
      <c r="A3100" s="51"/>
      <c r="B3100" s="41"/>
      <c r="C3100" s="51"/>
      <c r="E3100" s="42" t="s">
        <v>138</v>
      </c>
      <c r="F3100" s="42" t="s">
        <v>139</v>
      </c>
      <c r="G3100" s="51"/>
      <c r="H3100" s="51"/>
      <c r="I3100" s="51"/>
      <c r="J3100" s="51"/>
      <c r="K3100" s="51" t="s">
        <v>140</v>
      </c>
      <c r="L3100" s="51"/>
      <c r="M3100" s="51"/>
      <c r="N3100" s="51"/>
      <c r="O3100" s="52"/>
      <c r="P3100" s="51"/>
      <c r="Q3100" s="51"/>
      <c r="R3100" s="51"/>
      <c r="S3100" s="51"/>
      <c r="T3100" s="41"/>
      <c r="AG3100" s="521" t="s">
        <v>268</v>
      </c>
      <c r="AH3100" s="521" t="s">
        <v>269</v>
      </c>
      <c r="AI3100" s="521" t="s">
        <v>270</v>
      </c>
      <c r="AJ3100" s="521" t="s">
        <v>271</v>
      </c>
      <c r="AK3100" s="521" t="s">
        <v>272</v>
      </c>
      <c r="AM3100" s="745" t="s">
        <v>281</v>
      </c>
      <c r="AN3100" s="746" t="s">
        <v>282</v>
      </c>
      <c r="AO3100" s="522" t="s">
        <v>278</v>
      </c>
      <c r="AR3100" s="51"/>
      <c r="AS3100" s="42" t="s">
        <v>139</v>
      </c>
    </row>
    <row r="3101" spans="1:45" s="520" customFormat="1" ht="12" customHeight="1">
      <c r="A3101" s="747">
        <v>1</v>
      </c>
      <c r="B3101" s="523" t="s">
        <v>141</v>
      </c>
      <c r="C3101" s="748"/>
      <c r="D3101" s="749" t="s">
        <v>1622</v>
      </c>
      <c r="E3101" s="750">
        <f ca="1">IF(AND($A3101=0,$A$1="DIF"),0, ROUND(ROUND(($R3106*$S$2+($T3106*$T$2))/A3101,2)*$C$2,2))</f>
        <v>2609.5500000000002</v>
      </c>
      <c r="F3101" s="751">
        <f ca="1">ROUND($A3101*$E3101,2)</f>
        <v>2609.5500000000002</v>
      </c>
      <c r="G3101" s="752" t="s">
        <v>142</v>
      </c>
      <c r="H3101" s="753"/>
      <c r="I3101" s="754"/>
      <c r="J3101" s="753"/>
      <c r="K3101" s="753" t="s">
        <v>3</v>
      </c>
      <c r="L3101" s="755" t="s">
        <v>143</v>
      </c>
      <c r="M3101" s="755"/>
      <c r="N3101" s="755"/>
      <c r="O3101" s="755"/>
      <c r="P3101" s="755"/>
      <c r="Q3101" s="51"/>
      <c r="T3101" s="756" t="str">
        <f ca="1">IF(AND($R3106=0,$T3106=0),"0.00","mu :" &amp; ROUND($F3101/$C$2/($R3106+$T3106*$D$9),2))</f>
        <v>mu :1.23</v>
      </c>
      <c r="W3101" s="524"/>
      <c r="AG3101" s="481">
        <f ca="1">IF($E3101=0,0,ROUND($R3106*$S$2*$C$2/$A3101,2))</f>
        <v>946.98</v>
      </c>
      <c r="AH3101" s="481">
        <f ca="1">$AG3101*$A3101</f>
        <v>946.98</v>
      </c>
      <c r="AI3101" s="525">
        <f ca="1">$E3101-$AG3101</f>
        <v>1662.5700000000002</v>
      </c>
      <c r="AJ3101" s="525">
        <f ca="1">$A3101*$AI3101</f>
        <v>1662.5700000000002</v>
      </c>
      <c r="AK3101" s="526">
        <f ca="1">ROUND(($AG3101+$AI3101)*$A3101,2)</f>
        <v>2609.5500000000002</v>
      </c>
      <c r="AM3101" s="527">
        <f ca="1">ROUND(R3106,2)</f>
        <v>769.07</v>
      </c>
      <c r="AN3101" s="528">
        <f ca="1">ROUND(T3106,2)</f>
        <v>49.17</v>
      </c>
      <c r="AO3101" s="529">
        <f ca="1">ROUND(AM3101+AN3101,2)*A3101</f>
        <v>818.24</v>
      </c>
      <c r="AR3101" s="747">
        <v>1</v>
      </c>
      <c r="AS3101" s="751">
        <v>2793.66</v>
      </c>
    </row>
    <row r="3102" spans="1:45" s="520" customFormat="1" ht="13.2">
      <c r="A3102" s="748"/>
      <c r="B3102"/>
      <c r="C3102" s="748"/>
      <c r="D3102" s="749" t="s">
        <v>772</v>
      </c>
      <c r="F3102" s="753"/>
      <c r="G3102" s="3"/>
      <c r="H3102" s="753"/>
      <c r="I3102" s="754"/>
      <c r="J3102" s="753"/>
      <c r="K3102" s="753" t="s">
        <v>144</v>
      </c>
      <c r="L3102" s="753"/>
      <c r="M3102" s="753"/>
      <c r="N3102" s="753"/>
      <c r="O3102" s="753"/>
      <c r="P3102" s="753"/>
      <c r="Q3102" s="51"/>
      <c r="R3102" s="530"/>
      <c r="S3102" s="757"/>
      <c r="T3102" s="753"/>
      <c r="AR3102" s="748"/>
      <c r="AS3102" s="753"/>
    </row>
    <row r="3103" spans="1:45" s="886" customFormat="1" ht="13.2">
      <c r="A3103"/>
      <c r="B3103" s="910"/>
      <c r="C3103" s="910" t="s">
        <v>2597</v>
      </c>
      <c r="D3103" s="910" t="str">
        <f ca="1">CELL("Address",Elec_Rates!D$46)</f>
        <v>[E25_0062_Quintano_Foods_Elec_ELV_As_Awarded.xlsx]Elec_Rates!$D$46</v>
      </c>
      <c r="E3103" s="911"/>
      <c r="F3103" s="911"/>
      <c r="G3103" s="912" t="s">
        <v>2598</v>
      </c>
      <c r="H3103" s="912"/>
      <c r="I3103" s="912"/>
      <c r="J3103" s="912"/>
      <c r="K3103" s="913"/>
      <c r="L3103" s="911"/>
      <c r="M3103" s="911"/>
      <c r="N3103" s="911"/>
      <c r="O3103" s="914"/>
      <c r="P3103" s="911"/>
      <c r="Q3103" s="915"/>
      <c r="R3103" s="916"/>
      <c r="S3103" s="915"/>
      <c r="T3103" s="917"/>
      <c r="U3103" s="918"/>
      <c r="AR3103"/>
      <c r="AS3103" s="911"/>
    </row>
    <row r="3104" spans="1:45" s="886" customFormat="1" ht="11.4">
      <c r="A3104" s="919">
        <v>1</v>
      </c>
      <c r="B3104" s="920">
        <f>12+4.5</f>
        <v>16.5</v>
      </c>
      <c r="C3104" s="920">
        <f>$A3104*$B3104</f>
        <v>16.5</v>
      </c>
      <c r="D3104" s="921" t="str">
        <f>Elec_Rates!$D$46</f>
        <v>004# Light point rate (Galvanised Conduit)</v>
      </c>
      <c r="E3104" s="921" t="s">
        <v>2893</v>
      </c>
      <c r="F3104" s="918"/>
      <c r="G3104" s="922" t="s">
        <v>2878</v>
      </c>
      <c r="H3104" s="922"/>
      <c r="I3104" s="922"/>
      <c r="J3104" s="922"/>
      <c r="K3104" s="923"/>
      <c r="L3104" s="918"/>
      <c r="M3104" s="918"/>
      <c r="N3104" s="918"/>
      <c r="O3104" s="924"/>
      <c r="P3104" s="921"/>
      <c r="Q3104" s="925">
        <f ca="1">$B3104*Elec_Rates!$R$46</f>
        <v>769.06499999999994</v>
      </c>
      <c r="R3104" s="916">
        <f ca="1">$A3104*Q3104</f>
        <v>769.06499999999994</v>
      </c>
      <c r="S3104" s="925">
        <f ca="1">$B3104*Elec_Rates!$T$46</f>
        <v>49.17</v>
      </c>
      <c r="T3104" s="917">
        <f ca="1">$A3104*S3104</f>
        <v>49.17</v>
      </c>
      <c r="U3104" s="926"/>
      <c r="AR3104" s="919">
        <v>1</v>
      </c>
      <c r="AS3104" s="918"/>
    </row>
    <row r="3105" spans="1:45" s="520" customFormat="1" ht="12">
      <c r="A3105" s="758"/>
      <c r="B3105" s="758"/>
      <c r="C3105" s="758"/>
      <c r="D3105" s="758"/>
      <c r="E3105" s="758"/>
      <c r="F3105" s="753"/>
      <c r="G3105" s="758"/>
      <c r="H3105" s="758"/>
      <c r="I3105" s="519"/>
      <c r="J3105" s="758"/>
      <c r="K3105" s="758"/>
      <c r="L3105" s="758"/>
      <c r="M3105" s="758"/>
      <c r="N3105" s="758"/>
      <c r="O3105" s="758"/>
      <c r="P3105" s="758"/>
      <c r="Q3105" s="519"/>
      <c r="R3105" s="759">
        <f>$A3105*Q3105</f>
        <v>0</v>
      </c>
      <c r="S3105" s="519"/>
      <c r="T3105" s="760">
        <f>$A3105*S3105*$T$1</f>
        <v>0</v>
      </c>
      <c r="AR3105" s="758"/>
      <c r="AS3105" s="753"/>
    </row>
    <row r="3106" spans="1:45" s="520" customFormat="1" ht="12.6" thickBot="1">
      <c r="A3106" s="761" t="s">
        <v>145</v>
      </c>
      <c r="B3106" s="762">
        <f>(R3105+T3105)</f>
        <v>0</v>
      </c>
      <c r="C3106" s="763"/>
      <c r="D3106" s="763"/>
      <c r="E3106" s="763"/>
      <c r="F3106" s="764"/>
      <c r="G3106" s="763" t="s">
        <v>146</v>
      </c>
      <c r="H3106" s="763"/>
      <c r="I3106" s="765"/>
      <c r="J3106" s="763"/>
      <c r="K3106" s="763" t="s">
        <v>3</v>
      </c>
      <c r="L3106" s="766" t="s">
        <v>143</v>
      </c>
      <c r="M3106" s="766"/>
      <c r="N3106" s="766"/>
      <c r="O3106" s="766"/>
      <c r="P3106" s="766"/>
      <c r="Q3106" s="767"/>
      <c r="R3106" s="768">
        <f ca="1">SUM(R3102:R3105)</f>
        <v>769.06499999999994</v>
      </c>
      <c r="S3106" s="763"/>
      <c r="T3106" s="768">
        <f ca="1">SUM(T3102:T3105)</f>
        <v>49.17</v>
      </c>
      <c r="U3106" s="531"/>
      <c r="V3106" s="531"/>
      <c r="W3106" s="531"/>
      <c r="X3106" s="531"/>
      <c r="Y3106" s="531"/>
      <c r="Z3106" s="531"/>
      <c r="AA3106" s="531"/>
      <c r="AB3106" s="531"/>
      <c r="AC3106" s="531"/>
      <c r="AD3106" s="531"/>
      <c r="AE3106" s="531"/>
      <c r="AF3106" s="531"/>
      <c r="AG3106" s="531"/>
      <c r="AH3106" s="531"/>
      <c r="AI3106" s="531"/>
      <c r="AJ3106" s="531"/>
      <c r="AK3106" s="531"/>
      <c r="AL3106" s="531"/>
      <c r="AM3106" s="531"/>
      <c r="AN3106" s="531"/>
      <c r="AO3106" s="531"/>
      <c r="AR3106" s="761" t="s">
        <v>145</v>
      </c>
      <c r="AS3106" s="764"/>
    </row>
    <row r="3107" spans="1:45" s="520" customFormat="1" ht="12" thickTop="1">
      <c r="A3107" s="51"/>
      <c r="B3107" s="41"/>
      <c r="C3107" s="51"/>
      <c r="E3107" s="42" t="s">
        <v>138</v>
      </c>
      <c r="F3107" s="42" t="s">
        <v>139</v>
      </c>
      <c r="G3107" s="51"/>
      <c r="H3107" s="51"/>
      <c r="I3107" s="51"/>
      <c r="J3107" s="51"/>
      <c r="K3107" s="51" t="s">
        <v>140</v>
      </c>
      <c r="L3107" s="51"/>
      <c r="M3107" s="51"/>
      <c r="N3107" s="51"/>
      <c r="O3107" s="52"/>
      <c r="P3107" s="51"/>
      <c r="Q3107" s="51"/>
      <c r="R3107" s="51"/>
      <c r="S3107" s="51"/>
      <c r="T3107" s="41"/>
      <c r="AG3107" s="521" t="s">
        <v>268</v>
      </c>
      <c r="AH3107" s="521" t="s">
        <v>269</v>
      </c>
      <c r="AI3107" s="521" t="s">
        <v>270</v>
      </c>
      <c r="AJ3107" s="521" t="s">
        <v>271</v>
      </c>
      <c r="AK3107" s="521" t="s">
        <v>272</v>
      </c>
      <c r="AM3107" s="745" t="s">
        <v>281</v>
      </c>
      <c r="AN3107" s="746" t="s">
        <v>282</v>
      </c>
      <c r="AO3107" s="522" t="s">
        <v>278</v>
      </c>
      <c r="AR3107" s="51"/>
      <c r="AS3107" s="42" t="s">
        <v>139</v>
      </c>
    </row>
    <row r="3108" spans="1:45" s="520" customFormat="1" ht="12" customHeight="1">
      <c r="A3108" s="747">
        <v>1</v>
      </c>
      <c r="B3108" s="523" t="s">
        <v>141</v>
      </c>
      <c r="C3108" s="748"/>
      <c r="D3108" s="749" t="s">
        <v>1623</v>
      </c>
      <c r="E3108" s="750">
        <f ca="1">IF(AND($A3108=0,$A$1="DIF"),0, ROUND(ROUND(($R3113*$S$2+($T3113*$T$2))/A3108,2)*$C$2,2))</f>
        <v>237.23</v>
      </c>
      <c r="F3108" s="751">
        <f ca="1">ROUND($A3108*$E3108,2)</f>
        <v>237.23</v>
      </c>
      <c r="G3108" s="752" t="s">
        <v>142</v>
      </c>
      <c r="H3108" s="753"/>
      <c r="I3108" s="754"/>
      <c r="J3108" s="753"/>
      <c r="K3108" s="753" t="s">
        <v>3</v>
      </c>
      <c r="L3108" s="755" t="s">
        <v>143</v>
      </c>
      <c r="M3108" s="755"/>
      <c r="N3108" s="755"/>
      <c r="O3108" s="755"/>
      <c r="P3108" s="755"/>
      <c r="Q3108" s="51"/>
      <c r="T3108" s="756" t="str">
        <f ca="1">IF(AND($R3113=0,$T3113=0),"0.00","mu :" &amp; ROUND($F3108/$C$2/($R3113+$T3113*$D$9),2))</f>
        <v>mu :1.23</v>
      </c>
      <c r="W3108" s="524"/>
      <c r="AG3108" s="481">
        <f ca="1">IF($E3108=0,0,ROUND($R3113*$S$2*$C$2/$A3108,2))</f>
        <v>86.09</v>
      </c>
      <c r="AH3108" s="481">
        <f ca="1">$AG3108*$A3108</f>
        <v>86.09</v>
      </c>
      <c r="AI3108" s="525">
        <f ca="1">$E3108-$AG3108</f>
        <v>151.13999999999999</v>
      </c>
      <c r="AJ3108" s="525">
        <f ca="1">$A3108*$AI3108</f>
        <v>151.13999999999999</v>
      </c>
      <c r="AK3108" s="526">
        <f ca="1">ROUND(($AG3108+$AI3108)*$A3108,2)</f>
        <v>237.23</v>
      </c>
      <c r="AM3108" s="527">
        <f ca="1">ROUND(R3113,2)</f>
        <v>69.92</v>
      </c>
      <c r="AN3108" s="528">
        <f ca="1">ROUND(T3113,2)</f>
        <v>4.47</v>
      </c>
      <c r="AO3108" s="529">
        <f ca="1">ROUND(AM3108+AN3108,2)*A3108</f>
        <v>74.39</v>
      </c>
      <c r="AR3108" s="747">
        <v>1</v>
      </c>
      <c r="AS3108" s="751">
        <v>253.97</v>
      </c>
    </row>
    <row r="3109" spans="1:45" s="520" customFormat="1" ht="13.2">
      <c r="A3109" s="748"/>
      <c r="B3109"/>
      <c r="C3109" s="748"/>
      <c r="D3109" s="749" t="s">
        <v>773</v>
      </c>
      <c r="F3109" s="753"/>
      <c r="G3109" s="3"/>
      <c r="H3109" s="753"/>
      <c r="I3109" s="754"/>
      <c r="J3109" s="753"/>
      <c r="K3109" s="753" t="s">
        <v>144</v>
      </c>
      <c r="L3109" s="753"/>
      <c r="M3109" s="753"/>
      <c r="N3109" s="753"/>
      <c r="O3109" s="753"/>
      <c r="P3109" s="753"/>
      <c r="Q3109" s="51"/>
      <c r="R3109" s="530"/>
      <c r="S3109" s="757"/>
      <c r="T3109" s="753"/>
      <c r="AR3109" s="748"/>
      <c r="AS3109" s="753"/>
    </row>
    <row r="3110" spans="1:45" s="886" customFormat="1" ht="13.2">
      <c r="A3110"/>
      <c r="B3110" s="910"/>
      <c r="C3110" s="910" t="s">
        <v>2597</v>
      </c>
      <c r="D3110" s="910" t="str">
        <f ca="1">CELL("Address",Elec_Rates!D$46)</f>
        <v>[E25_0062_Quintano_Foods_Elec_ELV_As_Awarded.xlsx]Elec_Rates!$D$46</v>
      </c>
      <c r="E3110" s="911"/>
      <c r="F3110" s="911"/>
      <c r="G3110" s="912" t="s">
        <v>2598</v>
      </c>
      <c r="H3110" s="912"/>
      <c r="I3110" s="912"/>
      <c r="J3110" s="912"/>
      <c r="K3110" s="913"/>
      <c r="L3110" s="911"/>
      <c r="M3110" s="911"/>
      <c r="N3110" s="911"/>
      <c r="O3110" s="914"/>
      <c r="P3110" s="911"/>
      <c r="Q3110" s="915"/>
      <c r="R3110" s="916"/>
      <c r="S3110" s="915"/>
      <c r="T3110" s="917"/>
      <c r="U3110" s="918"/>
      <c r="AR3110"/>
      <c r="AS3110" s="911"/>
    </row>
    <row r="3111" spans="1:45" s="886" customFormat="1" ht="11.4">
      <c r="A3111" s="919">
        <v>1</v>
      </c>
      <c r="B3111" s="920">
        <v>1.5</v>
      </c>
      <c r="C3111" s="920">
        <f>$A3111*$B3111</f>
        <v>1.5</v>
      </c>
      <c r="D3111" s="921" t="str">
        <f>Elec_Rates!$D$46</f>
        <v>004# Light point rate (Galvanised Conduit)</v>
      </c>
      <c r="E3111" s="921" t="s">
        <v>2894</v>
      </c>
      <c r="F3111" s="918"/>
      <c r="G3111" s="922" t="s">
        <v>2878</v>
      </c>
      <c r="H3111" s="922"/>
      <c r="I3111" s="922"/>
      <c r="J3111" s="922"/>
      <c r="K3111" s="923"/>
      <c r="L3111" s="918"/>
      <c r="M3111" s="918"/>
      <c r="N3111" s="918"/>
      <c r="O3111" s="924"/>
      <c r="P3111" s="921"/>
      <c r="Q3111" s="925">
        <f ca="1">$B3111*Elec_Rates!$R$46</f>
        <v>69.914999999999992</v>
      </c>
      <c r="R3111" s="916">
        <f ca="1">$A3111*Q3111</f>
        <v>69.914999999999992</v>
      </c>
      <c r="S3111" s="925">
        <f ca="1">$B3111*Elec_Rates!$T$46</f>
        <v>4.47</v>
      </c>
      <c r="T3111" s="917">
        <f ca="1">$A3111*S3111</f>
        <v>4.47</v>
      </c>
      <c r="U3111" s="926"/>
      <c r="AR3111" s="919">
        <v>1</v>
      </c>
      <c r="AS3111" s="918"/>
    </row>
    <row r="3112" spans="1:45" s="520" customFormat="1" ht="12">
      <c r="A3112" s="758"/>
      <c r="B3112" s="758"/>
      <c r="C3112" s="758"/>
      <c r="D3112" s="758"/>
      <c r="E3112" s="758"/>
      <c r="F3112" s="753"/>
      <c r="G3112" s="758"/>
      <c r="H3112" s="758"/>
      <c r="I3112" s="519"/>
      <c r="J3112" s="758"/>
      <c r="K3112" s="758"/>
      <c r="L3112" s="758"/>
      <c r="M3112" s="758"/>
      <c r="N3112" s="758"/>
      <c r="O3112" s="758"/>
      <c r="P3112" s="758"/>
      <c r="Q3112" s="519"/>
      <c r="R3112" s="759">
        <f>$A3112*Q3112</f>
        <v>0</v>
      </c>
      <c r="S3112" s="519"/>
      <c r="T3112" s="760">
        <f>$A3112*S3112*$T$1</f>
        <v>0</v>
      </c>
      <c r="AR3112" s="758"/>
      <c r="AS3112" s="753"/>
    </row>
    <row r="3113" spans="1:45" s="520" customFormat="1" ht="12.6" thickBot="1">
      <c r="A3113" s="761" t="s">
        <v>145</v>
      </c>
      <c r="B3113" s="762">
        <f>(R3112+T3112)</f>
        <v>0</v>
      </c>
      <c r="C3113" s="763"/>
      <c r="D3113" s="763"/>
      <c r="E3113" s="763"/>
      <c r="F3113" s="764"/>
      <c r="G3113" s="763" t="s">
        <v>146</v>
      </c>
      <c r="H3113" s="763"/>
      <c r="I3113" s="765"/>
      <c r="J3113" s="763"/>
      <c r="K3113" s="763" t="s">
        <v>3</v>
      </c>
      <c r="L3113" s="766" t="s">
        <v>143</v>
      </c>
      <c r="M3113" s="766"/>
      <c r="N3113" s="766"/>
      <c r="O3113" s="766"/>
      <c r="P3113" s="766"/>
      <c r="Q3113" s="767"/>
      <c r="R3113" s="768">
        <f ca="1">SUM(R3109:R3112)</f>
        <v>69.914999999999992</v>
      </c>
      <c r="S3113" s="763"/>
      <c r="T3113" s="768">
        <f ca="1">SUM(T3109:T3112)</f>
        <v>4.47</v>
      </c>
      <c r="U3113" s="531"/>
      <c r="V3113" s="531"/>
      <c r="W3113" s="531"/>
      <c r="X3113" s="531"/>
      <c r="Y3113" s="531"/>
      <c r="Z3113" s="531"/>
      <c r="AA3113" s="531"/>
      <c r="AB3113" s="531"/>
      <c r="AC3113" s="531"/>
      <c r="AD3113" s="531"/>
      <c r="AE3113" s="531"/>
      <c r="AF3113" s="531"/>
      <c r="AG3113" s="531"/>
      <c r="AH3113" s="531"/>
      <c r="AI3113" s="531"/>
      <c r="AJ3113" s="531"/>
      <c r="AK3113" s="531"/>
      <c r="AL3113" s="531"/>
      <c r="AM3113" s="531"/>
      <c r="AN3113" s="531"/>
      <c r="AO3113" s="531"/>
      <c r="AR3113" s="761" t="s">
        <v>145</v>
      </c>
      <c r="AS3113" s="764"/>
    </row>
    <row r="3114" spans="1:45" s="520" customFormat="1" ht="12" thickTop="1">
      <c r="A3114" s="51"/>
      <c r="B3114" s="41"/>
      <c r="C3114" s="51"/>
      <c r="E3114" s="42" t="s">
        <v>138</v>
      </c>
      <c r="F3114" s="42" t="s">
        <v>139</v>
      </c>
      <c r="G3114" s="51"/>
      <c r="H3114" s="51"/>
      <c r="I3114" s="51"/>
      <c r="J3114" s="51"/>
      <c r="K3114" s="51" t="s">
        <v>140</v>
      </c>
      <c r="L3114" s="51"/>
      <c r="M3114" s="51"/>
      <c r="N3114" s="51"/>
      <c r="O3114" s="52"/>
      <c r="P3114" s="51"/>
      <c r="Q3114" s="51"/>
      <c r="R3114" s="51"/>
      <c r="S3114" s="51"/>
      <c r="T3114" s="41"/>
      <c r="AG3114" s="521" t="s">
        <v>268</v>
      </c>
      <c r="AH3114" s="521" t="s">
        <v>269</v>
      </c>
      <c r="AI3114" s="521" t="s">
        <v>270</v>
      </c>
      <c r="AJ3114" s="521" t="s">
        <v>271</v>
      </c>
      <c r="AK3114" s="521" t="s">
        <v>272</v>
      </c>
      <c r="AM3114" s="745" t="s">
        <v>281</v>
      </c>
      <c r="AN3114" s="746" t="s">
        <v>282</v>
      </c>
      <c r="AO3114" s="522" t="s">
        <v>278</v>
      </c>
      <c r="AR3114" s="51"/>
      <c r="AS3114" s="42" t="s">
        <v>139</v>
      </c>
    </row>
    <row r="3115" spans="1:45" s="520" customFormat="1" ht="12" customHeight="1">
      <c r="A3115" s="747">
        <v>1</v>
      </c>
      <c r="B3115" s="523" t="s">
        <v>141</v>
      </c>
      <c r="C3115" s="748"/>
      <c r="D3115" s="749" t="s">
        <v>1624</v>
      </c>
      <c r="E3115" s="750">
        <f ca="1">IF(AND($A3115=0,$A$1="DIF"),0, ROUND(ROUND(($R3120*$S$2+($T3120*$T$2))/A3115,2)*$C$2,2))</f>
        <v>474.46</v>
      </c>
      <c r="F3115" s="751">
        <f ca="1">ROUND($A3115*$E3115,2)</f>
        <v>474.46</v>
      </c>
      <c r="G3115" s="752" t="s">
        <v>142</v>
      </c>
      <c r="H3115" s="753"/>
      <c r="I3115" s="754"/>
      <c r="J3115" s="753"/>
      <c r="K3115" s="753" t="s">
        <v>3</v>
      </c>
      <c r="L3115" s="755" t="s">
        <v>143</v>
      </c>
      <c r="M3115" s="755"/>
      <c r="N3115" s="755"/>
      <c r="O3115" s="755"/>
      <c r="P3115" s="755"/>
      <c r="Q3115" s="51"/>
      <c r="T3115" s="756" t="str">
        <f ca="1">IF(AND($R3120=0,$T3120=0),"0.00","mu :" &amp; ROUND($F3115/$C$2/($R3120+$T3120*$D$9),2))</f>
        <v>mu :1.23</v>
      </c>
      <c r="W3115" s="524"/>
      <c r="AG3115" s="481">
        <f ca="1">IF($E3115=0,0,ROUND($R3120*$S$2*$C$2/$A3115,2))</f>
        <v>172.18</v>
      </c>
      <c r="AH3115" s="481">
        <f ca="1">$AG3115*$A3115</f>
        <v>172.18</v>
      </c>
      <c r="AI3115" s="525">
        <f ca="1">$E3115-$AG3115</f>
        <v>302.27999999999997</v>
      </c>
      <c r="AJ3115" s="525">
        <f ca="1">$A3115*$AI3115</f>
        <v>302.27999999999997</v>
      </c>
      <c r="AK3115" s="526">
        <f ca="1">ROUND(($AG3115+$AI3115)*$A3115,2)</f>
        <v>474.46</v>
      </c>
      <c r="AM3115" s="527">
        <f ca="1">ROUND(R3120,2)</f>
        <v>139.83000000000001</v>
      </c>
      <c r="AN3115" s="528">
        <f ca="1">ROUND(T3120,2)</f>
        <v>8.94</v>
      </c>
      <c r="AO3115" s="529">
        <f ca="1">ROUND(AM3115+AN3115,2)*A3115</f>
        <v>148.77000000000001</v>
      </c>
      <c r="AR3115" s="747">
        <v>1</v>
      </c>
      <c r="AS3115" s="751">
        <v>507.94</v>
      </c>
    </row>
    <row r="3116" spans="1:45" s="520" customFormat="1" ht="13.2">
      <c r="A3116" s="748"/>
      <c r="B3116"/>
      <c r="C3116" s="748"/>
      <c r="D3116" s="749" t="s">
        <v>774</v>
      </c>
      <c r="F3116" s="753"/>
      <c r="G3116" s="3"/>
      <c r="H3116" s="753"/>
      <c r="I3116" s="754"/>
      <c r="J3116" s="753"/>
      <c r="K3116" s="753" t="s">
        <v>144</v>
      </c>
      <c r="L3116" s="753"/>
      <c r="M3116" s="753"/>
      <c r="N3116" s="753"/>
      <c r="O3116" s="753"/>
      <c r="P3116" s="753"/>
      <c r="Q3116" s="51"/>
      <c r="R3116" s="530"/>
      <c r="S3116" s="757"/>
      <c r="T3116" s="753"/>
      <c r="AR3116" s="748"/>
      <c r="AS3116" s="753"/>
    </row>
    <row r="3117" spans="1:45" s="886" customFormat="1" ht="13.2">
      <c r="A3117"/>
      <c r="B3117" s="910"/>
      <c r="C3117" s="910" t="s">
        <v>2597</v>
      </c>
      <c r="D3117" s="910" t="str">
        <f ca="1">CELL("Address",Elec_Rates!D$46)</f>
        <v>[E25_0062_Quintano_Foods_Elec_ELV_As_Awarded.xlsx]Elec_Rates!$D$46</v>
      </c>
      <c r="E3117" s="911"/>
      <c r="F3117" s="911"/>
      <c r="G3117" s="912" t="s">
        <v>2598</v>
      </c>
      <c r="H3117" s="912"/>
      <c r="I3117" s="912"/>
      <c r="J3117" s="912"/>
      <c r="K3117" s="913"/>
      <c r="L3117" s="911"/>
      <c r="M3117" s="911"/>
      <c r="N3117" s="911"/>
      <c r="O3117" s="914"/>
      <c r="P3117" s="911"/>
      <c r="Q3117" s="915"/>
      <c r="R3117" s="916"/>
      <c r="S3117" s="915"/>
      <c r="T3117" s="917"/>
      <c r="U3117" s="918"/>
      <c r="AR3117"/>
      <c r="AS3117" s="911"/>
    </row>
    <row r="3118" spans="1:45" s="886" customFormat="1" ht="11.4">
      <c r="A3118" s="919">
        <v>1</v>
      </c>
      <c r="B3118" s="920">
        <v>3</v>
      </c>
      <c r="C3118" s="920">
        <f>$A3118*$B3118</f>
        <v>3</v>
      </c>
      <c r="D3118" s="921" t="str">
        <f>Elec_Rates!$D$46</f>
        <v>004# Light point rate (Galvanised Conduit)</v>
      </c>
      <c r="E3118" s="921" t="s">
        <v>2892</v>
      </c>
      <c r="F3118" s="918"/>
      <c r="G3118" s="922" t="s">
        <v>2878</v>
      </c>
      <c r="H3118" s="922"/>
      <c r="I3118" s="922"/>
      <c r="J3118" s="922"/>
      <c r="K3118" s="923"/>
      <c r="L3118" s="918"/>
      <c r="M3118" s="918"/>
      <c r="N3118" s="918"/>
      <c r="O3118" s="924"/>
      <c r="P3118" s="921"/>
      <c r="Q3118" s="925">
        <f ca="1">$B3118*Elec_Rates!$R$46</f>
        <v>139.82999999999998</v>
      </c>
      <c r="R3118" s="916">
        <f ca="1">$A3118*Q3118</f>
        <v>139.82999999999998</v>
      </c>
      <c r="S3118" s="925">
        <f ca="1">$B3118*Elec_Rates!$T$46</f>
        <v>8.94</v>
      </c>
      <c r="T3118" s="917">
        <f ca="1">$A3118*S3118</f>
        <v>8.94</v>
      </c>
      <c r="U3118" s="926"/>
      <c r="AR3118" s="919">
        <v>1</v>
      </c>
      <c r="AS3118" s="918"/>
    </row>
    <row r="3119" spans="1:45" s="520" customFormat="1" ht="12">
      <c r="A3119" s="758"/>
      <c r="B3119" s="758"/>
      <c r="C3119" s="758"/>
      <c r="D3119" s="758"/>
      <c r="E3119" s="758"/>
      <c r="F3119" s="753"/>
      <c r="G3119" s="758"/>
      <c r="H3119" s="758"/>
      <c r="I3119" s="519"/>
      <c r="J3119" s="758"/>
      <c r="K3119" s="758"/>
      <c r="L3119" s="758"/>
      <c r="M3119" s="758"/>
      <c r="N3119" s="758"/>
      <c r="O3119" s="758"/>
      <c r="P3119" s="758"/>
      <c r="Q3119" s="519"/>
      <c r="R3119" s="759">
        <f>$A3119*Q3119</f>
        <v>0</v>
      </c>
      <c r="S3119" s="519"/>
      <c r="T3119" s="760">
        <f>$A3119*S3119*$T$1</f>
        <v>0</v>
      </c>
      <c r="AR3119" s="758"/>
      <c r="AS3119" s="753"/>
    </row>
    <row r="3120" spans="1:45" s="520" customFormat="1" ht="12.6" thickBot="1">
      <c r="A3120" s="761" t="s">
        <v>145</v>
      </c>
      <c r="B3120" s="762">
        <f>(R3119+T3119)</f>
        <v>0</v>
      </c>
      <c r="C3120" s="763"/>
      <c r="D3120" s="763"/>
      <c r="E3120" s="763"/>
      <c r="F3120" s="764"/>
      <c r="G3120" s="763" t="s">
        <v>146</v>
      </c>
      <c r="H3120" s="763"/>
      <c r="I3120" s="765"/>
      <c r="J3120" s="763"/>
      <c r="K3120" s="763" t="s">
        <v>3</v>
      </c>
      <c r="L3120" s="766" t="s">
        <v>143</v>
      </c>
      <c r="M3120" s="766"/>
      <c r="N3120" s="766"/>
      <c r="O3120" s="766"/>
      <c r="P3120" s="766"/>
      <c r="Q3120" s="767"/>
      <c r="R3120" s="768">
        <f ca="1">SUM(R3116:R3119)</f>
        <v>139.82999999999998</v>
      </c>
      <c r="S3120" s="763"/>
      <c r="T3120" s="768">
        <f ca="1">SUM(T3116:T3119)</f>
        <v>8.94</v>
      </c>
      <c r="U3120" s="531"/>
      <c r="V3120" s="531"/>
      <c r="W3120" s="531"/>
      <c r="X3120" s="531"/>
      <c r="Y3120" s="531"/>
      <c r="Z3120" s="531"/>
      <c r="AA3120" s="531"/>
      <c r="AB3120" s="531"/>
      <c r="AC3120" s="531"/>
      <c r="AD3120" s="531"/>
      <c r="AE3120" s="531"/>
      <c r="AF3120" s="531"/>
      <c r="AG3120" s="531"/>
      <c r="AH3120" s="531"/>
      <c r="AI3120" s="531"/>
      <c r="AJ3120" s="531"/>
      <c r="AK3120" s="531"/>
      <c r="AL3120" s="531"/>
      <c r="AM3120" s="531"/>
      <c r="AN3120" s="531"/>
      <c r="AO3120" s="531"/>
      <c r="AR3120" s="761" t="s">
        <v>145</v>
      </c>
      <c r="AS3120" s="764"/>
    </row>
    <row r="3121" spans="1:45" s="520" customFormat="1" ht="12" thickTop="1">
      <c r="A3121" s="51"/>
      <c r="B3121" s="41"/>
      <c r="C3121" s="51"/>
      <c r="E3121" s="42" t="s">
        <v>138</v>
      </c>
      <c r="F3121" s="42" t="s">
        <v>139</v>
      </c>
      <c r="G3121" s="51"/>
      <c r="H3121" s="51"/>
      <c r="I3121" s="51"/>
      <c r="J3121" s="51"/>
      <c r="K3121" s="51" t="s">
        <v>140</v>
      </c>
      <c r="L3121" s="51"/>
      <c r="M3121" s="51"/>
      <c r="N3121" s="51"/>
      <c r="O3121" s="52"/>
      <c r="P3121" s="51"/>
      <c r="Q3121" s="51"/>
      <c r="R3121" s="51"/>
      <c r="S3121" s="51"/>
      <c r="T3121" s="41"/>
      <c r="AG3121" s="521" t="s">
        <v>268</v>
      </c>
      <c r="AH3121" s="521" t="s">
        <v>269</v>
      </c>
      <c r="AI3121" s="521" t="s">
        <v>270</v>
      </c>
      <c r="AJ3121" s="521" t="s">
        <v>271</v>
      </c>
      <c r="AK3121" s="521" t="s">
        <v>272</v>
      </c>
      <c r="AM3121" s="745" t="s">
        <v>281</v>
      </c>
      <c r="AN3121" s="746" t="s">
        <v>282</v>
      </c>
      <c r="AO3121" s="522" t="s">
        <v>278</v>
      </c>
      <c r="AR3121" s="51"/>
      <c r="AS3121" s="42" t="s">
        <v>139</v>
      </c>
    </row>
    <row r="3122" spans="1:45" s="520" customFormat="1" ht="12" customHeight="1">
      <c r="A3122" s="747">
        <v>1</v>
      </c>
      <c r="B3122" s="523" t="s">
        <v>141</v>
      </c>
      <c r="C3122" s="748"/>
      <c r="D3122" s="749" t="s">
        <v>1625</v>
      </c>
      <c r="E3122" s="750">
        <f ca="1">IF(AND($A3122=0,$A$1="DIF"),0, ROUND(ROUND(($R3127*$S$2+($T3127*$T$2))/A3122,2)*$C$2,2))</f>
        <v>474.46</v>
      </c>
      <c r="F3122" s="751">
        <f ca="1">ROUND($A3122*$E3122,2)</f>
        <v>474.46</v>
      </c>
      <c r="G3122" s="752" t="s">
        <v>142</v>
      </c>
      <c r="H3122" s="753"/>
      <c r="I3122" s="754"/>
      <c r="J3122" s="753"/>
      <c r="K3122" s="753" t="s">
        <v>3</v>
      </c>
      <c r="L3122" s="755" t="s">
        <v>143</v>
      </c>
      <c r="M3122" s="755"/>
      <c r="N3122" s="755"/>
      <c r="O3122" s="755"/>
      <c r="P3122" s="755"/>
      <c r="Q3122" s="51"/>
      <c r="T3122" s="756" t="str">
        <f ca="1">IF(AND($R3127=0,$T3127=0),"0.00","mu :" &amp; ROUND($F3122/$C$2/($R3127+$T3127*$D$9),2))</f>
        <v>mu :1.23</v>
      </c>
      <c r="W3122" s="524"/>
      <c r="AG3122" s="481">
        <f ca="1">IF($E3122=0,0,ROUND($R3127*$S$2*$C$2/$A3122,2))</f>
        <v>172.18</v>
      </c>
      <c r="AH3122" s="481">
        <f ca="1">$AG3122*$A3122</f>
        <v>172.18</v>
      </c>
      <c r="AI3122" s="525">
        <f ca="1">$E3122-$AG3122</f>
        <v>302.27999999999997</v>
      </c>
      <c r="AJ3122" s="525">
        <f ca="1">$A3122*$AI3122</f>
        <v>302.27999999999997</v>
      </c>
      <c r="AK3122" s="526">
        <f ca="1">ROUND(($AG3122+$AI3122)*$A3122,2)</f>
        <v>474.46</v>
      </c>
      <c r="AM3122" s="527">
        <f ca="1">ROUND(R3127,2)</f>
        <v>139.83000000000001</v>
      </c>
      <c r="AN3122" s="528">
        <f ca="1">ROUND(T3127,2)</f>
        <v>8.94</v>
      </c>
      <c r="AO3122" s="529">
        <f ca="1">ROUND(AM3122+AN3122,2)*A3122</f>
        <v>148.77000000000001</v>
      </c>
      <c r="AR3122" s="747">
        <v>1</v>
      </c>
      <c r="AS3122" s="751">
        <v>507.94</v>
      </c>
    </row>
    <row r="3123" spans="1:45" s="520" customFormat="1" ht="13.2">
      <c r="A3123" s="748"/>
      <c r="B3123"/>
      <c r="C3123" s="748"/>
      <c r="D3123" s="749" t="s">
        <v>775</v>
      </c>
      <c r="F3123" s="753"/>
      <c r="G3123" s="3"/>
      <c r="H3123" s="753"/>
      <c r="I3123" s="754"/>
      <c r="J3123" s="753"/>
      <c r="K3123" s="753" t="s">
        <v>144</v>
      </c>
      <c r="L3123" s="753"/>
      <c r="M3123" s="753"/>
      <c r="N3123" s="753"/>
      <c r="O3123" s="753"/>
      <c r="P3123" s="753"/>
      <c r="Q3123" s="51"/>
      <c r="R3123" s="530"/>
      <c r="S3123" s="757"/>
      <c r="T3123" s="753"/>
      <c r="AR3123" s="748"/>
      <c r="AS3123" s="753"/>
    </row>
    <row r="3124" spans="1:45" s="886" customFormat="1" ht="13.2">
      <c r="A3124"/>
      <c r="B3124" s="910"/>
      <c r="C3124" s="910" t="s">
        <v>2597</v>
      </c>
      <c r="D3124" s="910" t="str">
        <f ca="1">CELL("Address",Elec_Rates!D$46)</f>
        <v>[E25_0062_Quintano_Foods_Elec_ELV_As_Awarded.xlsx]Elec_Rates!$D$46</v>
      </c>
      <c r="E3124" s="911"/>
      <c r="F3124" s="911"/>
      <c r="G3124" s="912" t="s">
        <v>2598</v>
      </c>
      <c r="H3124" s="912"/>
      <c r="I3124" s="912"/>
      <c r="J3124" s="912"/>
      <c r="K3124" s="913"/>
      <c r="L3124" s="911"/>
      <c r="M3124" s="911"/>
      <c r="N3124" s="911"/>
      <c r="O3124" s="914"/>
      <c r="P3124" s="911"/>
      <c r="Q3124" s="915"/>
      <c r="R3124" s="916"/>
      <c r="S3124" s="915"/>
      <c r="T3124" s="917"/>
      <c r="U3124" s="918"/>
      <c r="AR3124"/>
      <c r="AS3124" s="911"/>
    </row>
    <row r="3125" spans="1:45" s="886" customFormat="1" ht="11.4">
      <c r="A3125" s="919">
        <v>1</v>
      </c>
      <c r="B3125" s="920">
        <v>3</v>
      </c>
      <c r="C3125" s="920">
        <f>$A3125*$B3125</f>
        <v>3</v>
      </c>
      <c r="D3125" s="921" t="str">
        <f>Elec_Rates!$D$46</f>
        <v>004# Light point rate (Galvanised Conduit)</v>
      </c>
      <c r="E3125" s="921" t="s">
        <v>2892</v>
      </c>
      <c r="F3125" s="918"/>
      <c r="G3125" s="922" t="s">
        <v>2878</v>
      </c>
      <c r="H3125" s="922"/>
      <c r="I3125" s="922"/>
      <c r="J3125" s="922"/>
      <c r="K3125" s="923"/>
      <c r="L3125" s="918"/>
      <c r="M3125" s="918"/>
      <c r="N3125" s="918"/>
      <c r="O3125" s="924"/>
      <c r="P3125" s="921"/>
      <c r="Q3125" s="925">
        <f ca="1">$B3125*Elec_Rates!$R$46</f>
        <v>139.82999999999998</v>
      </c>
      <c r="R3125" s="916">
        <f ca="1">$A3125*Q3125</f>
        <v>139.82999999999998</v>
      </c>
      <c r="S3125" s="925">
        <f ca="1">$B3125*Elec_Rates!$T$46</f>
        <v>8.94</v>
      </c>
      <c r="T3125" s="917">
        <f ca="1">$A3125*S3125</f>
        <v>8.94</v>
      </c>
      <c r="U3125" s="926"/>
      <c r="AR3125" s="919">
        <v>1</v>
      </c>
      <c r="AS3125" s="918"/>
    </row>
    <row r="3126" spans="1:45" s="520" customFormat="1" ht="12">
      <c r="A3126" s="758"/>
      <c r="B3126" s="758"/>
      <c r="C3126" s="758"/>
      <c r="D3126" s="758"/>
      <c r="E3126" s="758"/>
      <c r="F3126" s="753"/>
      <c r="G3126" s="758"/>
      <c r="H3126" s="758"/>
      <c r="I3126" s="519"/>
      <c r="J3126" s="758"/>
      <c r="K3126" s="758"/>
      <c r="L3126" s="758"/>
      <c r="M3126" s="758"/>
      <c r="N3126" s="758"/>
      <c r="O3126" s="758"/>
      <c r="P3126" s="758"/>
      <c r="Q3126" s="519"/>
      <c r="R3126" s="759">
        <f>$A3126*Q3126</f>
        <v>0</v>
      </c>
      <c r="S3126" s="519"/>
      <c r="T3126" s="760">
        <f>$A3126*S3126*$T$1</f>
        <v>0</v>
      </c>
      <c r="AR3126" s="758"/>
      <c r="AS3126" s="753"/>
    </row>
    <row r="3127" spans="1:45" s="520" customFormat="1" ht="12.6" thickBot="1">
      <c r="A3127" s="761" t="s">
        <v>145</v>
      </c>
      <c r="B3127" s="762">
        <f>(R3126+T3126)</f>
        <v>0</v>
      </c>
      <c r="C3127" s="763"/>
      <c r="D3127" s="763"/>
      <c r="E3127" s="763"/>
      <c r="F3127" s="764"/>
      <c r="G3127" s="763" t="s">
        <v>146</v>
      </c>
      <c r="H3127" s="763"/>
      <c r="I3127" s="765"/>
      <c r="J3127" s="763"/>
      <c r="K3127" s="763" t="s">
        <v>3</v>
      </c>
      <c r="L3127" s="766" t="s">
        <v>143</v>
      </c>
      <c r="M3127" s="766"/>
      <c r="N3127" s="766"/>
      <c r="O3127" s="766"/>
      <c r="P3127" s="766"/>
      <c r="Q3127" s="767"/>
      <c r="R3127" s="768">
        <f ca="1">SUM(R3123:R3126)</f>
        <v>139.82999999999998</v>
      </c>
      <c r="S3127" s="763"/>
      <c r="T3127" s="768">
        <f ca="1">SUM(T3123:T3126)</f>
        <v>8.94</v>
      </c>
      <c r="U3127" s="531"/>
      <c r="V3127" s="531"/>
      <c r="W3127" s="531"/>
      <c r="X3127" s="531"/>
      <c r="Y3127" s="531"/>
      <c r="Z3127" s="531"/>
      <c r="AA3127" s="531"/>
      <c r="AB3127" s="531"/>
      <c r="AC3127" s="531"/>
      <c r="AD3127" s="531"/>
      <c r="AE3127" s="531"/>
      <c r="AF3127" s="531"/>
      <c r="AG3127" s="531"/>
      <c r="AH3127" s="531"/>
      <c r="AI3127" s="531"/>
      <c r="AJ3127" s="531"/>
      <c r="AK3127" s="531"/>
      <c r="AL3127" s="531"/>
      <c r="AM3127" s="531"/>
      <c r="AN3127" s="531"/>
      <c r="AO3127" s="531"/>
      <c r="AR3127" s="761" t="s">
        <v>145</v>
      </c>
      <c r="AS3127" s="764"/>
    </row>
    <row r="3128" spans="1:45" s="520" customFormat="1" ht="12" thickTop="1">
      <c r="A3128" s="51"/>
      <c r="B3128" s="41"/>
      <c r="C3128" s="51"/>
      <c r="E3128" s="42" t="s">
        <v>138</v>
      </c>
      <c r="F3128" s="42" t="s">
        <v>139</v>
      </c>
      <c r="G3128" s="51"/>
      <c r="H3128" s="51"/>
      <c r="I3128" s="51"/>
      <c r="J3128" s="51"/>
      <c r="K3128" s="51" t="s">
        <v>140</v>
      </c>
      <c r="L3128" s="51"/>
      <c r="M3128" s="51"/>
      <c r="N3128" s="51"/>
      <c r="O3128" s="52"/>
      <c r="P3128" s="51"/>
      <c r="Q3128" s="51"/>
      <c r="R3128" s="51"/>
      <c r="S3128" s="51"/>
      <c r="T3128" s="41"/>
      <c r="AG3128" s="521" t="s">
        <v>268</v>
      </c>
      <c r="AH3128" s="521" t="s">
        <v>269</v>
      </c>
      <c r="AI3128" s="521" t="s">
        <v>270</v>
      </c>
      <c r="AJ3128" s="521" t="s">
        <v>271</v>
      </c>
      <c r="AK3128" s="521" t="s">
        <v>272</v>
      </c>
      <c r="AM3128" s="745" t="s">
        <v>281</v>
      </c>
      <c r="AN3128" s="746" t="s">
        <v>282</v>
      </c>
      <c r="AO3128" s="522" t="s">
        <v>278</v>
      </c>
      <c r="AR3128" s="51"/>
      <c r="AS3128" s="42" t="s">
        <v>139</v>
      </c>
    </row>
    <row r="3129" spans="1:45" s="520" customFormat="1" ht="12" customHeight="1">
      <c r="A3129" s="747">
        <v>38</v>
      </c>
      <c r="B3129" s="523" t="s">
        <v>141</v>
      </c>
      <c r="C3129" s="748"/>
      <c r="D3129" s="749" t="s">
        <v>1626</v>
      </c>
      <c r="E3129" s="750">
        <f>IF(AND($A3129=0,$A$1="DIF"),0, ROUND(ROUND(($R3133*$S$2+($T3133*$T$2))/A3129,2)*$C$2,2))</f>
        <v>0</v>
      </c>
      <c r="F3129" s="751">
        <f>ROUND($A3129*$E3129,2)</f>
        <v>0</v>
      </c>
      <c r="G3129" s="752" t="s">
        <v>142</v>
      </c>
      <c r="H3129" s="753"/>
      <c r="I3129" s="754"/>
      <c r="J3129" s="753"/>
      <c r="K3129" s="753" t="s">
        <v>3</v>
      </c>
      <c r="L3129" s="755" t="s">
        <v>143</v>
      </c>
      <c r="M3129" s="755"/>
      <c r="N3129" s="755"/>
      <c r="O3129" s="755"/>
      <c r="P3129" s="755"/>
      <c r="Q3129" s="1058" t="s">
        <v>2895</v>
      </c>
      <c r="T3129" s="756" t="str">
        <f>IF(AND($R3133=0,$T3133=0),"0.00","mu :" &amp; ROUND($F3129/$C$2/($R3133+$T3133*$D$9),2))</f>
        <v>0.00</v>
      </c>
      <c r="W3129" s="524"/>
      <c r="AG3129" s="481">
        <f>IF($E3129=0,0,ROUND($R3133*$S$2*$C$2/$A3129,2))</f>
        <v>0</v>
      </c>
      <c r="AH3129" s="481">
        <f>$AG3129*$A3129</f>
        <v>0</v>
      </c>
      <c r="AI3129" s="525">
        <f>$E3129-$AG3129</f>
        <v>0</v>
      </c>
      <c r="AJ3129" s="525">
        <f>$A3129*$AI3129</f>
        <v>0</v>
      </c>
      <c r="AK3129" s="526">
        <f>ROUND(($AG3129+$AI3129)*$A3129,2)</f>
        <v>0</v>
      </c>
      <c r="AM3129" s="527">
        <f>ROUND(R3133,2)</f>
        <v>0</v>
      </c>
      <c r="AN3129" s="528">
        <f>ROUND(T3133,2)</f>
        <v>0</v>
      </c>
      <c r="AO3129" s="529">
        <f>ROUND(AM3129+AN3129,2)*A3129</f>
        <v>0</v>
      </c>
      <c r="AR3129" s="747">
        <v>37</v>
      </c>
      <c r="AS3129" s="751">
        <v>0</v>
      </c>
    </row>
    <row r="3130" spans="1:45" s="520" customFormat="1" ht="13.2">
      <c r="A3130" s="748"/>
      <c r="B3130"/>
      <c r="C3130" s="748"/>
      <c r="D3130" s="749" t="s">
        <v>776</v>
      </c>
      <c r="F3130" s="753"/>
      <c r="G3130" s="3"/>
      <c r="H3130" s="753"/>
      <c r="I3130" s="754"/>
      <c r="J3130" s="753"/>
      <c r="K3130" s="753" t="s">
        <v>144</v>
      </c>
      <c r="L3130" s="753"/>
      <c r="M3130" s="753"/>
      <c r="N3130" s="753"/>
      <c r="O3130" s="753"/>
      <c r="P3130" s="753"/>
      <c r="Q3130" s="51"/>
      <c r="R3130" s="530"/>
      <c r="S3130" s="757"/>
      <c r="T3130" s="753"/>
      <c r="AR3130" s="748"/>
      <c r="AS3130" s="753"/>
    </row>
    <row r="3131" spans="1:45" s="520" customFormat="1" ht="12">
      <c r="A3131" s="51"/>
      <c r="B3131" s="758"/>
      <c r="C3131" s="758"/>
      <c r="D3131" s="1061" t="s">
        <v>3253</v>
      </c>
      <c r="E3131" s="758"/>
      <c r="F3131" s="753"/>
      <c r="G3131" s="758"/>
      <c r="H3131" s="758"/>
      <c r="I3131" s="519"/>
      <c r="J3131" s="758"/>
      <c r="K3131" s="758"/>
      <c r="L3131" s="758"/>
      <c r="M3131" s="758"/>
      <c r="N3131" s="758"/>
      <c r="O3131" s="758"/>
      <c r="P3131" s="758"/>
      <c r="Q3131" s="519"/>
      <c r="R3131" s="759">
        <f t="shared" ref="R3131:R3132" si="102">$A3131*Q3131</f>
        <v>0</v>
      </c>
      <c r="S3131" s="519"/>
      <c r="T3131" s="760">
        <f t="shared" ref="T3131:T3132" si="103">$A3131*S3131*$T$1</f>
        <v>0</v>
      </c>
      <c r="AR3131" s="51"/>
      <c r="AS3131" s="753"/>
    </row>
    <row r="3132" spans="1:45" s="520" customFormat="1" ht="12">
      <c r="A3132" s="758"/>
      <c r="B3132" s="758"/>
      <c r="C3132" s="758"/>
      <c r="D3132" s="758"/>
      <c r="E3132" s="758"/>
      <c r="F3132" s="753"/>
      <c r="G3132" s="758"/>
      <c r="H3132" s="758"/>
      <c r="I3132" s="519"/>
      <c r="J3132" s="758"/>
      <c r="K3132" s="758"/>
      <c r="L3132" s="758"/>
      <c r="M3132" s="758"/>
      <c r="N3132" s="758"/>
      <c r="O3132" s="758"/>
      <c r="P3132" s="758"/>
      <c r="Q3132" s="519"/>
      <c r="R3132" s="759">
        <f t="shared" si="102"/>
        <v>0</v>
      </c>
      <c r="S3132" s="519"/>
      <c r="T3132" s="760">
        <f t="shared" si="103"/>
        <v>0</v>
      </c>
      <c r="AR3132" s="758"/>
      <c r="AS3132" s="753"/>
    </row>
    <row r="3133" spans="1:45" s="520" customFormat="1" ht="12.6" thickBot="1">
      <c r="A3133" s="761" t="s">
        <v>145</v>
      </c>
      <c r="B3133" s="762">
        <f>(R3132+T3132)</f>
        <v>0</v>
      </c>
      <c r="C3133" s="763"/>
      <c r="D3133" s="763"/>
      <c r="E3133" s="763"/>
      <c r="F3133" s="764"/>
      <c r="G3133" s="763" t="s">
        <v>146</v>
      </c>
      <c r="H3133" s="763"/>
      <c r="I3133" s="765"/>
      <c r="J3133" s="763"/>
      <c r="K3133" s="763" t="s">
        <v>3</v>
      </c>
      <c r="L3133" s="766" t="s">
        <v>143</v>
      </c>
      <c r="M3133" s="766"/>
      <c r="N3133" s="766"/>
      <c r="O3133" s="766"/>
      <c r="P3133" s="766"/>
      <c r="Q3133" s="767"/>
      <c r="R3133" s="768">
        <f>SUM(R3130:R3132)</f>
        <v>0</v>
      </c>
      <c r="S3133" s="763"/>
      <c r="T3133" s="768">
        <f>SUM(T3130:T3132)</f>
        <v>0</v>
      </c>
      <c r="U3133" s="531"/>
      <c r="V3133" s="531"/>
      <c r="W3133" s="531"/>
      <c r="X3133" s="531"/>
      <c r="Y3133" s="531"/>
      <c r="Z3133" s="531"/>
      <c r="AA3133" s="531"/>
      <c r="AB3133" s="531"/>
      <c r="AC3133" s="531"/>
      <c r="AD3133" s="531"/>
      <c r="AE3133" s="531"/>
      <c r="AF3133" s="531"/>
      <c r="AG3133" s="531"/>
      <c r="AH3133" s="531"/>
      <c r="AI3133" s="531"/>
      <c r="AJ3133" s="531"/>
      <c r="AK3133" s="531"/>
      <c r="AL3133" s="531"/>
      <c r="AM3133" s="531"/>
      <c r="AN3133" s="531"/>
      <c r="AO3133" s="531"/>
      <c r="AR3133" s="761" t="s">
        <v>145</v>
      </c>
      <c r="AS3133" s="764"/>
    </row>
    <row r="3134" spans="1:45" s="520" customFormat="1" ht="12" thickTop="1">
      <c r="A3134" s="51"/>
      <c r="B3134" s="41"/>
      <c r="C3134" s="51"/>
      <c r="E3134" s="42" t="s">
        <v>138</v>
      </c>
      <c r="F3134" s="42" t="s">
        <v>139</v>
      </c>
      <c r="G3134" s="51"/>
      <c r="H3134" s="51"/>
      <c r="I3134" s="51"/>
      <c r="J3134" s="51"/>
      <c r="K3134" s="51" t="s">
        <v>140</v>
      </c>
      <c r="L3134" s="51"/>
      <c r="M3134" s="51"/>
      <c r="N3134" s="51"/>
      <c r="O3134" s="52"/>
      <c r="P3134" s="51"/>
      <c r="Q3134" s="51"/>
      <c r="R3134" s="51"/>
      <c r="S3134" s="51"/>
      <c r="T3134" s="41"/>
      <c r="AG3134" s="521" t="s">
        <v>268</v>
      </c>
      <c r="AH3134" s="521" t="s">
        <v>269</v>
      </c>
      <c r="AI3134" s="521" t="s">
        <v>270</v>
      </c>
      <c r="AJ3134" s="521" t="s">
        <v>271</v>
      </c>
      <c r="AK3134" s="521" t="s">
        <v>272</v>
      </c>
      <c r="AM3134" s="745" t="s">
        <v>281</v>
      </c>
      <c r="AN3134" s="746" t="s">
        <v>282</v>
      </c>
      <c r="AO3134" s="522" t="s">
        <v>278</v>
      </c>
      <c r="AR3134" s="51"/>
      <c r="AS3134" s="42" t="s">
        <v>139</v>
      </c>
    </row>
    <row r="3135" spans="1:45" s="520" customFormat="1" ht="12" customHeight="1">
      <c r="A3135" s="747">
        <v>10</v>
      </c>
      <c r="B3135" s="523" t="s">
        <v>141</v>
      </c>
      <c r="C3135" s="748"/>
      <c r="D3135" s="749" t="s">
        <v>1627</v>
      </c>
      <c r="E3135" s="750">
        <f ca="1">IF(AND($A3135=0,$A$1="DIF"),0, ROUND(ROUND(($R3140*$S$2+($T3140*$T$2))/A3135,2)*$C$2,2))</f>
        <v>151.94</v>
      </c>
      <c r="F3135" s="751">
        <f ca="1">ROUND($A3135*$E3135,2)</f>
        <v>1519.4</v>
      </c>
      <c r="G3135" s="752" t="s">
        <v>142</v>
      </c>
      <c r="H3135" s="753"/>
      <c r="I3135" s="754"/>
      <c r="J3135" s="753"/>
      <c r="K3135" s="753" t="s">
        <v>3</v>
      </c>
      <c r="L3135" s="755" t="s">
        <v>143</v>
      </c>
      <c r="M3135" s="755"/>
      <c r="N3135" s="755"/>
      <c r="O3135" s="755"/>
      <c r="P3135" s="755"/>
      <c r="Q3135" s="51"/>
      <c r="T3135" s="756" t="str">
        <f ca="1">IF(AND($R3140=0,$T3140=0),"0.00","mu :" &amp; ROUND($F3135/$C$2/($R3140+$T3140*$D$9),2))</f>
        <v>mu :1.23</v>
      </c>
      <c r="W3135" s="524"/>
      <c r="AG3135" s="481">
        <f ca="1">IF($E3135=0,0,ROUND($R3140*$S$2*$C$2/$A3135,2))</f>
        <v>54.89</v>
      </c>
      <c r="AH3135" s="481">
        <f ca="1">$AG3135*$A3135</f>
        <v>548.9</v>
      </c>
      <c r="AI3135" s="525">
        <f ca="1">$E3135-$AG3135</f>
        <v>97.05</v>
      </c>
      <c r="AJ3135" s="525">
        <f ca="1">$A3135*$AI3135</f>
        <v>970.5</v>
      </c>
      <c r="AK3135" s="526">
        <f ca="1">ROUND(($AG3135+$AI3135)*$A3135,2)</f>
        <v>1519.4</v>
      </c>
      <c r="AM3135" s="527">
        <f ca="1">ROUND(R3140,2)</f>
        <v>445.8</v>
      </c>
      <c r="AN3135" s="528">
        <f ca="1">ROUND(T3140,2)</f>
        <v>28.7</v>
      </c>
      <c r="AO3135" s="529">
        <f ca="1">ROUND(AM3135+AN3135,2)*A3135</f>
        <v>4745</v>
      </c>
      <c r="AR3135" s="747">
        <v>10</v>
      </c>
      <c r="AS3135" s="751">
        <v>1624.2</v>
      </c>
    </row>
    <row r="3136" spans="1:45" s="520" customFormat="1" ht="13.2">
      <c r="A3136" s="748"/>
      <c r="B3136"/>
      <c r="C3136" s="748"/>
      <c r="D3136" s="749" t="s">
        <v>777</v>
      </c>
      <c r="F3136" s="753"/>
      <c r="G3136" s="3"/>
      <c r="H3136" s="753"/>
      <c r="I3136" s="754"/>
      <c r="J3136" s="753"/>
      <c r="K3136" s="753" t="s">
        <v>144</v>
      </c>
      <c r="L3136" s="753"/>
      <c r="M3136" s="753"/>
      <c r="N3136" s="753"/>
      <c r="O3136" s="753"/>
      <c r="P3136" s="753"/>
      <c r="Q3136" s="51"/>
      <c r="R3136" s="530"/>
      <c r="S3136" s="757"/>
      <c r="T3136" s="753"/>
      <c r="AR3136" s="748"/>
      <c r="AS3136" s="753"/>
    </row>
    <row r="3137" spans="1:45" s="886" customFormat="1" ht="13.2">
      <c r="A3137"/>
      <c r="B3137" s="910"/>
      <c r="C3137" s="910" t="s">
        <v>2597</v>
      </c>
      <c r="D3137" s="910" t="str">
        <f ca="1">CELL("Address",Elec_Rates!D$103)</f>
        <v>[E25_0062_Quintano_Foods_Elec_ELV_As_Awarded.xlsx]Elec_Rates!$D$103</v>
      </c>
      <c r="E3137" s="911"/>
      <c r="F3137" s="911"/>
      <c r="G3137" s="912" t="s">
        <v>2598</v>
      </c>
      <c r="H3137" s="912"/>
      <c r="I3137" s="912"/>
      <c r="J3137" s="912"/>
      <c r="K3137" s="913"/>
      <c r="L3137" s="911"/>
      <c r="M3137" s="911"/>
      <c r="N3137" s="911"/>
      <c r="O3137" s="914"/>
      <c r="P3137" s="911"/>
      <c r="Q3137" s="915"/>
      <c r="R3137" s="916"/>
      <c r="S3137" s="915"/>
      <c r="T3137" s="917"/>
      <c r="U3137" s="918"/>
      <c r="AR3137"/>
      <c r="AS3137" s="911"/>
    </row>
    <row r="3138" spans="1:45" s="886" customFormat="1" ht="11.4">
      <c r="A3138" s="919">
        <v>10</v>
      </c>
      <c r="B3138" s="920">
        <v>1</v>
      </c>
      <c r="C3138" s="920">
        <f>$A3138*$B3138</f>
        <v>10</v>
      </c>
      <c r="D3138" s="921" t="str">
        <f>Elec_Rates!$D$103</f>
        <v>008# Maintained Emergency Light point rate (Galvanised Conduit)</v>
      </c>
      <c r="E3138" s="921"/>
      <c r="F3138" s="921" t="s">
        <v>2599</v>
      </c>
      <c r="G3138" s="922" t="s">
        <v>2600</v>
      </c>
      <c r="H3138" s="922"/>
      <c r="I3138" s="922"/>
      <c r="J3138" s="922"/>
      <c r="K3138" s="923"/>
      <c r="L3138" s="918"/>
      <c r="M3138" s="918"/>
      <c r="N3138" s="918"/>
      <c r="O3138" s="924"/>
      <c r="P3138" s="921"/>
      <c r="Q3138" s="925">
        <f ca="1">$B3138*Elec_Rates!$R$103</f>
        <v>44.58</v>
      </c>
      <c r="R3138" s="916">
        <f ca="1">$A3138*Q3138</f>
        <v>445.79999999999995</v>
      </c>
      <c r="S3138" s="925">
        <f ca="1">$B3138*Elec_Rates!$T$103</f>
        <v>2.87</v>
      </c>
      <c r="T3138" s="917">
        <f ca="1">$A3138*S3138</f>
        <v>28.700000000000003</v>
      </c>
      <c r="U3138" s="926"/>
      <c r="AR3138" s="919">
        <v>10</v>
      </c>
      <c r="AS3138" s="921" t="s">
        <v>2599</v>
      </c>
    </row>
    <row r="3139" spans="1:45" s="520" customFormat="1" ht="12">
      <c r="A3139" s="758"/>
      <c r="B3139" s="758"/>
      <c r="C3139" s="758"/>
      <c r="D3139" s="758"/>
      <c r="E3139" s="758"/>
      <c r="F3139" s="753"/>
      <c r="G3139" s="758"/>
      <c r="H3139" s="758"/>
      <c r="I3139" s="519"/>
      <c r="J3139" s="758"/>
      <c r="K3139" s="758"/>
      <c r="L3139" s="758"/>
      <c r="M3139" s="758"/>
      <c r="N3139" s="758"/>
      <c r="O3139" s="758"/>
      <c r="P3139" s="758"/>
      <c r="Q3139" s="519"/>
      <c r="R3139" s="759">
        <f>$A3139*Q3139</f>
        <v>0</v>
      </c>
      <c r="S3139" s="519"/>
      <c r="T3139" s="760">
        <f>$A3139*S3139*$T$1</f>
        <v>0</v>
      </c>
      <c r="AR3139" s="758"/>
      <c r="AS3139" s="753"/>
    </row>
    <row r="3140" spans="1:45" s="520" customFormat="1" ht="12.6" thickBot="1">
      <c r="A3140" s="761" t="s">
        <v>145</v>
      </c>
      <c r="B3140" s="762">
        <f>(R3139+T3139)</f>
        <v>0</v>
      </c>
      <c r="C3140" s="763"/>
      <c r="D3140" s="763"/>
      <c r="E3140" s="763"/>
      <c r="F3140" s="764"/>
      <c r="G3140" s="763" t="s">
        <v>146</v>
      </c>
      <c r="H3140" s="763"/>
      <c r="I3140" s="765"/>
      <c r="J3140" s="763"/>
      <c r="K3140" s="763" t="s">
        <v>3</v>
      </c>
      <c r="L3140" s="766" t="s">
        <v>143</v>
      </c>
      <c r="M3140" s="766"/>
      <c r="N3140" s="766"/>
      <c r="O3140" s="766"/>
      <c r="P3140" s="766"/>
      <c r="Q3140" s="767"/>
      <c r="R3140" s="768">
        <f ca="1">SUM(R3136:R3139)</f>
        <v>445.79999999999995</v>
      </c>
      <c r="S3140" s="763"/>
      <c r="T3140" s="768">
        <f ca="1">SUM(T3136:T3139)</f>
        <v>28.700000000000003</v>
      </c>
      <c r="U3140" s="531"/>
      <c r="V3140" s="531"/>
      <c r="W3140" s="531"/>
      <c r="X3140" s="531"/>
      <c r="Y3140" s="531"/>
      <c r="Z3140" s="531"/>
      <c r="AA3140" s="531"/>
      <c r="AB3140" s="531"/>
      <c r="AC3140" s="531"/>
      <c r="AD3140" s="531"/>
      <c r="AE3140" s="531"/>
      <c r="AF3140" s="531"/>
      <c r="AG3140" s="531"/>
      <c r="AH3140" s="531"/>
      <c r="AI3140" s="531"/>
      <c r="AJ3140" s="531"/>
      <c r="AK3140" s="531"/>
      <c r="AL3140" s="531"/>
      <c r="AM3140" s="531"/>
      <c r="AN3140" s="531"/>
      <c r="AO3140" s="531"/>
      <c r="AR3140" s="761" t="s">
        <v>145</v>
      </c>
      <c r="AS3140" s="764"/>
    </row>
    <row r="3141" spans="1:45" s="520" customFormat="1" thickTop="1">
      <c r="A3141" s="51"/>
      <c r="B3141" s="51"/>
      <c r="C3141" s="3"/>
      <c r="D3141" s="3"/>
      <c r="E3141" s="51"/>
      <c r="F3141" s="51"/>
      <c r="G3141" s="51"/>
      <c r="H3141" s="51"/>
      <c r="I3141" s="51"/>
      <c r="J3141" s="51"/>
      <c r="K3141" s="51" t="s">
        <v>134</v>
      </c>
      <c r="L3141" s="51"/>
      <c r="M3141" s="51"/>
      <c r="N3141" s="51"/>
      <c r="O3141" s="52"/>
      <c r="P3141" s="51"/>
      <c r="Q3141" s="51"/>
      <c r="R3141" s="51"/>
      <c r="S3141" s="51"/>
      <c r="T3141" s="51"/>
      <c r="AR3141" s="51"/>
      <c r="AS3141" s="51"/>
    </row>
    <row r="3142" spans="1:45" s="520" customFormat="1" ht="12">
      <c r="A3142" s="51"/>
      <c r="B3142" s="51"/>
      <c r="C3142" s="51" t="s">
        <v>135</v>
      </c>
      <c r="D3142" s="37"/>
      <c r="E3142" s="51"/>
      <c r="F3142" s="51"/>
      <c r="G3142" s="51"/>
      <c r="H3142" s="51"/>
      <c r="I3142" s="51"/>
      <c r="J3142" s="51"/>
      <c r="K3142" s="51"/>
      <c r="L3142" s="51"/>
      <c r="M3142" s="51"/>
      <c r="N3142" s="51"/>
      <c r="O3142" s="52"/>
      <c r="P3142" s="51"/>
      <c r="Q3142" s="51"/>
      <c r="R3142" s="51"/>
      <c r="S3142" s="51"/>
      <c r="T3142" s="51"/>
      <c r="AR3142" s="51"/>
      <c r="AS3142" s="51"/>
    </row>
    <row r="3143" spans="1:45" s="520" customFormat="1" ht="12">
      <c r="A3143" s="51"/>
      <c r="B3143" s="51"/>
      <c r="C3143" s="51"/>
      <c r="D3143" s="37" t="s">
        <v>778</v>
      </c>
      <c r="E3143" s="51"/>
      <c r="F3143" s="51"/>
      <c r="G3143" s="51"/>
      <c r="H3143" s="51"/>
      <c r="I3143" s="51"/>
      <c r="J3143" s="51"/>
      <c r="K3143" s="51"/>
      <c r="L3143" s="51"/>
      <c r="M3143" s="51"/>
      <c r="N3143" s="51"/>
      <c r="O3143" s="52"/>
      <c r="P3143" s="51"/>
      <c r="Q3143" s="51"/>
      <c r="R3143" s="51"/>
      <c r="S3143" s="38"/>
      <c r="T3143" s="38"/>
      <c r="AR3143" s="51"/>
      <c r="AS3143" s="51"/>
    </row>
    <row r="3144" spans="1:45" s="3" customFormat="1" thickBot="1">
      <c r="A3144" s="531"/>
      <c r="O3144" s="107"/>
      <c r="AR3144" s="531"/>
    </row>
    <row r="3145" spans="1:45" s="520" customFormat="1" ht="12" thickTop="1">
      <c r="A3145" s="51"/>
      <c r="B3145" s="41"/>
      <c r="C3145" s="51"/>
      <c r="E3145" s="42" t="s">
        <v>138</v>
      </c>
      <c r="F3145" s="42" t="s">
        <v>139</v>
      </c>
      <c r="G3145" s="51"/>
      <c r="H3145" s="51"/>
      <c r="I3145" s="51"/>
      <c r="J3145" s="51"/>
      <c r="K3145" s="51" t="s">
        <v>140</v>
      </c>
      <c r="L3145" s="51"/>
      <c r="M3145" s="51"/>
      <c r="N3145" s="51"/>
      <c r="O3145" s="52"/>
      <c r="P3145" s="51"/>
      <c r="Q3145" s="51"/>
      <c r="R3145" s="51"/>
      <c r="S3145" s="51"/>
      <c r="T3145" s="41"/>
      <c r="AG3145" s="521" t="s">
        <v>268</v>
      </c>
      <c r="AH3145" s="521" t="s">
        <v>269</v>
      </c>
      <c r="AI3145" s="521" t="s">
        <v>270</v>
      </c>
      <c r="AJ3145" s="521" t="s">
        <v>271</v>
      </c>
      <c r="AK3145" s="521" t="s">
        <v>272</v>
      </c>
      <c r="AM3145" s="745" t="s">
        <v>281</v>
      </c>
      <c r="AN3145" s="746" t="s">
        <v>282</v>
      </c>
      <c r="AO3145" s="522" t="s">
        <v>278</v>
      </c>
      <c r="AR3145" s="51"/>
      <c r="AS3145" s="42" t="s">
        <v>139</v>
      </c>
    </row>
    <row r="3146" spans="1:45" s="520" customFormat="1" ht="12" customHeight="1">
      <c r="A3146" s="747">
        <v>2</v>
      </c>
      <c r="B3146" s="523" t="s">
        <v>141</v>
      </c>
      <c r="C3146" s="748"/>
      <c r="D3146" s="749" t="s">
        <v>1628</v>
      </c>
      <c r="E3146" s="750">
        <f ca="1">IF(AND($A3146=0,$A$1="DIF"),0, ROUND(ROUND(($R3151*$S$2+($T3151*$T$2))/A3146,2)*$C$2,2))</f>
        <v>48.45</v>
      </c>
      <c r="F3146" s="751">
        <f ca="1">ROUND($A3146*$E3146,2)</f>
        <v>96.9</v>
      </c>
      <c r="G3146" s="752" t="s">
        <v>142</v>
      </c>
      <c r="H3146" s="753"/>
      <c r="I3146" s="754"/>
      <c r="J3146" s="753"/>
      <c r="K3146" s="753" t="s">
        <v>3</v>
      </c>
      <c r="L3146" s="755" t="s">
        <v>143</v>
      </c>
      <c r="M3146" s="755"/>
      <c r="N3146" s="755"/>
      <c r="O3146" s="755"/>
      <c r="P3146" s="755"/>
      <c r="Q3146" s="51"/>
      <c r="T3146" s="756" t="str">
        <f ca="1">IF(AND($R3151=0,$T3151=0),"0.00","mu :" &amp; ROUND($F3146/$C$2/($R3151+$T3151*$D$9),2))</f>
        <v>mu :1.23</v>
      </c>
      <c r="W3146" s="524"/>
      <c r="AG3146" s="481">
        <f ca="1">IF($E3146=0,0,ROUND($R3151*$S$2*$C$2/$A3146,2))</f>
        <v>31.55</v>
      </c>
      <c r="AH3146" s="481">
        <f ca="1">$AG3146*$A3146</f>
        <v>63.1</v>
      </c>
      <c r="AI3146" s="525">
        <f ca="1">$E3146-$AG3146</f>
        <v>16.900000000000002</v>
      </c>
      <c r="AJ3146" s="525">
        <f ca="1">$A3146*$AI3146</f>
        <v>33.800000000000004</v>
      </c>
      <c r="AK3146" s="526">
        <f ca="1">ROUND(($AG3146+$AI3146)*$A3146,2)</f>
        <v>96.9</v>
      </c>
      <c r="AM3146" s="527">
        <f ca="1">ROUND(R3151,2)</f>
        <v>51.24</v>
      </c>
      <c r="AN3146" s="528">
        <f ca="1">ROUND(T3151,2)</f>
        <v>1</v>
      </c>
      <c r="AO3146" s="529">
        <f ca="1">ROUND(AM3146+AN3146,2)*A3146</f>
        <v>104.48</v>
      </c>
      <c r="AR3146" s="747">
        <v>2</v>
      </c>
      <c r="AS3146" s="751">
        <v>100.28</v>
      </c>
    </row>
    <row r="3147" spans="1:45" s="520" customFormat="1" ht="13.2">
      <c r="A3147" s="748"/>
      <c r="B3147"/>
      <c r="C3147" s="748"/>
      <c r="D3147" s="749" t="s">
        <v>779</v>
      </c>
      <c r="F3147" s="753"/>
      <c r="G3147" s="3"/>
      <c r="H3147" s="753"/>
      <c r="I3147" s="754"/>
      <c r="J3147" s="753"/>
      <c r="K3147" s="753" t="s">
        <v>144</v>
      </c>
      <c r="L3147" s="753"/>
      <c r="M3147" s="753"/>
      <c r="N3147" s="753"/>
      <c r="O3147" s="753"/>
      <c r="P3147" s="753"/>
      <c r="Q3147" s="51"/>
      <c r="R3147" s="530"/>
      <c r="S3147" s="757"/>
      <c r="T3147" s="753"/>
      <c r="AR3147" s="748"/>
      <c r="AS3147" s="753"/>
    </row>
    <row r="3148" spans="1:45" s="520" customFormat="1" ht="12">
      <c r="A3148" s="51"/>
      <c r="B3148" s="758"/>
      <c r="C3148" s="753" t="s">
        <v>2597</v>
      </c>
      <c r="D3148" s="753" t="str">
        <f ca="1">CELL("Address",Elec_Rates!$D$192)</f>
        <v>[E25_0062_Quintano_Foods_Elec_ELV_As_Awarded.xlsx]Elec_Rates!$D$192</v>
      </c>
      <c r="E3148" s="758"/>
      <c r="F3148" s="753"/>
      <c r="G3148" s="1049" t="s">
        <v>2598</v>
      </c>
      <c r="H3148" s="1050"/>
      <c r="I3148" s="1051"/>
      <c r="J3148" s="1050"/>
      <c r="K3148" s="1050"/>
      <c r="L3148" s="758"/>
      <c r="M3148" s="758"/>
      <c r="N3148" s="758"/>
      <c r="O3148" s="758"/>
      <c r="P3148" s="758"/>
      <c r="Q3148" s="519"/>
      <c r="R3148" s="759"/>
      <c r="S3148" s="519"/>
      <c r="T3148" s="760"/>
      <c r="AR3148" s="51"/>
      <c r="AS3148" s="753"/>
    </row>
    <row r="3149" spans="1:45" s="520" customFormat="1" ht="11.4">
      <c r="A3149" s="51">
        <v>2</v>
      </c>
      <c r="B3149" s="519">
        <v>1</v>
      </c>
      <c r="C3149" s="519">
        <f>$A3149*$B3149</f>
        <v>2</v>
      </c>
      <c r="D3149" s="1048" t="str">
        <f>Elec_Rates!$D$192</f>
        <v>018# 1-Phase 25/32A Isolator</v>
      </c>
      <c r="E3149" s="1048"/>
      <c r="F3149" s="1048" t="s">
        <v>2733</v>
      </c>
      <c r="G3149" s="1050" t="s">
        <v>2600</v>
      </c>
      <c r="H3149" s="1050"/>
      <c r="I3149" s="1051"/>
      <c r="J3149" s="1050"/>
      <c r="K3149" s="1050"/>
      <c r="L3149" s="758"/>
      <c r="M3149" s="758"/>
      <c r="N3149" s="758"/>
      <c r="O3149" s="758"/>
      <c r="P3149" s="758"/>
      <c r="Q3149" s="1052">
        <f ca="1">$B3149*Elec_Rates!$R$192</f>
        <v>25.62</v>
      </c>
      <c r="R3149" s="759">
        <f ca="1">$A3149*Q3149</f>
        <v>51.24</v>
      </c>
      <c r="S3149" s="1052">
        <f ca="1">$B3149*Elec_Rates!$T$192</f>
        <v>0.5</v>
      </c>
      <c r="T3149" s="917">
        <f ca="1">$A3149*S3149</f>
        <v>1</v>
      </c>
      <c r="AR3149" s="51">
        <v>2</v>
      </c>
      <c r="AS3149" s="1048" t="s">
        <v>2733</v>
      </c>
    </row>
    <row r="3150" spans="1:45" s="520" customFormat="1" ht="12">
      <c r="A3150" s="758"/>
      <c r="B3150" s="758"/>
      <c r="C3150" s="758"/>
      <c r="D3150" s="758"/>
      <c r="E3150" s="758"/>
      <c r="F3150" s="753"/>
      <c r="G3150" s="758"/>
      <c r="H3150" s="758"/>
      <c r="I3150" s="519"/>
      <c r="J3150" s="758"/>
      <c r="K3150" s="758"/>
      <c r="L3150" s="758"/>
      <c r="M3150" s="758"/>
      <c r="N3150" s="758"/>
      <c r="O3150" s="758"/>
      <c r="P3150" s="758"/>
      <c r="Q3150" s="519"/>
      <c r="R3150" s="759">
        <f>$A3150*Q3150</f>
        <v>0</v>
      </c>
      <c r="S3150" s="519"/>
      <c r="T3150" s="760">
        <f>$A3150*S3150*$T$1</f>
        <v>0</v>
      </c>
      <c r="AR3150" s="758"/>
      <c r="AS3150" s="753"/>
    </row>
    <row r="3151" spans="1:45" s="520" customFormat="1" ht="12.6" thickBot="1">
      <c r="A3151" s="761" t="s">
        <v>145</v>
      </c>
      <c r="B3151" s="762">
        <f>(R3150+T3150)</f>
        <v>0</v>
      </c>
      <c r="C3151" s="763"/>
      <c r="D3151" s="763"/>
      <c r="E3151" s="763"/>
      <c r="F3151" s="764"/>
      <c r="G3151" s="763" t="s">
        <v>146</v>
      </c>
      <c r="H3151" s="763"/>
      <c r="I3151" s="765"/>
      <c r="J3151" s="763"/>
      <c r="K3151" s="763" t="s">
        <v>3</v>
      </c>
      <c r="L3151" s="766" t="s">
        <v>143</v>
      </c>
      <c r="M3151" s="766"/>
      <c r="N3151" s="766"/>
      <c r="O3151" s="766"/>
      <c r="P3151" s="766"/>
      <c r="Q3151" s="767"/>
      <c r="R3151" s="768">
        <f ca="1">SUM(R3147:R3150)</f>
        <v>51.24</v>
      </c>
      <c r="S3151" s="763"/>
      <c r="T3151" s="768">
        <f ca="1">SUM(T3147:T3150)</f>
        <v>1</v>
      </c>
      <c r="U3151" s="531"/>
      <c r="V3151" s="531"/>
      <c r="W3151" s="531"/>
      <c r="X3151" s="531"/>
      <c r="Y3151" s="531"/>
      <c r="Z3151" s="531"/>
      <c r="AA3151" s="531"/>
      <c r="AB3151" s="531"/>
      <c r="AC3151" s="531"/>
      <c r="AD3151" s="531"/>
      <c r="AE3151" s="531"/>
      <c r="AF3151" s="531"/>
      <c r="AG3151" s="531"/>
      <c r="AH3151" s="531"/>
      <c r="AI3151" s="531"/>
      <c r="AJ3151" s="531"/>
      <c r="AK3151" s="531"/>
      <c r="AL3151" s="531"/>
      <c r="AM3151" s="531"/>
      <c r="AN3151" s="531"/>
      <c r="AO3151" s="531"/>
      <c r="AR3151" s="761" t="s">
        <v>145</v>
      </c>
      <c r="AS3151" s="764"/>
    </row>
    <row r="3152" spans="1:45" s="520" customFormat="1" ht="12" thickTop="1">
      <c r="A3152" s="51"/>
      <c r="B3152" s="41"/>
      <c r="C3152" s="51"/>
      <c r="E3152" s="42" t="s">
        <v>138</v>
      </c>
      <c r="F3152" s="42" t="s">
        <v>139</v>
      </c>
      <c r="G3152" s="51"/>
      <c r="H3152" s="51"/>
      <c r="I3152" s="51"/>
      <c r="J3152" s="51"/>
      <c r="K3152" s="51" t="s">
        <v>140</v>
      </c>
      <c r="L3152" s="51"/>
      <c r="M3152" s="51"/>
      <c r="N3152" s="51"/>
      <c r="O3152" s="52"/>
      <c r="P3152" s="51"/>
      <c r="Q3152" s="51"/>
      <c r="R3152" s="51"/>
      <c r="S3152" s="51"/>
      <c r="T3152" s="41"/>
      <c r="AG3152" s="521" t="s">
        <v>268</v>
      </c>
      <c r="AH3152" s="521" t="s">
        <v>269</v>
      </c>
      <c r="AI3152" s="521" t="s">
        <v>270</v>
      </c>
      <c r="AJ3152" s="521" t="s">
        <v>271</v>
      </c>
      <c r="AK3152" s="521" t="s">
        <v>272</v>
      </c>
      <c r="AM3152" s="745" t="s">
        <v>281</v>
      </c>
      <c r="AN3152" s="746" t="s">
        <v>282</v>
      </c>
      <c r="AO3152" s="522" t="s">
        <v>278</v>
      </c>
      <c r="AR3152" s="51"/>
      <c r="AS3152" s="42" t="s">
        <v>139</v>
      </c>
    </row>
    <row r="3153" spans="1:45" s="520" customFormat="1" ht="12" customHeight="1">
      <c r="A3153" s="747">
        <v>2</v>
      </c>
      <c r="B3153" s="523" t="s">
        <v>141</v>
      </c>
      <c r="C3153" s="748"/>
      <c r="D3153" s="749" t="s">
        <v>1629</v>
      </c>
      <c r="E3153" s="750">
        <f ca="1">IF(AND($A3153=0,$A$1="DIF"),0, ROUND(ROUND(($R3158*$S$2+($T3158*$T$2))/A3153,2)*$C$2,2))</f>
        <v>47.62</v>
      </c>
      <c r="F3153" s="751">
        <f ca="1">ROUND($A3153*$E3153,2)</f>
        <v>95.24</v>
      </c>
      <c r="G3153" s="752" t="s">
        <v>142</v>
      </c>
      <c r="H3153" s="753"/>
      <c r="I3153" s="754"/>
      <c r="J3153" s="753"/>
      <c r="K3153" s="753" t="s">
        <v>3</v>
      </c>
      <c r="L3153" s="755" t="s">
        <v>143</v>
      </c>
      <c r="M3153" s="755"/>
      <c r="N3153" s="755"/>
      <c r="O3153" s="755"/>
      <c r="P3153" s="755"/>
      <c r="Q3153" s="51"/>
      <c r="T3153" s="756" t="str">
        <f ca="1">IF(AND($R3158=0,$T3158=0),"0.00","mu :" &amp; ROUND($F3153/$C$2/($R3158+$T3158*$D$9),2))</f>
        <v>mu :1.23</v>
      </c>
      <c r="W3153" s="524"/>
      <c r="AG3153" s="481">
        <f ca="1">IF($E3153=0,0,ROUND($R3158*$S$2*$C$2/$A3153,2))</f>
        <v>38.49</v>
      </c>
      <c r="AH3153" s="481">
        <f ca="1">$AG3153*$A3153</f>
        <v>76.98</v>
      </c>
      <c r="AI3153" s="525">
        <f ca="1">$E3153-$AG3153</f>
        <v>9.1299999999999955</v>
      </c>
      <c r="AJ3153" s="525">
        <f ca="1">$A3153*$AI3153</f>
        <v>18.259999999999991</v>
      </c>
      <c r="AK3153" s="526">
        <f ca="1">ROUND(($AG3153+$AI3153)*$A3153,2)</f>
        <v>95.24</v>
      </c>
      <c r="AM3153" s="527">
        <f ca="1">ROUND(R3158,2)</f>
        <v>62.52</v>
      </c>
      <c r="AN3153" s="528">
        <f ca="1">ROUND(T3158,2)</f>
        <v>0.54</v>
      </c>
      <c r="AO3153" s="529">
        <f ca="1">ROUND(AM3153+AN3153,2)*A3153</f>
        <v>126.12</v>
      </c>
      <c r="AR3153" s="747">
        <v>2</v>
      </c>
      <c r="AS3153" s="751">
        <v>97.28</v>
      </c>
    </row>
    <row r="3154" spans="1:45" s="520" customFormat="1" ht="13.2">
      <c r="A3154" s="748"/>
      <c r="B3154"/>
      <c r="C3154" s="748"/>
      <c r="D3154" s="749" t="s">
        <v>780</v>
      </c>
      <c r="F3154" s="753"/>
      <c r="G3154" s="3"/>
      <c r="H3154" s="753"/>
      <c r="I3154" s="754"/>
      <c r="J3154" s="753"/>
      <c r="K3154" s="753" t="s">
        <v>144</v>
      </c>
      <c r="L3154" s="753"/>
      <c r="M3154" s="753"/>
      <c r="N3154" s="753"/>
      <c r="O3154" s="753"/>
      <c r="P3154" s="753"/>
      <c r="Q3154" s="51"/>
      <c r="R3154" s="530"/>
      <c r="S3154" s="757"/>
      <c r="T3154" s="753"/>
      <c r="AR3154" s="748"/>
      <c r="AS3154" s="753"/>
    </row>
    <row r="3155" spans="1:45" s="886" customFormat="1" ht="13.2">
      <c r="A3155"/>
      <c r="B3155" s="910"/>
      <c r="C3155" s="910" t="s">
        <v>2597</v>
      </c>
      <c r="D3155" s="910" t="str">
        <f ca="1">CELL("Address",Elec_Rates!D$156)</f>
        <v>[E25_0062_Quintano_Foods_Elec_ELV_As_Awarded.xlsx]Elec_Rates!$D$156</v>
      </c>
      <c r="E3155" s="911"/>
      <c r="F3155" s="911"/>
      <c r="G3155" s="912" t="s">
        <v>2598</v>
      </c>
      <c r="H3155" s="912"/>
      <c r="I3155" s="912"/>
      <c r="J3155" s="912"/>
      <c r="K3155" s="913"/>
      <c r="L3155" s="911"/>
      <c r="M3155" s="911"/>
      <c r="N3155" s="911"/>
      <c r="O3155" s="914"/>
      <c r="P3155" s="911"/>
      <c r="Q3155" s="915"/>
      <c r="R3155" s="916"/>
      <c r="S3155" s="915"/>
      <c r="T3155" s="917"/>
      <c r="U3155" s="918"/>
      <c r="AR3155"/>
      <c r="AS3155" s="911"/>
    </row>
    <row r="3156" spans="1:45" s="886" customFormat="1" ht="11.4">
      <c r="A3156" s="919">
        <v>2</v>
      </c>
      <c r="B3156" s="920">
        <v>1</v>
      </c>
      <c r="C3156" s="920">
        <f>$A3156*$B3156</f>
        <v>2</v>
      </c>
      <c r="D3156" s="921" t="str">
        <f>Elec_Rates!$D$156</f>
        <v>014# 3Pin 16Amp IP67 Unswitched Socket outlet</v>
      </c>
      <c r="E3156" s="921"/>
      <c r="F3156" s="921" t="s">
        <v>2599</v>
      </c>
      <c r="G3156" s="922" t="s">
        <v>2601</v>
      </c>
      <c r="H3156" s="922"/>
      <c r="I3156" s="922"/>
      <c r="J3156" s="922"/>
      <c r="K3156" s="923"/>
      <c r="L3156" s="918"/>
      <c r="M3156" s="918"/>
      <c r="N3156" s="918"/>
      <c r="O3156" s="924"/>
      <c r="P3156" s="921"/>
      <c r="Q3156" s="925">
        <f ca="1">$B3156*Elec_Rates!$R$156</f>
        <v>31.26</v>
      </c>
      <c r="R3156" s="916">
        <f ca="1">$A3156*Q3156</f>
        <v>62.52</v>
      </c>
      <c r="S3156" s="925">
        <f ca="1">$B3156*Elec_Rates!$T$156</f>
        <v>0.27</v>
      </c>
      <c r="T3156" s="917">
        <f ca="1">$A3156*S3156</f>
        <v>0.54</v>
      </c>
      <c r="U3156" s="926"/>
      <c r="AR3156" s="919">
        <v>2</v>
      </c>
      <c r="AS3156" s="921" t="s">
        <v>2599</v>
      </c>
    </row>
    <row r="3157" spans="1:45" s="520" customFormat="1" ht="12">
      <c r="A3157" s="758"/>
      <c r="B3157" s="758"/>
      <c r="C3157" s="758"/>
      <c r="D3157" s="758"/>
      <c r="E3157" s="758"/>
      <c r="F3157" s="753"/>
      <c r="G3157" s="758"/>
      <c r="H3157" s="758"/>
      <c r="I3157" s="519"/>
      <c r="J3157" s="758"/>
      <c r="K3157" s="758"/>
      <c r="L3157" s="758"/>
      <c r="M3157" s="758"/>
      <c r="N3157" s="758"/>
      <c r="O3157" s="758"/>
      <c r="P3157" s="758"/>
      <c r="Q3157" s="519"/>
      <c r="R3157" s="759">
        <f>$A3157*Q3157</f>
        <v>0</v>
      </c>
      <c r="S3157" s="519"/>
      <c r="T3157" s="760">
        <f>$A3157*S3157*$T$1</f>
        <v>0</v>
      </c>
      <c r="AR3157" s="758"/>
      <c r="AS3157" s="753"/>
    </row>
    <row r="3158" spans="1:45" s="520" customFormat="1" ht="12.6" thickBot="1">
      <c r="A3158" s="761" t="s">
        <v>145</v>
      </c>
      <c r="B3158" s="762">
        <f>(R3157+T3157)</f>
        <v>0</v>
      </c>
      <c r="C3158" s="763"/>
      <c r="D3158" s="763"/>
      <c r="E3158" s="763"/>
      <c r="F3158" s="764"/>
      <c r="G3158" s="763" t="s">
        <v>146</v>
      </c>
      <c r="H3158" s="763"/>
      <c r="I3158" s="765"/>
      <c r="J3158" s="763"/>
      <c r="K3158" s="763" t="s">
        <v>3</v>
      </c>
      <c r="L3158" s="766" t="s">
        <v>143</v>
      </c>
      <c r="M3158" s="766"/>
      <c r="N3158" s="766"/>
      <c r="O3158" s="766"/>
      <c r="P3158" s="766"/>
      <c r="Q3158" s="767"/>
      <c r="R3158" s="768">
        <f ca="1">SUM(R3154:R3157)</f>
        <v>62.52</v>
      </c>
      <c r="S3158" s="763"/>
      <c r="T3158" s="768">
        <f ca="1">SUM(T3154:T3157)</f>
        <v>0.54</v>
      </c>
      <c r="U3158" s="531"/>
      <c r="V3158" s="531"/>
      <c r="W3158" s="531"/>
      <c r="X3158" s="531"/>
      <c r="Y3158" s="531"/>
      <c r="Z3158" s="531"/>
      <c r="AA3158" s="531"/>
      <c r="AB3158" s="531"/>
      <c r="AC3158" s="531"/>
      <c r="AD3158" s="531"/>
      <c r="AE3158" s="531"/>
      <c r="AF3158" s="531"/>
      <c r="AG3158" s="531"/>
      <c r="AH3158" s="531"/>
      <c r="AI3158" s="531"/>
      <c r="AJ3158" s="531"/>
      <c r="AK3158" s="531"/>
      <c r="AL3158" s="531"/>
      <c r="AM3158" s="531"/>
      <c r="AN3158" s="531"/>
      <c r="AO3158" s="531"/>
      <c r="AR3158" s="761" t="s">
        <v>145</v>
      </c>
      <c r="AS3158" s="764"/>
    </row>
    <row r="3159" spans="1:45" s="520" customFormat="1" ht="12" thickTop="1">
      <c r="A3159" s="51"/>
      <c r="B3159" s="41"/>
      <c r="C3159" s="51"/>
      <c r="E3159" s="42" t="s">
        <v>138</v>
      </c>
      <c r="F3159" s="42" t="s">
        <v>139</v>
      </c>
      <c r="G3159" s="51"/>
      <c r="H3159" s="51"/>
      <c r="I3159" s="51"/>
      <c r="J3159" s="51"/>
      <c r="K3159" s="51" t="s">
        <v>140</v>
      </c>
      <c r="L3159" s="51"/>
      <c r="M3159" s="51"/>
      <c r="N3159" s="51"/>
      <c r="O3159" s="52"/>
      <c r="P3159" s="51"/>
      <c r="Q3159" s="51"/>
      <c r="R3159" s="51"/>
      <c r="S3159" s="51"/>
      <c r="T3159" s="41"/>
      <c r="AG3159" s="521" t="s">
        <v>268</v>
      </c>
      <c r="AH3159" s="521" t="s">
        <v>269</v>
      </c>
      <c r="AI3159" s="521" t="s">
        <v>270</v>
      </c>
      <c r="AJ3159" s="521" t="s">
        <v>271</v>
      </c>
      <c r="AK3159" s="521" t="s">
        <v>272</v>
      </c>
      <c r="AM3159" s="745" t="s">
        <v>281</v>
      </c>
      <c r="AN3159" s="746" t="s">
        <v>282</v>
      </c>
      <c r="AO3159" s="522" t="s">
        <v>278</v>
      </c>
      <c r="AR3159" s="51"/>
      <c r="AS3159" s="42" t="s">
        <v>139</v>
      </c>
    </row>
    <row r="3160" spans="1:45" s="520" customFormat="1" ht="12" customHeight="1">
      <c r="A3160" s="747">
        <v>1</v>
      </c>
      <c r="B3160" s="523" t="s">
        <v>141</v>
      </c>
      <c r="C3160" s="748"/>
      <c r="D3160" s="749" t="s">
        <v>1630</v>
      </c>
      <c r="E3160" s="750">
        <f ca="1">IF(AND($A3160=0,$A$1="DIF"),0, ROUND(ROUND(($R3165*$S$2+($T3165*$T$2))/A3160,2)*$C$2,2))</f>
        <v>47.62</v>
      </c>
      <c r="F3160" s="751">
        <f ca="1">ROUND($A3160*$E3160,2)</f>
        <v>47.62</v>
      </c>
      <c r="G3160" s="752" t="s">
        <v>142</v>
      </c>
      <c r="H3160" s="753"/>
      <c r="I3160" s="754"/>
      <c r="J3160" s="753"/>
      <c r="K3160" s="753" t="s">
        <v>3</v>
      </c>
      <c r="L3160" s="755" t="s">
        <v>143</v>
      </c>
      <c r="M3160" s="755"/>
      <c r="N3160" s="755"/>
      <c r="O3160" s="755"/>
      <c r="P3160" s="755"/>
      <c r="Q3160" s="51"/>
      <c r="T3160" s="756" t="str">
        <f ca="1">IF(AND($R3165=0,$T3165=0),"0.00","mu :" &amp; ROUND($F3160/$C$2/($R3165+$T3165*$D$9),2))</f>
        <v>mu :1.23</v>
      </c>
      <c r="W3160" s="524"/>
      <c r="AG3160" s="481">
        <f ca="1">IF($E3160=0,0,ROUND($R3165*$S$2*$C$2/$A3160,2))</f>
        <v>38.49</v>
      </c>
      <c r="AH3160" s="481">
        <f ca="1">$AG3160*$A3160</f>
        <v>38.49</v>
      </c>
      <c r="AI3160" s="525">
        <f ca="1">$E3160-$AG3160</f>
        <v>9.1299999999999955</v>
      </c>
      <c r="AJ3160" s="525">
        <f ca="1">$A3160*$AI3160</f>
        <v>9.1299999999999955</v>
      </c>
      <c r="AK3160" s="526">
        <f ca="1">ROUND(($AG3160+$AI3160)*$A3160,2)</f>
        <v>47.62</v>
      </c>
      <c r="AM3160" s="527">
        <f ca="1">ROUND(R3165,2)</f>
        <v>31.26</v>
      </c>
      <c r="AN3160" s="528">
        <f ca="1">ROUND(T3165,2)</f>
        <v>0.27</v>
      </c>
      <c r="AO3160" s="529">
        <f ca="1">ROUND(AM3160+AN3160,2)*A3160</f>
        <v>31.53</v>
      </c>
      <c r="AR3160" s="747">
        <v>1</v>
      </c>
      <c r="AS3160" s="751">
        <v>48.64</v>
      </c>
    </row>
    <row r="3161" spans="1:45" s="520" customFormat="1" ht="13.2">
      <c r="A3161" s="748"/>
      <c r="B3161"/>
      <c r="C3161" s="748"/>
      <c r="D3161" s="749" t="s">
        <v>781</v>
      </c>
      <c r="F3161" s="753"/>
      <c r="G3161" s="3"/>
      <c r="H3161" s="753"/>
      <c r="I3161" s="754"/>
      <c r="J3161" s="753"/>
      <c r="K3161" s="753" t="s">
        <v>144</v>
      </c>
      <c r="L3161" s="753"/>
      <c r="M3161" s="753"/>
      <c r="N3161" s="753"/>
      <c r="O3161" s="753"/>
      <c r="P3161" s="753"/>
      <c r="Q3161" s="51"/>
      <c r="R3161" s="530"/>
      <c r="S3161" s="757"/>
      <c r="T3161" s="753"/>
      <c r="AR3161" s="748"/>
      <c r="AS3161" s="753"/>
    </row>
    <row r="3162" spans="1:45" s="886" customFormat="1" ht="13.2">
      <c r="A3162"/>
      <c r="B3162" s="910"/>
      <c r="C3162" s="910" t="s">
        <v>2597</v>
      </c>
      <c r="D3162" s="910" t="str">
        <f ca="1">CELL("Address",Elec_Rates!D$165)</f>
        <v>[E25_0062_Quintano_Foods_Elec_ELV_As_Awarded.xlsx]Elec_Rates!$D$165</v>
      </c>
      <c r="E3162" s="911"/>
      <c r="F3162" s="911"/>
      <c r="G3162" s="912" t="s">
        <v>2598</v>
      </c>
      <c r="H3162" s="912"/>
      <c r="I3162" s="912"/>
      <c r="J3162" s="912"/>
      <c r="K3162" s="913"/>
      <c r="L3162" s="911"/>
      <c r="M3162" s="911"/>
      <c r="N3162" s="911"/>
      <c r="O3162" s="914"/>
      <c r="P3162" s="911"/>
      <c r="Q3162" s="915"/>
      <c r="R3162" s="916"/>
      <c r="S3162" s="915"/>
      <c r="T3162" s="917"/>
      <c r="U3162" s="918"/>
      <c r="AR3162"/>
      <c r="AS3162" s="911"/>
    </row>
    <row r="3163" spans="1:45" s="886" customFormat="1" ht="11.4">
      <c r="A3163" s="919">
        <v>1</v>
      </c>
      <c r="B3163" s="920">
        <v>1</v>
      </c>
      <c r="C3163" s="920">
        <f>$A3163*$B3163</f>
        <v>1</v>
      </c>
      <c r="D3163" s="921" t="str">
        <f>Elec_Rates!$D$165</f>
        <v>015# 3Pin 16Amp IP67 Interlocked Socket outlet</v>
      </c>
      <c r="E3163" s="921"/>
      <c r="F3163" s="921" t="s">
        <v>2599</v>
      </c>
      <c r="G3163" s="922" t="s">
        <v>2601</v>
      </c>
      <c r="H3163" s="922"/>
      <c r="I3163" s="922"/>
      <c r="J3163" s="922"/>
      <c r="K3163" s="923"/>
      <c r="L3163" s="918"/>
      <c r="M3163" s="918"/>
      <c r="N3163" s="918"/>
      <c r="O3163" s="924"/>
      <c r="P3163" s="921"/>
      <c r="Q3163" s="925">
        <f ca="1">$B3163*Elec_Rates!$R$165</f>
        <v>31.26</v>
      </c>
      <c r="R3163" s="916">
        <f ca="1">$A3163*Q3163</f>
        <v>31.26</v>
      </c>
      <c r="S3163" s="925">
        <f ca="1">$B3163*Elec_Rates!$T$165</f>
        <v>0.27</v>
      </c>
      <c r="T3163" s="917">
        <f ca="1">$A3163*S3163</f>
        <v>0.27</v>
      </c>
      <c r="U3163" s="926"/>
      <c r="AR3163" s="919">
        <v>1</v>
      </c>
      <c r="AS3163" s="921" t="s">
        <v>2599</v>
      </c>
    </row>
    <row r="3164" spans="1:45" s="520" customFormat="1" ht="12">
      <c r="A3164" s="758"/>
      <c r="B3164" s="758"/>
      <c r="C3164" s="758"/>
      <c r="D3164" s="758"/>
      <c r="E3164" s="758"/>
      <c r="F3164" s="753"/>
      <c r="G3164" s="758"/>
      <c r="H3164" s="758"/>
      <c r="I3164" s="519"/>
      <c r="J3164" s="758"/>
      <c r="K3164" s="758"/>
      <c r="L3164" s="758"/>
      <c r="M3164" s="758"/>
      <c r="N3164" s="758"/>
      <c r="O3164" s="758"/>
      <c r="P3164" s="758"/>
      <c r="Q3164" s="519"/>
      <c r="R3164" s="759">
        <f>$A3164*Q3164</f>
        <v>0</v>
      </c>
      <c r="S3164" s="519"/>
      <c r="T3164" s="760">
        <f>$A3164*S3164*$T$1</f>
        <v>0</v>
      </c>
      <c r="AR3164" s="758"/>
      <c r="AS3164" s="753"/>
    </row>
    <row r="3165" spans="1:45" s="520" customFormat="1" ht="12.6" thickBot="1">
      <c r="A3165" s="761" t="s">
        <v>145</v>
      </c>
      <c r="B3165" s="762">
        <f>(R3164+T3164)</f>
        <v>0</v>
      </c>
      <c r="C3165" s="763"/>
      <c r="D3165" s="763"/>
      <c r="E3165" s="763"/>
      <c r="F3165" s="764"/>
      <c r="G3165" s="763" t="s">
        <v>146</v>
      </c>
      <c r="H3165" s="763"/>
      <c r="I3165" s="765"/>
      <c r="J3165" s="763"/>
      <c r="K3165" s="763" t="s">
        <v>3</v>
      </c>
      <c r="L3165" s="766" t="s">
        <v>143</v>
      </c>
      <c r="M3165" s="766"/>
      <c r="N3165" s="766"/>
      <c r="O3165" s="766"/>
      <c r="P3165" s="766"/>
      <c r="Q3165" s="767"/>
      <c r="R3165" s="768">
        <f ca="1">SUM(R3161:R3164)</f>
        <v>31.26</v>
      </c>
      <c r="S3165" s="763"/>
      <c r="T3165" s="768">
        <f ca="1">SUM(T3161:T3164)</f>
        <v>0.27</v>
      </c>
      <c r="U3165" s="531"/>
      <c r="V3165" s="531"/>
      <c r="W3165" s="531"/>
      <c r="X3165" s="531"/>
      <c r="Y3165" s="531"/>
      <c r="Z3165" s="531"/>
      <c r="AA3165" s="531"/>
      <c r="AB3165" s="531"/>
      <c r="AC3165" s="531"/>
      <c r="AD3165" s="531"/>
      <c r="AE3165" s="531"/>
      <c r="AF3165" s="531"/>
      <c r="AG3165" s="531"/>
      <c r="AH3165" s="531"/>
      <c r="AI3165" s="531"/>
      <c r="AJ3165" s="531"/>
      <c r="AK3165" s="531"/>
      <c r="AL3165" s="531"/>
      <c r="AM3165" s="531"/>
      <c r="AN3165" s="531"/>
      <c r="AO3165" s="531"/>
      <c r="AR3165" s="761" t="s">
        <v>145</v>
      </c>
      <c r="AS3165" s="764"/>
    </row>
    <row r="3166" spans="1:45" s="520" customFormat="1" ht="12" thickTop="1">
      <c r="A3166" s="51"/>
      <c r="B3166" s="41"/>
      <c r="C3166" s="51"/>
      <c r="E3166" s="42" t="s">
        <v>138</v>
      </c>
      <c r="F3166" s="42" t="s">
        <v>139</v>
      </c>
      <c r="G3166" s="51"/>
      <c r="H3166" s="51"/>
      <c r="I3166" s="51"/>
      <c r="J3166" s="51"/>
      <c r="K3166" s="51" t="s">
        <v>140</v>
      </c>
      <c r="L3166" s="51"/>
      <c r="M3166" s="51"/>
      <c r="N3166" s="51"/>
      <c r="O3166" s="52"/>
      <c r="P3166" s="51"/>
      <c r="Q3166" s="51"/>
      <c r="R3166" s="51"/>
      <c r="S3166" s="51"/>
      <c r="T3166" s="41"/>
      <c r="AG3166" s="521" t="s">
        <v>268</v>
      </c>
      <c r="AH3166" s="521" t="s">
        <v>269</v>
      </c>
      <c r="AI3166" s="521" t="s">
        <v>270</v>
      </c>
      <c r="AJ3166" s="521" t="s">
        <v>271</v>
      </c>
      <c r="AK3166" s="521" t="s">
        <v>272</v>
      </c>
      <c r="AM3166" s="745" t="s">
        <v>281</v>
      </c>
      <c r="AN3166" s="746" t="s">
        <v>282</v>
      </c>
      <c r="AO3166" s="522" t="s">
        <v>278</v>
      </c>
      <c r="AR3166" s="51"/>
      <c r="AS3166" s="42" t="s">
        <v>139</v>
      </c>
    </row>
    <row r="3167" spans="1:45" s="520" customFormat="1" ht="12" customHeight="1">
      <c r="A3167" s="747">
        <v>1</v>
      </c>
      <c r="B3167" s="523" t="s">
        <v>299</v>
      </c>
      <c r="C3167" s="748"/>
      <c r="D3167" s="749" t="s">
        <v>1631</v>
      </c>
      <c r="E3167" s="750">
        <f>IF(AND($A3167=0,$A$1="DIF"),0, ROUND(ROUND(($R3204*$S$2+($T3204*$T$2))/A3167,2)*$C$2,2))</f>
        <v>2400.14</v>
      </c>
      <c r="F3167" s="751">
        <f>ROUND($A3167*$E3167,2)</f>
        <v>2400.14</v>
      </c>
      <c r="G3167" s="752" t="s">
        <v>142</v>
      </c>
      <c r="H3167" s="753"/>
      <c r="I3167" s="754"/>
      <c r="J3167" s="753"/>
      <c r="K3167" s="753" t="s">
        <v>3</v>
      </c>
      <c r="L3167" s="755" t="s">
        <v>143</v>
      </c>
      <c r="M3167" s="755"/>
      <c r="N3167" s="755"/>
      <c r="O3167" s="755"/>
      <c r="P3167" s="755"/>
      <c r="Q3167" s="51"/>
      <c r="T3167" s="756" t="str">
        <f>IF(AND($R3204=0,$T3204=0),"0.00","mu :" &amp; ROUND($F3167/$C$2/($R3204+$T3204*$D$9),2))</f>
        <v>mu :1.23</v>
      </c>
      <c r="W3167" s="524"/>
      <c r="AG3167" s="481">
        <f>IF($E3167=0,0,ROUND($R3204*$S$2*$C$2/$A3167,2))</f>
        <v>1477.76</v>
      </c>
      <c r="AH3167" s="481">
        <f>$AG3167*$A3167</f>
        <v>1477.76</v>
      </c>
      <c r="AI3167" s="525">
        <f>$E3167-$AG3167</f>
        <v>922.37999999999988</v>
      </c>
      <c r="AJ3167" s="525">
        <f>$A3167*$AI3167</f>
        <v>922.37999999999988</v>
      </c>
      <c r="AK3167" s="526">
        <f>ROUND(($AG3167+$AI3167)*$A3167,2)</f>
        <v>2400.14</v>
      </c>
      <c r="AM3167" s="527">
        <f>ROUND(R3204,2)</f>
        <v>1200.1199999999999</v>
      </c>
      <c r="AN3167" s="528">
        <f>ROUND(T3204,2)</f>
        <v>27.28</v>
      </c>
      <c r="AO3167" s="529">
        <f>ROUND(AM3167+AN3167,2)*A3167</f>
        <v>1227.4000000000001</v>
      </c>
      <c r="AR3167" s="747">
        <v>1</v>
      </c>
      <c r="AS3167" s="751">
        <v>2502.62</v>
      </c>
    </row>
    <row r="3168" spans="1:45" s="520" customFormat="1" ht="61.35" customHeight="1">
      <c r="A3168" s="748"/>
      <c r="B3168"/>
      <c r="C3168" s="748"/>
      <c r="D3168" s="1451" t="s">
        <v>782</v>
      </c>
      <c r="E3168" s="1452"/>
      <c r="F3168" s="1452"/>
      <c r="G3168" s="1452"/>
      <c r="H3168" s="1452"/>
      <c r="I3168" s="1452"/>
      <c r="J3168" s="1452"/>
      <c r="K3168" s="1452"/>
      <c r="L3168" s="1452"/>
      <c r="M3168" s="1452"/>
      <c r="N3168" s="1452"/>
      <c r="O3168" s="1452"/>
      <c r="P3168" s="1452"/>
      <c r="Q3168" s="1452"/>
      <c r="R3168" s="1452"/>
      <c r="S3168" s="1452"/>
      <c r="T3168" s="1452"/>
      <c r="AR3168" s="748"/>
    </row>
    <row r="3169" spans="1:45" s="520" customFormat="1" ht="12">
      <c r="A3169" s="51"/>
      <c r="B3169" s="758"/>
      <c r="C3169" s="758"/>
      <c r="D3169" s="1059" t="s">
        <v>2896</v>
      </c>
      <c r="E3169" s="758"/>
      <c r="F3169" s="753"/>
      <c r="G3169" s="758"/>
      <c r="H3169" s="758"/>
      <c r="I3169" s="519"/>
      <c r="J3169" s="758"/>
      <c r="K3169" s="758"/>
      <c r="L3169" s="758"/>
      <c r="M3169" s="758"/>
      <c r="N3169" s="758"/>
      <c r="O3169" s="758"/>
      <c r="P3169" s="758"/>
      <c r="Q3169" s="519"/>
      <c r="R3169" s="759">
        <f t="shared" ref="R3169:R3193" si="104">$A3169*Q3169</f>
        <v>0</v>
      </c>
      <c r="S3169" s="519"/>
      <c r="T3169" s="760">
        <f t="shared" ref="T3169:T3193" si="105">$A3169*S3169*$T$1</f>
        <v>0</v>
      </c>
      <c r="AR3169" s="51"/>
      <c r="AS3169" s="753"/>
    </row>
    <row r="3170" spans="1:45" s="901" customFormat="1" ht="13.2">
      <c r="A3170">
        <v>1</v>
      </c>
      <c r="B3170" s="901" t="s">
        <v>141</v>
      </c>
      <c r="D3170" s="901" t="s">
        <v>2897</v>
      </c>
      <c r="G3170" s="941" t="s">
        <v>2898</v>
      </c>
      <c r="H3170" s="942">
        <v>570</v>
      </c>
      <c r="I3170" s="901" t="s">
        <v>2607</v>
      </c>
      <c r="O3170" s="943">
        <v>2</v>
      </c>
      <c r="P3170" s="944">
        <v>38412</v>
      </c>
      <c r="Q3170" s="945">
        <v>50</v>
      </c>
      <c r="R3170" s="946">
        <f t="shared" si="104"/>
        <v>50</v>
      </c>
      <c r="S3170" s="945"/>
      <c r="T3170" s="947">
        <f t="shared" si="105"/>
        <v>0</v>
      </c>
      <c r="AR3170">
        <v>1</v>
      </c>
    </row>
    <row r="3171" spans="1:45" s="901" customFormat="1" ht="13.2">
      <c r="A3171">
        <v>1</v>
      </c>
      <c r="B3171" s="901" t="s">
        <v>320</v>
      </c>
      <c r="D3171" s="901" t="s">
        <v>2899</v>
      </c>
      <c r="G3171" s="941" t="s">
        <v>2900</v>
      </c>
      <c r="H3171" s="942">
        <v>570</v>
      </c>
      <c r="I3171" s="901" t="s">
        <v>2596</v>
      </c>
      <c r="O3171" s="943">
        <v>2</v>
      </c>
      <c r="P3171" s="944">
        <v>34700</v>
      </c>
      <c r="Q3171" s="945">
        <v>8.2200000000000006</v>
      </c>
      <c r="R3171" s="946">
        <f t="shared" si="104"/>
        <v>8.2200000000000006</v>
      </c>
      <c r="S3171" s="945"/>
      <c r="T3171" s="947">
        <f t="shared" si="105"/>
        <v>0</v>
      </c>
      <c r="AR3171">
        <v>1</v>
      </c>
    </row>
    <row r="3172" spans="1:45" s="901" customFormat="1" ht="13.2">
      <c r="A3172">
        <v>1</v>
      </c>
      <c r="B3172" s="901" t="s">
        <v>141</v>
      </c>
      <c r="D3172" s="901" t="s">
        <v>2901</v>
      </c>
      <c r="G3172" s="941" t="s">
        <v>2902</v>
      </c>
      <c r="H3172" s="942">
        <v>570</v>
      </c>
      <c r="I3172" s="901" t="s">
        <v>2903</v>
      </c>
      <c r="J3172" s="901" t="s">
        <v>2904</v>
      </c>
      <c r="O3172" s="943">
        <v>2</v>
      </c>
      <c r="P3172" s="944">
        <v>38335</v>
      </c>
      <c r="Q3172" s="945">
        <v>70</v>
      </c>
      <c r="R3172" s="946">
        <f t="shared" si="104"/>
        <v>70</v>
      </c>
      <c r="S3172" s="945"/>
      <c r="T3172" s="947">
        <f t="shared" si="105"/>
        <v>0</v>
      </c>
      <c r="AR3172">
        <v>1</v>
      </c>
    </row>
    <row r="3173" spans="1:45" s="901" customFormat="1" ht="13.2">
      <c r="A3173">
        <v>1</v>
      </c>
      <c r="B3173" s="901" t="s">
        <v>141</v>
      </c>
      <c r="D3173" s="901" t="s">
        <v>2905</v>
      </c>
      <c r="G3173" s="941" t="s">
        <v>2906</v>
      </c>
      <c r="H3173" s="942">
        <v>570</v>
      </c>
      <c r="I3173" s="901" t="s">
        <v>2736</v>
      </c>
      <c r="O3173" s="943">
        <v>2</v>
      </c>
      <c r="P3173" s="944">
        <v>38104</v>
      </c>
      <c r="Q3173" s="945">
        <v>3</v>
      </c>
      <c r="R3173" s="946">
        <f t="shared" si="104"/>
        <v>3</v>
      </c>
      <c r="S3173" s="945"/>
      <c r="T3173" s="947">
        <f t="shared" si="105"/>
        <v>0</v>
      </c>
      <c r="AR3173">
        <v>1</v>
      </c>
    </row>
    <row r="3174" spans="1:45" s="901" customFormat="1" ht="13.2">
      <c r="A3174">
        <v>1</v>
      </c>
      <c r="B3174" s="901" t="s">
        <v>141</v>
      </c>
      <c r="D3174" s="901" t="s">
        <v>2907</v>
      </c>
      <c r="G3174" s="941" t="s">
        <v>2908</v>
      </c>
      <c r="H3174" s="942">
        <v>570</v>
      </c>
      <c r="I3174" s="901" t="s">
        <v>2903</v>
      </c>
      <c r="J3174" s="901" t="s">
        <v>2909</v>
      </c>
      <c r="O3174" s="943">
        <v>2</v>
      </c>
      <c r="P3174" s="944">
        <v>38054</v>
      </c>
      <c r="Q3174" s="945">
        <v>0.77</v>
      </c>
      <c r="R3174" s="946">
        <f t="shared" si="104"/>
        <v>0.77</v>
      </c>
      <c r="S3174" s="945"/>
      <c r="T3174" s="947">
        <f t="shared" si="105"/>
        <v>0</v>
      </c>
      <c r="AR3174">
        <v>1</v>
      </c>
    </row>
    <row r="3175" spans="1:45" s="901" customFormat="1" ht="13.2">
      <c r="A3175">
        <v>1</v>
      </c>
      <c r="B3175" s="901" t="s">
        <v>141</v>
      </c>
      <c r="D3175" s="901" t="s">
        <v>2910</v>
      </c>
      <c r="G3175" s="941" t="s">
        <v>2911</v>
      </c>
      <c r="H3175" s="942">
        <v>570</v>
      </c>
      <c r="I3175" s="901" t="s">
        <v>2912</v>
      </c>
      <c r="J3175" s="901" t="s">
        <v>2913</v>
      </c>
      <c r="O3175" s="943">
        <v>2</v>
      </c>
      <c r="P3175" s="944">
        <v>38499</v>
      </c>
      <c r="Q3175" s="945">
        <v>0.7</v>
      </c>
      <c r="R3175" s="946">
        <f t="shared" si="104"/>
        <v>0.7</v>
      </c>
      <c r="S3175" s="945"/>
      <c r="T3175" s="947">
        <f t="shared" si="105"/>
        <v>0</v>
      </c>
      <c r="AR3175">
        <v>1</v>
      </c>
    </row>
    <row r="3176" spans="1:45" s="901" customFormat="1" ht="13.2">
      <c r="A3176">
        <v>1</v>
      </c>
      <c r="B3176" s="901" t="s">
        <v>141</v>
      </c>
      <c r="D3176" s="901" t="s">
        <v>2914</v>
      </c>
      <c r="G3176" s="941" t="s">
        <v>2915</v>
      </c>
      <c r="H3176" s="942">
        <v>570</v>
      </c>
      <c r="I3176" s="901" t="s">
        <v>2903</v>
      </c>
      <c r="J3176" s="901" t="s">
        <v>2916</v>
      </c>
      <c r="O3176" s="943">
        <v>2</v>
      </c>
      <c r="P3176" s="944">
        <v>38054</v>
      </c>
      <c r="Q3176" s="945">
        <v>3.21</v>
      </c>
      <c r="R3176" s="946">
        <f t="shared" si="104"/>
        <v>3.21</v>
      </c>
      <c r="S3176" s="945"/>
      <c r="T3176" s="947">
        <f t="shared" si="105"/>
        <v>0</v>
      </c>
      <c r="AR3176">
        <v>1</v>
      </c>
    </row>
    <row r="3177" spans="1:45" s="901" customFormat="1" ht="13.2">
      <c r="A3177">
        <v>1</v>
      </c>
      <c r="B3177" s="901" t="s">
        <v>141</v>
      </c>
      <c r="D3177" s="901" t="s">
        <v>2917</v>
      </c>
      <c r="G3177" s="941" t="s">
        <v>2918</v>
      </c>
      <c r="H3177" s="942">
        <v>570</v>
      </c>
      <c r="I3177" s="901" t="s">
        <v>2736</v>
      </c>
      <c r="J3177" s="901" t="s">
        <v>2919</v>
      </c>
      <c r="O3177" s="943">
        <v>2</v>
      </c>
      <c r="P3177" s="944">
        <v>36880</v>
      </c>
      <c r="Q3177" s="945">
        <v>14.56</v>
      </c>
      <c r="R3177" s="946">
        <f t="shared" si="104"/>
        <v>14.56</v>
      </c>
      <c r="S3177" s="945"/>
      <c r="T3177" s="947">
        <f t="shared" si="105"/>
        <v>0</v>
      </c>
      <c r="AR3177">
        <v>1</v>
      </c>
    </row>
    <row r="3178" spans="1:45" s="901" customFormat="1" ht="13.2">
      <c r="A3178">
        <v>1</v>
      </c>
      <c r="B3178" s="901" t="s">
        <v>141</v>
      </c>
      <c r="D3178" s="901" t="s">
        <v>2920</v>
      </c>
      <c r="G3178" s="941" t="s">
        <v>2921</v>
      </c>
      <c r="H3178" s="942">
        <v>570</v>
      </c>
      <c r="I3178" s="901" t="s">
        <v>2736</v>
      </c>
      <c r="J3178" s="901" t="s">
        <v>2922</v>
      </c>
      <c r="O3178" s="943">
        <v>2</v>
      </c>
      <c r="P3178" s="944">
        <v>36880</v>
      </c>
      <c r="Q3178" s="945">
        <v>14.56</v>
      </c>
      <c r="R3178" s="946">
        <f t="shared" si="104"/>
        <v>14.56</v>
      </c>
      <c r="S3178" s="945"/>
      <c r="T3178" s="947">
        <f t="shared" si="105"/>
        <v>0</v>
      </c>
      <c r="AR3178">
        <v>1</v>
      </c>
    </row>
    <row r="3179" spans="1:45" s="901" customFormat="1" ht="13.2">
      <c r="A3179">
        <v>1</v>
      </c>
      <c r="B3179" s="901" t="s">
        <v>141</v>
      </c>
      <c r="D3179" s="901" t="s">
        <v>2923</v>
      </c>
      <c r="G3179" s="941" t="s">
        <v>2924</v>
      </c>
      <c r="H3179" s="942">
        <v>570</v>
      </c>
      <c r="I3179" s="901" t="s">
        <v>2925</v>
      </c>
      <c r="J3179" s="901" t="s">
        <v>2926</v>
      </c>
      <c r="O3179" s="943">
        <v>2</v>
      </c>
      <c r="P3179" s="944">
        <v>38313</v>
      </c>
      <c r="Q3179" s="945">
        <v>6.96</v>
      </c>
      <c r="R3179" s="946">
        <f t="shared" si="104"/>
        <v>6.96</v>
      </c>
      <c r="S3179" s="945"/>
      <c r="T3179" s="947">
        <f t="shared" si="105"/>
        <v>0</v>
      </c>
      <c r="AR3179">
        <v>1</v>
      </c>
    </row>
    <row r="3180" spans="1:45" s="901" customFormat="1" ht="13.2">
      <c r="A3180">
        <v>1</v>
      </c>
      <c r="B3180" s="901" t="s">
        <v>141</v>
      </c>
      <c r="D3180" s="901" t="s">
        <v>2927</v>
      </c>
      <c r="G3180" s="941" t="s">
        <v>2928</v>
      </c>
      <c r="H3180" s="942">
        <v>570</v>
      </c>
      <c r="I3180" s="901" t="s">
        <v>2607</v>
      </c>
      <c r="O3180" s="943">
        <v>2</v>
      </c>
      <c r="P3180" s="944">
        <v>38413</v>
      </c>
      <c r="Q3180" s="945">
        <v>1</v>
      </c>
      <c r="R3180" s="946">
        <f t="shared" si="104"/>
        <v>1</v>
      </c>
      <c r="S3180" s="945"/>
      <c r="T3180" s="947">
        <f t="shared" si="105"/>
        <v>0</v>
      </c>
      <c r="AR3180">
        <v>1</v>
      </c>
    </row>
    <row r="3181" spans="1:45" s="901" customFormat="1" ht="13.2">
      <c r="A3181">
        <v>1</v>
      </c>
      <c r="B3181" s="901" t="s">
        <v>141</v>
      </c>
      <c r="D3181" s="901" t="s">
        <v>2929</v>
      </c>
      <c r="G3181" s="941" t="s">
        <v>2930</v>
      </c>
      <c r="H3181" s="942">
        <v>570</v>
      </c>
      <c r="I3181" s="901" t="s">
        <v>2607</v>
      </c>
      <c r="O3181" s="943">
        <v>2</v>
      </c>
      <c r="P3181" s="944"/>
      <c r="Q3181" s="945">
        <v>0.23</v>
      </c>
      <c r="R3181" s="946">
        <f t="shared" si="104"/>
        <v>0.23</v>
      </c>
      <c r="S3181" s="945"/>
      <c r="T3181" s="947">
        <f t="shared" si="105"/>
        <v>0</v>
      </c>
      <c r="AR3181">
        <v>1</v>
      </c>
    </row>
    <row r="3182" spans="1:45" s="901" customFormat="1" ht="13.2">
      <c r="A3182">
        <v>2</v>
      </c>
      <c r="B3182" s="901" t="s">
        <v>141</v>
      </c>
      <c r="D3182" s="901" t="s">
        <v>2931</v>
      </c>
      <c r="G3182" s="941" t="s">
        <v>2932</v>
      </c>
      <c r="H3182" s="942">
        <v>570</v>
      </c>
      <c r="I3182" s="901" t="s">
        <v>2736</v>
      </c>
      <c r="J3182" s="901" t="s">
        <v>2933</v>
      </c>
      <c r="O3182" s="943">
        <v>2</v>
      </c>
      <c r="P3182" s="944">
        <v>36880</v>
      </c>
      <c r="Q3182" s="945">
        <v>25</v>
      </c>
      <c r="R3182" s="946">
        <f t="shared" si="104"/>
        <v>50</v>
      </c>
      <c r="S3182" s="945"/>
      <c r="T3182" s="947">
        <f t="shared" si="105"/>
        <v>0</v>
      </c>
      <c r="AR3182">
        <v>2</v>
      </c>
    </row>
    <row r="3183" spans="1:45" s="901" customFormat="1" ht="13.2">
      <c r="A3183">
        <v>3</v>
      </c>
      <c r="B3183" s="901" t="s">
        <v>141</v>
      </c>
      <c r="D3183" s="901" t="s">
        <v>2934</v>
      </c>
      <c r="G3183" s="941" t="s">
        <v>2935</v>
      </c>
      <c r="H3183" s="942">
        <v>570</v>
      </c>
      <c r="I3183" s="901" t="s">
        <v>2607</v>
      </c>
      <c r="O3183" s="943">
        <v>2</v>
      </c>
      <c r="P3183" s="944">
        <v>38737</v>
      </c>
      <c r="Q3183" s="945">
        <v>0.35</v>
      </c>
      <c r="R3183" s="946">
        <f t="shared" si="104"/>
        <v>1.0499999999999998</v>
      </c>
      <c r="S3183" s="945"/>
      <c r="T3183" s="947">
        <f t="shared" si="105"/>
        <v>0</v>
      </c>
      <c r="AR3183">
        <v>3</v>
      </c>
    </row>
    <row r="3184" spans="1:45" s="901" customFormat="1" ht="13.2">
      <c r="A3184">
        <v>10</v>
      </c>
      <c r="B3184" s="901" t="s">
        <v>141</v>
      </c>
      <c r="D3184" s="901" t="s">
        <v>2936</v>
      </c>
      <c r="G3184" s="941" t="s">
        <v>2937</v>
      </c>
      <c r="H3184" s="942">
        <v>570</v>
      </c>
      <c r="I3184" s="901" t="s">
        <v>2607</v>
      </c>
      <c r="O3184" s="943">
        <v>2</v>
      </c>
      <c r="P3184" s="944"/>
      <c r="Q3184" s="945">
        <v>0.7</v>
      </c>
      <c r="R3184" s="946">
        <f t="shared" si="104"/>
        <v>7</v>
      </c>
      <c r="S3184" s="945"/>
      <c r="T3184" s="947">
        <f t="shared" si="105"/>
        <v>0</v>
      </c>
      <c r="AR3184">
        <v>10</v>
      </c>
    </row>
    <row r="3185" spans="1:45" s="901" customFormat="1" ht="13.2">
      <c r="A3185">
        <v>1</v>
      </c>
      <c r="B3185" s="901" t="s">
        <v>141</v>
      </c>
      <c r="D3185" s="901" t="s">
        <v>2831</v>
      </c>
      <c r="F3185" s="901" t="s">
        <v>3696</v>
      </c>
      <c r="G3185" s="941" t="s">
        <v>2832</v>
      </c>
      <c r="H3185" s="942">
        <v>570</v>
      </c>
      <c r="I3185" s="901" t="s">
        <v>2607</v>
      </c>
      <c r="O3185" s="943">
        <v>2</v>
      </c>
      <c r="P3185" s="944">
        <v>38443</v>
      </c>
      <c r="Q3185" s="945">
        <f>8*52.93</f>
        <v>423.44</v>
      </c>
      <c r="R3185" s="946">
        <f t="shared" si="104"/>
        <v>423.44</v>
      </c>
      <c r="S3185" s="945"/>
      <c r="T3185" s="947">
        <f t="shared" si="105"/>
        <v>0</v>
      </c>
      <c r="AR3185">
        <v>1</v>
      </c>
      <c r="AS3185" s="901" t="s">
        <v>3696</v>
      </c>
    </row>
    <row r="3186" spans="1:45" s="901" customFormat="1" ht="13.2">
      <c r="A3186">
        <v>1</v>
      </c>
      <c r="B3186" s="901" t="s">
        <v>141</v>
      </c>
      <c r="D3186" s="901" t="s">
        <v>2831</v>
      </c>
      <c r="F3186" s="901" t="s">
        <v>2938</v>
      </c>
      <c r="G3186" s="941" t="s">
        <v>2832</v>
      </c>
      <c r="H3186" s="942">
        <v>570</v>
      </c>
      <c r="I3186" s="901" t="s">
        <v>2607</v>
      </c>
      <c r="O3186" s="943">
        <v>2</v>
      </c>
      <c r="P3186" s="944">
        <v>38443</v>
      </c>
      <c r="Q3186" s="1063"/>
      <c r="R3186" s="946">
        <f t="shared" si="104"/>
        <v>0</v>
      </c>
      <c r="S3186" s="945">
        <v>4</v>
      </c>
      <c r="T3186" s="947">
        <f t="shared" si="105"/>
        <v>3.6</v>
      </c>
      <c r="U3186" s="901" t="s">
        <v>2764</v>
      </c>
      <c r="AR3186">
        <v>1</v>
      </c>
      <c r="AS3186" s="901" t="s">
        <v>2938</v>
      </c>
    </row>
    <row r="3187" spans="1:45" s="901" customFormat="1" ht="13.2">
      <c r="A3187">
        <v>1</v>
      </c>
      <c r="B3187" s="901" t="s">
        <v>141</v>
      </c>
      <c r="D3187" s="901" t="s">
        <v>2758</v>
      </c>
      <c r="G3187" s="941" t="s">
        <v>2760</v>
      </c>
      <c r="H3187" s="942">
        <v>501</v>
      </c>
      <c r="I3187" s="901" t="s">
        <v>2607</v>
      </c>
      <c r="K3187" s="901" t="s">
        <v>2761</v>
      </c>
      <c r="O3187" s="943">
        <v>1</v>
      </c>
      <c r="P3187" s="944"/>
      <c r="Q3187" s="945">
        <v>10</v>
      </c>
      <c r="R3187" s="946">
        <f t="shared" si="104"/>
        <v>10</v>
      </c>
      <c r="S3187" s="945"/>
      <c r="T3187" s="947">
        <f t="shared" si="105"/>
        <v>0</v>
      </c>
      <c r="AR3187">
        <v>1</v>
      </c>
    </row>
    <row r="3188" spans="1:45" s="901" customFormat="1" ht="13.2">
      <c r="A3188"/>
      <c r="D3188" s="1059" t="s">
        <v>3018</v>
      </c>
      <c r="G3188" s="941"/>
      <c r="H3188" s="942"/>
      <c r="O3188" s="943"/>
      <c r="P3188" s="944"/>
      <c r="Q3188" s="945"/>
      <c r="R3188" s="946">
        <f t="shared" si="104"/>
        <v>0</v>
      </c>
      <c r="S3188" s="945"/>
      <c r="T3188" s="947">
        <f t="shared" si="105"/>
        <v>0</v>
      </c>
      <c r="AR3188"/>
    </row>
    <row r="3189" spans="1:45" s="901" customFormat="1" ht="13.2">
      <c r="A3189">
        <v>2</v>
      </c>
      <c r="B3189" s="901" t="s">
        <v>141</v>
      </c>
      <c r="D3189" s="901" t="s">
        <v>2939</v>
      </c>
      <c r="G3189" s="941" t="s">
        <v>2940</v>
      </c>
      <c r="H3189" s="942">
        <v>570</v>
      </c>
      <c r="I3189" s="901" t="s">
        <v>2941</v>
      </c>
      <c r="J3189" s="901" t="s">
        <v>2942</v>
      </c>
      <c r="O3189" s="943">
        <v>2</v>
      </c>
      <c r="P3189" s="944">
        <v>38400</v>
      </c>
      <c r="Q3189" s="945">
        <v>50</v>
      </c>
      <c r="R3189" s="946">
        <f t="shared" si="104"/>
        <v>100</v>
      </c>
      <c r="S3189" s="945">
        <v>0.25</v>
      </c>
      <c r="T3189" s="947">
        <f t="shared" si="105"/>
        <v>0.45</v>
      </c>
      <c r="AR3189">
        <v>2</v>
      </c>
    </row>
    <row r="3190" spans="1:45" s="901" customFormat="1" ht="13.2">
      <c r="A3190">
        <v>4</v>
      </c>
      <c r="B3190" s="901" t="s">
        <v>141</v>
      </c>
      <c r="D3190" s="901" t="s">
        <v>2739</v>
      </c>
      <c r="G3190" s="941" t="s">
        <v>2740</v>
      </c>
      <c r="H3190" s="942">
        <v>875</v>
      </c>
      <c r="I3190" s="901" t="s">
        <v>2607</v>
      </c>
      <c r="K3190" s="901" t="s">
        <v>2741</v>
      </c>
      <c r="O3190" s="943">
        <v>1</v>
      </c>
      <c r="P3190" s="944">
        <v>34669</v>
      </c>
      <c r="Q3190" s="945">
        <v>0.02</v>
      </c>
      <c r="R3190" s="946">
        <f t="shared" si="104"/>
        <v>0.08</v>
      </c>
      <c r="S3190" s="945"/>
      <c r="T3190" s="947">
        <f t="shared" si="105"/>
        <v>0</v>
      </c>
      <c r="AR3190">
        <v>4</v>
      </c>
    </row>
    <row r="3191" spans="1:45" s="901" customFormat="1" ht="13.2">
      <c r="A3191">
        <v>4</v>
      </c>
      <c r="B3191" s="901" t="s">
        <v>141</v>
      </c>
      <c r="D3191" s="901" t="s">
        <v>2742</v>
      </c>
      <c r="G3191" s="941" t="s">
        <v>2743</v>
      </c>
      <c r="H3191" s="942">
        <v>875</v>
      </c>
      <c r="I3191" s="901" t="s">
        <v>2607</v>
      </c>
      <c r="K3191" s="901" t="s">
        <v>2744</v>
      </c>
      <c r="O3191" s="943">
        <v>1</v>
      </c>
      <c r="P3191" s="944">
        <v>34669</v>
      </c>
      <c r="Q3191" s="945">
        <v>0.02</v>
      </c>
      <c r="R3191" s="946">
        <f t="shared" si="104"/>
        <v>0.08</v>
      </c>
      <c r="S3191" s="945"/>
      <c r="T3191" s="947">
        <f t="shared" si="105"/>
        <v>0</v>
      </c>
      <c r="AR3191">
        <v>4</v>
      </c>
    </row>
    <row r="3192" spans="1:45" s="901" customFormat="1" ht="13.2">
      <c r="A3192">
        <v>90</v>
      </c>
      <c r="B3192" s="901" t="s">
        <v>320</v>
      </c>
      <c r="D3192" s="901" t="s">
        <v>3697</v>
      </c>
      <c r="G3192" s="941" t="s">
        <v>2943</v>
      </c>
      <c r="H3192" s="942">
        <v>617</v>
      </c>
      <c r="I3192" s="901" t="s">
        <v>2607</v>
      </c>
      <c r="O3192" s="943">
        <v>2</v>
      </c>
      <c r="P3192" s="944">
        <v>38315</v>
      </c>
      <c r="Q3192" s="945">
        <v>1.5</v>
      </c>
      <c r="R3192" s="946">
        <f t="shared" si="104"/>
        <v>135</v>
      </c>
      <c r="S3192" s="945">
        <v>7.0000000000000007E-2</v>
      </c>
      <c r="T3192" s="947">
        <f t="shared" si="105"/>
        <v>5.6700000000000008</v>
      </c>
      <c r="AR3192">
        <v>90</v>
      </c>
    </row>
    <row r="3193" spans="1:45" s="901" customFormat="1" ht="13.2">
      <c r="A3193" s="116">
        <v>75</v>
      </c>
      <c r="B3193" s="901" t="s">
        <v>320</v>
      </c>
      <c r="D3193" s="901" t="s">
        <v>2944</v>
      </c>
      <c r="G3193" s="941" t="s">
        <v>2945</v>
      </c>
      <c r="H3193" s="942">
        <v>690</v>
      </c>
      <c r="I3193" s="901" t="s">
        <v>2946</v>
      </c>
      <c r="J3193" s="901" t="s">
        <v>2947</v>
      </c>
      <c r="O3193" s="943">
        <v>1</v>
      </c>
      <c r="P3193" s="944">
        <v>34669</v>
      </c>
      <c r="Q3193" s="1197">
        <v>3.8</v>
      </c>
      <c r="R3193" s="946">
        <f t="shared" si="104"/>
        <v>285</v>
      </c>
      <c r="S3193" s="945">
        <v>0.25</v>
      </c>
      <c r="T3193" s="947">
        <f t="shared" si="105"/>
        <v>16.875</v>
      </c>
      <c r="AR3193" s="116">
        <v>75</v>
      </c>
    </row>
    <row r="3194" spans="1:45" s="901" customFormat="1" ht="13.2">
      <c r="A3194" s="116"/>
      <c r="D3194" s="1059" t="s">
        <v>2950</v>
      </c>
      <c r="G3194" s="941"/>
      <c r="H3194" s="942"/>
      <c r="O3194" s="943"/>
      <c r="P3194" s="944"/>
      <c r="Q3194" s="945"/>
      <c r="R3194" s="946"/>
      <c r="S3194" s="945"/>
      <c r="T3194" s="947"/>
      <c r="AR3194" s="116"/>
    </row>
    <row r="3195" spans="1:45" s="901" customFormat="1" ht="13.2">
      <c r="A3195" s="116">
        <v>2</v>
      </c>
      <c r="B3195" s="901" t="s">
        <v>320</v>
      </c>
      <c r="D3195" s="901" t="s">
        <v>2951</v>
      </c>
      <c r="G3195" s="941" t="s">
        <v>2952</v>
      </c>
      <c r="H3195" s="942">
        <v>690</v>
      </c>
      <c r="I3195" s="901" t="s">
        <v>2946</v>
      </c>
      <c r="J3195" s="901" t="s">
        <v>2953</v>
      </c>
      <c r="O3195" s="943">
        <v>1</v>
      </c>
      <c r="P3195" s="944">
        <v>34669</v>
      </c>
      <c r="Q3195" s="1197">
        <v>3.03</v>
      </c>
      <c r="R3195" s="946">
        <f>$A3195*Q3195</f>
        <v>6.06</v>
      </c>
      <c r="S3195" s="945">
        <v>0.2</v>
      </c>
      <c r="T3195" s="947">
        <f>$A3195*S3195*$T$1</f>
        <v>0.36000000000000004</v>
      </c>
      <c r="AR3195" s="116">
        <v>2</v>
      </c>
    </row>
    <row r="3196" spans="1:45" s="901" customFormat="1" ht="13.2">
      <c r="A3196">
        <v>10</v>
      </c>
      <c r="B3196" s="901" t="s">
        <v>320</v>
      </c>
      <c r="D3196" s="901" t="s">
        <v>2954</v>
      </c>
      <c r="F3196" s="901" t="s">
        <v>3299</v>
      </c>
      <c r="G3196" s="941" t="s">
        <v>2955</v>
      </c>
      <c r="H3196" s="942">
        <v>615</v>
      </c>
      <c r="I3196" s="901" t="s">
        <v>2272</v>
      </c>
      <c r="K3196" s="901" t="s">
        <v>2956</v>
      </c>
      <c r="O3196" s="943">
        <v>2</v>
      </c>
      <c r="P3196" s="944">
        <v>38988</v>
      </c>
      <c r="Q3196" s="1194">
        <f>0.2*0.95</f>
        <v>0.19</v>
      </c>
      <c r="R3196" s="946">
        <f>$A3196*Q3196</f>
        <v>1.9</v>
      </c>
      <c r="S3196" s="945">
        <v>1.4999999999999999E-2</v>
      </c>
      <c r="T3196" s="947">
        <f>$A3196*S3196*$T$1</f>
        <v>0.13500000000000001</v>
      </c>
      <c r="AR3196">
        <v>10</v>
      </c>
      <c r="AS3196" s="901" t="s">
        <v>3299</v>
      </c>
    </row>
    <row r="3197" spans="1:45" s="901" customFormat="1" ht="13.2">
      <c r="A3197"/>
      <c r="D3197" s="1059" t="s">
        <v>2957</v>
      </c>
      <c r="G3197" s="941"/>
      <c r="H3197" s="942"/>
      <c r="O3197" s="943"/>
      <c r="P3197" s="944"/>
      <c r="Q3197" s="945"/>
      <c r="R3197" s="946"/>
      <c r="S3197" s="945"/>
      <c r="T3197" s="947"/>
      <c r="AR3197"/>
    </row>
    <row r="3198" spans="1:45" s="901" customFormat="1" ht="13.2">
      <c r="A3198">
        <v>3</v>
      </c>
      <c r="B3198" s="901" t="s">
        <v>320</v>
      </c>
      <c r="D3198" s="901" t="s">
        <v>2958</v>
      </c>
      <c r="G3198" s="941" t="s">
        <v>2959</v>
      </c>
      <c r="H3198" s="942">
        <v>617</v>
      </c>
      <c r="I3198" s="901" t="s">
        <v>2607</v>
      </c>
      <c r="O3198" s="943">
        <v>2</v>
      </c>
      <c r="P3198" s="944">
        <v>40767</v>
      </c>
      <c r="Q3198" s="945">
        <v>1.5</v>
      </c>
      <c r="R3198" s="946">
        <f t="shared" ref="R3198:R3203" si="106">$A3198*Q3198</f>
        <v>4.5</v>
      </c>
      <c r="S3198" s="945">
        <v>7.0000000000000007E-2</v>
      </c>
      <c r="T3198" s="947">
        <f t="shared" ref="T3198:T3203" si="107">$A3198*S3198*$T$1</f>
        <v>0.18900000000000003</v>
      </c>
      <c r="AR3198">
        <v>3</v>
      </c>
    </row>
    <row r="3199" spans="1:45" s="901" customFormat="1" ht="13.2">
      <c r="A3199">
        <v>10</v>
      </c>
      <c r="B3199" s="901" t="s">
        <v>141</v>
      </c>
      <c r="D3199" s="901" t="s">
        <v>2960</v>
      </c>
      <c r="G3199" s="941" t="s">
        <v>2961</v>
      </c>
      <c r="H3199" s="942">
        <v>617</v>
      </c>
      <c r="I3199" s="901" t="s">
        <v>2607</v>
      </c>
      <c r="O3199" s="943">
        <v>2</v>
      </c>
      <c r="P3199" s="944">
        <v>40767</v>
      </c>
      <c r="Q3199" s="1194">
        <f>0.2*0.95</f>
        <v>0.19</v>
      </c>
      <c r="R3199" s="946">
        <f t="shared" si="106"/>
        <v>1.9</v>
      </c>
      <c r="S3199" s="945"/>
      <c r="T3199" s="947">
        <f t="shared" si="107"/>
        <v>0</v>
      </c>
      <c r="AR3199">
        <v>10</v>
      </c>
    </row>
    <row r="3200" spans="1:45" s="901" customFormat="1" ht="13.2">
      <c r="A3200">
        <v>10</v>
      </c>
      <c r="B3200" s="901" t="s">
        <v>141</v>
      </c>
      <c r="D3200" s="901" t="s">
        <v>2739</v>
      </c>
      <c r="G3200" s="941" t="s">
        <v>2740</v>
      </c>
      <c r="H3200" s="942">
        <v>875</v>
      </c>
      <c r="I3200" s="901" t="s">
        <v>2607</v>
      </c>
      <c r="K3200" s="901" t="s">
        <v>2741</v>
      </c>
      <c r="O3200" s="943">
        <v>1</v>
      </c>
      <c r="P3200" s="944">
        <v>34669</v>
      </c>
      <c r="Q3200" s="945">
        <v>0.02</v>
      </c>
      <c r="R3200" s="946">
        <f t="shared" si="106"/>
        <v>0.2</v>
      </c>
      <c r="S3200" s="945"/>
      <c r="T3200" s="947">
        <f t="shared" si="107"/>
        <v>0</v>
      </c>
      <c r="AR3200">
        <v>10</v>
      </c>
    </row>
    <row r="3201" spans="1:45" s="901" customFormat="1" ht="13.2">
      <c r="A3201">
        <v>10</v>
      </c>
      <c r="B3201" s="901" t="s">
        <v>141</v>
      </c>
      <c r="D3201" s="901" t="s">
        <v>2742</v>
      </c>
      <c r="G3201" s="941" t="s">
        <v>2743</v>
      </c>
      <c r="H3201" s="942">
        <v>875</v>
      </c>
      <c r="I3201" s="901" t="s">
        <v>2607</v>
      </c>
      <c r="K3201" s="901" t="s">
        <v>2744</v>
      </c>
      <c r="O3201" s="943">
        <v>1</v>
      </c>
      <c r="P3201" s="944">
        <v>34669</v>
      </c>
      <c r="Q3201" s="945">
        <v>0.02</v>
      </c>
      <c r="R3201" s="946">
        <f t="shared" si="106"/>
        <v>0.2</v>
      </c>
      <c r="S3201" s="945"/>
      <c r="T3201" s="947">
        <f t="shared" si="107"/>
        <v>0</v>
      </c>
      <c r="AR3201">
        <v>10</v>
      </c>
    </row>
    <row r="3202" spans="1:45" s="901" customFormat="1" ht="13.2">
      <c r="A3202">
        <v>2</v>
      </c>
      <c r="B3202" s="901" t="s">
        <v>141</v>
      </c>
      <c r="D3202" s="901" t="s">
        <v>2962</v>
      </c>
      <c r="G3202" s="941" t="s">
        <v>2963</v>
      </c>
      <c r="H3202" s="942">
        <v>620</v>
      </c>
      <c r="I3202" s="901" t="s">
        <v>2607</v>
      </c>
      <c r="O3202" s="943">
        <v>2</v>
      </c>
      <c r="P3202" s="944">
        <v>35431</v>
      </c>
      <c r="Q3202" s="945">
        <v>0.25</v>
      </c>
      <c r="R3202" s="946">
        <f t="shared" si="106"/>
        <v>0.5</v>
      </c>
      <c r="S3202" s="945"/>
      <c r="T3202" s="947">
        <f t="shared" si="107"/>
        <v>0</v>
      </c>
      <c r="AR3202">
        <v>2</v>
      </c>
    </row>
    <row r="3203" spans="1:45" s="520" customFormat="1" ht="12">
      <c r="A3203" s="758"/>
      <c r="B3203" s="758"/>
      <c r="C3203" s="758"/>
      <c r="D3203" s="758"/>
      <c r="E3203" s="758"/>
      <c r="F3203" s="753"/>
      <c r="G3203" s="758"/>
      <c r="H3203" s="758"/>
      <c r="I3203" s="519"/>
      <c r="J3203" s="758"/>
      <c r="K3203" s="758"/>
      <c r="L3203" s="758"/>
      <c r="M3203" s="758"/>
      <c r="N3203" s="758"/>
      <c r="O3203" s="758"/>
      <c r="P3203" s="758"/>
      <c r="Q3203" s="519"/>
      <c r="R3203" s="759">
        <f t="shared" si="106"/>
        <v>0</v>
      </c>
      <c r="S3203" s="519"/>
      <c r="T3203" s="760">
        <f t="shared" si="107"/>
        <v>0</v>
      </c>
      <c r="AR3203" s="758"/>
      <c r="AS3203" s="753"/>
    </row>
    <row r="3204" spans="1:45" s="520" customFormat="1" ht="12.6" thickBot="1">
      <c r="A3204" s="761" t="s">
        <v>145</v>
      </c>
      <c r="B3204" s="762">
        <f>(R3203+T3203)</f>
        <v>0</v>
      </c>
      <c r="C3204" s="763"/>
      <c r="D3204" s="763"/>
      <c r="E3204" s="763"/>
      <c r="F3204" s="764"/>
      <c r="G3204" s="763" t="s">
        <v>146</v>
      </c>
      <c r="H3204" s="763"/>
      <c r="I3204" s="765"/>
      <c r="J3204" s="763"/>
      <c r="K3204" s="763" t="s">
        <v>3</v>
      </c>
      <c r="L3204" s="766" t="s">
        <v>143</v>
      </c>
      <c r="M3204" s="766"/>
      <c r="N3204" s="766"/>
      <c r="O3204" s="766"/>
      <c r="P3204" s="766"/>
      <c r="Q3204" s="767"/>
      <c r="R3204" s="768">
        <f>SUM(R3168:R3203)</f>
        <v>1200.1200000000003</v>
      </c>
      <c r="S3204" s="763"/>
      <c r="T3204" s="768">
        <f>SUM(T3168:T3203)</f>
        <v>27.279</v>
      </c>
      <c r="U3204" s="531"/>
      <c r="V3204" s="531"/>
      <c r="W3204" s="531"/>
      <c r="X3204" s="531"/>
      <c r="Y3204" s="531"/>
      <c r="Z3204" s="531"/>
      <c r="AA3204" s="531"/>
      <c r="AB3204" s="531"/>
      <c r="AC3204" s="531"/>
      <c r="AD3204" s="531"/>
      <c r="AE3204" s="531"/>
      <c r="AF3204" s="531"/>
      <c r="AG3204" s="531"/>
      <c r="AH3204" s="531"/>
      <c r="AI3204" s="531"/>
      <c r="AJ3204" s="531"/>
      <c r="AK3204" s="531"/>
      <c r="AL3204" s="531"/>
      <c r="AM3204" s="531"/>
      <c r="AN3204" s="531"/>
      <c r="AO3204" s="531"/>
      <c r="AR3204" s="761" t="s">
        <v>145</v>
      </c>
      <c r="AS3204" s="764"/>
    </row>
    <row r="3205" spans="1:45" s="520" customFormat="1" ht="12" thickTop="1">
      <c r="A3205" s="51"/>
      <c r="B3205" s="41"/>
      <c r="C3205" s="51"/>
      <c r="E3205" s="42" t="s">
        <v>138</v>
      </c>
      <c r="F3205" s="42" t="s">
        <v>139</v>
      </c>
      <c r="G3205" s="51"/>
      <c r="H3205" s="51"/>
      <c r="I3205" s="51"/>
      <c r="J3205" s="51"/>
      <c r="K3205" s="51" t="s">
        <v>140</v>
      </c>
      <c r="L3205" s="51"/>
      <c r="M3205" s="51"/>
      <c r="N3205" s="51"/>
      <c r="O3205" s="52"/>
      <c r="P3205" s="51"/>
      <c r="Q3205" s="51"/>
      <c r="R3205" s="51"/>
      <c r="S3205" s="51"/>
      <c r="T3205" s="41"/>
      <c r="AG3205" s="521" t="s">
        <v>268</v>
      </c>
      <c r="AH3205" s="521" t="s">
        <v>269</v>
      </c>
      <c r="AI3205" s="521" t="s">
        <v>270</v>
      </c>
      <c r="AJ3205" s="521" t="s">
        <v>271</v>
      </c>
      <c r="AK3205" s="521" t="s">
        <v>272</v>
      </c>
      <c r="AM3205" s="745" t="s">
        <v>281</v>
      </c>
      <c r="AN3205" s="746" t="s">
        <v>282</v>
      </c>
      <c r="AO3205" s="522" t="s">
        <v>278</v>
      </c>
      <c r="AR3205" s="51"/>
      <c r="AS3205" s="42" t="s">
        <v>139</v>
      </c>
    </row>
    <row r="3206" spans="1:45" s="520" customFormat="1" ht="12" customHeight="1">
      <c r="A3206" s="747">
        <v>21</v>
      </c>
      <c r="B3206" s="523" t="s">
        <v>141</v>
      </c>
      <c r="C3206" s="748"/>
      <c r="D3206" s="749" t="s">
        <v>1632</v>
      </c>
      <c r="E3206" s="750">
        <f>IF(AND($A3206=0,$A$1="DIF"),0, ROUND(ROUND(($R3212*$S$2+($T3212*$T$2))/A3206,2)*$C$2,2))</f>
        <v>30.09</v>
      </c>
      <c r="F3206" s="751">
        <f>ROUND($A3206*$E3206,2)</f>
        <v>631.89</v>
      </c>
      <c r="G3206" s="752" t="s">
        <v>142</v>
      </c>
      <c r="H3206" s="753"/>
      <c r="I3206" s="754"/>
      <c r="J3206" s="753"/>
      <c r="K3206" s="753" t="s">
        <v>3</v>
      </c>
      <c r="L3206" s="755" t="s">
        <v>143</v>
      </c>
      <c r="M3206" s="755"/>
      <c r="N3206" s="755"/>
      <c r="O3206" s="755"/>
      <c r="P3206" s="755"/>
      <c r="Q3206" s="51"/>
      <c r="T3206" s="756" t="str">
        <f>IF(AND($R3212=0,$T3212=0),"0.00","mu :" &amp; ROUND($F3206/$C$2/($R3212+$T3212*$D$9),2))</f>
        <v>mu :1.23</v>
      </c>
      <c r="W3206" s="524"/>
      <c r="AG3206" s="481">
        <f>IF($E3206=0,0,ROUND($R3212*$S$2*$C$2/$A3206,2))</f>
        <v>14.87</v>
      </c>
      <c r="AH3206" s="481">
        <f>$AG3206*$A3206</f>
        <v>312.27</v>
      </c>
      <c r="AI3206" s="525">
        <f>$E3206-$AG3206</f>
        <v>15.22</v>
      </c>
      <c r="AJ3206" s="525">
        <f>$A3206*$AI3206</f>
        <v>319.62</v>
      </c>
      <c r="AK3206" s="526">
        <f>ROUND(($AG3206+$AI3206)*$A3206,2)</f>
        <v>631.89</v>
      </c>
      <c r="AM3206" s="527">
        <f>ROUND(R3212,2)</f>
        <v>253.68</v>
      </c>
      <c r="AN3206" s="528">
        <f>ROUND(T3212,2)</f>
        <v>9.4499999999999993</v>
      </c>
      <c r="AO3206" s="529">
        <f>ROUND(AM3206+AN3206,2)*A3206</f>
        <v>5525.73</v>
      </c>
      <c r="AR3206" s="747">
        <v>21</v>
      </c>
      <c r="AS3206" s="751">
        <v>667.38</v>
      </c>
    </row>
    <row r="3207" spans="1:45" s="520" customFormat="1" ht="13.2">
      <c r="A3207" s="748"/>
      <c r="B3207"/>
      <c r="C3207" s="748"/>
      <c r="D3207" s="749" t="s">
        <v>1633</v>
      </c>
      <c r="F3207" s="753"/>
      <c r="G3207" s="3"/>
      <c r="H3207" s="753"/>
      <c r="I3207" s="754"/>
      <c r="J3207" s="753"/>
      <c r="K3207" s="753" t="s">
        <v>144</v>
      </c>
      <c r="L3207" s="753"/>
      <c r="M3207" s="753"/>
      <c r="N3207" s="753"/>
      <c r="O3207" s="753"/>
      <c r="P3207" s="753"/>
      <c r="Q3207" s="51"/>
      <c r="R3207" s="530"/>
      <c r="S3207" s="757"/>
      <c r="T3207" s="753"/>
      <c r="AR3207" s="748"/>
      <c r="AS3207" s="753"/>
    </row>
    <row r="3208" spans="1:45" s="901" customFormat="1" ht="13.2">
      <c r="A3208" s="116">
        <v>21</v>
      </c>
      <c r="B3208" s="901" t="s">
        <v>141</v>
      </c>
      <c r="D3208" s="901" t="s">
        <v>2948</v>
      </c>
      <c r="F3208" s="1054" t="s">
        <v>3423</v>
      </c>
      <c r="G3208" s="941" t="s">
        <v>2949</v>
      </c>
      <c r="H3208" s="942">
        <v>705</v>
      </c>
      <c r="I3208" s="901" t="s">
        <v>2607</v>
      </c>
      <c r="O3208" s="943">
        <v>3</v>
      </c>
      <c r="P3208" s="944"/>
      <c r="Q3208" s="945">
        <v>12</v>
      </c>
      <c r="R3208" s="946">
        <f>$A3208*Q3208</f>
        <v>252</v>
      </c>
      <c r="S3208" s="945">
        <v>0.5</v>
      </c>
      <c r="T3208" s="947">
        <f>$A3208*S3208*$T$1</f>
        <v>9.4500000000000011</v>
      </c>
      <c r="AR3208" s="116">
        <v>21</v>
      </c>
      <c r="AS3208" s="1054" t="s">
        <v>3423</v>
      </c>
    </row>
    <row r="3209" spans="1:45" s="901" customFormat="1" ht="13.2">
      <c r="A3209">
        <v>42</v>
      </c>
      <c r="B3209" s="901" t="s">
        <v>141</v>
      </c>
      <c r="D3209" s="901" t="s">
        <v>2739</v>
      </c>
      <c r="G3209" s="941" t="s">
        <v>2740</v>
      </c>
      <c r="H3209" s="942">
        <v>875</v>
      </c>
      <c r="I3209" s="901" t="s">
        <v>2607</v>
      </c>
      <c r="K3209" s="901" t="s">
        <v>2741</v>
      </c>
      <c r="O3209" s="943">
        <v>1</v>
      </c>
      <c r="P3209" s="944">
        <v>34669</v>
      </c>
      <c r="Q3209" s="945">
        <v>0.02</v>
      </c>
      <c r="R3209" s="946">
        <f>$A3209*Q3209</f>
        <v>0.84</v>
      </c>
      <c r="S3209" s="945"/>
      <c r="T3209" s="947">
        <f>$A3209*S3209*$T$1</f>
        <v>0</v>
      </c>
      <c r="AR3209">
        <v>42</v>
      </c>
    </row>
    <row r="3210" spans="1:45" s="901" customFormat="1" ht="13.2">
      <c r="A3210">
        <v>42</v>
      </c>
      <c r="B3210" s="901" t="s">
        <v>141</v>
      </c>
      <c r="D3210" s="901" t="s">
        <v>2742</v>
      </c>
      <c r="G3210" s="941" t="s">
        <v>2743</v>
      </c>
      <c r="H3210" s="942">
        <v>875</v>
      </c>
      <c r="I3210" s="901" t="s">
        <v>2607</v>
      </c>
      <c r="K3210" s="901" t="s">
        <v>2744</v>
      </c>
      <c r="O3210" s="943">
        <v>1</v>
      </c>
      <c r="P3210" s="944">
        <v>34669</v>
      </c>
      <c r="Q3210" s="945">
        <v>0.02</v>
      </c>
      <c r="R3210" s="946">
        <f>$A3210*Q3210</f>
        <v>0.84</v>
      </c>
      <c r="S3210" s="945"/>
      <c r="T3210" s="947">
        <f>$A3210*S3210*$T$1</f>
        <v>0</v>
      </c>
      <c r="AR3210">
        <v>42</v>
      </c>
    </row>
    <row r="3211" spans="1:45" s="520" customFormat="1" ht="12">
      <c r="A3211" s="758"/>
      <c r="B3211" s="758"/>
      <c r="C3211" s="758"/>
      <c r="D3211" s="758"/>
      <c r="E3211" s="758"/>
      <c r="F3211" s="753"/>
      <c r="G3211" s="758"/>
      <c r="H3211" s="758"/>
      <c r="I3211" s="519"/>
      <c r="J3211" s="758"/>
      <c r="K3211" s="758"/>
      <c r="L3211" s="758"/>
      <c r="M3211" s="758"/>
      <c r="N3211" s="758"/>
      <c r="O3211" s="758"/>
      <c r="P3211" s="758"/>
      <c r="Q3211" s="519"/>
      <c r="R3211" s="759">
        <f>$A3211*Q3211</f>
        <v>0</v>
      </c>
      <c r="S3211" s="519"/>
      <c r="T3211" s="760">
        <f>$A3211*S3211*$T$1</f>
        <v>0</v>
      </c>
      <c r="AR3211" s="758"/>
      <c r="AS3211" s="753"/>
    </row>
    <row r="3212" spans="1:45" s="520" customFormat="1" ht="12.6" thickBot="1">
      <c r="A3212" s="761" t="s">
        <v>145</v>
      </c>
      <c r="B3212" s="762">
        <f>(R3211+T3211)</f>
        <v>0</v>
      </c>
      <c r="C3212" s="763"/>
      <c r="D3212" s="763"/>
      <c r="E3212" s="763"/>
      <c r="F3212" s="764"/>
      <c r="G3212" s="763" t="s">
        <v>146</v>
      </c>
      <c r="H3212" s="763"/>
      <c r="I3212" s="765"/>
      <c r="J3212" s="763"/>
      <c r="K3212" s="763" t="s">
        <v>3</v>
      </c>
      <c r="L3212" s="766" t="s">
        <v>143</v>
      </c>
      <c r="M3212" s="766"/>
      <c r="N3212" s="766"/>
      <c r="O3212" s="766"/>
      <c r="P3212" s="766"/>
      <c r="Q3212" s="767"/>
      <c r="R3212" s="768">
        <f>SUM(R3207:R3211)</f>
        <v>253.68</v>
      </c>
      <c r="S3212" s="763"/>
      <c r="T3212" s="768">
        <f>SUM(T3207:T3211)</f>
        <v>9.4500000000000011</v>
      </c>
      <c r="U3212" s="531"/>
      <c r="V3212" s="531"/>
      <c r="W3212" s="531"/>
      <c r="X3212" s="531"/>
      <c r="Y3212" s="531"/>
      <c r="Z3212" s="531"/>
      <c r="AA3212" s="531"/>
      <c r="AB3212" s="531"/>
      <c r="AC3212" s="531"/>
      <c r="AD3212" s="531"/>
      <c r="AE3212" s="531"/>
      <c r="AF3212" s="531"/>
      <c r="AG3212" s="531"/>
      <c r="AH3212" s="531"/>
      <c r="AI3212" s="531"/>
      <c r="AJ3212" s="531"/>
      <c r="AK3212" s="531"/>
      <c r="AL3212" s="531"/>
      <c r="AM3212" s="531"/>
      <c r="AN3212" s="531"/>
      <c r="AO3212" s="531"/>
      <c r="AR3212" s="761" t="s">
        <v>145</v>
      </c>
      <c r="AS3212" s="764"/>
    </row>
    <row r="3213" spans="1:45" s="520" customFormat="1" thickTop="1">
      <c r="A3213" s="51"/>
      <c r="B3213" s="51"/>
      <c r="C3213" s="3"/>
      <c r="D3213" s="3"/>
      <c r="E3213" s="51"/>
      <c r="F3213" s="51"/>
      <c r="G3213" s="51"/>
      <c r="H3213" s="51"/>
      <c r="I3213" s="51"/>
      <c r="J3213" s="51"/>
      <c r="K3213" s="51" t="s">
        <v>134</v>
      </c>
      <c r="L3213" s="51"/>
      <c r="M3213" s="51"/>
      <c r="N3213" s="51"/>
      <c r="O3213" s="52"/>
      <c r="P3213" s="51"/>
      <c r="Q3213" s="51"/>
      <c r="R3213" s="51"/>
      <c r="S3213" s="51"/>
      <c r="T3213" s="51"/>
      <c r="AR3213" s="51"/>
      <c r="AS3213" s="51"/>
    </row>
    <row r="3214" spans="1:45" s="520" customFormat="1" ht="12">
      <c r="A3214" s="51"/>
      <c r="B3214" s="51"/>
      <c r="C3214" s="51" t="s">
        <v>135</v>
      </c>
      <c r="D3214" s="37"/>
      <c r="E3214" s="51"/>
      <c r="F3214" s="51"/>
      <c r="G3214" s="51"/>
      <c r="H3214" s="51"/>
      <c r="I3214" s="51"/>
      <c r="J3214" s="51"/>
      <c r="K3214" s="51"/>
      <c r="L3214" s="51"/>
      <c r="M3214" s="51"/>
      <c r="N3214" s="51"/>
      <c r="O3214" s="52"/>
      <c r="P3214" s="51"/>
      <c r="Q3214" s="51"/>
      <c r="R3214" s="51"/>
      <c r="S3214" s="51"/>
      <c r="T3214" s="51"/>
      <c r="AR3214" s="51"/>
      <c r="AS3214" s="51"/>
    </row>
    <row r="3215" spans="1:45" s="520" customFormat="1" ht="39.9" customHeight="1">
      <c r="A3215" s="51"/>
      <c r="B3215" s="51"/>
      <c r="C3215" s="51"/>
      <c r="D3215" s="1453" t="s">
        <v>1602</v>
      </c>
      <c r="E3215" s="1452"/>
      <c r="F3215" s="1452"/>
      <c r="G3215" s="1452"/>
      <c r="H3215" s="1452"/>
      <c r="I3215" s="1452"/>
      <c r="J3215" s="1452"/>
      <c r="K3215" s="1452"/>
      <c r="L3215" s="1452"/>
      <c r="M3215" s="1452"/>
      <c r="N3215" s="1452"/>
      <c r="O3215" s="1452"/>
      <c r="P3215" s="1452"/>
      <c r="Q3215" s="1452"/>
      <c r="R3215" s="1452"/>
      <c r="S3215" s="1452"/>
      <c r="T3215" s="1452"/>
      <c r="AR3215" s="51"/>
    </row>
    <row r="3216" spans="1:45" s="3" customFormat="1" thickBot="1">
      <c r="A3216" s="531"/>
      <c r="O3216" s="107"/>
      <c r="AR3216" s="531"/>
    </row>
    <row r="3217" spans="1:45" s="520" customFormat="1" thickTop="1">
      <c r="A3217" s="51"/>
      <c r="B3217" s="51"/>
      <c r="C3217" s="3"/>
      <c r="D3217" s="3"/>
      <c r="E3217" s="51"/>
      <c r="F3217" s="51"/>
      <c r="G3217" s="51"/>
      <c r="H3217" s="51"/>
      <c r="I3217" s="51"/>
      <c r="J3217" s="51"/>
      <c r="K3217" s="51" t="s">
        <v>134</v>
      </c>
      <c r="L3217" s="51"/>
      <c r="M3217" s="51"/>
      <c r="N3217" s="51"/>
      <c r="O3217" s="52"/>
      <c r="P3217" s="51"/>
      <c r="Q3217" s="51"/>
      <c r="R3217" s="51"/>
      <c r="S3217" s="51"/>
      <c r="T3217" s="51"/>
      <c r="AR3217" s="51"/>
      <c r="AS3217" s="51"/>
    </row>
    <row r="3218" spans="1:45" s="520" customFormat="1" ht="12">
      <c r="A3218" s="51"/>
      <c r="B3218" s="51"/>
      <c r="C3218" s="51" t="s">
        <v>135</v>
      </c>
      <c r="D3218" s="37"/>
      <c r="E3218" s="51"/>
      <c r="F3218" s="51"/>
      <c r="G3218" s="51"/>
      <c r="H3218" s="51"/>
      <c r="I3218" s="51"/>
      <c r="J3218" s="51"/>
      <c r="K3218" s="51"/>
      <c r="L3218" s="51"/>
      <c r="M3218" s="51"/>
      <c r="N3218" s="51"/>
      <c r="O3218" s="52"/>
      <c r="P3218" s="51"/>
      <c r="Q3218" s="51"/>
      <c r="R3218" s="51"/>
      <c r="S3218" s="51"/>
      <c r="T3218" s="51"/>
      <c r="AR3218" s="51"/>
      <c r="AS3218" s="51"/>
    </row>
    <row r="3219" spans="1:45" s="520" customFormat="1" ht="12">
      <c r="A3219" s="51"/>
      <c r="B3219" s="51"/>
      <c r="C3219" s="51"/>
      <c r="D3219" s="37" t="s">
        <v>784</v>
      </c>
      <c r="E3219" s="51"/>
      <c r="F3219" s="51"/>
      <c r="G3219" s="51"/>
      <c r="H3219" s="51"/>
      <c r="I3219" s="51"/>
      <c r="J3219" s="51"/>
      <c r="K3219" s="51"/>
      <c r="L3219" s="51"/>
      <c r="M3219" s="51"/>
      <c r="N3219" s="51"/>
      <c r="O3219" s="52"/>
      <c r="P3219" s="51"/>
      <c r="Q3219" s="51"/>
      <c r="R3219" s="51"/>
      <c r="S3219" s="38"/>
      <c r="T3219" s="38"/>
      <c r="AR3219" s="51"/>
      <c r="AS3219" s="51"/>
    </row>
    <row r="3220" spans="1:45" s="3" customFormat="1" thickBot="1">
      <c r="A3220" s="531"/>
      <c r="O3220" s="107"/>
      <c r="AR3220" s="531"/>
    </row>
    <row r="3221" spans="1:45" s="520" customFormat="1" ht="12" thickTop="1">
      <c r="A3221" s="51"/>
      <c r="B3221" s="41"/>
      <c r="C3221" s="51"/>
      <c r="E3221" s="42" t="s">
        <v>138</v>
      </c>
      <c r="F3221" s="42" t="s">
        <v>139</v>
      </c>
      <c r="G3221" s="51"/>
      <c r="H3221" s="51"/>
      <c r="I3221" s="51"/>
      <c r="J3221" s="51"/>
      <c r="K3221" s="51" t="s">
        <v>140</v>
      </c>
      <c r="L3221" s="51"/>
      <c r="M3221" s="51"/>
      <c r="N3221" s="51"/>
      <c r="O3221" s="52"/>
      <c r="P3221" s="51"/>
      <c r="Q3221" s="51"/>
      <c r="R3221" s="51"/>
      <c r="S3221" s="51"/>
      <c r="T3221" s="41"/>
      <c r="AG3221" s="521" t="s">
        <v>268</v>
      </c>
      <c r="AH3221" s="521" t="s">
        <v>269</v>
      </c>
      <c r="AI3221" s="521" t="s">
        <v>270</v>
      </c>
      <c r="AJ3221" s="521" t="s">
        <v>271</v>
      </c>
      <c r="AK3221" s="521" t="s">
        <v>272</v>
      </c>
      <c r="AM3221" s="745" t="s">
        <v>281</v>
      </c>
      <c r="AN3221" s="746" t="s">
        <v>282</v>
      </c>
      <c r="AO3221" s="522" t="s">
        <v>278</v>
      </c>
      <c r="AR3221" s="51"/>
      <c r="AS3221" s="42" t="s">
        <v>139</v>
      </c>
    </row>
    <row r="3222" spans="1:45" s="520" customFormat="1" ht="12" customHeight="1">
      <c r="A3222" s="747">
        <v>10</v>
      </c>
      <c r="B3222" s="523" t="s">
        <v>141</v>
      </c>
      <c r="C3222" s="748"/>
      <c r="D3222" s="749" t="s">
        <v>1634</v>
      </c>
      <c r="E3222" s="750">
        <f>IF(AND($A3222=0,$A$1="DIF"),0, ROUND(ROUND(($R3228*$S$2+($T3228*$T$2))/A3222,2)*$C$2,2))</f>
        <v>432.03</v>
      </c>
      <c r="F3222" s="751">
        <f>ROUND($A3222*$E3222,2)</f>
        <v>4320.3</v>
      </c>
      <c r="G3222" s="752" t="s">
        <v>142</v>
      </c>
      <c r="H3222" s="753"/>
      <c r="I3222" s="754"/>
      <c r="J3222" s="753"/>
      <c r="K3222" s="753" t="s">
        <v>3</v>
      </c>
      <c r="L3222" s="755" t="s">
        <v>143</v>
      </c>
      <c r="M3222" s="755"/>
      <c r="N3222" s="755"/>
      <c r="O3222" s="755"/>
      <c r="P3222" s="755"/>
      <c r="Q3222" s="1058" t="s">
        <v>3769</v>
      </c>
      <c r="T3222" s="756" t="str">
        <f>IF(AND($R3228=0,$T3228=0),"0.00","mu :" &amp; ROUND($F3222/$C$2/($R3228+$T3228*$D$9),2))</f>
        <v>mu :1.23</v>
      </c>
      <c r="W3222" s="524"/>
      <c r="AG3222" s="481">
        <f>IF($E3222=0,0,ROUND($R3228*$S$2*$C$2/$A3222,2))</f>
        <v>194.82</v>
      </c>
      <c r="AH3222" s="481">
        <f>$AG3222*$A3222</f>
        <v>1948.1999999999998</v>
      </c>
      <c r="AI3222" s="525">
        <f>$E3222-$AG3222</f>
        <v>237.20999999999998</v>
      </c>
      <c r="AJ3222" s="525">
        <f>$A3222*$AI3222</f>
        <v>2372.1</v>
      </c>
      <c r="AK3222" s="526">
        <f>ROUND(($AG3222+$AI3222)*$A3222,2)</f>
        <v>4320.3</v>
      </c>
      <c r="AM3222" s="527">
        <f>ROUND(R3228,2)</f>
        <v>1582.15</v>
      </c>
      <c r="AN3222" s="528">
        <f>ROUND(T3228,2)</f>
        <v>70.16</v>
      </c>
      <c r="AO3222" s="529">
        <f>ROUND(AM3222+AN3222,2)*A3222</f>
        <v>16523.099999999999</v>
      </c>
      <c r="AR3222" s="747">
        <v>10</v>
      </c>
      <c r="AS3222" s="751">
        <v>4583.8999999999996</v>
      </c>
    </row>
    <row r="3223" spans="1:45" s="520" customFormat="1" ht="13.2">
      <c r="A3223" s="748"/>
      <c r="B3223"/>
      <c r="C3223" s="748"/>
      <c r="D3223" s="749" t="s">
        <v>785</v>
      </c>
      <c r="F3223" s="753"/>
      <c r="G3223" s="3"/>
      <c r="H3223" s="753"/>
      <c r="I3223" s="754"/>
      <c r="J3223" s="753"/>
      <c r="K3223" s="753" t="s">
        <v>144</v>
      </c>
      <c r="L3223" s="753"/>
      <c r="M3223" s="753"/>
      <c r="N3223" s="753"/>
      <c r="O3223" s="753"/>
      <c r="P3223" s="753"/>
      <c r="Q3223" s="51"/>
      <c r="R3223" s="530"/>
      <c r="S3223" s="757"/>
      <c r="T3223" s="753"/>
      <c r="AR3223" s="748"/>
      <c r="AS3223" s="753"/>
    </row>
    <row r="3224" spans="1:45" s="901" customFormat="1" ht="13.2">
      <c r="A3224" s="1204">
        <f>20*10</f>
        <v>200</v>
      </c>
      <c r="B3224" s="901" t="s">
        <v>320</v>
      </c>
      <c r="C3224">
        <v>225</v>
      </c>
      <c r="D3224" s="901" t="s">
        <v>2944</v>
      </c>
      <c r="G3224" s="941" t="s">
        <v>2945</v>
      </c>
      <c r="H3224" s="942">
        <v>690</v>
      </c>
      <c r="I3224" s="901" t="s">
        <v>2946</v>
      </c>
      <c r="J3224" s="901" t="s">
        <v>2947</v>
      </c>
      <c r="O3224" s="943">
        <v>1</v>
      </c>
      <c r="P3224" s="944">
        <v>34669</v>
      </c>
      <c r="Q3224" s="1197">
        <v>3.8</v>
      </c>
      <c r="R3224" s="946">
        <f>$A3224*Q3224</f>
        <v>760</v>
      </c>
      <c r="S3224" s="945">
        <v>0.25</v>
      </c>
      <c r="T3224" s="947">
        <f>$A3224*S3224*$T$1</f>
        <v>45</v>
      </c>
      <c r="AR3224" s="1204">
        <v>200</v>
      </c>
    </row>
    <row r="3225" spans="1:45" s="901" customFormat="1" ht="13.2">
      <c r="A3225" s="1204">
        <f>35*3*10</f>
        <v>1050</v>
      </c>
      <c r="B3225" s="901" t="s">
        <v>320</v>
      </c>
      <c r="C3225">
        <v>1170</v>
      </c>
      <c r="D3225" s="901" t="s">
        <v>2964</v>
      </c>
      <c r="F3225" s="901" t="s">
        <v>3299</v>
      </c>
      <c r="G3225" s="941" t="s">
        <v>2965</v>
      </c>
      <c r="H3225" s="942">
        <v>615</v>
      </c>
      <c r="I3225" s="901" t="s">
        <v>2272</v>
      </c>
      <c r="K3225" s="901" t="s">
        <v>2966</v>
      </c>
      <c r="O3225" s="943">
        <v>2</v>
      </c>
      <c r="P3225" s="944">
        <v>38988</v>
      </c>
      <c r="Q3225" s="1194">
        <f>0.74*0.95</f>
        <v>0.70299999999999996</v>
      </c>
      <c r="R3225" s="946">
        <f>$A3225*Q3225</f>
        <v>738.15</v>
      </c>
      <c r="S3225" s="945">
        <v>2.5000000000000001E-2</v>
      </c>
      <c r="T3225" s="947">
        <f>$A3225*S3225*$T$1</f>
        <v>23.625</v>
      </c>
      <c r="AR3225" s="1204">
        <v>1050</v>
      </c>
      <c r="AS3225" s="901" t="s">
        <v>3299</v>
      </c>
    </row>
    <row r="3226" spans="1:45" s="901" customFormat="1" ht="13.2">
      <c r="A3226" s="1204">
        <v>10</v>
      </c>
      <c r="B3226" s="901" t="s">
        <v>141</v>
      </c>
      <c r="C3226">
        <v>10</v>
      </c>
      <c r="D3226" s="901" t="s">
        <v>2870</v>
      </c>
      <c r="E3226" s="901" t="s">
        <v>3424</v>
      </c>
      <c r="F3226" s="1054" t="s">
        <v>3433</v>
      </c>
      <c r="G3226" s="941" t="s">
        <v>2871</v>
      </c>
      <c r="H3226" s="942">
        <v>705</v>
      </c>
      <c r="I3226" s="901" t="s">
        <v>2872</v>
      </c>
      <c r="J3226" s="901" t="s">
        <v>2873</v>
      </c>
      <c r="O3226" s="943">
        <v>3</v>
      </c>
      <c r="P3226" s="944">
        <v>34669</v>
      </c>
      <c r="Q3226" s="945">
        <v>8.4</v>
      </c>
      <c r="R3226" s="946">
        <f>$A3226*Q3226</f>
        <v>84</v>
      </c>
      <c r="S3226" s="945">
        <v>0.17</v>
      </c>
      <c r="T3226" s="947">
        <f>$A3226*S3226*$T$1</f>
        <v>1.5300000000000002</v>
      </c>
      <c r="AR3226" s="1204">
        <v>10</v>
      </c>
      <c r="AS3226" s="1054" t="s">
        <v>3433</v>
      </c>
    </row>
    <row r="3227" spans="1:45" s="520" customFormat="1" ht="12">
      <c r="A3227" s="758"/>
      <c r="B3227" s="758"/>
      <c r="C3227" s="758"/>
      <c r="D3227" s="758"/>
      <c r="E3227" s="758"/>
      <c r="F3227" s="753"/>
      <c r="G3227" s="758"/>
      <c r="H3227" s="758"/>
      <c r="I3227" s="519"/>
      <c r="J3227" s="758"/>
      <c r="K3227" s="758"/>
      <c r="L3227" s="758"/>
      <c r="M3227" s="758"/>
      <c r="N3227" s="758"/>
      <c r="O3227" s="758"/>
      <c r="P3227" s="758"/>
      <c r="Q3227" s="519"/>
      <c r="R3227" s="759">
        <f>$A3227*Q3227</f>
        <v>0</v>
      </c>
      <c r="S3227" s="519"/>
      <c r="T3227" s="760">
        <f>$A3227*S3227*$T$1</f>
        <v>0</v>
      </c>
      <c r="AR3227" s="758"/>
      <c r="AS3227" s="753"/>
    </row>
    <row r="3228" spans="1:45" s="520" customFormat="1" ht="12.6" thickBot="1">
      <c r="A3228" s="761" t="s">
        <v>145</v>
      </c>
      <c r="B3228" s="762">
        <f>(R3227+T3227)</f>
        <v>0</v>
      </c>
      <c r="C3228" s="763"/>
      <c r="D3228" s="763"/>
      <c r="E3228" s="763"/>
      <c r="F3228" s="764"/>
      <c r="G3228" s="763" t="s">
        <v>146</v>
      </c>
      <c r="H3228" s="763"/>
      <c r="I3228" s="765"/>
      <c r="J3228" s="763"/>
      <c r="K3228" s="763" t="s">
        <v>3</v>
      </c>
      <c r="L3228" s="766" t="s">
        <v>143</v>
      </c>
      <c r="M3228" s="766"/>
      <c r="N3228" s="766"/>
      <c r="O3228" s="766"/>
      <c r="P3228" s="766"/>
      <c r="Q3228" s="767"/>
      <c r="R3228" s="768">
        <f>SUM(R3223:R3227)</f>
        <v>1582.15</v>
      </c>
      <c r="S3228" s="763"/>
      <c r="T3228" s="768">
        <f>SUM(T3223:T3227)</f>
        <v>70.155000000000001</v>
      </c>
      <c r="U3228" s="531"/>
      <c r="V3228" s="531"/>
      <c r="W3228" s="531"/>
      <c r="X3228" s="531"/>
      <c r="Y3228" s="531"/>
      <c r="Z3228" s="531"/>
      <c r="AA3228" s="531"/>
      <c r="AB3228" s="531"/>
      <c r="AC3228" s="531"/>
      <c r="AD3228" s="531"/>
      <c r="AE3228" s="531"/>
      <c r="AF3228" s="531"/>
      <c r="AG3228" s="531"/>
      <c r="AH3228" s="531"/>
      <c r="AI3228" s="531"/>
      <c r="AJ3228" s="531"/>
      <c r="AK3228" s="531"/>
      <c r="AL3228" s="531"/>
      <c r="AM3228" s="531"/>
      <c r="AN3228" s="531"/>
      <c r="AO3228" s="531"/>
      <c r="AR3228" s="761" t="s">
        <v>145</v>
      </c>
      <c r="AS3228" s="764"/>
    </row>
    <row r="3229" spans="1:45" s="520" customFormat="1" thickTop="1">
      <c r="A3229" s="51"/>
      <c r="B3229" s="51"/>
      <c r="C3229" s="3"/>
      <c r="D3229" s="3"/>
      <c r="E3229" s="51"/>
      <c r="F3229" s="51"/>
      <c r="G3229" s="51"/>
      <c r="H3229" s="51"/>
      <c r="I3229" s="51"/>
      <c r="J3229" s="51"/>
      <c r="K3229" s="51" t="s">
        <v>134</v>
      </c>
      <c r="L3229" s="51"/>
      <c r="M3229" s="51"/>
      <c r="N3229" s="51"/>
      <c r="O3229" s="52"/>
      <c r="P3229" s="51"/>
      <c r="Q3229" s="51"/>
      <c r="R3229" s="51"/>
      <c r="S3229" s="51"/>
      <c r="T3229" s="51"/>
      <c r="AR3229" s="51"/>
      <c r="AS3229" s="51"/>
    </row>
    <row r="3230" spans="1:45" s="520" customFormat="1" ht="12">
      <c r="A3230" s="51"/>
      <c r="B3230" s="51"/>
      <c r="C3230" s="51" t="s">
        <v>135</v>
      </c>
      <c r="D3230" s="37"/>
      <c r="E3230" s="51"/>
      <c r="F3230" s="51"/>
      <c r="G3230" s="51"/>
      <c r="H3230" s="51"/>
      <c r="I3230" s="51"/>
      <c r="J3230" s="51"/>
      <c r="K3230" s="51"/>
      <c r="L3230" s="51"/>
      <c r="M3230" s="51"/>
      <c r="N3230" s="51"/>
      <c r="O3230" s="52"/>
      <c r="P3230" s="51"/>
      <c r="Q3230" s="51"/>
      <c r="R3230" s="51"/>
      <c r="S3230" s="51"/>
      <c r="T3230" s="51"/>
      <c r="AR3230" s="51"/>
      <c r="AS3230" s="51"/>
    </row>
    <row r="3231" spans="1:45" s="520" customFormat="1" ht="39.9" customHeight="1">
      <c r="A3231" s="51"/>
      <c r="B3231" s="51"/>
      <c r="C3231" s="51"/>
      <c r="D3231" s="1453" t="s">
        <v>1602</v>
      </c>
      <c r="E3231" s="1452"/>
      <c r="F3231" s="1452"/>
      <c r="G3231" s="1452"/>
      <c r="H3231" s="1452"/>
      <c r="I3231" s="1452"/>
      <c r="J3231" s="1452"/>
      <c r="K3231" s="1452"/>
      <c r="L3231" s="1452"/>
      <c r="M3231" s="1452"/>
      <c r="N3231" s="1452"/>
      <c r="O3231" s="1452"/>
      <c r="P3231" s="1452"/>
      <c r="Q3231" s="1452"/>
      <c r="R3231" s="1452"/>
      <c r="S3231" s="1452"/>
      <c r="T3231" s="1452"/>
      <c r="AR3231" s="51"/>
    </row>
    <row r="3232" spans="1:45" s="3" customFormat="1" thickBot="1">
      <c r="A3232" s="531"/>
      <c r="O3232" s="107"/>
      <c r="AR3232" s="531"/>
    </row>
    <row r="3233" spans="1:45" s="520" customFormat="1" thickTop="1">
      <c r="A3233" s="51"/>
      <c r="B3233" s="51"/>
      <c r="C3233" s="3"/>
      <c r="D3233" s="3"/>
      <c r="E3233" s="51"/>
      <c r="F3233" s="51"/>
      <c r="G3233" s="51"/>
      <c r="H3233" s="51"/>
      <c r="I3233" s="51"/>
      <c r="J3233" s="51"/>
      <c r="K3233" s="51" t="s">
        <v>134</v>
      </c>
      <c r="L3233" s="51"/>
      <c r="M3233" s="51"/>
      <c r="N3233" s="51"/>
      <c r="O3233" s="52"/>
      <c r="P3233" s="51"/>
      <c r="Q3233" s="51"/>
      <c r="R3233" s="51"/>
      <c r="S3233" s="51"/>
      <c r="T3233" s="51"/>
      <c r="AR3233" s="51"/>
      <c r="AS3233" s="51"/>
    </row>
    <row r="3234" spans="1:45" s="520" customFormat="1" ht="12">
      <c r="A3234" s="51"/>
      <c r="B3234" s="51"/>
      <c r="C3234" s="51" t="s">
        <v>135</v>
      </c>
      <c r="D3234" s="37"/>
      <c r="E3234" s="51"/>
      <c r="F3234" s="51"/>
      <c r="G3234" s="51"/>
      <c r="H3234" s="51"/>
      <c r="I3234" s="51"/>
      <c r="J3234" s="51"/>
      <c r="K3234" s="51"/>
      <c r="L3234" s="51"/>
      <c r="M3234" s="51"/>
      <c r="N3234" s="51"/>
      <c r="O3234" s="52"/>
      <c r="P3234" s="51"/>
      <c r="Q3234" s="51"/>
      <c r="R3234" s="51"/>
      <c r="S3234" s="51"/>
      <c r="T3234" s="51"/>
      <c r="AR3234" s="51"/>
      <c r="AS3234" s="51"/>
    </row>
    <row r="3235" spans="1:45" s="520" customFormat="1" ht="12">
      <c r="A3235" s="51"/>
      <c r="B3235" s="51"/>
      <c r="C3235" s="51"/>
      <c r="D3235" s="37" t="s">
        <v>786</v>
      </c>
      <c r="E3235" s="51"/>
      <c r="F3235" s="51"/>
      <c r="G3235" s="51"/>
      <c r="H3235" s="51"/>
      <c r="I3235" s="51"/>
      <c r="J3235" s="51"/>
      <c r="K3235" s="51"/>
      <c r="L3235" s="51"/>
      <c r="M3235" s="51"/>
      <c r="N3235" s="51"/>
      <c r="O3235" s="52"/>
      <c r="P3235" s="51"/>
      <c r="Q3235" s="51"/>
      <c r="R3235" s="51"/>
      <c r="S3235" s="38"/>
      <c r="T3235" s="38"/>
      <c r="AR3235" s="51"/>
      <c r="AS3235" s="51"/>
    </row>
    <row r="3236" spans="1:45" s="3" customFormat="1" thickBot="1">
      <c r="A3236" s="531"/>
      <c r="O3236" s="107"/>
      <c r="AR3236" s="531"/>
    </row>
    <row r="3237" spans="1:45" s="520" customFormat="1" ht="12" thickTop="1">
      <c r="A3237" s="51"/>
      <c r="B3237" s="41"/>
      <c r="C3237" s="51"/>
      <c r="E3237" s="42" t="s">
        <v>138</v>
      </c>
      <c r="F3237" s="42" t="s">
        <v>139</v>
      </c>
      <c r="G3237" s="51"/>
      <c r="H3237" s="51"/>
      <c r="I3237" s="51"/>
      <c r="J3237" s="51"/>
      <c r="K3237" s="51" t="s">
        <v>140</v>
      </c>
      <c r="L3237" s="51"/>
      <c r="M3237" s="51"/>
      <c r="N3237" s="51"/>
      <c r="O3237" s="52"/>
      <c r="P3237" s="51"/>
      <c r="Q3237" s="51"/>
      <c r="R3237" s="51"/>
      <c r="S3237" s="51"/>
      <c r="T3237" s="41"/>
      <c r="AG3237" s="521" t="s">
        <v>268</v>
      </c>
      <c r="AH3237" s="521" t="s">
        <v>269</v>
      </c>
      <c r="AI3237" s="521" t="s">
        <v>270</v>
      </c>
      <c r="AJ3237" s="521" t="s">
        <v>271</v>
      </c>
      <c r="AK3237" s="521" t="s">
        <v>272</v>
      </c>
      <c r="AM3237" s="745" t="s">
        <v>281</v>
      </c>
      <c r="AN3237" s="746" t="s">
        <v>282</v>
      </c>
      <c r="AO3237" s="522" t="s">
        <v>278</v>
      </c>
      <c r="AR3237" s="51"/>
      <c r="AS3237" s="42" t="s">
        <v>139</v>
      </c>
    </row>
    <row r="3238" spans="1:45" s="520" customFormat="1" ht="12" customHeight="1">
      <c r="A3238" s="747">
        <v>2</v>
      </c>
      <c r="B3238" s="523" t="s">
        <v>141</v>
      </c>
      <c r="C3238" s="748"/>
      <c r="D3238" s="749" t="s">
        <v>1635</v>
      </c>
      <c r="E3238" s="750">
        <f ca="1">IF(AND($A3238=0,$A$1="DIF"),0, ROUND(ROUND(($R3243*$S$2+($T3243*$T$2))/A3238,2)*$C$2,2))</f>
        <v>208.63</v>
      </c>
      <c r="F3238" s="751">
        <f ca="1">ROUND($A3238*$E3238,2)</f>
        <v>417.26</v>
      </c>
      <c r="G3238" s="752" t="s">
        <v>142</v>
      </c>
      <c r="H3238" s="753"/>
      <c r="I3238" s="754"/>
      <c r="J3238" s="753"/>
      <c r="K3238" s="753" t="s">
        <v>3</v>
      </c>
      <c r="L3238" s="755" t="s">
        <v>143</v>
      </c>
      <c r="M3238" s="755"/>
      <c r="N3238" s="755"/>
      <c r="O3238" s="755"/>
      <c r="P3238" s="755"/>
      <c r="Q3238" s="51"/>
      <c r="T3238" s="756" t="str">
        <f ca="1">IF(AND($R3243=0,$T3243=0),"0.00","mu :" &amp; ROUND($F3238/$C$2/($R3243+$T3243*$D$9),2))</f>
        <v>mu :1.23</v>
      </c>
      <c r="W3238" s="524"/>
      <c r="AG3238" s="481">
        <f ca="1">IF($E3238=0,0,ROUND($R3243*$S$2*$C$2/$A3238,2))</f>
        <v>91.64</v>
      </c>
      <c r="AH3238" s="481">
        <f ca="1">$AG3238*$A3238</f>
        <v>183.28</v>
      </c>
      <c r="AI3238" s="525">
        <f ca="1">$E3238-$AG3238</f>
        <v>116.99</v>
      </c>
      <c r="AJ3238" s="525">
        <f ca="1">$A3238*$AI3238</f>
        <v>233.98</v>
      </c>
      <c r="AK3238" s="526">
        <f ca="1">ROUND(($AG3238+$AI3238)*$A3238,2)</f>
        <v>417.26</v>
      </c>
      <c r="AM3238" s="527">
        <f ca="1">ROUND(R3243,2)</f>
        <v>148.84</v>
      </c>
      <c r="AN3238" s="528">
        <f ca="1">ROUND(T3243,2)</f>
        <v>6.92</v>
      </c>
      <c r="AO3238" s="529">
        <f ca="1">ROUND(AM3238+AN3238,2)*A3238</f>
        <v>311.52</v>
      </c>
      <c r="AR3238" s="747">
        <v>2</v>
      </c>
      <c r="AS3238" s="751">
        <v>442.96</v>
      </c>
    </row>
    <row r="3239" spans="1:45" s="520" customFormat="1" ht="13.2">
      <c r="A3239" s="748"/>
      <c r="B3239"/>
      <c r="C3239" s="748"/>
      <c r="D3239" s="749" t="s">
        <v>756</v>
      </c>
      <c r="F3239" s="753"/>
      <c r="G3239" s="3"/>
      <c r="H3239" s="753"/>
      <c r="I3239" s="754"/>
      <c r="J3239" s="753"/>
      <c r="K3239" s="753" t="s">
        <v>144</v>
      </c>
      <c r="L3239" s="753"/>
      <c r="M3239" s="753"/>
      <c r="N3239" s="753"/>
      <c r="O3239" s="753"/>
      <c r="P3239" s="753"/>
      <c r="Q3239" s="51"/>
      <c r="R3239" s="530"/>
      <c r="S3239" s="757"/>
      <c r="T3239" s="753"/>
      <c r="AR3239" s="748"/>
      <c r="AS3239" s="753"/>
    </row>
    <row r="3240" spans="1:45" s="886" customFormat="1" ht="13.2">
      <c r="A3240"/>
      <c r="B3240" s="910"/>
      <c r="C3240" s="910" t="s">
        <v>2597</v>
      </c>
      <c r="D3240" s="910" t="str">
        <f ca="1">CELL("Address",Elec_Rates!D$134)</f>
        <v>[E25_0062_Quintano_Foods_Elec_ELV_As_Awarded.xlsx]Elec_Rates!$D$134</v>
      </c>
      <c r="E3240" s="911"/>
      <c r="F3240" s="911"/>
      <c r="G3240" s="912" t="s">
        <v>2598</v>
      </c>
      <c r="H3240" s="912"/>
      <c r="I3240" s="912"/>
      <c r="J3240" s="912"/>
      <c r="K3240" s="913"/>
      <c r="L3240" s="911"/>
      <c r="M3240" s="911"/>
      <c r="N3240" s="911"/>
      <c r="O3240" s="914"/>
      <c r="P3240" s="911"/>
      <c r="Q3240" s="915"/>
      <c r="R3240" s="916"/>
      <c r="S3240" s="915"/>
      <c r="T3240" s="917"/>
      <c r="U3240" s="918"/>
      <c r="AR3240"/>
      <c r="AS3240" s="911"/>
    </row>
    <row r="3241" spans="1:45" s="886" customFormat="1" ht="11.4">
      <c r="A3241" s="919">
        <v>2</v>
      </c>
      <c r="B3241" s="920">
        <v>1</v>
      </c>
      <c r="C3241" s="920">
        <f>$A3241*$B3241</f>
        <v>2</v>
      </c>
      <c r="D3241" s="921" t="str">
        <f>Elec_Rates!$D$134</f>
        <v>012# Single phase isolator / socket outlet point Galvanised conduit</v>
      </c>
      <c r="E3241" s="921"/>
      <c r="F3241" s="921" t="s">
        <v>2599</v>
      </c>
      <c r="G3241" s="922" t="s">
        <v>2600</v>
      </c>
      <c r="H3241" s="922"/>
      <c r="I3241" s="922"/>
      <c r="J3241" s="922"/>
      <c r="K3241" s="923"/>
      <c r="L3241" s="918"/>
      <c r="M3241" s="918"/>
      <c r="N3241" s="918"/>
      <c r="O3241" s="924"/>
      <c r="P3241" s="921"/>
      <c r="Q3241" s="925">
        <f ca="1">$B3241*Elec_Rates!$R$134</f>
        <v>74.42</v>
      </c>
      <c r="R3241" s="916">
        <f ca="1">$A3241*Q3241</f>
        <v>148.84</v>
      </c>
      <c r="S3241" s="925">
        <f ca="1">$B3241*Elec_Rates!$T$134</f>
        <v>3.46</v>
      </c>
      <c r="T3241" s="917">
        <f ca="1">$A3241*S3241</f>
        <v>6.92</v>
      </c>
      <c r="U3241" s="926"/>
      <c r="AR3241" s="919">
        <v>2</v>
      </c>
      <c r="AS3241" s="921" t="s">
        <v>2599</v>
      </c>
    </row>
    <row r="3242" spans="1:45" s="520" customFormat="1" ht="12">
      <c r="A3242" s="758"/>
      <c r="B3242" s="758"/>
      <c r="C3242" s="758"/>
      <c r="D3242" s="758"/>
      <c r="E3242" s="758"/>
      <c r="F3242" s="753"/>
      <c r="G3242" s="758"/>
      <c r="H3242" s="758"/>
      <c r="I3242" s="519"/>
      <c r="J3242" s="758"/>
      <c r="K3242" s="758"/>
      <c r="L3242" s="758"/>
      <c r="M3242" s="758"/>
      <c r="N3242" s="758"/>
      <c r="O3242" s="758"/>
      <c r="P3242" s="758"/>
      <c r="Q3242" s="519"/>
      <c r="R3242" s="759">
        <f>$A3242*Q3242</f>
        <v>0</v>
      </c>
      <c r="S3242" s="519"/>
      <c r="T3242" s="760">
        <f>$A3242*S3242*$T$1</f>
        <v>0</v>
      </c>
      <c r="AR3242" s="758"/>
      <c r="AS3242" s="753"/>
    </row>
    <row r="3243" spans="1:45" s="520" customFormat="1" ht="12.6" thickBot="1">
      <c r="A3243" s="761" t="s">
        <v>145</v>
      </c>
      <c r="B3243" s="762">
        <f>(R3242+T3242)</f>
        <v>0</v>
      </c>
      <c r="C3243" s="763"/>
      <c r="D3243" s="763"/>
      <c r="E3243" s="763"/>
      <c r="F3243" s="764"/>
      <c r="G3243" s="763" t="s">
        <v>146</v>
      </c>
      <c r="H3243" s="763"/>
      <c r="I3243" s="765"/>
      <c r="J3243" s="763"/>
      <c r="K3243" s="763" t="s">
        <v>3</v>
      </c>
      <c r="L3243" s="766" t="s">
        <v>143</v>
      </c>
      <c r="M3243" s="766"/>
      <c r="N3243" s="766"/>
      <c r="O3243" s="766"/>
      <c r="P3243" s="766"/>
      <c r="Q3243" s="767"/>
      <c r="R3243" s="768">
        <f ca="1">SUM(R3239:R3242)</f>
        <v>148.84</v>
      </c>
      <c r="S3243" s="763"/>
      <c r="T3243" s="768">
        <f ca="1">SUM(T3239:T3242)</f>
        <v>6.92</v>
      </c>
      <c r="U3243" s="531"/>
      <c r="V3243" s="531"/>
      <c r="W3243" s="531"/>
      <c r="X3243" s="531"/>
      <c r="Y3243" s="531"/>
      <c r="Z3243" s="531"/>
      <c r="AA3243" s="531"/>
      <c r="AB3243" s="531"/>
      <c r="AC3243" s="531"/>
      <c r="AD3243" s="531"/>
      <c r="AE3243" s="531"/>
      <c r="AF3243" s="531"/>
      <c r="AG3243" s="531"/>
      <c r="AH3243" s="531"/>
      <c r="AI3243" s="531"/>
      <c r="AJ3243" s="531"/>
      <c r="AK3243" s="531"/>
      <c r="AL3243" s="531"/>
      <c r="AM3243" s="531"/>
      <c r="AN3243" s="531"/>
      <c r="AO3243" s="531"/>
      <c r="AR3243" s="761" t="s">
        <v>145</v>
      </c>
      <c r="AS3243" s="764"/>
    </row>
    <row r="3244" spans="1:45" s="520" customFormat="1" thickTop="1">
      <c r="A3244" s="51"/>
      <c r="B3244" s="51"/>
      <c r="C3244" s="3"/>
      <c r="D3244" s="3"/>
      <c r="E3244" s="51"/>
      <c r="F3244" s="51"/>
      <c r="G3244" s="51"/>
      <c r="H3244" s="51"/>
      <c r="I3244" s="51"/>
      <c r="J3244" s="51"/>
      <c r="K3244" s="51" t="s">
        <v>134</v>
      </c>
      <c r="L3244" s="51"/>
      <c r="M3244" s="51"/>
      <c r="N3244" s="51"/>
      <c r="O3244" s="52"/>
      <c r="P3244" s="51"/>
      <c r="Q3244" s="51"/>
      <c r="R3244" s="51"/>
      <c r="S3244" s="51"/>
      <c r="T3244" s="51"/>
      <c r="AR3244" s="51"/>
      <c r="AS3244" s="51"/>
    </row>
    <row r="3245" spans="1:45" s="520" customFormat="1" ht="12">
      <c r="A3245" s="51"/>
      <c r="B3245" s="51"/>
      <c r="C3245" s="51" t="s">
        <v>135</v>
      </c>
      <c r="D3245" s="37"/>
      <c r="E3245" s="51"/>
      <c r="F3245" s="51"/>
      <c r="G3245" s="51"/>
      <c r="H3245" s="51"/>
      <c r="I3245" s="51"/>
      <c r="J3245" s="51"/>
      <c r="K3245" s="51"/>
      <c r="L3245" s="51"/>
      <c r="M3245" s="51"/>
      <c r="N3245" s="51"/>
      <c r="O3245" s="52"/>
      <c r="P3245" s="51"/>
      <c r="Q3245" s="51"/>
      <c r="R3245" s="51"/>
      <c r="S3245" s="51"/>
      <c r="T3245" s="51"/>
      <c r="AR3245" s="51"/>
      <c r="AS3245" s="51"/>
    </row>
    <row r="3246" spans="1:45" s="520" customFormat="1" ht="12">
      <c r="A3246" s="51"/>
      <c r="B3246" s="51"/>
      <c r="C3246" s="51"/>
      <c r="D3246" s="37" t="s">
        <v>778</v>
      </c>
      <c r="E3246" s="51"/>
      <c r="F3246" s="51"/>
      <c r="G3246" s="51"/>
      <c r="H3246" s="51"/>
      <c r="I3246" s="51"/>
      <c r="J3246" s="51"/>
      <c r="K3246" s="51"/>
      <c r="L3246" s="51"/>
      <c r="M3246" s="51"/>
      <c r="N3246" s="51"/>
      <c r="O3246" s="52"/>
      <c r="P3246" s="51"/>
      <c r="Q3246" s="51"/>
      <c r="R3246" s="51"/>
      <c r="S3246" s="38"/>
      <c r="T3246" s="38"/>
      <c r="AR3246" s="51"/>
      <c r="AS3246" s="51"/>
    </row>
    <row r="3247" spans="1:45" s="3" customFormat="1" thickBot="1">
      <c r="A3247" s="531"/>
      <c r="O3247" s="107"/>
      <c r="AR3247" s="531"/>
    </row>
    <row r="3248" spans="1:45" s="520" customFormat="1" ht="12" thickTop="1">
      <c r="A3248" s="51"/>
      <c r="B3248" s="41"/>
      <c r="C3248" s="51"/>
      <c r="E3248" s="42" t="s">
        <v>138</v>
      </c>
      <c r="F3248" s="42" t="s">
        <v>139</v>
      </c>
      <c r="G3248" s="51"/>
      <c r="H3248" s="51"/>
      <c r="I3248" s="51"/>
      <c r="J3248" s="51"/>
      <c r="K3248" s="51" t="s">
        <v>140</v>
      </c>
      <c r="L3248" s="51"/>
      <c r="M3248" s="51"/>
      <c r="N3248" s="51"/>
      <c r="O3248" s="52"/>
      <c r="P3248" s="51"/>
      <c r="Q3248" s="51"/>
      <c r="R3248" s="51"/>
      <c r="S3248" s="51"/>
      <c r="T3248" s="41"/>
      <c r="AG3248" s="521" t="s">
        <v>268</v>
      </c>
      <c r="AH3248" s="521" t="s">
        <v>269</v>
      </c>
      <c r="AI3248" s="521" t="s">
        <v>270</v>
      </c>
      <c r="AJ3248" s="521" t="s">
        <v>271</v>
      </c>
      <c r="AK3248" s="521" t="s">
        <v>272</v>
      </c>
      <c r="AM3248" s="745" t="s">
        <v>281</v>
      </c>
      <c r="AN3248" s="746" t="s">
        <v>282</v>
      </c>
      <c r="AO3248" s="522" t="s">
        <v>278</v>
      </c>
      <c r="AR3248" s="51"/>
      <c r="AS3248" s="42" t="s">
        <v>139</v>
      </c>
    </row>
    <row r="3249" spans="1:45" s="520" customFormat="1" ht="12" customHeight="1">
      <c r="A3249" s="747">
        <v>2</v>
      </c>
      <c r="B3249" s="523" t="s">
        <v>141</v>
      </c>
      <c r="C3249" s="748"/>
      <c r="D3249" s="749" t="s">
        <v>1636</v>
      </c>
      <c r="E3249" s="750">
        <f ca="1">IF(AND($A3249=0,$A$1="DIF"),0, ROUND(ROUND(($R3254*$S$2+($T3254*$T$2))/A3249,2)*$C$2,2))</f>
        <v>48.45</v>
      </c>
      <c r="F3249" s="751">
        <f ca="1">ROUND($A3249*$E3249,2)</f>
        <v>96.9</v>
      </c>
      <c r="G3249" s="752" t="s">
        <v>142</v>
      </c>
      <c r="H3249" s="753"/>
      <c r="I3249" s="754"/>
      <c r="J3249" s="753"/>
      <c r="K3249" s="753" t="s">
        <v>3</v>
      </c>
      <c r="L3249" s="755" t="s">
        <v>143</v>
      </c>
      <c r="M3249" s="755"/>
      <c r="N3249" s="755"/>
      <c r="O3249" s="755"/>
      <c r="P3249" s="755"/>
      <c r="Q3249" s="51"/>
      <c r="T3249" s="756" t="str">
        <f ca="1">IF(AND($R3254=0,$T3254=0),"0.00","mu :" &amp; ROUND($F3249/$C$2/($R3254+$T3254*$D$9),2))</f>
        <v>mu :1.23</v>
      </c>
      <c r="W3249" s="524"/>
      <c r="AG3249" s="481">
        <f ca="1">IF($E3249=0,0,ROUND($R3254*$S$2*$C$2/$A3249,2))</f>
        <v>31.55</v>
      </c>
      <c r="AH3249" s="481">
        <f ca="1">$AG3249*$A3249</f>
        <v>63.1</v>
      </c>
      <c r="AI3249" s="525">
        <f ca="1">$E3249-$AG3249</f>
        <v>16.900000000000002</v>
      </c>
      <c r="AJ3249" s="525">
        <f ca="1">$A3249*$AI3249</f>
        <v>33.800000000000004</v>
      </c>
      <c r="AK3249" s="526">
        <f ca="1">ROUND(($AG3249+$AI3249)*$A3249,2)</f>
        <v>96.9</v>
      </c>
      <c r="AM3249" s="527">
        <f ca="1">ROUND(R3254,2)</f>
        <v>51.24</v>
      </c>
      <c r="AN3249" s="528">
        <f ca="1">ROUND(T3254,2)</f>
        <v>1</v>
      </c>
      <c r="AO3249" s="529">
        <f ca="1">ROUND(AM3249+AN3249,2)*A3249</f>
        <v>104.48</v>
      </c>
      <c r="AR3249" s="747">
        <v>2</v>
      </c>
      <c r="AS3249" s="751">
        <v>100.28</v>
      </c>
    </row>
    <row r="3250" spans="1:45" s="520" customFormat="1" ht="13.2">
      <c r="A3250" s="748"/>
      <c r="B3250"/>
      <c r="C3250" s="748"/>
      <c r="D3250" s="749" t="s">
        <v>779</v>
      </c>
      <c r="F3250" s="753"/>
      <c r="G3250" s="3"/>
      <c r="H3250" s="753"/>
      <c r="I3250" s="754"/>
      <c r="J3250" s="753"/>
      <c r="K3250" s="753" t="s">
        <v>144</v>
      </c>
      <c r="L3250" s="753"/>
      <c r="M3250" s="753"/>
      <c r="N3250" s="753"/>
      <c r="O3250" s="753"/>
      <c r="P3250" s="753"/>
      <c r="Q3250" s="51"/>
      <c r="R3250" s="530"/>
      <c r="S3250" s="757"/>
      <c r="T3250" s="753"/>
      <c r="AR3250" s="748"/>
      <c r="AS3250" s="753"/>
    </row>
    <row r="3251" spans="1:45" s="520" customFormat="1" ht="12">
      <c r="A3251" s="51"/>
      <c r="B3251" s="758"/>
      <c r="C3251" s="753" t="s">
        <v>2597</v>
      </c>
      <c r="D3251" s="753" t="str">
        <f ca="1">CELL("Address",Elec_Rates!$D$192)</f>
        <v>[E25_0062_Quintano_Foods_Elec_ELV_As_Awarded.xlsx]Elec_Rates!$D$192</v>
      </c>
      <c r="E3251" s="758"/>
      <c r="F3251" s="753"/>
      <c r="G3251" s="1049" t="s">
        <v>2598</v>
      </c>
      <c r="H3251" s="1050"/>
      <c r="I3251" s="1051"/>
      <c r="J3251" s="1050"/>
      <c r="K3251" s="1050"/>
      <c r="L3251" s="758"/>
      <c r="M3251" s="758"/>
      <c r="N3251" s="758"/>
      <c r="O3251" s="758"/>
      <c r="P3251" s="758"/>
      <c r="Q3251" s="519"/>
      <c r="R3251" s="759"/>
      <c r="S3251" s="519"/>
      <c r="T3251" s="760"/>
      <c r="AR3251" s="51"/>
      <c r="AS3251" s="753"/>
    </row>
    <row r="3252" spans="1:45" s="520" customFormat="1" ht="11.4">
      <c r="A3252" s="51">
        <v>2</v>
      </c>
      <c r="B3252" s="519">
        <v>1</v>
      </c>
      <c r="C3252" s="519">
        <f>$A3252*$B3252</f>
        <v>2</v>
      </c>
      <c r="D3252" s="1048" t="str">
        <f>Elec_Rates!$D$192</f>
        <v>018# 1-Phase 25/32A Isolator</v>
      </c>
      <c r="E3252" s="1048"/>
      <c r="F3252" s="1048" t="s">
        <v>2733</v>
      </c>
      <c r="G3252" s="1050" t="s">
        <v>2600</v>
      </c>
      <c r="H3252" s="1050"/>
      <c r="I3252" s="1051"/>
      <c r="J3252" s="1050"/>
      <c r="K3252" s="1050"/>
      <c r="L3252" s="758"/>
      <c r="M3252" s="758"/>
      <c r="N3252" s="758"/>
      <c r="O3252" s="758"/>
      <c r="P3252" s="758"/>
      <c r="Q3252" s="1052">
        <f ca="1">$B3252*Elec_Rates!$R$192</f>
        <v>25.62</v>
      </c>
      <c r="R3252" s="759">
        <f ca="1">$A3252*Q3252</f>
        <v>51.24</v>
      </c>
      <c r="S3252" s="1052">
        <f ca="1">$B3252*Elec_Rates!$T$192</f>
        <v>0.5</v>
      </c>
      <c r="T3252" s="917">
        <f ca="1">$A3252*S3252</f>
        <v>1</v>
      </c>
      <c r="AR3252" s="51">
        <v>2</v>
      </c>
      <c r="AS3252" s="1048" t="s">
        <v>2733</v>
      </c>
    </row>
    <row r="3253" spans="1:45" s="520" customFormat="1" ht="12">
      <c r="A3253" s="758"/>
      <c r="B3253" s="758"/>
      <c r="C3253" s="758"/>
      <c r="D3253" s="758"/>
      <c r="E3253" s="758"/>
      <c r="F3253" s="753"/>
      <c r="G3253" s="758"/>
      <c r="H3253" s="758"/>
      <c r="I3253" s="519"/>
      <c r="J3253" s="758"/>
      <c r="K3253" s="758"/>
      <c r="L3253" s="758"/>
      <c r="M3253" s="758"/>
      <c r="N3253" s="758"/>
      <c r="O3253" s="758"/>
      <c r="P3253" s="758"/>
      <c r="Q3253" s="519"/>
      <c r="R3253" s="759">
        <f>$A3253*Q3253</f>
        <v>0</v>
      </c>
      <c r="S3253" s="519"/>
      <c r="T3253" s="760">
        <f>$A3253*S3253*$T$1</f>
        <v>0</v>
      </c>
      <c r="AR3253" s="758"/>
      <c r="AS3253" s="753"/>
    </row>
    <row r="3254" spans="1:45" s="520" customFormat="1" ht="12.6" thickBot="1">
      <c r="A3254" s="761" t="s">
        <v>145</v>
      </c>
      <c r="B3254" s="762">
        <f>(R3253+T3253)</f>
        <v>0</v>
      </c>
      <c r="C3254" s="763"/>
      <c r="D3254" s="763"/>
      <c r="E3254" s="763"/>
      <c r="F3254" s="764"/>
      <c r="G3254" s="763" t="s">
        <v>146</v>
      </c>
      <c r="H3254" s="763"/>
      <c r="I3254" s="765"/>
      <c r="J3254" s="763"/>
      <c r="K3254" s="763" t="s">
        <v>3</v>
      </c>
      <c r="L3254" s="766" t="s">
        <v>143</v>
      </c>
      <c r="M3254" s="766"/>
      <c r="N3254" s="766"/>
      <c r="O3254" s="766"/>
      <c r="P3254" s="766"/>
      <c r="Q3254" s="767"/>
      <c r="R3254" s="768">
        <f ca="1">SUM(R3250:R3253)</f>
        <v>51.24</v>
      </c>
      <c r="S3254" s="763"/>
      <c r="T3254" s="768">
        <f ca="1">SUM(T3250:T3253)</f>
        <v>1</v>
      </c>
      <c r="U3254" s="531"/>
      <c r="V3254" s="531"/>
      <c r="W3254" s="531"/>
      <c r="X3254" s="531"/>
      <c r="Y3254" s="531"/>
      <c r="Z3254" s="531"/>
      <c r="AA3254" s="531"/>
      <c r="AB3254" s="531"/>
      <c r="AC3254" s="531"/>
      <c r="AD3254" s="531"/>
      <c r="AE3254" s="531"/>
      <c r="AF3254" s="531"/>
      <c r="AG3254" s="531"/>
      <c r="AH3254" s="531"/>
      <c r="AI3254" s="531"/>
      <c r="AJ3254" s="531"/>
      <c r="AK3254" s="531"/>
      <c r="AL3254" s="531"/>
      <c r="AM3254" s="531"/>
      <c r="AN3254" s="531"/>
      <c r="AO3254" s="531"/>
      <c r="AR3254" s="761" t="s">
        <v>145</v>
      </c>
      <c r="AS3254" s="764"/>
    </row>
    <row r="3255" spans="1:45" s="520" customFormat="1" thickTop="1">
      <c r="A3255" s="51"/>
      <c r="B3255" s="51"/>
      <c r="C3255" s="3"/>
      <c r="D3255" s="3"/>
      <c r="E3255" s="51"/>
      <c r="F3255" s="51"/>
      <c r="G3255" s="51"/>
      <c r="H3255" s="51"/>
      <c r="I3255" s="51"/>
      <c r="J3255" s="51"/>
      <c r="K3255" s="51" t="s">
        <v>134</v>
      </c>
      <c r="L3255" s="51"/>
      <c r="M3255" s="51"/>
      <c r="N3255" s="51"/>
      <c r="O3255" s="52"/>
      <c r="P3255" s="51"/>
      <c r="Q3255" s="51"/>
      <c r="R3255" s="51"/>
      <c r="S3255" s="51"/>
      <c r="T3255" s="51"/>
      <c r="AR3255" s="51"/>
      <c r="AS3255" s="51"/>
    </row>
    <row r="3256" spans="1:45" s="520" customFormat="1" ht="12">
      <c r="A3256" s="51"/>
      <c r="B3256" s="51"/>
      <c r="C3256" s="51" t="s">
        <v>135</v>
      </c>
      <c r="D3256" s="37"/>
      <c r="E3256" s="51"/>
      <c r="F3256" s="51"/>
      <c r="G3256" s="51"/>
      <c r="H3256" s="51"/>
      <c r="I3256" s="51"/>
      <c r="J3256" s="51"/>
      <c r="K3256" s="51"/>
      <c r="L3256" s="51"/>
      <c r="M3256" s="51"/>
      <c r="N3256" s="51"/>
      <c r="O3256" s="52"/>
      <c r="P3256" s="51"/>
      <c r="Q3256" s="51"/>
      <c r="R3256" s="51"/>
      <c r="S3256" s="51"/>
      <c r="T3256" s="51"/>
      <c r="AR3256" s="51"/>
      <c r="AS3256" s="51"/>
    </row>
    <row r="3257" spans="1:45" s="520" customFormat="1" ht="39.9" customHeight="1">
      <c r="A3257" s="51"/>
      <c r="B3257" s="51"/>
      <c r="C3257" s="51"/>
      <c r="D3257" s="1453" t="s">
        <v>1602</v>
      </c>
      <c r="E3257" s="1452"/>
      <c r="F3257" s="1452"/>
      <c r="G3257" s="1452"/>
      <c r="H3257" s="1452"/>
      <c r="I3257" s="1452"/>
      <c r="J3257" s="1452"/>
      <c r="K3257" s="1452"/>
      <c r="L3257" s="1452"/>
      <c r="M3257" s="1452"/>
      <c r="N3257" s="1452"/>
      <c r="O3257" s="1452"/>
      <c r="P3257" s="1452"/>
      <c r="Q3257" s="1452"/>
      <c r="R3257" s="1452"/>
      <c r="S3257" s="1452"/>
      <c r="T3257" s="1452"/>
      <c r="AR3257" s="51"/>
    </row>
    <row r="3258" spans="1:45" s="3" customFormat="1" thickBot="1">
      <c r="A3258" s="531"/>
      <c r="O3258" s="107"/>
      <c r="AR3258" s="531"/>
    </row>
    <row r="3259" spans="1:45" s="520" customFormat="1" thickTop="1">
      <c r="A3259" s="51"/>
      <c r="B3259" s="51"/>
      <c r="C3259" s="3"/>
      <c r="D3259" s="3"/>
      <c r="E3259" s="51"/>
      <c r="F3259" s="51"/>
      <c r="G3259" s="51"/>
      <c r="H3259" s="51"/>
      <c r="I3259" s="51"/>
      <c r="J3259" s="51"/>
      <c r="K3259" s="51" t="s">
        <v>134</v>
      </c>
      <c r="L3259" s="51"/>
      <c r="M3259" s="51"/>
      <c r="N3259" s="51"/>
      <c r="O3259" s="52"/>
      <c r="P3259" s="51"/>
      <c r="Q3259" s="51"/>
      <c r="R3259" s="51"/>
      <c r="S3259" s="51"/>
      <c r="T3259" s="51"/>
      <c r="AR3259" s="51"/>
      <c r="AS3259" s="51"/>
    </row>
    <row r="3260" spans="1:45" s="520" customFormat="1" ht="12">
      <c r="A3260" s="51"/>
      <c r="B3260" s="51"/>
      <c r="C3260" s="51" t="s">
        <v>135</v>
      </c>
      <c r="D3260" s="37"/>
      <c r="E3260" s="51"/>
      <c r="F3260" s="51"/>
      <c r="G3260" s="51"/>
      <c r="H3260" s="51"/>
      <c r="I3260" s="51"/>
      <c r="J3260" s="51"/>
      <c r="K3260" s="51"/>
      <c r="L3260" s="51"/>
      <c r="M3260" s="51"/>
      <c r="N3260" s="51"/>
      <c r="O3260" s="52"/>
      <c r="P3260" s="51"/>
      <c r="Q3260" s="51"/>
      <c r="R3260" s="51"/>
      <c r="S3260" s="51"/>
      <c r="T3260" s="51"/>
      <c r="AR3260" s="51"/>
      <c r="AS3260" s="51"/>
    </row>
    <row r="3261" spans="1:45" s="520" customFormat="1" ht="12">
      <c r="A3261" s="51"/>
      <c r="B3261" s="51"/>
      <c r="C3261" s="51"/>
      <c r="D3261" s="37" t="s">
        <v>787</v>
      </c>
      <c r="E3261" s="51"/>
      <c r="F3261" s="51"/>
      <c r="G3261" s="51"/>
      <c r="H3261" s="51"/>
      <c r="I3261" s="51"/>
      <c r="J3261" s="51"/>
      <c r="K3261" s="51"/>
      <c r="L3261" s="51"/>
      <c r="M3261" s="51"/>
      <c r="N3261" s="51"/>
      <c r="O3261" s="52"/>
      <c r="P3261" s="51"/>
      <c r="Q3261" s="51"/>
      <c r="R3261" s="51"/>
      <c r="S3261" s="38"/>
      <c r="T3261" s="38"/>
      <c r="AR3261" s="51"/>
      <c r="AS3261" s="51"/>
    </row>
    <row r="3262" spans="1:45" s="3" customFormat="1" thickBot="1">
      <c r="A3262" s="531"/>
      <c r="O3262" s="107"/>
      <c r="AR3262" s="531"/>
    </row>
    <row r="3263" spans="1:45" s="520" customFormat="1" ht="12" thickTop="1">
      <c r="A3263" s="51"/>
      <c r="B3263" s="41"/>
      <c r="C3263" s="51"/>
      <c r="E3263" s="42" t="s">
        <v>138</v>
      </c>
      <c r="F3263" s="42" t="s">
        <v>139</v>
      </c>
      <c r="G3263" s="51"/>
      <c r="H3263" s="51"/>
      <c r="I3263" s="51"/>
      <c r="J3263" s="51"/>
      <c r="K3263" s="51" t="s">
        <v>140</v>
      </c>
      <c r="L3263" s="51"/>
      <c r="M3263" s="51"/>
      <c r="N3263" s="51"/>
      <c r="O3263" s="52"/>
      <c r="P3263" s="51"/>
      <c r="Q3263" s="51"/>
      <c r="R3263" s="51"/>
      <c r="S3263" s="51"/>
      <c r="T3263" s="41"/>
      <c r="AG3263" s="521" t="s">
        <v>268</v>
      </c>
      <c r="AH3263" s="521" t="s">
        <v>269</v>
      </c>
      <c r="AI3263" s="521" t="s">
        <v>270</v>
      </c>
      <c r="AJ3263" s="521" t="s">
        <v>271</v>
      </c>
      <c r="AK3263" s="521" t="s">
        <v>272</v>
      </c>
      <c r="AM3263" s="745" t="s">
        <v>281</v>
      </c>
      <c r="AN3263" s="746" t="s">
        <v>282</v>
      </c>
      <c r="AO3263" s="522" t="s">
        <v>278</v>
      </c>
      <c r="AR3263" s="51"/>
      <c r="AS3263" s="42" t="s">
        <v>139</v>
      </c>
    </row>
    <row r="3264" spans="1:45" s="520" customFormat="1" ht="12" customHeight="1">
      <c r="A3264" s="747">
        <v>2</v>
      </c>
      <c r="B3264" s="523" t="s">
        <v>141</v>
      </c>
      <c r="C3264" s="748"/>
      <c r="D3264" s="749" t="s">
        <v>1637</v>
      </c>
      <c r="E3264" s="750">
        <f ca="1">IF(AND($A3264=0,$A$1="DIF"),0, ROUND(ROUND(($R3270*$S$2+($T3270*$T$2))/A3264,2)*$C$2,2))</f>
        <v>196.52</v>
      </c>
      <c r="F3264" s="751">
        <f ca="1">ROUND($A3264*$E3264,2)</f>
        <v>393.04</v>
      </c>
      <c r="G3264" s="752" t="s">
        <v>142</v>
      </c>
      <c r="H3264" s="753"/>
      <c r="I3264" s="754"/>
      <c r="J3264" s="753"/>
      <c r="K3264" s="753" t="s">
        <v>3</v>
      </c>
      <c r="L3264" s="755" t="s">
        <v>143</v>
      </c>
      <c r="M3264" s="755"/>
      <c r="N3264" s="755"/>
      <c r="O3264" s="755"/>
      <c r="P3264" s="755"/>
      <c r="Q3264" s="51"/>
      <c r="T3264" s="756" t="str">
        <f ca="1">IF(AND($R3270=0,$T3270=0),"0.00","mu :" &amp; ROUND($F3264/$C$2/($R3270+$T3270*$D$9),2))</f>
        <v>mu :1.23</v>
      </c>
      <c r="W3264" s="524"/>
      <c r="AG3264" s="481">
        <f ca="1">IF($E3264=0,0,ROUND($R3270*$S$2*$C$2/$A3264,2))</f>
        <v>89.24</v>
      </c>
      <c r="AH3264" s="481">
        <f ca="1">$AG3264*$A3264</f>
        <v>178.48</v>
      </c>
      <c r="AI3264" s="525">
        <f ca="1">$E3264-$AG3264</f>
        <v>107.28000000000002</v>
      </c>
      <c r="AJ3264" s="525">
        <f ca="1">$A3264*$AI3264</f>
        <v>214.56000000000003</v>
      </c>
      <c r="AK3264" s="526">
        <f ca="1">ROUND(($AG3264+$AI3264)*$A3264,2)</f>
        <v>393.04</v>
      </c>
      <c r="AM3264" s="527">
        <f ca="1">ROUND(R3270,2)</f>
        <v>144.94</v>
      </c>
      <c r="AN3264" s="528">
        <f ca="1">ROUND(T3270,2)</f>
        <v>6.35</v>
      </c>
      <c r="AO3264" s="529">
        <f ca="1">ROUND(AM3264+AN3264,2)*A3264</f>
        <v>302.58</v>
      </c>
      <c r="AR3264" s="747">
        <v>2</v>
      </c>
      <c r="AS3264" s="751">
        <v>416.52</v>
      </c>
    </row>
    <row r="3265" spans="1:45" s="520" customFormat="1" ht="13.2">
      <c r="A3265" s="748"/>
      <c r="B3265"/>
      <c r="C3265" s="748"/>
      <c r="D3265" s="749" t="s">
        <v>788</v>
      </c>
      <c r="F3265" s="753"/>
      <c r="G3265" s="3"/>
      <c r="H3265" s="753"/>
      <c r="I3265" s="754"/>
      <c r="J3265" s="753"/>
      <c r="K3265" s="753" t="s">
        <v>144</v>
      </c>
      <c r="L3265" s="753"/>
      <c r="M3265" s="753"/>
      <c r="N3265" s="753"/>
      <c r="O3265" s="753"/>
      <c r="P3265" s="753"/>
      <c r="Q3265" s="51"/>
      <c r="R3265" s="530"/>
      <c r="S3265" s="757"/>
      <c r="T3265" s="753"/>
      <c r="AR3265" s="748"/>
      <c r="AS3265" s="753"/>
    </row>
    <row r="3266" spans="1:45" s="886" customFormat="1" ht="16.350000000000001" customHeight="1">
      <c r="A3266"/>
      <c r="B3266" s="910"/>
      <c r="C3266" s="910" t="s">
        <v>2597</v>
      </c>
      <c r="D3266" s="910" t="str">
        <f ca="1">CELL("Address",Elec_Rates!D$112)</f>
        <v>[E25_0062_Quintano_Foods_Elec_ELV_As_Awarded.xlsx]Elec_Rates!$D$112</v>
      </c>
      <c r="E3266" s="911"/>
      <c r="F3266" s="911"/>
      <c r="G3266" s="912" t="s">
        <v>2598</v>
      </c>
      <c r="H3266" s="912"/>
      <c r="I3266" s="912"/>
      <c r="J3266" s="912"/>
      <c r="K3266" s="913"/>
      <c r="L3266" s="911"/>
      <c r="M3266" s="911"/>
      <c r="N3266" s="911"/>
      <c r="O3266" s="914"/>
      <c r="P3266" s="911"/>
      <c r="Q3266" s="915"/>
      <c r="R3266" s="916"/>
      <c r="S3266" s="915"/>
      <c r="T3266" s="917"/>
      <c r="U3266" s="918"/>
      <c r="AR3266"/>
      <c r="AS3266" s="911"/>
    </row>
    <row r="3267" spans="1:45" s="886" customFormat="1" ht="11.4">
      <c r="A3267" s="919">
        <v>2</v>
      </c>
      <c r="B3267" s="920">
        <v>1</v>
      </c>
      <c r="C3267" s="920">
        <f>$A3267*$B3267</f>
        <v>2</v>
      </c>
      <c r="D3267" s="921" t="str">
        <f>Elec_Rates!$D$112</f>
        <v>009# Power points rate (Galvanised conduit)</v>
      </c>
      <c r="E3267" s="921"/>
      <c r="F3267" s="921" t="s">
        <v>2599</v>
      </c>
      <c r="G3267" s="922" t="s">
        <v>2601</v>
      </c>
      <c r="H3267" s="922"/>
      <c r="I3267" s="922"/>
      <c r="J3267" s="922"/>
      <c r="K3267" s="923"/>
      <c r="L3267" s="918"/>
      <c r="M3267" s="918"/>
      <c r="N3267" s="918"/>
      <c r="O3267" s="924"/>
      <c r="P3267" s="921"/>
      <c r="Q3267" s="925">
        <f ca="1">$B3267*Elec_Rates!$R$112</f>
        <v>64.069999999999993</v>
      </c>
      <c r="R3267" s="916">
        <f ca="1">$A3267*Q3267</f>
        <v>128.13999999999999</v>
      </c>
      <c r="S3267" s="925">
        <f ca="1">$B3267*Elec_Rates!$T$112</f>
        <v>3.02</v>
      </c>
      <c r="T3267" s="917">
        <f ca="1">$A3267*S3267</f>
        <v>6.04</v>
      </c>
      <c r="U3267" s="926"/>
      <c r="AR3267" s="919">
        <v>2</v>
      </c>
      <c r="AS3267" s="921" t="s">
        <v>2599</v>
      </c>
    </row>
    <row r="3268" spans="1:45" s="901" customFormat="1" ht="13.2">
      <c r="A3268" s="116">
        <v>2</v>
      </c>
      <c r="B3268" s="901" t="s">
        <v>141</v>
      </c>
      <c r="D3268" s="901" t="s">
        <v>2870</v>
      </c>
      <c r="E3268" s="901" t="s">
        <v>3424</v>
      </c>
      <c r="F3268" s="1054" t="s">
        <v>3433</v>
      </c>
      <c r="G3268" s="941" t="s">
        <v>2871</v>
      </c>
      <c r="H3268" s="942">
        <v>705</v>
      </c>
      <c r="I3268" s="901" t="s">
        <v>2872</v>
      </c>
      <c r="J3268" s="901" t="s">
        <v>2873</v>
      </c>
      <c r="O3268" s="943">
        <v>3</v>
      </c>
      <c r="P3268" s="944">
        <v>34669</v>
      </c>
      <c r="Q3268" s="945">
        <v>8.4</v>
      </c>
      <c r="R3268" s="946">
        <f>$A3268*Q3268</f>
        <v>16.8</v>
      </c>
      <c r="S3268" s="945">
        <v>0.17</v>
      </c>
      <c r="T3268" s="947">
        <f>$A3268*S3268*$T$1</f>
        <v>0.30600000000000005</v>
      </c>
      <c r="AR3268" s="116">
        <v>2</v>
      </c>
      <c r="AS3268" s="1054" t="s">
        <v>3433</v>
      </c>
    </row>
    <row r="3269" spans="1:45" s="520" customFormat="1" ht="12">
      <c r="A3269" s="758"/>
      <c r="B3269" s="758"/>
      <c r="C3269" s="758"/>
      <c r="D3269" s="758"/>
      <c r="E3269" s="758"/>
      <c r="F3269" s="753"/>
      <c r="G3269" s="758"/>
      <c r="H3269" s="758"/>
      <c r="I3269" s="519"/>
      <c r="J3269" s="758"/>
      <c r="K3269" s="758"/>
      <c r="L3269" s="758"/>
      <c r="M3269" s="758"/>
      <c r="N3269" s="758"/>
      <c r="O3269" s="758"/>
      <c r="P3269" s="758"/>
      <c r="Q3269" s="519"/>
      <c r="R3269" s="759">
        <f>$A3269*Q3269</f>
        <v>0</v>
      </c>
      <c r="S3269" s="519"/>
      <c r="T3269" s="760">
        <f>$A3269*S3269*$T$1</f>
        <v>0</v>
      </c>
      <c r="AR3269" s="758"/>
      <c r="AS3269" s="753"/>
    </row>
    <row r="3270" spans="1:45" s="520" customFormat="1" ht="12.6" thickBot="1">
      <c r="A3270" s="761" t="s">
        <v>145</v>
      </c>
      <c r="B3270" s="762">
        <f>(R3269+T3269)</f>
        <v>0</v>
      </c>
      <c r="C3270" s="763"/>
      <c r="D3270" s="763"/>
      <c r="E3270" s="763"/>
      <c r="F3270" s="764"/>
      <c r="G3270" s="763" t="s">
        <v>146</v>
      </c>
      <c r="H3270" s="763"/>
      <c r="I3270" s="765"/>
      <c r="J3270" s="763"/>
      <c r="K3270" s="763" t="s">
        <v>3</v>
      </c>
      <c r="L3270" s="766" t="s">
        <v>143</v>
      </c>
      <c r="M3270" s="766"/>
      <c r="N3270" s="766"/>
      <c r="O3270" s="766"/>
      <c r="P3270" s="766"/>
      <c r="Q3270" s="767"/>
      <c r="R3270" s="768">
        <f ca="1">SUM(R3265:R3269)</f>
        <v>144.94</v>
      </c>
      <c r="S3270" s="763"/>
      <c r="T3270" s="768">
        <f ca="1">SUM(T3265:T3269)</f>
        <v>6.3460000000000001</v>
      </c>
      <c r="U3270" s="531"/>
      <c r="V3270" s="531"/>
      <c r="W3270" s="531"/>
      <c r="X3270" s="531"/>
      <c r="Y3270" s="531"/>
      <c r="Z3270" s="531"/>
      <c r="AA3270" s="531"/>
      <c r="AB3270" s="531"/>
      <c r="AC3270" s="531"/>
      <c r="AD3270" s="531"/>
      <c r="AE3270" s="531"/>
      <c r="AF3270" s="531"/>
      <c r="AG3270" s="531"/>
      <c r="AH3270" s="531"/>
      <c r="AI3270" s="531"/>
      <c r="AJ3270" s="531"/>
      <c r="AK3270" s="531"/>
      <c r="AL3270" s="531"/>
      <c r="AM3270" s="531"/>
      <c r="AN3270" s="531"/>
      <c r="AO3270" s="531"/>
      <c r="AR3270" s="761" t="s">
        <v>145</v>
      </c>
      <c r="AS3270" s="764"/>
    </row>
    <row r="3271" spans="1:45" s="520" customFormat="1" ht="12" thickTop="1">
      <c r="A3271" s="48" t="s">
        <v>148</v>
      </c>
      <c r="D3271" s="13"/>
      <c r="E3271" s="42"/>
      <c r="O3271" s="771"/>
      <c r="AR3271" s="48" t="s">
        <v>148</v>
      </c>
    </row>
    <row r="3272" spans="1:45" s="520" customFormat="1" ht="13.2">
      <c r="B3272" s="3"/>
      <c r="O3272" s="771"/>
    </row>
    <row r="3273" spans="1:45" s="520" customFormat="1" ht="12">
      <c r="B3273" s="772">
        <f ca="1">$F3273/$C$2-($R3273*$S$2+$T3273*$T$2)</f>
        <v>-3.1800712960830424E-2</v>
      </c>
      <c r="D3273" s="773" t="s">
        <v>3630</v>
      </c>
      <c r="E3273" s="774"/>
      <c r="F3273" s="775">
        <f ca="1">SUMIF($L2930:$L3271,"ITEM",F2930:F3271)</f>
        <v>32806.25</v>
      </c>
      <c r="G3273" s="758"/>
      <c r="H3273" s="758"/>
      <c r="I3273" s="519"/>
      <c r="J3273" s="758"/>
      <c r="K3273" s="758"/>
      <c r="L3273" s="755" t="s">
        <v>157</v>
      </c>
      <c r="M3273" s="755"/>
      <c r="N3273" s="755"/>
      <c r="O3273" s="755"/>
      <c r="P3273" s="755"/>
      <c r="R3273" s="775">
        <f ca="1">SUMIF($L2930:$L3271,"ITEM",R2930:R3271)</f>
        <v>12570.675000000001</v>
      </c>
      <c r="S3273" s="776"/>
      <c r="T3273" s="775">
        <f ca="1">SUMIF($L2930:$L3271,"ITEM",T2930:T3271)</f>
        <v>512.45399999999995</v>
      </c>
      <c r="AS3273" s="775">
        <v>34843.239999999991</v>
      </c>
    </row>
    <row r="3274" spans="1:45" s="520" customFormat="1" ht="13.2">
      <c r="A3274" s="51"/>
      <c r="B3274" s="49" t="s">
        <v>1064</v>
      </c>
      <c r="C3274" s="51"/>
      <c r="D3274" s="3"/>
      <c r="F3274" s="777" t="s">
        <v>158</v>
      </c>
      <c r="G3274" s="758"/>
      <c r="H3274" s="758"/>
      <c r="I3274" s="519"/>
      <c r="J3274" s="758"/>
      <c r="K3274" s="758"/>
      <c r="L3274" s="758"/>
      <c r="M3274" s="758"/>
      <c r="N3274" s="758"/>
      <c r="O3274" s="758"/>
      <c r="P3274" s="758"/>
      <c r="Q3274" s="778"/>
      <c r="R3274" s="777" t="s">
        <v>159</v>
      </c>
      <c r="S3274" s="38"/>
      <c r="T3274" s="777" t="s">
        <v>160</v>
      </c>
      <c r="AR3274" s="51"/>
      <c r="AS3274" s="777" t="s">
        <v>158</v>
      </c>
    </row>
    <row r="3275" spans="1:45" s="520" customFormat="1" ht="13.2">
      <c r="A3275" s="758"/>
      <c r="B3275" s="3"/>
      <c r="C3275" s="758"/>
      <c r="D3275" s="3"/>
      <c r="E3275" s="3"/>
      <c r="G3275" s="3"/>
      <c r="H3275" s="3"/>
      <c r="I3275" s="3"/>
      <c r="J3275" s="3"/>
      <c r="K3275" s="3"/>
      <c r="L3275" s="3"/>
      <c r="M3275" s="3"/>
      <c r="N3275" s="3"/>
      <c r="O3275" s="107"/>
      <c r="P3275" s="3"/>
      <c r="Q3275" s="3"/>
      <c r="R3275" s="3"/>
      <c r="S3275" s="3"/>
      <c r="T3275" s="3"/>
      <c r="AR3275" s="758"/>
    </row>
    <row r="3276" spans="1:45" s="520" customFormat="1" ht="12" thickBot="1">
      <c r="A3276" s="531"/>
      <c r="B3276" s="763"/>
      <c r="C3276" s="763"/>
      <c r="D3276" s="531"/>
      <c r="E3276" s="39"/>
      <c r="F3276" s="779"/>
      <c r="G3276" s="763"/>
      <c r="H3276" s="763"/>
      <c r="I3276" s="765"/>
      <c r="J3276" s="763"/>
      <c r="K3276" s="763"/>
      <c r="L3276" s="766"/>
      <c r="M3276" s="766"/>
      <c r="N3276" s="766"/>
      <c r="O3276" s="766"/>
      <c r="P3276" s="766"/>
      <c r="Q3276" s="767"/>
      <c r="R3276" s="779"/>
      <c r="S3276" s="780"/>
      <c r="T3276" s="779"/>
      <c r="U3276" s="531"/>
      <c r="V3276" s="531"/>
      <c r="W3276" s="531"/>
      <c r="X3276" s="531"/>
      <c r="Y3276" s="531"/>
      <c r="Z3276" s="531"/>
      <c r="AA3276" s="531"/>
      <c r="AB3276" s="531"/>
      <c r="AC3276" s="531"/>
      <c r="AD3276" s="531"/>
      <c r="AE3276" s="531"/>
      <c r="AF3276" s="531"/>
      <c r="AG3276" s="531"/>
      <c r="AH3276" s="531"/>
      <c r="AI3276" s="531"/>
      <c r="AJ3276" s="531"/>
      <c r="AK3276" s="531"/>
      <c r="AR3276" s="531"/>
      <c r="AS3276" s="779"/>
    </row>
    <row r="3277" spans="1:45" s="520" customFormat="1" thickTop="1">
      <c r="A3277" s="51"/>
      <c r="B3277" s="51"/>
      <c r="C3277" s="3"/>
      <c r="D3277" s="3"/>
      <c r="E3277" s="51"/>
      <c r="F3277" s="51"/>
      <c r="G3277" s="51"/>
      <c r="H3277" s="51"/>
      <c r="I3277" s="51"/>
      <c r="J3277" s="51"/>
      <c r="K3277" s="51" t="s">
        <v>134</v>
      </c>
      <c r="L3277" s="51"/>
      <c r="M3277" s="51"/>
      <c r="N3277" s="51"/>
      <c r="O3277" s="52"/>
      <c r="P3277" s="51"/>
      <c r="Q3277" s="51"/>
      <c r="R3277" s="51"/>
      <c r="S3277" s="51"/>
      <c r="T3277" s="51"/>
      <c r="AR3277" s="51"/>
      <c r="AS3277" s="51"/>
    </row>
    <row r="3278" spans="1:45" s="520" customFormat="1" ht="12">
      <c r="A3278" s="51"/>
      <c r="B3278" s="51"/>
      <c r="C3278" s="51" t="s">
        <v>135</v>
      </c>
      <c r="D3278" s="37"/>
      <c r="E3278" s="51"/>
      <c r="F3278" s="51"/>
      <c r="G3278" s="51"/>
      <c r="H3278" s="51"/>
      <c r="I3278" s="51"/>
      <c r="J3278" s="51"/>
      <c r="K3278" s="51"/>
      <c r="L3278" s="51"/>
      <c r="M3278" s="51"/>
      <c r="N3278" s="51"/>
      <c r="O3278" s="52"/>
      <c r="P3278" s="51"/>
      <c r="Q3278" s="51"/>
      <c r="R3278" s="51"/>
      <c r="S3278" s="51"/>
      <c r="T3278" s="51"/>
      <c r="AR3278" s="51"/>
      <c r="AS3278" s="51"/>
    </row>
    <row r="3279" spans="1:45" s="520" customFormat="1" ht="39.9" customHeight="1">
      <c r="A3279" s="51"/>
      <c r="B3279" s="51"/>
      <c r="C3279" s="51"/>
      <c r="D3279" s="1453" t="s">
        <v>1602</v>
      </c>
      <c r="E3279" s="1452"/>
      <c r="F3279" s="1452"/>
      <c r="G3279" s="1452"/>
      <c r="H3279" s="1452"/>
      <c r="I3279" s="1452"/>
      <c r="J3279" s="1452"/>
      <c r="K3279" s="1452"/>
      <c r="L3279" s="1452"/>
      <c r="M3279" s="1452"/>
      <c r="N3279" s="1452"/>
      <c r="O3279" s="1452"/>
      <c r="P3279" s="1452"/>
      <c r="Q3279" s="1452"/>
      <c r="R3279" s="1452"/>
      <c r="S3279" s="1452"/>
      <c r="T3279" s="1452"/>
      <c r="AR3279" s="51"/>
    </row>
    <row r="3280" spans="1:45" s="3" customFormat="1" thickBot="1">
      <c r="A3280" s="531"/>
      <c r="O3280" s="107"/>
      <c r="AR3280" s="531"/>
    </row>
    <row r="3281" spans="1:45" s="520" customFormat="1" thickTop="1">
      <c r="A3281" s="51"/>
      <c r="B3281" s="51"/>
      <c r="C3281" s="3"/>
      <c r="D3281" s="3"/>
      <c r="E3281" s="51"/>
      <c r="F3281" s="51"/>
      <c r="G3281" s="51"/>
      <c r="H3281" s="51"/>
      <c r="I3281" s="51"/>
      <c r="J3281" s="51"/>
      <c r="K3281" s="51" t="s">
        <v>134</v>
      </c>
      <c r="L3281" s="51"/>
      <c r="M3281" s="51"/>
      <c r="N3281" s="51"/>
      <c r="O3281" s="52"/>
      <c r="P3281" s="51"/>
      <c r="Q3281" s="51"/>
      <c r="R3281" s="51"/>
      <c r="S3281" s="51"/>
      <c r="T3281" s="51"/>
      <c r="AR3281" s="51"/>
      <c r="AS3281" s="51"/>
    </row>
    <row r="3282" spans="1:45" s="520" customFormat="1" ht="12">
      <c r="A3282" s="51"/>
      <c r="B3282" s="51"/>
      <c r="C3282" s="51" t="s">
        <v>135</v>
      </c>
      <c r="D3282" s="37"/>
      <c r="E3282" s="51"/>
      <c r="F3282" s="51"/>
      <c r="G3282" s="51"/>
      <c r="H3282" s="51"/>
      <c r="I3282" s="51"/>
      <c r="J3282" s="51"/>
      <c r="K3282" s="51"/>
      <c r="L3282" s="51"/>
      <c r="M3282" s="51"/>
      <c r="N3282" s="51"/>
      <c r="O3282" s="52"/>
      <c r="P3282" s="51"/>
      <c r="Q3282" s="51"/>
      <c r="R3282" s="51"/>
      <c r="S3282" s="51"/>
      <c r="T3282" s="51"/>
      <c r="AR3282" s="51"/>
      <c r="AS3282" s="51"/>
    </row>
    <row r="3283" spans="1:45" s="520" customFormat="1" ht="12">
      <c r="A3283" s="51"/>
      <c r="B3283" s="51"/>
      <c r="C3283" s="51"/>
      <c r="D3283" s="37" t="s">
        <v>790</v>
      </c>
      <c r="E3283" s="51"/>
      <c r="F3283" s="51"/>
      <c r="G3283" s="51"/>
      <c r="H3283" s="51"/>
      <c r="I3283" s="51"/>
      <c r="J3283" s="51"/>
      <c r="K3283" s="51"/>
      <c r="L3283" s="51"/>
      <c r="M3283" s="51"/>
      <c r="N3283" s="51"/>
      <c r="O3283" s="52"/>
      <c r="P3283" s="51"/>
      <c r="Q3283" s="51"/>
      <c r="R3283" s="51"/>
      <c r="S3283" s="38"/>
      <c r="T3283" s="38"/>
      <c r="AR3283" s="51"/>
      <c r="AS3283" s="51"/>
    </row>
    <row r="3284" spans="1:45" s="3" customFormat="1" thickBot="1">
      <c r="A3284" s="531"/>
      <c r="O3284" s="107"/>
      <c r="AR3284" s="531"/>
    </row>
    <row r="3285" spans="1:45" s="520" customFormat="1" ht="12" thickTop="1">
      <c r="A3285" s="51"/>
      <c r="B3285" s="41"/>
      <c r="C3285" s="51"/>
      <c r="E3285" s="42" t="s">
        <v>138</v>
      </c>
      <c r="F3285" s="42" t="s">
        <v>139</v>
      </c>
      <c r="G3285" s="51"/>
      <c r="H3285" s="51"/>
      <c r="I3285" s="51"/>
      <c r="J3285" s="51"/>
      <c r="K3285" s="51" t="s">
        <v>140</v>
      </c>
      <c r="L3285" s="51"/>
      <c r="M3285" s="51"/>
      <c r="N3285" s="51"/>
      <c r="O3285" s="52"/>
      <c r="P3285" s="51"/>
      <c r="Q3285" s="51"/>
      <c r="R3285" s="51"/>
      <c r="S3285" s="51"/>
      <c r="T3285" s="41"/>
      <c r="AG3285" s="521" t="s">
        <v>268</v>
      </c>
      <c r="AH3285" s="521" t="s">
        <v>269</v>
      </c>
      <c r="AI3285" s="521" t="s">
        <v>270</v>
      </c>
      <c r="AJ3285" s="521" t="s">
        <v>271</v>
      </c>
      <c r="AK3285" s="521" t="s">
        <v>272</v>
      </c>
      <c r="AM3285" s="745" t="s">
        <v>281</v>
      </c>
      <c r="AN3285" s="746" t="s">
        <v>282</v>
      </c>
      <c r="AO3285" s="522" t="s">
        <v>278</v>
      </c>
      <c r="AR3285" s="51"/>
      <c r="AS3285" s="42" t="s">
        <v>139</v>
      </c>
    </row>
    <row r="3286" spans="1:45" s="520" customFormat="1" ht="12" customHeight="1">
      <c r="A3286" s="747">
        <v>11</v>
      </c>
      <c r="B3286" s="523" t="s">
        <v>141</v>
      </c>
      <c r="C3286" s="748"/>
      <c r="D3286" s="749" t="s">
        <v>1638</v>
      </c>
      <c r="E3286" s="750">
        <f ca="1">IF(AND($A3286=0,$A$1="DIF"),0, ROUND(ROUND(($R3292*$S$2+($T3292*$T$2))/A3286,2)*$C$2,2))</f>
        <v>196.52</v>
      </c>
      <c r="F3286" s="751">
        <f ca="1">ROUND($A3286*$E3286,2)</f>
        <v>2161.7199999999998</v>
      </c>
      <c r="G3286" s="752" t="s">
        <v>142</v>
      </c>
      <c r="H3286" s="753"/>
      <c r="I3286" s="754"/>
      <c r="J3286" s="753"/>
      <c r="K3286" s="753" t="s">
        <v>3</v>
      </c>
      <c r="L3286" s="755" t="s">
        <v>143</v>
      </c>
      <c r="M3286" s="755"/>
      <c r="N3286" s="755"/>
      <c r="O3286" s="755"/>
      <c r="P3286" s="755"/>
      <c r="Q3286" s="51"/>
      <c r="T3286" s="756" t="str">
        <f ca="1">IF(AND($R3292=0,$T3292=0),"0.00","mu :" &amp; ROUND($F3286/$C$2/($R3292+$T3292*$D$9),2))</f>
        <v>mu :1.23</v>
      </c>
      <c r="W3286" s="524"/>
      <c r="AG3286" s="481">
        <f ca="1">IF($E3286=0,0,ROUND($R3292*$S$2*$C$2/$A3286,2))</f>
        <v>89.24</v>
      </c>
      <c r="AH3286" s="481">
        <f ca="1">$AG3286*$A3286</f>
        <v>981.64</v>
      </c>
      <c r="AI3286" s="525">
        <f ca="1">$E3286-$AG3286</f>
        <v>107.28000000000002</v>
      </c>
      <c r="AJ3286" s="525">
        <f ca="1">$A3286*$AI3286</f>
        <v>1180.0800000000002</v>
      </c>
      <c r="AK3286" s="526">
        <f ca="1">ROUND(($AG3286+$AI3286)*$A3286,2)</f>
        <v>2161.7199999999998</v>
      </c>
      <c r="AM3286" s="527">
        <f ca="1">ROUND(R3292,2)</f>
        <v>797.17</v>
      </c>
      <c r="AN3286" s="528">
        <f ca="1">ROUND(T3292,2)</f>
        <v>34.9</v>
      </c>
      <c r="AO3286" s="529">
        <f ca="1">ROUND(AM3286+AN3286,2)*A3286</f>
        <v>9152.77</v>
      </c>
      <c r="AR3286" s="747">
        <v>11</v>
      </c>
      <c r="AS3286" s="751">
        <v>2290.86</v>
      </c>
    </row>
    <row r="3287" spans="1:45" s="520" customFormat="1" ht="13.2">
      <c r="A3287" s="748"/>
      <c r="B3287"/>
      <c r="C3287" s="748"/>
      <c r="D3287" s="749" t="s">
        <v>788</v>
      </c>
      <c r="F3287" s="753"/>
      <c r="G3287" s="3"/>
      <c r="H3287" s="753"/>
      <c r="I3287" s="754"/>
      <c r="J3287" s="753"/>
      <c r="K3287" s="753" t="s">
        <v>144</v>
      </c>
      <c r="L3287" s="753"/>
      <c r="M3287" s="753"/>
      <c r="N3287" s="753"/>
      <c r="O3287" s="753"/>
      <c r="P3287" s="753"/>
      <c r="Q3287" s="51"/>
      <c r="R3287" s="530"/>
      <c r="S3287" s="757"/>
      <c r="T3287" s="753"/>
      <c r="AR3287" s="748"/>
      <c r="AS3287" s="753"/>
    </row>
    <row r="3288" spans="1:45" s="886" customFormat="1" ht="16.350000000000001" customHeight="1">
      <c r="A3288"/>
      <c r="B3288" s="910"/>
      <c r="C3288" s="910" t="s">
        <v>2597</v>
      </c>
      <c r="D3288" s="910" t="str">
        <f ca="1">CELL("Address",Elec_Rates!D$112)</f>
        <v>[E25_0062_Quintano_Foods_Elec_ELV_As_Awarded.xlsx]Elec_Rates!$D$112</v>
      </c>
      <c r="E3288" s="911"/>
      <c r="F3288" s="911"/>
      <c r="G3288" s="912" t="s">
        <v>2598</v>
      </c>
      <c r="H3288" s="912"/>
      <c r="I3288" s="912"/>
      <c r="J3288" s="912"/>
      <c r="K3288" s="913"/>
      <c r="L3288" s="911"/>
      <c r="M3288" s="911"/>
      <c r="N3288" s="911"/>
      <c r="O3288" s="914"/>
      <c r="P3288" s="911"/>
      <c r="Q3288" s="915"/>
      <c r="R3288" s="916"/>
      <c r="S3288" s="915"/>
      <c r="T3288" s="917"/>
      <c r="U3288" s="918"/>
      <c r="AR3288"/>
      <c r="AS3288" s="911"/>
    </row>
    <row r="3289" spans="1:45" s="886" customFormat="1" ht="11.4">
      <c r="A3289" s="919">
        <v>11</v>
      </c>
      <c r="B3289" s="920">
        <v>1</v>
      </c>
      <c r="C3289" s="920">
        <f>$A3289*$B3289</f>
        <v>11</v>
      </c>
      <c r="D3289" s="921" t="str">
        <f>Elec_Rates!$D$112</f>
        <v>009# Power points rate (Galvanised conduit)</v>
      </c>
      <c r="E3289" s="921"/>
      <c r="F3289" s="921" t="s">
        <v>2599</v>
      </c>
      <c r="G3289" s="922" t="s">
        <v>2601</v>
      </c>
      <c r="H3289" s="922"/>
      <c r="I3289" s="922"/>
      <c r="J3289" s="922"/>
      <c r="K3289" s="923"/>
      <c r="L3289" s="918"/>
      <c r="M3289" s="918"/>
      <c r="N3289" s="918"/>
      <c r="O3289" s="924"/>
      <c r="P3289" s="921"/>
      <c r="Q3289" s="925">
        <f ca="1">$B3289*Elec_Rates!$R$112</f>
        <v>64.069999999999993</v>
      </c>
      <c r="R3289" s="916">
        <f ca="1">$A3289*Q3289</f>
        <v>704.77</v>
      </c>
      <c r="S3289" s="925">
        <f ca="1">$B3289*Elec_Rates!$T$112</f>
        <v>3.02</v>
      </c>
      <c r="T3289" s="917">
        <f ca="1">$A3289*S3289</f>
        <v>33.22</v>
      </c>
      <c r="U3289" s="926"/>
      <c r="AR3289" s="919">
        <v>11</v>
      </c>
      <c r="AS3289" s="921" t="s">
        <v>2599</v>
      </c>
    </row>
    <row r="3290" spans="1:45" s="901" customFormat="1" ht="13.2">
      <c r="A3290" s="116">
        <v>11</v>
      </c>
      <c r="B3290" s="901" t="s">
        <v>141</v>
      </c>
      <c r="D3290" s="901" t="s">
        <v>2870</v>
      </c>
      <c r="E3290" s="901" t="s">
        <v>3424</v>
      </c>
      <c r="F3290" s="1054" t="s">
        <v>3433</v>
      </c>
      <c r="G3290" s="941" t="s">
        <v>2871</v>
      </c>
      <c r="H3290" s="942">
        <v>705</v>
      </c>
      <c r="I3290" s="901" t="s">
        <v>2872</v>
      </c>
      <c r="J3290" s="901" t="s">
        <v>2873</v>
      </c>
      <c r="O3290" s="943">
        <v>3</v>
      </c>
      <c r="P3290" s="944">
        <v>34669</v>
      </c>
      <c r="Q3290" s="945">
        <v>8.4</v>
      </c>
      <c r="R3290" s="946">
        <f>$A3290*Q3290</f>
        <v>92.4</v>
      </c>
      <c r="S3290" s="945">
        <v>0.17</v>
      </c>
      <c r="T3290" s="947">
        <f>$A3290*S3290*$T$1</f>
        <v>1.6830000000000001</v>
      </c>
      <c r="AR3290" s="116">
        <v>11</v>
      </c>
      <c r="AS3290" s="1054" t="s">
        <v>3433</v>
      </c>
    </row>
    <row r="3291" spans="1:45" s="520" customFormat="1" ht="12">
      <c r="A3291" s="758"/>
      <c r="B3291" s="758"/>
      <c r="C3291" s="758"/>
      <c r="D3291" s="758"/>
      <c r="E3291" s="758"/>
      <c r="F3291" s="753"/>
      <c r="G3291" s="758"/>
      <c r="H3291" s="758"/>
      <c r="I3291" s="519"/>
      <c r="J3291" s="758"/>
      <c r="K3291" s="758"/>
      <c r="L3291" s="758"/>
      <c r="M3291" s="758"/>
      <c r="N3291" s="758"/>
      <c r="O3291" s="758"/>
      <c r="P3291" s="758"/>
      <c r="Q3291" s="519"/>
      <c r="R3291" s="759">
        <f>$A3291*Q3291</f>
        <v>0</v>
      </c>
      <c r="S3291" s="519"/>
      <c r="T3291" s="760">
        <f>$A3291*S3291*$T$1</f>
        <v>0</v>
      </c>
      <c r="AR3291" s="758"/>
      <c r="AS3291" s="753"/>
    </row>
    <row r="3292" spans="1:45" s="520" customFormat="1" ht="12.6" thickBot="1">
      <c r="A3292" s="761" t="s">
        <v>145</v>
      </c>
      <c r="B3292" s="762">
        <f>(R3291+T3291)</f>
        <v>0</v>
      </c>
      <c r="C3292" s="763"/>
      <c r="D3292" s="763"/>
      <c r="E3292" s="763"/>
      <c r="F3292" s="764"/>
      <c r="G3292" s="763" t="s">
        <v>146</v>
      </c>
      <c r="H3292" s="763"/>
      <c r="I3292" s="765"/>
      <c r="J3292" s="763"/>
      <c r="K3292" s="763" t="s">
        <v>3</v>
      </c>
      <c r="L3292" s="766" t="s">
        <v>143</v>
      </c>
      <c r="M3292" s="766"/>
      <c r="N3292" s="766"/>
      <c r="O3292" s="766"/>
      <c r="P3292" s="766"/>
      <c r="Q3292" s="767"/>
      <c r="R3292" s="768">
        <f ca="1">SUM(R3287:R3291)</f>
        <v>797.17</v>
      </c>
      <c r="S3292" s="763"/>
      <c r="T3292" s="768">
        <f ca="1">SUM(T3287:T3291)</f>
        <v>34.902999999999999</v>
      </c>
      <c r="U3292" s="531"/>
      <c r="V3292" s="531"/>
      <c r="W3292" s="531"/>
      <c r="X3292" s="531"/>
      <c r="Y3292" s="531"/>
      <c r="Z3292" s="531"/>
      <c r="AA3292" s="531"/>
      <c r="AB3292" s="531"/>
      <c r="AC3292" s="531"/>
      <c r="AD3292" s="531"/>
      <c r="AE3292" s="531"/>
      <c r="AF3292" s="531"/>
      <c r="AG3292" s="531"/>
      <c r="AH3292" s="531"/>
      <c r="AI3292" s="531"/>
      <c r="AJ3292" s="531"/>
      <c r="AK3292" s="531"/>
      <c r="AL3292" s="531"/>
      <c r="AM3292" s="531"/>
      <c r="AN3292" s="531"/>
      <c r="AO3292" s="531"/>
      <c r="AR3292" s="761" t="s">
        <v>145</v>
      </c>
      <c r="AS3292" s="764"/>
    </row>
    <row r="3293" spans="1:45" s="520" customFormat="1" ht="12" thickTop="1">
      <c r="A3293" s="51"/>
      <c r="B3293" s="41"/>
      <c r="C3293" s="51"/>
      <c r="E3293" s="42" t="s">
        <v>138</v>
      </c>
      <c r="F3293" s="42" t="s">
        <v>139</v>
      </c>
      <c r="G3293" s="51"/>
      <c r="H3293" s="51"/>
      <c r="I3293" s="51"/>
      <c r="J3293" s="51"/>
      <c r="K3293" s="51" t="s">
        <v>140</v>
      </c>
      <c r="L3293" s="51"/>
      <c r="M3293" s="51"/>
      <c r="N3293" s="51"/>
      <c r="O3293" s="52"/>
      <c r="P3293" s="51"/>
      <c r="Q3293" s="51"/>
      <c r="R3293" s="51"/>
      <c r="S3293" s="51"/>
      <c r="T3293" s="41"/>
      <c r="AG3293" s="521" t="s">
        <v>268</v>
      </c>
      <c r="AH3293" s="521" t="s">
        <v>269</v>
      </c>
      <c r="AI3293" s="521" t="s">
        <v>270</v>
      </c>
      <c r="AJ3293" s="521" t="s">
        <v>271</v>
      </c>
      <c r="AK3293" s="521" t="s">
        <v>272</v>
      </c>
      <c r="AM3293" s="745" t="s">
        <v>281</v>
      </c>
      <c r="AN3293" s="746" t="s">
        <v>282</v>
      </c>
      <c r="AO3293" s="522" t="s">
        <v>278</v>
      </c>
      <c r="AR3293" s="51"/>
      <c r="AS3293" s="42" t="s">
        <v>139</v>
      </c>
    </row>
    <row r="3294" spans="1:45" s="520" customFormat="1" ht="12" customHeight="1">
      <c r="A3294" s="747">
        <v>2</v>
      </c>
      <c r="B3294" s="523" t="s">
        <v>141</v>
      </c>
      <c r="C3294" s="748"/>
      <c r="D3294" s="749" t="s">
        <v>1639</v>
      </c>
      <c r="E3294" s="750">
        <f ca="1">IF(AND($A3294=0,$A$1="DIF"),0, ROUND(ROUND(($R3299*$S$2+($T3299*$T$2))/A3294,2)*$C$2,2))</f>
        <v>208.63</v>
      </c>
      <c r="F3294" s="751">
        <f ca="1">ROUND($A3294*$E3294,2)</f>
        <v>417.26</v>
      </c>
      <c r="G3294" s="752" t="s">
        <v>142</v>
      </c>
      <c r="H3294" s="753"/>
      <c r="I3294" s="754"/>
      <c r="J3294" s="753"/>
      <c r="K3294" s="753" t="s">
        <v>3</v>
      </c>
      <c r="L3294" s="755" t="s">
        <v>143</v>
      </c>
      <c r="M3294" s="755"/>
      <c r="N3294" s="755"/>
      <c r="O3294" s="755"/>
      <c r="P3294" s="755"/>
      <c r="Q3294" s="51"/>
      <c r="T3294" s="756" t="str">
        <f ca="1">IF(AND($R3299=0,$T3299=0),"0.00","mu :" &amp; ROUND($F3294/$C$2/($R3299+$T3299*$D$9),2))</f>
        <v>mu :1.23</v>
      </c>
      <c r="W3294" s="524"/>
      <c r="AG3294" s="481">
        <f ca="1">IF($E3294=0,0,ROUND($R3299*$S$2*$C$2/$A3294,2))</f>
        <v>91.64</v>
      </c>
      <c r="AH3294" s="481">
        <f ca="1">$AG3294*$A3294</f>
        <v>183.28</v>
      </c>
      <c r="AI3294" s="525">
        <f ca="1">$E3294-$AG3294</f>
        <v>116.99</v>
      </c>
      <c r="AJ3294" s="525">
        <f ca="1">$A3294*$AI3294</f>
        <v>233.98</v>
      </c>
      <c r="AK3294" s="526">
        <f ca="1">ROUND(($AG3294+$AI3294)*$A3294,2)</f>
        <v>417.26</v>
      </c>
      <c r="AM3294" s="527">
        <f ca="1">ROUND(R3299,2)</f>
        <v>148.84</v>
      </c>
      <c r="AN3294" s="528">
        <f ca="1">ROUND(T3299,2)</f>
        <v>6.92</v>
      </c>
      <c r="AO3294" s="529">
        <f ca="1">ROUND(AM3294+AN3294,2)*A3294</f>
        <v>311.52</v>
      </c>
      <c r="AR3294" s="747">
        <v>2</v>
      </c>
      <c r="AS3294" s="751">
        <v>442.96</v>
      </c>
    </row>
    <row r="3295" spans="1:45" s="520" customFormat="1" ht="13.2">
      <c r="A3295" s="748"/>
      <c r="B3295"/>
      <c r="C3295" s="748"/>
      <c r="D3295" s="749" t="s">
        <v>756</v>
      </c>
      <c r="F3295" s="753"/>
      <c r="G3295" s="3"/>
      <c r="H3295" s="753"/>
      <c r="I3295" s="754"/>
      <c r="J3295" s="753"/>
      <c r="K3295" s="753" t="s">
        <v>144</v>
      </c>
      <c r="L3295" s="753"/>
      <c r="M3295" s="753"/>
      <c r="N3295" s="753"/>
      <c r="O3295" s="753"/>
      <c r="P3295" s="753"/>
      <c r="Q3295" s="51"/>
      <c r="R3295" s="530"/>
      <c r="S3295" s="757"/>
      <c r="T3295" s="753"/>
      <c r="AR3295" s="748"/>
      <c r="AS3295" s="753"/>
    </row>
    <row r="3296" spans="1:45" s="886" customFormat="1" ht="13.2">
      <c r="A3296"/>
      <c r="B3296" s="910"/>
      <c r="C3296" s="910" t="s">
        <v>2597</v>
      </c>
      <c r="D3296" s="910" t="str">
        <f ca="1">CELL("Address",Elec_Rates!D$134)</f>
        <v>[E25_0062_Quintano_Foods_Elec_ELV_As_Awarded.xlsx]Elec_Rates!$D$134</v>
      </c>
      <c r="E3296" s="911"/>
      <c r="F3296" s="911"/>
      <c r="G3296" s="912" t="s">
        <v>2598</v>
      </c>
      <c r="H3296" s="912"/>
      <c r="I3296" s="912"/>
      <c r="J3296" s="912"/>
      <c r="K3296" s="913"/>
      <c r="L3296" s="911"/>
      <c r="M3296" s="911"/>
      <c r="N3296" s="911"/>
      <c r="O3296" s="914"/>
      <c r="P3296" s="911"/>
      <c r="Q3296" s="915"/>
      <c r="R3296" s="916"/>
      <c r="S3296" s="915"/>
      <c r="T3296" s="917"/>
      <c r="U3296" s="918"/>
      <c r="AR3296"/>
      <c r="AS3296" s="911"/>
    </row>
    <row r="3297" spans="1:45" s="886" customFormat="1" ht="11.4">
      <c r="A3297" s="919">
        <v>2</v>
      </c>
      <c r="B3297" s="920">
        <v>1</v>
      </c>
      <c r="C3297" s="920">
        <f>$A3297*$B3297</f>
        <v>2</v>
      </c>
      <c r="D3297" s="921" t="str">
        <f>Elec_Rates!$D$134</f>
        <v>012# Single phase isolator / socket outlet point Galvanised conduit</v>
      </c>
      <c r="E3297" s="921"/>
      <c r="F3297" s="921" t="s">
        <v>2599</v>
      </c>
      <c r="G3297" s="922" t="s">
        <v>2600</v>
      </c>
      <c r="H3297" s="922"/>
      <c r="I3297" s="922"/>
      <c r="J3297" s="922"/>
      <c r="K3297" s="923"/>
      <c r="L3297" s="918"/>
      <c r="M3297" s="918"/>
      <c r="N3297" s="918"/>
      <c r="O3297" s="924"/>
      <c r="P3297" s="921"/>
      <c r="Q3297" s="925">
        <f ca="1">$B3297*Elec_Rates!$R$134</f>
        <v>74.42</v>
      </c>
      <c r="R3297" s="916">
        <f ca="1">$A3297*Q3297</f>
        <v>148.84</v>
      </c>
      <c r="S3297" s="925">
        <f ca="1">$B3297*Elec_Rates!$T$134</f>
        <v>3.46</v>
      </c>
      <c r="T3297" s="917">
        <f ca="1">$A3297*S3297</f>
        <v>6.92</v>
      </c>
      <c r="U3297" s="926"/>
      <c r="AR3297" s="919">
        <v>2</v>
      </c>
      <c r="AS3297" s="921" t="s">
        <v>2599</v>
      </c>
    </row>
    <row r="3298" spans="1:45" s="520" customFormat="1" ht="12">
      <c r="A3298" s="758"/>
      <c r="B3298" s="758"/>
      <c r="C3298" s="758"/>
      <c r="D3298" s="758"/>
      <c r="E3298" s="758"/>
      <c r="F3298" s="753"/>
      <c r="G3298" s="758"/>
      <c r="H3298" s="758"/>
      <c r="I3298" s="519"/>
      <c r="J3298" s="758"/>
      <c r="K3298" s="758"/>
      <c r="L3298" s="758"/>
      <c r="M3298" s="758"/>
      <c r="N3298" s="758"/>
      <c r="O3298" s="758"/>
      <c r="P3298" s="758"/>
      <c r="Q3298" s="519"/>
      <c r="R3298" s="759">
        <f>$A3298*Q3298</f>
        <v>0</v>
      </c>
      <c r="S3298" s="519"/>
      <c r="T3298" s="760">
        <f>$A3298*S3298*$T$1</f>
        <v>0</v>
      </c>
      <c r="AR3298" s="758"/>
      <c r="AS3298" s="753"/>
    </row>
    <row r="3299" spans="1:45" s="520" customFormat="1" ht="12.6" thickBot="1">
      <c r="A3299" s="761" t="s">
        <v>145</v>
      </c>
      <c r="B3299" s="762">
        <f>(R3298+T3298)</f>
        <v>0</v>
      </c>
      <c r="C3299" s="763"/>
      <c r="D3299" s="763"/>
      <c r="E3299" s="763"/>
      <c r="F3299" s="764"/>
      <c r="G3299" s="763" t="s">
        <v>146</v>
      </c>
      <c r="H3299" s="763"/>
      <c r="I3299" s="765"/>
      <c r="J3299" s="763"/>
      <c r="K3299" s="763" t="s">
        <v>3</v>
      </c>
      <c r="L3299" s="766" t="s">
        <v>143</v>
      </c>
      <c r="M3299" s="766"/>
      <c r="N3299" s="766"/>
      <c r="O3299" s="766"/>
      <c r="P3299" s="766"/>
      <c r="Q3299" s="767"/>
      <c r="R3299" s="768">
        <f ca="1">SUM(R3295:R3298)</f>
        <v>148.84</v>
      </c>
      <c r="S3299" s="763"/>
      <c r="T3299" s="768">
        <f ca="1">SUM(T3295:T3298)</f>
        <v>6.92</v>
      </c>
      <c r="U3299" s="531"/>
      <c r="V3299" s="531"/>
      <c r="W3299" s="531"/>
      <c r="X3299" s="531"/>
      <c r="Y3299" s="531"/>
      <c r="Z3299" s="531"/>
      <c r="AA3299" s="531"/>
      <c r="AB3299" s="531"/>
      <c r="AC3299" s="531"/>
      <c r="AD3299" s="531"/>
      <c r="AE3299" s="531"/>
      <c r="AF3299" s="531"/>
      <c r="AG3299" s="531"/>
      <c r="AH3299" s="531"/>
      <c r="AI3299" s="531"/>
      <c r="AJ3299" s="531"/>
      <c r="AK3299" s="531"/>
      <c r="AL3299" s="531"/>
      <c r="AM3299" s="531"/>
      <c r="AN3299" s="531"/>
      <c r="AO3299" s="531"/>
      <c r="AR3299" s="761" t="s">
        <v>145</v>
      </c>
      <c r="AS3299" s="764"/>
    </row>
    <row r="3300" spans="1:45" s="520" customFormat="1" ht="12" thickTop="1">
      <c r="A3300" s="51"/>
      <c r="B3300" s="41"/>
      <c r="C3300" s="51"/>
      <c r="E3300" s="42" t="s">
        <v>138</v>
      </c>
      <c r="F3300" s="42" t="s">
        <v>139</v>
      </c>
      <c r="G3300" s="51"/>
      <c r="H3300" s="51"/>
      <c r="I3300" s="51"/>
      <c r="J3300" s="51"/>
      <c r="K3300" s="51" t="s">
        <v>140</v>
      </c>
      <c r="L3300" s="51"/>
      <c r="M3300" s="51"/>
      <c r="N3300" s="51"/>
      <c r="O3300" s="52"/>
      <c r="P3300" s="51"/>
      <c r="Q3300" s="51"/>
      <c r="R3300" s="51"/>
      <c r="S3300" s="51"/>
      <c r="T3300" s="41"/>
      <c r="AG3300" s="521" t="s">
        <v>268</v>
      </c>
      <c r="AH3300" s="521" t="s">
        <v>269</v>
      </c>
      <c r="AI3300" s="521" t="s">
        <v>270</v>
      </c>
      <c r="AJ3300" s="521" t="s">
        <v>271</v>
      </c>
      <c r="AK3300" s="521" t="s">
        <v>272</v>
      </c>
      <c r="AM3300" s="745" t="s">
        <v>281</v>
      </c>
      <c r="AN3300" s="746" t="s">
        <v>282</v>
      </c>
      <c r="AO3300" s="522" t="s">
        <v>278</v>
      </c>
      <c r="AR3300" s="51"/>
      <c r="AS3300" s="42" t="s">
        <v>139</v>
      </c>
    </row>
    <row r="3301" spans="1:45" s="520" customFormat="1" ht="12" customHeight="1">
      <c r="A3301" s="747">
        <v>2</v>
      </c>
      <c r="B3301" s="523" t="s">
        <v>141</v>
      </c>
      <c r="C3301" s="748"/>
      <c r="D3301" s="749" t="s">
        <v>1640</v>
      </c>
      <c r="E3301" s="750">
        <f ca="1">IF(AND($A3301=0,$A$1="DIF"),0, ROUND(ROUND(($R3306*$S$2+($T3306*$T$2))/A3301,2)*$C$2,2))</f>
        <v>208.63</v>
      </c>
      <c r="F3301" s="751">
        <f ca="1">ROUND($A3301*$E3301,2)</f>
        <v>417.26</v>
      </c>
      <c r="G3301" s="752" t="s">
        <v>142</v>
      </c>
      <c r="H3301" s="753"/>
      <c r="I3301" s="754"/>
      <c r="J3301" s="753"/>
      <c r="K3301" s="753" t="s">
        <v>3</v>
      </c>
      <c r="L3301" s="755" t="s">
        <v>143</v>
      </c>
      <c r="M3301" s="755"/>
      <c r="N3301" s="755"/>
      <c r="O3301" s="755"/>
      <c r="P3301" s="755"/>
      <c r="Q3301" s="51"/>
      <c r="T3301" s="756" t="str">
        <f ca="1">IF(AND($R3306=0,$T3306=0),"0.00","mu :" &amp; ROUND($F3301/$C$2/($R3306+$T3306*$D$9),2))</f>
        <v>mu :1.23</v>
      </c>
      <c r="W3301" s="524"/>
      <c r="AG3301" s="481">
        <f ca="1">IF($E3301=0,0,ROUND($R3306*$S$2*$C$2/$A3301,2))</f>
        <v>91.64</v>
      </c>
      <c r="AH3301" s="481">
        <f ca="1">$AG3301*$A3301</f>
        <v>183.28</v>
      </c>
      <c r="AI3301" s="525">
        <f ca="1">$E3301-$AG3301</f>
        <v>116.99</v>
      </c>
      <c r="AJ3301" s="525">
        <f ca="1">$A3301*$AI3301</f>
        <v>233.98</v>
      </c>
      <c r="AK3301" s="526">
        <f ca="1">ROUND(($AG3301+$AI3301)*$A3301,2)</f>
        <v>417.26</v>
      </c>
      <c r="AM3301" s="527">
        <f ca="1">ROUND(R3306,2)</f>
        <v>148.84</v>
      </c>
      <c r="AN3301" s="528">
        <f ca="1">ROUND(T3306,2)</f>
        <v>6.92</v>
      </c>
      <c r="AO3301" s="529">
        <f ca="1">ROUND(AM3301+AN3301,2)*A3301</f>
        <v>311.52</v>
      </c>
      <c r="AR3301" s="747">
        <v>2</v>
      </c>
      <c r="AS3301" s="751">
        <v>442.96</v>
      </c>
    </row>
    <row r="3302" spans="1:45" s="520" customFormat="1" ht="13.2">
      <c r="A3302" s="748"/>
      <c r="B3302"/>
      <c r="C3302" s="748"/>
      <c r="D3302" s="749" t="s">
        <v>757</v>
      </c>
      <c r="F3302" s="753"/>
      <c r="G3302" s="3"/>
      <c r="H3302" s="753"/>
      <c r="I3302" s="754"/>
      <c r="J3302" s="753"/>
      <c r="K3302" s="753" t="s">
        <v>144</v>
      </c>
      <c r="L3302" s="753"/>
      <c r="M3302" s="753"/>
      <c r="N3302" s="753"/>
      <c r="O3302" s="753"/>
      <c r="P3302" s="753"/>
      <c r="Q3302" s="51"/>
      <c r="R3302" s="530"/>
      <c r="S3302" s="757"/>
      <c r="T3302" s="753"/>
      <c r="AR3302" s="748"/>
      <c r="AS3302" s="753"/>
    </row>
    <row r="3303" spans="1:45" s="886" customFormat="1" ht="13.2">
      <c r="A3303"/>
      <c r="B3303" s="910"/>
      <c r="C3303" s="910" t="s">
        <v>2597</v>
      </c>
      <c r="D3303" s="910" t="str">
        <f ca="1">CELL("Address",Elec_Rates!D$134)</f>
        <v>[E25_0062_Quintano_Foods_Elec_ELV_As_Awarded.xlsx]Elec_Rates!$D$134</v>
      </c>
      <c r="E3303" s="911"/>
      <c r="F3303" s="911"/>
      <c r="G3303" s="912" t="s">
        <v>2598</v>
      </c>
      <c r="H3303" s="912"/>
      <c r="I3303" s="912"/>
      <c r="J3303" s="912"/>
      <c r="K3303" s="913"/>
      <c r="L3303" s="911"/>
      <c r="M3303" s="911"/>
      <c r="N3303" s="911"/>
      <c r="O3303" s="914"/>
      <c r="P3303" s="911"/>
      <c r="Q3303" s="915"/>
      <c r="R3303" s="916"/>
      <c r="S3303" s="915"/>
      <c r="T3303" s="917"/>
      <c r="U3303" s="918"/>
      <c r="AR3303"/>
      <c r="AS3303" s="911"/>
    </row>
    <row r="3304" spans="1:45" s="886" customFormat="1" ht="11.4">
      <c r="A3304" s="919">
        <v>2</v>
      </c>
      <c r="B3304" s="920">
        <v>1</v>
      </c>
      <c r="C3304" s="920">
        <f>$A3304*$B3304</f>
        <v>2</v>
      </c>
      <c r="D3304" s="921" t="str">
        <f>Elec_Rates!$D$134</f>
        <v>012# Single phase isolator / socket outlet point Galvanised conduit</v>
      </c>
      <c r="E3304" s="921"/>
      <c r="F3304" s="921" t="s">
        <v>2599</v>
      </c>
      <c r="G3304" s="922" t="s">
        <v>2600</v>
      </c>
      <c r="H3304" s="922"/>
      <c r="I3304" s="922"/>
      <c r="J3304" s="922"/>
      <c r="K3304" s="923"/>
      <c r="L3304" s="918"/>
      <c r="M3304" s="918"/>
      <c r="N3304" s="918"/>
      <c r="O3304" s="924"/>
      <c r="P3304" s="921"/>
      <c r="Q3304" s="925">
        <f ca="1">$B3304*Elec_Rates!$R$134</f>
        <v>74.42</v>
      </c>
      <c r="R3304" s="916">
        <f ca="1">$A3304*Q3304</f>
        <v>148.84</v>
      </c>
      <c r="S3304" s="925">
        <f ca="1">$B3304*Elec_Rates!$T$134</f>
        <v>3.46</v>
      </c>
      <c r="T3304" s="917">
        <f ca="1">$A3304*S3304</f>
        <v>6.92</v>
      </c>
      <c r="U3304" s="926"/>
      <c r="AR3304" s="919">
        <v>2</v>
      </c>
      <c r="AS3304" s="921" t="s">
        <v>2599</v>
      </c>
    </row>
    <row r="3305" spans="1:45" s="520" customFormat="1" ht="12">
      <c r="A3305" s="758"/>
      <c r="B3305" s="758"/>
      <c r="C3305" s="758"/>
      <c r="D3305" s="758"/>
      <c r="E3305" s="758"/>
      <c r="F3305" s="753"/>
      <c r="G3305" s="758"/>
      <c r="H3305" s="758"/>
      <c r="I3305" s="519"/>
      <c r="J3305" s="758"/>
      <c r="K3305" s="758"/>
      <c r="L3305" s="758"/>
      <c r="M3305" s="758"/>
      <c r="N3305" s="758"/>
      <c r="O3305" s="758"/>
      <c r="P3305" s="758"/>
      <c r="Q3305" s="519"/>
      <c r="R3305" s="759">
        <f>$A3305*Q3305</f>
        <v>0</v>
      </c>
      <c r="S3305" s="519"/>
      <c r="T3305" s="760">
        <f>$A3305*S3305*$T$1</f>
        <v>0</v>
      </c>
      <c r="AR3305" s="758"/>
      <c r="AS3305" s="753"/>
    </row>
    <row r="3306" spans="1:45" s="520" customFormat="1" ht="12.6" thickBot="1">
      <c r="A3306" s="761" t="s">
        <v>145</v>
      </c>
      <c r="B3306" s="762">
        <f>(R3305+T3305)</f>
        <v>0</v>
      </c>
      <c r="C3306" s="763"/>
      <c r="D3306" s="763"/>
      <c r="E3306" s="763"/>
      <c r="F3306" s="764"/>
      <c r="G3306" s="763" t="s">
        <v>146</v>
      </c>
      <c r="H3306" s="763"/>
      <c r="I3306" s="765"/>
      <c r="J3306" s="763"/>
      <c r="K3306" s="763" t="s">
        <v>3</v>
      </c>
      <c r="L3306" s="766" t="s">
        <v>143</v>
      </c>
      <c r="M3306" s="766"/>
      <c r="N3306" s="766"/>
      <c r="O3306" s="766"/>
      <c r="P3306" s="766"/>
      <c r="Q3306" s="767"/>
      <c r="R3306" s="768">
        <f ca="1">SUM(R3302:R3305)</f>
        <v>148.84</v>
      </c>
      <c r="S3306" s="763"/>
      <c r="T3306" s="768">
        <f ca="1">SUM(T3302:T3305)</f>
        <v>6.92</v>
      </c>
      <c r="U3306" s="531"/>
      <c r="V3306" s="531"/>
      <c r="W3306" s="531"/>
      <c r="X3306" s="531"/>
      <c r="Y3306" s="531"/>
      <c r="Z3306" s="531"/>
      <c r="AA3306" s="531"/>
      <c r="AB3306" s="531"/>
      <c r="AC3306" s="531"/>
      <c r="AD3306" s="531"/>
      <c r="AE3306" s="531"/>
      <c r="AF3306" s="531"/>
      <c r="AG3306" s="531"/>
      <c r="AH3306" s="531"/>
      <c r="AI3306" s="531"/>
      <c r="AJ3306" s="531"/>
      <c r="AK3306" s="531"/>
      <c r="AL3306" s="531"/>
      <c r="AM3306" s="531"/>
      <c r="AN3306" s="531"/>
      <c r="AO3306" s="531"/>
      <c r="AR3306" s="761" t="s">
        <v>145</v>
      </c>
      <c r="AS3306" s="764"/>
    </row>
    <row r="3307" spans="1:45" s="520" customFormat="1" ht="12" thickTop="1">
      <c r="A3307" s="51"/>
      <c r="B3307" s="41"/>
      <c r="C3307" s="51"/>
      <c r="E3307" s="42" t="s">
        <v>138</v>
      </c>
      <c r="F3307" s="42" t="s">
        <v>139</v>
      </c>
      <c r="G3307" s="51"/>
      <c r="H3307" s="51"/>
      <c r="I3307" s="51"/>
      <c r="J3307" s="51"/>
      <c r="K3307" s="51" t="s">
        <v>140</v>
      </c>
      <c r="L3307" s="51"/>
      <c r="M3307" s="51"/>
      <c r="N3307" s="51"/>
      <c r="O3307" s="52"/>
      <c r="P3307" s="51"/>
      <c r="Q3307" s="51"/>
      <c r="R3307" s="51"/>
      <c r="S3307" s="51"/>
      <c r="T3307" s="41"/>
      <c r="AG3307" s="521" t="s">
        <v>268</v>
      </c>
      <c r="AH3307" s="521" t="s">
        <v>269</v>
      </c>
      <c r="AI3307" s="521" t="s">
        <v>270</v>
      </c>
      <c r="AJ3307" s="521" t="s">
        <v>271</v>
      </c>
      <c r="AK3307" s="521" t="s">
        <v>272</v>
      </c>
      <c r="AM3307" s="745" t="s">
        <v>281</v>
      </c>
      <c r="AN3307" s="746" t="s">
        <v>282</v>
      </c>
      <c r="AO3307" s="522" t="s">
        <v>278</v>
      </c>
      <c r="AR3307" s="51"/>
      <c r="AS3307" s="42" t="s">
        <v>139</v>
      </c>
    </row>
    <row r="3308" spans="1:45" s="520" customFormat="1" ht="12" customHeight="1">
      <c r="A3308" s="747">
        <v>1</v>
      </c>
      <c r="B3308" s="523" t="s">
        <v>141</v>
      </c>
      <c r="C3308" s="748"/>
      <c r="D3308" s="749" t="s">
        <v>1641</v>
      </c>
      <c r="E3308" s="750">
        <f ca="1">IF(AND($A3308=0,$A$1="DIF"),0, ROUND(ROUND(($R3313*$S$2+($T3313*$T$2))/A3308,2)*$C$2,2))</f>
        <v>158.15</v>
      </c>
      <c r="F3308" s="751">
        <f ca="1">ROUND($A3308*$E3308,2)</f>
        <v>158.15</v>
      </c>
      <c r="G3308" s="752" t="s">
        <v>142</v>
      </c>
      <c r="H3308" s="753"/>
      <c r="I3308" s="754"/>
      <c r="J3308" s="753"/>
      <c r="K3308" s="753" t="s">
        <v>3</v>
      </c>
      <c r="L3308" s="755" t="s">
        <v>143</v>
      </c>
      <c r="M3308" s="755"/>
      <c r="N3308" s="755"/>
      <c r="O3308" s="755"/>
      <c r="P3308" s="755"/>
      <c r="Q3308" s="51"/>
      <c r="T3308" s="756" t="str">
        <f ca="1">IF(AND($R3313=0,$T3313=0),"0.00","mu :" &amp; ROUND($F3308/$C$2/($R3313+$T3313*$D$9),2))</f>
        <v>mu :1.23</v>
      </c>
      <c r="W3308" s="524"/>
      <c r="AG3308" s="481">
        <f ca="1">IF($E3308=0,0,ROUND($R3313*$S$2*$C$2/$A3308,2))</f>
        <v>57.39</v>
      </c>
      <c r="AH3308" s="481">
        <f ca="1">$AG3308*$A3308</f>
        <v>57.39</v>
      </c>
      <c r="AI3308" s="525">
        <f ca="1">$E3308-$AG3308</f>
        <v>100.76</v>
      </c>
      <c r="AJ3308" s="525">
        <f ca="1">$A3308*$AI3308</f>
        <v>100.76</v>
      </c>
      <c r="AK3308" s="526">
        <f ca="1">ROUND(($AG3308+$AI3308)*$A3308,2)</f>
        <v>158.15</v>
      </c>
      <c r="AM3308" s="527">
        <f ca="1">ROUND(R3313,2)</f>
        <v>46.61</v>
      </c>
      <c r="AN3308" s="528">
        <f ca="1">ROUND(T3313,2)</f>
        <v>2.98</v>
      </c>
      <c r="AO3308" s="529">
        <f ca="1">ROUND(AM3308+AN3308,2)*A3308</f>
        <v>49.59</v>
      </c>
      <c r="AR3308" s="747">
        <v>1</v>
      </c>
      <c r="AS3308" s="751">
        <v>169.31</v>
      </c>
    </row>
    <row r="3309" spans="1:45" s="520" customFormat="1" ht="13.2">
      <c r="A3309" s="748"/>
      <c r="B3309"/>
      <c r="C3309" s="748"/>
      <c r="D3309" s="749" t="s">
        <v>758</v>
      </c>
      <c r="F3309" s="753"/>
      <c r="G3309" s="3"/>
      <c r="H3309" s="753"/>
      <c r="I3309" s="754"/>
      <c r="J3309" s="753"/>
      <c r="K3309" s="753" t="s">
        <v>144</v>
      </c>
      <c r="L3309" s="753"/>
      <c r="M3309" s="753"/>
      <c r="N3309" s="753"/>
      <c r="O3309" s="753"/>
      <c r="P3309" s="753"/>
      <c r="Q3309" s="51"/>
      <c r="R3309" s="530"/>
      <c r="S3309" s="757"/>
      <c r="T3309" s="753"/>
      <c r="AR3309" s="748"/>
      <c r="AS3309" s="753"/>
    </row>
    <row r="3310" spans="1:45" s="886" customFormat="1" ht="13.2">
      <c r="A3310"/>
      <c r="B3310" s="910"/>
      <c r="C3310" s="910" t="s">
        <v>2597</v>
      </c>
      <c r="D3310" s="910" t="str">
        <f ca="1">CELL("Address",Elec_Rates!D$46)</f>
        <v>[E25_0062_Quintano_Foods_Elec_ELV_As_Awarded.xlsx]Elec_Rates!$D$46</v>
      </c>
      <c r="E3310" s="911"/>
      <c r="F3310" s="911"/>
      <c r="G3310" s="912" t="s">
        <v>2598</v>
      </c>
      <c r="H3310" s="912"/>
      <c r="I3310" s="912"/>
      <c r="J3310" s="912"/>
      <c r="K3310" s="913"/>
      <c r="L3310" s="911"/>
      <c r="M3310" s="911"/>
      <c r="N3310" s="911"/>
      <c r="O3310" s="914"/>
      <c r="P3310" s="911"/>
      <c r="Q3310" s="915"/>
      <c r="R3310" s="916"/>
      <c r="S3310" s="915"/>
      <c r="T3310" s="917"/>
      <c r="U3310" s="918"/>
      <c r="AR3310"/>
      <c r="AS3310" s="911"/>
    </row>
    <row r="3311" spans="1:45" s="886" customFormat="1" ht="11.4">
      <c r="A3311" s="919">
        <v>1</v>
      </c>
      <c r="B3311" s="920">
        <v>1</v>
      </c>
      <c r="C3311" s="920">
        <f>$A3311*$B3311</f>
        <v>1</v>
      </c>
      <c r="D3311" s="921" t="str">
        <f>Elec_Rates!$D$46</f>
        <v>004# Light point rate (Galvanised Conduit)</v>
      </c>
      <c r="E3311" s="921" t="s">
        <v>2877</v>
      </c>
      <c r="F3311" s="918"/>
      <c r="G3311" s="922" t="s">
        <v>2878</v>
      </c>
      <c r="H3311" s="922"/>
      <c r="I3311" s="922"/>
      <c r="J3311" s="922"/>
      <c r="K3311" s="923"/>
      <c r="L3311" s="918"/>
      <c r="M3311" s="918"/>
      <c r="N3311" s="918"/>
      <c r="O3311" s="924"/>
      <c r="P3311" s="921"/>
      <c r="Q3311" s="925">
        <f ca="1">$B3311*Elec_Rates!$R$46</f>
        <v>46.61</v>
      </c>
      <c r="R3311" s="916">
        <f ca="1">$A3311*Q3311</f>
        <v>46.61</v>
      </c>
      <c r="S3311" s="925">
        <f ca="1">$B3311*Elec_Rates!$T$46</f>
        <v>2.98</v>
      </c>
      <c r="T3311" s="917">
        <f ca="1">$A3311*S3311</f>
        <v>2.98</v>
      </c>
      <c r="U3311" s="926"/>
      <c r="AR3311" s="919">
        <v>1</v>
      </c>
      <c r="AS3311" s="918"/>
    </row>
    <row r="3312" spans="1:45" s="520" customFormat="1" ht="12">
      <c r="A3312" s="758"/>
      <c r="B3312" s="758"/>
      <c r="C3312" s="758"/>
      <c r="D3312" s="758"/>
      <c r="E3312" s="758"/>
      <c r="F3312" s="753"/>
      <c r="G3312" s="758"/>
      <c r="H3312" s="758"/>
      <c r="I3312" s="519"/>
      <c r="J3312" s="758"/>
      <c r="K3312" s="758"/>
      <c r="L3312" s="758"/>
      <c r="M3312" s="758"/>
      <c r="N3312" s="758"/>
      <c r="O3312" s="758"/>
      <c r="P3312" s="758"/>
      <c r="Q3312" s="519"/>
      <c r="R3312" s="759">
        <f>$A3312*Q3312</f>
        <v>0</v>
      </c>
      <c r="S3312" s="519"/>
      <c r="T3312" s="760">
        <f>$A3312*S3312*$T$1</f>
        <v>0</v>
      </c>
      <c r="AR3312" s="758"/>
      <c r="AS3312" s="753"/>
    </row>
    <row r="3313" spans="1:45" s="520" customFormat="1" ht="12.6" thickBot="1">
      <c r="A3313" s="761" t="s">
        <v>145</v>
      </c>
      <c r="B3313" s="762">
        <f>(R3312+T3312)</f>
        <v>0</v>
      </c>
      <c r="C3313" s="763"/>
      <c r="D3313" s="763"/>
      <c r="E3313" s="763"/>
      <c r="F3313" s="764"/>
      <c r="G3313" s="763" t="s">
        <v>146</v>
      </c>
      <c r="H3313" s="763"/>
      <c r="I3313" s="765"/>
      <c r="J3313" s="763"/>
      <c r="K3313" s="763" t="s">
        <v>3</v>
      </c>
      <c r="L3313" s="766" t="s">
        <v>143</v>
      </c>
      <c r="M3313" s="766"/>
      <c r="N3313" s="766"/>
      <c r="O3313" s="766"/>
      <c r="P3313" s="766"/>
      <c r="Q3313" s="767"/>
      <c r="R3313" s="768">
        <f ca="1">SUM(R3309:R3312)</f>
        <v>46.61</v>
      </c>
      <c r="S3313" s="763"/>
      <c r="T3313" s="768">
        <f ca="1">SUM(T3309:T3312)</f>
        <v>2.98</v>
      </c>
      <c r="U3313" s="531"/>
      <c r="V3313" s="531"/>
      <c r="W3313" s="531"/>
      <c r="X3313" s="531"/>
      <c r="Y3313" s="531"/>
      <c r="Z3313" s="531"/>
      <c r="AA3313" s="531"/>
      <c r="AB3313" s="531"/>
      <c r="AC3313" s="531"/>
      <c r="AD3313" s="531"/>
      <c r="AE3313" s="531"/>
      <c r="AF3313" s="531"/>
      <c r="AG3313" s="531"/>
      <c r="AH3313" s="531"/>
      <c r="AI3313" s="531"/>
      <c r="AJ3313" s="531"/>
      <c r="AK3313" s="531"/>
      <c r="AL3313" s="531"/>
      <c r="AM3313" s="531"/>
      <c r="AN3313" s="531"/>
      <c r="AO3313" s="531"/>
      <c r="AR3313" s="761" t="s">
        <v>145</v>
      </c>
      <c r="AS3313" s="764"/>
    </row>
    <row r="3314" spans="1:45" s="520" customFormat="1" ht="12" thickTop="1">
      <c r="A3314" s="51"/>
      <c r="B3314" s="41"/>
      <c r="C3314" s="51"/>
      <c r="E3314" s="42" t="s">
        <v>138</v>
      </c>
      <c r="F3314" s="42" t="s">
        <v>139</v>
      </c>
      <c r="G3314" s="51"/>
      <c r="H3314" s="51"/>
      <c r="I3314" s="51"/>
      <c r="J3314" s="51"/>
      <c r="K3314" s="51" t="s">
        <v>140</v>
      </c>
      <c r="L3314" s="51"/>
      <c r="M3314" s="51"/>
      <c r="N3314" s="51"/>
      <c r="O3314" s="52"/>
      <c r="P3314" s="51"/>
      <c r="Q3314" s="51"/>
      <c r="R3314" s="51"/>
      <c r="S3314" s="51"/>
      <c r="T3314" s="41"/>
      <c r="AG3314" s="521" t="s">
        <v>268</v>
      </c>
      <c r="AH3314" s="521" t="s">
        <v>269</v>
      </c>
      <c r="AI3314" s="521" t="s">
        <v>270</v>
      </c>
      <c r="AJ3314" s="521" t="s">
        <v>271</v>
      </c>
      <c r="AK3314" s="521" t="s">
        <v>272</v>
      </c>
      <c r="AM3314" s="745" t="s">
        <v>281</v>
      </c>
      <c r="AN3314" s="746" t="s">
        <v>282</v>
      </c>
      <c r="AO3314" s="522" t="s">
        <v>278</v>
      </c>
      <c r="AR3314" s="51"/>
      <c r="AS3314" s="42" t="s">
        <v>139</v>
      </c>
    </row>
    <row r="3315" spans="1:45" s="520" customFormat="1" ht="12" customHeight="1">
      <c r="A3315" s="747">
        <v>1</v>
      </c>
      <c r="B3315" s="523" t="s">
        <v>141</v>
      </c>
      <c r="C3315" s="748"/>
      <c r="D3315" s="749" t="s">
        <v>1642</v>
      </c>
      <c r="E3315" s="750">
        <f ca="1">IF(AND($A3315=0,$A$1="DIF"),0, ROUND(ROUND(($R3320*$S$2+($T3320*$T$2))/A3315,2)*$C$2,2))</f>
        <v>237.23</v>
      </c>
      <c r="F3315" s="751">
        <f ca="1">ROUND($A3315*$E3315,2)</f>
        <v>237.23</v>
      </c>
      <c r="G3315" s="752" t="s">
        <v>142</v>
      </c>
      <c r="H3315" s="753"/>
      <c r="I3315" s="754"/>
      <c r="J3315" s="753"/>
      <c r="K3315" s="753" t="s">
        <v>3</v>
      </c>
      <c r="L3315" s="755" t="s">
        <v>143</v>
      </c>
      <c r="M3315" s="755"/>
      <c r="N3315" s="755"/>
      <c r="O3315" s="755"/>
      <c r="P3315" s="755"/>
      <c r="Q3315" s="51"/>
      <c r="T3315" s="756" t="str">
        <f ca="1">IF(AND($R3320=0,$T3320=0),"0.00","mu :" &amp; ROUND($F3315/$C$2/($R3320+$T3320*$D$9),2))</f>
        <v>mu :1.23</v>
      </c>
      <c r="W3315" s="524"/>
      <c r="AG3315" s="481">
        <f ca="1">IF($E3315=0,0,ROUND($R3320*$S$2*$C$2/$A3315,2))</f>
        <v>86.09</v>
      </c>
      <c r="AH3315" s="481">
        <f ca="1">$AG3315*$A3315</f>
        <v>86.09</v>
      </c>
      <c r="AI3315" s="525">
        <f ca="1">$E3315-$AG3315</f>
        <v>151.13999999999999</v>
      </c>
      <c r="AJ3315" s="525">
        <f ca="1">$A3315*$AI3315</f>
        <v>151.13999999999999</v>
      </c>
      <c r="AK3315" s="526">
        <f ca="1">ROUND(($AG3315+$AI3315)*$A3315,2)</f>
        <v>237.23</v>
      </c>
      <c r="AM3315" s="527">
        <f ca="1">ROUND(R3320,2)</f>
        <v>69.92</v>
      </c>
      <c r="AN3315" s="528">
        <f ca="1">ROUND(T3320,2)</f>
        <v>4.47</v>
      </c>
      <c r="AO3315" s="529">
        <f ca="1">ROUND(AM3315+AN3315,2)*A3315</f>
        <v>74.39</v>
      </c>
      <c r="AR3315" s="747">
        <v>1</v>
      </c>
      <c r="AS3315" s="751">
        <v>253.97</v>
      </c>
    </row>
    <row r="3316" spans="1:45" s="520" customFormat="1" ht="13.2">
      <c r="A3316" s="748"/>
      <c r="B3316"/>
      <c r="C3316" s="748"/>
      <c r="D3316" s="749" t="s">
        <v>759</v>
      </c>
      <c r="F3316" s="753"/>
      <c r="G3316" s="3"/>
      <c r="H3316" s="753"/>
      <c r="I3316" s="754"/>
      <c r="J3316" s="753"/>
      <c r="K3316" s="753" t="s">
        <v>144</v>
      </c>
      <c r="L3316" s="753"/>
      <c r="M3316" s="753"/>
      <c r="N3316" s="753"/>
      <c r="O3316" s="753"/>
      <c r="P3316" s="753"/>
      <c r="Q3316" s="51"/>
      <c r="R3316" s="530"/>
      <c r="S3316" s="757"/>
      <c r="T3316" s="753"/>
      <c r="AR3316" s="748"/>
      <c r="AS3316" s="753"/>
    </row>
    <row r="3317" spans="1:45" s="886" customFormat="1" ht="13.2">
      <c r="A3317"/>
      <c r="B3317" s="910"/>
      <c r="C3317" s="910" t="s">
        <v>2597</v>
      </c>
      <c r="D3317" s="910" t="str">
        <f ca="1">CELL("Address",Elec_Rates!D$46)</f>
        <v>[E25_0062_Quintano_Foods_Elec_ELV_As_Awarded.xlsx]Elec_Rates!$D$46</v>
      </c>
      <c r="E3317" s="911"/>
      <c r="F3317" s="911"/>
      <c r="G3317" s="912" t="s">
        <v>2598</v>
      </c>
      <c r="H3317" s="912"/>
      <c r="I3317" s="912"/>
      <c r="J3317" s="912"/>
      <c r="K3317" s="913"/>
      <c r="L3317" s="911"/>
      <c r="M3317" s="911"/>
      <c r="N3317" s="911"/>
      <c r="O3317" s="914"/>
      <c r="P3317" s="911"/>
      <c r="Q3317" s="915"/>
      <c r="R3317" s="916"/>
      <c r="S3317" s="915"/>
      <c r="T3317" s="917"/>
      <c r="U3317" s="918"/>
      <c r="AR3317"/>
      <c r="AS3317" s="911"/>
    </row>
    <row r="3318" spans="1:45" s="886" customFormat="1" ht="11.4">
      <c r="A3318" s="919">
        <v>1</v>
      </c>
      <c r="B3318" s="920">
        <v>1.5</v>
      </c>
      <c r="C3318" s="920">
        <f>$A3318*$B3318</f>
        <v>1.5</v>
      </c>
      <c r="D3318" s="921" t="str">
        <f>Elec_Rates!$D$46</f>
        <v>004# Light point rate (Galvanised Conduit)</v>
      </c>
      <c r="E3318" s="921" t="s">
        <v>2879</v>
      </c>
      <c r="F3318" s="918"/>
      <c r="G3318" s="922" t="s">
        <v>2878</v>
      </c>
      <c r="H3318" s="922"/>
      <c r="I3318" s="922"/>
      <c r="J3318" s="922"/>
      <c r="K3318" s="923"/>
      <c r="L3318" s="918"/>
      <c r="M3318" s="918"/>
      <c r="N3318" s="918"/>
      <c r="O3318" s="924"/>
      <c r="P3318" s="921"/>
      <c r="Q3318" s="925">
        <f ca="1">$B3318*Elec_Rates!$R$46</f>
        <v>69.914999999999992</v>
      </c>
      <c r="R3318" s="916">
        <f ca="1">$A3318*Q3318</f>
        <v>69.914999999999992</v>
      </c>
      <c r="S3318" s="925">
        <f ca="1">$B3318*Elec_Rates!$T$46</f>
        <v>4.47</v>
      </c>
      <c r="T3318" s="917">
        <f ca="1">$A3318*S3318</f>
        <v>4.47</v>
      </c>
      <c r="U3318" s="926"/>
      <c r="AR3318" s="919">
        <v>1</v>
      </c>
      <c r="AS3318" s="918"/>
    </row>
    <row r="3319" spans="1:45" s="520" customFormat="1" ht="12">
      <c r="A3319" s="758"/>
      <c r="B3319" s="758"/>
      <c r="C3319" s="758"/>
      <c r="D3319" s="758"/>
      <c r="E3319" s="758"/>
      <c r="F3319" s="753"/>
      <c r="G3319" s="758"/>
      <c r="H3319" s="758"/>
      <c r="I3319" s="519"/>
      <c r="J3319" s="758"/>
      <c r="K3319" s="758"/>
      <c r="L3319" s="758"/>
      <c r="M3319" s="758"/>
      <c r="N3319" s="758"/>
      <c r="O3319" s="758"/>
      <c r="P3319" s="758"/>
      <c r="Q3319" s="519"/>
      <c r="R3319" s="759">
        <f>$A3319*Q3319</f>
        <v>0</v>
      </c>
      <c r="S3319" s="519"/>
      <c r="T3319" s="760">
        <f>$A3319*S3319*$T$1</f>
        <v>0</v>
      </c>
      <c r="AR3319" s="758"/>
      <c r="AS3319" s="753"/>
    </row>
    <row r="3320" spans="1:45" s="520" customFormat="1" ht="12.6" thickBot="1">
      <c r="A3320" s="761" t="s">
        <v>145</v>
      </c>
      <c r="B3320" s="762">
        <f>(R3319+T3319)</f>
        <v>0</v>
      </c>
      <c r="C3320" s="763"/>
      <c r="D3320" s="763"/>
      <c r="E3320" s="763"/>
      <c r="F3320" s="764"/>
      <c r="G3320" s="763" t="s">
        <v>146</v>
      </c>
      <c r="H3320" s="763"/>
      <c r="I3320" s="765"/>
      <c r="J3320" s="763"/>
      <c r="K3320" s="763" t="s">
        <v>3</v>
      </c>
      <c r="L3320" s="766" t="s">
        <v>143</v>
      </c>
      <c r="M3320" s="766"/>
      <c r="N3320" s="766"/>
      <c r="O3320" s="766"/>
      <c r="P3320" s="766"/>
      <c r="Q3320" s="767"/>
      <c r="R3320" s="768">
        <f ca="1">SUM(R3316:R3319)</f>
        <v>69.914999999999992</v>
      </c>
      <c r="S3320" s="763"/>
      <c r="T3320" s="768">
        <f ca="1">SUM(T3316:T3319)</f>
        <v>4.47</v>
      </c>
      <c r="U3320" s="531"/>
      <c r="V3320" s="531"/>
      <c r="W3320" s="531"/>
      <c r="X3320" s="531"/>
      <c r="Y3320" s="531"/>
      <c r="Z3320" s="531"/>
      <c r="AA3320" s="531"/>
      <c r="AB3320" s="531"/>
      <c r="AC3320" s="531"/>
      <c r="AD3320" s="531"/>
      <c r="AE3320" s="531"/>
      <c r="AF3320" s="531"/>
      <c r="AG3320" s="531"/>
      <c r="AH3320" s="531"/>
      <c r="AI3320" s="531"/>
      <c r="AJ3320" s="531"/>
      <c r="AK3320" s="531"/>
      <c r="AL3320" s="531"/>
      <c r="AM3320" s="531"/>
      <c r="AN3320" s="531"/>
      <c r="AO3320" s="531"/>
      <c r="AR3320" s="761" t="s">
        <v>145</v>
      </c>
      <c r="AS3320" s="764"/>
    </row>
    <row r="3321" spans="1:45" s="520" customFormat="1" ht="12" thickTop="1">
      <c r="A3321" s="51"/>
      <c r="B3321" s="41"/>
      <c r="C3321" s="51"/>
      <c r="E3321" s="42" t="s">
        <v>138</v>
      </c>
      <c r="F3321" s="42" t="s">
        <v>139</v>
      </c>
      <c r="G3321" s="51"/>
      <c r="H3321" s="51"/>
      <c r="I3321" s="51"/>
      <c r="J3321" s="51"/>
      <c r="K3321" s="51" t="s">
        <v>140</v>
      </c>
      <c r="L3321" s="51"/>
      <c r="M3321" s="51"/>
      <c r="N3321" s="51"/>
      <c r="O3321" s="52"/>
      <c r="P3321" s="51"/>
      <c r="Q3321" s="51"/>
      <c r="R3321" s="51"/>
      <c r="S3321" s="51"/>
      <c r="T3321" s="41"/>
      <c r="AG3321" s="521" t="s">
        <v>268</v>
      </c>
      <c r="AH3321" s="521" t="s">
        <v>269</v>
      </c>
      <c r="AI3321" s="521" t="s">
        <v>270</v>
      </c>
      <c r="AJ3321" s="521" t="s">
        <v>271</v>
      </c>
      <c r="AK3321" s="521" t="s">
        <v>272</v>
      </c>
      <c r="AM3321" s="745" t="s">
        <v>281</v>
      </c>
      <c r="AN3321" s="746" t="s">
        <v>282</v>
      </c>
      <c r="AO3321" s="522" t="s">
        <v>278</v>
      </c>
      <c r="AR3321" s="51"/>
      <c r="AS3321" s="42" t="s">
        <v>139</v>
      </c>
    </row>
    <row r="3322" spans="1:45" s="520" customFormat="1" ht="12" customHeight="1">
      <c r="A3322" s="747">
        <v>1</v>
      </c>
      <c r="B3322" s="523" t="s">
        <v>141</v>
      </c>
      <c r="C3322" s="748"/>
      <c r="D3322" s="749" t="s">
        <v>1643</v>
      </c>
      <c r="E3322" s="750">
        <f ca="1">IF(AND($A3322=0,$A$1="DIF"),0, ROUND(ROUND(($R3327*$S$2+($T3327*$T$2))/A3322,2)*$C$2,2))</f>
        <v>316.31</v>
      </c>
      <c r="F3322" s="751">
        <f ca="1">ROUND($A3322*$E3322,2)</f>
        <v>316.31</v>
      </c>
      <c r="G3322" s="752" t="s">
        <v>142</v>
      </c>
      <c r="H3322" s="753"/>
      <c r="I3322" s="754"/>
      <c r="J3322" s="753"/>
      <c r="K3322" s="753" t="s">
        <v>3</v>
      </c>
      <c r="L3322" s="755" t="s">
        <v>143</v>
      </c>
      <c r="M3322" s="755"/>
      <c r="N3322" s="755"/>
      <c r="O3322" s="755"/>
      <c r="P3322" s="755"/>
      <c r="Q3322" s="51"/>
      <c r="T3322" s="756" t="str">
        <f ca="1">IF(AND($R3327=0,$T3327=0),"0.00","mu :" &amp; ROUND($F3322/$C$2/($R3327+$T3327*$D$9),2))</f>
        <v>mu :1.23</v>
      </c>
      <c r="W3322" s="524"/>
      <c r="AG3322" s="481">
        <f ca="1">IF($E3322=0,0,ROUND($R3327*$S$2*$C$2/$A3322,2))</f>
        <v>114.79</v>
      </c>
      <c r="AH3322" s="481">
        <f ca="1">$AG3322*$A3322</f>
        <v>114.79</v>
      </c>
      <c r="AI3322" s="525">
        <f ca="1">$E3322-$AG3322</f>
        <v>201.51999999999998</v>
      </c>
      <c r="AJ3322" s="525">
        <f ca="1">$A3322*$AI3322</f>
        <v>201.51999999999998</v>
      </c>
      <c r="AK3322" s="526">
        <f ca="1">ROUND(($AG3322+$AI3322)*$A3322,2)</f>
        <v>316.31</v>
      </c>
      <c r="AM3322" s="527">
        <f ca="1">ROUND(R3327,2)</f>
        <v>93.22</v>
      </c>
      <c r="AN3322" s="528">
        <f ca="1">ROUND(T3327,2)</f>
        <v>5.96</v>
      </c>
      <c r="AO3322" s="529">
        <f ca="1">ROUND(AM3322+AN3322,2)*A3322</f>
        <v>99.18</v>
      </c>
      <c r="AR3322" s="747">
        <v>1</v>
      </c>
      <c r="AS3322" s="751">
        <v>338.63</v>
      </c>
    </row>
    <row r="3323" spans="1:45" s="520" customFormat="1" ht="13.2">
      <c r="A3323" s="748"/>
      <c r="B3323"/>
      <c r="C3323" s="748"/>
      <c r="D3323" s="749" t="s">
        <v>791</v>
      </c>
      <c r="F3323" s="753"/>
      <c r="G3323" s="3"/>
      <c r="H3323" s="753"/>
      <c r="I3323" s="754"/>
      <c r="J3323" s="753"/>
      <c r="K3323" s="753" t="s">
        <v>144</v>
      </c>
      <c r="L3323" s="753"/>
      <c r="M3323" s="753"/>
      <c r="N3323" s="753"/>
      <c r="O3323" s="753"/>
      <c r="P3323" s="753"/>
      <c r="Q3323" s="51"/>
      <c r="R3323" s="530"/>
      <c r="S3323" s="757"/>
      <c r="T3323" s="753"/>
      <c r="AR3323" s="748"/>
      <c r="AS3323" s="753"/>
    </row>
    <row r="3324" spans="1:45" s="886" customFormat="1" ht="13.2">
      <c r="A3324"/>
      <c r="B3324" s="910"/>
      <c r="C3324" s="910" t="s">
        <v>2597</v>
      </c>
      <c r="D3324" s="910" t="str">
        <f ca="1">CELL("Address",Elec_Rates!D$46)</f>
        <v>[E25_0062_Quintano_Foods_Elec_ELV_As_Awarded.xlsx]Elec_Rates!$D$46</v>
      </c>
      <c r="E3324" s="911"/>
      <c r="F3324" s="911"/>
      <c r="G3324" s="912" t="s">
        <v>2598</v>
      </c>
      <c r="H3324" s="912"/>
      <c r="I3324" s="912"/>
      <c r="J3324" s="912"/>
      <c r="K3324" s="913"/>
      <c r="L3324" s="911"/>
      <c r="M3324" s="911"/>
      <c r="N3324" s="911"/>
      <c r="O3324" s="914"/>
      <c r="P3324" s="911"/>
      <c r="Q3324" s="915"/>
      <c r="R3324" s="916"/>
      <c r="S3324" s="915"/>
      <c r="T3324" s="917"/>
      <c r="U3324" s="918"/>
      <c r="AR3324"/>
      <c r="AS3324" s="911"/>
    </row>
    <row r="3325" spans="1:45" s="886" customFormat="1" ht="11.4">
      <c r="A3325" s="919">
        <v>1</v>
      </c>
      <c r="B3325" s="920">
        <v>2</v>
      </c>
      <c r="C3325" s="920">
        <f>$A3325*$B3325</f>
        <v>2</v>
      </c>
      <c r="D3325" s="921" t="str">
        <f>Elec_Rates!$D$46</f>
        <v>004# Light point rate (Galvanised Conduit)</v>
      </c>
      <c r="E3325" s="921" t="s">
        <v>2967</v>
      </c>
      <c r="F3325" s="918"/>
      <c r="G3325" s="922" t="s">
        <v>2878</v>
      </c>
      <c r="H3325" s="922"/>
      <c r="I3325" s="922"/>
      <c r="J3325" s="922"/>
      <c r="K3325" s="923"/>
      <c r="L3325" s="918"/>
      <c r="M3325" s="918"/>
      <c r="N3325" s="918"/>
      <c r="O3325" s="924"/>
      <c r="P3325" s="921"/>
      <c r="Q3325" s="925">
        <f ca="1">$B3325*Elec_Rates!$R$46</f>
        <v>93.22</v>
      </c>
      <c r="R3325" s="916">
        <f ca="1">$A3325*Q3325</f>
        <v>93.22</v>
      </c>
      <c r="S3325" s="925">
        <f ca="1">$B3325*Elec_Rates!$T$46</f>
        <v>5.96</v>
      </c>
      <c r="T3325" s="917">
        <f ca="1">$A3325*S3325</f>
        <v>5.96</v>
      </c>
      <c r="U3325" s="926"/>
      <c r="AR3325" s="919">
        <v>1</v>
      </c>
      <c r="AS3325" s="918"/>
    </row>
    <row r="3326" spans="1:45" s="520" customFormat="1" ht="12">
      <c r="A3326" s="758"/>
      <c r="B3326" s="758"/>
      <c r="C3326" s="758"/>
      <c r="D3326" s="758"/>
      <c r="E3326" s="758"/>
      <c r="F3326" s="753"/>
      <c r="G3326" s="758"/>
      <c r="H3326" s="758"/>
      <c r="I3326" s="519"/>
      <c r="J3326" s="758"/>
      <c r="K3326" s="758"/>
      <c r="L3326" s="758"/>
      <c r="M3326" s="758"/>
      <c r="N3326" s="758"/>
      <c r="O3326" s="758"/>
      <c r="P3326" s="758"/>
      <c r="Q3326" s="519"/>
      <c r="R3326" s="759">
        <f>$A3326*Q3326</f>
        <v>0</v>
      </c>
      <c r="S3326" s="519"/>
      <c r="T3326" s="760">
        <f>$A3326*S3326*$T$1</f>
        <v>0</v>
      </c>
      <c r="AR3326" s="758"/>
      <c r="AS3326" s="753"/>
    </row>
    <row r="3327" spans="1:45" s="520" customFormat="1" ht="12.6" thickBot="1">
      <c r="A3327" s="761" t="s">
        <v>145</v>
      </c>
      <c r="B3327" s="762">
        <f>(R3326+T3326)</f>
        <v>0</v>
      </c>
      <c r="C3327" s="763"/>
      <c r="D3327" s="763"/>
      <c r="E3327" s="763"/>
      <c r="F3327" s="764"/>
      <c r="G3327" s="763" t="s">
        <v>146</v>
      </c>
      <c r="H3327" s="763"/>
      <c r="I3327" s="765"/>
      <c r="J3327" s="763"/>
      <c r="K3327" s="763" t="s">
        <v>3</v>
      </c>
      <c r="L3327" s="766" t="s">
        <v>143</v>
      </c>
      <c r="M3327" s="766"/>
      <c r="N3327" s="766"/>
      <c r="O3327" s="766"/>
      <c r="P3327" s="766"/>
      <c r="Q3327" s="767"/>
      <c r="R3327" s="768">
        <f ca="1">SUM(R3323:R3326)</f>
        <v>93.22</v>
      </c>
      <c r="S3327" s="763"/>
      <c r="T3327" s="768">
        <f ca="1">SUM(T3323:T3326)</f>
        <v>5.96</v>
      </c>
      <c r="U3327" s="531"/>
      <c r="V3327" s="531"/>
      <c r="W3327" s="531"/>
      <c r="X3327" s="531"/>
      <c r="Y3327" s="531"/>
      <c r="Z3327" s="531"/>
      <c r="AA3327" s="531"/>
      <c r="AB3327" s="531"/>
      <c r="AC3327" s="531"/>
      <c r="AD3327" s="531"/>
      <c r="AE3327" s="531"/>
      <c r="AF3327" s="531"/>
      <c r="AG3327" s="531"/>
      <c r="AH3327" s="531"/>
      <c r="AI3327" s="531"/>
      <c r="AJ3327" s="531"/>
      <c r="AK3327" s="531"/>
      <c r="AL3327" s="531"/>
      <c r="AM3327" s="531"/>
      <c r="AN3327" s="531"/>
      <c r="AO3327" s="531"/>
      <c r="AR3327" s="761" t="s">
        <v>145</v>
      </c>
      <c r="AS3327" s="764"/>
    </row>
    <row r="3328" spans="1:45" s="520" customFormat="1" ht="12" thickTop="1">
      <c r="A3328" s="51"/>
      <c r="B3328" s="41"/>
      <c r="C3328" s="51"/>
      <c r="E3328" s="42" t="s">
        <v>138</v>
      </c>
      <c r="F3328" s="42" t="s">
        <v>139</v>
      </c>
      <c r="G3328" s="51"/>
      <c r="H3328" s="51"/>
      <c r="I3328" s="51"/>
      <c r="J3328" s="51"/>
      <c r="K3328" s="51" t="s">
        <v>140</v>
      </c>
      <c r="L3328" s="51"/>
      <c r="M3328" s="51"/>
      <c r="N3328" s="51"/>
      <c r="O3328" s="52"/>
      <c r="P3328" s="51"/>
      <c r="Q3328" s="51"/>
      <c r="R3328" s="51"/>
      <c r="S3328" s="51"/>
      <c r="T3328" s="41"/>
      <c r="AG3328" s="521" t="s">
        <v>268</v>
      </c>
      <c r="AH3328" s="521" t="s">
        <v>269</v>
      </c>
      <c r="AI3328" s="521" t="s">
        <v>270</v>
      </c>
      <c r="AJ3328" s="521" t="s">
        <v>271</v>
      </c>
      <c r="AK3328" s="521" t="s">
        <v>272</v>
      </c>
      <c r="AM3328" s="745" t="s">
        <v>281</v>
      </c>
      <c r="AN3328" s="746" t="s">
        <v>282</v>
      </c>
      <c r="AO3328" s="522" t="s">
        <v>278</v>
      </c>
      <c r="AR3328" s="51"/>
      <c r="AS3328" s="42" t="s">
        <v>139</v>
      </c>
    </row>
    <row r="3329" spans="1:45" s="520" customFormat="1" ht="12" customHeight="1">
      <c r="A3329" s="747">
        <v>1</v>
      </c>
      <c r="B3329" s="523" t="s">
        <v>141</v>
      </c>
      <c r="C3329" s="748"/>
      <c r="D3329" s="749" t="s">
        <v>1644</v>
      </c>
      <c r="E3329" s="750">
        <f ca="1">IF(AND($A3329=0,$A$1="DIF"),0, ROUND(ROUND(($R3334*$S$2+($T3334*$T$2))/A3329,2)*$C$2,2))</f>
        <v>553.54</v>
      </c>
      <c r="F3329" s="751">
        <f ca="1">ROUND($A3329*$E3329,2)</f>
        <v>553.54</v>
      </c>
      <c r="G3329" s="752" t="s">
        <v>142</v>
      </c>
      <c r="H3329" s="753"/>
      <c r="I3329" s="754"/>
      <c r="J3329" s="753"/>
      <c r="K3329" s="753" t="s">
        <v>3</v>
      </c>
      <c r="L3329" s="755" t="s">
        <v>143</v>
      </c>
      <c r="M3329" s="755"/>
      <c r="N3329" s="755"/>
      <c r="O3329" s="755"/>
      <c r="P3329" s="755"/>
      <c r="Q3329" s="51"/>
      <c r="T3329" s="756" t="str">
        <f ca="1">IF(AND($R3334=0,$T3334=0),"0.00","mu :" &amp; ROUND($F3329/$C$2/($R3334+$T3334*$D$9),2))</f>
        <v>mu :1.23</v>
      </c>
      <c r="W3329" s="524"/>
      <c r="AG3329" s="481">
        <f ca="1">IF($E3329=0,0,ROUND($R3334*$S$2*$C$2/$A3329,2))</f>
        <v>200.88</v>
      </c>
      <c r="AH3329" s="481">
        <f ca="1">$AG3329*$A3329</f>
        <v>200.88</v>
      </c>
      <c r="AI3329" s="525">
        <f ca="1">$E3329-$AG3329</f>
        <v>352.65999999999997</v>
      </c>
      <c r="AJ3329" s="525">
        <f ca="1">$A3329*$AI3329</f>
        <v>352.65999999999997</v>
      </c>
      <c r="AK3329" s="526">
        <f ca="1">ROUND(($AG3329+$AI3329)*$A3329,2)</f>
        <v>553.54</v>
      </c>
      <c r="AM3329" s="527">
        <f ca="1">ROUND(R3334,2)</f>
        <v>163.13999999999999</v>
      </c>
      <c r="AN3329" s="528">
        <f ca="1">ROUND(T3334,2)</f>
        <v>10.43</v>
      </c>
      <c r="AO3329" s="529">
        <f ca="1">ROUND(AM3329+AN3329,2)*A3329</f>
        <v>173.57</v>
      </c>
      <c r="AR3329" s="747">
        <v>1</v>
      </c>
      <c r="AS3329" s="751">
        <v>592.6</v>
      </c>
    </row>
    <row r="3330" spans="1:45" s="520" customFormat="1" ht="13.2">
      <c r="A3330" s="748"/>
      <c r="B3330"/>
      <c r="C3330" s="748"/>
      <c r="D3330" s="749" t="s">
        <v>792</v>
      </c>
      <c r="F3330" s="753"/>
      <c r="G3330" s="3"/>
      <c r="H3330" s="753"/>
      <c r="I3330" s="754"/>
      <c r="J3330" s="753"/>
      <c r="K3330" s="753" t="s">
        <v>144</v>
      </c>
      <c r="L3330" s="753"/>
      <c r="M3330" s="753"/>
      <c r="N3330" s="753"/>
      <c r="O3330" s="753"/>
      <c r="P3330" s="753"/>
      <c r="Q3330" s="51"/>
      <c r="R3330" s="530"/>
      <c r="S3330" s="757"/>
      <c r="T3330" s="753"/>
      <c r="AR3330" s="748"/>
      <c r="AS3330" s="753"/>
    </row>
    <row r="3331" spans="1:45" s="886" customFormat="1" ht="13.2">
      <c r="A3331"/>
      <c r="B3331" s="910"/>
      <c r="C3331" s="910" t="s">
        <v>2597</v>
      </c>
      <c r="D3331" s="910" t="str">
        <f ca="1">CELL("Address",Elec_Rates!D$46)</f>
        <v>[E25_0062_Quintano_Foods_Elec_ELV_As_Awarded.xlsx]Elec_Rates!$D$46</v>
      </c>
      <c r="E3331" s="911"/>
      <c r="F3331" s="911"/>
      <c r="G3331" s="912" t="s">
        <v>2598</v>
      </c>
      <c r="H3331" s="912"/>
      <c r="I3331" s="912"/>
      <c r="J3331" s="912"/>
      <c r="K3331" s="913"/>
      <c r="L3331" s="911"/>
      <c r="M3331" s="911"/>
      <c r="N3331" s="911"/>
      <c r="O3331" s="914"/>
      <c r="P3331" s="911"/>
      <c r="Q3331" s="915"/>
      <c r="R3331" s="916"/>
      <c r="S3331" s="915"/>
      <c r="T3331" s="917"/>
      <c r="U3331" s="918"/>
      <c r="AR3331"/>
      <c r="AS3331" s="911"/>
    </row>
    <row r="3332" spans="1:45" s="886" customFormat="1" ht="11.4">
      <c r="A3332" s="919">
        <v>1</v>
      </c>
      <c r="B3332" s="920">
        <v>3.5</v>
      </c>
      <c r="C3332" s="920">
        <f>$A3332*$B3332</f>
        <v>3.5</v>
      </c>
      <c r="D3332" s="921" t="str">
        <f>Elec_Rates!$D$46</f>
        <v>004# Light point rate (Galvanised Conduit)</v>
      </c>
      <c r="E3332" s="921" t="s">
        <v>2968</v>
      </c>
      <c r="F3332" s="918"/>
      <c r="G3332" s="922" t="s">
        <v>2878</v>
      </c>
      <c r="H3332" s="922"/>
      <c r="I3332" s="922"/>
      <c r="J3332" s="922"/>
      <c r="K3332" s="923"/>
      <c r="L3332" s="918"/>
      <c r="M3332" s="918"/>
      <c r="N3332" s="918"/>
      <c r="O3332" s="924"/>
      <c r="P3332" s="921"/>
      <c r="Q3332" s="925">
        <f ca="1">$B3332*Elec_Rates!$R$46</f>
        <v>163.13499999999999</v>
      </c>
      <c r="R3332" s="916">
        <f ca="1">$A3332*Q3332</f>
        <v>163.13499999999999</v>
      </c>
      <c r="S3332" s="925">
        <f ca="1">$B3332*Elec_Rates!$T$46</f>
        <v>10.43</v>
      </c>
      <c r="T3332" s="917">
        <f ca="1">$A3332*S3332</f>
        <v>10.43</v>
      </c>
      <c r="U3332" s="926"/>
      <c r="AR3332" s="919">
        <v>1</v>
      </c>
      <c r="AS3332" s="918"/>
    </row>
    <row r="3333" spans="1:45" s="520" customFormat="1" ht="12">
      <c r="A3333" s="758"/>
      <c r="B3333" s="758"/>
      <c r="C3333" s="758"/>
      <c r="D3333" s="758"/>
      <c r="E3333" s="758"/>
      <c r="F3333" s="753"/>
      <c r="G3333" s="758"/>
      <c r="H3333" s="758"/>
      <c r="I3333" s="519"/>
      <c r="J3333" s="758"/>
      <c r="K3333" s="758"/>
      <c r="L3333" s="758"/>
      <c r="M3333" s="758"/>
      <c r="N3333" s="758"/>
      <c r="O3333" s="758"/>
      <c r="P3333" s="758"/>
      <c r="Q3333" s="519"/>
      <c r="R3333" s="759">
        <f>$A3333*Q3333</f>
        <v>0</v>
      </c>
      <c r="S3333" s="519"/>
      <c r="T3333" s="760">
        <f>$A3333*S3333*$T$1</f>
        <v>0</v>
      </c>
      <c r="AR3333" s="758"/>
      <c r="AS3333" s="753"/>
    </row>
    <row r="3334" spans="1:45" s="520" customFormat="1" ht="12.6" thickBot="1">
      <c r="A3334" s="761" t="s">
        <v>145</v>
      </c>
      <c r="B3334" s="762">
        <f>(R3333+T3333)</f>
        <v>0</v>
      </c>
      <c r="C3334" s="763"/>
      <c r="D3334" s="763"/>
      <c r="E3334" s="763"/>
      <c r="F3334" s="764"/>
      <c r="G3334" s="763" t="s">
        <v>146</v>
      </c>
      <c r="H3334" s="763"/>
      <c r="I3334" s="765"/>
      <c r="J3334" s="763"/>
      <c r="K3334" s="763" t="s">
        <v>3</v>
      </c>
      <c r="L3334" s="766" t="s">
        <v>143</v>
      </c>
      <c r="M3334" s="766"/>
      <c r="N3334" s="766"/>
      <c r="O3334" s="766"/>
      <c r="P3334" s="766"/>
      <c r="Q3334" s="767"/>
      <c r="R3334" s="768">
        <f ca="1">SUM(R3330:R3333)</f>
        <v>163.13499999999999</v>
      </c>
      <c r="S3334" s="763"/>
      <c r="T3334" s="768">
        <f ca="1">SUM(T3330:T3333)</f>
        <v>10.43</v>
      </c>
      <c r="U3334" s="531"/>
      <c r="V3334" s="531"/>
      <c r="W3334" s="531"/>
      <c r="X3334" s="531"/>
      <c r="Y3334" s="531"/>
      <c r="Z3334" s="531"/>
      <c r="AA3334" s="531"/>
      <c r="AB3334" s="531"/>
      <c r="AC3334" s="531"/>
      <c r="AD3334" s="531"/>
      <c r="AE3334" s="531"/>
      <c r="AF3334" s="531"/>
      <c r="AG3334" s="531"/>
      <c r="AH3334" s="531"/>
      <c r="AI3334" s="531"/>
      <c r="AJ3334" s="531"/>
      <c r="AK3334" s="531"/>
      <c r="AL3334" s="531"/>
      <c r="AM3334" s="531"/>
      <c r="AN3334" s="531"/>
      <c r="AO3334" s="531"/>
      <c r="AR3334" s="761" t="s">
        <v>145</v>
      </c>
      <c r="AS3334" s="764"/>
    </row>
    <row r="3335" spans="1:45" s="520" customFormat="1" ht="12" thickTop="1">
      <c r="A3335" s="51"/>
      <c r="B3335" s="41"/>
      <c r="C3335" s="51"/>
      <c r="E3335" s="42" t="s">
        <v>138</v>
      </c>
      <c r="F3335" s="42" t="s">
        <v>139</v>
      </c>
      <c r="G3335" s="51"/>
      <c r="H3335" s="51"/>
      <c r="I3335" s="51"/>
      <c r="J3335" s="51"/>
      <c r="K3335" s="51" t="s">
        <v>140</v>
      </c>
      <c r="L3335" s="51"/>
      <c r="M3335" s="51"/>
      <c r="N3335" s="51"/>
      <c r="O3335" s="52"/>
      <c r="P3335" s="51"/>
      <c r="Q3335" s="51"/>
      <c r="R3335" s="51"/>
      <c r="S3335" s="51"/>
      <c r="T3335" s="41"/>
      <c r="AG3335" s="521" t="s">
        <v>268</v>
      </c>
      <c r="AH3335" s="521" t="s">
        <v>269</v>
      </c>
      <c r="AI3335" s="521" t="s">
        <v>270</v>
      </c>
      <c r="AJ3335" s="521" t="s">
        <v>271</v>
      </c>
      <c r="AK3335" s="521" t="s">
        <v>272</v>
      </c>
      <c r="AM3335" s="745" t="s">
        <v>281</v>
      </c>
      <c r="AN3335" s="746" t="s">
        <v>282</v>
      </c>
      <c r="AO3335" s="522" t="s">
        <v>278</v>
      </c>
      <c r="AR3335" s="51"/>
      <c r="AS3335" s="42" t="s">
        <v>139</v>
      </c>
    </row>
    <row r="3336" spans="1:45" s="520" customFormat="1" ht="12" customHeight="1">
      <c r="A3336" s="747">
        <v>1</v>
      </c>
      <c r="B3336" s="523" t="s">
        <v>141</v>
      </c>
      <c r="C3336" s="748"/>
      <c r="D3336" s="749" t="s">
        <v>1645</v>
      </c>
      <c r="E3336" s="750">
        <f ca="1">IF(AND($A3336=0,$A$1="DIF"),0, ROUND(ROUND(($R3341*$S$2+($T3341*$T$2))/A3336,2)*$C$2,2))</f>
        <v>158.15</v>
      </c>
      <c r="F3336" s="751">
        <f ca="1">ROUND($A3336*$E3336,2)</f>
        <v>158.15</v>
      </c>
      <c r="G3336" s="752" t="s">
        <v>142</v>
      </c>
      <c r="H3336" s="753"/>
      <c r="I3336" s="754"/>
      <c r="J3336" s="753"/>
      <c r="K3336" s="753" t="s">
        <v>3</v>
      </c>
      <c r="L3336" s="755" t="s">
        <v>143</v>
      </c>
      <c r="M3336" s="755"/>
      <c r="N3336" s="755"/>
      <c r="O3336" s="755"/>
      <c r="P3336" s="755"/>
      <c r="Q3336" s="51"/>
      <c r="T3336" s="756" t="str">
        <f ca="1">IF(AND($R3341=0,$T3341=0),"0.00","mu :" &amp; ROUND($F3336/$C$2/($R3341+$T3341*$D$9),2))</f>
        <v>mu :1.23</v>
      </c>
      <c r="W3336" s="524"/>
      <c r="AG3336" s="481">
        <f ca="1">IF($E3336=0,0,ROUND($R3341*$S$2*$C$2/$A3336,2))</f>
        <v>57.39</v>
      </c>
      <c r="AH3336" s="481">
        <f ca="1">$AG3336*$A3336</f>
        <v>57.39</v>
      </c>
      <c r="AI3336" s="525">
        <f ca="1">$E3336-$AG3336</f>
        <v>100.76</v>
      </c>
      <c r="AJ3336" s="525">
        <f ca="1">$A3336*$AI3336</f>
        <v>100.76</v>
      </c>
      <c r="AK3336" s="526">
        <f ca="1">ROUND(($AG3336+$AI3336)*$A3336,2)</f>
        <v>158.15</v>
      </c>
      <c r="AM3336" s="527">
        <f ca="1">ROUND(R3341,2)</f>
        <v>46.61</v>
      </c>
      <c r="AN3336" s="528">
        <f ca="1">ROUND(T3341,2)</f>
        <v>2.98</v>
      </c>
      <c r="AO3336" s="529">
        <f ca="1">ROUND(AM3336+AN3336,2)*A3336</f>
        <v>49.59</v>
      </c>
      <c r="AR3336" s="747">
        <v>1</v>
      </c>
      <c r="AS3336" s="751">
        <v>169.31</v>
      </c>
    </row>
    <row r="3337" spans="1:45" s="520" customFormat="1" ht="13.2">
      <c r="A3337" s="748"/>
      <c r="B3337"/>
      <c r="C3337" s="748"/>
      <c r="D3337" s="749" t="s">
        <v>793</v>
      </c>
      <c r="F3337" s="753"/>
      <c r="G3337" s="3"/>
      <c r="H3337" s="753"/>
      <c r="I3337" s="754"/>
      <c r="J3337" s="753"/>
      <c r="K3337" s="753" t="s">
        <v>144</v>
      </c>
      <c r="L3337" s="753"/>
      <c r="M3337" s="753"/>
      <c r="N3337" s="753"/>
      <c r="O3337" s="753"/>
      <c r="P3337" s="753"/>
      <c r="Q3337" s="51"/>
      <c r="R3337" s="530"/>
      <c r="S3337" s="757"/>
      <c r="T3337" s="753"/>
      <c r="AR3337" s="748"/>
      <c r="AS3337" s="753"/>
    </row>
    <row r="3338" spans="1:45" s="886" customFormat="1" ht="13.2">
      <c r="A3338"/>
      <c r="B3338" s="910"/>
      <c r="C3338" s="910" t="s">
        <v>2597</v>
      </c>
      <c r="D3338" s="910" t="str">
        <f ca="1">CELL("Address",Elec_Rates!D$46)</f>
        <v>[E25_0062_Quintano_Foods_Elec_ELV_As_Awarded.xlsx]Elec_Rates!$D$46</v>
      </c>
      <c r="E3338" s="911"/>
      <c r="F3338" s="911"/>
      <c r="G3338" s="912" t="s">
        <v>2598</v>
      </c>
      <c r="H3338" s="912"/>
      <c r="I3338" s="912"/>
      <c r="J3338" s="912"/>
      <c r="K3338" s="913"/>
      <c r="L3338" s="911"/>
      <c r="M3338" s="911"/>
      <c r="N3338" s="911"/>
      <c r="O3338" s="914"/>
      <c r="P3338" s="911"/>
      <c r="Q3338" s="915"/>
      <c r="R3338" s="916"/>
      <c r="S3338" s="915"/>
      <c r="T3338" s="917"/>
      <c r="U3338" s="918"/>
      <c r="AR3338"/>
      <c r="AS3338" s="911"/>
    </row>
    <row r="3339" spans="1:45" s="886" customFormat="1" ht="11.4">
      <c r="A3339" s="919">
        <v>1</v>
      </c>
      <c r="B3339" s="920">
        <v>1</v>
      </c>
      <c r="C3339" s="920">
        <f>$A3339*$B3339</f>
        <v>1</v>
      </c>
      <c r="D3339" s="921" t="str">
        <f>Elec_Rates!$D$46</f>
        <v>004# Light point rate (Galvanised Conduit)</v>
      </c>
      <c r="E3339" s="921" t="s">
        <v>2969</v>
      </c>
      <c r="F3339" s="918"/>
      <c r="G3339" s="922" t="s">
        <v>2878</v>
      </c>
      <c r="H3339" s="922"/>
      <c r="I3339" s="922"/>
      <c r="J3339" s="922"/>
      <c r="K3339" s="923"/>
      <c r="L3339" s="918"/>
      <c r="M3339" s="918"/>
      <c r="N3339" s="918"/>
      <c r="O3339" s="924"/>
      <c r="P3339" s="921"/>
      <c r="Q3339" s="925">
        <f ca="1">$B3339*Elec_Rates!$R$46</f>
        <v>46.61</v>
      </c>
      <c r="R3339" s="916">
        <f ca="1">$A3339*Q3339</f>
        <v>46.61</v>
      </c>
      <c r="S3339" s="925">
        <f ca="1">$B3339*Elec_Rates!$T$46</f>
        <v>2.98</v>
      </c>
      <c r="T3339" s="917">
        <f ca="1">$A3339*S3339</f>
        <v>2.98</v>
      </c>
      <c r="U3339" s="926"/>
      <c r="AR3339" s="919">
        <v>1</v>
      </c>
      <c r="AS3339" s="918"/>
    </row>
    <row r="3340" spans="1:45" s="520" customFormat="1" ht="12">
      <c r="A3340" s="758"/>
      <c r="B3340" s="758"/>
      <c r="C3340" s="758"/>
      <c r="D3340" s="758"/>
      <c r="E3340" s="758"/>
      <c r="F3340" s="753"/>
      <c r="G3340" s="758"/>
      <c r="H3340" s="758"/>
      <c r="I3340" s="519"/>
      <c r="J3340" s="758"/>
      <c r="K3340" s="758"/>
      <c r="L3340" s="758"/>
      <c r="M3340" s="758"/>
      <c r="N3340" s="758"/>
      <c r="O3340" s="758"/>
      <c r="P3340" s="758"/>
      <c r="Q3340" s="519"/>
      <c r="R3340" s="759">
        <f>$A3340*Q3340</f>
        <v>0</v>
      </c>
      <c r="S3340" s="519"/>
      <c r="T3340" s="760">
        <f>$A3340*S3340*$T$1</f>
        <v>0</v>
      </c>
      <c r="AR3340" s="758"/>
      <c r="AS3340" s="753"/>
    </row>
    <row r="3341" spans="1:45" s="520" customFormat="1" ht="12.6" thickBot="1">
      <c r="A3341" s="761" t="s">
        <v>145</v>
      </c>
      <c r="B3341" s="762">
        <f>(R3340+T3340)</f>
        <v>0</v>
      </c>
      <c r="C3341" s="763"/>
      <c r="D3341" s="763"/>
      <c r="E3341" s="763"/>
      <c r="F3341" s="764"/>
      <c r="G3341" s="763" t="s">
        <v>146</v>
      </c>
      <c r="H3341" s="763"/>
      <c r="I3341" s="765"/>
      <c r="J3341" s="763"/>
      <c r="K3341" s="763" t="s">
        <v>3</v>
      </c>
      <c r="L3341" s="766" t="s">
        <v>143</v>
      </c>
      <c r="M3341" s="766"/>
      <c r="N3341" s="766"/>
      <c r="O3341" s="766"/>
      <c r="P3341" s="766"/>
      <c r="Q3341" s="767"/>
      <c r="R3341" s="768">
        <f ca="1">SUM(R3337:R3340)</f>
        <v>46.61</v>
      </c>
      <c r="S3341" s="763"/>
      <c r="T3341" s="768">
        <f ca="1">SUM(T3337:T3340)</f>
        <v>2.98</v>
      </c>
      <c r="U3341" s="531"/>
      <c r="V3341" s="531"/>
      <c r="W3341" s="531"/>
      <c r="X3341" s="531"/>
      <c r="Y3341" s="531"/>
      <c r="Z3341" s="531"/>
      <c r="AA3341" s="531"/>
      <c r="AB3341" s="531"/>
      <c r="AC3341" s="531"/>
      <c r="AD3341" s="531"/>
      <c r="AE3341" s="531"/>
      <c r="AF3341" s="531"/>
      <c r="AG3341" s="531"/>
      <c r="AH3341" s="531"/>
      <c r="AI3341" s="531"/>
      <c r="AJ3341" s="531"/>
      <c r="AK3341" s="531"/>
      <c r="AL3341" s="531"/>
      <c r="AM3341" s="531"/>
      <c r="AN3341" s="531"/>
      <c r="AO3341" s="531"/>
      <c r="AR3341" s="761" t="s">
        <v>145</v>
      </c>
      <c r="AS3341" s="764"/>
    </row>
    <row r="3342" spans="1:45" s="520" customFormat="1" ht="12" thickTop="1">
      <c r="A3342" s="51"/>
      <c r="B3342" s="41"/>
      <c r="C3342" s="51"/>
      <c r="E3342" s="42" t="s">
        <v>138</v>
      </c>
      <c r="F3342" s="42" t="s">
        <v>139</v>
      </c>
      <c r="G3342" s="51"/>
      <c r="H3342" s="51"/>
      <c r="I3342" s="51"/>
      <c r="J3342" s="51"/>
      <c r="K3342" s="51" t="s">
        <v>140</v>
      </c>
      <c r="L3342" s="51"/>
      <c r="M3342" s="51"/>
      <c r="N3342" s="51"/>
      <c r="O3342" s="52"/>
      <c r="P3342" s="51"/>
      <c r="Q3342" s="51"/>
      <c r="R3342" s="51"/>
      <c r="S3342" s="51"/>
      <c r="T3342" s="41"/>
      <c r="AG3342" s="521" t="s">
        <v>268</v>
      </c>
      <c r="AH3342" s="521" t="s">
        <v>269</v>
      </c>
      <c r="AI3342" s="521" t="s">
        <v>270</v>
      </c>
      <c r="AJ3342" s="521" t="s">
        <v>271</v>
      </c>
      <c r="AK3342" s="521" t="s">
        <v>272</v>
      </c>
      <c r="AM3342" s="745" t="s">
        <v>281</v>
      </c>
      <c r="AN3342" s="746" t="s">
        <v>282</v>
      </c>
      <c r="AO3342" s="522" t="s">
        <v>278</v>
      </c>
      <c r="AR3342" s="51"/>
      <c r="AS3342" s="42" t="s">
        <v>139</v>
      </c>
    </row>
    <row r="3343" spans="1:45" s="520" customFormat="1" ht="12" customHeight="1">
      <c r="A3343" s="747">
        <v>2</v>
      </c>
      <c r="B3343" s="523" t="s">
        <v>141</v>
      </c>
      <c r="C3343" s="748"/>
      <c r="D3343" s="749" t="s">
        <v>1646</v>
      </c>
      <c r="E3343" s="750">
        <f ca="1">IF(AND($A3343=0,$A$1="DIF"),0, ROUND(ROUND(($R3348*$S$2+($T3348*$T$2))/A3343,2)*$C$2,2))</f>
        <v>316.31</v>
      </c>
      <c r="F3343" s="751">
        <f ca="1">ROUND($A3343*$E3343,2)</f>
        <v>632.62</v>
      </c>
      <c r="G3343" s="752" t="s">
        <v>142</v>
      </c>
      <c r="H3343" s="753"/>
      <c r="I3343" s="754"/>
      <c r="J3343" s="753"/>
      <c r="K3343" s="753" t="s">
        <v>3</v>
      </c>
      <c r="L3343" s="755" t="s">
        <v>143</v>
      </c>
      <c r="M3343" s="755"/>
      <c r="N3343" s="755"/>
      <c r="O3343" s="755"/>
      <c r="P3343" s="755"/>
      <c r="Q3343" s="51"/>
      <c r="T3343" s="756" t="str">
        <f ca="1">IF(AND($R3348=0,$T3348=0),"0.00","mu :" &amp; ROUND($F3343/$C$2/($R3348+$T3348*$D$9),2))</f>
        <v>mu :1.23</v>
      </c>
      <c r="W3343" s="524"/>
      <c r="AG3343" s="481">
        <f ca="1">IF($E3343=0,0,ROUND($R3348*$S$2*$C$2/$A3343,2))</f>
        <v>114.79</v>
      </c>
      <c r="AH3343" s="481">
        <f ca="1">$AG3343*$A3343</f>
        <v>229.58</v>
      </c>
      <c r="AI3343" s="525">
        <f ca="1">$E3343-$AG3343</f>
        <v>201.51999999999998</v>
      </c>
      <c r="AJ3343" s="525">
        <f ca="1">$A3343*$AI3343</f>
        <v>403.03999999999996</v>
      </c>
      <c r="AK3343" s="526">
        <f ca="1">ROUND(($AG3343+$AI3343)*$A3343,2)</f>
        <v>632.62</v>
      </c>
      <c r="AM3343" s="527">
        <f ca="1">ROUND(R3348,2)</f>
        <v>186.44</v>
      </c>
      <c r="AN3343" s="528">
        <f ca="1">ROUND(T3348,2)</f>
        <v>11.92</v>
      </c>
      <c r="AO3343" s="529">
        <f ca="1">ROUND(AM3343+AN3343,2)*A3343</f>
        <v>396.72</v>
      </c>
      <c r="AR3343" s="747">
        <v>2</v>
      </c>
      <c r="AS3343" s="751">
        <v>677.26</v>
      </c>
    </row>
    <row r="3344" spans="1:45" s="520" customFormat="1" ht="13.2">
      <c r="A3344" s="748"/>
      <c r="B3344"/>
      <c r="C3344" s="748"/>
      <c r="D3344" s="749" t="s">
        <v>794</v>
      </c>
      <c r="F3344" s="753"/>
      <c r="G3344" s="3"/>
      <c r="H3344" s="753"/>
      <c r="I3344" s="754"/>
      <c r="J3344" s="753"/>
      <c r="K3344" s="753" t="s">
        <v>144</v>
      </c>
      <c r="L3344" s="753"/>
      <c r="M3344" s="753"/>
      <c r="N3344" s="753"/>
      <c r="O3344" s="753"/>
      <c r="P3344" s="753"/>
      <c r="Q3344" s="51"/>
      <c r="R3344" s="530"/>
      <c r="S3344" s="757"/>
      <c r="T3344" s="753"/>
      <c r="AR3344" s="748"/>
      <c r="AS3344" s="753"/>
    </row>
    <row r="3345" spans="1:45" s="886" customFormat="1" ht="13.2">
      <c r="A3345"/>
      <c r="B3345" s="910"/>
      <c r="C3345" s="910" t="s">
        <v>2597</v>
      </c>
      <c r="D3345" s="910" t="str">
        <f ca="1">CELL("Address",Elec_Rates!D$46)</f>
        <v>[E25_0062_Quintano_Foods_Elec_ELV_As_Awarded.xlsx]Elec_Rates!$D$46</v>
      </c>
      <c r="E3345" s="911"/>
      <c r="F3345" s="911"/>
      <c r="G3345" s="912" t="s">
        <v>2598</v>
      </c>
      <c r="H3345" s="912"/>
      <c r="I3345" s="912"/>
      <c r="J3345" s="912"/>
      <c r="K3345" s="913"/>
      <c r="L3345" s="911"/>
      <c r="M3345" s="911"/>
      <c r="N3345" s="911"/>
      <c r="O3345" s="914"/>
      <c r="P3345" s="911"/>
      <c r="Q3345" s="915"/>
      <c r="R3345" s="916"/>
      <c r="S3345" s="915"/>
      <c r="T3345" s="917"/>
      <c r="U3345" s="918"/>
      <c r="AR3345"/>
      <c r="AS3345" s="911"/>
    </row>
    <row r="3346" spans="1:45" s="886" customFormat="1" ht="11.4">
      <c r="A3346" s="919">
        <v>2</v>
      </c>
      <c r="B3346" s="920">
        <v>2</v>
      </c>
      <c r="C3346" s="920">
        <f>$A3346*$B3346</f>
        <v>4</v>
      </c>
      <c r="D3346" s="921" t="str">
        <f>Elec_Rates!$D$46</f>
        <v>004# Light point rate (Galvanised Conduit)</v>
      </c>
      <c r="E3346" s="921" t="s">
        <v>2891</v>
      </c>
      <c r="F3346" s="918"/>
      <c r="G3346" s="922" t="s">
        <v>2878</v>
      </c>
      <c r="H3346" s="922"/>
      <c r="I3346" s="922"/>
      <c r="J3346" s="922"/>
      <c r="K3346" s="923"/>
      <c r="L3346" s="918"/>
      <c r="M3346" s="918"/>
      <c r="N3346" s="918"/>
      <c r="O3346" s="924"/>
      <c r="P3346" s="921"/>
      <c r="Q3346" s="925">
        <f ca="1">$B3346*Elec_Rates!$R$46</f>
        <v>93.22</v>
      </c>
      <c r="R3346" s="916">
        <f ca="1">$A3346*Q3346</f>
        <v>186.44</v>
      </c>
      <c r="S3346" s="925">
        <f ca="1">$B3346*Elec_Rates!$T$46</f>
        <v>5.96</v>
      </c>
      <c r="T3346" s="917">
        <f ca="1">$A3346*S3346</f>
        <v>11.92</v>
      </c>
      <c r="U3346" s="926"/>
      <c r="AR3346" s="919">
        <v>2</v>
      </c>
      <c r="AS3346" s="918"/>
    </row>
    <row r="3347" spans="1:45" s="520" customFormat="1" ht="12">
      <c r="A3347" s="758"/>
      <c r="B3347" s="758"/>
      <c r="C3347" s="758"/>
      <c r="D3347" s="758"/>
      <c r="E3347" s="758"/>
      <c r="F3347" s="753"/>
      <c r="G3347" s="758"/>
      <c r="H3347" s="758"/>
      <c r="I3347" s="519"/>
      <c r="J3347" s="758"/>
      <c r="K3347" s="758"/>
      <c r="L3347" s="758"/>
      <c r="M3347" s="758"/>
      <c r="N3347" s="758"/>
      <c r="O3347" s="758"/>
      <c r="P3347" s="758"/>
      <c r="Q3347" s="519"/>
      <c r="R3347" s="759">
        <f>$A3347*Q3347</f>
        <v>0</v>
      </c>
      <c r="S3347" s="519"/>
      <c r="T3347" s="760">
        <f>$A3347*S3347*$T$1</f>
        <v>0</v>
      </c>
      <c r="AR3347" s="758"/>
      <c r="AS3347" s="753"/>
    </row>
    <row r="3348" spans="1:45" s="520" customFormat="1" ht="12.6" thickBot="1">
      <c r="A3348" s="761" t="s">
        <v>145</v>
      </c>
      <c r="B3348" s="762">
        <f>(R3347+T3347)</f>
        <v>0</v>
      </c>
      <c r="C3348" s="763"/>
      <c r="D3348" s="763"/>
      <c r="E3348" s="763"/>
      <c r="F3348" s="764"/>
      <c r="G3348" s="763" t="s">
        <v>146</v>
      </c>
      <c r="H3348" s="763"/>
      <c r="I3348" s="765"/>
      <c r="J3348" s="763"/>
      <c r="K3348" s="763" t="s">
        <v>3</v>
      </c>
      <c r="L3348" s="766" t="s">
        <v>143</v>
      </c>
      <c r="M3348" s="766"/>
      <c r="N3348" s="766"/>
      <c r="O3348" s="766"/>
      <c r="P3348" s="766"/>
      <c r="Q3348" s="767"/>
      <c r="R3348" s="768">
        <f ca="1">SUM(R3344:R3347)</f>
        <v>186.44</v>
      </c>
      <c r="S3348" s="763"/>
      <c r="T3348" s="768">
        <f ca="1">SUM(T3344:T3347)</f>
        <v>11.92</v>
      </c>
      <c r="U3348" s="531"/>
      <c r="V3348" s="531"/>
      <c r="W3348" s="531"/>
      <c r="X3348" s="531"/>
      <c r="Y3348" s="531"/>
      <c r="Z3348" s="531"/>
      <c r="AA3348" s="531"/>
      <c r="AB3348" s="531"/>
      <c r="AC3348" s="531"/>
      <c r="AD3348" s="531"/>
      <c r="AE3348" s="531"/>
      <c r="AF3348" s="531"/>
      <c r="AG3348" s="531"/>
      <c r="AH3348" s="531"/>
      <c r="AI3348" s="531"/>
      <c r="AJ3348" s="531"/>
      <c r="AK3348" s="531"/>
      <c r="AL3348" s="531"/>
      <c r="AM3348" s="531"/>
      <c r="AN3348" s="531"/>
      <c r="AO3348" s="531"/>
      <c r="AR3348" s="761" t="s">
        <v>145</v>
      </c>
      <c r="AS3348" s="764"/>
    </row>
    <row r="3349" spans="1:45" s="520" customFormat="1" ht="12" thickTop="1">
      <c r="A3349" s="51"/>
      <c r="B3349" s="41"/>
      <c r="C3349" s="51"/>
      <c r="E3349" s="42" t="s">
        <v>138</v>
      </c>
      <c r="F3349" s="42" t="s">
        <v>139</v>
      </c>
      <c r="G3349" s="51"/>
      <c r="H3349" s="51"/>
      <c r="I3349" s="51"/>
      <c r="J3349" s="51"/>
      <c r="K3349" s="51" t="s">
        <v>140</v>
      </c>
      <c r="L3349" s="51"/>
      <c r="M3349" s="51"/>
      <c r="N3349" s="51"/>
      <c r="O3349" s="52"/>
      <c r="P3349" s="51"/>
      <c r="Q3349" s="51"/>
      <c r="R3349" s="51"/>
      <c r="S3349" s="51"/>
      <c r="T3349" s="41"/>
      <c r="AG3349" s="521" t="s">
        <v>268</v>
      </c>
      <c r="AH3349" s="521" t="s">
        <v>269</v>
      </c>
      <c r="AI3349" s="521" t="s">
        <v>270</v>
      </c>
      <c r="AJ3349" s="521" t="s">
        <v>271</v>
      </c>
      <c r="AK3349" s="521" t="s">
        <v>272</v>
      </c>
      <c r="AM3349" s="745" t="s">
        <v>281</v>
      </c>
      <c r="AN3349" s="746" t="s">
        <v>282</v>
      </c>
      <c r="AO3349" s="522" t="s">
        <v>278</v>
      </c>
      <c r="AR3349" s="51"/>
      <c r="AS3349" s="42" t="s">
        <v>139</v>
      </c>
    </row>
    <row r="3350" spans="1:45" s="520" customFormat="1" ht="12" customHeight="1">
      <c r="A3350" s="747">
        <v>1</v>
      </c>
      <c r="B3350" s="523" t="s">
        <v>141</v>
      </c>
      <c r="C3350" s="748"/>
      <c r="D3350" s="749" t="s">
        <v>1647</v>
      </c>
      <c r="E3350" s="750">
        <f ca="1">IF(AND($A3350=0,$A$1="DIF"),0, ROUND(ROUND(($R3355*$S$2+($T3355*$T$2))/A3350,2)*$C$2,2))</f>
        <v>553.54</v>
      </c>
      <c r="F3350" s="751">
        <f ca="1">ROUND($A3350*$E3350,2)</f>
        <v>553.54</v>
      </c>
      <c r="G3350" s="752" t="s">
        <v>142</v>
      </c>
      <c r="H3350" s="753"/>
      <c r="I3350" s="754"/>
      <c r="J3350" s="753"/>
      <c r="K3350" s="753" t="s">
        <v>3</v>
      </c>
      <c r="L3350" s="755" t="s">
        <v>143</v>
      </c>
      <c r="M3350" s="755"/>
      <c r="N3350" s="755"/>
      <c r="O3350" s="755"/>
      <c r="P3350" s="755"/>
      <c r="Q3350" s="51"/>
      <c r="T3350" s="756" t="str">
        <f ca="1">IF(AND($R3355=0,$T3355=0),"0.00","mu :" &amp; ROUND($F3350/$C$2/($R3355+$T3355*$D$9),2))</f>
        <v>mu :1.23</v>
      </c>
      <c r="W3350" s="524"/>
      <c r="AG3350" s="481">
        <f ca="1">IF($E3350=0,0,ROUND($R3355*$S$2*$C$2/$A3350,2))</f>
        <v>200.88</v>
      </c>
      <c r="AH3350" s="481">
        <f ca="1">$AG3350*$A3350</f>
        <v>200.88</v>
      </c>
      <c r="AI3350" s="525">
        <f ca="1">$E3350-$AG3350</f>
        <v>352.65999999999997</v>
      </c>
      <c r="AJ3350" s="525">
        <f ca="1">$A3350*$AI3350</f>
        <v>352.65999999999997</v>
      </c>
      <c r="AK3350" s="526">
        <f ca="1">ROUND(($AG3350+$AI3350)*$A3350,2)</f>
        <v>553.54</v>
      </c>
      <c r="AM3350" s="527">
        <f ca="1">ROUND(R3355,2)</f>
        <v>163.13999999999999</v>
      </c>
      <c r="AN3350" s="528">
        <f ca="1">ROUND(T3355,2)</f>
        <v>10.43</v>
      </c>
      <c r="AO3350" s="529">
        <f ca="1">ROUND(AM3350+AN3350,2)*A3350</f>
        <v>173.57</v>
      </c>
      <c r="AR3350" s="747">
        <v>1</v>
      </c>
      <c r="AS3350" s="751">
        <v>592.6</v>
      </c>
    </row>
    <row r="3351" spans="1:45" s="520" customFormat="1" ht="13.2">
      <c r="A3351" s="748"/>
      <c r="B3351"/>
      <c r="C3351" s="748"/>
      <c r="D3351" s="749" t="s">
        <v>795</v>
      </c>
      <c r="F3351" s="753"/>
      <c r="G3351" s="3"/>
      <c r="H3351" s="753"/>
      <c r="I3351" s="754"/>
      <c r="J3351" s="753"/>
      <c r="K3351" s="753" t="s">
        <v>144</v>
      </c>
      <c r="L3351" s="753"/>
      <c r="M3351" s="753"/>
      <c r="N3351" s="753"/>
      <c r="O3351" s="753"/>
      <c r="P3351" s="753"/>
      <c r="Q3351" s="51"/>
      <c r="R3351" s="530"/>
      <c r="S3351" s="757"/>
      <c r="T3351" s="753"/>
      <c r="AR3351" s="748"/>
      <c r="AS3351" s="753"/>
    </row>
    <row r="3352" spans="1:45" s="886" customFormat="1" ht="13.2">
      <c r="A3352"/>
      <c r="B3352" s="910"/>
      <c r="C3352" s="910" t="s">
        <v>2597</v>
      </c>
      <c r="D3352" s="910" t="str">
        <f ca="1">CELL("Address",Elec_Rates!D$46)</f>
        <v>[E25_0062_Quintano_Foods_Elec_ELV_As_Awarded.xlsx]Elec_Rates!$D$46</v>
      </c>
      <c r="E3352" s="911"/>
      <c r="F3352" s="911"/>
      <c r="G3352" s="912" t="s">
        <v>2598</v>
      </c>
      <c r="H3352" s="912"/>
      <c r="I3352" s="912"/>
      <c r="J3352" s="912"/>
      <c r="K3352" s="913"/>
      <c r="L3352" s="911"/>
      <c r="M3352" s="911"/>
      <c r="N3352" s="911"/>
      <c r="O3352" s="914"/>
      <c r="P3352" s="911"/>
      <c r="Q3352" s="915"/>
      <c r="R3352" s="916"/>
      <c r="S3352" s="915"/>
      <c r="T3352" s="917"/>
      <c r="U3352" s="918"/>
      <c r="AR3352"/>
      <c r="AS3352" s="911"/>
    </row>
    <row r="3353" spans="1:45" s="886" customFormat="1" ht="11.4">
      <c r="A3353" s="919">
        <v>1</v>
      </c>
      <c r="B3353" s="920">
        <v>3.5</v>
      </c>
      <c r="C3353" s="920">
        <f>$A3353*$B3353</f>
        <v>3.5</v>
      </c>
      <c r="D3353" s="921" t="str">
        <f>Elec_Rates!$D$46</f>
        <v>004# Light point rate (Galvanised Conduit)</v>
      </c>
      <c r="E3353" s="921" t="s">
        <v>2970</v>
      </c>
      <c r="F3353" s="918"/>
      <c r="G3353" s="922" t="s">
        <v>2878</v>
      </c>
      <c r="H3353" s="922"/>
      <c r="I3353" s="922"/>
      <c r="J3353" s="922"/>
      <c r="K3353" s="923"/>
      <c r="L3353" s="918"/>
      <c r="M3353" s="918"/>
      <c r="N3353" s="918"/>
      <c r="O3353" s="924"/>
      <c r="P3353" s="921"/>
      <c r="Q3353" s="925">
        <f ca="1">$B3353*Elec_Rates!$R$46</f>
        <v>163.13499999999999</v>
      </c>
      <c r="R3353" s="916">
        <f ca="1">$A3353*Q3353</f>
        <v>163.13499999999999</v>
      </c>
      <c r="S3353" s="925">
        <f ca="1">$B3353*Elec_Rates!$T$46</f>
        <v>10.43</v>
      </c>
      <c r="T3353" s="917">
        <f ca="1">$A3353*S3353</f>
        <v>10.43</v>
      </c>
      <c r="U3353" s="926"/>
      <c r="AR3353" s="919">
        <v>1</v>
      </c>
      <c r="AS3353" s="918"/>
    </row>
    <row r="3354" spans="1:45" s="520" customFormat="1" ht="12">
      <c r="A3354" s="758"/>
      <c r="B3354" s="758"/>
      <c r="C3354" s="758"/>
      <c r="D3354" s="758"/>
      <c r="E3354" s="758"/>
      <c r="F3354" s="753"/>
      <c r="G3354" s="758"/>
      <c r="H3354" s="758"/>
      <c r="I3354" s="519"/>
      <c r="J3354" s="758"/>
      <c r="K3354" s="758"/>
      <c r="L3354" s="758"/>
      <c r="M3354" s="758"/>
      <c r="N3354" s="758"/>
      <c r="O3354" s="758"/>
      <c r="P3354" s="758"/>
      <c r="Q3354" s="519"/>
      <c r="R3354" s="759">
        <f>$A3354*Q3354</f>
        <v>0</v>
      </c>
      <c r="S3354" s="519"/>
      <c r="T3354" s="760">
        <f>$A3354*S3354*$T$1</f>
        <v>0</v>
      </c>
      <c r="AR3354" s="758"/>
      <c r="AS3354" s="753"/>
    </row>
    <row r="3355" spans="1:45" s="520" customFormat="1" ht="12.6" thickBot="1">
      <c r="A3355" s="761" t="s">
        <v>145</v>
      </c>
      <c r="B3355" s="762">
        <f>(R3354+T3354)</f>
        <v>0</v>
      </c>
      <c r="C3355" s="763"/>
      <c r="D3355" s="763"/>
      <c r="E3355" s="763"/>
      <c r="F3355" s="764"/>
      <c r="G3355" s="763" t="s">
        <v>146</v>
      </c>
      <c r="H3355" s="763"/>
      <c r="I3355" s="765"/>
      <c r="J3355" s="763"/>
      <c r="K3355" s="763" t="s">
        <v>3</v>
      </c>
      <c r="L3355" s="766" t="s">
        <v>143</v>
      </c>
      <c r="M3355" s="766"/>
      <c r="N3355" s="766"/>
      <c r="O3355" s="766"/>
      <c r="P3355" s="766"/>
      <c r="Q3355" s="767"/>
      <c r="R3355" s="768">
        <f ca="1">SUM(R3351:R3354)</f>
        <v>163.13499999999999</v>
      </c>
      <c r="S3355" s="763"/>
      <c r="T3355" s="768">
        <f ca="1">SUM(T3351:T3354)</f>
        <v>10.43</v>
      </c>
      <c r="U3355" s="531"/>
      <c r="V3355" s="531"/>
      <c r="W3355" s="531"/>
      <c r="X3355" s="531"/>
      <c r="Y3355" s="531"/>
      <c r="Z3355" s="531"/>
      <c r="AA3355" s="531"/>
      <c r="AB3355" s="531"/>
      <c r="AC3355" s="531"/>
      <c r="AD3355" s="531"/>
      <c r="AE3355" s="531"/>
      <c r="AF3355" s="531"/>
      <c r="AG3355" s="531"/>
      <c r="AH3355" s="531"/>
      <c r="AI3355" s="531"/>
      <c r="AJ3355" s="531"/>
      <c r="AK3355" s="531"/>
      <c r="AL3355" s="531"/>
      <c r="AM3355" s="531"/>
      <c r="AN3355" s="531"/>
      <c r="AO3355" s="531"/>
      <c r="AR3355" s="761" t="s">
        <v>145</v>
      </c>
      <c r="AS3355" s="764"/>
    </row>
    <row r="3356" spans="1:45" s="520" customFormat="1" ht="12" thickTop="1">
      <c r="A3356" s="51"/>
      <c r="B3356" s="41"/>
      <c r="C3356" s="51"/>
      <c r="E3356" s="42" t="s">
        <v>138</v>
      </c>
      <c r="F3356" s="42" t="s">
        <v>139</v>
      </c>
      <c r="G3356" s="51"/>
      <c r="H3356" s="51"/>
      <c r="I3356" s="51"/>
      <c r="J3356" s="51"/>
      <c r="K3356" s="51" t="s">
        <v>140</v>
      </c>
      <c r="L3356" s="51"/>
      <c r="M3356" s="51"/>
      <c r="N3356" s="51"/>
      <c r="O3356" s="52"/>
      <c r="P3356" s="51"/>
      <c r="Q3356" s="51"/>
      <c r="R3356" s="51"/>
      <c r="S3356" s="51"/>
      <c r="T3356" s="41"/>
      <c r="AG3356" s="521" t="s">
        <v>268</v>
      </c>
      <c r="AH3356" s="521" t="s">
        <v>269</v>
      </c>
      <c r="AI3356" s="521" t="s">
        <v>270</v>
      </c>
      <c r="AJ3356" s="521" t="s">
        <v>271</v>
      </c>
      <c r="AK3356" s="521" t="s">
        <v>272</v>
      </c>
      <c r="AM3356" s="745" t="s">
        <v>281</v>
      </c>
      <c r="AN3356" s="746" t="s">
        <v>282</v>
      </c>
      <c r="AO3356" s="522" t="s">
        <v>278</v>
      </c>
      <c r="AR3356" s="51"/>
      <c r="AS3356" s="42" t="s">
        <v>139</v>
      </c>
    </row>
    <row r="3357" spans="1:45" s="520" customFormat="1" ht="12" customHeight="1">
      <c r="A3357" s="747">
        <v>2</v>
      </c>
      <c r="B3357" s="523" t="s">
        <v>141</v>
      </c>
      <c r="C3357" s="748"/>
      <c r="D3357" s="749" t="s">
        <v>1648</v>
      </c>
      <c r="E3357" s="750">
        <f ca="1">IF(AND($A3357=0,$A$1="DIF"),0, ROUND(ROUND(($R3362*$S$2+($T3362*$T$2))/A3357,2)*$C$2,2))</f>
        <v>869.85</v>
      </c>
      <c r="F3357" s="751">
        <f ca="1">ROUND($A3357*$E3357,2)</f>
        <v>1739.7</v>
      </c>
      <c r="G3357" s="752" t="s">
        <v>142</v>
      </c>
      <c r="H3357" s="753"/>
      <c r="I3357" s="754"/>
      <c r="J3357" s="753"/>
      <c r="K3357" s="753" t="s">
        <v>3</v>
      </c>
      <c r="L3357" s="755" t="s">
        <v>143</v>
      </c>
      <c r="M3357" s="755"/>
      <c r="N3357" s="755"/>
      <c r="O3357" s="755"/>
      <c r="P3357" s="755"/>
      <c r="Q3357" s="51"/>
      <c r="T3357" s="756" t="str">
        <f ca="1">IF(AND($R3362=0,$T3362=0),"0.00","mu :" &amp; ROUND($F3357/$C$2/($R3362+$T3362*$D$9),2))</f>
        <v>mu :1.23</v>
      </c>
      <c r="W3357" s="524"/>
      <c r="AG3357" s="481">
        <f ca="1">IF($E3357=0,0,ROUND($R3362*$S$2*$C$2/$A3357,2))</f>
        <v>315.66000000000003</v>
      </c>
      <c r="AH3357" s="481">
        <f ca="1">$AG3357*$A3357</f>
        <v>631.32000000000005</v>
      </c>
      <c r="AI3357" s="525">
        <f ca="1">$E3357-$AG3357</f>
        <v>554.19000000000005</v>
      </c>
      <c r="AJ3357" s="525">
        <f ca="1">$A3357*$AI3357</f>
        <v>1108.3800000000001</v>
      </c>
      <c r="AK3357" s="526">
        <f ca="1">ROUND(($AG3357+$AI3357)*$A3357,2)</f>
        <v>1739.7</v>
      </c>
      <c r="AM3357" s="527">
        <f ca="1">ROUND(R3362,2)</f>
        <v>512.71</v>
      </c>
      <c r="AN3357" s="528">
        <f ca="1">ROUND(T3362,2)</f>
        <v>32.78</v>
      </c>
      <c r="AO3357" s="529">
        <f ca="1">ROUND(AM3357+AN3357,2)*A3357</f>
        <v>1090.98</v>
      </c>
      <c r="AR3357" s="747">
        <v>2</v>
      </c>
      <c r="AS3357" s="751">
        <v>1862.44</v>
      </c>
    </row>
    <row r="3358" spans="1:45" s="520" customFormat="1" ht="13.2">
      <c r="A3358" s="748"/>
      <c r="B3358"/>
      <c r="C3358" s="748"/>
      <c r="D3358" s="749" t="s">
        <v>796</v>
      </c>
      <c r="F3358" s="753"/>
      <c r="G3358" s="3"/>
      <c r="H3358" s="753"/>
      <c r="I3358" s="754"/>
      <c r="J3358" s="753"/>
      <c r="K3358" s="753" t="s">
        <v>144</v>
      </c>
      <c r="L3358" s="753"/>
      <c r="M3358" s="753"/>
      <c r="N3358" s="753"/>
      <c r="O3358" s="753"/>
      <c r="P3358" s="753"/>
      <c r="Q3358" s="51"/>
      <c r="R3358" s="530"/>
      <c r="S3358" s="757"/>
      <c r="T3358" s="753"/>
      <c r="AR3358" s="748"/>
      <c r="AS3358" s="753"/>
    </row>
    <row r="3359" spans="1:45" s="886" customFormat="1" ht="13.2">
      <c r="A3359"/>
      <c r="B3359" s="910"/>
      <c r="C3359" s="910" t="s">
        <v>2597</v>
      </c>
      <c r="D3359" s="910" t="str">
        <f ca="1">CELL("Address",Elec_Rates!D$46)</f>
        <v>[E25_0062_Quintano_Foods_Elec_ELV_As_Awarded.xlsx]Elec_Rates!$D$46</v>
      </c>
      <c r="E3359" s="911"/>
      <c r="F3359" s="911"/>
      <c r="G3359" s="912" t="s">
        <v>2598</v>
      </c>
      <c r="H3359" s="912"/>
      <c r="I3359" s="912"/>
      <c r="J3359" s="912"/>
      <c r="K3359" s="913"/>
      <c r="L3359" s="911"/>
      <c r="M3359" s="911"/>
      <c r="N3359" s="911"/>
      <c r="O3359" s="914"/>
      <c r="P3359" s="911"/>
      <c r="Q3359" s="915"/>
      <c r="R3359" s="916"/>
      <c r="S3359" s="915"/>
      <c r="T3359" s="917"/>
      <c r="U3359" s="918"/>
      <c r="AR3359"/>
      <c r="AS3359" s="911"/>
    </row>
    <row r="3360" spans="1:45" s="886" customFormat="1" ht="11.4">
      <c r="A3360" s="919">
        <v>2</v>
      </c>
      <c r="B3360" s="920">
        <v>5.5</v>
      </c>
      <c r="C3360" s="920">
        <f>$A3360*$B3360</f>
        <v>11</v>
      </c>
      <c r="D3360" s="921" t="str">
        <f>Elec_Rates!$D$46</f>
        <v>004# Light point rate (Galvanised Conduit)</v>
      </c>
      <c r="E3360" s="921" t="s">
        <v>2971</v>
      </c>
      <c r="F3360" s="918"/>
      <c r="G3360" s="922" t="s">
        <v>2878</v>
      </c>
      <c r="H3360" s="922"/>
      <c r="I3360" s="922"/>
      <c r="J3360" s="922"/>
      <c r="K3360" s="923"/>
      <c r="L3360" s="918"/>
      <c r="M3360" s="918"/>
      <c r="N3360" s="918"/>
      <c r="O3360" s="924"/>
      <c r="P3360" s="921"/>
      <c r="Q3360" s="925">
        <f ca="1">$B3360*Elec_Rates!$R$46</f>
        <v>256.35500000000002</v>
      </c>
      <c r="R3360" s="916">
        <f ca="1">$A3360*Q3360</f>
        <v>512.71</v>
      </c>
      <c r="S3360" s="925">
        <f ca="1">$B3360*Elec_Rates!$T$46</f>
        <v>16.39</v>
      </c>
      <c r="T3360" s="917">
        <f ca="1">$A3360*S3360</f>
        <v>32.78</v>
      </c>
      <c r="U3360" s="926"/>
      <c r="AR3360" s="919">
        <v>2</v>
      </c>
      <c r="AS3360" s="918"/>
    </row>
    <row r="3361" spans="1:45" s="520" customFormat="1" ht="12">
      <c r="A3361" s="758"/>
      <c r="B3361" s="758"/>
      <c r="C3361" s="758"/>
      <c r="D3361" s="758"/>
      <c r="E3361" s="758"/>
      <c r="F3361" s="753"/>
      <c r="G3361" s="758"/>
      <c r="H3361" s="758"/>
      <c r="I3361" s="519"/>
      <c r="J3361" s="758"/>
      <c r="K3361" s="758"/>
      <c r="L3361" s="758"/>
      <c r="M3361" s="758"/>
      <c r="N3361" s="758"/>
      <c r="O3361" s="758"/>
      <c r="P3361" s="758"/>
      <c r="Q3361" s="519"/>
      <c r="R3361" s="759">
        <f>$A3361*Q3361</f>
        <v>0</v>
      </c>
      <c r="S3361" s="519"/>
      <c r="T3361" s="760">
        <f>$A3361*S3361*$T$1</f>
        <v>0</v>
      </c>
      <c r="AR3361" s="758"/>
      <c r="AS3361" s="753"/>
    </row>
    <row r="3362" spans="1:45" s="520" customFormat="1" ht="12.6" thickBot="1">
      <c r="A3362" s="761" t="s">
        <v>145</v>
      </c>
      <c r="B3362" s="762">
        <f>(R3361+T3361)</f>
        <v>0</v>
      </c>
      <c r="C3362" s="763"/>
      <c r="D3362" s="763"/>
      <c r="E3362" s="763"/>
      <c r="F3362" s="764"/>
      <c r="G3362" s="763" t="s">
        <v>146</v>
      </c>
      <c r="H3362" s="763"/>
      <c r="I3362" s="765"/>
      <c r="J3362" s="763"/>
      <c r="K3362" s="763" t="s">
        <v>3</v>
      </c>
      <c r="L3362" s="766" t="s">
        <v>143</v>
      </c>
      <c r="M3362" s="766"/>
      <c r="N3362" s="766"/>
      <c r="O3362" s="766"/>
      <c r="P3362" s="766"/>
      <c r="Q3362" s="767"/>
      <c r="R3362" s="768">
        <f ca="1">SUM(R3358:R3361)</f>
        <v>512.71</v>
      </c>
      <c r="S3362" s="763"/>
      <c r="T3362" s="768">
        <f ca="1">SUM(T3358:T3361)</f>
        <v>32.78</v>
      </c>
      <c r="U3362" s="531"/>
      <c r="V3362" s="531"/>
      <c r="W3362" s="531"/>
      <c r="X3362" s="531"/>
      <c r="Y3362" s="531"/>
      <c r="Z3362" s="531"/>
      <c r="AA3362" s="531"/>
      <c r="AB3362" s="531"/>
      <c r="AC3362" s="531"/>
      <c r="AD3362" s="531"/>
      <c r="AE3362" s="531"/>
      <c r="AF3362" s="531"/>
      <c r="AG3362" s="531"/>
      <c r="AH3362" s="531"/>
      <c r="AI3362" s="531"/>
      <c r="AJ3362" s="531"/>
      <c r="AK3362" s="531"/>
      <c r="AL3362" s="531"/>
      <c r="AM3362" s="531"/>
      <c r="AN3362" s="531"/>
      <c r="AO3362" s="531"/>
      <c r="AR3362" s="761" t="s">
        <v>145</v>
      </c>
      <c r="AS3362" s="764"/>
    </row>
    <row r="3363" spans="1:45" s="520" customFormat="1" ht="12" thickTop="1">
      <c r="A3363" s="51"/>
      <c r="B3363" s="41"/>
      <c r="C3363" s="51"/>
      <c r="E3363" s="42" t="s">
        <v>138</v>
      </c>
      <c r="F3363" s="42" t="s">
        <v>139</v>
      </c>
      <c r="G3363" s="51"/>
      <c r="H3363" s="51"/>
      <c r="I3363" s="51"/>
      <c r="J3363" s="51"/>
      <c r="K3363" s="51" t="s">
        <v>140</v>
      </c>
      <c r="L3363" s="51"/>
      <c r="M3363" s="51"/>
      <c r="N3363" s="51"/>
      <c r="O3363" s="52"/>
      <c r="P3363" s="51"/>
      <c r="Q3363" s="51"/>
      <c r="R3363" s="51"/>
      <c r="S3363" s="51"/>
      <c r="T3363" s="41"/>
      <c r="AG3363" s="521" t="s">
        <v>268</v>
      </c>
      <c r="AH3363" s="521" t="s">
        <v>269</v>
      </c>
      <c r="AI3363" s="521" t="s">
        <v>270</v>
      </c>
      <c r="AJ3363" s="521" t="s">
        <v>271</v>
      </c>
      <c r="AK3363" s="521" t="s">
        <v>272</v>
      </c>
      <c r="AM3363" s="745" t="s">
        <v>281</v>
      </c>
      <c r="AN3363" s="746" t="s">
        <v>282</v>
      </c>
      <c r="AO3363" s="522" t="s">
        <v>278</v>
      </c>
      <c r="AR3363" s="51"/>
      <c r="AS3363" s="42" t="s">
        <v>139</v>
      </c>
    </row>
    <row r="3364" spans="1:45" s="520" customFormat="1" ht="12" customHeight="1">
      <c r="A3364" s="747">
        <v>1</v>
      </c>
      <c r="B3364" s="523" t="s">
        <v>141</v>
      </c>
      <c r="C3364" s="748"/>
      <c r="D3364" s="749" t="s">
        <v>1649</v>
      </c>
      <c r="E3364" s="750">
        <f ca="1">IF(AND($A3364=0,$A$1="DIF"),0, ROUND(ROUND(($R3369*$S$2+($T3369*$T$2))/A3364,2)*$C$2,2))</f>
        <v>948.93</v>
      </c>
      <c r="F3364" s="751">
        <f ca="1">ROUND($A3364*$E3364,2)</f>
        <v>948.93</v>
      </c>
      <c r="G3364" s="752" t="s">
        <v>142</v>
      </c>
      <c r="H3364" s="753"/>
      <c r="I3364" s="754"/>
      <c r="J3364" s="753"/>
      <c r="K3364" s="753" t="s">
        <v>3</v>
      </c>
      <c r="L3364" s="755" t="s">
        <v>143</v>
      </c>
      <c r="M3364" s="755"/>
      <c r="N3364" s="755"/>
      <c r="O3364" s="755"/>
      <c r="P3364" s="755"/>
      <c r="Q3364" s="51"/>
      <c r="T3364" s="756" t="str">
        <f ca="1">IF(AND($R3369=0,$T3369=0),"0.00","mu :" &amp; ROUND($F3364/$C$2/($R3369+$T3369*$D$9),2))</f>
        <v>mu :1.23</v>
      </c>
      <c r="W3364" s="524"/>
      <c r="AG3364" s="481">
        <f ca="1">IF($E3364=0,0,ROUND($R3369*$S$2*$C$2/$A3364,2))</f>
        <v>344.36</v>
      </c>
      <c r="AH3364" s="481">
        <f ca="1">$AG3364*$A3364</f>
        <v>344.36</v>
      </c>
      <c r="AI3364" s="525">
        <f ca="1">$E3364-$AG3364</f>
        <v>604.56999999999994</v>
      </c>
      <c r="AJ3364" s="525">
        <f ca="1">$A3364*$AI3364</f>
        <v>604.56999999999994</v>
      </c>
      <c r="AK3364" s="526">
        <f ca="1">ROUND(($AG3364+$AI3364)*$A3364,2)</f>
        <v>948.93</v>
      </c>
      <c r="AM3364" s="527">
        <f ca="1">ROUND(R3369,2)</f>
        <v>279.66000000000003</v>
      </c>
      <c r="AN3364" s="528">
        <f ca="1">ROUND(T3369,2)</f>
        <v>17.88</v>
      </c>
      <c r="AO3364" s="529">
        <f ca="1">ROUND(AM3364+AN3364,2)*A3364</f>
        <v>297.54000000000002</v>
      </c>
      <c r="AR3364" s="747">
        <v>1</v>
      </c>
      <c r="AS3364" s="751">
        <v>1015.88</v>
      </c>
    </row>
    <row r="3365" spans="1:45" s="520" customFormat="1" ht="13.2">
      <c r="A3365" s="748"/>
      <c r="B3365"/>
      <c r="C3365" s="748"/>
      <c r="D3365" s="749" t="s">
        <v>797</v>
      </c>
      <c r="F3365" s="753"/>
      <c r="G3365" s="3"/>
      <c r="H3365" s="753"/>
      <c r="I3365" s="754"/>
      <c r="J3365" s="753"/>
      <c r="K3365" s="753" t="s">
        <v>144</v>
      </c>
      <c r="L3365" s="753"/>
      <c r="M3365" s="753"/>
      <c r="N3365" s="753"/>
      <c r="O3365" s="753"/>
      <c r="P3365" s="753"/>
      <c r="Q3365" s="51"/>
      <c r="R3365" s="530"/>
      <c r="S3365" s="757"/>
      <c r="T3365" s="753"/>
      <c r="AR3365" s="748"/>
      <c r="AS3365" s="753"/>
    </row>
    <row r="3366" spans="1:45" s="886" customFormat="1" ht="13.2">
      <c r="A3366"/>
      <c r="B3366" s="910"/>
      <c r="C3366" s="910" t="s">
        <v>2597</v>
      </c>
      <c r="D3366" s="910" t="str">
        <f ca="1">CELL("Address",Elec_Rates!D$46)</f>
        <v>[E25_0062_Quintano_Foods_Elec_ELV_As_Awarded.xlsx]Elec_Rates!$D$46</v>
      </c>
      <c r="E3366" s="911"/>
      <c r="F3366" s="911"/>
      <c r="G3366" s="912" t="s">
        <v>2598</v>
      </c>
      <c r="H3366" s="912"/>
      <c r="I3366" s="912"/>
      <c r="J3366" s="912"/>
      <c r="K3366" s="913"/>
      <c r="L3366" s="911"/>
      <c r="M3366" s="911"/>
      <c r="N3366" s="911"/>
      <c r="O3366" s="914"/>
      <c r="P3366" s="911"/>
      <c r="Q3366" s="915"/>
      <c r="R3366" s="916"/>
      <c r="S3366" s="915"/>
      <c r="T3366" s="917"/>
      <c r="U3366" s="918"/>
      <c r="AR3366"/>
      <c r="AS3366" s="911"/>
    </row>
    <row r="3367" spans="1:45" s="886" customFormat="1" ht="11.4">
      <c r="A3367" s="919">
        <v>1</v>
      </c>
      <c r="B3367" s="920">
        <v>6</v>
      </c>
      <c r="C3367" s="920">
        <f>$A3367*$B3367</f>
        <v>6</v>
      </c>
      <c r="D3367" s="921" t="str">
        <f>Elec_Rates!$D$46</f>
        <v>004# Light point rate (Galvanised Conduit)</v>
      </c>
      <c r="E3367" s="921" t="s">
        <v>2972</v>
      </c>
      <c r="F3367" s="918"/>
      <c r="G3367" s="922" t="s">
        <v>2878</v>
      </c>
      <c r="H3367" s="922"/>
      <c r="I3367" s="922"/>
      <c r="J3367" s="922"/>
      <c r="K3367" s="923"/>
      <c r="L3367" s="918"/>
      <c r="M3367" s="918"/>
      <c r="N3367" s="918"/>
      <c r="O3367" s="924"/>
      <c r="P3367" s="921"/>
      <c r="Q3367" s="925">
        <f ca="1">$B3367*Elec_Rates!$R$46</f>
        <v>279.65999999999997</v>
      </c>
      <c r="R3367" s="916">
        <f ca="1">$A3367*Q3367</f>
        <v>279.65999999999997</v>
      </c>
      <c r="S3367" s="925">
        <f ca="1">$B3367*Elec_Rates!$T$46</f>
        <v>17.88</v>
      </c>
      <c r="T3367" s="917">
        <f ca="1">$A3367*S3367</f>
        <v>17.88</v>
      </c>
      <c r="U3367" s="926"/>
      <c r="AR3367" s="919">
        <v>1</v>
      </c>
      <c r="AS3367" s="918"/>
    </row>
    <row r="3368" spans="1:45" s="520" customFormat="1" ht="12">
      <c r="A3368" s="758"/>
      <c r="B3368" s="758"/>
      <c r="C3368" s="758"/>
      <c r="D3368" s="758"/>
      <c r="E3368" s="758"/>
      <c r="F3368" s="753"/>
      <c r="G3368" s="758"/>
      <c r="H3368" s="758"/>
      <c r="I3368" s="519"/>
      <c r="J3368" s="758"/>
      <c r="K3368" s="758"/>
      <c r="L3368" s="758"/>
      <c r="M3368" s="758"/>
      <c r="N3368" s="758"/>
      <c r="O3368" s="758"/>
      <c r="P3368" s="758"/>
      <c r="Q3368" s="519"/>
      <c r="R3368" s="759">
        <f>$A3368*Q3368</f>
        <v>0</v>
      </c>
      <c r="S3368" s="519"/>
      <c r="T3368" s="760">
        <f>$A3368*S3368*$T$1</f>
        <v>0</v>
      </c>
      <c r="AR3368" s="758"/>
      <c r="AS3368" s="753"/>
    </row>
    <row r="3369" spans="1:45" s="520" customFormat="1" ht="12.6" thickBot="1">
      <c r="A3369" s="761" t="s">
        <v>145</v>
      </c>
      <c r="B3369" s="762">
        <f>(R3368+T3368)</f>
        <v>0</v>
      </c>
      <c r="C3369" s="763"/>
      <c r="D3369" s="763"/>
      <c r="E3369" s="763"/>
      <c r="F3369" s="764"/>
      <c r="G3369" s="763" t="s">
        <v>146</v>
      </c>
      <c r="H3369" s="763"/>
      <c r="I3369" s="765"/>
      <c r="J3369" s="763"/>
      <c r="K3369" s="763" t="s">
        <v>3</v>
      </c>
      <c r="L3369" s="766" t="s">
        <v>143</v>
      </c>
      <c r="M3369" s="766"/>
      <c r="N3369" s="766"/>
      <c r="O3369" s="766"/>
      <c r="P3369" s="766"/>
      <c r="Q3369" s="767"/>
      <c r="R3369" s="768">
        <f ca="1">SUM(R3365:R3368)</f>
        <v>279.65999999999997</v>
      </c>
      <c r="S3369" s="763"/>
      <c r="T3369" s="768">
        <f ca="1">SUM(T3365:T3368)</f>
        <v>17.88</v>
      </c>
      <c r="U3369" s="531"/>
      <c r="V3369" s="531"/>
      <c r="W3369" s="531"/>
      <c r="X3369" s="531"/>
      <c r="Y3369" s="531"/>
      <c r="Z3369" s="531"/>
      <c r="AA3369" s="531"/>
      <c r="AB3369" s="531"/>
      <c r="AC3369" s="531"/>
      <c r="AD3369" s="531"/>
      <c r="AE3369" s="531"/>
      <c r="AF3369" s="531"/>
      <c r="AG3369" s="531"/>
      <c r="AH3369" s="531"/>
      <c r="AI3369" s="531"/>
      <c r="AJ3369" s="531"/>
      <c r="AK3369" s="531"/>
      <c r="AL3369" s="531"/>
      <c r="AM3369" s="531"/>
      <c r="AN3369" s="531"/>
      <c r="AO3369" s="531"/>
      <c r="AR3369" s="761" t="s">
        <v>145</v>
      </c>
      <c r="AS3369" s="764"/>
    </row>
    <row r="3370" spans="1:45" s="520" customFormat="1" ht="12" thickTop="1">
      <c r="A3370" s="51"/>
      <c r="B3370" s="41"/>
      <c r="C3370" s="51"/>
      <c r="E3370" s="42" t="s">
        <v>138</v>
      </c>
      <c r="F3370" s="42" t="s">
        <v>139</v>
      </c>
      <c r="G3370" s="51"/>
      <c r="H3370" s="51"/>
      <c r="I3370" s="51"/>
      <c r="J3370" s="51"/>
      <c r="K3370" s="51" t="s">
        <v>140</v>
      </c>
      <c r="L3370" s="51"/>
      <c r="M3370" s="51"/>
      <c r="N3370" s="51"/>
      <c r="O3370" s="52"/>
      <c r="P3370" s="51"/>
      <c r="Q3370" s="51"/>
      <c r="R3370" s="51"/>
      <c r="S3370" s="51"/>
      <c r="T3370" s="41"/>
      <c r="AG3370" s="521" t="s">
        <v>268</v>
      </c>
      <c r="AH3370" s="521" t="s">
        <v>269</v>
      </c>
      <c r="AI3370" s="521" t="s">
        <v>270</v>
      </c>
      <c r="AJ3370" s="521" t="s">
        <v>271</v>
      </c>
      <c r="AK3370" s="521" t="s">
        <v>272</v>
      </c>
      <c r="AM3370" s="745" t="s">
        <v>281</v>
      </c>
      <c r="AN3370" s="746" t="s">
        <v>282</v>
      </c>
      <c r="AO3370" s="522" t="s">
        <v>278</v>
      </c>
      <c r="AR3370" s="51"/>
      <c r="AS3370" s="42" t="s">
        <v>139</v>
      </c>
    </row>
    <row r="3371" spans="1:45" s="520" customFormat="1" ht="12" customHeight="1">
      <c r="A3371" s="747">
        <v>1</v>
      </c>
      <c r="B3371" s="523" t="s">
        <v>141</v>
      </c>
      <c r="C3371" s="748"/>
      <c r="D3371" s="749" t="s">
        <v>1650</v>
      </c>
      <c r="E3371" s="750">
        <f ca="1">IF(AND($A3371=0,$A$1="DIF"),0, ROUND(ROUND(($R3376*$S$2+($T3376*$T$2))/A3371,2)*$C$2,2))</f>
        <v>1423.39</v>
      </c>
      <c r="F3371" s="751">
        <f ca="1">ROUND($A3371*$E3371,2)</f>
        <v>1423.39</v>
      </c>
      <c r="G3371" s="752" t="s">
        <v>142</v>
      </c>
      <c r="H3371" s="753"/>
      <c r="I3371" s="754"/>
      <c r="J3371" s="753"/>
      <c r="K3371" s="753" t="s">
        <v>3</v>
      </c>
      <c r="L3371" s="755" t="s">
        <v>143</v>
      </c>
      <c r="M3371" s="755"/>
      <c r="N3371" s="755"/>
      <c r="O3371" s="755"/>
      <c r="P3371" s="755"/>
      <c r="Q3371" s="51"/>
      <c r="T3371" s="756" t="str">
        <f ca="1">IF(AND($R3376=0,$T3376=0),"0.00","mu :" &amp; ROUND($F3371/$C$2/($R3376+$T3376*$D$9),2))</f>
        <v>mu :1.23</v>
      </c>
      <c r="W3371" s="524"/>
      <c r="AG3371" s="481">
        <f ca="1">IF($E3371=0,0,ROUND($R3376*$S$2*$C$2/$A3371,2))</f>
        <v>516.54</v>
      </c>
      <c r="AH3371" s="481">
        <f ca="1">$AG3371*$A3371</f>
        <v>516.54</v>
      </c>
      <c r="AI3371" s="525">
        <f ca="1">$E3371-$AG3371</f>
        <v>906.85000000000014</v>
      </c>
      <c r="AJ3371" s="525">
        <f ca="1">$A3371*$AI3371</f>
        <v>906.85000000000014</v>
      </c>
      <c r="AK3371" s="526">
        <f ca="1">ROUND(($AG3371+$AI3371)*$A3371,2)</f>
        <v>1423.39</v>
      </c>
      <c r="AM3371" s="527">
        <f ca="1">ROUND(R3376,2)</f>
        <v>419.49</v>
      </c>
      <c r="AN3371" s="528">
        <f ca="1">ROUND(T3376,2)</f>
        <v>26.82</v>
      </c>
      <c r="AO3371" s="529">
        <f ca="1">ROUND(AM3371+AN3371,2)*A3371</f>
        <v>446.31</v>
      </c>
      <c r="AR3371" s="747">
        <v>1</v>
      </c>
      <c r="AS3371" s="751">
        <v>1523.82</v>
      </c>
    </row>
    <row r="3372" spans="1:45" s="520" customFormat="1" ht="13.2">
      <c r="A3372" s="748"/>
      <c r="B3372"/>
      <c r="C3372" s="748"/>
      <c r="D3372" s="749" t="s">
        <v>798</v>
      </c>
      <c r="F3372" s="753"/>
      <c r="G3372" s="3"/>
      <c r="H3372" s="753"/>
      <c r="I3372" s="754"/>
      <c r="J3372" s="753"/>
      <c r="K3372" s="753" t="s">
        <v>144</v>
      </c>
      <c r="L3372" s="753"/>
      <c r="M3372" s="753"/>
      <c r="N3372" s="753"/>
      <c r="O3372" s="753"/>
      <c r="P3372" s="753"/>
      <c r="Q3372" s="51"/>
      <c r="R3372" s="530"/>
      <c r="S3372" s="757"/>
      <c r="T3372" s="753"/>
      <c r="AR3372" s="748"/>
      <c r="AS3372" s="753"/>
    </row>
    <row r="3373" spans="1:45" s="886" customFormat="1" ht="13.2">
      <c r="A3373"/>
      <c r="B3373" s="910"/>
      <c r="C3373" s="910" t="s">
        <v>2597</v>
      </c>
      <c r="D3373" s="910" t="str">
        <f ca="1">CELL("Address",Elec_Rates!D$46)</f>
        <v>[E25_0062_Quintano_Foods_Elec_ELV_As_Awarded.xlsx]Elec_Rates!$D$46</v>
      </c>
      <c r="E3373" s="911"/>
      <c r="F3373" s="911"/>
      <c r="G3373" s="912" t="s">
        <v>2598</v>
      </c>
      <c r="H3373" s="912"/>
      <c r="I3373" s="912"/>
      <c r="J3373" s="912"/>
      <c r="K3373" s="913"/>
      <c r="L3373" s="911"/>
      <c r="M3373" s="911"/>
      <c r="N3373" s="911"/>
      <c r="O3373" s="914"/>
      <c r="P3373" s="911"/>
      <c r="Q3373" s="915"/>
      <c r="R3373" s="916"/>
      <c r="S3373" s="915"/>
      <c r="T3373" s="917"/>
      <c r="U3373" s="918"/>
      <c r="AR3373"/>
      <c r="AS3373" s="911"/>
    </row>
    <row r="3374" spans="1:45" s="886" customFormat="1" ht="11.4">
      <c r="A3374" s="919">
        <v>1</v>
      </c>
      <c r="B3374" s="920">
        <f>7.5+1.5</f>
        <v>9</v>
      </c>
      <c r="C3374" s="920">
        <f>$A3374*$B3374</f>
        <v>9</v>
      </c>
      <c r="D3374" s="921" t="str">
        <f>Elec_Rates!$D$46</f>
        <v>004# Light point rate (Galvanised Conduit)</v>
      </c>
      <c r="E3374" s="921" t="s">
        <v>2973</v>
      </c>
      <c r="F3374" s="918"/>
      <c r="G3374" s="922" t="s">
        <v>2878</v>
      </c>
      <c r="H3374" s="922"/>
      <c r="I3374" s="922"/>
      <c r="J3374" s="922"/>
      <c r="K3374" s="923"/>
      <c r="L3374" s="918"/>
      <c r="M3374" s="918"/>
      <c r="N3374" s="918"/>
      <c r="O3374" s="924"/>
      <c r="P3374" s="921"/>
      <c r="Q3374" s="925">
        <f ca="1">$B3374*Elec_Rates!$R$46</f>
        <v>419.49</v>
      </c>
      <c r="R3374" s="916">
        <f ca="1">$A3374*Q3374</f>
        <v>419.49</v>
      </c>
      <c r="S3374" s="925">
        <f ca="1">$B3374*Elec_Rates!$T$46</f>
        <v>26.82</v>
      </c>
      <c r="T3374" s="917">
        <f ca="1">$A3374*S3374</f>
        <v>26.82</v>
      </c>
      <c r="U3374" s="926"/>
      <c r="AR3374" s="919">
        <v>1</v>
      </c>
      <c r="AS3374" s="918"/>
    </row>
    <row r="3375" spans="1:45" s="520" customFormat="1" ht="12">
      <c r="A3375" s="758"/>
      <c r="B3375" s="758"/>
      <c r="C3375" s="758"/>
      <c r="D3375" s="758"/>
      <c r="E3375" s="758"/>
      <c r="F3375" s="753"/>
      <c r="G3375" s="758"/>
      <c r="H3375" s="758"/>
      <c r="I3375" s="519"/>
      <c r="J3375" s="758"/>
      <c r="K3375" s="758"/>
      <c r="L3375" s="758"/>
      <c r="M3375" s="758"/>
      <c r="N3375" s="758"/>
      <c r="O3375" s="758"/>
      <c r="P3375" s="758"/>
      <c r="Q3375" s="519"/>
      <c r="R3375" s="759">
        <f>$A3375*Q3375</f>
        <v>0</v>
      </c>
      <c r="S3375" s="519"/>
      <c r="T3375" s="760">
        <f>$A3375*S3375*$T$1</f>
        <v>0</v>
      </c>
      <c r="AR3375" s="758"/>
      <c r="AS3375" s="753"/>
    </row>
    <row r="3376" spans="1:45" s="520" customFormat="1" ht="12.6" thickBot="1">
      <c r="A3376" s="761" t="s">
        <v>145</v>
      </c>
      <c r="B3376" s="762">
        <f>(R3375+T3375)</f>
        <v>0</v>
      </c>
      <c r="C3376" s="763"/>
      <c r="D3376" s="763"/>
      <c r="E3376" s="763"/>
      <c r="F3376" s="764"/>
      <c r="G3376" s="763" t="s">
        <v>146</v>
      </c>
      <c r="H3376" s="763"/>
      <c r="I3376" s="765"/>
      <c r="J3376" s="763"/>
      <c r="K3376" s="763" t="s">
        <v>3</v>
      </c>
      <c r="L3376" s="766" t="s">
        <v>143</v>
      </c>
      <c r="M3376" s="766"/>
      <c r="N3376" s="766"/>
      <c r="O3376" s="766"/>
      <c r="P3376" s="766"/>
      <c r="Q3376" s="767"/>
      <c r="R3376" s="768">
        <f ca="1">SUM(R3372:R3375)</f>
        <v>419.49</v>
      </c>
      <c r="S3376" s="763"/>
      <c r="T3376" s="768">
        <f ca="1">SUM(T3372:T3375)</f>
        <v>26.82</v>
      </c>
      <c r="U3376" s="531"/>
      <c r="V3376" s="531"/>
      <c r="W3376" s="531"/>
      <c r="X3376" s="531"/>
      <c r="Y3376" s="531"/>
      <c r="Z3376" s="531"/>
      <c r="AA3376" s="531"/>
      <c r="AB3376" s="531"/>
      <c r="AC3376" s="531"/>
      <c r="AD3376" s="531"/>
      <c r="AE3376" s="531"/>
      <c r="AF3376" s="531"/>
      <c r="AG3376" s="531"/>
      <c r="AH3376" s="531"/>
      <c r="AI3376" s="531"/>
      <c r="AJ3376" s="531"/>
      <c r="AK3376" s="531"/>
      <c r="AL3376" s="531"/>
      <c r="AM3376" s="531"/>
      <c r="AN3376" s="531"/>
      <c r="AO3376" s="531"/>
      <c r="AR3376" s="761" t="s">
        <v>145</v>
      </c>
      <c r="AS3376" s="764"/>
    </row>
    <row r="3377" spans="1:45" s="520" customFormat="1" ht="12" thickTop="1">
      <c r="A3377" s="51"/>
      <c r="B3377" s="41"/>
      <c r="C3377" s="51"/>
      <c r="E3377" s="42" t="s">
        <v>138</v>
      </c>
      <c r="F3377" s="42" t="s">
        <v>139</v>
      </c>
      <c r="G3377" s="51"/>
      <c r="H3377" s="51"/>
      <c r="I3377" s="51"/>
      <c r="J3377" s="51"/>
      <c r="K3377" s="51" t="s">
        <v>140</v>
      </c>
      <c r="L3377" s="51"/>
      <c r="M3377" s="51"/>
      <c r="N3377" s="51"/>
      <c r="O3377" s="52"/>
      <c r="P3377" s="51"/>
      <c r="Q3377" s="51"/>
      <c r="R3377" s="51"/>
      <c r="S3377" s="51"/>
      <c r="T3377" s="41"/>
      <c r="AG3377" s="521" t="s">
        <v>268</v>
      </c>
      <c r="AH3377" s="521" t="s">
        <v>269</v>
      </c>
      <c r="AI3377" s="521" t="s">
        <v>270</v>
      </c>
      <c r="AJ3377" s="521" t="s">
        <v>271</v>
      </c>
      <c r="AK3377" s="521" t="s">
        <v>272</v>
      </c>
      <c r="AM3377" s="745" t="s">
        <v>281</v>
      </c>
      <c r="AN3377" s="746" t="s">
        <v>282</v>
      </c>
      <c r="AO3377" s="522" t="s">
        <v>278</v>
      </c>
      <c r="AR3377" s="51"/>
      <c r="AS3377" s="42" t="s">
        <v>139</v>
      </c>
    </row>
    <row r="3378" spans="1:45" s="520" customFormat="1" ht="12" customHeight="1">
      <c r="A3378" s="747">
        <v>1</v>
      </c>
      <c r="B3378" s="523" t="s">
        <v>141</v>
      </c>
      <c r="C3378" s="748"/>
      <c r="D3378" s="749" t="s">
        <v>1651</v>
      </c>
      <c r="E3378" s="750">
        <f ca="1">IF(AND($A3378=0,$A$1="DIF"),0, ROUND(ROUND(($R3383*$S$2+($T3383*$T$2))/A3378,2)*$C$2,2))</f>
        <v>1581.55</v>
      </c>
      <c r="F3378" s="751">
        <f ca="1">ROUND($A3378*$E3378,2)</f>
        <v>1581.55</v>
      </c>
      <c r="G3378" s="752" t="s">
        <v>142</v>
      </c>
      <c r="H3378" s="753"/>
      <c r="I3378" s="754"/>
      <c r="J3378" s="753"/>
      <c r="K3378" s="753" t="s">
        <v>3</v>
      </c>
      <c r="L3378" s="755" t="s">
        <v>143</v>
      </c>
      <c r="M3378" s="755"/>
      <c r="N3378" s="755"/>
      <c r="O3378" s="755"/>
      <c r="P3378" s="755"/>
      <c r="Q3378" s="51"/>
      <c r="T3378" s="756" t="str">
        <f ca="1">IF(AND($R3383=0,$T3383=0),"0.00","mu :" &amp; ROUND($F3378/$C$2/($R3383+$T3383*$D$9),2))</f>
        <v>mu :1.23</v>
      </c>
      <c r="W3378" s="524"/>
      <c r="AG3378" s="481">
        <f ca="1">IF($E3378=0,0,ROUND($R3383*$S$2*$C$2/$A3378,2))</f>
        <v>573.92999999999995</v>
      </c>
      <c r="AH3378" s="481">
        <f ca="1">$AG3378*$A3378</f>
        <v>573.92999999999995</v>
      </c>
      <c r="AI3378" s="525">
        <f ca="1">$E3378-$AG3378</f>
        <v>1007.62</v>
      </c>
      <c r="AJ3378" s="525">
        <f ca="1">$A3378*$AI3378</f>
        <v>1007.62</v>
      </c>
      <c r="AK3378" s="526">
        <f ca="1">ROUND(($AG3378+$AI3378)*$A3378,2)</f>
        <v>1581.55</v>
      </c>
      <c r="AM3378" s="527">
        <f ca="1">ROUND(R3383,2)</f>
        <v>466.1</v>
      </c>
      <c r="AN3378" s="528">
        <f ca="1">ROUND(T3383,2)</f>
        <v>29.8</v>
      </c>
      <c r="AO3378" s="529">
        <f ca="1">ROUND(AM3378+AN3378,2)*A3378</f>
        <v>495.9</v>
      </c>
      <c r="AR3378" s="747">
        <v>1</v>
      </c>
      <c r="AS3378" s="751">
        <v>1693.13</v>
      </c>
    </row>
    <row r="3379" spans="1:45" s="520" customFormat="1" ht="13.2">
      <c r="A3379" s="748"/>
      <c r="B3379"/>
      <c r="C3379" s="748"/>
      <c r="D3379" s="749" t="s">
        <v>799</v>
      </c>
      <c r="F3379" s="753"/>
      <c r="G3379" s="3"/>
      <c r="H3379" s="753"/>
      <c r="I3379" s="754"/>
      <c r="J3379" s="753"/>
      <c r="K3379" s="753" t="s">
        <v>144</v>
      </c>
      <c r="L3379" s="753"/>
      <c r="M3379" s="753"/>
      <c r="N3379" s="753"/>
      <c r="O3379" s="753"/>
      <c r="P3379" s="753"/>
      <c r="Q3379" s="51"/>
      <c r="R3379" s="530"/>
      <c r="S3379" s="757"/>
      <c r="T3379" s="753"/>
      <c r="AR3379" s="748"/>
      <c r="AS3379" s="753"/>
    </row>
    <row r="3380" spans="1:45" s="886" customFormat="1" ht="13.2">
      <c r="A3380"/>
      <c r="B3380" s="910"/>
      <c r="C3380" s="910" t="s">
        <v>2597</v>
      </c>
      <c r="D3380" s="910" t="str">
        <f ca="1">CELL("Address",Elec_Rates!D$46)</f>
        <v>[E25_0062_Quintano_Foods_Elec_ELV_As_Awarded.xlsx]Elec_Rates!$D$46</v>
      </c>
      <c r="E3380" s="911"/>
      <c r="F3380" s="911"/>
      <c r="G3380" s="912" t="s">
        <v>2598</v>
      </c>
      <c r="H3380" s="912"/>
      <c r="I3380" s="912"/>
      <c r="J3380" s="912"/>
      <c r="K3380" s="913"/>
      <c r="L3380" s="911"/>
      <c r="M3380" s="911"/>
      <c r="N3380" s="911"/>
      <c r="O3380" s="914"/>
      <c r="P3380" s="911"/>
      <c r="Q3380" s="915"/>
      <c r="R3380" s="916"/>
      <c r="S3380" s="915"/>
      <c r="T3380" s="917"/>
      <c r="U3380" s="918"/>
      <c r="AR3380"/>
      <c r="AS3380" s="911"/>
    </row>
    <row r="3381" spans="1:45" s="886" customFormat="1" ht="11.4">
      <c r="A3381" s="919">
        <v>1</v>
      </c>
      <c r="B3381" s="920">
        <f>7.5+2.5</f>
        <v>10</v>
      </c>
      <c r="C3381" s="920">
        <f>$A3381*$B3381</f>
        <v>10</v>
      </c>
      <c r="D3381" s="921" t="str">
        <f>Elec_Rates!$D$46</f>
        <v>004# Light point rate (Galvanised Conduit)</v>
      </c>
      <c r="E3381" s="921" t="s">
        <v>2974</v>
      </c>
      <c r="F3381" s="918"/>
      <c r="G3381" s="922" t="s">
        <v>2878</v>
      </c>
      <c r="H3381" s="922"/>
      <c r="I3381" s="922"/>
      <c r="J3381" s="922"/>
      <c r="K3381" s="923"/>
      <c r="L3381" s="918"/>
      <c r="M3381" s="918"/>
      <c r="N3381" s="918"/>
      <c r="O3381" s="924"/>
      <c r="P3381" s="921"/>
      <c r="Q3381" s="925">
        <f ca="1">$B3381*Elec_Rates!$R$46</f>
        <v>466.1</v>
      </c>
      <c r="R3381" s="916">
        <f ca="1">$A3381*Q3381</f>
        <v>466.1</v>
      </c>
      <c r="S3381" s="925">
        <f ca="1">$B3381*Elec_Rates!$T$46</f>
        <v>29.8</v>
      </c>
      <c r="T3381" s="917">
        <f ca="1">$A3381*S3381</f>
        <v>29.8</v>
      </c>
      <c r="U3381" s="926"/>
      <c r="AR3381" s="919">
        <v>1</v>
      </c>
      <c r="AS3381" s="918"/>
    </row>
    <row r="3382" spans="1:45" s="520" customFormat="1" ht="12">
      <c r="A3382" s="758"/>
      <c r="B3382" s="758"/>
      <c r="C3382" s="758"/>
      <c r="D3382" s="758"/>
      <c r="E3382" s="758"/>
      <c r="F3382" s="753"/>
      <c r="G3382" s="758"/>
      <c r="H3382" s="758"/>
      <c r="I3382" s="519"/>
      <c r="J3382" s="758"/>
      <c r="K3382" s="758"/>
      <c r="L3382" s="758"/>
      <c r="M3382" s="758"/>
      <c r="N3382" s="758"/>
      <c r="O3382" s="758"/>
      <c r="P3382" s="758"/>
      <c r="Q3382" s="519"/>
      <c r="R3382" s="759">
        <f>$A3382*Q3382</f>
        <v>0</v>
      </c>
      <c r="S3382" s="519"/>
      <c r="T3382" s="760">
        <f>$A3382*S3382*$T$1</f>
        <v>0</v>
      </c>
      <c r="AR3382" s="758"/>
      <c r="AS3382" s="753"/>
    </row>
    <row r="3383" spans="1:45" s="520" customFormat="1" ht="12.6" thickBot="1">
      <c r="A3383" s="761" t="s">
        <v>145</v>
      </c>
      <c r="B3383" s="762">
        <f>(R3382+T3382)</f>
        <v>0</v>
      </c>
      <c r="C3383" s="763"/>
      <c r="D3383" s="763"/>
      <c r="E3383" s="763"/>
      <c r="F3383" s="764"/>
      <c r="G3383" s="763" t="s">
        <v>146</v>
      </c>
      <c r="H3383" s="763"/>
      <c r="I3383" s="765"/>
      <c r="J3383" s="763"/>
      <c r="K3383" s="763" t="s">
        <v>3</v>
      </c>
      <c r="L3383" s="766" t="s">
        <v>143</v>
      </c>
      <c r="M3383" s="766"/>
      <c r="N3383" s="766"/>
      <c r="O3383" s="766"/>
      <c r="P3383" s="766"/>
      <c r="Q3383" s="767"/>
      <c r="R3383" s="768">
        <f ca="1">SUM(R3379:R3382)</f>
        <v>466.1</v>
      </c>
      <c r="S3383" s="763"/>
      <c r="T3383" s="768">
        <f ca="1">SUM(T3379:T3382)</f>
        <v>29.8</v>
      </c>
      <c r="U3383" s="531"/>
      <c r="V3383" s="531"/>
      <c r="W3383" s="531"/>
      <c r="X3383" s="531"/>
      <c r="Y3383" s="531"/>
      <c r="Z3383" s="531"/>
      <c r="AA3383" s="531"/>
      <c r="AB3383" s="531"/>
      <c r="AC3383" s="531"/>
      <c r="AD3383" s="531"/>
      <c r="AE3383" s="531"/>
      <c r="AF3383" s="531"/>
      <c r="AG3383" s="531"/>
      <c r="AH3383" s="531"/>
      <c r="AI3383" s="531"/>
      <c r="AJ3383" s="531"/>
      <c r="AK3383" s="531"/>
      <c r="AL3383" s="531"/>
      <c r="AM3383" s="531"/>
      <c r="AN3383" s="531"/>
      <c r="AO3383" s="531"/>
      <c r="AR3383" s="761" t="s">
        <v>145</v>
      </c>
      <c r="AS3383" s="764"/>
    </row>
    <row r="3384" spans="1:45" s="520" customFormat="1" ht="12" thickTop="1">
      <c r="A3384" s="51"/>
      <c r="B3384" s="41"/>
      <c r="C3384" s="51"/>
      <c r="E3384" s="42" t="s">
        <v>138</v>
      </c>
      <c r="F3384" s="42" t="s">
        <v>139</v>
      </c>
      <c r="G3384" s="51"/>
      <c r="H3384" s="51"/>
      <c r="I3384" s="51"/>
      <c r="J3384" s="51"/>
      <c r="K3384" s="51" t="s">
        <v>140</v>
      </c>
      <c r="L3384" s="51"/>
      <c r="M3384" s="51"/>
      <c r="N3384" s="51"/>
      <c r="O3384" s="52"/>
      <c r="P3384" s="51"/>
      <c r="Q3384" s="51"/>
      <c r="R3384" s="51"/>
      <c r="S3384" s="51"/>
      <c r="T3384" s="41"/>
      <c r="AG3384" s="521" t="s">
        <v>268</v>
      </c>
      <c r="AH3384" s="521" t="s">
        <v>269</v>
      </c>
      <c r="AI3384" s="521" t="s">
        <v>270</v>
      </c>
      <c r="AJ3384" s="521" t="s">
        <v>271</v>
      </c>
      <c r="AK3384" s="521" t="s">
        <v>272</v>
      </c>
      <c r="AM3384" s="745" t="s">
        <v>281</v>
      </c>
      <c r="AN3384" s="746" t="s">
        <v>282</v>
      </c>
      <c r="AO3384" s="522" t="s">
        <v>278</v>
      </c>
      <c r="AR3384" s="51"/>
      <c r="AS3384" s="42" t="s">
        <v>139</v>
      </c>
    </row>
    <row r="3385" spans="1:45" s="520" customFormat="1" ht="12" customHeight="1">
      <c r="A3385" s="747">
        <v>1</v>
      </c>
      <c r="B3385" s="523" t="s">
        <v>141</v>
      </c>
      <c r="C3385" s="748"/>
      <c r="D3385" s="749" t="s">
        <v>1652</v>
      </c>
      <c r="E3385" s="750">
        <f ca="1">IF(AND($A3385=0,$A$1="DIF"),0, ROUND(ROUND(($R3390*$S$2+($T3390*$T$2))/A3385,2)*$C$2,2))</f>
        <v>1660.63</v>
      </c>
      <c r="F3385" s="751">
        <f ca="1">ROUND($A3385*$E3385,2)</f>
        <v>1660.63</v>
      </c>
      <c r="G3385" s="752" t="s">
        <v>142</v>
      </c>
      <c r="H3385" s="753"/>
      <c r="I3385" s="754"/>
      <c r="J3385" s="753"/>
      <c r="K3385" s="753" t="s">
        <v>3</v>
      </c>
      <c r="L3385" s="755" t="s">
        <v>143</v>
      </c>
      <c r="M3385" s="755"/>
      <c r="N3385" s="755"/>
      <c r="O3385" s="755"/>
      <c r="P3385" s="755"/>
      <c r="Q3385" s="51"/>
      <c r="T3385" s="756" t="str">
        <f ca="1">IF(AND($R3390=0,$T3390=0),"0.00","mu :" &amp; ROUND($F3385/$C$2/($R3390+$T3390*$D$9),2))</f>
        <v>mu :1.23</v>
      </c>
      <c r="W3385" s="524"/>
      <c r="AG3385" s="481">
        <f ca="1">IF($E3385=0,0,ROUND($R3390*$S$2*$C$2/$A3385,2))</f>
        <v>602.63</v>
      </c>
      <c r="AH3385" s="481">
        <f ca="1">$AG3385*$A3385</f>
        <v>602.63</v>
      </c>
      <c r="AI3385" s="525">
        <f ca="1">$E3385-$AG3385</f>
        <v>1058</v>
      </c>
      <c r="AJ3385" s="525">
        <f ca="1">$A3385*$AI3385</f>
        <v>1058</v>
      </c>
      <c r="AK3385" s="526">
        <f ca="1">ROUND(($AG3385+$AI3385)*$A3385,2)</f>
        <v>1660.63</v>
      </c>
      <c r="AM3385" s="527">
        <f ca="1">ROUND(R3390,2)</f>
        <v>489.41</v>
      </c>
      <c r="AN3385" s="528">
        <f ca="1">ROUND(T3390,2)</f>
        <v>31.29</v>
      </c>
      <c r="AO3385" s="529">
        <f ca="1">ROUND(AM3385+AN3385,2)*A3385</f>
        <v>520.70000000000005</v>
      </c>
      <c r="AR3385" s="747">
        <v>1</v>
      </c>
      <c r="AS3385" s="751">
        <v>1777.79</v>
      </c>
    </row>
    <row r="3386" spans="1:45" s="520" customFormat="1" ht="13.2">
      <c r="A3386" s="748"/>
      <c r="B3386"/>
      <c r="C3386" s="748"/>
      <c r="D3386" s="749" t="s">
        <v>800</v>
      </c>
      <c r="F3386" s="753"/>
      <c r="G3386" s="3"/>
      <c r="H3386" s="753"/>
      <c r="I3386" s="754"/>
      <c r="J3386" s="753"/>
      <c r="K3386" s="753" t="s">
        <v>144</v>
      </c>
      <c r="L3386" s="753"/>
      <c r="M3386" s="753"/>
      <c r="N3386" s="753"/>
      <c r="O3386" s="753"/>
      <c r="P3386" s="753"/>
      <c r="Q3386" s="51"/>
      <c r="R3386" s="530"/>
      <c r="S3386" s="757"/>
      <c r="T3386" s="753"/>
      <c r="AR3386" s="748"/>
      <c r="AS3386" s="753"/>
    </row>
    <row r="3387" spans="1:45" s="886" customFormat="1" ht="13.2">
      <c r="A3387"/>
      <c r="B3387" s="910"/>
      <c r="C3387" s="910" t="s">
        <v>2597</v>
      </c>
      <c r="D3387" s="910" t="str">
        <f ca="1">CELL("Address",Elec_Rates!D$46)</f>
        <v>[E25_0062_Quintano_Foods_Elec_ELV_As_Awarded.xlsx]Elec_Rates!$D$46</v>
      </c>
      <c r="E3387" s="911"/>
      <c r="F3387" s="911"/>
      <c r="G3387" s="912" t="s">
        <v>2598</v>
      </c>
      <c r="H3387" s="912"/>
      <c r="I3387" s="912"/>
      <c r="J3387" s="912"/>
      <c r="K3387" s="913"/>
      <c r="L3387" s="911"/>
      <c r="M3387" s="911"/>
      <c r="N3387" s="911"/>
      <c r="O3387" s="914"/>
      <c r="P3387" s="911"/>
      <c r="Q3387" s="915"/>
      <c r="R3387" s="916"/>
      <c r="S3387" s="915"/>
      <c r="T3387" s="917"/>
      <c r="U3387" s="918"/>
      <c r="AR3387"/>
      <c r="AS3387" s="911"/>
    </row>
    <row r="3388" spans="1:45" s="886" customFormat="1" ht="11.4">
      <c r="A3388" s="919">
        <v>1</v>
      </c>
      <c r="B3388" s="920">
        <f>7.5+3</f>
        <v>10.5</v>
      </c>
      <c r="C3388" s="920">
        <f>$A3388*$B3388</f>
        <v>10.5</v>
      </c>
      <c r="D3388" s="921" t="str">
        <f>Elec_Rates!$D$46</f>
        <v>004# Light point rate (Galvanised Conduit)</v>
      </c>
      <c r="E3388" s="921" t="s">
        <v>2975</v>
      </c>
      <c r="F3388" s="918"/>
      <c r="G3388" s="922" t="s">
        <v>2878</v>
      </c>
      <c r="H3388" s="922"/>
      <c r="I3388" s="922"/>
      <c r="J3388" s="922"/>
      <c r="K3388" s="923"/>
      <c r="L3388" s="918"/>
      <c r="M3388" s="918"/>
      <c r="N3388" s="918"/>
      <c r="O3388" s="924"/>
      <c r="P3388" s="921"/>
      <c r="Q3388" s="925">
        <f ca="1">$B3388*Elec_Rates!$R$46</f>
        <v>489.40499999999997</v>
      </c>
      <c r="R3388" s="916">
        <f ca="1">$A3388*Q3388</f>
        <v>489.40499999999997</v>
      </c>
      <c r="S3388" s="925">
        <f ca="1">$B3388*Elec_Rates!$T$46</f>
        <v>31.29</v>
      </c>
      <c r="T3388" s="917">
        <f ca="1">$A3388*S3388</f>
        <v>31.29</v>
      </c>
      <c r="U3388" s="926"/>
      <c r="AR3388" s="919">
        <v>1</v>
      </c>
      <c r="AS3388" s="918"/>
    </row>
    <row r="3389" spans="1:45" s="520" customFormat="1" ht="12">
      <c r="A3389" s="758"/>
      <c r="B3389" s="758"/>
      <c r="C3389" s="758"/>
      <c r="D3389" s="758"/>
      <c r="E3389" s="758"/>
      <c r="F3389" s="753"/>
      <c r="G3389" s="758"/>
      <c r="H3389" s="758"/>
      <c r="I3389" s="519"/>
      <c r="J3389" s="758"/>
      <c r="K3389" s="758"/>
      <c r="L3389" s="758"/>
      <c r="M3389" s="758"/>
      <c r="N3389" s="758"/>
      <c r="O3389" s="758"/>
      <c r="P3389" s="758"/>
      <c r="Q3389" s="519"/>
      <c r="R3389" s="759">
        <f>$A3389*Q3389</f>
        <v>0</v>
      </c>
      <c r="S3389" s="519"/>
      <c r="T3389" s="760">
        <f>$A3389*S3389*$T$1</f>
        <v>0</v>
      </c>
      <c r="AR3389" s="758"/>
      <c r="AS3389" s="753"/>
    </row>
    <row r="3390" spans="1:45" s="520" customFormat="1" ht="12.6" thickBot="1">
      <c r="A3390" s="761" t="s">
        <v>145</v>
      </c>
      <c r="B3390" s="762">
        <f>(R3389+T3389)</f>
        <v>0</v>
      </c>
      <c r="C3390" s="763"/>
      <c r="D3390" s="763"/>
      <c r="E3390" s="763"/>
      <c r="F3390" s="764"/>
      <c r="G3390" s="763" t="s">
        <v>146</v>
      </c>
      <c r="H3390" s="763"/>
      <c r="I3390" s="765"/>
      <c r="J3390" s="763"/>
      <c r="K3390" s="763" t="s">
        <v>3</v>
      </c>
      <c r="L3390" s="766" t="s">
        <v>143</v>
      </c>
      <c r="M3390" s="766"/>
      <c r="N3390" s="766"/>
      <c r="O3390" s="766"/>
      <c r="P3390" s="766"/>
      <c r="Q3390" s="767"/>
      <c r="R3390" s="768">
        <f ca="1">SUM(R3386:R3389)</f>
        <v>489.40499999999997</v>
      </c>
      <c r="S3390" s="763"/>
      <c r="T3390" s="768">
        <f ca="1">SUM(T3386:T3389)</f>
        <v>31.29</v>
      </c>
      <c r="U3390" s="531"/>
      <c r="V3390" s="531"/>
      <c r="W3390" s="531"/>
      <c r="X3390" s="531"/>
      <c r="Y3390" s="531"/>
      <c r="Z3390" s="531"/>
      <c r="AA3390" s="531"/>
      <c r="AB3390" s="531"/>
      <c r="AC3390" s="531"/>
      <c r="AD3390" s="531"/>
      <c r="AE3390" s="531"/>
      <c r="AF3390" s="531"/>
      <c r="AG3390" s="531"/>
      <c r="AH3390" s="531"/>
      <c r="AI3390" s="531"/>
      <c r="AJ3390" s="531"/>
      <c r="AK3390" s="531"/>
      <c r="AL3390" s="531"/>
      <c r="AM3390" s="531"/>
      <c r="AN3390" s="531"/>
      <c r="AO3390" s="531"/>
      <c r="AR3390" s="761" t="s">
        <v>145</v>
      </c>
      <c r="AS3390" s="764"/>
    </row>
    <row r="3391" spans="1:45" s="520" customFormat="1" ht="12" thickTop="1">
      <c r="A3391" s="51"/>
      <c r="B3391" s="41"/>
      <c r="C3391" s="51"/>
      <c r="E3391" s="42" t="s">
        <v>138</v>
      </c>
      <c r="F3391" s="42" t="s">
        <v>139</v>
      </c>
      <c r="G3391" s="51"/>
      <c r="H3391" s="51"/>
      <c r="I3391" s="51"/>
      <c r="J3391" s="51"/>
      <c r="K3391" s="51" t="s">
        <v>140</v>
      </c>
      <c r="L3391" s="51"/>
      <c r="M3391" s="51"/>
      <c r="N3391" s="51"/>
      <c r="O3391" s="52"/>
      <c r="P3391" s="51"/>
      <c r="Q3391" s="51"/>
      <c r="R3391" s="51"/>
      <c r="S3391" s="51"/>
      <c r="T3391" s="41"/>
      <c r="AG3391" s="521" t="s">
        <v>268</v>
      </c>
      <c r="AH3391" s="521" t="s">
        <v>269</v>
      </c>
      <c r="AI3391" s="521" t="s">
        <v>270</v>
      </c>
      <c r="AJ3391" s="521" t="s">
        <v>271</v>
      </c>
      <c r="AK3391" s="521" t="s">
        <v>272</v>
      </c>
      <c r="AM3391" s="745" t="s">
        <v>281</v>
      </c>
      <c r="AN3391" s="746" t="s">
        <v>282</v>
      </c>
      <c r="AO3391" s="522" t="s">
        <v>278</v>
      </c>
      <c r="AR3391" s="51"/>
      <c r="AS3391" s="42" t="s">
        <v>139</v>
      </c>
    </row>
    <row r="3392" spans="1:45" s="520" customFormat="1" ht="12" customHeight="1">
      <c r="A3392" s="747">
        <v>1</v>
      </c>
      <c r="B3392" s="523" t="s">
        <v>141</v>
      </c>
      <c r="C3392" s="748"/>
      <c r="D3392" s="749" t="s">
        <v>1653</v>
      </c>
      <c r="E3392" s="750">
        <f ca="1">IF(AND($A3392=0,$A$1="DIF"),0, ROUND(ROUND(($R3397*$S$2+($T3397*$T$2))/A3392,2)*$C$2,2))</f>
        <v>1818.78</v>
      </c>
      <c r="F3392" s="751">
        <f ca="1">ROUND($A3392*$E3392,2)</f>
        <v>1818.78</v>
      </c>
      <c r="G3392" s="752" t="s">
        <v>142</v>
      </c>
      <c r="H3392" s="753"/>
      <c r="I3392" s="754"/>
      <c r="J3392" s="753"/>
      <c r="K3392" s="753" t="s">
        <v>3</v>
      </c>
      <c r="L3392" s="755" t="s">
        <v>143</v>
      </c>
      <c r="M3392" s="755"/>
      <c r="N3392" s="755"/>
      <c r="O3392" s="755"/>
      <c r="P3392" s="755"/>
      <c r="Q3392" s="51"/>
      <c r="T3392" s="756" t="str">
        <f ca="1">IF(AND($R3397=0,$T3397=0),"0.00","mu :" &amp; ROUND($F3392/$C$2/($R3397+$T3397*$D$9),2))</f>
        <v>mu :1.23</v>
      </c>
      <c r="W3392" s="524"/>
      <c r="AG3392" s="481">
        <f ca="1">IF($E3392=0,0,ROUND($R3397*$S$2*$C$2/$A3392,2))</f>
        <v>660.02</v>
      </c>
      <c r="AH3392" s="481">
        <f ca="1">$AG3392*$A3392</f>
        <v>660.02</v>
      </c>
      <c r="AI3392" s="525">
        <f ca="1">$E3392-$AG3392</f>
        <v>1158.76</v>
      </c>
      <c r="AJ3392" s="525">
        <f ca="1">$A3392*$AI3392</f>
        <v>1158.76</v>
      </c>
      <c r="AK3392" s="526">
        <f ca="1">ROUND(($AG3392+$AI3392)*$A3392,2)</f>
        <v>1818.78</v>
      </c>
      <c r="AM3392" s="527">
        <f ca="1">ROUND(R3397,2)</f>
        <v>536.02</v>
      </c>
      <c r="AN3392" s="528">
        <f ca="1">ROUND(T3397,2)</f>
        <v>34.270000000000003</v>
      </c>
      <c r="AO3392" s="529">
        <f ca="1">ROUND(AM3392+AN3392,2)*A3392</f>
        <v>570.29</v>
      </c>
      <c r="AR3392" s="747">
        <v>1</v>
      </c>
      <c r="AS3392" s="751">
        <v>1947.1</v>
      </c>
    </row>
    <row r="3393" spans="1:45" s="520" customFormat="1" ht="13.2">
      <c r="A3393" s="748"/>
      <c r="B3393"/>
      <c r="C3393" s="748"/>
      <c r="D3393" s="749" t="s">
        <v>801</v>
      </c>
      <c r="F3393" s="753"/>
      <c r="G3393" s="3"/>
      <c r="H3393" s="753"/>
      <c r="I3393" s="754"/>
      <c r="J3393" s="753"/>
      <c r="K3393" s="753" t="s">
        <v>144</v>
      </c>
      <c r="L3393" s="753"/>
      <c r="M3393" s="753"/>
      <c r="N3393" s="753"/>
      <c r="O3393" s="753"/>
      <c r="P3393" s="753"/>
      <c r="Q3393" s="51"/>
      <c r="R3393" s="530"/>
      <c r="S3393" s="757"/>
      <c r="T3393" s="753"/>
      <c r="AR3393" s="748"/>
      <c r="AS3393" s="753"/>
    </row>
    <row r="3394" spans="1:45" s="886" customFormat="1" ht="13.2">
      <c r="A3394"/>
      <c r="B3394" s="910"/>
      <c r="C3394" s="910" t="s">
        <v>2597</v>
      </c>
      <c r="D3394" s="910" t="str">
        <f ca="1">CELL("Address",Elec_Rates!D$46)</f>
        <v>[E25_0062_Quintano_Foods_Elec_ELV_As_Awarded.xlsx]Elec_Rates!$D$46</v>
      </c>
      <c r="E3394" s="911"/>
      <c r="F3394" s="911"/>
      <c r="G3394" s="912" t="s">
        <v>2598</v>
      </c>
      <c r="H3394" s="912"/>
      <c r="I3394" s="912"/>
      <c r="J3394" s="912"/>
      <c r="K3394" s="913"/>
      <c r="L3394" s="911"/>
      <c r="M3394" s="911"/>
      <c r="N3394" s="911"/>
      <c r="O3394" s="914"/>
      <c r="P3394" s="911"/>
      <c r="Q3394" s="915"/>
      <c r="R3394" s="916"/>
      <c r="S3394" s="915"/>
      <c r="T3394" s="917"/>
      <c r="U3394" s="918"/>
      <c r="AR3394"/>
      <c r="AS3394" s="911"/>
    </row>
    <row r="3395" spans="1:45" s="886" customFormat="1" ht="11.4">
      <c r="A3395" s="919">
        <v>1</v>
      </c>
      <c r="B3395" s="920">
        <f>10+1.5</f>
        <v>11.5</v>
      </c>
      <c r="C3395" s="920">
        <f>$A3395*$B3395</f>
        <v>11.5</v>
      </c>
      <c r="D3395" s="921" t="str">
        <f>Elec_Rates!$D$46</f>
        <v>004# Light point rate (Galvanised Conduit)</v>
      </c>
      <c r="E3395" s="921" t="s">
        <v>2976</v>
      </c>
      <c r="F3395" s="918"/>
      <c r="G3395" s="922" t="s">
        <v>2878</v>
      </c>
      <c r="H3395" s="922"/>
      <c r="I3395" s="922"/>
      <c r="J3395" s="922"/>
      <c r="K3395" s="923"/>
      <c r="L3395" s="918"/>
      <c r="M3395" s="918"/>
      <c r="N3395" s="918"/>
      <c r="O3395" s="924"/>
      <c r="P3395" s="921"/>
      <c r="Q3395" s="925">
        <f ca="1">$B3395*Elec_Rates!$R$46</f>
        <v>536.01499999999999</v>
      </c>
      <c r="R3395" s="916">
        <f ca="1">$A3395*Q3395</f>
        <v>536.01499999999999</v>
      </c>
      <c r="S3395" s="925">
        <f ca="1">$B3395*Elec_Rates!$T$46</f>
        <v>34.270000000000003</v>
      </c>
      <c r="T3395" s="917">
        <f ca="1">$A3395*S3395</f>
        <v>34.270000000000003</v>
      </c>
      <c r="U3395" s="926"/>
      <c r="AR3395" s="919">
        <v>1</v>
      </c>
      <c r="AS3395" s="918"/>
    </row>
    <row r="3396" spans="1:45" s="520" customFormat="1" ht="12">
      <c r="A3396" s="758"/>
      <c r="B3396" s="758"/>
      <c r="C3396" s="758"/>
      <c r="D3396" s="758"/>
      <c r="E3396" s="758"/>
      <c r="F3396" s="753"/>
      <c r="G3396" s="758"/>
      <c r="H3396" s="758"/>
      <c r="I3396" s="519"/>
      <c r="J3396" s="758"/>
      <c r="K3396" s="758"/>
      <c r="L3396" s="758"/>
      <c r="M3396" s="758"/>
      <c r="N3396" s="758"/>
      <c r="O3396" s="758"/>
      <c r="P3396" s="758"/>
      <c r="Q3396" s="519"/>
      <c r="R3396" s="759">
        <f>$A3396*Q3396</f>
        <v>0</v>
      </c>
      <c r="S3396" s="519"/>
      <c r="T3396" s="760">
        <f>$A3396*S3396*$T$1</f>
        <v>0</v>
      </c>
      <c r="AR3396" s="758"/>
      <c r="AS3396" s="753"/>
    </row>
    <row r="3397" spans="1:45" s="520" customFormat="1" ht="12.6" thickBot="1">
      <c r="A3397" s="761" t="s">
        <v>145</v>
      </c>
      <c r="B3397" s="762">
        <f>(R3396+T3396)</f>
        <v>0</v>
      </c>
      <c r="C3397" s="763"/>
      <c r="D3397" s="763"/>
      <c r="E3397" s="763"/>
      <c r="F3397" s="764"/>
      <c r="G3397" s="763" t="s">
        <v>146</v>
      </c>
      <c r="H3397" s="763"/>
      <c r="I3397" s="765"/>
      <c r="J3397" s="763"/>
      <c r="K3397" s="763" t="s">
        <v>3</v>
      </c>
      <c r="L3397" s="766" t="s">
        <v>143</v>
      </c>
      <c r="M3397" s="766"/>
      <c r="N3397" s="766"/>
      <c r="O3397" s="766"/>
      <c r="P3397" s="766"/>
      <c r="Q3397" s="767"/>
      <c r="R3397" s="768">
        <f ca="1">SUM(R3393:R3396)</f>
        <v>536.01499999999999</v>
      </c>
      <c r="S3397" s="763"/>
      <c r="T3397" s="768">
        <f ca="1">SUM(T3393:T3396)</f>
        <v>34.270000000000003</v>
      </c>
      <c r="U3397" s="531"/>
      <c r="V3397" s="531"/>
      <c r="W3397" s="531"/>
      <c r="X3397" s="531"/>
      <c r="Y3397" s="531"/>
      <c r="Z3397" s="531"/>
      <c r="AA3397" s="531"/>
      <c r="AB3397" s="531"/>
      <c r="AC3397" s="531"/>
      <c r="AD3397" s="531"/>
      <c r="AE3397" s="531"/>
      <c r="AF3397" s="531"/>
      <c r="AG3397" s="531"/>
      <c r="AH3397" s="531"/>
      <c r="AI3397" s="531"/>
      <c r="AJ3397" s="531"/>
      <c r="AK3397" s="531"/>
      <c r="AL3397" s="531"/>
      <c r="AM3397" s="531"/>
      <c r="AN3397" s="531"/>
      <c r="AO3397" s="531"/>
      <c r="AR3397" s="761" t="s">
        <v>145</v>
      </c>
      <c r="AS3397" s="764"/>
    </row>
    <row r="3398" spans="1:45" s="520" customFormat="1" ht="12" thickTop="1">
      <c r="A3398" s="51"/>
      <c r="B3398" s="41"/>
      <c r="C3398" s="51"/>
      <c r="E3398" s="42" t="s">
        <v>138</v>
      </c>
      <c r="F3398" s="42" t="s">
        <v>139</v>
      </c>
      <c r="G3398" s="51"/>
      <c r="H3398" s="51"/>
      <c r="I3398" s="51"/>
      <c r="J3398" s="51"/>
      <c r="K3398" s="51" t="s">
        <v>140</v>
      </c>
      <c r="L3398" s="51"/>
      <c r="M3398" s="51"/>
      <c r="N3398" s="51"/>
      <c r="O3398" s="52"/>
      <c r="P3398" s="51"/>
      <c r="Q3398" s="51"/>
      <c r="R3398" s="51"/>
      <c r="S3398" s="51"/>
      <c r="T3398" s="41"/>
      <c r="AG3398" s="521" t="s">
        <v>268</v>
      </c>
      <c r="AH3398" s="521" t="s">
        <v>269</v>
      </c>
      <c r="AI3398" s="521" t="s">
        <v>270</v>
      </c>
      <c r="AJ3398" s="521" t="s">
        <v>271</v>
      </c>
      <c r="AK3398" s="521" t="s">
        <v>272</v>
      </c>
      <c r="AM3398" s="745" t="s">
        <v>281</v>
      </c>
      <c r="AN3398" s="746" t="s">
        <v>282</v>
      </c>
      <c r="AO3398" s="522" t="s">
        <v>278</v>
      </c>
      <c r="AR3398" s="51"/>
      <c r="AS3398" s="42" t="s">
        <v>139</v>
      </c>
    </row>
    <row r="3399" spans="1:45" s="520" customFormat="1" ht="12" customHeight="1">
      <c r="A3399" s="747">
        <v>1</v>
      </c>
      <c r="B3399" s="523" t="s">
        <v>141</v>
      </c>
      <c r="C3399" s="748"/>
      <c r="D3399" s="749" t="s">
        <v>1654</v>
      </c>
      <c r="E3399" s="750">
        <f ca="1">IF(AND($A3399=0,$A$1="DIF"),0, ROUND(ROUND(($R3404*$S$2+($T3404*$T$2))/A3399,2)*$C$2,2))</f>
        <v>869.85</v>
      </c>
      <c r="F3399" s="751">
        <f ca="1">ROUND($A3399*$E3399,2)</f>
        <v>869.85</v>
      </c>
      <c r="G3399" s="752" t="s">
        <v>142</v>
      </c>
      <c r="H3399" s="753"/>
      <c r="I3399" s="754"/>
      <c r="J3399" s="753"/>
      <c r="K3399" s="753" t="s">
        <v>3</v>
      </c>
      <c r="L3399" s="755" t="s">
        <v>143</v>
      </c>
      <c r="M3399" s="755"/>
      <c r="N3399" s="755"/>
      <c r="O3399" s="755"/>
      <c r="P3399" s="755"/>
      <c r="Q3399" s="51"/>
      <c r="T3399" s="756" t="str">
        <f ca="1">IF(AND($R3404=0,$T3404=0),"0.00","mu :" &amp; ROUND($F3399/$C$2/($R3404+$T3404*$D$9),2))</f>
        <v>mu :1.23</v>
      </c>
      <c r="W3399" s="524"/>
      <c r="AG3399" s="481">
        <f ca="1">IF($E3399=0,0,ROUND($R3404*$S$2*$C$2/$A3399,2))</f>
        <v>315.66000000000003</v>
      </c>
      <c r="AH3399" s="481">
        <f ca="1">$AG3399*$A3399</f>
        <v>315.66000000000003</v>
      </c>
      <c r="AI3399" s="525">
        <f ca="1">$E3399-$AG3399</f>
        <v>554.19000000000005</v>
      </c>
      <c r="AJ3399" s="525">
        <f ca="1">$A3399*$AI3399</f>
        <v>554.19000000000005</v>
      </c>
      <c r="AK3399" s="526">
        <f ca="1">ROUND(($AG3399+$AI3399)*$A3399,2)</f>
        <v>869.85</v>
      </c>
      <c r="AM3399" s="527">
        <f ca="1">ROUND(R3404,2)</f>
        <v>256.36</v>
      </c>
      <c r="AN3399" s="528">
        <f ca="1">ROUND(T3404,2)</f>
        <v>16.39</v>
      </c>
      <c r="AO3399" s="529">
        <f ca="1">ROUND(AM3399+AN3399,2)*A3399</f>
        <v>272.75</v>
      </c>
      <c r="AR3399" s="747">
        <v>1</v>
      </c>
      <c r="AS3399" s="751">
        <v>931.22</v>
      </c>
    </row>
    <row r="3400" spans="1:45" s="520" customFormat="1" ht="13.2">
      <c r="A3400" s="748"/>
      <c r="B3400"/>
      <c r="C3400" s="748"/>
      <c r="D3400" s="749" t="s">
        <v>802</v>
      </c>
      <c r="F3400" s="753"/>
      <c r="G3400" s="3"/>
      <c r="H3400" s="753"/>
      <c r="I3400" s="754"/>
      <c r="J3400" s="753"/>
      <c r="K3400" s="753" t="s">
        <v>144</v>
      </c>
      <c r="L3400" s="753"/>
      <c r="M3400" s="753"/>
      <c r="N3400" s="753"/>
      <c r="O3400" s="753"/>
      <c r="P3400" s="753"/>
      <c r="Q3400" s="51"/>
      <c r="R3400" s="530"/>
      <c r="S3400" s="757"/>
      <c r="T3400" s="753"/>
      <c r="AR3400" s="748"/>
      <c r="AS3400" s="753"/>
    </row>
    <row r="3401" spans="1:45" s="886" customFormat="1" ht="13.2">
      <c r="A3401"/>
      <c r="B3401" s="910"/>
      <c r="C3401" s="910" t="s">
        <v>2597</v>
      </c>
      <c r="D3401" s="910" t="str">
        <f ca="1">CELL("Address",Elec_Rates!D$46)</f>
        <v>[E25_0062_Quintano_Foods_Elec_ELV_As_Awarded.xlsx]Elec_Rates!$D$46</v>
      </c>
      <c r="E3401" s="911"/>
      <c r="F3401" s="911"/>
      <c r="G3401" s="912" t="s">
        <v>2598</v>
      </c>
      <c r="H3401" s="912"/>
      <c r="I3401" s="912"/>
      <c r="J3401" s="912"/>
      <c r="K3401" s="913"/>
      <c r="L3401" s="911"/>
      <c r="M3401" s="911"/>
      <c r="N3401" s="911"/>
      <c r="O3401" s="914"/>
      <c r="P3401" s="911"/>
      <c r="Q3401" s="915"/>
      <c r="R3401" s="916"/>
      <c r="S3401" s="915"/>
      <c r="T3401" s="917"/>
      <c r="U3401" s="918"/>
      <c r="AR3401"/>
      <c r="AS3401" s="911"/>
    </row>
    <row r="3402" spans="1:45" s="886" customFormat="1" ht="11.4">
      <c r="A3402" s="919">
        <v>1</v>
      </c>
      <c r="B3402" s="920">
        <f>4+1.5</f>
        <v>5.5</v>
      </c>
      <c r="C3402" s="920">
        <f>$A3402*$B3402</f>
        <v>5.5</v>
      </c>
      <c r="D3402" s="921" t="str">
        <f>Elec_Rates!$D$46</f>
        <v>004# Light point rate (Galvanised Conduit)</v>
      </c>
      <c r="E3402" s="921" t="s">
        <v>2971</v>
      </c>
      <c r="F3402" s="918"/>
      <c r="G3402" s="922" t="s">
        <v>2878</v>
      </c>
      <c r="H3402" s="922"/>
      <c r="I3402" s="922"/>
      <c r="J3402" s="922"/>
      <c r="K3402" s="923"/>
      <c r="L3402" s="918"/>
      <c r="M3402" s="918"/>
      <c r="N3402" s="918"/>
      <c r="O3402" s="924"/>
      <c r="P3402" s="921"/>
      <c r="Q3402" s="925">
        <f ca="1">$B3402*Elec_Rates!$R$46</f>
        <v>256.35500000000002</v>
      </c>
      <c r="R3402" s="916">
        <f ca="1">$A3402*Q3402</f>
        <v>256.35500000000002</v>
      </c>
      <c r="S3402" s="925">
        <f ca="1">$B3402*Elec_Rates!$T$46</f>
        <v>16.39</v>
      </c>
      <c r="T3402" s="917">
        <f ca="1">$A3402*S3402</f>
        <v>16.39</v>
      </c>
      <c r="U3402" s="926"/>
      <c r="AR3402" s="919">
        <v>1</v>
      </c>
      <c r="AS3402" s="918"/>
    </row>
    <row r="3403" spans="1:45" s="520" customFormat="1" ht="12">
      <c r="A3403" s="758"/>
      <c r="B3403" s="758"/>
      <c r="C3403" s="758"/>
      <c r="D3403" s="758"/>
      <c r="E3403" s="758"/>
      <c r="F3403" s="753"/>
      <c r="G3403" s="758"/>
      <c r="H3403" s="758"/>
      <c r="I3403" s="519"/>
      <c r="J3403" s="758"/>
      <c r="K3403" s="758"/>
      <c r="L3403" s="758"/>
      <c r="M3403" s="758"/>
      <c r="N3403" s="758"/>
      <c r="O3403" s="758"/>
      <c r="P3403" s="758"/>
      <c r="Q3403" s="519"/>
      <c r="R3403" s="759">
        <f>$A3403*Q3403</f>
        <v>0</v>
      </c>
      <c r="S3403" s="519"/>
      <c r="T3403" s="760">
        <f>$A3403*S3403*$T$1</f>
        <v>0</v>
      </c>
      <c r="AR3403" s="758"/>
      <c r="AS3403" s="753"/>
    </row>
    <row r="3404" spans="1:45" s="520" customFormat="1" ht="12.6" thickBot="1">
      <c r="A3404" s="761" t="s">
        <v>145</v>
      </c>
      <c r="B3404" s="762">
        <f>(R3403+T3403)</f>
        <v>0</v>
      </c>
      <c r="C3404" s="763"/>
      <c r="D3404" s="763"/>
      <c r="E3404" s="763"/>
      <c r="F3404" s="764"/>
      <c r="G3404" s="763" t="s">
        <v>146</v>
      </c>
      <c r="H3404" s="763"/>
      <c r="I3404" s="765"/>
      <c r="J3404" s="763"/>
      <c r="K3404" s="763" t="s">
        <v>3</v>
      </c>
      <c r="L3404" s="766" t="s">
        <v>143</v>
      </c>
      <c r="M3404" s="766"/>
      <c r="N3404" s="766"/>
      <c r="O3404" s="766"/>
      <c r="P3404" s="766"/>
      <c r="Q3404" s="767"/>
      <c r="R3404" s="768">
        <f ca="1">SUM(R3400:R3403)</f>
        <v>256.35500000000002</v>
      </c>
      <c r="S3404" s="763"/>
      <c r="T3404" s="768">
        <f ca="1">SUM(T3400:T3403)</f>
        <v>16.39</v>
      </c>
      <c r="U3404" s="531"/>
      <c r="V3404" s="531"/>
      <c r="W3404" s="531"/>
      <c r="X3404" s="531"/>
      <c r="Y3404" s="531"/>
      <c r="Z3404" s="531"/>
      <c r="AA3404" s="531"/>
      <c r="AB3404" s="531"/>
      <c r="AC3404" s="531"/>
      <c r="AD3404" s="531"/>
      <c r="AE3404" s="531"/>
      <c r="AF3404" s="531"/>
      <c r="AG3404" s="531"/>
      <c r="AH3404" s="531"/>
      <c r="AI3404" s="531"/>
      <c r="AJ3404" s="531"/>
      <c r="AK3404" s="531"/>
      <c r="AL3404" s="531"/>
      <c r="AM3404" s="531"/>
      <c r="AN3404" s="531"/>
      <c r="AO3404" s="531"/>
      <c r="AR3404" s="761" t="s">
        <v>145</v>
      </c>
      <c r="AS3404" s="764"/>
    </row>
    <row r="3405" spans="1:45" s="520" customFormat="1" ht="12" thickTop="1">
      <c r="A3405" s="51"/>
      <c r="B3405" s="41"/>
      <c r="C3405" s="51"/>
      <c r="E3405" s="42" t="s">
        <v>138</v>
      </c>
      <c r="F3405" s="42" t="s">
        <v>139</v>
      </c>
      <c r="G3405" s="51"/>
      <c r="H3405" s="51"/>
      <c r="I3405" s="51"/>
      <c r="J3405" s="51"/>
      <c r="K3405" s="51" t="s">
        <v>140</v>
      </c>
      <c r="L3405" s="51"/>
      <c r="M3405" s="51"/>
      <c r="N3405" s="51"/>
      <c r="O3405" s="52"/>
      <c r="P3405" s="51"/>
      <c r="Q3405" s="51"/>
      <c r="R3405" s="51"/>
      <c r="S3405" s="51"/>
      <c r="T3405" s="41"/>
      <c r="AG3405" s="521" t="s">
        <v>268</v>
      </c>
      <c r="AH3405" s="521" t="s">
        <v>269</v>
      </c>
      <c r="AI3405" s="521" t="s">
        <v>270</v>
      </c>
      <c r="AJ3405" s="521" t="s">
        <v>271</v>
      </c>
      <c r="AK3405" s="521" t="s">
        <v>272</v>
      </c>
      <c r="AM3405" s="745" t="s">
        <v>281</v>
      </c>
      <c r="AN3405" s="746" t="s">
        <v>282</v>
      </c>
      <c r="AO3405" s="522" t="s">
        <v>278</v>
      </c>
      <c r="AR3405" s="51"/>
      <c r="AS3405" s="42" t="s">
        <v>139</v>
      </c>
    </row>
    <row r="3406" spans="1:45" s="520" customFormat="1" ht="12" customHeight="1">
      <c r="A3406" s="747">
        <v>18</v>
      </c>
      <c r="B3406" s="523" t="s">
        <v>141</v>
      </c>
      <c r="C3406" s="748"/>
      <c r="D3406" s="749" t="s">
        <v>1655</v>
      </c>
      <c r="E3406" s="750">
        <f>IF(AND($A3406=0,$A$1="DIF"),0, ROUND(ROUND(($R3414*$S$2+($T3414*$T$2))/A3406,2)*$C$2,2))</f>
        <v>0</v>
      </c>
      <c r="F3406" s="751">
        <f>ROUND($A3406*$E3406,2)</f>
        <v>0</v>
      </c>
      <c r="G3406" s="752" t="s">
        <v>142</v>
      </c>
      <c r="H3406" s="753"/>
      <c r="I3406" s="754"/>
      <c r="J3406" s="753"/>
      <c r="K3406" s="753" t="s">
        <v>3</v>
      </c>
      <c r="L3406" s="755" t="s">
        <v>143</v>
      </c>
      <c r="M3406" s="755"/>
      <c r="N3406" s="755"/>
      <c r="O3406" s="755"/>
      <c r="P3406" s="755"/>
      <c r="Q3406" s="53" t="s">
        <v>2895</v>
      </c>
      <c r="T3406" s="756" t="str">
        <f>IF(AND($R3414=0,$T3414=0),"0.00","mu :" &amp; ROUND($F3406/$C$2/($R3414+$T3414*$D$9),2))</f>
        <v>0.00</v>
      </c>
      <c r="W3406" s="524"/>
      <c r="AG3406" s="481">
        <f>IF($E3406=0,0,ROUND($R3414*$S$2*$C$2/$A3406,2))</f>
        <v>0</v>
      </c>
      <c r="AH3406" s="481">
        <f>$AG3406*$A3406</f>
        <v>0</v>
      </c>
      <c r="AI3406" s="525">
        <f>$E3406-$AG3406</f>
        <v>0</v>
      </c>
      <c r="AJ3406" s="525">
        <f>$A3406*$AI3406</f>
        <v>0</v>
      </c>
      <c r="AK3406" s="526">
        <f>ROUND(($AG3406+$AI3406)*$A3406,2)</f>
        <v>0</v>
      </c>
      <c r="AM3406" s="527">
        <f>ROUND(R3414,2)</f>
        <v>0</v>
      </c>
      <c r="AN3406" s="528">
        <f>ROUND(T3414,2)</f>
        <v>0</v>
      </c>
      <c r="AO3406" s="529">
        <f>ROUND(AM3406+AN3406,2)*A3406</f>
        <v>0</v>
      </c>
      <c r="AR3406" s="747">
        <v>18</v>
      </c>
      <c r="AS3406" s="751">
        <v>0</v>
      </c>
    </row>
    <row r="3407" spans="1:45" s="520" customFormat="1" ht="13.2">
      <c r="A3407" s="748"/>
      <c r="B3407"/>
      <c r="C3407" s="748"/>
      <c r="D3407" s="749" t="s">
        <v>776</v>
      </c>
      <c r="F3407" s="753"/>
      <c r="G3407" s="3"/>
      <c r="H3407" s="753"/>
      <c r="I3407" s="754"/>
      <c r="J3407" s="753"/>
      <c r="K3407" s="753" t="s">
        <v>144</v>
      </c>
      <c r="L3407" s="753"/>
      <c r="M3407" s="753"/>
      <c r="N3407" s="753"/>
      <c r="O3407" s="753"/>
      <c r="P3407" s="753"/>
      <c r="Q3407" s="51"/>
      <c r="R3407" s="530"/>
      <c r="S3407" s="757"/>
      <c r="T3407" s="753"/>
      <c r="AR3407" s="748"/>
      <c r="AS3407" s="753"/>
    </row>
    <row r="3408" spans="1:45" s="520" customFormat="1" ht="12">
      <c r="A3408" s="51"/>
      <c r="B3408" s="758"/>
      <c r="C3408" s="758"/>
      <c r="D3408" s="1061" t="s">
        <v>3253</v>
      </c>
      <c r="E3408" s="758"/>
      <c r="F3408" s="753"/>
      <c r="G3408" s="758"/>
      <c r="H3408" s="758"/>
      <c r="I3408" s="519"/>
      <c r="J3408" s="758"/>
      <c r="K3408" s="758"/>
      <c r="L3408" s="758"/>
      <c r="M3408" s="758"/>
      <c r="N3408" s="758"/>
      <c r="O3408" s="758"/>
      <c r="P3408" s="758"/>
      <c r="Q3408" s="519"/>
      <c r="R3408" s="759">
        <f t="shared" ref="R3408:R3413" si="108">$A3408*Q3408</f>
        <v>0</v>
      </c>
      <c r="S3408" s="519"/>
      <c r="T3408" s="760">
        <f t="shared" ref="T3408:T3413" si="109">$A3408*S3408*$T$1</f>
        <v>0</v>
      </c>
      <c r="AR3408" s="51"/>
      <c r="AS3408" s="753"/>
    </row>
    <row r="3409" spans="1:45" s="520" customFormat="1" ht="12">
      <c r="A3409" s="51"/>
      <c r="B3409" s="758"/>
      <c r="C3409" s="758"/>
      <c r="D3409" s="758"/>
      <c r="E3409" s="758"/>
      <c r="F3409" s="753"/>
      <c r="G3409" s="758"/>
      <c r="H3409" s="758"/>
      <c r="I3409" s="519"/>
      <c r="J3409" s="758"/>
      <c r="K3409" s="758"/>
      <c r="L3409" s="758"/>
      <c r="M3409" s="758"/>
      <c r="N3409" s="758"/>
      <c r="O3409" s="758"/>
      <c r="P3409" s="758"/>
      <c r="Q3409" s="519"/>
      <c r="R3409" s="759">
        <f t="shared" si="108"/>
        <v>0</v>
      </c>
      <c r="S3409" s="519"/>
      <c r="T3409" s="760">
        <f t="shared" si="109"/>
        <v>0</v>
      </c>
      <c r="AR3409" s="51"/>
      <c r="AS3409" s="753"/>
    </row>
    <row r="3410" spans="1:45" s="520" customFormat="1" ht="12">
      <c r="A3410" s="51"/>
      <c r="B3410" s="758"/>
      <c r="C3410" s="758"/>
      <c r="D3410" s="758"/>
      <c r="E3410" s="758"/>
      <c r="F3410" s="753"/>
      <c r="G3410" s="758"/>
      <c r="H3410" s="758"/>
      <c r="I3410" s="519"/>
      <c r="J3410" s="758"/>
      <c r="K3410" s="758"/>
      <c r="L3410" s="758"/>
      <c r="M3410" s="758"/>
      <c r="N3410" s="758"/>
      <c r="O3410" s="758"/>
      <c r="P3410" s="758"/>
      <c r="Q3410" s="519"/>
      <c r="R3410" s="759">
        <f t="shared" si="108"/>
        <v>0</v>
      </c>
      <c r="S3410" s="519"/>
      <c r="T3410" s="760">
        <f t="shared" si="109"/>
        <v>0</v>
      </c>
      <c r="AR3410" s="51"/>
      <c r="AS3410" s="753"/>
    </row>
    <row r="3411" spans="1:45" s="520" customFormat="1" ht="12">
      <c r="A3411" s="51"/>
      <c r="B3411" s="758"/>
      <c r="C3411" s="758"/>
      <c r="D3411" s="758"/>
      <c r="E3411" s="758"/>
      <c r="F3411" s="753"/>
      <c r="G3411" s="758"/>
      <c r="H3411" s="758"/>
      <c r="I3411" s="519"/>
      <c r="J3411" s="758"/>
      <c r="K3411" s="758"/>
      <c r="L3411" s="758"/>
      <c r="M3411" s="758"/>
      <c r="N3411" s="758"/>
      <c r="O3411" s="758"/>
      <c r="P3411" s="758"/>
      <c r="Q3411" s="519"/>
      <c r="R3411" s="759">
        <f t="shared" si="108"/>
        <v>0</v>
      </c>
      <c r="S3411" s="519"/>
      <c r="T3411" s="760">
        <f t="shared" si="109"/>
        <v>0</v>
      </c>
      <c r="AR3411" s="51"/>
      <c r="AS3411" s="753"/>
    </row>
    <row r="3412" spans="1:45" s="520" customFormat="1" ht="12">
      <c r="A3412" s="51"/>
      <c r="B3412" s="758"/>
      <c r="C3412" s="758"/>
      <c r="D3412" s="758"/>
      <c r="E3412" s="758"/>
      <c r="F3412" s="753"/>
      <c r="G3412" s="758"/>
      <c r="H3412" s="758"/>
      <c r="I3412" s="519"/>
      <c r="J3412" s="758"/>
      <c r="K3412" s="758"/>
      <c r="L3412" s="758"/>
      <c r="M3412" s="758"/>
      <c r="N3412" s="758"/>
      <c r="O3412" s="758"/>
      <c r="P3412" s="758"/>
      <c r="Q3412" s="519"/>
      <c r="R3412" s="759">
        <f t="shared" si="108"/>
        <v>0</v>
      </c>
      <c r="S3412" s="519"/>
      <c r="T3412" s="760">
        <f t="shared" si="109"/>
        <v>0</v>
      </c>
      <c r="AR3412" s="51"/>
      <c r="AS3412" s="753"/>
    </row>
    <row r="3413" spans="1:45" s="520" customFormat="1" ht="12">
      <c r="A3413" s="758"/>
      <c r="B3413" s="758"/>
      <c r="C3413" s="758"/>
      <c r="D3413" s="758"/>
      <c r="E3413" s="758"/>
      <c r="F3413" s="753"/>
      <c r="G3413" s="758"/>
      <c r="H3413" s="758"/>
      <c r="I3413" s="519"/>
      <c r="J3413" s="758"/>
      <c r="K3413" s="758"/>
      <c r="L3413" s="758"/>
      <c r="M3413" s="758"/>
      <c r="N3413" s="758"/>
      <c r="O3413" s="758"/>
      <c r="P3413" s="758"/>
      <c r="Q3413" s="519"/>
      <c r="R3413" s="759">
        <f t="shared" si="108"/>
        <v>0</v>
      </c>
      <c r="S3413" s="519"/>
      <c r="T3413" s="760">
        <f t="shared" si="109"/>
        <v>0</v>
      </c>
      <c r="AR3413" s="758"/>
      <c r="AS3413" s="753"/>
    </row>
    <row r="3414" spans="1:45" s="520" customFormat="1" ht="12.6" thickBot="1">
      <c r="A3414" s="761" t="s">
        <v>145</v>
      </c>
      <c r="B3414" s="762">
        <f>(R3413+T3413)</f>
        <v>0</v>
      </c>
      <c r="C3414" s="763"/>
      <c r="D3414" s="763"/>
      <c r="E3414" s="763"/>
      <c r="F3414" s="764"/>
      <c r="G3414" s="763" t="s">
        <v>146</v>
      </c>
      <c r="H3414" s="763"/>
      <c r="I3414" s="765"/>
      <c r="J3414" s="763"/>
      <c r="K3414" s="763" t="s">
        <v>3</v>
      </c>
      <c r="L3414" s="766" t="s">
        <v>143</v>
      </c>
      <c r="M3414" s="766"/>
      <c r="N3414" s="766"/>
      <c r="O3414" s="766"/>
      <c r="P3414" s="766"/>
      <c r="Q3414" s="767"/>
      <c r="R3414" s="768">
        <f>SUM(R3407:R3413)</f>
        <v>0</v>
      </c>
      <c r="S3414" s="763"/>
      <c r="T3414" s="768">
        <f>SUM(T3407:T3413)</f>
        <v>0</v>
      </c>
      <c r="U3414" s="531"/>
      <c r="V3414" s="531"/>
      <c r="W3414" s="531"/>
      <c r="X3414" s="531"/>
      <c r="Y3414" s="531"/>
      <c r="Z3414" s="531"/>
      <c r="AA3414" s="531"/>
      <c r="AB3414" s="531"/>
      <c r="AC3414" s="531"/>
      <c r="AD3414" s="531"/>
      <c r="AE3414" s="531"/>
      <c r="AF3414" s="531"/>
      <c r="AG3414" s="531"/>
      <c r="AH3414" s="531"/>
      <c r="AI3414" s="531"/>
      <c r="AJ3414" s="531"/>
      <c r="AK3414" s="531"/>
      <c r="AL3414" s="531"/>
      <c r="AM3414" s="531"/>
      <c r="AN3414" s="531"/>
      <c r="AO3414" s="531"/>
      <c r="AR3414" s="761" t="s">
        <v>145</v>
      </c>
      <c r="AS3414" s="764"/>
    </row>
    <row r="3415" spans="1:45" s="520" customFormat="1" ht="12" thickTop="1">
      <c r="A3415" s="51"/>
      <c r="B3415" s="41"/>
      <c r="C3415" s="51"/>
      <c r="E3415" s="42" t="s">
        <v>138</v>
      </c>
      <c r="F3415" s="42" t="s">
        <v>139</v>
      </c>
      <c r="G3415" s="51"/>
      <c r="H3415" s="51"/>
      <c r="I3415" s="51"/>
      <c r="J3415" s="51"/>
      <c r="K3415" s="51" t="s">
        <v>140</v>
      </c>
      <c r="L3415" s="51"/>
      <c r="M3415" s="51"/>
      <c r="N3415" s="51"/>
      <c r="O3415" s="52"/>
      <c r="P3415" s="51"/>
      <c r="Q3415" s="51"/>
      <c r="R3415" s="51"/>
      <c r="S3415" s="51"/>
      <c r="T3415" s="41"/>
      <c r="AG3415" s="521" t="s">
        <v>268</v>
      </c>
      <c r="AH3415" s="521" t="s">
        <v>269</v>
      </c>
      <c r="AI3415" s="521" t="s">
        <v>270</v>
      </c>
      <c r="AJ3415" s="521" t="s">
        <v>271</v>
      </c>
      <c r="AK3415" s="521" t="s">
        <v>272</v>
      </c>
      <c r="AM3415" s="745" t="s">
        <v>281</v>
      </c>
      <c r="AN3415" s="746" t="s">
        <v>282</v>
      </c>
      <c r="AO3415" s="522" t="s">
        <v>278</v>
      </c>
      <c r="AR3415" s="51"/>
      <c r="AS3415" s="42" t="s">
        <v>139</v>
      </c>
    </row>
    <row r="3416" spans="1:45" s="520" customFormat="1" ht="12" customHeight="1">
      <c r="A3416" s="747">
        <v>8</v>
      </c>
      <c r="B3416" s="523" t="s">
        <v>141</v>
      </c>
      <c r="C3416" s="748"/>
      <c r="D3416" s="749" t="s">
        <v>1656</v>
      </c>
      <c r="E3416" s="750">
        <f ca="1">IF(AND($A3416=0,$A$1="DIF"),0, ROUND(ROUND(($R3421*$S$2+($T3421*$T$2))/A3416,2)*$C$2,2))</f>
        <v>151.94</v>
      </c>
      <c r="F3416" s="751">
        <f ca="1">ROUND($A3416*$E3416,2)</f>
        <v>1215.52</v>
      </c>
      <c r="G3416" s="752" t="s">
        <v>142</v>
      </c>
      <c r="H3416" s="753"/>
      <c r="I3416" s="754"/>
      <c r="J3416" s="753"/>
      <c r="K3416" s="753" t="s">
        <v>3</v>
      </c>
      <c r="L3416" s="755" t="s">
        <v>143</v>
      </c>
      <c r="M3416" s="755"/>
      <c r="N3416" s="755"/>
      <c r="O3416" s="755"/>
      <c r="P3416" s="755"/>
      <c r="Q3416" s="51"/>
      <c r="T3416" s="756" t="str">
        <f ca="1">IF(AND($R3421=0,$T3421=0),"0.00","mu :" &amp; ROUND($F3416/$C$2/($R3421+$T3421*$D$9),2))</f>
        <v>mu :1.23</v>
      </c>
      <c r="W3416" s="524"/>
      <c r="AG3416" s="481">
        <f ca="1">IF($E3416=0,0,ROUND($R3421*$S$2*$C$2/$A3416,2))</f>
        <v>54.89</v>
      </c>
      <c r="AH3416" s="481">
        <f ca="1">$AG3416*$A3416</f>
        <v>439.12</v>
      </c>
      <c r="AI3416" s="525">
        <f ca="1">$E3416-$AG3416</f>
        <v>97.05</v>
      </c>
      <c r="AJ3416" s="525">
        <f ca="1">$A3416*$AI3416</f>
        <v>776.4</v>
      </c>
      <c r="AK3416" s="526">
        <f ca="1">ROUND(($AG3416+$AI3416)*$A3416,2)</f>
        <v>1215.52</v>
      </c>
      <c r="AM3416" s="527">
        <f ca="1">ROUND(R3421,2)</f>
        <v>356.64</v>
      </c>
      <c r="AN3416" s="528">
        <f ca="1">ROUND(T3421,2)</f>
        <v>22.96</v>
      </c>
      <c r="AO3416" s="529">
        <f ca="1">ROUND(AM3416+AN3416,2)*A3416</f>
        <v>3036.8</v>
      </c>
      <c r="AR3416" s="747">
        <v>8</v>
      </c>
      <c r="AS3416" s="751">
        <v>1299.3599999999999</v>
      </c>
    </row>
    <row r="3417" spans="1:45" s="520" customFormat="1" ht="13.2">
      <c r="A3417" s="748"/>
      <c r="B3417"/>
      <c r="C3417" s="748"/>
      <c r="D3417" s="749" t="s">
        <v>777</v>
      </c>
      <c r="F3417" s="753"/>
      <c r="G3417" s="3"/>
      <c r="H3417" s="753"/>
      <c r="I3417" s="754"/>
      <c r="J3417" s="753"/>
      <c r="K3417" s="753" t="s">
        <v>144</v>
      </c>
      <c r="L3417" s="753"/>
      <c r="M3417" s="753"/>
      <c r="N3417" s="753"/>
      <c r="O3417" s="753"/>
      <c r="P3417" s="753"/>
      <c r="Q3417" s="51"/>
      <c r="R3417" s="530"/>
      <c r="S3417" s="757"/>
      <c r="T3417" s="753"/>
      <c r="AR3417" s="748"/>
      <c r="AS3417" s="753"/>
    </row>
    <row r="3418" spans="1:45" s="886" customFormat="1" ht="13.2">
      <c r="A3418"/>
      <c r="B3418" s="910"/>
      <c r="C3418" s="910" t="s">
        <v>2597</v>
      </c>
      <c r="D3418" s="910" t="str">
        <f ca="1">CELL("Address",Elec_Rates!D$103)</f>
        <v>[E25_0062_Quintano_Foods_Elec_ELV_As_Awarded.xlsx]Elec_Rates!$D$103</v>
      </c>
      <c r="E3418" s="911"/>
      <c r="F3418" s="911"/>
      <c r="G3418" s="912" t="s">
        <v>2598</v>
      </c>
      <c r="H3418" s="912"/>
      <c r="I3418" s="912"/>
      <c r="J3418" s="912"/>
      <c r="K3418" s="913"/>
      <c r="L3418" s="911"/>
      <c r="M3418" s="911"/>
      <c r="N3418" s="911"/>
      <c r="O3418" s="914"/>
      <c r="P3418" s="911"/>
      <c r="Q3418" s="915"/>
      <c r="R3418" s="916"/>
      <c r="S3418" s="915"/>
      <c r="T3418" s="917"/>
      <c r="U3418" s="918"/>
      <c r="AR3418"/>
      <c r="AS3418" s="911"/>
    </row>
    <row r="3419" spans="1:45" s="886" customFormat="1" ht="11.4">
      <c r="A3419" s="919">
        <v>8</v>
      </c>
      <c r="B3419" s="920">
        <v>1</v>
      </c>
      <c r="C3419" s="920">
        <f>$A3419*$B3419</f>
        <v>8</v>
      </c>
      <c r="D3419" s="921" t="str">
        <f>Elec_Rates!$D$103</f>
        <v>008# Maintained Emergency Light point rate (Galvanised Conduit)</v>
      </c>
      <c r="E3419" s="921"/>
      <c r="F3419" s="921" t="s">
        <v>2599</v>
      </c>
      <c r="G3419" s="922" t="s">
        <v>2600</v>
      </c>
      <c r="H3419" s="922"/>
      <c r="I3419" s="922"/>
      <c r="J3419" s="922"/>
      <c r="K3419" s="923"/>
      <c r="L3419" s="918"/>
      <c r="M3419" s="918"/>
      <c r="N3419" s="918"/>
      <c r="O3419" s="924"/>
      <c r="P3419" s="921"/>
      <c r="Q3419" s="925">
        <f ca="1">$B3419*Elec_Rates!$R$103</f>
        <v>44.58</v>
      </c>
      <c r="R3419" s="916">
        <f ca="1">$A3419*Q3419</f>
        <v>356.64</v>
      </c>
      <c r="S3419" s="925">
        <f ca="1">$B3419*Elec_Rates!$T$103</f>
        <v>2.87</v>
      </c>
      <c r="T3419" s="917">
        <f ca="1">$A3419*S3419</f>
        <v>22.96</v>
      </c>
      <c r="U3419" s="926"/>
      <c r="AR3419" s="919">
        <v>8</v>
      </c>
      <c r="AS3419" s="921" t="s">
        <v>2599</v>
      </c>
    </row>
    <row r="3420" spans="1:45" s="520" customFormat="1" ht="12">
      <c r="A3420" s="758"/>
      <c r="B3420" s="758"/>
      <c r="C3420" s="758"/>
      <c r="D3420" s="758"/>
      <c r="E3420" s="758"/>
      <c r="F3420" s="753"/>
      <c r="G3420" s="758"/>
      <c r="H3420" s="758"/>
      <c r="I3420" s="519"/>
      <c r="J3420" s="758"/>
      <c r="K3420" s="758"/>
      <c r="L3420" s="758"/>
      <c r="M3420" s="758"/>
      <c r="N3420" s="758"/>
      <c r="O3420" s="758"/>
      <c r="P3420" s="758"/>
      <c r="Q3420" s="519"/>
      <c r="R3420" s="759">
        <f>$A3420*Q3420</f>
        <v>0</v>
      </c>
      <c r="S3420" s="519"/>
      <c r="T3420" s="760">
        <f>$A3420*S3420*$T$1</f>
        <v>0</v>
      </c>
      <c r="AR3420" s="758"/>
      <c r="AS3420" s="753"/>
    </row>
    <row r="3421" spans="1:45" s="520" customFormat="1" ht="12.6" thickBot="1">
      <c r="A3421" s="761" t="s">
        <v>145</v>
      </c>
      <c r="B3421" s="762">
        <f>(R3420+T3420)</f>
        <v>0</v>
      </c>
      <c r="C3421" s="763"/>
      <c r="D3421" s="763"/>
      <c r="E3421" s="763"/>
      <c r="F3421" s="764"/>
      <c r="G3421" s="763" t="s">
        <v>146</v>
      </c>
      <c r="H3421" s="763"/>
      <c r="I3421" s="765"/>
      <c r="J3421" s="763"/>
      <c r="K3421" s="763" t="s">
        <v>3</v>
      </c>
      <c r="L3421" s="766" t="s">
        <v>143</v>
      </c>
      <c r="M3421" s="766"/>
      <c r="N3421" s="766"/>
      <c r="O3421" s="766"/>
      <c r="P3421" s="766"/>
      <c r="Q3421" s="767"/>
      <c r="R3421" s="768">
        <f ca="1">SUM(R3417:R3420)</f>
        <v>356.64</v>
      </c>
      <c r="S3421" s="763"/>
      <c r="T3421" s="768">
        <f ca="1">SUM(T3417:T3420)</f>
        <v>22.96</v>
      </c>
      <c r="U3421" s="531"/>
      <c r="V3421" s="531"/>
      <c r="W3421" s="531"/>
      <c r="X3421" s="531"/>
      <c r="Y3421" s="531"/>
      <c r="Z3421" s="531"/>
      <c r="AA3421" s="531"/>
      <c r="AB3421" s="531"/>
      <c r="AC3421" s="531"/>
      <c r="AD3421" s="531"/>
      <c r="AE3421" s="531"/>
      <c r="AF3421" s="531"/>
      <c r="AG3421" s="531"/>
      <c r="AH3421" s="531"/>
      <c r="AI3421" s="531"/>
      <c r="AJ3421" s="531"/>
      <c r="AK3421" s="531"/>
      <c r="AL3421" s="531"/>
      <c r="AM3421" s="531"/>
      <c r="AN3421" s="531"/>
      <c r="AO3421" s="531"/>
      <c r="AR3421" s="761" t="s">
        <v>145</v>
      </c>
      <c r="AS3421" s="764"/>
    </row>
    <row r="3422" spans="1:45" s="520" customFormat="1" thickTop="1">
      <c r="A3422" s="51"/>
      <c r="B3422" s="51"/>
      <c r="C3422" s="3"/>
      <c r="D3422" s="3"/>
      <c r="E3422" s="51"/>
      <c r="F3422" s="51"/>
      <c r="G3422" s="51"/>
      <c r="H3422" s="51"/>
      <c r="I3422" s="51"/>
      <c r="J3422" s="51"/>
      <c r="K3422" s="51" t="s">
        <v>134</v>
      </c>
      <c r="L3422" s="51"/>
      <c r="M3422" s="51"/>
      <c r="N3422" s="51"/>
      <c r="O3422" s="52"/>
      <c r="P3422" s="51"/>
      <c r="Q3422" s="51"/>
      <c r="R3422" s="51"/>
      <c r="S3422" s="51"/>
      <c r="T3422" s="51"/>
      <c r="AR3422" s="51"/>
      <c r="AS3422" s="51"/>
    </row>
    <row r="3423" spans="1:45" s="520" customFormat="1" ht="12">
      <c r="A3423" s="51"/>
      <c r="B3423" s="51"/>
      <c r="C3423" s="51" t="s">
        <v>135</v>
      </c>
      <c r="D3423" s="37"/>
      <c r="E3423" s="51"/>
      <c r="F3423" s="51"/>
      <c r="G3423" s="51"/>
      <c r="H3423" s="51"/>
      <c r="I3423" s="51"/>
      <c r="J3423" s="51"/>
      <c r="K3423" s="51"/>
      <c r="L3423" s="51"/>
      <c r="M3423" s="51"/>
      <c r="N3423" s="51"/>
      <c r="O3423" s="52"/>
      <c r="P3423" s="51"/>
      <c r="Q3423" s="51"/>
      <c r="R3423" s="51"/>
      <c r="S3423" s="51"/>
      <c r="T3423" s="51"/>
      <c r="AR3423" s="51"/>
      <c r="AS3423" s="51"/>
    </row>
    <row r="3424" spans="1:45" s="520" customFormat="1" ht="12">
      <c r="A3424" s="51"/>
      <c r="B3424" s="51"/>
      <c r="C3424" s="51"/>
      <c r="D3424" s="37" t="s">
        <v>778</v>
      </c>
      <c r="E3424" s="51"/>
      <c r="F3424" s="51"/>
      <c r="G3424" s="51"/>
      <c r="H3424" s="51"/>
      <c r="I3424" s="51"/>
      <c r="J3424" s="51"/>
      <c r="K3424" s="51"/>
      <c r="L3424" s="51"/>
      <c r="M3424" s="51"/>
      <c r="N3424" s="51"/>
      <c r="O3424" s="52"/>
      <c r="P3424" s="51"/>
      <c r="Q3424" s="51"/>
      <c r="R3424" s="51"/>
      <c r="S3424" s="38"/>
      <c r="T3424" s="38"/>
      <c r="AR3424" s="51"/>
      <c r="AS3424" s="51"/>
    </row>
    <row r="3425" spans="1:45" s="3" customFormat="1" thickBot="1">
      <c r="A3425" s="531"/>
      <c r="O3425" s="107"/>
      <c r="AR3425" s="531"/>
    </row>
    <row r="3426" spans="1:45" s="520" customFormat="1" ht="12" thickTop="1">
      <c r="A3426" s="51"/>
      <c r="B3426" s="41"/>
      <c r="C3426" s="51"/>
      <c r="E3426" s="42" t="s">
        <v>138</v>
      </c>
      <c r="F3426" s="42" t="s">
        <v>139</v>
      </c>
      <c r="G3426" s="51"/>
      <c r="H3426" s="51"/>
      <c r="I3426" s="51"/>
      <c r="J3426" s="51"/>
      <c r="K3426" s="51" t="s">
        <v>140</v>
      </c>
      <c r="L3426" s="51"/>
      <c r="M3426" s="51"/>
      <c r="N3426" s="51"/>
      <c r="O3426" s="52"/>
      <c r="P3426" s="51"/>
      <c r="Q3426" s="51"/>
      <c r="R3426" s="51"/>
      <c r="S3426" s="51"/>
      <c r="T3426" s="41"/>
      <c r="AG3426" s="521" t="s">
        <v>268</v>
      </c>
      <c r="AH3426" s="521" t="s">
        <v>269</v>
      </c>
      <c r="AI3426" s="521" t="s">
        <v>270</v>
      </c>
      <c r="AJ3426" s="521" t="s">
        <v>271</v>
      </c>
      <c r="AK3426" s="521" t="s">
        <v>272</v>
      </c>
      <c r="AM3426" s="745" t="s">
        <v>281</v>
      </c>
      <c r="AN3426" s="746" t="s">
        <v>282</v>
      </c>
      <c r="AO3426" s="522" t="s">
        <v>278</v>
      </c>
      <c r="AR3426" s="51"/>
      <c r="AS3426" s="42" t="s">
        <v>139</v>
      </c>
    </row>
    <row r="3427" spans="1:45" s="520" customFormat="1" ht="12" customHeight="1">
      <c r="A3427" s="747">
        <v>2</v>
      </c>
      <c r="B3427" s="523" t="s">
        <v>141</v>
      </c>
      <c r="C3427" s="748"/>
      <c r="D3427" s="749" t="s">
        <v>1657</v>
      </c>
      <c r="E3427" s="750">
        <f ca="1">IF(AND($A3427=0,$A$1="DIF"),0, ROUND(ROUND(($R3432*$S$2+($T3432*$T$2))/A3427,2)*$C$2,2))</f>
        <v>48.45</v>
      </c>
      <c r="F3427" s="751">
        <f ca="1">ROUND($A3427*$E3427,2)</f>
        <v>96.9</v>
      </c>
      <c r="G3427" s="752" t="s">
        <v>142</v>
      </c>
      <c r="H3427" s="753"/>
      <c r="I3427" s="754"/>
      <c r="J3427" s="753"/>
      <c r="K3427" s="753" t="s">
        <v>3</v>
      </c>
      <c r="L3427" s="755" t="s">
        <v>143</v>
      </c>
      <c r="M3427" s="755"/>
      <c r="N3427" s="755"/>
      <c r="O3427" s="755"/>
      <c r="P3427" s="755"/>
      <c r="Q3427" s="51"/>
      <c r="T3427" s="756" t="str">
        <f ca="1">IF(AND($R3432=0,$T3432=0),"0.00","mu :" &amp; ROUND($F3427/$C$2/($R3432+$T3432*$D$9),2))</f>
        <v>mu :1.23</v>
      </c>
      <c r="W3427" s="524"/>
      <c r="AG3427" s="481">
        <f ca="1">IF($E3427=0,0,ROUND($R3432*$S$2*$C$2/$A3427,2))</f>
        <v>31.55</v>
      </c>
      <c r="AH3427" s="481">
        <f ca="1">$AG3427*$A3427</f>
        <v>63.1</v>
      </c>
      <c r="AI3427" s="525">
        <f ca="1">$E3427-$AG3427</f>
        <v>16.900000000000002</v>
      </c>
      <c r="AJ3427" s="525">
        <f ca="1">$A3427*$AI3427</f>
        <v>33.800000000000004</v>
      </c>
      <c r="AK3427" s="526">
        <f ca="1">ROUND(($AG3427+$AI3427)*$A3427,2)</f>
        <v>96.9</v>
      </c>
      <c r="AM3427" s="527">
        <f ca="1">ROUND(R3432,2)</f>
        <v>51.24</v>
      </c>
      <c r="AN3427" s="528">
        <f ca="1">ROUND(T3432,2)</f>
        <v>1</v>
      </c>
      <c r="AO3427" s="529">
        <f ca="1">ROUND(AM3427+AN3427,2)*A3427</f>
        <v>104.48</v>
      </c>
      <c r="AR3427" s="747">
        <v>2</v>
      </c>
      <c r="AS3427" s="751">
        <v>100.28</v>
      </c>
    </row>
    <row r="3428" spans="1:45" s="520" customFormat="1" ht="13.2">
      <c r="A3428" s="748"/>
      <c r="B3428"/>
      <c r="C3428" s="748"/>
      <c r="D3428" s="749" t="s">
        <v>779</v>
      </c>
      <c r="F3428" s="753"/>
      <c r="G3428" s="3"/>
      <c r="H3428" s="753"/>
      <c r="I3428" s="754"/>
      <c r="J3428" s="753"/>
      <c r="K3428" s="753" t="s">
        <v>144</v>
      </c>
      <c r="L3428" s="753"/>
      <c r="M3428" s="753"/>
      <c r="N3428" s="753"/>
      <c r="O3428" s="753"/>
      <c r="P3428" s="753"/>
      <c r="Q3428" s="51"/>
      <c r="R3428" s="530"/>
      <c r="S3428" s="757"/>
      <c r="T3428" s="753"/>
      <c r="AR3428" s="748"/>
      <c r="AS3428" s="753"/>
    </row>
    <row r="3429" spans="1:45" s="520" customFormat="1" ht="12">
      <c r="A3429" s="51"/>
      <c r="B3429" s="758"/>
      <c r="C3429" s="753" t="s">
        <v>2597</v>
      </c>
      <c r="D3429" s="753" t="str">
        <f ca="1">CELL("Address",Elec_Rates!$D$192)</f>
        <v>[E25_0062_Quintano_Foods_Elec_ELV_As_Awarded.xlsx]Elec_Rates!$D$192</v>
      </c>
      <c r="E3429" s="758"/>
      <c r="F3429" s="753"/>
      <c r="G3429" s="1049" t="s">
        <v>2598</v>
      </c>
      <c r="H3429" s="1050"/>
      <c r="I3429" s="1051"/>
      <c r="J3429" s="1050"/>
      <c r="K3429" s="1050"/>
      <c r="L3429" s="758"/>
      <c r="M3429" s="758"/>
      <c r="N3429" s="758"/>
      <c r="O3429" s="758"/>
      <c r="P3429" s="758"/>
      <c r="Q3429" s="519"/>
      <c r="R3429" s="759"/>
      <c r="S3429" s="519"/>
      <c r="T3429" s="760"/>
      <c r="AR3429" s="51"/>
      <c r="AS3429" s="753"/>
    </row>
    <row r="3430" spans="1:45" s="520" customFormat="1" ht="11.4">
      <c r="A3430" s="51">
        <v>2</v>
      </c>
      <c r="B3430" s="519">
        <v>1</v>
      </c>
      <c r="C3430" s="519">
        <f>$A3430*$B3430</f>
        <v>2</v>
      </c>
      <c r="D3430" s="1048" t="str">
        <f>Elec_Rates!$D$192</f>
        <v>018# 1-Phase 25/32A Isolator</v>
      </c>
      <c r="E3430" s="1048"/>
      <c r="F3430" s="1048" t="s">
        <v>2733</v>
      </c>
      <c r="G3430" s="1050" t="s">
        <v>2600</v>
      </c>
      <c r="H3430" s="1050"/>
      <c r="I3430" s="1051"/>
      <c r="J3430" s="1050"/>
      <c r="K3430" s="1050"/>
      <c r="L3430" s="758"/>
      <c r="M3430" s="758"/>
      <c r="N3430" s="758"/>
      <c r="O3430" s="758"/>
      <c r="P3430" s="758"/>
      <c r="Q3430" s="1052">
        <f ca="1">$B3430*Elec_Rates!$R$192</f>
        <v>25.62</v>
      </c>
      <c r="R3430" s="759">
        <f ca="1">$A3430*Q3430</f>
        <v>51.24</v>
      </c>
      <c r="S3430" s="1052">
        <f ca="1">$B3430*Elec_Rates!$T$192</f>
        <v>0.5</v>
      </c>
      <c r="T3430" s="917">
        <f ca="1">$A3430*S3430</f>
        <v>1</v>
      </c>
      <c r="AR3430" s="51">
        <v>2</v>
      </c>
      <c r="AS3430" s="1048" t="s">
        <v>2733</v>
      </c>
    </row>
    <row r="3431" spans="1:45" s="520" customFormat="1" ht="12">
      <c r="A3431" s="758"/>
      <c r="B3431" s="758"/>
      <c r="C3431" s="758"/>
      <c r="D3431" s="758"/>
      <c r="E3431" s="758"/>
      <c r="F3431" s="753"/>
      <c r="G3431" s="758"/>
      <c r="H3431" s="758"/>
      <c r="I3431" s="519"/>
      <c r="J3431" s="758"/>
      <c r="K3431" s="758"/>
      <c r="L3431" s="758"/>
      <c r="M3431" s="758"/>
      <c r="N3431" s="758"/>
      <c r="O3431" s="758"/>
      <c r="P3431" s="758"/>
      <c r="Q3431" s="519"/>
      <c r="R3431" s="759">
        <f>$A3431*Q3431</f>
        <v>0</v>
      </c>
      <c r="S3431" s="519"/>
      <c r="T3431" s="760">
        <f>$A3431*S3431*$T$1</f>
        <v>0</v>
      </c>
      <c r="AR3431" s="758"/>
      <c r="AS3431" s="753"/>
    </row>
    <row r="3432" spans="1:45" s="520" customFormat="1" ht="12.6" thickBot="1">
      <c r="A3432" s="761" t="s">
        <v>145</v>
      </c>
      <c r="B3432" s="762">
        <f>(R3431+T3431)</f>
        <v>0</v>
      </c>
      <c r="C3432" s="763"/>
      <c r="D3432" s="763"/>
      <c r="E3432" s="763"/>
      <c r="F3432" s="764"/>
      <c r="G3432" s="763" t="s">
        <v>146</v>
      </c>
      <c r="H3432" s="763"/>
      <c r="I3432" s="765"/>
      <c r="J3432" s="763"/>
      <c r="K3432" s="763" t="s">
        <v>3</v>
      </c>
      <c r="L3432" s="766" t="s">
        <v>143</v>
      </c>
      <c r="M3432" s="766"/>
      <c r="N3432" s="766"/>
      <c r="O3432" s="766"/>
      <c r="P3432" s="766"/>
      <c r="Q3432" s="767"/>
      <c r="R3432" s="768">
        <f ca="1">SUM(R3428:R3431)</f>
        <v>51.24</v>
      </c>
      <c r="S3432" s="763"/>
      <c r="T3432" s="768">
        <f ca="1">SUM(T3428:T3431)</f>
        <v>1</v>
      </c>
      <c r="U3432" s="531"/>
      <c r="V3432" s="531"/>
      <c r="W3432" s="531"/>
      <c r="X3432" s="531"/>
      <c r="Y3432" s="531"/>
      <c r="Z3432" s="531"/>
      <c r="AA3432" s="531"/>
      <c r="AB3432" s="531"/>
      <c r="AC3432" s="531"/>
      <c r="AD3432" s="531"/>
      <c r="AE3432" s="531"/>
      <c r="AF3432" s="531"/>
      <c r="AG3432" s="531"/>
      <c r="AH3432" s="531"/>
      <c r="AI3432" s="531"/>
      <c r="AJ3432" s="531"/>
      <c r="AK3432" s="531"/>
      <c r="AL3432" s="531"/>
      <c r="AM3432" s="531"/>
      <c r="AN3432" s="531"/>
      <c r="AO3432" s="531"/>
      <c r="AR3432" s="761" t="s">
        <v>145</v>
      </c>
      <c r="AS3432" s="764"/>
    </row>
    <row r="3433" spans="1:45" s="520" customFormat="1" ht="12" thickTop="1">
      <c r="A3433" s="51"/>
      <c r="B3433" s="41"/>
      <c r="C3433" s="51"/>
      <c r="E3433" s="42" t="s">
        <v>138</v>
      </c>
      <c r="F3433" s="42" t="s">
        <v>139</v>
      </c>
      <c r="G3433" s="51"/>
      <c r="H3433" s="51"/>
      <c r="I3433" s="51"/>
      <c r="J3433" s="51"/>
      <c r="K3433" s="51" t="s">
        <v>140</v>
      </c>
      <c r="L3433" s="51"/>
      <c r="M3433" s="51"/>
      <c r="N3433" s="51"/>
      <c r="O3433" s="52"/>
      <c r="P3433" s="51"/>
      <c r="Q3433" s="51"/>
      <c r="R3433" s="51"/>
      <c r="S3433" s="51"/>
      <c r="T3433" s="41"/>
      <c r="AG3433" s="521" t="s">
        <v>268</v>
      </c>
      <c r="AH3433" s="521" t="s">
        <v>269</v>
      </c>
      <c r="AI3433" s="521" t="s">
        <v>270</v>
      </c>
      <c r="AJ3433" s="521" t="s">
        <v>271</v>
      </c>
      <c r="AK3433" s="521" t="s">
        <v>272</v>
      </c>
      <c r="AM3433" s="745" t="s">
        <v>281</v>
      </c>
      <c r="AN3433" s="746" t="s">
        <v>282</v>
      </c>
      <c r="AO3433" s="522" t="s">
        <v>278</v>
      </c>
      <c r="AR3433" s="51"/>
      <c r="AS3433" s="42" t="s">
        <v>139</v>
      </c>
    </row>
    <row r="3434" spans="1:45" s="520" customFormat="1" ht="12" customHeight="1">
      <c r="A3434" s="747">
        <v>2</v>
      </c>
      <c r="B3434" s="523" t="s">
        <v>141</v>
      </c>
      <c r="C3434" s="748"/>
      <c r="D3434" s="749" t="s">
        <v>1658</v>
      </c>
      <c r="E3434" s="750">
        <f ca="1">IF(AND($A3434=0,$A$1="DIF"),0, ROUND(ROUND(($R3439*$S$2+($T3439*$T$2))/A3434,2)*$C$2,2))</f>
        <v>47.62</v>
      </c>
      <c r="F3434" s="751">
        <f ca="1">ROUND($A3434*$E3434,2)</f>
        <v>95.24</v>
      </c>
      <c r="G3434" s="752" t="s">
        <v>142</v>
      </c>
      <c r="H3434" s="753"/>
      <c r="I3434" s="754"/>
      <c r="J3434" s="753"/>
      <c r="K3434" s="753" t="s">
        <v>3</v>
      </c>
      <c r="L3434" s="755" t="s">
        <v>143</v>
      </c>
      <c r="M3434" s="755"/>
      <c r="N3434" s="755"/>
      <c r="O3434" s="755"/>
      <c r="P3434" s="755"/>
      <c r="Q3434" s="51"/>
      <c r="T3434" s="756" t="str">
        <f ca="1">IF(AND($R3439=0,$T3439=0),"0.00","mu :" &amp; ROUND($F3434/$C$2/($R3439+$T3439*$D$9),2))</f>
        <v>mu :1.23</v>
      </c>
      <c r="W3434" s="524"/>
      <c r="AG3434" s="481">
        <f ca="1">IF($E3434=0,0,ROUND($R3439*$S$2*$C$2/$A3434,2))</f>
        <v>38.49</v>
      </c>
      <c r="AH3434" s="481">
        <f ca="1">$AG3434*$A3434</f>
        <v>76.98</v>
      </c>
      <c r="AI3434" s="525">
        <f ca="1">$E3434-$AG3434</f>
        <v>9.1299999999999955</v>
      </c>
      <c r="AJ3434" s="525">
        <f ca="1">$A3434*$AI3434</f>
        <v>18.259999999999991</v>
      </c>
      <c r="AK3434" s="526">
        <f ca="1">ROUND(($AG3434+$AI3434)*$A3434,2)</f>
        <v>95.24</v>
      </c>
      <c r="AM3434" s="527">
        <f ca="1">ROUND(R3439,2)</f>
        <v>62.52</v>
      </c>
      <c r="AN3434" s="528">
        <f ca="1">ROUND(T3439,2)</f>
        <v>0.54</v>
      </c>
      <c r="AO3434" s="529">
        <f ca="1">ROUND(AM3434+AN3434,2)*A3434</f>
        <v>126.12</v>
      </c>
      <c r="AR3434" s="747">
        <v>2</v>
      </c>
      <c r="AS3434" s="751">
        <v>97.28</v>
      </c>
    </row>
    <row r="3435" spans="1:45" s="520" customFormat="1" ht="13.2">
      <c r="A3435" s="748"/>
      <c r="B3435"/>
      <c r="C3435" s="748"/>
      <c r="D3435" s="749" t="s">
        <v>781</v>
      </c>
      <c r="F3435" s="753"/>
      <c r="G3435" s="3"/>
      <c r="H3435" s="753"/>
      <c r="I3435" s="754"/>
      <c r="J3435" s="753"/>
      <c r="K3435" s="753" t="s">
        <v>144</v>
      </c>
      <c r="L3435" s="753"/>
      <c r="M3435" s="753"/>
      <c r="N3435" s="753"/>
      <c r="O3435" s="753"/>
      <c r="P3435" s="753"/>
      <c r="Q3435" s="51"/>
      <c r="R3435" s="530"/>
      <c r="S3435" s="757"/>
      <c r="T3435" s="753"/>
      <c r="AR3435" s="748"/>
      <c r="AS3435" s="753"/>
    </row>
    <row r="3436" spans="1:45" s="886" customFormat="1" ht="13.2">
      <c r="A3436"/>
      <c r="B3436" s="910"/>
      <c r="C3436" s="910" t="s">
        <v>2597</v>
      </c>
      <c r="D3436" s="910" t="str">
        <f ca="1">CELL("Address",Elec_Rates!D$165)</f>
        <v>[E25_0062_Quintano_Foods_Elec_ELV_As_Awarded.xlsx]Elec_Rates!$D$165</v>
      </c>
      <c r="E3436" s="911"/>
      <c r="F3436" s="911"/>
      <c r="G3436" s="912" t="s">
        <v>2598</v>
      </c>
      <c r="H3436" s="912"/>
      <c r="I3436" s="912"/>
      <c r="J3436" s="912"/>
      <c r="K3436" s="913"/>
      <c r="L3436" s="911"/>
      <c r="M3436" s="911"/>
      <c r="N3436" s="911"/>
      <c r="O3436" s="914"/>
      <c r="P3436" s="911"/>
      <c r="Q3436" s="915"/>
      <c r="R3436" s="916"/>
      <c r="S3436" s="915"/>
      <c r="T3436" s="917"/>
      <c r="U3436" s="918"/>
      <c r="AR3436"/>
      <c r="AS3436" s="911"/>
    </row>
    <row r="3437" spans="1:45" s="886" customFormat="1" ht="11.4">
      <c r="A3437" s="919">
        <v>2</v>
      </c>
      <c r="B3437" s="920">
        <v>1</v>
      </c>
      <c r="C3437" s="920">
        <f>$A3437*$B3437</f>
        <v>2</v>
      </c>
      <c r="D3437" s="921" t="str">
        <f>Elec_Rates!$D$165</f>
        <v>015# 3Pin 16Amp IP67 Interlocked Socket outlet</v>
      </c>
      <c r="E3437" s="921"/>
      <c r="F3437" s="921" t="s">
        <v>2599</v>
      </c>
      <c r="G3437" s="922" t="s">
        <v>2601</v>
      </c>
      <c r="H3437" s="922"/>
      <c r="I3437" s="922"/>
      <c r="J3437" s="922"/>
      <c r="K3437" s="923"/>
      <c r="L3437" s="918"/>
      <c r="M3437" s="918"/>
      <c r="N3437" s="918"/>
      <c r="O3437" s="924"/>
      <c r="P3437" s="921"/>
      <c r="Q3437" s="925">
        <f ca="1">$B3437*Elec_Rates!$R$165</f>
        <v>31.26</v>
      </c>
      <c r="R3437" s="916">
        <f ca="1">$A3437*Q3437</f>
        <v>62.52</v>
      </c>
      <c r="S3437" s="925">
        <f ca="1">$B3437*Elec_Rates!$T$165</f>
        <v>0.27</v>
      </c>
      <c r="T3437" s="917">
        <f ca="1">$A3437*S3437</f>
        <v>0.54</v>
      </c>
      <c r="U3437" s="926"/>
      <c r="AR3437" s="919">
        <v>2</v>
      </c>
      <c r="AS3437" s="921" t="s">
        <v>2599</v>
      </c>
    </row>
    <row r="3438" spans="1:45" s="520" customFormat="1" ht="12">
      <c r="A3438" s="758"/>
      <c r="B3438" s="758"/>
      <c r="C3438" s="758"/>
      <c r="D3438" s="758"/>
      <c r="E3438" s="758"/>
      <c r="F3438" s="753"/>
      <c r="G3438" s="758"/>
      <c r="H3438" s="758"/>
      <c r="I3438" s="519"/>
      <c r="J3438" s="758"/>
      <c r="K3438" s="758"/>
      <c r="L3438" s="758"/>
      <c r="M3438" s="758"/>
      <c r="N3438" s="758"/>
      <c r="O3438" s="758"/>
      <c r="P3438" s="758"/>
      <c r="Q3438" s="519"/>
      <c r="R3438" s="759">
        <f>$A3438*Q3438</f>
        <v>0</v>
      </c>
      <c r="S3438" s="519"/>
      <c r="T3438" s="760">
        <f>$A3438*S3438*$T$1</f>
        <v>0</v>
      </c>
      <c r="AR3438" s="758"/>
      <c r="AS3438" s="753"/>
    </row>
    <row r="3439" spans="1:45" s="520" customFormat="1" ht="12.6" thickBot="1">
      <c r="A3439" s="761" t="s">
        <v>145</v>
      </c>
      <c r="B3439" s="762">
        <f>(R3438+T3438)</f>
        <v>0</v>
      </c>
      <c r="C3439" s="763"/>
      <c r="D3439" s="763"/>
      <c r="E3439" s="763"/>
      <c r="F3439" s="764"/>
      <c r="G3439" s="763" t="s">
        <v>146</v>
      </c>
      <c r="H3439" s="763"/>
      <c r="I3439" s="765"/>
      <c r="J3439" s="763"/>
      <c r="K3439" s="763" t="s">
        <v>3</v>
      </c>
      <c r="L3439" s="766" t="s">
        <v>143</v>
      </c>
      <c r="M3439" s="766"/>
      <c r="N3439" s="766"/>
      <c r="O3439" s="766"/>
      <c r="P3439" s="766"/>
      <c r="Q3439" s="767"/>
      <c r="R3439" s="768">
        <f ca="1">SUM(R3435:R3438)</f>
        <v>62.52</v>
      </c>
      <c r="S3439" s="763"/>
      <c r="T3439" s="768">
        <f ca="1">SUM(T3435:T3438)</f>
        <v>0.54</v>
      </c>
      <c r="U3439" s="531"/>
      <c r="V3439" s="531"/>
      <c r="W3439" s="531"/>
      <c r="X3439" s="531"/>
      <c r="Y3439" s="531"/>
      <c r="Z3439" s="531"/>
      <c r="AA3439" s="531"/>
      <c r="AB3439" s="531"/>
      <c r="AC3439" s="531"/>
      <c r="AD3439" s="531"/>
      <c r="AE3439" s="531"/>
      <c r="AF3439" s="531"/>
      <c r="AG3439" s="531"/>
      <c r="AH3439" s="531"/>
      <c r="AI3439" s="531"/>
      <c r="AJ3439" s="531"/>
      <c r="AK3439" s="531"/>
      <c r="AL3439" s="531"/>
      <c r="AM3439" s="531"/>
      <c r="AN3439" s="531"/>
      <c r="AO3439" s="531"/>
      <c r="AR3439" s="761" t="s">
        <v>145</v>
      </c>
      <c r="AS3439" s="764"/>
    </row>
    <row r="3440" spans="1:45" s="520" customFormat="1" ht="12" thickTop="1">
      <c r="A3440" s="51"/>
      <c r="B3440" s="41"/>
      <c r="C3440" s="51"/>
      <c r="E3440" s="42" t="s">
        <v>138</v>
      </c>
      <c r="F3440" s="42" t="s">
        <v>139</v>
      </c>
      <c r="G3440" s="51"/>
      <c r="H3440" s="51"/>
      <c r="I3440" s="51"/>
      <c r="J3440" s="51"/>
      <c r="K3440" s="51" t="s">
        <v>140</v>
      </c>
      <c r="L3440" s="51"/>
      <c r="M3440" s="51"/>
      <c r="N3440" s="51"/>
      <c r="O3440" s="52"/>
      <c r="P3440" s="51"/>
      <c r="Q3440" s="51"/>
      <c r="R3440" s="51"/>
      <c r="S3440" s="51"/>
      <c r="T3440" s="41"/>
      <c r="AG3440" s="521" t="s">
        <v>268</v>
      </c>
      <c r="AH3440" s="521" t="s">
        <v>269</v>
      </c>
      <c r="AI3440" s="521" t="s">
        <v>270</v>
      </c>
      <c r="AJ3440" s="521" t="s">
        <v>271</v>
      </c>
      <c r="AK3440" s="521" t="s">
        <v>272</v>
      </c>
      <c r="AM3440" s="745" t="s">
        <v>281</v>
      </c>
      <c r="AN3440" s="746" t="s">
        <v>282</v>
      </c>
      <c r="AO3440" s="522" t="s">
        <v>278</v>
      </c>
      <c r="AR3440" s="51"/>
      <c r="AS3440" s="42" t="s">
        <v>139</v>
      </c>
    </row>
    <row r="3441" spans="1:45" s="520" customFormat="1" ht="12" customHeight="1">
      <c r="A3441" s="747">
        <v>34</v>
      </c>
      <c r="B3441" s="523" t="s">
        <v>141</v>
      </c>
      <c r="C3441" s="748"/>
      <c r="D3441" s="749" t="s">
        <v>1659</v>
      </c>
      <c r="E3441" s="750">
        <f>IF(AND($A3441=0,$A$1="DIF"),0, ROUND(ROUND(($R3447*$S$2+($T3447*$T$2))/A3441,2)*$C$2,2))</f>
        <v>30.09</v>
      </c>
      <c r="F3441" s="751">
        <f>ROUND($A3441*$E3441,2)</f>
        <v>1023.06</v>
      </c>
      <c r="G3441" s="752" t="s">
        <v>142</v>
      </c>
      <c r="H3441" s="753"/>
      <c r="I3441" s="754"/>
      <c r="J3441" s="753"/>
      <c r="K3441" s="753" t="s">
        <v>3</v>
      </c>
      <c r="L3441" s="755" t="s">
        <v>143</v>
      </c>
      <c r="M3441" s="755"/>
      <c r="N3441" s="755"/>
      <c r="O3441" s="755"/>
      <c r="P3441" s="755"/>
      <c r="Q3441" s="51"/>
      <c r="T3441" s="756" t="str">
        <f>IF(AND($R3447=0,$T3447=0),"0.00","mu :" &amp; ROUND($F3441/$C$2/($R3447+$T3447*$D$9),2))</f>
        <v>mu :1.23</v>
      </c>
      <c r="W3441" s="524"/>
      <c r="AG3441" s="481">
        <f>IF($E3441=0,0,ROUND($R3447*$S$2*$C$2/$A3441,2))</f>
        <v>14.87</v>
      </c>
      <c r="AH3441" s="481">
        <f>$AG3441*$A3441</f>
        <v>505.58</v>
      </c>
      <c r="AI3441" s="525">
        <f>$E3441-$AG3441</f>
        <v>15.22</v>
      </c>
      <c r="AJ3441" s="525">
        <f>$A3441*$AI3441</f>
        <v>517.48</v>
      </c>
      <c r="AK3441" s="526">
        <f>ROUND(($AG3441+$AI3441)*$A3441,2)</f>
        <v>1023.06</v>
      </c>
      <c r="AM3441" s="527">
        <f>ROUND(R3447,2)</f>
        <v>410.72</v>
      </c>
      <c r="AN3441" s="528">
        <f>ROUND(T3447,2)</f>
        <v>15.3</v>
      </c>
      <c r="AO3441" s="529">
        <f>ROUND(AM3441+AN3441,2)*A3441</f>
        <v>14484.68</v>
      </c>
      <c r="AR3441" s="747">
        <v>34</v>
      </c>
      <c r="AS3441" s="751">
        <v>1080.52</v>
      </c>
    </row>
    <row r="3442" spans="1:45" s="520" customFormat="1" ht="13.2">
      <c r="A3442" s="748"/>
      <c r="B3442"/>
      <c r="C3442" s="748"/>
      <c r="D3442" s="749" t="s">
        <v>1633</v>
      </c>
      <c r="F3442" s="753"/>
      <c r="G3442" s="3"/>
      <c r="H3442" s="753"/>
      <c r="I3442" s="754"/>
      <c r="J3442" s="753"/>
      <c r="K3442" s="753" t="s">
        <v>144</v>
      </c>
      <c r="L3442" s="753"/>
      <c r="M3442" s="753"/>
      <c r="N3442" s="753"/>
      <c r="O3442" s="753"/>
      <c r="P3442" s="753"/>
      <c r="Q3442" s="51"/>
      <c r="R3442" s="530"/>
      <c r="S3442" s="757"/>
      <c r="T3442" s="753"/>
      <c r="AR3442" s="748"/>
      <c r="AS3442" s="753"/>
    </row>
    <row r="3443" spans="1:45" s="901" customFormat="1" ht="13.2">
      <c r="A3443" s="116">
        <v>34</v>
      </c>
      <c r="B3443" s="901" t="s">
        <v>141</v>
      </c>
      <c r="D3443" s="901" t="s">
        <v>2948</v>
      </c>
      <c r="F3443" s="1054" t="s">
        <v>3423</v>
      </c>
      <c r="G3443" s="941" t="s">
        <v>2949</v>
      </c>
      <c r="H3443" s="942">
        <v>705</v>
      </c>
      <c r="I3443" s="901" t="s">
        <v>2607</v>
      </c>
      <c r="O3443" s="943">
        <v>3</v>
      </c>
      <c r="P3443" s="944"/>
      <c r="Q3443" s="945">
        <v>12</v>
      </c>
      <c r="R3443" s="946">
        <f>$A3443*Q3443</f>
        <v>408</v>
      </c>
      <c r="S3443" s="945">
        <v>0.5</v>
      </c>
      <c r="T3443" s="947">
        <f>$A3443*S3443*$T$1</f>
        <v>15.3</v>
      </c>
      <c r="AR3443" s="116">
        <v>34</v>
      </c>
      <c r="AS3443" s="1054" t="s">
        <v>3423</v>
      </c>
    </row>
    <row r="3444" spans="1:45" s="901" customFormat="1" ht="13.2">
      <c r="A3444">
        <v>68</v>
      </c>
      <c r="B3444" s="901" t="s">
        <v>141</v>
      </c>
      <c r="D3444" s="901" t="s">
        <v>2739</v>
      </c>
      <c r="G3444" s="941" t="s">
        <v>2740</v>
      </c>
      <c r="H3444" s="942">
        <v>875</v>
      </c>
      <c r="I3444" s="901" t="s">
        <v>2607</v>
      </c>
      <c r="K3444" s="901" t="s">
        <v>2741</v>
      </c>
      <c r="O3444" s="943">
        <v>1</v>
      </c>
      <c r="P3444" s="944">
        <v>34669</v>
      </c>
      <c r="Q3444" s="945">
        <v>0.02</v>
      </c>
      <c r="R3444" s="946">
        <f>$A3444*Q3444</f>
        <v>1.36</v>
      </c>
      <c r="S3444" s="945"/>
      <c r="T3444" s="947">
        <f>$A3444*S3444*$T$1</f>
        <v>0</v>
      </c>
      <c r="AR3444">
        <v>68</v>
      </c>
    </row>
    <row r="3445" spans="1:45" s="901" customFormat="1" ht="13.2">
      <c r="A3445">
        <v>68</v>
      </c>
      <c r="B3445" s="901" t="s">
        <v>141</v>
      </c>
      <c r="D3445" s="901" t="s">
        <v>2742</v>
      </c>
      <c r="G3445" s="941" t="s">
        <v>2743</v>
      </c>
      <c r="H3445" s="942">
        <v>875</v>
      </c>
      <c r="I3445" s="901" t="s">
        <v>2607</v>
      </c>
      <c r="K3445" s="901" t="s">
        <v>2744</v>
      </c>
      <c r="O3445" s="943">
        <v>1</v>
      </c>
      <c r="P3445" s="944">
        <v>34669</v>
      </c>
      <c r="Q3445" s="945">
        <v>0.02</v>
      </c>
      <c r="R3445" s="946">
        <f>$A3445*Q3445</f>
        <v>1.36</v>
      </c>
      <c r="S3445" s="945"/>
      <c r="T3445" s="947">
        <f>$A3445*S3445*$T$1</f>
        <v>0</v>
      </c>
      <c r="AR3445">
        <v>68</v>
      </c>
    </row>
    <row r="3446" spans="1:45" s="520" customFormat="1" ht="12">
      <c r="A3446" s="758"/>
      <c r="B3446" s="758"/>
      <c r="C3446" s="758"/>
      <c r="D3446" s="758"/>
      <c r="E3446" s="758"/>
      <c r="F3446" s="753"/>
      <c r="G3446" s="758"/>
      <c r="H3446" s="758"/>
      <c r="I3446" s="519"/>
      <c r="J3446" s="758"/>
      <c r="K3446" s="758"/>
      <c r="L3446" s="758"/>
      <c r="M3446" s="758"/>
      <c r="N3446" s="758"/>
      <c r="O3446" s="758"/>
      <c r="P3446" s="758"/>
      <c r="Q3446" s="519"/>
      <c r="R3446" s="759">
        <f>$A3446*Q3446</f>
        <v>0</v>
      </c>
      <c r="S3446" s="519"/>
      <c r="T3446" s="760">
        <f>$A3446*S3446*$T$1</f>
        <v>0</v>
      </c>
      <c r="AR3446" s="758"/>
      <c r="AS3446" s="753"/>
    </row>
    <row r="3447" spans="1:45" s="520" customFormat="1" ht="12.6" thickBot="1">
      <c r="A3447" s="761" t="s">
        <v>145</v>
      </c>
      <c r="B3447" s="762">
        <f>(R3446+T3446)</f>
        <v>0</v>
      </c>
      <c r="C3447" s="763"/>
      <c r="D3447" s="763"/>
      <c r="E3447" s="763"/>
      <c r="F3447" s="764"/>
      <c r="G3447" s="763" t="s">
        <v>146</v>
      </c>
      <c r="H3447" s="763"/>
      <c r="I3447" s="765"/>
      <c r="J3447" s="763"/>
      <c r="K3447" s="763" t="s">
        <v>3</v>
      </c>
      <c r="L3447" s="766" t="s">
        <v>143</v>
      </c>
      <c r="M3447" s="766"/>
      <c r="N3447" s="766"/>
      <c r="O3447" s="766"/>
      <c r="P3447" s="766"/>
      <c r="Q3447" s="767"/>
      <c r="R3447" s="768">
        <f>SUM(R3442:R3446)</f>
        <v>410.72</v>
      </c>
      <c r="S3447" s="763"/>
      <c r="T3447" s="768">
        <f>SUM(T3442:T3446)</f>
        <v>15.3</v>
      </c>
      <c r="U3447" s="531"/>
      <c r="V3447" s="531"/>
      <c r="W3447" s="531"/>
      <c r="X3447" s="531"/>
      <c r="Y3447" s="531"/>
      <c r="Z3447" s="531"/>
      <c r="AA3447" s="531"/>
      <c r="AB3447" s="531"/>
      <c r="AC3447" s="531"/>
      <c r="AD3447" s="531"/>
      <c r="AE3447" s="531"/>
      <c r="AF3447" s="531"/>
      <c r="AG3447" s="531"/>
      <c r="AH3447" s="531"/>
      <c r="AI3447" s="531"/>
      <c r="AJ3447" s="531"/>
      <c r="AK3447" s="531"/>
      <c r="AL3447" s="531"/>
      <c r="AM3447" s="531"/>
      <c r="AN3447" s="531"/>
      <c r="AO3447" s="531"/>
      <c r="AR3447" s="761" t="s">
        <v>145</v>
      </c>
      <c r="AS3447" s="764"/>
    </row>
    <row r="3448" spans="1:45" s="520" customFormat="1" thickTop="1">
      <c r="A3448" s="51"/>
      <c r="B3448" s="51"/>
      <c r="C3448" s="3"/>
      <c r="D3448" s="3"/>
      <c r="E3448" s="51"/>
      <c r="F3448" s="51"/>
      <c r="G3448" s="51"/>
      <c r="H3448" s="51"/>
      <c r="I3448" s="51"/>
      <c r="J3448" s="51"/>
      <c r="K3448" s="51" t="s">
        <v>134</v>
      </c>
      <c r="L3448" s="51"/>
      <c r="M3448" s="51"/>
      <c r="N3448" s="51"/>
      <c r="O3448" s="52"/>
      <c r="P3448" s="51"/>
      <c r="Q3448" s="51"/>
      <c r="R3448" s="51"/>
      <c r="S3448" s="51"/>
      <c r="T3448" s="51"/>
      <c r="AR3448" s="51"/>
      <c r="AS3448" s="51"/>
    </row>
    <row r="3449" spans="1:45" s="520" customFormat="1" ht="12">
      <c r="A3449" s="51"/>
      <c r="B3449" s="51"/>
      <c r="C3449" s="51" t="s">
        <v>135</v>
      </c>
      <c r="D3449" s="37"/>
      <c r="E3449" s="51"/>
      <c r="F3449" s="51"/>
      <c r="G3449" s="51"/>
      <c r="H3449" s="51"/>
      <c r="I3449" s="51"/>
      <c r="J3449" s="51"/>
      <c r="K3449" s="51"/>
      <c r="L3449" s="51"/>
      <c r="M3449" s="51"/>
      <c r="N3449" s="51"/>
      <c r="O3449" s="52"/>
      <c r="P3449" s="51"/>
      <c r="Q3449" s="51"/>
      <c r="R3449" s="51"/>
      <c r="S3449" s="51"/>
      <c r="T3449" s="51"/>
      <c r="AR3449" s="51"/>
      <c r="AS3449" s="51"/>
    </row>
    <row r="3450" spans="1:45" s="520" customFormat="1" ht="12">
      <c r="A3450" s="51"/>
      <c r="B3450" s="51"/>
      <c r="C3450" s="51"/>
      <c r="D3450" s="37" t="s">
        <v>347</v>
      </c>
      <c r="E3450" s="51"/>
      <c r="F3450" s="51"/>
      <c r="G3450" s="51"/>
      <c r="H3450" s="51"/>
      <c r="I3450" s="51"/>
      <c r="J3450" s="51"/>
      <c r="K3450" s="51"/>
      <c r="L3450" s="51"/>
      <c r="M3450" s="51"/>
      <c r="N3450" s="51"/>
      <c r="O3450" s="52"/>
      <c r="P3450" s="51"/>
      <c r="Q3450" s="51"/>
      <c r="R3450" s="51"/>
      <c r="S3450" s="38"/>
      <c r="T3450" s="38"/>
      <c r="AR3450" s="51"/>
      <c r="AS3450" s="51"/>
    </row>
    <row r="3451" spans="1:45" s="3" customFormat="1" thickBot="1">
      <c r="A3451" s="531"/>
      <c r="O3451" s="107"/>
      <c r="AR3451" s="531"/>
    </row>
    <row r="3452" spans="1:45" s="520" customFormat="1" thickTop="1">
      <c r="A3452" s="51"/>
      <c r="B3452" s="51"/>
      <c r="C3452" s="3"/>
      <c r="D3452" s="3"/>
      <c r="E3452" s="51"/>
      <c r="F3452" s="51"/>
      <c r="G3452" s="51"/>
      <c r="H3452" s="51"/>
      <c r="I3452" s="51"/>
      <c r="J3452" s="51"/>
      <c r="K3452" s="51" t="s">
        <v>134</v>
      </c>
      <c r="L3452" s="51"/>
      <c r="M3452" s="51"/>
      <c r="N3452" s="51"/>
      <c r="O3452" s="52"/>
      <c r="P3452" s="51"/>
      <c r="Q3452" s="51"/>
      <c r="R3452" s="51"/>
      <c r="S3452" s="51"/>
      <c r="T3452" s="51"/>
      <c r="AR3452" s="51"/>
      <c r="AS3452" s="51"/>
    </row>
    <row r="3453" spans="1:45" s="520" customFormat="1" ht="12">
      <c r="A3453" s="51"/>
      <c r="B3453" s="51"/>
      <c r="C3453" s="51" t="s">
        <v>135</v>
      </c>
      <c r="D3453" s="37"/>
      <c r="E3453" s="51"/>
      <c r="F3453" s="51"/>
      <c r="G3453" s="51"/>
      <c r="H3453" s="51"/>
      <c r="I3453" s="51"/>
      <c r="J3453" s="51"/>
      <c r="K3453" s="51"/>
      <c r="L3453" s="51"/>
      <c r="M3453" s="51"/>
      <c r="N3453" s="51"/>
      <c r="O3453" s="52"/>
      <c r="P3453" s="51"/>
      <c r="Q3453" s="51"/>
      <c r="R3453" s="51"/>
      <c r="S3453" s="51"/>
      <c r="T3453" s="51"/>
      <c r="AR3453" s="51"/>
      <c r="AS3453" s="51"/>
    </row>
    <row r="3454" spans="1:45" s="520" customFormat="1" ht="39.9" customHeight="1">
      <c r="A3454" s="51"/>
      <c r="B3454" s="51"/>
      <c r="C3454" s="51"/>
      <c r="D3454" s="1453" t="s">
        <v>1660</v>
      </c>
      <c r="E3454" s="1452"/>
      <c r="F3454" s="1452"/>
      <c r="G3454" s="1452"/>
      <c r="H3454" s="1452"/>
      <c r="I3454" s="1452"/>
      <c r="J3454" s="1452"/>
      <c r="K3454" s="1452"/>
      <c r="L3454" s="1452"/>
      <c r="M3454" s="1452"/>
      <c r="N3454" s="1452"/>
      <c r="O3454" s="1452"/>
      <c r="P3454" s="1452"/>
      <c r="Q3454" s="1452"/>
      <c r="R3454" s="1452"/>
      <c r="S3454" s="1452"/>
      <c r="T3454" s="1452"/>
      <c r="AR3454" s="51"/>
    </row>
    <row r="3455" spans="1:45" s="3" customFormat="1" thickBot="1">
      <c r="A3455" s="531"/>
      <c r="O3455" s="107"/>
      <c r="AR3455" s="531"/>
    </row>
    <row r="3456" spans="1:45" s="520" customFormat="1" thickTop="1">
      <c r="A3456" s="51"/>
      <c r="B3456" s="51"/>
      <c r="C3456" s="3"/>
      <c r="D3456" s="3"/>
      <c r="E3456" s="51"/>
      <c r="F3456" s="51"/>
      <c r="G3456" s="51"/>
      <c r="H3456" s="51"/>
      <c r="I3456" s="51"/>
      <c r="J3456" s="51"/>
      <c r="K3456" s="51" t="s">
        <v>134</v>
      </c>
      <c r="L3456" s="51"/>
      <c r="M3456" s="51"/>
      <c r="N3456" s="51"/>
      <c r="O3456" s="52"/>
      <c r="P3456" s="51"/>
      <c r="Q3456" s="51"/>
      <c r="R3456" s="51"/>
      <c r="S3456" s="51"/>
      <c r="T3456" s="51"/>
      <c r="AR3456" s="51"/>
      <c r="AS3456" s="51"/>
    </row>
    <row r="3457" spans="1:45" s="520" customFormat="1" ht="12">
      <c r="A3457" s="51"/>
      <c r="B3457" s="51"/>
      <c r="C3457" s="51" t="s">
        <v>135</v>
      </c>
      <c r="D3457" s="37"/>
      <c r="E3457" s="51"/>
      <c r="F3457" s="51"/>
      <c r="G3457" s="51"/>
      <c r="H3457" s="51"/>
      <c r="I3457" s="51"/>
      <c r="J3457" s="51"/>
      <c r="K3457" s="51"/>
      <c r="L3457" s="51"/>
      <c r="M3457" s="51"/>
      <c r="N3457" s="51"/>
      <c r="O3457" s="52"/>
      <c r="P3457" s="51"/>
      <c r="Q3457" s="51"/>
      <c r="R3457" s="51"/>
      <c r="S3457" s="51"/>
      <c r="T3457" s="51"/>
      <c r="AR3457" s="51"/>
      <c r="AS3457" s="51"/>
    </row>
    <row r="3458" spans="1:45" s="520" customFormat="1" ht="12">
      <c r="A3458" s="51"/>
      <c r="B3458" s="51"/>
      <c r="C3458" s="51"/>
      <c r="D3458" s="37" t="s">
        <v>804</v>
      </c>
      <c r="E3458" s="51"/>
      <c r="F3458" s="51"/>
      <c r="G3458" s="51"/>
      <c r="H3458" s="51"/>
      <c r="I3458" s="51"/>
      <c r="J3458" s="51"/>
      <c r="K3458" s="51"/>
      <c r="L3458" s="51"/>
      <c r="M3458" s="51"/>
      <c r="N3458" s="51"/>
      <c r="O3458" s="52"/>
      <c r="P3458" s="51"/>
      <c r="Q3458" s="51"/>
      <c r="R3458" s="51"/>
      <c r="S3458" s="38"/>
      <c r="T3458" s="38"/>
      <c r="AR3458" s="51"/>
      <c r="AS3458" s="51"/>
    </row>
    <row r="3459" spans="1:45" s="3" customFormat="1" thickBot="1">
      <c r="A3459" s="531"/>
      <c r="O3459" s="107"/>
      <c r="AR3459" s="531"/>
    </row>
    <row r="3460" spans="1:45" s="520" customFormat="1" ht="12" thickTop="1">
      <c r="A3460" s="51"/>
      <c r="B3460" s="41"/>
      <c r="C3460" s="51"/>
      <c r="E3460" s="42" t="s">
        <v>138</v>
      </c>
      <c r="F3460" s="42" t="s">
        <v>139</v>
      </c>
      <c r="G3460" s="51"/>
      <c r="H3460" s="51"/>
      <c r="I3460" s="51"/>
      <c r="J3460" s="51"/>
      <c r="K3460" s="51" t="s">
        <v>140</v>
      </c>
      <c r="L3460" s="51"/>
      <c r="M3460" s="51"/>
      <c r="N3460" s="51"/>
      <c r="O3460" s="52"/>
      <c r="P3460" s="51"/>
      <c r="Q3460" s="51"/>
      <c r="R3460" s="51"/>
      <c r="S3460" s="51"/>
      <c r="T3460" s="41"/>
      <c r="AG3460" s="521" t="s">
        <v>268</v>
      </c>
      <c r="AH3460" s="521" t="s">
        <v>269</v>
      </c>
      <c r="AI3460" s="521" t="s">
        <v>270</v>
      </c>
      <c r="AJ3460" s="521" t="s">
        <v>271</v>
      </c>
      <c r="AK3460" s="521" t="s">
        <v>272</v>
      </c>
      <c r="AM3460" s="745" t="s">
        <v>281</v>
      </c>
      <c r="AN3460" s="746" t="s">
        <v>282</v>
      </c>
      <c r="AO3460" s="522" t="s">
        <v>278</v>
      </c>
      <c r="AR3460" s="51"/>
      <c r="AS3460" s="42" t="s">
        <v>139</v>
      </c>
    </row>
    <row r="3461" spans="1:45" s="520" customFormat="1" ht="12" customHeight="1">
      <c r="A3461" s="747">
        <v>1</v>
      </c>
      <c r="B3461" s="523" t="s">
        <v>141</v>
      </c>
      <c r="C3461" s="748"/>
      <c r="D3461" s="749" t="s">
        <v>1661</v>
      </c>
      <c r="E3461" s="750">
        <f ca="1">IF(AND($A3461=0,$A$1="DIF"),0, ROUND(ROUND(($R3467*$S$2+($T3467*$T$2))/A3461,2)*$C$2,2))</f>
        <v>61.15</v>
      </c>
      <c r="F3461" s="751">
        <f ca="1">ROUND($A3461*$E3461,2)</f>
        <v>61.15</v>
      </c>
      <c r="G3461" s="752" t="s">
        <v>142</v>
      </c>
      <c r="H3461" s="753"/>
      <c r="I3461" s="754"/>
      <c r="J3461" s="753"/>
      <c r="K3461" s="753" t="s">
        <v>3</v>
      </c>
      <c r="L3461" s="755" t="s">
        <v>143</v>
      </c>
      <c r="M3461" s="755"/>
      <c r="N3461" s="755"/>
      <c r="O3461" s="755"/>
      <c r="P3461" s="755"/>
      <c r="Q3461" s="51"/>
      <c r="T3461" s="756" t="str">
        <f ca="1">IF(AND($R3467=0,$T3467=0),"0.00","mu :" &amp; ROUND($F3461/$C$2/($R3467+$T3467*$D$9),2))</f>
        <v>mu :1.23</v>
      </c>
      <c r="W3461" s="524"/>
      <c r="AG3461" s="481">
        <f ca="1">IF($E3461=0,0,ROUND($R3467*$S$2*$C$2/$A3461,2))</f>
        <v>25.88</v>
      </c>
      <c r="AH3461" s="481">
        <f ca="1">$AG3461*$A3461</f>
        <v>25.88</v>
      </c>
      <c r="AI3461" s="525">
        <f ca="1">$E3461-$AG3461</f>
        <v>35.269999999999996</v>
      </c>
      <c r="AJ3461" s="525">
        <f ca="1">$A3461*$AI3461</f>
        <v>35.269999999999996</v>
      </c>
      <c r="AK3461" s="526">
        <f ca="1">ROUND(($AG3461+$AI3461)*$A3461,2)</f>
        <v>61.15</v>
      </c>
      <c r="AM3461" s="527">
        <f ca="1">ROUND(R3467,2)</f>
        <v>21.02</v>
      </c>
      <c r="AN3461" s="528">
        <f ca="1">ROUND(T3467,2)</f>
        <v>1.04</v>
      </c>
      <c r="AO3461" s="529">
        <f ca="1">ROUND(AM3461+AN3461,2)*A3461</f>
        <v>22.06</v>
      </c>
      <c r="AR3461" s="747">
        <v>1</v>
      </c>
      <c r="AS3461" s="751">
        <v>65.11</v>
      </c>
    </row>
    <row r="3462" spans="1:45" s="520" customFormat="1" ht="13.2">
      <c r="A3462" s="748"/>
      <c r="B3462"/>
      <c r="C3462" s="748"/>
      <c r="D3462" s="749" t="s">
        <v>805</v>
      </c>
      <c r="F3462" s="753"/>
      <c r="G3462" s="3"/>
      <c r="H3462" s="753"/>
      <c r="I3462" s="754"/>
      <c r="J3462" s="753"/>
      <c r="K3462" s="753" t="s">
        <v>144</v>
      </c>
      <c r="L3462" s="753"/>
      <c r="M3462" s="753"/>
      <c r="N3462" s="753"/>
      <c r="O3462" s="753"/>
      <c r="P3462" s="753"/>
      <c r="Q3462" s="51"/>
      <c r="R3462" s="530"/>
      <c r="S3462" s="757"/>
      <c r="T3462" s="753"/>
      <c r="AR3462" s="748"/>
      <c r="AS3462" s="753"/>
    </row>
    <row r="3463" spans="1:45" s="886" customFormat="1" ht="13.2">
      <c r="A3463"/>
      <c r="B3463" s="910"/>
      <c r="C3463" s="910" t="s">
        <v>2597</v>
      </c>
      <c r="D3463" s="910" t="str">
        <f ca="1">CELL("Address",Elec_Rates!D$39)</f>
        <v>[E25_0062_Quintano_Foods_Elec_ELV_As_Awarded.xlsx]Elec_Rates!$D$39</v>
      </c>
      <c r="E3463" s="911"/>
      <c r="F3463" s="911"/>
      <c r="G3463" s="912" t="s">
        <v>2598</v>
      </c>
      <c r="H3463" s="912"/>
      <c r="I3463" s="912"/>
      <c r="J3463" s="912"/>
      <c r="K3463" s="913"/>
      <c r="L3463" s="911"/>
      <c r="M3463" s="911"/>
      <c r="N3463" s="911"/>
      <c r="O3463" s="914"/>
      <c r="P3463" s="911"/>
      <c r="Q3463" s="915"/>
      <c r="R3463" s="916"/>
      <c r="S3463" s="915"/>
      <c r="T3463" s="917"/>
      <c r="U3463" s="918"/>
      <c r="AR3463"/>
      <c r="AS3463" s="911"/>
    </row>
    <row r="3464" spans="1:45" s="886" customFormat="1" ht="11.4">
      <c r="A3464" s="919">
        <v>1</v>
      </c>
      <c r="B3464" s="920">
        <v>1</v>
      </c>
      <c r="C3464" s="920">
        <f>$A3464*$B3464</f>
        <v>1</v>
      </c>
      <c r="D3464" s="921" t="str">
        <f>Elec_Rates!$D$39</f>
        <v>003# Power Point Rate (LSZH Conduit)</v>
      </c>
      <c r="E3464" s="921"/>
      <c r="F3464" s="921" t="s">
        <v>2599</v>
      </c>
      <c r="G3464" s="922" t="s">
        <v>2601</v>
      </c>
      <c r="H3464" s="922"/>
      <c r="I3464" s="922"/>
      <c r="J3464" s="922"/>
      <c r="K3464" s="923"/>
      <c r="L3464" s="918"/>
      <c r="M3464" s="918"/>
      <c r="N3464" s="918"/>
      <c r="O3464" s="924"/>
      <c r="P3464" s="921"/>
      <c r="Q3464" s="925">
        <f ca="1">$B3464*Elec_Rates!$R$39</f>
        <v>18.920000000000002</v>
      </c>
      <c r="R3464" s="916">
        <f ca="1">$A3464*Q3464</f>
        <v>18.920000000000002</v>
      </c>
      <c r="S3464" s="925">
        <f ca="1">$B3464*Elec_Rates!$T$39</f>
        <v>0.89</v>
      </c>
      <c r="T3464" s="917">
        <f ca="1">$A3464*S3464</f>
        <v>0.89</v>
      </c>
      <c r="U3464" s="926"/>
      <c r="AR3464" s="919">
        <v>1</v>
      </c>
      <c r="AS3464" s="921" t="s">
        <v>2599</v>
      </c>
    </row>
    <row r="3465" spans="1:45" s="901" customFormat="1" ht="13.2">
      <c r="A3465" s="116">
        <v>1</v>
      </c>
      <c r="B3465" s="901" t="s">
        <v>141</v>
      </c>
      <c r="D3465" s="901" t="s">
        <v>2977</v>
      </c>
      <c r="E3465" s="901" t="s">
        <v>3424</v>
      </c>
      <c r="F3465" s="1054" t="s">
        <v>3436</v>
      </c>
      <c r="G3465" s="941" t="s">
        <v>2978</v>
      </c>
      <c r="H3465" s="942">
        <v>705</v>
      </c>
      <c r="I3465" s="901" t="s">
        <v>2979</v>
      </c>
      <c r="J3465" s="901" t="s">
        <v>2980</v>
      </c>
      <c r="O3465" s="943">
        <v>3</v>
      </c>
      <c r="P3465" s="944">
        <v>34669</v>
      </c>
      <c r="Q3465" s="945">
        <v>2.1</v>
      </c>
      <c r="R3465" s="946">
        <f>$A3465*Q3465</f>
        <v>2.1</v>
      </c>
      <c r="S3465" s="945">
        <v>0.17</v>
      </c>
      <c r="T3465" s="947">
        <f>$A3465*S3465*$T$1</f>
        <v>0.15300000000000002</v>
      </c>
      <c r="AR3465" s="116">
        <v>1</v>
      </c>
      <c r="AS3465" s="1054" t="s">
        <v>3436</v>
      </c>
    </row>
    <row r="3466" spans="1:45" s="520" customFormat="1" ht="12">
      <c r="A3466" s="758"/>
      <c r="B3466" s="758"/>
      <c r="C3466" s="758"/>
      <c r="D3466" s="758"/>
      <c r="E3466" s="758"/>
      <c r="F3466" s="753"/>
      <c r="G3466" s="758"/>
      <c r="H3466" s="758"/>
      <c r="I3466" s="519"/>
      <c r="J3466" s="758"/>
      <c r="K3466" s="758"/>
      <c r="L3466" s="758"/>
      <c r="M3466" s="758"/>
      <c r="N3466" s="758"/>
      <c r="O3466" s="758"/>
      <c r="P3466" s="758"/>
      <c r="Q3466" s="519"/>
      <c r="R3466" s="759">
        <f>$A3466*Q3466</f>
        <v>0</v>
      </c>
      <c r="S3466" s="519"/>
      <c r="T3466" s="760">
        <f>$A3466*S3466*$T$1</f>
        <v>0</v>
      </c>
      <c r="AR3466" s="758"/>
      <c r="AS3466" s="753"/>
    </row>
    <row r="3467" spans="1:45" s="520" customFormat="1" ht="12.6" thickBot="1">
      <c r="A3467" s="761" t="s">
        <v>145</v>
      </c>
      <c r="B3467" s="762">
        <f>(R3466+T3466)</f>
        <v>0</v>
      </c>
      <c r="C3467" s="763"/>
      <c r="D3467" s="763"/>
      <c r="E3467" s="763"/>
      <c r="F3467" s="764"/>
      <c r="G3467" s="763" t="s">
        <v>146</v>
      </c>
      <c r="H3467" s="763"/>
      <c r="I3467" s="765"/>
      <c r="J3467" s="763"/>
      <c r="K3467" s="763" t="s">
        <v>3</v>
      </c>
      <c r="L3467" s="766" t="s">
        <v>143</v>
      </c>
      <c r="M3467" s="766"/>
      <c r="N3467" s="766"/>
      <c r="O3467" s="766"/>
      <c r="P3467" s="766"/>
      <c r="Q3467" s="767"/>
      <c r="R3467" s="768">
        <f ca="1">SUM(R3462:R3466)</f>
        <v>21.020000000000003</v>
      </c>
      <c r="S3467" s="763"/>
      <c r="T3467" s="768">
        <f ca="1">SUM(T3462:T3466)</f>
        <v>1.0430000000000001</v>
      </c>
      <c r="U3467" s="531"/>
      <c r="V3467" s="531"/>
      <c r="W3467" s="531"/>
      <c r="X3467" s="531"/>
      <c r="Y3467" s="531"/>
      <c r="Z3467" s="531"/>
      <c r="AA3467" s="531"/>
      <c r="AB3467" s="531"/>
      <c r="AC3467" s="531"/>
      <c r="AD3467" s="531"/>
      <c r="AE3467" s="531"/>
      <c r="AF3467" s="531"/>
      <c r="AG3467" s="531"/>
      <c r="AH3467" s="531"/>
      <c r="AI3467" s="531"/>
      <c r="AJ3467" s="531"/>
      <c r="AK3467" s="531"/>
      <c r="AL3467" s="531"/>
      <c r="AM3467" s="531"/>
      <c r="AN3467" s="531"/>
      <c r="AO3467" s="531"/>
      <c r="AR3467" s="761" t="s">
        <v>145</v>
      </c>
      <c r="AS3467" s="764"/>
    </row>
    <row r="3468" spans="1:45" s="520" customFormat="1" ht="12" thickTop="1">
      <c r="A3468" s="51"/>
      <c r="B3468" s="41"/>
      <c r="C3468" s="51"/>
      <c r="E3468" s="42" t="s">
        <v>138</v>
      </c>
      <c r="F3468" s="42" t="s">
        <v>139</v>
      </c>
      <c r="G3468" s="51"/>
      <c r="H3468" s="51"/>
      <c r="I3468" s="51"/>
      <c r="J3468" s="51"/>
      <c r="K3468" s="51" t="s">
        <v>140</v>
      </c>
      <c r="L3468" s="51"/>
      <c r="M3468" s="51"/>
      <c r="N3468" s="51"/>
      <c r="O3468" s="52"/>
      <c r="P3468" s="51"/>
      <c r="Q3468" s="51"/>
      <c r="R3468" s="51"/>
      <c r="S3468" s="51"/>
      <c r="T3468" s="41"/>
      <c r="AG3468" s="521" t="s">
        <v>268</v>
      </c>
      <c r="AH3468" s="521" t="s">
        <v>269</v>
      </c>
      <c r="AI3468" s="521" t="s">
        <v>270</v>
      </c>
      <c r="AJ3468" s="521" t="s">
        <v>271</v>
      </c>
      <c r="AK3468" s="521" t="s">
        <v>272</v>
      </c>
      <c r="AM3468" s="745" t="s">
        <v>281</v>
      </c>
      <c r="AN3468" s="746" t="s">
        <v>282</v>
      </c>
      <c r="AO3468" s="522" t="s">
        <v>278</v>
      </c>
      <c r="AR3468" s="51"/>
      <c r="AS3468" s="42" t="s">
        <v>139</v>
      </c>
    </row>
    <row r="3469" spans="1:45" s="520" customFormat="1" ht="12" customHeight="1">
      <c r="A3469" s="747">
        <v>22</v>
      </c>
      <c r="B3469" s="523" t="s">
        <v>141</v>
      </c>
      <c r="C3469" s="748"/>
      <c r="D3469" s="749" t="s">
        <v>1662</v>
      </c>
      <c r="E3469" s="750">
        <f ca="1">IF(AND($A3469=0,$A$1="DIF"),0, ROUND(ROUND(($R3475*$S$2+($T3475*$T$2))/A3469,2)*$C$2,2))</f>
        <v>61.52</v>
      </c>
      <c r="F3469" s="751">
        <f ca="1">ROUND($A3469*$E3469,2)</f>
        <v>1353.44</v>
      </c>
      <c r="G3469" s="752" t="s">
        <v>142</v>
      </c>
      <c r="H3469" s="753"/>
      <c r="I3469" s="754"/>
      <c r="J3469" s="753"/>
      <c r="K3469" s="753" t="s">
        <v>3</v>
      </c>
      <c r="L3469" s="755" t="s">
        <v>143</v>
      </c>
      <c r="M3469" s="755"/>
      <c r="N3469" s="755"/>
      <c r="O3469" s="755"/>
      <c r="P3469" s="755"/>
      <c r="Q3469" s="51"/>
      <c r="T3469" s="756" t="str">
        <f ca="1">IF(AND($R3475=0,$T3475=0),"0.00","mu :" &amp; ROUND($F3469/$C$2/($R3475+$T3475*$D$9),2))</f>
        <v>mu :1.23</v>
      </c>
      <c r="W3469" s="524"/>
      <c r="AG3469" s="481">
        <f ca="1">IF($E3469=0,0,ROUND($R3475*$S$2*$C$2/$A3469,2))</f>
        <v>26.25</v>
      </c>
      <c r="AH3469" s="481">
        <f ca="1">$AG3469*$A3469</f>
        <v>577.5</v>
      </c>
      <c r="AI3469" s="525">
        <f ca="1">$E3469-$AG3469</f>
        <v>35.270000000000003</v>
      </c>
      <c r="AJ3469" s="525">
        <f ca="1">$A3469*$AI3469</f>
        <v>775.94</v>
      </c>
      <c r="AK3469" s="526">
        <f ca="1">ROUND(($AG3469+$AI3469)*$A3469,2)</f>
        <v>1353.44</v>
      </c>
      <c r="AM3469" s="527">
        <f ca="1">ROUND(R3475,2)</f>
        <v>469.04</v>
      </c>
      <c r="AN3469" s="528">
        <f ca="1">ROUND(T3475,2)</f>
        <v>22.95</v>
      </c>
      <c r="AO3469" s="529">
        <f ca="1">ROUND(AM3469+AN3469,2)*A3469</f>
        <v>10823.78</v>
      </c>
      <c r="AR3469" s="747">
        <v>22</v>
      </c>
      <c r="AS3469" s="751">
        <v>1440.34</v>
      </c>
    </row>
    <row r="3470" spans="1:45" s="520" customFormat="1" ht="13.2">
      <c r="A3470" s="748"/>
      <c r="B3470"/>
      <c r="C3470" s="748"/>
      <c r="D3470" s="749" t="s">
        <v>788</v>
      </c>
      <c r="F3470" s="753"/>
      <c r="G3470" s="3"/>
      <c r="H3470" s="753"/>
      <c r="I3470" s="754"/>
      <c r="J3470" s="753"/>
      <c r="K3470" s="753" t="s">
        <v>144</v>
      </c>
      <c r="L3470" s="753"/>
      <c r="M3470" s="753"/>
      <c r="N3470" s="753"/>
      <c r="O3470" s="753"/>
      <c r="P3470" s="753"/>
      <c r="Q3470" s="51"/>
      <c r="R3470" s="530"/>
      <c r="S3470" s="757"/>
      <c r="T3470" s="753"/>
      <c r="AR3470" s="748"/>
      <c r="AS3470" s="753"/>
    </row>
    <row r="3471" spans="1:45" s="886" customFormat="1" ht="13.2">
      <c r="A3471"/>
      <c r="B3471" s="910"/>
      <c r="C3471" s="910" t="s">
        <v>2597</v>
      </c>
      <c r="D3471" s="910" t="str">
        <f ca="1">CELL("Address",Elec_Rates!D$39)</f>
        <v>[E25_0062_Quintano_Foods_Elec_ELV_As_Awarded.xlsx]Elec_Rates!$D$39</v>
      </c>
      <c r="E3471" s="911"/>
      <c r="F3471" s="911"/>
      <c r="G3471" s="912" t="s">
        <v>2598</v>
      </c>
      <c r="H3471" s="912"/>
      <c r="I3471" s="912"/>
      <c r="J3471" s="912"/>
      <c r="K3471" s="913"/>
      <c r="L3471" s="911"/>
      <c r="M3471" s="911"/>
      <c r="N3471" s="911"/>
      <c r="O3471" s="914"/>
      <c r="P3471" s="911"/>
      <c r="Q3471" s="915"/>
      <c r="R3471" s="916"/>
      <c r="S3471" s="915"/>
      <c r="T3471" s="917"/>
      <c r="U3471" s="918"/>
      <c r="AR3471"/>
      <c r="AS3471" s="911"/>
    </row>
    <row r="3472" spans="1:45" s="886" customFormat="1" ht="11.4">
      <c r="A3472" s="919">
        <v>22</v>
      </c>
      <c r="B3472" s="920">
        <v>1</v>
      </c>
      <c r="C3472" s="920">
        <f>$A3472*$B3472</f>
        <v>22</v>
      </c>
      <c r="D3472" s="921" t="str">
        <f>Elec_Rates!$D$39</f>
        <v>003# Power Point Rate (LSZH Conduit)</v>
      </c>
      <c r="E3472" s="921"/>
      <c r="F3472" s="921" t="s">
        <v>2599</v>
      </c>
      <c r="G3472" s="922" t="s">
        <v>2601</v>
      </c>
      <c r="H3472" s="922"/>
      <c r="I3472" s="922"/>
      <c r="J3472" s="922"/>
      <c r="K3472" s="923"/>
      <c r="L3472" s="918"/>
      <c r="M3472" s="918"/>
      <c r="N3472" s="918"/>
      <c r="O3472" s="924"/>
      <c r="P3472" s="921"/>
      <c r="Q3472" s="925">
        <f ca="1">$B3472*Elec_Rates!$R$39</f>
        <v>18.920000000000002</v>
      </c>
      <c r="R3472" s="916">
        <f ca="1">$A3472*Q3472</f>
        <v>416.24</v>
      </c>
      <c r="S3472" s="925">
        <f ca="1">$B3472*Elec_Rates!$T$39</f>
        <v>0.89</v>
      </c>
      <c r="T3472" s="917">
        <f ca="1">$A3472*S3472</f>
        <v>19.580000000000002</v>
      </c>
      <c r="U3472" s="926"/>
      <c r="AR3472" s="919">
        <v>22</v>
      </c>
      <c r="AS3472" s="921" t="s">
        <v>2599</v>
      </c>
    </row>
    <row r="3473" spans="1:45" s="901" customFormat="1" ht="13.2">
      <c r="A3473" s="116">
        <v>22</v>
      </c>
      <c r="B3473" s="901" t="s">
        <v>141</v>
      </c>
      <c r="D3473" s="901" t="s">
        <v>2981</v>
      </c>
      <c r="E3473" s="901" t="s">
        <v>3424</v>
      </c>
      <c r="F3473" s="1054" t="s">
        <v>3437</v>
      </c>
      <c r="G3473" s="941" t="s">
        <v>2982</v>
      </c>
      <c r="H3473" s="942">
        <v>705</v>
      </c>
      <c r="I3473" s="901" t="s">
        <v>2979</v>
      </c>
      <c r="J3473" s="901" t="s">
        <v>2983</v>
      </c>
      <c r="O3473" s="943">
        <v>3</v>
      </c>
      <c r="P3473" s="944">
        <v>34669</v>
      </c>
      <c r="Q3473" s="945">
        <v>2.4</v>
      </c>
      <c r="R3473" s="946">
        <f>$A3473*Q3473</f>
        <v>52.8</v>
      </c>
      <c r="S3473" s="945">
        <v>0.17</v>
      </c>
      <c r="T3473" s="947">
        <f>$A3473*S3473*$T$1</f>
        <v>3.3660000000000001</v>
      </c>
      <c r="AR3473" s="116">
        <v>22</v>
      </c>
      <c r="AS3473" s="1054" t="s">
        <v>3437</v>
      </c>
    </row>
    <row r="3474" spans="1:45" s="520" customFormat="1" ht="12">
      <c r="A3474" s="758"/>
      <c r="B3474" s="758"/>
      <c r="C3474" s="758"/>
      <c r="D3474" s="758"/>
      <c r="E3474" s="758"/>
      <c r="F3474" s="753"/>
      <c r="G3474" s="758"/>
      <c r="H3474" s="758"/>
      <c r="I3474" s="519"/>
      <c r="J3474" s="758"/>
      <c r="K3474" s="758"/>
      <c r="L3474" s="758"/>
      <c r="M3474" s="758"/>
      <c r="N3474" s="758"/>
      <c r="O3474" s="758"/>
      <c r="P3474" s="758"/>
      <c r="Q3474" s="519"/>
      <c r="R3474" s="759">
        <f>$A3474*Q3474</f>
        <v>0</v>
      </c>
      <c r="S3474" s="519"/>
      <c r="T3474" s="760">
        <f>$A3474*S3474*$T$1</f>
        <v>0</v>
      </c>
      <c r="AR3474" s="758"/>
      <c r="AS3474" s="753"/>
    </row>
    <row r="3475" spans="1:45" s="520" customFormat="1" ht="12.6" thickBot="1">
      <c r="A3475" s="761" t="s">
        <v>145</v>
      </c>
      <c r="B3475" s="762">
        <f>(R3474+T3474)</f>
        <v>0</v>
      </c>
      <c r="C3475" s="763"/>
      <c r="D3475" s="763"/>
      <c r="E3475" s="763"/>
      <c r="F3475" s="764"/>
      <c r="G3475" s="763" t="s">
        <v>146</v>
      </c>
      <c r="H3475" s="763"/>
      <c r="I3475" s="765"/>
      <c r="J3475" s="763"/>
      <c r="K3475" s="763" t="s">
        <v>3</v>
      </c>
      <c r="L3475" s="766" t="s">
        <v>143</v>
      </c>
      <c r="M3475" s="766"/>
      <c r="N3475" s="766"/>
      <c r="O3475" s="766"/>
      <c r="P3475" s="766"/>
      <c r="Q3475" s="767"/>
      <c r="R3475" s="768">
        <f ca="1">SUM(R3470:R3474)</f>
        <v>469.04</v>
      </c>
      <c r="S3475" s="763"/>
      <c r="T3475" s="768">
        <f ca="1">SUM(T3470:T3474)</f>
        <v>22.946000000000002</v>
      </c>
      <c r="U3475" s="531"/>
      <c r="V3475" s="531"/>
      <c r="W3475" s="531"/>
      <c r="X3475" s="531"/>
      <c r="Y3475" s="531"/>
      <c r="Z3475" s="531"/>
      <c r="AA3475" s="531"/>
      <c r="AB3475" s="531"/>
      <c r="AC3475" s="531"/>
      <c r="AD3475" s="531"/>
      <c r="AE3475" s="531"/>
      <c r="AF3475" s="531"/>
      <c r="AG3475" s="531"/>
      <c r="AH3475" s="531"/>
      <c r="AI3475" s="531"/>
      <c r="AJ3475" s="531"/>
      <c r="AK3475" s="531"/>
      <c r="AL3475" s="531"/>
      <c r="AM3475" s="531"/>
      <c r="AN3475" s="531"/>
      <c r="AO3475" s="531"/>
      <c r="AR3475" s="761" t="s">
        <v>145</v>
      </c>
      <c r="AS3475" s="764"/>
    </row>
    <row r="3476" spans="1:45" s="520" customFormat="1" ht="12" thickTop="1">
      <c r="A3476" s="51"/>
      <c r="B3476" s="41"/>
      <c r="C3476" s="51"/>
      <c r="E3476" s="42" t="s">
        <v>138</v>
      </c>
      <c r="F3476" s="42" t="s">
        <v>139</v>
      </c>
      <c r="G3476" s="51"/>
      <c r="H3476" s="51"/>
      <c r="I3476" s="51"/>
      <c r="J3476" s="51"/>
      <c r="K3476" s="51" t="s">
        <v>140</v>
      </c>
      <c r="L3476" s="51"/>
      <c r="M3476" s="51"/>
      <c r="N3476" s="51"/>
      <c r="O3476" s="52"/>
      <c r="P3476" s="51"/>
      <c r="Q3476" s="51"/>
      <c r="R3476" s="51"/>
      <c r="S3476" s="51"/>
      <c r="T3476" s="41"/>
      <c r="AG3476" s="521" t="s">
        <v>268</v>
      </c>
      <c r="AH3476" s="521" t="s">
        <v>269</v>
      </c>
      <c r="AI3476" s="521" t="s">
        <v>270</v>
      </c>
      <c r="AJ3476" s="521" t="s">
        <v>271</v>
      </c>
      <c r="AK3476" s="521" t="s">
        <v>272</v>
      </c>
      <c r="AM3476" s="745" t="s">
        <v>281</v>
      </c>
      <c r="AN3476" s="746" t="s">
        <v>282</v>
      </c>
      <c r="AO3476" s="522" t="s">
        <v>278</v>
      </c>
      <c r="AR3476" s="51"/>
      <c r="AS3476" s="42" t="s">
        <v>139</v>
      </c>
    </row>
    <row r="3477" spans="1:45" s="520" customFormat="1" ht="12" customHeight="1">
      <c r="A3477" s="747">
        <v>10</v>
      </c>
      <c r="B3477" s="523" t="s">
        <v>141</v>
      </c>
      <c r="C3477" s="748"/>
      <c r="D3477" s="749" t="s">
        <v>1663</v>
      </c>
      <c r="E3477" s="750">
        <f ca="1">IF(AND($A3477=0,$A$1="DIF"),0, ROUND(ROUND(($R3483*$S$2+($T3483*$T$2))/A3477,2)*$C$2,2))</f>
        <v>64.84</v>
      </c>
      <c r="F3477" s="751">
        <f ca="1">ROUND($A3477*$E3477,2)</f>
        <v>648.4</v>
      </c>
      <c r="G3477" s="752" t="s">
        <v>142</v>
      </c>
      <c r="H3477" s="753"/>
      <c r="I3477" s="754"/>
      <c r="J3477" s="753"/>
      <c r="K3477" s="753" t="s">
        <v>3</v>
      </c>
      <c r="L3477" s="755" t="s">
        <v>143</v>
      </c>
      <c r="M3477" s="755"/>
      <c r="N3477" s="755"/>
      <c r="O3477" s="755"/>
      <c r="P3477" s="755"/>
      <c r="Q3477" s="51"/>
      <c r="T3477" s="756" t="str">
        <f ca="1">IF(AND($R3483=0,$T3483=0),"0.00","mu :" &amp; ROUND($F3477/$C$2/($R3483+$T3483*$D$9),2))</f>
        <v>mu :1.23</v>
      </c>
      <c r="W3477" s="524"/>
      <c r="AG3477" s="481">
        <f ca="1">IF($E3477=0,0,ROUND($R3483*$S$2*$C$2/$A3477,2))</f>
        <v>29.58</v>
      </c>
      <c r="AH3477" s="481">
        <f ca="1">$AG3477*$A3477</f>
        <v>295.79999999999995</v>
      </c>
      <c r="AI3477" s="525">
        <f ca="1">$E3477-$AG3477</f>
        <v>35.260000000000005</v>
      </c>
      <c r="AJ3477" s="525">
        <f ca="1">$A3477*$AI3477</f>
        <v>352.6</v>
      </c>
      <c r="AK3477" s="526">
        <f ca="1">ROUND(($AG3477+$AI3477)*$A3477,2)</f>
        <v>648.4</v>
      </c>
      <c r="AM3477" s="527">
        <f ca="1">ROUND(R3483,2)</f>
        <v>240.2</v>
      </c>
      <c r="AN3477" s="528">
        <f ca="1">ROUND(T3483,2)</f>
        <v>10.43</v>
      </c>
      <c r="AO3477" s="529">
        <f ca="1">ROUND(AM3477+AN3477,2)*A3477</f>
        <v>2506.3000000000002</v>
      </c>
      <c r="AR3477" s="747">
        <v>10</v>
      </c>
      <c r="AS3477" s="751">
        <v>688</v>
      </c>
    </row>
    <row r="3478" spans="1:45" s="520" customFormat="1" ht="13.2">
      <c r="A3478" s="748"/>
      <c r="B3478"/>
      <c r="C3478" s="748"/>
      <c r="D3478" s="749" t="s">
        <v>724</v>
      </c>
      <c r="F3478" s="753"/>
      <c r="G3478" s="3"/>
      <c r="H3478" s="753"/>
      <c r="I3478" s="754"/>
      <c r="J3478" s="753"/>
      <c r="K3478" s="753" t="s">
        <v>144</v>
      </c>
      <c r="L3478" s="753"/>
      <c r="M3478" s="753"/>
      <c r="N3478" s="753"/>
      <c r="O3478" s="753"/>
      <c r="P3478" s="753"/>
      <c r="Q3478" s="51"/>
      <c r="R3478" s="530"/>
      <c r="S3478" s="757"/>
      <c r="T3478" s="753"/>
      <c r="AR3478" s="748"/>
      <c r="AS3478" s="753"/>
    </row>
    <row r="3479" spans="1:45" s="886" customFormat="1" ht="13.2">
      <c r="A3479"/>
      <c r="B3479" s="910"/>
      <c r="C3479" s="910" t="s">
        <v>2597</v>
      </c>
      <c r="D3479" s="910" t="str">
        <f ca="1">CELL("Address",Elec_Rates!D$39)</f>
        <v>[E25_0062_Quintano_Foods_Elec_ELV_As_Awarded.xlsx]Elec_Rates!$D$39</v>
      </c>
      <c r="E3479" s="911"/>
      <c r="F3479" s="911"/>
      <c r="G3479" s="912" t="s">
        <v>2598</v>
      </c>
      <c r="H3479" s="912"/>
      <c r="I3479" s="912"/>
      <c r="J3479" s="912"/>
      <c r="K3479" s="913"/>
      <c r="L3479" s="911"/>
      <c r="M3479" s="911"/>
      <c r="N3479" s="911"/>
      <c r="O3479" s="914"/>
      <c r="P3479" s="911"/>
      <c r="Q3479" s="915"/>
      <c r="R3479" s="916"/>
      <c r="S3479" s="915"/>
      <c r="T3479" s="917"/>
      <c r="U3479" s="918"/>
      <c r="AR3479"/>
      <c r="AS3479" s="911"/>
    </row>
    <row r="3480" spans="1:45" s="886" customFormat="1" ht="11.4">
      <c r="A3480" s="919">
        <v>10</v>
      </c>
      <c r="B3480" s="920">
        <v>1</v>
      </c>
      <c r="C3480" s="920">
        <f>$A3480*$B3480</f>
        <v>10</v>
      </c>
      <c r="D3480" s="921" t="str">
        <f>Elec_Rates!$D$39</f>
        <v>003# Power Point Rate (LSZH Conduit)</v>
      </c>
      <c r="E3480" s="921"/>
      <c r="F3480" s="921" t="s">
        <v>2599</v>
      </c>
      <c r="G3480" s="922" t="s">
        <v>2601</v>
      </c>
      <c r="H3480" s="922"/>
      <c r="I3480" s="922"/>
      <c r="J3480" s="922"/>
      <c r="K3480" s="923"/>
      <c r="L3480" s="918"/>
      <c r="M3480" s="918"/>
      <c r="N3480" s="918"/>
      <c r="O3480" s="924"/>
      <c r="P3480" s="921"/>
      <c r="Q3480" s="925">
        <f ca="1">$B3480*Elec_Rates!$R$39</f>
        <v>18.920000000000002</v>
      </c>
      <c r="R3480" s="916">
        <f ca="1">$A3480*Q3480</f>
        <v>189.20000000000002</v>
      </c>
      <c r="S3480" s="925">
        <f ca="1">$B3480*Elec_Rates!$T$39</f>
        <v>0.89</v>
      </c>
      <c r="T3480" s="917">
        <f ca="1">$A3480*S3480</f>
        <v>8.9</v>
      </c>
      <c r="U3480" s="926"/>
      <c r="AR3480" s="919">
        <v>10</v>
      </c>
      <c r="AS3480" s="921" t="s">
        <v>2599</v>
      </c>
    </row>
    <row r="3481" spans="1:45" s="901" customFormat="1" ht="13.2">
      <c r="A3481" s="116">
        <v>10</v>
      </c>
      <c r="B3481" s="901" t="s">
        <v>141</v>
      </c>
      <c r="D3481" s="901" t="s">
        <v>2984</v>
      </c>
      <c r="E3481" s="901" t="s">
        <v>3424</v>
      </c>
      <c r="F3481" s="1054" t="s">
        <v>3434</v>
      </c>
      <c r="G3481" s="941" t="s">
        <v>2985</v>
      </c>
      <c r="H3481" s="942">
        <v>705</v>
      </c>
      <c r="I3481" s="901" t="s">
        <v>2979</v>
      </c>
      <c r="J3481" s="901" t="s">
        <v>2986</v>
      </c>
      <c r="O3481" s="943">
        <v>3</v>
      </c>
      <c r="P3481" s="944">
        <v>34669</v>
      </c>
      <c r="Q3481" s="945">
        <v>5.0999999999999996</v>
      </c>
      <c r="R3481" s="946">
        <f>$A3481*Q3481</f>
        <v>51</v>
      </c>
      <c r="S3481" s="945">
        <v>0.17</v>
      </c>
      <c r="T3481" s="947">
        <f>$A3481*S3481*$T$1</f>
        <v>1.5300000000000002</v>
      </c>
      <c r="AR3481" s="116">
        <v>10</v>
      </c>
      <c r="AS3481" s="1054" t="s">
        <v>3434</v>
      </c>
    </row>
    <row r="3482" spans="1:45" s="520" customFormat="1" ht="12">
      <c r="A3482" s="758"/>
      <c r="B3482" s="758"/>
      <c r="C3482" s="758"/>
      <c r="D3482" s="758"/>
      <c r="E3482" s="758"/>
      <c r="F3482" s="753"/>
      <c r="G3482" s="758"/>
      <c r="H3482" s="758"/>
      <c r="I3482" s="519"/>
      <c r="J3482" s="758"/>
      <c r="K3482" s="758"/>
      <c r="L3482" s="758"/>
      <c r="M3482" s="758"/>
      <c r="N3482" s="758"/>
      <c r="O3482" s="758"/>
      <c r="P3482" s="758"/>
      <c r="Q3482" s="519"/>
      <c r="R3482" s="759">
        <f>$A3482*Q3482</f>
        <v>0</v>
      </c>
      <c r="S3482" s="519"/>
      <c r="T3482" s="760">
        <f>$A3482*S3482*$T$1</f>
        <v>0</v>
      </c>
      <c r="AR3482" s="758"/>
      <c r="AS3482" s="753"/>
    </row>
    <row r="3483" spans="1:45" s="520" customFormat="1" ht="12.6" thickBot="1">
      <c r="A3483" s="761" t="s">
        <v>145</v>
      </c>
      <c r="B3483" s="762">
        <f>(R3482+T3482)</f>
        <v>0</v>
      </c>
      <c r="C3483" s="763"/>
      <c r="D3483" s="763"/>
      <c r="E3483" s="763"/>
      <c r="F3483" s="764"/>
      <c r="G3483" s="763" t="s">
        <v>146</v>
      </c>
      <c r="H3483" s="763"/>
      <c r="I3483" s="765"/>
      <c r="J3483" s="763"/>
      <c r="K3483" s="763" t="s">
        <v>3</v>
      </c>
      <c r="L3483" s="766" t="s">
        <v>143</v>
      </c>
      <c r="M3483" s="766"/>
      <c r="N3483" s="766"/>
      <c r="O3483" s="766"/>
      <c r="P3483" s="766"/>
      <c r="Q3483" s="767"/>
      <c r="R3483" s="768">
        <f ca="1">SUM(R3478:R3482)</f>
        <v>240.20000000000002</v>
      </c>
      <c r="S3483" s="763"/>
      <c r="T3483" s="768">
        <f ca="1">SUM(T3478:T3482)</f>
        <v>10.43</v>
      </c>
      <c r="U3483" s="531"/>
      <c r="V3483" s="531"/>
      <c r="W3483" s="531"/>
      <c r="X3483" s="531"/>
      <c r="Y3483" s="531"/>
      <c r="Z3483" s="531"/>
      <c r="AA3483" s="531"/>
      <c r="AB3483" s="531"/>
      <c r="AC3483" s="531"/>
      <c r="AD3483" s="531"/>
      <c r="AE3483" s="531"/>
      <c r="AF3483" s="531"/>
      <c r="AG3483" s="531"/>
      <c r="AH3483" s="531"/>
      <c r="AI3483" s="531"/>
      <c r="AJ3483" s="531"/>
      <c r="AK3483" s="531"/>
      <c r="AL3483" s="531"/>
      <c r="AM3483" s="531"/>
      <c r="AN3483" s="531"/>
      <c r="AO3483" s="531"/>
      <c r="AR3483" s="761" t="s">
        <v>145</v>
      </c>
      <c r="AS3483" s="764"/>
    </row>
    <row r="3484" spans="1:45" s="520" customFormat="1" ht="12" thickTop="1">
      <c r="A3484" s="51"/>
      <c r="B3484" s="41"/>
      <c r="C3484" s="51"/>
      <c r="E3484" s="42" t="s">
        <v>138</v>
      </c>
      <c r="F3484" s="42" t="s">
        <v>139</v>
      </c>
      <c r="G3484" s="51"/>
      <c r="H3484" s="51"/>
      <c r="I3484" s="51"/>
      <c r="J3484" s="51"/>
      <c r="K3484" s="51" t="s">
        <v>140</v>
      </c>
      <c r="L3484" s="51"/>
      <c r="M3484" s="51"/>
      <c r="N3484" s="51"/>
      <c r="O3484" s="52"/>
      <c r="P3484" s="51"/>
      <c r="Q3484" s="51"/>
      <c r="R3484" s="51"/>
      <c r="S3484" s="51"/>
      <c r="T3484" s="41"/>
      <c r="AG3484" s="521" t="s">
        <v>268</v>
      </c>
      <c r="AH3484" s="521" t="s">
        <v>269</v>
      </c>
      <c r="AI3484" s="521" t="s">
        <v>270</v>
      </c>
      <c r="AJ3484" s="521" t="s">
        <v>271</v>
      </c>
      <c r="AK3484" s="521" t="s">
        <v>272</v>
      </c>
      <c r="AM3484" s="745" t="s">
        <v>281</v>
      </c>
      <c r="AN3484" s="746" t="s">
        <v>282</v>
      </c>
      <c r="AO3484" s="522" t="s">
        <v>278</v>
      </c>
      <c r="AR3484" s="51"/>
      <c r="AS3484" s="42" t="s">
        <v>139</v>
      </c>
    </row>
    <row r="3485" spans="1:45" s="520" customFormat="1" ht="12" customHeight="1">
      <c r="A3485" s="747">
        <v>3</v>
      </c>
      <c r="B3485" s="523" t="s">
        <v>141</v>
      </c>
      <c r="C3485" s="748"/>
      <c r="D3485" s="749" t="s">
        <v>1664</v>
      </c>
      <c r="E3485" s="750">
        <f ca="1">IF(AND($A3485=0,$A$1="DIF"),0, ROUND(ROUND(($R3491*$S$2+($T3491*$T$2))/A3485,2)*$C$2,2))</f>
        <v>190.4</v>
      </c>
      <c r="F3485" s="751">
        <f ca="1">ROUND($A3485*$E3485,2)</f>
        <v>571.20000000000005</v>
      </c>
      <c r="G3485" s="752" t="s">
        <v>142</v>
      </c>
      <c r="H3485" s="753"/>
      <c r="I3485" s="754"/>
      <c r="J3485" s="753"/>
      <c r="K3485" s="753" t="s">
        <v>3</v>
      </c>
      <c r="L3485" s="755" t="s">
        <v>143</v>
      </c>
      <c r="M3485" s="755"/>
      <c r="N3485" s="755"/>
      <c r="O3485" s="755"/>
      <c r="P3485" s="755"/>
      <c r="Q3485" s="51"/>
      <c r="T3485" s="756" t="str">
        <f ca="1">IF(AND($R3491=0,$T3491=0),"0.00","mu :" &amp; ROUND($F3485/$C$2/($R3491+$T3491*$D$9),2))</f>
        <v>mu :1.23</v>
      </c>
      <c r="W3485" s="524"/>
      <c r="AG3485" s="481">
        <f ca="1">IF($E3485=0,0,ROUND($R3491*$S$2*$C$2/$A3485,2))</f>
        <v>151.75</v>
      </c>
      <c r="AH3485" s="481">
        <f ca="1">$AG3485*$A3485</f>
        <v>455.25</v>
      </c>
      <c r="AI3485" s="525">
        <f ca="1">$E3485-$AG3485</f>
        <v>38.650000000000006</v>
      </c>
      <c r="AJ3485" s="525">
        <f ca="1">$A3485*$AI3485</f>
        <v>115.95000000000002</v>
      </c>
      <c r="AK3485" s="526">
        <f ca="1">ROUND(($AG3485+$AI3485)*$A3485,2)</f>
        <v>571.20000000000005</v>
      </c>
      <c r="AM3485" s="527">
        <f ca="1">ROUND(R3491,2)</f>
        <v>369.72</v>
      </c>
      <c r="AN3485" s="528">
        <f ca="1">ROUND(T3491,2)</f>
        <v>3.43</v>
      </c>
      <c r="AO3485" s="529">
        <f ca="1">ROUND(AM3485+AN3485,2)*A3485</f>
        <v>1119.4499999999998</v>
      </c>
      <c r="AR3485" s="747">
        <v>3</v>
      </c>
      <c r="AS3485" s="751">
        <v>600.84</v>
      </c>
    </row>
    <row r="3486" spans="1:45" s="520" customFormat="1" ht="13.2">
      <c r="A3486" s="748"/>
      <c r="B3486"/>
      <c r="C3486" s="748"/>
      <c r="D3486" s="749" t="s">
        <v>806</v>
      </c>
      <c r="F3486" s="753"/>
      <c r="G3486" s="3"/>
      <c r="H3486" s="753"/>
      <c r="I3486" s="754"/>
      <c r="J3486" s="753"/>
      <c r="K3486" s="753" t="s">
        <v>144</v>
      </c>
      <c r="L3486" s="753"/>
      <c r="M3486" s="753"/>
      <c r="N3486" s="753"/>
      <c r="O3486" s="753"/>
      <c r="P3486" s="753"/>
      <c r="Q3486" s="51"/>
      <c r="R3486" s="530"/>
      <c r="S3486" s="757"/>
      <c r="T3486" s="753"/>
      <c r="AR3486" s="748"/>
      <c r="AS3486" s="753"/>
    </row>
    <row r="3487" spans="1:45" s="886" customFormat="1" ht="13.2">
      <c r="A3487"/>
      <c r="B3487" s="910"/>
      <c r="C3487" s="910" t="s">
        <v>2597</v>
      </c>
      <c r="D3487" s="910" t="str">
        <f ca="1">CELL("Address",Elec_Rates!D$127)</f>
        <v>[E25_0062_Quintano_Foods_Elec_ELV_As_Awarded.xlsx]Elec_Rates!$D$127</v>
      </c>
      <c r="E3487" s="911"/>
      <c r="F3487" s="911"/>
      <c r="G3487" s="912" t="s">
        <v>2598</v>
      </c>
      <c r="H3487" s="912"/>
      <c r="I3487" s="912"/>
      <c r="J3487" s="912"/>
      <c r="K3487" s="913"/>
      <c r="L3487" s="911"/>
      <c r="M3487" s="911"/>
      <c r="N3487" s="911"/>
      <c r="O3487" s="914"/>
      <c r="P3487" s="911"/>
      <c r="Q3487" s="915"/>
      <c r="R3487" s="916"/>
      <c r="S3487" s="915"/>
      <c r="T3487" s="917"/>
      <c r="U3487" s="918"/>
      <c r="AR3487"/>
      <c r="AS3487" s="911"/>
    </row>
    <row r="3488" spans="1:45" s="886" customFormat="1" ht="11.4">
      <c r="A3488" s="919">
        <v>3</v>
      </c>
      <c r="B3488" s="920">
        <v>1</v>
      </c>
      <c r="C3488" s="920">
        <f>$A3488*$B3488</f>
        <v>3</v>
      </c>
      <c r="D3488" s="921" t="str">
        <f>Elec_Rates!$D$127</f>
        <v>011# Power points rate LSZH conduit (CWZ LSZH Cable)</v>
      </c>
      <c r="E3488" s="921"/>
      <c r="F3488" s="921" t="s">
        <v>2599</v>
      </c>
      <c r="G3488" s="922" t="s">
        <v>2601</v>
      </c>
      <c r="H3488" s="922"/>
      <c r="I3488" s="922"/>
      <c r="J3488" s="922"/>
      <c r="K3488" s="923"/>
      <c r="L3488" s="918"/>
      <c r="M3488" s="918"/>
      <c r="N3488" s="918"/>
      <c r="O3488" s="924"/>
      <c r="P3488" s="921"/>
      <c r="Q3488" s="925">
        <f ca="1">$B3488*Elec_Rates!$R$127</f>
        <v>117.03</v>
      </c>
      <c r="R3488" s="916">
        <f ca="1">$A3488*Q3488</f>
        <v>351.09000000000003</v>
      </c>
      <c r="S3488" s="925">
        <f ca="1">$B3488*Elec_Rates!$T$127</f>
        <v>0.99</v>
      </c>
      <c r="T3488" s="917">
        <f ca="1">$A3488*S3488</f>
        <v>2.9699999999999998</v>
      </c>
      <c r="U3488" s="926"/>
      <c r="AR3488" s="919">
        <v>3</v>
      </c>
      <c r="AS3488" s="921" t="s">
        <v>2599</v>
      </c>
    </row>
    <row r="3489" spans="1:45" s="901" customFormat="1" ht="13.2">
      <c r="A3489" s="116">
        <v>3</v>
      </c>
      <c r="B3489" s="901" t="s">
        <v>141</v>
      </c>
      <c r="D3489" s="901" t="s">
        <v>2987</v>
      </c>
      <c r="E3489" s="901" t="s">
        <v>3424</v>
      </c>
      <c r="F3489" s="1054" t="s">
        <v>3432</v>
      </c>
      <c r="G3489" s="941" t="s">
        <v>2988</v>
      </c>
      <c r="H3489" s="942">
        <v>705</v>
      </c>
      <c r="I3489" s="901" t="s">
        <v>2607</v>
      </c>
      <c r="O3489" s="943">
        <v>3</v>
      </c>
      <c r="P3489" s="944"/>
      <c r="Q3489" s="945">
        <v>6.21</v>
      </c>
      <c r="R3489" s="946">
        <f>$A3489*Q3489</f>
        <v>18.63</v>
      </c>
      <c r="S3489" s="945">
        <v>0.17</v>
      </c>
      <c r="T3489" s="947">
        <f>$A3489*S3489*$T$1</f>
        <v>0.45900000000000002</v>
      </c>
      <c r="AR3489" s="116">
        <v>3</v>
      </c>
      <c r="AS3489" s="1054" t="s">
        <v>3432</v>
      </c>
    </row>
    <row r="3490" spans="1:45" s="520" customFormat="1" ht="12">
      <c r="A3490" s="758"/>
      <c r="B3490" s="758"/>
      <c r="C3490" s="758"/>
      <c r="D3490" s="758"/>
      <c r="E3490" s="758"/>
      <c r="F3490" s="753"/>
      <c r="G3490" s="758"/>
      <c r="H3490" s="758"/>
      <c r="I3490" s="519"/>
      <c r="J3490" s="758"/>
      <c r="K3490" s="758"/>
      <c r="L3490" s="758"/>
      <c r="M3490" s="758"/>
      <c r="N3490" s="758"/>
      <c r="O3490" s="758"/>
      <c r="P3490" s="758"/>
      <c r="Q3490" s="519"/>
      <c r="R3490" s="759">
        <f>$A3490*Q3490</f>
        <v>0</v>
      </c>
      <c r="S3490" s="519"/>
      <c r="T3490" s="760">
        <f>$A3490*S3490*$T$1</f>
        <v>0</v>
      </c>
      <c r="AR3490" s="758"/>
      <c r="AS3490" s="753"/>
    </row>
    <row r="3491" spans="1:45" s="520" customFormat="1" ht="12.6" thickBot="1">
      <c r="A3491" s="761" t="s">
        <v>145</v>
      </c>
      <c r="B3491" s="762">
        <f>(R3490+T3490)</f>
        <v>0</v>
      </c>
      <c r="C3491" s="763"/>
      <c r="D3491" s="763"/>
      <c r="E3491" s="763"/>
      <c r="F3491" s="764"/>
      <c r="G3491" s="763" t="s">
        <v>146</v>
      </c>
      <c r="H3491" s="763"/>
      <c r="I3491" s="765"/>
      <c r="J3491" s="763"/>
      <c r="K3491" s="763" t="s">
        <v>3</v>
      </c>
      <c r="L3491" s="766" t="s">
        <v>143</v>
      </c>
      <c r="M3491" s="766"/>
      <c r="N3491" s="766"/>
      <c r="O3491" s="766"/>
      <c r="P3491" s="766"/>
      <c r="Q3491" s="767"/>
      <c r="R3491" s="768">
        <f ca="1">SUM(R3486:R3490)</f>
        <v>369.72</v>
      </c>
      <c r="S3491" s="763"/>
      <c r="T3491" s="768">
        <f ca="1">SUM(T3486:T3490)</f>
        <v>3.4289999999999998</v>
      </c>
      <c r="U3491" s="531"/>
      <c r="V3491" s="531"/>
      <c r="W3491" s="531"/>
      <c r="X3491" s="531"/>
      <c r="Y3491" s="531"/>
      <c r="Z3491" s="531"/>
      <c r="AA3491" s="531"/>
      <c r="AB3491" s="531"/>
      <c r="AC3491" s="531"/>
      <c r="AD3491" s="531"/>
      <c r="AE3491" s="531"/>
      <c r="AF3491" s="531"/>
      <c r="AG3491" s="531"/>
      <c r="AH3491" s="531"/>
      <c r="AI3491" s="531"/>
      <c r="AJ3491" s="531"/>
      <c r="AK3491" s="531"/>
      <c r="AL3491" s="531"/>
      <c r="AM3491" s="531"/>
      <c r="AN3491" s="531"/>
      <c r="AO3491" s="531"/>
      <c r="AR3491" s="761" t="s">
        <v>145</v>
      </c>
      <c r="AS3491" s="764"/>
    </row>
    <row r="3492" spans="1:45" s="520" customFormat="1" ht="12" thickTop="1">
      <c r="A3492" s="51"/>
      <c r="B3492" s="41"/>
      <c r="C3492" s="51"/>
      <c r="E3492" s="42" t="s">
        <v>138</v>
      </c>
      <c r="F3492" s="42" t="s">
        <v>139</v>
      </c>
      <c r="G3492" s="51"/>
      <c r="H3492" s="51"/>
      <c r="I3492" s="51"/>
      <c r="J3492" s="51"/>
      <c r="K3492" s="51" t="s">
        <v>140</v>
      </c>
      <c r="L3492" s="51"/>
      <c r="M3492" s="51"/>
      <c r="N3492" s="51"/>
      <c r="O3492" s="52"/>
      <c r="P3492" s="51"/>
      <c r="Q3492" s="51"/>
      <c r="R3492" s="51"/>
      <c r="S3492" s="51"/>
      <c r="T3492" s="41"/>
      <c r="AG3492" s="521" t="s">
        <v>268</v>
      </c>
      <c r="AH3492" s="521" t="s">
        <v>269</v>
      </c>
      <c r="AI3492" s="521" t="s">
        <v>270</v>
      </c>
      <c r="AJ3492" s="521" t="s">
        <v>271</v>
      </c>
      <c r="AK3492" s="521" t="s">
        <v>272</v>
      </c>
      <c r="AM3492" s="745" t="s">
        <v>281</v>
      </c>
      <c r="AN3492" s="746" t="s">
        <v>282</v>
      </c>
      <c r="AO3492" s="522" t="s">
        <v>278</v>
      </c>
      <c r="AR3492" s="51"/>
      <c r="AS3492" s="42" t="s">
        <v>139</v>
      </c>
    </row>
    <row r="3493" spans="1:45" s="520" customFormat="1" ht="12" customHeight="1">
      <c r="A3493" s="747">
        <v>1</v>
      </c>
      <c r="B3493" s="523" t="s">
        <v>141</v>
      </c>
      <c r="C3493" s="748"/>
      <c r="D3493" s="749" t="s">
        <v>1665</v>
      </c>
      <c r="E3493" s="750">
        <f ca="1">IF(AND($A3493=0,$A$1="DIF"),0, ROUND(ROUND(($R3499*$S$2+($T3499*$T$2))/A3493,2)*$C$2,2))</f>
        <v>63.24</v>
      </c>
      <c r="F3493" s="751">
        <f ca="1">ROUND($A3493*$E3493,2)</f>
        <v>63.24</v>
      </c>
      <c r="G3493" s="752" t="s">
        <v>142</v>
      </c>
      <c r="H3493" s="753"/>
      <c r="I3493" s="754"/>
      <c r="J3493" s="753"/>
      <c r="K3493" s="753" t="s">
        <v>3</v>
      </c>
      <c r="L3493" s="755" t="s">
        <v>143</v>
      </c>
      <c r="M3493" s="755"/>
      <c r="N3493" s="755"/>
      <c r="O3493" s="755"/>
      <c r="P3493" s="755"/>
      <c r="Q3493" s="51"/>
      <c r="T3493" s="756" t="str">
        <f ca="1">IF(AND($R3499=0,$T3499=0),"0.00","mu :" &amp; ROUND($F3493/$C$2/($R3499+$T3499*$D$9),2))</f>
        <v>mu :1.23</v>
      </c>
      <c r="W3493" s="524"/>
      <c r="AG3493" s="481">
        <f ca="1">IF($E3493=0,0,ROUND($R3499*$S$2*$C$2/$A3493,2))</f>
        <v>27.98</v>
      </c>
      <c r="AH3493" s="481">
        <f ca="1">$AG3493*$A3493</f>
        <v>27.98</v>
      </c>
      <c r="AI3493" s="525">
        <f ca="1">$E3493-$AG3493</f>
        <v>35.260000000000005</v>
      </c>
      <c r="AJ3493" s="525">
        <f ca="1">$A3493*$AI3493</f>
        <v>35.260000000000005</v>
      </c>
      <c r="AK3493" s="526">
        <f ca="1">ROUND(($AG3493+$AI3493)*$A3493,2)</f>
        <v>63.24</v>
      </c>
      <c r="AM3493" s="527">
        <f ca="1">ROUND(R3499,2)</f>
        <v>22.72</v>
      </c>
      <c r="AN3493" s="528">
        <f ca="1">ROUND(T3499,2)</f>
        <v>1.04</v>
      </c>
      <c r="AO3493" s="529">
        <f ca="1">ROUND(AM3493+AN3493,2)*A3493</f>
        <v>23.76</v>
      </c>
      <c r="AR3493" s="747">
        <v>1</v>
      </c>
      <c r="AS3493" s="751">
        <v>67.2</v>
      </c>
    </row>
    <row r="3494" spans="1:45" s="520" customFormat="1" ht="13.2">
      <c r="A3494" s="748"/>
      <c r="B3494"/>
      <c r="C3494" s="748"/>
      <c r="D3494" s="749" t="s">
        <v>807</v>
      </c>
      <c r="F3494" s="753"/>
      <c r="G3494" s="3"/>
      <c r="H3494" s="753"/>
      <c r="I3494" s="754"/>
      <c r="J3494" s="753"/>
      <c r="K3494" s="753" t="s">
        <v>144</v>
      </c>
      <c r="L3494" s="753"/>
      <c r="M3494" s="753"/>
      <c r="N3494" s="753"/>
      <c r="O3494" s="753"/>
      <c r="P3494" s="753"/>
      <c r="Q3494" s="51"/>
      <c r="R3494" s="530"/>
      <c r="S3494" s="757"/>
      <c r="T3494" s="753"/>
      <c r="AR3494" s="748"/>
      <c r="AS3494" s="753"/>
    </row>
    <row r="3495" spans="1:45" s="886" customFormat="1" ht="13.2">
      <c r="A3495"/>
      <c r="B3495" s="910"/>
      <c r="C3495" s="910" t="s">
        <v>2597</v>
      </c>
      <c r="D3495" s="910" t="str">
        <f ca="1">CELL("Address",Elec_Rates!D$39)</f>
        <v>[E25_0062_Quintano_Foods_Elec_ELV_As_Awarded.xlsx]Elec_Rates!$D$39</v>
      </c>
      <c r="E3495" s="911"/>
      <c r="F3495" s="911"/>
      <c r="G3495" s="912" t="s">
        <v>2598</v>
      </c>
      <c r="H3495" s="912"/>
      <c r="I3495" s="912"/>
      <c r="J3495" s="912"/>
      <c r="K3495" s="913"/>
      <c r="L3495" s="911"/>
      <c r="M3495" s="911"/>
      <c r="N3495" s="911"/>
      <c r="O3495" s="914"/>
      <c r="P3495" s="911"/>
      <c r="Q3495" s="915"/>
      <c r="R3495" s="916"/>
      <c r="S3495" s="915"/>
      <c r="T3495" s="917"/>
      <c r="U3495" s="918"/>
      <c r="AR3495"/>
      <c r="AS3495" s="911"/>
    </row>
    <row r="3496" spans="1:45" s="886" customFormat="1" ht="11.4">
      <c r="A3496" s="919">
        <v>1</v>
      </c>
      <c r="B3496" s="920">
        <v>1</v>
      </c>
      <c r="C3496" s="920">
        <f>$A3496*$B3496</f>
        <v>1</v>
      </c>
      <c r="D3496" s="921" t="str">
        <f>Elec_Rates!$D$39</f>
        <v>003# Power Point Rate (LSZH Conduit)</v>
      </c>
      <c r="E3496" s="921"/>
      <c r="F3496" s="921" t="s">
        <v>2599</v>
      </c>
      <c r="G3496" s="922" t="s">
        <v>2601</v>
      </c>
      <c r="H3496" s="922"/>
      <c r="I3496" s="922"/>
      <c r="J3496" s="922"/>
      <c r="K3496" s="923"/>
      <c r="L3496" s="918"/>
      <c r="M3496" s="918"/>
      <c r="N3496" s="918"/>
      <c r="O3496" s="924"/>
      <c r="P3496" s="921"/>
      <c r="Q3496" s="925">
        <f ca="1">$B3496*Elec_Rates!$R$39</f>
        <v>18.920000000000002</v>
      </c>
      <c r="R3496" s="916">
        <f ca="1">$A3496*Q3496</f>
        <v>18.920000000000002</v>
      </c>
      <c r="S3496" s="925">
        <f ca="1">$B3496*Elec_Rates!$T$39</f>
        <v>0.89</v>
      </c>
      <c r="T3496" s="917">
        <f ca="1">$A3496*S3496</f>
        <v>0.89</v>
      </c>
      <c r="U3496" s="926"/>
      <c r="AR3496" s="919">
        <v>1</v>
      </c>
      <c r="AS3496" s="921" t="s">
        <v>2599</v>
      </c>
    </row>
    <row r="3497" spans="1:45" s="901" customFormat="1" ht="13.2">
      <c r="A3497" s="116">
        <v>1</v>
      </c>
      <c r="B3497" s="901" t="s">
        <v>141</v>
      </c>
      <c r="D3497" s="901" t="s">
        <v>2989</v>
      </c>
      <c r="E3497" s="901" t="s">
        <v>3424</v>
      </c>
      <c r="F3497" s="1054" t="s">
        <v>3435</v>
      </c>
      <c r="G3497" s="941" t="s">
        <v>2990</v>
      </c>
      <c r="H3497" s="942">
        <v>705</v>
      </c>
      <c r="I3497" s="901" t="s">
        <v>2991</v>
      </c>
      <c r="J3497" s="901" t="s">
        <v>2992</v>
      </c>
      <c r="O3497" s="943">
        <v>3</v>
      </c>
      <c r="P3497" s="944">
        <v>34669</v>
      </c>
      <c r="Q3497" s="945">
        <v>3.8</v>
      </c>
      <c r="R3497" s="946">
        <f>$A3497*Q3497</f>
        <v>3.8</v>
      </c>
      <c r="S3497" s="945">
        <v>0.17</v>
      </c>
      <c r="T3497" s="947">
        <f>$A3497*S3497*$T$1</f>
        <v>0.15300000000000002</v>
      </c>
      <c r="AR3497" s="116">
        <v>1</v>
      </c>
      <c r="AS3497" s="1054" t="s">
        <v>3435</v>
      </c>
    </row>
    <row r="3498" spans="1:45" s="520" customFormat="1" ht="12">
      <c r="A3498" s="758"/>
      <c r="B3498" s="758"/>
      <c r="C3498" s="758"/>
      <c r="D3498" s="758"/>
      <c r="E3498" s="758"/>
      <c r="F3498" s="753"/>
      <c r="G3498" s="758"/>
      <c r="H3498" s="758"/>
      <c r="I3498" s="519"/>
      <c r="J3498" s="758"/>
      <c r="K3498" s="758"/>
      <c r="L3498" s="758"/>
      <c r="M3498" s="758"/>
      <c r="N3498" s="758"/>
      <c r="O3498" s="758"/>
      <c r="P3498" s="758"/>
      <c r="Q3498" s="519"/>
      <c r="R3498" s="759">
        <f>$A3498*Q3498</f>
        <v>0</v>
      </c>
      <c r="S3498" s="519"/>
      <c r="T3498" s="760">
        <f>$A3498*S3498*$T$1</f>
        <v>0</v>
      </c>
      <c r="AR3498" s="758"/>
      <c r="AS3498" s="753"/>
    </row>
    <row r="3499" spans="1:45" s="520" customFormat="1" ht="12.6" thickBot="1">
      <c r="A3499" s="761" t="s">
        <v>145</v>
      </c>
      <c r="B3499" s="762">
        <f>(R3498+T3498)</f>
        <v>0</v>
      </c>
      <c r="C3499" s="763"/>
      <c r="D3499" s="763"/>
      <c r="E3499" s="763"/>
      <c r="F3499" s="764"/>
      <c r="G3499" s="763" t="s">
        <v>146</v>
      </c>
      <c r="H3499" s="763"/>
      <c r="I3499" s="765"/>
      <c r="J3499" s="763"/>
      <c r="K3499" s="763" t="s">
        <v>3</v>
      </c>
      <c r="L3499" s="766" t="s">
        <v>143</v>
      </c>
      <c r="M3499" s="766"/>
      <c r="N3499" s="766"/>
      <c r="O3499" s="766"/>
      <c r="P3499" s="766"/>
      <c r="Q3499" s="767"/>
      <c r="R3499" s="768">
        <f ca="1">SUM(R3494:R3498)</f>
        <v>22.720000000000002</v>
      </c>
      <c r="S3499" s="763"/>
      <c r="T3499" s="768">
        <f ca="1">SUM(T3494:T3498)</f>
        <v>1.0430000000000001</v>
      </c>
      <c r="U3499" s="531"/>
      <c r="V3499" s="531"/>
      <c r="W3499" s="531"/>
      <c r="X3499" s="531"/>
      <c r="Y3499" s="531"/>
      <c r="Z3499" s="531"/>
      <c r="AA3499" s="531"/>
      <c r="AB3499" s="531"/>
      <c r="AC3499" s="531"/>
      <c r="AD3499" s="531"/>
      <c r="AE3499" s="531"/>
      <c r="AF3499" s="531"/>
      <c r="AG3499" s="531"/>
      <c r="AH3499" s="531"/>
      <c r="AI3499" s="531"/>
      <c r="AJ3499" s="531"/>
      <c r="AK3499" s="531"/>
      <c r="AL3499" s="531"/>
      <c r="AM3499" s="531"/>
      <c r="AN3499" s="531"/>
      <c r="AO3499" s="531"/>
      <c r="AR3499" s="761" t="s">
        <v>145</v>
      </c>
      <c r="AS3499" s="764"/>
    </row>
    <row r="3500" spans="1:45" s="520" customFormat="1" ht="12" thickTop="1">
      <c r="A3500" s="51"/>
      <c r="B3500" s="41"/>
      <c r="C3500" s="51"/>
      <c r="E3500" s="42" t="s">
        <v>138</v>
      </c>
      <c r="F3500" s="42" t="s">
        <v>139</v>
      </c>
      <c r="G3500" s="51"/>
      <c r="H3500" s="51"/>
      <c r="I3500" s="51"/>
      <c r="J3500" s="51"/>
      <c r="K3500" s="51" t="s">
        <v>140</v>
      </c>
      <c r="L3500" s="51"/>
      <c r="M3500" s="51"/>
      <c r="N3500" s="51"/>
      <c r="O3500" s="52"/>
      <c r="P3500" s="51"/>
      <c r="Q3500" s="51"/>
      <c r="R3500" s="51"/>
      <c r="S3500" s="51"/>
      <c r="T3500" s="41"/>
      <c r="AG3500" s="521" t="s">
        <v>268</v>
      </c>
      <c r="AH3500" s="521" t="s">
        <v>269</v>
      </c>
      <c r="AI3500" s="521" t="s">
        <v>270</v>
      </c>
      <c r="AJ3500" s="521" t="s">
        <v>271</v>
      </c>
      <c r="AK3500" s="521" t="s">
        <v>272</v>
      </c>
      <c r="AM3500" s="745" t="s">
        <v>281</v>
      </c>
      <c r="AN3500" s="746" t="s">
        <v>282</v>
      </c>
      <c r="AO3500" s="522" t="s">
        <v>278</v>
      </c>
      <c r="AR3500" s="51"/>
      <c r="AS3500" s="42" t="s">
        <v>139</v>
      </c>
    </row>
    <row r="3501" spans="1:45" s="520" customFormat="1" ht="12" customHeight="1">
      <c r="A3501" s="747">
        <v>2</v>
      </c>
      <c r="B3501" s="523" t="s">
        <v>141</v>
      </c>
      <c r="C3501" s="748"/>
      <c r="D3501" s="749" t="s">
        <v>1666</v>
      </c>
      <c r="E3501" s="750">
        <f ca="1">IF(AND($A3501=0,$A$1="DIF"),0, ROUND(ROUND(($R3506*$S$2+($T3506*$T$2))/A3501,2)*$C$2,2))</f>
        <v>68.06</v>
      </c>
      <c r="F3501" s="751">
        <f ca="1">ROUND($A3501*$E3501,2)</f>
        <v>136.12</v>
      </c>
      <c r="G3501" s="752" t="s">
        <v>142</v>
      </c>
      <c r="H3501" s="753"/>
      <c r="I3501" s="754"/>
      <c r="J3501" s="753"/>
      <c r="K3501" s="753" t="s">
        <v>3</v>
      </c>
      <c r="L3501" s="755" t="s">
        <v>143</v>
      </c>
      <c r="M3501" s="755"/>
      <c r="N3501" s="755"/>
      <c r="O3501" s="755"/>
      <c r="P3501" s="755"/>
      <c r="Q3501" s="51"/>
      <c r="T3501" s="756" t="str">
        <f ca="1">IF(AND($R3506=0,$T3506=0),"0.00","mu :" &amp; ROUND($F3501/$C$2/($R3506+$T3506*$D$9),2))</f>
        <v>mu :1.23</v>
      </c>
      <c r="W3501" s="524"/>
      <c r="AG3501" s="481">
        <f ca="1">IF($E3501=0,0,ROUND($R3506*$S$2*$C$2/$A3501,2))</f>
        <v>22.76</v>
      </c>
      <c r="AH3501" s="481">
        <f ca="1">$AG3501*$A3501</f>
        <v>45.52</v>
      </c>
      <c r="AI3501" s="525">
        <f ca="1">$E3501-$AG3501</f>
        <v>45.3</v>
      </c>
      <c r="AJ3501" s="525">
        <f ca="1">$A3501*$AI3501</f>
        <v>90.6</v>
      </c>
      <c r="AK3501" s="526">
        <f ca="1">ROUND(($AG3501+$AI3501)*$A3501,2)</f>
        <v>136.12</v>
      </c>
      <c r="AM3501" s="527">
        <f ca="1">ROUND(R3506,2)</f>
        <v>36.96</v>
      </c>
      <c r="AN3501" s="528">
        <f ca="1">ROUND(T3506,2)</f>
        <v>2.68</v>
      </c>
      <c r="AO3501" s="529">
        <f ca="1">ROUND(AM3501+AN3501,2)*A3501</f>
        <v>79.28</v>
      </c>
      <c r="AR3501" s="747">
        <v>2</v>
      </c>
      <c r="AS3501" s="751">
        <v>146.28</v>
      </c>
    </row>
    <row r="3502" spans="1:45" s="520" customFormat="1" ht="13.2">
      <c r="A3502" s="748"/>
      <c r="B3502"/>
      <c r="C3502" s="748"/>
      <c r="D3502" s="749" t="s">
        <v>758</v>
      </c>
      <c r="F3502" s="753"/>
      <c r="G3502" s="3"/>
      <c r="H3502" s="753"/>
      <c r="I3502" s="754"/>
      <c r="J3502" s="753"/>
      <c r="K3502" s="753" t="s">
        <v>144</v>
      </c>
      <c r="L3502" s="753"/>
      <c r="M3502" s="753"/>
      <c r="N3502" s="753"/>
      <c r="O3502" s="753"/>
      <c r="P3502" s="753"/>
      <c r="Q3502" s="51"/>
      <c r="R3502" s="530"/>
      <c r="S3502" s="757"/>
      <c r="T3502" s="753"/>
      <c r="AR3502" s="748"/>
      <c r="AS3502" s="753"/>
    </row>
    <row r="3503" spans="1:45" s="886" customFormat="1" ht="13.2">
      <c r="A3503"/>
      <c r="B3503" s="910"/>
      <c r="C3503" s="910" t="s">
        <v>2597</v>
      </c>
      <c r="D3503" s="910" t="str">
        <f ca="1">CELL("Address",Elec_Rates!D$19)</f>
        <v>[E25_0062_Quintano_Foods_Elec_ELV_As_Awarded.xlsx]Elec_Rates!$D$19</v>
      </c>
      <c r="E3503" s="911"/>
      <c r="F3503" s="911"/>
      <c r="G3503" s="912" t="s">
        <v>2598</v>
      </c>
      <c r="H3503" s="912"/>
      <c r="I3503" s="912"/>
      <c r="J3503" s="912"/>
      <c r="K3503" s="913"/>
      <c r="L3503" s="911"/>
      <c r="M3503" s="911"/>
      <c r="N3503" s="911"/>
      <c r="O3503" s="914"/>
      <c r="P3503" s="911"/>
      <c r="Q3503" s="915"/>
      <c r="R3503" s="916"/>
      <c r="S3503" s="915"/>
      <c r="T3503" s="917"/>
      <c r="U3503" s="918"/>
      <c r="AR3503"/>
      <c r="AS3503" s="911"/>
    </row>
    <row r="3504" spans="1:45" s="886" customFormat="1" ht="11.4">
      <c r="A3504" s="919">
        <v>2</v>
      </c>
      <c r="B3504" s="920">
        <v>1</v>
      </c>
      <c r="C3504" s="920">
        <f>$A3504*$B3504</f>
        <v>2</v>
      </c>
      <c r="D3504" s="921" t="str">
        <f>Elec_Rates!$D$19</f>
        <v>001# Light Point Rate (LSZH Conduit)</v>
      </c>
      <c r="E3504" s="921" t="s">
        <v>2877</v>
      </c>
      <c r="F3504" s="918"/>
      <c r="G3504" s="922" t="s">
        <v>2878</v>
      </c>
      <c r="H3504" s="922"/>
      <c r="I3504" s="922"/>
      <c r="J3504" s="922"/>
      <c r="K3504" s="923"/>
      <c r="L3504" s="918"/>
      <c r="M3504" s="918"/>
      <c r="N3504" s="918"/>
      <c r="O3504" s="924"/>
      <c r="P3504" s="921"/>
      <c r="Q3504" s="925">
        <f ca="1">$B3504*Elec_Rates!$R$19</f>
        <v>18.48</v>
      </c>
      <c r="R3504" s="916">
        <f ca="1">$A3504*Q3504</f>
        <v>36.96</v>
      </c>
      <c r="S3504" s="925">
        <f ca="1">$B3504*Elec_Rates!$T$19</f>
        <v>1.34</v>
      </c>
      <c r="T3504" s="917">
        <f ca="1">$A3504*S3504</f>
        <v>2.68</v>
      </c>
      <c r="U3504" s="926"/>
      <c r="AR3504" s="919">
        <v>2</v>
      </c>
      <c r="AS3504" s="918"/>
    </row>
    <row r="3505" spans="1:45" s="520" customFormat="1" ht="12">
      <c r="A3505" s="758"/>
      <c r="B3505" s="758"/>
      <c r="C3505" s="758"/>
      <c r="D3505" s="758"/>
      <c r="E3505" s="758"/>
      <c r="F3505" s="753"/>
      <c r="G3505" s="758"/>
      <c r="H3505" s="758"/>
      <c r="I3505" s="519"/>
      <c r="J3505" s="758"/>
      <c r="K3505" s="758"/>
      <c r="L3505" s="758"/>
      <c r="M3505" s="758"/>
      <c r="N3505" s="758"/>
      <c r="O3505" s="758"/>
      <c r="P3505" s="758"/>
      <c r="Q3505" s="519"/>
      <c r="R3505" s="759">
        <f>$A3505*Q3505</f>
        <v>0</v>
      </c>
      <c r="S3505" s="519"/>
      <c r="T3505" s="760">
        <f>$A3505*S3505*$T$1</f>
        <v>0</v>
      </c>
      <c r="AR3505" s="758"/>
      <c r="AS3505" s="753"/>
    </row>
    <row r="3506" spans="1:45" s="520" customFormat="1" ht="12.6" thickBot="1">
      <c r="A3506" s="761" t="s">
        <v>145</v>
      </c>
      <c r="B3506" s="762">
        <f>(R3505+T3505)</f>
        <v>0</v>
      </c>
      <c r="C3506" s="763"/>
      <c r="D3506" s="763"/>
      <c r="E3506" s="763"/>
      <c r="F3506" s="764"/>
      <c r="G3506" s="763" t="s">
        <v>146</v>
      </c>
      <c r="H3506" s="763"/>
      <c r="I3506" s="765"/>
      <c r="J3506" s="763"/>
      <c r="K3506" s="763" t="s">
        <v>3</v>
      </c>
      <c r="L3506" s="766" t="s">
        <v>143</v>
      </c>
      <c r="M3506" s="766"/>
      <c r="N3506" s="766"/>
      <c r="O3506" s="766"/>
      <c r="P3506" s="766"/>
      <c r="Q3506" s="767"/>
      <c r="R3506" s="768">
        <f ca="1">SUM(R3502:R3505)</f>
        <v>36.96</v>
      </c>
      <c r="S3506" s="763"/>
      <c r="T3506" s="768">
        <f ca="1">SUM(T3502:T3505)</f>
        <v>2.68</v>
      </c>
      <c r="U3506" s="531"/>
      <c r="V3506" s="531"/>
      <c r="W3506" s="531"/>
      <c r="X3506" s="531"/>
      <c r="Y3506" s="531"/>
      <c r="Z3506" s="531"/>
      <c r="AA3506" s="531"/>
      <c r="AB3506" s="531"/>
      <c r="AC3506" s="531"/>
      <c r="AD3506" s="531"/>
      <c r="AE3506" s="531"/>
      <c r="AF3506" s="531"/>
      <c r="AG3506" s="531"/>
      <c r="AH3506" s="531"/>
      <c r="AI3506" s="531"/>
      <c r="AJ3506" s="531"/>
      <c r="AK3506" s="531"/>
      <c r="AL3506" s="531"/>
      <c r="AM3506" s="531"/>
      <c r="AN3506" s="531"/>
      <c r="AO3506" s="531"/>
      <c r="AR3506" s="761" t="s">
        <v>145</v>
      </c>
      <c r="AS3506" s="764"/>
    </row>
    <row r="3507" spans="1:45" s="520" customFormat="1" ht="12" thickTop="1">
      <c r="A3507" s="51"/>
      <c r="B3507" s="41"/>
      <c r="C3507" s="51"/>
      <c r="E3507" s="42" t="s">
        <v>138</v>
      </c>
      <c r="F3507" s="42" t="s">
        <v>139</v>
      </c>
      <c r="G3507" s="51"/>
      <c r="H3507" s="51"/>
      <c r="I3507" s="51"/>
      <c r="J3507" s="51"/>
      <c r="K3507" s="51" t="s">
        <v>140</v>
      </c>
      <c r="L3507" s="51"/>
      <c r="M3507" s="51"/>
      <c r="N3507" s="51"/>
      <c r="O3507" s="52"/>
      <c r="P3507" s="51"/>
      <c r="Q3507" s="51"/>
      <c r="R3507" s="51"/>
      <c r="S3507" s="51"/>
      <c r="T3507" s="41"/>
      <c r="AG3507" s="521" t="s">
        <v>268</v>
      </c>
      <c r="AH3507" s="521" t="s">
        <v>269</v>
      </c>
      <c r="AI3507" s="521" t="s">
        <v>270</v>
      </c>
      <c r="AJ3507" s="521" t="s">
        <v>271</v>
      </c>
      <c r="AK3507" s="521" t="s">
        <v>272</v>
      </c>
      <c r="AM3507" s="745" t="s">
        <v>281</v>
      </c>
      <c r="AN3507" s="746" t="s">
        <v>282</v>
      </c>
      <c r="AO3507" s="522" t="s">
        <v>278</v>
      </c>
      <c r="AR3507" s="51"/>
      <c r="AS3507" s="42" t="s">
        <v>139</v>
      </c>
    </row>
    <row r="3508" spans="1:45" s="520" customFormat="1" ht="12" customHeight="1">
      <c r="A3508" s="747">
        <v>2</v>
      </c>
      <c r="B3508" s="523" t="s">
        <v>141</v>
      </c>
      <c r="C3508" s="748"/>
      <c r="D3508" s="749" t="s">
        <v>1667</v>
      </c>
      <c r="E3508" s="750">
        <f ca="1">IF(AND($A3508=0,$A$1="DIF"),0, ROUND(ROUND(($R3513*$S$2+($T3513*$T$2))/A3508,2)*$C$2,2))</f>
        <v>102.1</v>
      </c>
      <c r="F3508" s="751">
        <f ca="1">ROUND($A3508*$E3508,2)</f>
        <v>204.2</v>
      </c>
      <c r="G3508" s="752" t="s">
        <v>142</v>
      </c>
      <c r="H3508" s="753"/>
      <c r="I3508" s="754"/>
      <c r="J3508" s="753"/>
      <c r="K3508" s="753" t="s">
        <v>3</v>
      </c>
      <c r="L3508" s="755" t="s">
        <v>143</v>
      </c>
      <c r="M3508" s="755"/>
      <c r="N3508" s="755"/>
      <c r="O3508" s="755"/>
      <c r="P3508" s="755"/>
      <c r="Q3508" s="51"/>
      <c r="T3508" s="756" t="str">
        <f ca="1">IF(AND($R3513=0,$T3513=0),"0.00","mu :" &amp; ROUND($F3508/$C$2/($R3513+$T3513*$D$9),2))</f>
        <v>mu :1.23</v>
      </c>
      <c r="W3508" s="524"/>
      <c r="AG3508" s="481">
        <f ca="1">IF($E3508=0,0,ROUND($R3513*$S$2*$C$2/$A3508,2))</f>
        <v>34.130000000000003</v>
      </c>
      <c r="AH3508" s="481">
        <f ca="1">$AG3508*$A3508</f>
        <v>68.260000000000005</v>
      </c>
      <c r="AI3508" s="525">
        <f ca="1">$E3508-$AG3508</f>
        <v>67.97</v>
      </c>
      <c r="AJ3508" s="525">
        <f ca="1">$A3508*$AI3508</f>
        <v>135.94</v>
      </c>
      <c r="AK3508" s="526">
        <f ca="1">ROUND(($AG3508+$AI3508)*$A3508,2)</f>
        <v>204.2</v>
      </c>
      <c r="AM3508" s="527">
        <f ca="1">ROUND(R3513,2)</f>
        <v>55.44</v>
      </c>
      <c r="AN3508" s="528">
        <f ca="1">ROUND(T3513,2)</f>
        <v>4.0199999999999996</v>
      </c>
      <c r="AO3508" s="529">
        <f ca="1">ROUND(AM3508+AN3508,2)*A3508</f>
        <v>118.92</v>
      </c>
      <c r="AR3508" s="747">
        <v>2</v>
      </c>
      <c r="AS3508" s="751">
        <v>219.4</v>
      </c>
    </row>
    <row r="3509" spans="1:45" s="520" customFormat="1" ht="13.2">
      <c r="A3509" s="748"/>
      <c r="B3509"/>
      <c r="C3509" s="748"/>
      <c r="D3509" s="749" t="s">
        <v>759</v>
      </c>
      <c r="F3509" s="753"/>
      <c r="G3509" s="3"/>
      <c r="H3509" s="753"/>
      <c r="I3509" s="754"/>
      <c r="J3509" s="753"/>
      <c r="K3509" s="753" t="s">
        <v>144</v>
      </c>
      <c r="L3509" s="753"/>
      <c r="M3509" s="753"/>
      <c r="N3509" s="753"/>
      <c r="O3509" s="753"/>
      <c r="P3509" s="753"/>
      <c r="Q3509" s="51"/>
      <c r="R3509" s="530"/>
      <c r="S3509" s="757"/>
      <c r="T3509" s="753"/>
      <c r="AR3509" s="748"/>
      <c r="AS3509" s="753"/>
    </row>
    <row r="3510" spans="1:45" s="886" customFormat="1" ht="13.2">
      <c r="A3510"/>
      <c r="B3510" s="910"/>
      <c r="C3510" s="910" t="s">
        <v>2597</v>
      </c>
      <c r="D3510" s="910" t="str">
        <f ca="1">CELL("Address",Elec_Rates!D$19)</f>
        <v>[E25_0062_Quintano_Foods_Elec_ELV_As_Awarded.xlsx]Elec_Rates!$D$19</v>
      </c>
      <c r="E3510" s="911"/>
      <c r="F3510" s="911"/>
      <c r="G3510" s="912" t="s">
        <v>2598</v>
      </c>
      <c r="H3510" s="912"/>
      <c r="I3510" s="912"/>
      <c r="J3510" s="912"/>
      <c r="K3510" s="913"/>
      <c r="L3510" s="911"/>
      <c r="M3510" s="911"/>
      <c r="N3510" s="911"/>
      <c r="O3510" s="914"/>
      <c r="P3510" s="911"/>
      <c r="Q3510" s="915"/>
      <c r="R3510" s="916"/>
      <c r="S3510" s="915"/>
      <c r="T3510" s="917"/>
      <c r="U3510" s="918"/>
      <c r="AR3510"/>
      <c r="AS3510" s="911"/>
    </row>
    <row r="3511" spans="1:45" s="886" customFormat="1" ht="11.4">
      <c r="A3511" s="919">
        <v>2</v>
      </c>
      <c r="B3511" s="920">
        <v>1.5</v>
      </c>
      <c r="C3511" s="920">
        <f>$A3511*$B3511</f>
        <v>3</v>
      </c>
      <c r="D3511" s="921" t="str">
        <f>Elec_Rates!$D$19</f>
        <v>001# Light Point Rate (LSZH Conduit)</v>
      </c>
      <c r="E3511" s="921" t="s">
        <v>2879</v>
      </c>
      <c r="F3511" s="918"/>
      <c r="G3511" s="922" t="s">
        <v>2878</v>
      </c>
      <c r="H3511" s="922"/>
      <c r="I3511" s="922"/>
      <c r="J3511" s="922"/>
      <c r="K3511" s="923"/>
      <c r="L3511" s="918"/>
      <c r="M3511" s="918"/>
      <c r="N3511" s="918"/>
      <c r="O3511" s="924"/>
      <c r="P3511" s="921"/>
      <c r="Q3511" s="925">
        <f ca="1">$B3511*Elec_Rates!$R$19</f>
        <v>27.72</v>
      </c>
      <c r="R3511" s="916">
        <f ca="1">$A3511*Q3511</f>
        <v>55.44</v>
      </c>
      <c r="S3511" s="925">
        <f ca="1">$B3511*Elec_Rates!$T$19</f>
        <v>2.0100000000000002</v>
      </c>
      <c r="T3511" s="917">
        <f ca="1">$A3511*S3511</f>
        <v>4.0200000000000005</v>
      </c>
      <c r="U3511" s="926"/>
      <c r="AR3511" s="919">
        <v>2</v>
      </c>
      <c r="AS3511" s="918"/>
    </row>
    <row r="3512" spans="1:45" s="520" customFormat="1" ht="12">
      <c r="A3512" s="758"/>
      <c r="B3512" s="758"/>
      <c r="C3512" s="758"/>
      <c r="D3512" s="758"/>
      <c r="E3512" s="758"/>
      <c r="F3512" s="753"/>
      <c r="G3512" s="758"/>
      <c r="H3512" s="758"/>
      <c r="I3512" s="519"/>
      <c r="J3512" s="758"/>
      <c r="K3512" s="758"/>
      <c r="L3512" s="758"/>
      <c r="M3512" s="758"/>
      <c r="N3512" s="758"/>
      <c r="O3512" s="758"/>
      <c r="P3512" s="758"/>
      <c r="Q3512" s="519"/>
      <c r="R3512" s="759">
        <f>$A3512*Q3512</f>
        <v>0</v>
      </c>
      <c r="S3512" s="519"/>
      <c r="T3512" s="760">
        <f>$A3512*S3512*$T$1</f>
        <v>0</v>
      </c>
      <c r="AR3512" s="758"/>
      <c r="AS3512" s="753"/>
    </row>
    <row r="3513" spans="1:45" s="520" customFormat="1" ht="12.6" thickBot="1">
      <c r="A3513" s="761" t="s">
        <v>145</v>
      </c>
      <c r="B3513" s="762">
        <f>(R3512+T3512)</f>
        <v>0</v>
      </c>
      <c r="C3513" s="763"/>
      <c r="D3513" s="763"/>
      <c r="E3513" s="763"/>
      <c r="F3513" s="764"/>
      <c r="G3513" s="763" t="s">
        <v>146</v>
      </c>
      <c r="H3513" s="763"/>
      <c r="I3513" s="765"/>
      <c r="J3513" s="763"/>
      <c r="K3513" s="763" t="s">
        <v>3</v>
      </c>
      <c r="L3513" s="766" t="s">
        <v>143</v>
      </c>
      <c r="M3513" s="766"/>
      <c r="N3513" s="766"/>
      <c r="O3513" s="766"/>
      <c r="P3513" s="766"/>
      <c r="Q3513" s="767"/>
      <c r="R3513" s="768">
        <f ca="1">SUM(R3509:R3512)</f>
        <v>55.44</v>
      </c>
      <c r="S3513" s="763"/>
      <c r="T3513" s="768">
        <f ca="1">SUM(T3509:T3512)</f>
        <v>4.0200000000000005</v>
      </c>
      <c r="U3513" s="531"/>
      <c r="V3513" s="531"/>
      <c r="W3513" s="531"/>
      <c r="X3513" s="531"/>
      <c r="Y3513" s="531"/>
      <c r="Z3513" s="531"/>
      <c r="AA3513" s="531"/>
      <c r="AB3513" s="531"/>
      <c r="AC3513" s="531"/>
      <c r="AD3513" s="531"/>
      <c r="AE3513" s="531"/>
      <c r="AF3513" s="531"/>
      <c r="AG3513" s="531"/>
      <c r="AH3513" s="531"/>
      <c r="AI3513" s="531"/>
      <c r="AJ3513" s="531"/>
      <c r="AK3513" s="531"/>
      <c r="AL3513" s="531"/>
      <c r="AM3513" s="531"/>
      <c r="AN3513" s="531"/>
      <c r="AO3513" s="531"/>
      <c r="AR3513" s="761" t="s">
        <v>145</v>
      </c>
      <c r="AS3513" s="764"/>
    </row>
    <row r="3514" spans="1:45" s="520" customFormat="1" ht="12" thickTop="1">
      <c r="A3514" s="51"/>
      <c r="B3514" s="41"/>
      <c r="C3514" s="51"/>
      <c r="E3514" s="42" t="s">
        <v>138</v>
      </c>
      <c r="F3514" s="42" t="s">
        <v>139</v>
      </c>
      <c r="G3514" s="51"/>
      <c r="H3514" s="51"/>
      <c r="I3514" s="51"/>
      <c r="J3514" s="51"/>
      <c r="K3514" s="51" t="s">
        <v>140</v>
      </c>
      <c r="L3514" s="51"/>
      <c r="M3514" s="51"/>
      <c r="N3514" s="51"/>
      <c r="O3514" s="52"/>
      <c r="P3514" s="51"/>
      <c r="Q3514" s="51"/>
      <c r="R3514" s="51"/>
      <c r="S3514" s="51"/>
      <c r="T3514" s="41"/>
      <c r="AG3514" s="521" t="s">
        <v>268</v>
      </c>
      <c r="AH3514" s="521" t="s">
        <v>269</v>
      </c>
      <c r="AI3514" s="521" t="s">
        <v>270</v>
      </c>
      <c r="AJ3514" s="521" t="s">
        <v>271</v>
      </c>
      <c r="AK3514" s="521" t="s">
        <v>272</v>
      </c>
      <c r="AM3514" s="745" t="s">
        <v>281</v>
      </c>
      <c r="AN3514" s="746" t="s">
        <v>282</v>
      </c>
      <c r="AO3514" s="522" t="s">
        <v>278</v>
      </c>
      <c r="AR3514" s="51"/>
      <c r="AS3514" s="42" t="s">
        <v>139</v>
      </c>
    </row>
    <row r="3515" spans="1:45" s="520" customFormat="1" ht="12" customHeight="1">
      <c r="A3515" s="747">
        <v>3</v>
      </c>
      <c r="B3515" s="523" t="s">
        <v>141</v>
      </c>
      <c r="C3515" s="748"/>
      <c r="D3515" s="749" t="s">
        <v>1668</v>
      </c>
      <c r="E3515" s="750">
        <f ca="1">IF(AND($A3515=0,$A$1="DIF"),0, ROUND(ROUND(($R3520*$S$2+($T3520*$T$2))/A3515,2)*$C$2,2))</f>
        <v>136.13</v>
      </c>
      <c r="F3515" s="751">
        <f ca="1">ROUND($A3515*$E3515,2)</f>
        <v>408.39</v>
      </c>
      <c r="G3515" s="752" t="s">
        <v>142</v>
      </c>
      <c r="H3515" s="753"/>
      <c r="I3515" s="754"/>
      <c r="J3515" s="753"/>
      <c r="K3515" s="753" t="s">
        <v>3</v>
      </c>
      <c r="L3515" s="755" t="s">
        <v>143</v>
      </c>
      <c r="M3515" s="755"/>
      <c r="N3515" s="755"/>
      <c r="O3515" s="755"/>
      <c r="P3515" s="755"/>
      <c r="Q3515" s="51"/>
      <c r="T3515" s="756" t="str">
        <f ca="1">IF(AND($R3520=0,$T3520=0),"0.00","mu :" &amp; ROUND($F3515/$C$2/($R3520+$T3520*$D$9),2))</f>
        <v>mu :1.23</v>
      </c>
      <c r="W3515" s="524"/>
      <c r="AG3515" s="481">
        <f ca="1">IF($E3515=0,0,ROUND($R3520*$S$2*$C$2/$A3515,2))</f>
        <v>45.51</v>
      </c>
      <c r="AH3515" s="481">
        <f ca="1">$AG3515*$A3515</f>
        <v>136.53</v>
      </c>
      <c r="AI3515" s="525">
        <f ca="1">$E3515-$AG3515</f>
        <v>90.62</v>
      </c>
      <c r="AJ3515" s="525">
        <f ca="1">$A3515*$AI3515</f>
        <v>271.86</v>
      </c>
      <c r="AK3515" s="526">
        <f ca="1">ROUND(($AG3515+$AI3515)*$A3515,2)</f>
        <v>408.39</v>
      </c>
      <c r="AM3515" s="527">
        <f ca="1">ROUND(R3520,2)</f>
        <v>110.88</v>
      </c>
      <c r="AN3515" s="528">
        <f ca="1">ROUND(T3520,2)</f>
        <v>8.0399999999999991</v>
      </c>
      <c r="AO3515" s="529">
        <f ca="1">ROUND(AM3515+AN3515,2)*A3515</f>
        <v>356.76</v>
      </c>
      <c r="AR3515" s="747">
        <v>3</v>
      </c>
      <c r="AS3515" s="751">
        <v>438.81</v>
      </c>
    </row>
    <row r="3516" spans="1:45" s="520" customFormat="1" ht="13.2">
      <c r="A3516" s="748"/>
      <c r="B3516"/>
      <c r="C3516" s="748"/>
      <c r="D3516" s="749" t="s">
        <v>791</v>
      </c>
      <c r="F3516" s="753"/>
      <c r="G3516" s="3"/>
      <c r="H3516" s="753"/>
      <c r="I3516" s="754"/>
      <c r="J3516" s="753"/>
      <c r="K3516" s="753" t="s">
        <v>144</v>
      </c>
      <c r="L3516" s="753"/>
      <c r="M3516" s="753"/>
      <c r="N3516" s="753"/>
      <c r="O3516" s="753"/>
      <c r="P3516" s="753"/>
      <c r="Q3516" s="51"/>
      <c r="R3516" s="530"/>
      <c r="S3516" s="757"/>
      <c r="T3516" s="753"/>
      <c r="AR3516" s="748"/>
      <c r="AS3516" s="753"/>
    </row>
    <row r="3517" spans="1:45" s="886" customFormat="1" ht="13.2">
      <c r="A3517"/>
      <c r="B3517" s="910"/>
      <c r="C3517" s="910" t="s">
        <v>2597</v>
      </c>
      <c r="D3517" s="910" t="str">
        <f ca="1">CELL("Address",Elec_Rates!D$19)</f>
        <v>[E25_0062_Quintano_Foods_Elec_ELV_As_Awarded.xlsx]Elec_Rates!$D$19</v>
      </c>
      <c r="E3517" s="911"/>
      <c r="F3517" s="911"/>
      <c r="G3517" s="912" t="s">
        <v>2598</v>
      </c>
      <c r="H3517" s="912"/>
      <c r="I3517" s="912"/>
      <c r="J3517" s="912"/>
      <c r="K3517" s="913"/>
      <c r="L3517" s="911"/>
      <c r="M3517" s="911"/>
      <c r="N3517" s="911"/>
      <c r="O3517" s="914"/>
      <c r="P3517" s="911"/>
      <c r="Q3517" s="915"/>
      <c r="R3517" s="916"/>
      <c r="S3517" s="915"/>
      <c r="T3517" s="917"/>
      <c r="U3517" s="918"/>
      <c r="AR3517"/>
      <c r="AS3517" s="911"/>
    </row>
    <row r="3518" spans="1:45" s="886" customFormat="1" ht="11.4">
      <c r="A3518" s="919">
        <v>3</v>
      </c>
      <c r="B3518" s="920">
        <v>2</v>
      </c>
      <c r="C3518" s="920">
        <f>$A3518*$B3518</f>
        <v>6</v>
      </c>
      <c r="D3518" s="921" t="str">
        <f>Elec_Rates!$D$19</f>
        <v>001# Light Point Rate (LSZH Conduit)</v>
      </c>
      <c r="E3518" s="921" t="s">
        <v>2967</v>
      </c>
      <c r="F3518" s="918"/>
      <c r="G3518" s="922" t="s">
        <v>2878</v>
      </c>
      <c r="H3518" s="922"/>
      <c r="I3518" s="922"/>
      <c r="J3518" s="922"/>
      <c r="K3518" s="923"/>
      <c r="L3518" s="918"/>
      <c r="M3518" s="918"/>
      <c r="N3518" s="918"/>
      <c r="O3518" s="924"/>
      <c r="P3518" s="921"/>
      <c r="Q3518" s="925">
        <f ca="1">$B3518*Elec_Rates!$R$19</f>
        <v>36.96</v>
      </c>
      <c r="R3518" s="916">
        <f ca="1">$A3518*Q3518</f>
        <v>110.88</v>
      </c>
      <c r="S3518" s="925">
        <f ca="1">$B3518*Elec_Rates!$T$19</f>
        <v>2.68</v>
      </c>
      <c r="T3518" s="917">
        <f ca="1">$A3518*S3518</f>
        <v>8.0400000000000009</v>
      </c>
      <c r="U3518" s="926"/>
      <c r="AR3518" s="919">
        <v>3</v>
      </c>
      <c r="AS3518" s="918"/>
    </row>
    <row r="3519" spans="1:45" s="520" customFormat="1" ht="12">
      <c r="A3519" s="758"/>
      <c r="B3519" s="758"/>
      <c r="C3519" s="758"/>
      <c r="D3519" s="758"/>
      <c r="E3519" s="758"/>
      <c r="F3519" s="753"/>
      <c r="G3519" s="758"/>
      <c r="H3519" s="758"/>
      <c r="I3519" s="519"/>
      <c r="J3519" s="758"/>
      <c r="K3519" s="758"/>
      <c r="L3519" s="758"/>
      <c r="M3519" s="758"/>
      <c r="N3519" s="758"/>
      <c r="O3519" s="758"/>
      <c r="P3519" s="758"/>
      <c r="Q3519" s="519"/>
      <c r="R3519" s="759">
        <f>$A3519*Q3519</f>
        <v>0</v>
      </c>
      <c r="S3519" s="519"/>
      <c r="T3519" s="760">
        <f>$A3519*S3519*$T$1</f>
        <v>0</v>
      </c>
      <c r="AR3519" s="758"/>
      <c r="AS3519" s="753"/>
    </row>
    <row r="3520" spans="1:45" s="520" customFormat="1" ht="12.6" thickBot="1">
      <c r="A3520" s="761" t="s">
        <v>145</v>
      </c>
      <c r="B3520" s="762">
        <f>(R3519+T3519)</f>
        <v>0</v>
      </c>
      <c r="C3520" s="763"/>
      <c r="D3520" s="763"/>
      <c r="E3520" s="763"/>
      <c r="F3520" s="764"/>
      <c r="G3520" s="763" t="s">
        <v>146</v>
      </c>
      <c r="H3520" s="763"/>
      <c r="I3520" s="765"/>
      <c r="J3520" s="763"/>
      <c r="K3520" s="763" t="s">
        <v>3</v>
      </c>
      <c r="L3520" s="766" t="s">
        <v>143</v>
      </c>
      <c r="M3520" s="766"/>
      <c r="N3520" s="766"/>
      <c r="O3520" s="766"/>
      <c r="P3520" s="766"/>
      <c r="Q3520" s="767"/>
      <c r="R3520" s="768">
        <f ca="1">SUM(R3516:R3519)</f>
        <v>110.88</v>
      </c>
      <c r="S3520" s="763"/>
      <c r="T3520" s="768">
        <f ca="1">SUM(T3516:T3519)</f>
        <v>8.0400000000000009</v>
      </c>
      <c r="U3520" s="531"/>
      <c r="V3520" s="531"/>
      <c r="W3520" s="531"/>
      <c r="X3520" s="531"/>
      <c r="Y3520" s="531"/>
      <c r="Z3520" s="531"/>
      <c r="AA3520" s="531"/>
      <c r="AB3520" s="531"/>
      <c r="AC3520" s="531"/>
      <c r="AD3520" s="531"/>
      <c r="AE3520" s="531"/>
      <c r="AF3520" s="531"/>
      <c r="AG3520" s="531"/>
      <c r="AH3520" s="531"/>
      <c r="AI3520" s="531"/>
      <c r="AJ3520" s="531"/>
      <c r="AK3520" s="531"/>
      <c r="AL3520" s="531"/>
      <c r="AM3520" s="531"/>
      <c r="AN3520" s="531"/>
      <c r="AO3520" s="531"/>
      <c r="AR3520" s="761" t="s">
        <v>145</v>
      </c>
      <c r="AS3520" s="764"/>
    </row>
    <row r="3521" spans="1:45" s="520" customFormat="1" ht="12" thickTop="1">
      <c r="A3521" s="51"/>
      <c r="B3521" s="41"/>
      <c r="C3521" s="51"/>
      <c r="E3521" s="42" t="s">
        <v>138</v>
      </c>
      <c r="F3521" s="42" t="s">
        <v>139</v>
      </c>
      <c r="G3521" s="51"/>
      <c r="H3521" s="51"/>
      <c r="I3521" s="51"/>
      <c r="J3521" s="51"/>
      <c r="K3521" s="51" t="s">
        <v>140</v>
      </c>
      <c r="L3521" s="51"/>
      <c r="M3521" s="51"/>
      <c r="N3521" s="51"/>
      <c r="O3521" s="52"/>
      <c r="P3521" s="51"/>
      <c r="Q3521" s="51"/>
      <c r="R3521" s="51"/>
      <c r="S3521" s="51"/>
      <c r="T3521" s="41"/>
      <c r="AG3521" s="521" t="s">
        <v>268</v>
      </c>
      <c r="AH3521" s="521" t="s">
        <v>269</v>
      </c>
      <c r="AI3521" s="521" t="s">
        <v>270</v>
      </c>
      <c r="AJ3521" s="521" t="s">
        <v>271</v>
      </c>
      <c r="AK3521" s="521" t="s">
        <v>272</v>
      </c>
      <c r="AM3521" s="745" t="s">
        <v>281</v>
      </c>
      <c r="AN3521" s="746" t="s">
        <v>282</v>
      </c>
      <c r="AO3521" s="522" t="s">
        <v>278</v>
      </c>
      <c r="AR3521" s="51"/>
      <c r="AS3521" s="42" t="s">
        <v>139</v>
      </c>
    </row>
    <row r="3522" spans="1:45" s="520" customFormat="1" ht="12" customHeight="1">
      <c r="A3522" s="747">
        <v>2</v>
      </c>
      <c r="B3522" s="523" t="s">
        <v>141</v>
      </c>
      <c r="C3522" s="748"/>
      <c r="D3522" s="749" t="s">
        <v>1669</v>
      </c>
      <c r="E3522" s="750">
        <f ca="1">IF(AND($A3522=0,$A$1="DIF"),0, ROUND(ROUND(($R3527*$S$2+($T3527*$T$2))/A3522,2)*$C$2,2))</f>
        <v>170.16</v>
      </c>
      <c r="F3522" s="751">
        <f ca="1">ROUND($A3522*$E3522,2)</f>
        <v>340.32</v>
      </c>
      <c r="G3522" s="752" t="s">
        <v>142</v>
      </c>
      <c r="H3522" s="753"/>
      <c r="I3522" s="754"/>
      <c r="J3522" s="753"/>
      <c r="K3522" s="753" t="s">
        <v>3</v>
      </c>
      <c r="L3522" s="755" t="s">
        <v>143</v>
      </c>
      <c r="M3522" s="755"/>
      <c r="N3522" s="755"/>
      <c r="O3522" s="755"/>
      <c r="P3522" s="755"/>
      <c r="Q3522" s="51"/>
      <c r="T3522" s="756" t="str">
        <f ca="1">IF(AND($R3527=0,$T3527=0),"0.00","mu :" &amp; ROUND($F3522/$C$2/($R3527+$T3527*$D$9),2))</f>
        <v>mu :1.23</v>
      </c>
      <c r="W3522" s="524"/>
      <c r="AG3522" s="481">
        <f ca="1">IF($E3522=0,0,ROUND($R3527*$S$2*$C$2/$A3522,2))</f>
        <v>56.89</v>
      </c>
      <c r="AH3522" s="481">
        <f ca="1">$AG3522*$A3522</f>
        <v>113.78</v>
      </c>
      <c r="AI3522" s="525">
        <f ca="1">$E3522-$AG3522</f>
        <v>113.27</v>
      </c>
      <c r="AJ3522" s="525">
        <f ca="1">$A3522*$AI3522</f>
        <v>226.54</v>
      </c>
      <c r="AK3522" s="526">
        <f ca="1">ROUND(($AG3522+$AI3522)*$A3522,2)</f>
        <v>340.32</v>
      </c>
      <c r="AM3522" s="527">
        <f ca="1">ROUND(R3527,2)</f>
        <v>92.4</v>
      </c>
      <c r="AN3522" s="528">
        <f ca="1">ROUND(T3527,2)</f>
        <v>6.7</v>
      </c>
      <c r="AO3522" s="529">
        <f ca="1">ROUND(AM3522+AN3522,2)*A3522</f>
        <v>198.2</v>
      </c>
      <c r="AR3522" s="747">
        <v>2</v>
      </c>
      <c r="AS3522" s="751">
        <v>365.68</v>
      </c>
    </row>
    <row r="3523" spans="1:45" s="520" customFormat="1" ht="13.2">
      <c r="A3523" s="748"/>
      <c r="B3523"/>
      <c r="C3523" s="748"/>
      <c r="D3523" s="749" t="s">
        <v>761</v>
      </c>
      <c r="F3523" s="753"/>
      <c r="G3523" s="3"/>
      <c r="H3523" s="753"/>
      <c r="I3523" s="754"/>
      <c r="J3523" s="753"/>
      <c r="K3523" s="753" t="s">
        <v>144</v>
      </c>
      <c r="L3523" s="753"/>
      <c r="M3523" s="753"/>
      <c r="N3523" s="753"/>
      <c r="O3523" s="753"/>
      <c r="P3523" s="753"/>
      <c r="Q3523" s="51"/>
      <c r="R3523" s="530"/>
      <c r="S3523" s="757"/>
      <c r="T3523" s="753"/>
      <c r="AR3523" s="748"/>
      <c r="AS3523" s="753"/>
    </row>
    <row r="3524" spans="1:45" s="886" customFormat="1" ht="13.2">
      <c r="A3524"/>
      <c r="B3524" s="910"/>
      <c r="C3524" s="910" t="s">
        <v>2597</v>
      </c>
      <c r="D3524" s="910" t="str">
        <f ca="1">CELL("Address",Elec_Rates!D$19)</f>
        <v>[E25_0062_Quintano_Foods_Elec_ELV_As_Awarded.xlsx]Elec_Rates!$D$19</v>
      </c>
      <c r="E3524" s="911"/>
      <c r="F3524" s="911"/>
      <c r="G3524" s="912" t="s">
        <v>2598</v>
      </c>
      <c r="H3524" s="912"/>
      <c r="I3524" s="912"/>
      <c r="J3524" s="912"/>
      <c r="K3524" s="913"/>
      <c r="L3524" s="911"/>
      <c r="M3524" s="911"/>
      <c r="N3524" s="911"/>
      <c r="O3524" s="914"/>
      <c r="P3524" s="911"/>
      <c r="Q3524" s="915"/>
      <c r="R3524" s="916"/>
      <c r="S3524" s="915"/>
      <c r="T3524" s="917"/>
      <c r="U3524" s="918"/>
      <c r="AR3524"/>
      <c r="AS3524" s="911"/>
    </row>
    <row r="3525" spans="1:45" s="886" customFormat="1" ht="11.4">
      <c r="A3525" s="919">
        <v>2</v>
      </c>
      <c r="B3525" s="920">
        <v>2.5</v>
      </c>
      <c r="C3525" s="920">
        <f>$A3525*$B3525</f>
        <v>5</v>
      </c>
      <c r="D3525" s="921" t="str">
        <f>Elec_Rates!$D$19</f>
        <v>001# Light Point Rate (LSZH Conduit)</v>
      </c>
      <c r="E3525" s="921" t="s">
        <v>2882</v>
      </c>
      <c r="F3525" s="918"/>
      <c r="G3525" s="922" t="s">
        <v>2878</v>
      </c>
      <c r="H3525" s="922"/>
      <c r="I3525" s="922"/>
      <c r="J3525" s="922"/>
      <c r="K3525" s="923"/>
      <c r="L3525" s="918"/>
      <c r="M3525" s="918"/>
      <c r="N3525" s="918"/>
      <c r="O3525" s="924"/>
      <c r="P3525" s="921"/>
      <c r="Q3525" s="925">
        <f ca="1">$B3525*Elec_Rates!$R$19</f>
        <v>46.2</v>
      </c>
      <c r="R3525" s="916">
        <f ca="1">$A3525*Q3525</f>
        <v>92.4</v>
      </c>
      <c r="S3525" s="925">
        <f ca="1">$B3525*Elec_Rates!$T$19</f>
        <v>3.35</v>
      </c>
      <c r="T3525" s="917">
        <f ca="1">$A3525*S3525</f>
        <v>6.7</v>
      </c>
      <c r="U3525" s="926"/>
      <c r="AR3525" s="919">
        <v>2</v>
      </c>
      <c r="AS3525" s="918"/>
    </row>
    <row r="3526" spans="1:45" s="520" customFormat="1" ht="12">
      <c r="A3526" s="758"/>
      <c r="B3526" s="758"/>
      <c r="C3526" s="758"/>
      <c r="D3526" s="758"/>
      <c r="E3526" s="758"/>
      <c r="F3526" s="753"/>
      <c r="G3526" s="758"/>
      <c r="H3526" s="758"/>
      <c r="I3526" s="519"/>
      <c r="J3526" s="758"/>
      <c r="K3526" s="758"/>
      <c r="L3526" s="758"/>
      <c r="M3526" s="758"/>
      <c r="N3526" s="758"/>
      <c r="O3526" s="758"/>
      <c r="P3526" s="758"/>
      <c r="Q3526" s="519"/>
      <c r="R3526" s="759">
        <f>$A3526*Q3526</f>
        <v>0</v>
      </c>
      <c r="S3526" s="519"/>
      <c r="T3526" s="760">
        <f>$A3526*S3526*$T$1</f>
        <v>0</v>
      </c>
      <c r="AR3526" s="758"/>
      <c r="AS3526" s="753"/>
    </row>
    <row r="3527" spans="1:45" s="520" customFormat="1" ht="12.6" thickBot="1">
      <c r="A3527" s="761" t="s">
        <v>145</v>
      </c>
      <c r="B3527" s="762">
        <f>(R3526+T3526)</f>
        <v>0</v>
      </c>
      <c r="C3527" s="763"/>
      <c r="D3527" s="763"/>
      <c r="E3527" s="763"/>
      <c r="F3527" s="764"/>
      <c r="G3527" s="763" t="s">
        <v>146</v>
      </c>
      <c r="H3527" s="763"/>
      <c r="I3527" s="765"/>
      <c r="J3527" s="763"/>
      <c r="K3527" s="763" t="s">
        <v>3</v>
      </c>
      <c r="L3527" s="766" t="s">
        <v>143</v>
      </c>
      <c r="M3527" s="766"/>
      <c r="N3527" s="766"/>
      <c r="O3527" s="766"/>
      <c r="P3527" s="766"/>
      <c r="Q3527" s="767"/>
      <c r="R3527" s="768">
        <f ca="1">SUM(R3523:R3526)</f>
        <v>92.4</v>
      </c>
      <c r="S3527" s="763"/>
      <c r="T3527" s="768">
        <f ca="1">SUM(T3523:T3526)</f>
        <v>6.7</v>
      </c>
      <c r="U3527" s="531"/>
      <c r="V3527" s="531"/>
      <c r="W3527" s="531"/>
      <c r="X3527" s="531"/>
      <c r="Y3527" s="531"/>
      <c r="Z3527" s="531"/>
      <c r="AA3527" s="531"/>
      <c r="AB3527" s="531"/>
      <c r="AC3527" s="531"/>
      <c r="AD3527" s="531"/>
      <c r="AE3527" s="531"/>
      <c r="AF3527" s="531"/>
      <c r="AG3527" s="531"/>
      <c r="AH3527" s="531"/>
      <c r="AI3527" s="531"/>
      <c r="AJ3527" s="531"/>
      <c r="AK3527" s="531"/>
      <c r="AL3527" s="531"/>
      <c r="AM3527" s="531"/>
      <c r="AN3527" s="531"/>
      <c r="AO3527" s="531"/>
      <c r="AR3527" s="761" t="s">
        <v>145</v>
      </c>
      <c r="AS3527" s="764"/>
    </row>
    <row r="3528" spans="1:45" s="520" customFormat="1" ht="12" thickTop="1">
      <c r="A3528" s="51"/>
      <c r="B3528" s="41"/>
      <c r="C3528" s="51"/>
      <c r="E3528" s="42" t="s">
        <v>138</v>
      </c>
      <c r="F3528" s="42" t="s">
        <v>139</v>
      </c>
      <c r="G3528" s="51"/>
      <c r="H3528" s="51"/>
      <c r="I3528" s="51"/>
      <c r="J3528" s="51"/>
      <c r="K3528" s="51" t="s">
        <v>140</v>
      </c>
      <c r="L3528" s="51"/>
      <c r="M3528" s="51"/>
      <c r="N3528" s="51"/>
      <c r="O3528" s="52"/>
      <c r="P3528" s="51"/>
      <c r="Q3528" s="51"/>
      <c r="R3528" s="51"/>
      <c r="S3528" s="51"/>
      <c r="T3528" s="41"/>
      <c r="AG3528" s="521" t="s">
        <v>268</v>
      </c>
      <c r="AH3528" s="521" t="s">
        <v>269</v>
      </c>
      <c r="AI3528" s="521" t="s">
        <v>270</v>
      </c>
      <c r="AJ3528" s="521" t="s">
        <v>271</v>
      </c>
      <c r="AK3528" s="521" t="s">
        <v>272</v>
      </c>
      <c r="AM3528" s="745" t="s">
        <v>281</v>
      </c>
      <c r="AN3528" s="746" t="s">
        <v>282</v>
      </c>
      <c r="AO3528" s="522" t="s">
        <v>278</v>
      </c>
      <c r="AR3528" s="51"/>
      <c r="AS3528" s="42" t="s">
        <v>139</v>
      </c>
    </row>
    <row r="3529" spans="1:45" s="520" customFormat="1" ht="12" customHeight="1">
      <c r="A3529" s="747">
        <v>1</v>
      </c>
      <c r="B3529" s="523" t="s">
        <v>141</v>
      </c>
      <c r="C3529" s="748"/>
      <c r="D3529" s="749" t="s">
        <v>1670</v>
      </c>
      <c r="E3529" s="750">
        <f ca="1">IF(AND($A3529=0,$A$1="DIF"),0, ROUND(ROUND(($R3534*$S$2+($T3534*$T$2))/A3529,2)*$C$2,2))</f>
        <v>204.19</v>
      </c>
      <c r="F3529" s="751">
        <f ca="1">ROUND($A3529*$E3529,2)</f>
        <v>204.19</v>
      </c>
      <c r="G3529" s="752" t="s">
        <v>142</v>
      </c>
      <c r="H3529" s="753"/>
      <c r="I3529" s="754"/>
      <c r="J3529" s="753"/>
      <c r="K3529" s="753" t="s">
        <v>3</v>
      </c>
      <c r="L3529" s="755" t="s">
        <v>143</v>
      </c>
      <c r="M3529" s="755"/>
      <c r="N3529" s="755"/>
      <c r="O3529" s="755"/>
      <c r="P3529" s="755"/>
      <c r="Q3529" s="51"/>
      <c r="T3529" s="756" t="str">
        <f ca="1">IF(AND($R3534=0,$T3534=0),"0.00","mu :" &amp; ROUND($F3529/$C$2/($R3534+$T3534*$D$9),2))</f>
        <v>mu :1.23</v>
      </c>
      <c r="W3529" s="524"/>
      <c r="AG3529" s="481">
        <f ca="1">IF($E3529=0,0,ROUND($R3534*$S$2*$C$2/$A3529,2))</f>
        <v>68.27</v>
      </c>
      <c r="AH3529" s="481">
        <f ca="1">$AG3529*$A3529</f>
        <v>68.27</v>
      </c>
      <c r="AI3529" s="525">
        <f ca="1">$E3529-$AG3529</f>
        <v>135.92000000000002</v>
      </c>
      <c r="AJ3529" s="525">
        <f ca="1">$A3529*$AI3529</f>
        <v>135.92000000000002</v>
      </c>
      <c r="AK3529" s="526">
        <f ca="1">ROUND(($AG3529+$AI3529)*$A3529,2)</f>
        <v>204.19</v>
      </c>
      <c r="AM3529" s="527">
        <f ca="1">ROUND(R3534,2)</f>
        <v>55.44</v>
      </c>
      <c r="AN3529" s="528">
        <f ca="1">ROUND(T3534,2)</f>
        <v>4.0199999999999996</v>
      </c>
      <c r="AO3529" s="529">
        <f ca="1">ROUND(AM3529+AN3529,2)*A3529</f>
        <v>59.46</v>
      </c>
      <c r="AR3529" s="747">
        <v>1</v>
      </c>
      <c r="AS3529" s="751">
        <v>219.41</v>
      </c>
    </row>
    <row r="3530" spans="1:45" s="520" customFormat="1" ht="13.2">
      <c r="A3530" s="748"/>
      <c r="B3530"/>
      <c r="C3530" s="748"/>
      <c r="D3530" s="749" t="s">
        <v>762</v>
      </c>
      <c r="F3530" s="753"/>
      <c r="G3530" s="3"/>
      <c r="H3530" s="753"/>
      <c r="I3530" s="754"/>
      <c r="J3530" s="753"/>
      <c r="K3530" s="753" t="s">
        <v>144</v>
      </c>
      <c r="L3530" s="753"/>
      <c r="M3530" s="753"/>
      <c r="N3530" s="753"/>
      <c r="O3530" s="753"/>
      <c r="P3530" s="753"/>
      <c r="Q3530" s="51"/>
      <c r="R3530" s="530"/>
      <c r="S3530" s="757"/>
      <c r="T3530" s="753"/>
      <c r="AR3530" s="748"/>
      <c r="AS3530" s="753"/>
    </row>
    <row r="3531" spans="1:45" s="886" customFormat="1" ht="13.2">
      <c r="A3531"/>
      <c r="B3531" s="910"/>
      <c r="C3531" s="910" t="s">
        <v>2597</v>
      </c>
      <c r="D3531" s="910" t="str">
        <f ca="1">CELL("Address",Elec_Rates!D$19)</f>
        <v>[E25_0062_Quintano_Foods_Elec_ELV_As_Awarded.xlsx]Elec_Rates!$D$19</v>
      </c>
      <c r="E3531" s="911"/>
      <c r="F3531" s="911"/>
      <c r="G3531" s="912" t="s">
        <v>2598</v>
      </c>
      <c r="H3531" s="912"/>
      <c r="I3531" s="912"/>
      <c r="J3531" s="912"/>
      <c r="K3531" s="913"/>
      <c r="L3531" s="911"/>
      <c r="M3531" s="911"/>
      <c r="N3531" s="911"/>
      <c r="O3531" s="914"/>
      <c r="P3531" s="911"/>
      <c r="Q3531" s="915"/>
      <c r="R3531" s="916"/>
      <c r="S3531" s="915"/>
      <c r="T3531" s="917"/>
      <c r="U3531" s="918"/>
      <c r="AR3531"/>
      <c r="AS3531" s="911"/>
    </row>
    <row r="3532" spans="1:45" s="886" customFormat="1" ht="11.4">
      <c r="A3532" s="919">
        <v>1</v>
      </c>
      <c r="B3532" s="920">
        <v>3</v>
      </c>
      <c r="C3532" s="920">
        <f>$A3532*$B3532</f>
        <v>3</v>
      </c>
      <c r="D3532" s="921" t="str">
        <f>Elec_Rates!$D$19</f>
        <v>001# Light Point Rate (LSZH Conduit)</v>
      </c>
      <c r="E3532" s="921" t="s">
        <v>2883</v>
      </c>
      <c r="F3532" s="918"/>
      <c r="G3532" s="922" t="s">
        <v>2878</v>
      </c>
      <c r="H3532" s="922"/>
      <c r="I3532" s="922"/>
      <c r="J3532" s="922"/>
      <c r="K3532" s="923"/>
      <c r="L3532" s="918"/>
      <c r="M3532" s="918"/>
      <c r="N3532" s="918"/>
      <c r="O3532" s="924"/>
      <c r="P3532" s="921"/>
      <c r="Q3532" s="925">
        <f ca="1">$B3532*Elec_Rates!$R$19</f>
        <v>55.44</v>
      </c>
      <c r="R3532" s="916">
        <f ca="1">$A3532*Q3532</f>
        <v>55.44</v>
      </c>
      <c r="S3532" s="925">
        <f ca="1">$B3532*Elec_Rates!$T$19</f>
        <v>4.0200000000000005</v>
      </c>
      <c r="T3532" s="917">
        <f ca="1">$A3532*S3532</f>
        <v>4.0200000000000005</v>
      </c>
      <c r="U3532" s="926"/>
      <c r="AR3532" s="919">
        <v>1</v>
      </c>
      <c r="AS3532" s="918"/>
    </row>
    <row r="3533" spans="1:45" s="520" customFormat="1" ht="12">
      <c r="A3533" s="758"/>
      <c r="B3533" s="758"/>
      <c r="C3533" s="758"/>
      <c r="D3533" s="758"/>
      <c r="E3533" s="758"/>
      <c r="F3533" s="753"/>
      <c r="G3533" s="758"/>
      <c r="H3533" s="758"/>
      <c r="I3533" s="519"/>
      <c r="J3533" s="758"/>
      <c r="K3533" s="758"/>
      <c r="L3533" s="758"/>
      <c r="M3533" s="758"/>
      <c r="N3533" s="758"/>
      <c r="O3533" s="758"/>
      <c r="P3533" s="758"/>
      <c r="Q3533" s="519"/>
      <c r="R3533" s="759">
        <f>$A3533*Q3533</f>
        <v>0</v>
      </c>
      <c r="S3533" s="519"/>
      <c r="T3533" s="760">
        <f>$A3533*S3533*$T$1</f>
        <v>0</v>
      </c>
      <c r="AR3533" s="758"/>
      <c r="AS3533" s="753"/>
    </row>
    <row r="3534" spans="1:45" s="520" customFormat="1" ht="12.6" thickBot="1">
      <c r="A3534" s="761" t="s">
        <v>145</v>
      </c>
      <c r="B3534" s="762">
        <f>(R3533+T3533)</f>
        <v>0</v>
      </c>
      <c r="C3534" s="763"/>
      <c r="D3534" s="763"/>
      <c r="E3534" s="763"/>
      <c r="F3534" s="764"/>
      <c r="G3534" s="763" t="s">
        <v>146</v>
      </c>
      <c r="H3534" s="763"/>
      <c r="I3534" s="765"/>
      <c r="J3534" s="763"/>
      <c r="K3534" s="763" t="s">
        <v>3</v>
      </c>
      <c r="L3534" s="766" t="s">
        <v>143</v>
      </c>
      <c r="M3534" s="766"/>
      <c r="N3534" s="766"/>
      <c r="O3534" s="766"/>
      <c r="P3534" s="766"/>
      <c r="Q3534" s="767"/>
      <c r="R3534" s="768">
        <f ca="1">SUM(R3530:R3533)</f>
        <v>55.44</v>
      </c>
      <c r="S3534" s="763"/>
      <c r="T3534" s="768">
        <f ca="1">SUM(T3530:T3533)</f>
        <v>4.0200000000000005</v>
      </c>
      <c r="U3534" s="531"/>
      <c r="V3534" s="531"/>
      <c r="W3534" s="531"/>
      <c r="X3534" s="531"/>
      <c r="Y3534" s="531"/>
      <c r="Z3534" s="531"/>
      <c r="AA3534" s="531"/>
      <c r="AB3534" s="531"/>
      <c r="AC3534" s="531"/>
      <c r="AD3534" s="531"/>
      <c r="AE3534" s="531"/>
      <c r="AF3534" s="531"/>
      <c r="AG3534" s="531"/>
      <c r="AH3534" s="531"/>
      <c r="AI3534" s="531"/>
      <c r="AJ3534" s="531"/>
      <c r="AK3534" s="531"/>
      <c r="AL3534" s="531"/>
      <c r="AM3534" s="531"/>
      <c r="AN3534" s="531"/>
      <c r="AO3534" s="531"/>
      <c r="AR3534" s="761" t="s">
        <v>145</v>
      </c>
      <c r="AS3534" s="764"/>
    </row>
    <row r="3535" spans="1:45" s="520" customFormat="1" ht="12" thickTop="1">
      <c r="A3535" s="51"/>
      <c r="B3535" s="41"/>
      <c r="C3535" s="51"/>
      <c r="E3535" s="42" t="s">
        <v>138</v>
      </c>
      <c r="F3535" s="42" t="s">
        <v>139</v>
      </c>
      <c r="G3535" s="51"/>
      <c r="H3535" s="51"/>
      <c r="I3535" s="51"/>
      <c r="J3535" s="51"/>
      <c r="K3535" s="51" t="s">
        <v>140</v>
      </c>
      <c r="L3535" s="51"/>
      <c r="M3535" s="51"/>
      <c r="N3535" s="51"/>
      <c r="O3535" s="52"/>
      <c r="P3535" s="51"/>
      <c r="Q3535" s="51"/>
      <c r="R3535" s="51"/>
      <c r="S3535" s="51"/>
      <c r="T3535" s="41"/>
      <c r="AG3535" s="521" t="s">
        <v>268</v>
      </c>
      <c r="AH3535" s="521" t="s">
        <v>269</v>
      </c>
      <c r="AI3535" s="521" t="s">
        <v>270</v>
      </c>
      <c r="AJ3535" s="521" t="s">
        <v>271</v>
      </c>
      <c r="AK3535" s="521" t="s">
        <v>272</v>
      </c>
      <c r="AM3535" s="745" t="s">
        <v>281</v>
      </c>
      <c r="AN3535" s="746" t="s">
        <v>282</v>
      </c>
      <c r="AO3535" s="522" t="s">
        <v>278</v>
      </c>
      <c r="AR3535" s="51"/>
      <c r="AS3535" s="42" t="s">
        <v>139</v>
      </c>
    </row>
    <row r="3536" spans="1:45" s="520" customFormat="1" ht="12" customHeight="1">
      <c r="A3536" s="747">
        <v>1</v>
      </c>
      <c r="B3536" s="523" t="s">
        <v>141</v>
      </c>
      <c r="C3536" s="748"/>
      <c r="D3536" s="749" t="s">
        <v>1671</v>
      </c>
      <c r="E3536" s="750">
        <f ca="1">IF(AND($A3536=0,$A$1="DIF"),0, ROUND(ROUND(($R3541*$S$2+($T3541*$T$2))/A3536,2)*$C$2,2))</f>
        <v>204.19</v>
      </c>
      <c r="F3536" s="751">
        <f ca="1">ROUND($A3536*$E3536,2)</f>
        <v>204.19</v>
      </c>
      <c r="G3536" s="752" t="s">
        <v>142</v>
      </c>
      <c r="H3536" s="753"/>
      <c r="I3536" s="754"/>
      <c r="J3536" s="753"/>
      <c r="K3536" s="753" t="s">
        <v>3</v>
      </c>
      <c r="L3536" s="755" t="s">
        <v>143</v>
      </c>
      <c r="M3536" s="755"/>
      <c r="N3536" s="755"/>
      <c r="O3536" s="755"/>
      <c r="P3536" s="755"/>
      <c r="Q3536" s="51"/>
      <c r="T3536" s="756" t="str">
        <f ca="1">IF(AND($R3541=0,$T3541=0),"0.00","mu :" &amp; ROUND($F3536/$C$2/($R3541+$T3541*$D$9),2))</f>
        <v>mu :1.23</v>
      </c>
      <c r="W3536" s="524"/>
      <c r="AG3536" s="481">
        <f ca="1">IF($E3536=0,0,ROUND($R3541*$S$2*$C$2/$A3536,2))</f>
        <v>68.27</v>
      </c>
      <c r="AH3536" s="481">
        <f ca="1">$AG3536*$A3536</f>
        <v>68.27</v>
      </c>
      <c r="AI3536" s="525">
        <f ca="1">$E3536-$AG3536</f>
        <v>135.92000000000002</v>
      </c>
      <c r="AJ3536" s="525">
        <f ca="1">$A3536*$AI3536</f>
        <v>135.92000000000002</v>
      </c>
      <c r="AK3536" s="526">
        <f ca="1">ROUND(($AG3536+$AI3536)*$A3536,2)</f>
        <v>204.19</v>
      </c>
      <c r="AM3536" s="527">
        <f ca="1">ROUND(R3541,2)</f>
        <v>55.44</v>
      </c>
      <c r="AN3536" s="528">
        <f ca="1">ROUND(T3541,2)</f>
        <v>4.0199999999999996</v>
      </c>
      <c r="AO3536" s="529">
        <f ca="1">ROUND(AM3536+AN3536,2)*A3536</f>
        <v>59.46</v>
      </c>
      <c r="AR3536" s="747">
        <v>1</v>
      </c>
      <c r="AS3536" s="751">
        <v>219.41</v>
      </c>
    </row>
    <row r="3537" spans="1:45" s="520" customFormat="1" ht="13.2">
      <c r="A3537" s="748"/>
      <c r="B3537"/>
      <c r="C3537" s="748"/>
      <c r="D3537" s="749" t="s">
        <v>808</v>
      </c>
      <c r="F3537" s="753"/>
      <c r="G3537" s="3"/>
      <c r="H3537" s="753"/>
      <c r="I3537" s="754"/>
      <c r="J3537" s="753"/>
      <c r="K3537" s="753" t="s">
        <v>144</v>
      </c>
      <c r="L3537" s="753"/>
      <c r="M3537" s="753"/>
      <c r="N3537" s="753"/>
      <c r="O3537" s="753"/>
      <c r="P3537" s="753"/>
      <c r="Q3537" s="51"/>
      <c r="R3537" s="530"/>
      <c r="S3537" s="757"/>
      <c r="T3537" s="753"/>
      <c r="AR3537" s="748"/>
      <c r="AS3537" s="753"/>
    </row>
    <row r="3538" spans="1:45" s="886" customFormat="1" ht="13.2">
      <c r="A3538"/>
      <c r="B3538" s="910"/>
      <c r="C3538" s="910" t="s">
        <v>2597</v>
      </c>
      <c r="D3538" s="910" t="str">
        <f ca="1">CELL("Address",Elec_Rates!D$19)</f>
        <v>[E25_0062_Quintano_Foods_Elec_ELV_As_Awarded.xlsx]Elec_Rates!$D$19</v>
      </c>
      <c r="E3538" s="911"/>
      <c r="F3538" s="911"/>
      <c r="G3538" s="912" t="s">
        <v>2598</v>
      </c>
      <c r="H3538" s="912"/>
      <c r="I3538" s="912"/>
      <c r="J3538" s="912"/>
      <c r="K3538" s="913"/>
      <c r="L3538" s="911"/>
      <c r="M3538" s="911"/>
      <c r="N3538" s="911"/>
      <c r="O3538" s="914"/>
      <c r="P3538" s="911"/>
      <c r="Q3538" s="915"/>
      <c r="R3538" s="916"/>
      <c r="S3538" s="915"/>
      <c r="T3538" s="917"/>
      <c r="U3538" s="918"/>
      <c r="AR3538"/>
      <c r="AS3538" s="911"/>
    </row>
    <row r="3539" spans="1:45" s="886" customFormat="1" ht="12">
      <c r="A3539" s="919">
        <v>1</v>
      </c>
      <c r="B3539" s="920">
        <v>3</v>
      </c>
      <c r="C3539" s="920">
        <f>$A3539*$B3539</f>
        <v>3</v>
      </c>
      <c r="D3539" s="921" t="str">
        <f>Elec_Rates!$D$19</f>
        <v>001# Light Point Rate (LSZH Conduit)</v>
      </c>
      <c r="E3539" s="921" t="s">
        <v>2993</v>
      </c>
      <c r="F3539" s="1060" t="s">
        <v>2994</v>
      </c>
      <c r="G3539" s="922" t="s">
        <v>2878</v>
      </c>
      <c r="H3539" s="922"/>
      <c r="I3539" s="922"/>
      <c r="J3539" s="922"/>
      <c r="K3539" s="923"/>
      <c r="L3539" s="918"/>
      <c r="M3539" s="918"/>
      <c r="N3539" s="918"/>
      <c r="O3539" s="924"/>
      <c r="P3539" s="921"/>
      <c r="Q3539" s="925">
        <f ca="1">$B3539*Elec_Rates!$R$19</f>
        <v>55.44</v>
      </c>
      <c r="R3539" s="916">
        <f ca="1">$A3539*Q3539</f>
        <v>55.44</v>
      </c>
      <c r="S3539" s="925">
        <f ca="1">$B3539*Elec_Rates!$T$19</f>
        <v>4.0200000000000005</v>
      </c>
      <c r="T3539" s="917">
        <f ca="1">$A3539*S3539</f>
        <v>4.0200000000000005</v>
      </c>
      <c r="U3539" s="926"/>
      <c r="AR3539" s="919">
        <v>1</v>
      </c>
      <c r="AS3539" s="1060" t="s">
        <v>2994</v>
      </c>
    </row>
    <row r="3540" spans="1:45" s="520" customFormat="1" ht="12">
      <c r="A3540" s="758"/>
      <c r="B3540" s="758"/>
      <c r="C3540" s="758"/>
      <c r="D3540" s="758"/>
      <c r="E3540" s="758"/>
      <c r="F3540" s="753"/>
      <c r="G3540" s="758"/>
      <c r="H3540" s="758"/>
      <c r="I3540" s="519"/>
      <c r="J3540" s="758"/>
      <c r="K3540" s="758"/>
      <c r="L3540" s="758"/>
      <c r="M3540" s="758"/>
      <c r="N3540" s="758"/>
      <c r="O3540" s="758"/>
      <c r="P3540" s="758"/>
      <c r="Q3540" s="519"/>
      <c r="R3540" s="759">
        <f>$A3540*Q3540</f>
        <v>0</v>
      </c>
      <c r="S3540" s="519"/>
      <c r="T3540" s="760">
        <f>$A3540*S3540*$T$1</f>
        <v>0</v>
      </c>
      <c r="AR3540" s="758"/>
      <c r="AS3540" s="753"/>
    </row>
    <row r="3541" spans="1:45" s="520" customFormat="1" ht="12.6" thickBot="1">
      <c r="A3541" s="761" t="s">
        <v>145</v>
      </c>
      <c r="B3541" s="762">
        <f>(R3540+T3540)</f>
        <v>0</v>
      </c>
      <c r="C3541" s="763"/>
      <c r="D3541" s="763"/>
      <c r="E3541" s="763"/>
      <c r="F3541" s="764"/>
      <c r="G3541" s="763" t="s">
        <v>146</v>
      </c>
      <c r="H3541" s="763"/>
      <c r="I3541" s="765"/>
      <c r="J3541" s="763"/>
      <c r="K3541" s="763" t="s">
        <v>3</v>
      </c>
      <c r="L3541" s="766" t="s">
        <v>143</v>
      </c>
      <c r="M3541" s="766"/>
      <c r="N3541" s="766"/>
      <c r="O3541" s="766"/>
      <c r="P3541" s="766"/>
      <c r="Q3541" s="767"/>
      <c r="R3541" s="768">
        <f ca="1">SUM(R3537:R3540)</f>
        <v>55.44</v>
      </c>
      <c r="S3541" s="763"/>
      <c r="T3541" s="768">
        <f ca="1">SUM(T3537:T3540)</f>
        <v>4.0200000000000005</v>
      </c>
      <c r="U3541" s="531"/>
      <c r="V3541" s="531"/>
      <c r="W3541" s="531"/>
      <c r="X3541" s="531"/>
      <c r="Y3541" s="531"/>
      <c r="Z3541" s="531"/>
      <c r="AA3541" s="531"/>
      <c r="AB3541" s="531"/>
      <c r="AC3541" s="531"/>
      <c r="AD3541" s="531"/>
      <c r="AE3541" s="531"/>
      <c r="AF3541" s="531"/>
      <c r="AG3541" s="531"/>
      <c r="AH3541" s="531"/>
      <c r="AI3541" s="531"/>
      <c r="AJ3541" s="531"/>
      <c r="AK3541" s="531"/>
      <c r="AL3541" s="531"/>
      <c r="AM3541" s="531"/>
      <c r="AN3541" s="531"/>
      <c r="AO3541" s="531"/>
      <c r="AR3541" s="761" t="s">
        <v>145</v>
      </c>
      <c r="AS3541" s="764"/>
    </row>
    <row r="3542" spans="1:45" s="520" customFormat="1" ht="12" thickTop="1">
      <c r="A3542" s="51"/>
      <c r="B3542" s="41"/>
      <c r="C3542" s="51"/>
      <c r="E3542" s="42" t="s">
        <v>138</v>
      </c>
      <c r="F3542" s="42" t="s">
        <v>139</v>
      </c>
      <c r="G3542" s="51"/>
      <c r="H3542" s="51"/>
      <c r="I3542" s="51"/>
      <c r="J3542" s="51"/>
      <c r="K3542" s="51" t="s">
        <v>140</v>
      </c>
      <c r="L3542" s="51"/>
      <c r="M3542" s="51"/>
      <c r="N3542" s="51"/>
      <c r="O3542" s="52"/>
      <c r="P3542" s="51"/>
      <c r="Q3542" s="51"/>
      <c r="R3542" s="51"/>
      <c r="S3542" s="51"/>
      <c r="T3542" s="41"/>
      <c r="AG3542" s="521" t="s">
        <v>268</v>
      </c>
      <c r="AH3542" s="521" t="s">
        <v>269</v>
      </c>
      <c r="AI3542" s="521" t="s">
        <v>270</v>
      </c>
      <c r="AJ3542" s="521" t="s">
        <v>271</v>
      </c>
      <c r="AK3542" s="521" t="s">
        <v>272</v>
      </c>
      <c r="AM3542" s="745" t="s">
        <v>281</v>
      </c>
      <c r="AN3542" s="746" t="s">
        <v>282</v>
      </c>
      <c r="AO3542" s="522" t="s">
        <v>278</v>
      </c>
      <c r="AR3542" s="51"/>
      <c r="AS3542" s="42" t="s">
        <v>139</v>
      </c>
    </row>
    <row r="3543" spans="1:45" s="520" customFormat="1" ht="12" customHeight="1">
      <c r="A3543" s="747">
        <v>2</v>
      </c>
      <c r="B3543" s="523" t="s">
        <v>141</v>
      </c>
      <c r="C3543" s="748"/>
      <c r="D3543" s="749" t="s">
        <v>1672</v>
      </c>
      <c r="E3543" s="750">
        <f ca="1">IF(AND($A3543=0,$A$1="DIF"),0, ROUND(ROUND(($R3548*$S$2+($T3548*$T$2))/A3543,2)*$C$2,2))</f>
        <v>68.06</v>
      </c>
      <c r="F3543" s="751">
        <f ca="1">ROUND($A3543*$E3543,2)</f>
        <v>136.12</v>
      </c>
      <c r="G3543" s="752" t="s">
        <v>142</v>
      </c>
      <c r="H3543" s="753"/>
      <c r="I3543" s="754"/>
      <c r="J3543" s="753"/>
      <c r="K3543" s="753" t="s">
        <v>3</v>
      </c>
      <c r="L3543" s="755" t="s">
        <v>143</v>
      </c>
      <c r="M3543" s="755"/>
      <c r="N3543" s="755"/>
      <c r="O3543" s="755"/>
      <c r="P3543" s="755"/>
      <c r="Q3543" s="51"/>
      <c r="T3543" s="756" t="str">
        <f ca="1">IF(AND($R3548=0,$T3548=0),"0.00","mu :" &amp; ROUND($F3543/$C$2/($R3548+$T3548*$D$9),2))</f>
        <v>mu :1.23</v>
      </c>
      <c r="W3543" s="524"/>
      <c r="AG3543" s="481">
        <f ca="1">IF($E3543=0,0,ROUND($R3548*$S$2*$C$2/$A3543,2))</f>
        <v>22.76</v>
      </c>
      <c r="AH3543" s="481">
        <f ca="1">$AG3543*$A3543</f>
        <v>45.52</v>
      </c>
      <c r="AI3543" s="525">
        <f ca="1">$E3543-$AG3543</f>
        <v>45.3</v>
      </c>
      <c r="AJ3543" s="525">
        <f ca="1">$A3543*$AI3543</f>
        <v>90.6</v>
      </c>
      <c r="AK3543" s="526">
        <f ca="1">ROUND(($AG3543+$AI3543)*$A3543,2)</f>
        <v>136.12</v>
      </c>
      <c r="AM3543" s="527">
        <f ca="1">ROUND(R3548,2)</f>
        <v>36.96</v>
      </c>
      <c r="AN3543" s="528">
        <f ca="1">ROUND(T3548,2)</f>
        <v>2.68</v>
      </c>
      <c r="AO3543" s="529">
        <f ca="1">ROUND(AM3543+AN3543,2)*A3543</f>
        <v>79.28</v>
      </c>
      <c r="AR3543" s="747">
        <v>2</v>
      </c>
      <c r="AS3543" s="751">
        <v>146.28</v>
      </c>
    </row>
    <row r="3544" spans="1:45" s="520" customFormat="1" ht="13.2">
      <c r="A3544" s="748"/>
      <c r="B3544"/>
      <c r="C3544" s="748"/>
      <c r="D3544" s="749" t="s">
        <v>793</v>
      </c>
      <c r="F3544" s="753"/>
      <c r="G3544" s="3"/>
      <c r="H3544" s="753"/>
      <c r="I3544" s="754"/>
      <c r="J3544" s="753"/>
      <c r="K3544" s="753" t="s">
        <v>144</v>
      </c>
      <c r="L3544" s="753"/>
      <c r="M3544" s="753"/>
      <c r="N3544" s="753"/>
      <c r="O3544" s="753"/>
      <c r="P3544" s="753"/>
      <c r="Q3544" s="51"/>
      <c r="R3544" s="530"/>
      <c r="S3544" s="757"/>
      <c r="T3544" s="753"/>
      <c r="AR3544" s="748"/>
      <c r="AS3544" s="753"/>
    </row>
    <row r="3545" spans="1:45" s="886" customFormat="1" ht="13.2">
      <c r="A3545"/>
      <c r="B3545" s="910"/>
      <c r="C3545" s="910" t="s">
        <v>2597</v>
      </c>
      <c r="D3545" s="910" t="str">
        <f ca="1">CELL("Address",Elec_Rates!D$19)</f>
        <v>[E25_0062_Quintano_Foods_Elec_ELV_As_Awarded.xlsx]Elec_Rates!$D$19</v>
      </c>
      <c r="E3545" s="911"/>
      <c r="F3545" s="911"/>
      <c r="G3545" s="912" t="s">
        <v>2598</v>
      </c>
      <c r="H3545" s="912"/>
      <c r="I3545" s="912"/>
      <c r="J3545" s="912"/>
      <c r="K3545" s="913"/>
      <c r="L3545" s="911"/>
      <c r="M3545" s="911"/>
      <c r="N3545" s="911"/>
      <c r="O3545" s="914"/>
      <c r="P3545" s="911"/>
      <c r="Q3545" s="915"/>
      <c r="R3545" s="916"/>
      <c r="S3545" s="915"/>
      <c r="T3545" s="917"/>
      <c r="U3545" s="918"/>
      <c r="AR3545"/>
      <c r="AS3545" s="911"/>
    </row>
    <row r="3546" spans="1:45" s="886" customFormat="1" ht="11.4">
      <c r="A3546" s="919">
        <v>2</v>
      </c>
      <c r="B3546" s="920">
        <v>1</v>
      </c>
      <c r="C3546" s="920">
        <f>$A3546*$B3546</f>
        <v>2</v>
      </c>
      <c r="D3546" s="921" t="str">
        <f>Elec_Rates!$D$19</f>
        <v>001# Light Point Rate (LSZH Conduit)</v>
      </c>
      <c r="E3546" s="921" t="s">
        <v>2969</v>
      </c>
      <c r="F3546" s="918"/>
      <c r="G3546" s="922" t="s">
        <v>2878</v>
      </c>
      <c r="H3546" s="922"/>
      <c r="I3546" s="922"/>
      <c r="J3546" s="922"/>
      <c r="K3546" s="923"/>
      <c r="L3546" s="918"/>
      <c r="M3546" s="918"/>
      <c r="N3546" s="918"/>
      <c r="O3546" s="924"/>
      <c r="P3546" s="921"/>
      <c r="Q3546" s="925">
        <f ca="1">$B3546*Elec_Rates!$R$19</f>
        <v>18.48</v>
      </c>
      <c r="R3546" s="916">
        <f ca="1">$A3546*Q3546</f>
        <v>36.96</v>
      </c>
      <c r="S3546" s="925">
        <f ca="1">$B3546*Elec_Rates!$T$19</f>
        <v>1.34</v>
      </c>
      <c r="T3546" s="917">
        <f ca="1">$A3546*S3546</f>
        <v>2.68</v>
      </c>
      <c r="U3546" s="926"/>
      <c r="AR3546" s="919">
        <v>2</v>
      </c>
      <c r="AS3546" s="918"/>
    </row>
    <row r="3547" spans="1:45" s="520" customFormat="1" ht="12">
      <c r="A3547" s="758"/>
      <c r="B3547" s="758"/>
      <c r="C3547" s="758"/>
      <c r="D3547" s="758"/>
      <c r="E3547" s="758"/>
      <c r="F3547" s="753"/>
      <c r="G3547" s="758"/>
      <c r="H3547" s="758"/>
      <c r="I3547" s="519"/>
      <c r="J3547" s="758"/>
      <c r="K3547" s="758"/>
      <c r="L3547" s="758"/>
      <c r="M3547" s="758"/>
      <c r="N3547" s="758"/>
      <c r="O3547" s="758"/>
      <c r="P3547" s="758"/>
      <c r="Q3547" s="519"/>
      <c r="R3547" s="759">
        <f>$A3547*Q3547</f>
        <v>0</v>
      </c>
      <c r="S3547" s="519"/>
      <c r="T3547" s="760">
        <f>$A3547*S3547*$T$1</f>
        <v>0</v>
      </c>
      <c r="AR3547" s="758"/>
      <c r="AS3547" s="753"/>
    </row>
    <row r="3548" spans="1:45" s="520" customFormat="1" ht="12.6" thickBot="1">
      <c r="A3548" s="761" t="s">
        <v>145</v>
      </c>
      <c r="B3548" s="762">
        <f>(R3547+T3547)</f>
        <v>0</v>
      </c>
      <c r="C3548" s="763"/>
      <c r="D3548" s="763"/>
      <c r="E3548" s="763"/>
      <c r="F3548" s="764"/>
      <c r="G3548" s="763" t="s">
        <v>146</v>
      </c>
      <c r="H3548" s="763"/>
      <c r="I3548" s="765"/>
      <c r="J3548" s="763"/>
      <c r="K3548" s="763" t="s">
        <v>3</v>
      </c>
      <c r="L3548" s="766" t="s">
        <v>143</v>
      </c>
      <c r="M3548" s="766"/>
      <c r="N3548" s="766"/>
      <c r="O3548" s="766"/>
      <c r="P3548" s="766"/>
      <c r="Q3548" s="767"/>
      <c r="R3548" s="768">
        <f ca="1">SUM(R3544:R3547)</f>
        <v>36.96</v>
      </c>
      <c r="S3548" s="763"/>
      <c r="T3548" s="768">
        <f ca="1">SUM(T3544:T3547)</f>
        <v>2.68</v>
      </c>
      <c r="U3548" s="531"/>
      <c r="V3548" s="531"/>
      <c r="W3548" s="531"/>
      <c r="X3548" s="531"/>
      <c r="Y3548" s="531"/>
      <c r="Z3548" s="531"/>
      <c r="AA3548" s="531"/>
      <c r="AB3548" s="531"/>
      <c r="AC3548" s="531"/>
      <c r="AD3548" s="531"/>
      <c r="AE3548" s="531"/>
      <c r="AF3548" s="531"/>
      <c r="AG3548" s="531"/>
      <c r="AH3548" s="531"/>
      <c r="AI3548" s="531"/>
      <c r="AJ3548" s="531"/>
      <c r="AK3548" s="531"/>
      <c r="AL3548" s="531"/>
      <c r="AM3548" s="531"/>
      <c r="AN3548" s="531"/>
      <c r="AO3548" s="531"/>
      <c r="AR3548" s="761" t="s">
        <v>145</v>
      </c>
      <c r="AS3548" s="764"/>
    </row>
    <row r="3549" spans="1:45" s="520" customFormat="1" ht="12" thickTop="1">
      <c r="A3549" s="51"/>
      <c r="B3549" s="41"/>
      <c r="C3549" s="51"/>
      <c r="E3549" s="42" t="s">
        <v>138</v>
      </c>
      <c r="F3549" s="42" t="s">
        <v>139</v>
      </c>
      <c r="G3549" s="51"/>
      <c r="H3549" s="51"/>
      <c r="I3549" s="51"/>
      <c r="J3549" s="51"/>
      <c r="K3549" s="51" t="s">
        <v>140</v>
      </c>
      <c r="L3549" s="51"/>
      <c r="M3549" s="51"/>
      <c r="N3549" s="51"/>
      <c r="O3549" s="52"/>
      <c r="P3549" s="51"/>
      <c r="Q3549" s="51"/>
      <c r="R3549" s="51"/>
      <c r="S3549" s="51"/>
      <c r="T3549" s="41"/>
      <c r="AG3549" s="521" t="s">
        <v>268</v>
      </c>
      <c r="AH3549" s="521" t="s">
        <v>269</v>
      </c>
      <c r="AI3549" s="521" t="s">
        <v>270</v>
      </c>
      <c r="AJ3549" s="521" t="s">
        <v>271</v>
      </c>
      <c r="AK3549" s="521" t="s">
        <v>272</v>
      </c>
      <c r="AM3549" s="745" t="s">
        <v>281</v>
      </c>
      <c r="AN3549" s="746" t="s">
        <v>282</v>
      </c>
      <c r="AO3549" s="522" t="s">
        <v>278</v>
      </c>
      <c r="AR3549" s="51"/>
      <c r="AS3549" s="42" t="s">
        <v>139</v>
      </c>
    </row>
    <row r="3550" spans="1:45" s="520" customFormat="1" ht="12" customHeight="1">
      <c r="A3550" s="747">
        <v>3</v>
      </c>
      <c r="B3550" s="523" t="s">
        <v>141</v>
      </c>
      <c r="C3550" s="748"/>
      <c r="D3550" s="749" t="s">
        <v>1673</v>
      </c>
      <c r="E3550" s="750">
        <f ca="1">IF(AND($A3550=0,$A$1="DIF"),0, ROUND(ROUND(($R3555*$S$2+($T3555*$T$2))/A3550,2)*$C$2,2))</f>
        <v>102.1</v>
      </c>
      <c r="F3550" s="751">
        <f ca="1">ROUND($A3550*$E3550,2)</f>
        <v>306.3</v>
      </c>
      <c r="G3550" s="752" t="s">
        <v>142</v>
      </c>
      <c r="H3550" s="753"/>
      <c r="I3550" s="754"/>
      <c r="J3550" s="753"/>
      <c r="K3550" s="753" t="s">
        <v>3</v>
      </c>
      <c r="L3550" s="755" t="s">
        <v>143</v>
      </c>
      <c r="M3550" s="755"/>
      <c r="N3550" s="755"/>
      <c r="O3550" s="755"/>
      <c r="P3550" s="755"/>
      <c r="Q3550" s="51"/>
      <c r="T3550" s="756" t="str">
        <f ca="1">IF(AND($R3555=0,$T3555=0),"0.00","mu :" &amp; ROUND($F3550/$C$2/($R3555+$T3555*$D$9),2))</f>
        <v>mu :1.23</v>
      </c>
      <c r="W3550" s="524"/>
      <c r="AG3550" s="481">
        <f ca="1">IF($E3550=0,0,ROUND($R3555*$S$2*$C$2/$A3550,2))</f>
        <v>34.130000000000003</v>
      </c>
      <c r="AH3550" s="481">
        <f ca="1">$AG3550*$A3550</f>
        <v>102.39000000000001</v>
      </c>
      <c r="AI3550" s="525">
        <f ca="1">$E3550-$AG3550</f>
        <v>67.97</v>
      </c>
      <c r="AJ3550" s="525">
        <f ca="1">$A3550*$AI3550</f>
        <v>203.91</v>
      </c>
      <c r="AK3550" s="526">
        <f ca="1">ROUND(($AG3550+$AI3550)*$A3550,2)</f>
        <v>306.3</v>
      </c>
      <c r="AM3550" s="527">
        <f ca="1">ROUND(R3555,2)</f>
        <v>83.16</v>
      </c>
      <c r="AN3550" s="528">
        <f ca="1">ROUND(T3555,2)</f>
        <v>6.03</v>
      </c>
      <c r="AO3550" s="529">
        <f ca="1">ROUND(AM3550+AN3550,2)*A3550</f>
        <v>267.57</v>
      </c>
      <c r="AR3550" s="747">
        <v>3</v>
      </c>
      <c r="AS3550" s="751">
        <v>329.1</v>
      </c>
    </row>
    <row r="3551" spans="1:45" s="520" customFormat="1" ht="13.2">
      <c r="A3551" s="748"/>
      <c r="B3551"/>
      <c r="C3551" s="748"/>
      <c r="D3551" s="749" t="s">
        <v>794</v>
      </c>
      <c r="F3551" s="753"/>
      <c r="G3551" s="3"/>
      <c r="H3551" s="753"/>
      <c r="I3551" s="754"/>
      <c r="J3551" s="753"/>
      <c r="K3551" s="753" t="s">
        <v>144</v>
      </c>
      <c r="L3551" s="753"/>
      <c r="M3551" s="753"/>
      <c r="N3551" s="753"/>
      <c r="O3551" s="753"/>
      <c r="P3551" s="753"/>
      <c r="Q3551" s="51"/>
      <c r="R3551" s="530"/>
      <c r="S3551" s="757"/>
      <c r="T3551" s="753"/>
      <c r="AR3551" s="748"/>
      <c r="AS3551" s="753"/>
    </row>
    <row r="3552" spans="1:45" s="886" customFormat="1" ht="13.2">
      <c r="A3552"/>
      <c r="B3552" s="910"/>
      <c r="C3552" s="910" t="s">
        <v>2597</v>
      </c>
      <c r="D3552" s="910" t="str">
        <f ca="1">CELL("Address",Elec_Rates!D$19)</f>
        <v>[E25_0062_Quintano_Foods_Elec_ELV_As_Awarded.xlsx]Elec_Rates!$D$19</v>
      </c>
      <c r="E3552" s="911"/>
      <c r="F3552" s="911"/>
      <c r="G3552" s="912" t="s">
        <v>2598</v>
      </c>
      <c r="H3552" s="912"/>
      <c r="I3552" s="912"/>
      <c r="J3552" s="912"/>
      <c r="K3552" s="913"/>
      <c r="L3552" s="911"/>
      <c r="M3552" s="911"/>
      <c r="N3552" s="911"/>
      <c r="O3552" s="914"/>
      <c r="P3552" s="911"/>
      <c r="Q3552" s="915"/>
      <c r="R3552" s="916"/>
      <c r="S3552" s="915"/>
      <c r="T3552" s="917"/>
      <c r="U3552" s="918"/>
      <c r="AR3552"/>
      <c r="AS3552" s="911"/>
    </row>
    <row r="3553" spans="1:45" s="886" customFormat="1" ht="11.4">
      <c r="A3553" s="919">
        <v>3</v>
      </c>
      <c r="B3553" s="920">
        <v>1.5</v>
      </c>
      <c r="C3553" s="920">
        <f>$A3553*$B3553</f>
        <v>4.5</v>
      </c>
      <c r="D3553" s="921" t="str">
        <f>Elec_Rates!$D$19</f>
        <v>001# Light Point Rate (LSZH Conduit)</v>
      </c>
      <c r="E3553" s="921" t="s">
        <v>2894</v>
      </c>
      <c r="F3553" s="918"/>
      <c r="G3553" s="922" t="s">
        <v>2878</v>
      </c>
      <c r="H3553" s="922"/>
      <c r="I3553" s="922"/>
      <c r="J3553" s="922"/>
      <c r="K3553" s="923"/>
      <c r="L3553" s="918"/>
      <c r="M3553" s="918"/>
      <c r="N3553" s="918"/>
      <c r="O3553" s="924"/>
      <c r="P3553" s="921"/>
      <c r="Q3553" s="925">
        <f ca="1">$B3553*Elec_Rates!$R$19</f>
        <v>27.72</v>
      </c>
      <c r="R3553" s="916">
        <f ca="1">$A3553*Q3553</f>
        <v>83.16</v>
      </c>
      <c r="S3553" s="925">
        <f ca="1">$B3553*Elec_Rates!$T$19</f>
        <v>2.0100000000000002</v>
      </c>
      <c r="T3553" s="917">
        <f ca="1">$A3553*S3553</f>
        <v>6.0300000000000011</v>
      </c>
      <c r="U3553" s="926"/>
      <c r="AR3553" s="919">
        <v>3</v>
      </c>
      <c r="AS3553" s="918"/>
    </row>
    <row r="3554" spans="1:45" s="520" customFormat="1" ht="12">
      <c r="A3554" s="758"/>
      <c r="B3554" s="758"/>
      <c r="C3554" s="758"/>
      <c r="D3554" s="758"/>
      <c r="E3554" s="758"/>
      <c r="F3554" s="753"/>
      <c r="G3554" s="758"/>
      <c r="H3554" s="758"/>
      <c r="I3554" s="519"/>
      <c r="J3554" s="758"/>
      <c r="K3554" s="758"/>
      <c r="L3554" s="758"/>
      <c r="M3554" s="758"/>
      <c r="N3554" s="758"/>
      <c r="O3554" s="758"/>
      <c r="P3554" s="758"/>
      <c r="Q3554" s="519"/>
      <c r="R3554" s="759">
        <f>$A3554*Q3554</f>
        <v>0</v>
      </c>
      <c r="S3554" s="519"/>
      <c r="T3554" s="760">
        <f>$A3554*S3554*$T$1</f>
        <v>0</v>
      </c>
      <c r="AR3554" s="758"/>
      <c r="AS3554" s="753"/>
    </row>
    <row r="3555" spans="1:45" s="520" customFormat="1" ht="12.6" thickBot="1">
      <c r="A3555" s="761" t="s">
        <v>145</v>
      </c>
      <c r="B3555" s="762">
        <f>(R3554+T3554)</f>
        <v>0</v>
      </c>
      <c r="C3555" s="763"/>
      <c r="D3555" s="763"/>
      <c r="E3555" s="763"/>
      <c r="F3555" s="764"/>
      <c r="G3555" s="763" t="s">
        <v>146</v>
      </c>
      <c r="H3555" s="763"/>
      <c r="I3555" s="765"/>
      <c r="J3555" s="763"/>
      <c r="K3555" s="763" t="s">
        <v>3</v>
      </c>
      <c r="L3555" s="766" t="s">
        <v>143</v>
      </c>
      <c r="M3555" s="766"/>
      <c r="N3555" s="766"/>
      <c r="O3555" s="766"/>
      <c r="P3555" s="766"/>
      <c r="Q3555" s="767"/>
      <c r="R3555" s="768">
        <f ca="1">SUM(R3551:R3554)</f>
        <v>83.16</v>
      </c>
      <c r="S3555" s="763"/>
      <c r="T3555" s="768">
        <f ca="1">SUM(T3551:T3554)</f>
        <v>6.0300000000000011</v>
      </c>
      <c r="U3555" s="531"/>
      <c r="V3555" s="531"/>
      <c r="W3555" s="531"/>
      <c r="X3555" s="531"/>
      <c r="Y3555" s="531"/>
      <c r="Z3555" s="531"/>
      <c r="AA3555" s="531"/>
      <c r="AB3555" s="531"/>
      <c r="AC3555" s="531"/>
      <c r="AD3555" s="531"/>
      <c r="AE3555" s="531"/>
      <c r="AF3555" s="531"/>
      <c r="AG3555" s="531"/>
      <c r="AH3555" s="531"/>
      <c r="AI3555" s="531"/>
      <c r="AJ3555" s="531"/>
      <c r="AK3555" s="531"/>
      <c r="AL3555" s="531"/>
      <c r="AM3555" s="531"/>
      <c r="AN3555" s="531"/>
      <c r="AO3555" s="531"/>
      <c r="AR3555" s="761" t="s">
        <v>145</v>
      </c>
      <c r="AS3555" s="764"/>
    </row>
    <row r="3556" spans="1:45" s="520" customFormat="1" ht="12" thickTop="1">
      <c r="A3556" s="51"/>
      <c r="B3556" s="41"/>
      <c r="C3556" s="51"/>
      <c r="E3556" s="42" t="s">
        <v>138</v>
      </c>
      <c r="F3556" s="42" t="s">
        <v>139</v>
      </c>
      <c r="G3556" s="51"/>
      <c r="H3556" s="51"/>
      <c r="I3556" s="51"/>
      <c r="J3556" s="51"/>
      <c r="K3556" s="51" t="s">
        <v>140</v>
      </c>
      <c r="L3556" s="51"/>
      <c r="M3556" s="51"/>
      <c r="N3556" s="51"/>
      <c r="O3556" s="52"/>
      <c r="P3556" s="51"/>
      <c r="Q3556" s="51"/>
      <c r="R3556" s="51"/>
      <c r="S3556" s="51"/>
      <c r="T3556" s="41"/>
      <c r="AG3556" s="521" t="s">
        <v>268</v>
      </c>
      <c r="AH3556" s="521" t="s">
        <v>269</v>
      </c>
      <c r="AI3556" s="521" t="s">
        <v>270</v>
      </c>
      <c r="AJ3556" s="521" t="s">
        <v>271</v>
      </c>
      <c r="AK3556" s="521" t="s">
        <v>272</v>
      </c>
      <c r="AM3556" s="745" t="s">
        <v>281</v>
      </c>
      <c r="AN3556" s="746" t="s">
        <v>282</v>
      </c>
      <c r="AO3556" s="522" t="s">
        <v>278</v>
      </c>
      <c r="AR3556" s="51"/>
      <c r="AS3556" s="42" t="s">
        <v>139</v>
      </c>
    </row>
    <row r="3557" spans="1:45" s="520" customFormat="1" ht="12" customHeight="1">
      <c r="A3557" s="747">
        <v>1</v>
      </c>
      <c r="B3557" s="523" t="s">
        <v>141</v>
      </c>
      <c r="C3557" s="748"/>
      <c r="D3557" s="749" t="s">
        <v>1674</v>
      </c>
      <c r="E3557" s="750">
        <f ca="1">IF(AND($A3557=0,$A$1="DIF"),0, ROUND(ROUND(($R3562*$S$2+($T3562*$T$2))/A3557,2)*$C$2,2))</f>
        <v>170.16</v>
      </c>
      <c r="F3557" s="751">
        <f ca="1">ROUND($A3557*$E3557,2)</f>
        <v>170.16</v>
      </c>
      <c r="G3557" s="752" t="s">
        <v>142</v>
      </c>
      <c r="H3557" s="753"/>
      <c r="I3557" s="754"/>
      <c r="J3557" s="753"/>
      <c r="K3557" s="753" t="s">
        <v>3</v>
      </c>
      <c r="L3557" s="755" t="s">
        <v>143</v>
      </c>
      <c r="M3557" s="755"/>
      <c r="N3557" s="755"/>
      <c r="O3557" s="755"/>
      <c r="P3557" s="755"/>
      <c r="Q3557" s="51"/>
      <c r="T3557" s="756" t="str">
        <f ca="1">IF(AND($R3562=0,$T3562=0),"0.00","mu :" &amp; ROUND($F3557/$C$2/($R3562+$T3562*$D$9),2))</f>
        <v>mu :1.23</v>
      </c>
      <c r="W3557" s="524"/>
      <c r="AG3557" s="481">
        <f ca="1">IF($E3557=0,0,ROUND($R3562*$S$2*$C$2/$A3557,2))</f>
        <v>56.89</v>
      </c>
      <c r="AH3557" s="481">
        <f ca="1">$AG3557*$A3557</f>
        <v>56.89</v>
      </c>
      <c r="AI3557" s="525">
        <f ca="1">$E3557-$AG3557</f>
        <v>113.27</v>
      </c>
      <c r="AJ3557" s="525">
        <f ca="1">$A3557*$AI3557</f>
        <v>113.27</v>
      </c>
      <c r="AK3557" s="526">
        <f ca="1">ROUND(($AG3557+$AI3557)*$A3557,2)</f>
        <v>170.16</v>
      </c>
      <c r="AM3557" s="527">
        <f ca="1">ROUND(R3562,2)</f>
        <v>46.2</v>
      </c>
      <c r="AN3557" s="528">
        <f ca="1">ROUND(T3562,2)</f>
        <v>3.35</v>
      </c>
      <c r="AO3557" s="529">
        <f ca="1">ROUND(AM3557+AN3557,2)*A3557</f>
        <v>49.55</v>
      </c>
      <c r="AR3557" s="747">
        <v>1</v>
      </c>
      <c r="AS3557" s="751">
        <v>182.84</v>
      </c>
    </row>
    <row r="3558" spans="1:45" s="520" customFormat="1" ht="13.2">
      <c r="A3558" s="748"/>
      <c r="B3558"/>
      <c r="C3558" s="748"/>
      <c r="D3558" s="749" t="s">
        <v>809</v>
      </c>
      <c r="F3558" s="753"/>
      <c r="G3558" s="3"/>
      <c r="H3558" s="753"/>
      <c r="I3558" s="754"/>
      <c r="J3558" s="753"/>
      <c r="K3558" s="753" t="s">
        <v>144</v>
      </c>
      <c r="L3558" s="753"/>
      <c r="M3558" s="753"/>
      <c r="N3558" s="753"/>
      <c r="O3558" s="753"/>
      <c r="P3558" s="753"/>
      <c r="Q3558" s="51"/>
      <c r="R3558" s="530"/>
      <c r="S3558" s="757"/>
      <c r="T3558" s="753"/>
      <c r="AR3558" s="748"/>
      <c r="AS3558" s="753"/>
    </row>
    <row r="3559" spans="1:45" s="886" customFormat="1" ht="13.2">
      <c r="A3559"/>
      <c r="B3559" s="910"/>
      <c r="C3559" s="910" t="s">
        <v>2597</v>
      </c>
      <c r="D3559" s="910" t="str">
        <f ca="1">CELL("Address",Elec_Rates!D$19)</f>
        <v>[E25_0062_Quintano_Foods_Elec_ELV_As_Awarded.xlsx]Elec_Rates!$D$19</v>
      </c>
      <c r="E3559" s="911"/>
      <c r="F3559" s="911"/>
      <c r="G3559" s="912" t="s">
        <v>2598</v>
      </c>
      <c r="H3559" s="912"/>
      <c r="I3559" s="912"/>
      <c r="J3559" s="912"/>
      <c r="K3559" s="913"/>
      <c r="L3559" s="911"/>
      <c r="M3559" s="911"/>
      <c r="N3559" s="911"/>
      <c r="O3559" s="914"/>
      <c r="P3559" s="911"/>
      <c r="Q3559" s="915"/>
      <c r="R3559" s="916"/>
      <c r="S3559" s="915"/>
      <c r="T3559" s="917"/>
      <c r="U3559" s="918"/>
      <c r="AR3559"/>
      <c r="AS3559" s="911"/>
    </row>
    <row r="3560" spans="1:45" s="886" customFormat="1" ht="11.4">
      <c r="A3560" s="919">
        <v>1</v>
      </c>
      <c r="B3560" s="920">
        <v>2.5</v>
      </c>
      <c r="C3560" s="920">
        <f>$A3560*$B3560</f>
        <v>2.5</v>
      </c>
      <c r="D3560" s="921" t="str">
        <f>Elec_Rates!$D$19</f>
        <v>001# Light Point Rate (LSZH Conduit)</v>
      </c>
      <c r="E3560" s="921" t="s">
        <v>2995</v>
      </c>
      <c r="F3560" s="918"/>
      <c r="G3560" s="922" t="s">
        <v>2878</v>
      </c>
      <c r="H3560" s="922"/>
      <c r="I3560" s="922"/>
      <c r="J3560" s="922"/>
      <c r="K3560" s="923"/>
      <c r="L3560" s="918"/>
      <c r="M3560" s="918"/>
      <c r="N3560" s="918"/>
      <c r="O3560" s="924"/>
      <c r="P3560" s="921"/>
      <c r="Q3560" s="925">
        <f ca="1">$B3560*Elec_Rates!$R$19</f>
        <v>46.2</v>
      </c>
      <c r="R3560" s="916">
        <f ca="1">$A3560*Q3560</f>
        <v>46.2</v>
      </c>
      <c r="S3560" s="925">
        <f ca="1">$B3560*Elec_Rates!$T$19</f>
        <v>3.35</v>
      </c>
      <c r="T3560" s="917">
        <f ca="1">$A3560*S3560</f>
        <v>3.35</v>
      </c>
      <c r="U3560" s="926"/>
      <c r="AR3560" s="919">
        <v>1</v>
      </c>
      <c r="AS3560" s="918"/>
    </row>
    <row r="3561" spans="1:45" s="520" customFormat="1" ht="12">
      <c r="A3561" s="758"/>
      <c r="B3561" s="758"/>
      <c r="C3561" s="758"/>
      <c r="D3561" s="758"/>
      <c r="E3561" s="758"/>
      <c r="F3561" s="753"/>
      <c r="G3561" s="758"/>
      <c r="H3561" s="758"/>
      <c r="I3561" s="519"/>
      <c r="J3561" s="758"/>
      <c r="K3561" s="758"/>
      <c r="L3561" s="758"/>
      <c r="M3561" s="758"/>
      <c r="N3561" s="758"/>
      <c r="O3561" s="758"/>
      <c r="P3561" s="758"/>
      <c r="Q3561" s="519"/>
      <c r="R3561" s="759">
        <f>$A3561*Q3561</f>
        <v>0</v>
      </c>
      <c r="S3561" s="519"/>
      <c r="T3561" s="760">
        <f>$A3561*S3561*$T$1</f>
        <v>0</v>
      </c>
      <c r="AR3561" s="758"/>
      <c r="AS3561" s="753"/>
    </row>
    <row r="3562" spans="1:45" s="520" customFormat="1" ht="12.6" thickBot="1">
      <c r="A3562" s="761" t="s">
        <v>145</v>
      </c>
      <c r="B3562" s="762">
        <f>(R3561+T3561)</f>
        <v>0</v>
      </c>
      <c r="C3562" s="763"/>
      <c r="D3562" s="763"/>
      <c r="E3562" s="763"/>
      <c r="F3562" s="764"/>
      <c r="G3562" s="763" t="s">
        <v>146</v>
      </c>
      <c r="H3562" s="763"/>
      <c r="I3562" s="765"/>
      <c r="J3562" s="763"/>
      <c r="K3562" s="763" t="s">
        <v>3</v>
      </c>
      <c r="L3562" s="766" t="s">
        <v>143</v>
      </c>
      <c r="M3562" s="766"/>
      <c r="N3562" s="766"/>
      <c r="O3562" s="766"/>
      <c r="P3562" s="766"/>
      <c r="Q3562" s="767"/>
      <c r="R3562" s="768">
        <f ca="1">SUM(R3558:R3561)</f>
        <v>46.2</v>
      </c>
      <c r="S3562" s="763"/>
      <c r="T3562" s="768">
        <f ca="1">SUM(T3558:T3561)</f>
        <v>3.35</v>
      </c>
      <c r="U3562" s="531"/>
      <c r="V3562" s="531"/>
      <c r="W3562" s="531"/>
      <c r="X3562" s="531"/>
      <c r="Y3562" s="531"/>
      <c r="Z3562" s="531"/>
      <c r="AA3562" s="531"/>
      <c r="AB3562" s="531"/>
      <c r="AC3562" s="531"/>
      <c r="AD3562" s="531"/>
      <c r="AE3562" s="531"/>
      <c r="AF3562" s="531"/>
      <c r="AG3562" s="531"/>
      <c r="AH3562" s="531"/>
      <c r="AI3562" s="531"/>
      <c r="AJ3562" s="531"/>
      <c r="AK3562" s="531"/>
      <c r="AL3562" s="531"/>
      <c r="AM3562" s="531"/>
      <c r="AN3562" s="531"/>
      <c r="AO3562" s="531"/>
      <c r="AR3562" s="761" t="s">
        <v>145</v>
      </c>
      <c r="AS3562" s="764"/>
    </row>
    <row r="3563" spans="1:45" s="520" customFormat="1" ht="12" thickTop="1">
      <c r="A3563" s="51"/>
      <c r="B3563" s="41"/>
      <c r="C3563" s="51"/>
      <c r="E3563" s="42" t="s">
        <v>138</v>
      </c>
      <c r="F3563" s="42" t="s">
        <v>139</v>
      </c>
      <c r="G3563" s="51"/>
      <c r="H3563" s="51"/>
      <c r="I3563" s="51"/>
      <c r="J3563" s="51"/>
      <c r="K3563" s="51" t="s">
        <v>140</v>
      </c>
      <c r="L3563" s="51"/>
      <c r="M3563" s="51"/>
      <c r="N3563" s="51"/>
      <c r="O3563" s="52"/>
      <c r="P3563" s="51"/>
      <c r="Q3563" s="51"/>
      <c r="R3563" s="51"/>
      <c r="S3563" s="51"/>
      <c r="T3563" s="41"/>
      <c r="AG3563" s="521" t="s">
        <v>268</v>
      </c>
      <c r="AH3563" s="521" t="s">
        <v>269</v>
      </c>
      <c r="AI3563" s="521" t="s">
        <v>270</v>
      </c>
      <c r="AJ3563" s="521" t="s">
        <v>271</v>
      </c>
      <c r="AK3563" s="521" t="s">
        <v>272</v>
      </c>
      <c r="AM3563" s="745" t="s">
        <v>281</v>
      </c>
      <c r="AN3563" s="746" t="s">
        <v>282</v>
      </c>
      <c r="AO3563" s="522" t="s">
        <v>278</v>
      </c>
      <c r="AR3563" s="51"/>
      <c r="AS3563" s="42" t="s">
        <v>139</v>
      </c>
    </row>
    <row r="3564" spans="1:45" s="520" customFormat="1" ht="12" customHeight="1">
      <c r="A3564" s="747">
        <v>1</v>
      </c>
      <c r="B3564" s="523" t="s">
        <v>141</v>
      </c>
      <c r="C3564" s="748"/>
      <c r="D3564" s="749" t="s">
        <v>1675</v>
      </c>
      <c r="E3564" s="750">
        <f ca="1">IF(AND($A3564=0,$A$1="DIF"),0, ROUND(ROUND(($R3569*$S$2+($T3569*$T$2))/A3564,2)*$C$2,2))</f>
        <v>442.42</v>
      </c>
      <c r="F3564" s="751">
        <f ca="1">ROUND($A3564*$E3564,2)</f>
        <v>442.42</v>
      </c>
      <c r="G3564" s="752" t="s">
        <v>142</v>
      </c>
      <c r="H3564" s="753"/>
      <c r="I3564" s="754"/>
      <c r="J3564" s="753"/>
      <c r="K3564" s="753" t="s">
        <v>3</v>
      </c>
      <c r="L3564" s="755" t="s">
        <v>143</v>
      </c>
      <c r="M3564" s="755"/>
      <c r="N3564" s="755"/>
      <c r="O3564" s="755"/>
      <c r="P3564" s="755"/>
      <c r="Q3564" s="51"/>
      <c r="T3564" s="756" t="str">
        <f ca="1">IF(AND($R3569=0,$T3569=0),"0.00","mu :" &amp; ROUND($F3564/$C$2/($R3569+$T3569*$D$9),2))</f>
        <v>mu :1.23</v>
      </c>
      <c r="W3564" s="524"/>
      <c r="AG3564" s="481">
        <f ca="1">IF($E3564=0,0,ROUND($R3569*$S$2*$C$2/$A3564,2))</f>
        <v>147.91</v>
      </c>
      <c r="AH3564" s="481">
        <f ca="1">$AG3564*$A3564</f>
        <v>147.91</v>
      </c>
      <c r="AI3564" s="525">
        <f ca="1">$E3564-$AG3564</f>
        <v>294.51</v>
      </c>
      <c r="AJ3564" s="525">
        <f ca="1">$A3564*$AI3564</f>
        <v>294.51</v>
      </c>
      <c r="AK3564" s="526">
        <f ca="1">ROUND(($AG3564+$AI3564)*$A3564,2)</f>
        <v>442.42</v>
      </c>
      <c r="AM3564" s="527">
        <f ca="1">ROUND(R3569,2)</f>
        <v>120.12</v>
      </c>
      <c r="AN3564" s="528">
        <f ca="1">ROUND(T3569,2)</f>
        <v>8.7100000000000009</v>
      </c>
      <c r="AO3564" s="529">
        <f ca="1">ROUND(AM3564+AN3564,2)*A3564</f>
        <v>128.83000000000001</v>
      </c>
      <c r="AR3564" s="747">
        <v>1</v>
      </c>
      <c r="AS3564" s="751">
        <v>475.39</v>
      </c>
    </row>
    <row r="3565" spans="1:45" s="520" customFormat="1" ht="13.2">
      <c r="A3565" s="748"/>
      <c r="B3565"/>
      <c r="C3565" s="748"/>
      <c r="D3565" s="749" t="s">
        <v>810</v>
      </c>
      <c r="F3565" s="753"/>
      <c r="G3565" s="3"/>
      <c r="H3565" s="753"/>
      <c r="I3565" s="754"/>
      <c r="J3565" s="753"/>
      <c r="K3565" s="753" t="s">
        <v>144</v>
      </c>
      <c r="L3565" s="753"/>
      <c r="M3565" s="753"/>
      <c r="N3565" s="753"/>
      <c r="O3565" s="753"/>
      <c r="P3565" s="753"/>
      <c r="Q3565" s="51"/>
      <c r="R3565" s="530"/>
      <c r="S3565" s="757"/>
      <c r="T3565" s="753"/>
      <c r="AR3565" s="748"/>
      <c r="AS3565" s="753"/>
    </row>
    <row r="3566" spans="1:45" s="886" customFormat="1" ht="13.2">
      <c r="A3566"/>
      <c r="B3566" s="910"/>
      <c r="C3566" s="910" t="s">
        <v>2597</v>
      </c>
      <c r="D3566" s="910" t="str">
        <f ca="1">CELL("Address",Elec_Rates!D$19)</f>
        <v>[E25_0062_Quintano_Foods_Elec_ELV_As_Awarded.xlsx]Elec_Rates!$D$19</v>
      </c>
      <c r="E3566" s="911"/>
      <c r="F3566" s="911"/>
      <c r="G3566" s="912" t="s">
        <v>2598</v>
      </c>
      <c r="H3566" s="912"/>
      <c r="I3566" s="912"/>
      <c r="J3566" s="912"/>
      <c r="K3566" s="913"/>
      <c r="L3566" s="911"/>
      <c r="M3566" s="911"/>
      <c r="N3566" s="911"/>
      <c r="O3566" s="914"/>
      <c r="P3566" s="911"/>
      <c r="Q3566" s="915"/>
      <c r="R3566" s="916"/>
      <c r="S3566" s="915"/>
      <c r="T3566" s="917"/>
      <c r="U3566" s="918"/>
      <c r="AR3566"/>
      <c r="AS3566" s="911"/>
    </row>
    <row r="3567" spans="1:45" s="886" customFormat="1" ht="11.4">
      <c r="A3567" s="919">
        <v>1</v>
      </c>
      <c r="B3567" s="920">
        <f>4.5+2</f>
        <v>6.5</v>
      </c>
      <c r="C3567" s="920">
        <f>$A3567*$B3567</f>
        <v>6.5</v>
      </c>
      <c r="D3567" s="921" t="str">
        <f>Elec_Rates!$D$19</f>
        <v>001# Light Point Rate (LSZH Conduit)</v>
      </c>
      <c r="E3567" s="921" t="s">
        <v>2996</v>
      </c>
      <c r="F3567" s="918"/>
      <c r="G3567" s="922" t="s">
        <v>2878</v>
      </c>
      <c r="H3567" s="922"/>
      <c r="I3567" s="922"/>
      <c r="J3567" s="922"/>
      <c r="K3567" s="923"/>
      <c r="L3567" s="918"/>
      <c r="M3567" s="918"/>
      <c r="N3567" s="918"/>
      <c r="O3567" s="924"/>
      <c r="P3567" s="921"/>
      <c r="Q3567" s="925">
        <f ca="1">$B3567*Elec_Rates!$R$19</f>
        <v>120.12</v>
      </c>
      <c r="R3567" s="916">
        <f ca="1">$A3567*Q3567</f>
        <v>120.12</v>
      </c>
      <c r="S3567" s="925">
        <f ca="1">$B3567*Elec_Rates!$T$19</f>
        <v>8.7100000000000009</v>
      </c>
      <c r="T3567" s="917">
        <f ca="1">$A3567*S3567</f>
        <v>8.7100000000000009</v>
      </c>
      <c r="U3567" s="926"/>
      <c r="AR3567" s="919">
        <v>1</v>
      </c>
      <c r="AS3567" s="918"/>
    </row>
    <row r="3568" spans="1:45" s="520" customFormat="1" ht="12">
      <c r="A3568" s="758"/>
      <c r="B3568" s="758"/>
      <c r="C3568" s="758"/>
      <c r="D3568" s="758"/>
      <c r="E3568" s="758"/>
      <c r="F3568" s="753"/>
      <c r="G3568" s="758"/>
      <c r="H3568" s="758"/>
      <c r="I3568" s="519"/>
      <c r="J3568" s="758"/>
      <c r="K3568" s="758"/>
      <c r="L3568" s="758"/>
      <c r="M3568" s="758"/>
      <c r="N3568" s="758"/>
      <c r="O3568" s="758"/>
      <c r="P3568" s="758"/>
      <c r="Q3568" s="519"/>
      <c r="R3568" s="759">
        <f>$A3568*Q3568</f>
        <v>0</v>
      </c>
      <c r="S3568" s="519"/>
      <c r="T3568" s="760">
        <f>$A3568*S3568*$T$1</f>
        <v>0</v>
      </c>
      <c r="AR3568" s="758"/>
      <c r="AS3568" s="753"/>
    </row>
    <row r="3569" spans="1:45" s="520" customFormat="1" ht="12.6" thickBot="1">
      <c r="A3569" s="761" t="s">
        <v>145</v>
      </c>
      <c r="B3569" s="762">
        <f>(R3568+T3568)</f>
        <v>0</v>
      </c>
      <c r="C3569" s="763"/>
      <c r="D3569" s="763"/>
      <c r="E3569" s="763"/>
      <c r="F3569" s="764"/>
      <c r="G3569" s="763" t="s">
        <v>146</v>
      </c>
      <c r="H3569" s="763"/>
      <c r="I3569" s="765"/>
      <c r="J3569" s="763"/>
      <c r="K3569" s="763" t="s">
        <v>3</v>
      </c>
      <c r="L3569" s="766" t="s">
        <v>143</v>
      </c>
      <c r="M3569" s="766"/>
      <c r="N3569" s="766"/>
      <c r="O3569" s="766"/>
      <c r="P3569" s="766"/>
      <c r="Q3569" s="767"/>
      <c r="R3569" s="768">
        <f ca="1">SUM(R3565:R3568)</f>
        <v>120.12</v>
      </c>
      <c r="S3569" s="763"/>
      <c r="T3569" s="768">
        <f ca="1">SUM(T3565:T3568)</f>
        <v>8.7100000000000009</v>
      </c>
      <c r="U3569" s="531"/>
      <c r="V3569" s="531"/>
      <c r="W3569" s="531"/>
      <c r="X3569" s="531"/>
      <c r="Y3569" s="531"/>
      <c r="Z3569" s="531"/>
      <c r="AA3569" s="531"/>
      <c r="AB3569" s="531"/>
      <c r="AC3569" s="531"/>
      <c r="AD3569" s="531"/>
      <c r="AE3569" s="531"/>
      <c r="AF3569" s="531"/>
      <c r="AG3569" s="531"/>
      <c r="AH3569" s="531"/>
      <c r="AI3569" s="531"/>
      <c r="AJ3569" s="531"/>
      <c r="AK3569" s="531"/>
      <c r="AL3569" s="531"/>
      <c r="AM3569" s="531"/>
      <c r="AN3569" s="531"/>
      <c r="AO3569" s="531"/>
      <c r="AR3569" s="761" t="s">
        <v>145</v>
      </c>
      <c r="AS3569" s="764"/>
    </row>
    <row r="3570" spans="1:45" s="520" customFormat="1" ht="12" thickTop="1">
      <c r="A3570" s="51"/>
      <c r="B3570" s="41"/>
      <c r="C3570" s="51"/>
      <c r="E3570" s="42" t="s">
        <v>138</v>
      </c>
      <c r="F3570" s="42" t="s">
        <v>139</v>
      </c>
      <c r="G3570" s="51"/>
      <c r="H3570" s="51"/>
      <c r="I3570" s="51"/>
      <c r="J3570" s="51"/>
      <c r="K3570" s="51" t="s">
        <v>140</v>
      </c>
      <c r="L3570" s="51"/>
      <c r="M3570" s="51"/>
      <c r="N3570" s="51"/>
      <c r="O3570" s="52"/>
      <c r="P3570" s="51"/>
      <c r="Q3570" s="51"/>
      <c r="R3570" s="51"/>
      <c r="S3570" s="51"/>
      <c r="T3570" s="41"/>
      <c r="AG3570" s="521" t="s">
        <v>268</v>
      </c>
      <c r="AH3570" s="521" t="s">
        <v>269</v>
      </c>
      <c r="AI3570" s="521" t="s">
        <v>270</v>
      </c>
      <c r="AJ3570" s="521" t="s">
        <v>271</v>
      </c>
      <c r="AK3570" s="521" t="s">
        <v>272</v>
      </c>
      <c r="AM3570" s="745" t="s">
        <v>281</v>
      </c>
      <c r="AN3570" s="746" t="s">
        <v>282</v>
      </c>
      <c r="AO3570" s="522" t="s">
        <v>278</v>
      </c>
      <c r="AR3570" s="51"/>
      <c r="AS3570" s="42" t="s">
        <v>139</v>
      </c>
    </row>
    <row r="3571" spans="1:45" s="520" customFormat="1" ht="12" customHeight="1">
      <c r="A3571" s="747">
        <v>21</v>
      </c>
      <c r="B3571" s="523" t="s">
        <v>141</v>
      </c>
      <c r="C3571" s="748"/>
      <c r="D3571" s="749" t="s">
        <v>1676</v>
      </c>
      <c r="E3571" s="750">
        <f>IF(AND($A3571=0,$A$1="DIF"),0, ROUND(ROUND(($R3579*$S$2+($T3579*$T$2))/A3571,2)*$C$2,2))</f>
        <v>0</v>
      </c>
      <c r="F3571" s="751">
        <f>ROUND($A3571*$E3571,2)</f>
        <v>0</v>
      </c>
      <c r="G3571" s="752" t="s">
        <v>142</v>
      </c>
      <c r="H3571" s="753"/>
      <c r="I3571" s="754"/>
      <c r="J3571" s="753"/>
      <c r="K3571" s="753" t="s">
        <v>3</v>
      </c>
      <c r="L3571" s="755" t="s">
        <v>143</v>
      </c>
      <c r="M3571" s="755"/>
      <c r="N3571" s="755"/>
      <c r="O3571" s="755"/>
      <c r="P3571" s="755"/>
      <c r="Q3571" s="1061" t="s">
        <v>2895</v>
      </c>
      <c r="T3571" s="756" t="str">
        <f>IF(AND($R3579=0,$T3579=0),"0.00","mu :" &amp; ROUND($F3571/$C$2/($R3579+$T3579*$D$9),2))</f>
        <v>0.00</v>
      </c>
      <c r="W3571" s="524"/>
      <c r="AG3571" s="481">
        <f>IF($E3571=0,0,ROUND($R3579*$S$2*$C$2/$A3571,2))</f>
        <v>0</v>
      </c>
      <c r="AH3571" s="481">
        <f>$AG3571*$A3571</f>
        <v>0</v>
      </c>
      <c r="AI3571" s="525">
        <f>$E3571-$AG3571</f>
        <v>0</v>
      </c>
      <c r="AJ3571" s="525">
        <f>$A3571*$AI3571</f>
        <v>0</v>
      </c>
      <c r="AK3571" s="526">
        <f>ROUND(($AG3571+$AI3571)*$A3571,2)</f>
        <v>0</v>
      </c>
      <c r="AM3571" s="527">
        <f>ROUND(R3579,2)</f>
        <v>0</v>
      </c>
      <c r="AN3571" s="528">
        <f>ROUND(T3579,2)</f>
        <v>0</v>
      </c>
      <c r="AO3571" s="529">
        <f>ROUND(AM3571+AN3571,2)*A3571</f>
        <v>0</v>
      </c>
      <c r="AR3571" s="747">
        <v>21</v>
      </c>
      <c r="AS3571" s="751">
        <v>0</v>
      </c>
    </row>
    <row r="3572" spans="1:45" s="520" customFormat="1" ht="13.2">
      <c r="A3572" s="748"/>
      <c r="B3572"/>
      <c r="C3572" s="748"/>
      <c r="D3572" s="749" t="s">
        <v>776</v>
      </c>
      <c r="F3572" s="753"/>
      <c r="G3572" s="3"/>
      <c r="H3572" s="753"/>
      <c r="I3572" s="754"/>
      <c r="J3572" s="753"/>
      <c r="K3572" s="753" t="s">
        <v>144</v>
      </c>
      <c r="L3572" s="753"/>
      <c r="M3572" s="753"/>
      <c r="N3572" s="753"/>
      <c r="O3572" s="753"/>
      <c r="P3572" s="753"/>
      <c r="Q3572" s="51"/>
      <c r="R3572" s="530"/>
      <c r="S3572" s="757"/>
      <c r="T3572" s="753"/>
      <c r="AR3572" s="748"/>
      <c r="AS3572" s="753"/>
    </row>
    <row r="3573" spans="1:45" s="520" customFormat="1" ht="12">
      <c r="A3573" s="51"/>
      <c r="B3573" s="758"/>
      <c r="C3573" s="758"/>
      <c r="D3573" s="1061" t="s">
        <v>3253</v>
      </c>
      <c r="E3573" s="758"/>
      <c r="F3573" s="753"/>
      <c r="G3573" s="758"/>
      <c r="H3573" s="758"/>
      <c r="I3573" s="519"/>
      <c r="J3573" s="758"/>
      <c r="K3573" s="758"/>
      <c r="L3573" s="758"/>
      <c r="M3573" s="758"/>
      <c r="N3573" s="758"/>
      <c r="O3573" s="758"/>
      <c r="P3573" s="758"/>
      <c r="Q3573" s="519"/>
      <c r="R3573" s="759">
        <f t="shared" ref="R3573:R3578" si="110">$A3573*Q3573</f>
        <v>0</v>
      </c>
      <c r="S3573" s="519"/>
      <c r="T3573" s="760">
        <f t="shared" ref="T3573:T3578" si="111">$A3573*S3573*$T$1</f>
        <v>0</v>
      </c>
      <c r="AR3573" s="51"/>
      <c r="AS3573" s="753"/>
    </row>
    <row r="3574" spans="1:45" s="520" customFormat="1" ht="12">
      <c r="A3574" s="51"/>
      <c r="B3574" s="758"/>
      <c r="C3574" s="758"/>
      <c r="D3574" s="758"/>
      <c r="E3574" s="758"/>
      <c r="F3574" s="753"/>
      <c r="G3574" s="758"/>
      <c r="H3574" s="758"/>
      <c r="I3574" s="519"/>
      <c r="J3574" s="758"/>
      <c r="K3574" s="758"/>
      <c r="L3574" s="758"/>
      <c r="M3574" s="758"/>
      <c r="N3574" s="758"/>
      <c r="O3574" s="758"/>
      <c r="P3574" s="758"/>
      <c r="Q3574" s="519"/>
      <c r="R3574" s="759">
        <f t="shared" si="110"/>
        <v>0</v>
      </c>
      <c r="S3574" s="519"/>
      <c r="T3574" s="760">
        <f t="shared" si="111"/>
        <v>0</v>
      </c>
      <c r="AR3574" s="51"/>
      <c r="AS3574" s="753"/>
    </row>
    <row r="3575" spans="1:45" s="520" customFormat="1" ht="12">
      <c r="A3575" s="51"/>
      <c r="B3575" s="758"/>
      <c r="C3575" s="758"/>
      <c r="D3575" s="758"/>
      <c r="E3575" s="758"/>
      <c r="F3575" s="753"/>
      <c r="G3575" s="758"/>
      <c r="H3575" s="758"/>
      <c r="I3575" s="519"/>
      <c r="J3575" s="758"/>
      <c r="K3575" s="758"/>
      <c r="L3575" s="758"/>
      <c r="M3575" s="758"/>
      <c r="N3575" s="758"/>
      <c r="O3575" s="758"/>
      <c r="P3575" s="758"/>
      <c r="Q3575" s="519"/>
      <c r="R3575" s="759">
        <f t="shared" si="110"/>
        <v>0</v>
      </c>
      <c r="S3575" s="519"/>
      <c r="T3575" s="760">
        <f t="shared" si="111"/>
        <v>0</v>
      </c>
      <c r="AR3575" s="51"/>
      <c r="AS3575" s="753"/>
    </row>
    <row r="3576" spans="1:45" s="520" customFormat="1" ht="12">
      <c r="A3576" s="51"/>
      <c r="B3576" s="758"/>
      <c r="C3576" s="758"/>
      <c r="D3576" s="758"/>
      <c r="E3576" s="758"/>
      <c r="F3576" s="753"/>
      <c r="G3576" s="758"/>
      <c r="H3576" s="758"/>
      <c r="I3576" s="519"/>
      <c r="J3576" s="758"/>
      <c r="K3576" s="758"/>
      <c r="L3576" s="758"/>
      <c r="M3576" s="758"/>
      <c r="N3576" s="758"/>
      <c r="O3576" s="758"/>
      <c r="P3576" s="758"/>
      <c r="Q3576" s="519"/>
      <c r="R3576" s="759">
        <f t="shared" si="110"/>
        <v>0</v>
      </c>
      <c r="S3576" s="519"/>
      <c r="T3576" s="760">
        <f t="shared" si="111"/>
        <v>0</v>
      </c>
      <c r="AR3576" s="51"/>
      <c r="AS3576" s="753"/>
    </row>
    <row r="3577" spans="1:45" s="520" customFormat="1" ht="12">
      <c r="A3577" s="51"/>
      <c r="B3577" s="758"/>
      <c r="C3577" s="758"/>
      <c r="D3577" s="758"/>
      <c r="E3577" s="758"/>
      <c r="F3577" s="753"/>
      <c r="G3577" s="758"/>
      <c r="H3577" s="758"/>
      <c r="I3577" s="519"/>
      <c r="J3577" s="758"/>
      <c r="K3577" s="758"/>
      <c r="L3577" s="758"/>
      <c r="M3577" s="758"/>
      <c r="N3577" s="758"/>
      <c r="O3577" s="758"/>
      <c r="P3577" s="758"/>
      <c r="Q3577" s="519"/>
      <c r="R3577" s="759">
        <f t="shared" si="110"/>
        <v>0</v>
      </c>
      <c r="S3577" s="519"/>
      <c r="T3577" s="760">
        <f t="shared" si="111"/>
        <v>0</v>
      </c>
      <c r="AR3577" s="51"/>
      <c r="AS3577" s="753"/>
    </row>
    <row r="3578" spans="1:45" s="520" customFormat="1" ht="12">
      <c r="A3578" s="758"/>
      <c r="B3578" s="758"/>
      <c r="C3578" s="758"/>
      <c r="D3578" s="758"/>
      <c r="E3578" s="758"/>
      <c r="F3578" s="753"/>
      <c r="G3578" s="758"/>
      <c r="H3578" s="758"/>
      <c r="I3578" s="519"/>
      <c r="J3578" s="758"/>
      <c r="K3578" s="758"/>
      <c r="L3578" s="758"/>
      <c r="M3578" s="758"/>
      <c r="N3578" s="758"/>
      <c r="O3578" s="758"/>
      <c r="P3578" s="758"/>
      <c r="Q3578" s="519"/>
      <c r="R3578" s="759">
        <f t="shared" si="110"/>
        <v>0</v>
      </c>
      <c r="S3578" s="519"/>
      <c r="T3578" s="760">
        <f t="shared" si="111"/>
        <v>0</v>
      </c>
      <c r="AR3578" s="758"/>
      <c r="AS3578" s="753"/>
    </row>
    <row r="3579" spans="1:45" s="520" customFormat="1" ht="12.6" thickBot="1">
      <c r="A3579" s="761" t="s">
        <v>145</v>
      </c>
      <c r="B3579" s="762">
        <f>(R3578+T3578)</f>
        <v>0</v>
      </c>
      <c r="C3579" s="763"/>
      <c r="D3579" s="763"/>
      <c r="E3579" s="763"/>
      <c r="F3579" s="764"/>
      <c r="G3579" s="763" t="s">
        <v>146</v>
      </c>
      <c r="H3579" s="763"/>
      <c r="I3579" s="765"/>
      <c r="J3579" s="763"/>
      <c r="K3579" s="763" t="s">
        <v>3</v>
      </c>
      <c r="L3579" s="766" t="s">
        <v>143</v>
      </c>
      <c r="M3579" s="766"/>
      <c r="N3579" s="766"/>
      <c r="O3579" s="766"/>
      <c r="P3579" s="766"/>
      <c r="Q3579" s="767"/>
      <c r="R3579" s="768">
        <f>SUM(R3572:R3578)</f>
        <v>0</v>
      </c>
      <c r="S3579" s="763"/>
      <c r="T3579" s="768">
        <f>SUM(T3572:T3578)</f>
        <v>0</v>
      </c>
      <c r="U3579" s="531"/>
      <c r="V3579" s="531"/>
      <c r="W3579" s="531"/>
      <c r="X3579" s="531"/>
      <c r="Y3579" s="531"/>
      <c r="Z3579" s="531"/>
      <c r="AA3579" s="531"/>
      <c r="AB3579" s="531"/>
      <c r="AC3579" s="531"/>
      <c r="AD3579" s="531"/>
      <c r="AE3579" s="531"/>
      <c r="AF3579" s="531"/>
      <c r="AG3579" s="531"/>
      <c r="AH3579" s="531"/>
      <c r="AI3579" s="531"/>
      <c r="AJ3579" s="531"/>
      <c r="AK3579" s="531"/>
      <c r="AL3579" s="531"/>
      <c r="AM3579" s="531"/>
      <c r="AN3579" s="531"/>
      <c r="AO3579" s="531"/>
      <c r="AR3579" s="761" t="s">
        <v>145</v>
      </c>
      <c r="AS3579" s="764"/>
    </row>
    <row r="3580" spans="1:45" s="520" customFormat="1" ht="12" thickTop="1">
      <c r="A3580" s="51"/>
      <c r="B3580" s="41"/>
      <c r="C3580" s="51"/>
      <c r="E3580" s="42" t="s">
        <v>138</v>
      </c>
      <c r="F3580" s="42" t="s">
        <v>139</v>
      </c>
      <c r="G3580" s="51"/>
      <c r="H3580" s="51"/>
      <c r="I3580" s="51"/>
      <c r="J3580" s="51"/>
      <c r="K3580" s="51" t="s">
        <v>140</v>
      </c>
      <c r="L3580" s="51"/>
      <c r="M3580" s="51"/>
      <c r="N3580" s="51"/>
      <c r="O3580" s="52"/>
      <c r="P3580" s="51"/>
      <c r="Q3580" s="51"/>
      <c r="R3580" s="51"/>
      <c r="S3580" s="51"/>
      <c r="T3580" s="41"/>
      <c r="AG3580" s="521" t="s">
        <v>268</v>
      </c>
      <c r="AH3580" s="521" t="s">
        <v>269</v>
      </c>
      <c r="AI3580" s="521" t="s">
        <v>270</v>
      </c>
      <c r="AJ3580" s="521" t="s">
        <v>271</v>
      </c>
      <c r="AK3580" s="521" t="s">
        <v>272</v>
      </c>
      <c r="AM3580" s="745" t="s">
        <v>281</v>
      </c>
      <c r="AN3580" s="746" t="s">
        <v>282</v>
      </c>
      <c r="AO3580" s="522" t="s">
        <v>278</v>
      </c>
      <c r="AR3580" s="51"/>
      <c r="AS3580" s="42" t="s">
        <v>139</v>
      </c>
    </row>
    <row r="3581" spans="1:45" s="520" customFormat="1" ht="12" customHeight="1">
      <c r="A3581" s="747">
        <v>7</v>
      </c>
      <c r="B3581" s="523" t="s">
        <v>141</v>
      </c>
      <c r="C3581" s="748"/>
      <c r="D3581" s="749" t="s">
        <v>1677</v>
      </c>
      <c r="E3581" s="750">
        <f ca="1">IF(AND($A3581=0,$A$1="DIF"),0, ROUND(ROUND(($R3586*$S$2+($T3586*$T$2))/A3581,2)*$C$2,2))</f>
        <v>46.93</v>
      </c>
      <c r="F3581" s="751">
        <f ca="1">ROUND($A3581*$E3581,2)</f>
        <v>328.51</v>
      </c>
      <c r="G3581" s="752" t="s">
        <v>142</v>
      </c>
      <c r="H3581" s="753"/>
      <c r="I3581" s="754"/>
      <c r="J3581" s="753"/>
      <c r="K3581" s="753" t="s">
        <v>3</v>
      </c>
      <c r="L3581" s="755" t="s">
        <v>143</v>
      </c>
      <c r="M3581" s="755"/>
      <c r="N3581" s="755"/>
      <c r="O3581" s="755"/>
      <c r="P3581" s="755"/>
      <c r="Q3581" s="51"/>
      <c r="T3581" s="756" t="str">
        <f ca="1">IF(AND($R3586=0,$T3586=0),"0.00","mu :" &amp; ROUND($F3581/$C$2/($R3586+$T3586*$D$9),2))</f>
        <v>mu :1.23</v>
      </c>
      <c r="W3581" s="524"/>
      <c r="AG3581" s="481">
        <f ca="1">IF($E3581=0,0,ROUND($R3586*$S$2*$C$2/$A3581,2))</f>
        <v>15.82</v>
      </c>
      <c r="AH3581" s="481">
        <f ca="1">$AG3581*$A3581</f>
        <v>110.74000000000001</v>
      </c>
      <c r="AI3581" s="525">
        <f ca="1">$E3581-$AG3581</f>
        <v>31.11</v>
      </c>
      <c r="AJ3581" s="525">
        <f ca="1">$A3581*$AI3581</f>
        <v>217.76999999999998</v>
      </c>
      <c r="AK3581" s="526">
        <f ca="1">ROUND(($AG3581+$AI3581)*$A3581,2)</f>
        <v>328.51</v>
      </c>
      <c r="AM3581" s="527">
        <f ca="1">ROUND(R3586,2)</f>
        <v>89.95</v>
      </c>
      <c r="AN3581" s="528">
        <f ca="1">ROUND(T3586,2)</f>
        <v>6.44</v>
      </c>
      <c r="AO3581" s="529">
        <f ca="1">ROUND(AM3581+AN3581,2)*A3581</f>
        <v>674.73</v>
      </c>
      <c r="AR3581" s="747">
        <v>7</v>
      </c>
      <c r="AS3581" s="751">
        <v>354.55</v>
      </c>
    </row>
    <row r="3582" spans="1:45" s="520" customFormat="1" ht="13.2">
      <c r="A3582" s="748"/>
      <c r="B3582"/>
      <c r="C3582" s="748"/>
      <c r="D3582" s="749" t="s">
        <v>777</v>
      </c>
      <c r="F3582" s="753"/>
      <c r="G3582" s="3"/>
      <c r="H3582" s="753"/>
      <c r="I3582" s="754"/>
      <c r="J3582" s="753"/>
      <c r="K3582" s="753" t="s">
        <v>144</v>
      </c>
      <c r="L3582" s="753"/>
      <c r="M3582" s="753"/>
      <c r="N3582" s="753"/>
      <c r="O3582" s="753"/>
      <c r="P3582" s="753"/>
      <c r="Q3582" s="51"/>
      <c r="R3582" s="530"/>
      <c r="S3582" s="757"/>
      <c r="T3582" s="753"/>
      <c r="AR3582" s="748"/>
      <c r="AS3582" s="753"/>
    </row>
    <row r="3583" spans="1:45" s="886" customFormat="1" ht="13.2">
      <c r="A3583"/>
      <c r="B3583" s="910"/>
      <c r="C3583" s="910" t="s">
        <v>2597</v>
      </c>
      <c r="D3583" s="910" t="str">
        <f ca="1">CELL("Address",Elec_Rates!D$30)</f>
        <v>[E25_0062_Quintano_Foods_Elec_ELV_As_Awarded.xlsx]Elec_Rates!$D$30</v>
      </c>
      <c r="E3583" s="911"/>
      <c r="F3583" s="911"/>
      <c r="G3583" s="912" t="s">
        <v>2598</v>
      </c>
      <c r="H3583" s="912"/>
      <c r="I3583" s="912"/>
      <c r="J3583" s="912"/>
      <c r="K3583" s="913"/>
      <c r="L3583" s="911"/>
      <c r="M3583" s="911"/>
      <c r="N3583" s="911"/>
      <c r="O3583" s="914"/>
      <c r="P3583" s="911"/>
      <c r="Q3583" s="915"/>
      <c r="R3583" s="916"/>
      <c r="S3583" s="915"/>
      <c r="T3583" s="917"/>
      <c r="U3583" s="918"/>
      <c r="AR3583"/>
      <c r="AS3583" s="911"/>
    </row>
    <row r="3584" spans="1:45" s="886" customFormat="1" ht="11.4">
      <c r="A3584" s="919">
        <v>7</v>
      </c>
      <c r="B3584" s="920">
        <v>1</v>
      </c>
      <c r="C3584" s="920">
        <f>$A3584*$B3584</f>
        <v>7</v>
      </c>
      <c r="D3584" s="921" t="str">
        <f>Elec_Rates!$D$30</f>
        <v>002# Maintaned Emergency Light point rate (LSZH Conduit)</v>
      </c>
      <c r="E3584" s="921"/>
      <c r="F3584" s="921" t="s">
        <v>2599</v>
      </c>
      <c r="G3584" s="922" t="s">
        <v>2600</v>
      </c>
      <c r="H3584" s="922"/>
      <c r="I3584" s="922"/>
      <c r="J3584" s="922"/>
      <c r="K3584" s="923"/>
      <c r="L3584" s="918"/>
      <c r="M3584" s="918"/>
      <c r="N3584" s="918"/>
      <c r="O3584" s="924"/>
      <c r="P3584" s="921"/>
      <c r="Q3584" s="925">
        <f ca="1">$B3584*Elec_Rates!$R$30</f>
        <v>12.85</v>
      </c>
      <c r="R3584" s="916">
        <f ca="1">$A3584*Q3584</f>
        <v>89.95</v>
      </c>
      <c r="S3584" s="925">
        <f ca="1">$B3584*Elec_Rates!$T$30</f>
        <v>0.92</v>
      </c>
      <c r="T3584" s="917">
        <f ca="1">$A3584*S3584</f>
        <v>6.44</v>
      </c>
      <c r="U3584" s="926"/>
      <c r="AR3584" s="919">
        <v>7</v>
      </c>
      <c r="AS3584" s="921" t="s">
        <v>2599</v>
      </c>
    </row>
    <row r="3585" spans="1:45" s="520" customFormat="1" ht="12">
      <c r="A3585" s="758"/>
      <c r="B3585" s="758"/>
      <c r="C3585" s="758"/>
      <c r="D3585" s="758"/>
      <c r="E3585" s="758"/>
      <c r="F3585" s="753"/>
      <c r="G3585" s="758"/>
      <c r="H3585" s="758"/>
      <c r="I3585" s="519"/>
      <c r="J3585" s="758"/>
      <c r="K3585" s="758"/>
      <c r="L3585" s="758"/>
      <c r="M3585" s="758"/>
      <c r="N3585" s="758"/>
      <c r="O3585" s="758"/>
      <c r="P3585" s="758"/>
      <c r="Q3585" s="519"/>
      <c r="R3585" s="759">
        <f>$A3585*Q3585</f>
        <v>0</v>
      </c>
      <c r="S3585" s="519"/>
      <c r="T3585" s="760">
        <f>$A3585*S3585*$T$1</f>
        <v>0</v>
      </c>
      <c r="AR3585" s="758"/>
      <c r="AS3585" s="753"/>
    </row>
    <row r="3586" spans="1:45" s="520" customFormat="1" ht="12.6" thickBot="1">
      <c r="A3586" s="761" t="s">
        <v>145</v>
      </c>
      <c r="B3586" s="762">
        <f>(R3585+T3585)</f>
        <v>0</v>
      </c>
      <c r="C3586" s="763"/>
      <c r="D3586" s="763"/>
      <c r="E3586" s="763"/>
      <c r="F3586" s="764"/>
      <c r="G3586" s="763" t="s">
        <v>146</v>
      </c>
      <c r="H3586" s="763"/>
      <c r="I3586" s="765"/>
      <c r="J3586" s="763"/>
      <c r="K3586" s="763" t="s">
        <v>3</v>
      </c>
      <c r="L3586" s="766" t="s">
        <v>143</v>
      </c>
      <c r="M3586" s="766"/>
      <c r="N3586" s="766"/>
      <c r="O3586" s="766"/>
      <c r="P3586" s="766"/>
      <c r="Q3586" s="767"/>
      <c r="R3586" s="768">
        <f ca="1">SUM(R3582:R3585)</f>
        <v>89.95</v>
      </c>
      <c r="S3586" s="763"/>
      <c r="T3586" s="768">
        <f ca="1">SUM(T3582:T3585)</f>
        <v>6.44</v>
      </c>
      <c r="U3586" s="531"/>
      <c r="V3586" s="531"/>
      <c r="W3586" s="531"/>
      <c r="X3586" s="531"/>
      <c r="Y3586" s="531"/>
      <c r="Z3586" s="531"/>
      <c r="AA3586" s="531"/>
      <c r="AB3586" s="531"/>
      <c r="AC3586" s="531"/>
      <c r="AD3586" s="531"/>
      <c r="AE3586" s="531"/>
      <c r="AF3586" s="531"/>
      <c r="AG3586" s="531"/>
      <c r="AH3586" s="531"/>
      <c r="AI3586" s="531"/>
      <c r="AJ3586" s="531"/>
      <c r="AK3586" s="531"/>
      <c r="AL3586" s="531"/>
      <c r="AM3586" s="531"/>
      <c r="AN3586" s="531"/>
      <c r="AO3586" s="531"/>
      <c r="AR3586" s="761" t="s">
        <v>145</v>
      </c>
      <c r="AS3586" s="764"/>
    </row>
    <row r="3587" spans="1:45" s="520" customFormat="1" thickTop="1">
      <c r="A3587" s="51"/>
      <c r="B3587" s="51"/>
      <c r="C3587" s="3"/>
      <c r="D3587" s="3"/>
      <c r="E3587" s="51"/>
      <c r="F3587" s="51"/>
      <c r="G3587" s="51"/>
      <c r="H3587" s="51"/>
      <c r="I3587" s="51"/>
      <c r="J3587" s="51"/>
      <c r="K3587" s="51" t="s">
        <v>134</v>
      </c>
      <c r="L3587" s="51"/>
      <c r="M3587" s="51"/>
      <c r="N3587" s="51"/>
      <c r="O3587" s="52"/>
      <c r="P3587" s="51"/>
      <c r="Q3587" s="51"/>
      <c r="R3587" s="51"/>
      <c r="S3587" s="51"/>
      <c r="T3587" s="51"/>
      <c r="AR3587" s="51"/>
      <c r="AS3587" s="51"/>
    </row>
    <row r="3588" spans="1:45" s="520" customFormat="1" ht="12">
      <c r="A3588" s="51"/>
      <c r="B3588" s="51"/>
      <c r="C3588" s="51" t="s">
        <v>135</v>
      </c>
      <c r="D3588" s="37"/>
      <c r="E3588" s="51"/>
      <c r="F3588" s="51"/>
      <c r="G3588" s="51"/>
      <c r="H3588" s="51"/>
      <c r="I3588" s="51"/>
      <c r="J3588" s="51"/>
      <c r="K3588" s="51"/>
      <c r="L3588" s="51"/>
      <c r="M3588" s="51"/>
      <c r="N3588" s="51"/>
      <c r="O3588" s="52"/>
      <c r="P3588" s="51"/>
      <c r="Q3588" s="51"/>
      <c r="R3588" s="51"/>
      <c r="S3588" s="51"/>
      <c r="T3588" s="51"/>
      <c r="AR3588" s="51"/>
      <c r="AS3588" s="51"/>
    </row>
    <row r="3589" spans="1:45" s="520" customFormat="1" ht="12">
      <c r="A3589" s="51"/>
      <c r="B3589" s="51"/>
      <c r="C3589" s="51"/>
      <c r="D3589" s="37" t="s">
        <v>778</v>
      </c>
      <c r="E3589" s="51"/>
      <c r="F3589" s="51"/>
      <c r="G3589" s="51"/>
      <c r="H3589" s="51"/>
      <c r="I3589" s="51"/>
      <c r="J3589" s="51"/>
      <c r="K3589" s="51"/>
      <c r="L3589" s="51"/>
      <c r="M3589" s="51"/>
      <c r="N3589" s="51"/>
      <c r="O3589" s="52"/>
      <c r="P3589" s="51"/>
      <c r="Q3589" s="51"/>
      <c r="R3589" s="51"/>
      <c r="S3589" s="38"/>
      <c r="T3589" s="38"/>
      <c r="AR3589" s="51"/>
      <c r="AS3589" s="51"/>
    </row>
    <row r="3590" spans="1:45" s="3" customFormat="1" thickBot="1">
      <c r="A3590" s="531"/>
      <c r="O3590" s="107"/>
      <c r="AR3590" s="531"/>
    </row>
    <row r="3591" spans="1:45" s="520" customFormat="1" ht="12" thickTop="1">
      <c r="A3591" s="51"/>
      <c r="B3591" s="41"/>
      <c r="C3591" s="51"/>
      <c r="E3591" s="42" t="s">
        <v>138</v>
      </c>
      <c r="F3591" s="42" t="s">
        <v>139</v>
      </c>
      <c r="G3591" s="51"/>
      <c r="H3591" s="51"/>
      <c r="I3591" s="51"/>
      <c r="J3591" s="51"/>
      <c r="K3591" s="51" t="s">
        <v>140</v>
      </c>
      <c r="L3591" s="51"/>
      <c r="M3591" s="51"/>
      <c r="N3591" s="51"/>
      <c r="O3591" s="52"/>
      <c r="P3591" s="51"/>
      <c r="Q3591" s="51"/>
      <c r="R3591" s="51"/>
      <c r="S3591" s="51"/>
      <c r="T3591" s="41"/>
      <c r="AG3591" s="521" t="s">
        <v>268</v>
      </c>
      <c r="AH3591" s="521" t="s">
        <v>269</v>
      </c>
      <c r="AI3591" s="521" t="s">
        <v>270</v>
      </c>
      <c r="AJ3591" s="521" t="s">
        <v>271</v>
      </c>
      <c r="AK3591" s="521" t="s">
        <v>272</v>
      </c>
      <c r="AM3591" s="745" t="s">
        <v>281</v>
      </c>
      <c r="AN3591" s="746" t="s">
        <v>282</v>
      </c>
      <c r="AO3591" s="522" t="s">
        <v>278</v>
      </c>
      <c r="AR3591" s="51"/>
      <c r="AS3591" s="42" t="s">
        <v>139</v>
      </c>
    </row>
    <row r="3592" spans="1:45" s="520" customFormat="1" ht="12" customHeight="1">
      <c r="A3592" s="747">
        <v>1</v>
      </c>
      <c r="B3592" s="523" t="s">
        <v>141</v>
      </c>
      <c r="C3592" s="748"/>
      <c r="D3592" s="749" t="s">
        <v>1678</v>
      </c>
      <c r="E3592" s="750">
        <f>IF(AND($A3592=0,$A$1="DIF"),0, ROUND(ROUND(($R3598*$S$2+($T3598*$T$2))/A3592,2)*$C$2,2))</f>
        <v>142.9</v>
      </c>
      <c r="F3592" s="751">
        <f>ROUND($A3592*$E3592,2)</f>
        <v>142.9</v>
      </c>
      <c r="G3592" s="752" t="s">
        <v>142</v>
      </c>
      <c r="H3592" s="753"/>
      <c r="I3592" s="754"/>
      <c r="J3592" s="753"/>
      <c r="K3592" s="753" t="s">
        <v>3</v>
      </c>
      <c r="L3592" s="755" t="s">
        <v>143</v>
      </c>
      <c r="M3592" s="755"/>
      <c r="N3592" s="755"/>
      <c r="O3592" s="755"/>
      <c r="P3592" s="755"/>
      <c r="Q3592" s="51"/>
      <c r="T3592" s="756" t="str">
        <f>IF(AND($R3598=0,$T3598=0),"0.00","mu :" &amp; ROUND($F3592/$C$2/($R3598+$T3598*$D$9),2))</f>
        <v>mu :1.23</v>
      </c>
      <c r="W3592" s="524"/>
      <c r="AG3592" s="481">
        <f>IF($E3592=0,0,ROUND($R3598*$S$2*$C$2/$A3592,2))</f>
        <v>97.25</v>
      </c>
      <c r="AH3592" s="481">
        <f>$AG3592*$A3592</f>
        <v>97.25</v>
      </c>
      <c r="AI3592" s="525">
        <f>$E3592-$AG3592</f>
        <v>45.650000000000006</v>
      </c>
      <c r="AJ3592" s="525">
        <f>$A3592*$AI3592</f>
        <v>45.650000000000006</v>
      </c>
      <c r="AK3592" s="526">
        <f>ROUND(($AG3592+$AI3592)*$A3592,2)</f>
        <v>142.9</v>
      </c>
      <c r="AM3592" s="527">
        <f>ROUND(R3598,2)</f>
        <v>78.98</v>
      </c>
      <c r="AN3592" s="528">
        <f>ROUND(T3598,2)</f>
        <v>1.35</v>
      </c>
      <c r="AO3592" s="529">
        <f>ROUND(AM3592+AN3592,2)*A3592</f>
        <v>80.33</v>
      </c>
      <c r="AR3592" s="747">
        <v>1</v>
      </c>
      <c r="AS3592" s="751">
        <v>147.97</v>
      </c>
    </row>
    <row r="3593" spans="1:45" s="520" customFormat="1" ht="13.2">
      <c r="A3593" s="748"/>
      <c r="B3593"/>
      <c r="C3593" s="748"/>
      <c r="D3593" s="749" t="s">
        <v>811</v>
      </c>
      <c r="F3593" s="753"/>
      <c r="G3593" s="3"/>
      <c r="H3593" s="753"/>
      <c r="I3593" s="754"/>
      <c r="J3593" s="753"/>
      <c r="K3593" s="753" t="s">
        <v>144</v>
      </c>
      <c r="L3593" s="753"/>
      <c r="M3593" s="753"/>
      <c r="N3593" s="753"/>
      <c r="O3593" s="753"/>
      <c r="P3593" s="753"/>
      <c r="Q3593" s="51"/>
      <c r="R3593" s="530"/>
      <c r="S3593" s="757"/>
      <c r="T3593" s="753"/>
      <c r="AR3593" s="748"/>
      <c r="AS3593" s="753"/>
    </row>
    <row r="3594" spans="1:45" s="901" customFormat="1" ht="13.2">
      <c r="A3594" s="116">
        <v>1</v>
      </c>
      <c r="B3594" s="901" t="s">
        <v>141</v>
      </c>
      <c r="D3594" s="901" t="s">
        <v>2997</v>
      </c>
      <c r="E3594" s="901" t="s">
        <v>3424</v>
      </c>
      <c r="F3594" s="1054" t="s">
        <v>2999</v>
      </c>
      <c r="G3594" s="941" t="s">
        <v>2998</v>
      </c>
      <c r="H3594" s="942">
        <v>705</v>
      </c>
      <c r="I3594" s="901" t="s">
        <v>2607</v>
      </c>
      <c r="O3594" s="943">
        <v>2</v>
      </c>
      <c r="P3594" s="944"/>
      <c r="Q3594" s="945">
        <v>70</v>
      </c>
      <c r="R3594" s="946">
        <f>$A3594*Q3594</f>
        <v>70</v>
      </c>
      <c r="S3594" s="945">
        <v>1</v>
      </c>
      <c r="T3594" s="947">
        <f>$A3594*S3594*$T$1</f>
        <v>0.9</v>
      </c>
      <c r="AR3594" s="116">
        <v>1</v>
      </c>
      <c r="AS3594" s="1054" t="s">
        <v>2999</v>
      </c>
    </row>
    <row r="3595" spans="1:45" s="901" customFormat="1" ht="13.2">
      <c r="A3595" s="116">
        <v>2</v>
      </c>
      <c r="B3595" s="901" t="s">
        <v>320</v>
      </c>
      <c r="D3595" s="901" t="s">
        <v>3002</v>
      </c>
      <c r="G3595" s="941" t="s">
        <v>3003</v>
      </c>
      <c r="H3595" s="942">
        <v>690</v>
      </c>
      <c r="I3595" s="901" t="s">
        <v>2946</v>
      </c>
      <c r="J3595" s="901" t="s">
        <v>2947</v>
      </c>
      <c r="O3595" s="943">
        <v>1</v>
      </c>
      <c r="P3595" s="944">
        <v>34669</v>
      </c>
      <c r="Q3595" s="945">
        <v>2.0699999999999998</v>
      </c>
      <c r="R3595" s="946">
        <f>$A3595*Q3595</f>
        <v>4.1399999999999997</v>
      </c>
      <c r="S3595" s="945">
        <v>0.25</v>
      </c>
      <c r="T3595" s="947">
        <f>$A3595*S3595*$T$1</f>
        <v>0.45</v>
      </c>
      <c r="AR3595" s="116">
        <v>2</v>
      </c>
    </row>
    <row r="3596" spans="1:45" s="901" customFormat="1" ht="13.2">
      <c r="A3596" s="116">
        <v>4</v>
      </c>
      <c r="B3596" s="901" t="s">
        <v>320</v>
      </c>
      <c r="D3596" s="901" t="s">
        <v>3004</v>
      </c>
      <c r="G3596" s="941" t="s">
        <v>3005</v>
      </c>
      <c r="H3596" s="942">
        <v>690</v>
      </c>
      <c r="I3596" s="901" t="s">
        <v>2946</v>
      </c>
      <c r="J3596" s="901" t="s">
        <v>2947</v>
      </c>
      <c r="O3596" s="943">
        <v>1</v>
      </c>
      <c r="P3596" s="944">
        <v>34669</v>
      </c>
      <c r="Q3596" s="945">
        <v>1.21</v>
      </c>
      <c r="R3596" s="946">
        <f>$A3596*Q3596</f>
        <v>4.84</v>
      </c>
      <c r="S3596" s="945"/>
      <c r="T3596" s="947">
        <f>$A3596*S3596*$T$1</f>
        <v>0</v>
      </c>
      <c r="AR3596" s="116">
        <v>4</v>
      </c>
    </row>
    <row r="3597" spans="1:45" s="520" customFormat="1" ht="12">
      <c r="A3597" s="758"/>
      <c r="B3597" s="758"/>
      <c r="C3597" s="758"/>
      <c r="D3597" s="758"/>
      <c r="E3597" s="758"/>
      <c r="F3597" s="753"/>
      <c r="G3597" s="758"/>
      <c r="H3597" s="758"/>
      <c r="I3597" s="519"/>
      <c r="J3597" s="758"/>
      <c r="K3597" s="758"/>
      <c r="L3597" s="758"/>
      <c r="M3597" s="758"/>
      <c r="N3597" s="758"/>
      <c r="O3597" s="758"/>
      <c r="P3597" s="758"/>
      <c r="Q3597" s="519"/>
      <c r="R3597" s="759">
        <f>$A3597*Q3597</f>
        <v>0</v>
      </c>
      <c r="S3597" s="519"/>
      <c r="T3597" s="760">
        <f>$A3597*S3597*$T$1</f>
        <v>0</v>
      </c>
      <c r="AR3597" s="758"/>
      <c r="AS3597" s="753"/>
    </row>
    <row r="3598" spans="1:45" s="520" customFormat="1" ht="12.6" thickBot="1">
      <c r="A3598" s="761" t="s">
        <v>145</v>
      </c>
      <c r="B3598" s="762">
        <f>(R3597+T3597)</f>
        <v>0</v>
      </c>
      <c r="C3598" s="763"/>
      <c r="D3598" s="763"/>
      <c r="E3598" s="763"/>
      <c r="F3598" s="764"/>
      <c r="G3598" s="763" t="s">
        <v>146</v>
      </c>
      <c r="H3598" s="763"/>
      <c r="I3598" s="765"/>
      <c r="J3598" s="763"/>
      <c r="K3598" s="763" t="s">
        <v>3</v>
      </c>
      <c r="L3598" s="766" t="s">
        <v>143</v>
      </c>
      <c r="M3598" s="766"/>
      <c r="N3598" s="766"/>
      <c r="O3598" s="766"/>
      <c r="P3598" s="766"/>
      <c r="Q3598" s="767"/>
      <c r="R3598" s="768">
        <f>SUM(R3593:R3597)</f>
        <v>78.98</v>
      </c>
      <c r="S3598" s="763"/>
      <c r="T3598" s="768">
        <f>SUM(T3593:T3597)</f>
        <v>1.35</v>
      </c>
      <c r="U3598" s="531"/>
      <c r="V3598" s="531"/>
      <c r="W3598" s="531"/>
      <c r="X3598" s="531"/>
      <c r="Y3598" s="531"/>
      <c r="Z3598" s="531"/>
      <c r="AA3598" s="531"/>
      <c r="AB3598" s="531"/>
      <c r="AC3598" s="531"/>
      <c r="AD3598" s="531"/>
      <c r="AE3598" s="531"/>
      <c r="AF3598" s="531"/>
      <c r="AG3598" s="531"/>
      <c r="AH3598" s="531"/>
      <c r="AI3598" s="531"/>
      <c r="AJ3598" s="531"/>
      <c r="AK3598" s="531"/>
      <c r="AL3598" s="531"/>
      <c r="AM3598" s="531"/>
      <c r="AN3598" s="531"/>
      <c r="AO3598" s="531"/>
      <c r="AR3598" s="761" t="s">
        <v>145</v>
      </c>
      <c r="AS3598" s="764"/>
    </row>
    <row r="3599" spans="1:45" s="520" customFormat="1" ht="12" thickTop="1">
      <c r="A3599" s="51"/>
      <c r="B3599" s="41"/>
      <c r="C3599" s="51"/>
      <c r="E3599" s="42" t="s">
        <v>138</v>
      </c>
      <c r="F3599" s="42" t="s">
        <v>139</v>
      </c>
      <c r="G3599" s="51"/>
      <c r="H3599" s="51"/>
      <c r="I3599" s="51"/>
      <c r="J3599" s="51"/>
      <c r="K3599" s="51" t="s">
        <v>140</v>
      </c>
      <c r="L3599" s="51"/>
      <c r="M3599" s="51"/>
      <c r="N3599" s="51"/>
      <c r="O3599" s="52"/>
      <c r="P3599" s="51"/>
      <c r="Q3599" s="51"/>
      <c r="R3599" s="51"/>
      <c r="S3599" s="51"/>
      <c r="T3599" s="41"/>
      <c r="AG3599" s="521" t="s">
        <v>268</v>
      </c>
      <c r="AH3599" s="521" t="s">
        <v>269</v>
      </c>
      <c r="AI3599" s="521" t="s">
        <v>270</v>
      </c>
      <c r="AJ3599" s="521" t="s">
        <v>271</v>
      </c>
      <c r="AK3599" s="521" t="s">
        <v>272</v>
      </c>
      <c r="AM3599" s="745" t="s">
        <v>281</v>
      </c>
      <c r="AN3599" s="746" t="s">
        <v>282</v>
      </c>
      <c r="AO3599" s="522" t="s">
        <v>278</v>
      </c>
      <c r="AR3599" s="51"/>
      <c r="AS3599" s="42" t="s">
        <v>139</v>
      </c>
    </row>
    <row r="3600" spans="1:45" s="520" customFormat="1" ht="12" customHeight="1">
      <c r="A3600" s="747">
        <v>11</v>
      </c>
      <c r="B3600" s="523" t="s">
        <v>141</v>
      </c>
      <c r="C3600" s="748"/>
      <c r="D3600" s="749" t="s">
        <v>1679</v>
      </c>
      <c r="E3600" s="750">
        <f>IF(AND($A3600=0,$A$1="DIF"),0, ROUND(ROUND(($R3606*$S$2+($T3606*$T$2))/A3600,2)*$C$2,2))</f>
        <v>20.64</v>
      </c>
      <c r="F3600" s="751">
        <f>ROUND($A3600*$E3600,2)</f>
        <v>227.04</v>
      </c>
      <c r="G3600" s="752" t="s">
        <v>142</v>
      </c>
      <c r="H3600" s="753"/>
      <c r="I3600" s="754"/>
      <c r="J3600" s="753"/>
      <c r="K3600" s="753" t="s">
        <v>3</v>
      </c>
      <c r="L3600" s="755" t="s">
        <v>143</v>
      </c>
      <c r="M3600" s="755"/>
      <c r="N3600" s="755"/>
      <c r="O3600" s="755"/>
      <c r="P3600" s="755"/>
      <c r="Q3600" s="51"/>
      <c r="T3600" s="756" t="str">
        <f>IF(AND($R3606=0,$T3606=0),"0.00","mu :" &amp; ROUND($F3600/$C$2/($R3606+$T3606*$D$9),2))</f>
        <v>mu :1.23</v>
      </c>
      <c r="W3600" s="524"/>
      <c r="AG3600" s="481">
        <f>IF($E3600=0,0,ROUND($R3606*$S$2*$C$2/$A3600,2))</f>
        <v>13.03</v>
      </c>
      <c r="AH3600" s="481">
        <f>$AG3600*$A3600</f>
        <v>143.32999999999998</v>
      </c>
      <c r="AI3600" s="525">
        <f>$E3600-$AG3600</f>
        <v>7.6100000000000012</v>
      </c>
      <c r="AJ3600" s="525">
        <f>$A3600*$AI3600</f>
        <v>83.710000000000008</v>
      </c>
      <c r="AK3600" s="526">
        <f>ROUND(($AG3600+$AI3600)*$A3600,2)</f>
        <v>227.04</v>
      </c>
      <c r="AM3600" s="527">
        <f>ROUND(R3606,2)</f>
        <v>116.38</v>
      </c>
      <c r="AN3600" s="528">
        <f>ROUND(T3606,2)</f>
        <v>2.48</v>
      </c>
      <c r="AO3600" s="529">
        <f>ROUND(AM3600+AN3600,2)*A3600</f>
        <v>1307.46</v>
      </c>
      <c r="AR3600" s="747">
        <v>11</v>
      </c>
      <c r="AS3600" s="751">
        <v>236.28</v>
      </c>
    </row>
    <row r="3601" spans="1:45" s="520" customFormat="1" ht="13.2">
      <c r="A3601" s="748"/>
      <c r="B3601"/>
      <c r="C3601" s="748"/>
      <c r="D3601" s="749" t="s">
        <v>1633</v>
      </c>
      <c r="F3601" s="753"/>
      <c r="G3601" s="3"/>
      <c r="H3601" s="753"/>
      <c r="I3601" s="754"/>
      <c r="J3601" s="753"/>
      <c r="K3601" s="753" t="s">
        <v>144</v>
      </c>
      <c r="L3601" s="753"/>
      <c r="M3601" s="753"/>
      <c r="N3601" s="753"/>
      <c r="O3601" s="753"/>
      <c r="P3601" s="753"/>
      <c r="Q3601" s="51"/>
      <c r="R3601" s="530"/>
      <c r="S3601" s="757"/>
      <c r="T3601" s="753"/>
      <c r="AR3601" s="748"/>
      <c r="AS3601" s="753"/>
    </row>
    <row r="3602" spans="1:45" s="901" customFormat="1" ht="13.2">
      <c r="A3602" s="116">
        <v>11</v>
      </c>
      <c r="B3602" s="901" t="s">
        <v>141</v>
      </c>
      <c r="D3602" s="901" t="s">
        <v>3000</v>
      </c>
      <c r="F3602" s="1054" t="s">
        <v>3323</v>
      </c>
      <c r="G3602" s="941" t="s">
        <v>3001</v>
      </c>
      <c r="H3602" s="942">
        <v>705</v>
      </c>
      <c r="I3602" s="901" t="s">
        <v>2607</v>
      </c>
      <c r="O3602" s="943">
        <v>3</v>
      </c>
      <c r="P3602" s="944"/>
      <c r="Q3602" s="945">
        <v>10.5</v>
      </c>
      <c r="R3602" s="946">
        <f>$A3602*Q3602</f>
        <v>115.5</v>
      </c>
      <c r="S3602" s="945">
        <v>0.25</v>
      </c>
      <c r="T3602" s="947">
        <f>$A3602*S3602*$T$1</f>
        <v>2.4750000000000001</v>
      </c>
      <c r="AR3602" s="116">
        <v>11</v>
      </c>
      <c r="AS3602" s="1054" t="s">
        <v>3323</v>
      </c>
    </row>
    <row r="3603" spans="1:45" s="901" customFormat="1" ht="13.2">
      <c r="A3603">
        <v>22</v>
      </c>
      <c r="B3603" s="901" t="s">
        <v>141</v>
      </c>
      <c r="D3603" s="901" t="s">
        <v>2739</v>
      </c>
      <c r="G3603" s="941" t="s">
        <v>2740</v>
      </c>
      <c r="H3603" s="942">
        <v>875</v>
      </c>
      <c r="I3603" s="901" t="s">
        <v>2607</v>
      </c>
      <c r="K3603" s="901" t="s">
        <v>2741</v>
      </c>
      <c r="O3603" s="943">
        <v>1</v>
      </c>
      <c r="P3603" s="944">
        <v>34669</v>
      </c>
      <c r="Q3603" s="945">
        <v>0.02</v>
      </c>
      <c r="R3603" s="946">
        <f>$A3603*Q3603</f>
        <v>0.44</v>
      </c>
      <c r="S3603" s="945"/>
      <c r="T3603" s="947">
        <f>$A3603*S3603*$T$1</f>
        <v>0</v>
      </c>
      <c r="AR3603">
        <v>22</v>
      </c>
    </row>
    <row r="3604" spans="1:45" s="901" customFormat="1" ht="13.2">
      <c r="A3604">
        <v>22</v>
      </c>
      <c r="B3604" s="901" t="s">
        <v>141</v>
      </c>
      <c r="D3604" s="901" t="s">
        <v>2742</v>
      </c>
      <c r="G3604" s="941" t="s">
        <v>2743</v>
      </c>
      <c r="H3604" s="942">
        <v>875</v>
      </c>
      <c r="I3604" s="901" t="s">
        <v>2607</v>
      </c>
      <c r="K3604" s="901" t="s">
        <v>2744</v>
      </c>
      <c r="O3604" s="943">
        <v>1</v>
      </c>
      <c r="P3604" s="944">
        <v>34669</v>
      </c>
      <c r="Q3604" s="945">
        <v>0.02</v>
      </c>
      <c r="R3604" s="946">
        <f>$A3604*Q3604</f>
        <v>0.44</v>
      </c>
      <c r="S3604" s="945"/>
      <c r="T3604" s="947">
        <f>$A3604*S3604*$T$1</f>
        <v>0</v>
      </c>
      <c r="AR3604">
        <v>22</v>
      </c>
    </row>
    <row r="3605" spans="1:45" s="520" customFormat="1" ht="12">
      <c r="A3605" s="758"/>
      <c r="B3605" s="758"/>
      <c r="C3605" s="758"/>
      <c r="D3605" s="758"/>
      <c r="E3605" s="758"/>
      <c r="F3605" s="753"/>
      <c r="G3605" s="758"/>
      <c r="H3605" s="758"/>
      <c r="I3605" s="519"/>
      <c r="J3605" s="758"/>
      <c r="K3605" s="758"/>
      <c r="L3605" s="758"/>
      <c r="M3605" s="758"/>
      <c r="N3605" s="758"/>
      <c r="O3605" s="758"/>
      <c r="P3605" s="758"/>
      <c r="Q3605" s="519"/>
      <c r="R3605" s="759">
        <f>$A3605*Q3605</f>
        <v>0</v>
      </c>
      <c r="S3605" s="519"/>
      <c r="T3605" s="760">
        <f>$A3605*S3605*$T$1</f>
        <v>0</v>
      </c>
      <c r="AR3605" s="758"/>
      <c r="AS3605" s="753"/>
    </row>
    <row r="3606" spans="1:45" s="520" customFormat="1" ht="12.6" thickBot="1">
      <c r="A3606" s="761" t="s">
        <v>145</v>
      </c>
      <c r="B3606" s="762">
        <f>(R3605+T3605)</f>
        <v>0</v>
      </c>
      <c r="C3606" s="763"/>
      <c r="D3606" s="763"/>
      <c r="E3606" s="763"/>
      <c r="F3606" s="764"/>
      <c r="G3606" s="763" t="s">
        <v>146</v>
      </c>
      <c r="H3606" s="763"/>
      <c r="I3606" s="765"/>
      <c r="J3606" s="763"/>
      <c r="K3606" s="763" t="s">
        <v>3</v>
      </c>
      <c r="L3606" s="766" t="s">
        <v>143</v>
      </c>
      <c r="M3606" s="766"/>
      <c r="N3606" s="766"/>
      <c r="O3606" s="766"/>
      <c r="P3606" s="766"/>
      <c r="Q3606" s="767"/>
      <c r="R3606" s="768">
        <f>SUM(R3601:R3605)</f>
        <v>116.38</v>
      </c>
      <c r="S3606" s="763"/>
      <c r="T3606" s="768">
        <f>SUM(T3601:T3605)</f>
        <v>2.4750000000000001</v>
      </c>
      <c r="U3606" s="531"/>
      <c r="V3606" s="531"/>
      <c r="W3606" s="531"/>
      <c r="X3606" s="531"/>
      <c r="Y3606" s="531"/>
      <c r="Z3606" s="531"/>
      <c r="AA3606" s="531"/>
      <c r="AB3606" s="531"/>
      <c r="AC3606" s="531"/>
      <c r="AD3606" s="531"/>
      <c r="AE3606" s="531"/>
      <c r="AF3606" s="531"/>
      <c r="AG3606" s="531"/>
      <c r="AH3606" s="531"/>
      <c r="AI3606" s="531"/>
      <c r="AJ3606" s="531"/>
      <c r="AK3606" s="531"/>
      <c r="AL3606" s="531"/>
      <c r="AM3606" s="531"/>
      <c r="AN3606" s="531"/>
      <c r="AO3606" s="531"/>
      <c r="AR3606" s="761" t="s">
        <v>145</v>
      </c>
      <c r="AS3606" s="764"/>
    </row>
    <row r="3607" spans="1:45" s="520" customFormat="1" ht="12" thickTop="1">
      <c r="A3607" s="51"/>
      <c r="B3607" s="41"/>
      <c r="C3607" s="51"/>
      <c r="E3607" s="42" t="s">
        <v>138</v>
      </c>
      <c r="F3607" s="42" t="s">
        <v>139</v>
      </c>
      <c r="G3607" s="51"/>
      <c r="H3607" s="51"/>
      <c r="I3607" s="51"/>
      <c r="J3607" s="51"/>
      <c r="K3607" s="51" t="s">
        <v>140</v>
      </c>
      <c r="L3607" s="51"/>
      <c r="M3607" s="51"/>
      <c r="N3607" s="51"/>
      <c r="O3607" s="52"/>
      <c r="P3607" s="51"/>
      <c r="Q3607" s="51"/>
      <c r="R3607" s="51"/>
      <c r="S3607" s="51"/>
      <c r="T3607" s="41"/>
      <c r="AG3607" s="521" t="s">
        <v>268</v>
      </c>
      <c r="AH3607" s="521" t="s">
        <v>269</v>
      </c>
      <c r="AI3607" s="521" t="s">
        <v>270</v>
      </c>
      <c r="AJ3607" s="521" t="s">
        <v>271</v>
      </c>
      <c r="AK3607" s="521" t="s">
        <v>272</v>
      </c>
      <c r="AM3607" s="745" t="s">
        <v>281</v>
      </c>
      <c r="AN3607" s="746" t="s">
        <v>282</v>
      </c>
      <c r="AO3607" s="522" t="s">
        <v>278</v>
      </c>
      <c r="AR3607" s="51"/>
      <c r="AS3607" s="42" t="s">
        <v>139</v>
      </c>
    </row>
    <row r="3608" spans="1:45" s="520" customFormat="1" ht="12" customHeight="1">
      <c r="A3608" s="747">
        <v>1</v>
      </c>
      <c r="B3608" s="523" t="s">
        <v>141</v>
      </c>
      <c r="C3608" s="748"/>
      <c r="D3608" s="749" t="s">
        <v>1680</v>
      </c>
      <c r="E3608" s="750">
        <f>IF(AND($A3608=0,$A$1="DIF"),0, ROUND(ROUND(($R3614*$S$2+($T3614*$T$2))/A3608,2)*$C$2,2))</f>
        <v>267.02999999999997</v>
      </c>
      <c r="F3608" s="751">
        <f>ROUND($A3608*$E3608,2)</f>
        <v>267.02999999999997</v>
      </c>
      <c r="G3608" s="752" t="s">
        <v>142</v>
      </c>
      <c r="H3608" s="753"/>
      <c r="I3608" s="754"/>
      <c r="J3608" s="753"/>
      <c r="K3608" s="753" t="s">
        <v>3</v>
      </c>
      <c r="L3608" s="755" t="s">
        <v>143</v>
      </c>
      <c r="M3608" s="755"/>
      <c r="N3608" s="755"/>
      <c r="O3608" s="755"/>
      <c r="P3608" s="755"/>
      <c r="Q3608" s="51"/>
      <c r="T3608" s="756" t="str">
        <f>IF(AND($R3614=0,$T3614=0),"0.00","mu :" &amp; ROUND($F3608/$C$2/($R3614+$T3614*$D$9),2))</f>
        <v>mu :1.23</v>
      </c>
      <c r="W3608" s="524"/>
      <c r="AG3608" s="481">
        <f>IF($E3608=0,0,ROUND($R3614*$S$2*$C$2/$A3608,2))</f>
        <v>156.26</v>
      </c>
      <c r="AH3608" s="481">
        <f>$AG3608*$A3608</f>
        <v>156.26</v>
      </c>
      <c r="AI3608" s="525">
        <f>$E3608-$AG3608</f>
        <v>110.76999999999998</v>
      </c>
      <c r="AJ3608" s="525">
        <f>$A3608*$AI3608</f>
        <v>110.76999999999998</v>
      </c>
      <c r="AK3608" s="526">
        <f>ROUND(($AG3608+$AI3608)*$A3608,2)</f>
        <v>267.02999999999997</v>
      </c>
      <c r="AM3608" s="527">
        <f>ROUND(R3614,2)</f>
        <v>126.9</v>
      </c>
      <c r="AN3608" s="528">
        <f>ROUND(T3614,2)</f>
        <v>3.28</v>
      </c>
      <c r="AO3608" s="529">
        <f>ROUND(AM3608+AN3608,2)*A3608</f>
        <v>130.18</v>
      </c>
      <c r="AR3608" s="747">
        <v>1</v>
      </c>
      <c r="AS3608" s="751">
        <v>279.33999999999997</v>
      </c>
    </row>
    <row r="3609" spans="1:45" s="520" customFormat="1" ht="39.9" customHeight="1">
      <c r="A3609" s="748"/>
      <c r="B3609"/>
      <c r="C3609" s="748"/>
      <c r="D3609" s="1451" t="s">
        <v>812</v>
      </c>
      <c r="E3609" s="1452"/>
      <c r="F3609" s="1452"/>
      <c r="G3609" s="1452"/>
      <c r="H3609" s="1452"/>
      <c r="I3609" s="1452"/>
      <c r="J3609" s="1452"/>
      <c r="K3609" s="1452"/>
      <c r="L3609" s="1452"/>
      <c r="M3609" s="1452"/>
      <c r="N3609" s="1452"/>
      <c r="O3609" s="1452"/>
      <c r="P3609" s="1452"/>
      <c r="Q3609" s="1452"/>
      <c r="R3609" s="1452"/>
      <c r="S3609" s="1452"/>
      <c r="T3609" s="1452"/>
      <c r="AR3609" s="748"/>
    </row>
    <row r="3610" spans="1:45" s="901" customFormat="1" ht="13.2">
      <c r="A3610" s="116">
        <v>18</v>
      </c>
      <c r="B3610" s="901" t="s">
        <v>320</v>
      </c>
      <c r="D3610" s="901" t="s">
        <v>3006</v>
      </c>
      <c r="F3610" s="901" t="s">
        <v>3237</v>
      </c>
      <c r="G3610" s="941" t="s">
        <v>3007</v>
      </c>
      <c r="H3610" s="942">
        <v>700</v>
      </c>
      <c r="I3610" s="901" t="s">
        <v>3008</v>
      </c>
      <c r="J3610" s="901" t="s">
        <v>2947</v>
      </c>
      <c r="O3610" s="943">
        <v>1</v>
      </c>
      <c r="P3610" s="944">
        <v>42213</v>
      </c>
      <c r="Q3610" s="945">
        <v>2.0499999999999998</v>
      </c>
      <c r="R3610" s="946">
        <f>$A3610*Q3610</f>
        <v>36.9</v>
      </c>
      <c r="S3610" s="945">
        <v>0.18</v>
      </c>
      <c r="T3610" s="947">
        <f>$A3610*S3610*$T$1</f>
        <v>2.9159999999999999</v>
      </c>
      <c r="AR3610" s="116">
        <v>18</v>
      </c>
      <c r="AS3610" s="901" t="s">
        <v>3237</v>
      </c>
    </row>
    <row r="3611" spans="1:45" s="901" customFormat="1" ht="13.2">
      <c r="A3611">
        <v>1</v>
      </c>
      <c r="B3611" s="901" t="s">
        <v>329</v>
      </c>
      <c r="D3611" s="901" t="s">
        <v>3414</v>
      </c>
      <c r="E3611" s="901" t="s">
        <v>3413</v>
      </c>
      <c r="G3611" s="941" t="s">
        <v>3412</v>
      </c>
      <c r="H3611" s="942">
        <v>617</v>
      </c>
      <c r="I3611" s="901" t="s">
        <v>2607</v>
      </c>
      <c r="O3611" s="943">
        <v>2</v>
      </c>
      <c r="P3611" s="944">
        <v>39647</v>
      </c>
      <c r="Q3611" s="945">
        <v>30</v>
      </c>
      <c r="R3611" s="946">
        <f>$A3611*Q3611</f>
        <v>30</v>
      </c>
      <c r="S3611" s="945">
        <f>0.04*10</f>
        <v>0.4</v>
      </c>
      <c r="T3611" s="947">
        <f>$A3611*S3611*$T$1</f>
        <v>0.36000000000000004</v>
      </c>
      <c r="AR3611">
        <v>1</v>
      </c>
    </row>
    <row r="3612" spans="1:45" s="901" customFormat="1" ht="13.2">
      <c r="A3612" s="116">
        <v>2</v>
      </c>
      <c r="B3612" s="901" t="s">
        <v>141</v>
      </c>
      <c r="D3612" s="901" t="s">
        <v>3419</v>
      </c>
      <c r="E3612" s="901" t="s">
        <v>3420</v>
      </c>
      <c r="F3612" s="901" t="s">
        <v>3421</v>
      </c>
      <c r="G3612" s="941" t="s">
        <v>3416</v>
      </c>
      <c r="H3612" s="942">
        <v>705</v>
      </c>
      <c r="I3612" s="901" t="s">
        <v>3417</v>
      </c>
      <c r="J3612" s="901" t="s">
        <v>3418</v>
      </c>
      <c r="O3612" s="943">
        <v>3</v>
      </c>
      <c r="P3612" s="944">
        <v>38744</v>
      </c>
      <c r="Q3612" s="945">
        <v>30</v>
      </c>
      <c r="R3612" s="946">
        <f>$A3612*Q3612</f>
        <v>60</v>
      </c>
      <c r="S3612" s="945"/>
      <c r="T3612" s="947">
        <f>$A3612*S3612*$T$1</f>
        <v>0</v>
      </c>
      <c r="AR3612" s="116">
        <v>2</v>
      </c>
      <c r="AS3612" s="901" t="s">
        <v>3421</v>
      </c>
    </row>
    <row r="3613" spans="1:45" s="520" customFormat="1" ht="12">
      <c r="A3613" s="758"/>
      <c r="B3613" s="758"/>
      <c r="C3613" s="758"/>
      <c r="D3613" s="758"/>
      <c r="E3613" s="758"/>
      <c r="F3613" s="753"/>
      <c r="G3613" s="758"/>
      <c r="H3613" s="758"/>
      <c r="I3613" s="519"/>
      <c r="J3613" s="758"/>
      <c r="K3613" s="758"/>
      <c r="L3613" s="758"/>
      <c r="M3613" s="758"/>
      <c r="N3613" s="758"/>
      <c r="O3613" s="758"/>
      <c r="P3613" s="758"/>
      <c r="Q3613" s="519"/>
      <c r="R3613" s="759">
        <f>$A3613*Q3613</f>
        <v>0</v>
      </c>
      <c r="S3613" s="519"/>
      <c r="T3613" s="760">
        <f>$A3613*S3613*$T$1</f>
        <v>0</v>
      </c>
      <c r="AR3613" s="758"/>
      <c r="AS3613" s="753"/>
    </row>
    <row r="3614" spans="1:45" s="520" customFormat="1" ht="12.6" thickBot="1">
      <c r="A3614" s="761" t="s">
        <v>145</v>
      </c>
      <c r="B3614" s="762">
        <f>(R3613+T3613)</f>
        <v>0</v>
      </c>
      <c r="C3614" s="763"/>
      <c r="D3614" s="763"/>
      <c r="E3614" s="763"/>
      <c r="F3614" s="764"/>
      <c r="G3614" s="763" t="s">
        <v>146</v>
      </c>
      <c r="H3614" s="763"/>
      <c r="I3614" s="765"/>
      <c r="J3614" s="763"/>
      <c r="K3614" s="763" t="s">
        <v>3</v>
      </c>
      <c r="L3614" s="766" t="s">
        <v>143</v>
      </c>
      <c r="M3614" s="766"/>
      <c r="N3614" s="766"/>
      <c r="O3614" s="766"/>
      <c r="P3614" s="766"/>
      <c r="Q3614" s="767"/>
      <c r="R3614" s="768">
        <f>SUM(R3609:R3613)</f>
        <v>126.9</v>
      </c>
      <c r="S3614" s="763"/>
      <c r="T3614" s="768">
        <f>SUM(T3609:T3613)</f>
        <v>3.2759999999999998</v>
      </c>
      <c r="U3614" s="531"/>
      <c r="V3614" s="531"/>
      <c r="W3614" s="531"/>
      <c r="X3614" s="531"/>
      <c r="Y3614" s="531"/>
      <c r="Z3614" s="531"/>
      <c r="AA3614" s="531"/>
      <c r="AB3614" s="531"/>
      <c r="AC3614" s="531"/>
      <c r="AD3614" s="531"/>
      <c r="AE3614" s="531"/>
      <c r="AF3614" s="531"/>
      <c r="AG3614" s="531"/>
      <c r="AH3614" s="531"/>
      <c r="AI3614" s="531"/>
      <c r="AJ3614" s="531"/>
      <c r="AK3614" s="531"/>
      <c r="AL3614" s="531"/>
      <c r="AM3614" s="531"/>
      <c r="AN3614" s="531"/>
      <c r="AO3614" s="531"/>
      <c r="AR3614" s="761" t="s">
        <v>145</v>
      </c>
      <c r="AS3614" s="764"/>
    </row>
    <row r="3615" spans="1:45" s="520" customFormat="1" ht="12" thickTop="1">
      <c r="A3615" s="48" t="s">
        <v>148</v>
      </c>
      <c r="D3615" s="13"/>
      <c r="E3615" s="42"/>
      <c r="O3615" s="771"/>
      <c r="AR3615" s="48" t="s">
        <v>148</v>
      </c>
    </row>
    <row r="3616" spans="1:45" s="520" customFormat="1" ht="13.2">
      <c r="B3616" s="3"/>
      <c r="O3616" s="771"/>
    </row>
    <row r="3617" spans="1:45" s="520" customFormat="1" ht="12">
      <c r="B3617" s="772">
        <f ca="1">$F3617/$C$2-($R3617*$S$2+$T3617*$T$2)</f>
        <v>8.1597199932730291E-3</v>
      </c>
      <c r="D3617" s="773" t="s">
        <v>3631</v>
      </c>
      <c r="E3617" s="774"/>
      <c r="F3617" s="775">
        <f ca="1">SUMIF($L3277:$L3615,"ITEM",F3277:F3615)</f>
        <v>24294.649999999998</v>
      </c>
      <c r="G3617" s="758"/>
      <c r="H3617" s="758"/>
      <c r="I3617" s="519"/>
      <c r="J3617" s="758"/>
      <c r="K3617" s="758"/>
      <c r="L3617" s="755" t="s">
        <v>157</v>
      </c>
      <c r="M3617" s="755"/>
      <c r="N3617" s="755"/>
      <c r="O3617" s="755"/>
      <c r="P3617" s="755"/>
      <c r="R3617" s="775">
        <f ca="1">SUMIF($L3277:$L3615,"ITEM",R3277:R3615)</f>
        <v>7932.6799999999985</v>
      </c>
      <c r="S3617" s="776"/>
      <c r="T3617" s="775">
        <f ca="1">SUMIF($L3277:$L3615,"ITEM",T3277:T3615)</f>
        <v>429.62500000000006</v>
      </c>
      <c r="AS3617" s="775">
        <v>25921.51</v>
      </c>
    </row>
    <row r="3618" spans="1:45" s="520" customFormat="1" ht="13.2">
      <c r="A3618" s="51"/>
      <c r="B3618" s="49" t="s">
        <v>1064</v>
      </c>
      <c r="C3618" s="51"/>
      <c r="D3618" s="3"/>
      <c r="F3618" s="777" t="s">
        <v>158</v>
      </c>
      <c r="G3618" s="758"/>
      <c r="H3618" s="758"/>
      <c r="I3618" s="519"/>
      <c r="J3618" s="758"/>
      <c r="K3618" s="758"/>
      <c r="L3618" s="758"/>
      <c r="M3618" s="758"/>
      <c r="N3618" s="758"/>
      <c r="O3618" s="758"/>
      <c r="P3618" s="758"/>
      <c r="Q3618" s="778"/>
      <c r="R3618" s="777" t="s">
        <v>159</v>
      </c>
      <c r="S3618" s="38"/>
      <c r="T3618" s="777" t="s">
        <v>160</v>
      </c>
      <c r="AR3618" s="51"/>
      <c r="AS3618" s="777" t="s">
        <v>158</v>
      </c>
    </row>
    <row r="3619" spans="1:45" s="520" customFormat="1" ht="13.2">
      <c r="A3619" s="758"/>
      <c r="B3619" s="3"/>
      <c r="C3619" s="758"/>
      <c r="D3619" s="3"/>
      <c r="E3619" s="3"/>
      <c r="G3619" s="3"/>
      <c r="H3619" s="3"/>
      <c r="I3619" s="3"/>
      <c r="J3619" s="3"/>
      <c r="K3619" s="3"/>
      <c r="L3619" s="3"/>
      <c r="M3619" s="3"/>
      <c r="N3619" s="3"/>
      <c r="O3619" s="107"/>
      <c r="P3619" s="3"/>
      <c r="Q3619" s="3"/>
      <c r="R3619" s="3"/>
      <c r="S3619" s="3"/>
      <c r="T3619" s="3"/>
      <c r="AR3619" s="758"/>
    </row>
    <row r="3620" spans="1:45" s="520" customFormat="1" ht="12" thickBot="1">
      <c r="A3620" s="531"/>
      <c r="B3620" s="763"/>
      <c r="C3620" s="763"/>
      <c r="D3620" s="531"/>
      <c r="E3620" s="39"/>
      <c r="F3620" s="779"/>
      <c r="G3620" s="763"/>
      <c r="H3620" s="763"/>
      <c r="I3620" s="765"/>
      <c r="J3620" s="763"/>
      <c r="K3620" s="763"/>
      <c r="L3620" s="766"/>
      <c r="M3620" s="766"/>
      <c r="N3620" s="766"/>
      <c r="O3620" s="766"/>
      <c r="P3620" s="766"/>
      <c r="Q3620" s="767"/>
      <c r="R3620" s="779"/>
      <c r="S3620" s="780"/>
      <c r="T3620" s="779"/>
      <c r="U3620" s="531"/>
      <c r="V3620" s="531"/>
      <c r="W3620" s="531"/>
      <c r="X3620" s="531"/>
      <c r="Y3620" s="531"/>
      <c r="Z3620" s="531"/>
      <c r="AA3620" s="531"/>
      <c r="AB3620" s="531"/>
      <c r="AC3620" s="531"/>
      <c r="AD3620" s="531"/>
      <c r="AE3620" s="531"/>
      <c r="AF3620" s="531"/>
      <c r="AG3620" s="531"/>
      <c r="AH3620" s="531"/>
      <c r="AI3620" s="531"/>
      <c r="AJ3620" s="531"/>
      <c r="AK3620" s="531"/>
      <c r="AR3620" s="531"/>
      <c r="AS3620" s="779"/>
    </row>
    <row r="3621" spans="1:45" s="520" customFormat="1" thickTop="1">
      <c r="A3621" s="51"/>
      <c r="B3621" s="51"/>
      <c r="C3621" s="3"/>
      <c r="D3621" s="3"/>
      <c r="E3621" s="51"/>
      <c r="F3621" s="51"/>
      <c r="G3621" s="51"/>
      <c r="H3621" s="51"/>
      <c r="I3621" s="51"/>
      <c r="J3621" s="51"/>
      <c r="K3621" s="51" t="s">
        <v>134</v>
      </c>
      <c r="L3621" s="51"/>
      <c r="M3621" s="51"/>
      <c r="N3621" s="51"/>
      <c r="O3621" s="52"/>
      <c r="P3621" s="51"/>
      <c r="Q3621" s="51"/>
      <c r="R3621" s="51"/>
      <c r="S3621" s="51"/>
      <c r="T3621" s="51"/>
      <c r="AR3621" s="51"/>
      <c r="AS3621" s="51"/>
    </row>
    <row r="3622" spans="1:45" s="520" customFormat="1" ht="12">
      <c r="A3622" s="51"/>
      <c r="B3622" s="51"/>
      <c r="C3622" s="51" t="s">
        <v>135</v>
      </c>
      <c r="D3622" s="37"/>
      <c r="E3622" s="51"/>
      <c r="F3622" s="51"/>
      <c r="G3622" s="51"/>
      <c r="H3622" s="51"/>
      <c r="I3622" s="51"/>
      <c r="J3622" s="51"/>
      <c r="K3622" s="51"/>
      <c r="L3622" s="51"/>
      <c r="M3622" s="51"/>
      <c r="N3622" s="51"/>
      <c r="O3622" s="52"/>
      <c r="P3622" s="51"/>
      <c r="Q3622" s="51"/>
      <c r="R3622" s="51"/>
      <c r="S3622" s="51"/>
      <c r="T3622" s="51"/>
      <c r="AR3622" s="51"/>
      <c r="AS3622" s="51"/>
    </row>
    <row r="3623" spans="1:45" s="520" customFormat="1" ht="39.9" customHeight="1">
      <c r="A3623" s="51"/>
      <c r="B3623" s="51"/>
      <c r="C3623" s="51"/>
      <c r="D3623" s="1453" t="s">
        <v>1602</v>
      </c>
      <c r="E3623" s="1452"/>
      <c r="F3623" s="1452"/>
      <c r="G3623" s="1452"/>
      <c r="H3623" s="1452"/>
      <c r="I3623" s="1452"/>
      <c r="J3623" s="1452"/>
      <c r="K3623" s="1452"/>
      <c r="L3623" s="1452"/>
      <c r="M3623" s="1452"/>
      <c r="N3623" s="1452"/>
      <c r="O3623" s="1452"/>
      <c r="P3623" s="1452"/>
      <c r="Q3623" s="1452"/>
      <c r="R3623" s="1452"/>
      <c r="S3623" s="1452"/>
      <c r="T3623" s="1452"/>
      <c r="AR3623" s="51"/>
    </row>
    <row r="3624" spans="1:45" s="3" customFormat="1" thickBot="1">
      <c r="A3624" s="531"/>
      <c r="O3624" s="107"/>
      <c r="AR3624" s="531"/>
    </row>
    <row r="3625" spans="1:45" s="520" customFormat="1" thickTop="1">
      <c r="A3625" s="51"/>
      <c r="B3625" s="51"/>
      <c r="C3625" s="3"/>
      <c r="D3625" s="3"/>
      <c r="E3625" s="51"/>
      <c r="F3625" s="51"/>
      <c r="G3625" s="51"/>
      <c r="H3625" s="51"/>
      <c r="I3625" s="51"/>
      <c r="J3625" s="51"/>
      <c r="K3625" s="51" t="s">
        <v>134</v>
      </c>
      <c r="L3625" s="51"/>
      <c r="M3625" s="51"/>
      <c r="N3625" s="51"/>
      <c r="O3625" s="52"/>
      <c r="P3625" s="51"/>
      <c r="Q3625" s="51"/>
      <c r="R3625" s="51"/>
      <c r="S3625" s="51"/>
      <c r="T3625" s="51"/>
      <c r="AR3625" s="51"/>
      <c r="AS3625" s="51"/>
    </row>
    <row r="3626" spans="1:45" s="520" customFormat="1" ht="12">
      <c r="A3626" s="51"/>
      <c r="B3626" s="51"/>
      <c r="C3626" s="51" t="s">
        <v>135</v>
      </c>
      <c r="D3626" s="37"/>
      <c r="E3626" s="51"/>
      <c r="F3626" s="51"/>
      <c r="G3626" s="51"/>
      <c r="H3626" s="51"/>
      <c r="I3626" s="51"/>
      <c r="J3626" s="51"/>
      <c r="K3626" s="51"/>
      <c r="L3626" s="51"/>
      <c r="M3626" s="51"/>
      <c r="N3626" s="51"/>
      <c r="O3626" s="52"/>
      <c r="P3626" s="51"/>
      <c r="Q3626" s="51"/>
      <c r="R3626" s="51"/>
      <c r="S3626" s="51"/>
      <c r="T3626" s="51"/>
      <c r="AR3626" s="51"/>
      <c r="AS3626" s="51"/>
    </row>
    <row r="3627" spans="1:45" s="520" customFormat="1" ht="12">
      <c r="A3627" s="51"/>
      <c r="B3627" s="51"/>
      <c r="C3627" s="51"/>
      <c r="D3627" s="37" t="s">
        <v>814</v>
      </c>
      <c r="E3627" s="51"/>
      <c r="F3627" s="51"/>
      <c r="G3627" s="51"/>
      <c r="H3627" s="51"/>
      <c r="I3627" s="51"/>
      <c r="J3627" s="51"/>
      <c r="K3627" s="51"/>
      <c r="L3627" s="51"/>
      <c r="M3627" s="51"/>
      <c r="N3627" s="51"/>
      <c r="O3627" s="52"/>
      <c r="P3627" s="51"/>
      <c r="Q3627" s="51"/>
      <c r="R3627" s="51"/>
      <c r="S3627" s="38"/>
      <c r="T3627" s="38"/>
      <c r="AR3627" s="51"/>
      <c r="AS3627" s="51"/>
    </row>
    <row r="3628" spans="1:45" s="3" customFormat="1" thickBot="1">
      <c r="A3628" s="531"/>
      <c r="O3628" s="107"/>
      <c r="AR3628" s="531"/>
    </row>
    <row r="3629" spans="1:45" s="520" customFormat="1" ht="12" thickTop="1">
      <c r="A3629" s="51"/>
      <c r="B3629" s="41"/>
      <c r="C3629" s="51"/>
      <c r="E3629" s="42" t="s">
        <v>138</v>
      </c>
      <c r="F3629" s="42" t="s">
        <v>139</v>
      </c>
      <c r="G3629" s="51"/>
      <c r="H3629" s="51"/>
      <c r="I3629" s="51"/>
      <c r="J3629" s="51"/>
      <c r="K3629" s="51" t="s">
        <v>140</v>
      </c>
      <c r="L3629" s="51"/>
      <c r="M3629" s="51"/>
      <c r="N3629" s="51"/>
      <c r="O3629" s="52"/>
      <c r="P3629" s="51"/>
      <c r="Q3629" s="51"/>
      <c r="R3629" s="51"/>
      <c r="S3629" s="51"/>
      <c r="T3629" s="41"/>
      <c r="AG3629" s="521" t="s">
        <v>268</v>
      </c>
      <c r="AH3629" s="521" t="s">
        <v>269</v>
      </c>
      <c r="AI3629" s="521" t="s">
        <v>270</v>
      </c>
      <c r="AJ3629" s="521" t="s">
        <v>271</v>
      </c>
      <c r="AK3629" s="521" t="s">
        <v>272</v>
      </c>
      <c r="AM3629" s="745" t="s">
        <v>281</v>
      </c>
      <c r="AN3629" s="746" t="s">
        <v>282</v>
      </c>
      <c r="AO3629" s="522" t="s">
        <v>278</v>
      </c>
      <c r="AR3629" s="51"/>
      <c r="AS3629" s="42" t="s">
        <v>139</v>
      </c>
    </row>
    <row r="3630" spans="1:45" s="520" customFormat="1" ht="12" customHeight="1">
      <c r="A3630" s="747">
        <v>4</v>
      </c>
      <c r="B3630" s="523" t="s">
        <v>141</v>
      </c>
      <c r="C3630" s="748"/>
      <c r="D3630" s="749" t="s">
        <v>1681</v>
      </c>
      <c r="E3630" s="750">
        <f ca="1">IF(AND($A3630=0,$A$1="DIF"),0, ROUND(ROUND(($R3636*$S$2+($T3636*$T$2))/A3630,2)*$C$2,2))</f>
        <v>196.52</v>
      </c>
      <c r="F3630" s="751">
        <f ca="1">ROUND($A3630*$E3630,2)</f>
        <v>786.08</v>
      </c>
      <c r="G3630" s="752" t="s">
        <v>142</v>
      </c>
      <c r="H3630" s="753"/>
      <c r="I3630" s="754"/>
      <c r="J3630" s="753"/>
      <c r="K3630" s="753" t="s">
        <v>3</v>
      </c>
      <c r="L3630" s="755" t="s">
        <v>143</v>
      </c>
      <c r="M3630" s="755"/>
      <c r="N3630" s="755"/>
      <c r="O3630" s="755"/>
      <c r="P3630" s="755"/>
      <c r="Q3630" s="51"/>
      <c r="T3630" s="756" t="str">
        <f ca="1">IF(AND($R3636=0,$T3636=0),"0.00","mu :" &amp; ROUND($F3630/$C$2/($R3636+$T3636*$D$9),2))</f>
        <v>mu :1.23</v>
      </c>
      <c r="W3630" s="524"/>
      <c r="AG3630" s="481">
        <f ca="1">IF($E3630=0,0,ROUND($R3636*$S$2*$C$2/$A3630,2))</f>
        <v>89.24</v>
      </c>
      <c r="AH3630" s="481">
        <f ca="1">$AG3630*$A3630</f>
        <v>356.96</v>
      </c>
      <c r="AI3630" s="525">
        <f ca="1">$E3630-$AG3630</f>
        <v>107.28000000000002</v>
      </c>
      <c r="AJ3630" s="525">
        <f ca="1">$A3630*$AI3630</f>
        <v>429.12000000000006</v>
      </c>
      <c r="AK3630" s="526">
        <f ca="1">ROUND(($AG3630+$AI3630)*$A3630,2)</f>
        <v>786.08</v>
      </c>
      <c r="AM3630" s="527">
        <f ca="1">ROUND(R3636,2)</f>
        <v>289.88</v>
      </c>
      <c r="AN3630" s="528">
        <f ca="1">ROUND(T3636,2)</f>
        <v>12.69</v>
      </c>
      <c r="AO3630" s="529">
        <f ca="1">ROUND(AM3630+AN3630,2)*A3630</f>
        <v>1210.28</v>
      </c>
      <c r="AR3630" s="747">
        <v>4</v>
      </c>
      <c r="AS3630" s="751">
        <v>833.04</v>
      </c>
    </row>
    <row r="3631" spans="1:45" s="520" customFormat="1" ht="13.2">
      <c r="A3631" s="748"/>
      <c r="B3631"/>
      <c r="C3631" s="748"/>
      <c r="D3631" s="749" t="s">
        <v>788</v>
      </c>
      <c r="F3631" s="753"/>
      <c r="G3631" s="3"/>
      <c r="H3631" s="753"/>
      <c r="I3631" s="754"/>
      <c r="J3631" s="753"/>
      <c r="K3631" s="753" t="s">
        <v>144</v>
      </c>
      <c r="L3631" s="753"/>
      <c r="M3631" s="753"/>
      <c r="N3631" s="753"/>
      <c r="O3631" s="753"/>
      <c r="P3631" s="753"/>
      <c r="Q3631" s="51"/>
      <c r="R3631" s="530"/>
      <c r="S3631" s="757"/>
      <c r="T3631" s="753"/>
      <c r="AR3631" s="748"/>
      <c r="AS3631" s="753"/>
    </row>
    <row r="3632" spans="1:45" s="886" customFormat="1" ht="13.2">
      <c r="A3632"/>
      <c r="B3632" s="910"/>
      <c r="C3632" s="910" t="s">
        <v>2597</v>
      </c>
      <c r="D3632" s="910" t="str">
        <f ca="1">CELL("Address",Elec_Rates!D$112)</f>
        <v>[E25_0062_Quintano_Foods_Elec_ELV_As_Awarded.xlsx]Elec_Rates!$D$112</v>
      </c>
      <c r="E3632" s="911"/>
      <c r="F3632" s="911"/>
      <c r="G3632" s="912" t="s">
        <v>2598</v>
      </c>
      <c r="H3632" s="912"/>
      <c r="I3632" s="912"/>
      <c r="J3632" s="912"/>
      <c r="K3632" s="913"/>
      <c r="L3632" s="911"/>
      <c r="M3632" s="911"/>
      <c r="N3632" s="911"/>
      <c r="O3632" s="914"/>
      <c r="P3632" s="911"/>
      <c r="Q3632" s="915"/>
      <c r="R3632" s="916"/>
      <c r="S3632" s="915"/>
      <c r="T3632" s="917"/>
      <c r="U3632" s="918"/>
      <c r="AR3632"/>
      <c r="AS3632" s="911"/>
    </row>
    <row r="3633" spans="1:45" s="886" customFormat="1" ht="11.4">
      <c r="A3633" s="919">
        <v>4</v>
      </c>
      <c r="B3633" s="920">
        <v>1</v>
      </c>
      <c r="C3633" s="920">
        <f>$A3633*$B3633</f>
        <v>4</v>
      </c>
      <c r="D3633" s="921" t="str">
        <f>Elec_Rates!$D$112</f>
        <v>009# Power points rate (Galvanised conduit)</v>
      </c>
      <c r="E3633" s="921"/>
      <c r="F3633" s="921" t="s">
        <v>2599</v>
      </c>
      <c r="G3633" s="922" t="s">
        <v>2601</v>
      </c>
      <c r="H3633" s="922"/>
      <c r="I3633" s="922"/>
      <c r="J3633" s="922"/>
      <c r="K3633" s="923"/>
      <c r="L3633" s="918"/>
      <c r="M3633" s="918"/>
      <c r="N3633" s="918"/>
      <c r="O3633" s="924"/>
      <c r="P3633" s="921"/>
      <c r="Q3633" s="925">
        <f ca="1">$B3633*Elec_Rates!$R$112</f>
        <v>64.069999999999993</v>
      </c>
      <c r="R3633" s="916">
        <f ca="1">$A3633*Q3633</f>
        <v>256.27999999999997</v>
      </c>
      <c r="S3633" s="925">
        <f ca="1">$B3633*Elec_Rates!$T$112</f>
        <v>3.02</v>
      </c>
      <c r="T3633" s="917">
        <f ca="1">$A3633*S3633</f>
        <v>12.08</v>
      </c>
      <c r="U3633" s="926"/>
      <c r="AR3633" s="919">
        <v>4</v>
      </c>
      <c r="AS3633" s="921" t="s">
        <v>2599</v>
      </c>
    </row>
    <row r="3634" spans="1:45" s="901" customFormat="1" ht="13.2">
      <c r="A3634" s="116">
        <v>4</v>
      </c>
      <c r="B3634" s="901" t="s">
        <v>141</v>
      </c>
      <c r="D3634" s="901" t="s">
        <v>2870</v>
      </c>
      <c r="E3634" s="901" t="s">
        <v>3424</v>
      </c>
      <c r="F3634" s="1054" t="s">
        <v>3433</v>
      </c>
      <c r="G3634" s="941" t="s">
        <v>2871</v>
      </c>
      <c r="H3634" s="942">
        <v>705</v>
      </c>
      <c r="I3634" s="901" t="s">
        <v>2872</v>
      </c>
      <c r="J3634" s="901" t="s">
        <v>2873</v>
      </c>
      <c r="O3634" s="943">
        <v>3</v>
      </c>
      <c r="P3634" s="944">
        <v>34669</v>
      </c>
      <c r="Q3634" s="945">
        <v>8.4</v>
      </c>
      <c r="R3634" s="946">
        <f>$A3634*Q3634</f>
        <v>33.6</v>
      </c>
      <c r="S3634" s="945">
        <v>0.17</v>
      </c>
      <c r="T3634" s="947">
        <f>$A3634*S3634*$T$1</f>
        <v>0.6120000000000001</v>
      </c>
      <c r="AR3634" s="116">
        <v>4</v>
      </c>
      <c r="AS3634" s="1054" t="s">
        <v>3433</v>
      </c>
    </row>
    <row r="3635" spans="1:45" s="520" customFormat="1" ht="12">
      <c r="A3635" s="758"/>
      <c r="B3635" s="758"/>
      <c r="C3635" s="758"/>
      <c r="D3635" s="758"/>
      <c r="E3635" s="758"/>
      <c r="F3635" s="753"/>
      <c r="G3635" s="758"/>
      <c r="H3635" s="758"/>
      <c r="I3635" s="519"/>
      <c r="J3635" s="758"/>
      <c r="K3635" s="758"/>
      <c r="L3635" s="758"/>
      <c r="M3635" s="758"/>
      <c r="N3635" s="758"/>
      <c r="O3635" s="758"/>
      <c r="P3635" s="758"/>
      <c r="Q3635" s="519"/>
      <c r="R3635" s="759">
        <f>$A3635*Q3635</f>
        <v>0</v>
      </c>
      <c r="S3635" s="519"/>
      <c r="T3635" s="760">
        <f>$A3635*S3635*$T$1</f>
        <v>0</v>
      </c>
      <c r="AR3635" s="758"/>
      <c r="AS3635" s="753"/>
    </row>
    <row r="3636" spans="1:45" s="520" customFormat="1" ht="12.6" thickBot="1">
      <c r="A3636" s="761" t="s">
        <v>145</v>
      </c>
      <c r="B3636" s="762">
        <f>(R3635+T3635)</f>
        <v>0</v>
      </c>
      <c r="C3636" s="763"/>
      <c r="D3636" s="763"/>
      <c r="E3636" s="763"/>
      <c r="F3636" s="764"/>
      <c r="G3636" s="763" t="s">
        <v>146</v>
      </c>
      <c r="H3636" s="763"/>
      <c r="I3636" s="765"/>
      <c r="J3636" s="763"/>
      <c r="K3636" s="763" t="s">
        <v>3</v>
      </c>
      <c r="L3636" s="766" t="s">
        <v>143</v>
      </c>
      <c r="M3636" s="766"/>
      <c r="N3636" s="766"/>
      <c r="O3636" s="766"/>
      <c r="P3636" s="766"/>
      <c r="Q3636" s="767"/>
      <c r="R3636" s="768">
        <f ca="1">SUM(R3631:R3635)</f>
        <v>289.88</v>
      </c>
      <c r="S3636" s="763"/>
      <c r="T3636" s="768">
        <f ca="1">SUM(T3631:T3635)</f>
        <v>12.692</v>
      </c>
      <c r="U3636" s="531"/>
      <c r="V3636" s="531"/>
      <c r="W3636" s="531"/>
      <c r="X3636" s="531"/>
      <c r="Y3636" s="531"/>
      <c r="Z3636" s="531"/>
      <c r="AA3636" s="531"/>
      <c r="AB3636" s="531"/>
      <c r="AC3636" s="531"/>
      <c r="AD3636" s="531"/>
      <c r="AE3636" s="531"/>
      <c r="AF3636" s="531"/>
      <c r="AG3636" s="531"/>
      <c r="AH3636" s="531"/>
      <c r="AI3636" s="531"/>
      <c r="AJ3636" s="531"/>
      <c r="AK3636" s="531"/>
      <c r="AL3636" s="531"/>
      <c r="AM3636" s="531"/>
      <c r="AN3636" s="531"/>
      <c r="AO3636" s="531"/>
      <c r="AR3636" s="761" t="s">
        <v>145</v>
      </c>
      <c r="AS3636" s="764"/>
    </row>
    <row r="3637" spans="1:45" s="520" customFormat="1" ht="12" thickTop="1">
      <c r="A3637" s="51"/>
      <c r="B3637" s="41"/>
      <c r="C3637" s="51"/>
      <c r="E3637" s="42" t="s">
        <v>138</v>
      </c>
      <c r="F3637" s="42" t="s">
        <v>139</v>
      </c>
      <c r="G3637" s="51"/>
      <c r="H3637" s="51"/>
      <c r="I3637" s="51"/>
      <c r="J3637" s="51"/>
      <c r="K3637" s="51" t="s">
        <v>140</v>
      </c>
      <c r="L3637" s="51"/>
      <c r="M3637" s="51"/>
      <c r="N3637" s="51"/>
      <c r="O3637" s="52"/>
      <c r="P3637" s="51"/>
      <c r="Q3637" s="51"/>
      <c r="R3637" s="51"/>
      <c r="S3637" s="51"/>
      <c r="T3637" s="41"/>
      <c r="AG3637" s="521" t="s">
        <v>268</v>
      </c>
      <c r="AH3637" s="521" t="s">
        <v>269</v>
      </c>
      <c r="AI3637" s="521" t="s">
        <v>270</v>
      </c>
      <c r="AJ3637" s="521" t="s">
        <v>271</v>
      </c>
      <c r="AK3637" s="521" t="s">
        <v>272</v>
      </c>
      <c r="AM3637" s="745" t="s">
        <v>281</v>
      </c>
      <c r="AN3637" s="746" t="s">
        <v>282</v>
      </c>
      <c r="AO3637" s="522" t="s">
        <v>278</v>
      </c>
      <c r="AR3637" s="51"/>
      <c r="AS3637" s="42" t="s">
        <v>139</v>
      </c>
    </row>
    <row r="3638" spans="1:45" s="520" customFormat="1" ht="12" customHeight="1">
      <c r="A3638" s="747">
        <v>2</v>
      </c>
      <c r="B3638" s="523" t="s">
        <v>141</v>
      </c>
      <c r="C3638" s="748"/>
      <c r="D3638" s="749" t="s">
        <v>1682</v>
      </c>
      <c r="E3638" s="750">
        <f ca="1">IF(AND($A3638=0,$A$1="DIF"),0, ROUND(ROUND(($R3644*$S$2+($T3644*$T$2))/A3638,2)*$C$2,2))</f>
        <v>759.48</v>
      </c>
      <c r="F3638" s="751">
        <f ca="1">ROUND($A3638*$E3638,2)</f>
        <v>1518.96</v>
      </c>
      <c r="G3638" s="752" t="s">
        <v>142</v>
      </c>
      <c r="H3638" s="753"/>
      <c r="I3638" s="754"/>
      <c r="J3638" s="753"/>
      <c r="K3638" s="753" t="s">
        <v>3</v>
      </c>
      <c r="L3638" s="755" t="s">
        <v>143</v>
      </c>
      <c r="M3638" s="755"/>
      <c r="N3638" s="755"/>
      <c r="O3638" s="755"/>
      <c r="P3638" s="755"/>
      <c r="Q3638" s="51"/>
      <c r="T3638" s="756" t="str">
        <f ca="1">IF(AND($R3644=0,$T3644=0),"0.00","mu :" &amp; ROUND($F3638/$C$2/($R3644+$T3644*$D$9),2))</f>
        <v>mu :1.23</v>
      </c>
      <c r="W3638" s="524"/>
      <c r="AG3638" s="481">
        <f ca="1">IF($E3638=0,0,ROUND($R3644*$S$2*$C$2/$A3638,2))</f>
        <v>585.58000000000004</v>
      </c>
      <c r="AH3638" s="481">
        <f ca="1">$AG3638*$A3638</f>
        <v>1171.1600000000001</v>
      </c>
      <c r="AI3638" s="525">
        <f ca="1">$E3638-$AG3638</f>
        <v>173.89999999999998</v>
      </c>
      <c r="AJ3638" s="525">
        <f ca="1">$A3638*$AI3638</f>
        <v>347.79999999999995</v>
      </c>
      <c r="AK3638" s="526">
        <f ca="1">ROUND(($AG3638+$AI3638)*$A3638,2)</f>
        <v>1518.96</v>
      </c>
      <c r="AM3638" s="527">
        <f ca="1">ROUND(R3644,2)</f>
        <v>951.12</v>
      </c>
      <c r="AN3638" s="528">
        <f ca="1">ROUND(T3644,2)</f>
        <v>10.29</v>
      </c>
      <c r="AO3638" s="529">
        <f ca="1">ROUND(AM3638+AN3638,2)*A3638</f>
        <v>1922.82</v>
      </c>
      <c r="AR3638" s="747">
        <v>2</v>
      </c>
      <c r="AS3638" s="751">
        <v>1598.86</v>
      </c>
    </row>
    <row r="3639" spans="1:45" s="520" customFormat="1" ht="13.2">
      <c r="A3639" s="748"/>
      <c r="B3639"/>
      <c r="C3639" s="748"/>
      <c r="D3639" s="749" t="s">
        <v>755</v>
      </c>
      <c r="F3639" s="753"/>
      <c r="G3639" s="3"/>
      <c r="H3639" s="753"/>
      <c r="I3639" s="754"/>
      <c r="J3639" s="753"/>
      <c r="K3639" s="753" t="s">
        <v>144</v>
      </c>
      <c r="L3639" s="753"/>
      <c r="M3639" s="753"/>
      <c r="N3639" s="753"/>
      <c r="O3639" s="753"/>
      <c r="P3639" s="753"/>
      <c r="Q3639" s="51"/>
      <c r="R3639" s="530"/>
      <c r="S3639" s="757"/>
      <c r="T3639" s="753"/>
      <c r="AR3639" s="748"/>
      <c r="AS3639" s="753"/>
    </row>
    <row r="3640" spans="1:45" s="886" customFormat="1" ht="13.2">
      <c r="A3640"/>
      <c r="B3640" s="910"/>
      <c r="C3640" s="910" t="s">
        <v>2597</v>
      </c>
      <c r="D3640" s="910" t="str">
        <f ca="1">CELL("Address",Elec_Rates!D$120)</f>
        <v>[E25_0062_Quintano_Foods_Elec_ELV_As_Awarded.xlsx]Elec_Rates!$D$120</v>
      </c>
      <c r="E3640" s="911"/>
      <c r="F3640" s="911"/>
      <c r="G3640" s="912" t="s">
        <v>2598</v>
      </c>
      <c r="H3640" s="912"/>
      <c r="I3640" s="912"/>
      <c r="J3640" s="912"/>
      <c r="K3640" s="913"/>
      <c r="L3640" s="911"/>
      <c r="M3640" s="911"/>
      <c r="N3640" s="911"/>
      <c r="O3640" s="914"/>
      <c r="P3640" s="911"/>
      <c r="Q3640" s="915"/>
      <c r="R3640" s="916"/>
      <c r="S3640" s="915"/>
      <c r="T3640" s="917"/>
      <c r="U3640" s="918"/>
      <c r="AR3640"/>
      <c r="AS3640" s="911"/>
    </row>
    <row r="3641" spans="1:45" s="886" customFormat="1" ht="11.4">
      <c r="A3641" s="919">
        <v>2</v>
      </c>
      <c r="B3641" s="920">
        <v>1</v>
      </c>
      <c r="C3641" s="920">
        <f>$A3641*$B3641</f>
        <v>2</v>
      </c>
      <c r="D3641" s="921" t="str">
        <f>Elec_Rates!$D$120</f>
        <v>010# Power points rate galvanised conduit (CWZ LSZH Cable)</v>
      </c>
      <c r="E3641" s="921"/>
      <c r="F3641" s="921" t="s">
        <v>2599</v>
      </c>
      <c r="G3641" s="922" t="s">
        <v>2601</v>
      </c>
      <c r="H3641" s="922"/>
      <c r="I3641" s="922"/>
      <c r="J3641" s="922"/>
      <c r="K3641" s="923"/>
      <c r="L3641" s="918"/>
      <c r="M3641" s="918"/>
      <c r="N3641" s="918"/>
      <c r="O3641" s="924"/>
      <c r="P3641" s="921"/>
      <c r="Q3641" s="925">
        <f ca="1">$B3641*Elec_Rates!$R$120</f>
        <v>467.96</v>
      </c>
      <c r="R3641" s="916">
        <f ca="1">$A3641*Q3641</f>
        <v>935.92</v>
      </c>
      <c r="S3641" s="925">
        <f ca="1">$B3641*Elec_Rates!$T$120</f>
        <v>4.99</v>
      </c>
      <c r="T3641" s="917">
        <f ca="1">$A3641*S3641</f>
        <v>9.98</v>
      </c>
      <c r="U3641" s="926"/>
      <c r="AR3641" s="919">
        <v>2</v>
      </c>
      <c r="AS3641" s="921" t="s">
        <v>2599</v>
      </c>
    </row>
    <row r="3642" spans="1:45" s="901" customFormat="1" ht="13.2">
      <c r="A3642" s="116">
        <v>2</v>
      </c>
      <c r="B3642" s="901" t="s">
        <v>141</v>
      </c>
      <c r="D3642" s="901" t="s">
        <v>2874</v>
      </c>
      <c r="E3642" s="901" t="s">
        <v>3424</v>
      </c>
      <c r="F3642" s="1054" t="s">
        <v>3431</v>
      </c>
      <c r="G3642" s="941" t="s">
        <v>2875</v>
      </c>
      <c r="H3642" s="942">
        <v>705</v>
      </c>
      <c r="I3642" s="901" t="s">
        <v>2872</v>
      </c>
      <c r="J3642" s="901" t="s">
        <v>2876</v>
      </c>
      <c r="O3642" s="943">
        <v>3</v>
      </c>
      <c r="P3642" s="944">
        <v>34700</v>
      </c>
      <c r="Q3642" s="945">
        <v>7.6</v>
      </c>
      <c r="R3642" s="946">
        <f>$A3642*Q3642</f>
        <v>15.2</v>
      </c>
      <c r="S3642" s="945">
        <v>0.17</v>
      </c>
      <c r="T3642" s="947">
        <f>$A3642*S3642*$T$1</f>
        <v>0.30600000000000005</v>
      </c>
      <c r="AR3642" s="116">
        <v>2</v>
      </c>
      <c r="AS3642" s="1054" t="s">
        <v>3431</v>
      </c>
    </row>
    <row r="3643" spans="1:45" s="520" customFormat="1" ht="12">
      <c r="A3643" s="758"/>
      <c r="B3643" s="758"/>
      <c r="C3643" s="758"/>
      <c r="D3643" s="758"/>
      <c r="E3643" s="758"/>
      <c r="F3643" s="753"/>
      <c r="G3643" s="758"/>
      <c r="H3643" s="758"/>
      <c r="I3643" s="519"/>
      <c r="J3643" s="758"/>
      <c r="K3643" s="758"/>
      <c r="L3643" s="758"/>
      <c r="M3643" s="758"/>
      <c r="N3643" s="758"/>
      <c r="O3643" s="758"/>
      <c r="P3643" s="758"/>
      <c r="Q3643" s="519"/>
      <c r="R3643" s="759">
        <f>$A3643*Q3643</f>
        <v>0</v>
      </c>
      <c r="S3643" s="519"/>
      <c r="T3643" s="760">
        <f>$A3643*S3643*$T$1</f>
        <v>0</v>
      </c>
      <c r="AR3643" s="758"/>
      <c r="AS3643" s="753"/>
    </row>
    <row r="3644" spans="1:45" s="520" customFormat="1" ht="12.6" thickBot="1">
      <c r="A3644" s="761" t="s">
        <v>145</v>
      </c>
      <c r="B3644" s="762">
        <f>(R3643+T3643)</f>
        <v>0</v>
      </c>
      <c r="C3644" s="763"/>
      <c r="D3644" s="763"/>
      <c r="E3644" s="763"/>
      <c r="F3644" s="764"/>
      <c r="G3644" s="763" t="s">
        <v>146</v>
      </c>
      <c r="H3644" s="763"/>
      <c r="I3644" s="765"/>
      <c r="J3644" s="763"/>
      <c r="K3644" s="763" t="s">
        <v>3</v>
      </c>
      <c r="L3644" s="766" t="s">
        <v>143</v>
      </c>
      <c r="M3644" s="766"/>
      <c r="N3644" s="766"/>
      <c r="O3644" s="766"/>
      <c r="P3644" s="766"/>
      <c r="Q3644" s="767"/>
      <c r="R3644" s="768">
        <f ca="1">SUM(R3639:R3643)</f>
        <v>951.12</v>
      </c>
      <c r="S3644" s="763"/>
      <c r="T3644" s="768">
        <f ca="1">SUM(T3639:T3643)</f>
        <v>10.286000000000001</v>
      </c>
      <c r="U3644" s="531"/>
      <c r="V3644" s="531"/>
      <c r="W3644" s="531"/>
      <c r="X3644" s="531"/>
      <c r="Y3644" s="531"/>
      <c r="Z3644" s="531"/>
      <c r="AA3644" s="531"/>
      <c r="AB3644" s="531"/>
      <c r="AC3644" s="531"/>
      <c r="AD3644" s="531"/>
      <c r="AE3644" s="531"/>
      <c r="AF3644" s="531"/>
      <c r="AG3644" s="531"/>
      <c r="AH3644" s="531"/>
      <c r="AI3644" s="531"/>
      <c r="AJ3644" s="531"/>
      <c r="AK3644" s="531"/>
      <c r="AL3644" s="531"/>
      <c r="AM3644" s="531"/>
      <c r="AN3644" s="531"/>
      <c r="AO3644" s="531"/>
      <c r="AR3644" s="761" t="s">
        <v>145</v>
      </c>
      <c r="AS3644" s="764"/>
    </row>
    <row r="3645" spans="1:45" s="520" customFormat="1" ht="12" thickTop="1">
      <c r="A3645" s="51"/>
      <c r="B3645" s="41"/>
      <c r="C3645" s="51"/>
      <c r="E3645" s="42" t="s">
        <v>138</v>
      </c>
      <c r="F3645" s="42" t="s">
        <v>139</v>
      </c>
      <c r="G3645" s="51"/>
      <c r="H3645" s="51"/>
      <c r="I3645" s="51"/>
      <c r="J3645" s="51"/>
      <c r="K3645" s="51" t="s">
        <v>140</v>
      </c>
      <c r="L3645" s="51"/>
      <c r="M3645" s="51"/>
      <c r="N3645" s="51"/>
      <c r="O3645" s="52"/>
      <c r="P3645" s="51"/>
      <c r="Q3645" s="51"/>
      <c r="R3645" s="51"/>
      <c r="S3645" s="51"/>
      <c r="T3645" s="41"/>
      <c r="AG3645" s="521" t="s">
        <v>268</v>
      </c>
      <c r="AH3645" s="521" t="s">
        <v>269</v>
      </c>
      <c r="AI3645" s="521" t="s">
        <v>270</v>
      </c>
      <c r="AJ3645" s="521" t="s">
        <v>271</v>
      </c>
      <c r="AK3645" s="521" t="s">
        <v>272</v>
      </c>
      <c r="AM3645" s="745" t="s">
        <v>281</v>
      </c>
      <c r="AN3645" s="746" t="s">
        <v>282</v>
      </c>
      <c r="AO3645" s="522" t="s">
        <v>278</v>
      </c>
      <c r="AR3645" s="51"/>
      <c r="AS3645" s="42" t="s">
        <v>139</v>
      </c>
    </row>
    <row r="3646" spans="1:45" s="520" customFormat="1" ht="12" customHeight="1">
      <c r="A3646" s="747">
        <v>1</v>
      </c>
      <c r="B3646" s="523" t="s">
        <v>141</v>
      </c>
      <c r="C3646" s="748"/>
      <c r="D3646" s="749" t="s">
        <v>1683</v>
      </c>
      <c r="E3646" s="750">
        <f ca="1">IF(AND($A3646=0,$A$1="DIF"),0, ROUND(ROUND(($R3652*$S$2+($T3652*$T$2))/A3646,2)*$C$2,2))</f>
        <v>757.77</v>
      </c>
      <c r="F3646" s="751">
        <f ca="1">ROUND($A3646*$E3646,2)</f>
        <v>757.77</v>
      </c>
      <c r="G3646" s="752" t="s">
        <v>142</v>
      </c>
      <c r="H3646" s="753"/>
      <c r="I3646" s="754"/>
      <c r="J3646" s="753"/>
      <c r="K3646" s="753" t="s">
        <v>3</v>
      </c>
      <c r="L3646" s="755" t="s">
        <v>143</v>
      </c>
      <c r="M3646" s="755"/>
      <c r="N3646" s="755"/>
      <c r="O3646" s="755"/>
      <c r="P3646" s="755"/>
      <c r="Q3646" s="51"/>
      <c r="T3646" s="756" t="str">
        <f ca="1">IF(AND($R3652=0,$T3652=0),"0.00","mu :" &amp; ROUND($F3646/$C$2/($R3652+$T3652*$D$9),2))</f>
        <v>mu :1.23</v>
      </c>
      <c r="W3646" s="524"/>
      <c r="AG3646" s="481">
        <f ca="1">IF($E3646=0,0,ROUND($R3652*$S$2*$C$2/$A3646,2))</f>
        <v>583.87</v>
      </c>
      <c r="AH3646" s="481">
        <f ca="1">$AG3646*$A3646</f>
        <v>583.87</v>
      </c>
      <c r="AI3646" s="525">
        <f ca="1">$E3646-$AG3646</f>
        <v>173.89999999999998</v>
      </c>
      <c r="AJ3646" s="525">
        <f ca="1">$A3646*$AI3646</f>
        <v>173.89999999999998</v>
      </c>
      <c r="AK3646" s="526">
        <f ca="1">ROUND(($AG3646+$AI3646)*$A3646,2)</f>
        <v>757.77</v>
      </c>
      <c r="AM3646" s="527">
        <f ca="1">ROUND(R3652,2)</f>
        <v>474.17</v>
      </c>
      <c r="AN3646" s="528">
        <f ca="1">ROUND(T3652,2)</f>
        <v>5.14</v>
      </c>
      <c r="AO3646" s="529">
        <f ca="1">ROUND(AM3646+AN3646,2)*A3646</f>
        <v>479.31</v>
      </c>
      <c r="AR3646" s="747">
        <v>1</v>
      </c>
      <c r="AS3646" s="751">
        <v>797.72</v>
      </c>
    </row>
    <row r="3647" spans="1:45" s="520" customFormat="1" ht="13.2">
      <c r="A3647" s="748"/>
      <c r="B3647"/>
      <c r="C3647" s="748"/>
      <c r="D3647" s="749" t="s">
        <v>815</v>
      </c>
      <c r="F3647" s="753"/>
      <c r="G3647" s="3"/>
      <c r="H3647" s="753"/>
      <c r="I3647" s="754"/>
      <c r="J3647" s="753"/>
      <c r="K3647" s="753" t="s">
        <v>144</v>
      </c>
      <c r="L3647" s="753"/>
      <c r="M3647" s="753"/>
      <c r="N3647" s="753"/>
      <c r="O3647" s="753"/>
      <c r="P3647" s="753"/>
      <c r="Q3647" s="51"/>
      <c r="R3647" s="530"/>
      <c r="S3647" s="757"/>
      <c r="T3647" s="753"/>
      <c r="AR3647" s="748"/>
      <c r="AS3647" s="753"/>
    </row>
    <row r="3648" spans="1:45" s="886" customFormat="1" ht="13.2">
      <c r="A3648"/>
      <c r="B3648" s="910"/>
      <c r="C3648" s="910" t="s">
        <v>2597</v>
      </c>
      <c r="D3648" s="910" t="str">
        <f ca="1">CELL("Address",Elec_Rates!D$120)</f>
        <v>[E25_0062_Quintano_Foods_Elec_ELV_As_Awarded.xlsx]Elec_Rates!$D$120</v>
      </c>
      <c r="E3648" s="911"/>
      <c r="F3648" s="911"/>
      <c r="G3648" s="912" t="s">
        <v>2598</v>
      </c>
      <c r="H3648" s="912"/>
      <c r="I3648" s="912"/>
      <c r="J3648" s="912"/>
      <c r="K3648" s="913"/>
      <c r="L3648" s="911"/>
      <c r="M3648" s="911"/>
      <c r="N3648" s="911"/>
      <c r="O3648" s="914"/>
      <c r="P3648" s="911"/>
      <c r="Q3648" s="915"/>
      <c r="R3648" s="916"/>
      <c r="S3648" s="915"/>
      <c r="T3648" s="917"/>
      <c r="U3648" s="918"/>
      <c r="AR3648"/>
      <c r="AS3648" s="911"/>
    </row>
    <row r="3649" spans="1:45" s="886" customFormat="1" ht="11.4">
      <c r="A3649" s="919">
        <v>1</v>
      </c>
      <c r="B3649" s="920">
        <v>1</v>
      </c>
      <c r="C3649" s="920">
        <f>$A3649*$B3649</f>
        <v>1</v>
      </c>
      <c r="D3649" s="921" t="str">
        <f>Elec_Rates!$D$120</f>
        <v>010# Power points rate galvanised conduit (CWZ LSZH Cable)</v>
      </c>
      <c r="E3649" s="921"/>
      <c r="F3649" s="921" t="s">
        <v>2599</v>
      </c>
      <c r="G3649" s="922" t="s">
        <v>2601</v>
      </c>
      <c r="H3649" s="922"/>
      <c r="I3649" s="922"/>
      <c r="J3649" s="922"/>
      <c r="K3649" s="923"/>
      <c r="L3649" s="918"/>
      <c r="M3649" s="918"/>
      <c r="N3649" s="918"/>
      <c r="O3649" s="924"/>
      <c r="P3649" s="921"/>
      <c r="Q3649" s="925">
        <f ca="1">$B3649*Elec_Rates!$R$120</f>
        <v>467.96</v>
      </c>
      <c r="R3649" s="916">
        <f ca="1">$A3649*Q3649</f>
        <v>467.96</v>
      </c>
      <c r="S3649" s="925">
        <f ca="1">$B3649*Elec_Rates!$T$120</f>
        <v>4.99</v>
      </c>
      <c r="T3649" s="917">
        <f ca="1">$A3649*S3649</f>
        <v>4.99</v>
      </c>
      <c r="U3649" s="926"/>
      <c r="AR3649" s="919">
        <v>1</v>
      </c>
      <c r="AS3649" s="921" t="s">
        <v>2599</v>
      </c>
    </row>
    <row r="3650" spans="1:45" s="901" customFormat="1" ht="13.2">
      <c r="A3650">
        <v>1</v>
      </c>
      <c r="B3650" s="901" t="s">
        <v>141</v>
      </c>
      <c r="D3650" s="901" t="s">
        <v>2987</v>
      </c>
      <c r="E3650" s="901" t="s">
        <v>3424</v>
      </c>
      <c r="F3650" s="1054" t="s">
        <v>3432</v>
      </c>
      <c r="G3650" s="941" t="s">
        <v>2988</v>
      </c>
      <c r="H3650" s="942">
        <v>705</v>
      </c>
      <c r="I3650" s="901" t="s">
        <v>2607</v>
      </c>
      <c r="O3650" s="943">
        <v>3</v>
      </c>
      <c r="P3650" s="944"/>
      <c r="Q3650" s="945">
        <v>6.21</v>
      </c>
      <c r="R3650" s="946">
        <f>$A3650*Q3650</f>
        <v>6.21</v>
      </c>
      <c r="S3650" s="945">
        <v>0.17</v>
      </c>
      <c r="T3650" s="947">
        <f>$A3650*S3650*$T$1</f>
        <v>0.15300000000000002</v>
      </c>
      <c r="AR3650">
        <v>1</v>
      </c>
      <c r="AS3650" s="1054" t="s">
        <v>3432</v>
      </c>
    </row>
    <row r="3651" spans="1:45" s="520" customFormat="1" ht="12">
      <c r="A3651" s="758"/>
      <c r="B3651" s="758"/>
      <c r="C3651" s="758"/>
      <c r="D3651" s="758"/>
      <c r="E3651" s="758"/>
      <c r="F3651" s="753"/>
      <c r="G3651" s="758"/>
      <c r="H3651" s="758"/>
      <c r="I3651" s="519"/>
      <c r="J3651" s="758"/>
      <c r="K3651" s="758"/>
      <c r="L3651" s="758"/>
      <c r="M3651" s="758"/>
      <c r="N3651" s="758"/>
      <c r="O3651" s="758"/>
      <c r="P3651" s="758"/>
      <c r="Q3651" s="519"/>
      <c r="R3651" s="759">
        <f>$A3651*Q3651</f>
        <v>0</v>
      </c>
      <c r="S3651" s="519"/>
      <c r="T3651" s="760">
        <f>$A3651*S3651*$T$1</f>
        <v>0</v>
      </c>
      <c r="AR3651" s="758"/>
      <c r="AS3651" s="753"/>
    </row>
    <row r="3652" spans="1:45" s="520" customFormat="1" ht="12.6" thickBot="1">
      <c r="A3652" s="761" t="s">
        <v>145</v>
      </c>
      <c r="B3652" s="762">
        <f>(R3651+T3651)</f>
        <v>0</v>
      </c>
      <c r="C3652" s="763"/>
      <c r="D3652" s="763"/>
      <c r="E3652" s="763"/>
      <c r="F3652" s="764"/>
      <c r="G3652" s="763" t="s">
        <v>146</v>
      </c>
      <c r="H3652" s="763"/>
      <c r="I3652" s="765"/>
      <c r="J3652" s="763"/>
      <c r="K3652" s="763" t="s">
        <v>3</v>
      </c>
      <c r="L3652" s="766" t="s">
        <v>143</v>
      </c>
      <c r="M3652" s="766"/>
      <c r="N3652" s="766"/>
      <c r="O3652" s="766"/>
      <c r="P3652" s="766"/>
      <c r="Q3652" s="767"/>
      <c r="R3652" s="768">
        <f ca="1">SUM(R3647:R3651)</f>
        <v>474.16999999999996</v>
      </c>
      <c r="S3652" s="763"/>
      <c r="T3652" s="768">
        <f ca="1">SUM(T3647:T3651)</f>
        <v>5.1430000000000007</v>
      </c>
      <c r="U3652" s="531"/>
      <c r="V3652" s="531"/>
      <c r="W3652" s="531"/>
      <c r="X3652" s="531"/>
      <c r="Y3652" s="531"/>
      <c r="Z3652" s="531"/>
      <c r="AA3652" s="531"/>
      <c r="AB3652" s="531"/>
      <c r="AC3652" s="531"/>
      <c r="AD3652" s="531"/>
      <c r="AE3652" s="531"/>
      <c r="AF3652" s="531"/>
      <c r="AG3652" s="531"/>
      <c r="AH3652" s="531"/>
      <c r="AI3652" s="531"/>
      <c r="AJ3652" s="531"/>
      <c r="AK3652" s="531"/>
      <c r="AL3652" s="531"/>
      <c r="AM3652" s="531"/>
      <c r="AN3652" s="531"/>
      <c r="AO3652" s="531"/>
      <c r="AR3652" s="761" t="s">
        <v>145</v>
      </c>
      <c r="AS3652" s="764"/>
    </row>
    <row r="3653" spans="1:45" s="520" customFormat="1" ht="12" thickTop="1">
      <c r="A3653" s="51"/>
      <c r="B3653" s="41"/>
      <c r="C3653" s="51"/>
      <c r="E3653" s="42" t="s">
        <v>138</v>
      </c>
      <c r="F3653" s="42" t="s">
        <v>139</v>
      </c>
      <c r="G3653" s="51"/>
      <c r="H3653" s="51"/>
      <c r="I3653" s="51"/>
      <c r="J3653" s="51"/>
      <c r="K3653" s="51" t="s">
        <v>140</v>
      </c>
      <c r="L3653" s="51"/>
      <c r="M3653" s="51"/>
      <c r="N3653" s="51"/>
      <c r="O3653" s="52"/>
      <c r="P3653" s="51"/>
      <c r="Q3653" s="51"/>
      <c r="R3653" s="51"/>
      <c r="S3653" s="51"/>
      <c r="T3653" s="41"/>
      <c r="AG3653" s="521" t="s">
        <v>268</v>
      </c>
      <c r="AH3653" s="521" t="s">
        <v>269</v>
      </c>
      <c r="AI3653" s="521" t="s">
        <v>270</v>
      </c>
      <c r="AJ3653" s="521" t="s">
        <v>271</v>
      </c>
      <c r="AK3653" s="521" t="s">
        <v>272</v>
      </c>
      <c r="AM3653" s="745" t="s">
        <v>281</v>
      </c>
      <c r="AN3653" s="746" t="s">
        <v>282</v>
      </c>
      <c r="AO3653" s="522" t="s">
        <v>278</v>
      </c>
      <c r="AR3653" s="51"/>
      <c r="AS3653" s="42" t="s">
        <v>139</v>
      </c>
    </row>
    <row r="3654" spans="1:45" s="520" customFormat="1" ht="12" customHeight="1">
      <c r="A3654" s="747">
        <v>1</v>
      </c>
      <c r="B3654" s="523" t="s">
        <v>141</v>
      </c>
      <c r="C3654" s="748"/>
      <c r="D3654" s="749" t="s">
        <v>1684</v>
      </c>
      <c r="E3654" s="750">
        <f ca="1">IF(AND($A3654=0,$A$1="DIF"),0, ROUND(ROUND(($R3659*$S$2+($T3659*$T$2))/A3654,2)*$C$2,2))</f>
        <v>208.63</v>
      </c>
      <c r="F3654" s="751">
        <f ca="1">ROUND($A3654*$E3654,2)</f>
        <v>208.63</v>
      </c>
      <c r="G3654" s="752" t="s">
        <v>142</v>
      </c>
      <c r="H3654" s="753"/>
      <c r="I3654" s="754"/>
      <c r="J3654" s="753"/>
      <c r="K3654" s="753" t="s">
        <v>3</v>
      </c>
      <c r="L3654" s="755" t="s">
        <v>143</v>
      </c>
      <c r="M3654" s="755"/>
      <c r="N3654" s="755"/>
      <c r="O3654" s="755"/>
      <c r="P3654" s="755"/>
      <c r="Q3654" s="51"/>
      <c r="T3654" s="756" t="str">
        <f ca="1">IF(AND($R3659=0,$T3659=0),"0.00","mu :" &amp; ROUND($F3654/$C$2/($R3659+$T3659*$D$9),2))</f>
        <v>mu :1.23</v>
      </c>
      <c r="W3654" s="524"/>
      <c r="AG3654" s="481">
        <f ca="1">IF($E3654=0,0,ROUND($R3659*$S$2*$C$2/$A3654,2))</f>
        <v>91.64</v>
      </c>
      <c r="AH3654" s="481">
        <f ca="1">$AG3654*$A3654</f>
        <v>91.64</v>
      </c>
      <c r="AI3654" s="525">
        <f ca="1">$E3654-$AG3654</f>
        <v>116.99</v>
      </c>
      <c r="AJ3654" s="525">
        <f ca="1">$A3654*$AI3654</f>
        <v>116.99</v>
      </c>
      <c r="AK3654" s="526">
        <f ca="1">ROUND(($AG3654+$AI3654)*$A3654,2)</f>
        <v>208.63</v>
      </c>
      <c r="AM3654" s="527">
        <f ca="1">ROUND(R3659,2)</f>
        <v>74.42</v>
      </c>
      <c r="AN3654" s="528">
        <f ca="1">ROUND(T3659,2)</f>
        <v>3.46</v>
      </c>
      <c r="AO3654" s="529">
        <f ca="1">ROUND(AM3654+AN3654,2)*A3654</f>
        <v>77.88</v>
      </c>
      <c r="AR3654" s="747">
        <v>1</v>
      </c>
      <c r="AS3654" s="751">
        <v>221.48</v>
      </c>
    </row>
    <row r="3655" spans="1:45" s="520" customFormat="1" ht="13.2">
      <c r="A3655" s="748"/>
      <c r="B3655"/>
      <c r="C3655" s="748"/>
      <c r="D3655" s="749" t="s">
        <v>756</v>
      </c>
      <c r="F3655" s="753"/>
      <c r="G3655" s="3"/>
      <c r="H3655" s="753"/>
      <c r="I3655" s="754"/>
      <c r="J3655" s="753"/>
      <c r="K3655" s="753" t="s">
        <v>144</v>
      </c>
      <c r="L3655" s="753"/>
      <c r="M3655" s="753"/>
      <c r="N3655" s="753"/>
      <c r="O3655" s="753"/>
      <c r="P3655" s="753"/>
      <c r="Q3655" s="51"/>
      <c r="R3655" s="530"/>
      <c r="S3655" s="757"/>
      <c r="T3655" s="753"/>
      <c r="AR3655" s="748"/>
      <c r="AS3655" s="753"/>
    </row>
    <row r="3656" spans="1:45" s="886" customFormat="1" ht="13.2">
      <c r="A3656"/>
      <c r="B3656" s="910"/>
      <c r="C3656" s="910" t="s">
        <v>2597</v>
      </c>
      <c r="D3656" s="910" t="str">
        <f ca="1">CELL("Address",Elec_Rates!D$134)</f>
        <v>[E25_0062_Quintano_Foods_Elec_ELV_As_Awarded.xlsx]Elec_Rates!$D$134</v>
      </c>
      <c r="E3656" s="911"/>
      <c r="F3656" s="911"/>
      <c r="G3656" s="912" t="s">
        <v>2598</v>
      </c>
      <c r="H3656" s="912"/>
      <c r="I3656" s="912"/>
      <c r="J3656" s="912"/>
      <c r="K3656" s="913"/>
      <c r="L3656" s="911"/>
      <c r="M3656" s="911"/>
      <c r="N3656" s="911"/>
      <c r="O3656" s="914"/>
      <c r="P3656" s="911"/>
      <c r="Q3656" s="915"/>
      <c r="R3656" s="916"/>
      <c r="S3656" s="915"/>
      <c r="T3656" s="917"/>
      <c r="U3656" s="918"/>
      <c r="AR3656"/>
      <c r="AS3656" s="911"/>
    </row>
    <row r="3657" spans="1:45" s="886" customFormat="1" ht="11.4">
      <c r="A3657" s="919">
        <v>1</v>
      </c>
      <c r="B3657" s="920">
        <v>1</v>
      </c>
      <c r="C3657" s="920">
        <f>$A3657*$B3657</f>
        <v>1</v>
      </c>
      <c r="D3657" s="921" t="str">
        <f>Elec_Rates!$D$134</f>
        <v>012# Single phase isolator / socket outlet point Galvanised conduit</v>
      </c>
      <c r="E3657" s="921"/>
      <c r="F3657" s="921" t="s">
        <v>2599</v>
      </c>
      <c r="G3657" s="922" t="s">
        <v>2600</v>
      </c>
      <c r="H3657" s="922"/>
      <c r="I3657" s="922"/>
      <c r="J3657" s="922"/>
      <c r="K3657" s="923"/>
      <c r="L3657" s="918"/>
      <c r="M3657" s="918"/>
      <c r="N3657" s="918"/>
      <c r="O3657" s="924"/>
      <c r="P3657" s="921"/>
      <c r="Q3657" s="925">
        <f ca="1">$B3657*Elec_Rates!$R$134</f>
        <v>74.42</v>
      </c>
      <c r="R3657" s="916">
        <f ca="1">$A3657*Q3657</f>
        <v>74.42</v>
      </c>
      <c r="S3657" s="925">
        <f ca="1">$B3657*Elec_Rates!$T$134</f>
        <v>3.46</v>
      </c>
      <c r="T3657" s="917">
        <f ca="1">$A3657*S3657</f>
        <v>3.46</v>
      </c>
      <c r="U3657" s="926"/>
      <c r="AR3657" s="919">
        <v>1</v>
      </c>
      <c r="AS3657" s="921" t="s">
        <v>2599</v>
      </c>
    </row>
    <row r="3658" spans="1:45" s="520" customFormat="1" ht="12">
      <c r="A3658" s="758"/>
      <c r="B3658" s="758"/>
      <c r="C3658" s="758"/>
      <c r="D3658" s="758"/>
      <c r="E3658" s="758"/>
      <c r="F3658" s="753"/>
      <c r="G3658" s="758"/>
      <c r="H3658" s="758"/>
      <c r="I3658" s="519"/>
      <c r="J3658" s="758"/>
      <c r="K3658" s="758"/>
      <c r="L3658" s="758"/>
      <c r="M3658" s="758"/>
      <c r="N3658" s="758"/>
      <c r="O3658" s="758"/>
      <c r="P3658" s="758"/>
      <c r="Q3658" s="519"/>
      <c r="R3658" s="759">
        <f>$A3658*Q3658</f>
        <v>0</v>
      </c>
      <c r="S3658" s="519"/>
      <c r="T3658" s="760">
        <f>$A3658*S3658*$T$1</f>
        <v>0</v>
      </c>
      <c r="AR3658" s="758"/>
      <c r="AS3658" s="753"/>
    </row>
    <row r="3659" spans="1:45" s="520" customFormat="1" ht="12.6" thickBot="1">
      <c r="A3659" s="761" t="s">
        <v>145</v>
      </c>
      <c r="B3659" s="762">
        <f>(R3658+T3658)</f>
        <v>0</v>
      </c>
      <c r="C3659" s="763"/>
      <c r="D3659" s="763"/>
      <c r="E3659" s="763"/>
      <c r="F3659" s="764"/>
      <c r="G3659" s="763" t="s">
        <v>146</v>
      </c>
      <c r="H3659" s="763"/>
      <c r="I3659" s="765"/>
      <c r="J3659" s="763"/>
      <c r="K3659" s="763" t="s">
        <v>3</v>
      </c>
      <c r="L3659" s="766" t="s">
        <v>143</v>
      </c>
      <c r="M3659" s="766"/>
      <c r="N3659" s="766"/>
      <c r="O3659" s="766"/>
      <c r="P3659" s="766"/>
      <c r="Q3659" s="767"/>
      <c r="R3659" s="768">
        <f ca="1">SUM(R3655:R3658)</f>
        <v>74.42</v>
      </c>
      <c r="S3659" s="763"/>
      <c r="T3659" s="768">
        <f ca="1">SUM(T3655:T3658)</f>
        <v>3.46</v>
      </c>
      <c r="U3659" s="531"/>
      <c r="V3659" s="531"/>
      <c r="W3659" s="531"/>
      <c r="X3659" s="531"/>
      <c r="Y3659" s="531"/>
      <c r="Z3659" s="531"/>
      <c r="AA3659" s="531"/>
      <c r="AB3659" s="531"/>
      <c r="AC3659" s="531"/>
      <c r="AD3659" s="531"/>
      <c r="AE3659" s="531"/>
      <c r="AF3659" s="531"/>
      <c r="AG3659" s="531"/>
      <c r="AH3659" s="531"/>
      <c r="AI3659" s="531"/>
      <c r="AJ3659" s="531"/>
      <c r="AK3659" s="531"/>
      <c r="AL3659" s="531"/>
      <c r="AM3659" s="531"/>
      <c r="AN3659" s="531"/>
      <c r="AO3659" s="531"/>
      <c r="AR3659" s="761" t="s">
        <v>145</v>
      </c>
      <c r="AS3659" s="764"/>
    </row>
    <row r="3660" spans="1:45" s="520" customFormat="1" ht="12" thickTop="1">
      <c r="A3660" s="51"/>
      <c r="B3660" s="41"/>
      <c r="C3660" s="51"/>
      <c r="E3660" s="42" t="s">
        <v>138</v>
      </c>
      <c r="F3660" s="42" t="s">
        <v>139</v>
      </c>
      <c r="G3660" s="51"/>
      <c r="H3660" s="51"/>
      <c r="I3660" s="51"/>
      <c r="J3660" s="51"/>
      <c r="K3660" s="51" t="s">
        <v>140</v>
      </c>
      <c r="L3660" s="51"/>
      <c r="M3660" s="51"/>
      <c r="N3660" s="51"/>
      <c r="O3660" s="52"/>
      <c r="P3660" s="51"/>
      <c r="Q3660" s="51"/>
      <c r="R3660" s="51"/>
      <c r="S3660" s="51"/>
      <c r="T3660" s="41"/>
      <c r="AG3660" s="521" t="s">
        <v>268</v>
      </c>
      <c r="AH3660" s="521" t="s">
        <v>269</v>
      </c>
      <c r="AI3660" s="521" t="s">
        <v>270</v>
      </c>
      <c r="AJ3660" s="521" t="s">
        <v>271</v>
      </c>
      <c r="AK3660" s="521" t="s">
        <v>272</v>
      </c>
      <c r="AM3660" s="745" t="s">
        <v>281</v>
      </c>
      <c r="AN3660" s="746" t="s">
        <v>282</v>
      </c>
      <c r="AO3660" s="522" t="s">
        <v>278</v>
      </c>
      <c r="AR3660" s="51"/>
      <c r="AS3660" s="42" t="s">
        <v>139</v>
      </c>
    </row>
    <row r="3661" spans="1:45" s="520" customFormat="1" ht="12" customHeight="1">
      <c r="A3661" s="747">
        <v>6</v>
      </c>
      <c r="B3661" s="523" t="s">
        <v>141</v>
      </c>
      <c r="C3661" s="748"/>
      <c r="D3661" s="749" t="s">
        <v>1685</v>
      </c>
      <c r="E3661" s="750">
        <f ca="1">IF(AND($A3661=0,$A$1="DIF"),0, ROUND(ROUND(($R3666*$S$2+($T3666*$T$2))/A3661,2)*$C$2,2))</f>
        <v>208.63</v>
      </c>
      <c r="F3661" s="751">
        <f ca="1">ROUND($A3661*$E3661,2)</f>
        <v>1251.78</v>
      </c>
      <c r="G3661" s="752" t="s">
        <v>142</v>
      </c>
      <c r="H3661" s="753"/>
      <c r="I3661" s="754"/>
      <c r="J3661" s="753"/>
      <c r="K3661" s="753" t="s">
        <v>3</v>
      </c>
      <c r="L3661" s="755" t="s">
        <v>143</v>
      </c>
      <c r="M3661" s="755"/>
      <c r="N3661" s="755"/>
      <c r="O3661" s="755"/>
      <c r="P3661" s="755"/>
      <c r="Q3661" s="51"/>
      <c r="T3661" s="756" t="str">
        <f ca="1">IF(AND($R3666=0,$T3666=0),"0.00","mu :" &amp; ROUND($F3661/$C$2/($R3666+$T3666*$D$9),2))</f>
        <v>mu :1.23</v>
      </c>
      <c r="W3661" s="524"/>
      <c r="AG3661" s="481">
        <f ca="1">IF($E3661=0,0,ROUND($R3666*$S$2*$C$2/$A3661,2))</f>
        <v>91.64</v>
      </c>
      <c r="AH3661" s="481">
        <f ca="1">$AG3661*$A3661</f>
        <v>549.84</v>
      </c>
      <c r="AI3661" s="525">
        <f ca="1">$E3661-$AG3661</f>
        <v>116.99</v>
      </c>
      <c r="AJ3661" s="525">
        <f ca="1">$A3661*$AI3661</f>
        <v>701.93999999999994</v>
      </c>
      <c r="AK3661" s="526">
        <f ca="1">ROUND(($AG3661+$AI3661)*$A3661,2)</f>
        <v>1251.78</v>
      </c>
      <c r="AM3661" s="527">
        <f ca="1">ROUND(R3666,2)</f>
        <v>446.52</v>
      </c>
      <c r="AN3661" s="528">
        <f ca="1">ROUND(T3666,2)</f>
        <v>20.76</v>
      </c>
      <c r="AO3661" s="529">
        <f ca="1">ROUND(AM3661+AN3661,2)*A3661</f>
        <v>2803.68</v>
      </c>
      <c r="AR3661" s="747">
        <v>6</v>
      </c>
      <c r="AS3661" s="751">
        <v>1328.88</v>
      </c>
    </row>
    <row r="3662" spans="1:45" s="520" customFormat="1" ht="13.2">
      <c r="A3662" s="748"/>
      <c r="B3662"/>
      <c r="C3662" s="748"/>
      <c r="D3662" s="749" t="s">
        <v>757</v>
      </c>
      <c r="F3662" s="753"/>
      <c r="G3662" s="3"/>
      <c r="H3662" s="753"/>
      <c r="I3662" s="754"/>
      <c r="J3662" s="753"/>
      <c r="K3662" s="753" t="s">
        <v>144</v>
      </c>
      <c r="L3662" s="753"/>
      <c r="M3662" s="753"/>
      <c r="N3662" s="753"/>
      <c r="O3662" s="753"/>
      <c r="P3662" s="753"/>
      <c r="Q3662" s="51"/>
      <c r="R3662" s="530"/>
      <c r="S3662" s="757"/>
      <c r="T3662" s="753"/>
      <c r="AR3662" s="748"/>
      <c r="AS3662" s="753"/>
    </row>
    <row r="3663" spans="1:45" s="886" customFormat="1" ht="13.2">
      <c r="A3663"/>
      <c r="B3663" s="910"/>
      <c r="C3663" s="910" t="s">
        <v>2597</v>
      </c>
      <c r="D3663" s="910" t="str">
        <f ca="1">CELL("Address",Elec_Rates!D$134)</f>
        <v>[E25_0062_Quintano_Foods_Elec_ELV_As_Awarded.xlsx]Elec_Rates!$D$134</v>
      </c>
      <c r="E3663" s="911"/>
      <c r="F3663" s="911"/>
      <c r="G3663" s="912" t="s">
        <v>2598</v>
      </c>
      <c r="H3663" s="912"/>
      <c r="I3663" s="912"/>
      <c r="J3663" s="912"/>
      <c r="K3663" s="913"/>
      <c r="L3663" s="911"/>
      <c r="M3663" s="911"/>
      <c r="N3663" s="911"/>
      <c r="O3663" s="914"/>
      <c r="P3663" s="911"/>
      <c r="Q3663" s="915"/>
      <c r="R3663" s="916"/>
      <c r="S3663" s="915"/>
      <c r="T3663" s="917"/>
      <c r="U3663" s="918"/>
      <c r="AR3663"/>
      <c r="AS3663" s="911"/>
    </row>
    <row r="3664" spans="1:45" s="886" customFormat="1" ht="11.4">
      <c r="A3664" s="919">
        <v>6</v>
      </c>
      <c r="B3664" s="920">
        <v>1</v>
      </c>
      <c r="C3664" s="920">
        <f>$A3664*$B3664</f>
        <v>6</v>
      </c>
      <c r="D3664" s="921" t="str">
        <f>Elec_Rates!$D$134</f>
        <v>012# Single phase isolator / socket outlet point Galvanised conduit</v>
      </c>
      <c r="E3664" s="921"/>
      <c r="F3664" s="921" t="s">
        <v>2599</v>
      </c>
      <c r="G3664" s="922" t="s">
        <v>2600</v>
      </c>
      <c r="H3664" s="922"/>
      <c r="I3664" s="922"/>
      <c r="J3664" s="922"/>
      <c r="K3664" s="923"/>
      <c r="L3664" s="918"/>
      <c r="M3664" s="918"/>
      <c r="N3664" s="918"/>
      <c r="O3664" s="924"/>
      <c r="P3664" s="921"/>
      <c r="Q3664" s="925">
        <f ca="1">$B3664*Elec_Rates!$R$134</f>
        <v>74.42</v>
      </c>
      <c r="R3664" s="916">
        <f ca="1">$A3664*Q3664</f>
        <v>446.52</v>
      </c>
      <c r="S3664" s="925">
        <f ca="1">$B3664*Elec_Rates!$T$134</f>
        <v>3.46</v>
      </c>
      <c r="T3664" s="917">
        <f ca="1">$A3664*S3664</f>
        <v>20.759999999999998</v>
      </c>
      <c r="U3664" s="926"/>
      <c r="AR3664" s="919">
        <v>6</v>
      </c>
      <c r="AS3664" s="921" t="s">
        <v>2599</v>
      </c>
    </row>
    <row r="3665" spans="1:45" s="520" customFormat="1" ht="12">
      <c r="A3665" s="758"/>
      <c r="B3665" s="758"/>
      <c r="C3665" s="758"/>
      <c r="D3665" s="758"/>
      <c r="E3665" s="758"/>
      <c r="F3665" s="753"/>
      <c r="G3665" s="758"/>
      <c r="H3665" s="758"/>
      <c r="I3665" s="519"/>
      <c r="J3665" s="758"/>
      <c r="K3665" s="758"/>
      <c r="L3665" s="758"/>
      <c r="M3665" s="758"/>
      <c r="N3665" s="758"/>
      <c r="O3665" s="758"/>
      <c r="P3665" s="758"/>
      <c r="Q3665" s="519"/>
      <c r="R3665" s="759">
        <f>$A3665*Q3665</f>
        <v>0</v>
      </c>
      <c r="S3665" s="519"/>
      <c r="T3665" s="760">
        <f>$A3665*S3665*$T$1</f>
        <v>0</v>
      </c>
      <c r="AR3665" s="758"/>
      <c r="AS3665" s="753"/>
    </row>
    <row r="3666" spans="1:45" s="520" customFormat="1" ht="12.6" thickBot="1">
      <c r="A3666" s="761" t="s">
        <v>145</v>
      </c>
      <c r="B3666" s="762">
        <f>(R3665+T3665)</f>
        <v>0</v>
      </c>
      <c r="C3666" s="763"/>
      <c r="D3666" s="763"/>
      <c r="E3666" s="763"/>
      <c r="F3666" s="764"/>
      <c r="G3666" s="763" t="s">
        <v>146</v>
      </c>
      <c r="H3666" s="763"/>
      <c r="I3666" s="765"/>
      <c r="J3666" s="763"/>
      <c r="K3666" s="763" t="s">
        <v>3</v>
      </c>
      <c r="L3666" s="766" t="s">
        <v>143</v>
      </c>
      <c r="M3666" s="766"/>
      <c r="N3666" s="766"/>
      <c r="O3666" s="766"/>
      <c r="P3666" s="766"/>
      <c r="Q3666" s="767"/>
      <c r="R3666" s="768">
        <f ca="1">SUM(R3662:R3665)</f>
        <v>446.52</v>
      </c>
      <c r="S3666" s="763"/>
      <c r="T3666" s="768">
        <f ca="1">SUM(T3662:T3665)</f>
        <v>20.759999999999998</v>
      </c>
      <c r="U3666" s="531"/>
      <c r="V3666" s="531"/>
      <c r="W3666" s="531"/>
      <c r="X3666" s="531"/>
      <c r="Y3666" s="531"/>
      <c r="Z3666" s="531"/>
      <c r="AA3666" s="531"/>
      <c r="AB3666" s="531"/>
      <c r="AC3666" s="531"/>
      <c r="AD3666" s="531"/>
      <c r="AE3666" s="531"/>
      <c r="AF3666" s="531"/>
      <c r="AG3666" s="531"/>
      <c r="AH3666" s="531"/>
      <c r="AI3666" s="531"/>
      <c r="AJ3666" s="531"/>
      <c r="AK3666" s="531"/>
      <c r="AL3666" s="531"/>
      <c r="AM3666" s="531"/>
      <c r="AN3666" s="531"/>
      <c r="AO3666" s="531"/>
      <c r="AR3666" s="761" t="s">
        <v>145</v>
      </c>
      <c r="AS3666" s="764"/>
    </row>
    <row r="3667" spans="1:45" s="520" customFormat="1" ht="12" thickTop="1">
      <c r="A3667" s="51"/>
      <c r="B3667" s="41"/>
      <c r="C3667" s="51"/>
      <c r="E3667" s="42" t="s">
        <v>138</v>
      </c>
      <c r="F3667" s="42" t="s">
        <v>139</v>
      </c>
      <c r="G3667" s="51"/>
      <c r="H3667" s="51"/>
      <c r="I3667" s="51"/>
      <c r="J3667" s="51"/>
      <c r="K3667" s="51" t="s">
        <v>140</v>
      </c>
      <c r="L3667" s="51"/>
      <c r="M3667" s="51"/>
      <c r="N3667" s="51"/>
      <c r="O3667" s="52"/>
      <c r="P3667" s="51"/>
      <c r="Q3667" s="51"/>
      <c r="R3667" s="51"/>
      <c r="S3667" s="51"/>
      <c r="T3667" s="41"/>
      <c r="AG3667" s="521" t="s">
        <v>268</v>
      </c>
      <c r="AH3667" s="521" t="s">
        <v>269</v>
      </c>
      <c r="AI3667" s="521" t="s">
        <v>270</v>
      </c>
      <c r="AJ3667" s="521" t="s">
        <v>271</v>
      </c>
      <c r="AK3667" s="521" t="s">
        <v>272</v>
      </c>
      <c r="AM3667" s="745" t="s">
        <v>281</v>
      </c>
      <c r="AN3667" s="746" t="s">
        <v>282</v>
      </c>
      <c r="AO3667" s="522" t="s">
        <v>278</v>
      </c>
      <c r="AR3667" s="51"/>
      <c r="AS3667" s="42" t="s">
        <v>139</v>
      </c>
    </row>
    <row r="3668" spans="1:45" s="520" customFormat="1" ht="12" customHeight="1">
      <c r="A3668" s="747">
        <v>2</v>
      </c>
      <c r="B3668" s="523" t="s">
        <v>141</v>
      </c>
      <c r="C3668" s="748"/>
      <c r="D3668" s="749" t="s">
        <v>1686</v>
      </c>
      <c r="E3668" s="750">
        <f ca="1">IF(AND($A3668=0,$A$1="DIF"),0, ROUND(ROUND(($R3673*$S$2+($T3673*$T$2))/A3668,2)*$C$2,2))</f>
        <v>553.54</v>
      </c>
      <c r="F3668" s="751">
        <f ca="1">ROUND($A3668*$E3668,2)</f>
        <v>1107.08</v>
      </c>
      <c r="G3668" s="752" t="s">
        <v>142</v>
      </c>
      <c r="H3668" s="753"/>
      <c r="I3668" s="754"/>
      <c r="J3668" s="753"/>
      <c r="K3668" s="753" t="s">
        <v>3</v>
      </c>
      <c r="L3668" s="755" t="s">
        <v>143</v>
      </c>
      <c r="M3668" s="755"/>
      <c r="N3668" s="755"/>
      <c r="O3668" s="755"/>
      <c r="P3668" s="755"/>
      <c r="Q3668" s="51"/>
      <c r="T3668" s="756" t="str">
        <f ca="1">IF(AND($R3673=0,$T3673=0),"0.00","mu :" &amp; ROUND($F3668/$C$2/($R3673+$T3673*$D$9),2))</f>
        <v>mu :1.23</v>
      </c>
      <c r="W3668" s="524"/>
      <c r="AG3668" s="481">
        <f ca="1">IF($E3668=0,0,ROUND($R3673*$S$2*$C$2/$A3668,2))</f>
        <v>200.88</v>
      </c>
      <c r="AH3668" s="481">
        <f ca="1">$AG3668*$A3668</f>
        <v>401.76</v>
      </c>
      <c r="AI3668" s="525">
        <f ca="1">$E3668-$AG3668</f>
        <v>352.65999999999997</v>
      </c>
      <c r="AJ3668" s="525">
        <f ca="1">$A3668*$AI3668</f>
        <v>705.31999999999994</v>
      </c>
      <c r="AK3668" s="526">
        <f ca="1">ROUND(($AG3668+$AI3668)*$A3668,2)</f>
        <v>1107.08</v>
      </c>
      <c r="AM3668" s="527">
        <f ca="1">ROUND(R3673,2)</f>
        <v>326.27</v>
      </c>
      <c r="AN3668" s="528">
        <f ca="1">ROUND(T3673,2)</f>
        <v>20.86</v>
      </c>
      <c r="AO3668" s="529">
        <f ca="1">ROUND(AM3668+AN3668,2)*A3668</f>
        <v>694.26</v>
      </c>
      <c r="AR3668" s="747">
        <v>2</v>
      </c>
      <c r="AS3668" s="751">
        <v>1185.2</v>
      </c>
    </row>
    <row r="3669" spans="1:45" s="520" customFormat="1" ht="13.2">
      <c r="A3669" s="748"/>
      <c r="B3669"/>
      <c r="C3669" s="748"/>
      <c r="D3669" s="749" t="s">
        <v>792</v>
      </c>
      <c r="F3669" s="753"/>
      <c r="G3669" s="3"/>
      <c r="H3669" s="753"/>
      <c r="I3669" s="754"/>
      <c r="J3669" s="753"/>
      <c r="K3669" s="753" t="s">
        <v>144</v>
      </c>
      <c r="L3669" s="753"/>
      <c r="M3669" s="753"/>
      <c r="N3669" s="753"/>
      <c r="O3669" s="753"/>
      <c r="P3669" s="753"/>
      <c r="Q3669" s="51"/>
      <c r="R3669" s="530"/>
      <c r="S3669" s="757"/>
      <c r="T3669" s="753"/>
      <c r="AR3669" s="748"/>
      <c r="AS3669" s="753"/>
    </row>
    <row r="3670" spans="1:45" s="886" customFormat="1" ht="13.2">
      <c r="A3670"/>
      <c r="B3670" s="910"/>
      <c r="C3670" s="910" t="s">
        <v>2597</v>
      </c>
      <c r="D3670" s="910" t="str">
        <f ca="1">CELL("Address",Elec_Rates!D$46)</f>
        <v>[E25_0062_Quintano_Foods_Elec_ELV_As_Awarded.xlsx]Elec_Rates!$D$46</v>
      </c>
      <c r="E3670" s="911"/>
      <c r="F3670" s="911"/>
      <c r="G3670" s="912" t="s">
        <v>2598</v>
      </c>
      <c r="H3670" s="912"/>
      <c r="I3670" s="912"/>
      <c r="J3670" s="912"/>
      <c r="K3670" s="913"/>
      <c r="L3670" s="911"/>
      <c r="M3670" s="911"/>
      <c r="N3670" s="911"/>
      <c r="O3670" s="914"/>
      <c r="P3670" s="911"/>
      <c r="Q3670" s="915"/>
      <c r="R3670" s="916"/>
      <c r="S3670" s="915"/>
      <c r="T3670" s="917"/>
      <c r="U3670" s="918"/>
      <c r="AR3670"/>
      <c r="AS3670" s="911"/>
    </row>
    <row r="3671" spans="1:45" s="886" customFormat="1" ht="11.4">
      <c r="A3671" s="919">
        <v>2</v>
      </c>
      <c r="B3671" s="920">
        <v>3.5</v>
      </c>
      <c r="C3671" s="920">
        <f>$A3671*$B3671</f>
        <v>7</v>
      </c>
      <c r="D3671" s="921" t="str">
        <f>Elec_Rates!$D$46</f>
        <v>004# Light point rate (Galvanised Conduit)</v>
      </c>
      <c r="E3671" s="921" t="s">
        <v>2968</v>
      </c>
      <c r="F3671" s="918"/>
      <c r="G3671" s="922" t="s">
        <v>2878</v>
      </c>
      <c r="H3671" s="922"/>
      <c r="I3671" s="922"/>
      <c r="J3671" s="922"/>
      <c r="K3671" s="923"/>
      <c r="L3671" s="918"/>
      <c r="M3671" s="918"/>
      <c r="N3671" s="918"/>
      <c r="O3671" s="924"/>
      <c r="P3671" s="921"/>
      <c r="Q3671" s="925">
        <f ca="1">$B3671*Elec_Rates!$R$46</f>
        <v>163.13499999999999</v>
      </c>
      <c r="R3671" s="916">
        <f ca="1">$A3671*Q3671</f>
        <v>326.27</v>
      </c>
      <c r="S3671" s="925">
        <f ca="1">$B3671*Elec_Rates!$T$46</f>
        <v>10.43</v>
      </c>
      <c r="T3671" s="917">
        <f ca="1">$A3671*S3671</f>
        <v>20.86</v>
      </c>
      <c r="U3671" s="926"/>
      <c r="AR3671" s="919">
        <v>2</v>
      </c>
      <c r="AS3671" s="918"/>
    </row>
    <row r="3672" spans="1:45" s="520" customFormat="1" ht="12">
      <c r="A3672" s="758"/>
      <c r="B3672" s="758"/>
      <c r="C3672" s="758"/>
      <c r="D3672" s="758"/>
      <c r="E3672" s="758"/>
      <c r="F3672" s="753"/>
      <c r="G3672" s="758"/>
      <c r="H3672" s="758"/>
      <c r="I3672" s="519"/>
      <c r="J3672" s="758"/>
      <c r="K3672" s="758"/>
      <c r="L3672" s="758"/>
      <c r="M3672" s="758"/>
      <c r="N3672" s="758"/>
      <c r="O3672" s="758"/>
      <c r="P3672" s="758"/>
      <c r="Q3672" s="519"/>
      <c r="R3672" s="759">
        <f>$A3672*Q3672</f>
        <v>0</v>
      </c>
      <c r="S3672" s="519"/>
      <c r="T3672" s="760">
        <f>$A3672*S3672*$T$1</f>
        <v>0</v>
      </c>
      <c r="AR3672" s="758"/>
      <c r="AS3672" s="753"/>
    </row>
    <row r="3673" spans="1:45" s="520" customFormat="1" ht="12.6" thickBot="1">
      <c r="A3673" s="761" t="s">
        <v>145</v>
      </c>
      <c r="B3673" s="762">
        <f>(R3672+T3672)</f>
        <v>0</v>
      </c>
      <c r="C3673" s="763"/>
      <c r="D3673" s="763"/>
      <c r="E3673" s="763"/>
      <c r="F3673" s="764"/>
      <c r="G3673" s="763" t="s">
        <v>146</v>
      </c>
      <c r="H3673" s="763"/>
      <c r="I3673" s="765"/>
      <c r="J3673" s="763"/>
      <c r="K3673" s="763" t="s">
        <v>3</v>
      </c>
      <c r="L3673" s="766" t="s">
        <v>143</v>
      </c>
      <c r="M3673" s="766"/>
      <c r="N3673" s="766"/>
      <c r="O3673" s="766"/>
      <c r="P3673" s="766"/>
      <c r="Q3673" s="767"/>
      <c r="R3673" s="768">
        <f ca="1">SUM(R3669:R3672)</f>
        <v>326.27</v>
      </c>
      <c r="S3673" s="763"/>
      <c r="T3673" s="768">
        <f ca="1">SUM(T3669:T3672)</f>
        <v>20.86</v>
      </c>
      <c r="U3673" s="531"/>
      <c r="V3673" s="531"/>
      <c r="W3673" s="531"/>
      <c r="X3673" s="531"/>
      <c r="Y3673" s="531"/>
      <c r="Z3673" s="531"/>
      <c r="AA3673" s="531"/>
      <c r="AB3673" s="531"/>
      <c r="AC3673" s="531"/>
      <c r="AD3673" s="531"/>
      <c r="AE3673" s="531"/>
      <c r="AF3673" s="531"/>
      <c r="AG3673" s="531"/>
      <c r="AH3673" s="531"/>
      <c r="AI3673" s="531"/>
      <c r="AJ3673" s="531"/>
      <c r="AK3673" s="531"/>
      <c r="AL3673" s="531"/>
      <c r="AM3673" s="531"/>
      <c r="AN3673" s="531"/>
      <c r="AO3673" s="531"/>
      <c r="AR3673" s="761" t="s">
        <v>145</v>
      </c>
      <c r="AS3673" s="764"/>
    </row>
    <row r="3674" spans="1:45" s="520" customFormat="1" ht="12" thickTop="1">
      <c r="A3674" s="51"/>
      <c r="B3674" s="41"/>
      <c r="C3674" s="51"/>
      <c r="E3674" s="42" t="s">
        <v>138</v>
      </c>
      <c r="F3674" s="42" t="s">
        <v>139</v>
      </c>
      <c r="G3674" s="51"/>
      <c r="H3674" s="51"/>
      <c r="I3674" s="51"/>
      <c r="J3674" s="51"/>
      <c r="K3674" s="51" t="s">
        <v>140</v>
      </c>
      <c r="L3674" s="51"/>
      <c r="M3674" s="51"/>
      <c r="N3674" s="51"/>
      <c r="O3674" s="52"/>
      <c r="P3674" s="51"/>
      <c r="Q3674" s="51"/>
      <c r="R3674" s="51"/>
      <c r="S3674" s="51"/>
      <c r="T3674" s="41"/>
      <c r="AG3674" s="521" t="s">
        <v>268</v>
      </c>
      <c r="AH3674" s="521" t="s">
        <v>269</v>
      </c>
      <c r="AI3674" s="521" t="s">
        <v>270</v>
      </c>
      <c r="AJ3674" s="521" t="s">
        <v>271</v>
      </c>
      <c r="AK3674" s="521" t="s">
        <v>272</v>
      </c>
      <c r="AM3674" s="745" t="s">
        <v>281</v>
      </c>
      <c r="AN3674" s="746" t="s">
        <v>282</v>
      </c>
      <c r="AO3674" s="522" t="s">
        <v>278</v>
      </c>
      <c r="AR3674" s="51"/>
      <c r="AS3674" s="42" t="s">
        <v>139</v>
      </c>
    </row>
    <row r="3675" spans="1:45" s="520" customFormat="1" ht="12" customHeight="1">
      <c r="A3675" s="747">
        <v>2</v>
      </c>
      <c r="B3675" s="523" t="s">
        <v>141</v>
      </c>
      <c r="C3675" s="748"/>
      <c r="D3675" s="749" t="s">
        <v>1687</v>
      </c>
      <c r="E3675" s="750">
        <f ca="1">IF(AND($A3675=0,$A$1="DIF"),0, ROUND(ROUND(($R3680*$S$2+($T3680*$T$2))/A3675,2)*$C$2,2))</f>
        <v>1573.71</v>
      </c>
      <c r="F3675" s="751">
        <f ca="1">ROUND($A3675*$E3675,2)</f>
        <v>3147.42</v>
      </c>
      <c r="G3675" s="752" t="s">
        <v>142</v>
      </c>
      <c r="H3675" s="753"/>
      <c r="I3675" s="754"/>
      <c r="J3675" s="753"/>
      <c r="K3675" s="753" t="s">
        <v>3</v>
      </c>
      <c r="L3675" s="755" t="s">
        <v>143</v>
      </c>
      <c r="M3675" s="755"/>
      <c r="N3675" s="755"/>
      <c r="O3675" s="755"/>
      <c r="P3675" s="755"/>
      <c r="Q3675" s="51"/>
      <c r="T3675" s="756" t="str">
        <f ca="1">IF(AND($R3680=0,$T3680=0),"0.00","mu :" &amp; ROUND($F3675/$C$2/($R3680+$T3680*$D$9),2))</f>
        <v>mu :1.23</v>
      </c>
      <c r="W3675" s="524"/>
      <c r="AG3675" s="481">
        <f ca="1">IF($E3675=0,0,ROUND($R3680*$S$2*$C$2/$A3675,2))</f>
        <v>581.98</v>
      </c>
      <c r="AH3675" s="481">
        <f ca="1">$AG3675*$A3675</f>
        <v>1163.96</v>
      </c>
      <c r="AI3675" s="525">
        <f ca="1">$E3675-$AG3675</f>
        <v>991.73</v>
      </c>
      <c r="AJ3675" s="525">
        <f ca="1">$A3675*$AI3675</f>
        <v>1983.46</v>
      </c>
      <c r="AK3675" s="526">
        <f ca="1">ROUND(($AG3675+$AI3675)*$A3675,2)</f>
        <v>3147.42</v>
      </c>
      <c r="AM3675" s="527">
        <f ca="1">ROUND(R3680,2)</f>
        <v>945.28</v>
      </c>
      <c r="AN3675" s="528">
        <f ca="1">ROUND(T3680,2)</f>
        <v>58.66</v>
      </c>
      <c r="AO3675" s="529">
        <f ca="1">ROUND(AM3675+AN3675,2)*A3675</f>
        <v>2007.88</v>
      </c>
      <c r="AR3675" s="747">
        <v>2</v>
      </c>
      <c r="AS3675" s="751">
        <v>3365.18</v>
      </c>
    </row>
    <row r="3676" spans="1:45" s="520" customFormat="1" ht="13.2">
      <c r="A3676" s="748"/>
      <c r="B3676"/>
      <c r="C3676" s="748"/>
      <c r="D3676" s="749" t="s">
        <v>816</v>
      </c>
      <c r="F3676" s="753"/>
      <c r="G3676" s="3"/>
      <c r="H3676" s="753"/>
      <c r="I3676" s="754"/>
      <c r="J3676" s="753"/>
      <c r="K3676" s="753" t="s">
        <v>144</v>
      </c>
      <c r="L3676" s="753"/>
      <c r="M3676" s="753"/>
      <c r="N3676" s="753"/>
      <c r="O3676" s="753"/>
      <c r="P3676" s="753"/>
      <c r="Q3676" s="51"/>
      <c r="R3676" s="530"/>
      <c r="S3676" s="757"/>
      <c r="T3676" s="753"/>
      <c r="AR3676" s="748"/>
      <c r="AS3676" s="753"/>
    </row>
    <row r="3677" spans="1:45" s="886" customFormat="1" ht="13.2">
      <c r="A3677"/>
      <c r="B3677" s="910"/>
      <c r="C3677" s="910" t="s">
        <v>2597</v>
      </c>
      <c r="D3677" s="910" t="str">
        <f ca="1">CELL("Address",Elec_Rates!D$56)</f>
        <v>[E25_0062_Quintano_Foods_Elec_ELV_As_Awarded.xlsx]Elec_Rates!$D$56</v>
      </c>
      <c r="E3677" s="911"/>
      <c r="F3677" s="911"/>
      <c r="G3677" s="912" t="s">
        <v>2598</v>
      </c>
      <c r="H3677" s="912"/>
      <c r="I3677" s="912"/>
      <c r="J3677" s="912"/>
      <c r="K3677" s="913"/>
      <c r="L3677" s="911"/>
      <c r="M3677" s="911"/>
      <c r="N3677" s="911"/>
      <c r="O3677" s="914"/>
      <c r="P3677" s="911"/>
      <c r="Q3677" s="915"/>
      <c r="R3677" s="916"/>
      <c r="S3677" s="915"/>
      <c r="T3677" s="917"/>
      <c r="U3677" s="918"/>
      <c r="AR3677"/>
      <c r="AS3677" s="911"/>
    </row>
    <row r="3678" spans="1:45" s="886" customFormat="1" ht="11.4">
      <c r="A3678" s="919">
        <v>2</v>
      </c>
      <c r="B3678" s="920">
        <v>7</v>
      </c>
      <c r="C3678" s="920">
        <f>$A3678*$B3678</f>
        <v>14</v>
      </c>
      <c r="D3678" s="921" t="str">
        <f>Elec_Rates!$D$56</f>
        <v>005# Externall Light point rate (Galvanised Conduit)</v>
      </c>
      <c r="E3678" s="921" t="s">
        <v>2884</v>
      </c>
      <c r="F3678" s="918"/>
      <c r="G3678" s="922" t="s">
        <v>2878</v>
      </c>
      <c r="H3678" s="922"/>
      <c r="I3678" s="922"/>
      <c r="J3678" s="922"/>
      <c r="K3678" s="923"/>
      <c r="L3678" s="918"/>
      <c r="M3678" s="918"/>
      <c r="N3678" s="918"/>
      <c r="O3678" s="924"/>
      <c r="P3678" s="921"/>
      <c r="Q3678" s="925">
        <f ca="1">$B3678*Elec_Rates!$R$56</f>
        <v>472.64</v>
      </c>
      <c r="R3678" s="916">
        <f ca="1">$A3678*Q3678</f>
        <v>945.28</v>
      </c>
      <c r="S3678" s="925">
        <f ca="1">$B3678*Elec_Rates!$T$56</f>
        <v>29.330000000000002</v>
      </c>
      <c r="T3678" s="917">
        <f ca="1">$A3678*S3678</f>
        <v>58.660000000000004</v>
      </c>
      <c r="U3678" s="926"/>
      <c r="AR3678" s="919">
        <v>2</v>
      </c>
      <c r="AS3678" s="918"/>
    </row>
    <row r="3679" spans="1:45" s="520" customFormat="1" ht="12">
      <c r="A3679" s="758"/>
      <c r="B3679" s="758"/>
      <c r="C3679" s="758"/>
      <c r="D3679" s="758"/>
      <c r="E3679" s="758"/>
      <c r="F3679" s="753"/>
      <c r="G3679" s="758"/>
      <c r="H3679" s="758"/>
      <c r="I3679" s="519"/>
      <c r="J3679" s="758"/>
      <c r="K3679" s="758"/>
      <c r="L3679" s="758"/>
      <c r="M3679" s="758"/>
      <c r="N3679" s="758"/>
      <c r="O3679" s="758"/>
      <c r="P3679" s="758"/>
      <c r="Q3679" s="519"/>
      <c r="R3679" s="759">
        <f>$A3679*Q3679</f>
        <v>0</v>
      </c>
      <c r="S3679" s="519"/>
      <c r="T3679" s="760">
        <f>$A3679*S3679*$T$1</f>
        <v>0</v>
      </c>
      <c r="AR3679" s="758"/>
      <c r="AS3679" s="753"/>
    </row>
    <row r="3680" spans="1:45" s="520" customFormat="1" ht="12.6" thickBot="1">
      <c r="A3680" s="761" t="s">
        <v>145</v>
      </c>
      <c r="B3680" s="762">
        <f>(R3679+T3679)</f>
        <v>0</v>
      </c>
      <c r="C3680" s="763"/>
      <c r="D3680" s="763"/>
      <c r="E3680" s="763"/>
      <c r="F3680" s="764"/>
      <c r="G3680" s="763" t="s">
        <v>146</v>
      </c>
      <c r="H3680" s="763"/>
      <c r="I3680" s="765"/>
      <c r="J3680" s="763"/>
      <c r="K3680" s="763" t="s">
        <v>3</v>
      </c>
      <c r="L3680" s="766" t="s">
        <v>143</v>
      </c>
      <c r="M3680" s="766"/>
      <c r="N3680" s="766"/>
      <c r="O3680" s="766"/>
      <c r="P3680" s="766"/>
      <c r="Q3680" s="767"/>
      <c r="R3680" s="768">
        <f ca="1">SUM(R3676:R3679)</f>
        <v>945.28</v>
      </c>
      <c r="S3680" s="763"/>
      <c r="T3680" s="768">
        <f ca="1">SUM(T3676:T3679)</f>
        <v>58.660000000000004</v>
      </c>
      <c r="U3680" s="531"/>
      <c r="V3680" s="531"/>
      <c r="W3680" s="531"/>
      <c r="X3680" s="531"/>
      <c r="Y3680" s="531"/>
      <c r="Z3680" s="531"/>
      <c r="AA3680" s="531"/>
      <c r="AB3680" s="531"/>
      <c r="AC3680" s="531"/>
      <c r="AD3680" s="531"/>
      <c r="AE3680" s="531"/>
      <c r="AF3680" s="531"/>
      <c r="AG3680" s="531"/>
      <c r="AH3680" s="531"/>
      <c r="AI3680" s="531"/>
      <c r="AJ3680" s="531"/>
      <c r="AK3680" s="531"/>
      <c r="AL3680" s="531"/>
      <c r="AM3680" s="531"/>
      <c r="AN3680" s="531"/>
      <c r="AO3680" s="531"/>
      <c r="AR3680" s="761" t="s">
        <v>145</v>
      </c>
      <c r="AS3680" s="764"/>
    </row>
    <row r="3681" spans="1:45" s="520" customFormat="1" ht="12" thickTop="1">
      <c r="A3681" s="51"/>
      <c r="B3681" s="41"/>
      <c r="C3681" s="51"/>
      <c r="E3681" s="42" t="s">
        <v>138</v>
      </c>
      <c r="F3681" s="42" t="s">
        <v>139</v>
      </c>
      <c r="G3681" s="51"/>
      <c r="H3681" s="51"/>
      <c r="I3681" s="51"/>
      <c r="J3681" s="51"/>
      <c r="K3681" s="51" t="s">
        <v>140</v>
      </c>
      <c r="L3681" s="51"/>
      <c r="M3681" s="51"/>
      <c r="N3681" s="51"/>
      <c r="O3681" s="52"/>
      <c r="P3681" s="51"/>
      <c r="Q3681" s="51"/>
      <c r="R3681" s="51"/>
      <c r="S3681" s="51"/>
      <c r="T3681" s="41"/>
      <c r="AG3681" s="521" t="s">
        <v>268</v>
      </c>
      <c r="AH3681" s="521" t="s">
        <v>269</v>
      </c>
      <c r="AI3681" s="521" t="s">
        <v>270</v>
      </c>
      <c r="AJ3681" s="521" t="s">
        <v>271</v>
      </c>
      <c r="AK3681" s="521" t="s">
        <v>272</v>
      </c>
      <c r="AM3681" s="745" t="s">
        <v>281</v>
      </c>
      <c r="AN3681" s="746" t="s">
        <v>282</v>
      </c>
      <c r="AO3681" s="522" t="s">
        <v>278</v>
      </c>
      <c r="AR3681" s="51"/>
      <c r="AS3681" s="42" t="s">
        <v>139</v>
      </c>
    </row>
    <row r="3682" spans="1:45" s="520" customFormat="1" ht="12" customHeight="1">
      <c r="A3682" s="747">
        <v>1</v>
      </c>
      <c r="B3682" s="523" t="s">
        <v>141</v>
      </c>
      <c r="C3682" s="748"/>
      <c r="D3682" s="749" t="s">
        <v>1688</v>
      </c>
      <c r="E3682" s="750">
        <f ca="1">IF(AND($A3682=0,$A$1="DIF"),0, ROUND(ROUND(($R3687*$S$2+($T3687*$T$2))/A3682,2)*$C$2,2))</f>
        <v>474.46</v>
      </c>
      <c r="F3682" s="751">
        <f ca="1">ROUND($A3682*$E3682,2)</f>
        <v>474.46</v>
      </c>
      <c r="G3682" s="752" t="s">
        <v>142</v>
      </c>
      <c r="H3682" s="753"/>
      <c r="I3682" s="754"/>
      <c r="J3682" s="753"/>
      <c r="K3682" s="753" t="s">
        <v>3</v>
      </c>
      <c r="L3682" s="755" t="s">
        <v>143</v>
      </c>
      <c r="M3682" s="755"/>
      <c r="N3682" s="755"/>
      <c r="O3682" s="755"/>
      <c r="P3682" s="755"/>
      <c r="Q3682" s="51"/>
      <c r="T3682" s="756" t="str">
        <f ca="1">IF(AND($R3687=0,$T3687=0),"0.00","mu :" &amp; ROUND($F3682/$C$2/($R3687+$T3687*$D$9),2))</f>
        <v>mu :1.23</v>
      </c>
      <c r="W3682" s="524"/>
      <c r="AG3682" s="481">
        <f ca="1">IF($E3682=0,0,ROUND($R3687*$S$2*$C$2/$A3682,2))</f>
        <v>172.18</v>
      </c>
      <c r="AH3682" s="481">
        <f ca="1">$AG3682*$A3682</f>
        <v>172.18</v>
      </c>
      <c r="AI3682" s="525">
        <f ca="1">$E3682-$AG3682</f>
        <v>302.27999999999997</v>
      </c>
      <c r="AJ3682" s="525">
        <f ca="1">$A3682*$AI3682</f>
        <v>302.27999999999997</v>
      </c>
      <c r="AK3682" s="526">
        <f ca="1">ROUND(($AG3682+$AI3682)*$A3682,2)</f>
        <v>474.46</v>
      </c>
      <c r="AM3682" s="527">
        <f ca="1">ROUND(R3687,2)</f>
        <v>139.83000000000001</v>
      </c>
      <c r="AN3682" s="528">
        <f ca="1">ROUND(T3687,2)</f>
        <v>8.94</v>
      </c>
      <c r="AO3682" s="529">
        <f ca="1">ROUND(AM3682+AN3682,2)*A3682</f>
        <v>148.77000000000001</v>
      </c>
      <c r="AR3682" s="747">
        <v>1</v>
      </c>
      <c r="AS3682" s="751">
        <v>507.94</v>
      </c>
    </row>
    <row r="3683" spans="1:45" s="520" customFormat="1" ht="13.2">
      <c r="A3683" s="748"/>
      <c r="B3683"/>
      <c r="C3683" s="748"/>
      <c r="D3683" s="749" t="s">
        <v>817</v>
      </c>
      <c r="F3683" s="753"/>
      <c r="G3683" s="3"/>
      <c r="H3683" s="753"/>
      <c r="I3683" s="754"/>
      <c r="J3683" s="753"/>
      <c r="K3683" s="753" t="s">
        <v>144</v>
      </c>
      <c r="L3683" s="753"/>
      <c r="M3683" s="753"/>
      <c r="N3683" s="753"/>
      <c r="O3683" s="753"/>
      <c r="P3683" s="753"/>
      <c r="Q3683" s="51"/>
      <c r="R3683" s="530"/>
      <c r="S3683" s="757"/>
      <c r="T3683" s="753"/>
      <c r="AR3683" s="748"/>
      <c r="AS3683" s="753"/>
    </row>
    <row r="3684" spans="1:45" s="886" customFormat="1" ht="13.2">
      <c r="A3684"/>
      <c r="B3684" s="910"/>
      <c r="C3684" s="910" t="s">
        <v>2597</v>
      </c>
      <c r="D3684" s="910" t="str">
        <f ca="1">CELL("Address",Elec_Rates!D$46)</f>
        <v>[E25_0062_Quintano_Foods_Elec_ELV_As_Awarded.xlsx]Elec_Rates!$D$46</v>
      </c>
      <c r="E3684" s="911"/>
      <c r="F3684" s="911"/>
      <c r="G3684" s="912" t="s">
        <v>2598</v>
      </c>
      <c r="H3684" s="912"/>
      <c r="I3684" s="912"/>
      <c r="J3684" s="912"/>
      <c r="K3684" s="913"/>
      <c r="L3684" s="911"/>
      <c r="M3684" s="911"/>
      <c r="N3684" s="911"/>
      <c r="O3684" s="914"/>
      <c r="P3684" s="911"/>
      <c r="Q3684" s="915"/>
      <c r="R3684" s="916"/>
      <c r="S3684" s="915"/>
      <c r="T3684" s="917"/>
      <c r="U3684" s="918"/>
      <c r="AR3684"/>
      <c r="AS3684" s="911"/>
    </row>
    <row r="3685" spans="1:45" s="886" customFormat="1" ht="11.4">
      <c r="A3685" s="919">
        <v>1</v>
      </c>
      <c r="B3685" s="920">
        <v>3</v>
      </c>
      <c r="C3685" s="920">
        <f>$A3685*$B3685</f>
        <v>3</v>
      </c>
      <c r="D3685" s="921" t="str">
        <f>Elec_Rates!$D$46</f>
        <v>004# Light point rate (Galvanised Conduit)</v>
      </c>
      <c r="E3685" s="921" t="s">
        <v>2885</v>
      </c>
      <c r="F3685" s="918"/>
      <c r="G3685" s="922" t="s">
        <v>2878</v>
      </c>
      <c r="H3685" s="922"/>
      <c r="I3685" s="922"/>
      <c r="J3685" s="922"/>
      <c r="K3685" s="923"/>
      <c r="L3685" s="918"/>
      <c r="M3685" s="918"/>
      <c r="N3685" s="918"/>
      <c r="O3685" s="924"/>
      <c r="P3685" s="921"/>
      <c r="Q3685" s="925">
        <f ca="1">$B3685*Elec_Rates!$R$46</f>
        <v>139.82999999999998</v>
      </c>
      <c r="R3685" s="916">
        <f ca="1">$A3685*Q3685</f>
        <v>139.82999999999998</v>
      </c>
      <c r="S3685" s="925">
        <f ca="1">$B3685*Elec_Rates!$T$46</f>
        <v>8.94</v>
      </c>
      <c r="T3685" s="917">
        <f ca="1">$A3685*S3685</f>
        <v>8.94</v>
      </c>
      <c r="U3685" s="926"/>
      <c r="AR3685" s="919">
        <v>1</v>
      </c>
      <c r="AS3685" s="918"/>
    </row>
    <row r="3686" spans="1:45" s="520" customFormat="1" ht="12">
      <c r="A3686" s="758"/>
      <c r="B3686" s="758"/>
      <c r="C3686" s="758"/>
      <c r="D3686" s="758"/>
      <c r="E3686" s="758"/>
      <c r="F3686" s="753"/>
      <c r="G3686" s="758"/>
      <c r="H3686" s="758"/>
      <c r="I3686" s="519"/>
      <c r="J3686" s="758"/>
      <c r="K3686" s="758"/>
      <c r="L3686" s="758"/>
      <c r="M3686" s="758"/>
      <c r="N3686" s="758"/>
      <c r="O3686" s="758"/>
      <c r="P3686" s="758"/>
      <c r="Q3686" s="519"/>
      <c r="R3686" s="759">
        <f>$A3686*Q3686</f>
        <v>0</v>
      </c>
      <c r="S3686" s="519"/>
      <c r="T3686" s="760">
        <f>$A3686*S3686*$T$1</f>
        <v>0</v>
      </c>
      <c r="AR3686" s="758"/>
      <c r="AS3686" s="753"/>
    </row>
    <row r="3687" spans="1:45" s="520" customFormat="1" ht="12.6" thickBot="1">
      <c r="A3687" s="761" t="s">
        <v>145</v>
      </c>
      <c r="B3687" s="762">
        <f>(R3686+T3686)</f>
        <v>0</v>
      </c>
      <c r="C3687" s="763"/>
      <c r="D3687" s="763"/>
      <c r="E3687" s="763"/>
      <c r="F3687" s="764"/>
      <c r="G3687" s="763" t="s">
        <v>146</v>
      </c>
      <c r="H3687" s="763"/>
      <c r="I3687" s="765"/>
      <c r="J3687" s="763"/>
      <c r="K3687" s="763" t="s">
        <v>3</v>
      </c>
      <c r="L3687" s="766" t="s">
        <v>143</v>
      </c>
      <c r="M3687" s="766"/>
      <c r="N3687" s="766"/>
      <c r="O3687" s="766"/>
      <c r="P3687" s="766"/>
      <c r="Q3687" s="767"/>
      <c r="R3687" s="768">
        <f ca="1">SUM(R3683:R3686)</f>
        <v>139.82999999999998</v>
      </c>
      <c r="S3687" s="763"/>
      <c r="T3687" s="768">
        <f ca="1">SUM(T3683:T3686)</f>
        <v>8.94</v>
      </c>
      <c r="U3687" s="531"/>
      <c r="V3687" s="531"/>
      <c r="W3687" s="531"/>
      <c r="X3687" s="531"/>
      <c r="Y3687" s="531"/>
      <c r="Z3687" s="531"/>
      <c r="AA3687" s="531"/>
      <c r="AB3687" s="531"/>
      <c r="AC3687" s="531"/>
      <c r="AD3687" s="531"/>
      <c r="AE3687" s="531"/>
      <c r="AF3687" s="531"/>
      <c r="AG3687" s="531"/>
      <c r="AH3687" s="531"/>
      <c r="AI3687" s="531"/>
      <c r="AJ3687" s="531"/>
      <c r="AK3687" s="531"/>
      <c r="AL3687" s="531"/>
      <c r="AM3687" s="531"/>
      <c r="AN3687" s="531"/>
      <c r="AO3687" s="531"/>
      <c r="AR3687" s="761" t="s">
        <v>145</v>
      </c>
      <c r="AS3687" s="764"/>
    </row>
    <row r="3688" spans="1:45" s="520" customFormat="1" ht="12" thickTop="1">
      <c r="A3688" s="51"/>
      <c r="B3688" s="41"/>
      <c r="C3688" s="51"/>
      <c r="E3688" s="42" t="s">
        <v>138</v>
      </c>
      <c r="F3688" s="42" t="s">
        <v>139</v>
      </c>
      <c r="G3688" s="51"/>
      <c r="H3688" s="51"/>
      <c r="I3688" s="51"/>
      <c r="J3688" s="51"/>
      <c r="K3688" s="51" t="s">
        <v>140</v>
      </c>
      <c r="L3688" s="51"/>
      <c r="M3688" s="51"/>
      <c r="N3688" s="51"/>
      <c r="O3688" s="52"/>
      <c r="P3688" s="51"/>
      <c r="Q3688" s="51"/>
      <c r="R3688" s="51"/>
      <c r="S3688" s="51"/>
      <c r="T3688" s="41"/>
      <c r="AG3688" s="521" t="s">
        <v>268</v>
      </c>
      <c r="AH3688" s="521" t="s">
        <v>269</v>
      </c>
      <c r="AI3688" s="521" t="s">
        <v>270</v>
      </c>
      <c r="AJ3688" s="521" t="s">
        <v>271</v>
      </c>
      <c r="AK3688" s="521" t="s">
        <v>272</v>
      </c>
      <c r="AM3688" s="745" t="s">
        <v>281</v>
      </c>
      <c r="AN3688" s="746" t="s">
        <v>282</v>
      </c>
      <c r="AO3688" s="522" t="s">
        <v>278</v>
      </c>
      <c r="AR3688" s="51"/>
      <c r="AS3688" s="42" t="s">
        <v>139</v>
      </c>
    </row>
    <row r="3689" spans="1:45" s="520" customFormat="1" ht="12" customHeight="1">
      <c r="A3689" s="747">
        <v>1</v>
      </c>
      <c r="B3689" s="523" t="s">
        <v>141</v>
      </c>
      <c r="C3689" s="748"/>
      <c r="D3689" s="749" t="s">
        <v>1689</v>
      </c>
      <c r="E3689" s="750">
        <f ca="1">IF(AND($A3689=0,$A$1="DIF"),0, ROUND(ROUND(($R3694*$S$2+($T3694*$T$2))/A3689,2)*$C$2,2))</f>
        <v>553.54</v>
      </c>
      <c r="F3689" s="751">
        <f ca="1">ROUND($A3689*$E3689,2)</f>
        <v>553.54</v>
      </c>
      <c r="G3689" s="752" t="s">
        <v>142</v>
      </c>
      <c r="H3689" s="753"/>
      <c r="I3689" s="754"/>
      <c r="J3689" s="753"/>
      <c r="K3689" s="753" t="s">
        <v>3</v>
      </c>
      <c r="L3689" s="755" t="s">
        <v>143</v>
      </c>
      <c r="M3689" s="755"/>
      <c r="N3689" s="755"/>
      <c r="O3689" s="755"/>
      <c r="P3689" s="755"/>
      <c r="Q3689" s="51"/>
      <c r="T3689" s="756" t="str">
        <f ca="1">IF(AND($R3694=0,$T3694=0),"0.00","mu :" &amp; ROUND($F3689/$C$2/($R3694+$T3694*$D$9),2))</f>
        <v>mu :1.23</v>
      </c>
      <c r="W3689" s="524"/>
      <c r="AG3689" s="481">
        <f ca="1">IF($E3689=0,0,ROUND($R3694*$S$2*$C$2/$A3689,2))</f>
        <v>200.88</v>
      </c>
      <c r="AH3689" s="481">
        <f ca="1">$AG3689*$A3689</f>
        <v>200.88</v>
      </c>
      <c r="AI3689" s="525">
        <f ca="1">$E3689-$AG3689</f>
        <v>352.65999999999997</v>
      </c>
      <c r="AJ3689" s="525">
        <f ca="1">$A3689*$AI3689</f>
        <v>352.65999999999997</v>
      </c>
      <c r="AK3689" s="526">
        <f ca="1">ROUND(($AG3689+$AI3689)*$A3689,2)</f>
        <v>553.54</v>
      </c>
      <c r="AM3689" s="527">
        <f ca="1">ROUND(R3694,2)</f>
        <v>163.13999999999999</v>
      </c>
      <c r="AN3689" s="528">
        <f ca="1">ROUND(T3694,2)</f>
        <v>10.43</v>
      </c>
      <c r="AO3689" s="529">
        <f ca="1">ROUND(AM3689+AN3689,2)*A3689</f>
        <v>173.57</v>
      </c>
      <c r="AR3689" s="747">
        <v>1</v>
      </c>
      <c r="AS3689" s="751">
        <v>592.6</v>
      </c>
    </row>
    <row r="3690" spans="1:45" s="520" customFormat="1" ht="13.2">
      <c r="A3690" s="748"/>
      <c r="B3690"/>
      <c r="C3690" s="748"/>
      <c r="D3690" s="749" t="s">
        <v>818</v>
      </c>
      <c r="F3690" s="753"/>
      <c r="G3690" s="3"/>
      <c r="H3690" s="753"/>
      <c r="I3690" s="754"/>
      <c r="J3690" s="753"/>
      <c r="K3690" s="753" t="s">
        <v>144</v>
      </c>
      <c r="L3690" s="753"/>
      <c r="M3690" s="753"/>
      <c r="N3690" s="753"/>
      <c r="O3690" s="753"/>
      <c r="P3690" s="753"/>
      <c r="Q3690" s="51"/>
      <c r="R3690" s="530"/>
      <c r="S3690" s="757"/>
      <c r="T3690" s="753"/>
      <c r="AR3690" s="748"/>
      <c r="AS3690" s="753"/>
    </row>
    <row r="3691" spans="1:45" s="886" customFormat="1" ht="13.2">
      <c r="A3691"/>
      <c r="B3691" s="910"/>
      <c r="C3691" s="910" t="s">
        <v>2597</v>
      </c>
      <c r="D3691" s="910" t="str">
        <f ca="1">CELL("Address",Elec_Rates!D$46)</f>
        <v>[E25_0062_Quintano_Foods_Elec_ELV_As_Awarded.xlsx]Elec_Rates!$D$46</v>
      </c>
      <c r="E3691" s="911"/>
      <c r="F3691" s="911"/>
      <c r="G3691" s="912" t="s">
        <v>2598</v>
      </c>
      <c r="H3691" s="912"/>
      <c r="I3691" s="912"/>
      <c r="J3691" s="912"/>
      <c r="K3691" s="913"/>
      <c r="L3691" s="911"/>
      <c r="M3691" s="911"/>
      <c r="N3691" s="911"/>
      <c r="O3691" s="914"/>
      <c r="P3691" s="911"/>
      <c r="Q3691" s="915"/>
      <c r="R3691" s="916"/>
      <c r="S3691" s="915"/>
      <c r="T3691" s="917"/>
      <c r="U3691" s="918"/>
      <c r="AR3691"/>
      <c r="AS3691" s="911"/>
    </row>
    <row r="3692" spans="1:45" s="886" customFormat="1" ht="11.4">
      <c r="A3692" s="919">
        <v>1</v>
      </c>
      <c r="B3692" s="920">
        <v>3.5</v>
      </c>
      <c r="C3692" s="920">
        <f>$A3692*$B3692</f>
        <v>3.5</v>
      </c>
      <c r="D3692" s="921" t="str">
        <f>Elec_Rates!$D$46</f>
        <v>004# Light point rate (Galvanised Conduit)</v>
      </c>
      <c r="E3692" s="921" t="s">
        <v>3009</v>
      </c>
      <c r="F3692" s="918"/>
      <c r="G3692" s="922" t="s">
        <v>2878</v>
      </c>
      <c r="H3692" s="922"/>
      <c r="I3692" s="922"/>
      <c r="J3692" s="922"/>
      <c r="K3692" s="923"/>
      <c r="L3692" s="918"/>
      <c r="M3692" s="918"/>
      <c r="N3692" s="918"/>
      <c r="O3692" s="924"/>
      <c r="P3692" s="921"/>
      <c r="Q3692" s="925">
        <f ca="1">$B3692*Elec_Rates!$R$46</f>
        <v>163.13499999999999</v>
      </c>
      <c r="R3692" s="916">
        <f ca="1">$A3692*Q3692</f>
        <v>163.13499999999999</v>
      </c>
      <c r="S3692" s="925">
        <f ca="1">$B3692*Elec_Rates!$T$46</f>
        <v>10.43</v>
      </c>
      <c r="T3692" s="917">
        <f ca="1">$A3692*S3692</f>
        <v>10.43</v>
      </c>
      <c r="U3692" s="926"/>
      <c r="AR3692" s="919">
        <v>1</v>
      </c>
      <c r="AS3692" s="918"/>
    </row>
    <row r="3693" spans="1:45" s="520" customFormat="1" ht="12">
      <c r="A3693" s="758"/>
      <c r="B3693" s="758"/>
      <c r="C3693" s="758"/>
      <c r="D3693" s="758"/>
      <c r="E3693" s="758"/>
      <c r="F3693" s="753"/>
      <c r="G3693" s="758"/>
      <c r="H3693" s="758"/>
      <c r="I3693" s="519"/>
      <c r="J3693" s="758"/>
      <c r="K3693" s="758"/>
      <c r="L3693" s="758"/>
      <c r="M3693" s="758"/>
      <c r="N3693" s="758"/>
      <c r="O3693" s="758"/>
      <c r="P3693" s="758"/>
      <c r="Q3693" s="519"/>
      <c r="R3693" s="759">
        <f>$A3693*Q3693</f>
        <v>0</v>
      </c>
      <c r="S3693" s="519"/>
      <c r="T3693" s="760">
        <f>$A3693*S3693*$T$1</f>
        <v>0</v>
      </c>
      <c r="AR3693" s="758"/>
      <c r="AS3693" s="753"/>
    </row>
    <row r="3694" spans="1:45" s="520" customFormat="1" ht="12.6" thickBot="1">
      <c r="A3694" s="761" t="s">
        <v>145</v>
      </c>
      <c r="B3694" s="762">
        <f>(R3693+T3693)</f>
        <v>0</v>
      </c>
      <c r="C3694" s="763"/>
      <c r="D3694" s="763"/>
      <c r="E3694" s="763"/>
      <c r="F3694" s="764"/>
      <c r="G3694" s="763" t="s">
        <v>146</v>
      </c>
      <c r="H3694" s="763"/>
      <c r="I3694" s="765"/>
      <c r="J3694" s="763"/>
      <c r="K3694" s="763" t="s">
        <v>3</v>
      </c>
      <c r="L3694" s="766" t="s">
        <v>143</v>
      </c>
      <c r="M3694" s="766"/>
      <c r="N3694" s="766"/>
      <c r="O3694" s="766"/>
      <c r="P3694" s="766"/>
      <c r="Q3694" s="767"/>
      <c r="R3694" s="768">
        <f ca="1">SUM(R3690:R3693)</f>
        <v>163.13499999999999</v>
      </c>
      <c r="S3694" s="763"/>
      <c r="T3694" s="768">
        <f ca="1">SUM(T3690:T3693)</f>
        <v>10.43</v>
      </c>
      <c r="U3694" s="531"/>
      <c r="V3694" s="531"/>
      <c r="W3694" s="531"/>
      <c r="X3694" s="531"/>
      <c r="Y3694" s="531"/>
      <c r="Z3694" s="531"/>
      <c r="AA3694" s="531"/>
      <c r="AB3694" s="531"/>
      <c r="AC3694" s="531"/>
      <c r="AD3694" s="531"/>
      <c r="AE3694" s="531"/>
      <c r="AF3694" s="531"/>
      <c r="AG3694" s="531"/>
      <c r="AH3694" s="531"/>
      <c r="AI3694" s="531"/>
      <c r="AJ3694" s="531"/>
      <c r="AK3694" s="531"/>
      <c r="AL3694" s="531"/>
      <c r="AM3694" s="531"/>
      <c r="AN3694" s="531"/>
      <c r="AO3694" s="531"/>
      <c r="AR3694" s="761" t="s">
        <v>145</v>
      </c>
      <c r="AS3694" s="764"/>
    </row>
    <row r="3695" spans="1:45" s="520" customFormat="1" ht="12" thickTop="1">
      <c r="A3695" s="51"/>
      <c r="B3695" s="41"/>
      <c r="C3695" s="51"/>
      <c r="E3695" s="42" t="s">
        <v>138</v>
      </c>
      <c r="F3695" s="42" t="s">
        <v>139</v>
      </c>
      <c r="G3695" s="51"/>
      <c r="H3695" s="51"/>
      <c r="I3695" s="51"/>
      <c r="J3695" s="51"/>
      <c r="K3695" s="51" t="s">
        <v>140</v>
      </c>
      <c r="L3695" s="51"/>
      <c r="M3695" s="51"/>
      <c r="N3695" s="51"/>
      <c r="O3695" s="52"/>
      <c r="P3695" s="51"/>
      <c r="Q3695" s="51"/>
      <c r="R3695" s="51"/>
      <c r="S3695" s="51"/>
      <c r="T3695" s="41"/>
      <c r="AG3695" s="521" t="s">
        <v>268</v>
      </c>
      <c r="AH3695" s="521" t="s">
        <v>269</v>
      </c>
      <c r="AI3695" s="521" t="s">
        <v>270</v>
      </c>
      <c r="AJ3695" s="521" t="s">
        <v>271</v>
      </c>
      <c r="AK3695" s="521" t="s">
        <v>272</v>
      </c>
      <c r="AM3695" s="745" t="s">
        <v>281</v>
      </c>
      <c r="AN3695" s="746" t="s">
        <v>282</v>
      </c>
      <c r="AO3695" s="522" t="s">
        <v>278</v>
      </c>
      <c r="AR3695" s="51"/>
      <c r="AS3695" s="42" t="s">
        <v>139</v>
      </c>
    </row>
    <row r="3696" spans="1:45" s="520" customFormat="1" ht="12" customHeight="1">
      <c r="A3696" s="747">
        <v>2</v>
      </c>
      <c r="B3696" s="523" t="s">
        <v>141</v>
      </c>
      <c r="C3696" s="748"/>
      <c r="D3696" s="749" t="s">
        <v>1690</v>
      </c>
      <c r="E3696" s="750">
        <f ca="1">IF(AND($A3696=0,$A$1="DIF"),0, ROUND(ROUND(($R3701*$S$2+($T3701*$T$2))/A3696,2)*$C$2,2))</f>
        <v>899.26</v>
      </c>
      <c r="F3696" s="751">
        <f ca="1">ROUND($A3696*$E3696,2)</f>
        <v>1798.52</v>
      </c>
      <c r="G3696" s="752" t="s">
        <v>142</v>
      </c>
      <c r="H3696" s="753"/>
      <c r="I3696" s="754"/>
      <c r="J3696" s="753"/>
      <c r="K3696" s="753" t="s">
        <v>3</v>
      </c>
      <c r="L3696" s="755" t="s">
        <v>143</v>
      </c>
      <c r="M3696" s="755"/>
      <c r="N3696" s="755"/>
      <c r="O3696" s="755"/>
      <c r="P3696" s="755"/>
      <c r="Q3696" s="51"/>
      <c r="T3696" s="756" t="str">
        <f ca="1">IF(AND($R3701=0,$T3701=0),"0.00","mu :" &amp; ROUND($F3696/$C$2/($R3701+$T3701*$D$9),2))</f>
        <v>mu :1.23</v>
      </c>
      <c r="W3696" s="524"/>
      <c r="AG3696" s="481">
        <f ca="1">IF($E3696=0,0,ROUND($R3701*$S$2*$C$2/$A3696,2))</f>
        <v>332.56</v>
      </c>
      <c r="AH3696" s="481">
        <f ca="1">$AG3696*$A3696</f>
        <v>665.12</v>
      </c>
      <c r="AI3696" s="525">
        <f ca="1">$E3696-$AG3696</f>
        <v>566.70000000000005</v>
      </c>
      <c r="AJ3696" s="525">
        <f ca="1">$A3696*$AI3696</f>
        <v>1133.4000000000001</v>
      </c>
      <c r="AK3696" s="526">
        <f ca="1">ROUND(($AG3696+$AI3696)*$A3696,2)</f>
        <v>1798.52</v>
      </c>
      <c r="AM3696" s="527">
        <f ca="1">ROUND(R3701,2)</f>
        <v>540.16</v>
      </c>
      <c r="AN3696" s="528">
        <f ca="1">ROUND(T3701,2)</f>
        <v>33.520000000000003</v>
      </c>
      <c r="AO3696" s="529">
        <f ca="1">ROUND(AM3696+AN3696,2)*A3696</f>
        <v>1147.3599999999999</v>
      </c>
      <c r="AR3696" s="747">
        <v>2</v>
      </c>
      <c r="AS3696" s="751">
        <v>1922.96</v>
      </c>
    </row>
    <row r="3697" spans="1:45" s="520" customFormat="1" ht="13.2">
      <c r="A3697" s="748"/>
      <c r="B3697"/>
      <c r="C3697" s="748"/>
      <c r="D3697" s="749" t="s">
        <v>819</v>
      </c>
      <c r="F3697" s="753"/>
      <c r="G3697" s="3"/>
      <c r="H3697" s="753"/>
      <c r="I3697" s="754"/>
      <c r="J3697" s="753"/>
      <c r="K3697" s="753" t="s">
        <v>144</v>
      </c>
      <c r="L3697" s="753"/>
      <c r="M3697" s="753"/>
      <c r="N3697" s="753"/>
      <c r="O3697" s="753"/>
      <c r="P3697" s="753"/>
      <c r="Q3697" s="51"/>
      <c r="R3697" s="530"/>
      <c r="S3697" s="757"/>
      <c r="T3697" s="753"/>
      <c r="AR3697" s="748"/>
      <c r="AS3697" s="753"/>
    </row>
    <row r="3698" spans="1:45" s="886" customFormat="1" ht="13.2">
      <c r="A3698"/>
      <c r="B3698" s="910"/>
      <c r="C3698" s="910" t="s">
        <v>2597</v>
      </c>
      <c r="D3698" s="910" t="str">
        <f ca="1">CELL("Address",Elec_Rates!D$56)</f>
        <v>[E25_0062_Quintano_Foods_Elec_ELV_As_Awarded.xlsx]Elec_Rates!$D$56</v>
      </c>
      <c r="E3698" s="911"/>
      <c r="F3698" s="911"/>
      <c r="G3698" s="912" t="s">
        <v>2598</v>
      </c>
      <c r="H3698" s="912"/>
      <c r="I3698" s="912"/>
      <c r="J3698" s="912"/>
      <c r="K3698" s="913"/>
      <c r="L3698" s="911"/>
      <c r="M3698" s="911"/>
      <c r="N3698" s="911"/>
      <c r="O3698" s="914"/>
      <c r="P3698" s="911"/>
      <c r="Q3698" s="915"/>
      <c r="R3698" s="916"/>
      <c r="S3698" s="915"/>
      <c r="T3698" s="917"/>
      <c r="U3698" s="918"/>
      <c r="AR3698"/>
      <c r="AS3698" s="911"/>
    </row>
    <row r="3699" spans="1:45" s="886" customFormat="1" ht="11.4">
      <c r="A3699" s="919">
        <v>2</v>
      </c>
      <c r="B3699" s="920">
        <v>4</v>
      </c>
      <c r="C3699" s="920">
        <f>$A3699*$B3699</f>
        <v>8</v>
      </c>
      <c r="D3699" s="921" t="str">
        <f>Elec_Rates!$D$56</f>
        <v>005# Externall Light point rate (Galvanised Conduit)</v>
      </c>
      <c r="E3699" s="921" t="s">
        <v>3010</v>
      </c>
      <c r="F3699" s="918"/>
      <c r="G3699" s="922" t="s">
        <v>2878</v>
      </c>
      <c r="H3699" s="922"/>
      <c r="I3699" s="922"/>
      <c r="J3699" s="922"/>
      <c r="K3699" s="923"/>
      <c r="L3699" s="918"/>
      <c r="M3699" s="918"/>
      <c r="N3699" s="918"/>
      <c r="O3699" s="924"/>
      <c r="P3699" s="921"/>
      <c r="Q3699" s="925">
        <f ca="1">$B3699*Elec_Rates!$R$56</f>
        <v>270.08</v>
      </c>
      <c r="R3699" s="916">
        <f ca="1">$A3699*Q3699</f>
        <v>540.16</v>
      </c>
      <c r="S3699" s="925">
        <f ca="1">$B3699*Elec_Rates!$T$56</f>
        <v>16.760000000000002</v>
      </c>
      <c r="T3699" s="917">
        <f ca="1">$A3699*S3699</f>
        <v>33.520000000000003</v>
      </c>
      <c r="U3699" s="926"/>
      <c r="AR3699" s="919">
        <v>2</v>
      </c>
      <c r="AS3699" s="918"/>
    </row>
    <row r="3700" spans="1:45" s="520" customFormat="1" ht="12">
      <c r="A3700" s="758"/>
      <c r="B3700" s="758"/>
      <c r="C3700" s="758"/>
      <c r="D3700" s="758"/>
      <c r="E3700" s="758"/>
      <c r="F3700" s="753"/>
      <c r="G3700" s="758"/>
      <c r="H3700" s="758"/>
      <c r="I3700" s="519"/>
      <c r="J3700" s="758"/>
      <c r="K3700" s="758"/>
      <c r="L3700" s="758"/>
      <c r="M3700" s="758"/>
      <c r="N3700" s="758"/>
      <c r="O3700" s="758"/>
      <c r="P3700" s="758"/>
      <c r="Q3700" s="519"/>
      <c r="R3700" s="759">
        <f>$A3700*Q3700</f>
        <v>0</v>
      </c>
      <c r="S3700" s="519"/>
      <c r="T3700" s="760">
        <f>$A3700*S3700*$T$1</f>
        <v>0</v>
      </c>
      <c r="AR3700" s="758"/>
      <c r="AS3700" s="753"/>
    </row>
    <row r="3701" spans="1:45" s="520" customFormat="1" ht="12.6" thickBot="1">
      <c r="A3701" s="761" t="s">
        <v>145</v>
      </c>
      <c r="B3701" s="762">
        <f>(R3700+T3700)</f>
        <v>0</v>
      </c>
      <c r="C3701" s="763"/>
      <c r="D3701" s="763"/>
      <c r="E3701" s="763"/>
      <c r="F3701" s="764"/>
      <c r="G3701" s="763" t="s">
        <v>146</v>
      </c>
      <c r="H3701" s="763"/>
      <c r="I3701" s="765"/>
      <c r="J3701" s="763"/>
      <c r="K3701" s="763" t="s">
        <v>3</v>
      </c>
      <c r="L3701" s="766" t="s">
        <v>143</v>
      </c>
      <c r="M3701" s="766"/>
      <c r="N3701" s="766"/>
      <c r="O3701" s="766"/>
      <c r="P3701" s="766"/>
      <c r="Q3701" s="767"/>
      <c r="R3701" s="768">
        <f ca="1">SUM(R3697:R3700)</f>
        <v>540.16</v>
      </c>
      <c r="S3701" s="763"/>
      <c r="T3701" s="768">
        <f ca="1">SUM(T3697:T3700)</f>
        <v>33.520000000000003</v>
      </c>
      <c r="U3701" s="531"/>
      <c r="V3701" s="531"/>
      <c r="W3701" s="531"/>
      <c r="X3701" s="531"/>
      <c r="Y3701" s="531"/>
      <c r="Z3701" s="531"/>
      <c r="AA3701" s="531"/>
      <c r="AB3701" s="531"/>
      <c r="AC3701" s="531"/>
      <c r="AD3701" s="531"/>
      <c r="AE3701" s="531"/>
      <c r="AF3701" s="531"/>
      <c r="AG3701" s="531"/>
      <c r="AH3701" s="531"/>
      <c r="AI3701" s="531"/>
      <c r="AJ3701" s="531"/>
      <c r="AK3701" s="531"/>
      <c r="AL3701" s="531"/>
      <c r="AM3701" s="531"/>
      <c r="AN3701" s="531"/>
      <c r="AO3701" s="531"/>
      <c r="AR3701" s="761" t="s">
        <v>145</v>
      </c>
      <c r="AS3701" s="764"/>
    </row>
    <row r="3702" spans="1:45" s="520" customFormat="1" ht="12" thickTop="1">
      <c r="A3702" s="51"/>
      <c r="B3702" s="41"/>
      <c r="C3702" s="51"/>
      <c r="E3702" s="42" t="s">
        <v>138</v>
      </c>
      <c r="F3702" s="42" t="s">
        <v>139</v>
      </c>
      <c r="G3702" s="51"/>
      <c r="H3702" s="51"/>
      <c r="I3702" s="51"/>
      <c r="J3702" s="51"/>
      <c r="K3702" s="51" t="s">
        <v>140</v>
      </c>
      <c r="L3702" s="51"/>
      <c r="M3702" s="51"/>
      <c r="N3702" s="51"/>
      <c r="O3702" s="52"/>
      <c r="P3702" s="51"/>
      <c r="Q3702" s="51"/>
      <c r="R3702" s="51"/>
      <c r="S3702" s="51"/>
      <c r="T3702" s="41"/>
      <c r="AG3702" s="521" t="s">
        <v>268</v>
      </c>
      <c r="AH3702" s="521" t="s">
        <v>269</v>
      </c>
      <c r="AI3702" s="521" t="s">
        <v>270</v>
      </c>
      <c r="AJ3702" s="521" t="s">
        <v>271</v>
      </c>
      <c r="AK3702" s="521" t="s">
        <v>272</v>
      </c>
      <c r="AM3702" s="745" t="s">
        <v>281</v>
      </c>
      <c r="AN3702" s="746" t="s">
        <v>282</v>
      </c>
      <c r="AO3702" s="522" t="s">
        <v>278</v>
      </c>
      <c r="AR3702" s="51"/>
      <c r="AS3702" s="42" t="s">
        <v>139</v>
      </c>
    </row>
    <row r="3703" spans="1:45" s="520" customFormat="1" ht="12" customHeight="1">
      <c r="A3703" s="747">
        <v>8</v>
      </c>
      <c r="B3703" s="523" t="s">
        <v>141</v>
      </c>
      <c r="C3703" s="748"/>
      <c r="D3703" s="749" t="s">
        <v>1691</v>
      </c>
      <c r="E3703" s="750">
        <f>IF(AND($A3703=0,$A$1="DIF"),0, ROUND(ROUND(($R3707*$S$2+($T3707*$T$2))/A3703,2)*$C$2,2))</f>
        <v>0</v>
      </c>
      <c r="F3703" s="751">
        <f>ROUND($A3703*$E3703,2)</f>
        <v>0</v>
      </c>
      <c r="G3703" s="752" t="s">
        <v>142</v>
      </c>
      <c r="H3703" s="753"/>
      <c r="I3703" s="754"/>
      <c r="J3703" s="753"/>
      <c r="K3703" s="753" t="s">
        <v>3</v>
      </c>
      <c r="L3703" s="755" t="s">
        <v>143</v>
      </c>
      <c r="M3703" s="755"/>
      <c r="N3703" s="755"/>
      <c r="O3703" s="755"/>
      <c r="P3703" s="755"/>
      <c r="Q3703" s="53" t="s">
        <v>3011</v>
      </c>
      <c r="T3703" s="756" t="str">
        <f>IF(AND($R3707=0,$T3707=0),"0.00","mu :" &amp; ROUND($F3703/$C$2/($R3707+$T3707*$D$9),2))</f>
        <v>0.00</v>
      </c>
      <c r="W3703" s="524"/>
      <c r="AG3703" s="481">
        <f>IF($E3703=0,0,ROUND($R3707*$S$2*$C$2/$A3703,2))</f>
        <v>0</v>
      </c>
      <c r="AH3703" s="481">
        <f>$AG3703*$A3703</f>
        <v>0</v>
      </c>
      <c r="AI3703" s="525">
        <f>$E3703-$AG3703</f>
        <v>0</v>
      </c>
      <c r="AJ3703" s="525">
        <f>$A3703*$AI3703</f>
        <v>0</v>
      </c>
      <c r="AK3703" s="526">
        <f>ROUND(($AG3703+$AI3703)*$A3703,2)</f>
        <v>0</v>
      </c>
      <c r="AM3703" s="527">
        <f>ROUND(R3707,2)</f>
        <v>0</v>
      </c>
      <c r="AN3703" s="528">
        <f>ROUND(T3707,2)</f>
        <v>0</v>
      </c>
      <c r="AO3703" s="529">
        <f>ROUND(AM3703+AN3703,2)*A3703</f>
        <v>0</v>
      </c>
      <c r="AR3703" s="747">
        <v>8</v>
      </c>
      <c r="AS3703" s="751">
        <v>0</v>
      </c>
    </row>
    <row r="3704" spans="1:45" s="520" customFormat="1" ht="13.2">
      <c r="A3704" s="748"/>
      <c r="B3704"/>
      <c r="C3704" s="748"/>
      <c r="D3704" s="749" t="s">
        <v>776</v>
      </c>
      <c r="F3704" s="753"/>
      <c r="G3704" s="3"/>
      <c r="H3704" s="753"/>
      <c r="I3704" s="754"/>
      <c r="J3704" s="753"/>
      <c r="K3704" s="753" t="s">
        <v>144</v>
      </c>
      <c r="L3704" s="753"/>
      <c r="M3704" s="753"/>
      <c r="N3704" s="753"/>
      <c r="O3704" s="753"/>
      <c r="P3704" s="753"/>
      <c r="Q3704" s="51"/>
      <c r="R3704" s="530"/>
      <c r="S3704" s="757"/>
      <c r="T3704" s="753"/>
      <c r="AR3704" s="748"/>
      <c r="AS3704" s="753"/>
    </row>
    <row r="3705" spans="1:45" s="520" customFormat="1" ht="12">
      <c r="A3705" s="51"/>
      <c r="B3705" s="758"/>
      <c r="C3705" s="758"/>
      <c r="D3705" s="1061" t="s">
        <v>3253</v>
      </c>
      <c r="E3705" s="758"/>
      <c r="F3705" s="753"/>
      <c r="G3705" s="758"/>
      <c r="H3705" s="758"/>
      <c r="I3705" s="519"/>
      <c r="J3705" s="758"/>
      <c r="K3705" s="758"/>
      <c r="L3705" s="758"/>
      <c r="M3705" s="758"/>
      <c r="N3705" s="758"/>
      <c r="O3705" s="758"/>
      <c r="P3705" s="758"/>
      <c r="Q3705" s="519"/>
      <c r="R3705" s="759">
        <f t="shared" ref="R3705:R3706" si="112">$A3705*Q3705</f>
        <v>0</v>
      </c>
      <c r="S3705" s="519"/>
      <c r="T3705" s="760">
        <f t="shared" ref="T3705:T3706" si="113">$A3705*S3705*$T$1</f>
        <v>0</v>
      </c>
      <c r="AR3705" s="51"/>
      <c r="AS3705" s="753"/>
    </row>
    <row r="3706" spans="1:45" s="520" customFormat="1" ht="12">
      <c r="A3706" s="758"/>
      <c r="B3706" s="758"/>
      <c r="C3706" s="758"/>
      <c r="D3706" s="758"/>
      <c r="E3706" s="758"/>
      <c r="F3706" s="753"/>
      <c r="G3706" s="758"/>
      <c r="H3706" s="758"/>
      <c r="I3706" s="519"/>
      <c r="J3706" s="758"/>
      <c r="K3706" s="758"/>
      <c r="L3706" s="758"/>
      <c r="M3706" s="758"/>
      <c r="N3706" s="758"/>
      <c r="O3706" s="758"/>
      <c r="P3706" s="758"/>
      <c r="Q3706" s="519"/>
      <c r="R3706" s="759">
        <f t="shared" si="112"/>
        <v>0</v>
      </c>
      <c r="S3706" s="519"/>
      <c r="T3706" s="760">
        <f t="shared" si="113"/>
        <v>0</v>
      </c>
      <c r="AR3706" s="758"/>
      <c r="AS3706" s="753"/>
    </row>
    <row r="3707" spans="1:45" s="520" customFormat="1" ht="12.6" thickBot="1">
      <c r="A3707" s="761" t="s">
        <v>145</v>
      </c>
      <c r="B3707" s="762">
        <f>(R3706+T3706)</f>
        <v>0</v>
      </c>
      <c r="C3707" s="763"/>
      <c r="D3707" s="763"/>
      <c r="E3707" s="763"/>
      <c r="F3707" s="764"/>
      <c r="G3707" s="763" t="s">
        <v>146</v>
      </c>
      <c r="H3707" s="763"/>
      <c r="I3707" s="765"/>
      <c r="J3707" s="763"/>
      <c r="K3707" s="763" t="s">
        <v>3</v>
      </c>
      <c r="L3707" s="766" t="s">
        <v>143</v>
      </c>
      <c r="M3707" s="766"/>
      <c r="N3707" s="766"/>
      <c r="O3707" s="766"/>
      <c r="P3707" s="766"/>
      <c r="Q3707" s="767"/>
      <c r="R3707" s="768">
        <f>SUM(R3704:R3706)</f>
        <v>0</v>
      </c>
      <c r="S3707" s="763"/>
      <c r="T3707" s="768">
        <f>SUM(T3704:T3706)</f>
        <v>0</v>
      </c>
      <c r="U3707" s="531"/>
      <c r="V3707" s="531"/>
      <c r="W3707" s="531"/>
      <c r="X3707" s="531"/>
      <c r="Y3707" s="531"/>
      <c r="Z3707" s="531"/>
      <c r="AA3707" s="531"/>
      <c r="AB3707" s="531"/>
      <c r="AC3707" s="531"/>
      <c r="AD3707" s="531"/>
      <c r="AE3707" s="531"/>
      <c r="AF3707" s="531"/>
      <c r="AG3707" s="531"/>
      <c r="AH3707" s="531"/>
      <c r="AI3707" s="531"/>
      <c r="AJ3707" s="531"/>
      <c r="AK3707" s="531"/>
      <c r="AL3707" s="531"/>
      <c r="AM3707" s="531"/>
      <c r="AN3707" s="531"/>
      <c r="AO3707" s="531"/>
      <c r="AR3707" s="761" t="s">
        <v>145</v>
      </c>
      <c r="AS3707" s="764"/>
    </row>
    <row r="3708" spans="1:45" s="520" customFormat="1" thickTop="1">
      <c r="A3708" s="51"/>
      <c r="B3708" s="51"/>
      <c r="C3708" s="3"/>
      <c r="D3708" s="3"/>
      <c r="E3708" s="51"/>
      <c r="F3708" s="51"/>
      <c r="G3708" s="51"/>
      <c r="H3708" s="51"/>
      <c r="I3708" s="51"/>
      <c r="J3708" s="51"/>
      <c r="K3708" s="51" t="s">
        <v>134</v>
      </c>
      <c r="L3708" s="51"/>
      <c r="M3708" s="51"/>
      <c r="N3708" s="51"/>
      <c r="O3708" s="52"/>
      <c r="P3708" s="51"/>
      <c r="Q3708" s="51"/>
      <c r="R3708" s="51"/>
      <c r="S3708" s="51"/>
      <c r="T3708" s="51"/>
      <c r="AR3708" s="51"/>
      <c r="AS3708" s="51"/>
    </row>
    <row r="3709" spans="1:45" s="520" customFormat="1" ht="12">
      <c r="A3709" s="51"/>
      <c r="B3709" s="51"/>
      <c r="C3709" s="51" t="s">
        <v>135</v>
      </c>
      <c r="D3709" s="37"/>
      <c r="E3709" s="51"/>
      <c r="F3709" s="51"/>
      <c r="G3709" s="51"/>
      <c r="H3709" s="51"/>
      <c r="I3709" s="51"/>
      <c r="J3709" s="51"/>
      <c r="K3709" s="51"/>
      <c r="L3709" s="51"/>
      <c r="M3709" s="51"/>
      <c r="N3709" s="51"/>
      <c r="O3709" s="52"/>
      <c r="P3709" s="51"/>
      <c r="Q3709" s="51"/>
      <c r="R3709" s="51"/>
      <c r="S3709" s="51"/>
      <c r="T3709" s="51"/>
      <c r="AR3709" s="51"/>
      <c r="AS3709" s="51"/>
    </row>
    <row r="3710" spans="1:45" s="520" customFormat="1" ht="12">
      <c r="A3710" s="51"/>
      <c r="B3710" s="51"/>
      <c r="C3710" s="51"/>
      <c r="D3710" s="37" t="s">
        <v>778</v>
      </c>
      <c r="E3710" s="51"/>
      <c r="F3710" s="51"/>
      <c r="G3710" s="51"/>
      <c r="H3710" s="51"/>
      <c r="I3710" s="51"/>
      <c r="J3710" s="51"/>
      <c r="K3710" s="51"/>
      <c r="L3710" s="51"/>
      <c r="M3710" s="51"/>
      <c r="N3710" s="51"/>
      <c r="O3710" s="52"/>
      <c r="P3710" s="51"/>
      <c r="Q3710" s="51"/>
      <c r="R3710" s="51"/>
      <c r="S3710" s="38"/>
      <c r="T3710" s="38"/>
      <c r="AR3710" s="51"/>
      <c r="AS3710" s="51"/>
    </row>
    <row r="3711" spans="1:45" s="3" customFormat="1" thickBot="1">
      <c r="A3711" s="531"/>
      <c r="O3711" s="107"/>
      <c r="AR3711" s="531"/>
    </row>
    <row r="3712" spans="1:45" s="520" customFormat="1" ht="12" thickTop="1">
      <c r="A3712" s="51"/>
      <c r="B3712" s="41"/>
      <c r="C3712" s="51"/>
      <c r="E3712" s="42" t="s">
        <v>138</v>
      </c>
      <c r="F3712" s="42" t="s">
        <v>139</v>
      </c>
      <c r="G3712" s="51"/>
      <c r="H3712" s="51"/>
      <c r="I3712" s="51"/>
      <c r="J3712" s="51"/>
      <c r="K3712" s="51" t="s">
        <v>140</v>
      </c>
      <c r="L3712" s="51"/>
      <c r="M3712" s="51"/>
      <c r="N3712" s="51"/>
      <c r="O3712" s="52"/>
      <c r="P3712" s="51"/>
      <c r="Q3712" s="51"/>
      <c r="R3712" s="51"/>
      <c r="S3712" s="51"/>
      <c r="T3712" s="41"/>
      <c r="AG3712" s="521" t="s">
        <v>268</v>
      </c>
      <c r="AH3712" s="521" t="s">
        <v>269</v>
      </c>
      <c r="AI3712" s="521" t="s">
        <v>270</v>
      </c>
      <c r="AJ3712" s="521" t="s">
        <v>271</v>
      </c>
      <c r="AK3712" s="521" t="s">
        <v>272</v>
      </c>
      <c r="AM3712" s="745" t="s">
        <v>281</v>
      </c>
      <c r="AN3712" s="746" t="s">
        <v>282</v>
      </c>
      <c r="AO3712" s="522" t="s">
        <v>278</v>
      </c>
      <c r="AR3712" s="51"/>
      <c r="AS3712" s="42" t="s">
        <v>139</v>
      </c>
    </row>
    <row r="3713" spans="1:45" s="520" customFormat="1" ht="12" customHeight="1">
      <c r="A3713" s="747">
        <v>1</v>
      </c>
      <c r="B3713" s="523" t="s">
        <v>141</v>
      </c>
      <c r="C3713" s="748"/>
      <c r="D3713" s="749" t="s">
        <v>1692</v>
      </c>
      <c r="E3713" s="750">
        <f ca="1">IF(AND($A3713=0,$A$1="DIF"),0, ROUND(ROUND(($R3718*$S$2+($T3718*$T$2))/A3713,2)*$C$2,2))</f>
        <v>48.45</v>
      </c>
      <c r="F3713" s="751">
        <f ca="1">ROUND($A3713*$E3713,2)</f>
        <v>48.45</v>
      </c>
      <c r="G3713" s="752" t="s">
        <v>142</v>
      </c>
      <c r="H3713" s="753"/>
      <c r="I3713" s="754"/>
      <c r="J3713" s="753"/>
      <c r="K3713" s="753" t="s">
        <v>3</v>
      </c>
      <c r="L3713" s="755" t="s">
        <v>143</v>
      </c>
      <c r="M3713" s="755"/>
      <c r="N3713" s="755"/>
      <c r="O3713" s="755"/>
      <c r="P3713" s="755"/>
      <c r="Q3713" s="51"/>
      <c r="T3713" s="756" t="str">
        <f ca="1">IF(AND($R3718=0,$T3718=0),"0.00","mu :" &amp; ROUND($F3713/$C$2/($R3718+$T3718*$D$9),2))</f>
        <v>mu :1.23</v>
      </c>
      <c r="W3713" s="524"/>
      <c r="AG3713" s="481">
        <f ca="1">IF($E3713=0,0,ROUND($R3718*$S$2*$C$2/$A3713,2))</f>
        <v>31.55</v>
      </c>
      <c r="AH3713" s="481">
        <f ca="1">$AG3713*$A3713</f>
        <v>31.55</v>
      </c>
      <c r="AI3713" s="525">
        <f ca="1">$E3713-$AG3713</f>
        <v>16.900000000000002</v>
      </c>
      <c r="AJ3713" s="525">
        <f ca="1">$A3713*$AI3713</f>
        <v>16.900000000000002</v>
      </c>
      <c r="AK3713" s="526">
        <f ca="1">ROUND(($AG3713+$AI3713)*$A3713,2)</f>
        <v>48.45</v>
      </c>
      <c r="AM3713" s="527">
        <f ca="1">ROUND(R3718,2)</f>
        <v>25.62</v>
      </c>
      <c r="AN3713" s="528">
        <f ca="1">ROUND(T3718,2)</f>
        <v>0.5</v>
      </c>
      <c r="AO3713" s="529">
        <f ca="1">ROUND(AM3713+AN3713,2)*A3713</f>
        <v>26.12</v>
      </c>
      <c r="AR3713" s="747">
        <v>1</v>
      </c>
      <c r="AS3713" s="751">
        <v>50.14</v>
      </c>
    </row>
    <row r="3714" spans="1:45" s="520" customFormat="1" ht="13.2">
      <c r="A3714" s="748"/>
      <c r="B3714"/>
      <c r="C3714" s="748"/>
      <c r="D3714" s="749" t="s">
        <v>779</v>
      </c>
      <c r="F3714" s="753"/>
      <c r="G3714" s="3"/>
      <c r="H3714" s="753"/>
      <c r="I3714" s="754"/>
      <c r="J3714" s="753"/>
      <c r="K3714" s="753" t="s">
        <v>144</v>
      </c>
      <c r="L3714" s="753"/>
      <c r="M3714" s="753"/>
      <c r="N3714" s="753"/>
      <c r="O3714" s="753"/>
      <c r="P3714" s="753"/>
      <c r="Q3714" s="51"/>
      <c r="R3714" s="530"/>
      <c r="S3714" s="757"/>
      <c r="T3714" s="753"/>
      <c r="AR3714" s="748"/>
      <c r="AS3714" s="753"/>
    </row>
    <row r="3715" spans="1:45" s="520" customFormat="1" ht="12">
      <c r="A3715" s="51"/>
      <c r="B3715" s="758"/>
      <c r="C3715" s="753" t="s">
        <v>2597</v>
      </c>
      <c r="D3715" s="753" t="str">
        <f ca="1">CELL("Address",Elec_Rates!$D$192)</f>
        <v>[E25_0062_Quintano_Foods_Elec_ELV_As_Awarded.xlsx]Elec_Rates!$D$192</v>
      </c>
      <c r="E3715" s="758"/>
      <c r="F3715" s="753"/>
      <c r="G3715" s="1049" t="s">
        <v>2598</v>
      </c>
      <c r="H3715" s="1050"/>
      <c r="I3715" s="1051"/>
      <c r="J3715" s="1050"/>
      <c r="K3715" s="1050"/>
      <c r="L3715" s="758"/>
      <c r="M3715" s="758"/>
      <c r="N3715" s="758"/>
      <c r="O3715" s="758"/>
      <c r="P3715" s="758"/>
      <c r="Q3715" s="519"/>
      <c r="R3715" s="759"/>
      <c r="S3715" s="519"/>
      <c r="T3715" s="760"/>
      <c r="AR3715" s="51"/>
      <c r="AS3715" s="753"/>
    </row>
    <row r="3716" spans="1:45" s="520" customFormat="1" ht="11.4">
      <c r="A3716" s="51">
        <v>1</v>
      </c>
      <c r="B3716" s="519">
        <v>1</v>
      </c>
      <c r="C3716" s="519">
        <f>$A3716*$B3716</f>
        <v>1</v>
      </c>
      <c r="D3716" s="1048" t="str">
        <f>Elec_Rates!$D$192</f>
        <v>018# 1-Phase 25/32A Isolator</v>
      </c>
      <c r="E3716" s="1048"/>
      <c r="F3716" s="1048" t="s">
        <v>2733</v>
      </c>
      <c r="G3716" s="1050" t="s">
        <v>2600</v>
      </c>
      <c r="H3716" s="1050"/>
      <c r="I3716" s="1051"/>
      <c r="J3716" s="1050"/>
      <c r="K3716" s="1050"/>
      <c r="L3716" s="758"/>
      <c r="M3716" s="758"/>
      <c r="N3716" s="758"/>
      <c r="O3716" s="758"/>
      <c r="P3716" s="758"/>
      <c r="Q3716" s="1052">
        <f ca="1">$B3716*Elec_Rates!$R$192</f>
        <v>25.62</v>
      </c>
      <c r="R3716" s="759">
        <f ca="1">$A3716*Q3716</f>
        <v>25.62</v>
      </c>
      <c r="S3716" s="1052">
        <f ca="1">$B3716*Elec_Rates!$T$192</f>
        <v>0.5</v>
      </c>
      <c r="T3716" s="917">
        <f ca="1">$A3716*S3716</f>
        <v>0.5</v>
      </c>
      <c r="AR3716" s="51">
        <v>1</v>
      </c>
      <c r="AS3716" s="1048" t="s">
        <v>2733</v>
      </c>
    </row>
    <row r="3717" spans="1:45" s="520" customFormat="1" ht="12">
      <c r="A3717" s="758"/>
      <c r="B3717" s="758"/>
      <c r="C3717" s="758"/>
      <c r="D3717" s="758"/>
      <c r="E3717" s="758"/>
      <c r="F3717" s="753"/>
      <c r="G3717" s="758"/>
      <c r="H3717" s="758"/>
      <c r="I3717" s="519"/>
      <c r="J3717" s="758"/>
      <c r="K3717" s="758"/>
      <c r="L3717" s="758"/>
      <c r="M3717" s="758"/>
      <c r="N3717" s="758"/>
      <c r="O3717" s="758"/>
      <c r="P3717" s="758"/>
      <c r="Q3717" s="519"/>
      <c r="R3717" s="759">
        <f>$A3717*Q3717</f>
        <v>0</v>
      </c>
      <c r="S3717" s="519"/>
      <c r="T3717" s="760">
        <f>$A3717*S3717*$T$1</f>
        <v>0</v>
      </c>
      <c r="AR3717" s="758"/>
      <c r="AS3717" s="753"/>
    </row>
    <row r="3718" spans="1:45" s="520" customFormat="1" ht="12.6" thickBot="1">
      <c r="A3718" s="761" t="s">
        <v>145</v>
      </c>
      <c r="B3718" s="762">
        <f>(R3717+T3717)</f>
        <v>0</v>
      </c>
      <c r="C3718" s="763"/>
      <c r="D3718" s="763"/>
      <c r="E3718" s="763"/>
      <c r="F3718" s="764"/>
      <c r="G3718" s="763" t="s">
        <v>146</v>
      </c>
      <c r="H3718" s="763"/>
      <c r="I3718" s="765"/>
      <c r="J3718" s="763"/>
      <c r="K3718" s="763" t="s">
        <v>3</v>
      </c>
      <c r="L3718" s="766" t="s">
        <v>143</v>
      </c>
      <c r="M3718" s="766"/>
      <c r="N3718" s="766"/>
      <c r="O3718" s="766"/>
      <c r="P3718" s="766"/>
      <c r="Q3718" s="767"/>
      <c r="R3718" s="768">
        <f ca="1">SUM(R3714:R3717)</f>
        <v>25.62</v>
      </c>
      <c r="S3718" s="763"/>
      <c r="T3718" s="768">
        <f ca="1">SUM(T3714:T3717)</f>
        <v>0.5</v>
      </c>
      <c r="U3718" s="531"/>
      <c r="V3718" s="531"/>
      <c r="W3718" s="531"/>
      <c r="X3718" s="531"/>
      <c r="Y3718" s="531"/>
      <c r="Z3718" s="531"/>
      <c r="AA3718" s="531"/>
      <c r="AB3718" s="531"/>
      <c r="AC3718" s="531"/>
      <c r="AD3718" s="531"/>
      <c r="AE3718" s="531"/>
      <c r="AF3718" s="531"/>
      <c r="AG3718" s="531"/>
      <c r="AH3718" s="531"/>
      <c r="AI3718" s="531"/>
      <c r="AJ3718" s="531"/>
      <c r="AK3718" s="531"/>
      <c r="AL3718" s="531"/>
      <c r="AM3718" s="531"/>
      <c r="AN3718" s="531"/>
      <c r="AO3718" s="531"/>
      <c r="AR3718" s="761" t="s">
        <v>145</v>
      </c>
      <c r="AS3718" s="764"/>
    </row>
    <row r="3719" spans="1:45" s="520" customFormat="1" ht="12" thickTop="1">
      <c r="A3719" s="51"/>
      <c r="B3719" s="41"/>
      <c r="C3719" s="51"/>
      <c r="E3719" s="42" t="s">
        <v>138</v>
      </c>
      <c r="F3719" s="42" t="s">
        <v>139</v>
      </c>
      <c r="G3719" s="51"/>
      <c r="H3719" s="51"/>
      <c r="I3719" s="51"/>
      <c r="J3719" s="51"/>
      <c r="K3719" s="51" t="s">
        <v>140</v>
      </c>
      <c r="L3719" s="51"/>
      <c r="M3719" s="51"/>
      <c r="N3719" s="51"/>
      <c r="O3719" s="52"/>
      <c r="P3719" s="51"/>
      <c r="Q3719" s="51"/>
      <c r="R3719" s="51"/>
      <c r="S3719" s="51"/>
      <c r="T3719" s="41"/>
      <c r="AG3719" s="521" t="s">
        <v>268</v>
      </c>
      <c r="AH3719" s="521" t="s">
        <v>269</v>
      </c>
      <c r="AI3719" s="521" t="s">
        <v>270</v>
      </c>
      <c r="AJ3719" s="521" t="s">
        <v>271</v>
      </c>
      <c r="AK3719" s="521" t="s">
        <v>272</v>
      </c>
      <c r="AM3719" s="745" t="s">
        <v>281</v>
      </c>
      <c r="AN3719" s="746" t="s">
        <v>282</v>
      </c>
      <c r="AO3719" s="522" t="s">
        <v>278</v>
      </c>
      <c r="AR3719" s="51"/>
      <c r="AS3719" s="42" t="s">
        <v>139</v>
      </c>
    </row>
    <row r="3720" spans="1:45" s="520" customFormat="1" ht="12" customHeight="1">
      <c r="A3720" s="747">
        <v>6</v>
      </c>
      <c r="B3720" s="523" t="s">
        <v>141</v>
      </c>
      <c r="C3720" s="748"/>
      <c r="D3720" s="749" t="s">
        <v>1693</v>
      </c>
      <c r="E3720" s="750">
        <f ca="1">IF(AND($A3720=0,$A$1="DIF"),0, ROUND(ROUND(($R3725*$S$2+($T3725*$T$2))/A3720,2)*$C$2,2))</f>
        <v>47.62</v>
      </c>
      <c r="F3720" s="751">
        <f ca="1">ROUND($A3720*$E3720,2)</f>
        <v>285.72000000000003</v>
      </c>
      <c r="G3720" s="752" t="s">
        <v>142</v>
      </c>
      <c r="H3720" s="753"/>
      <c r="I3720" s="754"/>
      <c r="J3720" s="753"/>
      <c r="K3720" s="753" t="s">
        <v>3</v>
      </c>
      <c r="L3720" s="755" t="s">
        <v>143</v>
      </c>
      <c r="M3720" s="755"/>
      <c r="N3720" s="755"/>
      <c r="O3720" s="755"/>
      <c r="P3720" s="755"/>
      <c r="Q3720" s="51"/>
      <c r="T3720" s="756" t="str">
        <f ca="1">IF(AND($R3725=0,$T3725=0),"0.00","mu :" &amp; ROUND($F3720/$C$2/($R3725+$T3725*$D$9),2))</f>
        <v>mu :1.23</v>
      </c>
      <c r="W3720" s="524"/>
      <c r="AG3720" s="481">
        <f ca="1">IF($E3720=0,0,ROUND($R3725*$S$2*$C$2/$A3720,2))</f>
        <v>38.49</v>
      </c>
      <c r="AH3720" s="481">
        <f ca="1">$AG3720*$A3720</f>
        <v>230.94</v>
      </c>
      <c r="AI3720" s="525">
        <f ca="1">$E3720-$AG3720</f>
        <v>9.1299999999999955</v>
      </c>
      <c r="AJ3720" s="525">
        <f ca="1">$A3720*$AI3720</f>
        <v>54.779999999999973</v>
      </c>
      <c r="AK3720" s="526">
        <f ca="1">ROUND(($AG3720+$AI3720)*$A3720,2)</f>
        <v>285.72000000000003</v>
      </c>
      <c r="AM3720" s="527">
        <f ca="1">ROUND(R3725,2)</f>
        <v>187.56</v>
      </c>
      <c r="AN3720" s="528">
        <f ca="1">ROUND(T3725,2)</f>
        <v>1.62</v>
      </c>
      <c r="AO3720" s="529">
        <f ca="1">ROUND(AM3720+AN3720,2)*A3720</f>
        <v>1135.08</v>
      </c>
      <c r="AR3720" s="747">
        <v>6</v>
      </c>
      <c r="AS3720" s="751">
        <v>291.83999999999997</v>
      </c>
    </row>
    <row r="3721" spans="1:45" s="520" customFormat="1" ht="13.2">
      <c r="A3721" s="748"/>
      <c r="B3721"/>
      <c r="C3721" s="748"/>
      <c r="D3721" s="749" t="s">
        <v>781</v>
      </c>
      <c r="F3721" s="753"/>
      <c r="G3721" s="3"/>
      <c r="H3721" s="753"/>
      <c r="I3721" s="754"/>
      <c r="J3721" s="753"/>
      <c r="K3721" s="753" t="s">
        <v>144</v>
      </c>
      <c r="L3721" s="753"/>
      <c r="M3721" s="753"/>
      <c r="N3721" s="753"/>
      <c r="O3721" s="753"/>
      <c r="P3721" s="753"/>
      <c r="Q3721" s="51"/>
      <c r="R3721" s="530"/>
      <c r="S3721" s="757"/>
      <c r="T3721" s="753"/>
      <c r="AR3721" s="748"/>
      <c r="AS3721" s="753"/>
    </row>
    <row r="3722" spans="1:45" s="886" customFormat="1" ht="13.2">
      <c r="A3722"/>
      <c r="B3722" s="910"/>
      <c r="C3722" s="910" t="s">
        <v>2597</v>
      </c>
      <c r="D3722" s="910" t="str">
        <f ca="1">CELL("Address",Elec_Rates!D$165)</f>
        <v>[E25_0062_Quintano_Foods_Elec_ELV_As_Awarded.xlsx]Elec_Rates!$D$165</v>
      </c>
      <c r="E3722" s="911"/>
      <c r="F3722" s="911"/>
      <c r="G3722" s="912" t="s">
        <v>2598</v>
      </c>
      <c r="H3722" s="912"/>
      <c r="I3722" s="912"/>
      <c r="J3722" s="912"/>
      <c r="K3722" s="913"/>
      <c r="L3722" s="911"/>
      <c r="M3722" s="911"/>
      <c r="N3722" s="911"/>
      <c r="O3722" s="914"/>
      <c r="P3722" s="911"/>
      <c r="Q3722" s="915"/>
      <c r="R3722" s="916"/>
      <c r="S3722" s="915"/>
      <c r="T3722" s="917"/>
      <c r="U3722" s="918"/>
      <c r="AR3722"/>
      <c r="AS3722" s="911"/>
    </row>
    <row r="3723" spans="1:45" s="886" customFormat="1" ht="11.4">
      <c r="A3723" s="919">
        <v>6</v>
      </c>
      <c r="B3723" s="920">
        <v>1</v>
      </c>
      <c r="C3723" s="920">
        <f>$A3723*$B3723</f>
        <v>6</v>
      </c>
      <c r="D3723" s="921" t="str">
        <f>Elec_Rates!$D$165</f>
        <v>015# 3Pin 16Amp IP67 Interlocked Socket outlet</v>
      </c>
      <c r="E3723" s="921"/>
      <c r="F3723" s="921" t="s">
        <v>2599</v>
      </c>
      <c r="G3723" s="922" t="s">
        <v>2601</v>
      </c>
      <c r="H3723" s="922"/>
      <c r="I3723" s="922"/>
      <c r="J3723" s="922"/>
      <c r="K3723" s="923"/>
      <c r="L3723" s="918"/>
      <c r="M3723" s="918"/>
      <c r="N3723" s="918"/>
      <c r="O3723" s="924"/>
      <c r="P3723" s="921"/>
      <c r="Q3723" s="925">
        <f ca="1">$B3723*Elec_Rates!$R$165</f>
        <v>31.26</v>
      </c>
      <c r="R3723" s="916">
        <f ca="1">$A3723*Q3723</f>
        <v>187.56</v>
      </c>
      <c r="S3723" s="925">
        <f ca="1">$B3723*Elec_Rates!$T$165</f>
        <v>0.27</v>
      </c>
      <c r="T3723" s="917">
        <f ca="1">$A3723*S3723</f>
        <v>1.62</v>
      </c>
      <c r="U3723" s="926"/>
      <c r="AR3723" s="919">
        <v>6</v>
      </c>
      <c r="AS3723" s="921" t="s">
        <v>2599</v>
      </c>
    </row>
    <row r="3724" spans="1:45" s="520" customFormat="1" ht="12">
      <c r="A3724" s="758"/>
      <c r="B3724" s="758"/>
      <c r="C3724" s="758"/>
      <c r="D3724" s="758"/>
      <c r="E3724" s="758"/>
      <c r="F3724" s="753"/>
      <c r="G3724" s="758"/>
      <c r="H3724" s="758"/>
      <c r="I3724" s="519"/>
      <c r="J3724" s="758"/>
      <c r="K3724" s="758"/>
      <c r="L3724" s="758"/>
      <c r="M3724" s="758"/>
      <c r="N3724" s="758"/>
      <c r="O3724" s="758"/>
      <c r="P3724" s="758"/>
      <c r="Q3724" s="519"/>
      <c r="R3724" s="759">
        <f>$A3724*Q3724</f>
        <v>0</v>
      </c>
      <c r="S3724" s="519"/>
      <c r="T3724" s="760">
        <f>$A3724*S3724*$T$1</f>
        <v>0</v>
      </c>
      <c r="AR3724" s="758"/>
      <c r="AS3724" s="753"/>
    </row>
    <row r="3725" spans="1:45" s="520" customFormat="1" ht="12.6" thickBot="1">
      <c r="A3725" s="761" t="s">
        <v>145</v>
      </c>
      <c r="B3725" s="762">
        <f>(R3724+T3724)</f>
        <v>0</v>
      </c>
      <c r="C3725" s="763"/>
      <c r="D3725" s="763"/>
      <c r="E3725" s="763"/>
      <c r="F3725" s="764"/>
      <c r="G3725" s="763" t="s">
        <v>146</v>
      </c>
      <c r="H3725" s="763"/>
      <c r="I3725" s="765"/>
      <c r="J3725" s="763"/>
      <c r="K3725" s="763" t="s">
        <v>3</v>
      </c>
      <c r="L3725" s="766" t="s">
        <v>143</v>
      </c>
      <c r="M3725" s="766"/>
      <c r="N3725" s="766"/>
      <c r="O3725" s="766"/>
      <c r="P3725" s="766"/>
      <c r="Q3725" s="767"/>
      <c r="R3725" s="768">
        <f ca="1">SUM(R3721:R3724)</f>
        <v>187.56</v>
      </c>
      <c r="S3725" s="763"/>
      <c r="T3725" s="768">
        <f ca="1">SUM(T3721:T3724)</f>
        <v>1.62</v>
      </c>
      <c r="U3725" s="531"/>
      <c r="V3725" s="531"/>
      <c r="W3725" s="531"/>
      <c r="X3725" s="531"/>
      <c r="Y3725" s="531"/>
      <c r="Z3725" s="531"/>
      <c r="AA3725" s="531"/>
      <c r="AB3725" s="531"/>
      <c r="AC3725" s="531"/>
      <c r="AD3725" s="531"/>
      <c r="AE3725" s="531"/>
      <c r="AF3725" s="531"/>
      <c r="AG3725" s="531"/>
      <c r="AH3725" s="531"/>
      <c r="AI3725" s="531"/>
      <c r="AJ3725" s="531"/>
      <c r="AK3725" s="531"/>
      <c r="AL3725" s="531"/>
      <c r="AM3725" s="531"/>
      <c r="AN3725" s="531"/>
      <c r="AO3725" s="531"/>
      <c r="AR3725" s="761" t="s">
        <v>145</v>
      </c>
      <c r="AS3725" s="764"/>
    </row>
    <row r="3726" spans="1:45" s="520" customFormat="1" ht="12" thickTop="1">
      <c r="A3726" s="51"/>
      <c r="B3726" s="41"/>
      <c r="C3726" s="51"/>
      <c r="E3726" s="42" t="s">
        <v>138</v>
      </c>
      <c r="F3726" s="42" t="s">
        <v>139</v>
      </c>
      <c r="G3726" s="51"/>
      <c r="H3726" s="51"/>
      <c r="I3726" s="51"/>
      <c r="J3726" s="51"/>
      <c r="K3726" s="51" t="s">
        <v>140</v>
      </c>
      <c r="L3726" s="51"/>
      <c r="M3726" s="51"/>
      <c r="N3726" s="51"/>
      <c r="O3726" s="52"/>
      <c r="P3726" s="51"/>
      <c r="Q3726" s="51"/>
      <c r="R3726" s="51"/>
      <c r="S3726" s="51"/>
      <c r="T3726" s="41"/>
      <c r="AG3726" s="521" t="s">
        <v>268</v>
      </c>
      <c r="AH3726" s="521" t="s">
        <v>269</v>
      </c>
      <c r="AI3726" s="521" t="s">
        <v>270</v>
      </c>
      <c r="AJ3726" s="521" t="s">
        <v>271</v>
      </c>
      <c r="AK3726" s="521" t="s">
        <v>272</v>
      </c>
      <c r="AM3726" s="745" t="s">
        <v>281</v>
      </c>
      <c r="AN3726" s="746" t="s">
        <v>282</v>
      </c>
      <c r="AO3726" s="522" t="s">
        <v>278</v>
      </c>
      <c r="AR3726" s="51"/>
      <c r="AS3726" s="42" t="s">
        <v>139</v>
      </c>
    </row>
    <row r="3727" spans="1:45" s="520" customFormat="1" ht="12" customHeight="1">
      <c r="A3727" s="747">
        <v>2</v>
      </c>
      <c r="B3727" s="523" t="s">
        <v>141</v>
      </c>
      <c r="C3727" s="748"/>
      <c r="D3727" s="749" t="s">
        <v>1694</v>
      </c>
      <c r="E3727" s="750">
        <f>IF(AND($A3727=0,$A$1="DIF"),0, ROUND(ROUND(($R3734*$S$2+($T3734*$T$2))/A3727,2)*$C$2,2))</f>
        <v>110.9</v>
      </c>
      <c r="F3727" s="751">
        <f>ROUND($A3727*$E3727,2)</f>
        <v>221.8</v>
      </c>
      <c r="G3727" s="752" t="s">
        <v>142</v>
      </c>
      <c r="H3727" s="753"/>
      <c r="I3727" s="754"/>
      <c r="J3727" s="753"/>
      <c r="K3727" s="753" t="s">
        <v>3</v>
      </c>
      <c r="L3727" s="755" t="s">
        <v>143</v>
      </c>
      <c r="M3727" s="755"/>
      <c r="N3727" s="755"/>
      <c r="O3727" s="755"/>
      <c r="P3727" s="755"/>
      <c r="Q3727" s="51"/>
      <c r="T3727" s="756" t="str">
        <f>IF(AND($R3734=0,$T3734=0),"0.00","mu :" &amp; ROUND($F3727/$C$2/($R3734+$T3734*$D$9),2))</f>
        <v>mu :1.23</v>
      </c>
      <c r="W3727" s="524"/>
      <c r="AG3727" s="481">
        <f>IF($E3727=0,0,ROUND($R3734*$S$2*$C$2/$A3727,2))</f>
        <v>61.44</v>
      </c>
      <c r="AH3727" s="481">
        <f>$AG3727*$A3727</f>
        <v>122.88</v>
      </c>
      <c r="AI3727" s="525">
        <f>$E3727-$AG3727</f>
        <v>49.460000000000008</v>
      </c>
      <c r="AJ3727" s="525">
        <f>$A3727*$AI3727</f>
        <v>98.920000000000016</v>
      </c>
      <c r="AK3727" s="526">
        <f>ROUND(($AG3727+$AI3727)*$A3727,2)</f>
        <v>221.8</v>
      </c>
      <c r="AM3727" s="527">
        <f>ROUND(R3734,2)</f>
        <v>99.8</v>
      </c>
      <c r="AN3727" s="528">
        <f>ROUND(T3734,2)</f>
        <v>2.93</v>
      </c>
      <c r="AO3727" s="529">
        <f>ROUND(AM3727+AN3727,2)*A3727</f>
        <v>205.46</v>
      </c>
      <c r="AR3727" s="747">
        <v>2</v>
      </c>
      <c r="AS3727" s="751">
        <v>232.78</v>
      </c>
    </row>
    <row r="3728" spans="1:45" s="520" customFormat="1" ht="13.2">
      <c r="A3728" s="748"/>
      <c r="B3728"/>
      <c r="C3728" s="748"/>
      <c r="D3728" s="749" t="s">
        <v>820</v>
      </c>
      <c r="F3728" s="753"/>
      <c r="G3728" s="3"/>
      <c r="H3728" s="753"/>
      <c r="I3728" s="754"/>
      <c r="J3728" s="753"/>
      <c r="K3728" s="753" t="s">
        <v>144</v>
      </c>
      <c r="L3728" s="753"/>
      <c r="M3728" s="753"/>
      <c r="N3728" s="753"/>
      <c r="O3728" s="753"/>
      <c r="P3728" s="753"/>
      <c r="Q3728" s="51"/>
      <c r="R3728" s="530"/>
      <c r="S3728" s="757"/>
      <c r="T3728" s="753"/>
      <c r="AR3728" s="748"/>
      <c r="AS3728" s="753"/>
    </row>
    <row r="3729" spans="1:45" s="901" customFormat="1" ht="13.2">
      <c r="A3729" s="116">
        <v>2</v>
      </c>
      <c r="B3729" s="901" t="s">
        <v>141</v>
      </c>
      <c r="D3729" s="901" t="s">
        <v>3012</v>
      </c>
      <c r="E3729" s="901" t="s">
        <v>3424</v>
      </c>
      <c r="F3729" s="1054" t="s">
        <v>3438</v>
      </c>
      <c r="G3729" s="941" t="s">
        <v>3013</v>
      </c>
      <c r="H3729" s="942">
        <v>705</v>
      </c>
      <c r="I3729" s="901" t="s">
        <v>3014</v>
      </c>
      <c r="J3729" s="901" t="s">
        <v>3015</v>
      </c>
      <c r="O3729" s="943">
        <v>3</v>
      </c>
      <c r="P3729" s="944">
        <v>34669</v>
      </c>
      <c r="Q3729" s="945">
        <v>30</v>
      </c>
      <c r="R3729" s="946">
        <f>$A3729*Q3729</f>
        <v>60</v>
      </c>
      <c r="S3729" s="945">
        <v>0.25</v>
      </c>
      <c r="T3729" s="947">
        <f>$A3729*S3729*$T$1</f>
        <v>0.45</v>
      </c>
      <c r="AR3729" s="116">
        <v>2</v>
      </c>
      <c r="AS3729" s="1054" t="s">
        <v>3438</v>
      </c>
    </row>
    <row r="3730" spans="1:45" s="520" customFormat="1" ht="12">
      <c r="A3730" s="51"/>
      <c r="B3730" s="758"/>
      <c r="C3730" s="758"/>
      <c r="D3730" s="1061" t="s">
        <v>3016</v>
      </c>
      <c r="E3730" s="758"/>
      <c r="F3730" s="753"/>
      <c r="G3730" s="758"/>
      <c r="H3730" s="758"/>
      <c r="I3730" s="519"/>
      <c r="J3730" s="758"/>
      <c r="K3730" s="758"/>
      <c r="L3730" s="758"/>
      <c r="M3730" s="758"/>
      <c r="N3730" s="758"/>
      <c r="O3730" s="758"/>
      <c r="P3730" s="758"/>
      <c r="Q3730" s="519"/>
      <c r="R3730" s="759">
        <f>$A3730*Q3730</f>
        <v>0</v>
      </c>
      <c r="S3730" s="519"/>
      <c r="T3730" s="760">
        <f>$A3730*S3730*$T$1</f>
        <v>0</v>
      </c>
      <c r="AR3730" s="51"/>
      <c r="AS3730" s="753"/>
    </row>
    <row r="3731" spans="1:45" s="901" customFormat="1" ht="13.2">
      <c r="A3731">
        <v>10</v>
      </c>
      <c r="B3731" s="901" t="s">
        <v>320</v>
      </c>
      <c r="D3731" s="901" t="s">
        <v>2951</v>
      </c>
      <c r="G3731" s="941" t="s">
        <v>2952</v>
      </c>
      <c r="H3731" s="942">
        <v>690</v>
      </c>
      <c r="I3731" s="901" t="s">
        <v>2946</v>
      </c>
      <c r="J3731" s="901" t="s">
        <v>2953</v>
      </c>
      <c r="O3731" s="943">
        <v>1</v>
      </c>
      <c r="P3731" s="944">
        <v>34669</v>
      </c>
      <c r="Q3731" s="1197">
        <v>3.03</v>
      </c>
      <c r="R3731" s="946">
        <f>$A3731*Q3731</f>
        <v>30.299999999999997</v>
      </c>
      <c r="S3731" s="945">
        <v>0.2</v>
      </c>
      <c r="T3731" s="947">
        <f>$A3731*S3731*$T$1</f>
        <v>1.8</v>
      </c>
      <c r="AR3731">
        <v>10</v>
      </c>
    </row>
    <row r="3732" spans="1:45" s="901" customFormat="1" ht="13.2">
      <c r="A3732">
        <v>50</v>
      </c>
      <c r="B3732" s="901" t="s">
        <v>320</v>
      </c>
      <c r="D3732" s="901" t="s">
        <v>2954</v>
      </c>
      <c r="F3732" s="901" t="s">
        <v>3299</v>
      </c>
      <c r="G3732" s="941" t="s">
        <v>2955</v>
      </c>
      <c r="H3732" s="942">
        <v>615</v>
      </c>
      <c r="I3732" s="901" t="s">
        <v>2272</v>
      </c>
      <c r="K3732" s="901" t="s">
        <v>2956</v>
      </c>
      <c r="O3732" s="943">
        <v>2</v>
      </c>
      <c r="P3732" s="944">
        <v>38988</v>
      </c>
      <c r="Q3732" s="1194">
        <f>0.2*0.95</f>
        <v>0.19</v>
      </c>
      <c r="R3732" s="946">
        <f>$A3732*Q3732</f>
        <v>9.5</v>
      </c>
      <c r="S3732" s="945">
        <v>1.4999999999999999E-2</v>
      </c>
      <c r="T3732" s="947">
        <f>$A3732*S3732*$T$1</f>
        <v>0.67500000000000004</v>
      </c>
      <c r="AR3732">
        <v>50</v>
      </c>
      <c r="AS3732" s="901" t="s">
        <v>3299</v>
      </c>
    </row>
    <row r="3733" spans="1:45" s="520" customFormat="1" ht="12">
      <c r="A3733" s="758"/>
      <c r="B3733" s="758"/>
      <c r="C3733" s="758"/>
      <c r="D3733" s="758"/>
      <c r="E3733" s="758"/>
      <c r="F3733" s="753"/>
      <c r="G3733" s="758"/>
      <c r="H3733" s="758"/>
      <c r="I3733" s="519"/>
      <c r="J3733" s="758"/>
      <c r="K3733" s="758"/>
      <c r="L3733" s="758"/>
      <c r="M3733" s="758"/>
      <c r="N3733" s="758"/>
      <c r="O3733" s="758"/>
      <c r="P3733" s="758"/>
      <c r="Q3733" s="519"/>
      <c r="R3733" s="759">
        <f>$A3733*Q3733</f>
        <v>0</v>
      </c>
      <c r="S3733" s="519"/>
      <c r="T3733" s="760">
        <f>$A3733*S3733*$T$1</f>
        <v>0</v>
      </c>
      <c r="AR3733" s="758"/>
      <c r="AS3733" s="753"/>
    </row>
    <row r="3734" spans="1:45" s="520" customFormat="1" ht="12.6" thickBot="1">
      <c r="A3734" s="761" t="s">
        <v>145</v>
      </c>
      <c r="B3734" s="762">
        <f>(R3733+T3733)</f>
        <v>0</v>
      </c>
      <c r="C3734" s="763"/>
      <c r="D3734" s="763"/>
      <c r="E3734" s="763"/>
      <c r="F3734" s="764"/>
      <c r="G3734" s="763" t="s">
        <v>146</v>
      </c>
      <c r="H3734" s="763"/>
      <c r="I3734" s="765"/>
      <c r="J3734" s="763"/>
      <c r="K3734" s="763" t="s">
        <v>3</v>
      </c>
      <c r="L3734" s="766" t="s">
        <v>143</v>
      </c>
      <c r="M3734" s="766"/>
      <c r="N3734" s="766"/>
      <c r="O3734" s="766"/>
      <c r="P3734" s="766"/>
      <c r="Q3734" s="767"/>
      <c r="R3734" s="768">
        <f>SUM(R3728:R3733)</f>
        <v>99.8</v>
      </c>
      <c r="S3734" s="763"/>
      <c r="T3734" s="768">
        <f>SUM(T3728:T3733)</f>
        <v>2.9249999999999998</v>
      </c>
      <c r="U3734" s="531"/>
      <c r="V3734" s="531"/>
      <c r="W3734" s="531"/>
      <c r="X3734" s="531"/>
      <c r="Y3734" s="531"/>
      <c r="Z3734" s="531"/>
      <c r="AA3734" s="531"/>
      <c r="AB3734" s="531"/>
      <c r="AC3734" s="531"/>
      <c r="AD3734" s="531"/>
      <c r="AE3734" s="531"/>
      <c r="AF3734" s="531"/>
      <c r="AG3734" s="531"/>
      <c r="AH3734" s="531"/>
      <c r="AI3734" s="531"/>
      <c r="AJ3734" s="531"/>
      <c r="AK3734" s="531"/>
      <c r="AL3734" s="531"/>
      <c r="AM3734" s="531"/>
      <c r="AN3734" s="531"/>
      <c r="AO3734" s="531"/>
      <c r="AR3734" s="761" t="s">
        <v>145</v>
      </c>
      <c r="AS3734" s="764"/>
    </row>
    <row r="3735" spans="1:45" s="520" customFormat="1" thickTop="1">
      <c r="A3735" s="51"/>
      <c r="B3735" s="51"/>
      <c r="C3735" s="3"/>
      <c r="D3735" s="3"/>
      <c r="E3735" s="51"/>
      <c r="F3735" s="51"/>
      <c r="G3735" s="51"/>
      <c r="H3735" s="51"/>
      <c r="I3735" s="51"/>
      <c r="J3735" s="51"/>
      <c r="K3735" s="51" t="s">
        <v>134</v>
      </c>
      <c r="L3735" s="51"/>
      <c r="M3735" s="51"/>
      <c r="N3735" s="51"/>
      <c r="O3735" s="52"/>
      <c r="P3735" s="51"/>
      <c r="Q3735" s="51"/>
      <c r="R3735" s="51"/>
      <c r="S3735" s="51"/>
      <c r="T3735" s="51"/>
      <c r="AR3735" s="51"/>
      <c r="AS3735" s="51"/>
    </row>
    <row r="3736" spans="1:45" s="520" customFormat="1" ht="12">
      <c r="A3736" s="51"/>
      <c r="B3736" s="51"/>
      <c r="C3736" s="51" t="s">
        <v>135</v>
      </c>
      <c r="D3736" s="37"/>
      <c r="E3736" s="51"/>
      <c r="F3736" s="51"/>
      <c r="G3736" s="51"/>
      <c r="H3736" s="51"/>
      <c r="I3736" s="51"/>
      <c r="J3736" s="51"/>
      <c r="K3736" s="51"/>
      <c r="L3736" s="51"/>
      <c r="M3736" s="51"/>
      <c r="N3736" s="51"/>
      <c r="O3736" s="52"/>
      <c r="P3736" s="51"/>
      <c r="Q3736" s="51"/>
      <c r="R3736" s="51"/>
      <c r="S3736" s="51"/>
      <c r="T3736" s="51"/>
      <c r="AR3736" s="51"/>
      <c r="AS3736" s="51"/>
    </row>
    <row r="3737" spans="1:45" s="520" customFormat="1" ht="39.9" customHeight="1">
      <c r="A3737" s="51"/>
      <c r="B3737" s="51"/>
      <c r="C3737" s="51"/>
      <c r="D3737" s="1453" t="s">
        <v>1602</v>
      </c>
      <c r="E3737" s="1452"/>
      <c r="F3737" s="1452"/>
      <c r="G3737" s="1452"/>
      <c r="H3737" s="1452"/>
      <c r="I3737" s="1452"/>
      <c r="J3737" s="1452"/>
      <c r="K3737" s="1452"/>
      <c r="L3737" s="1452"/>
      <c r="M3737" s="1452"/>
      <c r="N3737" s="1452"/>
      <c r="O3737" s="1452"/>
      <c r="P3737" s="1452"/>
      <c r="Q3737" s="1452"/>
      <c r="R3737" s="1452"/>
      <c r="S3737" s="1452"/>
      <c r="T3737" s="1452"/>
      <c r="AR3737" s="51"/>
    </row>
    <row r="3738" spans="1:45" s="3" customFormat="1" thickBot="1">
      <c r="A3738" s="531"/>
      <c r="O3738" s="107"/>
      <c r="AR3738" s="531"/>
    </row>
    <row r="3739" spans="1:45" s="520" customFormat="1" thickTop="1">
      <c r="A3739" s="51"/>
      <c r="B3739" s="51"/>
      <c r="C3739" s="3"/>
      <c r="D3739" s="3"/>
      <c r="E3739" s="51"/>
      <c r="F3739" s="51"/>
      <c r="G3739" s="51"/>
      <c r="H3739" s="51"/>
      <c r="I3739" s="51"/>
      <c r="J3739" s="51"/>
      <c r="K3739" s="51" t="s">
        <v>134</v>
      </c>
      <c r="L3739" s="51"/>
      <c r="M3739" s="51"/>
      <c r="N3739" s="51"/>
      <c r="O3739" s="52"/>
      <c r="P3739" s="51"/>
      <c r="Q3739" s="51"/>
      <c r="R3739" s="51"/>
      <c r="S3739" s="51"/>
      <c r="T3739" s="51"/>
      <c r="AR3739" s="51"/>
      <c r="AS3739" s="51"/>
    </row>
    <row r="3740" spans="1:45" s="520" customFormat="1" ht="12">
      <c r="A3740" s="51"/>
      <c r="B3740" s="51"/>
      <c r="C3740" s="51" t="s">
        <v>135</v>
      </c>
      <c r="D3740" s="37"/>
      <c r="E3740" s="51"/>
      <c r="F3740" s="51"/>
      <c r="G3740" s="51"/>
      <c r="H3740" s="51"/>
      <c r="I3740" s="51"/>
      <c r="J3740" s="51"/>
      <c r="K3740" s="51"/>
      <c r="L3740" s="51"/>
      <c r="M3740" s="51"/>
      <c r="N3740" s="51"/>
      <c r="O3740" s="52"/>
      <c r="P3740" s="51"/>
      <c r="Q3740" s="51"/>
      <c r="R3740" s="51"/>
      <c r="S3740" s="51"/>
      <c r="T3740" s="51"/>
      <c r="AR3740" s="51"/>
      <c r="AS3740" s="51"/>
    </row>
    <row r="3741" spans="1:45" s="520" customFormat="1" ht="12">
      <c r="A3741" s="51"/>
      <c r="B3741" s="51"/>
      <c r="C3741" s="51"/>
      <c r="D3741" s="37" t="s">
        <v>821</v>
      </c>
      <c r="E3741" s="51"/>
      <c r="F3741" s="51"/>
      <c r="G3741" s="51"/>
      <c r="H3741" s="51"/>
      <c r="I3741" s="51"/>
      <c r="J3741" s="51"/>
      <c r="K3741" s="51"/>
      <c r="L3741" s="51"/>
      <c r="M3741" s="51"/>
      <c r="N3741" s="51"/>
      <c r="O3741" s="52"/>
      <c r="P3741" s="51"/>
      <c r="Q3741" s="51"/>
      <c r="R3741" s="51"/>
      <c r="S3741" s="38"/>
      <c r="T3741" s="38"/>
      <c r="AR3741" s="51"/>
      <c r="AS3741" s="51"/>
    </row>
    <row r="3742" spans="1:45" s="3" customFormat="1" thickBot="1">
      <c r="A3742" s="531"/>
      <c r="O3742" s="107"/>
      <c r="AR3742" s="531"/>
    </row>
    <row r="3743" spans="1:45" s="520" customFormat="1" ht="12" thickTop="1">
      <c r="A3743" s="51"/>
      <c r="B3743" s="41"/>
      <c r="C3743" s="51"/>
      <c r="E3743" s="42" t="s">
        <v>138</v>
      </c>
      <c r="F3743" s="42" t="s">
        <v>139</v>
      </c>
      <c r="G3743" s="51"/>
      <c r="H3743" s="51"/>
      <c r="I3743" s="51"/>
      <c r="J3743" s="51"/>
      <c r="K3743" s="51" t="s">
        <v>140</v>
      </c>
      <c r="L3743" s="51"/>
      <c r="M3743" s="51"/>
      <c r="N3743" s="51"/>
      <c r="O3743" s="52"/>
      <c r="P3743" s="51"/>
      <c r="Q3743" s="51"/>
      <c r="R3743" s="51"/>
      <c r="S3743" s="51"/>
      <c r="T3743" s="41"/>
      <c r="AG3743" s="521" t="s">
        <v>268</v>
      </c>
      <c r="AH3743" s="521" t="s">
        <v>269</v>
      </c>
      <c r="AI3743" s="521" t="s">
        <v>270</v>
      </c>
      <c r="AJ3743" s="521" t="s">
        <v>271</v>
      </c>
      <c r="AK3743" s="521" t="s">
        <v>272</v>
      </c>
      <c r="AM3743" s="745" t="s">
        <v>281</v>
      </c>
      <c r="AN3743" s="746" t="s">
        <v>282</v>
      </c>
      <c r="AO3743" s="522" t="s">
        <v>278</v>
      </c>
      <c r="AR3743" s="51"/>
      <c r="AS3743" s="42" t="s">
        <v>139</v>
      </c>
    </row>
    <row r="3744" spans="1:45" s="520" customFormat="1" ht="12" customHeight="1">
      <c r="A3744" s="747">
        <v>2</v>
      </c>
      <c r="B3744" s="523" t="s">
        <v>141</v>
      </c>
      <c r="C3744" s="748"/>
      <c r="D3744" s="749" t="s">
        <v>1695</v>
      </c>
      <c r="E3744" s="750">
        <f ca="1">IF(AND($A3744=0,$A$1="DIF"),0, ROUND(ROUND(($R3750*$S$2+($T3750*$T$2))/A3744,2)*$C$2,2))</f>
        <v>196.52</v>
      </c>
      <c r="F3744" s="751">
        <f ca="1">ROUND($A3744*$E3744,2)</f>
        <v>393.04</v>
      </c>
      <c r="G3744" s="752" t="s">
        <v>142</v>
      </c>
      <c r="H3744" s="753"/>
      <c r="I3744" s="754"/>
      <c r="J3744" s="753"/>
      <c r="K3744" s="753" t="s">
        <v>3</v>
      </c>
      <c r="L3744" s="755" t="s">
        <v>143</v>
      </c>
      <c r="M3744" s="755"/>
      <c r="N3744" s="755"/>
      <c r="O3744" s="755"/>
      <c r="P3744" s="755"/>
      <c r="Q3744" s="51"/>
      <c r="T3744" s="756" t="str">
        <f ca="1">IF(AND($R3750=0,$T3750=0),"0.00","mu :" &amp; ROUND($F3744/$C$2/($R3750+$T3750*$D$9),2))</f>
        <v>mu :1.23</v>
      </c>
      <c r="W3744" s="524"/>
      <c r="AG3744" s="481">
        <f ca="1">IF($E3744=0,0,ROUND($R3750*$S$2*$C$2/$A3744,2))</f>
        <v>89.24</v>
      </c>
      <c r="AH3744" s="481">
        <f ca="1">$AG3744*$A3744</f>
        <v>178.48</v>
      </c>
      <c r="AI3744" s="525">
        <f ca="1">$E3744-$AG3744</f>
        <v>107.28000000000002</v>
      </c>
      <c r="AJ3744" s="525">
        <f ca="1">$A3744*$AI3744</f>
        <v>214.56000000000003</v>
      </c>
      <c r="AK3744" s="526">
        <f ca="1">ROUND(($AG3744+$AI3744)*$A3744,2)</f>
        <v>393.04</v>
      </c>
      <c r="AM3744" s="527">
        <f ca="1">ROUND(R3750,2)</f>
        <v>144.94</v>
      </c>
      <c r="AN3744" s="528">
        <f ca="1">ROUND(T3750,2)</f>
        <v>6.35</v>
      </c>
      <c r="AO3744" s="529">
        <f ca="1">ROUND(AM3744+AN3744,2)*A3744</f>
        <v>302.58</v>
      </c>
      <c r="AR3744" s="747">
        <v>2</v>
      </c>
      <c r="AS3744" s="751">
        <v>3332.1</v>
      </c>
    </row>
    <row r="3745" spans="1:45" s="520" customFormat="1" ht="13.2">
      <c r="A3745" s="748"/>
      <c r="B3745"/>
      <c r="C3745" s="748"/>
      <c r="D3745" s="749" t="s">
        <v>788</v>
      </c>
      <c r="F3745" s="753"/>
      <c r="G3745" s="3"/>
      <c r="H3745" s="753"/>
      <c r="I3745" s="754"/>
      <c r="J3745" s="753"/>
      <c r="K3745" s="753" t="s">
        <v>144</v>
      </c>
      <c r="L3745" s="753"/>
      <c r="M3745" s="753"/>
      <c r="N3745" s="753"/>
      <c r="O3745" s="753"/>
      <c r="P3745" s="753"/>
      <c r="Q3745" s="51"/>
      <c r="R3745" s="530"/>
      <c r="S3745" s="757"/>
      <c r="T3745" s="753"/>
      <c r="AR3745" s="748"/>
      <c r="AS3745" s="753"/>
    </row>
    <row r="3746" spans="1:45" s="886" customFormat="1" ht="13.2">
      <c r="A3746"/>
      <c r="B3746" s="910"/>
      <c r="C3746" s="910" t="s">
        <v>2597</v>
      </c>
      <c r="D3746" s="910" t="str">
        <f ca="1">CELL("Address",Elec_Rates!D$112)</f>
        <v>[E25_0062_Quintano_Foods_Elec_ELV_As_Awarded.xlsx]Elec_Rates!$D$112</v>
      </c>
      <c r="E3746" s="911"/>
      <c r="F3746" s="911"/>
      <c r="G3746" s="912" t="s">
        <v>2598</v>
      </c>
      <c r="H3746" s="912"/>
      <c r="I3746" s="912"/>
      <c r="J3746" s="912"/>
      <c r="K3746" s="913"/>
      <c r="L3746" s="911"/>
      <c r="M3746" s="911"/>
      <c r="N3746" s="911"/>
      <c r="O3746" s="914"/>
      <c r="P3746" s="911"/>
      <c r="Q3746" s="915"/>
      <c r="R3746" s="916"/>
      <c r="S3746" s="915"/>
      <c r="T3746" s="917"/>
      <c r="U3746" s="918"/>
      <c r="AR3746"/>
      <c r="AS3746" s="911"/>
    </row>
    <row r="3747" spans="1:45" s="886" customFormat="1" ht="11.4">
      <c r="A3747" s="919">
        <v>2</v>
      </c>
      <c r="B3747" s="920">
        <v>1</v>
      </c>
      <c r="C3747" s="920">
        <f>$A3747*$B3747</f>
        <v>2</v>
      </c>
      <c r="D3747" s="921" t="str">
        <f>Elec_Rates!$D$112</f>
        <v>009# Power points rate (Galvanised conduit)</v>
      </c>
      <c r="E3747" s="921"/>
      <c r="F3747" s="921" t="s">
        <v>2599</v>
      </c>
      <c r="G3747" s="922" t="s">
        <v>2601</v>
      </c>
      <c r="H3747" s="922"/>
      <c r="I3747" s="922"/>
      <c r="J3747" s="922"/>
      <c r="K3747" s="923"/>
      <c r="L3747" s="918"/>
      <c r="M3747" s="918"/>
      <c r="N3747" s="918"/>
      <c r="O3747" s="924"/>
      <c r="P3747" s="921"/>
      <c r="Q3747" s="925">
        <f ca="1">$B3747*Elec_Rates!$R$112</f>
        <v>64.069999999999993</v>
      </c>
      <c r="R3747" s="916">
        <f ca="1">$A3747*Q3747</f>
        <v>128.13999999999999</v>
      </c>
      <c r="S3747" s="925">
        <f ca="1">$B3747*Elec_Rates!$T$112</f>
        <v>3.02</v>
      </c>
      <c r="T3747" s="917">
        <f ca="1">$A3747*S3747</f>
        <v>6.04</v>
      </c>
      <c r="U3747" s="926"/>
      <c r="AR3747" s="919">
        <v>16</v>
      </c>
      <c r="AS3747" s="921" t="s">
        <v>2599</v>
      </c>
    </row>
    <row r="3748" spans="1:45" s="901" customFormat="1" ht="13.2">
      <c r="A3748" s="116">
        <v>2</v>
      </c>
      <c r="B3748" s="901" t="s">
        <v>141</v>
      </c>
      <c r="D3748" s="901" t="s">
        <v>2870</v>
      </c>
      <c r="E3748" s="901" t="s">
        <v>3424</v>
      </c>
      <c r="F3748" s="1054" t="s">
        <v>3433</v>
      </c>
      <c r="G3748" s="941" t="s">
        <v>2871</v>
      </c>
      <c r="H3748" s="942">
        <v>705</v>
      </c>
      <c r="I3748" s="901" t="s">
        <v>2872</v>
      </c>
      <c r="J3748" s="901" t="s">
        <v>2873</v>
      </c>
      <c r="O3748" s="943">
        <v>3</v>
      </c>
      <c r="P3748" s="944">
        <v>34669</v>
      </c>
      <c r="Q3748" s="945">
        <v>8.4</v>
      </c>
      <c r="R3748" s="946">
        <f>$A3748*Q3748</f>
        <v>16.8</v>
      </c>
      <c r="S3748" s="945">
        <v>0.17</v>
      </c>
      <c r="T3748" s="947">
        <f>$A3748*S3748*$T$1</f>
        <v>0.30600000000000005</v>
      </c>
      <c r="AR3748" s="116">
        <v>16</v>
      </c>
      <c r="AS3748" s="1054" t="s">
        <v>3433</v>
      </c>
    </row>
    <row r="3749" spans="1:45" s="520" customFormat="1" ht="12">
      <c r="A3749" s="758"/>
      <c r="B3749" s="758"/>
      <c r="C3749" s="758"/>
      <c r="D3749" s="758"/>
      <c r="E3749" s="758"/>
      <c r="F3749" s="753"/>
      <c r="G3749" s="758"/>
      <c r="H3749" s="758"/>
      <c r="I3749" s="519"/>
      <c r="J3749" s="758"/>
      <c r="K3749" s="758"/>
      <c r="L3749" s="758"/>
      <c r="M3749" s="758"/>
      <c r="N3749" s="758"/>
      <c r="O3749" s="758"/>
      <c r="P3749" s="758"/>
      <c r="Q3749" s="519"/>
      <c r="R3749" s="759">
        <f>$A3749*Q3749</f>
        <v>0</v>
      </c>
      <c r="S3749" s="519"/>
      <c r="T3749" s="760">
        <f>$A3749*S3749*$T$1</f>
        <v>0</v>
      </c>
      <c r="AR3749" s="758"/>
      <c r="AS3749" s="753"/>
    </row>
    <row r="3750" spans="1:45" s="520" customFormat="1" ht="12.6" thickBot="1">
      <c r="A3750" s="761" t="s">
        <v>145</v>
      </c>
      <c r="B3750" s="762">
        <f>(R3749+T3749)</f>
        <v>0</v>
      </c>
      <c r="C3750" s="763"/>
      <c r="D3750" s="763"/>
      <c r="E3750" s="763"/>
      <c r="F3750" s="764"/>
      <c r="G3750" s="763" t="s">
        <v>146</v>
      </c>
      <c r="H3750" s="763"/>
      <c r="I3750" s="765"/>
      <c r="J3750" s="763"/>
      <c r="K3750" s="763" t="s">
        <v>3</v>
      </c>
      <c r="L3750" s="766" t="s">
        <v>143</v>
      </c>
      <c r="M3750" s="766"/>
      <c r="N3750" s="766"/>
      <c r="O3750" s="766"/>
      <c r="P3750" s="766"/>
      <c r="Q3750" s="767"/>
      <c r="R3750" s="768">
        <f ca="1">SUM(R3745:R3749)</f>
        <v>144.94</v>
      </c>
      <c r="S3750" s="763"/>
      <c r="T3750" s="768">
        <f ca="1">SUM(T3745:T3749)</f>
        <v>6.3460000000000001</v>
      </c>
      <c r="U3750" s="531"/>
      <c r="V3750" s="531"/>
      <c r="W3750" s="531"/>
      <c r="X3750" s="531"/>
      <c r="Y3750" s="531"/>
      <c r="Z3750" s="531"/>
      <c r="AA3750" s="531"/>
      <c r="AB3750" s="531"/>
      <c r="AC3750" s="531"/>
      <c r="AD3750" s="531"/>
      <c r="AE3750" s="531"/>
      <c r="AF3750" s="531"/>
      <c r="AG3750" s="531"/>
      <c r="AH3750" s="531"/>
      <c r="AI3750" s="531"/>
      <c r="AJ3750" s="531"/>
      <c r="AK3750" s="531"/>
      <c r="AL3750" s="531"/>
      <c r="AM3750" s="531"/>
      <c r="AN3750" s="531"/>
      <c r="AO3750" s="531"/>
      <c r="AR3750" s="761" t="s">
        <v>145</v>
      </c>
      <c r="AS3750" s="764"/>
    </row>
    <row r="3751" spans="1:45" s="520" customFormat="1" ht="12" thickTop="1">
      <c r="A3751" s="51"/>
      <c r="B3751" s="41"/>
      <c r="C3751" s="51"/>
      <c r="E3751" s="42" t="s">
        <v>138</v>
      </c>
      <c r="F3751" s="42" t="s">
        <v>139</v>
      </c>
      <c r="G3751" s="51"/>
      <c r="H3751" s="51"/>
      <c r="I3751" s="51"/>
      <c r="J3751" s="51"/>
      <c r="K3751" s="51" t="s">
        <v>140</v>
      </c>
      <c r="L3751" s="51"/>
      <c r="M3751" s="51"/>
      <c r="N3751" s="51"/>
      <c r="O3751" s="52"/>
      <c r="P3751" s="51"/>
      <c r="Q3751" s="51"/>
      <c r="R3751" s="51"/>
      <c r="S3751" s="51"/>
      <c r="T3751" s="41"/>
      <c r="AG3751" s="521" t="s">
        <v>268</v>
      </c>
      <c r="AH3751" s="521" t="s">
        <v>269</v>
      </c>
      <c r="AI3751" s="521" t="s">
        <v>270</v>
      </c>
      <c r="AJ3751" s="521" t="s">
        <v>271</v>
      </c>
      <c r="AK3751" s="521" t="s">
        <v>272</v>
      </c>
      <c r="AM3751" s="745" t="s">
        <v>281</v>
      </c>
      <c r="AN3751" s="746" t="s">
        <v>282</v>
      </c>
      <c r="AO3751" s="522" t="s">
        <v>278</v>
      </c>
      <c r="AR3751" s="51"/>
      <c r="AS3751" s="42" t="s">
        <v>139</v>
      </c>
    </row>
    <row r="3752" spans="1:45" s="520" customFormat="1" ht="12" customHeight="1">
      <c r="A3752" s="747">
        <v>1</v>
      </c>
      <c r="B3752" s="523" t="s">
        <v>141</v>
      </c>
      <c r="C3752" s="748"/>
      <c r="D3752" s="749" t="s">
        <v>1696</v>
      </c>
      <c r="E3752" s="750">
        <f ca="1">IF(AND($A3752=0,$A$1="DIF"),0, ROUND(ROUND(($R3758*$S$2+($T3758*$T$2))/A3752,2)*$C$2,2))</f>
        <v>195.54</v>
      </c>
      <c r="F3752" s="751">
        <f ca="1">ROUND($A3752*$E3752,2)</f>
        <v>195.54</v>
      </c>
      <c r="G3752" s="752" t="s">
        <v>142</v>
      </c>
      <c r="H3752" s="753"/>
      <c r="I3752" s="754"/>
      <c r="J3752" s="753"/>
      <c r="K3752" s="753" t="s">
        <v>3</v>
      </c>
      <c r="L3752" s="755" t="s">
        <v>143</v>
      </c>
      <c r="M3752" s="755"/>
      <c r="N3752" s="755"/>
      <c r="O3752" s="755"/>
      <c r="P3752" s="755"/>
      <c r="Q3752" s="51"/>
      <c r="T3752" s="756" t="str">
        <f ca="1">IF(AND($R3758=0,$T3758=0),"0.00","mu :" &amp; ROUND($F3752/$C$2/($R3758+$T3758*$D$9),2))</f>
        <v>mu :1.23</v>
      </c>
      <c r="W3752" s="524"/>
      <c r="AG3752" s="481">
        <f ca="1">IF($E3752=0,0,ROUND($R3758*$S$2*$C$2/$A3752,2))</f>
        <v>88.25</v>
      </c>
      <c r="AH3752" s="481">
        <f ca="1">$AG3752*$A3752</f>
        <v>88.25</v>
      </c>
      <c r="AI3752" s="525">
        <f ca="1">$E3752-$AG3752</f>
        <v>107.28999999999999</v>
      </c>
      <c r="AJ3752" s="525">
        <f ca="1">$A3752*$AI3752</f>
        <v>107.28999999999999</v>
      </c>
      <c r="AK3752" s="526">
        <f ca="1">ROUND(($AG3752+$AI3752)*$A3752,2)</f>
        <v>195.54</v>
      </c>
      <c r="AM3752" s="527">
        <f ca="1">ROUND(R3758,2)</f>
        <v>71.67</v>
      </c>
      <c r="AN3752" s="528">
        <f ca="1">ROUND(T3758,2)</f>
        <v>3.17</v>
      </c>
      <c r="AO3752" s="529">
        <f ca="1">ROUND(AM3752+AN3752,2)*A3752</f>
        <v>74.84</v>
      </c>
      <c r="AR3752" s="747">
        <v>1</v>
      </c>
      <c r="AS3752" s="751">
        <v>207.27</v>
      </c>
    </row>
    <row r="3753" spans="1:45" s="520" customFormat="1" ht="13.2">
      <c r="A3753" s="748"/>
      <c r="B3753"/>
      <c r="C3753" s="748"/>
      <c r="D3753" s="749" t="s">
        <v>724</v>
      </c>
      <c r="F3753" s="753"/>
      <c r="G3753" s="3"/>
      <c r="H3753" s="753"/>
      <c r="I3753" s="754"/>
      <c r="J3753" s="753"/>
      <c r="K3753" s="753" t="s">
        <v>144</v>
      </c>
      <c r="L3753" s="753"/>
      <c r="M3753" s="753"/>
      <c r="N3753" s="753"/>
      <c r="O3753" s="753"/>
      <c r="P3753" s="753"/>
      <c r="Q3753" s="51"/>
      <c r="R3753" s="530"/>
      <c r="S3753" s="757"/>
      <c r="T3753" s="753"/>
      <c r="AR3753" s="748"/>
      <c r="AS3753" s="753"/>
    </row>
    <row r="3754" spans="1:45" s="886" customFormat="1" ht="13.2">
      <c r="A3754"/>
      <c r="B3754" s="910"/>
      <c r="C3754" s="910" t="s">
        <v>2597</v>
      </c>
      <c r="D3754" s="910" t="str">
        <f ca="1">CELL("Address",Elec_Rates!D$112)</f>
        <v>[E25_0062_Quintano_Foods_Elec_ELV_As_Awarded.xlsx]Elec_Rates!$D$112</v>
      </c>
      <c r="E3754" s="911"/>
      <c r="F3754" s="911"/>
      <c r="G3754" s="912" t="s">
        <v>2598</v>
      </c>
      <c r="H3754" s="912"/>
      <c r="I3754" s="912"/>
      <c r="J3754" s="912"/>
      <c r="K3754" s="913"/>
      <c r="L3754" s="911"/>
      <c r="M3754" s="911"/>
      <c r="N3754" s="911"/>
      <c r="O3754" s="914"/>
      <c r="P3754" s="911"/>
      <c r="Q3754" s="915"/>
      <c r="R3754" s="916"/>
      <c r="S3754" s="915"/>
      <c r="T3754" s="917"/>
      <c r="U3754" s="918"/>
      <c r="AR3754"/>
      <c r="AS3754" s="911"/>
    </row>
    <row r="3755" spans="1:45" s="886" customFormat="1" ht="11.4">
      <c r="A3755" s="919">
        <v>1</v>
      </c>
      <c r="B3755" s="920">
        <v>1</v>
      </c>
      <c r="C3755" s="920">
        <f>$A3755*$B3755</f>
        <v>1</v>
      </c>
      <c r="D3755" s="921" t="str">
        <f>Elec_Rates!$D$112</f>
        <v>009# Power points rate (Galvanised conduit)</v>
      </c>
      <c r="E3755" s="921"/>
      <c r="F3755" s="921" t="s">
        <v>2599</v>
      </c>
      <c r="G3755" s="922" t="s">
        <v>2601</v>
      </c>
      <c r="H3755" s="922"/>
      <c r="I3755" s="922"/>
      <c r="J3755" s="922"/>
      <c r="K3755" s="923"/>
      <c r="L3755" s="918"/>
      <c r="M3755" s="918"/>
      <c r="N3755" s="918"/>
      <c r="O3755" s="924"/>
      <c r="P3755" s="921"/>
      <c r="Q3755" s="925">
        <f ca="1">$B3755*Elec_Rates!$R$112</f>
        <v>64.069999999999993</v>
      </c>
      <c r="R3755" s="916">
        <f ca="1">$A3755*Q3755</f>
        <v>64.069999999999993</v>
      </c>
      <c r="S3755" s="925">
        <f ca="1">$B3755*Elec_Rates!$T$112</f>
        <v>3.02</v>
      </c>
      <c r="T3755" s="917">
        <f ca="1">$A3755*S3755</f>
        <v>3.02</v>
      </c>
      <c r="U3755" s="926"/>
      <c r="AR3755" s="919">
        <v>1</v>
      </c>
      <c r="AS3755" s="921" t="s">
        <v>2599</v>
      </c>
    </row>
    <row r="3756" spans="1:45" s="901" customFormat="1" ht="13.2">
      <c r="A3756" s="116">
        <v>1</v>
      </c>
      <c r="B3756" s="901" t="s">
        <v>141</v>
      </c>
      <c r="D3756" s="901" t="s">
        <v>2874</v>
      </c>
      <c r="E3756" s="901" t="s">
        <v>3424</v>
      </c>
      <c r="F3756" s="1054" t="s">
        <v>3431</v>
      </c>
      <c r="G3756" s="941" t="s">
        <v>2875</v>
      </c>
      <c r="H3756" s="942">
        <v>705</v>
      </c>
      <c r="I3756" s="901" t="s">
        <v>2872</v>
      </c>
      <c r="J3756" s="901" t="s">
        <v>2876</v>
      </c>
      <c r="O3756" s="943">
        <v>3</v>
      </c>
      <c r="P3756" s="944">
        <v>34700</v>
      </c>
      <c r="Q3756" s="945">
        <v>7.6</v>
      </c>
      <c r="R3756" s="946">
        <f>$A3756*Q3756</f>
        <v>7.6</v>
      </c>
      <c r="S3756" s="945">
        <v>0.17</v>
      </c>
      <c r="T3756" s="947">
        <f>$A3756*S3756*$T$1</f>
        <v>0.15300000000000002</v>
      </c>
      <c r="AR3756" s="116">
        <v>1</v>
      </c>
      <c r="AS3756" s="1054" t="s">
        <v>3431</v>
      </c>
    </row>
    <row r="3757" spans="1:45" s="520" customFormat="1" ht="12">
      <c r="A3757" s="758"/>
      <c r="B3757" s="758"/>
      <c r="C3757" s="758"/>
      <c r="D3757" s="758"/>
      <c r="E3757" s="758"/>
      <c r="F3757" s="753"/>
      <c r="G3757" s="758"/>
      <c r="H3757" s="758"/>
      <c r="I3757" s="519"/>
      <c r="J3757" s="758"/>
      <c r="K3757" s="758"/>
      <c r="L3757" s="758"/>
      <c r="M3757" s="758"/>
      <c r="N3757" s="758"/>
      <c r="O3757" s="758"/>
      <c r="P3757" s="758"/>
      <c r="Q3757" s="519"/>
      <c r="R3757" s="759">
        <f>$A3757*Q3757</f>
        <v>0</v>
      </c>
      <c r="S3757" s="519"/>
      <c r="T3757" s="760">
        <f>$A3757*S3757*$T$1</f>
        <v>0</v>
      </c>
      <c r="AR3757" s="758"/>
      <c r="AS3757" s="753"/>
    </row>
    <row r="3758" spans="1:45" s="520" customFormat="1" ht="12.6" thickBot="1">
      <c r="A3758" s="761" t="s">
        <v>145</v>
      </c>
      <c r="B3758" s="762">
        <f>(R3757+T3757)</f>
        <v>0</v>
      </c>
      <c r="C3758" s="763"/>
      <c r="D3758" s="763"/>
      <c r="E3758" s="763"/>
      <c r="F3758" s="764"/>
      <c r="G3758" s="763" t="s">
        <v>146</v>
      </c>
      <c r="H3758" s="763"/>
      <c r="I3758" s="765"/>
      <c r="J3758" s="763"/>
      <c r="K3758" s="763" t="s">
        <v>3</v>
      </c>
      <c r="L3758" s="766" t="s">
        <v>143</v>
      </c>
      <c r="M3758" s="766"/>
      <c r="N3758" s="766"/>
      <c r="O3758" s="766"/>
      <c r="P3758" s="766"/>
      <c r="Q3758" s="767"/>
      <c r="R3758" s="768">
        <f ca="1">SUM(R3753:R3757)</f>
        <v>71.669999999999987</v>
      </c>
      <c r="S3758" s="763"/>
      <c r="T3758" s="768">
        <f ca="1">SUM(T3753:T3757)</f>
        <v>3.173</v>
      </c>
      <c r="U3758" s="531"/>
      <c r="V3758" s="531"/>
      <c r="W3758" s="531"/>
      <c r="X3758" s="531"/>
      <c r="Y3758" s="531"/>
      <c r="Z3758" s="531"/>
      <c r="AA3758" s="531"/>
      <c r="AB3758" s="531"/>
      <c r="AC3758" s="531"/>
      <c r="AD3758" s="531"/>
      <c r="AE3758" s="531"/>
      <c r="AF3758" s="531"/>
      <c r="AG3758" s="531"/>
      <c r="AH3758" s="531"/>
      <c r="AI3758" s="531"/>
      <c r="AJ3758" s="531"/>
      <c r="AK3758" s="531"/>
      <c r="AL3758" s="531"/>
      <c r="AM3758" s="531"/>
      <c r="AN3758" s="531"/>
      <c r="AO3758" s="531"/>
      <c r="AR3758" s="761" t="s">
        <v>145</v>
      </c>
      <c r="AS3758" s="764"/>
    </row>
    <row r="3759" spans="1:45" s="520" customFormat="1" ht="12" thickTop="1">
      <c r="A3759" s="51"/>
      <c r="B3759" s="41"/>
      <c r="C3759" s="51"/>
      <c r="E3759" s="42" t="s">
        <v>138</v>
      </c>
      <c r="F3759" s="42" t="s">
        <v>139</v>
      </c>
      <c r="G3759" s="51"/>
      <c r="H3759" s="51"/>
      <c r="I3759" s="51"/>
      <c r="J3759" s="51"/>
      <c r="K3759" s="51" t="s">
        <v>140</v>
      </c>
      <c r="L3759" s="51"/>
      <c r="M3759" s="51"/>
      <c r="N3759" s="51"/>
      <c r="O3759" s="52"/>
      <c r="P3759" s="51"/>
      <c r="Q3759" s="51"/>
      <c r="R3759" s="51"/>
      <c r="S3759" s="51"/>
      <c r="T3759" s="41"/>
      <c r="AG3759" s="521" t="s">
        <v>268</v>
      </c>
      <c r="AH3759" s="521" t="s">
        <v>269</v>
      </c>
      <c r="AI3759" s="521" t="s">
        <v>270</v>
      </c>
      <c r="AJ3759" s="521" t="s">
        <v>271</v>
      </c>
      <c r="AK3759" s="521" t="s">
        <v>272</v>
      </c>
      <c r="AM3759" s="745" t="s">
        <v>281</v>
      </c>
      <c r="AN3759" s="746" t="s">
        <v>282</v>
      </c>
      <c r="AO3759" s="522" t="s">
        <v>278</v>
      </c>
      <c r="AR3759" s="51"/>
      <c r="AS3759" s="42" t="s">
        <v>139</v>
      </c>
    </row>
    <row r="3760" spans="1:45" s="520" customFormat="1" ht="12" customHeight="1">
      <c r="A3760" s="747">
        <v>1</v>
      </c>
      <c r="B3760" s="523" t="s">
        <v>141</v>
      </c>
      <c r="C3760" s="748"/>
      <c r="D3760" s="749" t="s">
        <v>1697</v>
      </c>
      <c r="E3760" s="750">
        <f ca="1">IF(AND($A3760=0,$A$1="DIF"),0, ROUND(ROUND(($R3766*$S$2+($T3766*$T$2))/A3760,2)*$C$2,2))</f>
        <v>759.48</v>
      </c>
      <c r="F3760" s="751">
        <f ca="1">ROUND($A3760*$E3760,2)</f>
        <v>759.48</v>
      </c>
      <c r="G3760" s="752" t="s">
        <v>142</v>
      </c>
      <c r="H3760" s="753"/>
      <c r="I3760" s="754"/>
      <c r="J3760" s="753"/>
      <c r="K3760" s="753" t="s">
        <v>3</v>
      </c>
      <c r="L3760" s="755" t="s">
        <v>143</v>
      </c>
      <c r="M3760" s="755"/>
      <c r="N3760" s="755"/>
      <c r="O3760" s="755"/>
      <c r="P3760" s="755"/>
      <c r="Q3760" s="51"/>
      <c r="T3760" s="756" t="str">
        <f ca="1">IF(AND($R3766=0,$T3766=0),"0.00","mu :" &amp; ROUND($F3760/$C$2/($R3766+$T3766*$D$9),2))</f>
        <v>mu :1.23</v>
      </c>
      <c r="W3760" s="524"/>
      <c r="AG3760" s="481">
        <f ca="1">IF($E3760=0,0,ROUND($R3766*$S$2*$C$2/$A3760,2))</f>
        <v>585.58000000000004</v>
      </c>
      <c r="AH3760" s="481">
        <f ca="1">$AG3760*$A3760</f>
        <v>585.58000000000004</v>
      </c>
      <c r="AI3760" s="525">
        <f ca="1">$E3760-$AG3760</f>
        <v>173.89999999999998</v>
      </c>
      <c r="AJ3760" s="525">
        <f ca="1">$A3760*$AI3760</f>
        <v>173.89999999999998</v>
      </c>
      <c r="AK3760" s="526">
        <f ca="1">ROUND(($AG3760+$AI3760)*$A3760,2)</f>
        <v>759.48</v>
      </c>
      <c r="AM3760" s="527">
        <f ca="1">ROUND(R3766,2)</f>
        <v>475.56</v>
      </c>
      <c r="AN3760" s="528">
        <f ca="1">ROUND(T3766,2)</f>
        <v>5.14</v>
      </c>
      <c r="AO3760" s="529">
        <f ca="1">ROUND(AM3760+AN3760,2)*A3760</f>
        <v>480.7</v>
      </c>
      <c r="AR3760" s="747">
        <v>1</v>
      </c>
      <c r="AS3760" s="751">
        <v>799.43</v>
      </c>
    </row>
    <row r="3761" spans="1:45" s="520" customFormat="1" ht="13.2">
      <c r="A3761" s="748"/>
      <c r="B3761"/>
      <c r="C3761" s="748"/>
      <c r="D3761" s="749" t="s">
        <v>755</v>
      </c>
      <c r="F3761" s="753"/>
      <c r="G3761" s="3"/>
      <c r="H3761" s="753"/>
      <c r="I3761" s="754"/>
      <c r="J3761" s="753"/>
      <c r="K3761" s="753" t="s">
        <v>144</v>
      </c>
      <c r="L3761" s="753"/>
      <c r="M3761" s="753"/>
      <c r="N3761" s="753"/>
      <c r="O3761" s="753"/>
      <c r="P3761" s="753"/>
      <c r="Q3761" s="51"/>
      <c r="R3761" s="530"/>
      <c r="S3761" s="757"/>
      <c r="T3761" s="753"/>
      <c r="AR3761" s="748"/>
      <c r="AS3761" s="753"/>
    </row>
    <row r="3762" spans="1:45" s="886" customFormat="1" ht="13.2">
      <c r="A3762"/>
      <c r="B3762" s="910"/>
      <c r="C3762" s="910" t="s">
        <v>2597</v>
      </c>
      <c r="D3762" s="910" t="str">
        <f ca="1">CELL("Address",Elec_Rates!D$120)</f>
        <v>[E25_0062_Quintano_Foods_Elec_ELV_As_Awarded.xlsx]Elec_Rates!$D$120</v>
      </c>
      <c r="E3762" s="911"/>
      <c r="F3762" s="911"/>
      <c r="G3762" s="912" t="s">
        <v>2598</v>
      </c>
      <c r="H3762" s="912"/>
      <c r="I3762" s="912"/>
      <c r="J3762" s="912"/>
      <c r="K3762" s="913"/>
      <c r="L3762" s="911"/>
      <c r="M3762" s="911"/>
      <c r="N3762" s="911"/>
      <c r="O3762" s="914"/>
      <c r="P3762" s="911"/>
      <c r="Q3762" s="915"/>
      <c r="R3762" s="916"/>
      <c r="S3762" s="915"/>
      <c r="T3762" s="917"/>
      <c r="U3762" s="918"/>
      <c r="AR3762"/>
      <c r="AS3762" s="911"/>
    </row>
    <row r="3763" spans="1:45" s="886" customFormat="1" ht="11.4">
      <c r="A3763" s="919">
        <v>1</v>
      </c>
      <c r="B3763" s="920">
        <v>1</v>
      </c>
      <c r="C3763" s="920">
        <f>$A3763*$B3763</f>
        <v>1</v>
      </c>
      <c r="D3763" s="921" t="str">
        <f>Elec_Rates!$D$120</f>
        <v>010# Power points rate galvanised conduit (CWZ LSZH Cable)</v>
      </c>
      <c r="E3763" s="921"/>
      <c r="F3763" s="921" t="s">
        <v>2599</v>
      </c>
      <c r="G3763" s="922" t="s">
        <v>2601</v>
      </c>
      <c r="H3763" s="922"/>
      <c r="I3763" s="922"/>
      <c r="J3763" s="922"/>
      <c r="K3763" s="923"/>
      <c r="L3763" s="918"/>
      <c r="M3763" s="918"/>
      <c r="N3763" s="918"/>
      <c r="O3763" s="924"/>
      <c r="P3763" s="921"/>
      <c r="Q3763" s="925">
        <f ca="1">$B3763*Elec_Rates!$R$120</f>
        <v>467.96</v>
      </c>
      <c r="R3763" s="916">
        <f ca="1">$A3763*Q3763</f>
        <v>467.96</v>
      </c>
      <c r="S3763" s="925">
        <f ca="1">$B3763*Elec_Rates!$T$120</f>
        <v>4.99</v>
      </c>
      <c r="T3763" s="917">
        <f ca="1">$A3763*S3763</f>
        <v>4.99</v>
      </c>
      <c r="U3763" s="926"/>
      <c r="AR3763" s="919">
        <v>1</v>
      </c>
      <c r="AS3763" s="921" t="s">
        <v>2599</v>
      </c>
    </row>
    <row r="3764" spans="1:45" s="901" customFormat="1" ht="13.2">
      <c r="A3764" s="116">
        <v>1</v>
      </c>
      <c r="B3764" s="901" t="s">
        <v>141</v>
      </c>
      <c r="D3764" s="901" t="s">
        <v>2874</v>
      </c>
      <c r="E3764" s="901" t="s">
        <v>3424</v>
      </c>
      <c r="F3764" s="1054" t="s">
        <v>3431</v>
      </c>
      <c r="G3764" s="941" t="s">
        <v>2875</v>
      </c>
      <c r="H3764" s="942">
        <v>705</v>
      </c>
      <c r="I3764" s="901" t="s">
        <v>2872</v>
      </c>
      <c r="J3764" s="901" t="s">
        <v>2876</v>
      </c>
      <c r="O3764" s="943">
        <v>3</v>
      </c>
      <c r="P3764" s="944">
        <v>34700</v>
      </c>
      <c r="Q3764" s="945">
        <v>7.6</v>
      </c>
      <c r="R3764" s="946">
        <f>$A3764*Q3764</f>
        <v>7.6</v>
      </c>
      <c r="S3764" s="945">
        <v>0.17</v>
      </c>
      <c r="T3764" s="947">
        <f>$A3764*S3764*$T$1</f>
        <v>0.15300000000000002</v>
      </c>
      <c r="AR3764" s="116">
        <v>1</v>
      </c>
      <c r="AS3764" s="1054" t="s">
        <v>3431</v>
      </c>
    </row>
    <row r="3765" spans="1:45" s="520" customFormat="1" ht="12">
      <c r="A3765" s="758"/>
      <c r="B3765" s="758"/>
      <c r="C3765" s="758"/>
      <c r="D3765" s="758"/>
      <c r="E3765" s="758"/>
      <c r="F3765" s="753"/>
      <c r="G3765" s="758"/>
      <c r="H3765" s="758"/>
      <c r="I3765" s="519"/>
      <c r="J3765" s="758"/>
      <c r="K3765" s="758"/>
      <c r="L3765" s="758"/>
      <c r="M3765" s="758"/>
      <c r="N3765" s="758"/>
      <c r="O3765" s="758"/>
      <c r="P3765" s="758"/>
      <c r="Q3765" s="519"/>
      <c r="R3765" s="759">
        <f>$A3765*Q3765</f>
        <v>0</v>
      </c>
      <c r="S3765" s="519"/>
      <c r="T3765" s="760">
        <f>$A3765*S3765*$T$1</f>
        <v>0</v>
      </c>
      <c r="AR3765" s="758"/>
      <c r="AS3765" s="753"/>
    </row>
    <row r="3766" spans="1:45" s="520" customFormat="1" ht="12.6" thickBot="1">
      <c r="A3766" s="761" t="s">
        <v>145</v>
      </c>
      <c r="B3766" s="762">
        <f>(R3765+T3765)</f>
        <v>0</v>
      </c>
      <c r="C3766" s="763"/>
      <c r="D3766" s="763"/>
      <c r="E3766" s="763"/>
      <c r="F3766" s="764"/>
      <c r="G3766" s="763" t="s">
        <v>146</v>
      </c>
      <c r="H3766" s="763"/>
      <c r="I3766" s="765"/>
      <c r="J3766" s="763"/>
      <c r="K3766" s="763" t="s">
        <v>3</v>
      </c>
      <c r="L3766" s="766" t="s">
        <v>143</v>
      </c>
      <c r="M3766" s="766"/>
      <c r="N3766" s="766"/>
      <c r="O3766" s="766"/>
      <c r="P3766" s="766"/>
      <c r="Q3766" s="767"/>
      <c r="R3766" s="768">
        <f ca="1">SUM(R3761:R3765)</f>
        <v>475.56</v>
      </c>
      <c r="S3766" s="763"/>
      <c r="T3766" s="768">
        <f ca="1">SUM(T3761:T3765)</f>
        <v>5.1430000000000007</v>
      </c>
      <c r="U3766" s="531"/>
      <c r="V3766" s="531"/>
      <c r="W3766" s="531"/>
      <c r="X3766" s="531"/>
      <c r="Y3766" s="531"/>
      <c r="Z3766" s="531"/>
      <c r="AA3766" s="531"/>
      <c r="AB3766" s="531"/>
      <c r="AC3766" s="531"/>
      <c r="AD3766" s="531"/>
      <c r="AE3766" s="531"/>
      <c r="AF3766" s="531"/>
      <c r="AG3766" s="531"/>
      <c r="AH3766" s="531"/>
      <c r="AI3766" s="531"/>
      <c r="AJ3766" s="531"/>
      <c r="AK3766" s="531"/>
      <c r="AL3766" s="531"/>
      <c r="AM3766" s="531"/>
      <c r="AN3766" s="531"/>
      <c r="AO3766" s="531"/>
      <c r="AR3766" s="761" t="s">
        <v>145</v>
      </c>
      <c r="AS3766" s="764"/>
    </row>
    <row r="3767" spans="1:45" s="520" customFormat="1" ht="12" thickTop="1">
      <c r="A3767" s="51"/>
      <c r="B3767" s="41"/>
      <c r="C3767" s="51"/>
      <c r="E3767" s="42" t="s">
        <v>138</v>
      </c>
      <c r="F3767" s="42" t="s">
        <v>139</v>
      </c>
      <c r="G3767" s="51"/>
      <c r="H3767" s="51"/>
      <c r="I3767" s="51"/>
      <c r="J3767" s="51"/>
      <c r="K3767" s="51" t="s">
        <v>140</v>
      </c>
      <c r="L3767" s="51"/>
      <c r="M3767" s="51"/>
      <c r="N3767" s="51"/>
      <c r="O3767" s="52"/>
      <c r="P3767" s="51"/>
      <c r="Q3767" s="51"/>
      <c r="R3767" s="51"/>
      <c r="S3767" s="51"/>
      <c r="T3767" s="41"/>
      <c r="AG3767" s="521" t="s">
        <v>268</v>
      </c>
      <c r="AH3767" s="521" t="s">
        <v>269</v>
      </c>
      <c r="AI3767" s="521" t="s">
        <v>270</v>
      </c>
      <c r="AJ3767" s="521" t="s">
        <v>271</v>
      </c>
      <c r="AK3767" s="521" t="s">
        <v>272</v>
      </c>
      <c r="AM3767" s="745" t="s">
        <v>281</v>
      </c>
      <c r="AN3767" s="746" t="s">
        <v>282</v>
      </c>
      <c r="AO3767" s="522" t="s">
        <v>278</v>
      </c>
      <c r="AR3767" s="51"/>
      <c r="AS3767" s="42" t="s">
        <v>139</v>
      </c>
    </row>
    <row r="3768" spans="1:45" s="520" customFormat="1" ht="12" customHeight="1">
      <c r="A3768" s="747">
        <v>1</v>
      </c>
      <c r="B3768" s="523" t="s">
        <v>141</v>
      </c>
      <c r="C3768" s="748"/>
      <c r="D3768" s="749" t="s">
        <v>1698</v>
      </c>
      <c r="E3768" s="750">
        <f ca="1">IF(AND($A3768=0,$A$1="DIF"),0, ROUND(ROUND(($R3773*$S$2+($T3773*$T$2))/A3768,2)*$C$2,2))</f>
        <v>208.63</v>
      </c>
      <c r="F3768" s="751">
        <f ca="1">ROUND($A3768*$E3768,2)</f>
        <v>208.63</v>
      </c>
      <c r="G3768" s="752" t="s">
        <v>142</v>
      </c>
      <c r="H3768" s="753"/>
      <c r="I3768" s="754"/>
      <c r="J3768" s="753"/>
      <c r="K3768" s="753" t="s">
        <v>3</v>
      </c>
      <c r="L3768" s="755" t="s">
        <v>143</v>
      </c>
      <c r="M3768" s="755"/>
      <c r="N3768" s="755"/>
      <c r="O3768" s="755"/>
      <c r="P3768" s="755"/>
      <c r="Q3768" s="51"/>
      <c r="T3768" s="756" t="str">
        <f ca="1">IF(AND($R3773=0,$T3773=0),"0.00","mu :" &amp; ROUND($F3768/$C$2/($R3773+$T3773*$D$9),2))</f>
        <v>mu :1.23</v>
      </c>
      <c r="W3768" s="524"/>
      <c r="AG3768" s="481">
        <f ca="1">IF($E3768=0,0,ROUND($R3773*$S$2*$C$2/$A3768,2))</f>
        <v>91.64</v>
      </c>
      <c r="AH3768" s="481">
        <f ca="1">$AG3768*$A3768</f>
        <v>91.64</v>
      </c>
      <c r="AI3768" s="525">
        <f ca="1">$E3768-$AG3768</f>
        <v>116.99</v>
      </c>
      <c r="AJ3768" s="525">
        <f ca="1">$A3768*$AI3768</f>
        <v>116.99</v>
      </c>
      <c r="AK3768" s="526">
        <f ca="1">ROUND(($AG3768+$AI3768)*$A3768,2)</f>
        <v>208.63</v>
      </c>
      <c r="AM3768" s="527">
        <f ca="1">ROUND(R3773,2)</f>
        <v>74.42</v>
      </c>
      <c r="AN3768" s="528">
        <f ca="1">ROUND(T3773,2)</f>
        <v>3.46</v>
      </c>
      <c r="AO3768" s="529">
        <f ca="1">ROUND(AM3768+AN3768,2)*A3768</f>
        <v>77.88</v>
      </c>
      <c r="AR3768" s="747">
        <v>1</v>
      </c>
      <c r="AS3768" s="751">
        <v>221.48</v>
      </c>
    </row>
    <row r="3769" spans="1:45" s="520" customFormat="1" ht="13.2">
      <c r="A3769" s="748"/>
      <c r="B3769"/>
      <c r="C3769" s="748"/>
      <c r="D3769" s="749" t="s">
        <v>756</v>
      </c>
      <c r="F3769" s="753"/>
      <c r="G3769" s="3"/>
      <c r="H3769" s="753"/>
      <c r="I3769" s="754"/>
      <c r="J3769" s="753"/>
      <c r="K3769" s="753" t="s">
        <v>144</v>
      </c>
      <c r="L3769" s="753"/>
      <c r="M3769" s="753"/>
      <c r="N3769" s="753"/>
      <c r="O3769" s="753"/>
      <c r="P3769" s="753"/>
      <c r="Q3769" s="51"/>
      <c r="R3769" s="530"/>
      <c r="S3769" s="757"/>
      <c r="T3769" s="753"/>
      <c r="AR3769" s="748"/>
      <c r="AS3769" s="753"/>
    </row>
    <row r="3770" spans="1:45" s="886" customFormat="1" ht="13.2">
      <c r="A3770"/>
      <c r="B3770" s="910"/>
      <c r="C3770" s="910" t="s">
        <v>2597</v>
      </c>
      <c r="D3770" s="910" t="str">
        <f ca="1">CELL("Address",Elec_Rates!D$134)</f>
        <v>[E25_0062_Quintano_Foods_Elec_ELV_As_Awarded.xlsx]Elec_Rates!$D$134</v>
      </c>
      <c r="E3770" s="911"/>
      <c r="F3770" s="911"/>
      <c r="G3770" s="912" t="s">
        <v>2598</v>
      </c>
      <c r="H3770" s="912"/>
      <c r="I3770" s="912"/>
      <c r="J3770" s="912"/>
      <c r="K3770" s="913"/>
      <c r="L3770" s="911"/>
      <c r="M3770" s="911"/>
      <c r="N3770" s="911"/>
      <c r="O3770" s="914"/>
      <c r="P3770" s="911"/>
      <c r="Q3770" s="915"/>
      <c r="R3770" s="916"/>
      <c r="S3770" s="915"/>
      <c r="T3770" s="917"/>
      <c r="U3770" s="918"/>
      <c r="AR3770"/>
      <c r="AS3770" s="911"/>
    </row>
    <row r="3771" spans="1:45" s="886" customFormat="1" ht="11.4">
      <c r="A3771" s="919">
        <v>1</v>
      </c>
      <c r="B3771" s="920">
        <v>1</v>
      </c>
      <c r="C3771" s="920">
        <f>$A3771*$B3771</f>
        <v>1</v>
      </c>
      <c r="D3771" s="921" t="str">
        <f>Elec_Rates!$D$134</f>
        <v>012# Single phase isolator / socket outlet point Galvanised conduit</v>
      </c>
      <c r="E3771" s="921"/>
      <c r="F3771" s="921" t="s">
        <v>2599</v>
      </c>
      <c r="G3771" s="922" t="s">
        <v>2600</v>
      </c>
      <c r="H3771" s="922"/>
      <c r="I3771" s="922"/>
      <c r="J3771" s="922"/>
      <c r="K3771" s="923"/>
      <c r="L3771" s="918"/>
      <c r="M3771" s="918"/>
      <c r="N3771" s="918"/>
      <c r="O3771" s="924"/>
      <c r="P3771" s="921"/>
      <c r="Q3771" s="925">
        <f ca="1">$B3771*Elec_Rates!$R$134</f>
        <v>74.42</v>
      </c>
      <c r="R3771" s="916">
        <f ca="1">$A3771*Q3771</f>
        <v>74.42</v>
      </c>
      <c r="S3771" s="925">
        <f ca="1">$B3771*Elec_Rates!$T$134</f>
        <v>3.46</v>
      </c>
      <c r="T3771" s="917">
        <f ca="1">$A3771*S3771</f>
        <v>3.46</v>
      </c>
      <c r="U3771" s="926"/>
      <c r="AR3771" s="919">
        <v>1</v>
      </c>
      <c r="AS3771" s="921" t="s">
        <v>2599</v>
      </c>
    </row>
    <row r="3772" spans="1:45" s="520" customFormat="1" ht="12">
      <c r="A3772" s="758"/>
      <c r="B3772" s="758"/>
      <c r="C3772" s="758"/>
      <c r="D3772" s="758"/>
      <c r="E3772" s="758"/>
      <c r="F3772" s="753"/>
      <c r="G3772" s="758"/>
      <c r="H3772" s="758"/>
      <c r="I3772" s="519"/>
      <c r="J3772" s="758"/>
      <c r="K3772" s="758"/>
      <c r="L3772" s="758"/>
      <c r="M3772" s="758"/>
      <c r="N3772" s="758"/>
      <c r="O3772" s="758"/>
      <c r="P3772" s="758"/>
      <c r="Q3772" s="519"/>
      <c r="R3772" s="759">
        <f>$A3772*Q3772</f>
        <v>0</v>
      </c>
      <c r="S3772" s="519"/>
      <c r="T3772" s="760">
        <f>$A3772*S3772*$T$1</f>
        <v>0</v>
      </c>
      <c r="AR3772" s="758"/>
      <c r="AS3772" s="753"/>
    </row>
    <row r="3773" spans="1:45" s="520" customFormat="1" ht="12.6" thickBot="1">
      <c r="A3773" s="761" t="s">
        <v>145</v>
      </c>
      <c r="B3773" s="762">
        <f>(R3772+T3772)</f>
        <v>0</v>
      </c>
      <c r="C3773" s="763"/>
      <c r="D3773" s="763"/>
      <c r="E3773" s="763"/>
      <c r="F3773" s="764"/>
      <c r="G3773" s="763" t="s">
        <v>146</v>
      </c>
      <c r="H3773" s="763"/>
      <c r="I3773" s="765"/>
      <c r="J3773" s="763"/>
      <c r="K3773" s="763" t="s">
        <v>3</v>
      </c>
      <c r="L3773" s="766" t="s">
        <v>143</v>
      </c>
      <c r="M3773" s="766"/>
      <c r="N3773" s="766"/>
      <c r="O3773" s="766"/>
      <c r="P3773" s="766"/>
      <c r="Q3773" s="767"/>
      <c r="R3773" s="768">
        <f ca="1">SUM(R3769:R3772)</f>
        <v>74.42</v>
      </c>
      <c r="S3773" s="763"/>
      <c r="T3773" s="768">
        <f ca="1">SUM(T3769:T3772)</f>
        <v>3.46</v>
      </c>
      <c r="U3773" s="531"/>
      <c r="V3773" s="531"/>
      <c r="W3773" s="531"/>
      <c r="X3773" s="531"/>
      <c r="Y3773" s="531"/>
      <c r="Z3773" s="531"/>
      <c r="AA3773" s="531"/>
      <c r="AB3773" s="531"/>
      <c r="AC3773" s="531"/>
      <c r="AD3773" s="531"/>
      <c r="AE3773" s="531"/>
      <c r="AF3773" s="531"/>
      <c r="AG3773" s="531"/>
      <c r="AH3773" s="531"/>
      <c r="AI3773" s="531"/>
      <c r="AJ3773" s="531"/>
      <c r="AK3773" s="531"/>
      <c r="AL3773" s="531"/>
      <c r="AM3773" s="531"/>
      <c r="AN3773" s="531"/>
      <c r="AO3773" s="531"/>
      <c r="AR3773" s="761" t="s">
        <v>145</v>
      </c>
      <c r="AS3773" s="764"/>
    </row>
    <row r="3774" spans="1:45" s="520" customFormat="1" ht="12" thickTop="1">
      <c r="A3774" s="51"/>
      <c r="B3774" s="41"/>
      <c r="C3774" s="51"/>
      <c r="E3774" s="42" t="s">
        <v>138</v>
      </c>
      <c r="F3774" s="42" t="s">
        <v>139</v>
      </c>
      <c r="G3774" s="51"/>
      <c r="H3774" s="51"/>
      <c r="I3774" s="51"/>
      <c r="J3774" s="51"/>
      <c r="K3774" s="51" t="s">
        <v>140</v>
      </c>
      <c r="L3774" s="51"/>
      <c r="M3774" s="51"/>
      <c r="N3774" s="51"/>
      <c r="O3774" s="52"/>
      <c r="P3774" s="51"/>
      <c r="Q3774" s="51"/>
      <c r="R3774" s="51"/>
      <c r="S3774" s="51"/>
      <c r="T3774" s="41"/>
      <c r="AG3774" s="521" t="s">
        <v>268</v>
      </c>
      <c r="AH3774" s="521" t="s">
        <v>269</v>
      </c>
      <c r="AI3774" s="521" t="s">
        <v>270</v>
      </c>
      <c r="AJ3774" s="521" t="s">
        <v>271</v>
      </c>
      <c r="AK3774" s="521" t="s">
        <v>272</v>
      </c>
      <c r="AM3774" s="745" t="s">
        <v>281</v>
      </c>
      <c r="AN3774" s="746" t="s">
        <v>282</v>
      </c>
      <c r="AO3774" s="522" t="s">
        <v>278</v>
      </c>
      <c r="AR3774" s="51"/>
      <c r="AS3774" s="42" t="s">
        <v>139</v>
      </c>
    </row>
    <row r="3775" spans="1:45" s="520" customFormat="1" ht="12" customHeight="1">
      <c r="A3775" s="747">
        <v>1</v>
      </c>
      <c r="B3775" s="523" t="s">
        <v>141</v>
      </c>
      <c r="C3775" s="748"/>
      <c r="D3775" s="749" t="s">
        <v>1699</v>
      </c>
      <c r="E3775" s="750">
        <f ca="1">IF(AND($A3775=0,$A$1="DIF"),0, ROUND(ROUND(($R3780*$S$2+($T3780*$T$2))/A3775,2)*$C$2,2))</f>
        <v>158.15</v>
      </c>
      <c r="F3775" s="751">
        <f ca="1">ROUND($A3775*$E3775,2)</f>
        <v>158.15</v>
      </c>
      <c r="G3775" s="752" t="s">
        <v>142</v>
      </c>
      <c r="H3775" s="753"/>
      <c r="I3775" s="754"/>
      <c r="J3775" s="753"/>
      <c r="K3775" s="753" t="s">
        <v>3</v>
      </c>
      <c r="L3775" s="755" t="s">
        <v>143</v>
      </c>
      <c r="M3775" s="755"/>
      <c r="N3775" s="755"/>
      <c r="O3775" s="755"/>
      <c r="P3775" s="755"/>
      <c r="Q3775" s="51"/>
      <c r="T3775" s="756" t="str">
        <f ca="1">IF(AND($R3780=0,$T3780=0),"0.00","mu :" &amp; ROUND($F3775/$C$2/($R3780+$T3780*$D$9),2))</f>
        <v>mu :1.23</v>
      </c>
      <c r="W3775" s="524"/>
      <c r="AG3775" s="481">
        <f ca="1">IF($E3775=0,0,ROUND($R3780*$S$2*$C$2/$A3775,2))</f>
        <v>57.39</v>
      </c>
      <c r="AH3775" s="481">
        <f ca="1">$AG3775*$A3775</f>
        <v>57.39</v>
      </c>
      <c r="AI3775" s="525">
        <f ca="1">$E3775-$AG3775</f>
        <v>100.76</v>
      </c>
      <c r="AJ3775" s="525">
        <f ca="1">$A3775*$AI3775</f>
        <v>100.76</v>
      </c>
      <c r="AK3775" s="526">
        <f ca="1">ROUND(($AG3775+$AI3775)*$A3775,2)</f>
        <v>158.15</v>
      </c>
      <c r="AM3775" s="527">
        <f ca="1">ROUND(R3780,2)</f>
        <v>46.61</v>
      </c>
      <c r="AN3775" s="528">
        <f ca="1">ROUND(T3780,2)</f>
        <v>2.98</v>
      </c>
      <c r="AO3775" s="529">
        <f ca="1">ROUND(AM3775+AN3775,2)*A3775</f>
        <v>49.59</v>
      </c>
      <c r="AR3775" s="747">
        <v>1</v>
      </c>
      <c r="AS3775" s="751">
        <v>169.31</v>
      </c>
    </row>
    <row r="3776" spans="1:45" s="520" customFormat="1" ht="13.2">
      <c r="A3776" s="748"/>
      <c r="B3776"/>
      <c r="C3776" s="748"/>
      <c r="D3776" s="749" t="s">
        <v>758</v>
      </c>
      <c r="F3776" s="753"/>
      <c r="G3776" s="3"/>
      <c r="H3776" s="753"/>
      <c r="I3776" s="754"/>
      <c r="J3776" s="753"/>
      <c r="K3776" s="753" t="s">
        <v>144</v>
      </c>
      <c r="L3776" s="753"/>
      <c r="M3776" s="753"/>
      <c r="N3776" s="753"/>
      <c r="O3776" s="753"/>
      <c r="P3776" s="753"/>
      <c r="Q3776" s="51"/>
      <c r="R3776" s="530"/>
      <c r="S3776" s="757"/>
      <c r="T3776" s="753"/>
      <c r="AR3776" s="748"/>
      <c r="AS3776" s="753"/>
    </row>
    <row r="3777" spans="1:45" s="886" customFormat="1" ht="13.2">
      <c r="A3777"/>
      <c r="B3777" s="910"/>
      <c r="C3777" s="910" t="s">
        <v>2597</v>
      </c>
      <c r="D3777" s="910" t="str">
        <f ca="1">CELL("Address",Elec_Rates!D$46)</f>
        <v>[E25_0062_Quintano_Foods_Elec_ELV_As_Awarded.xlsx]Elec_Rates!$D$46</v>
      </c>
      <c r="E3777" s="911"/>
      <c r="F3777" s="911"/>
      <c r="G3777" s="912" t="s">
        <v>2598</v>
      </c>
      <c r="H3777" s="912"/>
      <c r="I3777" s="912"/>
      <c r="J3777" s="912"/>
      <c r="K3777" s="913"/>
      <c r="L3777" s="911"/>
      <c r="M3777" s="911"/>
      <c r="N3777" s="911"/>
      <c r="O3777" s="914"/>
      <c r="P3777" s="911"/>
      <c r="Q3777" s="915"/>
      <c r="R3777" s="916"/>
      <c r="S3777" s="915"/>
      <c r="T3777" s="917"/>
      <c r="U3777" s="918"/>
      <c r="AR3777"/>
      <c r="AS3777" s="911"/>
    </row>
    <row r="3778" spans="1:45" s="886" customFormat="1" ht="11.4">
      <c r="A3778" s="919">
        <v>1</v>
      </c>
      <c r="B3778" s="920">
        <v>1</v>
      </c>
      <c r="C3778" s="920">
        <f>$A3778*$B3778</f>
        <v>1</v>
      </c>
      <c r="D3778" s="921" t="str">
        <f>Elec_Rates!$D$46</f>
        <v>004# Light point rate (Galvanised Conduit)</v>
      </c>
      <c r="E3778" s="921" t="s">
        <v>2877</v>
      </c>
      <c r="F3778" s="918"/>
      <c r="G3778" s="922" t="s">
        <v>2878</v>
      </c>
      <c r="H3778" s="922"/>
      <c r="I3778" s="922"/>
      <c r="J3778" s="922"/>
      <c r="K3778" s="923"/>
      <c r="L3778" s="918"/>
      <c r="M3778" s="918"/>
      <c r="N3778" s="918"/>
      <c r="O3778" s="924"/>
      <c r="P3778" s="921"/>
      <c r="Q3778" s="925">
        <f ca="1">$B3778*Elec_Rates!$R$46</f>
        <v>46.61</v>
      </c>
      <c r="R3778" s="916">
        <f ca="1">$A3778*Q3778</f>
        <v>46.61</v>
      </c>
      <c r="S3778" s="925">
        <f ca="1">$B3778*Elec_Rates!$T$46</f>
        <v>2.98</v>
      </c>
      <c r="T3778" s="917">
        <f ca="1">$A3778*S3778</f>
        <v>2.98</v>
      </c>
      <c r="U3778" s="926"/>
      <c r="AR3778" s="919">
        <v>1</v>
      </c>
      <c r="AS3778" s="918"/>
    </row>
    <row r="3779" spans="1:45" s="520" customFormat="1" ht="12">
      <c r="A3779" s="758"/>
      <c r="B3779" s="758"/>
      <c r="C3779" s="758"/>
      <c r="D3779" s="758"/>
      <c r="E3779" s="758"/>
      <c r="F3779" s="753"/>
      <c r="G3779" s="758"/>
      <c r="H3779" s="758"/>
      <c r="I3779" s="519"/>
      <c r="J3779" s="758"/>
      <c r="K3779" s="758"/>
      <c r="L3779" s="758"/>
      <c r="M3779" s="758"/>
      <c r="N3779" s="758"/>
      <c r="O3779" s="758"/>
      <c r="P3779" s="758"/>
      <c r="Q3779" s="519"/>
      <c r="R3779" s="759">
        <f>$A3779*Q3779</f>
        <v>0</v>
      </c>
      <c r="S3779" s="519"/>
      <c r="T3779" s="760">
        <f>$A3779*S3779*$T$1</f>
        <v>0</v>
      </c>
      <c r="AR3779" s="758"/>
      <c r="AS3779" s="753"/>
    </row>
    <row r="3780" spans="1:45" s="520" customFormat="1" ht="12.6" thickBot="1">
      <c r="A3780" s="761" t="s">
        <v>145</v>
      </c>
      <c r="B3780" s="762">
        <f>(R3779+T3779)</f>
        <v>0</v>
      </c>
      <c r="C3780" s="763"/>
      <c r="D3780" s="763"/>
      <c r="E3780" s="763"/>
      <c r="F3780" s="764"/>
      <c r="G3780" s="763" t="s">
        <v>146</v>
      </c>
      <c r="H3780" s="763"/>
      <c r="I3780" s="765"/>
      <c r="J3780" s="763"/>
      <c r="K3780" s="763" t="s">
        <v>3</v>
      </c>
      <c r="L3780" s="766" t="s">
        <v>143</v>
      </c>
      <c r="M3780" s="766"/>
      <c r="N3780" s="766"/>
      <c r="O3780" s="766"/>
      <c r="P3780" s="766"/>
      <c r="Q3780" s="767"/>
      <c r="R3780" s="768">
        <f ca="1">SUM(R3776:R3779)</f>
        <v>46.61</v>
      </c>
      <c r="S3780" s="763"/>
      <c r="T3780" s="768">
        <f ca="1">SUM(T3776:T3779)</f>
        <v>2.98</v>
      </c>
      <c r="U3780" s="531"/>
      <c r="V3780" s="531"/>
      <c r="W3780" s="531"/>
      <c r="X3780" s="531"/>
      <c r="Y3780" s="531"/>
      <c r="Z3780" s="531"/>
      <c r="AA3780" s="531"/>
      <c r="AB3780" s="531"/>
      <c r="AC3780" s="531"/>
      <c r="AD3780" s="531"/>
      <c r="AE3780" s="531"/>
      <c r="AF3780" s="531"/>
      <c r="AG3780" s="531"/>
      <c r="AH3780" s="531"/>
      <c r="AI3780" s="531"/>
      <c r="AJ3780" s="531"/>
      <c r="AK3780" s="531"/>
      <c r="AL3780" s="531"/>
      <c r="AM3780" s="531"/>
      <c r="AN3780" s="531"/>
      <c r="AO3780" s="531"/>
      <c r="AR3780" s="761" t="s">
        <v>145</v>
      </c>
      <c r="AS3780" s="764"/>
    </row>
    <row r="3781" spans="1:45" s="520" customFormat="1" ht="12" thickTop="1">
      <c r="A3781" s="51"/>
      <c r="B3781" s="41"/>
      <c r="C3781" s="51"/>
      <c r="E3781" s="42" t="s">
        <v>138</v>
      </c>
      <c r="F3781" s="42" t="s">
        <v>139</v>
      </c>
      <c r="G3781" s="51"/>
      <c r="H3781" s="51"/>
      <c r="I3781" s="51"/>
      <c r="J3781" s="51"/>
      <c r="K3781" s="51" t="s">
        <v>140</v>
      </c>
      <c r="L3781" s="51"/>
      <c r="M3781" s="51"/>
      <c r="N3781" s="51"/>
      <c r="O3781" s="52"/>
      <c r="P3781" s="51"/>
      <c r="Q3781" s="51"/>
      <c r="R3781" s="51"/>
      <c r="S3781" s="51"/>
      <c r="T3781" s="41"/>
      <c r="AG3781" s="521" t="s">
        <v>268</v>
      </c>
      <c r="AH3781" s="521" t="s">
        <v>269</v>
      </c>
      <c r="AI3781" s="521" t="s">
        <v>270</v>
      </c>
      <c r="AJ3781" s="521" t="s">
        <v>271</v>
      </c>
      <c r="AK3781" s="521" t="s">
        <v>272</v>
      </c>
      <c r="AM3781" s="745" t="s">
        <v>281</v>
      </c>
      <c r="AN3781" s="746" t="s">
        <v>282</v>
      </c>
      <c r="AO3781" s="522" t="s">
        <v>278</v>
      </c>
      <c r="AR3781" s="51"/>
      <c r="AS3781" s="42" t="s">
        <v>139</v>
      </c>
    </row>
    <row r="3782" spans="1:45" s="520" customFormat="1" ht="12" customHeight="1">
      <c r="A3782" s="747">
        <v>2</v>
      </c>
      <c r="B3782" s="523" t="s">
        <v>141</v>
      </c>
      <c r="C3782" s="748"/>
      <c r="D3782" s="749" t="s">
        <v>1700</v>
      </c>
      <c r="E3782" s="750">
        <f ca="1">IF(AND($A3782=0,$A$1="DIF"),0, ROUND(ROUND(($R3787*$S$2+($T3787*$T$2))/A3782,2)*$C$2,2))</f>
        <v>474.46</v>
      </c>
      <c r="F3782" s="751">
        <f ca="1">ROUND($A3782*$E3782,2)</f>
        <v>948.92</v>
      </c>
      <c r="G3782" s="752" t="s">
        <v>142</v>
      </c>
      <c r="H3782" s="753"/>
      <c r="I3782" s="754"/>
      <c r="J3782" s="753"/>
      <c r="K3782" s="753" t="s">
        <v>3</v>
      </c>
      <c r="L3782" s="755" t="s">
        <v>143</v>
      </c>
      <c r="M3782" s="755"/>
      <c r="N3782" s="755"/>
      <c r="O3782" s="755"/>
      <c r="P3782" s="755"/>
      <c r="Q3782" s="51"/>
      <c r="T3782" s="756" t="str">
        <f ca="1">IF(AND($R3787=0,$T3787=0),"0.00","mu :" &amp; ROUND($F3782/$C$2/($R3787+$T3787*$D$9),2))</f>
        <v>mu :1.23</v>
      </c>
      <c r="W3782" s="524"/>
      <c r="AG3782" s="481">
        <f ca="1">IF($E3782=0,0,ROUND($R3787*$S$2*$C$2/$A3782,2))</f>
        <v>172.18</v>
      </c>
      <c r="AH3782" s="481">
        <f ca="1">$AG3782*$A3782</f>
        <v>344.36</v>
      </c>
      <c r="AI3782" s="525">
        <f ca="1">$E3782-$AG3782</f>
        <v>302.27999999999997</v>
      </c>
      <c r="AJ3782" s="525">
        <f ca="1">$A3782*$AI3782</f>
        <v>604.55999999999995</v>
      </c>
      <c r="AK3782" s="526">
        <f ca="1">ROUND(($AG3782+$AI3782)*$A3782,2)</f>
        <v>948.92</v>
      </c>
      <c r="AM3782" s="527">
        <f ca="1">ROUND(R3787,2)</f>
        <v>279.66000000000003</v>
      </c>
      <c r="AN3782" s="528">
        <f ca="1">ROUND(T3787,2)</f>
        <v>17.88</v>
      </c>
      <c r="AO3782" s="529">
        <f ca="1">ROUND(AM3782+AN3782,2)*A3782</f>
        <v>595.08000000000004</v>
      </c>
      <c r="AR3782" s="747">
        <v>2</v>
      </c>
      <c r="AS3782" s="751">
        <v>1015.88</v>
      </c>
    </row>
    <row r="3783" spans="1:45" s="520" customFormat="1" ht="13.2">
      <c r="A3783" s="748"/>
      <c r="B3783"/>
      <c r="C3783" s="748"/>
      <c r="D3783" s="749" t="s">
        <v>762</v>
      </c>
      <c r="F3783" s="753"/>
      <c r="G3783" s="3"/>
      <c r="H3783" s="753"/>
      <c r="I3783" s="754"/>
      <c r="J3783" s="753"/>
      <c r="K3783" s="753" t="s">
        <v>144</v>
      </c>
      <c r="L3783" s="753"/>
      <c r="M3783" s="753"/>
      <c r="N3783" s="753"/>
      <c r="O3783" s="753"/>
      <c r="P3783" s="753"/>
      <c r="Q3783" s="51"/>
      <c r="R3783" s="530"/>
      <c r="S3783" s="757"/>
      <c r="T3783" s="753"/>
      <c r="AR3783" s="748"/>
      <c r="AS3783" s="753"/>
    </row>
    <row r="3784" spans="1:45" s="886" customFormat="1" ht="13.2">
      <c r="A3784"/>
      <c r="B3784" s="910"/>
      <c r="C3784" s="910" t="s">
        <v>2597</v>
      </c>
      <c r="D3784" s="910" t="str">
        <f ca="1">CELL("Address",Elec_Rates!D$46)</f>
        <v>[E25_0062_Quintano_Foods_Elec_ELV_As_Awarded.xlsx]Elec_Rates!$D$46</v>
      </c>
      <c r="E3784" s="911"/>
      <c r="F3784" s="911"/>
      <c r="G3784" s="912" t="s">
        <v>2598</v>
      </c>
      <c r="H3784" s="912"/>
      <c r="I3784" s="912"/>
      <c r="J3784" s="912"/>
      <c r="K3784" s="913"/>
      <c r="L3784" s="911"/>
      <c r="M3784" s="911"/>
      <c r="N3784" s="911"/>
      <c r="O3784" s="914"/>
      <c r="P3784" s="911"/>
      <c r="Q3784" s="915"/>
      <c r="R3784" s="916"/>
      <c r="S3784" s="915"/>
      <c r="T3784" s="917"/>
      <c r="U3784" s="918"/>
      <c r="AR3784"/>
      <c r="AS3784" s="911"/>
    </row>
    <row r="3785" spans="1:45" s="886" customFormat="1" ht="11.4">
      <c r="A3785" s="919">
        <v>2</v>
      </c>
      <c r="B3785" s="920">
        <v>3</v>
      </c>
      <c r="C3785" s="920">
        <f>$A3785*$B3785</f>
        <v>6</v>
      </c>
      <c r="D3785" s="921" t="str">
        <f>Elec_Rates!$D$46</f>
        <v>004# Light point rate (Galvanised Conduit)</v>
      </c>
      <c r="E3785" s="921" t="s">
        <v>2883</v>
      </c>
      <c r="F3785" s="918"/>
      <c r="G3785" s="922" t="s">
        <v>2878</v>
      </c>
      <c r="H3785" s="922"/>
      <c r="I3785" s="922"/>
      <c r="J3785" s="922"/>
      <c r="K3785" s="923"/>
      <c r="L3785" s="918"/>
      <c r="M3785" s="918"/>
      <c r="N3785" s="918"/>
      <c r="O3785" s="924"/>
      <c r="P3785" s="921"/>
      <c r="Q3785" s="925">
        <f ca="1">$B3785*Elec_Rates!$R$46</f>
        <v>139.82999999999998</v>
      </c>
      <c r="R3785" s="916">
        <f ca="1">$A3785*Q3785</f>
        <v>279.65999999999997</v>
      </c>
      <c r="S3785" s="925">
        <f ca="1">$B3785*Elec_Rates!$T$46</f>
        <v>8.94</v>
      </c>
      <c r="T3785" s="917">
        <f ca="1">$A3785*S3785</f>
        <v>17.88</v>
      </c>
      <c r="U3785" s="926"/>
      <c r="AR3785" s="919">
        <v>2</v>
      </c>
      <c r="AS3785" s="918"/>
    </row>
    <row r="3786" spans="1:45" s="520" customFormat="1" ht="12">
      <c r="A3786" s="758"/>
      <c r="B3786" s="758"/>
      <c r="C3786" s="758"/>
      <c r="D3786" s="758"/>
      <c r="E3786" s="758"/>
      <c r="F3786" s="753"/>
      <c r="G3786" s="758"/>
      <c r="H3786" s="758"/>
      <c r="I3786" s="519"/>
      <c r="J3786" s="758"/>
      <c r="K3786" s="758"/>
      <c r="L3786" s="758"/>
      <c r="M3786" s="758"/>
      <c r="N3786" s="758"/>
      <c r="O3786" s="758"/>
      <c r="P3786" s="758"/>
      <c r="Q3786" s="519"/>
      <c r="R3786" s="759">
        <f>$A3786*Q3786</f>
        <v>0</v>
      </c>
      <c r="S3786" s="519"/>
      <c r="T3786" s="760">
        <f>$A3786*S3786*$T$1</f>
        <v>0</v>
      </c>
      <c r="AR3786" s="758"/>
      <c r="AS3786" s="753"/>
    </row>
    <row r="3787" spans="1:45" s="520" customFormat="1" ht="12.6" thickBot="1">
      <c r="A3787" s="761" t="s">
        <v>145</v>
      </c>
      <c r="B3787" s="762">
        <f>(R3786+T3786)</f>
        <v>0</v>
      </c>
      <c r="C3787" s="763"/>
      <c r="D3787" s="763"/>
      <c r="E3787" s="763"/>
      <c r="F3787" s="764"/>
      <c r="G3787" s="763" t="s">
        <v>146</v>
      </c>
      <c r="H3787" s="763"/>
      <c r="I3787" s="765"/>
      <c r="J3787" s="763"/>
      <c r="K3787" s="763" t="s">
        <v>3</v>
      </c>
      <c r="L3787" s="766" t="s">
        <v>143</v>
      </c>
      <c r="M3787" s="766"/>
      <c r="N3787" s="766"/>
      <c r="O3787" s="766"/>
      <c r="P3787" s="766"/>
      <c r="Q3787" s="767"/>
      <c r="R3787" s="768">
        <f ca="1">SUM(R3783:R3786)</f>
        <v>279.65999999999997</v>
      </c>
      <c r="S3787" s="763"/>
      <c r="T3787" s="768">
        <f ca="1">SUM(T3783:T3786)</f>
        <v>17.88</v>
      </c>
      <c r="U3787" s="531"/>
      <c r="V3787" s="531"/>
      <c r="W3787" s="531"/>
      <c r="X3787" s="531"/>
      <c r="Y3787" s="531"/>
      <c r="Z3787" s="531"/>
      <c r="AA3787" s="531"/>
      <c r="AB3787" s="531"/>
      <c r="AC3787" s="531"/>
      <c r="AD3787" s="531"/>
      <c r="AE3787" s="531"/>
      <c r="AF3787" s="531"/>
      <c r="AG3787" s="531"/>
      <c r="AH3787" s="531"/>
      <c r="AI3787" s="531"/>
      <c r="AJ3787" s="531"/>
      <c r="AK3787" s="531"/>
      <c r="AL3787" s="531"/>
      <c r="AM3787" s="531"/>
      <c r="AN3787" s="531"/>
      <c r="AO3787" s="531"/>
      <c r="AR3787" s="761" t="s">
        <v>145</v>
      </c>
      <c r="AS3787" s="764"/>
    </row>
    <row r="3788" spans="1:45" s="520" customFormat="1" ht="12" thickTop="1">
      <c r="A3788" s="51"/>
      <c r="B3788" s="41"/>
      <c r="C3788" s="51"/>
      <c r="E3788" s="42" t="s">
        <v>138</v>
      </c>
      <c r="F3788" s="42" t="s">
        <v>139</v>
      </c>
      <c r="G3788" s="51"/>
      <c r="H3788" s="51"/>
      <c r="I3788" s="51"/>
      <c r="J3788" s="51"/>
      <c r="K3788" s="51" t="s">
        <v>140</v>
      </c>
      <c r="L3788" s="51"/>
      <c r="M3788" s="51"/>
      <c r="N3788" s="51"/>
      <c r="O3788" s="52"/>
      <c r="P3788" s="51"/>
      <c r="Q3788" s="51"/>
      <c r="R3788" s="51"/>
      <c r="S3788" s="51"/>
      <c r="T3788" s="41"/>
      <c r="AG3788" s="521" t="s">
        <v>268</v>
      </c>
      <c r="AH3788" s="521" t="s">
        <v>269</v>
      </c>
      <c r="AI3788" s="521" t="s">
        <v>270</v>
      </c>
      <c r="AJ3788" s="521" t="s">
        <v>271</v>
      </c>
      <c r="AK3788" s="521" t="s">
        <v>272</v>
      </c>
      <c r="AM3788" s="745" t="s">
        <v>281</v>
      </c>
      <c r="AN3788" s="746" t="s">
        <v>282</v>
      </c>
      <c r="AO3788" s="522" t="s">
        <v>278</v>
      </c>
      <c r="AR3788" s="51"/>
      <c r="AS3788" s="42" t="s">
        <v>139</v>
      </c>
    </row>
    <row r="3789" spans="1:45" s="520" customFormat="1" ht="12" customHeight="1">
      <c r="A3789" s="747">
        <v>1</v>
      </c>
      <c r="B3789" s="523" t="s">
        <v>141</v>
      </c>
      <c r="C3789" s="748"/>
      <c r="D3789" s="749" t="s">
        <v>1701</v>
      </c>
      <c r="E3789" s="750">
        <f ca="1">IF(AND($A3789=0,$A$1="DIF"),0, ROUND(ROUND(($R3794*$S$2+($T3794*$T$2))/A3789,2)*$C$2,2))</f>
        <v>237.23</v>
      </c>
      <c r="F3789" s="751">
        <f ca="1">ROUND($A3789*$E3789,2)</f>
        <v>237.23</v>
      </c>
      <c r="G3789" s="752" t="s">
        <v>142</v>
      </c>
      <c r="H3789" s="753"/>
      <c r="I3789" s="754"/>
      <c r="J3789" s="753"/>
      <c r="K3789" s="753" t="s">
        <v>3</v>
      </c>
      <c r="L3789" s="755" t="s">
        <v>143</v>
      </c>
      <c r="M3789" s="755"/>
      <c r="N3789" s="755"/>
      <c r="O3789" s="755"/>
      <c r="P3789" s="755"/>
      <c r="Q3789" s="51"/>
      <c r="T3789" s="756" t="str">
        <f ca="1">IF(AND($R3794=0,$T3794=0),"0.00","mu :" &amp; ROUND($F3789/$C$2/($R3794+$T3794*$D$9),2))</f>
        <v>mu :1.23</v>
      </c>
      <c r="W3789" s="524"/>
      <c r="AG3789" s="481">
        <f ca="1">IF($E3789=0,0,ROUND($R3794*$S$2*$C$2/$A3789,2))</f>
        <v>86.09</v>
      </c>
      <c r="AH3789" s="481">
        <f ca="1">$AG3789*$A3789</f>
        <v>86.09</v>
      </c>
      <c r="AI3789" s="525">
        <f ca="1">$E3789-$AG3789</f>
        <v>151.13999999999999</v>
      </c>
      <c r="AJ3789" s="525">
        <f ca="1">$A3789*$AI3789</f>
        <v>151.13999999999999</v>
      </c>
      <c r="AK3789" s="526">
        <f ca="1">ROUND(($AG3789+$AI3789)*$A3789,2)</f>
        <v>237.23</v>
      </c>
      <c r="AM3789" s="527">
        <f ca="1">ROUND(R3794,2)</f>
        <v>69.92</v>
      </c>
      <c r="AN3789" s="528">
        <f ca="1">ROUND(T3794,2)</f>
        <v>4.47</v>
      </c>
      <c r="AO3789" s="529">
        <f ca="1">ROUND(AM3789+AN3789,2)*A3789</f>
        <v>74.39</v>
      </c>
      <c r="AR3789" s="747">
        <v>1</v>
      </c>
      <c r="AS3789" s="751">
        <v>253.97</v>
      </c>
    </row>
    <row r="3790" spans="1:45" s="520" customFormat="1" ht="13.2">
      <c r="A3790" s="748"/>
      <c r="B3790"/>
      <c r="C3790" s="748"/>
      <c r="D3790" s="749" t="s">
        <v>794</v>
      </c>
      <c r="F3790" s="753"/>
      <c r="G3790" s="3"/>
      <c r="H3790" s="753"/>
      <c r="I3790" s="754"/>
      <c r="J3790" s="753"/>
      <c r="K3790" s="753" t="s">
        <v>144</v>
      </c>
      <c r="L3790" s="753"/>
      <c r="M3790" s="753"/>
      <c r="N3790" s="753"/>
      <c r="O3790" s="753"/>
      <c r="P3790" s="753"/>
      <c r="Q3790" s="51"/>
      <c r="R3790" s="530"/>
      <c r="S3790" s="757"/>
      <c r="T3790" s="753"/>
      <c r="AR3790" s="748"/>
      <c r="AS3790" s="753"/>
    </row>
    <row r="3791" spans="1:45" s="886" customFormat="1" ht="13.2">
      <c r="A3791"/>
      <c r="B3791" s="910"/>
      <c r="C3791" s="910" t="s">
        <v>2597</v>
      </c>
      <c r="D3791" s="910" t="str">
        <f ca="1">CELL("Address",Elec_Rates!D$46)</f>
        <v>[E25_0062_Quintano_Foods_Elec_ELV_As_Awarded.xlsx]Elec_Rates!$D$46</v>
      </c>
      <c r="E3791" s="911"/>
      <c r="F3791" s="911"/>
      <c r="G3791" s="912" t="s">
        <v>2598</v>
      </c>
      <c r="H3791" s="912"/>
      <c r="I3791" s="912"/>
      <c r="J3791" s="912"/>
      <c r="K3791" s="913"/>
      <c r="L3791" s="911"/>
      <c r="M3791" s="911"/>
      <c r="N3791" s="911"/>
      <c r="O3791" s="914"/>
      <c r="P3791" s="911"/>
      <c r="Q3791" s="915"/>
      <c r="R3791" s="916"/>
      <c r="S3791" s="915"/>
      <c r="T3791" s="917"/>
      <c r="U3791" s="918"/>
      <c r="AR3791"/>
      <c r="AS3791" s="911"/>
    </row>
    <row r="3792" spans="1:45" s="886" customFormat="1" ht="11.4">
      <c r="A3792" s="919">
        <v>1</v>
      </c>
      <c r="B3792" s="920">
        <v>1.5</v>
      </c>
      <c r="C3792" s="920">
        <f>$A3792*$B3792</f>
        <v>1.5</v>
      </c>
      <c r="D3792" s="921" t="str">
        <f>Elec_Rates!$D$46</f>
        <v>004# Light point rate (Galvanised Conduit)</v>
      </c>
      <c r="E3792" s="921" t="s">
        <v>2894</v>
      </c>
      <c r="F3792" s="918"/>
      <c r="G3792" s="922" t="s">
        <v>2878</v>
      </c>
      <c r="H3792" s="922"/>
      <c r="I3792" s="922"/>
      <c r="J3792" s="922"/>
      <c r="K3792" s="923"/>
      <c r="L3792" s="918"/>
      <c r="M3792" s="918"/>
      <c r="N3792" s="918"/>
      <c r="O3792" s="924"/>
      <c r="P3792" s="921"/>
      <c r="Q3792" s="925">
        <f ca="1">$B3792*Elec_Rates!$R$46</f>
        <v>69.914999999999992</v>
      </c>
      <c r="R3792" s="916">
        <f ca="1">$A3792*Q3792</f>
        <v>69.914999999999992</v>
      </c>
      <c r="S3792" s="925">
        <f ca="1">$B3792*Elec_Rates!$T$46</f>
        <v>4.47</v>
      </c>
      <c r="T3792" s="917">
        <f ca="1">$A3792*S3792</f>
        <v>4.47</v>
      </c>
      <c r="U3792" s="926"/>
      <c r="AR3792" s="919">
        <v>1</v>
      </c>
      <c r="AS3792" s="918"/>
    </row>
    <row r="3793" spans="1:45" s="520" customFormat="1" ht="12">
      <c r="A3793" s="758"/>
      <c r="B3793" s="758"/>
      <c r="C3793" s="758"/>
      <c r="D3793" s="758"/>
      <c r="E3793" s="758"/>
      <c r="F3793" s="753"/>
      <c r="G3793" s="758"/>
      <c r="H3793" s="758"/>
      <c r="I3793" s="519"/>
      <c r="J3793" s="758"/>
      <c r="K3793" s="758"/>
      <c r="L3793" s="758"/>
      <c r="M3793" s="758"/>
      <c r="N3793" s="758"/>
      <c r="O3793" s="758"/>
      <c r="P3793" s="758"/>
      <c r="Q3793" s="519"/>
      <c r="R3793" s="759">
        <f>$A3793*Q3793</f>
        <v>0</v>
      </c>
      <c r="S3793" s="519"/>
      <c r="T3793" s="760">
        <f>$A3793*S3793*$T$1</f>
        <v>0</v>
      </c>
      <c r="AR3793" s="758"/>
      <c r="AS3793" s="753"/>
    </row>
    <row r="3794" spans="1:45" s="520" customFormat="1" ht="12.6" thickBot="1">
      <c r="A3794" s="761" t="s">
        <v>145</v>
      </c>
      <c r="B3794" s="762">
        <f>(R3793+T3793)</f>
        <v>0</v>
      </c>
      <c r="C3794" s="763"/>
      <c r="D3794" s="763"/>
      <c r="E3794" s="763"/>
      <c r="F3794" s="764"/>
      <c r="G3794" s="763" t="s">
        <v>146</v>
      </c>
      <c r="H3794" s="763"/>
      <c r="I3794" s="765"/>
      <c r="J3794" s="763"/>
      <c r="K3794" s="763" t="s">
        <v>3</v>
      </c>
      <c r="L3794" s="766" t="s">
        <v>143</v>
      </c>
      <c r="M3794" s="766"/>
      <c r="N3794" s="766"/>
      <c r="O3794" s="766"/>
      <c r="P3794" s="766"/>
      <c r="Q3794" s="767"/>
      <c r="R3794" s="768">
        <f ca="1">SUM(R3790:R3793)</f>
        <v>69.914999999999992</v>
      </c>
      <c r="S3794" s="763"/>
      <c r="T3794" s="768">
        <f ca="1">SUM(T3790:T3793)</f>
        <v>4.47</v>
      </c>
      <c r="U3794" s="531"/>
      <c r="V3794" s="531"/>
      <c r="W3794" s="531"/>
      <c r="X3794" s="531"/>
      <c r="Y3794" s="531"/>
      <c r="Z3794" s="531"/>
      <c r="AA3794" s="531"/>
      <c r="AB3794" s="531"/>
      <c r="AC3794" s="531"/>
      <c r="AD3794" s="531"/>
      <c r="AE3794" s="531"/>
      <c r="AF3794" s="531"/>
      <c r="AG3794" s="531"/>
      <c r="AH3794" s="531"/>
      <c r="AI3794" s="531"/>
      <c r="AJ3794" s="531"/>
      <c r="AK3794" s="531"/>
      <c r="AL3794" s="531"/>
      <c r="AM3794" s="531"/>
      <c r="AN3794" s="531"/>
      <c r="AO3794" s="531"/>
      <c r="AR3794" s="761" t="s">
        <v>145</v>
      </c>
      <c r="AS3794" s="764"/>
    </row>
    <row r="3795" spans="1:45" s="520" customFormat="1" ht="12" thickTop="1">
      <c r="A3795" s="51"/>
      <c r="B3795" s="41"/>
      <c r="C3795" s="51"/>
      <c r="E3795" s="42" t="s">
        <v>138</v>
      </c>
      <c r="F3795" s="42" t="s">
        <v>139</v>
      </c>
      <c r="G3795" s="51"/>
      <c r="H3795" s="51"/>
      <c r="I3795" s="51"/>
      <c r="J3795" s="51"/>
      <c r="K3795" s="51" t="s">
        <v>140</v>
      </c>
      <c r="L3795" s="51"/>
      <c r="M3795" s="51"/>
      <c r="N3795" s="51"/>
      <c r="O3795" s="52"/>
      <c r="P3795" s="51"/>
      <c r="Q3795" s="51"/>
      <c r="R3795" s="51"/>
      <c r="S3795" s="51"/>
      <c r="T3795" s="41"/>
      <c r="AG3795" s="521" t="s">
        <v>268</v>
      </c>
      <c r="AH3795" s="521" t="s">
        <v>269</v>
      </c>
      <c r="AI3795" s="521" t="s">
        <v>270</v>
      </c>
      <c r="AJ3795" s="521" t="s">
        <v>271</v>
      </c>
      <c r="AK3795" s="521" t="s">
        <v>272</v>
      </c>
      <c r="AM3795" s="745" t="s">
        <v>281</v>
      </c>
      <c r="AN3795" s="746" t="s">
        <v>282</v>
      </c>
      <c r="AO3795" s="522" t="s">
        <v>278</v>
      </c>
      <c r="AR3795" s="51"/>
      <c r="AS3795" s="42" t="s">
        <v>139</v>
      </c>
    </row>
    <row r="3796" spans="1:45" s="520" customFormat="1" ht="12" customHeight="1">
      <c r="A3796" s="747">
        <v>6</v>
      </c>
      <c r="B3796" s="523" t="s">
        <v>141</v>
      </c>
      <c r="C3796" s="748"/>
      <c r="D3796" s="749" t="s">
        <v>1702</v>
      </c>
      <c r="E3796" s="750">
        <f>IF(AND($A3796=0,$A$1="DIF"),0, ROUND(ROUND(($R3800*$S$2+($T3800*$T$2))/A3796,2)*$C$2,2))</f>
        <v>0</v>
      </c>
      <c r="F3796" s="751">
        <f>ROUND($A3796*$E3796,2)</f>
        <v>0</v>
      </c>
      <c r="G3796" s="752" t="s">
        <v>142</v>
      </c>
      <c r="H3796" s="753"/>
      <c r="I3796" s="754"/>
      <c r="J3796" s="753"/>
      <c r="K3796" s="753" t="s">
        <v>3</v>
      </c>
      <c r="L3796" s="755" t="s">
        <v>143</v>
      </c>
      <c r="M3796" s="755"/>
      <c r="N3796" s="755"/>
      <c r="O3796" s="755"/>
      <c r="P3796" s="755"/>
      <c r="Q3796" s="53" t="s">
        <v>2895</v>
      </c>
      <c r="T3796" s="756" t="str">
        <f>IF(AND($R3800=0,$T3800=0),"0.00","mu :" &amp; ROUND($F3796/$C$2/($R3800+$T3800*$D$9),2))</f>
        <v>0.00</v>
      </c>
      <c r="W3796" s="524"/>
      <c r="AG3796" s="481">
        <f>IF($E3796=0,0,ROUND($R3800*$S$2*$C$2/$A3796,2))</f>
        <v>0</v>
      </c>
      <c r="AH3796" s="481">
        <f>$AG3796*$A3796</f>
        <v>0</v>
      </c>
      <c r="AI3796" s="525">
        <f>$E3796-$AG3796</f>
        <v>0</v>
      </c>
      <c r="AJ3796" s="525">
        <f>$A3796*$AI3796</f>
        <v>0</v>
      </c>
      <c r="AK3796" s="526">
        <f>ROUND(($AG3796+$AI3796)*$A3796,2)</f>
        <v>0</v>
      </c>
      <c r="AM3796" s="527">
        <f>ROUND(R3800,2)</f>
        <v>0</v>
      </c>
      <c r="AN3796" s="528">
        <f>ROUND(T3800,2)</f>
        <v>0</v>
      </c>
      <c r="AO3796" s="529">
        <f>ROUND(AM3796+AN3796,2)*A3796</f>
        <v>0</v>
      </c>
      <c r="AR3796" s="747">
        <v>6</v>
      </c>
      <c r="AS3796" s="751">
        <v>0</v>
      </c>
    </row>
    <row r="3797" spans="1:45" s="520" customFormat="1" ht="13.2">
      <c r="A3797" s="748"/>
      <c r="B3797"/>
      <c r="C3797" s="748"/>
      <c r="D3797" s="749" t="s">
        <v>776</v>
      </c>
      <c r="F3797" s="753"/>
      <c r="G3797" s="3"/>
      <c r="H3797" s="753"/>
      <c r="I3797" s="754"/>
      <c r="J3797" s="753"/>
      <c r="K3797" s="753" t="s">
        <v>144</v>
      </c>
      <c r="L3797" s="753"/>
      <c r="M3797" s="753"/>
      <c r="N3797" s="753"/>
      <c r="O3797" s="753"/>
      <c r="P3797" s="753"/>
      <c r="Q3797" s="51"/>
      <c r="R3797" s="530"/>
      <c r="S3797" s="757"/>
      <c r="T3797" s="753"/>
      <c r="AR3797" s="748"/>
      <c r="AS3797" s="753"/>
    </row>
    <row r="3798" spans="1:45" s="520" customFormat="1" ht="12">
      <c r="A3798" s="51"/>
      <c r="B3798" s="758"/>
      <c r="C3798" s="758"/>
      <c r="D3798" s="1061" t="s">
        <v>3253</v>
      </c>
      <c r="E3798" s="758"/>
      <c r="F3798" s="753"/>
      <c r="G3798" s="758"/>
      <c r="H3798" s="758"/>
      <c r="I3798" s="519"/>
      <c r="J3798" s="758"/>
      <c r="K3798" s="758"/>
      <c r="L3798" s="758"/>
      <c r="M3798" s="758"/>
      <c r="N3798" s="758"/>
      <c r="O3798" s="758"/>
      <c r="P3798" s="758"/>
      <c r="Q3798" s="519"/>
      <c r="R3798" s="759">
        <f t="shared" ref="R3798:R3799" si="114">$A3798*Q3798</f>
        <v>0</v>
      </c>
      <c r="S3798" s="519"/>
      <c r="T3798" s="760">
        <f t="shared" ref="T3798:T3799" si="115">$A3798*S3798*$T$1</f>
        <v>0</v>
      </c>
      <c r="AR3798" s="51"/>
      <c r="AS3798" s="753"/>
    </row>
    <row r="3799" spans="1:45" s="520" customFormat="1" ht="12">
      <c r="A3799" s="758"/>
      <c r="B3799" s="758"/>
      <c r="C3799" s="758"/>
      <c r="D3799" s="758"/>
      <c r="E3799" s="758"/>
      <c r="F3799" s="753"/>
      <c r="G3799" s="758"/>
      <c r="H3799" s="758"/>
      <c r="I3799" s="519"/>
      <c r="J3799" s="758"/>
      <c r="K3799" s="758"/>
      <c r="L3799" s="758"/>
      <c r="M3799" s="758"/>
      <c r="N3799" s="758"/>
      <c r="O3799" s="758"/>
      <c r="P3799" s="758"/>
      <c r="Q3799" s="519"/>
      <c r="R3799" s="759">
        <f t="shared" si="114"/>
        <v>0</v>
      </c>
      <c r="S3799" s="519"/>
      <c r="T3799" s="760">
        <f t="shared" si="115"/>
        <v>0</v>
      </c>
      <c r="AR3799" s="758"/>
      <c r="AS3799" s="753"/>
    </row>
    <row r="3800" spans="1:45" s="520" customFormat="1" ht="12.6" thickBot="1">
      <c r="A3800" s="761" t="s">
        <v>145</v>
      </c>
      <c r="B3800" s="762">
        <f>(R3799+T3799)</f>
        <v>0</v>
      </c>
      <c r="C3800" s="763"/>
      <c r="D3800" s="763"/>
      <c r="E3800" s="763"/>
      <c r="F3800" s="764"/>
      <c r="G3800" s="763" t="s">
        <v>146</v>
      </c>
      <c r="H3800" s="763"/>
      <c r="I3800" s="765"/>
      <c r="J3800" s="763"/>
      <c r="K3800" s="763" t="s">
        <v>3</v>
      </c>
      <c r="L3800" s="766" t="s">
        <v>143</v>
      </c>
      <c r="M3800" s="766"/>
      <c r="N3800" s="766"/>
      <c r="O3800" s="766"/>
      <c r="P3800" s="766"/>
      <c r="Q3800" s="767"/>
      <c r="R3800" s="768">
        <f>SUM(R3797:R3799)</f>
        <v>0</v>
      </c>
      <c r="S3800" s="763"/>
      <c r="T3800" s="768">
        <f>SUM(T3797:T3799)</f>
        <v>0</v>
      </c>
      <c r="U3800" s="531"/>
      <c r="V3800" s="531"/>
      <c r="W3800" s="531"/>
      <c r="X3800" s="531"/>
      <c r="Y3800" s="531"/>
      <c r="Z3800" s="531"/>
      <c r="AA3800" s="531"/>
      <c r="AB3800" s="531"/>
      <c r="AC3800" s="531"/>
      <c r="AD3800" s="531"/>
      <c r="AE3800" s="531"/>
      <c r="AF3800" s="531"/>
      <c r="AG3800" s="531"/>
      <c r="AH3800" s="531"/>
      <c r="AI3800" s="531"/>
      <c r="AJ3800" s="531"/>
      <c r="AK3800" s="531"/>
      <c r="AL3800" s="531"/>
      <c r="AM3800" s="531"/>
      <c r="AN3800" s="531"/>
      <c r="AO3800" s="531"/>
      <c r="AR3800" s="761" t="s">
        <v>145</v>
      </c>
      <c r="AS3800" s="764"/>
    </row>
    <row r="3801" spans="1:45" s="520" customFormat="1" ht="12" thickTop="1">
      <c r="A3801" s="51"/>
      <c r="B3801" s="41"/>
      <c r="C3801" s="51"/>
      <c r="E3801" s="42" t="s">
        <v>138</v>
      </c>
      <c r="F3801" s="42" t="s">
        <v>139</v>
      </c>
      <c r="G3801" s="51"/>
      <c r="H3801" s="51"/>
      <c r="I3801" s="51"/>
      <c r="J3801" s="51"/>
      <c r="K3801" s="51" t="s">
        <v>140</v>
      </c>
      <c r="L3801" s="51"/>
      <c r="M3801" s="51"/>
      <c r="N3801" s="51"/>
      <c r="O3801" s="52"/>
      <c r="P3801" s="51"/>
      <c r="Q3801" s="51"/>
      <c r="R3801" s="51"/>
      <c r="S3801" s="51"/>
      <c r="T3801" s="41"/>
      <c r="AG3801" s="521" t="s">
        <v>268</v>
      </c>
      <c r="AH3801" s="521" t="s">
        <v>269</v>
      </c>
      <c r="AI3801" s="521" t="s">
        <v>270</v>
      </c>
      <c r="AJ3801" s="521" t="s">
        <v>271</v>
      </c>
      <c r="AK3801" s="521" t="s">
        <v>272</v>
      </c>
      <c r="AM3801" s="745" t="s">
        <v>281</v>
      </c>
      <c r="AN3801" s="746" t="s">
        <v>282</v>
      </c>
      <c r="AO3801" s="522" t="s">
        <v>278</v>
      </c>
      <c r="AR3801" s="51"/>
      <c r="AS3801" s="42" t="s">
        <v>139</v>
      </c>
    </row>
    <row r="3802" spans="1:45" s="520" customFormat="1" ht="12" customHeight="1">
      <c r="A3802" s="747">
        <v>3</v>
      </c>
      <c r="B3802" s="523" t="s">
        <v>141</v>
      </c>
      <c r="C3802" s="748"/>
      <c r="D3802" s="749" t="s">
        <v>1703</v>
      </c>
      <c r="E3802" s="750">
        <f ca="1">IF(AND($A3802=0,$A$1="DIF"),0, ROUND(ROUND(($R3807*$S$2+($T3807*$T$2))/A3802,2)*$C$2,2))</f>
        <v>151.94</v>
      </c>
      <c r="F3802" s="751">
        <f ca="1">ROUND($A3802*$E3802,2)</f>
        <v>455.82</v>
      </c>
      <c r="G3802" s="752" t="s">
        <v>142</v>
      </c>
      <c r="H3802" s="753"/>
      <c r="I3802" s="754"/>
      <c r="J3802" s="753"/>
      <c r="K3802" s="753" t="s">
        <v>3</v>
      </c>
      <c r="L3802" s="755" t="s">
        <v>143</v>
      </c>
      <c r="M3802" s="755"/>
      <c r="N3802" s="755"/>
      <c r="O3802" s="755"/>
      <c r="P3802" s="755"/>
      <c r="Q3802" s="51"/>
      <c r="T3802" s="756" t="str">
        <f ca="1">IF(AND($R3807=0,$T3807=0),"0.00","mu :" &amp; ROUND($F3802/$C$2/($R3807+$T3807*$D$9),2))</f>
        <v>mu :1.23</v>
      </c>
      <c r="W3802" s="524"/>
      <c r="AG3802" s="481">
        <f ca="1">IF($E3802=0,0,ROUND($R3807*$S$2*$C$2/$A3802,2))</f>
        <v>54.89</v>
      </c>
      <c r="AH3802" s="481">
        <f ca="1">$AG3802*$A3802</f>
        <v>164.67000000000002</v>
      </c>
      <c r="AI3802" s="525">
        <f ca="1">$E3802-$AG3802</f>
        <v>97.05</v>
      </c>
      <c r="AJ3802" s="525">
        <f ca="1">$A3802*$AI3802</f>
        <v>291.14999999999998</v>
      </c>
      <c r="AK3802" s="526">
        <f ca="1">ROUND(($AG3802+$AI3802)*$A3802,2)</f>
        <v>455.82</v>
      </c>
      <c r="AM3802" s="527">
        <f ca="1">ROUND(R3807,2)</f>
        <v>133.74</v>
      </c>
      <c r="AN3802" s="528">
        <f ca="1">ROUND(T3807,2)</f>
        <v>8.61</v>
      </c>
      <c r="AO3802" s="529">
        <f ca="1">ROUND(AM3802+AN3802,2)*A3802</f>
        <v>427.04999999999995</v>
      </c>
      <c r="AR3802" s="747">
        <v>3</v>
      </c>
      <c r="AS3802" s="751">
        <v>487.26</v>
      </c>
    </row>
    <row r="3803" spans="1:45" s="520" customFormat="1" ht="13.2">
      <c r="A3803" s="748"/>
      <c r="B3803"/>
      <c r="C3803" s="748"/>
      <c r="D3803" s="749" t="s">
        <v>777</v>
      </c>
      <c r="F3803" s="753"/>
      <c r="G3803" s="3"/>
      <c r="H3803" s="753"/>
      <c r="I3803" s="754"/>
      <c r="J3803" s="753"/>
      <c r="K3803" s="753" t="s">
        <v>144</v>
      </c>
      <c r="L3803" s="753"/>
      <c r="M3803" s="753"/>
      <c r="N3803" s="753"/>
      <c r="O3803" s="753"/>
      <c r="P3803" s="753"/>
      <c r="Q3803" s="51"/>
      <c r="R3803" s="530"/>
      <c r="S3803" s="757"/>
      <c r="T3803" s="753"/>
      <c r="AR3803" s="748"/>
      <c r="AS3803" s="753"/>
    </row>
    <row r="3804" spans="1:45" s="886" customFormat="1" ht="13.2">
      <c r="A3804"/>
      <c r="B3804" s="910"/>
      <c r="C3804" s="910" t="s">
        <v>2597</v>
      </c>
      <c r="D3804" s="910" t="str">
        <f ca="1">CELL("Address",Elec_Rates!D$103)</f>
        <v>[E25_0062_Quintano_Foods_Elec_ELV_As_Awarded.xlsx]Elec_Rates!$D$103</v>
      </c>
      <c r="E3804" s="911"/>
      <c r="F3804" s="911"/>
      <c r="G3804" s="912" t="s">
        <v>2598</v>
      </c>
      <c r="H3804" s="912"/>
      <c r="I3804" s="912"/>
      <c r="J3804" s="912"/>
      <c r="K3804" s="913"/>
      <c r="L3804" s="911"/>
      <c r="M3804" s="911"/>
      <c r="N3804" s="911"/>
      <c r="O3804" s="914"/>
      <c r="P3804" s="911"/>
      <c r="Q3804" s="915"/>
      <c r="R3804" s="916"/>
      <c r="S3804" s="915"/>
      <c r="T3804" s="917"/>
      <c r="U3804" s="918"/>
      <c r="AR3804"/>
      <c r="AS3804" s="911"/>
    </row>
    <row r="3805" spans="1:45" s="886" customFormat="1" ht="11.4">
      <c r="A3805" s="919">
        <v>3</v>
      </c>
      <c r="B3805" s="920">
        <v>1</v>
      </c>
      <c r="C3805" s="920">
        <f>$A3805*$B3805</f>
        <v>3</v>
      </c>
      <c r="D3805" s="921" t="str">
        <f>Elec_Rates!$D$103</f>
        <v>008# Maintained Emergency Light point rate (Galvanised Conduit)</v>
      </c>
      <c r="E3805" s="921"/>
      <c r="F3805" s="921" t="s">
        <v>2599</v>
      </c>
      <c r="G3805" s="922" t="s">
        <v>2600</v>
      </c>
      <c r="H3805" s="922"/>
      <c r="I3805" s="922"/>
      <c r="J3805" s="922"/>
      <c r="K3805" s="923"/>
      <c r="L3805" s="918"/>
      <c r="M3805" s="918"/>
      <c r="N3805" s="918"/>
      <c r="O3805" s="924"/>
      <c r="P3805" s="921"/>
      <c r="Q3805" s="925">
        <f ca="1">$B3805*Elec_Rates!$R$103</f>
        <v>44.58</v>
      </c>
      <c r="R3805" s="916">
        <f ca="1">$A3805*Q3805</f>
        <v>133.74</v>
      </c>
      <c r="S3805" s="925">
        <f ca="1">$B3805*Elec_Rates!$T$103</f>
        <v>2.87</v>
      </c>
      <c r="T3805" s="917">
        <f ca="1">$A3805*S3805</f>
        <v>8.61</v>
      </c>
      <c r="U3805" s="926"/>
      <c r="AR3805" s="919">
        <v>3</v>
      </c>
      <c r="AS3805" s="921" t="s">
        <v>2599</v>
      </c>
    </row>
    <row r="3806" spans="1:45" s="520" customFormat="1" ht="12">
      <c r="A3806" s="758"/>
      <c r="B3806" s="758"/>
      <c r="C3806" s="758"/>
      <c r="D3806" s="758"/>
      <c r="E3806" s="758"/>
      <c r="F3806" s="753"/>
      <c r="G3806" s="758"/>
      <c r="H3806" s="758"/>
      <c r="I3806" s="519"/>
      <c r="J3806" s="758"/>
      <c r="K3806" s="758"/>
      <c r="L3806" s="758"/>
      <c r="M3806" s="758"/>
      <c r="N3806" s="758"/>
      <c r="O3806" s="758"/>
      <c r="P3806" s="758"/>
      <c r="Q3806" s="519"/>
      <c r="R3806" s="759">
        <f>$A3806*Q3806</f>
        <v>0</v>
      </c>
      <c r="S3806" s="519"/>
      <c r="T3806" s="760">
        <f>$A3806*S3806*$T$1</f>
        <v>0</v>
      </c>
      <c r="AR3806" s="758"/>
      <c r="AS3806" s="753"/>
    </row>
    <row r="3807" spans="1:45" s="520" customFormat="1" ht="12.6" thickBot="1">
      <c r="A3807" s="761" t="s">
        <v>145</v>
      </c>
      <c r="B3807" s="762">
        <f>(R3806+T3806)</f>
        <v>0</v>
      </c>
      <c r="C3807" s="763"/>
      <c r="D3807" s="763"/>
      <c r="E3807" s="763"/>
      <c r="F3807" s="764"/>
      <c r="G3807" s="763" t="s">
        <v>146</v>
      </c>
      <c r="H3807" s="763"/>
      <c r="I3807" s="765"/>
      <c r="J3807" s="763"/>
      <c r="K3807" s="763" t="s">
        <v>3</v>
      </c>
      <c r="L3807" s="766" t="s">
        <v>143</v>
      </c>
      <c r="M3807" s="766"/>
      <c r="N3807" s="766"/>
      <c r="O3807" s="766"/>
      <c r="P3807" s="766"/>
      <c r="Q3807" s="767"/>
      <c r="R3807" s="768">
        <f ca="1">SUM(R3803:R3806)</f>
        <v>133.74</v>
      </c>
      <c r="S3807" s="763"/>
      <c r="T3807" s="768">
        <f ca="1">SUM(T3803:T3806)</f>
        <v>8.61</v>
      </c>
      <c r="U3807" s="531"/>
      <c r="V3807" s="531"/>
      <c r="W3807" s="531"/>
      <c r="X3807" s="531"/>
      <c r="Y3807" s="531"/>
      <c r="Z3807" s="531"/>
      <c r="AA3807" s="531"/>
      <c r="AB3807" s="531"/>
      <c r="AC3807" s="531"/>
      <c r="AD3807" s="531"/>
      <c r="AE3807" s="531"/>
      <c r="AF3807" s="531"/>
      <c r="AG3807" s="531"/>
      <c r="AH3807" s="531"/>
      <c r="AI3807" s="531"/>
      <c r="AJ3807" s="531"/>
      <c r="AK3807" s="531"/>
      <c r="AL3807" s="531"/>
      <c r="AM3807" s="531"/>
      <c r="AN3807" s="531"/>
      <c r="AO3807" s="531"/>
      <c r="AR3807" s="761" t="s">
        <v>145</v>
      </c>
      <c r="AS3807" s="764"/>
    </row>
    <row r="3808" spans="1:45" s="520" customFormat="1" thickTop="1">
      <c r="A3808" s="51"/>
      <c r="B3808" s="51"/>
      <c r="C3808" s="3"/>
      <c r="D3808" s="3"/>
      <c r="E3808" s="51"/>
      <c r="F3808" s="51"/>
      <c r="G3808" s="51"/>
      <c r="H3808" s="51"/>
      <c r="I3808" s="51"/>
      <c r="J3808" s="51"/>
      <c r="K3808" s="51" t="s">
        <v>134</v>
      </c>
      <c r="L3808" s="51"/>
      <c r="M3808" s="51"/>
      <c r="N3808" s="51"/>
      <c r="O3808" s="52"/>
      <c r="P3808" s="51"/>
      <c r="Q3808" s="51"/>
      <c r="R3808" s="51"/>
      <c r="S3808" s="51"/>
      <c r="T3808" s="51"/>
      <c r="AR3808" s="51"/>
      <c r="AS3808" s="51"/>
    </row>
    <row r="3809" spans="1:45" s="520" customFormat="1" ht="12">
      <c r="A3809" s="51"/>
      <c r="B3809" s="51"/>
      <c r="C3809" s="51" t="s">
        <v>135</v>
      </c>
      <c r="D3809" s="37"/>
      <c r="E3809" s="51"/>
      <c r="F3809" s="51"/>
      <c r="G3809" s="51"/>
      <c r="H3809" s="51"/>
      <c r="I3809" s="51"/>
      <c r="J3809" s="51"/>
      <c r="K3809" s="51"/>
      <c r="L3809" s="51"/>
      <c r="M3809" s="51"/>
      <c r="N3809" s="51"/>
      <c r="O3809" s="52"/>
      <c r="P3809" s="51"/>
      <c r="Q3809" s="51"/>
      <c r="R3809" s="51"/>
      <c r="S3809" s="51"/>
      <c r="T3809" s="51"/>
      <c r="AR3809" s="51"/>
      <c r="AS3809" s="51"/>
    </row>
    <row r="3810" spans="1:45" s="520" customFormat="1" ht="12">
      <c r="A3810" s="51"/>
      <c r="B3810" s="51"/>
      <c r="C3810" s="51"/>
      <c r="D3810" s="37" t="s">
        <v>778</v>
      </c>
      <c r="E3810" s="51"/>
      <c r="F3810" s="51"/>
      <c r="G3810" s="51"/>
      <c r="H3810" s="51"/>
      <c r="I3810" s="51"/>
      <c r="J3810" s="51"/>
      <c r="K3810" s="51"/>
      <c r="L3810" s="51"/>
      <c r="M3810" s="51"/>
      <c r="N3810" s="51"/>
      <c r="O3810" s="52"/>
      <c r="P3810" s="51"/>
      <c r="Q3810" s="51"/>
      <c r="R3810" s="51"/>
      <c r="S3810" s="38"/>
      <c r="T3810" s="38"/>
      <c r="AR3810" s="51"/>
      <c r="AS3810" s="51"/>
    </row>
    <row r="3811" spans="1:45" s="3" customFormat="1" thickBot="1">
      <c r="A3811" s="531"/>
      <c r="O3811" s="107"/>
      <c r="AR3811" s="531"/>
    </row>
    <row r="3812" spans="1:45" s="520" customFormat="1" ht="12" thickTop="1">
      <c r="A3812" s="51"/>
      <c r="B3812" s="41"/>
      <c r="C3812" s="51"/>
      <c r="E3812" s="42" t="s">
        <v>138</v>
      </c>
      <c r="F3812" s="42" t="s">
        <v>139</v>
      </c>
      <c r="G3812" s="51"/>
      <c r="H3812" s="51"/>
      <c r="I3812" s="51"/>
      <c r="J3812" s="51"/>
      <c r="K3812" s="51" t="s">
        <v>140</v>
      </c>
      <c r="L3812" s="51"/>
      <c r="M3812" s="51"/>
      <c r="N3812" s="51"/>
      <c r="O3812" s="52"/>
      <c r="P3812" s="51"/>
      <c r="Q3812" s="51"/>
      <c r="R3812" s="51"/>
      <c r="S3812" s="51"/>
      <c r="T3812" s="41"/>
      <c r="AG3812" s="521" t="s">
        <v>268</v>
      </c>
      <c r="AH3812" s="521" t="s">
        <v>269</v>
      </c>
      <c r="AI3812" s="521" t="s">
        <v>270</v>
      </c>
      <c r="AJ3812" s="521" t="s">
        <v>271</v>
      </c>
      <c r="AK3812" s="521" t="s">
        <v>272</v>
      </c>
      <c r="AM3812" s="745" t="s">
        <v>281</v>
      </c>
      <c r="AN3812" s="746" t="s">
        <v>282</v>
      </c>
      <c r="AO3812" s="522" t="s">
        <v>278</v>
      </c>
      <c r="AR3812" s="51"/>
      <c r="AS3812" s="42" t="s">
        <v>139</v>
      </c>
    </row>
    <row r="3813" spans="1:45" s="520" customFormat="1" ht="12" customHeight="1">
      <c r="A3813" s="747">
        <v>1</v>
      </c>
      <c r="B3813" s="523" t="s">
        <v>141</v>
      </c>
      <c r="C3813" s="748"/>
      <c r="D3813" s="749" t="s">
        <v>1704</v>
      </c>
      <c r="E3813" s="750">
        <f ca="1">IF(AND($A3813=0,$A$1="DIF"),0, ROUND(ROUND(($R3818*$S$2+($T3818*$T$2))/A3813,2)*$C$2,2))</f>
        <v>48.45</v>
      </c>
      <c r="F3813" s="751">
        <f ca="1">ROUND($A3813*$E3813,2)</f>
        <v>48.45</v>
      </c>
      <c r="G3813" s="752" t="s">
        <v>142</v>
      </c>
      <c r="H3813" s="753"/>
      <c r="I3813" s="754"/>
      <c r="J3813" s="753"/>
      <c r="K3813" s="753" t="s">
        <v>3</v>
      </c>
      <c r="L3813" s="755" t="s">
        <v>143</v>
      </c>
      <c r="M3813" s="755"/>
      <c r="N3813" s="755"/>
      <c r="O3813" s="755"/>
      <c r="P3813" s="755"/>
      <c r="Q3813" s="51"/>
      <c r="T3813" s="756" t="str">
        <f ca="1">IF(AND($R3818=0,$T3818=0),"0.00","mu :" &amp; ROUND($F3813/$C$2/($R3818+$T3818*$D$9),2))</f>
        <v>mu :1.23</v>
      </c>
      <c r="W3813" s="524"/>
      <c r="AG3813" s="481">
        <f ca="1">IF($E3813=0,0,ROUND($R3818*$S$2*$C$2/$A3813,2))</f>
        <v>31.55</v>
      </c>
      <c r="AH3813" s="481">
        <f ca="1">$AG3813*$A3813</f>
        <v>31.55</v>
      </c>
      <c r="AI3813" s="525">
        <f ca="1">$E3813-$AG3813</f>
        <v>16.900000000000002</v>
      </c>
      <c r="AJ3813" s="525">
        <f ca="1">$A3813*$AI3813</f>
        <v>16.900000000000002</v>
      </c>
      <c r="AK3813" s="526">
        <f ca="1">ROUND(($AG3813+$AI3813)*$A3813,2)</f>
        <v>48.45</v>
      </c>
      <c r="AM3813" s="527">
        <f ca="1">ROUND(R3818,2)</f>
        <v>25.62</v>
      </c>
      <c r="AN3813" s="528">
        <f ca="1">ROUND(T3818,2)</f>
        <v>0.5</v>
      </c>
      <c r="AO3813" s="529">
        <f ca="1">ROUND(AM3813+AN3813,2)*A3813</f>
        <v>26.12</v>
      </c>
      <c r="AR3813" s="747">
        <v>1</v>
      </c>
      <c r="AS3813" s="751">
        <v>50.14</v>
      </c>
    </row>
    <row r="3814" spans="1:45" s="520" customFormat="1" ht="13.2">
      <c r="A3814" s="748"/>
      <c r="B3814"/>
      <c r="C3814" s="748"/>
      <c r="D3814" s="749" t="s">
        <v>779</v>
      </c>
      <c r="F3814" s="753"/>
      <c r="G3814" s="3"/>
      <c r="H3814" s="753"/>
      <c r="I3814" s="754"/>
      <c r="J3814" s="753"/>
      <c r="K3814" s="753" t="s">
        <v>144</v>
      </c>
      <c r="L3814" s="753"/>
      <c r="M3814" s="753"/>
      <c r="N3814" s="753"/>
      <c r="O3814" s="753"/>
      <c r="P3814" s="753"/>
      <c r="Q3814" s="51"/>
      <c r="R3814" s="530"/>
      <c r="S3814" s="757"/>
      <c r="T3814" s="753"/>
      <c r="AR3814" s="748"/>
      <c r="AS3814" s="753"/>
    </row>
    <row r="3815" spans="1:45" s="520" customFormat="1" ht="12">
      <c r="A3815" s="51"/>
      <c r="B3815" s="758"/>
      <c r="C3815" s="753" t="s">
        <v>2597</v>
      </c>
      <c r="D3815" s="753" t="str">
        <f ca="1">CELL("Address",Elec_Rates!$D$192)</f>
        <v>[E25_0062_Quintano_Foods_Elec_ELV_As_Awarded.xlsx]Elec_Rates!$D$192</v>
      </c>
      <c r="E3815" s="758"/>
      <c r="F3815" s="753"/>
      <c r="G3815" s="1049" t="s">
        <v>2598</v>
      </c>
      <c r="H3815" s="1050"/>
      <c r="I3815" s="1051"/>
      <c r="J3815" s="1050"/>
      <c r="K3815" s="1050"/>
      <c r="L3815" s="758"/>
      <c r="M3815" s="758"/>
      <c r="N3815" s="758"/>
      <c r="O3815" s="758"/>
      <c r="P3815" s="758"/>
      <c r="Q3815" s="519"/>
      <c r="R3815" s="759"/>
      <c r="S3815" s="519"/>
      <c r="T3815" s="760"/>
      <c r="AR3815" s="51"/>
      <c r="AS3815" s="753"/>
    </row>
    <row r="3816" spans="1:45" s="520" customFormat="1" ht="11.4">
      <c r="A3816" s="51">
        <v>1</v>
      </c>
      <c r="B3816" s="519">
        <v>1</v>
      </c>
      <c r="C3816" s="519">
        <f>$A3816*$B3816</f>
        <v>1</v>
      </c>
      <c r="D3816" s="1048" t="str">
        <f>Elec_Rates!$D$192</f>
        <v>018# 1-Phase 25/32A Isolator</v>
      </c>
      <c r="E3816" s="1048"/>
      <c r="F3816" s="1048" t="s">
        <v>2733</v>
      </c>
      <c r="G3816" s="1050" t="s">
        <v>2600</v>
      </c>
      <c r="H3816" s="1050"/>
      <c r="I3816" s="1051"/>
      <c r="J3816" s="1050"/>
      <c r="K3816" s="1050"/>
      <c r="L3816" s="758"/>
      <c r="M3816" s="758"/>
      <c r="N3816" s="758"/>
      <c r="O3816" s="758"/>
      <c r="P3816" s="758"/>
      <c r="Q3816" s="1052">
        <f ca="1">$B3816*Elec_Rates!$R$192</f>
        <v>25.62</v>
      </c>
      <c r="R3816" s="759">
        <f ca="1">$A3816*Q3816</f>
        <v>25.62</v>
      </c>
      <c r="S3816" s="1052">
        <f ca="1">$B3816*Elec_Rates!$T$192</f>
        <v>0.5</v>
      </c>
      <c r="T3816" s="917">
        <f ca="1">$A3816*S3816</f>
        <v>0.5</v>
      </c>
      <c r="AR3816" s="51">
        <v>1</v>
      </c>
      <c r="AS3816" s="1048" t="s">
        <v>2733</v>
      </c>
    </row>
    <row r="3817" spans="1:45" s="520" customFormat="1" ht="12">
      <c r="A3817" s="758"/>
      <c r="B3817" s="758"/>
      <c r="C3817" s="758"/>
      <c r="D3817" s="758"/>
      <c r="E3817" s="758"/>
      <c r="F3817" s="753"/>
      <c r="G3817" s="758"/>
      <c r="H3817" s="758"/>
      <c r="I3817" s="519"/>
      <c r="J3817" s="758"/>
      <c r="K3817" s="758"/>
      <c r="L3817" s="758"/>
      <c r="M3817" s="758"/>
      <c r="N3817" s="758"/>
      <c r="O3817" s="758"/>
      <c r="P3817" s="758"/>
      <c r="Q3817" s="519"/>
      <c r="R3817" s="759">
        <f>$A3817*Q3817</f>
        <v>0</v>
      </c>
      <c r="S3817" s="519"/>
      <c r="T3817" s="760">
        <f>$A3817*S3817*$T$1</f>
        <v>0</v>
      </c>
      <c r="AR3817" s="758"/>
      <c r="AS3817" s="753"/>
    </row>
    <row r="3818" spans="1:45" s="520" customFormat="1" ht="12.6" thickBot="1">
      <c r="A3818" s="761" t="s">
        <v>145</v>
      </c>
      <c r="B3818" s="762">
        <f>(R3817+T3817)</f>
        <v>0</v>
      </c>
      <c r="C3818" s="763"/>
      <c r="D3818" s="763"/>
      <c r="E3818" s="763"/>
      <c r="F3818" s="764"/>
      <c r="G3818" s="763" t="s">
        <v>146</v>
      </c>
      <c r="H3818" s="763"/>
      <c r="I3818" s="765"/>
      <c r="J3818" s="763"/>
      <c r="K3818" s="763" t="s">
        <v>3</v>
      </c>
      <c r="L3818" s="766" t="s">
        <v>143</v>
      </c>
      <c r="M3818" s="766"/>
      <c r="N3818" s="766"/>
      <c r="O3818" s="766"/>
      <c r="P3818" s="766"/>
      <c r="Q3818" s="767"/>
      <c r="R3818" s="768">
        <f ca="1">SUM(R3814:R3817)</f>
        <v>25.62</v>
      </c>
      <c r="S3818" s="763"/>
      <c r="T3818" s="768">
        <f ca="1">SUM(T3814:T3817)</f>
        <v>0.5</v>
      </c>
      <c r="U3818" s="531"/>
      <c r="V3818" s="531"/>
      <c r="W3818" s="531"/>
      <c r="X3818" s="531"/>
      <c r="Y3818" s="531"/>
      <c r="Z3818" s="531"/>
      <c r="AA3818" s="531"/>
      <c r="AB3818" s="531"/>
      <c r="AC3818" s="531"/>
      <c r="AD3818" s="531"/>
      <c r="AE3818" s="531"/>
      <c r="AF3818" s="531"/>
      <c r="AG3818" s="531"/>
      <c r="AH3818" s="531"/>
      <c r="AI3818" s="531"/>
      <c r="AJ3818" s="531"/>
      <c r="AK3818" s="531"/>
      <c r="AL3818" s="531"/>
      <c r="AM3818" s="531"/>
      <c r="AN3818" s="531"/>
      <c r="AO3818" s="531"/>
      <c r="AR3818" s="761" t="s">
        <v>145</v>
      </c>
      <c r="AS3818" s="764"/>
    </row>
    <row r="3819" spans="1:45" s="520" customFormat="1" ht="12" thickTop="1">
      <c r="A3819" s="51"/>
      <c r="B3819" s="41"/>
      <c r="C3819" s="51"/>
      <c r="E3819" s="42" t="s">
        <v>138</v>
      </c>
      <c r="F3819" s="42" t="s">
        <v>139</v>
      </c>
      <c r="G3819" s="51"/>
      <c r="H3819" s="51"/>
      <c r="I3819" s="51"/>
      <c r="J3819" s="51"/>
      <c r="K3819" s="51" t="s">
        <v>140</v>
      </c>
      <c r="L3819" s="51"/>
      <c r="M3819" s="51"/>
      <c r="N3819" s="51"/>
      <c r="O3819" s="52"/>
      <c r="P3819" s="51"/>
      <c r="Q3819" s="51"/>
      <c r="R3819" s="51"/>
      <c r="S3819" s="51"/>
      <c r="T3819" s="41"/>
      <c r="AG3819" s="521" t="s">
        <v>268</v>
      </c>
      <c r="AH3819" s="521" t="s">
        <v>269</v>
      </c>
      <c r="AI3819" s="521" t="s">
        <v>270</v>
      </c>
      <c r="AJ3819" s="521" t="s">
        <v>271</v>
      </c>
      <c r="AK3819" s="521" t="s">
        <v>272</v>
      </c>
      <c r="AM3819" s="745" t="s">
        <v>281</v>
      </c>
      <c r="AN3819" s="746" t="s">
        <v>282</v>
      </c>
      <c r="AO3819" s="522" t="s">
        <v>278</v>
      </c>
      <c r="AR3819" s="51"/>
      <c r="AS3819" s="42" t="s">
        <v>139</v>
      </c>
    </row>
    <row r="3820" spans="1:45" s="520" customFormat="1" ht="12" customHeight="1">
      <c r="A3820" s="747">
        <v>1</v>
      </c>
      <c r="B3820" s="523" t="s">
        <v>299</v>
      </c>
      <c r="C3820" s="748"/>
      <c r="D3820" s="749" t="s">
        <v>1705</v>
      </c>
      <c r="E3820" s="750">
        <f>IF(AND($A3820=0,$A$1="DIF"),0, ROUND(ROUND(($R3857*$S$2+($T3857*$T$2))/A3820,2)*$C$2,2))</f>
        <v>1116.0999999999999</v>
      </c>
      <c r="F3820" s="751">
        <f>ROUND($A3820*$E3820,2)</f>
        <v>1116.0999999999999</v>
      </c>
      <c r="G3820" s="752" t="s">
        <v>142</v>
      </c>
      <c r="H3820" s="753"/>
      <c r="I3820" s="754"/>
      <c r="J3820" s="753"/>
      <c r="K3820" s="753" t="s">
        <v>3</v>
      </c>
      <c r="L3820" s="755" t="s">
        <v>143</v>
      </c>
      <c r="M3820" s="755"/>
      <c r="N3820" s="755"/>
      <c r="O3820" s="755"/>
      <c r="P3820" s="755"/>
      <c r="Q3820" s="51"/>
      <c r="T3820" s="756" t="str">
        <f>IF(AND($R3857=0,$T3857=0),"0.00","mu :" &amp; ROUND($F3820/$C$2/($R3857+$T3857*$D$9),2))</f>
        <v>mu :1.23</v>
      </c>
      <c r="W3820" s="524"/>
      <c r="AG3820" s="481">
        <f>IF($E3820=0,0,ROUND($R3857*$S$2*$C$2/$A3820,2))</f>
        <v>768.88</v>
      </c>
      <c r="AH3820" s="481">
        <f>$AG3820*$A3820</f>
        <v>768.88</v>
      </c>
      <c r="AI3820" s="525">
        <f>$E3820-$AG3820</f>
        <v>347.21999999999991</v>
      </c>
      <c r="AJ3820" s="525">
        <f>$A3820*$AI3820</f>
        <v>347.21999999999991</v>
      </c>
      <c r="AK3820" s="526">
        <f>ROUND(($AG3820+$AI3820)*$A3820,2)</f>
        <v>1116.0999999999999</v>
      </c>
      <c r="AM3820" s="527">
        <f>ROUND(R3857,2)</f>
        <v>624.41999999999996</v>
      </c>
      <c r="AN3820" s="528">
        <f>ROUND(T3857,2)</f>
        <v>10.27</v>
      </c>
      <c r="AO3820" s="529">
        <f>ROUND(AM3820+AN3820,2)*A3820</f>
        <v>634.69000000000005</v>
      </c>
      <c r="AR3820" s="747">
        <v>1</v>
      </c>
      <c r="AS3820" s="751">
        <v>1154.68</v>
      </c>
    </row>
    <row r="3821" spans="1:45" s="520" customFormat="1" ht="39.9" customHeight="1">
      <c r="A3821" s="748"/>
      <c r="B3821"/>
      <c r="C3821" s="748"/>
      <c r="D3821" s="1451" t="s">
        <v>822</v>
      </c>
      <c r="E3821" s="1452"/>
      <c r="F3821" s="1452"/>
      <c r="G3821" s="1452"/>
      <c r="H3821" s="1452"/>
      <c r="I3821" s="1452"/>
      <c r="J3821" s="1452"/>
      <c r="K3821" s="1452"/>
      <c r="L3821" s="1452"/>
      <c r="M3821" s="1452"/>
      <c r="N3821" s="1452"/>
      <c r="O3821" s="1452"/>
      <c r="P3821" s="1452"/>
      <c r="Q3821" s="1452"/>
      <c r="R3821" s="1452"/>
      <c r="S3821" s="1452"/>
      <c r="T3821" s="1452"/>
      <c r="AR3821" s="748"/>
    </row>
    <row r="3822" spans="1:45" s="520" customFormat="1" ht="12">
      <c r="A3822" s="51"/>
      <c r="B3822" s="758"/>
      <c r="C3822" s="758"/>
      <c r="D3822" s="1059" t="s">
        <v>3017</v>
      </c>
      <c r="E3822" s="758"/>
      <c r="F3822" s="753"/>
      <c r="G3822" s="758"/>
      <c r="H3822" s="758"/>
      <c r="I3822" s="519"/>
      <c r="J3822" s="758"/>
      <c r="K3822" s="758"/>
      <c r="L3822" s="758"/>
      <c r="M3822" s="758"/>
      <c r="N3822" s="758"/>
      <c r="O3822" s="758"/>
      <c r="P3822" s="758"/>
      <c r="Q3822" s="519"/>
      <c r="R3822" s="759">
        <f t="shared" ref="R3822:R3846" si="116">$A3822*Q3822</f>
        <v>0</v>
      </c>
      <c r="S3822" s="519"/>
      <c r="T3822" s="760">
        <f t="shared" ref="T3822:T3846" si="117">$A3822*S3822*$T$1</f>
        <v>0</v>
      </c>
      <c r="AR3822" s="51"/>
      <c r="AS3822" s="753"/>
    </row>
    <row r="3823" spans="1:45" s="901" customFormat="1" ht="13.2">
      <c r="A3823">
        <v>1</v>
      </c>
      <c r="B3823" s="901" t="s">
        <v>141</v>
      </c>
      <c r="D3823" s="901" t="s">
        <v>2897</v>
      </c>
      <c r="G3823" s="941" t="s">
        <v>2898</v>
      </c>
      <c r="H3823" s="942">
        <v>570</v>
      </c>
      <c r="I3823" s="901" t="s">
        <v>2607</v>
      </c>
      <c r="O3823" s="943">
        <v>2</v>
      </c>
      <c r="P3823" s="944">
        <v>38412</v>
      </c>
      <c r="Q3823" s="945">
        <v>50</v>
      </c>
      <c r="R3823" s="946">
        <f t="shared" si="116"/>
        <v>50</v>
      </c>
      <c r="S3823" s="945"/>
      <c r="T3823" s="947">
        <f t="shared" si="117"/>
        <v>0</v>
      </c>
      <c r="AR3823">
        <v>1</v>
      </c>
    </row>
    <row r="3824" spans="1:45" s="901" customFormat="1" ht="13.2">
      <c r="A3824">
        <v>1</v>
      </c>
      <c r="B3824" s="901" t="s">
        <v>320</v>
      </c>
      <c r="D3824" s="901" t="s">
        <v>2899</v>
      </c>
      <c r="G3824" s="941" t="s">
        <v>2900</v>
      </c>
      <c r="H3824" s="942">
        <v>570</v>
      </c>
      <c r="I3824" s="901" t="s">
        <v>2596</v>
      </c>
      <c r="O3824" s="943">
        <v>2</v>
      </c>
      <c r="P3824" s="944">
        <v>34700</v>
      </c>
      <c r="Q3824" s="945">
        <v>8.2200000000000006</v>
      </c>
      <c r="R3824" s="946">
        <f t="shared" si="116"/>
        <v>8.2200000000000006</v>
      </c>
      <c r="S3824" s="945"/>
      <c r="T3824" s="947">
        <f t="shared" si="117"/>
        <v>0</v>
      </c>
      <c r="AR3824">
        <v>1</v>
      </c>
    </row>
    <row r="3825" spans="1:45" s="901" customFormat="1" ht="13.2">
      <c r="A3825">
        <v>1</v>
      </c>
      <c r="B3825" s="901" t="s">
        <v>141</v>
      </c>
      <c r="D3825" s="901" t="s">
        <v>2901</v>
      </c>
      <c r="G3825" s="941" t="s">
        <v>2902</v>
      </c>
      <c r="H3825" s="942">
        <v>570</v>
      </c>
      <c r="I3825" s="901" t="s">
        <v>2903</v>
      </c>
      <c r="J3825" s="901" t="s">
        <v>2904</v>
      </c>
      <c r="O3825" s="943">
        <v>2</v>
      </c>
      <c r="P3825" s="944">
        <v>38335</v>
      </c>
      <c r="Q3825" s="945">
        <v>70</v>
      </c>
      <c r="R3825" s="946">
        <f t="shared" si="116"/>
        <v>70</v>
      </c>
      <c r="S3825" s="945"/>
      <c r="T3825" s="947">
        <f t="shared" si="117"/>
        <v>0</v>
      </c>
      <c r="AR3825">
        <v>1</v>
      </c>
    </row>
    <row r="3826" spans="1:45" s="901" customFormat="1" ht="13.2">
      <c r="A3826">
        <v>1</v>
      </c>
      <c r="B3826" s="901" t="s">
        <v>141</v>
      </c>
      <c r="D3826" s="901" t="s">
        <v>2905</v>
      </c>
      <c r="G3826" s="941" t="s">
        <v>2906</v>
      </c>
      <c r="H3826" s="942">
        <v>570</v>
      </c>
      <c r="I3826" s="901" t="s">
        <v>2736</v>
      </c>
      <c r="O3826" s="943">
        <v>2</v>
      </c>
      <c r="P3826" s="944">
        <v>38104</v>
      </c>
      <c r="Q3826" s="945">
        <v>3</v>
      </c>
      <c r="R3826" s="946">
        <f t="shared" si="116"/>
        <v>3</v>
      </c>
      <c r="S3826" s="945"/>
      <c r="T3826" s="947">
        <f t="shared" si="117"/>
        <v>0</v>
      </c>
      <c r="AR3826">
        <v>1</v>
      </c>
    </row>
    <row r="3827" spans="1:45" s="901" customFormat="1" ht="13.2">
      <c r="A3827">
        <v>1</v>
      </c>
      <c r="B3827" s="901" t="s">
        <v>141</v>
      </c>
      <c r="D3827" s="901" t="s">
        <v>2907</v>
      </c>
      <c r="G3827" s="941" t="s">
        <v>2908</v>
      </c>
      <c r="H3827" s="942">
        <v>570</v>
      </c>
      <c r="I3827" s="901" t="s">
        <v>2903</v>
      </c>
      <c r="J3827" s="901" t="s">
        <v>2909</v>
      </c>
      <c r="O3827" s="943">
        <v>2</v>
      </c>
      <c r="P3827" s="944">
        <v>38054</v>
      </c>
      <c r="Q3827" s="945">
        <v>0.77</v>
      </c>
      <c r="R3827" s="946">
        <f t="shared" si="116"/>
        <v>0.77</v>
      </c>
      <c r="S3827" s="945"/>
      <c r="T3827" s="947">
        <f t="shared" si="117"/>
        <v>0</v>
      </c>
      <c r="AR3827">
        <v>1</v>
      </c>
    </row>
    <row r="3828" spans="1:45" s="901" customFormat="1" ht="13.2">
      <c r="A3828">
        <v>1</v>
      </c>
      <c r="B3828" s="901" t="s">
        <v>141</v>
      </c>
      <c r="D3828" s="901" t="s">
        <v>2910</v>
      </c>
      <c r="G3828" s="941" t="s">
        <v>2911</v>
      </c>
      <c r="H3828" s="942">
        <v>570</v>
      </c>
      <c r="I3828" s="901" t="s">
        <v>2912</v>
      </c>
      <c r="J3828" s="901" t="s">
        <v>2913</v>
      </c>
      <c r="O3828" s="943">
        <v>2</v>
      </c>
      <c r="P3828" s="944">
        <v>38499</v>
      </c>
      <c r="Q3828" s="945">
        <v>0.7</v>
      </c>
      <c r="R3828" s="946">
        <f t="shared" si="116"/>
        <v>0.7</v>
      </c>
      <c r="S3828" s="945"/>
      <c r="T3828" s="947">
        <f t="shared" si="117"/>
        <v>0</v>
      </c>
      <c r="AR3828">
        <v>1</v>
      </c>
    </row>
    <row r="3829" spans="1:45" s="901" customFormat="1" ht="13.2">
      <c r="A3829">
        <v>1</v>
      </c>
      <c r="B3829" s="901" t="s">
        <v>141</v>
      </c>
      <c r="D3829" s="901" t="s">
        <v>2914</v>
      </c>
      <c r="G3829" s="941" t="s">
        <v>2915</v>
      </c>
      <c r="H3829" s="942">
        <v>570</v>
      </c>
      <c r="I3829" s="901" t="s">
        <v>2903</v>
      </c>
      <c r="J3829" s="901" t="s">
        <v>2916</v>
      </c>
      <c r="O3829" s="943">
        <v>2</v>
      </c>
      <c r="P3829" s="944">
        <v>38054</v>
      </c>
      <c r="Q3829" s="945">
        <v>3.21</v>
      </c>
      <c r="R3829" s="946">
        <f t="shared" si="116"/>
        <v>3.21</v>
      </c>
      <c r="S3829" s="945"/>
      <c r="T3829" s="947">
        <f t="shared" si="117"/>
        <v>0</v>
      </c>
      <c r="AR3829">
        <v>1</v>
      </c>
    </row>
    <row r="3830" spans="1:45" s="901" customFormat="1" ht="13.2">
      <c r="A3830">
        <v>1</v>
      </c>
      <c r="B3830" s="901" t="s">
        <v>141</v>
      </c>
      <c r="D3830" s="901" t="s">
        <v>2917</v>
      </c>
      <c r="G3830" s="941" t="s">
        <v>2918</v>
      </c>
      <c r="H3830" s="942">
        <v>570</v>
      </c>
      <c r="I3830" s="901" t="s">
        <v>2736</v>
      </c>
      <c r="J3830" s="901" t="s">
        <v>2919</v>
      </c>
      <c r="O3830" s="943">
        <v>2</v>
      </c>
      <c r="P3830" s="944">
        <v>36880</v>
      </c>
      <c r="Q3830" s="945">
        <v>14.56</v>
      </c>
      <c r="R3830" s="946">
        <f t="shared" si="116"/>
        <v>14.56</v>
      </c>
      <c r="S3830" s="945"/>
      <c r="T3830" s="947">
        <f t="shared" si="117"/>
        <v>0</v>
      </c>
      <c r="AR3830">
        <v>1</v>
      </c>
    </row>
    <row r="3831" spans="1:45" s="901" customFormat="1" ht="13.2">
      <c r="A3831">
        <v>1</v>
      </c>
      <c r="B3831" s="901" t="s">
        <v>141</v>
      </c>
      <c r="D3831" s="901" t="s">
        <v>2920</v>
      </c>
      <c r="G3831" s="941" t="s">
        <v>2921</v>
      </c>
      <c r="H3831" s="942">
        <v>570</v>
      </c>
      <c r="I3831" s="901" t="s">
        <v>2736</v>
      </c>
      <c r="J3831" s="901" t="s">
        <v>2922</v>
      </c>
      <c r="O3831" s="943">
        <v>2</v>
      </c>
      <c r="P3831" s="944">
        <v>36880</v>
      </c>
      <c r="Q3831" s="945">
        <v>14.56</v>
      </c>
      <c r="R3831" s="946">
        <f t="shared" si="116"/>
        <v>14.56</v>
      </c>
      <c r="S3831" s="945"/>
      <c r="T3831" s="947">
        <f t="shared" si="117"/>
        <v>0</v>
      </c>
      <c r="AR3831">
        <v>1</v>
      </c>
    </row>
    <row r="3832" spans="1:45" s="901" customFormat="1" ht="13.2">
      <c r="A3832">
        <v>1</v>
      </c>
      <c r="B3832" s="901" t="s">
        <v>141</v>
      </c>
      <c r="D3832" s="901" t="s">
        <v>2923</v>
      </c>
      <c r="G3832" s="941" t="s">
        <v>2924</v>
      </c>
      <c r="H3832" s="942">
        <v>570</v>
      </c>
      <c r="I3832" s="901" t="s">
        <v>2925</v>
      </c>
      <c r="J3832" s="901" t="s">
        <v>2926</v>
      </c>
      <c r="O3832" s="943">
        <v>2</v>
      </c>
      <c r="P3832" s="944">
        <v>38313</v>
      </c>
      <c r="Q3832" s="945">
        <v>6.96</v>
      </c>
      <c r="R3832" s="946">
        <f t="shared" si="116"/>
        <v>6.96</v>
      </c>
      <c r="S3832" s="945"/>
      <c r="T3832" s="947">
        <f t="shared" si="117"/>
        <v>0</v>
      </c>
      <c r="AR3832">
        <v>1</v>
      </c>
    </row>
    <row r="3833" spans="1:45" s="901" customFormat="1" ht="13.2">
      <c r="A3833">
        <v>1</v>
      </c>
      <c r="B3833" s="901" t="s">
        <v>141</v>
      </c>
      <c r="D3833" s="901" t="s">
        <v>2927</v>
      </c>
      <c r="G3833" s="941" t="s">
        <v>2928</v>
      </c>
      <c r="H3833" s="942">
        <v>570</v>
      </c>
      <c r="I3833" s="901" t="s">
        <v>2607</v>
      </c>
      <c r="O3833" s="943">
        <v>2</v>
      </c>
      <c r="P3833" s="944">
        <v>38413</v>
      </c>
      <c r="Q3833" s="945">
        <v>1</v>
      </c>
      <c r="R3833" s="946">
        <f t="shared" si="116"/>
        <v>1</v>
      </c>
      <c r="S3833" s="945"/>
      <c r="T3833" s="947">
        <f t="shared" si="117"/>
        <v>0</v>
      </c>
      <c r="AR3833">
        <v>1</v>
      </c>
    </row>
    <row r="3834" spans="1:45" s="901" customFormat="1" ht="13.2">
      <c r="A3834">
        <v>1</v>
      </c>
      <c r="B3834" s="901" t="s">
        <v>141</v>
      </c>
      <c r="D3834" s="901" t="s">
        <v>2929</v>
      </c>
      <c r="G3834" s="941" t="s">
        <v>2930</v>
      </c>
      <c r="H3834" s="942">
        <v>570</v>
      </c>
      <c r="I3834" s="901" t="s">
        <v>2607</v>
      </c>
      <c r="O3834" s="943">
        <v>2</v>
      </c>
      <c r="P3834" s="944"/>
      <c r="Q3834" s="945">
        <v>0.23</v>
      </c>
      <c r="R3834" s="946">
        <f t="shared" si="116"/>
        <v>0.23</v>
      </c>
      <c r="S3834" s="945"/>
      <c r="T3834" s="947">
        <f t="shared" si="117"/>
        <v>0</v>
      </c>
      <c r="AR3834">
        <v>1</v>
      </c>
    </row>
    <row r="3835" spans="1:45" s="901" customFormat="1" ht="13.2">
      <c r="A3835">
        <v>2</v>
      </c>
      <c r="B3835" s="901" t="s">
        <v>141</v>
      </c>
      <c r="D3835" s="901" t="s">
        <v>2931</v>
      </c>
      <c r="G3835" s="941" t="s">
        <v>2932</v>
      </c>
      <c r="H3835" s="942">
        <v>570</v>
      </c>
      <c r="I3835" s="901" t="s">
        <v>2736</v>
      </c>
      <c r="J3835" s="901" t="s">
        <v>2933</v>
      </c>
      <c r="O3835" s="943">
        <v>2</v>
      </c>
      <c r="P3835" s="944">
        <v>36880</v>
      </c>
      <c r="Q3835" s="945">
        <v>25</v>
      </c>
      <c r="R3835" s="946">
        <f t="shared" si="116"/>
        <v>50</v>
      </c>
      <c r="S3835" s="945"/>
      <c r="T3835" s="947">
        <f t="shared" si="117"/>
        <v>0</v>
      </c>
      <c r="AR3835">
        <v>2</v>
      </c>
    </row>
    <row r="3836" spans="1:45" s="901" customFormat="1" ht="13.2">
      <c r="A3836">
        <v>3</v>
      </c>
      <c r="B3836" s="901" t="s">
        <v>141</v>
      </c>
      <c r="D3836" s="901" t="s">
        <v>2934</v>
      </c>
      <c r="G3836" s="941" t="s">
        <v>2935</v>
      </c>
      <c r="H3836" s="942">
        <v>570</v>
      </c>
      <c r="I3836" s="901" t="s">
        <v>2607</v>
      </c>
      <c r="O3836" s="943">
        <v>2</v>
      </c>
      <c r="P3836" s="944">
        <v>38737</v>
      </c>
      <c r="Q3836" s="945">
        <v>0.35</v>
      </c>
      <c r="R3836" s="946">
        <f t="shared" si="116"/>
        <v>1.0499999999999998</v>
      </c>
      <c r="S3836" s="945"/>
      <c r="T3836" s="947">
        <f t="shared" si="117"/>
        <v>0</v>
      </c>
      <c r="AR3836">
        <v>3</v>
      </c>
    </row>
    <row r="3837" spans="1:45" s="901" customFormat="1" ht="13.2">
      <c r="A3837">
        <v>10</v>
      </c>
      <c r="B3837" s="901" t="s">
        <v>141</v>
      </c>
      <c r="D3837" s="901" t="s">
        <v>2936</v>
      </c>
      <c r="G3837" s="941" t="s">
        <v>2937</v>
      </c>
      <c r="H3837" s="942">
        <v>570</v>
      </c>
      <c r="I3837" s="901" t="s">
        <v>2607</v>
      </c>
      <c r="O3837" s="943">
        <v>2</v>
      </c>
      <c r="P3837" s="944"/>
      <c r="Q3837" s="945">
        <v>0.7</v>
      </c>
      <c r="R3837" s="946">
        <f t="shared" si="116"/>
        <v>7</v>
      </c>
      <c r="S3837" s="945"/>
      <c r="T3837" s="947">
        <f t="shared" si="117"/>
        <v>0</v>
      </c>
      <c r="AR3837">
        <v>10</v>
      </c>
    </row>
    <row r="3838" spans="1:45" s="901" customFormat="1" ht="13.2">
      <c r="A3838">
        <v>1</v>
      </c>
      <c r="B3838" s="901" t="s">
        <v>141</v>
      </c>
      <c r="D3838" s="901" t="s">
        <v>2831</v>
      </c>
      <c r="F3838" s="901" t="s">
        <v>3696</v>
      </c>
      <c r="G3838" s="941" t="s">
        <v>2832</v>
      </c>
      <c r="H3838" s="942">
        <v>570</v>
      </c>
      <c r="I3838" s="901" t="s">
        <v>2607</v>
      </c>
      <c r="O3838" s="943">
        <v>2</v>
      </c>
      <c r="P3838" s="944">
        <v>38443</v>
      </c>
      <c r="Q3838" s="945">
        <f>4*52.93</f>
        <v>211.72</v>
      </c>
      <c r="R3838" s="946">
        <f t="shared" si="116"/>
        <v>211.72</v>
      </c>
      <c r="S3838" s="945"/>
      <c r="T3838" s="947">
        <f t="shared" si="117"/>
        <v>0</v>
      </c>
      <c r="AR3838">
        <v>1</v>
      </c>
      <c r="AS3838" s="901" t="s">
        <v>3696</v>
      </c>
    </row>
    <row r="3839" spans="1:45" s="901" customFormat="1" ht="13.2">
      <c r="A3839">
        <v>1</v>
      </c>
      <c r="B3839" s="901" t="s">
        <v>141</v>
      </c>
      <c r="D3839" s="901" t="s">
        <v>2831</v>
      </c>
      <c r="F3839" s="901" t="s">
        <v>2938</v>
      </c>
      <c r="G3839" s="941" t="s">
        <v>2832</v>
      </c>
      <c r="H3839" s="942">
        <v>570</v>
      </c>
      <c r="I3839" s="901" t="s">
        <v>2607</v>
      </c>
      <c r="O3839" s="943">
        <v>2</v>
      </c>
      <c r="P3839" s="944">
        <v>38443</v>
      </c>
      <c r="Q3839" s="1063"/>
      <c r="R3839" s="946">
        <f t="shared" si="116"/>
        <v>0</v>
      </c>
      <c r="S3839" s="945">
        <v>4</v>
      </c>
      <c r="T3839" s="947">
        <f t="shared" si="117"/>
        <v>3.6</v>
      </c>
      <c r="U3839" s="901" t="s">
        <v>2764</v>
      </c>
      <c r="AR3839">
        <v>1</v>
      </c>
      <c r="AS3839" s="901" t="s">
        <v>2938</v>
      </c>
    </row>
    <row r="3840" spans="1:45" s="901" customFormat="1" ht="13.2">
      <c r="A3840">
        <v>1</v>
      </c>
      <c r="B3840" s="901" t="s">
        <v>141</v>
      </c>
      <c r="D3840" s="901" t="s">
        <v>2758</v>
      </c>
      <c r="G3840" s="941" t="s">
        <v>2760</v>
      </c>
      <c r="H3840" s="942">
        <v>501</v>
      </c>
      <c r="I3840" s="901" t="s">
        <v>2607</v>
      </c>
      <c r="K3840" s="901" t="s">
        <v>2761</v>
      </c>
      <c r="O3840" s="943">
        <v>1</v>
      </c>
      <c r="P3840" s="944"/>
      <c r="Q3840" s="945">
        <v>10</v>
      </c>
      <c r="R3840" s="946">
        <f t="shared" si="116"/>
        <v>10</v>
      </c>
      <c r="S3840" s="945"/>
      <c r="T3840" s="947">
        <f t="shared" si="117"/>
        <v>0</v>
      </c>
      <c r="AR3840">
        <v>1</v>
      </c>
    </row>
    <row r="3841" spans="1:45" s="901" customFormat="1" ht="13.2">
      <c r="A3841"/>
      <c r="D3841" s="1059" t="s">
        <v>3019</v>
      </c>
      <c r="G3841" s="941"/>
      <c r="H3841" s="942"/>
      <c r="O3841" s="943"/>
      <c r="P3841" s="944"/>
      <c r="Q3841" s="945"/>
      <c r="R3841" s="946">
        <f t="shared" si="116"/>
        <v>0</v>
      </c>
      <c r="S3841" s="945"/>
      <c r="T3841" s="947">
        <f t="shared" si="117"/>
        <v>0</v>
      </c>
      <c r="AR3841"/>
    </row>
    <row r="3842" spans="1:45" s="901" customFormat="1" ht="13.2">
      <c r="A3842">
        <v>1</v>
      </c>
      <c r="B3842" s="901" t="s">
        <v>141</v>
      </c>
      <c r="D3842" s="901" t="s">
        <v>2939</v>
      </c>
      <c r="G3842" s="941" t="s">
        <v>2940</v>
      </c>
      <c r="H3842" s="942">
        <v>570</v>
      </c>
      <c r="I3842" s="901" t="s">
        <v>2941</v>
      </c>
      <c r="J3842" s="901" t="s">
        <v>2942</v>
      </c>
      <c r="O3842" s="943">
        <v>2</v>
      </c>
      <c r="P3842" s="944">
        <v>38400</v>
      </c>
      <c r="Q3842" s="945">
        <v>50</v>
      </c>
      <c r="R3842" s="946">
        <f t="shared" si="116"/>
        <v>50</v>
      </c>
      <c r="S3842" s="945">
        <v>0.25</v>
      </c>
      <c r="T3842" s="947">
        <f t="shared" si="117"/>
        <v>0.22500000000000001</v>
      </c>
      <c r="AR3842">
        <v>1</v>
      </c>
    </row>
    <row r="3843" spans="1:45" s="901" customFormat="1" ht="13.2">
      <c r="A3843">
        <v>2</v>
      </c>
      <c r="B3843" s="901" t="s">
        <v>141</v>
      </c>
      <c r="D3843" s="901" t="s">
        <v>2739</v>
      </c>
      <c r="G3843" s="941" t="s">
        <v>2740</v>
      </c>
      <c r="H3843" s="942">
        <v>875</v>
      </c>
      <c r="I3843" s="901" t="s">
        <v>2607</v>
      </c>
      <c r="K3843" s="901" t="s">
        <v>2741</v>
      </c>
      <c r="O3843" s="943">
        <v>1</v>
      </c>
      <c r="P3843" s="944">
        <v>34669</v>
      </c>
      <c r="Q3843" s="945">
        <v>0.02</v>
      </c>
      <c r="R3843" s="946">
        <f t="shared" si="116"/>
        <v>0.04</v>
      </c>
      <c r="S3843" s="945"/>
      <c r="T3843" s="947">
        <f t="shared" si="117"/>
        <v>0</v>
      </c>
      <c r="AR3843">
        <v>2</v>
      </c>
    </row>
    <row r="3844" spans="1:45" s="901" customFormat="1" ht="13.2">
      <c r="A3844">
        <v>2</v>
      </c>
      <c r="B3844" s="901" t="s">
        <v>141</v>
      </c>
      <c r="D3844" s="901" t="s">
        <v>2742</v>
      </c>
      <c r="G3844" s="941" t="s">
        <v>2743</v>
      </c>
      <c r="H3844" s="942">
        <v>875</v>
      </c>
      <c r="I3844" s="901" t="s">
        <v>2607</v>
      </c>
      <c r="K3844" s="901" t="s">
        <v>2744</v>
      </c>
      <c r="O3844" s="943">
        <v>1</v>
      </c>
      <c r="P3844" s="944">
        <v>34669</v>
      </c>
      <c r="Q3844" s="945">
        <v>0.02</v>
      </c>
      <c r="R3844" s="946">
        <f t="shared" si="116"/>
        <v>0.04</v>
      </c>
      <c r="S3844" s="945"/>
      <c r="T3844" s="947">
        <f t="shared" si="117"/>
        <v>0</v>
      </c>
      <c r="AR3844">
        <v>2</v>
      </c>
    </row>
    <row r="3845" spans="1:45" s="901" customFormat="1" ht="13.2">
      <c r="A3845">
        <v>20</v>
      </c>
      <c r="B3845" s="901" t="s">
        <v>320</v>
      </c>
      <c r="D3845" s="901" t="s">
        <v>3697</v>
      </c>
      <c r="G3845" s="941" t="s">
        <v>2943</v>
      </c>
      <c r="H3845" s="942">
        <v>617</v>
      </c>
      <c r="I3845" s="901" t="s">
        <v>2607</v>
      </c>
      <c r="O3845" s="943">
        <v>2</v>
      </c>
      <c r="P3845" s="944">
        <v>38315</v>
      </c>
      <c r="Q3845" s="945">
        <v>1.5</v>
      </c>
      <c r="R3845" s="946">
        <f t="shared" si="116"/>
        <v>30</v>
      </c>
      <c r="S3845" s="945">
        <v>7.0000000000000007E-2</v>
      </c>
      <c r="T3845" s="947">
        <f t="shared" si="117"/>
        <v>1.2600000000000002</v>
      </c>
      <c r="AR3845">
        <v>20</v>
      </c>
    </row>
    <row r="3846" spans="1:45" s="901" customFormat="1" ht="13.2">
      <c r="A3846" s="116">
        <v>20</v>
      </c>
      <c r="B3846" s="901" t="s">
        <v>320</v>
      </c>
      <c r="D3846" s="901" t="s">
        <v>2944</v>
      </c>
      <c r="G3846" s="941" t="s">
        <v>2945</v>
      </c>
      <c r="H3846" s="942">
        <v>690</v>
      </c>
      <c r="I3846" s="901" t="s">
        <v>2946</v>
      </c>
      <c r="J3846" s="901" t="s">
        <v>2947</v>
      </c>
      <c r="O3846" s="943">
        <v>1</v>
      </c>
      <c r="P3846" s="944">
        <v>34669</v>
      </c>
      <c r="Q3846" s="1197">
        <v>3.8</v>
      </c>
      <c r="R3846" s="946">
        <f t="shared" si="116"/>
        <v>76</v>
      </c>
      <c r="S3846" s="945">
        <v>0.25</v>
      </c>
      <c r="T3846" s="947">
        <f t="shared" si="117"/>
        <v>4.5</v>
      </c>
      <c r="AR3846" s="116">
        <v>20</v>
      </c>
    </row>
    <row r="3847" spans="1:45" s="901" customFormat="1" ht="13.2">
      <c r="A3847" s="116"/>
      <c r="D3847" s="1059" t="s">
        <v>3020</v>
      </c>
      <c r="G3847" s="941"/>
      <c r="H3847" s="942"/>
      <c r="O3847" s="943"/>
      <c r="P3847" s="944"/>
      <c r="Q3847" s="945"/>
      <c r="R3847" s="946"/>
      <c r="S3847" s="945"/>
      <c r="T3847" s="947"/>
      <c r="AR3847" s="116"/>
    </row>
    <row r="3848" spans="1:45" s="901" customFormat="1" ht="13.2">
      <c r="A3848" s="116">
        <v>2</v>
      </c>
      <c r="B3848" s="901" t="s">
        <v>320</v>
      </c>
      <c r="D3848" s="901" t="s">
        <v>2951</v>
      </c>
      <c r="G3848" s="941" t="s">
        <v>2952</v>
      </c>
      <c r="H3848" s="942">
        <v>690</v>
      </c>
      <c r="I3848" s="901" t="s">
        <v>2946</v>
      </c>
      <c r="J3848" s="901" t="s">
        <v>2953</v>
      </c>
      <c r="O3848" s="943">
        <v>1</v>
      </c>
      <c r="P3848" s="944">
        <v>34669</v>
      </c>
      <c r="Q3848" s="1197">
        <v>3.03</v>
      </c>
      <c r="R3848" s="946">
        <f>$A3848*Q3848</f>
        <v>6.06</v>
      </c>
      <c r="S3848" s="945">
        <v>0.2</v>
      </c>
      <c r="T3848" s="947">
        <f>$A3848*S3848*$T$1</f>
        <v>0.36000000000000004</v>
      </c>
      <c r="AR3848" s="116">
        <v>2</v>
      </c>
    </row>
    <row r="3849" spans="1:45" s="901" customFormat="1" ht="13.2">
      <c r="A3849">
        <v>10</v>
      </c>
      <c r="B3849" s="901" t="s">
        <v>320</v>
      </c>
      <c r="D3849" s="901" t="s">
        <v>2954</v>
      </c>
      <c r="F3849" s="901" t="s">
        <v>3299</v>
      </c>
      <c r="G3849" s="941" t="s">
        <v>2955</v>
      </c>
      <c r="H3849" s="942">
        <v>615</v>
      </c>
      <c r="I3849" s="901" t="s">
        <v>2272</v>
      </c>
      <c r="K3849" s="901" t="s">
        <v>2956</v>
      </c>
      <c r="O3849" s="943">
        <v>2</v>
      </c>
      <c r="P3849" s="944">
        <v>38988</v>
      </c>
      <c r="Q3849" s="1194">
        <f>0.2*0.95</f>
        <v>0.19</v>
      </c>
      <c r="R3849" s="946">
        <f>$A3849*Q3849</f>
        <v>1.9</v>
      </c>
      <c r="S3849" s="945">
        <v>1.4999999999999999E-2</v>
      </c>
      <c r="T3849" s="947">
        <f>$A3849*S3849*$T$1</f>
        <v>0.13500000000000001</v>
      </c>
      <c r="AR3849">
        <v>10</v>
      </c>
      <c r="AS3849" s="901" t="s">
        <v>3299</v>
      </c>
    </row>
    <row r="3850" spans="1:45" s="901" customFormat="1" ht="13.2">
      <c r="A3850"/>
      <c r="D3850" s="1059" t="s">
        <v>2957</v>
      </c>
      <c r="G3850" s="941"/>
      <c r="H3850" s="942"/>
      <c r="O3850" s="943"/>
      <c r="P3850" s="944"/>
      <c r="Q3850" s="945"/>
      <c r="R3850" s="946"/>
      <c r="S3850" s="945"/>
      <c r="T3850" s="947"/>
      <c r="AR3850"/>
    </row>
    <row r="3851" spans="1:45" s="901" customFormat="1" ht="13.2">
      <c r="A3851">
        <v>3</v>
      </c>
      <c r="B3851" s="901" t="s">
        <v>320</v>
      </c>
      <c r="D3851" s="901" t="s">
        <v>2958</v>
      </c>
      <c r="G3851" s="941" t="s">
        <v>2959</v>
      </c>
      <c r="H3851" s="942">
        <v>617</v>
      </c>
      <c r="I3851" s="901" t="s">
        <v>2607</v>
      </c>
      <c r="O3851" s="943">
        <v>2</v>
      </c>
      <c r="P3851" s="944">
        <v>40767</v>
      </c>
      <c r="Q3851" s="945">
        <v>1.5</v>
      </c>
      <c r="R3851" s="946">
        <f t="shared" ref="R3851:R3856" si="118">$A3851*Q3851</f>
        <v>4.5</v>
      </c>
      <c r="S3851" s="945">
        <v>7.0000000000000007E-2</v>
      </c>
      <c r="T3851" s="947">
        <f t="shared" ref="T3851:T3856" si="119">$A3851*S3851*$T$1</f>
        <v>0.18900000000000003</v>
      </c>
      <c r="AR3851">
        <v>3</v>
      </c>
    </row>
    <row r="3852" spans="1:45" s="901" customFormat="1" ht="13.2">
      <c r="A3852">
        <v>10</v>
      </c>
      <c r="B3852" s="901" t="s">
        <v>141</v>
      </c>
      <c r="D3852" s="901" t="s">
        <v>2960</v>
      </c>
      <c r="G3852" s="941" t="s">
        <v>2961</v>
      </c>
      <c r="H3852" s="942">
        <v>617</v>
      </c>
      <c r="I3852" s="901" t="s">
        <v>2607</v>
      </c>
      <c r="O3852" s="943">
        <v>2</v>
      </c>
      <c r="P3852" s="944">
        <v>40767</v>
      </c>
      <c r="Q3852" s="945">
        <v>0.2</v>
      </c>
      <c r="R3852" s="946">
        <f t="shared" si="118"/>
        <v>2</v>
      </c>
      <c r="S3852" s="945"/>
      <c r="T3852" s="947">
        <f t="shared" si="119"/>
        <v>0</v>
      </c>
      <c r="AR3852">
        <v>10</v>
      </c>
    </row>
    <row r="3853" spans="1:45" s="901" customFormat="1" ht="13.2">
      <c r="A3853">
        <v>10</v>
      </c>
      <c r="B3853" s="901" t="s">
        <v>141</v>
      </c>
      <c r="D3853" s="901" t="s">
        <v>2739</v>
      </c>
      <c r="G3853" s="941" t="s">
        <v>2740</v>
      </c>
      <c r="H3853" s="942">
        <v>875</v>
      </c>
      <c r="I3853" s="901" t="s">
        <v>2607</v>
      </c>
      <c r="K3853" s="901" t="s">
        <v>2741</v>
      </c>
      <c r="O3853" s="943">
        <v>1</v>
      </c>
      <c r="P3853" s="944">
        <v>34669</v>
      </c>
      <c r="Q3853" s="945">
        <v>0.02</v>
      </c>
      <c r="R3853" s="946">
        <f t="shared" si="118"/>
        <v>0.2</v>
      </c>
      <c r="S3853" s="945"/>
      <c r="T3853" s="947">
        <f t="shared" si="119"/>
        <v>0</v>
      </c>
      <c r="AR3853">
        <v>10</v>
      </c>
    </row>
    <row r="3854" spans="1:45" s="901" customFormat="1" ht="13.2">
      <c r="A3854">
        <v>10</v>
      </c>
      <c r="B3854" s="901" t="s">
        <v>141</v>
      </c>
      <c r="D3854" s="901" t="s">
        <v>2742</v>
      </c>
      <c r="G3854" s="941" t="s">
        <v>2743</v>
      </c>
      <c r="H3854" s="942">
        <v>875</v>
      </c>
      <c r="I3854" s="901" t="s">
        <v>2607</v>
      </c>
      <c r="K3854" s="901" t="s">
        <v>2744</v>
      </c>
      <c r="O3854" s="943">
        <v>1</v>
      </c>
      <c r="P3854" s="944">
        <v>34669</v>
      </c>
      <c r="Q3854" s="945">
        <v>0.02</v>
      </c>
      <c r="R3854" s="946">
        <f t="shared" si="118"/>
        <v>0.2</v>
      </c>
      <c r="S3854" s="945"/>
      <c r="T3854" s="947">
        <f t="shared" si="119"/>
        <v>0</v>
      </c>
      <c r="AR3854">
        <v>10</v>
      </c>
    </row>
    <row r="3855" spans="1:45" s="901" customFormat="1" ht="13.2">
      <c r="A3855">
        <v>2</v>
      </c>
      <c r="B3855" s="901" t="s">
        <v>141</v>
      </c>
      <c r="D3855" s="901" t="s">
        <v>2962</v>
      </c>
      <c r="G3855" s="941" t="s">
        <v>2963</v>
      </c>
      <c r="H3855" s="942">
        <v>620</v>
      </c>
      <c r="I3855" s="901" t="s">
        <v>2607</v>
      </c>
      <c r="O3855" s="943">
        <v>2</v>
      </c>
      <c r="P3855" s="944">
        <v>35431</v>
      </c>
      <c r="Q3855" s="945">
        <v>0.25</v>
      </c>
      <c r="R3855" s="946">
        <f t="shared" si="118"/>
        <v>0.5</v>
      </c>
      <c r="S3855" s="945"/>
      <c r="T3855" s="947">
        <f t="shared" si="119"/>
        <v>0</v>
      </c>
      <c r="AR3855">
        <v>2</v>
      </c>
    </row>
    <row r="3856" spans="1:45" s="520" customFormat="1" ht="12">
      <c r="A3856" s="758"/>
      <c r="B3856" s="758"/>
      <c r="C3856" s="758"/>
      <c r="D3856" s="758"/>
      <c r="E3856" s="758"/>
      <c r="F3856" s="753"/>
      <c r="G3856" s="758"/>
      <c r="H3856" s="758"/>
      <c r="I3856" s="519"/>
      <c r="J3856" s="758"/>
      <c r="K3856" s="758"/>
      <c r="L3856" s="758"/>
      <c r="M3856" s="758"/>
      <c r="N3856" s="758"/>
      <c r="O3856" s="758"/>
      <c r="P3856" s="758"/>
      <c r="Q3856" s="519"/>
      <c r="R3856" s="759">
        <f t="shared" si="118"/>
        <v>0</v>
      </c>
      <c r="S3856" s="519"/>
      <c r="T3856" s="760">
        <f t="shared" si="119"/>
        <v>0</v>
      </c>
      <c r="AR3856" s="758"/>
      <c r="AS3856" s="753"/>
    </row>
    <row r="3857" spans="1:45" s="520" customFormat="1" ht="12.6" thickBot="1">
      <c r="A3857" s="761" t="s">
        <v>145</v>
      </c>
      <c r="B3857" s="762">
        <f>(R3856+T3856)</f>
        <v>0</v>
      </c>
      <c r="C3857" s="763"/>
      <c r="D3857" s="763"/>
      <c r="E3857" s="763"/>
      <c r="F3857" s="764"/>
      <c r="G3857" s="763" t="s">
        <v>146</v>
      </c>
      <c r="H3857" s="763"/>
      <c r="I3857" s="765"/>
      <c r="J3857" s="763"/>
      <c r="K3857" s="763" t="s">
        <v>3</v>
      </c>
      <c r="L3857" s="766" t="s">
        <v>143</v>
      </c>
      <c r="M3857" s="766"/>
      <c r="N3857" s="766"/>
      <c r="O3857" s="766"/>
      <c r="P3857" s="766"/>
      <c r="Q3857" s="767"/>
      <c r="R3857" s="768">
        <f>SUM(R3821:R3856)</f>
        <v>624.42000000000007</v>
      </c>
      <c r="S3857" s="763"/>
      <c r="T3857" s="768">
        <f>SUM(T3821:T3856)</f>
        <v>10.269</v>
      </c>
      <c r="U3857" s="531"/>
      <c r="V3857" s="531"/>
      <c r="W3857" s="531"/>
      <c r="X3857" s="531"/>
      <c r="Y3857" s="531"/>
      <c r="Z3857" s="531"/>
      <c r="AA3857" s="531"/>
      <c r="AB3857" s="531"/>
      <c r="AC3857" s="531"/>
      <c r="AD3857" s="531"/>
      <c r="AE3857" s="531"/>
      <c r="AF3857" s="531"/>
      <c r="AG3857" s="531"/>
      <c r="AH3857" s="531"/>
      <c r="AI3857" s="531"/>
      <c r="AJ3857" s="531"/>
      <c r="AK3857" s="531"/>
      <c r="AL3857" s="531"/>
      <c r="AM3857" s="531"/>
      <c r="AN3857" s="531"/>
      <c r="AO3857" s="531"/>
      <c r="AR3857" s="761" t="s">
        <v>145</v>
      </c>
      <c r="AS3857" s="764"/>
    </row>
    <row r="3858" spans="1:45" s="520" customFormat="1" ht="12" thickTop="1">
      <c r="A3858" s="51"/>
      <c r="B3858" s="41"/>
      <c r="C3858" s="51"/>
      <c r="E3858" s="42" t="s">
        <v>138</v>
      </c>
      <c r="F3858" s="42" t="s">
        <v>139</v>
      </c>
      <c r="G3858" s="51"/>
      <c r="H3858" s="51"/>
      <c r="I3858" s="51"/>
      <c r="J3858" s="51"/>
      <c r="K3858" s="51" t="s">
        <v>140</v>
      </c>
      <c r="L3858" s="51"/>
      <c r="M3858" s="51"/>
      <c r="N3858" s="51"/>
      <c r="O3858" s="52"/>
      <c r="P3858" s="51"/>
      <c r="Q3858" s="51"/>
      <c r="R3858" s="51"/>
      <c r="S3858" s="51"/>
      <c r="T3858" s="41"/>
      <c r="AG3858" s="521" t="s">
        <v>268</v>
      </c>
      <c r="AH3858" s="521" t="s">
        <v>269</v>
      </c>
      <c r="AI3858" s="521" t="s">
        <v>270</v>
      </c>
      <c r="AJ3858" s="521" t="s">
        <v>271</v>
      </c>
      <c r="AK3858" s="521" t="s">
        <v>272</v>
      </c>
      <c r="AM3858" s="745" t="s">
        <v>281</v>
      </c>
      <c r="AN3858" s="746" t="s">
        <v>282</v>
      </c>
      <c r="AO3858" s="522" t="s">
        <v>278</v>
      </c>
      <c r="AR3858" s="51"/>
      <c r="AS3858" s="42" t="s">
        <v>139</v>
      </c>
    </row>
    <row r="3859" spans="1:45" s="520" customFormat="1" ht="12" customHeight="1">
      <c r="A3859" s="747">
        <v>1</v>
      </c>
      <c r="B3859" s="523" t="s">
        <v>141</v>
      </c>
      <c r="C3859" s="748"/>
      <c r="D3859" s="749" t="s">
        <v>1706</v>
      </c>
      <c r="E3859" s="750">
        <f>IF(AND($A3859=0,$A$1="DIF"),0, ROUND(ROUND(($R3865*$S$2+($T3865*$T$2))/A3859,2)*$C$2,2))</f>
        <v>30.09</v>
      </c>
      <c r="F3859" s="751">
        <f>ROUND($A3859*$E3859,2)</f>
        <v>30.09</v>
      </c>
      <c r="G3859" s="752" t="s">
        <v>142</v>
      </c>
      <c r="H3859" s="753"/>
      <c r="I3859" s="754"/>
      <c r="J3859" s="753"/>
      <c r="K3859" s="753" t="s">
        <v>3</v>
      </c>
      <c r="L3859" s="755" t="s">
        <v>143</v>
      </c>
      <c r="M3859" s="755"/>
      <c r="N3859" s="755"/>
      <c r="O3859" s="755"/>
      <c r="P3859" s="755"/>
      <c r="Q3859" s="51"/>
      <c r="T3859" s="756" t="str">
        <f>IF(AND($R3865=0,$T3865=0),"0.00","mu :" &amp; ROUND($F3859/$C$2/($R3865+$T3865*$D$9),2))</f>
        <v>mu :1.23</v>
      </c>
      <c r="W3859" s="524"/>
      <c r="AG3859" s="481">
        <f>IF($E3859=0,0,ROUND($R3865*$S$2*$C$2/$A3859,2))</f>
        <v>14.87</v>
      </c>
      <c r="AH3859" s="481">
        <f>$AG3859*$A3859</f>
        <v>14.87</v>
      </c>
      <c r="AI3859" s="525">
        <f>$E3859-$AG3859</f>
        <v>15.22</v>
      </c>
      <c r="AJ3859" s="525">
        <f>$A3859*$AI3859</f>
        <v>15.22</v>
      </c>
      <c r="AK3859" s="526">
        <f>ROUND(($AG3859+$AI3859)*$A3859,2)</f>
        <v>30.09</v>
      </c>
      <c r="AM3859" s="527">
        <f>ROUND(R3865,2)</f>
        <v>12.08</v>
      </c>
      <c r="AN3859" s="528">
        <f>ROUND(T3865,2)</f>
        <v>0.45</v>
      </c>
      <c r="AO3859" s="529">
        <f>ROUND(AM3859+AN3859,2)*A3859</f>
        <v>12.53</v>
      </c>
      <c r="AR3859" s="747">
        <v>1</v>
      </c>
      <c r="AS3859" s="751">
        <v>31.78</v>
      </c>
    </row>
    <row r="3860" spans="1:45" s="520" customFormat="1" ht="13.2">
      <c r="A3860" s="748"/>
      <c r="B3860"/>
      <c r="C3860" s="748"/>
      <c r="D3860" s="749" t="s">
        <v>1633</v>
      </c>
      <c r="F3860" s="753"/>
      <c r="G3860" s="3"/>
      <c r="H3860" s="753"/>
      <c r="I3860" s="754"/>
      <c r="J3860" s="753"/>
      <c r="K3860" s="753" t="s">
        <v>144</v>
      </c>
      <c r="L3860" s="753"/>
      <c r="M3860" s="753"/>
      <c r="N3860" s="753"/>
      <c r="O3860" s="753"/>
      <c r="P3860" s="753"/>
      <c r="Q3860" s="51"/>
      <c r="R3860" s="530"/>
      <c r="S3860" s="757"/>
      <c r="T3860" s="753"/>
      <c r="AR3860" s="748"/>
      <c r="AS3860" s="753"/>
    </row>
    <row r="3861" spans="1:45" s="901" customFormat="1" ht="13.2">
      <c r="A3861" s="116">
        <v>1</v>
      </c>
      <c r="B3861" s="901" t="s">
        <v>141</v>
      </c>
      <c r="D3861" s="901" t="s">
        <v>2948</v>
      </c>
      <c r="F3861" s="1054" t="s">
        <v>3423</v>
      </c>
      <c r="G3861" s="941" t="s">
        <v>2949</v>
      </c>
      <c r="H3861" s="942">
        <v>705</v>
      </c>
      <c r="I3861" s="901" t="s">
        <v>2607</v>
      </c>
      <c r="O3861" s="943">
        <v>3</v>
      </c>
      <c r="P3861" s="944"/>
      <c r="Q3861" s="945">
        <v>12</v>
      </c>
      <c r="R3861" s="946">
        <f>$A3861*Q3861</f>
        <v>12</v>
      </c>
      <c r="S3861" s="945">
        <v>0.5</v>
      </c>
      <c r="T3861" s="947">
        <f>$A3861*S3861*$T$1</f>
        <v>0.45</v>
      </c>
      <c r="AR3861" s="116">
        <v>1</v>
      </c>
      <c r="AS3861" s="1054" t="s">
        <v>3423</v>
      </c>
    </row>
    <row r="3862" spans="1:45" s="901" customFormat="1" ht="13.2">
      <c r="A3862">
        <v>2</v>
      </c>
      <c r="B3862" s="901" t="s">
        <v>141</v>
      </c>
      <c r="D3862" s="901" t="s">
        <v>2739</v>
      </c>
      <c r="G3862" s="941" t="s">
        <v>2740</v>
      </c>
      <c r="H3862" s="942">
        <v>875</v>
      </c>
      <c r="I3862" s="901" t="s">
        <v>2607</v>
      </c>
      <c r="K3862" s="901" t="s">
        <v>2741</v>
      </c>
      <c r="O3862" s="943">
        <v>1</v>
      </c>
      <c r="P3862" s="944">
        <v>34669</v>
      </c>
      <c r="Q3862" s="945">
        <v>0.02</v>
      </c>
      <c r="R3862" s="946">
        <f>$A3862*Q3862</f>
        <v>0.04</v>
      </c>
      <c r="S3862" s="945"/>
      <c r="T3862" s="947">
        <f>$A3862*S3862*$T$1</f>
        <v>0</v>
      </c>
      <c r="AR3862">
        <v>2</v>
      </c>
    </row>
    <row r="3863" spans="1:45" s="901" customFormat="1" ht="13.2">
      <c r="A3863">
        <v>2</v>
      </c>
      <c r="B3863" s="901" t="s">
        <v>141</v>
      </c>
      <c r="D3863" s="901" t="s">
        <v>2742</v>
      </c>
      <c r="G3863" s="941" t="s">
        <v>2743</v>
      </c>
      <c r="H3863" s="942">
        <v>875</v>
      </c>
      <c r="I3863" s="901" t="s">
        <v>2607</v>
      </c>
      <c r="K3863" s="901" t="s">
        <v>2744</v>
      </c>
      <c r="O3863" s="943">
        <v>1</v>
      </c>
      <c r="P3863" s="944">
        <v>34669</v>
      </c>
      <c r="Q3863" s="945">
        <v>0.02</v>
      </c>
      <c r="R3863" s="946">
        <f>$A3863*Q3863</f>
        <v>0.04</v>
      </c>
      <c r="S3863" s="945"/>
      <c r="T3863" s="947">
        <f>$A3863*S3863*$T$1</f>
        <v>0</v>
      </c>
      <c r="AR3863">
        <v>2</v>
      </c>
    </row>
    <row r="3864" spans="1:45" s="520" customFormat="1" ht="12">
      <c r="A3864" s="758"/>
      <c r="B3864" s="758"/>
      <c r="C3864" s="758"/>
      <c r="D3864" s="758"/>
      <c r="E3864" s="758"/>
      <c r="F3864" s="753"/>
      <c r="G3864" s="758"/>
      <c r="H3864" s="758"/>
      <c r="I3864" s="519"/>
      <c r="J3864" s="758"/>
      <c r="K3864" s="758"/>
      <c r="L3864" s="758"/>
      <c r="M3864" s="758"/>
      <c r="N3864" s="758"/>
      <c r="O3864" s="758"/>
      <c r="P3864" s="758"/>
      <c r="Q3864" s="519"/>
      <c r="R3864" s="759">
        <f>$A3864*Q3864</f>
        <v>0</v>
      </c>
      <c r="S3864" s="519"/>
      <c r="T3864" s="760">
        <f>$A3864*S3864*$T$1</f>
        <v>0</v>
      </c>
      <c r="AR3864" s="758"/>
      <c r="AS3864" s="753"/>
    </row>
    <row r="3865" spans="1:45" s="520" customFormat="1" ht="12.6" thickBot="1">
      <c r="A3865" s="761" t="s">
        <v>145</v>
      </c>
      <c r="B3865" s="762">
        <f>(R3864+T3864)</f>
        <v>0</v>
      </c>
      <c r="C3865" s="763"/>
      <c r="D3865" s="763"/>
      <c r="E3865" s="763"/>
      <c r="F3865" s="764"/>
      <c r="G3865" s="763" t="s">
        <v>146</v>
      </c>
      <c r="H3865" s="763"/>
      <c r="I3865" s="765"/>
      <c r="J3865" s="763"/>
      <c r="K3865" s="763" t="s">
        <v>3</v>
      </c>
      <c r="L3865" s="766" t="s">
        <v>143</v>
      </c>
      <c r="M3865" s="766"/>
      <c r="N3865" s="766"/>
      <c r="O3865" s="766"/>
      <c r="P3865" s="766"/>
      <c r="Q3865" s="767"/>
      <c r="R3865" s="768">
        <f>SUM(R3860:R3864)</f>
        <v>12.079999999999998</v>
      </c>
      <c r="S3865" s="763"/>
      <c r="T3865" s="768">
        <f>SUM(T3860:T3864)</f>
        <v>0.45</v>
      </c>
      <c r="U3865" s="531"/>
      <c r="V3865" s="531"/>
      <c r="W3865" s="531"/>
      <c r="X3865" s="531"/>
      <c r="Y3865" s="531"/>
      <c r="Z3865" s="531"/>
      <c r="AA3865" s="531"/>
      <c r="AB3865" s="531"/>
      <c r="AC3865" s="531"/>
      <c r="AD3865" s="531"/>
      <c r="AE3865" s="531"/>
      <c r="AF3865" s="531"/>
      <c r="AG3865" s="531"/>
      <c r="AH3865" s="531"/>
      <c r="AI3865" s="531"/>
      <c r="AJ3865" s="531"/>
      <c r="AK3865" s="531"/>
      <c r="AL3865" s="531"/>
      <c r="AM3865" s="531"/>
      <c r="AN3865" s="531"/>
      <c r="AO3865" s="531"/>
      <c r="AR3865" s="761" t="s">
        <v>145</v>
      </c>
      <c r="AS3865" s="764"/>
    </row>
    <row r="3866" spans="1:45" s="520" customFormat="1" thickTop="1">
      <c r="A3866" s="51"/>
      <c r="B3866" s="51"/>
      <c r="C3866" s="3"/>
      <c r="D3866" s="3"/>
      <c r="E3866" s="51"/>
      <c r="F3866" s="51"/>
      <c r="G3866" s="51"/>
      <c r="H3866" s="51"/>
      <c r="I3866" s="51"/>
      <c r="J3866" s="51"/>
      <c r="K3866" s="51" t="s">
        <v>134</v>
      </c>
      <c r="L3866" s="51"/>
      <c r="M3866" s="51"/>
      <c r="N3866" s="51"/>
      <c r="O3866" s="52"/>
      <c r="P3866" s="51"/>
      <c r="Q3866" s="51"/>
      <c r="R3866" s="51"/>
      <c r="S3866" s="51"/>
      <c r="T3866" s="51"/>
      <c r="AR3866" s="51"/>
      <c r="AS3866" s="51"/>
    </row>
    <row r="3867" spans="1:45" s="520" customFormat="1" ht="12">
      <c r="A3867" s="51"/>
      <c r="B3867" s="51"/>
      <c r="C3867" s="51" t="s">
        <v>135</v>
      </c>
      <c r="D3867" s="37"/>
      <c r="E3867" s="51"/>
      <c r="F3867" s="51"/>
      <c r="G3867" s="51"/>
      <c r="H3867" s="51"/>
      <c r="I3867" s="51"/>
      <c r="J3867" s="51"/>
      <c r="K3867" s="51"/>
      <c r="L3867" s="51"/>
      <c r="M3867" s="51"/>
      <c r="N3867" s="51"/>
      <c r="O3867" s="52"/>
      <c r="P3867" s="51"/>
      <c r="Q3867" s="51"/>
      <c r="R3867" s="51"/>
      <c r="S3867" s="51"/>
      <c r="T3867" s="51"/>
      <c r="AR3867" s="51"/>
      <c r="AS3867" s="51"/>
    </row>
    <row r="3868" spans="1:45" s="520" customFormat="1" ht="39.9" customHeight="1">
      <c r="A3868" s="51"/>
      <c r="B3868" s="51"/>
      <c r="C3868" s="51"/>
      <c r="D3868" s="1453" t="s">
        <v>1602</v>
      </c>
      <c r="E3868" s="1452"/>
      <c r="F3868" s="1452"/>
      <c r="G3868" s="1452"/>
      <c r="H3868" s="1452"/>
      <c r="I3868" s="1452"/>
      <c r="J3868" s="1452"/>
      <c r="K3868" s="1452"/>
      <c r="L3868" s="1452"/>
      <c r="M3868" s="1452"/>
      <c r="N3868" s="1452"/>
      <c r="O3868" s="1452"/>
      <c r="P3868" s="1452"/>
      <c r="Q3868" s="1452"/>
      <c r="R3868" s="1452"/>
      <c r="S3868" s="1452"/>
      <c r="T3868" s="1452"/>
      <c r="AR3868" s="51"/>
    </row>
    <row r="3869" spans="1:45" s="3" customFormat="1" thickBot="1">
      <c r="A3869" s="531"/>
      <c r="O3869" s="107"/>
      <c r="AR3869" s="531"/>
    </row>
    <row r="3870" spans="1:45" s="520" customFormat="1" thickTop="1">
      <c r="A3870" s="51"/>
      <c r="B3870" s="51"/>
      <c r="C3870" s="3"/>
      <c r="D3870" s="3"/>
      <c r="E3870" s="51"/>
      <c r="F3870" s="51"/>
      <c r="G3870" s="51"/>
      <c r="H3870" s="51"/>
      <c r="I3870" s="51"/>
      <c r="J3870" s="51"/>
      <c r="K3870" s="51" t="s">
        <v>134</v>
      </c>
      <c r="L3870" s="51"/>
      <c r="M3870" s="51"/>
      <c r="N3870" s="51"/>
      <c r="O3870" s="52"/>
      <c r="P3870" s="51"/>
      <c r="Q3870" s="51"/>
      <c r="R3870" s="51"/>
      <c r="S3870" s="51"/>
      <c r="T3870" s="51"/>
      <c r="AR3870" s="51"/>
      <c r="AS3870" s="51"/>
    </row>
    <row r="3871" spans="1:45" s="520" customFormat="1" ht="12">
      <c r="A3871" s="51"/>
      <c r="B3871" s="51"/>
      <c r="C3871" s="51" t="s">
        <v>135</v>
      </c>
      <c r="D3871" s="37"/>
      <c r="E3871" s="51"/>
      <c r="F3871" s="51"/>
      <c r="G3871" s="51"/>
      <c r="H3871" s="51"/>
      <c r="I3871" s="51"/>
      <c r="J3871" s="51"/>
      <c r="K3871" s="51"/>
      <c r="L3871" s="51"/>
      <c r="M3871" s="51"/>
      <c r="N3871" s="51"/>
      <c r="O3871" s="52"/>
      <c r="P3871" s="51"/>
      <c r="Q3871" s="51"/>
      <c r="R3871" s="51"/>
      <c r="S3871" s="51"/>
      <c r="T3871" s="51"/>
      <c r="AR3871" s="51"/>
      <c r="AS3871" s="51"/>
    </row>
    <row r="3872" spans="1:45" s="520" customFormat="1" ht="12">
      <c r="A3872" s="51"/>
      <c r="B3872" s="51"/>
      <c r="C3872" s="51"/>
      <c r="D3872" s="37" t="s">
        <v>823</v>
      </c>
      <c r="E3872" s="51"/>
      <c r="F3872" s="51"/>
      <c r="G3872" s="51"/>
      <c r="H3872" s="51"/>
      <c r="I3872" s="51"/>
      <c r="J3872" s="51"/>
      <c r="K3872" s="51"/>
      <c r="L3872" s="51"/>
      <c r="M3872" s="51"/>
      <c r="N3872" s="51"/>
      <c r="O3872" s="52"/>
      <c r="P3872" s="51"/>
      <c r="Q3872" s="51"/>
      <c r="R3872" s="51"/>
      <c r="S3872" s="38"/>
      <c r="T3872" s="38"/>
      <c r="AR3872" s="51"/>
      <c r="AS3872" s="51"/>
    </row>
    <row r="3873" spans="1:45" s="3" customFormat="1" thickBot="1">
      <c r="A3873" s="531"/>
      <c r="O3873" s="107"/>
      <c r="AR3873" s="531"/>
    </row>
    <row r="3874" spans="1:45" s="520" customFormat="1" ht="12" thickTop="1">
      <c r="A3874" s="51"/>
      <c r="B3874" s="41"/>
      <c r="C3874" s="51"/>
      <c r="E3874" s="42" t="s">
        <v>138</v>
      </c>
      <c r="F3874" s="42" t="s">
        <v>139</v>
      </c>
      <c r="G3874" s="51"/>
      <c r="H3874" s="51"/>
      <c r="I3874" s="51"/>
      <c r="J3874" s="51"/>
      <c r="K3874" s="51" t="s">
        <v>140</v>
      </c>
      <c r="L3874" s="51"/>
      <c r="M3874" s="51"/>
      <c r="N3874" s="51"/>
      <c r="O3874" s="52"/>
      <c r="P3874" s="51"/>
      <c r="Q3874" s="51"/>
      <c r="R3874" s="51"/>
      <c r="S3874" s="51"/>
      <c r="T3874" s="41"/>
      <c r="AG3874" s="521" t="s">
        <v>268</v>
      </c>
      <c r="AH3874" s="521" t="s">
        <v>269</v>
      </c>
      <c r="AI3874" s="521" t="s">
        <v>270</v>
      </c>
      <c r="AJ3874" s="521" t="s">
        <v>271</v>
      </c>
      <c r="AK3874" s="521" t="s">
        <v>272</v>
      </c>
      <c r="AM3874" s="745" t="s">
        <v>281</v>
      </c>
      <c r="AN3874" s="746" t="s">
        <v>282</v>
      </c>
      <c r="AO3874" s="522" t="s">
        <v>278</v>
      </c>
      <c r="AR3874" s="51"/>
      <c r="AS3874" s="42" t="s">
        <v>139</v>
      </c>
    </row>
    <row r="3875" spans="1:45" s="520" customFormat="1" ht="12" customHeight="1">
      <c r="A3875" s="747">
        <v>4</v>
      </c>
      <c r="B3875" s="523" t="s">
        <v>141</v>
      </c>
      <c r="C3875" s="748"/>
      <c r="D3875" s="749" t="s">
        <v>1707</v>
      </c>
      <c r="E3875" s="750">
        <f ca="1">IF(AND($A3875=0,$A$1="DIF"),0, ROUND(ROUND(($R3880*$S$2+($T3880*$T$2))/A3875,2)*$C$2,2))</f>
        <v>208.63</v>
      </c>
      <c r="F3875" s="751">
        <f ca="1">ROUND($A3875*$E3875,2)</f>
        <v>834.52</v>
      </c>
      <c r="G3875" s="752" t="s">
        <v>142</v>
      </c>
      <c r="H3875" s="753"/>
      <c r="I3875" s="754"/>
      <c r="J3875" s="753"/>
      <c r="K3875" s="753" t="s">
        <v>3</v>
      </c>
      <c r="L3875" s="755" t="s">
        <v>143</v>
      </c>
      <c r="M3875" s="755"/>
      <c r="N3875" s="755"/>
      <c r="O3875" s="755"/>
      <c r="P3875" s="755"/>
      <c r="Q3875" s="51"/>
      <c r="T3875" s="756" t="str">
        <f ca="1">IF(AND($R3880=0,$T3880=0),"0.00","mu :" &amp; ROUND($F3875/$C$2/($R3880+$T3880*$D$9),2))</f>
        <v>mu :1.23</v>
      </c>
      <c r="W3875" s="524"/>
      <c r="AG3875" s="481">
        <f ca="1">IF($E3875=0,0,ROUND($R3880*$S$2*$C$2/$A3875,2))</f>
        <v>91.64</v>
      </c>
      <c r="AH3875" s="481">
        <f ca="1">$AG3875*$A3875</f>
        <v>366.56</v>
      </c>
      <c r="AI3875" s="525">
        <f ca="1">$E3875-$AG3875</f>
        <v>116.99</v>
      </c>
      <c r="AJ3875" s="525">
        <f ca="1">$A3875*$AI3875</f>
        <v>467.96</v>
      </c>
      <c r="AK3875" s="526">
        <f ca="1">ROUND(($AG3875+$AI3875)*$A3875,2)</f>
        <v>834.52</v>
      </c>
      <c r="AM3875" s="527">
        <f ca="1">ROUND(R3880,2)</f>
        <v>297.68</v>
      </c>
      <c r="AN3875" s="528">
        <f ca="1">ROUND(T3880,2)</f>
        <v>13.84</v>
      </c>
      <c r="AO3875" s="529">
        <f ca="1">ROUND(AM3875+AN3875,2)*A3875</f>
        <v>1246.08</v>
      </c>
      <c r="AR3875" s="747">
        <v>4</v>
      </c>
      <c r="AS3875" s="751">
        <v>885.92</v>
      </c>
    </row>
    <row r="3876" spans="1:45" s="520" customFormat="1" ht="13.2">
      <c r="A3876" s="748"/>
      <c r="B3876"/>
      <c r="C3876" s="748"/>
      <c r="D3876" s="749" t="s">
        <v>757</v>
      </c>
      <c r="F3876" s="753"/>
      <c r="G3876" s="3"/>
      <c r="H3876" s="753"/>
      <c r="I3876" s="754"/>
      <c r="J3876" s="753"/>
      <c r="K3876" s="753" t="s">
        <v>144</v>
      </c>
      <c r="L3876" s="753"/>
      <c r="M3876" s="753"/>
      <c r="N3876" s="753"/>
      <c r="O3876" s="753"/>
      <c r="P3876" s="753"/>
      <c r="Q3876" s="51"/>
      <c r="R3876" s="530"/>
      <c r="S3876" s="757"/>
      <c r="T3876" s="753"/>
      <c r="AR3876" s="748"/>
      <c r="AS3876" s="753"/>
    </row>
    <row r="3877" spans="1:45" s="886" customFormat="1" ht="13.2">
      <c r="A3877"/>
      <c r="B3877" s="910"/>
      <c r="C3877" s="910" t="s">
        <v>2597</v>
      </c>
      <c r="D3877" s="910" t="str">
        <f ca="1">CELL("Address",Elec_Rates!D$134)</f>
        <v>[E25_0062_Quintano_Foods_Elec_ELV_As_Awarded.xlsx]Elec_Rates!$D$134</v>
      </c>
      <c r="E3877" s="911"/>
      <c r="F3877" s="911"/>
      <c r="G3877" s="912" t="s">
        <v>2598</v>
      </c>
      <c r="H3877" s="912"/>
      <c r="I3877" s="912"/>
      <c r="J3877" s="912"/>
      <c r="K3877" s="913"/>
      <c r="L3877" s="911"/>
      <c r="M3877" s="911"/>
      <c r="N3877" s="911"/>
      <c r="O3877" s="914"/>
      <c r="P3877" s="911"/>
      <c r="Q3877" s="915"/>
      <c r="R3877" s="916"/>
      <c r="S3877" s="915"/>
      <c r="T3877" s="917"/>
      <c r="U3877" s="918"/>
      <c r="AR3877"/>
      <c r="AS3877" s="911"/>
    </row>
    <row r="3878" spans="1:45" s="886" customFormat="1" ht="11.4">
      <c r="A3878" s="919">
        <v>4</v>
      </c>
      <c r="B3878" s="920">
        <v>1</v>
      </c>
      <c r="C3878" s="920">
        <f>$A3878*$B3878</f>
        <v>4</v>
      </c>
      <c r="D3878" s="921" t="str">
        <f>Elec_Rates!$D$134</f>
        <v>012# Single phase isolator / socket outlet point Galvanised conduit</v>
      </c>
      <c r="E3878" s="921"/>
      <c r="F3878" s="921" t="s">
        <v>2599</v>
      </c>
      <c r="G3878" s="922" t="s">
        <v>2600</v>
      </c>
      <c r="H3878" s="922"/>
      <c r="I3878" s="922"/>
      <c r="J3878" s="922"/>
      <c r="K3878" s="923"/>
      <c r="L3878" s="918"/>
      <c r="M3878" s="918"/>
      <c r="N3878" s="918"/>
      <c r="O3878" s="924"/>
      <c r="P3878" s="921"/>
      <c r="Q3878" s="925">
        <f ca="1">$B3878*Elec_Rates!$R$134</f>
        <v>74.42</v>
      </c>
      <c r="R3878" s="916">
        <f ca="1">$A3878*Q3878</f>
        <v>297.68</v>
      </c>
      <c r="S3878" s="925">
        <f ca="1">$B3878*Elec_Rates!$T$134</f>
        <v>3.46</v>
      </c>
      <c r="T3878" s="917">
        <f ca="1">$A3878*S3878</f>
        <v>13.84</v>
      </c>
      <c r="U3878" s="926"/>
      <c r="AR3878" s="919">
        <v>4</v>
      </c>
      <c r="AS3878" s="921" t="s">
        <v>2599</v>
      </c>
    </row>
    <row r="3879" spans="1:45" s="520" customFormat="1" ht="12">
      <c r="A3879" s="758"/>
      <c r="B3879" s="758"/>
      <c r="C3879" s="758"/>
      <c r="D3879" s="758"/>
      <c r="E3879" s="758"/>
      <c r="F3879" s="753"/>
      <c r="G3879" s="758"/>
      <c r="H3879" s="758"/>
      <c r="I3879" s="519"/>
      <c r="J3879" s="758"/>
      <c r="K3879" s="758"/>
      <c r="L3879" s="758"/>
      <c r="M3879" s="758"/>
      <c r="N3879" s="758"/>
      <c r="O3879" s="758"/>
      <c r="P3879" s="758"/>
      <c r="Q3879" s="519"/>
      <c r="R3879" s="759">
        <f>$A3879*Q3879</f>
        <v>0</v>
      </c>
      <c r="S3879" s="519"/>
      <c r="T3879" s="760">
        <f>$A3879*S3879*$T$1</f>
        <v>0</v>
      </c>
      <c r="AR3879" s="758"/>
      <c r="AS3879" s="753"/>
    </row>
    <row r="3880" spans="1:45" s="520" customFormat="1" ht="12.6" thickBot="1">
      <c r="A3880" s="761" t="s">
        <v>145</v>
      </c>
      <c r="B3880" s="762">
        <f>(R3879+T3879)</f>
        <v>0</v>
      </c>
      <c r="C3880" s="763"/>
      <c r="D3880" s="763"/>
      <c r="E3880" s="763"/>
      <c r="F3880" s="764"/>
      <c r="G3880" s="763" t="s">
        <v>146</v>
      </c>
      <c r="H3880" s="763"/>
      <c r="I3880" s="765"/>
      <c r="J3880" s="763"/>
      <c r="K3880" s="763" t="s">
        <v>3</v>
      </c>
      <c r="L3880" s="766" t="s">
        <v>143</v>
      </c>
      <c r="M3880" s="766"/>
      <c r="N3880" s="766"/>
      <c r="O3880" s="766"/>
      <c r="P3880" s="766"/>
      <c r="Q3880" s="767"/>
      <c r="R3880" s="768">
        <f ca="1">SUM(R3876:R3879)</f>
        <v>297.68</v>
      </c>
      <c r="S3880" s="763"/>
      <c r="T3880" s="768">
        <f ca="1">SUM(T3876:T3879)</f>
        <v>13.84</v>
      </c>
      <c r="U3880" s="531"/>
      <c r="V3880" s="531"/>
      <c r="W3880" s="531"/>
      <c r="X3880" s="531"/>
      <c r="Y3880" s="531"/>
      <c r="Z3880" s="531"/>
      <c r="AA3880" s="531"/>
      <c r="AB3880" s="531"/>
      <c r="AC3880" s="531"/>
      <c r="AD3880" s="531"/>
      <c r="AE3880" s="531"/>
      <c r="AF3880" s="531"/>
      <c r="AG3880" s="531"/>
      <c r="AH3880" s="531"/>
      <c r="AI3880" s="531"/>
      <c r="AJ3880" s="531"/>
      <c r="AK3880" s="531"/>
      <c r="AL3880" s="531"/>
      <c r="AM3880" s="531"/>
      <c r="AN3880" s="531"/>
      <c r="AO3880" s="531"/>
      <c r="AR3880" s="761" t="s">
        <v>145</v>
      </c>
      <c r="AS3880" s="764"/>
    </row>
    <row r="3881" spans="1:45" s="520" customFormat="1" ht="12" thickTop="1">
      <c r="A3881" s="51"/>
      <c r="B3881" s="41"/>
      <c r="C3881" s="51"/>
      <c r="E3881" s="42" t="s">
        <v>138</v>
      </c>
      <c r="F3881" s="42" t="s">
        <v>139</v>
      </c>
      <c r="G3881" s="51"/>
      <c r="H3881" s="51"/>
      <c r="I3881" s="51"/>
      <c r="J3881" s="51"/>
      <c r="K3881" s="51" t="s">
        <v>140</v>
      </c>
      <c r="L3881" s="51"/>
      <c r="M3881" s="51"/>
      <c r="N3881" s="51"/>
      <c r="O3881" s="52"/>
      <c r="P3881" s="51"/>
      <c r="Q3881" s="51"/>
      <c r="R3881" s="51"/>
      <c r="S3881" s="51"/>
      <c r="T3881" s="41"/>
      <c r="AG3881" s="521" t="s">
        <v>268</v>
      </c>
      <c r="AH3881" s="521" t="s">
        <v>269</v>
      </c>
      <c r="AI3881" s="521" t="s">
        <v>270</v>
      </c>
      <c r="AJ3881" s="521" t="s">
        <v>271</v>
      </c>
      <c r="AK3881" s="521" t="s">
        <v>272</v>
      </c>
      <c r="AM3881" s="745" t="s">
        <v>281</v>
      </c>
      <c r="AN3881" s="746" t="s">
        <v>282</v>
      </c>
      <c r="AO3881" s="522" t="s">
        <v>278</v>
      </c>
      <c r="AR3881" s="51"/>
      <c r="AS3881" s="42" t="s">
        <v>139</v>
      </c>
    </row>
    <row r="3882" spans="1:45" s="520" customFormat="1" ht="12" customHeight="1">
      <c r="A3882" s="747">
        <v>3</v>
      </c>
      <c r="B3882" s="523" t="s">
        <v>141</v>
      </c>
      <c r="C3882" s="748"/>
      <c r="D3882" s="749" t="s">
        <v>1708</v>
      </c>
      <c r="E3882" s="750">
        <f ca="1">IF(AND($A3882=0,$A$1="DIF"),0, ROUND(ROUND(($R3888*$S$2+($T3888*$T$2))/A3882,2)*$C$2,2))</f>
        <v>692.22</v>
      </c>
      <c r="F3882" s="751">
        <f ca="1">ROUND($A3882*$E3882,2)</f>
        <v>2076.66</v>
      </c>
      <c r="G3882" s="752" t="s">
        <v>142</v>
      </c>
      <c r="H3882" s="753"/>
      <c r="I3882" s="754"/>
      <c r="J3882" s="753"/>
      <c r="K3882" s="753" t="s">
        <v>3</v>
      </c>
      <c r="L3882" s="755" t="s">
        <v>143</v>
      </c>
      <c r="M3882" s="755"/>
      <c r="N3882" s="755"/>
      <c r="O3882" s="755"/>
      <c r="P3882" s="755"/>
      <c r="Q3882" s="51"/>
      <c r="T3882" s="756" t="str">
        <f ca="1">IF(AND($R3888=0,$T3888=0),"0.00","mu :" &amp; ROUND($F3882/$C$2/($R3888+$T3888*$D$9),2))</f>
        <v>mu :1.23</v>
      </c>
      <c r="W3882" s="524"/>
      <c r="AG3882" s="481">
        <f ca="1">IF($E3882=0,0,ROUND($R3888*$S$2*$C$2/$A3882,2))</f>
        <v>262.02</v>
      </c>
      <c r="AH3882" s="481">
        <f ca="1">$AG3882*$A3882</f>
        <v>786.06</v>
      </c>
      <c r="AI3882" s="525">
        <f ca="1">$E3882-$AG3882</f>
        <v>430.20000000000005</v>
      </c>
      <c r="AJ3882" s="525">
        <f ca="1">$A3882*$AI3882</f>
        <v>1290.6000000000001</v>
      </c>
      <c r="AK3882" s="526">
        <f ca="1">ROUND(($AG3882+$AI3882)*$A3882,2)</f>
        <v>2076.66</v>
      </c>
      <c r="AM3882" s="527">
        <f ca="1">ROUND(R3888,2)</f>
        <v>638.37</v>
      </c>
      <c r="AN3882" s="528">
        <f ca="1">ROUND(T3888,2)</f>
        <v>38.17</v>
      </c>
      <c r="AO3882" s="529">
        <f ca="1">ROUND(AM3882+AN3882,2)*A3882</f>
        <v>2029.62</v>
      </c>
      <c r="AR3882" s="747">
        <v>3</v>
      </c>
      <c r="AS3882" s="751">
        <v>2218.35</v>
      </c>
    </row>
    <row r="3883" spans="1:45" s="520" customFormat="1" ht="13.2">
      <c r="A3883" s="748"/>
      <c r="B3883"/>
      <c r="C3883" s="748"/>
      <c r="D3883" s="749" t="s">
        <v>824</v>
      </c>
      <c r="F3883" s="753"/>
      <c r="G3883" s="3"/>
      <c r="H3883" s="753"/>
      <c r="I3883" s="754"/>
      <c r="J3883" s="753"/>
      <c r="K3883" s="753" t="s">
        <v>144</v>
      </c>
      <c r="L3883" s="753"/>
      <c r="M3883" s="753"/>
      <c r="N3883" s="753"/>
      <c r="O3883" s="753"/>
      <c r="P3883" s="753"/>
      <c r="Q3883" s="51"/>
      <c r="R3883" s="530"/>
      <c r="S3883" s="757"/>
      <c r="T3883" s="753"/>
      <c r="AR3883" s="748"/>
      <c r="AS3883" s="753"/>
    </row>
    <row r="3884" spans="1:45" s="886" customFormat="1" ht="13.2">
      <c r="A3884"/>
      <c r="B3884" s="910"/>
      <c r="C3884" s="910" t="s">
        <v>2597</v>
      </c>
      <c r="D3884" s="910" t="str">
        <f ca="1">CELL("Address",Elec_Rates!D$56)</f>
        <v>[E25_0062_Quintano_Foods_Elec_ELV_As_Awarded.xlsx]Elec_Rates!$D$56</v>
      </c>
      <c r="E3884" s="911"/>
      <c r="F3884" s="911"/>
      <c r="G3884" s="912" t="s">
        <v>2598</v>
      </c>
      <c r="H3884" s="912"/>
      <c r="I3884" s="912"/>
      <c r="J3884" s="912"/>
      <c r="K3884" s="913"/>
      <c r="L3884" s="911"/>
      <c r="M3884" s="911"/>
      <c r="N3884" s="911"/>
      <c r="O3884" s="914"/>
      <c r="P3884" s="911"/>
      <c r="Q3884" s="915"/>
      <c r="R3884" s="916"/>
      <c r="S3884" s="915"/>
      <c r="T3884" s="917"/>
      <c r="U3884" s="918"/>
      <c r="AR3884"/>
      <c r="AS3884" s="911"/>
    </row>
    <row r="3885" spans="1:45" s="886" customFormat="1" ht="11.4">
      <c r="A3885" s="919">
        <v>3</v>
      </c>
      <c r="B3885" s="920">
        <v>3</v>
      </c>
      <c r="C3885" s="920">
        <f>$A3885*$B3885</f>
        <v>9</v>
      </c>
      <c r="D3885" s="921" t="str">
        <f>Elec_Rates!$D$56</f>
        <v>005# Externall Light point rate (Galvanised Conduit)</v>
      </c>
      <c r="E3885" s="921" t="s">
        <v>2967</v>
      </c>
      <c r="F3885" s="918"/>
      <c r="G3885" s="922" t="s">
        <v>2878</v>
      </c>
      <c r="H3885" s="922"/>
      <c r="I3885" s="922"/>
      <c r="J3885" s="922"/>
      <c r="K3885" s="923"/>
      <c r="L3885" s="918"/>
      <c r="M3885" s="918"/>
      <c r="N3885" s="918"/>
      <c r="O3885" s="924"/>
      <c r="P3885" s="921"/>
      <c r="Q3885" s="925">
        <f ca="1">$B3885*Elec_Rates!$R$56</f>
        <v>202.56</v>
      </c>
      <c r="R3885" s="916">
        <f ca="1">$A3885*Q3885</f>
        <v>607.68000000000006</v>
      </c>
      <c r="S3885" s="925">
        <f ca="1">$B3885*Elec_Rates!$T$56</f>
        <v>12.57</v>
      </c>
      <c r="T3885" s="917">
        <f ca="1">$A3885*S3885</f>
        <v>37.71</v>
      </c>
      <c r="U3885" s="926"/>
      <c r="AR3885" s="919">
        <v>3</v>
      </c>
      <c r="AS3885" s="918"/>
    </row>
    <row r="3886" spans="1:45" s="901" customFormat="1" ht="13.2">
      <c r="A3886" s="116">
        <v>3</v>
      </c>
      <c r="B3886" s="901" t="s">
        <v>141</v>
      </c>
      <c r="D3886" s="901" t="s">
        <v>2880</v>
      </c>
      <c r="E3886" s="901" t="s">
        <v>3424</v>
      </c>
      <c r="F3886" s="1054" t="s">
        <v>3430</v>
      </c>
      <c r="G3886" s="941" t="s">
        <v>2881</v>
      </c>
      <c r="H3886" s="942">
        <v>705</v>
      </c>
      <c r="I3886" s="901" t="s">
        <v>2607</v>
      </c>
      <c r="O3886" s="943">
        <v>3</v>
      </c>
      <c r="P3886" s="944"/>
      <c r="Q3886" s="945">
        <v>10.23</v>
      </c>
      <c r="R3886" s="946">
        <f>$A3886*Q3886</f>
        <v>30.69</v>
      </c>
      <c r="S3886" s="945">
        <v>0.17</v>
      </c>
      <c r="T3886" s="947">
        <f>$A3886*S3886*$T$1</f>
        <v>0.45900000000000002</v>
      </c>
      <c r="AR3886" s="116">
        <v>3</v>
      </c>
      <c r="AS3886" s="1054" t="s">
        <v>3430</v>
      </c>
    </row>
    <row r="3887" spans="1:45" s="520" customFormat="1" ht="12">
      <c r="A3887" s="758"/>
      <c r="B3887" s="758"/>
      <c r="C3887" s="758"/>
      <c r="D3887" s="758"/>
      <c r="E3887" s="758"/>
      <c r="F3887" s="753"/>
      <c r="G3887" s="758"/>
      <c r="H3887" s="758"/>
      <c r="I3887" s="519"/>
      <c r="J3887" s="758"/>
      <c r="K3887" s="758"/>
      <c r="L3887" s="758"/>
      <c r="M3887" s="758"/>
      <c r="N3887" s="758"/>
      <c r="O3887" s="758"/>
      <c r="P3887" s="758"/>
      <c r="Q3887" s="519"/>
      <c r="R3887" s="759">
        <f>$A3887*Q3887</f>
        <v>0</v>
      </c>
      <c r="S3887" s="519"/>
      <c r="T3887" s="760">
        <f>$A3887*S3887*$T$1</f>
        <v>0</v>
      </c>
      <c r="AR3887" s="758"/>
      <c r="AS3887" s="753"/>
    </row>
    <row r="3888" spans="1:45" s="520" customFormat="1" ht="12.6" thickBot="1">
      <c r="A3888" s="761" t="s">
        <v>145</v>
      </c>
      <c r="B3888" s="762">
        <f>(R3887+T3887)</f>
        <v>0</v>
      </c>
      <c r="C3888" s="763"/>
      <c r="D3888" s="763"/>
      <c r="E3888" s="763"/>
      <c r="F3888" s="764"/>
      <c r="G3888" s="763" t="s">
        <v>146</v>
      </c>
      <c r="H3888" s="763"/>
      <c r="I3888" s="765"/>
      <c r="J3888" s="763"/>
      <c r="K3888" s="763" t="s">
        <v>3</v>
      </c>
      <c r="L3888" s="766" t="s">
        <v>143</v>
      </c>
      <c r="M3888" s="766"/>
      <c r="N3888" s="766"/>
      <c r="O3888" s="766"/>
      <c r="P3888" s="766"/>
      <c r="Q3888" s="767"/>
      <c r="R3888" s="768">
        <f ca="1">SUM(R3883:R3887)</f>
        <v>638.37000000000012</v>
      </c>
      <c r="S3888" s="763"/>
      <c r="T3888" s="768">
        <f ca="1">SUM(T3883:T3887)</f>
        <v>38.169000000000004</v>
      </c>
      <c r="U3888" s="531"/>
      <c r="V3888" s="531"/>
      <c r="W3888" s="531"/>
      <c r="X3888" s="531"/>
      <c r="Y3888" s="531"/>
      <c r="Z3888" s="531"/>
      <c r="AA3888" s="531"/>
      <c r="AB3888" s="531"/>
      <c r="AC3888" s="531"/>
      <c r="AD3888" s="531"/>
      <c r="AE3888" s="531"/>
      <c r="AF3888" s="531"/>
      <c r="AG3888" s="531"/>
      <c r="AH3888" s="531"/>
      <c r="AI3888" s="531"/>
      <c r="AJ3888" s="531"/>
      <c r="AK3888" s="531"/>
      <c r="AL3888" s="531"/>
      <c r="AM3888" s="531"/>
      <c r="AN3888" s="531"/>
      <c r="AO3888" s="531"/>
      <c r="AR3888" s="761" t="s">
        <v>145</v>
      </c>
      <c r="AS3888" s="764"/>
    </row>
    <row r="3889" spans="1:45" s="520" customFormat="1" ht="12" thickTop="1">
      <c r="A3889" s="51"/>
      <c r="B3889" s="41"/>
      <c r="C3889" s="51"/>
      <c r="E3889" s="42" t="s">
        <v>138</v>
      </c>
      <c r="F3889" s="42" t="s">
        <v>139</v>
      </c>
      <c r="G3889" s="51"/>
      <c r="H3889" s="51"/>
      <c r="I3889" s="51"/>
      <c r="J3889" s="51"/>
      <c r="K3889" s="51" t="s">
        <v>140</v>
      </c>
      <c r="L3889" s="51"/>
      <c r="M3889" s="51"/>
      <c r="N3889" s="51"/>
      <c r="O3889" s="52"/>
      <c r="P3889" s="51"/>
      <c r="Q3889" s="51"/>
      <c r="R3889" s="51"/>
      <c r="S3889" s="51"/>
      <c r="T3889" s="41"/>
      <c r="AG3889" s="521" t="s">
        <v>268</v>
      </c>
      <c r="AH3889" s="521" t="s">
        <v>269</v>
      </c>
      <c r="AI3889" s="521" t="s">
        <v>270</v>
      </c>
      <c r="AJ3889" s="521" t="s">
        <v>271</v>
      </c>
      <c r="AK3889" s="521" t="s">
        <v>272</v>
      </c>
      <c r="AM3889" s="745" t="s">
        <v>281</v>
      </c>
      <c r="AN3889" s="746" t="s">
        <v>282</v>
      </c>
      <c r="AO3889" s="522" t="s">
        <v>278</v>
      </c>
      <c r="AR3889" s="51"/>
      <c r="AS3889" s="42" t="s">
        <v>139</v>
      </c>
    </row>
    <row r="3890" spans="1:45" s="520" customFormat="1" ht="12" customHeight="1">
      <c r="A3890" s="747">
        <v>1</v>
      </c>
      <c r="B3890" s="523" t="s">
        <v>141</v>
      </c>
      <c r="C3890" s="748"/>
      <c r="D3890" s="749" t="s">
        <v>1709</v>
      </c>
      <c r="E3890" s="750">
        <f ca="1">IF(AND($A3890=0,$A$1="DIF"),0, ROUND(ROUND(($R3896*$S$2+($T3896*$T$2))/A3890,2)*$C$2,2))</f>
        <v>729.47</v>
      </c>
      <c r="F3890" s="751">
        <f ca="1">ROUND($A3890*$E3890,2)</f>
        <v>729.47</v>
      </c>
      <c r="G3890" s="752" t="s">
        <v>142</v>
      </c>
      <c r="H3890" s="753"/>
      <c r="I3890" s="754"/>
      <c r="J3890" s="753"/>
      <c r="K3890" s="753" t="s">
        <v>3</v>
      </c>
      <c r="L3890" s="755" t="s">
        <v>143</v>
      </c>
      <c r="M3890" s="755"/>
      <c r="N3890" s="755"/>
      <c r="O3890" s="755"/>
      <c r="P3890" s="755"/>
      <c r="Q3890" s="51"/>
      <c r="T3890" s="756" t="str">
        <f ca="1">IF(AND($R3896=0,$T3896=0),"0.00","mu :" &amp; ROUND($F3890/$C$2/($R3896+$T3896*$D$9),2))</f>
        <v>mu :1.23</v>
      </c>
      <c r="W3890" s="524"/>
      <c r="AG3890" s="481">
        <f ca="1">IF($E3890=0,0,ROUND($R3896*$S$2*$C$2/$A3890,2))</f>
        <v>270.86</v>
      </c>
      <c r="AH3890" s="481">
        <f ca="1">$AG3890*$A3890</f>
        <v>270.86</v>
      </c>
      <c r="AI3890" s="525">
        <f ca="1">$E3890-$AG3890</f>
        <v>458.61</v>
      </c>
      <c r="AJ3890" s="525">
        <f ca="1">$A3890*$AI3890</f>
        <v>458.61</v>
      </c>
      <c r="AK3890" s="526">
        <f ca="1">ROUND(($AG3890+$AI3890)*$A3890,2)</f>
        <v>729.47</v>
      </c>
      <c r="AM3890" s="527">
        <f ca="1">ROUND(R3896,2)</f>
        <v>219.98</v>
      </c>
      <c r="AN3890" s="528">
        <f ca="1">ROUND(T3896,2)</f>
        <v>13.56</v>
      </c>
      <c r="AO3890" s="529">
        <f ca="1">ROUND(AM3890+AN3890,2)*A3890</f>
        <v>233.54</v>
      </c>
      <c r="AR3890" s="747">
        <v>1</v>
      </c>
      <c r="AS3890" s="751">
        <v>780.25</v>
      </c>
    </row>
    <row r="3891" spans="1:45" s="520" customFormat="1" ht="13.2">
      <c r="A3891" s="748"/>
      <c r="B3891"/>
      <c r="C3891" s="748"/>
      <c r="D3891" s="749" t="s">
        <v>825</v>
      </c>
      <c r="F3891" s="753"/>
      <c r="G3891" s="3"/>
      <c r="H3891" s="753"/>
      <c r="I3891" s="754"/>
      <c r="J3891" s="753"/>
      <c r="K3891" s="753" t="s">
        <v>144</v>
      </c>
      <c r="L3891" s="753"/>
      <c r="M3891" s="753"/>
      <c r="N3891" s="753"/>
      <c r="O3891" s="753"/>
      <c r="P3891" s="753"/>
      <c r="Q3891" s="51"/>
      <c r="R3891" s="530"/>
      <c r="S3891" s="757"/>
      <c r="T3891" s="753"/>
      <c r="AR3891" s="748"/>
      <c r="AS3891" s="753"/>
    </row>
    <row r="3892" spans="1:45" s="886" customFormat="1" ht="13.2">
      <c r="A3892"/>
      <c r="B3892" s="910"/>
      <c r="C3892" s="910" t="s">
        <v>2597</v>
      </c>
      <c r="D3892" s="910" t="str">
        <f ca="1">CELL("Address",Elec_Rates!D$46)</f>
        <v>[E25_0062_Quintano_Foods_Elec_ELV_As_Awarded.xlsx]Elec_Rates!$D$46</v>
      </c>
      <c r="E3892" s="911"/>
      <c r="F3892" s="911"/>
      <c r="G3892" s="912" t="s">
        <v>2598</v>
      </c>
      <c r="H3892" s="912"/>
      <c r="I3892" s="912"/>
      <c r="J3892" s="912"/>
      <c r="K3892" s="913"/>
      <c r="L3892" s="911"/>
      <c r="M3892" s="911"/>
      <c r="N3892" s="911"/>
      <c r="O3892" s="914"/>
      <c r="P3892" s="911"/>
      <c r="Q3892" s="915"/>
      <c r="R3892" s="916"/>
      <c r="S3892" s="915"/>
      <c r="T3892" s="917"/>
      <c r="U3892" s="918"/>
      <c r="AR3892"/>
      <c r="AS3892" s="911"/>
    </row>
    <row r="3893" spans="1:45" s="886" customFormat="1" ht="11.4">
      <c r="A3893" s="919">
        <v>1</v>
      </c>
      <c r="B3893" s="920">
        <v>4.5</v>
      </c>
      <c r="C3893" s="920">
        <f>$A3893*$B3893</f>
        <v>4.5</v>
      </c>
      <c r="D3893" s="921" t="str">
        <f>Elec_Rates!$D$46</f>
        <v>004# Light point rate (Galvanised Conduit)</v>
      </c>
      <c r="E3893" s="921" t="s">
        <v>3021</v>
      </c>
      <c r="F3893" s="918"/>
      <c r="G3893" s="922" t="s">
        <v>2878</v>
      </c>
      <c r="H3893" s="922"/>
      <c r="I3893" s="922"/>
      <c r="J3893" s="922"/>
      <c r="K3893" s="923"/>
      <c r="L3893" s="918"/>
      <c r="M3893" s="918"/>
      <c r="N3893" s="918"/>
      <c r="O3893" s="924"/>
      <c r="P3893" s="921"/>
      <c r="Q3893" s="925">
        <f ca="1">$B3893*Elec_Rates!$R$46</f>
        <v>209.745</v>
      </c>
      <c r="R3893" s="916">
        <f ca="1">$A3893*Q3893</f>
        <v>209.745</v>
      </c>
      <c r="S3893" s="925">
        <f ca="1">$B3893*Elec_Rates!$T$46</f>
        <v>13.41</v>
      </c>
      <c r="T3893" s="917">
        <f ca="1">$A3893*S3893</f>
        <v>13.41</v>
      </c>
      <c r="U3893" s="926"/>
      <c r="AR3893" s="919">
        <v>1</v>
      </c>
      <c r="AS3893" s="918"/>
    </row>
    <row r="3894" spans="1:45" s="901" customFormat="1" ht="13.2">
      <c r="A3894" s="116">
        <v>1</v>
      </c>
      <c r="B3894" s="901" t="s">
        <v>141</v>
      </c>
      <c r="D3894" s="901" t="s">
        <v>2880</v>
      </c>
      <c r="E3894" s="901" t="s">
        <v>3424</v>
      </c>
      <c r="F3894" s="1054" t="s">
        <v>3430</v>
      </c>
      <c r="G3894" s="941" t="s">
        <v>2881</v>
      </c>
      <c r="H3894" s="942">
        <v>705</v>
      </c>
      <c r="I3894" s="901" t="s">
        <v>2607</v>
      </c>
      <c r="O3894" s="943">
        <v>3</v>
      </c>
      <c r="P3894" s="944"/>
      <c r="Q3894" s="945">
        <v>10.23</v>
      </c>
      <c r="R3894" s="946">
        <f>$A3894*Q3894</f>
        <v>10.23</v>
      </c>
      <c r="S3894" s="945">
        <v>0.17</v>
      </c>
      <c r="T3894" s="947">
        <f>$A3894*S3894*$T$1</f>
        <v>0.15300000000000002</v>
      </c>
      <c r="AR3894" s="116">
        <v>1</v>
      </c>
      <c r="AS3894" s="1054" t="s">
        <v>3430</v>
      </c>
    </row>
    <row r="3895" spans="1:45" s="520" customFormat="1" ht="12">
      <c r="A3895" s="758"/>
      <c r="B3895" s="758"/>
      <c r="C3895" s="758"/>
      <c r="D3895" s="758"/>
      <c r="E3895" s="758"/>
      <c r="F3895" s="753"/>
      <c r="G3895" s="758"/>
      <c r="H3895" s="758"/>
      <c r="I3895" s="519"/>
      <c r="J3895" s="758"/>
      <c r="K3895" s="758"/>
      <c r="L3895" s="758"/>
      <c r="M3895" s="758"/>
      <c r="N3895" s="758"/>
      <c r="O3895" s="758"/>
      <c r="P3895" s="758"/>
      <c r="Q3895" s="519"/>
      <c r="R3895" s="759">
        <f>$A3895*Q3895</f>
        <v>0</v>
      </c>
      <c r="S3895" s="519"/>
      <c r="T3895" s="760">
        <f>$A3895*S3895*$T$1</f>
        <v>0</v>
      </c>
      <c r="AR3895" s="758"/>
      <c r="AS3895" s="753"/>
    </row>
    <row r="3896" spans="1:45" s="520" customFormat="1" ht="12.6" thickBot="1">
      <c r="A3896" s="761" t="s">
        <v>145</v>
      </c>
      <c r="B3896" s="762">
        <f>(R3895+T3895)</f>
        <v>0</v>
      </c>
      <c r="C3896" s="763"/>
      <c r="D3896" s="763"/>
      <c r="E3896" s="763"/>
      <c r="F3896" s="764"/>
      <c r="G3896" s="763" t="s">
        <v>146</v>
      </c>
      <c r="H3896" s="763"/>
      <c r="I3896" s="765"/>
      <c r="J3896" s="763"/>
      <c r="K3896" s="763" t="s">
        <v>3</v>
      </c>
      <c r="L3896" s="766" t="s">
        <v>143</v>
      </c>
      <c r="M3896" s="766"/>
      <c r="N3896" s="766"/>
      <c r="O3896" s="766"/>
      <c r="P3896" s="766"/>
      <c r="Q3896" s="767"/>
      <c r="R3896" s="768">
        <f ca="1">SUM(R3891:R3895)</f>
        <v>219.97499999999999</v>
      </c>
      <c r="S3896" s="763"/>
      <c r="T3896" s="768">
        <f ca="1">SUM(T3891:T3895)</f>
        <v>13.563000000000001</v>
      </c>
      <c r="U3896" s="531"/>
      <c r="V3896" s="531"/>
      <c r="W3896" s="531"/>
      <c r="X3896" s="531"/>
      <c r="Y3896" s="531"/>
      <c r="Z3896" s="531"/>
      <c r="AA3896" s="531"/>
      <c r="AB3896" s="531"/>
      <c r="AC3896" s="531"/>
      <c r="AD3896" s="531"/>
      <c r="AE3896" s="531"/>
      <c r="AF3896" s="531"/>
      <c r="AG3896" s="531"/>
      <c r="AH3896" s="531"/>
      <c r="AI3896" s="531"/>
      <c r="AJ3896" s="531"/>
      <c r="AK3896" s="531"/>
      <c r="AL3896" s="531"/>
      <c r="AM3896" s="531"/>
      <c r="AN3896" s="531"/>
      <c r="AO3896" s="531"/>
      <c r="AR3896" s="761" t="s">
        <v>145</v>
      </c>
      <c r="AS3896" s="764"/>
    </row>
    <row r="3897" spans="1:45" s="520" customFormat="1" ht="12" thickTop="1">
      <c r="A3897" s="51"/>
      <c r="B3897" s="41"/>
      <c r="C3897" s="51"/>
      <c r="E3897" s="42" t="s">
        <v>138</v>
      </c>
      <c r="F3897" s="42" t="s">
        <v>139</v>
      </c>
      <c r="G3897" s="51"/>
      <c r="H3897" s="51"/>
      <c r="I3897" s="51"/>
      <c r="J3897" s="51"/>
      <c r="K3897" s="51" t="s">
        <v>140</v>
      </c>
      <c r="L3897" s="51"/>
      <c r="M3897" s="51"/>
      <c r="N3897" s="51"/>
      <c r="O3897" s="52"/>
      <c r="P3897" s="51"/>
      <c r="Q3897" s="51"/>
      <c r="R3897" s="51"/>
      <c r="S3897" s="51"/>
      <c r="T3897" s="41"/>
      <c r="AG3897" s="521" t="s">
        <v>268</v>
      </c>
      <c r="AH3897" s="521" t="s">
        <v>269</v>
      </c>
      <c r="AI3897" s="521" t="s">
        <v>270</v>
      </c>
      <c r="AJ3897" s="521" t="s">
        <v>271</v>
      </c>
      <c r="AK3897" s="521" t="s">
        <v>272</v>
      </c>
      <c r="AM3897" s="745" t="s">
        <v>281</v>
      </c>
      <c r="AN3897" s="746" t="s">
        <v>282</v>
      </c>
      <c r="AO3897" s="522" t="s">
        <v>278</v>
      </c>
      <c r="AR3897" s="51"/>
      <c r="AS3897" s="42" t="s">
        <v>139</v>
      </c>
    </row>
    <row r="3898" spans="1:45" s="520" customFormat="1" ht="12" customHeight="1">
      <c r="A3898" s="747">
        <v>1</v>
      </c>
      <c r="B3898" s="523" t="s">
        <v>141</v>
      </c>
      <c r="C3898" s="748"/>
      <c r="D3898" s="749" t="s">
        <v>1710</v>
      </c>
      <c r="E3898" s="750">
        <f ca="1">IF(AND($A3898=0,$A$1="DIF"),0, ROUND(ROUND(($R3903*$S$2+($T3903*$T$2))/A3898,2)*$C$2,2))</f>
        <v>151.94</v>
      </c>
      <c r="F3898" s="751">
        <f ca="1">ROUND($A3898*$E3898,2)</f>
        <v>151.94</v>
      </c>
      <c r="G3898" s="752" t="s">
        <v>142</v>
      </c>
      <c r="H3898" s="753"/>
      <c r="I3898" s="754"/>
      <c r="J3898" s="753"/>
      <c r="K3898" s="753" t="s">
        <v>3</v>
      </c>
      <c r="L3898" s="755" t="s">
        <v>143</v>
      </c>
      <c r="M3898" s="755"/>
      <c r="N3898" s="755"/>
      <c r="O3898" s="755"/>
      <c r="P3898" s="755"/>
      <c r="Q3898" s="51"/>
      <c r="T3898" s="756" t="str">
        <f ca="1">IF(AND($R3903=0,$T3903=0),"0.00","mu :" &amp; ROUND($F3898/$C$2/($R3903+$T3903*$D$9),2))</f>
        <v>mu :1.23</v>
      </c>
      <c r="W3898" s="524"/>
      <c r="AG3898" s="481">
        <f ca="1">IF($E3898=0,0,ROUND($R3903*$S$2*$C$2/$A3898,2))</f>
        <v>54.89</v>
      </c>
      <c r="AH3898" s="481">
        <f ca="1">$AG3898*$A3898</f>
        <v>54.89</v>
      </c>
      <c r="AI3898" s="525">
        <f ca="1">$E3898-$AG3898</f>
        <v>97.05</v>
      </c>
      <c r="AJ3898" s="525">
        <f ca="1">$A3898*$AI3898</f>
        <v>97.05</v>
      </c>
      <c r="AK3898" s="526">
        <f ca="1">ROUND(($AG3898+$AI3898)*$A3898,2)</f>
        <v>151.94</v>
      </c>
      <c r="AM3898" s="527">
        <f ca="1">ROUND(R3903,2)</f>
        <v>44.58</v>
      </c>
      <c r="AN3898" s="528">
        <f ca="1">ROUND(T3903,2)</f>
        <v>2.87</v>
      </c>
      <c r="AO3898" s="529">
        <f ca="1">ROUND(AM3898+AN3898,2)*A3898</f>
        <v>47.45</v>
      </c>
      <c r="AR3898" s="747">
        <v>1</v>
      </c>
      <c r="AS3898" s="751">
        <v>162.41999999999999</v>
      </c>
    </row>
    <row r="3899" spans="1:45" s="520" customFormat="1" ht="13.2">
      <c r="A3899" s="748"/>
      <c r="B3899"/>
      <c r="C3899" s="748"/>
      <c r="D3899" s="749" t="s">
        <v>777</v>
      </c>
      <c r="F3899" s="753"/>
      <c r="G3899" s="3"/>
      <c r="H3899" s="753"/>
      <c r="I3899" s="754"/>
      <c r="J3899" s="753"/>
      <c r="K3899" s="753" t="s">
        <v>144</v>
      </c>
      <c r="L3899" s="753"/>
      <c r="M3899" s="753"/>
      <c r="N3899" s="753"/>
      <c r="O3899" s="753"/>
      <c r="P3899" s="753"/>
      <c r="Q3899" s="51"/>
      <c r="R3899" s="530"/>
      <c r="S3899" s="757"/>
      <c r="T3899" s="753"/>
      <c r="AR3899" s="748"/>
      <c r="AS3899" s="753"/>
    </row>
    <row r="3900" spans="1:45" s="886" customFormat="1" ht="13.2">
      <c r="A3900"/>
      <c r="B3900" s="910"/>
      <c r="C3900" s="910" t="s">
        <v>2597</v>
      </c>
      <c r="D3900" s="910" t="str">
        <f ca="1">CELL("Address",Elec_Rates!D$103)</f>
        <v>[E25_0062_Quintano_Foods_Elec_ELV_As_Awarded.xlsx]Elec_Rates!$D$103</v>
      </c>
      <c r="E3900" s="911"/>
      <c r="F3900" s="911"/>
      <c r="G3900" s="912" t="s">
        <v>2598</v>
      </c>
      <c r="H3900" s="912"/>
      <c r="I3900" s="912"/>
      <c r="J3900" s="912"/>
      <c r="K3900" s="913"/>
      <c r="L3900" s="911"/>
      <c r="M3900" s="911"/>
      <c r="N3900" s="911"/>
      <c r="O3900" s="914"/>
      <c r="P3900" s="911"/>
      <c r="Q3900" s="915"/>
      <c r="R3900" s="916"/>
      <c r="S3900" s="915"/>
      <c r="T3900" s="917"/>
      <c r="U3900" s="918"/>
      <c r="AR3900"/>
      <c r="AS3900" s="911"/>
    </row>
    <row r="3901" spans="1:45" s="886" customFormat="1" ht="11.4">
      <c r="A3901" s="919">
        <v>1</v>
      </c>
      <c r="B3901" s="920">
        <v>1</v>
      </c>
      <c r="C3901" s="920">
        <f>$A3901*$B3901</f>
        <v>1</v>
      </c>
      <c r="D3901" s="921" t="str">
        <f>Elec_Rates!$D$103</f>
        <v>008# Maintained Emergency Light point rate (Galvanised Conduit)</v>
      </c>
      <c r="E3901" s="921"/>
      <c r="F3901" s="921" t="s">
        <v>2599</v>
      </c>
      <c r="G3901" s="922" t="s">
        <v>2600</v>
      </c>
      <c r="H3901" s="922"/>
      <c r="I3901" s="922"/>
      <c r="J3901" s="922"/>
      <c r="K3901" s="923"/>
      <c r="L3901" s="918"/>
      <c r="M3901" s="918"/>
      <c r="N3901" s="918"/>
      <c r="O3901" s="924"/>
      <c r="P3901" s="921"/>
      <c r="Q3901" s="925">
        <f ca="1">$B3901*Elec_Rates!$R$103</f>
        <v>44.58</v>
      </c>
      <c r="R3901" s="916">
        <f ca="1">$A3901*Q3901</f>
        <v>44.58</v>
      </c>
      <c r="S3901" s="925">
        <f ca="1">$B3901*Elec_Rates!$T$103</f>
        <v>2.87</v>
      </c>
      <c r="T3901" s="917">
        <f ca="1">$A3901*S3901</f>
        <v>2.87</v>
      </c>
      <c r="U3901" s="926"/>
      <c r="AR3901" s="919">
        <v>1</v>
      </c>
      <c r="AS3901" s="921" t="s">
        <v>2599</v>
      </c>
    </row>
    <row r="3902" spans="1:45" s="520" customFormat="1" ht="12">
      <c r="A3902" s="758"/>
      <c r="B3902" s="758"/>
      <c r="C3902" s="758"/>
      <c r="D3902" s="758"/>
      <c r="E3902" s="758"/>
      <c r="F3902" s="753"/>
      <c r="G3902" s="758"/>
      <c r="H3902" s="758"/>
      <c r="I3902" s="519"/>
      <c r="J3902" s="758"/>
      <c r="K3902" s="758"/>
      <c r="L3902" s="758"/>
      <c r="M3902" s="758"/>
      <c r="N3902" s="758"/>
      <c r="O3902" s="758"/>
      <c r="P3902" s="758"/>
      <c r="Q3902" s="519"/>
      <c r="R3902" s="759">
        <f>$A3902*Q3902</f>
        <v>0</v>
      </c>
      <c r="S3902" s="519"/>
      <c r="T3902" s="760">
        <f>$A3902*S3902*$T$1</f>
        <v>0</v>
      </c>
      <c r="AR3902" s="758"/>
      <c r="AS3902" s="753"/>
    </row>
    <row r="3903" spans="1:45" s="520" customFormat="1" ht="12.6" thickBot="1">
      <c r="A3903" s="761" t="s">
        <v>145</v>
      </c>
      <c r="B3903" s="762">
        <f>(R3902+T3902)</f>
        <v>0</v>
      </c>
      <c r="C3903" s="763"/>
      <c r="D3903" s="763"/>
      <c r="E3903" s="763"/>
      <c r="F3903" s="764"/>
      <c r="G3903" s="763" t="s">
        <v>146</v>
      </c>
      <c r="H3903" s="763"/>
      <c r="I3903" s="765"/>
      <c r="J3903" s="763"/>
      <c r="K3903" s="763" t="s">
        <v>3</v>
      </c>
      <c r="L3903" s="766" t="s">
        <v>143</v>
      </c>
      <c r="M3903" s="766"/>
      <c r="N3903" s="766"/>
      <c r="O3903" s="766"/>
      <c r="P3903" s="766"/>
      <c r="Q3903" s="767"/>
      <c r="R3903" s="768">
        <f ca="1">SUM(R3899:R3902)</f>
        <v>44.58</v>
      </c>
      <c r="S3903" s="763"/>
      <c r="T3903" s="768">
        <f ca="1">SUM(T3899:T3902)</f>
        <v>2.87</v>
      </c>
      <c r="U3903" s="531"/>
      <c r="V3903" s="531"/>
      <c r="W3903" s="531"/>
      <c r="X3903" s="531"/>
      <c r="Y3903" s="531"/>
      <c r="Z3903" s="531"/>
      <c r="AA3903" s="531"/>
      <c r="AB3903" s="531"/>
      <c r="AC3903" s="531"/>
      <c r="AD3903" s="531"/>
      <c r="AE3903" s="531"/>
      <c r="AF3903" s="531"/>
      <c r="AG3903" s="531"/>
      <c r="AH3903" s="531"/>
      <c r="AI3903" s="531"/>
      <c r="AJ3903" s="531"/>
      <c r="AK3903" s="531"/>
      <c r="AL3903" s="531"/>
      <c r="AM3903" s="531"/>
      <c r="AN3903" s="531"/>
      <c r="AO3903" s="531"/>
      <c r="AR3903" s="761" t="s">
        <v>145</v>
      </c>
      <c r="AS3903" s="764"/>
    </row>
    <row r="3904" spans="1:45" s="520" customFormat="1" ht="12" thickTop="1">
      <c r="A3904" s="51"/>
      <c r="B3904" s="41"/>
      <c r="C3904" s="51"/>
      <c r="E3904" s="42" t="s">
        <v>138</v>
      </c>
      <c r="F3904" s="42" t="s">
        <v>139</v>
      </c>
      <c r="G3904" s="51"/>
      <c r="H3904" s="51"/>
      <c r="I3904" s="51"/>
      <c r="J3904" s="51"/>
      <c r="K3904" s="51" t="s">
        <v>140</v>
      </c>
      <c r="L3904" s="51"/>
      <c r="M3904" s="51"/>
      <c r="N3904" s="51"/>
      <c r="O3904" s="52"/>
      <c r="P3904" s="51"/>
      <c r="Q3904" s="51"/>
      <c r="R3904" s="51"/>
      <c r="S3904" s="51"/>
      <c r="T3904" s="41"/>
      <c r="AG3904" s="521" t="s">
        <v>268</v>
      </c>
      <c r="AH3904" s="521" t="s">
        <v>269</v>
      </c>
      <c r="AI3904" s="521" t="s">
        <v>270</v>
      </c>
      <c r="AJ3904" s="521" t="s">
        <v>271</v>
      </c>
      <c r="AK3904" s="521" t="s">
        <v>272</v>
      </c>
      <c r="AM3904" s="745" t="s">
        <v>281</v>
      </c>
      <c r="AN3904" s="746" t="s">
        <v>282</v>
      </c>
      <c r="AO3904" s="522" t="s">
        <v>278</v>
      </c>
      <c r="AR3904" s="51"/>
      <c r="AS3904" s="42" t="s">
        <v>139</v>
      </c>
    </row>
    <row r="3905" spans="1:45" s="520" customFormat="1" ht="12" customHeight="1">
      <c r="A3905" s="747">
        <v>1</v>
      </c>
      <c r="B3905" s="523" t="s">
        <v>141</v>
      </c>
      <c r="C3905" s="748"/>
      <c r="D3905" s="749" t="s">
        <v>1711</v>
      </c>
      <c r="E3905" s="750">
        <f ca="1">IF(AND($A3905=0,$A$1="DIF"),0, ROUND(ROUND(($R3910*$S$2+($T3910*$T$2))/A3905,2)*$C$2,2))</f>
        <v>151.94</v>
      </c>
      <c r="F3905" s="751">
        <f ca="1">ROUND($A3905*$E3905,2)</f>
        <v>151.94</v>
      </c>
      <c r="G3905" s="752" t="s">
        <v>142</v>
      </c>
      <c r="H3905" s="753"/>
      <c r="I3905" s="754"/>
      <c r="J3905" s="753"/>
      <c r="K3905" s="753" t="s">
        <v>3</v>
      </c>
      <c r="L3905" s="755" t="s">
        <v>143</v>
      </c>
      <c r="M3905" s="755"/>
      <c r="N3905" s="755"/>
      <c r="O3905" s="755"/>
      <c r="P3905" s="755"/>
      <c r="Q3905" s="51"/>
      <c r="T3905" s="756" t="str">
        <f ca="1">IF(AND($R3910=0,$T3910=0),"0.00","mu :" &amp; ROUND($F3905/$C$2/($R3910+$T3910*$D$9),2))</f>
        <v>mu :1.23</v>
      </c>
      <c r="W3905" s="524"/>
      <c r="AG3905" s="481">
        <f ca="1">IF($E3905=0,0,ROUND($R3910*$S$2*$C$2/$A3905,2))</f>
        <v>54.89</v>
      </c>
      <c r="AH3905" s="481">
        <f ca="1">$AG3905*$A3905</f>
        <v>54.89</v>
      </c>
      <c r="AI3905" s="525">
        <f ca="1">$E3905-$AG3905</f>
        <v>97.05</v>
      </c>
      <c r="AJ3905" s="525">
        <f ca="1">$A3905*$AI3905</f>
        <v>97.05</v>
      </c>
      <c r="AK3905" s="526">
        <f ca="1">ROUND(($AG3905+$AI3905)*$A3905,2)</f>
        <v>151.94</v>
      </c>
      <c r="AM3905" s="527">
        <f ca="1">ROUND(R3910,2)</f>
        <v>44.58</v>
      </c>
      <c r="AN3905" s="528">
        <f ca="1">ROUND(T3910,2)</f>
        <v>2.87</v>
      </c>
      <c r="AO3905" s="529">
        <f ca="1">ROUND(AM3905+AN3905,2)*A3905</f>
        <v>47.45</v>
      </c>
      <c r="AR3905" s="747">
        <v>1</v>
      </c>
      <c r="AS3905" s="751">
        <v>162.41999999999999</v>
      </c>
    </row>
    <row r="3906" spans="1:45" s="520" customFormat="1" ht="13.2">
      <c r="A3906" s="748"/>
      <c r="B3906"/>
      <c r="C3906" s="748"/>
      <c r="D3906" s="749" t="s">
        <v>826</v>
      </c>
      <c r="F3906" s="753"/>
      <c r="G3906" s="3"/>
      <c r="H3906" s="753"/>
      <c r="I3906" s="754"/>
      <c r="J3906" s="753"/>
      <c r="K3906" s="753" t="s">
        <v>144</v>
      </c>
      <c r="L3906" s="753"/>
      <c r="M3906" s="753"/>
      <c r="N3906" s="753"/>
      <c r="O3906" s="753"/>
      <c r="P3906" s="753"/>
      <c r="Q3906" s="51"/>
      <c r="R3906" s="530"/>
      <c r="S3906" s="757"/>
      <c r="T3906" s="753"/>
      <c r="AR3906" s="748"/>
      <c r="AS3906" s="753"/>
    </row>
    <row r="3907" spans="1:45" s="886" customFormat="1" ht="13.2">
      <c r="A3907"/>
      <c r="B3907" s="910"/>
      <c r="C3907" s="910" t="s">
        <v>2597</v>
      </c>
      <c r="D3907" s="910" t="str">
        <f ca="1">CELL("Address",Elec_Rates!D$103)</f>
        <v>[E25_0062_Quintano_Foods_Elec_ELV_As_Awarded.xlsx]Elec_Rates!$D$103</v>
      </c>
      <c r="E3907" s="911"/>
      <c r="F3907" s="911"/>
      <c r="G3907" s="912" t="s">
        <v>2598</v>
      </c>
      <c r="H3907" s="912"/>
      <c r="I3907" s="912"/>
      <c r="J3907" s="912"/>
      <c r="K3907" s="913"/>
      <c r="L3907" s="911"/>
      <c r="M3907" s="911"/>
      <c r="N3907" s="911"/>
      <c r="O3907" s="914"/>
      <c r="P3907" s="911"/>
      <c r="Q3907" s="915"/>
      <c r="R3907" s="916"/>
      <c r="S3907" s="915"/>
      <c r="T3907" s="917"/>
      <c r="U3907" s="918"/>
      <c r="AR3907"/>
      <c r="AS3907" s="911"/>
    </row>
    <row r="3908" spans="1:45" s="886" customFormat="1" ht="11.4">
      <c r="A3908" s="919">
        <v>1</v>
      </c>
      <c r="B3908" s="920">
        <v>1</v>
      </c>
      <c r="C3908" s="920">
        <f>$A3908*$B3908</f>
        <v>1</v>
      </c>
      <c r="D3908" s="921" t="str">
        <f>Elec_Rates!$D$103</f>
        <v>008# Maintained Emergency Light point rate (Galvanised Conduit)</v>
      </c>
      <c r="E3908" s="921"/>
      <c r="F3908" s="921" t="s">
        <v>2599</v>
      </c>
      <c r="G3908" s="922" t="s">
        <v>2600</v>
      </c>
      <c r="H3908" s="922"/>
      <c r="I3908" s="922"/>
      <c r="J3908" s="922"/>
      <c r="K3908" s="923"/>
      <c r="L3908" s="918"/>
      <c r="M3908" s="918"/>
      <c r="N3908" s="918"/>
      <c r="O3908" s="924"/>
      <c r="P3908" s="921"/>
      <c r="Q3908" s="925">
        <f ca="1">$B3908*Elec_Rates!$R$103</f>
        <v>44.58</v>
      </c>
      <c r="R3908" s="916">
        <f ca="1">$A3908*Q3908</f>
        <v>44.58</v>
      </c>
      <c r="S3908" s="925">
        <f ca="1">$B3908*Elec_Rates!$T$103</f>
        <v>2.87</v>
      </c>
      <c r="T3908" s="917">
        <f ca="1">$A3908*S3908</f>
        <v>2.87</v>
      </c>
      <c r="U3908" s="926"/>
      <c r="AR3908" s="919">
        <v>1</v>
      </c>
      <c r="AS3908" s="921" t="s">
        <v>2599</v>
      </c>
    </row>
    <row r="3909" spans="1:45" s="520" customFormat="1" ht="12">
      <c r="A3909" s="758"/>
      <c r="B3909" s="758"/>
      <c r="C3909" s="758"/>
      <c r="D3909" s="758"/>
      <c r="E3909" s="758"/>
      <c r="F3909" s="753"/>
      <c r="G3909" s="758"/>
      <c r="H3909" s="758"/>
      <c r="I3909" s="519"/>
      <c r="J3909" s="758"/>
      <c r="K3909" s="758"/>
      <c r="L3909" s="758"/>
      <c r="M3909" s="758"/>
      <c r="N3909" s="758"/>
      <c r="O3909" s="758"/>
      <c r="P3909" s="758"/>
      <c r="Q3909" s="519"/>
      <c r="R3909" s="759">
        <f>$A3909*Q3909</f>
        <v>0</v>
      </c>
      <c r="S3909" s="519"/>
      <c r="T3909" s="760">
        <f>$A3909*S3909*$T$1</f>
        <v>0</v>
      </c>
      <c r="AR3909" s="758"/>
      <c r="AS3909" s="753"/>
    </row>
    <row r="3910" spans="1:45" s="520" customFormat="1" ht="12.6" thickBot="1">
      <c r="A3910" s="761" t="s">
        <v>145</v>
      </c>
      <c r="B3910" s="762">
        <f>(R3909+T3909)</f>
        <v>0</v>
      </c>
      <c r="C3910" s="763"/>
      <c r="D3910" s="763"/>
      <c r="E3910" s="763"/>
      <c r="F3910" s="764"/>
      <c r="G3910" s="763" t="s">
        <v>146</v>
      </c>
      <c r="H3910" s="763"/>
      <c r="I3910" s="765"/>
      <c r="J3910" s="763"/>
      <c r="K3910" s="763" t="s">
        <v>3</v>
      </c>
      <c r="L3910" s="766" t="s">
        <v>143</v>
      </c>
      <c r="M3910" s="766"/>
      <c r="N3910" s="766"/>
      <c r="O3910" s="766"/>
      <c r="P3910" s="766"/>
      <c r="Q3910" s="767"/>
      <c r="R3910" s="768">
        <f ca="1">SUM(R3906:R3909)</f>
        <v>44.58</v>
      </c>
      <c r="S3910" s="763"/>
      <c r="T3910" s="768">
        <f ca="1">SUM(T3906:T3909)</f>
        <v>2.87</v>
      </c>
      <c r="U3910" s="531"/>
      <c r="V3910" s="531"/>
      <c r="W3910" s="531"/>
      <c r="X3910" s="531"/>
      <c r="Y3910" s="531"/>
      <c r="Z3910" s="531"/>
      <c r="AA3910" s="531"/>
      <c r="AB3910" s="531"/>
      <c r="AC3910" s="531"/>
      <c r="AD3910" s="531"/>
      <c r="AE3910" s="531"/>
      <c r="AF3910" s="531"/>
      <c r="AG3910" s="531"/>
      <c r="AH3910" s="531"/>
      <c r="AI3910" s="531"/>
      <c r="AJ3910" s="531"/>
      <c r="AK3910" s="531"/>
      <c r="AL3910" s="531"/>
      <c r="AM3910" s="531"/>
      <c r="AN3910" s="531"/>
      <c r="AO3910" s="531"/>
      <c r="AR3910" s="761" t="s">
        <v>145</v>
      </c>
      <c r="AS3910" s="764"/>
    </row>
    <row r="3911" spans="1:45" s="520" customFormat="1" thickTop="1">
      <c r="A3911" s="51"/>
      <c r="B3911" s="51"/>
      <c r="C3911" s="3"/>
      <c r="D3911" s="3"/>
      <c r="E3911" s="51"/>
      <c r="F3911" s="51"/>
      <c r="G3911" s="51"/>
      <c r="H3911" s="51"/>
      <c r="I3911" s="51"/>
      <c r="J3911" s="51"/>
      <c r="K3911" s="51" t="s">
        <v>134</v>
      </c>
      <c r="L3911" s="51"/>
      <c r="M3911" s="51"/>
      <c r="N3911" s="51"/>
      <c r="O3911" s="52"/>
      <c r="P3911" s="51"/>
      <c r="Q3911" s="51"/>
      <c r="R3911" s="51"/>
      <c r="S3911" s="51"/>
      <c r="T3911" s="51"/>
      <c r="AR3911" s="51"/>
      <c r="AS3911" s="51"/>
    </row>
    <row r="3912" spans="1:45" s="520" customFormat="1" ht="12">
      <c r="A3912" s="51"/>
      <c r="B3912" s="51"/>
      <c r="C3912" s="51" t="s">
        <v>135</v>
      </c>
      <c r="D3912" s="37"/>
      <c r="E3912" s="51"/>
      <c r="F3912" s="51"/>
      <c r="G3912" s="51"/>
      <c r="H3912" s="51"/>
      <c r="I3912" s="51"/>
      <c r="J3912" s="51"/>
      <c r="K3912" s="51"/>
      <c r="L3912" s="51"/>
      <c r="M3912" s="51"/>
      <c r="N3912" s="51"/>
      <c r="O3912" s="52"/>
      <c r="P3912" s="51"/>
      <c r="Q3912" s="51"/>
      <c r="R3912" s="51"/>
      <c r="S3912" s="51"/>
      <c r="T3912" s="51"/>
      <c r="AR3912" s="51"/>
      <c r="AS3912" s="51"/>
    </row>
    <row r="3913" spans="1:45" s="520" customFormat="1" ht="12">
      <c r="A3913" s="51"/>
      <c r="B3913" s="51"/>
      <c r="C3913" s="51"/>
      <c r="D3913" s="37" t="s">
        <v>778</v>
      </c>
      <c r="E3913" s="51"/>
      <c r="F3913" s="51"/>
      <c r="G3913" s="51"/>
      <c r="H3913" s="51"/>
      <c r="I3913" s="51"/>
      <c r="J3913" s="51"/>
      <c r="K3913" s="51"/>
      <c r="L3913" s="51"/>
      <c r="M3913" s="51"/>
      <c r="N3913" s="51"/>
      <c r="O3913" s="52"/>
      <c r="P3913" s="51"/>
      <c r="Q3913" s="51"/>
      <c r="R3913" s="51"/>
      <c r="S3913" s="38"/>
      <c r="T3913" s="38"/>
      <c r="AR3913" s="51"/>
      <c r="AS3913" s="51"/>
    </row>
    <row r="3914" spans="1:45" s="3" customFormat="1" thickBot="1">
      <c r="A3914" s="531"/>
      <c r="O3914" s="107"/>
      <c r="AR3914" s="531"/>
    </row>
    <row r="3915" spans="1:45" s="520" customFormat="1" ht="12" thickTop="1">
      <c r="A3915" s="51"/>
      <c r="B3915" s="41"/>
      <c r="C3915" s="51"/>
      <c r="E3915" s="42" t="s">
        <v>138</v>
      </c>
      <c r="F3915" s="42" t="s">
        <v>139</v>
      </c>
      <c r="G3915" s="51"/>
      <c r="H3915" s="51"/>
      <c r="I3915" s="51"/>
      <c r="J3915" s="51"/>
      <c r="K3915" s="51" t="s">
        <v>140</v>
      </c>
      <c r="L3915" s="51"/>
      <c r="M3915" s="51"/>
      <c r="N3915" s="51"/>
      <c r="O3915" s="52"/>
      <c r="P3915" s="51"/>
      <c r="Q3915" s="51"/>
      <c r="R3915" s="51"/>
      <c r="S3915" s="51"/>
      <c r="T3915" s="41"/>
      <c r="AG3915" s="521" t="s">
        <v>268</v>
      </c>
      <c r="AH3915" s="521" t="s">
        <v>269</v>
      </c>
      <c r="AI3915" s="521" t="s">
        <v>270</v>
      </c>
      <c r="AJ3915" s="521" t="s">
        <v>271</v>
      </c>
      <c r="AK3915" s="521" t="s">
        <v>272</v>
      </c>
      <c r="AM3915" s="745" t="s">
        <v>281</v>
      </c>
      <c r="AN3915" s="746" t="s">
        <v>282</v>
      </c>
      <c r="AO3915" s="522" t="s">
        <v>278</v>
      </c>
      <c r="AR3915" s="51"/>
      <c r="AS3915" s="42" t="s">
        <v>139</v>
      </c>
    </row>
    <row r="3916" spans="1:45" s="520" customFormat="1" ht="12" customHeight="1">
      <c r="A3916" s="747">
        <v>4</v>
      </c>
      <c r="B3916" s="523" t="s">
        <v>141</v>
      </c>
      <c r="C3916" s="748"/>
      <c r="D3916" s="749" t="s">
        <v>1712</v>
      </c>
      <c r="E3916" s="750">
        <f ca="1">IF(AND($A3916=0,$A$1="DIF"),0, ROUND(ROUND(($R3921*$S$2+($T3921*$T$2))/A3916,2)*$C$2,2))</f>
        <v>47.62</v>
      </c>
      <c r="F3916" s="751">
        <f ca="1">ROUND($A3916*$E3916,2)</f>
        <v>190.48</v>
      </c>
      <c r="G3916" s="752" t="s">
        <v>142</v>
      </c>
      <c r="H3916" s="753"/>
      <c r="I3916" s="754"/>
      <c r="J3916" s="753"/>
      <c r="K3916" s="753" t="s">
        <v>3</v>
      </c>
      <c r="L3916" s="755" t="s">
        <v>143</v>
      </c>
      <c r="M3916" s="755"/>
      <c r="N3916" s="755"/>
      <c r="O3916" s="755"/>
      <c r="P3916" s="755"/>
      <c r="Q3916" s="51"/>
      <c r="T3916" s="756" t="str">
        <f ca="1">IF(AND($R3921=0,$T3921=0),"0.00","mu :" &amp; ROUND($F3916/$C$2/($R3921+$T3921*$D$9),2))</f>
        <v>mu :1.23</v>
      </c>
      <c r="W3916" s="524"/>
      <c r="AG3916" s="481">
        <f ca="1">IF($E3916=0,0,ROUND($R3921*$S$2*$C$2/$A3916,2))</f>
        <v>38.49</v>
      </c>
      <c r="AH3916" s="481">
        <f ca="1">$AG3916*$A3916</f>
        <v>153.96</v>
      </c>
      <c r="AI3916" s="525">
        <f ca="1">$E3916-$AG3916</f>
        <v>9.1299999999999955</v>
      </c>
      <c r="AJ3916" s="525">
        <f ca="1">$A3916*$AI3916</f>
        <v>36.519999999999982</v>
      </c>
      <c r="AK3916" s="526">
        <f ca="1">ROUND(($AG3916+$AI3916)*$A3916,2)</f>
        <v>190.48</v>
      </c>
      <c r="AM3916" s="527">
        <f ca="1">ROUND(R3921,2)</f>
        <v>125.04</v>
      </c>
      <c r="AN3916" s="528">
        <f ca="1">ROUND(T3921,2)</f>
        <v>1.08</v>
      </c>
      <c r="AO3916" s="529">
        <f ca="1">ROUND(AM3916+AN3916,2)*A3916</f>
        <v>504.48</v>
      </c>
      <c r="AR3916" s="747">
        <v>4</v>
      </c>
      <c r="AS3916" s="751">
        <v>194.56</v>
      </c>
    </row>
    <row r="3917" spans="1:45" s="520" customFormat="1" ht="13.2">
      <c r="A3917" s="748"/>
      <c r="B3917"/>
      <c r="C3917" s="748"/>
      <c r="D3917" s="749" t="s">
        <v>781</v>
      </c>
      <c r="F3917" s="753"/>
      <c r="G3917" s="3"/>
      <c r="H3917" s="753"/>
      <c r="I3917" s="754"/>
      <c r="J3917" s="753"/>
      <c r="K3917" s="753" t="s">
        <v>144</v>
      </c>
      <c r="L3917" s="753"/>
      <c r="M3917" s="753"/>
      <c r="N3917" s="753"/>
      <c r="O3917" s="753"/>
      <c r="P3917" s="753"/>
      <c r="Q3917" s="51"/>
      <c r="R3917" s="530"/>
      <c r="S3917" s="757"/>
      <c r="T3917" s="753"/>
      <c r="AR3917" s="748"/>
      <c r="AS3917" s="753"/>
    </row>
    <row r="3918" spans="1:45" s="886" customFormat="1" ht="13.2">
      <c r="A3918"/>
      <c r="B3918" s="910"/>
      <c r="C3918" s="910" t="s">
        <v>2597</v>
      </c>
      <c r="D3918" s="910" t="str">
        <f ca="1">CELL("Address",Elec_Rates!D$165)</f>
        <v>[E25_0062_Quintano_Foods_Elec_ELV_As_Awarded.xlsx]Elec_Rates!$D$165</v>
      </c>
      <c r="E3918" s="911"/>
      <c r="F3918" s="911"/>
      <c r="G3918" s="912" t="s">
        <v>2598</v>
      </c>
      <c r="H3918" s="912"/>
      <c r="I3918" s="912"/>
      <c r="J3918" s="912"/>
      <c r="K3918" s="913"/>
      <c r="L3918" s="911"/>
      <c r="M3918" s="911"/>
      <c r="N3918" s="911"/>
      <c r="O3918" s="914"/>
      <c r="P3918" s="911"/>
      <c r="Q3918" s="915"/>
      <c r="R3918" s="916"/>
      <c r="S3918" s="915"/>
      <c r="T3918" s="917"/>
      <c r="U3918" s="918"/>
      <c r="AR3918"/>
      <c r="AS3918" s="911"/>
    </row>
    <row r="3919" spans="1:45" s="886" customFormat="1" ht="11.4">
      <c r="A3919" s="919">
        <v>4</v>
      </c>
      <c r="B3919" s="920">
        <v>1</v>
      </c>
      <c r="C3919" s="920">
        <f>$A3919*$B3919</f>
        <v>4</v>
      </c>
      <c r="D3919" s="921" t="str">
        <f>Elec_Rates!$D$165</f>
        <v>015# 3Pin 16Amp IP67 Interlocked Socket outlet</v>
      </c>
      <c r="E3919" s="921"/>
      <c r="F3919" s="921" t="s">
        <v>2599</v>
      </c>
      <c r="G3919" s="922" t="s">
        <v>2601</v>
      </c>
      <c r="H3919" s="922"/>
      <c r="I3919" s="922"/>
      <c r="J3919" s="922"/>
      <c r="K3919" s="923"/>
      <c r="L3919" s="918"/>
      <c r="M3919" s="918"/>
      <c r="N3919" s="918"/>
      <c r="O3919" s="924"/>
      <c r="P3919" s="921"/>
      <c r="Q3919" s="925">
        <f ca="1">$B3919*Elec_Rates!$R$165</f>
        <v>31.26</v>
      </c>
      <c r="R3919" s="916">
        <f ca="1">$A3919*Q3919</f>
        <v>125.04</v>
      </c>
      <c r="S3919" s="925">
        <f ca="1">$B3919*Elec_Rates!$T$165</f>
        <v>0.27</v>
      </c>
      <c r="T3919" s="917">
        <f ca="1">$A3919*S3919</f>
        <v>1.08</v>
      </c>
      <c r="U3919" s="926"/>
      <c r="AR3919" s="919">
        <v>4</v>
      </c>
      <c r="AS3919" s="921" t="s">
        <v>2599</v>
      </c>
    </row>
    <row r="3920" spans="1:45" s="520" customFormat="1" ht="12">
      <c r="A3920" s="758"/>
      <c r="B3920" s="758"/>
      <c r="C3920" s="758"/>
      <c r="D3920" s="758"/>
      <c r="E3920" s="758"/>
      <c r="F3920" s="753"/>
      <c r="G3920" s="758"/>
      <c r="H3920" s="758"/>
      <c r="I3920" s="519"/>
      <c r="J3920" s="758"/>
      <c r="K3920" s="758"/>
      <c r="L3920" s="758"/>
      <c r="M3920" s="758"/>
      <c r="N3920" s="758"/>
      <c r="O3920" s="758"/>
      <c r="P3920" s="758"/>
      <c r="Q3920" s="519"/>
      <c r="R3920" s="759">
        <f>$A3920*Q3920</f>
        <v>0</v>
      </c>
      <c r="S3920" s="519"/>
      <c r="T3920" s="760">
        <f>$A3920*S3920*$T$1</f>
        <v>0</v>
      </c>
      <c r="AR3920" s="758"/>
      <c r="AS3920" s="753"/>
    </row>
    <row r="3921" spans="1:45" s="520" customFormat="1" ht="12.6" thickBot="1">
      <c r="A3921" s="761" t="s">
        <v>145</v>
      </c>
      <c r="B3921" s="762">
        <f>(R3920+T3920)</f>
        <v>0</v>
      </c>
      <c r="C3921" s="763"/>
      <c r="D3921" s="763"/>
      <c r="E3921" s="763"/>
      <c r="F3921" s="764"/>
      <c r="G3921" s="763" t="s">
        <v>146</v>
      </c>
      <c r="H3921" s="763"/>
      <c r="I3921" s="765"/>
      <c r="J3921" s="763"/>
      <c r="K3921" s="763" t="s">
        <v>3</v>
      </c>
      <c r="L3921" s="766" t="s">
        <v>143</v>
      </c>
      <c r="M3921" s="766"/>
      <c r="N3921" s="766"/>
      <c r="O3921" s="766"/>
      <c r="P3921" s="766"/>
      <c r="Q3921" s="767"/>
      <c r="R3921" s="768">
        <f ca="1">SUM(R3917:R3920)</f>
        <v>125.04</v>
      </c>
      <c r="S3921" s="763"/>
      <c r="T3921" s="768">
        <f ca="1">SUM(T3917:T3920)</f>
        <v>1.08</v>
      </c>
      <c r="U3921" s="531"/>
      <c r="V3921" s="531"/>
      <c r="W3921" s="531"/>
      <c r="X3921" s="531"/>
      <c r="Y3921" s="531"/>
      <c r="Z3921" s="531"/>
      <c r="AA3921" s="531"/>
      <c r="AB3921" s="531"/>
      <c r="AC3921" s="531"/>
      <c r="AD3921" s="531"/>
      <c r="AE3921" s="531"/>
      <c r="AF3921" s="531"/>
      <c r="AG3921" s="531"/>
      <c r="AH3921" s="531"/>
      <c r="AI3921" s="531"/>
      <c r="AJ3921" s="531"/>
      <c r="AK3921" s="531"/>
      <c r="AL3921" s="531"/>
      <c r="AM3921" s="531"/>
      <c r="AN3921" s="531"/>
      <c r="AO3921" s="531"/>
      <c r="AR3921" s="761" t="s">
        <v>145</v>
      </c>
      <c r="AS3921" s="764"/>
    </row>
    <row r="3922" spans="1:45" s="520" customFormat="1" ht="12" thickTop="1">
      <c r="A3922" s="48" t="s">
        <v>148</v>
      </c>
      <c r="D3922" s="13"/>
      <c r="E3922" s="42"/>
      <c r="O3922" s="771"/>
      <c r="AR3922" s="48" t="s">
        <v>148</v>
      </c>
    </row>
    <row r="3923" spans="1:45" s="520" customFormat="1" ht="13.2">
      <c r="B3923" s="3"/>
      <c r="O3923" s="771"/>
    </row>
    <row r="3924" spans="1:45" s="520" customFormat="1" ht="12">
      <c r="B3924" s="772">
        <f ca="1">$F3924/$C$2-($R3924*$S$2+$T3924*$T$2)</f>
        <v>1.1474773440568242E-2</v>
      </c>
      <c r="D3924" s="773" t="s">
        <v>3632</v>
      </c>
      <c r="E3924" s="774"/>
      <c r="F3924" s="775">
        <f ca="1">SUMIF($L3621:$L3922,"ITEM",F3621:F3922)</f>
        <v>20846.669999999998</v>
      </c>
      <c r="G3924" s="758"/>
      <c r="H3924" s="758"/>
      <c r="I3924" s="519"/>
      <c r="J3924" s="758"/>
      <c r="K3924" s="758"/>
      <c r="L3924" s="755" t="s">
        <v>157</v>
      </c>
      <c r="M3924" s="755"/>
      <c r="N3924" s="755"/>
      <c r="O3924" s="755"/>
      <c r="P3924" s="755"/>
      <c r="R3924" s="775">
        <f ca="1">SUMIF($L3621:$L3922,"ITEM",R3621:R3922)</f>
        <v>7992.625</v>
      </c>
      <c r="S3924" s="776"/>
      <c r="T3924" s="775">
        <f ca="1">SUMIF($L3621:$L3922,"ITEM",T3621:T3922)</f>
        <v>325.46899999999994</v>
      </c>
      <c r="AS3924" s="775">
        <v>25055.839999999997</v>
      </c>
    </row>
    <row r="3925" spans="1:45" s="520" customFormat="1" ht="13.2">
      <c r="A3925" s="51"/>
      <c r="B3925" s="49" t="s">
        <v>1064</v>
      </c>
      <c r="C3925" s="51"/>
      <c r="D3925" s="3"/>
      <c r="F3925" s="777" t="s">
        <v>158</v>
      </c>
      <c r="G3925" s="758"/>
      <c r="H3925" s="758"/>
      <c r="I3925" s="519"/>
      <c r="J3925" s="758"/>
      <c r="K3925" s="758"/>
      <c r="L3925" s="758"/>
      <c r="M3925" s="758"/>
      <c r="N3925" s="758"/>
      <c r="O3925" s="758"/>
      <c r="P3925" s="758"/>
      <c r="Q3925" s="778"/>
      <c r="R3925" s="777" t="s">
        <v>159</v>
      </c>
      <c r="S3925" s="38"/>
      <c r="T3925" s="777" t="s">
        <v>160</v>
      </c>
      <c r="AR3925" s="51"/>
      <c r="AS3925" s="777" t="s">
        <v>158</v>
      </c>
    </row>
    <row r="3926" spans="1:45" s="520" customFormat="1" ht="13.2">
      <c r="A3926" s="758"/>
      <c r="B3926" s="3"/>
      <c r="C3926" s="758"/>
      <c r="D3926" s="3"/>
      <c r="E3926" s="3"/>
      <c r="G3926" s="3"/>
      <c r="H3926" s="3"/>
      <c r="I3926" s="3"/>
      <c r="J3926" s="3"/>
      <c r="K3926" s="3"/>
      <c r="L3926" s="3"/>
      <c r="M3926" s="3"/>
      <c r="N3926" s="3"/>
      <c r="O3926" s="107"/>
      <c r="P3926" s="3"/>
      <c r="Q3926" s="3"/>
      <c r="R3926" s="3"/>
      <c r="S3926" s="3"/>
      <c r="T3926" s="3"/>
      <c r="AR3926" s="758"/>
    </row>
    <row r="3927" spans="1:45" s="520" customFormat="1" ht="12" thickBot="1">
      <c r="A3927" s="531"/>
      <c r="B3927" s="763"/>
      <c r="C3927" s="763"/>
      <c r="D3927" s="531"/>
      <c r="E3927" s="39"/>
      <c r="F3927" s="779"/>
      <c r="G3927" s="763"/>
      <c r="H3927" s="763"/>
      <c r="I3927" s="765"/>
      <c r="J3927" s="763"/>
      <c r="K3927" s="763"/>
      <c r="L3927" s="766"/>
      <c r="M3927" s="766"/>
      <c r="N3927" s="766"/>
      <c r="O3927" s="766"/>
      <c r="P3927" s="766"/>
      <c r="Q3927" s="767"/>
      <c r="R3927" s="779"/>
      <c r="S3927" s="780"/>
      <c r="T3927" s="779"/>
      <c r="U3927" s="531"/>
      <c r="V3927" s="531"/>
      <c r="W3927" s="531"/>
      <c r="X3927" s="531"/>
      <c r="Y3927" s="531"/>
      <c r="Z3927" s="531"/>
      <c r="AA3927" s="531"/>
      <c r="AB3927" s="531"/>
      <c r="AC3927" s="531"/>
      <c r="AD3927" s="531"/>
      <c r="AE3927" s="531"/>
      <c r="AF3927" s="531"/>
      <c r="AG3927" s="531"/>
      <c r="AH3927" s="531"/>
      <c r="AI3927" s="531"/>
      <c r="AJ3927" s="531"/>
      <c r="AK3927" s="531"/>
      <c r="AR3927" s="531"/>
      <c r="AS3927" s="779"/>
    </row>
    <row r="3928" spans="1:45" s="520" customFormat="1" thickTop="1">
      <c r="A3928" s="51"/>
      <c r="B3928" s="51"/>
      <c r="C3928" s="3"/>
      <c r="D3928" s="3"/>
      <c r="E3928" s="51"/>
      <c r="F3928" s="51"/>
      <c r="G3928" s="51"/>
      <c r="H3928" s="51"/>
      <c r="I3928" s="51"/>
      <c r="J3928" s="51"/>
      <c r="K3928" s="51" t="s">
        <v>134</v>
      </c>
      <c r="L3928" s="51"/>
      <c r="M3928" s="51"/>
      <c r="N3928" s="51"/>
      <c r="O3928" s="52"/>
      <c r="P3928" s="51"/>
      <c r="Q3928" s="51"/>
      <c r="R3928" s="51"/>
      <c r="S3928" s="51"/>
      <c r="T3928" s="51"/>
      <c r="AR3928" s="51"/>
      <c r="AS3928" s="51"/>
    </row>
    <row r="3929" spans="1:45" s="520" customFormat="1" ht="12">
      <c r="A3929" s="51"/>
      <c r="B3929" s="51"/>
      <c r="C3929" s="51" t="s">
        <v>135</v>
      </c>
      <c r="D3929" s="37"/>
      <c r="E3929" s="51"/>
      <c r="F3929" s="51"/>
      <c r="G3929" s="51"/>
      <c r="H3929" s="51"/>
      <c r="I3929" s="51"/>
      <c r="J3929" s="51"/>
      <c r="K3929" s="51"/>
      <c r="L3929" s="51"/>
      <c r="M3929" s="51"/>
      <c r="N3929" s="51"/>
      <c r="O3929" s="52"/>
      <c r="P3929" s="51"/>
      <c r="Q3929" s="51"/>
      <c r="R3929" s="51"/>
      <c r="S3929" s="51"/>
      <c r="T3929" s="51"/>
      <c r="AR3929" s="51"/>
      <c r="AS3929" s="51"/>
    </row>
    <row r="3930" spans="1:45" s="520" customFormat="1" ht="39.9" customHeight="1">
      <c r="A3930" s="51"/>
      <c r="B3930" s="51"/>
      <c r="C3930" s="51"/>
      <c r="D3930" s="1453" t="s">
        <v>1602</v>
      </c>
      <c r="E3930" s="1452"/>
      <c r="F3930" s="1452"/>
      <c r="G3930" s="1452"/>
      <c r="H3930" s="1452"/>
      <c r="I3930" s="1452"/>
      <c r="J3930" s="1452"/>
      <c r="K3930" s="1452"/>
      <c r="L3930" s="1452"/>
      <c r="M3930" s="1452"/>
      <c r="N3930" s="1452"/>
      <c r="O3930" s="1452"/>
      <c r="P3930" s="1452"/>
      <c r="Q3930" s="1452"/>
      <c r="R3930" s="1452"/>
      <c r="S3930" s="1452"/>
      <c r="T3930" s="1452"/>
      <c r="AR3930" s="51"/>
    </row>
    <row r="3931" spans="1:45" s="3" customFormat="1" thickBot="1">
      <c r="A3931" s="531"/>
      <c r="O3931" s="107"/>
      <c r="AR3931" s="531"/>
    </row>
    <row r="3932" spans="1:45" s="520" customFormat="1" thickTop="1">
      <c r="A3932" s="51"/>
      <c r="B3932" s="51"/>
      <c r="C3932" s="3"/>
      <c r="D3932" s="3"/>
      <c r="E3932" s="51"/>
      <c r="F3932" s="51"/>
      <c r="G3932" s="51"/>
      <c r="H3932" s="51"/>
      <c r="I3932" s="51"/>
      <c r="J3932" s="51"/>
      <c r="K3932" s="51" t="s">
        <v>134</v>
      </c>
      <c r="L3932" s="51"/>
      <c r="M3932" s="51"/>
      <c r="N3932" s="51"/>
      <c r="O3932" s="52"/>
      <c r="P3932" s="51"/>
      <c r="Q3932" s="51"/>
      <c r="R3932" s="51"/>
      <c r="S3932" s="51"/>
      <c r="T3932" s="51"/>
      <c r="AR3932" s="51"/>
      <c r="AS3932" s="51"/>
    </row>
    <row r="3933" spans="1:45" s="520" customFormat="1" ht="12">
      <c r="A3933" s="51"/>
      <c r="B3933" s="51"/>
      <c r="C3933" s="51" t="s">
        <v>135</v>
      </c>
      <c r="D3933" s="37"/>
      <c r="E3933" s="51"/>
      <c r="F3933" s="51"/>
      <c r="G3933" s="51"/>
      <c r="H3933" s="51"/>
      <c r="I3933" s="51"/>
      <c r="J3933" s="51"/>
      <c r="K3933" s="51"/>
      <c r="L3933" s="51"/>
      <c r="M3933" s="51"/>
      <c r="N3933" s="51"/>
      <c r="O3933" s="52"/>
      <c r="P3933" s="51"/>
      <c r="Q3933" s="51"/>
      <c r="R3933" s="51"/>
      <c r="S3933" s="51"/>
      <c r="T3933" s="51"/>
      <c r="AR3933" s="51"/>
      <c r="AS3933" s="51"/>
    </row>
    <row r="3934" spans="1:45" s="520" customFormat="1" ht="12">
      <c r="A3934" s="51"/>
      <c r="B3934" s="51"/>
      <c r="C3934" s="51"/>
      <c r="D3934" s="37" t="s">
        <v>828</v>
      </c>
      <c r="E3934" s="51"/>
      <c r="F3934" s="51"/>
      <c r="G3934" s="51"/>
      <c r="H3934" s="51"/>
      <c r="I3934" s="51"/>
      <c r="J3934" s="51"/>
      <c r="K3934" s="51"/>
      <c r="L3934" s="51"/>
      <c r="M3934" s="51"/>
      <c r="N3934" s="51"/>
      <c r="O3934" s="52"/>
      <c r="P3934" s="51"/>
      <c r="Q3934" s="51"/>
      <c r="R3934" s="51"/>
      <c r="S3934" s="38"/>
      <c r="T3934" s="38"/>
      <c r="AR3934" s="51"/>
      <c r="AS3934" s="51"/>
    </row>
    <row r="3935" spans="1:45" s="3" customFormat="1" thickBot="1">
      <c r="A3935" s="531"/>
      <c r="O3935" s="107"/>
      <c r="AR3935" s="531"/>
    </row>
    <row r="3936" spans="1:45" s="520" customFormat="1" ht="12" thickTop="1">
      <c r="A3936" s="51"/>
      <c r="B3936" s="41"/>
      <c r="C3936" s="51"/>
      <c r="E3936" s="42" t="s">
        <v>138</v>
      </c>
      <c r="F3936" s="42" t="s">
        <v>139</v>
      </c>
      <c r="G3936" s="51"/>
      <c r="H3936" s="51"/>
      <c r="I3936" s="51"/>
      <c r="J3936" s="51"/>
      <c r="K3936" s="51" t="s">
        <v>140</v>
      </c>
      <c r="L3936" s="51"/>
      <c r="M3936" s="51"/>
      <c r="N3936" s="51"/>
      <c r="O3936" s="52"/>
      <c r="P3936" s="51"/>
      <c r="Q3936" s="51"/>
      <c r="R3936" s="51"/>
      <c r="S3936" s="51"/>
      <c r="T3936" s="41"/>
      <c r="AG3936" s="521" t="s">
        <v>268</v>
      </c>
      <c r="AH3936" s="521" t="s">
        <v>269</v>
      </c>
      <c r="AI3936" s="521" t="s">
        <v>270</v>
      </c>
      <c r="AJ3936" s="521" t="s">
        <v>271</v>
      </c>
      <c r="AK3936" s="521" t="s">
        <v>272</v>
      </c>
      <c r="AM3936" s="745" t="s">
        <v>281</v>
      </c>
      <c r="AN3936" s="746" t="s">
        <v>282</v>
      </c>
      <c r="AO3936" s="522" t="s">
        <v>278</v>
      </c>
      <c r="AR3936" s="51"/>
      <c r="AS3936" s="42" t="s">
        <v>139</v>
      </c>
    </row>
    <row r="3937" spans="1:45" s="520" customFormat="1" ht="12" customHeight="1">
      <c r="A3937" s="747">
        <v>4</v>
      </c>
      <c r="B3937" s="523" t="s">
        <v>141</v>
      </c>
      <c r="C3937" s="748"/>
      <c r="D3937" s="749" t="s">
        <v>1713</v>
      </c>
      <c r="E3937" s="750">
        <f ca="1">IF(AND($A3937=0,$A$1="DIF"),0, ROUND(ROUND(($R3943*$S$2+($T3943*$T$2))/A3937,2)*$C$2,2))</f>
        <v>196.52</v>
      </c>
      <c r="F3937" s="751">
        <f ca="1">ROUND($A3937*$E3937,2)</f>
        <v>786.08</v>
      </c>
      <c r="G3937" s="752" t="s">
        <v>142</v>
      </c>
      <c r="H3937" s="753"/>
      <c r="I3937" s="754"/>
      <c r="J3937" s="753"/>
      <c r="K3937" s="753" t="s">
        <v>3</v>
      </c>
      <c r="L3937" s="755" t="s">
        <v>143</v>
      </c>
      <c r="M3937" s="755"/>
      <c r="N3937" s="755"/>
      <c r="O3937" s="755"/>
      <c r="P3937" s="755"/>
      <c r="Q3937" s="51"/>
      <c r="T3937" s="756" t="str">
        <f ca="1">IF(AND($R3943=0,$T3943=0),"0.00","mu :" &amp; ROUND($F3937/$C$2/($R3943+$T3943*$D$9),2))</f>
        <v>mu :1.23</v>
      </c>
      <c r="W3937" s="524"/>
      <c r="AG3937" s="481">
        <f ca="1">IF($E3937=0,0,ROUND($R3943*$S$2*$C$2/$A3937,2))</f>
        <v>89.24</v>
      </c>
      <c r="AH3937" s="481">
        <f ca="1">$AG3937*$A3937</f>
        <v>356.96</v>
      </c>
      <c r="AI3937" s="525">
        <f ca="1">$E3937-$AG3937</f>
        <v>107.28000000000002</v>
      </c>
      <c r="AJ3937" s="525">
        <f ca="1">$A3937*$AI3937</f>
        <v>429.12000000000006</v>
      </c>
      <c r="AK3937" s="526">
        <f ca="1">ROUND(($AG3937+$AI3937)*$A3937,2)</f>
        <v>786.08</v>
      </c>
      <c r="AM3937" s="527">
        <f ca="1">ROUND(R3943,2)</f>
        <v>289.88</v>
      </c>
      <c r="AN3937" s="528">
        <f ca="1">ROUND(T3943,2)</f>
        <v>12.69</v>
      </c>
      <c r="AO3937" s="529">
        <f ca="1">ROUND(AM3937+AN3937,2)*A3937</f>
        <v>1210.28</v>
      </c>
      <c r="AR3937" s="747">
        <v>4</v>
      </c>
      <c r="AS3937" s="751">
        <v>833.04</v>
      </c>
    </row>
    <row r="3938" spans="1:45" s="520" customFormat="1" ht="13.2">
      <c r="A3938" s="748"/>
      <c r="B3938"/>
      <c r="C3938" s="748"/>
      <c r="D3938" s="749" t="s">
        <v>788</v>
      </c>
      <c r="F3938" s="753"/>
      <c r="G3938" s="3"/>
      <c r="H3938" s="753"/>
      <c r="I3938" s="754"/>
      <c r="J3938" s="753"/>
      <c r="K3938" s="753" t="s">
        <v>144</v>
      </c>
      <c r="L3938" s="753"/>
      <c r="M3938" s="753"/>
      <c r="N3938" s="753"/>
      <c r="O3938" s="753"/>
      <c r="P3938" s="753"/>
      <c r="Q3938" s="51"/>
      <c r="R3938" s="530"/>
      <c r="S3938" s="757"/>
      <c r="T3938" s="753"/>
      <c r="AR3938" s="748"/>
      <c r="AS3938" s="753"/>
    </row>
    <row r="3939" spans="1:45" s="886" customFormat="1" ht="16.350000000000001" customHeight="1">
      <c r="A3939"/>
      <c r="B3939" s="910"/>
      <c r="C3939" s="910" t="s">
        <v>2597</v>
      </c>
      <c r="D3939" s="910" t="str">
        <f ca="1">CELL("Address",Elec_Rates!D$112)</f>
        <v>[E25_0062_Quintano_Foods_Elec_ELV_As_Awarded.xlsx]Elec_Rates!$D$112</v>
      </c>
      <c r="E3939" s="911"/>
      <c r="F3939" s="911"/>
      <c r="G3939" s="912" t="s">
        <v>2598</v>
      </c>
      <c r="H3939" s="912"/>
      <c r="I3939" s="912"/>
      <c r="J3939" s="912"/>
      <c r="K3939" s="913"/>
      <c r="L3939" s="911"/>
      <c r="M3939" s="911"/>
      <c r="N3939" s="911"/>
      <c r="O3939" s="914"/>
      <c r="P3939" s="911"/>
      <c r="Q3939" s="915"/>
      <c r="R3939" s="916"/>
      <c r="S3939" s="915"/>
      <c r="T3939" s="917"/>
      <c r="U3939" s="918"/>
      <c r="AR3939"/>
      <c r="AS3939" s="911"/>
    </row>
    <row r="3940" spans="1:45" s="886" customFormat="1" ht="11.4">
      <c r="A3940" s="919">
        <v>4</v>
      </c>
      <c r="B3940" s="920">
        <v>1</v>
      </c>
      <c r="C3940" s="920">
        <f>$A3940*$B3940</f>
        <v>4</v>
      </c>
      <c r="D3940" s="921" t="str">
        <f>Elec_Rates!$D$112</f>
        <v>009# Power points rate (Galvanised conduit)</v>
      </c>
      <c r="E3940" s="921"/>
      <c r="F3940" s="921" t="s">
        <v>2599</v>
      </c>
      <c r="G3940" s="922" t="s">
        <v>2601</v>
      </c>
      <c r="H3940" s="922"/>
      <c r="I3940" s="922"/>
      <c r="J3940" s="922"/>
      <c r="K3940" s="923"/>
      <c r="L3940" s="918"/>
      <c r="M3940" s="918"/>
      <c r="N3940" s="918"/>
      <c r="O3940" s="924"/>
      <c r="P3940" s="921"/>
      <c r="Q3940" s="925">
        <f ca="1">$B3940*Elec_Rates!$R$112</f>
        <v>64.069999999999993</v>
      </c>
      <c r="R3940" s="916">
        <f ca="1">$A3940*Q3940</f>
        <v>256.27999999999997</v>
      </c>
      <c r="S3940" s="925">
        <f ca="1">$B3940*Elec_Rates!$T$112</f>
        <v>3.02</v>
      </c>
      <c r="T3940" s="917">
        <f ca="1">$A3940*S3940</f>
        <v>12.08</v>
      </c>
      <c r="U3940" s="926"/>
      <c r="AR3940" s="919">
        <v>4</v>
      </c>
      <c r="AS3940" s="921" t="s">
        <v>2599</v>
      </c>
    </row>
    <row r="3941" spans="1:45" s="901" customFormat="1" ht="13.2">
      <c r="A3941" s="116">
        <v>4</v>
      </c>
      <c r="B3941" s="901" t="s">
        <v>141</v>
      </c>
      <c r="D3941" s="901" t="s">
        <v>2870</v>
      </c>
      <c r="E3941" s="901" t="s">
        <v>3424</v>
      </c>
      <c r="F3941" s="1054" t="s">
        <v>3433</v>
      </c>
      <c r="G3941" s="941" t="s">
        <v>2871</v>
      </c>
      <c r="H3941" s="942">
        <v>705</v>
      </c>
      <c r="I3941" s="901" t="s">
        <v>2872</v>
      </c>
      <c r="J3941" s="901" t="s">
        <v>2873</v>
      </c>
      <c r="O3941" s="943">
        <v>3</v>
      </c>
      <c r="P3941" s="944">
        <v>34669</v>
      </c>
      <c r="Q3941" s="945">
        <v>8.4</v>
      </c>
      <c r="R3941" s="946">
        <f>$A3941*Q3941</f>
        <v>33.6</v>
      </c>
      <c r="S3941" s="945">
        <v>0.17</v>
      </c>
      <c r="T3941" s="947">
        <f>$A3941*S3941*$T$1</f>
        <v>0.6120000000000001</v>
      </c>
      <c r="AR3941" s="116">
        <v>4</v>
      </c>
      <c r="AS3941" s="1054" t="s">
        <v>3433</v>
      </c>
    </row>
    <row r="3942" spans="1:45" s="520" customFormat="1" ht="12">
      <c r="A3942" s="758"/>
      <c r="B3942" s="758"/>
      <c r="C3942" s="758"/>
      <c r="D3942" s="758"/>
      <c r="E3942" s="758"/>
      <c r="F3942" s="753"/>
      <c r="G3942" s="758"/>
      <c r="H3942" s="758"/>
      <c r="I3942" s="519"/>
      <c r="J3942" s="758"/>
      <c r="K3942" s="758"/>
      <c r="L3942" s="758"/>
      <c r="M3942" s="758"/>
      <c r="N3942" s="758"/>
      <c r="O3942" s="758"/>
      <c r="P3942" s="758"/>
      <c r="Q3942" s="519"/>
      <c r="R3942" s="759">
        <f>$A3942*Q3942</f>
        <v>0</v>
      </c>
      <c r="S3942" s="519"/>
      <c r="T3942" s="760">
        <f>$A3942*S3942*$T$1</f>
        <v>0</v>
      </c>
      <c r="AR3942" s="758"/>
      <c r="AS3942" s="753"/>
    </row>
    <row r="3943" spans="1:45" s="520" customFormat="1" ht="12.6" thickBot="1">
      <c r="A3943" s="761" t="s">
        <v>145</v>
      </c>
      <c r="B3943" s="762">
        <f>(R3942+T3942)</f>
        <v>0</v>
      </c>
      <c r="C3943" s="763"/>
      <c r="D3943" s="763"/>
      <c r="E3943" s="763"/>
      <c r="F3943" s="764"/>
      <c r="G3943" s="763" t="s">
        <v>146</v>
      </c>
      <c r="H3943" s="763"/>
      <c r="I3943" s="765"/>
      <c r="J3943" s="763"/>
      <c r="K3943" s="763" t="s">
        <v>3</v>
      </c>
      <c r="L3943" s="766" t="s">
        <v>143</v>
      </c>
      <c r="M3943" s="766"/>
      <c r="N3943" s="766"/>
      <c r="O3943" s="766"/>
      <c r="P3943" s="766"/>
      <c r="Q3943" s="767"/>
      <c r="R3943" s="768">
        <f ca="1">SUM(R3938:R3942)</f>
        <v>289.88</v>
      </c>
      <c r="S3943" s="763"/>
      <c r="T3943" s="768">
        <f ca="1">SUM(T3938:T3942)</f>
        <v>12.692</v>
      </c>
      <c r="U3943" s="531"/>
      <c r="V3943" s="531"/>
      <c r="W3943" s="531"/>
      <c r="X3943" s="531"/>
      <c r="Y3943" s="531"/>
      <c r="Z3943" s="531"/>
      <c r="AA3943" s="531"/>
      <c r="AB3943" s="531"/>
      <c r="AC3943" s="531"/>
      <c r="AD3943" s="531"/>
      <c r="AE3943" s="531"/>
      <c r="AF3943" s="531"/>
      <c r="AG3943" s="531"/>
      <c r="AH3943" s="531"/>
      <c r="AI3943" s="531"/>
      <c r="AJ3943" s="531"/>
      <c r="AK3943" s="531"/>
      <c r="AL3943" s="531"/>
      <c r="AM3943" s="531"/>
      <c r="AN3943" s="531"/>
      <c r="AO3943" s="531"/>
      <c r="AR3943" s="761" t="s">
        <v>145</v>
      </c>
      <c r="AS3943" s="764"/>
    </row>
    <row r="3944" spans="1:45" s="520" customFormat="1" ht="12" thickTop="1">
      <c r="A3944" s="51"/>
      <c r="B3944" s="41"/>
      <c r="C3944" s="51"/>
      <c r="E3944" s="42" t="s">
        <v>138</v>
      </c>
      <c r="F3944" s="42" t="s">
        <v>139</v>
      </c>
      <c r="G3944" s="51"/>
      <c r="H3944" s="51"/>
      <c r="I3944" s="51"/>
      <c r="J3944" s="51"/>
      <c r="K3944" s="51" t="s">
        <v>140</v>
      </c>
      <c r="L3944" s="51"/>
      <c r="M3944" s="51"/>
      <c r="N3944" s="51"/>
      <c r="O3944" s="52"/>
      <c r="P3944" s="51"/>
      <c r="Q3944" s="51"/>
      <c r="R3944" s="51"/>
      <c r="S3944" s="51"/>
      <c r="T3944" s="41"/>
      <c r="AG3944" s="521" t="s">
        <v>268</v>
      </c>
      <c r="AH3944" s="521" t="s">
        <v>269</v>
      </c>
      <c r="AI3944" s="521" t="s">
        <v>270</v>
      </c>
      <c r="AJ3944" s="521" t="s">
        <v>271</v>
      </c>
      <c r="AK3944" s="521" t="s">
        <v>272</v>
      </c>
      <c r="AM3944" s="745" t="s">
        <v>281</v>
      </c>
      <c r="AN3944" s="746" t="s">
        <v>282</v>
      </c>
      <c r="AO3944" s="522" t="s">
        <v>278</v>
      </c>
      <c r="AR3944" s="51"/>
      <c r="AS3944" s="42" t="s">
        <v>139</v>
      </c>
    </row>
    <row r="3945" spans="1:45" s="520" customFormat="1" ht="12" customHeight="1">
      <c r="A3945" s="747">
        <v>2</v>
      </c>
      <c r="B3945" s="523" t="s">
        <v>141</v>
      </c>
      <c r="C3945" s="748"/>
      <c r="D3945" s="749" t="s">
        <v>1714</v>
      </c>
      <c r="E3945" s="750">
        <f ca="1">IF(AND($A3945=0,$A$1="DIF"),0, ROUND(ROUND(($R3951*$S$2+($T3951*$T$2))/A3945,2)*$C$2,2))</f>
        <v>759.48</v>
      </c>
      <c r="F3945" s="751">
        <f ca="1">ROUND($A3945*$E3945,2)</f>
        <v>1518.96</v>
      </c>
      <c r="G3945" s="752" t="s">
        <v>142</v>
      </c>
      <c r="H3945" s="753"/>
      <c r="I3945" s="754"/>
      <c r="J3945" s="753"/>
      <c r="K3945" s="753" t="s">
        <v>3</v>
      </c>
      <c r="L3945" s="755" t="s">
        <v>143</v>
      </c>
      <c r="M3945" s="755"/>
      <c r="N3945" s="755"/>
      <c r="O3945" s="755"/>
      <c r="P3945" s="755"/>
      <c r="Q3945" s="51"/>
      <c r="T3945" s="756" t="str">
        <f ca="1">IF(AND($R3951=0,$T3951=0),"0.00","mu :" &amp; ROUND($F3945/$C$2/($R3951+$T3951*$D$9),2))</f>
        <v>mu :1.23</v>
      </c>
      <c r="W3945" s="524"/>
      <c r="AG3945" s="481">
        <f ca="1">IF($E3945=0,0,ROUND($R3951*$S$2*$C$2/$A3945,2))</f>
        <v>585.58000000000004</v>
      </c>
      <c r="AH3945" s="481">
        <f ca="1">$AG3945*$A3945</f>
        <v>1171.1600000000001</v>
      </c>
      <c r="AI3945" s="525">
        <f ca="1">$E3945-$AG3945</f>
        <v>173.89999999999998</v>
      </c>
      <c r="AJ3945" s="525">
        <f ca="1">$A3945*$AI3945</f>
        <v>347.79999999999995</v>
      </c>
      <c r="AK3945" s="526">
        <f ca="1">ROUND(($AG3945+$AI3945)*$A3945,2)</f>
        <v>1518.96</v>
      </c>
      <c r="AM3945" s="527">
        <f ca="1">ROUND(R3951,2)</f>
        <v>951.12</v>
      </c>
      <c r="AN3945" s="528">
        <f ca="1">ROUND(T3951,2)</f>
        <v>10.29</v>
      </c>
      <c r="AO3945" s="529">
        <f ca="1">ROUND(AM3945+AN3945,2)*A3945</f>
        <v>1922.82</v>
      </c>
      <c r="AR3945" s="747">
        <v>2</v>
      </c>
      <c r="AS3945" s="751">
        <v>1598.86</v>
      </c>
    </row>
    <row r="3946" spans="1:45" s="520" customFormat="1" ht="13.2">
      <c r="A3946" s="748"/>
      <c r="B3946"/>
      <c r="C3946" s="748"/>
      <c r="D3946" s="749" t="s">
        <v>755</v>
      </c>
      <c r="F3946" s="753"/>
      <c r="G3946" s="3"/>
      <c r="H3946" s="753"/>
      <c r="I3946" s="754"/>
      <c r="J3946" s="753"/>
      <c r="K3946" s="753" t="s">
        <v>144</v>
      </c>
      <c r="L3946" s="753"/>
      <c r="M3946" s="753"/>
      <c r="N3946" s="753"/>
      <c r="O3946" s="753"/>
      <c r="P3946" s="753"/>
      <c r="Q3946" s="51"/>
      <c r="R3946" s="530"/>
      <c r="S3946" s="757"/>
      <c r="T3946" s="753"/>
      <c r="AR3946" s="748"/>
      <c r="AS3946" s="753"/>
    </row>
    <row r="3947" spans="1:45" s="886" customFormat="1" ht="13.2">
      <c r="A3947"/>
      <c r="B3947" s="910"/>
      <c r="C3947" s="910" t="s">
        <v>2597</v>
      </c>
      <c r="D3947" s="910" t="str">
        <f ca="1">CELL("Address",Elec_Rates!D$120)</f>
        <v>[E25_0062_Quintano_Foods_Elec_ELV_As_Awarded.xlsx]Elec_Rates!$D$120</v>
      </c>
      <c r="E3947" s="911"/>
      <c r="F3947" s="911"/>
      <c r="G3947" s="912" t="s">
        <v>2598</v>
      </c>
      <c r="H3947" s="912"/>
      <c r="I3947" s="912"/>
      <c r="J3947" s="912"/>
      <c r="K3947" s="913"/>
      <c r="L3947" s="911"/>
      <c r="M3947" s="911"/>
      <c r="N3947" s="911"/>
      <c r="O3947" s="914"/>
      <c r="P3947" s="911"/>
      <c r="Q3947" s="915"/>
      <c r="R3947" s="916"/>
      <c r="S3947" s="915"/>
      <c r="T3947" s="917"/>
      <c r="U3947" s="918"/>
      <c r="AR3947"/>
      <c r="AS3947" s="911"/>
    </row>
    <row r="3948" spans="1:45" s="886" customFormat="1" ht="11.4">
      <c r="A3948" s="919">
        <v>2</v>
      </c>
      <c r="B3948" s="920">
        <v>1</v>
      </c>
      <c r="C3948" s="920">
        <f>$A3948*$B3948</f>
        <v>2</v>
      </c>
      <c r="D3948" s="921" t="str">
        <f>Elec_Rates!$D$120</f>
        <v>010# Power points rate galvanised conduit (CWZ LSZH Cable)</v>
      </c>
      <c r="E3948" s="921"/>
      <c r="F3948" s="921" t="s">
        <v>2599</v>
      </c>
      <c r="G3948" s="922" t="s">
        <v>2601</v>
      </c>
      <c r="H3948" s="922"/>
      <c r="I3948" s="922"/>
      <c r="J3948" s="922"/>
      <c r="K3948" s="923"/>
      <c r="L3948" s="918"/>
      <c r="M3948" s="918"/>
      <c r="N3948" s="918"/>
      <c r="O3948" s="924"/>
      <c r="P3948" s="921"/>
      <c r="Q3948" s="925">
        <f ca="1">$B3948*Elec_Rates!$R$120</f>
        <v>467.96</v>
      </c>
      <c r="R3948" s="916">
        <f ca="1">$A3948*Q3948</f>
        <v>935.92</v>
      </c>
      <c r="S3948" s="925">
        <f ca="1">$B3948*Elec_Rates!$T$120</f>
        <v>4.99</v>
      </c>
      <c r="T3948" s="917">
        <f ca="1">$A3948*S3948</f>
        <v>9.98</v>
      </c>
      <c r="U3948" s="926"/>
      <c r="AR3948" s="919">
        <v>2</v>
      </c>
      <c r="AS3948" s="921" t="s">
        <v>2599</v>
      </c>
    </row>
    <row r="3949" spans="1:45" s="901" customFormat="1" ht="13.2">
      <c r="A3949" s="116">
        <v>2</v>
      </c>
      <c r="B3949" s="901" t="s">
        <v>141</v>
      </c>
      <c r="D3949" s="901" t="s">
        <v>2874</v>
      </c>
      <c r="E3949" s="901" t="s">
        <v>3424</v>
      </c>
      <c r="F3949" s="1054" t="s">
        <v>3431</v>
      </c>
      <c r="G3949" s="941" t="s">
        <v>2875</v>
      </c>
      <c r="H3949" s="942">
        <v>705</v>
      </c>
      <c r="I3949" s="901" t="s">
        <v>2872</v>
      </c>
      <c r="J3949" s="901" t="s">
        <v>2876</v>
      </c>
      <c r="O3949" s="943">
        <v>3</v>
      </c>
      <c r="P3949" s="944">
        <v>34700</v>
      </c>
      <c r="Q3949" s="945">
        <v>7.6</v>
      </c>
      <c r="R3949" s="946">
        <f>$A3949*Q3949</f>
        <v>15.2</v>
      </c>
      <c r="S3949" s="945">
        <v>0.17</v>
      </c>
      <c r="T3949" s="947">
        <f>$A3949*S3949*$T$1</f>
        <v>0.30600000000000005</v>
      </c>
      <c r="AR3949" s="116">
        <v>2</v>
      </c>
      <c r="AS3949" s="1054" t="s">
        <v>3431</v>
      </c>
    </row>
    <row r="3950" spans="1:45" s="520" customFormat="1" ht="12">
      <c r="A3950" s="758"/>
      <c r="B3950" s="758"/>
      <c r="C3950" s="758"/>
      <c r="D3950" s="758"/>
      <c r="E3950" s="758"/>
      <c r="F3950" s="753"/>
      <c r="G3950" s="758"/>
      <c r="H3950" s="758"/>
      <c r="I3950" s="519"/>
      <c r="J3950" s="758"/>
      <c r="K3950" s="758"/>
      <c r="L3950" s="758"/>
      <c r="M3950" s="758"/>
      <c r="N3950" s="758"/>
      <c r="O3950" s="758"/>
      <c r="P3950" s="758"/>
      <c r="Q3950" s="519"/>
      <c r="R3950" s="759">
        <f>$A3950*Q3950</f>
        <v>0</v>
      </c>
      <c r="S3950" s="519"/>
      <c r="T3950" s="760">
        <f>$A3950*S3950*$T$1</f>
        <v>0</v>
      </c>
      <c r="AR3950" s="758"/>
      <c r="AS3950" s="753"/>
    </row>
    <row r="3951" spans="1:45" s="520" customFormat="1" ht="12.6" thickBot="1">
      <c r="A3951" s="761" t="s">
        <v>145</v>
      </c>
      <c r="B3951" s="762">
        <f>(R3950+T3950)</f>
        <v>0</v>
      </c>
      <c r="C3951" s="763"/>
      <c r="D3951" s="763"/>
      <c r="E3951" s="763"/>
      <c r="F3951" s="764"/>
      <c r="G3951" s="763" t="s">
        <v>146</v>
      </c>
      <c r="H3951" s="763"/>
      <c r="I3951" s="765"/>
      <c r="J3951" s="763"/>
      <c r="K3951" s="763" t="s">
        <v>3</v>
      </c>
      <c r="L3951" s="766" t="s">
        <v>143</v>
      </c>
      <c r="M3951" s="766"/>
      <c r="N3951" s="766"/>
      <c r="O3951" s="766"/>
      <c r="P3951" s="766"/>
      <c r="Q3951" s="767"/>
      <c r="R3951" s="768">
        <f ca="1">SUM(R3946:R3950)</f>
        <v>951.12</v>
      </c>
      <c r="S3951" s="763"/>
      <c r="T3951" s="768">
        <f ca="1">SUM(T3946:T3950)</f>
        <v>10.286000000000001</v>
      </c>
      <c r="U3951" s="531"/>
      <c r="V3951" s="531"/>
      <c r="W3951" s="531"/>
      <c r="X3951" s="531"/>
      <c r="Y3951" s="531"/>
      <c r="Z3951" s="531"/>
      <c r="AA3951" s="531"/>
      <c r="AB3951" s="531"/>
      <c r="AC3951" s="531"/>
      <c r="AD3951" s="531"/>
      <c r="AE3951" s="531"/>
      <c r="AF3951" s="531"/>
      <c r="AG3951" s="531"/>
      <c r="AH3951" s="531"/>
      <c r="AI3951" s="531"/>
      <c r="AJ3951" s="531"/>
      <c r="AK3951" s="531"/>
      <c r="AL3951" s="531"/>
      <c r="AM3951" s="531"/>
      <c r="AN3951" s="531"/>
      <c r="AO3951" s="531"/>
      <c r="AR3951" s="761" t="s">
        <v>145</v>
      </c>
      <c r="AS3951" s="764"/>
    </row>
    <row r="3952" spans="1:45" s="520" customFormat="1" ht="12" thickTop="1">
      <c r="A3952" s="51"/>
      <c r="B3952" s="41"/>
      <c r="C3952" s="51"/>
      <c r="E3952" s="42" t="s">
        <v>138</v>
      </c>
      <c r="F3952" s="42" t="s">
        <v>139</v>
      </c>
      <c r="G3952" s="51"/>
      <c r="H3952" s="51"/>
      <c r="I3952" s="51"/>
      <c r="J3952" s="51"/>
      <c r="K3952" s="51" t="s">
        <v>140</v>
      </c>
      <c r="L3952" s="51"/>
      <c r="M3952" s="51"/>
      <c r="N3952" s="51"/>
      <c r="O3952" s="52"/>
      <c r="P3952" s="51"/>
      <c r="Q3952" s="51"/>
      <c r="R3952" s="51"/>
      <c r="S3952" s="51"/>
      <c r="T3952" s="41"/>
      <c r="AG3952" s="521" t="s">
        <v>268</v>
      </c>
      <c r="AH3952" s="521" t="s">
        <v>269</v>
      </c>
      <c r="AI3952" s="521" t="s">
        <v>270</v>
      </c>
      <c r="AJ3952" s="521" t="s">
        <v>271</v>
      </c>
      <c r="AK3952" s="521" t="s">
        <v>272</v>
      </c>
      <c r="AM3952" s="745" t="s">
        <v>281</v>
      </c>
      <c r="AN3952" s="746" t="s">
        <v>282</v>
      </c>
      <c r="AO3952" s="522" t="s">
        <v>278</v>
      </c>
      <c r="AR3952" s="51"/>
      <c r="AS3952" s="42" t="s">
        <v>139</v>
      </c>
    </row>
    <row r="3953" spans="1:45" s="520" customFormat="1" ht="12" customHeight="1">
      <c r="A3953" s="747">
        <v>9</v>
      </c>
      <c r="B3953" s="523" t="s">
        <v>141</v>
      </c>
      <c r="C3953" s="748"/>
      <c r="D3953" s="749" t="s">
        <v>1715</v>
      </c>
      <c r="E3953" s="750">
        <f ca="1">IF(AND($A3953=0,$A$1="DIF"),0, ROUND(ROUND(($R3958*$S$2+($T3958*$T$2))/A3953,2)*$C$2,2))</f>
        <v>208.63</v>
      </c>
      <c r="F3953" s="751">
        <f ca="1">ROUND($A3953*$E3953,2)</f>
        <v>1877.67</v>
      </c>
      <c r="G3953" s="752" t="s">
        <v>142</v>
      </c>
      <c r="H3953" s="753"/>
      <c r="I3953" s="754"/>
      <c r="J3953" s="753"/>
      <c r="K3953" s="753" t="s">
        <v>3</v>
      </c>
      <c r="L3953" s="755" t="s">
        <v>143</v>
      </c>
      <c r="M3953" s="755"/>
      <c r="N3953" s="755"/>
      <c r="O3953" s="755"/>
      <c r="P3953" s="755"/>
      <c r="Q3953" s="51"/>
      <c r="T3953" s="756" t="str">
        <f ca="1">IF(AND($R3958=0,$T3958=0),"0.00","mu :" &amp; ROUND($F3953/$C$2/($R3958+$T3958*$D$9),2))</f>
        <v>mu :1.23</v>
      </c>
      <c r="W3953" s="524"/>
      <c r="AG3953" s="481">
        <f ca="1">IF($E3953=0,0,ROUND($R3958*$S$2*$C$2/$A3953,2))</f>
        <v>91.64</v>
      </c>
      <c r="AH3953" s="481">
        <f ca="1">$AG3953*$A3953</f>
        <v>824.76</v>
      </c>
      <c r="AI3953" s="525">
        <f ca="1">$E3953-$AG3953</f>
        <v>116.99</v>
      </c>
      <c r="AJ3953" s="525">
        <f ca="1">$A3953*$AI3953</f>
        <v>1052.9099999999999</v>
      </c>
      <c r="AK3953" s="526">
        <f ca="1">ROUND(($AG3953+$AI3953)*$A3953,2)</f>
        <v>1877.67</v>
      </c>
      <c r="AM3953" s="527">
        <f ca="1">ROUND(R3958,2)</f>
        <v>669.78</v>
      </c>
      <c r="AN3953" s="528">
        <f ca="1">ROUND(T3958,2)</f>
        <v>31.14</v>
      </c>
      <c r="AO3953" s="529">
        <f ca="1">ROUND(AM3953+AN3953,2)*A3953</f>
        <v>6308.28</v>
      </c>
      <c r="AR3953" s="747">
        <v>9</v>
      </c>
      <c r="AS3953" s="751">
        <v>1993.32</v>
      </c>
    </row>
    <row r="3954" spans="1:45" s="520" customFormat="1" ht="13.2">
      <c r="A3954" s="748"/>
      <c r="B3954"/>
      <c r="C3954" s="748"/>
      <c r="D3954" s="749" t="s">
        <v>757</v>
      </c>
      <c r="F3954" s="753"/>
      <c r="G3954" s="3"/>
      <c r="H3954" s="753"/>
      <c r="I3954" s="754"/>
      <c r="J3954" s="753"/>
      <c r="K3954" s="753" t="s">
        <v>144</v>
      </c>
      <c r="L3954" s="753"/>
      <c r="M3954" s="753"/>
      <c r="N3954" s="753"/>
      <c r="O3954" s="753"/>
      <c r="P3954" s="753"/>
      <c r="Q3954" s="51"/>
      <c r="R3954" s="530"/>
      <c r="S3954" s="757"/>
      <c r="T3954" s="753"/>
      <c r="AR3954" s="748"/>
      <c r="AS3954" s="753"/>
    </row>
    <row r="3955" spans="1:45" s="886" customFormat="1" ht="13.2">
      <c r="A3955"/>
      <c r="B3955" s="910"/>
      <c r="C3955" s="910" t="s">
        <v>2597</v>
      </c>
      <c r="D3955" s="910" t="str">
        <f ca="1">CELL("Address",Elec_Rates!D$134)</f>
        <v>[E25_0062_Quintano_Foods_Elec_ELV_As_Awarded.xlsx]Elec_Rates!$D$134</v>
      </c>
      <c r="E3955" s="911"/>
      <c r="F3955" s="911"/>
      <c r="G3955" s="912" t="s">
        <v>2598</v>
      </c>
      <c r="H3955" s="912"/>
      <c r="I3955" s="912"/>
      <c r="J3955" s="912"/>
      <c r="K3955" s="913"/>
      <c r="L3955" s="911"/>
      <c r="M3955" s="911"/>
      <c r="N3955" s="911"/>
      <c r="O3955" s="914"/>
      <c r="P3955" s="911"/>
      <c r="Q3955" s="915"/>
      <c r="R3955" s="916"/>
      <c r="S3955" s="915"/>
      <c r="T3955" s="917"/>
      <c r="U3955" s="918"/>
      <c r="AR3955"/>
      <c r="AS3955" s="911"/>
    </row>
    <row r="3956" spans="1:45" s="886" customFormat="1" ht="11.4">
      <c r="A3956" s="919">
        <v>9</v>
      </c>
      <c r="B3956" s="920">
        <v>1</v>
      </c>
      <c r="C3956" s="920">
        <f>$A3956*$B3956</f>
        <v>9</v>
      </c>
      <c r="D3956" s="921" t="str">
        <f>Elec_Rates!$D$134</f>
        <v>012# Single phase isolator / socket outlet point Galvanised conduit</v>
      </c>
      <c r="E3956" s="921"/>
      <c r="F3956" s="921" t="s">
        <v>2599</v>
      </c>
      <c r="G3956" s="922" t="s">
        <v>2600</v>
      </c>
      <c r="H3956" s="922"/>
      <c r="I3956" s="922"/>
      <c r="J3956" s="922"/>
      <c r="K3956" s="923"/>
      <c r="L3956" s="918"/>
      <c r="M3956" s="918"/>
      <c r="N3956" s="918"/>
      <c r="O3956" s="924"/>
      <c r="P3956" s="921"/>
      <c r="Q3956" s="925">
        <f ca="1">$B3956*Elec_Rates!$R$134</f>
        <v>74.42</v>
      </c>
      <c r="R3956" s="916">
        <f ca="1">$A3956*Q3956</f>
        <v>669.78</v>
      </c>
      <c r="S3956" s="925">
        <f ca="1">$B3956*Elec_Rates!$T$134</f>
        <v>3.46</v>
      </c>
      <c r="T3956" s="917">
        <f ca="1">$A3956*S3956</f>
        <v>31.14</v>
      </c>
      <c r="U3956" s="926"/>
      <c r="AR3956" s="919">
        <v>9</v>
      </c>
      <c r="AS3956" s="921" t="s">
        <v>2599</v>
      </c>
    </row>
    <row r="3957" spans="1:45" s="520" customFormat="1" ht="12">
      <c r="A3957" s="758"/>
      <c r="B3957" s="758"/>
      <c r="C3957" s="758"/>
      <c r="D3957" s="758"/>
      <c r="E3957" s="758"/>
      <c r="F3957" s="753"/>
      <c r="G3957" s="758"/>
      <c r="H3957" s="758"/>
      <c r="I3957" s="519"/>
      <c r="J3957" s="758"/>
      <c r="K3957" s="758"/>
      <c r="L3957" s="758"/>
      <c r="M3957" s="758"/>
      <c r="N3957" s="758"/>
      <c r="O3957" s="758"/>
      <c r="P3957" s="758"/>
      <c r="Q3957" s="519"/>
      <c r="R3957" s="759">
        <f>$A3957*Q3957</f>
        <v>0</v>
      </c>
      <c r="S3957" s="519"/>
      <c r="T3957" s="760">
        <f>$A3957*S3957*$T$1</f>
        <v>0</v>
      </c>
      <c r="AR3957" s="758"/>
      <c r="AS3957" s="753"/>
    </row>
    <row r="3958" spans="1:45" s="520" customFormat="1" ht="12.6" thickBot="1">
      <c r="A3958" s="761" t="s">
        <v>145</v>
      </c>
      <c r="B3958" s="762">
        <f>(R3957+T3957)</f>
        <v>0</v>
      </c>
      <c r="C3958" s="763"/>
      <c r="D3958" s="763"/>
      <c r="E3958" s="763"/>
      <c r="F3958" s="764"/>
      <c r="G3958" s="763" t="s">
        <v>146</v>
      </c>
      <c r="H3958" s="763"/>
      <c r="I3958" s="765"/>
      <c r="J3958" s="763"/>
      <c r="K3958" s="763" t="s">
        <v>3</v>
      </c>
      <c r="L3958" s="766" t="s">
        <v>143</v>
      </c>
      <c r="M3958" s="766"/>
      <c r="N3958" s="766"/>
      <c r="O3958" s="766"/>
      <c r="P3958" s="766"/>
      <c r="Q3958" s="767"/>
      <c r="R3958" s="768">
        <f ca="1">SUM(R3954:R3957)</f>
        <v>669.78</v>
      </c>
      <c r="S3958" s="763"/>
      <c r="T3958" s="768">
        <f ca="1">SUM(T3954:T3957)</f>
        <v>31.14</v>
      </c>
      <c r="U3958" s="531"/>
      <c r="V3958" s="531"/>
      <c r="W3958" s="531"/>
      <c r="X3958" s="531"/>
      <c r="Y3958" s="531"/>
      <c r="Z3958" s="531"/>
      <c r="AA3958" s="531"/>
      <c r="AB3958" s="531"/>
      <c r="AC3958" s="531"/>
      <c r="AD3958" s="531"/>
      <c r="AE3958" s="531"/>
      <c r="AF3958" s="531"/>
      <c r="AG3958" s="531"/>
      <c r="AH3958" s="531"/>
      <c r="AI3958" s="531"/>
      <c r="AJ3958" s="531"/>
      <c r="AK3958" s="531"/>
      <c r="AL3958" s="531"/>
      <c r="AM3958" s="531"/>
      <c r="AN3958" s="531"/>
      <c r="AO3958" s="531"/>
      <c r="AR3958" s="761" t="s">
        <v>145</v>
      </c>
      <c r="AS3958" s="764"/>
    </row>
    <row r="3959" spans="1:45" s="520" customFormat="1" ht="12" thickTop="1">
      <c r="A3959" s="51"/>
      <c r="B3959" s="41"/>
      <c r="C3959" s="51"/>
      <c r="E3959" s="42" t="s">
        <v>138</v>
      </c>
      <c r="F3959" s="42" t="s">
        <v>139</v>
      </c>
      <c r="G3959" s="51"/>
      <c r="H3959" s="51"/>
      <c r="I3959" s="51"/>
      <c r="J3959" s="51"/>
      <c r="K3959" s="51" t="s">
        <v>140</v>
      </c>
      <c r="L3959" s="51"/>
      <c r="M3959" s="51"/>
      <c r="N3959" s="51"/>
      <c r="O3959" s="52"/>
      <c r="P3959" s="51"/>
      <c r="Q3959" s="51"/>
      <c r="R3959" s="51"/>
      <c r="S3959" s="51"/>
      <c r="T3959" s="41"/>
      <c r="AG3959" s="521" t="s">
        <v>268</v>
      </c>
      <c r="AH3959" s="521" t="s">
        <v>269</v>
      </c>
      <c r="AI3959" s="521" t="s">
        <v>270</v>
      </c>
      <c r="AJ3959" s="521" t="s">
        <v>271</v>
      </c>
      <c r="AK3959" s="521" t="s">
        <v>272</v>
      </c>
      <c r="AM3959" s="745" t="s">
        <v>281</v>
      </c>
      <c r="AN3959" s="746" t="s">
        <v>282</v>
      </c>
      <c r="AO3959" s="522" t="s">
        <v>278</v>
      </c>
      <c r="AR3959" s="51"/>
      <c r="AS3959" s="42" t="s">
        <v>139</v>
      </c>
    </row>
    <row r="3960" spans="1:45" s="520" customFormat="1" ht="12" customHeight="1">
      <c r="A3960" s="747">
        <v>1</v>
      </c>
      <c r="B3960" s="523" t="s">
        <v>141</v>
      </c>
      <c r="C3960" s="748"/>
      <c r="D3960" s="749" t="s">
        <v>1716</v>
      </c>
      <c r="E3960" s="750">
        <f ca="1">IF(AND($A3960=0,$A$1="DIF"),0, ROUND(ROUND(($R3967*$S$2+($T3967*$T$2))/A3960,2)*$C$2,2))</f>
        <v>220.46</v>
      </c>
      <c r="F3960" s="751">
        <f ca="1">ROUND($A3960*$E3960,2)</f>
        <v>220.46</v>
      </c>
      <c r="G3960" s="752" t="s">
        <v>142</v>
      </c>
      <c r="H3960" s="753"/>
      <c r="I3960" s="754"/>
      <c r="J3960" s="753"/>
      <c r="K3960" s="753" t="s">
        <v>3</v>
      </c>
      <c r="L3960" s="755" t="s">
        <v>143</v>
      </c>
      <c r="M3960" s="755"/>
      <c r="N3960" s="755"/>
      <c r="O3960" s="755"/>
      <c r="P3960" s="755"/>
      <c r="Q3960" s="51"/>
      <c r="T3960" s="756" t="str">
        <f ca="1">IF(AND($R3967=0,$T3967=0),"0.00","mu :" &amp; ROUND($F3960/$C$2/($R3967+$T3967*$D$9),2))</f>
        <v>mu :1.23</v>
      </c>
      <c r="W3960" s="524"/>
      <c r="AG3960" s="481">
        <f ca="1">IF($E3960=0,0,ROUND($R3967*$S$2*$C$2/$A3960,2))</f>
        <v>105.5</v>
      </c>
      <c r="AH3960" s="481">
        <f ca="1">$AG3960*$A3960</f>
        <v>105.5</v>
      </c>
      <c r="AI3960" s="525">
        <f ca="1">$E3960-$AG3960</f>
        <v>114.96000000000001</v>
      </c>
      <c r="AJ3960" s="525">
        <f ca="1">$A3960*$AI3960</f>
        <v>114.96000000000001</v>
      </c>
      <c r="AK3960" s="526">
        <f ca="1">ROUND(($AG3960+$AI3960)*$A3960,2)</f>
        <v>220.46</v>
      </c>
      <c r="AM3960" s="527">
        <f ca="1">ROUND(R3967,2)</f>
        <v>85.68</v>
      </c>
      <c r="AN3960" s="528">
        <f ca="1">ROUND(T3967,2)</f>
        <v>3.4</v>
      </c>
      <c r="AO3960" s="529">
        <f ca="1">ROUND(AM3960+AN3960,2)*A3960</f>
        <v>89.08</v>
      </c>
      <c r="AR3960" s="747">
        <v>1</v>
      </c>
      <c r="AS3960" s="751">
        <v>233.31</v>
      </c>
    </row>
    <row r="3961" spans="1:45" s="520" customFormat="1" ht="13.2">
      <c r="A3961" s="748"/>
      <c r="B3961"/>
      <c r="C3961" s="748"/>
      <c r="D3961" s="749" t="s">
        <v>758</v>
      </c>
      <c r="F3961" s="753"/>
      <c r="G3961" s="3"/>
      <c r="H3961" s="753"/>
      <c r="I3961" s="754"/>
      <c r="J3961" s="753"/>
      <c r="K3961" s="753" t="s">
        <v>144</v>
      </c>
      <c r="L3961" s="753"/>
      <c r="M3961" s="753"/>
      <c r="N3961" s="753"/>
      <c r="O3961" s="753"/>
      <c r="P3961" s="753"/>
      <c r="Q3961" s="51"/>
      <c r="R3961" s="530"/>
      <c r="S3961" s="757"/>
      <c r="T3961" s="753"/>
      <c r="AR3961" s="748"/>
      <c r="AS3961" s="753"/>
    </row>
    <row r="3962" spans="1:45" s="886" customFormat="1" ht="13.2">
      <c r="A3962"/>
      <c r="B3962" s="910"/>
      <c r="C3962" s="910" t="s">
        <v>2597</v>
      </c>
      <c r="D3962" s="910" t="str">
        <f ca="1">CELL("Address",Elec_Rates!D$79)</f>
        <v>[E25_0062_Quintano_Foods_Elec_ELV_As_Awarded.xlsx]Elec_Rates!$D$79</v>
      </c>
      <c r="E3962" s="911"/>
      <c r="F3962" s="911"/>
      <c r="G3962" s="912" t="s">
        <v>2598</v>
      </c>
      <c r="H3962" s="912"/>
      <c r="I3962" s="912"/>
      <c r="J3962" s="912"/>
      <c r="K3962" s="913"/>
      <c r="L3962" s="911"/>
      <c r="M3962" s="911"/>
      <c r="N3962" s="911"/>
      <c r="O3962" s="914"/>
      <c r="P3962" s="911"/>
      <c r="Q3962" s="915"/>
      <c r="R3962" s="916"/>
      <c r="S3962" s="915"/>
      <c r="T3962" s="917"/>
      <c r="U3962" s="918"/>
      <c r="AR3962"/>
      <c r="AS3962" s="911"/>
    </row>
    <row r="3963" spans="1:45" s="886" customFormat="1" ht="11.4">
      <c r="A3963" s="919">
        <v>1</v>
      </c>
      <c r="B3963" s="920">
        <v>1</v>
      </c>
      <c r="C3963" s="920">
        <f>$A3963*$B3963</f>
        <v>1</v>
      </c>
      <c r="D3963" s="921" t="str">
        <f>Elec_Rates!$D$79</f>
        <v>006# Light point rate (Galvanised Conduit)  in Warehouse</v>
      </c>
      <c r="E3963" s="921" t="s">
        <v>3022</v>
      </c>
      <c r="F3963" s="918"/>
      <c r="G3963" s="922" t="s">
        <v>2878</v>
      </c>
      <c r="H3963" s="922"/>
      <c r="I3963" s="922"/>
      <c r="J3963" s="922"/>
      <c r="K3963" s="923"/>
      <c r="L3963" s="918"/>
      <c r="M3963" s="918"/>
      <c r="N3963" s="918"/>
      <c r="O3963" s="924"/>
      <c r="P3963" s="921"/>
      <c r="Q3963" s="925">
        <f ca="1">$B3963*Elec_Rates!$R$79</f>
        <v>57.28</v>
      </c>
      <c r="R3963" s="916">
        <f ca="1">$A3963*Q3963</f>
        <v>57.28</v>
      </c>
      <c r="S3963" s="925">
        <f ca="1">$B3963*Elec_Rates!$T$79</f>
        <v>2.36</v>
      </c>
      <c r="T3963" s="917">
        <f ca="1">$A3963*S3963</f>
        <v>2.36</v>
      </c>
      <c r="U3963" s="926"/>
      <c r="AR3963" s="919">
        <v>1</v>
      </c>
      <c r="AS3963" s="918"/>
    </row>
    <row r="3964" spans="1:45" s="886" customFormat="1" ht="13.2">
      <c r="A3964"/>
      <c r="B3964" s="910"/>
      <c r="C3964" s="910" t="s">
        <v>2597</v>
      </c>
      <c r="D3964" s="910" t="str">
        <f ca="1">CELL("Address",Elec_Rates!D$91)</f>
        <v>[E25_0062_Quintano_Foods_Elec_ELV_As_Awarded.xlsx]Elec_Rates!$D$91</v>
      </c>
      <c r="E3964" s="911"/>
      <c r="F3964" s="911"/>
      <c r="G3964" s="912" t="s">
        <v>2598</v>
      </c>
      <c r="H3964" s="912"/>
      <c r="I3964" s="912"/>
      <c r="J3964" s="912"/>
      <c r="K3964" s="913"/>
      <c r="L3964" s="911"/>
      <c r="M3964" s="911"/>
      <c r="N3964" s="911"/>
      <c r="O3964" s="914"/>
      <c r="P3964" s="911"/>
      <c r="Q3964" s="915"/>
      <c r="R3964" s="916"/>
      <c r="S3964" s="915"/>
      <c r="T3964" s="917"/>
      <c r="U3964" s="918"/>
      <c r="AR3964"/>
      <c r="AS3964" s="911"/>
    </row>
    <row r="3965" spans="1:45" s="886" customFormat="1" ht="11.4">
      <c r="A3965" s="919">
        <v>1</v>
      </c>
      <c r="B3965" s="920">
        <v>1</v>
      </c>
      <c r="C3965" s="920">
        <f>$A3965*$B3965</f>
        <v>1</v>
      </c>
      <c r="D3965" s="921" t="str">
        <f>Elec_Rates!$D$91</f>
        <v>007# Bracketing for Lighting in Warehouse</v>
      </c>
      <c r="E3965" s="921"/>
      <c r="F3965" s="921" t="s">
        <v>2599</v>
      </c>
      <c r="G3965" s="922" t="s">
        <v>2600</v>
      </c>
      <c r="H3965" s="922"/>
      <c r="I3965" s="922"/>
      <c r="J3965" s="922"/>
      <c r="K3965" s="923"/>
      <c r="L3965" s="918"/>
      <c r="M3965" s="918"/>
      <c r="N3965" s="918"/>
      <c r="O3965" s="924"/>
      <c r="P3965" s="921"/>
      <c r="Q3965" s="925">
        <f ca="1">$B3965*Elec_Rates!$R$91</f>
        <v>28.4</v>
      </c>
      <c r="R3965" s="916">
        <f ca="1">$A3965*Q3965</f>
        <v>28.4</v>
      </c>
      <c r="S3965" s="925">
        <f ca="1">$B3965*Elec_Rates!$T$91</f>
        <v>1.04</v>
      </c>
      <c r="T3965" s="917">
        <f ca="1">$A3965*S3965</f>
        <v>1.04</v>
      </c>
      <c r="U3965" s="926"/>
      <c r="AR3965" s="919">
        <v>1</v>
      </c>
      <c r="AS3965" s="921" t="s">
        <v>2599</v>
      </c>
    </row>
    <row r="3966" spans="1:45" s="520" customFormat="1" ht="12">
      <c r="A3966" s="758"/>
      <c r="B3966" s="758"/>
      <c r="C3966" s="758"/>
      <c r="D3966" s="758"/>
      <c r="E3966" s="758"/>
      <c r="F3966" s="753"/>
      <c r="G3966" s="758"/>
      <c r="H3966" s="758"/>
      <c r="I3966" s="519"/>
      <c r="J3966" s="758"/>
      <c r="K3966" s="758"/>
      <c r="L3966" s="758"/>
      <c r="M3966" s="758"/>
      <c r="N3966" s="758"/>
      <c r="O3966" s="758"/>
      <c r="P3966" s="758"/>
      <c r="Q3966" s="519"/>
      <c r="R3966" s="759">
        <f>$A3966*Q3966</f>
        <v>0</v>
      </c>
      <c r="S3966" s="519"/>
      <c r="T3966" s="760">
        <f>$A3966*S3966*$T$1</f>
        <v>0</v>
      </c>
      <c r="AR3966" s="758"/>
      <c r="AS3966" s="753"/>
    </row>
    <row r="3967" spans="1:45" s="520" customFormat="1" ht="12.6" thickBot="1">
      <c r="A3967" s="761" t="s">
        <v>145</v>
      </c>
      <c r="B3967" s="762">
        <f>(R3966+T3966)</f>
        <v>0</v>
      </c>
      <c r="C3967" s="763"/>
      <c r="D3967" s="763"/>
      <c r="E3967" s="763"/>
      <c r="F3967" s="764"/>
      <c r="G3967" s="763" t="s">
        <v>146</v>
      </c>
      <c r="H3967" s="763"/>
      <c r="I3967" s="765"/>
      <c r="J3967" s="763"/>
      <c r="K3967" s="763" t="s">
        <v>3</v>
      </c>
      <c r="L3967" s="766" t="s">
        <v>143</v>
      </c>
      <c r="M3967" s="766"/>
      <c r="N3967" s="766"/>
      <c r="O3967" s="766"/>
      <c r="P3967" s="766"/>
      <c r="Q3967" s="767"/>
      <c r="R3967" s="768">
        <f ca="1">SUM(R3961:R3966)</f>
        <v>85.68</v>
      </c>
      <c r="S3967" s="763"/>
      <c r="T3967" s="768">
        <f ca="1">SUM(T3961:T3966)</f>
        <v>3.4</v>
      </c>
      <c r="U3967" s="531"/>
      <c r="V3967" s="531"/>
      <c r="W3967" s="531"/>
      <c r="X3967" s="531"/>
      <c r="Y3967" s="531"/>
      <c r="Z3967" s="531"/>
      <c r="AA3967" s="531"/>
      <c r="AB3967" s="531"/>
      <c r="AC3967" s="531"/>
      <c r="AD3967" s="531"/>
      <c r="AE3967" s="531"/>
      <c r="AF3967" s="531"/>
      <c r="AG3967" s="531"/>
      <c r="AH3967" s="531"/>
      <c r="AI3967" s="531"/>
      <c r="AJ3967" s="531"/>
      <c r="AK3967" s="531"/>
      <c r="AL3967" s="531"/>
      <c r="AM3967" s="531"/>
      <c r="AN3967" s="531"/>
      <c r="AO3967" s="531"/>
      <c r="AR3967" s="761" t="s">
        <v>145</v>
      </c>
      <c r="AS3967" s="764"/>
    </row>
    <row r="3968" spans="1:45" s="520" customFormat="1" ht="12" thickTop="1">
      <c r="A3968" s="51"/>
      <c r="B3968" s="41"/>
      <c r="C3968" s="51"/>
      <c r="E3968" s="42" t="s">
        <v>138</v>
      </c>
      <c r="F3968" s="42" t="s">
        <v>139</v>
      </c>
      <c r="G3968" s="51"/>
      <c r="H3968" s="51"/>
      <c r="I3968" s="51"/>
      <c r="J3968" s="51"/>
      <c r="K3968" s="51" t="s">
        <v>140</v>
      </c>
      <c r="L3968" s="51"/>
      <c r="M3968" s="51"/>
      <c r="N3968" s="51"/>
      <c r="O3968" s="52"/>
      <c r="P3968" s="51"/>
      <c r="Q3968" s="51"/>
      <c r="R3968" s="51"/>
      <c r="S3968" s="51"/>
      <c r="T3968" s="41"/>
      <c r="AG3968" s="521" t="s">
        <v>268</v>
      </c>
      <c r="AH3968" s="521" t="s">
        <v>269</v>
      </c>
      <c r="AI3968" s="521" t="s">
        <v>270</v>
      </c>
      <c r="AJ3968" s="521" t="s">
        <v>271</v>
      </c>
      <c r="AK3968" s="521" t="s">
        <v>272</v>
      </c>
      <c r="AM3968" s="745" t="s">
        <v>281</v>
      </c>
      <c r="AN3968" s="746" t="s">
        <v>282</v>
      </c>
      <c r="AO3968" s="522" t="s">
        <v>278</v>
      </c>
      <c r="AR3968" s="51"/>
      <c r="AS3968" s="42" t="s">
        <v>139</v>
      </c>
    </row>
    <row r="3969" spans="1:45" s="520" customFormat="1" ht="12" customHeight="1">
      <c r="A3969" s="747">
        <v>1</v>
      </c>
      <c r="B3969" s="523" t="s">
        <v>141</v>
      </c>
      <c r="C3969" s="748"/>
      <c r="D3969" s="749" t="s">
        <v>1717</v>
      </c>
      <c r="E3969" s="750">
        <f ca="1">IF(AND($A3969=0,$A$1="DIF"),0, ROUND(ROUND(($R3975*$S$2+($T3975*$T$2))/A3969,2)*$C$2,2))</f>
        <v>692.22</v>
      </c>
      <c r="F3969" s="751">
        <f ca="1">ROUND($A3969*$E3969,2)</f>
        <v>692.22</v>
      </c>
      <c r="G3969" s="752" t="s">
        <v>142</v>
      </c>
      <c r="H3969" s="753"/>
      <c r="I3969" s="754"/>
      <c r="J3969" s="753"/>
      <c r="K3969" s="753" t="s">
        <v>3</v>
      </c>
      <c r="L3969" s="755" t="s">
        <v>143</v>
      </c>
      <c r="M3969" s="755"/>
      <c r="N3969" s="755"/>
      <c r="O3969" s="755"/>
      <c r="P3969" s="755"/>
      <c r="Q3969" s="51"/>
      <c r="T3969" s="756" t="str">
        <f ca="1">IF(AND($R3975=0,$T3975=0),"0.00","mu :" &amp; ROUND($F3969/$C$2/($R3975+$T3975*$D$9),2))</f>
        <v>mu :1.23</v>
      </c>
      <c r="W3969" s="524"/>
      <c r="AG3969" s="481">
        <f ca="1">IF($E3969=0,0,ROUND($R3975*$S$2*$C$2/$A3969,2))</f>
        <v>262.02</v>
      </c>
      <c r="AH3969" s="481">
        <f ca="1">$AG3969*$A3969</f>
        <v>262.02</v>
      </c>
      <c r="AI3969" s="525">
        <f ca="1">$E3969-$AG3969</f>
        <v>430.20000000000005</v>
      </c>
      <c r="AJ3969" s="525">
        <f ca="1">$A3969*$AI3969</f>
        <v>430.20000000000005</v>
      </c>
      <c r="AK3969" s="526">
        <f ca="1">ROUND(($AG3969+$AI3969)*$A3969,2)</f>
        <v>692.22</v>
      </c>
      <c r="AM3969" s="527">
        <f ca="1">ROUND(R3975,2)</f>
        <v>212.79</v>
      </c>
      <c r="AN3969" s="528">
        <f ca="1">ROUND(T3975,2)</f>
        <v>12.72</v>
      </c>
      <c r="AO3969" s="529">
        <f ca="1">ROUND(AM3969+AN3969,2)*A3969</f>
        <v>225.51</v>
      </c>
      <c r="AR3969" s="747">
        <v>1</v>
      </c>
      <c r="AS3969" s="751">
        <v>739.45</v>
      </c>
    </row>
    <row r="3970" spans="1:45" s="520" customFormat="1" ht="13.2">
      <c r="A3970" s="748"/>
      <c r="B3970"/>
      <c r="C3970" s="748"/>
      <c r="D3970" s="749" t="s">
        <v>829</v>
      </c>
      <c r="F3970" s="753"/>
      <c r="G3970" s="3"/>
      <c r="H3970" s="753"/>
      <c r="I3970" s="754"/>
      <c r="J3970" s="753"/>
      <c r="K3970" s="753" t="s">
        <v>144</v>
      </c>
      <c r="L3970" s="753"/>
      <c r="M3970" s="753"/>
      <c r="N3970" s="753"/>
      <c r="O3970" s="753"/>
      <c r="P3970" s="753"/>
      <c r="Q3970" s="51"/>
      <c r="R3970" s="530"/>
      <c r="S3970" s="757"/>
      <c r="T3970" s="753"/>
      <c r="AR3970" s="748"/>
      <c r="AS3970" s="753"/>
    </row>
    <row r="3971" spans="1:45" s="886" customFormat="1" ht="13.2">
      <c r="A3971"/>
      <c r="B3971" s="910"/>
      <c r="C3971" s="910" t="s">
        <v>2597</v>
      </c>
      <c r="D3971" s="910" t="str">
        <f ca="1">CELL("Address",Elec_Rates!D$56)</f>
        <v>[E25_0062_Quintano_Foods_Elec_ELV_As_Awarded.xlsx]Elec_Rates!$D$56</v>
      </c>
      <c r="E3971" s="911"/>
      <c r="F3971" s="911"/>
      <c r="G3971" s="912" t="s">
        <v>2598</v>
      </c>
      <c r="H3971" s="912"/>
      <c r="I3971" s="912"/>
      <c r="J3971" s="912"/>
      <c r="K3971" s="913"/>
      <c r="L3971" s="911"/>
      <c r="M3971" s="911"/>
      <c r="N3971" s="911"/>
      <c r="O3971" s="914"/>
      <c r="P3971" s="911"/>
      <c r="Q3971" s="915"/>
      <c r="R3971" s="916"/>
      <c r="S3971" s="915"/>
      <c r="T3971" s="917"/>
      <c r="U3971" s="918"/>
      <c r="AR3971"/>
      <c r="AS3971" s="911"/>
    </row>
    <row r="3972" spans="1:45" s="886" customFormat="1" ht="11.4">
      <c r="A3972" s="919">
        <v>1</v>
      </c>
      <c r="B3972" s="920">
        <v>3</v>
      </c>
      <c r="C3972" s="920">
        <f>$A3972*$B3972</f>
        <v>3</v>
      </c>
      <c r="D3972" s="921" t="str">
        <f>Elec_Rates!$D$56</f>
        <v>005# Externall Light point rate (Galvanised Conduit)</v>
      </c>
      <c r="E3972" s="921" t="s">
        <v>2967</v>
      </c>
      <c r="F3972" s="918"/>
      <c r="G3972" s="922" t="s">
        <v>2878</v>
      </c>
      <c r="H3972" s="922"/>
      <c r="I3972" s="922"/>
      <c r="J3972" s="922"/>
      <c r="K3972" s="923"/>
      <c r="L3972" s="918"/>
      <c r="M3972" s="918"/>
      <c r="N3972" s="918"/>
      <c r="O3972" s="924"/>
      <c r="P3972" s="921"/>
      <c r="Q3972" s="925">
        <f ca="1">$B3972*Elec_Rates!$R$56</f>
        <v>202.56</v>
      </c>
      <c r="R3972" s="916">
        <f ca="1">$A3972*Q3972</f>
        <v>202.56</v>
      </c>
      <c r="S3972" s="925">
        <f ca="1">$B3972*Elec_Rates!$T$56</f>
        <v>12.57</v>
      </c>
      <c r="T3972" s="917">
        <f ca="1">$A3972*S3972</f>
        <v>12.57</v>
      </c>
      <c r="U3972" s="926"/>
      <c r="AR3972" s="919">
        <v>1</v>
      </c>
      <c r="AS3972" s="918"/>
    </row>
    <row r="3973" spans="1:45" s="901" customFormat="1" ht="13.2">
      <c r="A3973" s="116">
        <v>1</v>
      </c>
      <c r="B3973" s="901" t="s">
        <v>141</v>
      </c>
      <c r="D3973" s="901" t="s">
        <v>2880</v>
      </c>
      <c r="E3973" s="901" t="s">
        <v>3424</v>
      </c>
      <c r="F3973" s="1054" t="s">
        <v>3430</v>
      </c>
      <c r="G3973" s="941" t="s">
        <v>2881</v>
      </c>
      <c r="H3973" s="942">
        <v>705</v>
      </c>
      <c r="I3973" s="901" t="s">
        <v>2607</v>
      </c>
      <c r="O3973" s="943">
        <v>3</v>
      </c>
      <c r="P3973" s="944"/>
      <c r="Q3973" s="945">
        <v>10.23</v>
      </c>
      <c r="R3973" s="946">
        <f>$A3973*Q3973</f>
        <v>10.23</v>
      </c>
      <c r="S3973" s="945">
        <v>0.17</v>
      </c>
      <c r="T3973" s="947">
        <f>$A3973*S3973*$T$1</f>
        <v>0.15300000000000002</v>
      </c>
      <c r="AR3973" s="116">
        <v>1</v>
      </c>
      <c r="AS3973" s="1054" t="s">
        <v>3430</v>
      </c>
    </row>
    <row r="3974" spans="1:45" s="520" customFormat="1" ht="12">
      <c r="A3974" s="758"/>
      <c r="B3974" s="758"/>
      <c r="C3974" s="758"/>
      <c r="D3974" s="758"/>
      <c r="E3974" s="758"/>
      <c r="F3974" s="753"/>
      <c r="G3974" s="758"/>
      <c r="H3974" s="758"/>
      <c r="I3974" s="519"/>
      <c r="J3974" s="758"/>
      <c r="K3974" s="758"/>
      <c r="L3974" s="758"/>
      <c r="M3974" s="758"/>
      <c r="N3974" s="758"/>
      <c r="O3974" s="758"/>
      <c r="P3974" s="758"/>
      <c r="Q3974" s="519"/>
      <c r="R3974" s="759">
        <f>$A3974*Q3974</f>
        <v>0</v>
      </c>
      <c r="S3974" s="519"/>
      <c r="T3974" s="760">
        <f>$A3974*S3974*$T$1</f>
        <v>0</v>
      </c>
      <c r="AR3974" s="758"/>
      <c r="AS3974" s="753"/>
    </row>
    <row r="3975" spans="1:45" s="520" customFormat="1" ht="12.6" thickBot="1">
      <c r="A3975" s="761" t="s">
        <v>145</v>
      </c>
      <c r="B3975" s="762">
        <f>(R3974+T3974)</f>
        <v>0</v>
      </c>
      <c r="C3975" s="763"/>
      <c r="D3975" s="763"/>
      <c r="E3975" s="763"/>
      <c r="F3975" s="764"/>
      <c r="G3975" s="763" t="s">
        <v>146</v>
      </c>
      <c r="H3975" s="763"/>
      <c r="I3975" s="765"/>
      <c r="J3975" s="763"/>
      <c r="K3975" s="763" t="s">
        <v>3</v>
      </c>
      <c r="L3975" s="766" t="s">
        <v>143</v>
      </c>
      <c r="M3975" s="766"/>
      <c r="N3975" s="766"/>
      <c r="O3975" s="766"/>
      <c r="P3975" s="766"/>
      <c r="Q3975" s="767"/>
      <c r="R3975" s="768">
        <f ca="1">SUM(R3970:R3974)</f>
        <v>212.79</v>
      </c>
      <c r="S3975" s="763"/>
      <c r="T3975" s="768">
        <f ca="1">SUM(T3970:T3974)</f>
        <v>12.723000000000001</v>
      </c>
      <c r="U3975" s="531"/>
      <c r="V3975" s="531"/>
      <c r="W3975" s="531"/>
      <c r="X3975" s="531"/>
      <c r="Y3975" s="531"/>
      <c r="Z3975" s="531"/>
      <c r="AA3975" s="531"/>
      <c r="AB3975" s="531"/>
      <c r="AC3975" s="531"/>
      <c r="AD3975" s="531"/>
      <c r="AE3975" s="531"/>
      <c r="AF3975" s="531"/>
      <c r="AG3975" s="531"/>
      <c r="AH3975" s="531"/>
      <c r="AI3975" s="531"/>
      <c r="AJ3975" s="531"/>
      <c r="AK3975" s="531"/>
      <c r="AL3975" s="531"/>
      <c r="AM3975" s="531"/>
      <c r="AN3975" s="531"/>
      <c r="AO3975" s="531"/>
      <c r="AR3975" s="761" t="s">
        <v>145</v>
      </c>
      <c r="AS3975" s="764"/>
    </row>
    <row r="3976" spans="1:45" s="520" customFormat="1" ht="12" thickTop="1">
      <c r="A3976" s="51"/>
      <c r="B3976" s="41"/>
      <c r="C3976" s="51"/>
      <c r="E3976" s="42" t="s">
        <v>138</v>
      </c>
      <c r="F3976" s="42" t="s">
        <v>139</v>
      </c>
      <c r="G3976" s="51"/>
      <c r="H3976" s="51"/>
      <c r="I3976" s="51"/>
      <c r="J3976" s="51"/>
      <c r="K3976" s="51" t="s">
        <v>140</v>
      </c>
      <c r="L3976" s="51"/>
      <c r="M3976" s="51"/>
      <c r="N3976" s="51"/>
      <c r="O3976" s="52"/>
      <c r="P3976" s="51"/>
      <c r="Q3976" s="51"/>
      <c r="R3976" s="51"/>
      <c r="S3976" s="51"/>
      <c r="T3976" s="41"/>
      <c r="AG3976" s="521" t="s">
        <v>268</v>
      </c>
      <c r="AH3976" s="521" t="s">
        <v>269</v>
      </c>
      <c r="AI3976" s="521" t="s">
        <v>270</v>
      </c>
      <c r="AJ3976" s="521" t="s">
        <v>271</v>
      </c>
      <c r="AK3976" s="521" t="s">
        <v>272</v>
      </c>
      <c r="AM3976" s="745" t="s">
        <v>281</v>
      </c>
      <c r="AN3976" s="746" t="s">
        <v>282</v>
      </c>
      <c r="AO3976" s="522" t="s">
        <v>278</v>
      </c>
      <c r="AR3976" s="51"/>
      <c r="AS3976" s="42" t="s">
        <v>139</v>
      </c>
    </row>
    <row r="3977" spans="1:45" s="520" customFormat="1" ht="12" customHeight="1">
      <c r="A3977" s="747">
        <v>3</v>
      </c>
      <c r="B3977" s="523" t="s">
        <v>141</v>
      </c>
      <c r="C3977" s="748"/>
      <c r="D3977" s="749" t="s">
        <v>1718</v>
      </c>
      <c r="E3977" s="750">
        <f ca="1">IF(AND($A3977=0,$A$1="DIF"),0, ROUND(ROUND(($R3984*$S$2+($T3984*$T$2))/A3977,2)*$C$2,2))</f>
        <v>656.36</v>
      </c>
      <c r="F3977" s="751">
        <f ca="1">ROUND($A3977*$E3977,2)</f>
        <v>1969.08</v>
      </c>
      <c r="G3977" s="752" t="s">
        <v>142</v>
      </c>
      <c r="H3977" s="753"/>
      <c r="I3977" s="754"/>
      <c r="J3977" s="753"/>
      <c r="K3977" s="753" t="s">
        <v>3</v>
      </c>
      <c r="L3977" s="755" t="s">
        <v>143</v>
      </c>
      <c r="M3977" s="755"/>
      <c r="N3977" s="755"/>
      <c r="O3977" s="755"/>
      <c r="P3977" s="755"/>
      <c r="Q3977" s="51"/>
      <c r="T3977" s="756" t="str">
        <f ca="1">IF(AND($R3984=0,$T3984=0),"0.00","mu :" &amp; ROUND($F3977/$C$2/($R3984+$T3984*$D$9),2))</f>
        <v>mu :1.23</v>
      </c>
      <c r="W3977" s="524"/>
      <c r="AG3977" s="481">
        <f ca="1">IF($E3977=0,0,ROUND($R3984*$S$2*$C$2/$A3977,2))</f>
        <v>316.20999999999998</v>
      </c>
      <c r="AH3977" s="481">
        <f ca="1">$AG3977*$A3977</f>
        <v>948.62999999999988</v>
      </c>
      <c r="AI3977" s="525">
        <f ca="1">$E3977-$AG3977</f>
        <v>340.15000000000003</v>
      </c>
      <c r="AJ3977" s="525">
        <f ca="1">$A3977*$AI3977</f>
        <v>1020.45</v>
      </c>
      <c r="AK3977" s="526">
        <f ca="1">ROUND(($AG3977+$AI3977)*$A3977,2)</f>
        <v>1969.08</v>
      </c>
      <c r="AM3977" s="527">
        <f ca="1">ROUND(R3984,2)</f>
        <v>770.4</v>
      </c>
      <c r="AN3977" s="528">
        <f ca="1">ROUND(T3984,2)</f>
        <v>30.18</v>
      </c>
      <c r="AO3977" s="529">
        <f ca="1">ROUND(AM3977+AN3977,2)*A3977</f>
        <v>2401.7400000000002</v>
      </c>
      <c r="AR3977" s="747">
        <v>3</v>
      </c>
      <c r="AS3977" s="751">
        <v>2083.71</v>
      </c>
    </row>
    <row r="3978" spans="1:45" s="520" customFormat="1" ht="13.2">
      <c r="A3978" s="748"/>
      <c r="B3978"/>
      <c r="C3978" s="748"/>
      <c r="D3978" s="749" t="s">
        <v>830</v>
      </c>
      <c r="F3978" s="753"/>
      <c r="G3978" s="3"/>
      <c r="H3978" s="753"/>
      <c r="I3978" s="754"/>
      <c r="J3978" s="753"/>
      <c r="K3978" s="753" t="s">
        <v>144</v>
      </c>
      <c r="L3978" s="753"/>
      <c r="M3978" s="753"/>
      <c r="N3978" s="753"/>
      <c r="O3978" s="753"/>
      <c r="P3978" s="753"/>
      <c r="Q3978" s="51"/>
      <c r="R3978" s="530"/>
      <c r="S3978" s="757"/>
      <c r="T3978" s="753"/>
      <c r="AR3978" s="748"/>
      <c r="AS3978" s="753"/>
    </row>
    <row r="3979" spans="1:45" s="886" customFormat="1" ht="13.2">
      <c r="A3979"/>
      <c r="B3979" s="910"/>
      <c r="C3979" s="910" t="s">
        <v>2597</v>
      </c>
      <c r="D3979" s="910" t="str">
        <f ca="1">CELL("Address",Elec_Rates!D$79)</f>
        <v>[E25_0062_Quintano_Foods_Elec_ELV_As_Awarded.xlsx]Elec_Rates!$D$79</v>
      </c>
      <c r="E3979" s="911"/>
      <c r="F3979" s="911"/>
      <c r="G3979" s="912" t="s">
        <v>2598</v>
      </c>
      <c r="H3979" s="912"/>
      <c r="I3979" s="912"/>
      <c r="J3979" s="912"/>
      <c r="K3979" s="913"/>
      <c r="L3979" s="911"/>
      <c r="M3979" s="911"/>
      <c r="N3979" s="911"/>
      <c r="O3979" s="914"/>
      <c r="P3979" s="911"/>
      <c r="Q3979" s="915"/>
      <c r="R3979" s="916"/>
      <c r="S3979" s="915"/>
      <c r="T3979" s="917"/>
      <c r="U3979" s="918"/>
      <c r="AR3979"/>
      <c r="AS3979" s="911"/>
    </row>
    <row r="3980" spans="1:45" s="886" customFormat="1" ht="11.4">
      <c r="A3980" s="919">
        <v>3</v>
      </c>
      <c r="B3980" s="920">
        <v>2.5</v>
      </c>
      <c r="C3980" s="920">
        <f>$A3980*$B3980</f>
        <v>7.5</v>
      </c>
      <c r="D3980" s="921" t="str">
        <f>Elec_Rates!$D$79</f>
        <v>006# Light point rate (Galvanised Conduit)  in Warehouse</v>
      </c>
      <c r="E3980" s="921" t="s">
        <v>2882</v>
      </c>
      <c r="F3980" s="918"/>
      <c r="G3980" s="922" t="s">
        <v>2878</v>
      </c>
      <c r="H3980" s="922"/>
      <c r="I3980" s="922"/>
      <c r="J3980" s="922"/>
      <c r="K3980" s="923"/>
      <c r="L3980" s="918"/>
      <c r="M3980" s="918"/>
      <c r="N3980" s="918"/>
      <c r="O3980" s="924"/>
      <c r="P3980" s="921"/>
      <c r="Q3980" s="925">
        <f ca="1">$B3980*Elec_Rates!$R$79</f>
        <v>143.19999999999999</v>
      </c>
      <c r="R3980" s="916">
        <f ca="1">$A3980*Q3980</f>
        <v>429.59999999999997</v>
      </c>
      <c r="S3980" s="925">
        <f ca="1">$B3980*Elec_Rates!$T$79</f>
        <v>5.8999999999999995</v>
      </c>
      <c r="T3980" s="917">
        <f ca="1">$A3980*S3980</f>
        <v>17.7</v>
      </c>
      <c r="U3980" s="926"/>
      <c r="AR3980" s="919">
        <v>3</v>
      </c>
      <c r="AS3980" s="918"/>
    </row>
    <row r="3981" spans="1:45" s="886" customFormat="1" ht="13.2">
      <c r="A3981"/>
      <c r="B3981" s="910"/>
      <c r="C3981" s="910" t="s">
        <v>2597</v>
      </c>
      <c r="D3981" s="910" t="str">
        <f ca="1">CELL("Address",Elec_Rates!D$91)</f>
        <v>[E25_0062_Quintano_Foods_Elec_ELV_As_Awarded.xlsx]Elec_Rates!$D$91</v>
      </c>
      <c r="E3981" s="911"/>
      <c r="F3981" s="911"/>
      <c r="G3981" s="912" t="s">
        <v>2598</v>
      </c>
      <c r="H3981" s="912"/>
      <c r="I3981" s="912"/>
      <c r="J3981" s="912"/>
      <c r="K3981" s="913"/>
      <c r="L3981" s="911"/>
      <c r="M3981" s="911"/>
      <c r="N3981" s="911"/>
      <c r="O3981" s="914"/>
      <c r="P3981" s="911"/>
      <c r="Q3981" s="915"/>
      <c r="R3981" s="916"/>
      <c r="S3981" s="915"/>
      <c r="T3981" s="917"/>
      <c r="U3981" s="918"/>
      <c r="AR3981"/>
      <c r="AS3981" s="911"/>
    </row>
    <row r="3982" spans="1:45" s="886" customFormat="1" ht="11.4">
      <c r="A3982" s="919">
        <v>12</v>
      </c>
      <c r="B3982" s="920">
        <v>1</v>
      </c>
      <c r="C3982" s="920">
        <f>$A3982*$B3982</f>
        <v>12</v>
      </c>
      <c r="D3982" s="921" t="str">
        <f>Elec_Rates!$D$91</f>
        <v>007# Bracketing for Lighting in Warehouse</v>
      </c>
      <c r="E3982" s="921"/>
      <c r="F3982" s="921" t="s">
        <v>2599</v>
      </c>
      <c r="G3982" s="922" t="s">
        <v>2600</v>
      </c>
      <c r="H3982" s="922"/>
      <c r="I3982" s="922"/>
      <c r="J3982" s="922"/>
      <c r="K3982" s="923"/>
      <c r="L3982" s="918"/>
      <c r="M3982" s="918"/>
      <c r="N3982" s="918"/>
      <c r="O3982" s="924"/>
      <c r="P3982" s="921"/>
      <c r="Q3982" s="925">
        <f ca="1">$B3982*Elec_Rates!$R$91</f>
        <v>28.4</v>
      </c>
      <c r="R3982" s="916">
        <f ca="1">$A3982*Q3982</f>
        <v>340.79999999999995</v>
      </c>
      <c r="S3982" s="925">
        <f ca="1">$B3982*Elec_Rates!$T$91</f>
        <v>1.04</v>
      </c>
      <c r="T3982" s="917">
        <f ca="1">$A3982*S3982</f>
        <v>12.48</v>
      </c>
      <c r="U3982" s="926"/>
      <c r="AR3982" s="919">
        <v>12</v>
      </c>
      <c r="AS3982" s="921" t="s">
        <v>2599</v>
      </c>
    </row>
    <row r="3983" spans="1:45" s="520" customFormat="1" ht="12">
      <c r="A3983" s="758"/>
      <c r="B3983" s="758"/>
      <c r="C3983" s="758"/>
      <c r="D3983" s="758"/>
      <c r="E3983" s="758"/>
      <c r="F3983" s="753"/>
      <c r="G3983" s="758"/>
      <c r="H3983" s="758"/>
      <c r="I3983" s="519"/>
      <c r="J3983" s="758"/>
      <c r="K3983" s="758"/>
      <c r="L3983" s="758"/>
      <c r="M3983" s="758"/>
      <c r="N3983" s="758"/>
      <c r="O3983" s="758"/>
      <c r="P3983" s="758"/>
      <c r="Q3983" s="519"/>
      <c r="R3983" s="759">
        <f>$A3983*Q3983</f>
        <v>0</v>
      </c>
      <c r="S3983" s="519"/>
      <c r="T3983" s="760">
        <f>$A3983*S3983*$T$1</f>
        <v>0</v>
      </c>
      <c r="AR3983" s="758"/>
      <c r="AS3983" s="753"/>
    </row>
    <row r="3984" spans="1:45" s="520" customFormat="1" ht="12.6" thickBot="1">
      <c r="A3984" s="761" t="s">
        <v>145</v>
      </c>
      <c r="B3984" s="762">
        <f>(R3983+T3983)</f>
        <v>0</v>
      </c>
      <c r="C3984" s="763"/>
      <c r="D3984" s="763"/>
      <c r="E3984" s="763"/>
      <c r="F3984" s="764"/>
      <c r="G3984" s="763" t="s">
        <v>146</v>
      </c>
      <c r="H3984" s="763"/>
      <c r="I3984" s="765"/>
      <c r="J3984" s="763"/>
      <c r="K3984" s="763" t="s">
        <v>3</v>
      </c>
      <c r="L3984" s="766" t="s">
        <v>143</v>
      </c>
      <c r="M3984" s="766"/>
      <c r="N3984" s="766"/>
      <c r="O3984" s="766"/>
      <c r="P3984" s="766"/>
      <c r="Q3984" s="767"/>
      <c r="R3984" s="768">
        <f ca="1">SUM(R3978:R3983)</f>
        <v>770.39999999999986</v>
      </c>
      <c r="S3984" s="763"/>
      <c r="T3984" s="768">
        <f ca="1">SUM(T3978:T3983)</f>
        <v>30.18</v>
      </c>
      <c r="U3984" s="531"/>
      <c r="V3984" s="531"/>
      <c r="W3984" s="531"/>
      <c r="X3984" s="531"/>
      <c r="Y3984" s="531"/>
      <c r="Z3984" s="531"/>
      <c r="AA3984" s="531"/>
      <c r="AB3984" s="531"/>
      <c r="AC3984" s="531"/>
      <c r="AD3984" s="531"/>
      <c r="AE3984" s="531"/>
      <c r="AF3984" s="531"/>
      <c r="AG3984" s="531"/>
      <c r="AH3984" s="531"/>
      <c r="AI3984" s="531"/>
      <c r="AJ3984" s="531"/>
      <c r="AK3984" s="531"/>
      <c r="AL3984" s="531"/>
      <c r="AM3984" s="531"/>
      <c r="AN3984" s="531"/>
      <c r="AO3984" s="531"/>
      <c r="AR3984" s="761" t="s">
        <v>145</v>
      </c>
      <c r="AS3984" s="764"/>
    </row>
    <row r="3985" spans="1:45" s="520" customFormat="1" ht="12" thickTop="1">
      <c r="A3985" s="51"/>
      <c r="B3985" s="41"/>
      <c r="C3985" s="51"/>
      <c r="E3985" s="42" t="s">
        <v>138</v>
      </c>
      <c r="F3985" s="42" t="s">
        <v>139</v>
      </c>
      <c r="G3985" s="51"/>
      <c r="H3985" s="51"/>
      <c r="I3985" s="51"/>
      <c r="J3985" s="51"/>
      <c r="K3985" s="51" t="s">
        <v>140</v>
      </c>
      <c r="L3985" s="51"/>
      <c r="M3985" s="51"/>
      <c r="N3985" s="51"/>
      <c r="O3985" s="52"/>
      <c r="P3985" s="51"/>
      <c r="Q3985" s="51"/>
      <c r="R3985" s="51"/>
      <c r="S3985" s="51"/>
      <c r="T3985" s="41"/>
      <c r="AG3985" s="521" t="s">
        <v>268</v>
      </c>
      <c r="AH3985" s="521" t="s">
        <v>269</v>
      </c>
      <c r="AI3985" s="521" t="s">
        <v>270</v>
      </c>
      <c r="AJ3985" s="521" t="s">
        <v>271</v>
      </c>
      <c r="AK3985" s="521" t="s">
        <v>272</v>
      </c>
      <c r="AM3985" s="745" t="s">
        <v>281</v>
      </c>
      <c r="AN3985" s="746" t="s">
        <v>282</v>
      </c>
      <c r="AO3985" s="522" t="s">
        <v>278</v>
      </c>
      <c r="AR3985" s="51"/>
      <c r="AS3985" s="42" t="s">
        <v>139</v>
      </c>
    </row>
    <row r="3986" spans="1:45" s="520" customFormat="1" ht="12" customHeight="1">
      <c r="A3986" s="747">
        <v>1</v>
      </c>
      <c r="B3986" s="523" t="s">
        <v>141</v>
      </c>
      <c r="C3986" s="748"/>
      <c r="D3986" s="749" t="s">
        <v>1719</v>
      </c>
      <c r="E3986" s="750">
        <f ca="1">IF(AND($A3986=0,$A$1="DIF"),0, ROUND(ROUND(($R3993*$S$2+($T3993*$T$2))/A3986,2)*$C$2,2))</f>
        <v>946.97</v>
      </c>
      <c r="F3986" s="751">
        <f ca="1">ROUND($A3986*$E3986,2)</f>
        <v>946.97</v>
      </c>
      <c r="G3986" s="752" t="s">
        <v>142</v>
      </c>
      <c r="H3986" s="753"/>
      <c r="I3986" s="754"/>
      <c r="J3986" s="753"/>
      <c r="K3986" s="753" t="s">
        <v>3</v>
      </c>
      <c r="L3986" s="755" t="s">
        <v>143</v>
      </c>
      <c r="M3986" s="755"/>
      <c r="N3986" s="755"/>
      <c r="O3986" s="755"/>
      <c r="P3986" s="755"/>
      <c r="Q3986" s="51"/>
      <c r="T3986" s="756" t="str">
        <f ca="1">IF(AND($R3993=0,$T3993=0),"0.00","mu :" &amp; ROUND($F3986/$C$2/($R3993+$T3993*$D$9),2))</f>
        <v>mu :1.23</v>
      </c>
      <c r="W3986" s="524"/>
      <c r="AG3986" s="481">
        <f ca="1">IF($E3986=0,0,ROUND($R3993*$S$2*$C$2/$A3986,2))</f>
        <v>456.68</v>
      </c>
      <c r="AH3986" s="481">
        <f ca="1">$AG3986*$A3986</f>
        <v>456.68</v>
      </c>
      <c r="AI3986" s="525">
        <f ca="1">$E3986-$AG3986</f>
        <v>490.29</v>
      </c>
      <c r="AJ3986" s="525">
        <f ca="1">$A3986*$AI3986</f>
        <v>490.29</v>
      </c>
      <c r="AK3986" s="526">
        <f ca="1">ROUND(($AG3986+$AI3986)*$A3986,2)</f>
        <v>946.97</v>
      </c>
      <c r="AM3986" s="527">
        <f ca="1">ROUND(R3993,2)</f>
        <v>370.88</v>
      </c>
      <c r="AN3986" s="528">
        <f ca="1">ROUND(T3993,2)</f>
        <v>14.5</v>
      </c>
      <c r="AO3986" s="529">
        <f ca="1">ROUND(AM3986+AN3986,2)*A3986</f>
        <v>385.38</v>
      </c>
      <c r="AR3986" s="747">
        <v>1</v>
      </c>
      <c r="AS3986" s="751">
        <v>1002.08</v>
      </c>
    </row>
    <row r="3987" spans="1:45" s="520" customFormat="1" ht="13.2">
      <c r="A3987" s="748"/>
      <c r="B3987"/>
      <c r="C3987" s="748"/>
      <c r="D3987" s="749" t="s">
        <v>831</v>
      </c>
      <c r="F3987" s="753"/>
      <c r="G3987" s="3"/>
      <c r="H3987" s="753"/>
      <c r="I3987" s="754"/>
      <c r="J3987" s="753"/>
      <c r="K3987" s="753" t="s">
        <v>144</v>
      </c>
      <c r="L3987" s="753"/>
      <c r="M3987" s="753"/>
      <c r="N3987" s="753"/>
      <c r="O3987" s="753"/>
      <c r="P3987" s="753"/>
      <c r="Q3987" s="51"/>
      <c r="R3987" s="530"/>
      <c r="S3987" s="757"/>
      <c r="T3987" s="753"/>
      <c r="AR3987" s="748"/>
      <c r="AS3987" s="753"/>
    </row>
    <row r="3988" spans="1:45" s="886" customFormat="1" ht="13.2">
      <c r="A3988"/>
      <c r="B3988" s="910"/>
      <c r="C3988" s="910" t="s">
        <v>2597</v>
      </c>
      <c r="D3988" s="910" t="str">
        <f ca="1">CELL("Address",Elec_Rates!D$79)</f>
        <v>[E25_0062_Quintano_Foods_Elec_ELV_As_Awarded.xlsx]Elec_Rates!$D$79</v>
      </c>
      <c r="E3988" s="911"/>
      <c r="F3988" s="911"/>
      <c r="G3988" s="912" t="s">
        <v>2598</v>
      </c>
      <c r="H3988" s="912"/>
      <c r="I3988" s="912"/>
      <c r="J3988" s="912"/>
      <c r="K3988" s="913"/>
      <c r="L3988" s="911"/>
      <c r="M3988" s="911"/>
      <c r="N3988" s="911"/>
      <c r="O3988" s="914"/>
      <c r="P3988" s="911"/>
      <c r="Q3988" s="915"/>
      <c r="R3988" s="916"/>
      <c r="S3988" s="915"/>
      <c r="T3988" s="917"/>
      <c r="U3988" s="918"/>
      <c r="AR3988"/>
      <c r="AS3988" s="911"/>
    </row>
    <row r="3989" spans="1:45" s="886" customFormat="1" ht="11.4">
      <c r="A3989" s="919">
        <v>1</v>
      </c>
      <c r="B3989" s="920">
        <v>3.5</v>
      </c>
      <c r="C3989" s="920">
        <f>$A3989*$B3989</f>
        <v>3.5</v>
      </c>
      <c r="D3989" s="921" t="str">
        <f>Elec_Rates!$D$79</f>
        <v>006# Light point rate (Galvanised Conduit)  in Warehouse</v>
      </c>
      <c r="E3989" s="921" t="s">
        <v>2968</v>
      </c>
      <c r="F3989" s="918"/>
      <c r="G3989" s="922" t="s">
        <v>2878</v>
      </c>
      <c r="H3989" s="922"/>
      <c r="I3989" s="922"/>
      <c r="J3989" s="922"/>
      <c r="K3989" s="923"/>
      <c r="L3989" s="918"/>
      <c r="M3989" s="918"/>
      <c r="N3989" s="918"/>
      <c r="O3989" s="924"/>
      <c r="P3989" s="921"/>
      <c r="Q3989" s="925">
        <f ca="1">$B3989*Elec_Rates!$R$79</f>
        <v>200.48000000000002</v>
      </c>
      <c r="R3989" s="916">
        <f ca="1">$A3989*Q3989</f>
        <v>200.48000000000002</v>
      </c>
      <c r="S3989" s="925">
        <f ca="1">$B3989*Elec_Rates!$T$79</f>
        <v>8.26</v>
      </c>
      <c r="T3989" s="917">
        <f ca="1">$A3989*S3989</f>
        <v>8.26</v>
      </c>
      <c r="U3989" s="926"/>
      <c r="AR3989" s="919">
        <v>1</v>
      </c>
      <c r="AS3989" s="918"/>
    </row>
    <row r="3990" spans="1:45" s="886" customFormat="1" ht="13.2">
      <c r="A3990"/>
      <c r="B3990" s="910"/>
      <c r="C3990" s="910" t="s">
        <v>2597</v>
      </c>
      <c r="D3990" s="910" t="str">
        <f ca="1">CELL("Address",Elec_Rates!D$91)</f>
        <v>[E25_0062_Quintano_Foods_Elec_ELV_As_Awarded.xlsx]Elec_Rates!$D$91</v>
      </c>
      <c r="E3990" s="911"/>
      <c r="F3990" s="911"/>
      <c r="G3990" s="912" t="s">
        <v>2598</v>
      </c>
      <c r="H3990" s="912"/>
      <c r="I3990" s="912"/>
      <c r="J3990" s="912"/>
      <c r="K3990" s="913"/>
      <c r="L3990" s="911"/>
      <c r="M3990" s="911"/>
      <c r="N3990" s="911"/>
      <c r="O3990" s="914"/>
      <c r="P3990" s="911"/>
      <c r="Q3990" s="915"/>
      <c r="R3990" s="916"/>
      <c r="S3990" s="915"/>
      <c r="T3990" s="917"/>
      <c r="U3990" s="918"/>
      <c r="AR3990"/>
      <c r="AS3990" s="911"/>
    </row>
    <row r="3991" spans="1:45" s="886" customFormat="1" ht="11.4">
      <c r="A3991" s="919">
        <v>6</v>
      </c>
      <c r="B3991" s="920">
        <v>1</v>
      </c>
      <c r="C3991" s="920">
        <f>$A3991*$B3991</f>
        <v>6</v>
      </c>
      <c r="D3991" s="921" t="str">
        <f>Elec_Rates!$D$91</f>
        <v>007# Bracketing for Lighting in Warehouse</v>
      </c>
      <c r="E3991" s="921"/>
      <c r="F3991" s="921" t="s">
        <v>2599</v>
      </c>
      <c r="G3991" s="922" t="s">
        <v>2600</v>
      </c>
      <c r="H3991" s="922"/>
      <c r="I3991" s="922"/>
      <c r="J3991" s="922"/>
      <c r="K3991" s="923"/>
      <c r="L3991" s="918"/>
      <c r="M3991" s="918"/>
      <c r="N3991" s="918"/>
      <c r="O3991" s="924"/>
      <c r="P3991" s="921"/>
      <c r="Q3991" s="925">
        <f ca="1">$B3991*Elec_Rates!$R$91</f>
        <v>28.4</v>
      </c>
      <c r="R3991" s="916">
        <f ca="1">$A3991*Q3991</f>
        <v>170.39999999999998</v>
      </c>
      <c r="S3991" s="925">
        <f ca="1">$B3991*Elec_Rates!$T$91</f>
        <v>1.04</v>
      </c>
      <c r="T3991" s="917">
        <f ca="1">$A3991*S3991</f>
        <v>6.24</v>
      </c>
      <c r="U3991" s="926"/>
      <c r="AR3991" s="919">
        <v>6</v>
      </c>
      <c r="AS3991" s="921" t="s">
        <v>2599</v>
      </c>
    </row>
    <row r="3992" spans="1:45" s="520" customFormat="1" ht="12">
      <c r="A3992" s="758"/>
      <c r="B3992" s="758"/>
      <c r="C3992" s="758"/>
      <c r="D3992" s="758"/>
      <c r="E3992" s="758"/>
      <c r="F3992" s="753"/>
      <c r="G3992" s="758"/>
      <c r="H3992" s="758"/>
      <c r="I3992" s="519"/>
      <c r="J3992" s="758"/>
      <c r="K3992" s="758"/>
      <c r="L3992" s="758"/>
      <c r="M3992" s="758"/>
      <c r="N3992" s="758"/>
      <c r="O3992" s="758"/>
      <c r="P3992" s="758"/>
      <c r="Q3992" s="519"/>
      <c r="R3992" s="759">
        <f>$A3992*Q3992</f>
        <v>0</v>
      </c>
      <c r="S3992" s="519"/>
      <c r="T3992" s="760">
        <f>$A3992*S3992*$T$1</f>
        <v>0</v>
      </c>
      <c r="AR3992" s="758"/>
      <c r="AS3992" s="753"/>
    </row>
    <row r="3993" spans="1:45" s="520" customFormat="1" ht="12.6" thickBot="1">
      <c r="A3993" s="761" t="s">
        <v>145</v>
      </c>
      <c r="B3993" s="762">
        <f>(R3992+T3992)</f>
        <v>0</v>
      </c>
      <c r="C3993" s="763"/>
      <c r="D3993" s="763"/>
      <c r="E3993" s="763"/>
      <c r="F3993" s="764"/>
      <c r="G3993" s="763" t="s">
        <v>146</v>
      </c>
      <c r="H3993" s="763"/>
      <c r="I3993" s="765"/>
      <c r="J3993" s="763"/>
      <c r="K3993" s="763" t="s">
        <v>3</v>
      </c>
      <c r="L3993" s="766" t="s">
        <v>143</v>
      </c>
      <c r="M3993" s="766"/>
      <c r="N3993" s="766"/>
      <c r="O3993" s="766"/>
      <c r="P3993" s="766"/>
      <c r="Q3993" s="767"/>
      <c r="R3993" s="768">
        <f ca="1">SUM(R3987:R3992)</f>
        <v>370.88</v>
      </c>
      <c r="S3993" s="763"/>
      <c r="T3993" s="768">
        <f ca="1">SUM(T3987:T3992)</f>
        <v>14.5</v>
      </c>
      <c r="U3993" s="531"/>
      <c r="V3993" s="531"/>
      <c r="W3993" s="531"/>
      <c r="X3993" s="531"/>
      <c r="Y3993" s="531"/>
      <c r="Z3993" s="531"/>
      <c r="AA3993" s="531"/>
      <c r="AB3993" s="531"/>
      <c r="AC3993" s="531"/>
      <c r="AD3993" s="531"/>
      <c r="AE3993" s="531"/>
      <c r="AF3993" s="531"/>
      <c r="AG3993" s="531"/>
      <c r="AH3993" s="531"/>
      <c r="AI3993" s="531"/>
      <c r="AJ3993" s="531"/>
      <c r="AK3993" s="531"/>
      <c r="AL3993" s="531"/>
      <c r="AM3993" s="531"/>
      <c r="AN3993" s="531"/>
      <c r="AO3993" s="531"/>
      <c r="AR3993" s="761" t="s">
        <v>145</v>
      </c>
      <c r="AS3993" s="764"/>
    </row>
    <row r="3994" spans="1:45" s="520" customFormat="1" ht="12" thickTop="1">
      <c r="A3994" s="51"/>
      <c r="B3994" s="41"/>
      <c r="C3994" s="51"/>
      <c r="E3994" s="42" t="s">
        <v>138</v>
      </c>
      <c r="F3994" s="42" t="s">
        <v>139</v>
      </c>
      <c r="G3994" s="51"/>
      <c r="H3994" s="51"/>
      <c r="I3994" s="51"/>
      <c r="J3994" s="51"/>
      <c r="K3994" s="51" t="s">
        <v>140</v>
      </c>
      <c r="L3994" s="51"/>
      <c r="M3994" s="51"/>
      <c r="N3994" s="51"/>
      <c r="O3994" s="52"/>
      <c r="P3994" s="51"/>
      <c r="Q3994" s="51"/>
      <c r="R3994" s="51"/>
      <c r="S3994" s="51"/>
      <c r="T3994" s="41"/>
      <c r="AG3994" s="521" t="s">
        <v>268</v>
      </c>
      <c r="AH3994" s="521" t="s">
        <v>269</v>
      </c>
      <c r="AI3994" s="521" t="s">
        <v>270</v>
      </c>
      <c r="AJ3994" s="521" t="s">
        <v>271</v>
      </c>
      <c r="AK3994" s="521" t="s">
        <v>272</v>
      </c>
      <c r="AM3994" s="745" t="s">
        <v>281</v>
      </c>
      <c r="AN3994" s="746" t="s">
        <v>282</v>
      </c>
      <c r="AO3994" s="522" t="s">
        <v>278</v>
      </c>
      <c r="AR3994" s="51"/>
      <c r="AS3994" s="42" t="s">
        <v>139</v>
      </c>
    </row>
    <row r="3995" spans="1:45" s="520" customFormat="1" ht="12" customHeight="1">
      <c r="A3995" s="747">
        <v>1</v>
      </c>
      <c r="B3995" s="523" t="s">
        <v>141</v>
      </c>
      <c r="C3995" s="748"/>
      <c r="D3995" s="749" t="s">
        <v>1720</v>
      </c>
      <c r="E3995" s="750">
        <f ca="1">IF(AND($A3995=0,$A$1="DIF"),0, ROUND(ROUND(($R4002*$S$2+($T4002*$T$2))/A3995,2)*$C$2,2))</f>
        <v>1237.57</v>
      </c>
      <c r="F3995" s="751">
        <f ca="1">ROUND($A3995*$E3995,2)</f>
        <v>1237.57</v>
      </c>
      <c r="G3995" s="752" t="s">
        <v>142</v>
      </c>
      <c r="H3995" s="753"/>
      <c r="I3995" s="754"/>
      <c r="J3995" s="753"/>
      <c r="K3995" s="753" t="s">
        <v>3</v>
      </c>
      <c r="L3995" s="755" t="s">
        <v>143</v>
      </c>
      <c r="M3995" s="755"/>
      <c r="N3995" s="755"/>
      <c r="O3995" s="755"/>
      <c r="P3995" s="755"/>
      <c r="Q3995" s="51"/>
      <c r="T3995" s="756" t="str">
        <f ca="1">IF(AND($R4002=0,$T4002=0),"0.00","mu :" &amp; ROUND($F3995/$C$2/($R4002+$T4002*$D$9),2))</f>
        <v>mu :1.23</v>
      </c>
      <c r="W3995" s="524"/>
      <c r="AG3995" s="481">
        <f ca="1">IF($E3995=0,0,ROUND($R4002*$S$2*$C$2/$A3995,2))</f>
        <v>597.15</v>
      </c>
      <c r="AH3995" s="481">
        <f ca="1">$AG3995*$A3995</f>
        <v>597.15</v>
      </c>
      <c r="AI3995" s="525">
        <f ca="1">$E3995-$AG3995</f>
        <v>640.41999999999996</v>
      </c>
      <c r="AJ3995" s="525">
        <f ca="1">$A3995*$AI3995</f>
        <v>640.41999999999996</v>
      </c>
      <c r="AK3995" s="526">
        <f ca="1">ROUND(($AG3995+$AI3995)*$A3995,2)</f>
        <v>1237.57</v>
      </c>
      <c r="AM3995" s="527">
        <f ca="1">ROUND(R4002,2)</f>
        <v>484.96</v>
      </c>
      <c r="AN3995" s="528">
        <f ca="1">ROUND(T4002,2)</f>
        <v>18.940000000000001</v>
      </c>
      <c r="AO3995" s="529">
        <f ca="1">ROUND(AM3995+AN3995,2)*A3995</f>
        <v>503.9</v>
      </c>
      <c r="AR3995" s="747">
        <v>1</v>
      </c>
      <c r="AS3995" s="751">
        <v>1309.5899999999999</v>
      </c>
    </row>
    <row r="3996" spans="1:45" s="520" customFormat="1" ht="13.2">
      <c r="A3996" s="748"/>
      <c r="B3996"/>
      <c r="C3996" s="748"/>
      <c r="D3996" s="749" t="s">
        <v>832</v>
      </c>
      <c r="F3996" s="753"/>
      <c r="G3996" s="3"/>
      <c r="H3996" s="753"/>
      <c r="I3996" s="754"/>
      <c r="J3996" s="753"/>
      <c r="K3996" s="753" t="s">
        <v>144</v>
      </c>
      <c r="L3996" s="753"/>
      <c r="M3996" s="753"/>
      <c r="N3996" s="753"/>
      <c r="O3996" s="753"/>
      <c r="P3996" s="753"/>
      <c r="Q3996" s="51"/>
      <c r="R3996" s="530"/>
      <c r="S3996" s="757"/>
      <c r="T3996" s="753"/>
      <c r="AR3996" s="748"/>
      <c r="AS3996" s="753"/>
    </row>
    <row r="3997" spans="1:45" s="886" customFormat="1" ht="13.2">
      <c r="A3997"/>
      <c r="B3997" s="910"/>
      <c r="C3997" s="910" t="s">
        <v>2597</v>
      </c>
      <c r="D3997" s="910" t="str">
        <f ca="1">CELL("Address",Elec_Rates!D$79)</f>
        <v>[E25_0062_Quintano_Foods_Elec_ELV_As_Awarded.xlsx]Elec_Rates!$D$79</v>
      </c>
      <c r="E3997" s="911"/>
      <c r="F3997" s="911"/>
      <c r="G3997" s="912" t="s">
        <v>2598</v>
      </c>
      <c r="H3997" s="912"/>
      <c r="I3997" s="912"/>
      <c r="J3997" s="912"/>
      <c r="K3997" s="913"/>
      <c r="L3997" s="911"/>
      <c r="M3997" s="911"/>
      <c r="N3997" s="911"/>
      <c r="O3997" s="914"/>
      <c r="P3997" s="911"/>
      <c r="Q3997" s="915"/>
      <c r="R3997" s="916"/>
      <c r="S3997" s="915"/>
      <c r="T3997" s="917"/>
      <c r="U3997" s="918"/>
      <c r="AR3997"/>
      <c r="AS3997" s="911"/>
    </row>
    <row r="3998" spans="1:45" s="886" customFormat="1" ht="11.4">
      <c r="A3998" s="919">
        <v>1</v>
      </c>
      <c r="B3998" s="920">
        <v>4.5</v>
      </c>
      <c r="C3998" s="920">
        <f>$A3998*$B3998</f>
        <v>4.5</v>
      </c>
      <c r="D3998" s="921" t="str">
        <f>Elec_Rates!$D$79</f>
        <v>006# Light point rate (Galvanised Conduit)  in Warehouse</v>
      </c>
      <c r="E3998" s="921" t="s">
        <v>3021</v>
      </c>
      <c r="F3998" s="918"/>
      <c r="G3998" s="922" t="s">
        <v>2878</v>
      </c>
      <c r="H3998" s="922"/>
      <c r="I3998" s="922"/>
      <c r="J3998" s="922"/>
      <c r="K3998" s="923"/>
      <c r="L3998" s="918"/>
      <c r="M3998" s="918"/>
      <c r="N3998" s="918"/>
      <c r="O3998" s="924"/>
      <c r="P3998" s="921"/>
      <c r="Q3998" s="925">
        <f ca="1">$B3998*Elec_Rates!$R$79</f>
        <v>257.76</v>
      </c>
      <c r="R3998" s="916">
        <f ca="1">$A3998*Q3998</f>
        <v>257.76</v>
      </c>
      <c r="S3998" s="925">
        <f ca="1">$B3998*Elec_Rates!$T$79</f>
        <v>10.62</v>
      </c>
      <c r="T3998" s="917">
        <f ca="1">$A3998*S3998</f>
        <v>10.62</v>
      </c>
      <c r="U3998" s="926"/>
      <c r="AR3998" s="919">
        <v>1</v>
      </c>
      <c r="AS3998" s="918"/>
    </row>
    <row r="3999" spans="1:45" s="886" customFormat="1" ht="13.2">
      <c r="A3999"/>
      <c r="B3999" s="910"/>
      <c r="C3999" s="910" t="s">
        <v>2597</v>
      </c>
      <c r="D3999" s="910" t="str">
        <f ca="1">CELL("Address",Elec_Rates!D$91)</f>
        <v>[E25_0062_Quintano_Foods_Elec_ELV_As_Awarded.xlsx]Elec_Rates!$D$91</v>
      </c>
      <c r="E3999" s="911"/>
      <c r="F3999" s="911"/>
      <c r="G3999" s="912" t="s">
        <v>2598</v>
      </c>
      <c r="H3999" s="912"/>
      <c r="I3999" s="912"/>
      <c r="J3999" s="912"/>
      <c r="K3999" s="913"/>
      <c r="L3999" s="911"/>
      <c r="M3999" s="911"/>
      <c r="N3999" s="911"/>
      <c r="O3999" s="914"/>
      <c r="P3999" s="911"/>
      <c r="Q3999" s="915"/>
      <c r="R3999" s="916"/>
      <c r="S3999" s="915"/>
      <c r="T3999" s="917"/>
      <c r="U3999" s="918"/>
      <c r="AR3999"/>
      <c r="AS3999" s="911"/>
    </row>
    <row r="4000" spans="1:45" s="886" customFormat="1" ht="11.4">
      <c r="A4000" s="919">
        <v>8</v>
      </c>
      <c r="B4000" s="920">
        <v>1</v>
      </c>
      <c r="C4000" s="920">
        <f>$A4000*$B4000</f>
        <v>8</v>
      </c>
      <c r="D4000" s="921" t="str">
        <f>Elec_Rates!$D$91</f>
        <v>007# Bracketing for Lighting in Warehouse</v>
      </c>
      <c r="E4000" s="921"/>
      <c r="F4000" s="921" t="s">
        <v>2599</v>
      </c>
      <c r="G4000" s="922" t="s">
        <v>2600</v>
      </c>
      <c r="H4000" s="922"/>
      <c r="I4000" s="922"/>
      <c r="J4000" s="922"/>
      <c r="K4000" s="923"/>
      <c r="L4000" s="918"/>
      <c r="M4000" s="918"/>
      <c r="N4000" s="918"/>
      <c r="O4000" s="924"/>
      <c r="P4000" s="921"/>
      <c r="Q4000" s="925">
        <f ca="1">$B4000*Elec_Rates!$R$91</f>
        <v>28.4</v>
      </c>
      <c r="R4000" s="916">
        <f ca="1">$A4000*Q4000</f>
        <v>227.2</v>
      </c>
      <c r="S4000" s="925">
        <f ca="1">$B4000*Elec_Rates!$T$91</f>
        <v>1.04</v>
      </c>
      <c r="T4000" s="917">
        <f ca="1">$A4000*S4000</f>
        <v>8.32</v>
      </c>
      <c r="U4000" s="926"/>
      <c r="AR4000" s="919">
        <v>8</v>
      </c>
      <c r="AS4000" s="921" t="s">
        <v>2599</v>
      </c>
    </row>
    <row r="4001" spans="1:45" s="520" customFormat="1" ht="12">
      <c r="A4001" s="758"/>
      <c r="B4001" s="758"/>
      <c r="C4001" s="758"/>
      <c r="D4001" s="758"/>
      <c r="E4001" s="758"/>
      <c r="F4001" s="753"/>
      <c r="G4001" s="758"/>
      <c r="H4001" s="758"/>
      <c r="I4001" s="519"/>
      <c r="J4001" s="758"/>
      <c r="K4001" s="758"/>
      <c r="L4001" s="758"/>
      <c r="M4001" s="758"/>
      <c r="N4001" s="758"/>
      <c r="O4001" s="758"/>
      <c r="P4001" s="758"/>
      <c r="Q4001" s="519"/>
      <c r="R4001" s="759">
        <f>$A4001*Q4001</f>
        <v>0</v>
      </c>
      <c r="S4001" s="519"/>
      <c r="T4001" s="760">
        <f>$A4001*S4001*$T$1</f>
        <v>0</v>
      </c>
      <c r="AR4001" s="758"/>
      <c r="AS4001" s="753"/>
    </row>
    <row r="4002" spans="1:45" s="520" customFormat="1" ht="12.6" thickBot="1">
      <c r="A4002" s="761" t="s">
        <v>145</v>
      </c>
      <c r="B4002" s="762">
        <f>(R4001+T4001)</f>
        <v>0</v>
      </c>
      <c r="C4002" s="763"/>
      <c r="D4002" s="763"/>
      <c r="E4002" s="763"/>
      <c r="F4002" s="764"/>
      <c r="G4002" s="763" t="s">
        <v>146</v>
      </c>
      <c r="H4002" s="763"/>
      <c r="I4002" s="765"/>
      <c r="J4002" s="763"/>
      <c r="K4002" s="763" t="s">
        <v>3</v>
      </c>
      <c r="L4002" s="766" t="s">
        <v>143</v>
      </c>
      <c r="M4002" s="766"/>
      <c r="N4002" s="766"/>
      <c r="O4002" s="766"/>
      <c r="P4002" s="766"/>
      <c r="Q4002" s="767"/>
      <c r="R4002" s="768">
        <f ca="1">SUM(R3996:R4001)</f>
        <v>484.96</v>
      </c>
      <c r="S4002" s="763"/>
      <c r="T4002" s="768">
        <f ca="1">SUM(T3996:T4001)</f>
        <v>18.939999999999998</v>
      </c>
      <c r="U4002" s="531"/>
      <c r="V4002" s="531"/>
      <c r="W4002" s="531"/>
      <c r="X4002" s="531"/>
      <c r="Y4002" s="531"/>
      <c r="Z4002" s="531"/>
      <c r="AA4002" s="531"/>
      <c r="AB4002" s="531"/>
      <c r="AC4002" s="531"/>
      <c r="AD4002" s="531"/>
      <c r="AE4002" s="531"/>
      <c r="AF4002" s="531"/>
      <c r="AG4002" s="531"/>
      <c r="AH4002" s="531"/>
      <c r="AI4002" s="531"/>
      <c r="AJ4002" s="531"/>
      <c r="AK4002" s="531"/>
      <c r="AL4002" s="531"/>
      <c r="AM4002" s="531"/>
      <c r="AN4002" s="531"/>
      <c r="AO4002" s="531"/>
      <c r="AR4002" s="761" t="s">
        <v>145</v>
      </c>
      <c r="AS4002" s="764"/>
    </row>
    <row r="4003" spans="1:45" s="520" customFormat="1" ht="12" thickTop="1">
      <c r="A4003" s="51"/>
      <c r="B4003" s="41"/>
      <c r="C4003" s="51"/>
      <c r="E4003" s="42" t="s">
        <v>138</v>
      </c>
      <c r="F4003" s="42" t="s">
        <v>139</v>
      </c>
      <c r="G4003" s="51"/>
      <c r="H4003" s="51"/>
      <c r="I4003" s="51"/>
      <c r="J4003" s="51"/>
      <c r="K4003" s="51" t="s">
        <v>140</v>
      </c>
      <c r="L4003" s="51"/>
      <c r="M4003" s="51"/>
      <c r="N4003" s="51"/>
      <c r="O4003" s="52"/>
      <c r="P4003" s="51"/>
      <c r="Q4003" s="51"/>
      <c r="R4003" s="51"/>
      <c r="S4003" s="51"/>
      <c r="T4003" s="41"/>
      <c r="AG4003" s="521" t="s">
        <v>268</v>
      </c>
      <c r="AH4003" s="521" t="s">
        <v>269</v>
      </c>
      <c r="AI4003" s="521" t="s">
        <v>270</v>
      </c>
      <c r="AJ4003" s="521" t="s">
        <v>271</v>
      </c>
      <c r="AK4003" s="521" t="s">
        <v>272</v>
      </c>
      <c r="AM4003" s="745" t="s">
        <v>281</v>
      </c>
      <c r="AN4003" s="746" t="s">
        <v>282</v>
      </c>
      <c r="AO4003" s="522" t="s">
        <v>278</v>
      </c>
      <c r="AR4003" s="51"/>
      <c r="AS4003" s="42" t="s">
        <v>139</v>
      </c>
    </row>
    <row r="4004" spans="1:45" s="520" customFormat="1" ht="12" customHeight="1">
      <c r="A4004" s="747">
        <v>1</v>
      </c>
      <c r="B4004" s="523" t="s">
        <v>141</v>
      </c>
      <c r="C4004" s="748"/>
      <c r="D4004" s="749" t="s">
        <v>1721</v>
      </c>
      <c r="E4004" s="750">
        <f ca="1">IF(AND($A4004=0,$A$1="DIF"),0, ROUND(ROUND(($R4011*$S$2+($T4011*$T$2))/A4004,2)*$C$2,2))</f>
        <v>1673.47</v>
      </c>
      <c r="F4004" s="751">
        <f ca="1">ROUND($A4004*$E4004,2)</f>
        <v>1673.47</v>
      </c>
      <c r="G4004" s="752" t="s">
        <v>142</v>
      </c>
      <c r="H4004" s="753"/>
      <c r="I4004" s="754"/>
      <c r="J4004" s="753"/>
      <c r="K4004" s="753" t="s">
        <v>3</v>
      </c>
      <c r="L4004" s="755" t="s">
        <v>143</v>
      </c>
      <c r="M4004" s="755"/>
      <c r="N4004" s="755"/>
      <c r="O4004" s="755"/>
      <c r="P4004" s="755"/>
      <c r="Q4004" s="51"/>
      <c r="T4004" s="756" t="str">
        <f ca="1">IF(AND($R4011=0,$T4011=0),"0.00","mu :" &amp; ROUND($F4004/$C$2/($R4011+$T4011*$D$9),2))</f>
        <v>mu :1.23</v>
      </c>
      <c r="W4004" s="524"/>
      <c r="AG4004" s="481">
        <f ca="1">IF($E4004=0,0,ROUND($R4011*$S$2*$C$2/$A4004,2))</f>
        <v>807.86</v>
      </c>
      <c r="AH4004" s="481">
        <f ca="1">$AG4004*$A4004</f>
        <v>807.86</v>
      </c>
      <c r="AI4004" s="525">
        <f ca="1">$E4004-$AG4004</f>
        <v>865.61</v>
      </c>
      <c r="AJ4004" s="525">
        <f ca="1">$A4004*$AI4004</f>
        <v>865.61</v>
      </c>
      <c r="AK4004" s="526">
        <f ca="1">ROUND(($AG4004+$AI4004)*$A4004,2)</f>
        <v>1673.47</v>
      </c>
      <c r="AM4004" s="527">
        <f ca="1">ROUND(R4011,2)</f>
        <v>656.08</v>
      </c>
      <c r="AN4004" s="528">
        <f ca="1">ROUND(T4011,2)</f>
        <v>25.6</v>
      </c>
      <c r="AO4004" s="529">
        <f ca="1">ROUND(AM4004+AN4004,2)*A4004</f>
        <v>681.68</v>
      </c>
      <c r="AR4004" s="747">
        <v>1</v>
      </c>
      <c r="AS4004" s="751">
        <v>1770.85</v>
      </c>
    </row>
    <row r="4005" spans="1:45" s="520" customFormat="1" ht="13.2">
      <c r="A4005" s="748"/>
      <c r="B4005"/>
      <c r="C4005" s="748"/>
      <c r="D4005" s="749" t="s">
        <v>833</v>
      </c>
      <c r="F4005" s="753"/>
      <c r="G4005" s="3"/>
      <c r="H4005" s="753"/>
      <c r="I4005" s="754"/>
      <c r="J4005" s="753"/>
      <c r="K4005" s="753" t="s">
        <v>144</v>
      </c>
      <c r="L4005" s="753"/>
      <c r="M4005" s="753"/>
      <c r="N4005" s="753"/>
      <c r="O4005" s="753"/>
      <c r="P4005" s="753"/>
      <c r="Q4005" s="51"/>
      <c r="R4005" s="530"/>
      <c r="S4005" s="757"/>
      <c r="T4005" s="753"/>
      <c r="AR4005" s="748"/>
      <c r="AS4005" s="753"/>
    </row>
    <row r="4006" spans="1:45" s="886" customFormat="1" ht="13.2">
      <c r="A4006"/>
      <c r="B4006" s="910"/>
      <c r="C4006" s="910" t="s">
        <v>2597</v>
      </c>
      <c r="D4006" s="910" t="str">
        <f ca="1">CELL("Address",Elec_Rates!D$79)</f>
        <v>[E25_0062_Quintano_Foods_Elec_ELV_As_Awarded.xlsx]Elec_Rates!$D$79</v>
      </c>
      <c r="E4006" s="911"/>
      <c r="F4006" s="911"/>
      <c r="G4006" s="912" t="s">
        <v>2598</v>
      </c>
      <c r="H4006" s="912"/>
      <c r="I4006" s="912"/>
      <c r="J4006" s="912"/>
      <c r="K4006" s="913"/>
      <c r="L4006" s="911"/>
      <c r="M4006" s="911"/>
      <c r="N4006" s="911"/>
      <c r="O4006" s="914"/>
      <c r="P4006" s="911"/>
      <c r="Q4006" s="915"/>
      <c r="R4006" s="916"/>
      <c r="S4006" s="915"/>
      <c r="T4006" s="917"/>
      <c r="U4006" s="918"/>
      <c r="AR4006"/>
      <c r="AS4006" s="911"/>
    </row>
    <row r="4007" spans="1:45" s="886" customFormat="1" ht="11.4">
      <c r="A4007" s="919">
        <v>1</v>
      </c>
      <c r="B4007" s="920">
        <v>6</v>
      </c>
      <c r="C4007" s="920">
        <f>$A4007*$B4007</f>
        <v>6</v>
      </c>
      <c r="D4007" s="921" t="str">
        <f>Elec_Rates!$D$79</f>
        <v>006# Light point rate (Galvanised Conduit)  in Warehouse</v>
      </c>
      <c r="E4007" s="921" t="s">
        <v>3023</v>
      </c>
      <c r="F4007" s="918"/>
      <c r="G4007" s="922" t="s">
        <v>2878</v>
      </c>
      <c r="H4007" s="922"/>
      <c r="I4007" s="922"/>
      <c r="J4007" s="922"/>
      <c r="K4007" s="923"/>
      <c r="L4007" s="918"/>
      <c r="M4007" s="918"/>
      <c r="N4007" s="918"/>
      <c r="O4007" s="924"/>
      <c r="P4007" s="921"/>
      <c r="Q4007" s="925">
        <f ca="1">$B4007*Elec_Rates!$R$79</f>
        <v>343.68</v>
      </c>
      <c r="R4007" s="916">
        <f ca="1">$A4007*Q4007</f>
        <v>343.68</v>
      </c>
      <c r="S4007" s="925">
        <f ca="1">$B4007*Elec_Rates!$T$79</f>
        <v>14.16</v>
      </c>
      <c r="T4007" s="917">
        <f ca="1">$A4007*S4007</f>
        <v>14.16</v>
      </c>
      <c r="U4007" s="926"/>
      <c r="AR4007" s="919">
        <v>1</v>
      </c>
      <c r="AS4007" s="918"/>
    </row>
    <row r="4008" spans="1:45" s="886" customFormat="1" ht="13.2">
      <c r="A4008"/>
      <c r="B4008" s="910"/>
      <c r="C4008" s="910" t="s">
        <v>2597</v>
      </c>
      <c r="D4008" s="910" t="str">
        <f ca="1">CELL("Address",Elec_Rates!D$91)</f>
        <v>[E25_0062_Quintano_Foods_Elec_ELV_As_Awarded.xlsx]Elec_Rates!$D$91</v>
      </c>
      <c r="E4008" s="911"/>
      <c r="F4008" s="911"/>
      <c r="G4008" s="912" t="s">
        <v>2598</v>
      </c>
      <c r="H4008" s="912"/>
      <c r="I4008" s="912"/>
      <c r="J4008" s="912"/>
      <c r="K4008" s="913"/>
      <c r="L4008" s="911"/>
      <c r="M4008" s="911"/>
      <c r="N4008" s="911"/>
      <c r="O4008" s="914"/>
      <c r="P4008" s="911"/>
      <c r="Q4008" s="915"/>
      <c r="R4008" s="916"/>
      <c r="S4008" s="915"/>
      <c r="T4008" s="917"/>
      <c r="U4008" s="918"/>
      <c r="AR4008"/>
      <c r="AS4008" s="911"/>
    </row>
    <row r="4009" spans="1:45" s="886" customFormat="1" ht="11.4">
      <c r="A4009" s="919">
        <v>11</v>
      </c>
      <c r="B4009" s="920">
        <v>1</v>
      </c>
      <c r="C4009" s="920">
        <f>$A4009*$B4009</f>
        <v>11</v>
      </c>
      <c r="D4009" s="921" t="str">
        <f>Elec_Rates!$D$91</f>
        <v>007# Bracketing for Lighting in Warehouse</v>
      </c>
      <c r="E4009" s="921"/>
      <c r="F4009" s="921" t="s">
        <v>2599</v>
      </c>
      <c r="G4009" s="922" t="s">
        <v>2600</v>
      </c>
      <c r="H4009" s="922"/>
      <c r="I4009" s="922"/>
      <c r="J4009" s="922"/>
      <c r="K4009" s="923"/>
      <c r="L4009" s="918"/>
      <c r="M4009" s="918"/>
      <c r="N4009" s="918"/>
      <c r="O4009" s="924"/>
      <c r="P4009" s="921"/>
      <c r="Q4009" s="925">
        <f ca="1">$B4009*Elec_Rates!$R$91</f>
        <v>28.4</v>
      </c>
      <c r="R4009" s="916">
        <f ca="1">$A4009*Q4009</f>
        <v>312.39999999999998</v>
      </c>
      <c r="S4009" s="925">
        <f ca="1">$B4009*Elec_Rates!$T$91</f>
        <v>1.04</v>
      </c>
      <c r="T4009" s="917">
        <f ca="1">$A4009*S4009</f>
        <v>11.440000000000001</v>
      </c>
      <c r="U4009" s="926"/>
      <c r="AR4009" s="919">
        <v>11</v>
      </c>
      <c r="AS4009" s="921" t="s">
        <v>2599</v>
      </c>
    </row>
    <row r="4010" spans="1:45" s="520" customFormat="1" ht="12">
      <c r="A4010" s="758"/>
      <c r="B4010" s="758"/>
      <c r="C4010" s="758"/>
      <c r="D4010" s="758"/>
      <c r="E4010" s="758"/>
      <c r="F4010" s="753"/>
      <c r="G4010" s="758"/>
      <c r="H4010" s="758"/>
      <c r="I4010" s="519"/>
      <c r="J4010" s="758"/>
      <c r="K4010" s="758"/>
      <c r="L4010" s="758"/>
      <c r="M4010" s="758"/>
      <c r="N4010" s="758"/>
      <c r="O4010" s="758"/>
      <c r="P4010" s="758"/>
      <c r="Q4010" s="519"/>
      <c r="R4010" s="759">
        <f>$A4010*Q4010</f>
        <v>0</v>
      </c>
      <c r="S4010" s="519"/>
      <c r="T4010" s="760">
        <f>$A4010*S4010*$T$1</f>
        <v>0</v>
      </c>
      <c r="AR4010" s="758"/>
      <c r="AS4010" s="753"/>
    </row>
    <row r="4011" spans="1:45" s="520" customFormat="1" ht="12.6" thickBot="1">
      <c r="A4011" s="761" t="s">
        <v>145</v>
      </c>
      <c r="B4011" s="762">
        <f>(R4010+T4010)</f>
        <v>0</v>
      </c>
      <c r="C4011" s="763"/>
      <c r="D4011" s="763"/>
      <c r="E4011" s="763"/>
      <c r="F4011" s="764"/>
      <c r="G4011" s="763" t="s">
        <v>146</v>
      </c>
      <c r="H4011" s="763"/>
      <c r="I4011" s="765"/>
      <c r="J4011" s="763"/>
      <c r="K4011" s="763" t="s">
        <v>3</v>
      </c>
      <c r="L4011" s="766" t="s">
        <v>143</v>
      </c>
      <c r="M4011" s="766"/>
      <c r="N4011" s="766"/>
      <c r="O4011" s="766"/>
      <c r="P4011" s="766"/>
      <c r="Q4011" s="767"/>
      <c r="R4011" s="768">
        <f ca="1">SUM(R4005:R4010)</f>
        <v>656.07999999999993</v>
      </c>
      <c r="S4011" s="763"/>
      <c r="T4011" s="768">
        <f ca="1">SUM(T4005:T4010)</f>
        <v>25.6</v>
      </c>
      <c r="U4011" s="531"/>
      <c r="V4011" s="531"/>
      <c r="W4011" s="531"/>
      <c r="X4011" s="531"/>
      <c r="Y4011" s="531"/>
      <c r="Z4011" s="531"/>
      <c r="AA4011" s="531"/>
      <c r="AB4011" s="531"/>
      <c r="AC4011" s="531"/>
      <c r="AD4011" s="531"/>
      <c r="AE4011" s="531"/>
      <c r="AF4011" s="531"/>
      <c r="AG4011" s="531"/>
      <c r="AH4011" s="531"/>
      <c r="AI4011" s="531"/>
      <c r="AJ4011" s="531"/>
      <c r="AK4011" s="531"/>
      <c r="AL4011" s="531"/>
      <c r="AM4011" s="531"/>
      <c r="AN4011" s="531"/>
      <c r="AO4011" s="531"/>
      <c r="AR4011" s="761" t="s">
        <v>145</v>
      </c>
      <c r="AS4011" s="764"/>
    </row>
    <row r="4012" spans="1:45" s="520" customFormat="1" ht="12" thickTop="1">
      <c r="A4012" s="51"/>
      <c r="B4012" s="41"/>
      <c r="C4012" s="51"/>
      <c r="E4012" s="42" t="s">
        <v>138</v>
      </c>
      <c r="F4012" s="42" t="s">
        <v>139</v>
      </c>
      <c r="G4012" s="51"/>
      <c r="H4012" s="51"/>
      <c r="I4012" s="51"/>
      <c r="J4012" s="51"/>
      <c r="K4012" s="51" t="s">
        <v>140</v>
      </c>
      <c r="L4012" s="51"/>
      <c r="M4012" s="51"/>
      <c r="N4012" s="51"/>
      <c r="O4012" s="52"/>
      <c r="P4012" s="51"/>
      <c r="Q4012" s="51"/>
      <c r="R4012" s="51"/>
      <c r="S4012" s="51"/>
      <c r="T4012" s="41"/>
      <c r="AG4012" s="521" t="s">
        <v>268</v>
      </c>
      <c r="AH4012" s="521" t="s">
        <v>269</v>
      </c>
      <c r="AI4012" s="521" t="s">
        <v>270</v>
      </c>
      <c r="AJ4012" s="521" t="s">
        <v>271</v>
      </c>
      <c r="AK4012" s="521" t="s">
        <v>272</v>
      </c>
      <c r="AM4012" s="745" t="s">
        <v>281</v>
      </c>
      <c r="AN4012" s="746" t="s">
        <v>282</v>
      </c>
      <c r="AO4012" s="522" t="s">
        <v>278</v>
      </c>
      <c r="AR4012" s="51"/>
      <c r="AS4012" s="42" t="s">
        <v>139</v>
      </c>
    </row>
    <row r="4013" spans="1:45" s="520" customFormat="1" ht="12" customHeight="1">
      <c r="A4013" s="747">
        <v>2</v>
      </c>
      <c r="B4013" s="523" t="s">
        <v>141</v>
      </c>
      <c r="C4013" s="748"/>
      <c r="D4013" s="749" t="s">
        <v>1722</v>
      </c>
      <c r="E4013" s="750">
        <f ca="1">IF(AND($A4013=0,$A$1="DIF"),0, ROUND(ROUND(($R4020*$S$2+($T4020*$T$2))/A4013,2)*$C$2,2))</f>
        <v>1818.77</v>
      </c>
      <c r="F4013" s="751">
        <f ca="1">ROUND($A4013*$E4013,2)</f>
        <v>3637.54</v>
      </c>
      <c r="G4013" s="752" t="s">
        <v>142</v>
      </c>
      <c r="H4013" s="753"/>
      <c r="I4013" s="754"/>
      <c r="J4013" s="753"/>
      <c r="K4013" s="753" t="s">
        <v>3</v>
      </c>
      <c r="L4013" s="755" t="s">
        <v>143</v>
      </c>
      <c r="M4013" s="755"/>
      <c r="N4013" s="755"/>
      <c r="O4013" s="755"/>
      <c r="P4013" s="755"/>
      <c r="Q4013" s="51"/>
      <c r="T4013" s="756" t="str">
        <f ca="1">IF(AND($R4020=0,$T4020=0),"0.00","mu :" &amp; ROUND($F4013/$C$2/($R4020+$T4020*$D$9),2))</f>
        <v>mu :1.23</v>
      </c>
      <c r="W4013" s="524"/>
      <c r="AG4013" s="481">
        <f ca="1">IF($E4013=0,0,ROUND($R4020*$S$2*$C$2/$A4013,2))</f>
        <v>878.1</v>
      </c>
      <c r="AH4013" s="481">
        <f ca="1">$AG4013*$A4013</f>
        <v>1756.2</v>
      </c>
      <c r="AI4013" s="525">
        <f ca="1">$E4013-$AG4013</f>
        <v>940.67</v>
      </c>
      <c r="AJ4013" s="525">
        <f ca="1">$A4013*$AI4013</f>
        <v>1881.34</v>
      </c>
      <c r="AK4013" s="526">
        <f ca="1">ROUND(($AG4013+$AI4013)*$A4013,2)</f>
        <v>3637.54</v>
      </c>
      <c r="AM4013" s="527">
        <f ca="1">ROUND(R4020,2)</f>
        <v>1426.24</v>
      </c>
      <c r="AN4013" s="528">
        <f ca="1">ROUND(T4020,2)</f>
        <v>55.64</v>
      </c>
      <c r="AO4013" s="529">
        <f ca="1">ROUND(AM4013+AN4013,2)*A4013</f>
        <v>2963.76</v>
      </c>
      <c r="AR4013" s="747">
        <v>2</v>
      </c>
      <c r="AS4013" s="751">
        <v>3849.2</v>
      </c>
    </row>
    <row r="4014" spans="1:45" s="520" customFormat="1" ht="13.2">
      <c r="A4014" s="748"/>
      <c r="B4014"/>
      <c r="C4014" s="748"/>
      <c r="D4014" s="749" t="s">
        <v>834</v>
      </c>
      <c r="F4014" s="753"/>
      <c r="G4014" s="3"/>
      <c r="H4014" s="753"/>
      <c r="I4014" s="754"/>
      <c r="J4014" s="753"/>
      <c r="K4014" s="753" t="s">
        <v>144</v>
      </c>
      <c r="L4014" s="753"/>
      <c r="M4014" s="753"/>
      <c r="N4014" s="753"/>
      <c r="O4014" s="753"/>
      <c r="P4014" s="753"/>
      <c r="Q4014" s="51"/>
      <c r="R4014" s="530"/>
      <c r="S4014" s="757"/>
      <c r="T4014" s="753"/>
      <c r="AR4014" s="748"/>
      <c r="AS4014" s="753"/>
    </row>
    <row r="4015" spans="1:45" s="886" customFormat="1" ht="13.2">
      <c r="A4015"/>
      <c r="B4015" s="910"/>
      <c r="C4015" s="910" t="s">
        <v>2597</v>
      </c>
      <c r="D4015" s="910" t="str">
        <f ca="1">CELL("Address",Elec_Rates!D$79)</f>
        <v>[E25_0062_Quintano_Foods_Elec_ELV_As_Awarded.xlsx]Elec_Rates!$D$79</v>
      </c>
      <c r="E4015" s="911"/>
      <c r="F4015" s="911"/>
      <c r="G4015" s="912" t="s">
        <v>2598</v>
      </c>
      <c r="H4015" s="912"/>
      <c r="I4015" s="912"/>
      <c r="J4015" s="912"/>
      <c r="K4015" s="913"/>
      <c r="L4015" s="911"/>
      <c r="M4015" s="911"/>
      <c r="N4015" s="911"/>
      <c r="O4015" s="914"/>
      <c r="P4015" s="911"/>
      <c r="Q4015" s="915"/>
      <c r="R4015" s="916"/>
      <c r="S4015" s="915"/>
      <c r="T4015" s="917"/>
      <c r="U4015" s="918"/>
      <c r="AR4015"/>
      <c r="AS4015" s="911"/>
    </row>
    <row r="4016" spans="1:45" s="886" customFormat="1" ht="11.4">
      <c r="A4016" s="919">
        <v>2</v>
      </c>
      <c r="B4016" s="920">
        <v>6.5</v>
      </c>
      <c r="C4016" s="920">
        <f>$A4016*$B4016</f>
        <v>13</v>
      </c>
      <c r="D4016" s="921" t="str">
        <f>Elec_Rates!$D$79</f>
        <v>006# Light point rate (Galvanised Conduit)  in Warehouse</v>
      </c>
      <c r="E4016" s="921" t="s">
        <v>3024</v>
      </c>
      <c r="F4016" s="918"/>
      <c r="G4016" s="922" t="s">
        <v>2878</v>
      </c>
      <c r="H4016" s="922"/>
      <c r="I4016" s="922"/>
      <c r="J4016" s="922"/>
      <c r="K4016" s="923"/>
      <c r="L4016" s="918"/>
      <c r="M4016" s="918"/>
      <c r="N4016" s="918"/>
      <c r="O4016" s="924"/>
      <c r="P4016" s="921"/>
      <c r="Q4016" s="925">
        <f ca="1">$B4016*Elec_Rates!$R$79</f>
        <v>372.32</v>
      </c>
      <c r="R4016" s="916">
        <f ca="1">$A4016*Q4016</f>
        <v>744.64</v>
      </c>
      <c r="S4016" s="925">
        <f ca="1">$B4016*Elec_Rates!$T$79</f>
        <v>15.34</v>
      </c>
      <c r="T4016" s="917">
        <f ca="1">$A4016*S4016</f>
        <v>30.68</v>
      </c>
      <c r="U4016" s="926"/>
      <c r="AR4016" s="919">
        <v>2</v>
      </c>
      <c r="AS4016" s="918"/>
    </row>
    <row r="4017" spans="1:45" s="886" customFormat="1" ht="13.2">
      <c r="A4017"/>
      <c r="B4017" s="910"/>
      <c r="C4017" s="910" t="s">
        <v>2597</v>
      </c>
      <c r="D4017" s="910" t="str">
        <f ca="1">CELL("Address",Elec_Rates!D$91)</f>
        <v>[E25_0062_Quintano_Foods_Elec_ELV_As_Awarded.xlsx]Elec_Rates!$D$91</v>
      </c>
      <c r="E4017" s="911"/>
      <c r="F4017" s="911"/>
      <c r="G4017" s="912" t="s">
        <v>2598</v>
      </c>
      <c r="H4017" s="912"/>
      <c r="I4017" s="912"/>
      <c r="J4017" s="912"/>
      <c r="K4017" s="913"/>
      <c r="L4017" s="911"/>
      <c r="M4017" s="911"/>
      <c r="N4017" s="911"/>
      <c r="O4017" s="914"/>
      <c r="P4017" s="911"/>
      <c r="Q4017" s="915"/>
      <c r="R4017" s="916"/>
      <c r="S4017" s="915"/>
      <c r="T4017" s="917"/>
      <c r="U4017" s="918"/>
      <c r="AR4017"/>
      <c r="AS4017" s="911"/>
    </row>
    <row r="4018" spans="1:45" s="886" customFormat="1" ht="11.4">
      <c r="A4018" s="919">
        <v>24</v>
      </c>
      <c r="B4018" s="920">
        <v>1</v>
      </c>
      <c r="C4018" s="920">
        <f>$A4018*$B4018</f>
        <v>24</v>
      </c>
      <c r="D4018" s="921" t="str">
        <f>Elec_Rates!$D$91</f>
        <v>007# Bracketing for Lighting in Warehouse</v>
      </c>
      <c r="E4018" s="921"/>
      <c r="F4018" s="921" t="s">
        <v>2599</v>
      </c>
      <c r="G4018" s="922" t="s">
        <v>2600</v>
      </c>
      <c r="H4018" s="922"/>
      <c r="I4018" s="922"/>
      <c r="J4018" s="922"/>
      <c r="K4018" s="923"/>
      <c r="L4018" s="918"/>
      <c r="M4018" s="918"/>
      <c r="N4018" s="918"/>
      <c r="O4018" s="924"/>
      <c r="P4018" s="921"/>
      <c r="Q4018" s="925">
        <f ca="1">$B4018*Elec_Rates!$R$91</f>
        <v>28.4</v>
      </c>
      <c r="R4018" s="916">
        <f ca="1">$A4018*Q4018</f>
        <v>681.59999999999991</v>
      </c>
      <c r="S4018" s="925">
        <f ca="1">$B4018*Elec_Rates!$T$91</f>
        <v>1.04</v>
      </c>
      <c r="T4018" s="917">
        <f ca="1">$A4018*S4018</f>
        <v>24.96</v>
      </c>
      <c r="U4018" s="926"/>
      <c r="AR4018" s="919">
        <v>24</v>
      </c>
      <c r="AS4018" s="921" t="s">
        <v>2599</v>
      </c>
    </row>
    <row r="4019" spans="1:45" s="520" customFormat="1" ht="12">
      <c r="A4019" s="758"/>
      <c r="B4019" s="758"/>
      <c r="C4019" s="758"/>
      <c r="D4019" s="758"/>
      <c r="E4019" s="758"/>
      <c r="F4019" s="753"/>
      <c r="G4019" s="758"/>
      <c r="H4019" s="758"/>
      <c r="I4019" s="519"/>
      <c r="J4019" s="758"/>
      <c r="K4019" s="758"/>
      <c r="L4019" s="758"/>
      <c r="M4019" s="758"/>
      <c r="N4019" s="758"/>
      <c r="O4019" s="758"/>
      <c r="P4019" s="758"/>
      <c r="Q4019" s="519"/>
      <c r="R4019" s="759">
        <f>$A4019*Q4019</f>
        <v>0</v>
      </c>
      <c r="S4019" s="519"/>
      <c r="T4019" s="760">
        <f>$A4019*S4019*$T$1</f>
        <v>0</v>
      </c>
      <c r="AR4019" s="758"/>
      <c r="AS4019" s="753"/>
    </row>
    <row r="4020" spans="1:45" s="520" customFormat="1" ht="12.6" thickBot="1">
      <c r="A4020" s="761" t="s">
        <v>145</v>
      </c>
      <c r="B4020" s="762">
        <f>(R4019+T4019)</f>
        <v>0</v>
      </c>
      <c r="C4020" s="763"/>
      <c r="D4020" s="763"/>
      <c r="E4020" s="763"/>
      <c r="F4020" s="764"/>
      <c r="G4020" s="763" t="s">
        <v>146</v>
      </c>
      <c r="H4020" s="763"/>
      <c r="I4020" s="765"/>
      <c r="J4020" s="763"/>
      <c r="K4020" s="763" t="s">
        <v>3</v>
      </c>
      <c r="L4020" s="766" t="s">
        <v>143</v>
      </c>
      <c r="M4020" s="766"/>
      <c r="N4020" s="766"/>
      <c r="O4020" s="766"/>
      <c r="P4020" s="766"/>
      <c r="Q4020" s="767"/>
      <c r="R4020" s="768">
        <f ca="1">SUM(R4014:R4019)</f>
        <v>1426.2399999999998</v>
      </c>
      <c r="S4020" s="763"/>
      <c r="T4020" s="768">
        <f ca="1">SUM(T4014:T4019)</f>
        <v>55.64</v>
      </c>
      <c r="U4020" s="531"/>
      <c r="V4020" s="531"/>
      <c r="W4020" s="531"/>
      <c r="X4020" s="531"/>
      <c r="Y4020" s="531"/>
      <c r="Z4020" s="531"/>
      <c r="AA4020" s="531"/>
      <c r="AB4020" s="531"/>
      <c r="AC4020" s="531"/>
      <c r="AD4020" s="531"/>
      <c r="AE4020" s="531"/>
      <c r="AF4020" s="531"/>
      <c r="AG4020" s="531"/>
      <c r="AH4020" s="531"/>
      <c r="AI4020" s="531"/>
      <c r="AJ4020" s="531"/>
      <c r="AK4020" s="531"/>
      <c r="AL4020" s="531"/>
      <c r="AM4020" s="531"/>
      <c r="AN4020" s="531"/>
      <c r="AO4020" s="531"/>
      <c r="AR4020" s="761" t="s">
        <v>145</v>
      </c>
      <c r="AS4020" s="764"/>
    </row>
    <row r="4021" spans="1:45" s="520" customFormat="1" ht="12" thickTop="1">
      <c r="A4021" s="51"/>
      <c r="B4021" s="41"/>
      <c r="C4021" s="51"/>
      <c r="E4021" s="42" t="s">
        <v>138</v>
      </c>
      <c r="F4021" s="42" t="s">
        <v>139</v>
      </c>
      <c r="G4021" s="51"/>
      <c r="H4021" s="51"/>
      <c r="I4021" s="51"/>
      <c r="J4021" s="51"/>
      <c r="K4021" s="51" t="s">
        <v>140</v>
      </c>
      <c r="L4021" s="51"/>
      <c r="M4021" s="51"/>
      <c r="N4021" s="51"/>
      <c r="O4021" s="52"/>
      <c r="P4021" s="51"/>
      <c r="Q4021" s="51"/>
      <c r="R4021" s="51"/>
      <c r="S4021" s="51"/>
      <c r="T4021" s="41"/>
      <c r="AG4021" s="521" t="s">
        <v>268</v>
      </c>
      <c r="AH4021" s="521" t="s">
        <v>269</v>
      </c>
      <c r="AI4021" s="521" t="s">
        <v>270</v>
      </c>
      <c r="AJ4021" s="521" t="s">
        <v>271</v>
      </c>
      <c r="AK4021" s="521" t="s">
        <v>272</v>
      </c>
      <c r="AM4021" s="745" t="s">
        <v>281</v>
      </c>
      <c r="AN4021" s="746" t="s">
        <v>282</v>
      </c>
      <c r="AO4021" s="522" t="s">
        <v>278</v>
      </c>
      <c r="AR4021" s="51"/>
      <c r="AS4021" s="42" t="s">
        <v>139</v>
      </c>
    </row>
    <row r="4022" spans="1:45" s="520" customFormat="1" ht="12" customHeight="1">
      <c r="A4022" s="747">
        <v>1</v>
      </c>
      <c r="B4022" s="523" t="s">
        <v>141</v>
      </c>
      <c r="C4022" s="748"/>
      <c r="D4022" s="749" t="s">
        <v>1723</v>
      </c>
      <c r="E4022" s="750">
        <f ca="1">IF(AND($A4022=0,$A$1="DIF"),0, ROUND(ROUND(($R4029*$S$2+($T4029*$T$2))/A4022,2)*$C$2,2))</f>
        <v>2109.37</v>
      </c>
      <c r="F4022" s="751">
        <f ca="1">ROUND($A4022*$E4022,2)</f>
        <v>2109.37</v>
      </c>
      <c r="G4022" s="752" t="s">
        <v>142</v>
      </c>
      <c r="H4022" s="753"/>
      <c r="I4022" s="754"/>
      <c r="J4022" s="753"/>
      <c r="K4022" s="753" t="s">
        <v>3</v>
      </c>
      <c r="L4022" s="755" t="s">
        <v>143</v>
      </c>
      <c r="M4022" s="755"/>
      <c r="N4022" s="755"/>
      <c r="O4022" s="755"/>
      <c r="P4022" s="755"/>
      <c r="Q4022" s="51"/>
      <c r="T4022" s="756" t="str">
        <f ca="1">IF(AND($R4029=0,$T4029=0),"0.00","mu :" &amp; ROUND($F4022/$C$2/($R4029+$T4029*$D$9),2))</f>
        <v>mu :1.23</v>
      </c>
      <c r="W4022" s="524"/>
      <c r="AG4022" s="481">
        <f ca="1">IF($E4022=0,0,ROUND($R4029*$S$2*$C$2/$A4022,2))</f>
        <v>1018.57</v>
      </c>
      <c r="AH4022" s="481">
        <f ca="1">$AG4022*$A4022</f>
        <v>1018.57</v>
      </c>
      <c r="AI4022" s="525">
        <f ca="1">$E4022-$AG4022</f>
        <v>1090.7999999999997</v>
      </c>
      <c r="AJ4022" s="525">
        <f ca="1">$A4022*$AI4022</f>
        <v>1090.7999999999997</v>
      </c>
      <c r="AK4022" s="526">
        <f ca="1">ROUND(($AG4022+$AI4022)*$A4022,2)</f>
        <v>2109.37</v>
      </c>
      <c r="AM4022" s="527">
        <f ca="1">ROUND(R4029,2)</f>
        <v>827.2</v>
      </c>
      <c r="AN4022" s="528">
        <f ca="1">ROUND(T4029,2)</f>
        <v>32.26</v>
      </c>
      <c r="AO4022" s="529">
        <f ca="1">ROUND(AM4022+AN4022,2)*A4022</f>
        <v>859.46</v>
      </c>
      <c r="AR4022" s="747">
        <v>1</v>
      </c>
      <c r="AS4022" s="751">
        <v>2232.11</v>
      </c>
    </row>
    <row r="4023" spans="1:45" s="520" customFormat="1" ht="13.2">
      <c r="A4023" s="748"/>
      <c r="B4023"/>
      <c r="C4023" s="748"/>
      <c r="D4023" s="749" t="s">
        <v>835</v>
      </c>
      <c r="F4023" s="753"/>
      <c r="G4023" s="3"/>
      <c r="H4023" s="753"/>
      <c r="I4023" s="754"/>
      <c r="J4023" s="753"/>
      <c r="K4023" s="753" t="s">
        <v>144</v>
      </c>
      <c r="L4023" s="753"/>
      <c r="M4023" s="753"/>
      <c r="N4023" s="753"/>
      <c r="O4023" s="753"/>
      <c r="P4023" s="753"/>
      <c r="Q4023" s="51"/>
      <c r="R4023" s="530"/>
      <c r="S4023" s="757"/>
      <c r="T4023" s="753"/>
      <c r="AR4023" s="748"/>
      <c r="AS4023" s="753"/>
    </row>
    <row r="4024" spans="1:45" s="886" customFormat="1" ht="13.2">
      <c r="A4024"/>
      <c r="B4024" s="910"/>
      <c r="C4024" s="910" t="s">
        <v>2597</v>
      </c>
      <c r="D4024" s="910" t="str">
        <f ca="1">CELL("Address",Elec_Rates!D$79)</f>
        <v>[E25_0062_Quintano_Foods_Elec_ELV_As_Awarded.xlsx]Elec_Rates!$D$79</v>
      </c>
      <c r="E4024" s="911"/>
      <c r="F4024" s="911"/>
      <c r="G4024" s="912" t="s">
        <v>2598</v>
      </c>
      <c r="H4024" s="912"/>
      <c r="I4024" s="912"/>
      <c r="J4024" s="912"/>
      <c r="K4024" s="913"/>
      <c r="L4024" s="911"/>
      <c r="M4024" s="911"/>
      <c r="N4024" s="911"/>
      <c r="O4024" s="914"/>
      <c r="P4024" s="911"/>
      <c r="Q4024" s="915"/>
      <c r="R4024" s="916"/>
      <c r="S4024" s="915"/>
      <c r="T4024" s="917"/>
      <c r="U4024" s="918"/>
      <c r="AR4024"/>
      <c r="AS4024" s="911"/>
    </row>
    <row r="4025" spans="1:45" s="886" customFormat="1" ht="11.4">
      <c r="A4025" s="919">
        <v>1</v>
      </c>
      <c r="B4025" s="920">
        <v>7.5</v>
      </c>
      <c r="C4025" s="920">
        <f>$A4025*$B4025</f>
        <v>7.5</v>
      </c>
      <c r="D4025" s="921" t="str">
        <f>Elec_Rates!$D$79</f>
        <v>006# Light point rate (Galvanised Conduit)  in Warehouse</v>
      </c>
      <c r="E4025" s="921" t="s">
        <v>3025</v>
      </c>
      <c r="F4025" s="918"/>
      <c r="G4025" s="922" t="s">
        <v>2878</v>
      </c>
      <c r="H4025" s="922"/>
      <c r="I4025" s="922"/>
      <c r="J4025" s="922"/>
      <c r="K4025" s="923"/>
      <c r="L4025" s="918"/>
      <c r="M4025" s="918"/>
      <c r="N4025" s="918"/>
      <c r="O4025" s="924"/>
      <c r="P4025" s="921"/>
      <c r="Q4025" s="925">
        <f ca="1">$B4025*Elec_Rates!$R$79</f>
        <v>429.6</v>
      </c>
      <c r="R4025" s="916">
        <f ca="1">$A4025*Q4025</f>
        <v>429.6</v>
      </c>
      <c r="S4025" s="925">
        <f ca="1">$B4025*Elec_Rates!$T$79</f>
        <v>17.7</v>
      </c>
      <c r="T4025" s="917">
        <f ca="1">$A4025*S4025</f>
        <v>17.7</v>
      </c>
      <c r="U4025" s="926"/>
      <c r="AR4025" s="919">
        <v>1</v>
      </c>
      <c r="AS4025" s="918"/>
    </row>
    <row r="4026" spans="1:45" s="886" customFormat="1" ht="13.2">
      <c r="A4026"/>
      <c r="B4026" s="910"/>
      <c r="C4026" s="910" t="s">
        <v>2597</v>
      </c>
      <c r="D4026" s="910" t="str">
        <f ca="1">CELL("Address",Elec_Rates!D$91)</f>
        <v>[E25_0062_Quintano_Foods_Elec_ELV_As_Awarded.xlsx]Elec_Rates!$D$91</v>
      </c>
      <c r="E4026" s="911"/>
      <c r="F4026" s="911"/>
      <c r="G4026" s="912" t="s">
        <v>2598</v>
      </c>
      <c r="H4026" s="912"/>
      <c r="I4026" s="912"/>
      <c r="J4026" s="912"/>
      <c r="K4026" s="913"/>
      <c r="L4026" s="911"/>
      <c r="M4026" s="911"/>
      <c r="N4026" s="911"/>
      <c r="O4026" s="914"/>
      <c r="P4026" s="911"/>
      <c r="Q4026" s="915"/>
      <c r="R4026" s="916"/>
      <c r="S4026" s="915"/>
      <c r="T4026" s="917"/>
      <c r="U4026" s="918"/>
      <c r="AR4026"/>
      <c r="AS4026" s="911"/>
    </row>
    <row r="4027" spans="1:45" s="886" customFormat="1" ht="11.4">
      <c r="A4027" s="919">
        <v>14</v>
      </c>
      <c r="B4027" s="920">
        <v>1</v>
      </c>
      <c r="C4027" s="920">
        <f>$A4027*$B4027</f>
        <v>14</v>
      </c>
      <c r="D4027" s="921" t="str">
        <f>Elec_Rates!$D$91</f>
        <v>007# Bracketing for Lighting in Warehouse</v>
      </c>
      <c r="E4027" s="921"/>
      <c r="F4027" s="921" t="s">
        <v>2599</v>
      </c>
      <c r="G4027" s="922" t="s">
        <v>2600</v>
      </c>
      <c r="H4027" s="922"/>
      <c r="I4027" s="922"/>
      <c r="J4027" s="922"/>
      <c r="K4027" s="923"/>
      <c r="L4027" s="918"/>
      <c r="M4027" s="918"/>
      <c r="N4027" s="918"/>
      <c r="O4027" s="924"/>
      <c r="P4027" s="921"/>
      <c r="Q4027" s="925">
        <f ca="1">$B4027*Elec_Rates!$R$91</f>
        <v>28.4</v>
      </c>
      <c r="R4027" s="916">
        <f ca="1">$A4027*Q4027</f>
        <v>397.59999999999997</v>
      </c>
      <c r="S4027" s="925">
        <f ca="1">$B4027*Elec_Rates!$T$91</f>
        <v>1.04</v>
      </c>
      <c r="T4027" s="917">
        <f ca="1">$A4027*S4027</f>
        <v>14.56</v>
      </c>
      <c r="U4027" s="926"/>
      <c r="AR4027" s="919">
        <v>14</v>
      </c>
      <c r="AS4027" s="921" t="s">
        <v>2599</v>
      </c>
    </row>
    <row r="4028" spans="1:45" s="520" customFormat="1" ht="12">
      <c r="A4028" s="758"/>
      <c r="B4028" s="758"/>
      <c r="C4028" s="758"/>
      <c r="D4028" s="758"/>
      <c r="E4028" s="758"/>
      <c r="F4028" s="753"/>
      <c r="G4028" s="758"/>
      <c r="H4028" s="758"/>
      <c r="I4028" s="519"/>
      <c r="J4028" s="758"/>
      <c r="K4028" s="758"/>
      <c r="L4028" s="758"/>
      <c r="M4028" s="758"/>
      <c r="N4028" s="758"/>
      <c r="O4028" s="758"/>
      <c r="P4028" s="758"/>
      <c r="Q4028" s="519"/>
      <c r="R4028" s="759">
        <f>$A4028*Q4028</f>
        <v>0</v>
      </c>
      <c r="S4028" s="519"/>
      <c r="T4028" s="760">
        <f>$A4028*S4028*$T$1</f>
        <v>0</v>
      </c>
      <c r="AR4028" s="758"/>
      <c r="AS4028" s="753"/>
    </row>
    <row r="4029" spans="1:45" s="520" customFormat="1" ht="12.6" thickBot="1">
      <c r="A4029" s="761" t="s">
        <v>145</v>
      </c>
      <c r="B4029" s="762">
        <f>(R4028+T4028)</f>
        <v>0</v>
      </c>
      <c r="C4029" s="763"/>
      <c r="D4029" s="763"/>
      <c r="E4029" s="763"/>
      <c r="F4029" s="764"/>
      <c r="G4029" s="763" t="s">
        <v>146</v>
      </c>
      <c r="H4029" s="763"/>
      <c r="I4029" s="765"/>
      <c r="J4029" s="763"/>
      <c r="K4029" s="763" t="s">
        <v>3</v>
      </c>
      <c r="L4029" s="766" t="s">
        <v>143</v>
      </c>
      <c r="M4029" s="766"/>
      <c r="N4029" s="766"/>
      <c r="O4029" s="766"/>
      <c r="P4029" s="766"/>
      <c r="Q4029" s="767"/>
      <c r="R4029" s="768">
        <f ca="1">SUM(R4023:R4028)</f>
        <v>827.2</v>
      </c>
      <c r="S4029" s="763"/>
      <c r="T4029" s="768">
        <f ca="1">SUM(T4023:T4028)</f>
        <v>32.26</v>
      </c>
      <c r="U4029" s="531"/>
      <c r="V4029" s="531"/>
      <c r="W4029" s="531"/>
      <c r="X4029" s="531"/>
      <c r="Y4029" s="531"/>
      <c r="Z4029" s="531"/>
      <c r="AA4029" s="531"/>
      <c r="AB4029" s="531"/>
      <c r="AC4029" s="531"/>
      <c r="AD4029" s="531"/>
      <c r="AE4029" s="531"/>
      <c r="AF4029" s="531"/>
      <c r="AG4029" s="531"/>
      <c r="AH4029" s="531"/>
      <c r="AI4029" s="531"/>
      <c r="AJ4029" s="531"/>
      <c r="AK4029" s="531"/>
      <c r="AL4029" s="531"/>
      <c r="AM4029" s="531"/>
      <c r="AN4029" s="531"/>
      <c r="AO4029" s="531"/>
      <c r="AR4029" s="761" t="s">
        <v>145</v>
      </c>
      <c r="AS4029" s="764"/>
    </row>
    <row r="4030" spans="1:45" s="520" customFormat="1" ht="12" thickTop="1">
      <c r="A4030" s="51"/>
      <c r="B4030" s="41"/>
      <c r="C4030" s="51"/>
      <c r="E4030" s="42" t="s">
        <v>138</v>
      </c>
      <c r="F4030" s="42" t="s">
        <v>139</v>
      </c>
      <c r="G4030" s="51"/>
      <c r="H4030" s="51"/>
      <c r="I4030" s="51"/>
      <c r="J4030" s="51"/>
      <c r="K4030" s="51" t="s">
        <v>140</v>
      </c>
      <c r="L4030" s="51"/>
      <c r="M4030" s="51"/>
      <c r="N4030" s="51"/>
      <c r="O4030" s="52"/>
      <c r="P4030" s="51"/>
      <c r="Q4030" s="51"/>
      <c r="R4030" s="51"/>
      <c r="S4030" s="51"/>
      <c r="T4030" s="41"/>
      <c r="AG4030" s="521" t="s">
        <v>268</v>
      </c>
      <c r="AH4030" s="521" t="s">
        <v>269</v>
      </c>
      <c r="AI4030" s="521" t="s">
        <v>270</v>
      </c>
      <c r="AJ4030" s="521" t="s">
        <v>271</v>
      </c>
      <c r="AK4030" s="521" t="s">
        <v>272</v>
      </c>
      <c r="AM4030" s="745" t="s">
        <v>281</v>
      </c>
      <c r="AN4030" s="746" t="s">
        <v>282</v>
      </c>
      <c r="AO4030" s="522" t="s">
        <v>278</v>
      </c>
      <c r="AR4030" s="51"/>
      <c r="AS4030" s="42" t="s">
        <v>139</v>
      </c>
    </row>
    <row r="4031" spans="1:45" s="520" customFormat="1" ht="12" customHeight="1">
      <c r="A4031" s="747">
        <v>4</v>
      </c>
      <c r="B4031" s="523" t="s">
        <v>141</v>
      </c>
      <c r="C4031" s="748"/>
      <c r="D4031" s="749" t="s">
        <v>1724</v>
      </c>
      <c r="E4031" s="750">
        <f ca="1">IF(AND($A4031=0,$A$1="DIF"),0, ROUND(ROUND(($R4038*$S$2+($T4038*$T$2))/A4031,2)*$C$2,2))</f>
        <v>2399.9699999999998</v>
      </c>
      <c r="F4031" s="751">
        <f ca="1">ROUND($A4031*$E4031,2)</f>
        <v>9599.8799999999992</v>
      </c>
      <c r="G4031" s="752" t="s">
        <v>142</v>
      </c>
      <c r="H4031" s="753"/>
      <c r="I4031" s="754"/>
      <c r="J4031" s="753"/>
      <c r="K4031" s="753" t="s">
        <v>3</v>
      </c>
      <c r="L4031" s="755" t="s">
        <v>143</v>
      </c>
      <c r="M4031" s="755"/>
      <c r="N4031" s="755"/>
      <c r="O4031" s="755"/>
      <c r="P4031" s="755"/>
      <c r="Q4031" s="51"/>
      <c r="T4031" s="756" t="str">
        <f ca="1">IF(AND($R4038=0,$T4038=0),"0.00","mu :" &amp; ROUND($F4031/$C$2/($R4038+$T4038*$D$9),2))</f>
        <v>mu :1.23</v>
      </c>
      <c r="W4031" s="524"/>
      <c r="AG4031" s="481">
        <f ca="1">IF($E4031=0,0,ROUND($R4038*$S$2*$C$2/$A4031,2))</f>
        <v>1159.04</v>
      </c>
      <c r="AH4031" s="481">
        <f ca="1">$AG4031*$A4031</f>
        <v>4636.16</v>
      </c>
      <c r="AI4031" s="525">
        <f ca="1">$E4031-$AG4031</f>
        <v>1240.9299999999998</v>
      </c>
      <c r="AJ4031" s="525">
        <f ca="1">$A4031*$AI4031</f>
        <v>4963.7199999999993</v>
      </c>
      <c r="AK4031" s="526">
        <f ca="1">ROUND(($AG4031+$AI4031)*$A4031,2)</f>
        <v>9599.8799999999992</v>
      </c>
      <c r="AM4031" s="527">
        <f ca="1">ROUND(R4038,2)</f>
        <v>3765.12</v>
      </c>
      <c r="AN4031" s="528">
        <f ca="1">ROUND(T4038,2)</f>
        <v>146.80000000000001</v>
      </c>
      <c r="AO4031" s="529">
        <f ca="1">ROUND(AM4031+AN4031,2)*A4031</f>
        <v>15647.68</v>
      </c>
      <c r="AR4031" s="747">
        <v>4</v>
      </c>
      <c r="AS4031" s="751">
        <v>10158.44</v>
      </c>
    </row>
    <row r="4032" spans="1:45" s="520" customFormat="1" ht="13.2">
      <c r="A4032" s="748"/>
      <c r="B4032"/>
      <c r="C4032" s="748"/>
      <c r="D4032" s="749" t="s">
        <v>836</v>
      </c>
      <c r="F4032" s="753"/>
      <c r="G4032" s="3"/>
      <c r="H4032" s="753"/>
      <c r="I4032" s="754"/>
      <c r="J4032" s="753"/>
      <c r="K4032" s="753" t="s">
        <v>144</v>
      </c>
      <c r="L4032" s="753"/>
      <c r="M4032" s="753"/>
      <c r="N4032" s="753"/>
      <c r="O4032" s="753"/>
      <c r="P4032" s="753"/>
      <c r="Q4032" s="51"/>
      <c r="R4032" s="530"/>
      <c r="S4032" s="757"/>
      <c r="T4032" s="753"/>
      <c r="AR4032" s="748"/>
      <c r="AS4032" s="753"/>
    </row>
    <row r="4033" spans="1:45" s="886" customFormat="1" ht="13.2">
      <c r="A4033"/>
      <c r="B4033" s="910"/>
      <c r="C4033" s="910" t="s">
        <v>2597</v>
      </c>
      <c r="D4033" s="910" t="str">
        <f ca="1">CELL("Address",Elec_Rates!D$79)</f>
        <v>[E25_0062_Quintano_Foods_Elec_ELV_As_Awarded.xlsx]Elec_Rates!$D$79</v>
      </c>
      <c r="E4033" s="911"/>
      <c r="F4033" s="911"/>
      <c r="G4033" s="912" t="s">
        <v>2598</v>
      </c>
      <c r="H4033" s="912"/>
      <c r="I4033" s="912"/>
      <c r="J4033" s="912"/>
      <c r="K4033" s="913"/>
      <c r="L4033" s="911"/>
      <c r="M4033" s="911"/>
      <c r="N4033" s="911"/>
      <c r="O4033" s="914"/>
      <c r="P4033" s="911"/>
      <c r="Q4033" s="915"/>
      <c r="R4033" s="916"/>
      <c r="S4033" s="915"/>
      <c r="T4033" s="917"/>
      <c r="U4033" s="918"/>
      <c r="AR4033"/>
      <c r="AS4033" s="911"/>
    </row>
    <row r="4034" spans="1:45" s="886" customFormat="1" ht="11.4">
      <c r="A4034" s="919">
        <v>4</v>
      </c>
      <c r="B4034" s="920">
        <v>8.5</v>
      </c>
      <c r="C4034" s="920">
        <f>$A4034*$B4034</f>
        <v>34</v>
      </c>
      <c r="D4034" s="921" t="str">
        <f>Elec_Rates!$D$79</f>
        <v>006# Light point rate (Galvanised Conduit)  in Warehouse</v>
      </c>
      <c r="E4034" s="921" t="s">
        <v>3026</v>
      </c>
      <c r="F4034" s="918"/>
      <c r="G4034" s="922" t="s">
        <v>2878</v>
      </c>
      <c r="H4034" s="922"/>
      <c r="I4034" s="922"/>
      <c r="J4034" s="922"/>
      <c r="K4034" s="923"/>
      <c r="L4034" s="918"/>
      <c r="M4034" s="918"/>
      <c r="N4034" s="918"/>
      <c r="O4034" s="924"/>
      <c r="P4034" s="921"/>
      <c r="Q4034" s="925">
        <f ca="1">$B4034*Elec_Rates!$R$79</f>
        <v>486.88</v>
      </c>
      <c r="R4034" s="916">
        <f ca="1">$A4034*Q4034</f>
        <v>1947.52</v>
      </c>
      <c r="S4034" s="925">
        <f ca="1">$B4034*Elec_Rates!$T$79</f>
        <v>20.059999999999999</v>
      </c>
      <c r="T4034" s="917">
        <f ca="1">$A4034*S4034</f>
        <v>80.239999999999995</v>
      </c>
      <c r="U4034" s="926"/>
      <c r="AR4034" s="919">
        <v>4</v>
      </c>
      <c r="AS4034" s="918"/>
    </row>
    <row r="4035" spans="1:45" s="886" customFormat="1" ht="13.2">
      <c r="A4035"/>
      <c r="B4035" s="910"/>
      <c r="C4035" s="910" t="s">
        <v>2597</v>
      </c>
      <c r="D4035" s="910" t="str">
        <f ca="1">CELL("Address",Elec_Rates!D$91)</f>
        <v>[E25_0062_Quintano_Foods_Elec_ELV_As_Awarded.xlsx]Elec_Rates!$D$91</v>
      </c>
      <c r="E4035" s="911"/>
      <c r="F4035" s="911"/>
      <c r="G4035" s="912" t="s">
        <v>2598</v>
      </c>
      <c r="H4035" s="912"/>
      <c r="I4035" s="912"/>
      <c r="J4035" s="912"/>
      <c r="K4035" s="913"/>
      <c r="L4035" s="911"/>
      <c r="M4035" s="911"/>
      <c r="N4035" s="911"/>
      <c r="O4035" s="914"/>
      <c r="P4035" s="911"/>
      <c r="Q4035" s="915"/>
      <c r="R4035" s="916"/>
      <c r="S4035" s="915"/>
      <c r="T4035" s="917"/>
      <c r="U4035" s="918"/>
      <c r="AR4035"/>
      <c r="AS4035" s="911"/>
    </row>
    <row r="4036" spans="1:45" s="886" customFormat="1" ht="11.4">
      <c r="A4036" s="919">
        <v>64</v>
      </c>
      <c r="B4036" s="920">
        <v>1</v>
      </c>
      <c r="C4036" s="920">
        <f>$A4036*$B4036</f>
        <v>64</v>
      </c>
      <c r="D4036" s="921" t="str">
        <f>Elec_Rates!$D$91</f>
        <v>007# Bracketing for Lighting in Warehouse</v>
      </c>
      <c r="E4036" s="921"/>
      <c r="F4036" s="921" t="s">
        <v>2599</v>
      </c>
      <c r="G4036" s="922" t="s">
        <v>2600</v>
      </c>
      <c r="H4036" s="922"/>
      <c r="I4036" s="922"/>
      <c r="J4036" s="922"/>
      <c r="K4036" s="923"/>
      <c r="L4036" s="918"/>
      <c r="M4036" s="918"/>
      <c r="N4036" s="918"/>
      <c r="O4036" s="924"/>
      <c r="P4036" s="921"/>
      <c r="Q4036" s="925">
        <f ca="1">$B4036*Elec_Rates!$R$91</f>
        <v>28.4</v>
      </c>
      <c r="R4036" s="916">
        <f ca="1">$A4036*Q4036</f>
        <v>1817.6</v>
      </c>
      <c r="S4036" s="925">
        <f ca="1">$B4036*Elec_Rates!$T$91</f>
        <v>1.04</v>
      </c>
      <c r="T4036" s="917">
        <f ca="1">$A4036*S4036</f>
        <v>66.56</v>
      </c>
      <c r="U4036" s="926"/>
      <c r="AR4036" s="919">
        <v>64</v>
      </c>
      <c r="AS4036" s="921" t="s">
        <v>2599</v>
      </c>
    </row>
    <row r="4037" spans="1:45" s="520" customFormat="1" ht="12">
      <c r="A4037" s="758"/>
      <c r="B4037" s="758"/>
      <c r="C4037" s="758"/>
      <c r="D4037" s="758"/>
      <c r="E4037" s="758"/>
      <c r="F4037" s="753"/>
      <c r="G4037" s="758"/>
      <c r="H4037" s="758"/>
      <c r="I4037" s="519"/>
      <c r="J4037" s="758"/>
      <c r="K4037" s="758"/>
      <c r="L4037" s="758"/>
      <c r="M4037" s="758"/>
      <c r="N4037" s="758"/>
      <c r="O4037" s="758"/>
      <c r="P4037" s="758"/>
      <c r="Q4037" s="519"/>
      <c r="R4037" s="759">
        <f>$A4037*Q4037</f>
        <v>0</v>
      </c>
      <c r="S4037" s="519"/>
      <c r="T4037" s="760">
        <f>$A4037*S4037*$T$1</f>
        <v>0</v>
      </c>
      <c r="AR4037" s="758"/>
      <c r="AS4037" s="753"/>
    </row>
    <row r="4038" spans="1:45" s="520" customFormat="1" ht="12.6" thickBot="1">
      <c r="A4038" s="761" t="s">
        <v>145</v>
      </c>
      <c r="B4038" s="762">
        <f>(R4037+T4037)</f>
        <v>0</v>
      </c>
      <c r="C4038" s="763"/>
      <c r="D4038" s="763"/>
      <c r="E4038" s="763"/>
      <c r="F4038" s="764"/>
      <c r="G4038" s="763" t="s">
        <v>146</v>
      </c>
      <c r="H4038" s="763"/>
      <c r="I4038" s="765"/>
      <c r="J4038" s="763"/>
      <c r="K4038" s="763" t="s">
        <v>3</v>
      </c>
      <c r="L4038" s="766" t="s">
        <v>143</v>
      </c>
      <c r="M4038" s="766"/>
      <c r="N4038" s="766"/>
      <c r="O4038" s="766"/>
      <c r="P4038" s="766"/>
      <c r="Q4038" s="767"/>
      <c r="R4038" s="768">
        <f ca="1">SUM(R4032:R4037)</f>
        <v>3765.12</v>
      </c>
      <c r="S4038" s="763"/>
      <c r="T4038" s="768">
        <f ca="1">SUM(T4032:T4037)</f>
        <v>146.80000000000001</v>
      </c>
      <c r="U4038" s="531"/>
      <c r="V4038" s="531"/>
      <c r="W4038" s="531"/>
      <c r="X4038" s="531"/>
      <c r="Y4038" s="531"/>
      <c r="Z4038" s="531"/>
      <c r="AA4038" s="531"/>
      <c r="AB4038" s="531"/>
      <c r="AC4038" s="531"/>
      <c r="AD4038" s="531"/>
      <c r="AE4038" s="531"/>
      <c r="AF4038" s="531"/>
      <c r="AG4038" s="531"/>
      <c r="AH4038" s="531"/>
      <c r="AI4038" s="531"/>
      <c r="AJ4038" s="531"/>
      <c r="AK4038" s="531"/>
      <c r="AL4038" s="531"/>
      <c r="AM4038" s="531"/>
      <c r="AN4038" s="531"/>
      <c r="AO4038" s="531"/>
      <c r="AR4038" s="761" t="s">
        <v>145</v>
      </c>
      <c r="AS4038" s="764"/>
    </row>
    <row r="4039" spans="1:45" s="520" customFormat="1" ht="12" thickTop="1">
      <c r="A4039" s="51"/>
      <c r="B4039" s="41"/>
      <c r="C4039" s="51"/>
      <c r="E4039" s="42" t="s">
        <v>138</v>
      </c>
      <c r="F4039" s="42" t="s">
        <v>139</v>
      </c>
      <c r="G4039" s="51"/>
      <c r="H4039" s="51"/>
      <c r="I4039" s="51"/>
      <c r="J4039" s="51"/>
      <c r="K4039" s="51" t="s">
        <v>140</v>
      </c>
      <c r="L4039" s="51"/>
      <c r="M4039" s="51"/>
      <c r="N4039" s="51"/>
      <c r="O4039" s="52"/>
      <c r="P4039" s="51"/>
      <c r="Q4039" s="51"/>
      <c r="R4039" s="51"/>
      <c r="S4039" s="51"/>
      <c r="T4039" s="41"/>
      <c r="AG4039" s="521" t="s">
        <v>268</v>
      </c>
      <c r="AH4039" s="521" t="s">
        <v>269</v>
      </c>
      <c r="AI4039" s="521" t="s">
        <v>270</v>
      </c>
      <c r="AJ4039" s="521" t="s">
        <v>271</v>
      </c>
      <c r="AK4039" s="521" t="s">
        <v>272</v>
      </c>
      <c r="AM4039" s="745" t="s">
        <v>281</v>
      </c>
      <c r="AN4039" s="746" t="s">
        <v>282</v>
      </c>
      <c r="AO4039" s="522" t="s">
        <v>278</v>
      </c>
      <c r="AR4039" s="51"/>
      <c r="AS4039" s="42" t="s">
        <v>139</v>
      </c>
    </row>
    <row r="4040" spans="1:45" s="520" customFormat="1" ht="12" customHeight="1">
      <c r="A4040" s="747">
        <v>41</v>
      </c>
      <c r="B4040" s="523" t="s">
        <v>141</v>
      </c>
      <c r="C4040" s="748"/>
      <c r="D4040" s="749" t="s">
        <v>1725</v>
      </c>
      <c r="E4040" s="750">
        <f ca="1">IF(AND($A4040=0,$A$1="DIF"),0, ROUND(ROUND(($R4045*$S$2+($T4045*$T$2))/A4040,2)*$C$2,2))</f>
        <v>151.94</v>
      </c>
      <c r="F4040" s="751">
        <f ca="1">ROUND($A4040*$E4040,2)</f>
        <v>6229.54</v>
      </c>
      <c r="G4040" s="752" t="s">
        <v>142</v>
      </c>
      <c r="H4040" s="753"/>
      <c r="I4040" s="754"/>
      <c r="J4040" s="753"/>
      <c r="K4040" s="753" t="s">
        <v>3</v>
      </c>
      <c r="L4040" s="755" t="s">
        <v>143</v>
      </c>
      <c r="M4040" s="755"/>
      <c r="N4040" s="755"/>
      <c r="O4040" s="755"/>
      <c r="P4040" s="755"/>
      <c r="Q4040" s="51"/>
      <c r="T4040" s="756" t="str">
        <f ca="1">IF(AND($R4045=0,$T4045=0),"0.00","mu :" &amp; ROUND($F4040/$C$2/($R4045+$T4045*$D$9),2))</f>
        <v>mu :1.23</v>
      </c>
      <c r="W4040" s="524"/>
      <c r="AG4040" s="481">
        <f ca="1">IF($E4040=0,0,ROUND($R4045*$S$2*$C$2/$A4040,2))</f>
        <v>54.89</v>
      </c>
      <c r="AH4040" s="481">
        <f ca="1">$AG4040*$A4040</f>
        <v>2250.4900000000002</v>
      </c>
      <c r="AI4040" s="525">
        <f ca="1">$E4040-$AG4040</f>
        <v>97.05</v>
      </c>
      <c r="AJ4040" s="525">
        <f ca="1">$A4040*$AI4040</f>
        <v>3979.0499999999997</v>
      </c>
      <c r="AK4040" s="526">
        <f ca="1">ROUND(($AG4040+$AI4040)*$A4040,2)</f>
        <v>6229.54</v>
      </c>
      <c r="AM4040" s="527">
        <f ca="1">ROUND(R4045,2)</f>
        <v>1827.78</v>
      </c>
      <c r="AN4040" s="528">
        <f ca="1">ROUND(T4045,2)</f>
        <v>117.67</v>
      </c>
      <c r="AO4040" s="529">
        <f ca="1">ROUND(AM4040+AN4040,2)*A4040</f>
        <v>79763.45</v>
      </c>
      <c r="AR4040" s="747">
        <v>41</v>
      </c>
      <c r="AS4040" s="751">
        <v>6659.22</v>
      </c>
    </row>
    <row r="4041" spans="1:45" s="520" customFormat="1" ht="13.2">
      <c r="A4041" s="748"/>
      <c r="B4041"/>
      <c r="C4041" s="748"/>
      <c r="D4041" s="749" t="s">
        <v>777</v>
      </c>
      <c r="F4041" s="753"/>
      <c r="G4041" s="3"/>
      <c r="H4041" s="753"/>
      <c r="I4041" s="754"/>
      <c r="J4041" s="753"/>
      <c r="K4041" s="753" t="s">
        <v>144</v>
      </c>
      <c r="L4041" s="753"/>
      <c r="M4041" s="753"/>
      <c r="N4041" s="753"/>
      <c r="O4041" s="753"/>
      <c r="P4041" s="753"/>
      <c r="Q4041" s="51"/>
      <c r="R4041" s="530"/>
      <c r="S4041" s="757"/>
      <c r="T4041" s="753"/>
      <c r="AR4041" s="748"/>
      <c r="AS4041" s="753"/>
    </row>
    <row r="4042" spans="1:45" s="886" customFormat="1" ht="13.2">
      <c r="A4042"/>
      <c r="B4042" s="910"/>
      <c r="C4042" s="910" t="s">
        <v>2597</v>
      </c>
      <c r="D4042" s="910" t="str">
        <f ca="1">CELL("Address",Elec_Rates!D$103)</f>
        <v>[E25_0062_Quintano_Foods_Elec_ELV_As_Awarded.xlsx]Elec_Rates!$D$103</v>
      </c>
      <c r="E4042" s="911"/>
      <c r="F4042" s="911"/>
      <c r="G4042" s="912" t="s">
        <v>2598</v>
      </c>
      <c r="H4042" s="912"/>
      <c r="I4042" s="912"/>
      <c r="J4042" s="912"/>
      <c r="K4042" s="913"/>
      <c r="L4042" s="911"/>
      <c r="M4042" s="911"/>
      <c r="N4042" s="911"/>
      <c r="O4042" s="914"/>
      <c r="P4042" s="911"/>
      <c r="Q4042" s="915"/>
      <c r="R4042" s="916"/>
      <c r="S4042" s="915"/>
      <c r="T4042" s="917"/>
      <c r="U4042" s="918"/>
      <c r="AR4042"/>
      <c r="AS4042" s="911"/>
    </row>
    <row r="4043" spans="1:45" s="886" customFormat="1" ht="11.4">
      <c r="A4043" s="919">
        <v>41</v>
      </c>
      <c r="B4043" s="920">
        <v>1</v>
      </c>
      <c r="C4043" s="920">
        <f>$A4043*$B4043</f>
        <v>41</v>
      </c>
      <c r="D4043" s="921" t="str">
        <f>Elec_Rates!$D$103</f>
        <v>008# Maintained Emergency Light point rate (Galvanised Conduit)</v>
      </c>
      <c r="E4043" s="921"/>
      <c r="F4043" s="921" t="s">
        <v>2599</v>
      </c>
      <c r="G4043" s="922" t="s">
        <v>2600</v>
      </c>
      <c r="H4043" s="922"/>
      <c r="I4043" s="922"/>
      <c r="J4043" s="922"/>
      <c r="K4043" s="923"/>
      <c r="L4043" s="918"/>
      <c r="M4043" s="918"/>
      <c r="N4043" s="918"/>
      <c r="O4043" s="924"/>
      <c r="P4043" s="921"/>
      <c r="Q4043" s="925">
        <f ca="1">$B4043*Elec_Rates!$R$103</f>
        <v>44.58</v>
      </c>
      <c r="R4043" s="916">
        <f ca="1">$A4043*Q4043</f>
        <v>1827.78</v>
      </c>
      <c r="S4043" s="925">
        <f ca="1">$B4043*Elec_Rates!$T$103</f>
        <v>2.87</v>
      </c>
      <c r="T4043" s="917">
        <f ca="1">$A4043*S4043</f>
        <v>117.67</v>
      </c>
      <c r="U4043" s="926"/>
      <c r="AR4043" s="919">
        <v>41</v>
      </c>
      <c r="AS4043" s="921" t="s">
        <v>2599</v>
      </c>
    </row>
    <row r="4044" spans="1:45" s="520" customFormat="1" ht="12">
      <c r="A4044" s="758"/>
      <c r="B4044" s="758"/>
      <c r="C4044" s="758"/>
      <c r="D4044" s="758"/>
      <c r="E4044" s="758"/>
      <c r="F4044" s="753"/>
      <c r="G4044" s="758"/>
      <c r="H4044" s="758"/>
      <c r="I4044" s="519"/>
      <c r="J4044" s="758"/>
      <c r="K4044" s="758"/>
      <c r="L4044" s="758"/>
      <c r="M4044" s="758"/>
      <c r="N4044" s="758"/>
      <c r="O4044" s="758"/>
      <c r="P4044" s="758"/>
      <c r="Q4044" s="519"/>
      <c r="R4044" s="759">
        <f>$A4044*Q4044</f>
        <v>0</v>
      </c>
      <c r="S4044" s="519"/>
      <c r="T4044" s="760">
        <f>$A4044*S4044*$T$1</f>
        <v>0</v>
      </c>
      <c r="AR4044" s="758"/>
      <c r="AS4044" s="753"/>
    </row>
    <row r="4045" spans="1:45" s="520" customFormat="1" ht="12.6" thickBot="1">
      <c r="A4045" s="761" t="s">
        <v>145</v>
      </c>
      <c r="B4045" s="762">
        <f>(R4044+T4044)</f>
        <v>0</v>
      </c>
      <c r="C4045" s="763"/>
      <c r="D4045" s="763"/>
      <c r="E4045" s="763"/>
      <c r="F4045" s="764"/>
      <c r="G4045" s="763" t="s">
        <v>146</v>
      </c>
      <c r="H4045" s="763"/>
      <c r="I4045" s="765"/>
      <c r="J4045" s="763"/>
      <c r="K4045" s="763" t="s">
        <v>3</v>
      </c>
      <c r="L4045" s="766" t="s">
        <v>143</v>
      </c>
      <c r="M4045" s="766"/>
      <c r="N4045" s="766"/>
      <c r="O4045" s="766"/>
      <c r="P4045" s="766"/>
      <c r="Q4045" s="767"/>
      <c r="R4045" s="768">
        <f ca="1">SUM(R4041:R4044)</f>
        <v>1827.78</v>
      </c>
      <c r="S4045" s="763"/>
      <c r="T4045" s="768">
        <f ca="1">SUM(T4041:T4044)</f>
        <v>117.67</v>
      </c>
      <c r="U4045" s="531"/>
      <c r="V4045" s="531"/>
      <c r="W4045" s="531"/>
      <c r="X4045" s="531"/>
      <c r="Y4045" s="531"/>
      <c r="Z4045" s="531"/>
      <c r="AA4045" s="531"/>
      <c r="AB4045" s="531"/>
      <c r="AC4045" s="531"/>
      <c r="AD4045" s="531"/>
      <c r="AE4045" s="531"/>
      <c r="AF4045" s="531"/>
      <c r="AG4045" s="531"/>
      <c r="AH4045" s="531"/>
      <c r="AI4045" s="531"/>
      <c r="AJ4045" s="531"/>
      <c r="AK4045" s="531"/>
      <c r="AL4045" s="531"/>
      <c r="AM4045" s="531"/>
      <c r="AN4045" s="531"/>
      <c r="AO4045" s="531"/>
      <c r="AR4045" s="761" t="s">
        <v>145</v>
      </c>
      <c r="AS4045" s="764"/>
    </row>
    <row r="4046" spans="1:45" s="520" customFormat="1" thickTop="1">
      <c r="A4046" s="51"/>
      <c r="B4046" s="51"/>
      <c r="C4046" s="3"/>
      <c r="D4046" s="3"/>
      <c r="E4046" s="51"/>
      <c r="F4046" s="51"/>
      <c r="G4046" s="51"/>
      <c r="H4046" s="51"/>
      <c r="I4046" s="51"/>
      <c r="J4046" s="51"/>
      <c r="K4046" s="51" t="s">
        <v>134</v>
      </c>
      <c r="L4046" s="51"/>
      <c r="M4046" s="51"/>
      <c r="N4046" s="51"/>
      <c r="O4046" s="52"/>
      <c r="P4046" s="51"/>
      <c r="Q4046" s="51"/>
      <c r="R4046" s="51"/>
      <c r="S4046" s="51"/>
      <c r="T4046" s="51"/>
      <c r="AR4046" s="51"/>
      <c r="AS4046" s="51"/>
    </row>
    <row r="4047" spans="1:45" s="520" customFormat="1" ht="12">
      <c r="A4047" s="51"/>
      <c r="B4047" s="51"/>
      <c r="C4047" s="51" t="s">
        <v>135</v>
      </c>
      <c r="D4047" s="37"/>
      <c r="E4047" s="51"/>
      <c r="F4047" s="51"/>
      <c r="G4047" s="51"/>
      <c r="H4047" s="51"/>
      <c r="I4047" s="51"/>
      <c r="J4047" s="51"/>
      <c r="K4047" s="51"/>
      <c r="L4047" s="51"/>
      <c r="M4047" s="51"/>
      <c r="N4047" s="51"/>
      <c r="O4047" s="52"/>
      <c r="P4047" s="51"/>
      <c r="Q4047" s="51"/>
      <c r="R4047" s="51"/>
      <c r="S4047" s="51"/>
      <c r="T4047" s="51"/>
      <c r="AR4047" s="51"/>
      <c r="AS4047" s="51"/>
    </row>
    <row r="4048" spans="1:45" s="520" customFormat="1" ht="12">
      <c r="A4048" s="51"/>
      <c r="B4048" s="51"/>
      <c r="C4048" s="51"/>
      <c r="D4048" s="37" t="s">
        <v>778</v>
      </c>
      <c r="E4048" s="51"/>
      <c r="F4048" s="51"/>
      <c r="G4048" s="51"/>
      <c r="H4048" s="51"/>
      <c r="I4048" s="51"/>
      <c r="J4048" s="51"/>
      <c r="K4048" s="51"/>
      <c r="L4048" s="51"/>
      <c r="M4048" s="51"/>
      <c r="N4048" s="51"/>
      <c r="O4048" s="52"/>
      <c r="P4048" s="51"/>
      <c r="Q4048" s="51"/>
      <c r="R4048" s="51"/>
      <c r="S4048" s="38"/>
      <c r="T4048" s="38"/>
      <c r="AR4048" s="51"/>
      <c r="AS4048" s="51"/>
    </row>
    <row r="4049" spans="1:45" s="3" customFormat="1" thickBot="1">
      <c r="A4049" s="531"/>
      <c r="O4049" s="107"/>
      <c r="AR4049" s="531"/>
    </row>
    <row r="4050" spans="1:45" s="520" customFormat="1" ht="12" thickTop="1">
      <c r="A4050" s="51"/>
      <c r="B4050" s="41"/>
      <c r="C4050" s="51"/>
      <c r="E4050" s="42" t="s">
        <v>138</v>
      </c>
      <c r="F4050" s="42" t="s">
        <v>139</v>
      </c>
      <c r="G4050" s="51"/>
      <c r="H4050" s="51"/>
      <c r="I4050" s="51"/>
      <c r="J4050" s="51"/>
      <c r="K4050" s="51" t="s">
        <v>140</v>
      </c>
      <c r="L4050" s="51"/>
      <c r="M4050" s="51"/>
      <c r="N4050" s="51"/>
      <c r="O4050" s="52"/>
      <c r="P4050" s="51"/>
      <c r="Q4050" s="51"/>
      <c r="R4050" s="51"/>
      <c r="S4050" s="51"/>
      <c r="T4050" s="41"/>
      <c r="AG4050" s="521" t="s">
        <v>268</v>
      </c>
      <c r="AH4050" s="521" t="s">
        <v>269</v>
      </c>
      <c r="AI4050" s="521" t="s">
        <v>270</v>
      </c>
      <c r="AJ4050" s="521" t="s">
        <v>271</v>
      </c>
      <c r="AK4050" s="521" t="s">
        <v>272</v>
      </c>
      <c r="AM4050" s="745" t="s">
        <v>281</v>
      </c>
      <c r="AN4050" s="746" t="s">
        <v>282</v>
      </c>
      <c r="AO4050" s="522" t="s">
        <v>278</v>
      </c>
      <c r="AR4050" s="51"/>
      <c r="AS4050" s="42" t="s">
        <v>139</v>
      </c>
    </row>
    <row r="4051" spans="1:45" s="520" customFormat="1" ht="12" customHeight="1">
      <c r="A4051" s="747">
        <v>2</v>
      </c>
      <c r="B4051" s="523" t="s">
        <v>141</v>
      </c>
      <c r="C4051" s="748"/>
      <c r="D4051" s="749" t="s">
        <v>1726</v>
      </c>
      <c r="E4051" s="750">
        <f ca="1">IF(AND($A4051=0,$A$1="DIF"),0, ROUND(ROUND(($R4056*$S$2+($T4056*$T$2))/A4051,2)*$C$2,2))</f>
        <v>47.62</v>
      </c>
      <c r="F4051" s="751">
        <f ca="1">ROUND($A4051*$E4051,2)</f>
        <v>95.24</v>
      </c>
      <c r="G4051" s="752" t="s">
        <v>142</v>
      </c>
      <c r="H4051" s="753"/>
      <c r="I4051" s="754"/>
      <c r="J4051" s="753"/>
      <c r="K4051" s="753" t="s">
        <v>3</v>
      </c>
      <c r="L4051" s="755" t="s">
        <v>143</v>
      </c>
      <c r="M4051" s="755"/>
      <c r="N4051" s="755"/>
      <c r="O4051" s="755"/>
      <c r="P4051" s="755"/>
      <c r="Q4051" s="51"/>
      <c r="T4051" s="756" t="str">
        <f ca="1">IF(AND($R4056=0,$T4056=0),"0.00","mu :" &amp; ROUND($F4051/$C$2/($R4056+$T4056*$D$9),2))</f>
        <v>mu :1.23</v>
      </c>
      <c r="W4051" s="524"/>
      <c r="AG4051" s="481">
        <f ca="1">IF($E4051=0,0,ROUND($R4056*$S$2*$C$2/$A4051,2))</f>
        <v>38.49</v>
      </c>
      <c r="AH4051" s="481">
        <f ca="1">$AG4051*$A4051</f>
        <v>76.98</v>
      </c>
      <c r="AI4051" s="525">
        <f ca="1">$E4051-$AG4051</f>
        <v>9.1299999999999955</v>
      </c>
      <c r="AJ4051" s="525">
        <f ca="1">$A4051*$AI4051</f>
        <v>18.259999999999991</v>
      </c>
      <c r="AK4051" s="526">
        <f ca="1">ROUND(($AG4051+$AI4051)*$A4051,2)</f>
        <v>95.24</v>
      </c>
      <c r="AM4051" s="527">
        <f ca="1">ROUND(R4056,2)</f>
        <v>62.52</v>
      </c>
      <c r="AN4051" s="528">
        <f ca="1">ROUND(T4056,2)</f>
        <v>0.54</v>
      </c>
      <c r="AO4051" s="529">
        <f ca="1">ROUND(AM4051+AN4051,2)*A4051</f>
        <v>126.12</v>
      </c>
      <c r="AR4051" s="747">
        <v>2</v>
      </c>
      <c r="AS4051" s="751">
        <v>97.28</v>
      </c>
    </row>
    <row r="4052" spans="1:45" s="520" customFormat="1" ht="13.2">
      <c r="A4052" s="748"/>
      <c r="B4052"/>
      <c r="C4052" s="748"/>
      <c r="D4052" s="749" t="s">
        <v>780</v>
      </c>
      <c r="F4052" s="753"/>
      <c r="G4052" s="3"/>
      <c r="H4052" s="753"/>
      <c r="I4052" s="754"/>
      <c r="J4052" s="753"/>
      <c r="K4052" s="753" t="s">
        <v>144</v>
      </c>
      <c r="L4052" s="753"/>
      <c r="M4052" s="753"/>
      <c r="N4052" s="753"/>
      <c r="O4052" s="753"/>
      <c r="P4052" s="753"/>
      <c r="Q4052" s="51"/>
      <c r="R4052" s="530"/>
      <c r="S4052" s="757"/>
      <c r="T4052" s="753"/>
      <c r="AR4052" s="748"/>
      <c r="AS4052" s="753"/>
    </row>
    <row r="4053" spans="1:45" s="886" customFormat="1" ht="13.2">
      <c r="A4053"/>
      <c r="B4053" s="910"/>
      <c r="C4053" s="910" t="s">
        <v>2597</v>
      </c>
      <c r="D4053" s="910" t="str">
        <f ca="1">CELL("Address",Elec_Rates!D$156)</f>
        <v>[E25_0062_Quintano_Foods_Elec_ELV_As_Awarded.xlsx]Elec_Rates!$D$156</v>
      </c>
      <c r="E4053" s="911"/>
      <c r="F4053" s="911"/>
      <c r="G4053" s="912" t="s">
        <v>2598</v>
      </c>
      <c r="H4053" s="912"/>
      <c r="I4053" s="912"/>
      <c r="J4053" s="912"/>
      <c r="K4053" s="913"/>
      <c r="L4053" s="911"/>
      <c r="M4053" s="911"/>
      <c r="N4053" s="911"/>
      <c r="O4053" s="914"/>
      <c r="P4053" s="911"/>
      <c r="Q4053" s="915"/>
      <c r="R4053" s="916"/>
      <c r="S4053" s="915"/>
      <c r="T4053" s="917"/>
      <c r="U4053" s="918"/>
      <c r="AR4053"/>
      <c r="AS4053" s="911"/>
    </row>
    <row r="4054" spans="1:45" s="886" customFormat="1" ht="11.4">
      <c r="A4054" s="919">
        <v>2</v>
      </c>
      <c r="B4054" s="920">
        <v>1</v>
      </c>
      <c r="C4054" s="920">
        <f>$A4054*$B4054</f>
        <v>2</v>
      </c>
      <c r="D4054" s="921" t="str">
        <f>Elec_Rates!$D$156</f>
        <v>014# 3Pin 16Amp IP67 Unswitched Socket outlet</v>
      </c>
      <c r="E4054" s="921"/>
      <c r="F4054" s="921" t="s">
        <v>2599</v>
      </c>
      <c r="G4054" s="922" t="s">
        <v>2601</v>
      </c>
      <c r="H4054" s="922"/>
      <c r="I4054" s="922"/>
      <c r="J4054" s="922"/>
      <c r="K4054" s="923"/>
      <c r="L4054" s="918"/>
      <c r="M4054" s="918"/>
      <c r="N4054" s="918"/>
      <c r="O4054" s="924"/>
      <c r="P4054" s="921"/>
      <c r="Q4054" s="925">
        <f ca="1">$B4054*Elec_Rates!$R$156</f>
        <v>31.26</v>
      </c>
      <c r="R4054" s="916">
        <f ca="1">$A4054*Q4054</f>
        <v>62.52</v>
      </c>
      <c r="S4054" s="925">
        <f ca="1">$B4054*Elec_Rates!$T$156</f>
        <v>0.27</v>
      </c>
      <c r="T4054" s="917">
        <f ca="1">$A4054*S4054</f>
        <v>0.54</v>
      </c>
      <c r="U4054" s="926"/>
      <c r="AR4054" s="919">
        <v>2</v>
      </c>
      <c r="AS4054" s="921" t="s">
        <v>2599</v>
      </c>
    </row>
    <row r="4055" spans="1:45" s="520" customFormat="1" ht="12">
      <c r="A4055" s="758"/>
      <c r="B4055" s="758"/>
      <c r="C4055" s="758"/>
      <c r="D4055" s="758"/>
      <c r="E4055" s="758"/>
      <c r="F4055" s="753"/>
      <c r="G4055" s="758"/>
      <c r="H4055" s="758"/>
      <c r="I4055" s="519"/>
      <c r="J4055" s="758"/>
      <c r="K4055" s="758"/>
      <c r="L4055" s="758"/>
      <c r="M4055" s="758"/>
      <c r="N4055" s="758"/>
      <c r="O4055" s="758"/>
      <c r="P4055" s="758"/>
      <c r="Q4055" s="519"/>
      <c r="R4055" s="759">
        <f>$A4055*Q4055</f>
        <v>0</v>
      </c>
      <c r="S4055" s="519"/>
      <c r="T4055" s="760">
        <f>$A4055*S4055*$T$1</f>
        <v>0</v>
      </c>
      <c r="AR4055" s="758"/>
      <c r="AS4055" s="753"/>
    </row>
    <row r="4056" spans="1:45" s="520" customFormat="1" ht="12.6" thickBot="1">
      <c r="A4056" s="761" t="s">
        <v>145</v>
      </c>
      <c r="B4056" s="762">
        <f>(R4055+T4055)</f>
        <v>0</v>
      </c>
      <c r="C4056" s="763"/>
      <c r="D4056" s="763"/>
      <c r="E4056" s="763"/>
      <c r="F4056" s="764"/>
      <c r="G4056" s="763" t="s">
        <v>146</v>
      </c>
      <c r="H4056" s="763"/>
      <c r="I4056" s="765"/>
      <c r="J4056" s="763"/>
      <c r="K4056" s="763" t="s">
        <v>3</v>
      </c>
      <c r="L4056" s="766" t="s">
        <v>143</v>
      </c>
      <c r="M4056" s="766"/>
      <c r="N4056" s="766"/>
      <c r="O4056" s="766"/>
      <c r="P4056" s="766"/>
      <c r="Q4056" s="767"/>
      <c r="R4056" s="768">
        <f ca="1">SUM(R4052:R4055)</f>
        <v>62.52</v>
      </c>
      <c r="S4056" s="763"/>
      <c r="T4056" s="768">
        <f ca="1">SUM(T4052:T4055)</f>
        <v>0.54</v>
      </c>
      <c r="U4056" s="531"/>
      <c r="V4056" s="531"/>
      <c r="W4056" s="531"/>
      <c r="X4056" s="531"/>
      <c r="Y4056" s="531"/>
      <c r="Z4056" s="531"/>
      <c r="AA4056" s="531"/>
      <c r="AB4056" s="531"/>
      <c r="AC4056" s="531"/>
      <c r="AD4056" s="531"/>
      <c r="AE4056" s="531"/>
      <c r="AF4056" s="531"/>
      <c r="AG4056" s="531"/>
      <c r="AH4056" s="531"/>
      <c r="AI4056" s="531"/>
      <c r="AJ4056" s="531"/>
      <c r="AK4056" s="531"/>
      <c r="AL4056" s="531"/>
      <c r="AM4056" s="531"/>
      <c r="AN4056" s="531"/>
      <c r="AO4056" s="531"/>
      <c r="AR4056" s="761" t="s">
        <v>145</v>
      </c>
      <c r="AS4056" s="764"/>
    </row>
    <row r="4057" spans="1:45" s="520" customFormat="1" ht="12" thickTop="1">
      <c r="A4057" s="51"/>
      <c r="B4057" s="41"/>
      <c r="C4057" s="51"/>
      <c r="E4057" s="42" t="s">
        <v>138</v>
      </c>
      <c r="F4057" s="42" t="s">
        <v>139</v>
      </c>
      <c r="G4057" s="51"/>
      <c r="H4057" s="51"/>
      <c r="I4057" s="51"/>
      <c r="J4057" s="51"/>
      <c r="K4057" s="51" t="s">
        <v>140</v>
      </c>
      <c r="L4057" s="51"/>
      <c r="M4057" s="51"/>
      <c r="N4057" s="51"/>
      <c r="O4057" s="52"/>
      <c r="P4057" s="51"/>
      <c r="Q4057" s="51"/>
      <c r="R4057" s="51"/>
      <c r="S4057" s="51"/>
      <c r="T4057" s="41"/>
      <c r="AG4057" s="521" t="s">
        <v>268</v>
      </c>
      <c r="AH4057" s="521" t="s">
        <v>269</v>
      </c>
      <c r="AI4057" s="521" t="s">
        <v>270</v>
      </c>
      <c r="AJ4057" s="521" t="s">
        <v>271</v>
      </c>
      <c r="AK4057" s="521" t="s">
        <v>272</v>
      </c>
      <c r="AM4057" s="745" t="s">
        <v>281</v>
      </c>
      <c r="AN4057" s="746" t="s">
        <v>282</v>
      </c>
      <c r="AO4057" s="522" t="s">
        <v>278</v>
      </c>
      <c r="AR4057" s="51"/>
      <c r="AS4057" s="42" t="s">
        <v>139</v>
      </c>
    </row>
    <row r="4058" spans="1:45" s="520" customFormat="1" ht="12" customHeight="1">
      <c r="A4058" s="747">
        <v>6</v>
      </c>
      <c r="B4058" s="523" t="s">
        <v>141</v>
      </c>
      <c r="C4058" s="748"/>
      <c r="D4058" s="749" t="s">
        <v>1727</v>
      </c>
      <c r="E4058" s="750">
        <f ca="1">IF(AND($A4058=0,$A$1="DIF"),0, ROUND(ROUND(($R4063*$S$2+($T4063*$T$2))/A4058,2)*$C$2,2))</f>
        <v>47.62</v>
      </c>
      <c r="F4058" s="751">
        <f ca="1">ROUND($A4058*$E4058,2)</f>
        <v>285.72000000000003</v>
      </c>
      <c r="G4058" s="752" t="s">
        <v>142</v>
      </c>
      <c r="H4058" s="753"/>
      <c r="I4058" s="754"/>
      <c r="J4058" s="753"/>
      <c r="K4058" s="753" t="s">
        <v>3</v>
      </c>
      <c r="L4058" s="755" t="s">
        <v>143</v>
      </c>
      <c r="M4058" s="755"/>
      <c r="N4058" s="755"/>
      <c r="O4058" s="755"/>
      <c r="P4058" s="755"/>
      <c r="Q4058" s="51"/>
      <c r="T4058" s="756" t="str">
        <f ca="1">IF(AND($R4063=0,$T4063=0),"0.00","mu :" &amp; ROUND($F4058/$C$2/($R4063+$T4063*$D$9),2))</f>
        <v>mu :1.23</v>
      </c>
      <c r="W4058" s="524"/>
      <c r="AG4058" s="481">
        <f ca="1">IF($E4058=0,0,ROUND($R4063*$S$2*$C$2/$A4058,2))</f>
        <v>38.49</v>
      </c>
      <c r="AH4058" s="481">
        <f ca="1">$AG4058*$A4058</f>
        <v>230.94</v>
      </c>
      <c r="AI4058" s="525">
        <f ca="1">$E4058-$AG4058</f>
        <v>9.1299999999999955</v>
      </c>
      <c r="AJ4058" s="525">
        <f ca="1">$A4058*$AI4058</f>
        <v>54.779999999999973</v>
      </c>
      <c r="AK4058" s="526">
        <f ca="1">ROUND(($AG4058+$AI4058)*$A4058,2)</f>
        <v>285.72000000000003</v>
      </c>
      <c r="AM4058" s="527">
        <f ca="1">ROUND(R4063,2)</f>
        <v>187.56</v>
      </c>
      <c r="AN4058" s="528">
        <f ca="1">ROUND(T4063,2)</f>
        <v>1.62</v>
      </c>
      <c r="AO4058" s="529">
        <f ca="1">ROUND(AM4058+AN4058,2)*A4058</f>
        <v>1135.08</v>
      </c>
      <c r="AR4058" s="747">
        <v>6</v>
      </c>
      <c r="AS4058" s="751">
        <v>291.83999999999997</v>
      </c>
    </row>
    <row r="4059" spans="1:45" s="520" customFormat="1" ht="13.2">
      <c r="A4059" s="748"/>
      <c r="B4059"/>
      <c r="C4059" s="748"/>
      <c r="D4059" s="749" t="s">
        <v>781</v>
      </c>
      <c r="F4059" s="753"/>
      <c r="G4059" s="3"/>
      <c r="H4059" s="753"/>
      <c r="I4059" s="754"/>
      <c r="J4059" s="753"/>
      <c r="K4059" s="753" t="s">
        <v>144</v>
      </c>
      <c r="L4059" s="753"/>
      <c r="M4059" s="753"/>
      <c r="N4059" s="753"/>
      <c r="O4059" s="753"/>
      <c r="P4059" s="753"/>
      <c r="Q4059" s="51"/>
      <c r="R4059" s="530"/>
      <c r="S4059" s="757"/>
      <c r="T4059" s="753"/>
      <c r="AR4059" s="748"/>
      <c r="AS4059" s="753"/>
    </row>
    <row r="4060" spans="1:45" s="886" customFormat="1" ht="13.2">
      <c r="A4060"/>
      <c r="B4060" s="910"/>
      <c r="C4060" s="910" t="s">
        <v>2597</v>
      </c>
      <c r="D4060" s="910" t="str">
        <f ca="1">CELL("Address",Elec_Rates!D$165)</f>
        <v>[E25_0062_Quintano_Foods_Elec_ELV_As_Awarded.xlsx]Elec_Rates!$D$165</v>
      </c>
      <c r="E4060" s="911"/>
      <c r="F4060" s="911"/>
      <c r="G4060" s="912" t="s">
        <v>2598</v>
      </c>
      <c r="H4060" s="912"/>
      <c r="I4060" s="912"/>
      <c r="J4060" s="912"/>
      <c r="K4060" s="913"/>
      <c r="L4060" s="911"/>
      <c r="M4060" s="911"/>
      <c r="N4060" s="911"/>
      <c r="O4060" s="914"/>
      <c r="P4060" s="911"/>
      <c r="Q4060" s="915"/>
      <c r="R4060" s="916"/>
      <c r="S4060" s="915"/>
      <c r="T4060" s="917"/>
      <c r="U4060" s="918"/>
      <c r="AR4060"/>
      <c r="AS4060" s="911"/>
    </row>
    <row r="4061" spans="1:45" s="886" customFormat="1" ht="11.4">
      <c r="A4061" s="919">
        <v>6</v>
      </c>
      <c r="B4061" s="920">
        <v>1</v>
      </c>
      <c r="C4061" s="920">
        <f>$A4061*$B4061</f>
        <v>6</v>
      </c>
      <c r="D4061" s="921" t="str">
        <f>Elec_Rates!$D$165</f>
        <v>015# 3Pin 16Amp IP67 Interlocked Socket outlet</v>
      </c>
      <c r="E4061" s="921"/>
      <c r="F4061" s="921" t="s">
        <v>2599</v>
      </c>
      <c r="G4061" s="922" t="s">
        <v>2601</v>
      </c>
      <c r="H4061" s="922"/>
      <c r="I4061" s="922"/>
      <c r="J4061" s="922"/>
      <c r="K4061" s="923"/>
      <c r="L4061" s="918"/>
      <c r="M4061" s="918"/>
      <c r="N4061" s="918"/>
      <c r="O4061" s="924"/>
      <c r="P4061" s="921"/>
      <c r="Q4061" s="925">
        <f ca="1">$B4061*Elec_Rates!$R$165</f>
        <v>31.26</v>
      </c>
      <c r="R4061" s="916">
        <f ca="1">$A4061*Q4061</f>
        <v>187.56</v>
      </c>
      <c r="S4061" s="925">
        <f ca="1">$B4061*Elec_Rates!$T$165</f>
        <v>0.27</v>
      </c>
      <c r="T4061" s="917">
        <f ca="1">$A4061*S4061</f>
        <v>1.62</v>
      </c>
      <c r="U4061" s="926"/>
      <c r="AR4061" s="919">
        <v>6</v>
      </c>
      <c r="AS4061" s="921" t="s">
        <v>2599</v>
      </c>
    </row>
    <row r="4062" spans="1:45" s="520" customFormat="1" ht="12">
      <c r="A4062" s="758"/>
      <c r="B4062" s="758"/>
      <c r="C4062" s="758"/>
      <c r="D4062" s="758"/>
      <c r="E4062" s="758"/>
      <c r="F4062" s="753"/>
      <c r="G4062" s="758"/>
      <c r="H4062" s="758"/>
      <c r="I4062" s="519"/>
      <c r="J4062" s="758"/>
      <c r="K4062" s="758"/>
      <c r="L4062" s="758"/>
      <c r="M4062" s="758"/>
      <c r="N4062" s="758"/>
      <c r="O4062" s="758"/>
      <c r="P4062" s="758"/>
      <c r="Q4062" s="519"/>
      <c r="R4062" s="759">
        <f>$A4062*Q4062</f>
        <v>0</v>
      </c>
      <c r="S4062" s="519"/>
      <c r="T4062" s="760">
        <f>$A4062*S4062*$T$1</f>
        <v>0</v>
      </c>
      <c r="AR4062" s="758"/>
      <c r="AS4062" s="753"/>
    </row>
    <row r="4063" spans="1:45" s="520" customFormat="1" ht="12.6" thickBot="1">
      <c r="A4063" s="761" t="s">
        <v>145</v>
      </c>
      <c r="B4063" s="762">
        <f>(R4062+T4062)</f>
        <v>0</v>
      </c>
      <c r="C4063" s="763"/>
      <c r="D4063" s="763"/>
      <c r="E4063" s="763"/>
      <c r="F4063" s="764"/>
      <c r="G4063" s="763" t="s">
        <v>146</v>
      </c>
      <c r="H4063" s="763"/>
      <c r="I4063" s="765"/>
      <c r="J4063" s="763"/>
      <c r="K4063" s="763" t="s">
        <v>3</v>
      </c>
      <c r="L4063" s="766" t="s">
        <v>143</v>
      </c>
      <c r="M4063" s="766"/>
      <c r="N4063" s="766"/>
      <c r="O4063" s="766"/>
      <c r="P4063" s="766"/>
      <c r="Q4063" s="767"/>
      <c r="R4063" s="768">
        <f ca="1">SUM(R4059:R4062)</f>
        <v>187.56</v>
      </c>
      <c r="S4063" s="763"/>
      <c r="T4063" s="768">
        <f ca="1">SUM(T4059:T4062)</f>
        <v>1.62</v>
      </c>
      <c r="U4063" s="531"/>
      <c r="V4063" s="531"/>
      <c r="W4063" s="531"/>
      <c r="X4063" s="531"/>
      <c r="Y4063" s="531"/>
      <c r="Z4063" s="531"/>
      <c r="AA4063" s="531"/>
      <c r="AB4063" s="531"/>
      <c r="AC4063" s="531"/>
      <c r="AD4063" s="531"/>
      <c r="AE4063" s="531"/>
      <c r="AF4063" s="531"/>
      <c r="AG4063" s="531"/>
      <c r="AH4063" s="531"/>
      <c r="AI4063" s="531"/>
      <c r="AJ4063" s="531"/>
      <c r="AK4063" s="531"/>
      <c r="AL4063" s="531"/>
      <c r="AM4063" s="531"/>
      <c r="AN4063" s="531"/>
      <c r="AO4063" s="531"/>
      <c r="AR4063" s="761" t="s">
        <v>145</v>
      </c>
      <c r="AS4063" s="764"/>
    </row>
    <row r="4064" spans="1:45" s="520" customFormat="1" ht="12" thickTop="1">
      <c r="A4064" s="51"/>
      <c r="B4064" s="41"/>
      <c r="C4064" s="51"/>
      <c r="E4064" s="42" t="s">
        <v>138</v>
      </c>
      <c r="F4064" s="42" t="s">
        <v>139</v>
      </c>
      <c r="G4064" s="51"/>
      <c r="H4064" s="51"/>
      <c r="I4064" s="51"/>
      <c r="J4064" s="51"/>
      <c r="K4064" s="51" t="s">
        <v>140</v>
      </c>
      <c r="L4064" s="51"/>
      <c r="M4064" s="51"/>
      <c r="N4064" s="51"/>
      <c r="O4064" s="52"/>
      <c r="P4064" s="51"/>
      <c r="Q4064" s="51"/>
      <c r="R4064" s="51"/>
      <c r="S4064" s="51"/>
      <c r="T4064" s="41"/>
      <c r="AG4064" s="521" t="s">
        <v>268</v>
      </c>
      <c r="AH4064" s="521" t="s">
        <v>269</v>
      </c>
      <c r="AI4064" s="521" t="s">
        <v>270</v>
      </c>
      <c r="AJ4064" s="521" t="s">
        <v>271</v>
      </c>
      <c r="AK4064" s="521" t="s">
        <v>272</v>
      </c>
      <c r="AM4064" s="745" t="s">
        <v>281</v>
      </c>
      <c r="AN4064" s="746" t="s">
        <v>282</v>
      </c>
      <c r="AO4064" s="522" t="s">
        <v>278</v>
      </c>
      <c r="AR4064" s="51"/>
      <c r="AS4064" s="42" t="s">
        <v>139</v>
      </c>
    </row>
    <row r="4065" spans="1:45" s="520" customFormat="1" ht="12" customHeight="1">
      <c r="A4065" s="747">
        <v>1</v>
      </c>
      <c r="B4065" s="523" t="s">
        <v>141</v>
      </c>
      <c r="C4065" s="748"/>
      <c r="D4065" s="749" t="s">
        <v>1728</v>
      </c>
      <c r="E4065" s="750">
        <f ca="1">IF(AND($A4065=0,$A$1="DIF"),0, ROUND(ROUND(($R4070*$S$2+($T4070*$T$2))/A4065,2)*$C$2,2))</f>
        <v>48.45</v>
      </c>
      <c r="F4065" s="751">
        <f ca="1">ROUND($A4065*$E4065,2)</f>
        <v>48.45</v>
      </c>
      <c r="G4065" s="752" t="s">
        <v>142</v>
      </c>
      <c r="H4065" s="753"/>
      <c r="I4065" s="754"/>
      <c r="J4065" s="753"/>
      <c r="K4065" s="753" t="s">
        <v>3</v>
      </c>
      <c r="L4065" s="755" t="s">
        <v>143</v>
      </c>
      <c r="M4065" s="755"/>
      <c r="N4065" s="755"/>
      <c r="O4065" s="755"/>
      <c r="P4065" s="755"/>
      <c r="Q4065" s="51"/>
      <c r="T4065" s="756" t="str">
        <f ca="1">IF(AND($R4070=0,$T4070=0),"0.00","mu :" &amp; ROUND($F4065/$C$2/($R4070+$T4070*$D$9),2))</f>
        <v>mu :1.23</v>
      </c>
      <c r="W4065" s="524"/>
      <c r="AG4065" s="481">
        <f ca="1">IF($E4065=0,0,ROUND($R4070*$S$2*$C$2/$A4065,2))</f>
        <v>31.55</v>
      </c>
      <c r="AH4065" s="481">
        <f ca="1">$AG4065*$A4065</f>
        <v>31.55</v>
      </c>
      <c r="AI4065" s="525">
        <f ca="1">$E4065-$AG4065</f>
        <v>16.900000000000002</v>
      </c>
      <c r="AJ4065" s="525">
        <f ca="1">$A4065*$AI4065</f>
        <v>16.900000000000002</v>
      </c>
      <c r="AK4065" s="526">
        <f ca="1">ROUND(($AG4065+$AI4065)*$A4065,2)</f>
        <v>48.45</v>
      </c>
      <c r="AM4065" s="527">
        <f ca="1">ROUND(R4070,2)</f>
        <v>25.62</v>
      </c>
      <c r="AN4065" s="528">
        <f ca="1">ROUND(T4070,2)</f>
        <v>0.5</v>
      </c>
      <c r="AO4065" s="529">
        <f ca="1">ROUND(AM4065+AN4065,2)*A4065</f>
        <v>26.12</v>
      </c>
      <c r="AR4065" s="747">
        <v>1</v>
      </c>
      <c r="AS4065" s="751">
        <v>50.14</v>
      </c>
    </row>
    <row r="4066" spans="1:45" s="520" customFormat="1" ht="13.2">
      <c r="A4066" s="748"/>
      <c r="B4066"/>
      <c r="C4066" s="748"/>
      <c r="D4066" s="749" t="s">
        <v>779</v>
      </c>
      <c r="F4066" s="753"/>
      <c r="G4066" s="3"/>
      <c r="H4066" s="753"/>
      <c r="I4066" s="754"/>
      <c r="J4066" s="753"/>
      <c r="K4066" s="753" t="s">
        <v>144</v>
      </c>
      <c r="L4066" s="753"/>
      <c r="M4066" s="753"/>
      <c r="N4066" s="753"/>
      <c r="O4066" s="753"/>
      <c r="P4066" s="753"/>
      <c r="Q4066" s="51"/>
      <c r="R4066" s="530"/>
      <c r="S4066" s="757"/>
      <c r="T4066" s="753"/>
      <c r="AR4066" s="748"/>
      <c r="AS4066" s="753"/>
    </row>
    <row r="4067" spans="1:45" s="520" customFormat="1" ht="12">
      <c r="A4067" s="51"/>
      <c r="B4067" s="758"/>
      <c r="C4067" s="753" t="s">
        <v>2597</v>
      </c>
      <c r="D4067" s="753" t="str">
        <f ca="1">CELL("Address",Elec_Rates!$D$192)</f>
        <v>[E25_0062_Quintano_Foods_Elec_ELV_As_Awarded.xlsx]Elec_Rates!$D$192</v>
      </c>
      <c r="E4067" s="758"/>
      <c r="F4067" s="753"/>
      <c r="G4067" s="1049" t="s">
        <v>2598</v>
      </c>
      <c r="H4067" s="1050"/>
      <c r="I4067" s="1051"/>
      <c r="J4067" s="1050"/>
      <c r="K4067" s="1050"/>
      <c r="L4067" s="758"/>
      <c r="M4067" s="758"/>
      <c r="N4067" s="758"/>
      <c r="O4067" s="758"/>
      <c r="P4067" s="758"/>
      <c r="Q4067" s="519"/>
      <c r="R4067" s="759"/>
      <c r="S4067" s="519"/>
      <c r="T4067" s="760"/>
      <c r="AR4067" s="51"/>
      <c r="AS4067" s="753"/>
    </row>
    <row r="4068" spans="1:45" s="520" customFormat="1" ht="11.4">
      <c r="A4068" s="51">
        <v>1</v>
      </c>
      <c r="B4068" s="519">
        <v>1</v>
      </c>
      <c r="C4068" s="519">
        <f>$A4068*$B4068</f>
        <v>1</v>
      </c>
      <c r="D4068" s="1048" t="str">
        <f>Elec_Rates!$D$192</f>
        <v>018# 1-Phase 25/32A Isolator</v>
      </c>
      <c r="E4068" s="1048"/>
      <c r="F4068" s="1048" t="s">
        <v>2733</v>
      </c>
      <c r="G4068" s="1050" t="s">
        <v>2600</v>
      </c>
      <c r="H4068" s="1050"/>
      <c r="I4068" s="1051"/>
      <c r="J4068" s="1050"/>
      <c r="K4068" s="1050"/>
      <c r="L4068" s="758"/>
      <c r="M4068" s="758"/>
      <c r="N4068" s="758"/>
      <c r="O4068" s="758"/>
      <c r="P4068" s="758"/>
      <c r="Q4068" s="1052">
        <f ca="1">$B4068*Elec_Rates!$R$192</f>
        <v>25.62</v>
      </c>
      <c r="R4068" s="759">
        <f ca="1">$A4068*Q4068</f>
        <v>25.62</v>
      </c>
      <c r="S4068" s="1052">
        <f ca="1">$B4068*Elec_Rates!$T$192</f>
        <v>0.5</v>
      </c>
      <c r="T4068" s="917">
        <f ca="1">$A4068*S4068</f>
        <v>0.5</v>
      </c>
      <c r="AR4068" s="51">
        <v>1</v>
      </c>
      <c r="AS4068" s="1048" t="s">
        <v>2733</v>
      </c>
    </row>
    <row r="4069" spans="1:45" s="520" customFormat="1" ht="12">
      <c r="A4069" s="758"/>
      <c r="B4069" s="758"/>
      <c r="C4069" s="758"/>
      <c r="D4069" s="758"/>
      <c r="E4069" s="758"/>
      <c r="F4069" s="753"/>
      <c r="G4069" s="758"/>
      <c r="H4069" s="758"/>
      <c r="I4069" s="519"/>
      <c r="J4069" s="758"/>
      <c r="K4069" s="758"/>
      <c r="L4069" s="758"/>
      <c r="M4069" s="758"/>
      <c r="N4069" s="758"/>
      <c r="O4069" s="758"/>
      <c r="P4069" s="758"/>
      <c r="Q4069" s="519"/>
      <c r="R4069" s="759">
        <f>$A4069*Q4069</f>
        <v>0</v>
      </c>
      <c r="S4069" s="519"/>
      <c r="T4069" s="760">
        <f>$A4069*S4069*$T$1</f>
        <v>0</v>
      </c>
      <c r="AR4069" s="758"/>
      <c r="AS4069" s="753"/>
    </row>
    <row r="4070" spans="1:45" s="520" customFormat="1" ht="12.6" thickBot="1">
      <c r="A4070" s="761" t="s">
        <v>145</v>
      </c>
      <c r="B4070" s="762">
        <f>(R4069+T4069)</f>
        <v>0</v>
      </c>
      <c r="C4070" s="763"/>
      <c r="D4070" s="763"/>
      <c r="E4070" s="763"/>
      <c r="F4070" s="764"/>
      <c r="G4070" s="763" t="s">
        <v>146</v>
      </c>
      <c r="H4070" s="763"/>
      <c r="I4070" s="765"/>
      <c r="J4070" s="763"/>
      <c r="K4070" s="763" t="s">
        <v>3</v>
      </c>
      <c r="L4070" s="766" t="s">
        <v>143</v>
      </c>
      <c r="M4070" s="766"/>
      <c r="N4070" s="766"/>
      <c r="O4070" s="766"/>
      <c r="P4070" s="766"/>
      <c r="Q4070" s="767"/>
      <c r="R4070" s="768">
        <f ca="1">SUM(R4066:R4069)</f>
        <v>25.62</v>
      </c>
      <c r="S4070" s="763"/>
      <c r="T4070" s="768">
        <f ca="1">SUM(T4066:T4069)</f>
        <v>0.5</v>
      </c>
      <c r="U4070" s="531"/>
      <c r="V4070" s="531"/>
      <c r="W4070" s="531"/>
      <c r="X4070" s="531"/>
      <c r="Y4070" s="531"/>
      <c r="Z4070" s="531"/>
      <c r="AA4070" s="531"/>
      <c r="AB4070" s="531"/>
      <c r="AC4070" s="531"/>
      <c r="AD4070" s="531"/>
      <c r="AE4070" s="531"/>
      <c r="AF4070" s="531"/>
      <c r="AG4070" s="531"/>
      <c r="AH4070" s="531"/>
      <c r="AI4070" s="531"/>
      <c r="AJ4070" s="531"/>
      <c r="AK4070" s="531"/>
      <c r="AL4070" s="531"/>
      <c r="AM4070" s="531"/>
      <c r="AN4070" s="531"/>
      <c r="AO4070" s="531"/>
      <c r="AR4070" s="761" t="s">
        <v>145</v>
      </c>
      <c r="AS4070" s="764"/>
    </row>
    <row r="4071" spans="1:45" s="520" customFormat="1" ht="12" thickTop="1">
      <c r="A4071" s="51"/>
      <c r="B4071" s="41"/>
      <c r="C4071" s="51"/>
      <c r="E4071" s="42" t="s">
        <v>138</v>
      </c>
      <c r="F4071" s="42" t="s">
        <v>139</v>
      </c>
      <c r="G4071" s="51"/>
      <c r="H4071" s="51"/>
      <c r="I4071" s="51"/>
      <c r="J4071" s="51"/>
      <c r="K4071" s="51" t="s">
        <v>140</v>
      </c>
      <c r="L4071" s="51"/>
      <c r="M4071" s="51"/>
      <c r="N4071" s="51"/>
      <c r="O4071" s="52"/>
      <c r="P4071" s="51"/>
      <c r="Q4071" s="51"/>
      <c r="R4071" s="51"/>
      <c r="S4071" s="51"/>
      <c r="T4071" s="41"/>
      <c r="AG4071" s="521" t="s">
        <v>268</v>
      </c>
      <c r="AH4071" s="521" t="s">
        <v>269</v>
      </c>
      <c r="AI4071" s="521" t="s">
        <v>270</v>
      </c>
      <c r="AJ4071" s="521" t="s">
        <v>271</v>
      </c>
      <c r="AK4071" s="521" t="s">
        <v>272</v>
      </c>
      <c r="AM4071" s="745" t="s">
        <v>281</v>
      </c>
      <c r="AN4071" s="746" t="s">
        <v>282</v>
      </c>
      <c r="AO4071" s="522" t="s">
        <v>278</v>
      </c>
      <c r="AR4071" s="51"/>
      <c r="AS4071" s="42" t="s">
        <v>139</v>
      </c>
    </row>
    <row r="4072" spans="1:45" s="520" customFormat="1" ht="12" customHeight="1">
      <c r="A4072" s="747">
        <v>1</v>
      </c>
      <c r="B4072" s="523" t="s">
        <v>141</v>
      </c>
      <c r="C4072" s="748"/>
      <c r="D4072" s="749" t="s">
        <v>1729</v>
      </c>
      <c r="E4072" s="750">
        <f>IF(AND($A4072=0,$A$1="DIF"),0, ROUND(ROUND(($R4080*$S$2+($T4080*$T$2))/A4072,2)*$C$2,2))</f>
        <v>350.59</v>
      </c>
      <c r="F4072" s="751">
        <f>ROUND($A4072*$E4072,2)</f>
        <v>350.59</v>
      </c>
      <c r="G4072" s="752" t="s">
        <v>142</v>
      </c>
      <c r="H4072" s="753"/>
      <c r="I4072" s="754"/>
      <c r="J4072" s="753"/>
      <c r="K4072" s="753" t="s">
        <v>3</v>
      </c>
      <c r="L4072" s="755" t="s">
        <v>143</v>
      </c>
      <c r="M4072" s="755"/>
      <c r="N4072" s="755"/>
      <c r="O4072" s="755"/>
      <c r="P4072" s="755"/>
      <c r="Q4072" s="51"/>
      <c r="T4072" s="756" t="str">
        <f>IF(AND($R4080=0,$T4080=0),"0.00","mu :" &amp; ROUND($F4072/$C$2/($R4080+$T4080*$D$9),2))</f>
        <v>mu :1.23</v>
      </c>
      <c r="W4072" s="524"/>
      <c r="AG4072" s="481">
        <f>IF($E4072=0,0,ROUND($R4080*$S$2*$C$2/$A4072,2))</f>
        <v>222.77</v>
      </c>
      <c r="AH4072" s="481">
        <f>$AG4072*$A4072</f>
        <v>222.77</v>
      </c>
      <c r="AI4072" s="525">
        <f>$E4072-$AG4072</f>
        <v>127.81999999999996</v>
      </c>
      <c r="AJ4072" s="525">
        <f>$A4072*$AI4072</f>
        <v>127.81999999999996</v>
      </c>
      <c r="AK4072" s="526">
        <f>ROUND(($AG4072+$AI4072)*$A4072,2)</f>
        <v>350.59</v>
      </c>
      <c r="AM4072" s="527">
        <f>ROUND(R4080,2)</f>
        <v>180.92</v>
      </c>
      <c r="AN4072" s="528">
        <f>ROUND(T4080,2)</f>
        <v>3.78</v>
      </c>
      <c r="AO4072" s="529">
        <f>ROUND(AM4072+AN4072,2)*A4072</f>
        <v>184.7</v>
      </c>
      <c r="AR4072" s="747">
        <v>1</v>
      </c>
      <c r="AS4072" s="751">
        <v>364.79</v>
      </c>
    </row>
    <row r="4073" spans="1:45" s="520" customFormat="1" ht="13.2">
      <c r="A4073" s="748"/>
      <c r="B4073"/>
      <c r="C4073" s="748"/>
      <c r="D4073" s="749" t="s">
        <v>837</v>
      </c>
      <c r="F4073" s="753"/>
      <c r="G4073" s="3"/>
      <c r="H4073" s="753"/>
      <c r="I4073" s="754"/>
      <c r="J4073" s="753"/>
      <c r="K4073" s="753" t="s">
        <v>144</v>
      </c>
      <c r="L4073" s="753"/>
      <c r="M4073" s="753"/>
      <c r="N4073" s="753"/>
      <c r="O4073" s="753"/>
      <c r="P4073" s="753"/>
      <c r="Q4073" s="51"/>
      <c r="R4073" s="530"/>
      <c r="S4073" s="757"/>
      <c r="T4073" s="753"/>
      <c r="AR4073" s="748"/>
      <c r="AS4073" s="753"/>
    </row>
    <row r="4074" spans="1:45" s="901" customFormat="1" ht="13.2">
      <c r="A4074" s="116">
        <v>14</v>
      </c>
      <c r="B4074" s="901" t="s">
        <v>141</v>
      </c>
      <c r="D4074" s="901" t="s">
        <v>3027</v>
      </c>
      <c r="E4074" s="901" t="s">
        <v>3424</v>
      </c>
      <c r="F4074" s="1054" t="s">
        <v>3426</v>
      </c>
      <c r="G4074" s="941" t="s">
        <v>3028</v>
      </c>
      <c r="H4074" s="942">
        <v>705</v>
      </c>
      <c r="I4074" s="901" t="s">
        <v>3029</v>
      </c>
      <c r="J4074" s="901" t="s">
        <v>3030</v>
      </c>
      <c r="O4074" s="943">
        <v>3</v>
      </c>
      <c r="P4074" s="944">
        <v>38278</v>
      </c>
      <c r="Q4074" s="945">
        <v>5.7</v>
      </c>
      <c r="R4074" s="946">
        <f t="shared" ref="R4074:R4079" si="120">$A4074*Q4074</f>
        <v>79.8</v>
      </c>
      <c r="S4074" s="945">
        <v>0.25</v>
      </c>
      <c r="T4074" s="947">
        <f t="shared" ref="T4074:T4079" si="121">$A4074*S4074*$T$1</f>
        <v>3.15</v>
      </c>
      <c r="AR4074" s="116">
        <v>14</v>
      </c>
      <c r="AS4074" s="1054" t="s">
        <v>3426</v>
      </c>
    </row>
    <row r="4075" spans="1:45" s="901" customFormat="1" ht="13.2">
      <c r="A4075">
        <v>28</v>
      </c>
      <c r="B4075" s="901" t="s">
        <v>141</v>
      </c>
      <c r="D4075" s="901" t="s">
        <v>2739</v>
      </c>
      <c r="G4075" s="941" t="s">
        <v>2740</v>
      </c>
      <c r="H4075" s="942">
        <v>875</v>
      </c>
      <c r="I4075" s="901" t="s">
        <v>2607</v>
      </c>
      <c r="K4075" s="901" t="s">
        <v>2741</v>
      </c>
      <c r="O4075" s="943">
        <v>1</v>
      </c>
      <c r="P4075" s="944">
        <v>34669</v>
      </c>
      <c r="Q4075" s="945">
        <v>0.02</v>
      </c>
      <c r="R4075" s="946">
        <f t="shared" si="120"/>
        <v>0.56000000000000005</v>
      </c>
      <c r="S4075" s="945"/>
      <c r="T4075" s="947">
        <f t="shared" si="121"/>
        <v>0</v>
      </c>
      <c r="AR4075">
        <v>28</v>
      </c>
    </row>
    <row r="4076" spans="1:45" s="901" customFormat="1" ht="13.2">
      <c r="A4076">
        <v>28</v>
      </c>
      <c r="B4076" s="901" t="s">
        <v>141</v>
      </c>
      <c r="D4076" s="901" t="s">
        <v>2742</v>
      </c>
      <c r="G4076" s="941" t="s">
        <v>2743</v>
      </c>
      <c r="H4076" s="942">
        <v>875</v>
      </c>
      <c r="I4076" s="901" t="s">
        <v>2607</v>
      </c>
      <c r="K4076" s="901" t="s">
        <v>2744</v>
      </c>
      <c r="O4076" s="943">
        <v>1</v>
      </c>
      <c r="P4076" s="944">
        <v>34669</v>
      </c>
      <c r="Q4076" s="945">
        <v>0.02</v>
      </c>
      <c r="R4076" s="946">
        <f t="shared" si="120"/>
        <v>0.56000000000000005</v>
      </c>
      <c r="S4076" s="945"/>
      <c r="T4076" s="947">
        <f t="shared" si="121"/>
        <v>0</v>
      </c>
      <c r="AR4076">
        <v>28</v>
      </c>
    </row>
    <row r="4077" spans="1:45" s="901" customFormat="1" ht="13.2">
      <c r="A4077">
        <v>14</v>
      </c>
      <c r="B4077" s="901" t="s">
        <v>141</v>
      </c>
      <c r="D4077" s="901" t="s">
        <v>2745</v>
      </c>
      <c r="G4077" s="941" t="s">
        <v>2746</v>
      </c>
      <c r="H4077" s="942">
        <v>875</v>
      </c>
      <c r="I4077" s="901" t="s">
        <v>2607</v>
      </c>
      <c r="K4077" s="901" t="s">
        <v>2747</v>
      </c>
      <c r="O4077" s="943">
        <v>3</v>
      </c>
      <c r="P4077" s="944">
        <v>34820</v>
      </c>
      <c r="Q4077" s="945">
        <v>5</v>
      </c>
      <c r="R4077" s="946">
        <f t="shared" si="120"/>
        <v>70</v>
      </c>
      <c r="S4077" s="945">
        <v>0.05</v>
      </c>
      <c r="T4077" s="947">
        <f t="shared" si="121"/>
        <v>0.63000000000000012</v>
      </c>
      <c r="AR4077">
        <v>14</v>
      </c>
    </row>
    <row r="4078" spans="1:45" s="901" customFormat="1" ht="13.2">
      <c r="A4078">
        <v>1</v>
      </c>
      <c r="B4078" s="901" t="s">
        <v>141</v>
      </c>
      <c r="D4078" s="901" t="s">
        <v>2758</v>
      </c>
      <c r="G4078" s="941" t="s">
        <v>2760</v>
      </c>
      <c r="H4078" s="942">
        <v>501</v>
      </c>
      <c r="I4078" s="901" t="s">
        <v>2607</v>
      </c>
      <c r="K4078" s="901" t="s">
        <v>2761</v>
      </c>
      <c r="O4078" s="943">
        <v>1</v>
      </c>
      <c r="P4078" s="944"/>
      <c r="Q4078" s="945">
        <v>30</v>
      </c>
      <c r="R4078" s="946">
        <f t="shared" si="120"/>
        <v>30</v>
      </c>
      <c r="S4078" s="945"/>
      <c r="T4078" s="947">
        <f t="shared" si="121"/>
        <v>0</v>
      </c>
      <c r="AR4078">
        <v>1</v>
      </c>
    </row>
    <row r="4079" spans="1:45" s="520" customFormat="1" ht="12">
      <c r="A4079" s="758"/>
      <c r="B4079" s="758"/>
      <c r="C4079" s="758"/>
      <c r="D4079" s="758"/>
      <c r="E4079" s="758"/>
      <c r="F4079" s="753"/>
      <c r="G4079" s="758"/>
      <c r="H4079" s="758"/>
      <c r="I4079" s="519"/>
      <c r="J4079" s="758"/>
      <c r="K4079" s="758"/>
      <c r="L4079" s="758"/>
      <c r="M4079" s="758"/>
      <c r="N4079" s="758"/>
      <c r="O4079" s="758"/>
      <c r="P4079" s="758"/>
      <c r="Q4079" s="519"/>
      <c r="R4079" s="759">
        <f t="shared" si="120"/>
        <v>0</v>
      </c>
      <c r="S4079" s="519"/>
      <c r="T4079" s="760">
        <f t="shared" si="121"/>
        <v>0</v>
      </c>
      <c r="AR4079" s="758"/>
      <c r="AS4079" s="753"/>
    </row>
    <row r="4080" spans="1:45" s="520" customFormat="1" ht="12.6" thickBot="1">
      <c r="A4080" s="761" t="s">
        <v>145</v>
      </c>
      <c r="B4080" s="762">
        <f>(R4079+T4079)</f>
        <v>0</v>
      </c>
      <c r="C4080" s="763"/>
      <c r="D4080" s="763"/>
      <c r="E4080" s="763"/>
      <c r="F4080" s="764"/>
      <c r="G4080" s="763" t="s">
        <v>146</v>
      </c>
      <c r="H4080" s="763"/>
      <c r="I4080" s="765"/>
      <c r="J4080" s="763"/>
      <c r="K4080" s="763" t="s">
        <v>3</v>
      </c>
      <c r="L4080" s="766" t="s">
        <v>143</v>
      </c>
      <c r="M4080" s="766"/>
      <c r="N4080" s="766"/>
      <c r="O4080" s="766"/>
      <c r="P4080" s="766"/>
      <c r="Q4080" s="767"/>
      <c r="R4080" s="768">
        <f>SUM(R4073:R4079)</f>
        <v>180.92000000000002</v>
      </c>
      <c r="S4080" s="763"/>
      <c r="T4080" s="768">
        <f>SUM(T4073:T4079)</f>
        <v>3.7800000000000002</v>
      </c>
      <c r="U4080" s="531"/>
      <c r="V4080" s="531"/>
      <c r="W4080" s="531"/>
      <c r="X4080" s="531"/>
      <c r="Y4080" s="531"/>
      <c r="Z4080" s="531"/>
      <c r="AA4080" s="531"/>
      <c r="AB4080" s="531"/>
      <c r="AC4080" s="531"/>
      <c r="AD4080" s="531"/>
      <c r="AE4080" s="531"/>
      <c r="AF4080" s="531"/>
      <c r="AG4080" s="531"/>
      <c r="AH4080" s="531"/>
      <c r="AI4080" s="531"/>
      <c r="AJ4080" s="531"/>
      <c r="AK4080" s="531"/>
      <c r="AL4080" s="531"/>
      <c r="AM4080" s="531"/>
      <c r="AN4080" s="531"/>
      <c r="AO4080" s="531"/>
      <c r="AR4080" s="761" t="s">
        <v>145</v>
      </c>
      <c r="AS4080" s="764"/>
    </row>
    <row r="4081" spans="1:45" s="520" customFormat="1" thickTop="1">
      <c r="A4081" s="51"/>
      <c r="B4081" s="51"/>
      <c r="C4081" s="3"/>
      <c r="D4081" s="3"/>
      <c r="E4081" s="51"/>
      <c r="F4081" s="51"/>
      <c r="G4081" s="51"/>
      <c r="H4081" s="51"/>
      <c r="I4081" s="51"/>
      <c r="J4081" s="51"/>
      <c r="K4081" s="51" t="s">
        <v>134</v>
      </c>
      <c r="L4081" s="51"/>
      <c r="M4081" s="51"/>
      <c r="N4081" s="51"/>
      <c r="O4081" s="52"/>
      <c r="P4081" s="51"/>
      <c r="Q4081" s="51"/>
      <c r="R4081" s="51"/>
      <c r="S4081" s="51"/>
      <c r="T4081" s="51"/>
      <c r="AR4081" s="51"/>
      <c r="AS4081" s="51"/>
    </row>
    <row r="4082" spans="1:45" s="520" customFormat="1" ht="12">
      <c r="A4082" s="51"/>
      <c r="B4082" s="51"/>
      <c r="C4082" s="51" t="s">
        <v>135</v>
      </c>
      <c r="D4082" s="37"/>
      <c r="E4082" s="51"/>
      <c r="F4082" s="51"/>
      <c r="G4082" s="51"/>
      <c r="H4082" s="51"/>
      <c r="I4082" s="51"/>
      <c r="J4082" s="51"/>
      <c r="K4082" s="51"/>
      <c r="L4082" s="51"/>
      <c r="M4082" s="51"/>
      <c r="N4082" s="51"/>
      <c r="O4082" s="52"/>
      <c r="P4082" s="51"/>
      <c r="Q4082" s="51"/>
      <c r="R4082" s="51"/>
      <c r="S4082" s="51"/>
      <c r="T4082" s="51"/>
      <c r="AR4082" s="51"/>
      <c r="AS4082" s="51"/>
    </row>
    <row r="4083" spans="1:45" s="520" customFormat="1" ht="39.9" customHeight="1">
      <c r="A4083" s="51"/>
      <c r="B4083" s="51"/>
      <c r="C4083" s="51"/>
      <c r="D4083" s="1453" t="s">
        <v>1602</v>
      </c>
      <c r="E4083" s="1452"/>
      <c r="F4083" s="1452"/>
      <c r="G4083" s="1452"/>
      <c r="H4083" s="1452"/>
      <c r="I4083" s="1452"/>
      <c r="J4083" s="1452"/>
      <c r="K4083" s="1452"/>
      <c r="L4083" s="1452"/>
      <c r="M4083" s="1452"/>
      <c r="N4083" s="1452"/>
      <c r="O4083" s="1452"/>
      <c r="P4083" s="1452"/>
      <c r="Q4083" s="1452"/>
      <c r="R4083" s="1452"/>
      <c r="S4083" s="1452"/>
      <c r="T4083" s="1452"/>
      <c r="AR4083" s="51"/>
    </row>
    <row r="4084" spans="1:45" s="3" customFormat="1" thickBot="1">
      <c r="A4084" s="531"/>
      <c r="O4084" s="107"/>
      <c r="AR4084" s="531"/>
    </row>
    <row r="4085" spans="1:45" s="520" customFormat="1" thickTop="1">
      <c r="A4085" s="51"/>
      <c r="B4085" s="51"/>
      <c r="C4085" s="3"/>
      <c r="D4085" s="3"/>
      <c r="E4085" s="51"/>
      <c r="F4085" s="51"/>
      <c r="G4085" s="51"/>
      <c r="H4085" s="51"/>
      <c r="I4085" s="51"/>
      <c r="J4085" s="51"/>
      <c r="K4085" s="51" t="s">
        <v>134</v>
      </c>
      <c r="L4085" s="51"/>
      <c r="M4085" s="51"/>
      <c r="N4085" s="51"/>
      <c r="O4085" s="52"/>
      <c r="P4085" s="51"/>
      <c r="Q4085" s="51"/>
      <c r="R4085" s="51"/>
      <c r="S4085" s="51"/>
      <c r="T4085" s="51"/>
      <c r="AR4085" s="51"/>
      <c r="AS4085" s="51"/>
    </row>
    <row r="4086" spans="1:45" s="520" customFormat="1" ht="12">
      <c r="A4086" s="51"/>
      <c r="B4086" s="51"/>
      <c r="C4086" s="51" t="s">
        <v>135</v>
      </c>
      <c r="D4086" s="37"/>
      <c r="E4086" s="51"/>
      <c r="F4086" s="51"/>
      <c r="G4086" s="51"/>
      <c r="H4086" s="51"/>
      <c r="I4086" s="51"/>
      <c r="J4086" s="51"/>
      <c r="K4086" s="51"/>
      <c r="L4086" s="51"/>
      <c r="M4086" s="51"/>
      <c r="N4086" s="51"/>
      <c r="O4086" s="52"/>
      <c r="P4086" s="51"/>
      <c r="Q4086" s="51"/>
      <c r="R4086" s="51"/>
      <c r="S4086" s="51"/>
      <c r="T4086" s="51"/>
      <c r="AR4086" s="51"/>
      <c r="AS4086" s="51"/>
    </row>
    <row r="4087" spans="1:45" s="520" customFormat="1" ht="12">
      <c r="A4087" s="51"/>
      <c r="B4087" s="51"/>
      <c r="C4087" s="51"/>
      <c r="D4087" s="37" t="s">
        <v>838</v>
      </c>
      <c r="E4087" s="51"/>
      <c r="F4087" s="51"/>
      <c r="G4087" s="51"/>
      <c r="H4087" s="51"/>
      <c r="I4087" s="51"/>
      <c r="J4087" s="51"/>
      <c r="K4087" s="51"/>
      <c r="L4087" s="51"/>
      <c r="M4087" s="51"/>
      <c r="N4087" s="51"/>
      <c r="O4087" s="52"/>
      <c r="P4087" s="51"/>
      <c r="Q4087" s="51"/>
      <c r="R4087" s="51"/>
      <c r="S4087" s="38"/>
      <c r="T4087" s="38"/>
      <c r="AR4087" s="51"/>
      <c r="AS4087" s="51"/>
    </row>
    <row r="4088" spans="1:45" s="3" customFormat="1" thickBot="1">
      <c r="A4088" s="531"/>
      <c r="O4088" s="107"/>
      <c r="AR4088" s="531"/>
    </row>
    <row r="4089" spans="1:45" s="520" customFormat="1" ht="12" thickTop="1">
      <c r="A4089" s="51"/>
      <c r="B4089" s="41"/>
      <c r="C4089" s="51"/>
      <c r="E4089" s="42" t="s">
        <v>138</v>
      </c>
      <c r="F4089" s="42" t="s">
        <v>139</v>
      </c>
      <c r="G4089" s="51"/>
      <c r="H4089" s="51"/>
      <c r="I4089" s="51"/>
      <c r="J4089" s="51"/>
      <c r="K4089" s="51" t="s">
        <v>140</v>
      </c>
      <c r="L4089" s="51"/>
      <c r="M4089" s="51"/>
      <c r="N4089" s="51"/>
      <c r="O4089" s="52"/>
      <c r="P4089" s="51"/>
      <c r="Q4089" s="51"/>
      <c r="R4089" s="51"/>
      <c r="S4089" s="51"/>
      <c r="T4089" s="41"/>
      <c r="AG4089" s="521" t="s">
        <v>268</v>
      </c>
      <c r="AH4089" s="521" t="s">
        <v>269</v>
      </c>
      <c r="AI4089" s="521" t="s">
        <v>270</v>
      </c>
      <c r="AJ4089" s="521" t="s">
        <v>271</v>
      </c>
      <c r="AK4089" s="521" t="s">
        <v>272</v>
      </c>
      <c r="AM4089" s="745" t="s">
        <v>281</v>
      </c>
      <c r="AN4089" s="746" t="s">
        <v>282</v>
      </c>
      <c r="AO4089" s="522" t="s">
        <v>278</v>
      </c>
      <c r="AR4089" s="51"/>
      <c r="AS4089" s="42" t="s">
        <v>139</v>
      </c>
    </row>
    <row r="4090" spans="1:45" s="520" customFormat="1" ht="12" customHeight="1">
      <c r="A4090" s="747">
        <v>11</v>
      </c>
      <c r="B4090" s="523" t="s">
        <v>141</v>
      </c>
      <c r="C4090" s="748"/>
      <c r="D4090" s="749" t="s">
        <v>1730</v>
      </c>
      <c r="E4090" s="750">
        <f ca="1">IF(AND($A4090=0,$A$1="DIF"),0, ROUND(ROUND(($R4096*$S$2+($T4096*$T$2))/A4090,2)*$C$2,2))</f>
        <v>195.54</v>
      </c>
      <c r="F4090" s="751">
        <f ca="1">ROUND($A4090*$E4090,2)</f>
        <v>2150.94</v>
      </c>
      <c r="G4090" s="752" t="s">
        <v>142</v>
      </c>
      <c r="H4090" s="753"/>
      <c r="I4090" s="754"/>
      <c r="J4090" s="753"/>
      <c r="K4090" s="753" t="s">
        <v>3</v>
      </c>
      <c r="L4090" s="755" t="s">
        <v>143</v>
      </c>
      <c r="M4090" s="755"/>
      <c r="N4090" s="755"/>
      <c r="O4090" s="755"/>
      <c r="P4090" s="755"/>
      <c r="Q4090" s="51"/>
      <c r="T4090" s="756" t="str">
        <f ca="1">IF(AND($R4096=0,$T4096=0),"0.00","mu :" &amp; ROUND($F4090/$C$2/($R4096+$T4096*$D$9),2))</f>
        <v>mu :1.23</v>
      </c>
      <c r="W4090" s="524"/>
      <c r="AG4090" s="481">
        <f ca="1">IF($E4090=0,0,ROUND($R4096*$S$2*$C$2/$A4090,2))</f>
        <v>88.25</v>
      </c>
      <c r="AH4090" s="481">
        <f ca="1">$AG4090*$A4090</f>
        <v>970.75</v>
      </c>
      <c r="AI4090" s="525">
        <f ca="1">$E4090-$AG4090</f>
        <v>107.28999999999999</v>
      </c>
      <c r="AJ4090" s="525">
        <f ca="1">$A4090*$AI4090</f>
        <v>1180.1899999999998</v>
      </c>
      <c r="AK4090" s="526">
        <f ca="1">ROUND(($AG4090+$AI4090)*$A4090,2)</f>
        <v>2150.94</v>
      </c>
      <c r="AM4090" s="527">
        <f ca="1">ROUND(R4096,2)</f>
        <v>788.37</v>
      </c>
      <c r="AN4090" s="528">
        <f ca="1">ROUND(T4096,2)</f>
        <v>34.9</v>
      </c>
      <c r="AO4090" s="529">
        <f ca="1">ROUND(AM4090+AN4090,2)*A4090</f>
        <v>9055.9699999999993</v>
      </c>
      <c r="AR4090" s="747">
        <v>11</v>
      </c>
      <c r="AS4090" s="751">
        <v>2279.9699999999998</v>
      </c>
    </row>
    <row r="4091" spans="1:45" s="520" customFormat="1" ht="13.2">
      <c r="A4091" s="748"/>
      <c r="B4091"/>
      <c r="C4091" s="748"/>
      <c r="D4091" s="749" t="s">
        <v>724</v>
      </c>
      <c r="F4091" s="753"/>
      <c r="G4091" s="3"/>
      <c r="H4091" s="753"/>
      <c r="I4091" s="754"/>
      <c r="J4091" s="753"/>
      <c r="K4091" s="753" t="s">
        <v>144</v>
      </c>
      <c r="L4091" s="753"/>
      <c r="M4091" s="753"/>
      <c r="N4091" s="753"/>
      <c r="O4091" s="753"/>
      <c r="P4091" s="753"/>
      <c r="Q4091" s="51"/>
      <c r="R4091" s="530"/>
      <c r="S4091" s="757"/>
      <c r="T4091" s="753"/>
      <c r="AR4091" s="748"/>
      <c r="AS4091" s="753"/>
    </row>
    <row r="4092" spans="1:45" s="886" customFormat="1" ht="13.2">
      <c r="A4092"/>
      <c r="B4092" s="910"/>
      <c r="C4092" s="910" t="s">
        <v>2597</v>
      </c>
      <c r="D4092" s="910" t="str">
        <f ca="1">CELL("Address",Elec_Rates!D$112)</f>
        <v>[E25_0062_Quintano_Foods_Elec_ELV_As_Awarded.xlsx]Elec_Rates!$D$112</v>
      </c>
      <c r="E4092" s="911"/>
      <c r="F4092" s="911"/>
      <c r="G4092" s="912" t="s">
        <v>2598</v>
      </c>
      <c r="H4092" s="912"/>
      <c r="I4092" s="912"/>
      <c r="J4092" s="912"/>
      <c r="K4092" s="913"/>
      <c r="L4092" s="911"/>
      <c r="M4092" s="911"/>
      <c r="N4092" s="911"/>
      <c r="O4092" s="914"/>
      <c r="P4092" s="911"/>
      <c r="Q4092" s="915"/>
      <c r="R4092" s="916"/>
      <c r="S4092" s="915"/>
      <c r="T4092" s="917"/>
      <c r="U4092" s="918"/>
      <c r="AR4092"/>
      <c r="AS4092" s="911"/>
    </row>
    <row r="4093" spans="1:45" s="886" customFormat="1" ht="11.4">
      <c r="A4093" s="919">
        <v>11</v>
      </c>
      <c r="B4093" s="920">
        <v>1</v>
      </c>
      <c r="C4093" s="920">
        <f>$A4093*$B4093</f>
        <v>11</v>
      </c>
      <c r="D4093" s="921" t="str">
        <f>Elec_Rates!$D$112</f>
        <v>009# Power points rate (Galvanised conduit)</v>
      </c>
      <c r="E4093" s="921"/>
      <c r="F4093" s="921" t="s">
        <v>2599</v>
      </c>
      <c r="G4093" s="922" t="s">
        <v>2601</v>
      </c>
      <c r="H4093" s="922"/>
      <c r="I4093" s="922"/>
      <c r="J4093" s="922"/>
      <c r="K4093" s="923"/>
      <c r="L4093" s="918"/>
      <c r="M4093" s="918"/>
      <c r="N4093" s="918"/>
      <c r="O4093" s="924"/>
      <c r="P4093" s="921"/>
      <c r="Q4093" s="925">
        <f ca="1">$B4093*Elec_Rates!$R$112</f>
        <v>64.069999999999993</v>
      </c>
      <c r="R4093" s="916">
        <f ca="1">$A4093*Q4093</f>
        <v>704.77</v>
      </c>
      <c r="S4093" s="925">
        <f ca="1">$B4093*Elec_Rates!$T$112</f>
        <v>3.02</v>
      </c>
      <c r="T4093" s="917">
        <f ca="1">$A4093*S4093</f>
        <v>33.22</v>
      </c>
      <c r="U4093" s="926"/>
      <c r="AR4093" s="919">
        <v>11</v>
      </c>
      <c r="AS4093" s="921" t="s">
        <v>2599</v>
      </c>
    </row>
    <row r="4094" spans="1:45" s="901" customFormat="1" ht="13.2">
      <c r="A4094" s="116">
        <v>11</v>
      </c>
      <c r="B4094" s="901" t="s">
        <v>141</v>
      </c>
      <c r="D4094" s="901" t="s">
        <v>2874</v>
      </c>
      <c r="E4094" s="901" t="s">
        <v>3424</v>
      </c>
      <c r="F4094" s="1054" t="s">
        <v>3431</v>
      </c>
      <c r="G4094" s="941" t="s">
        <v>2875</v>
      </c>
      <c r="H4094" s="942">
        <v>705</v>
      </c>
      <c r="I4094" s="901" t="s">
        <v>2872</v>
      </c>
      <c r="J4094" s="901" t="s">
        <v>2876</v>
      </c>
      <c r="O4094" s="943">
        <v>3</v>
      </c>
      <c r="P4094" s="944">
        <v>34700</v>
      </c>
      <c r="Q4094" s="945">
        <v>7.6</v>
      </c>
      <c r="R4094" s="946">
        <f>$A4094*Q4094</f>
        <v>83.6</v>
      </c>
      <c r="S4094" s="945">
        <v>0.17</v>
      </c>
      <c r="T4094" s="947">
        <f>$A4094*S4094*$T$1</f>
        <v>1.6830000000000001</v>
      </c>
      <c r="AR4094" s="116">
        <v>11</v>
      </c>
      <c r="AS4094" s="1054" t="s">
        <v>3431</v>
      </c>
    </row>
    <row r="4095" spans="1:45" s="520" customFormat="1" ht="12">
      <c r="A4095" s="758"/>
      <c r="B4095" s="758"/>
      <c r="C4095" s="758"/>
      <c r="D4095" s="758"/>
      <c r="E4095" s="758"/>
      <c r="F4095" s="753"/>
      <c r="G4095" s="758"/>
      <c r="H4095" s="758"/>
      <c r="I4095" s="519"/>
      <c r="J4095" s="758"/>
      <c r="K4095" s="758"/>
      <c r="L4095" s="758"/>
      <c r="M4095" s="758"/>
      <c r="N4095" s="758"/>
      <c r="O4095" s="758"/>
      <c r="P4095" s="758"/>
      <c r="Q4095" s="519"/>
      <c r="R4095" s="759">
        <f>$A4095*Q4095</f>
        <v>0</v>
      </c>
      <c r="S4095" s="519"/>
      <c r="T4095" s="760">
        <f>$A4095*S4095*$T$1</f>
        <v>0</v>
      </c>
      <c r="AR4095" s="758"/>
      <c r="AS4095" s="753"/>
    </row>
    <row r="4096" spans="1:45" s="520" customFormat="1" ht="12.6" thickBot="1">
      <c r="A4096" s="761" t="s">
        <v>145</v>
      </c>
      <c r="B4096" s="762">
        <f>(R4095+T4095)</f>
        <v>0</v>
      </c>
      <c r="C4096" s="763"/>
      <c r="D4096" s="763"/>
      <c r="E4096" s="763"/>
      <c r="F4096" s="764"/>
      <c r="G4096" s="763" t="s">
        <v>146</v>
      </c>
      <c r="H4096" s="763"/>
      <c r="I4096" s="765"/>
      <c r="J4096" s="763"/>
      <c r="K4096" s="763" t="s">
        <v>3</v>
      </c>
      <c r="L4096" s="766" t="s">
        <v>143</v>
      </c>
      <c r="M4096" s="766"/>
      <c r="N4096" s="766"/>
      <c r="O4096" s="766"/>
      <c r="P4096" s="766"/>
      <c r="Q4096" s="767"/>
      <c r="R4096" s="768">
        <f ca="1">SUM(R4091:R4095)</f>
        <v>788.37</v>
      </c>
      <c r="S4096" s="763"/>
      <c r="T4096" s="768">
        <f ca="1">SUM(T4091:T4095)</f>
        <v>34.902999999999999</v>
      </c>
      <c r="U4096" s="531"/>
      <c r="V4096" s="531"/>
      <c r="W4096" s="531"/>
      <c r="X4096" s="531"/>
      <c r="Y4096" s="531"/>
      <c r="Z4096" s="531"/>
      <c r="AA4096" s="531"/>
      <c r="AB4096" s="531"/>
      <c r="AC4096" s="531"/>
      <c r="AD4096" s="531"/>
      <c r="AE4096" s="531"/>
      <c r="AF4096" s="531"/>
      <c r="AG4096" s="531"/>
      <c r="AH4096" s="531"/>
      <c r="AI4096" s="531"/>
      <c r="AJ4096" s="531"/>
      <c r="AK4096" s="531"/>
      <c r="AL4096" s="531"/>
      <c r="AM4096" s="531"/>
      <c r="AN4096" s="531"/>
      <c r="AO4096" s="531"/>
      <c r="AR4096" s="761" t="s">
        <v>145</v>
      </c>
      <c r="AS4096" s="764"/>
    </row>
    <row r="4097" spans="1:45" s="520" customFormat="1" ht="12" thickTop="1">
      <c r="A4097" s="51"/>
      <c r="B4097" s="41"/>
      <c r="C4097" s="51"/>
      <c r="E4097" s="42" t="s">
        <v>138</v>
      </c>
      <c r="F4097" s="42" t="s">
        <v>139</v>
      </c>
      <c r="G4097" s="51"/>
      <c r="H4097" s="51"/>
      <c r="I4097" s="51"/>
      <c r="J4097" s="51"/>
      <c r="K4097" s="51" t="s">
        <v>140</v>
      </c>
      <c r="L4097" s="51"/>
      <c r="M4097" s="51"/>
      <c r="N4097" s="51"/>
      <c r="O4097" s="52"/>
      <c r="P4097" s="51"/>
      <c r="Q4097" s="51"/>
      <c r="R4097" s="51"/>
      <c r="S4097" s="51"/>
      <c r="T4097" s="41"/>
      <c r="AG4097" s="521" t="s">
        <v>268</v>
      </c>
      <c r="AH4097" s="521" t="s">
        <v>269</v>
      </c>
      <c r="AI4097" s="521" t="s">
        <v>270</v>
      </c>
      <c r="AJ4097" s="521" t="s">
        <v>271</v>
      </c>
      <c r="AK4097" s="521" t="s">
        <v>272</v>
      </c>
      <c r="AM4097" s="745" t="s">
        <v>281</v>
      </c>
      <c r="AN4097" s="746" t="s">
        <v>282</v>
      </c>
      <c r="AO4097" s="522" t="s">
        <v>278</v>
      </c>
      <c r="AR4097" s="51"/>
      <c r="AS4097" s="42" t="s">
        <v>139</v>
      </c>
    </row>
    <row r="4098" spans="1:45" s="520" customFormat="1" ht="12" customHeight="1">
      <c r="A4098" s="747">
        <v>1</v>
      </c>
      <c r="B4098" s="523" t="s">
        <v>141</v>
      </c>
      <c r="C4098" s="748"/>
      <c r="D4098" s="749" t="s">
        <v>1731</v>
      </c>
      <c r="E4098" s="750">
        <f ca="1">IF(AND($A4098=0,$A$1="DIF"),0, ROUND(ROUND(($R4104*$S$2+($T4104*$T$2))/A4098,2)*$C$2,2))</f>
        <v>759.48</v>
      </c>
      <c r="F4098" s="751">
        <f ca="1">ROUND($A4098*$E4098,2)</f>
        <v>759.48</v>
      </c>
      <c r="G4098" s="752" t="s">
        <v>142</v>
      </c>
      <c r="H4098" s="753"/>
      <c r="I4098" s="754"/>
      <c r="J4098" s="753"/>
      <c r="K4098" s="753" t="s">
        <v>3</v>
      </c>
      <c r="L4098" s="755" t="s">
        <v>143</v>
      </c>
      <c r="M4098" s="755"/>
      <c r="N4098" s="755"/>
      <c r="O4098" s="755"/>
      <c r="P4098" s="755"/>
      <c r="Q4098" s="51"/>
      <c r="T4098" s="756" t="str">
        <f ca="1">IF(AND($R4104=0,$T4104=0),"0.00","mu :" &amp; ROUND($F4098/$C$2/($R4104+$T4104*$D$9),2))</f>
        <v>mu :1.23</v>
      </c>
      <c r="W4098" s="524"/>
      <c r="AG4098" s="481">
        <f ca="1">IF($E4098=0,0,ROUND($R4104*$S$2*$C$2/$A4098,2))</f>
        <v>585.58000000000004</v>
      </c>
      <c r="AH4098" s="481">
        <f ca="1">$AG4098*$A4098</f>
        <v>585.58000000000004</v>
      </c>
      <c r="AI4098" s="525">
        <f ca="1">$E4098-$AG4098</f>
        <v>173.89999999999998</v>
      </c>
      <c r="AJ4098" s="525">
        <f ca="1">$A4098*$AI4098</f>
        <v>173.89999999999998</v>
      </c>
      <c r="AK4098" s="526">
        <f ca="1">ROUND(($AG4098+$AI4098)*$A4098,2)</f>
        <v>759.48</v>
      </c>
      <c r="AM4098" s="527">
        <f ca="1">ROUND(R4104,2)</f>
        <v>475.56</v>
      </c>
      <c r="AN4098" s="528">
        <f ca="1">ROUND(T4104,2)</f>
        <v>5.14</v>
      </c>
      <c r="AO4098" s="529">
        <f ca="1">ROUND(AM4098+AN4098,2)*A4098</f>
        <v>480.7</v>
      </c>
      <c r="AR4098" s="747">
        <v>1</v>
      </c>
      <c r="AS4098" s="751">
        <v>799.43</v>
      </c>
    </row>
    <row r="4099" spans="1:45" s="520" customFormat="1" ht="13.2">
      <c r="A4099" s="748"/>
      <c r="B4099"/>
      <c r="C4099" s="748"/>
      <c r="D4099" s="749" t="s">
        <v>755</v>
      </c>
      <c r="F4099" s="753"/>
      <c r="G4099" s="3"/>
      <c r="H4099" s="753"/>
      <c r="I4099" s="754"/>
      <c r="J4099" s="753"/>
      <c r="K4099" s="753" t="s">
        <v>144</v>
      </c>
      <c r="L4099" s="753"/>
      <c r="M4099" s="753"/>
      <c r="N4099" s="753"/>
      <c r="O4099" s="753"/>
      <c r="P4099" s="753"/>
      <c r="Q4099" s="51"/>
      <c r="R4099" s="530"/>
      <c r="S4099" s="757"/>
      <c r="T4099" s="753"/>
      <c r="AR4099" s="748"/>
      <c r="AS4099" s="753"/>
    </row>
    <row r="4100" spans="1:45" s="886" customFormat="1" ht="13.2">
      <c r="A4100"/>
      <c r="B4100" s="910"/>
      <c r="C4100" s="910" t="s">
        <v>2597</v>
      </c>
      <c r="D4100" s="910" t="str">
        <f ca="1">CELL("Address",Elec_Rates!D$120)</f>
        <v>[E25_0062_Quintano_Foods_Elec_ELV_As_Awarded.xlsx]Elec_Rates!$D$120</v>
      </c>
      <c r="E4100" s="911"/>
      <c r="F4100" s="911"/>
      <c r="G4100" s="912" t="s">
        <v>2598</v>
      </c>
      <c r="H4100" s="912"/>
      <c r="I4100" s="912"/>
      <c r="J4100" s="912"/>
      <c r="K4100" s="913"/>
      <c r="L4100" s="911"/>
      <c r="M4100" s="911"/>
      <c r="N4100" s="911"/>
      <c r="O4100" s="914"/>
      <c r="P4100" s="911"/>
      <c r="Q4100" s="915"/>
      <c r="R4100" s="916"/>
      <c r="S4100" s="915"/>
      <c r="T4100" s="917"/>
      <c r="U4100" s="918"/>
      <c r="AR4100"/>
      <c r="AS4100" s="911"/>
    </row>
    <row r="4101" spans="1:45" s="886" customFormat="1" ht="11.4">
      <c r="A4101" s="919">
        <v>1</v>
      </c>
      <c r="B4101" s="920">
        <v>1</v>
      </c>
      <c r="C4101" s="920">
        <f>$A4101*$B4101</f>
        <v>1</v>
      </c>
      <c r="D4101" s="921" t="str">
        <f>Elec_Rates!$D$120</f>
        <v>010# Power points rate galvanised conduit (CWZ LSZH Cable)</v>
      </c>
      <c r="E4101" s="921"/>
      <c r="F4101" s="921" t="s">
        <v>2599</v>
      </c>
      <c r="G4101" s="922" t="s">
        <v>2601</v>
      </c>
      <c r="H4101" s="922"/>
      <c r="I4101" s="922"/>
      <c r="J4101" s="922"/>
      <c r="K4101" s="923"/>
      <c r="L4101" s="918"/>
      <c r="M4101" s="918"/>
      <c r="N4101" s="918"/>
      <c r="O4101" s="924"/>
      <c r="P4101" s="921"/>
      <c r="Q4101" s="925">
        <f ca="1">$B4101*Elec_Rates!$R$120</f>
        <v>467.96</v>
      </c>
      <c r="R4101" s="916">
        <f ca="1">$A4101*Q4101</f>
        <v>467.96</v>
      </c>
      <c r="S4101" s="925">
        <f ca="1">$B4101*Elec_Rates!$T$120</f>
        <v>4.99</v>
      </c>
      <c r="T4101" s="917">
        <f ca="1">$A4101*S4101</f>
        <v>4.99</v>
      </c>
      <c r="U4101" s="926"/>
      <c r="AR4101" s="919">
        <v>1</v>
      </c>
      <c r="AS4101" s="921" t="s">
        <v>2599</v>
      </c>
    </row>
    <row r="4102" spans="1:45" s="901" customFormat="1" ht="13.2">
      <c r="A4102" s="116">
        <v>1</v>
      </c>
      <c r="B4102" s="901" t="s">
        <v>141</v>
      </c>
      <c r="D4102" s="901" t="s">
        <v>2874</v>
      </c>
      <c r="E4102" s="901" t="s">
        <v>3424</v>
      </c>
      <c r="F4102" s="1054" t="s">
        <v>3431</v>
      </c>
      <c r="G4102" s="941" t="s">
        <v>2875</v>
      </c>
      <c r="H4102" s="942">
        <v>705</v>
      </c>
      <c r="I4102" s="901" t="s">
        <v>2872</v>
      </c>
      <c r="J4102" s="901" t="s">
        <v>2876</v>
      </c>
      <c r="O4102" s="943">
        <v>3</v>
      </c>
      <c r="P4102" s="944">
        <v>34700</v>
      </c>
      <c r="Q4102" s="945">
        <v>7.6</v>
      </c>
      <c r="R4102" s="946">
        <f>$A4102*Q4102</f>
        <v>7.6</v>
      </c>
      <c r="S4102" s="945">
        <v>0.17</v>
      </c>
      <c r="T4102" s="947">
        <f>$A4102*S4102*$T$1</f>
        <v>0.15300000000000002</v>
      </c>
      <c r="AR4102" s="116">
        <v>1</v>
      </c>
      <c r="AS4102" s="1054" t="s">
        <v>3431</v>
      </c>
    </row>
    <row r="4103" spans="1:45" s="520" customFormat="1" ht="12">
      <c r="A4103" s="758"/>
      <c r="B4103" s="758"/>
      <c r="C4103" s="758"/>
      <c r="D4103" s="758"/>
      <c r="E4103" s="758"/>
      <c r="F4103" s="753"/>
      <c r="G4103" s="758"/>
      <c r="H4103" s="758"/>
      <c r="I4103" s="519"/>
      <c r="J4103" s="758"/>
      <c r="K4103" s="758"/>
      <c r="L4103" s="758"/>
      <c r="M4103" s="758"/>
      <c r="N4103" s="758"/>
      <c r="O4103" s="758"/>
      <c r="P4103" s="758"/>
      <c r="Q4103" s="519"/>
      <c r="R4103" s="759">
        <f>$A4103*Q4103</f>
        <v>0</v>
      </c>
      <c r="S4103" s="519"/>
      <c r="T4103" s="760">
        <f>$A4103*S4103*$T$1</f>
        <v>0</v>
      </c>
      <c r="AR4103" s="758"/>
      <c r="AS4103" s="753"/>
    </row>
    <row r="4104" spans="1:45" s="520" customFormat="1" ht="12.6" thickBot="1">
      <c r="A4104" s="761" t="s">
        <v>145</v>
      </c>
      <c r="B4104" s="762">
        <f>(R4103+T4103)</f>
        <v>0</v>
      </c>
      <c r="C4104" s="763"/>
      <c r="D4104" s="763"/>
      <c r="E4104" s="763"/>
      <c r="F4104" s="764"/>
      <c r="G4104" s="763" t="s">
        <v>146</v>
      </c>
      <c r="H4104" s="763"/>
      <c r="I4104" s="765"/>
      <c r="J4104" s="763"/>
      <c r="K4104" s="763" t="s">
        <v>3</v>
      </c>
      <c r="L4104" s="766" t="s">
        <v>143</v>
      </c>
      <c r="M4104" s="766"/>
      <c r="N4104" s="766"/>
      <c r="O4104" s="766"/>
      <c r="P4104" s="766"/>
      <c r="Q4104" s="767"/>
      <c r="R4104" s="768">
        <f ca="1">SUM(R4099:R4103)</f>
        <v>475.56</v>
      </c>
      <c r="S4104" s="763"/>
      <c r="T4104" s="768">
        <f ca="1">SUM(T4099:T4103)</f>
        <v>5.1430000000000007</v>
      </c>
      <c r="U4104" s="531"/>
      <c r="V4104" s="531"/>
      <c r="W4104" s="531"/>
      <c r="X4104" s="531"/>
      <c r="Y4104" s="531"/>
      <c r="Z4104" s="531"/>
      <c r="AA4104" s="531"/>
      <c r="AB4104" s="531"/>
      <c r="AC4104" s="531"/>
      <c r="AD4104" s="531"/>
      <c r="AE4104" s="531"/>
      <c r="AF4104" s="531"/>
      <c r="AG4104" s="531"/>
      <c r="AH4104" s="531"/>
      <c r="AI4104" s="531"/>
      <c r="AJ4104" s="531"/>
      <c r="AK4104" s="531"/>
      <c r="AL4104" s="531"/>
      <c r="AM4104" s="531"/>
      <c r="AN4104" s="531"/>
      <c r="AO4104" s="531"/>
      <c r="AR4104" s="761" t="s">
        <v>145</v>
      </c>
      <c r="AS4104" s="764"/>
    </row>
    <row r="4105" spans="1:45" s="520" customFormat="1" ht="12" thickTop="1">
      <c r="A4105" s="51"/>
      <c r="B4105" s="41"/>
      <c r="C4105" s="51"/>
      <c r="E4105" s="42" t="s">
        <v>138</v>
      </c>
      <c r="F4105" s="42" t="s">
        <v>139</v>
      </c>
      <c r="G4105" s="51"/>
      <c r="H4105" s="51"/>
      <c r="I4105" s="51"/>
      <c r="J4105" s="51"/>
      <c r="K4105" s="51" t="s">
        <v>140</v>
      </c>
      <c r="L4105" s="51"/>
      <c r="M4105" s="51"/>
      <c r="N4105" s="51"/>
      <c r="O4105" s="52"/>
      <c r="P4105" s="51"/>
      <c r="Q4105" s="51"/>
      <c r="R4105" s="51"/>
      <c r="S4105" s="51"/>
      <c r="T4105" s="41"/>
      <c r="AG4105" s="521" t="s">
        <v>268</v>
      </c>
      <c r="AH4105" s="521" t="s">
        <v>269</v>
      </c>
      <c r="AI4105" s="521" t="s">
        <v>270</v>
      </c>
      <c r="AJ4105" s="521" t="s">
        <v>271</v>
      </c>
      <c r="AK4105" s="521" t="s">
        <v>272</v>
      </c>
      <c r="AM4105" s="745" t="s">
        <v>281</v>
      </c>
      <c r="AN4105" s="746" t="s">
        <v>282</v>
      </c>
      <c r="AO4105" s="522" t="s">
        <v>278</v>
      </c>
      <c r="AR4105" s="51"/>
      <c r="AS4105" s="42" t="s">
        <v>139</v>
      </c>
    </row>
    <row r="4106" spans="1:45" s="520" customFormat="1" ht="12" customHeight="1">
      <c r="A4106" s="747">
        <v>1</v>
      </c>
      <c r="B4106" s="523" t="s">
        <v>141</v>
      </c>
      <c r="C4106" s="748"/>
      <c r="D4106" s="749" t="s">
        <v>1732</v>
      </c>
      <c r="E4106" s="750">
        <f ca="1">IF(AND($A4106=0,$A$1="DIF"),0, ROUND(ROUND(($R4112*$S$2+($T4112*$T$2))/A4106,2)*$C$2,2))</f>
        <v>757.77</v>
      </c>
      <c r="F4106" s="751">
        <f ca="1">ROUND($A4106*$E4106,2)</f>
        <v>757.77</v>
      </c>
      <c r="G4106" s="752" t="s">
        <v>142</v>
      </c>
      <c r="H4106" s="753"/>
      <c r="I4106" s="754"/>
      <c r="J4106" s="753"/>
      <c r="K4106" s="753" t="s">
        <v>3</v>
      </c>
      <c r="L4106" s="755" t="s">
        <v>143</v>
      </c>
      <c r="M4106" s="755"/>
      <c r="N4106" s="755"/>
      <c r="O4106" s="755"/>
      <c r="P4106" s="755"/>
      <c r="Q4106" s="51"/>
      <c r="T4106" s="756" t="str">
        <f ca="1">IF(AND($R4112=0,$T4112=0),"0.00","mu :" &amp; ROUND($F4106/$C$2/($R4112+$T4112*$D$9),2))</f>
        <v>mu :1.23</v>
      </c>
      <c r="W4106" s="524"/>
      <c r="AG4106" s="481">
        <f ca="1">IF($E4106=0,0,ROUND($R4112*$S$2*$C$2/$A4106,2))</f>
        <v>583.87</v>
      </c>
      <c r="AH4106" s="481">
        <f ca="1">$AG4106*$A4106</f>
        <v>583.87</v>
      </c>
      <c r="AI4106" s="525">
        <f ca="1">$E4106-$AG4106</f>
        <v>173.89999999999998</v>
      </c>
      <c r="AJ4106" s="525">
        <f ca="1">$A4106*$AI4106</f>
        <v>173.89999999999998</v>
      </c>
      <c r="AK4106" s="526">
        <f ca="1">ROUND(($AG4106+$AI4106)*$A4106,2)</f>
        <v>757.77</v>
      </c>
      <c r="AM4106" s="527">
        <f ca="1">ROUND(R4112,2)</f>
        <v>474.17</v>
      </c>
      <c r="AN4106" s="528">
        <f ca="1">ROUND(T4112,2)</f>
        <v>5.14</v>
      </c>
      <c r="AO4106" s="529">
        <f ca="1">ROUND(AM4106+AN4106,2)*A4106</f>
        <v>479.31</v>
      </c>
      <c r="AR4106" s="747">
        <v>1</v>
      </c>
      <c r="AS4106" s="751">
        <v>797.72</v>
      </c>
    </row>
    <row r="4107" spans="1:45" s="520" customFormat="1" ht="13.2">
      <c r="A4107" s="748"/>
      <c r="B4107"/>
      <c r="C4107" s="748"/>
      <c r="D4107" s="749" t="s">
        <v>839</v>
      </c>
      <c r="F4107" s="753"/>
      <c r="G4107" s="3"/>
      <c r="H4107" s="753"/>
      <c r="I4107" s="754"/>
      <c r="J4107" s="753"/>
      <c r="K4107" s="753" t="s">
        <v>144</v>
      </c>
      <c r="L4107" s="753"/>
      <c r="M4107" s="753"/>
      <c r="N4107" s="753"/>
      <c r="O4107" s="753"/>
      <c r="P4107" s="753"/>
      <c r="Q4107" s="51"/>
      <c r="R4107" s="530"/>
      <c r="S4107" s="757"/>
      <c r="T4107" s="753"/>
      <c r="AR4107" s="748"/>
      <c r="AS4107" s="753"/>
    </row>
    <row r="4108" spans="1:45" s="886" customFormat="1" ht="13.2">
      <c r="A4108"/>
      <c r="B4108" s="910"/>
      <c r="C4108" s="910" t="s">
        <v>2597</v>
      </c>
      <c r="D4108" s="910" t="str">
        <f ca="1">CELL("Address",Elec_Rates!D$120)</f>
        <v>[E25_0062_Quintano_Foods_Elec_ELV_As_Awarded.xlsx]Elec_Rates!$D$120</v>
      </c>
      <c r="E4108" s="911"/>
      <c r="F4108" s="911"/>
      <c r="G4108" s="912" t="s">
        <v>2598</v>
      </c>
      <c r="H4108" s="912"/>
      <c r="I4108" s="912"/>
      <c r="J4108" s="912"/>
      <c r="K4108" s="913"/>
      <c r="L4108" s="911"/>
      <c r="M4108" s="911"/>
      <c r="N4108" s="911"/>
      <c r="O4108" s="914"/>
      <c r="P4108" s="911"/>
      <c r="Q4108" s="915"/>
      <c r="R4108" s="916"/>
      <c r="S4108" s="915"/>
      <c r="T4108" s="917"/>
      <c r="U4108" s="918"/>
      <c r="AR4108"/>
      <c r="AS4108" s="911"/>
    </row>
    <row r="4109" spans="1:45" s="886" customFormat="1" ht="11.4">
      <c r="A4109" s="919">
        <v>1</v>
      </c>
      <c r="B4109" s="920">
        <v>1</v>
      </c>
      <c r="C4109" s="920">
        <f>$A4109*$B4109</f>
        <v>1</v>
      </c>
      <c r="D4109" s="921" t="str">
        <f>Elec_Rates!$D$120</f>
        <v>010# Power points rate galvanised conduit (CWZ LSZH Cable)</v>
      </c>
      <c r="E4109" s="921"/>
      <c r="F4109" s="921" t="s">
        <v>2599</v>
      </c>
      <c r="G4109" s="922" t="s">
        <v>2601</v>
      </c>
      <c r="H4109" s="922"/>
      <c r="I4109" s="922"/>
      <c r="J4109" s="922"/>
      <c r="K4109" s="923"/>
      <c r="L4109" s="918"/>
      <c r="M4109" s="918"/>
      <c r="N4109" s="918"/>
      <c r="O4109" s="924"/>
      <c r="P4109" s="921"/>
      <c r="Q4109" s="925">
        <f ca="1">$B4109*Elec_Rates!$R$120</f>
        <v>467.96</v>
      </c>
      <c r="R4109" s="916">
        <f ca="1">$A4109*Q4109</f>
        <v>467.96</v>
      </c>
      <c r="S4109" s="925">
        <f ca="1">$B4109*Elec_Rates!$T$120</f>
        <v>4.99</v>
      </c>
      <c r="T4109" s="917">
        <f ca="1">$A4109*S4109</f>
        <v>4.99</v>
      </c>
      <c r="U4109" s="926"/>
      <c r="AR4109" s="919">
        <v>1</v>
      </c>
      <c r="AS4109" s="921" t="s">
        <v>2599</v>
      </c>
    </row>
    <row r="4110" spans="1:45" s="901" customFormat="1" ht="13.2">
      <c r="A4110" s="116">
        <v>1</v>
      </c>
      <c r="B4110" s="901" t="s">
        <v>141</v>
      </c>
      <c r="D4110" s="901" t="s">
        <v>2987</v>
      </c>
      <c r="E4110" s="901" t="s">
        <v>3424</v>
      </c>
      <c r="F4110" s="1054" t="s">
        <v>3432</v>
      </c>
      <c r="G4110" s="941" t="s">
        <v>2988</v>
      </c>
      <c r="H4110" s="942">
        <v>705</v>
      </c>
      <c r="I4110" s="901" t="s">
        <v>2607</v>
      </c>
      <c r="O4110" s="943">
        <v>3</v>
      </c>
      <c r="P4110" s="944"/>
      <c r="Q4110" s="945">
        <v>6.21</v>
      </c>
      <c r="R4110" s="946">
        <f>$A4110*Q4110</f>
        <v>6.21</v>
      </c>
      <c r="S4110" s="945">
        <v>0.17</v>
      </c>
      <c r="T4110" s="947">
        <f>$A4110*S4110*$T$1</f>
        <v>0.15300000000000002</v>
      </c>
      <c r="AR4110" s="116">
        <v>1</v>
      </c>
      <c r="AS4110" s="1054" t="s">
        <v>3432</v>
      </c>
    </row>
    <row r="4111" spans="1:45" s="520" customFormat="1" ht="12">
      <c r="A4111" s="758"/>
      <c r="B4111" s="758"/>
      <c r="C4111" s="758"/>
      <c r="D4111" s="758"/>
      <c r="E4111" s="758"/>
      <c r="F4111" s="753"/>
      <c r="G4111" s="758"/>
      <c r="H4111" s="758"/>
      <c r="I4111" s="519"/>
      <c r="J4111" s="758"/>
      <c r="K4111" s="758"/>
      <c r="L4111" s="758"/>
      <c r="M4111" s="758"/>
      <c r="N4111" s="758"/>
      <c r="O4111" s="758"/>
      <c r="P4111" s="758"/>
      <c r="Q4111" s="519"/>
      <c r="R4111" s="759">
        <f>$A4111*Q4111</f>
        <v>0</v>
      </c>
      <c r="S4111" s="519"/>
      <c r="T4111" s="760">
        <f>$A4111*S4111*$T$1</f>
        <v>0</v>
      </c>
      <c r="AR4111" s="758"/>
      <c r="AS4111" s="753"/>
    </row>
    <row r="4112" spans="1:45" s="520" customFormat="1" ht="12.6" thickBot="1">
      <c r="A4112" s="761" t="s">
        <v>145</v>
      </c>
      <c r="B4112" s="762">
        <f>(R4111+T4111)</f>
        <v>0</v>
      </c>
      <c r="C4112" s="763"/>
      <c r="D4112" s="763"/>
      <c r="E4112" s="763"/>
      <c r="F4112" s="764"/>
      <c r="G4112" s="763" t="s">
        <v>146</v>
      </c>
      <c r="H4112" s="763"/>
      <c r="I4112" s="765"/>
      <c r="J4112" s="763"/>
      <c r="K4112" s="763" t="s">
        <v>3</v>
      </c>
      <c r="L4112" s="766" t="s">
        <v>143</v>
      </c>
      <c r="M4112" s="766"/>
      <c r="N4112" s="766"/>
      <c r="O4112" s="766"/>
      <c r="P4112" s="766"/>
      <c r="Q4112" s="767"/>
      <c r="R4112" s="768">
        <f ca="1">SUM(R4107:R4111)</f>
        <v>474.16999999999996</v>
      </c>
      <c r="S4112" s="763"/>
      <c r="T4112" s="768">
        <f ca="1">SUM(T4107:T4111)</f>
        <v>5.1430000000000007</v>
      </c>
      <c r="U4112" s="531"/>
      <c r="V4112" s="531"/>
      <c r="W4112" s="531"/>
      <c r="X4112" s="531"/>
      <c r="Y4112" s="531"/>
      <c r="Z4112" s="531"/>
      <c r="AA4112" s="531"/>
      <c r="AB4112" s="531"/>
      <c r="AC4112" s="531"/>
      <c r="AD4112" s="531"/>
      <c r="AE4112" s="531"/>
      <c r="AF4112" s="531"/>
      <c r="AG4112" s="531"/>
      <c r="AH4112" s="531"/>
      <c r="AI4112" s="531"/>
      <c r="AJ4112" s="531"/>
      <c r="AK4112" s="531"/>
      <c r="AL4112" s="531"/>
      <c r="AM4112" s="531"/>
      <c r="AN4112" s="531"/>
      <c r="AO4112" s="531"/>
      <c r="AR4112" s="761" t="s">
        <v>145</v>
      </c>
      <c r="AS4112" s="764"/>
    </row>
    <row r="4113" spans="1:45" s="520" customFormat="1" ht="12" thickTop="1">
      <c r="A4113" s="51"/>
      <c r="B4113" s="41"/>
      <c r="C4113" s="51"/>
      <c r="E4113" s="42" t="s">
        <v>138</v>
      </c>
      <c r="F4113" s="42" t="s">
        <v>139</v>
      </c>
      <c r="G4113" s="51"/>
      <c r="H4113" s="51"/>
      <c r="I4113" s="51"/>
      <c r="J4113" s="51"/>
      <c r="K4113" s="51" t="s">
        <v>140</v>
      </c>
      <c r="L4113" s="51"/>
      <c r="M4113" s="51"/>
      <c r="N4113" s="51"/>
      <c r="O4113" s="52"/>
      <c r="P4113" s="51"/>
      <c r="Q4113" s="51"/>
      <c r="R4113" s="51"/>
      <c r="S4113" s="51"/>
      <c r="T4113" s="41"/>
      <c r="AG4113" s="521" t="s">
        <v>268</v>
      </c>
      <c r="AH4113" s="521" t="s">
        <v>269</v>
      </c>
      <c r="AI4113" s="521" t="s">
        <v>270</v>
      </c>
      <c r="AJ4113" s="521" t="s">
        <v>271</v>
      </c>
      <c r="AK4113" s="521" t="s">
        <v>272</v>
      </c>
      <c r="AM4113" s="745" t="s">
        <v>281</v>
      </c>
      <c r="AN4113" s="746" t="s">
        <v>282</v>
      </c>
      <c r="AO4113" s="522" t="s">
        <v>278</v>
      </c>
      <c r="AR4113" s="51"/>
      <c r="AS4113" s="42" t="s">
        <v>139</v>
      </c>
    </row>
    <row r="4114" spans="1:45" s="520" customFormat="1" ht="12" customHeight="1">
      <c r="A4114" s="747">
        <v>1</v>
      </c>
      <c r="B4114" s="523" t="s">
        <v>141</v>
      </c>
      <c r="C4114" s="748"/>
      <c r="D4114" s="749" t="s">
        <v>1733</v>
      </c>
      <c r="E4114" s="750">
        <f ca="1">IF(AND($A4114=0,$A$1="DIF"),0, ROUND(ROUND(($R4119*$S$2+($T4119*$T$2))/A4114,2)*$C$2,2))</f>
        <v>208.63</v>
      </c>
      <c r="F4114" s="751">
        <f ca="1">ROUND($A4114*$E4114,2)</f>
        <v>208.63</v>
      </c>
      <c r="G4114" s="752" t="s">
        <v>142</v>
      </c>
      <c r="H4114" s="753"/>
      <c r="I4114" s="754"/>
      <c r="J4114" s="753"/>
      <c r="K4114" s="753" t="s">
        <v>3</v>
      </c>
      <c r="L4114" s="755" t="s">
        <v>143</v>
      </c>
      <c r="M4114" s="755"/>
      <c r="N4114" s="755"/>
      <c r="O4114" s="755"/>
      <c r="P4114" s="755"/>
      <c r="Q4114" s="51"/>
      <c r="T4114" s="756" t="str">
        <f ca="1">IF(AND($R4119=0,$T4119=0),"0.00","mu :" &amp; ROUND($F4114/$C$2/($R4119+$T4119*$D$9),2))</f>
        <v>mu :1.23</v>
      </c>
      <c r="W4114" s="524"/>
      <c r="AG4114" s="481">
        <f ca="1">IF($E4114=0,0,ROUND($R4119*$S$2*$C$2/$A4114,2))</f>
        <v>91.64</v>
      </c>
      <c r="AH4114" s="481">
        <f ca="1">$AG4114*$A4114</f>
        <v>91.64</v>
      </c>
      <c r="AI4114" s="525">
        <f ca="1">$E4114-$AG4114</f>
        <v>116.99</v>
      </c>
      <c r="AJ4114" s="525">
        <f ca="1">$A4114*$AI4114</f>
        <v>116.99</v>
      </c>
      <c r="AK4114" s="526">
        <f ca="1">ROUND(($AG4114+$AI4114)*$A4114,2)</f>
        <v>208.63</v>
      </c>
      <c r="AM4114" s="527">
        <f ca="1">ROUND(R4119,2)</f>
        <v>74.42</v>
      </c>
      <c r="AN4114" s="528">
        <f ca="1">ROUND(T4119,2)</f>
        <v>3.46</v>
      </c>
      <c r="AO4114" s="529">
        <f ca="1">ROUND(AM4114+AN4114,2)*A4114</f>
        <v>77.88</v>
      </c>
      <c r="AR4114" s="747">
        <v>1</v>
      </c>
      <c r="AS4114" s="751">
        <v>221.48</v>
      </c>
    </row>
    <row r="4115" spans="1:45" s="520" customFormat="1" ht="13.2">
      <c r="A4115" s="748"/>
      <c r="B4115"/>
      <c r="C4115" s="748"/>
      <c r="D4115" s="749" t="s">
        <v>757</v>
      </c>
      <c r="F4115" s="753"/>
      <c r="G4115" s="3"/>
      <c r="H4115" s="753"/>
      <c r="I4115" s="754"/>
      <c r="J4115" s="753"/>
      <c r="K4115" s="753" t="s">
        <v>144</v>
      </c>
      <c r="L4115" s="753"/>
      <c r="M4115" s="753"/>
      <c r="N4115" s="753"/>
      <c r="O4115" s="753"/>
      <c r="P4115" s="753"/>
      <c r="Q4115" s="51"/>
      <c r="R4115" s="530"/>
      <c r="S4115" s="757"/>
      <c r="T4115" s="753"/>
      <c r="AR4115" s="748"/>
      <c r="AS4115" s="753"/>
    </row>
    <row r="4116" spans="1:45" s="886" customFormat="1" ht="13.2">
      <c r="A4116"/>
      <c r="B4116" s="910"/>
      <c r="C4116" s="910" t="s">
        <v>2597</v>
      </c>
      <c r="D4116" s="910" t="str">
        <f ca="1">CELL("Address",Elec_Rates!D$134)</f>
        <v>[E25_0062_Quintano_Foods_Elec_ELV_As_Awarded.xlsx]Elec_Rates!$D$134</v>
      </c>
      <c r="E4116" s="911"/>
      <c r="F4116" s="911"/>
      <c r="G4116" s="912" t="s">
        <v>2598</v>
      </c>
      <c r="H4116" s="912"/>
      <c r="I4116" s="912"/>
      <c r="J4116" s="912"/>
      <c r="K4116" s="913"/>
      <c r="L4116" s="911"/>
      <c r="M4116" s="911"/>
      <c r="N4116" s="911"/>
      <c r="O4116" s="914"/>
      <c r="P4116" s="911"/>
      <c r="Q4116" s="915"/>
      <c r="R4116" s="916"/>
      <c r="S4116" s="915"/>
      <c r="T4116" s="917"/>
      <c r="U4116" s="918"/>
      <c r="AR4116"/>
      <c r="AS4116" s="911"/>
    </row>
    <row r="4117" spans="1:45" s="886" customFormat="1" ht="11.4">
      <c r="A4117" s="919">
        <v>1</v>
      </c>
      <c r="B4117" s="920">
        <v>1</v>
      </c>
      <c r="C4117" s="920">
        <f>$A4117*$B4117</f>
        <v>1</v>
      </c>
      <c r="D4117" s="921" t="str">
        <f>Elec_Rates!$D$134</f>
        <v>012# Single phase isolator / socket outlet point Galvanised conduit</v>
      </c>
      <c r="E4117" s="921"/>
      <c r="F4117" s="921" t="s">
        <v>2599</v>
      </c>
      <c r="G4117" s="922" t="s">
        <v>2600</v>
      </c>
      <c r="H4117" s="922"/>
      <c r="I4117" s="922"/>
      <c r="J4117" s="922"/>
      <c r="K4117" s="923"/>
      <c r="L4117" s="918"/>
      <c r="M4117" s="918"/>
      <c r="N4117" s="918"/>
      <c r="O4117" s="924"/>
      <c r="P4117" s="921"/>
      <c r="Q4117" s="925">
        <f ca="1">$B4117*Elec_Rates!$R$134</f>
        <v>74.42</v>
      </c>
      <c r="R4117" s="916">
        <f ca="1">$A4117*Q4117</f>
        <v>74.42</v>
      </c>
      <c r="S4117" s="925">
        <f ca="1">$B4117*Elec_Rates!$T$134</f>
        <v>3.46</v>
      </c>
      <c r="T4117" s="917">
        <f ca="1">$A4117*S4117</f>
        <v>3.46</v>
      </c>
      <c r="U4117" s="926"/>
      <c r="AR4117" s="919">
        <v>1</v>
      </c>
      <c r="AS4117" s="921" t="s">
        <v>2599</v>
      </c>
    </row>
    <row r="4118" spans="1:45" s="520" customFormat="1" ht="12">
      <c r="A4118" s="758"/>
      <c r="B4118" s="758"/>
      <c r="C4118" s="758"/>
      <c r="D4118" s="758"/>
      <c r="E4118" s="758"/>
      <c r="F4118" s="753"/>
      <c r="G4118" s="758"/>
      <c r="H4118" s="758"/>
      <c r="I4118" s="519"/>
      <c r="J4118" s="758"/>
      <c r="K4118" s="758"/>
      <c r="L4118" s="758"/>
      <c r="M4118" s="758"/>
      <c r="N4118" s="758"/>
      <c r="O4118" s="758"/>
      <c r="P4118" s="758"/>
      <c r="Q4118" s="519"/>
      <c r="R4118" s="759">
        <f>$A4118*Q4118</f>
        <v>0</v>
      </c>
      <c r="S4118" s="519"/>
      <c r="T4118" s="760">
        <f>$A4118*S4118*$T$1</f>
        <v>0</v>
      </c>
      <c r="AR4118" s="758"/>
      <c r="AS4118" s="753"/>
    </row>
    <row r="4119" spans="1:45" s="520" customFormat="1" ht="12.6" thickBot="1">
      <c r="A4119" s="761" t="s">
        <v>145</v>
      </c>
      <c r="B4119" s="762">
        <f>(R4118+T4118)</f>
        <v>0</v>
      </c>
      <c r="C4119" s="763"/>
      <c r="D4119" s="763"/>
      <c r="E4119" s="763"/>
      <c r="F4119" s="764"/>
      <c r="G4119" s="763" t="s">
        <v>146</v>
      </c>
      <c r="H4119" s="763"/>
      <c r="I4119" s="765"/>
      <c r="J4119" s="763"/>
      <c r="K4119" s="763" t="s">
        <v>3</v>
      </c>
      <c r="L4119" s="766" t="s">
        <v>143</v>
      </c>
      <c r="M4119" s="766"/>
      <c r="N4119" s="766"/>
      <c r="O4119" s="766"/>
      <c r="P4119" s="766"/>
      <c r="Q4119" s="767"/>
      <c r="R4119" s="768">
        <f ca="1">SUM(R4115:R4118)</f>
        <v>74.42</v>
      </c>
      <c r="S4119" s="763"/>
      <c r="T4119" s="768">
        <f ca="1">SUM(T4115:T4118)</f>
        <v>3.46</v>
      </c>
      <c r="U4119" s="531"/>
      <c r="V4119" s="531"/>
      <c r="W4119" s="531"/>
      <c r="X4119" s="531"/>
      <c r="Y4119" s="531"/>
      <c r="Z4119" s="531"/>
      <c r="AA4119" s="531"/>
      <c r="AB4119" s="531"/>
      <c r="AC4119" s="531"/>
      <c r="AD4119" s="531"/>
      <c r="AE4119" s="531"/>
      <c r="AF4119" s="531"/>
      <c r="AG4119" s="531"/>
      <c r="AH4119" s="531"/>
      <c r="AI4119" s="531"/>
      <c r="AJ4119" s="531"/>
      <c r="AK4119" s="531"/>
      <c r="AL4119" s="531"/>
      <c r="AM4119" s="531"/>
      <c r="AN4119" s="531"/>
      <c r="AO4119" s="531"/>
      <c r="AR4119" s="761" t="s">
        <v>145</v>
      </c>
      <c r="AS4119" s="764"/>
    </row>
    <row r="4120" spans="1:45" s="520" customFormat="1" ht="12" thickTop="1">
      <c r="A4120" s="51"/>
      <c r="B4120" s="41"/>
      <c r="C4120" s="51"/>
      <c r="E4120" s="42" t="s">
        <v>138</v>
      </c>
      <c r="F4120" s="42" t="s">
        <v>139</v>
      </c>
      <c r="G4120" s="51"/>
      <c r="H4120" s="51"/>
      <c r="I4120" s="51"/>
      <c r="J4120" s="51"/>
      <c r="K4120" s="51" t="s">
        <v>140</v>
      </c>
      <c r="L4120" s="51"/>
      <c r="M4120" s="51"/>
      <c r="N4120" s="51"/>
      <c r="O4120" s="52"/>
      <c r="P4120" s="51"/>
      <c r="Q4120" s="51"/>
      <c r="R4120" s="51"/>
      <c r="S4120" s="51"/>
      <c r="T4120" s="41"/>
      <c r="AG4120" s="521" t="s">
        <v>268</v>
      </c>
      <c r="AH4120" s="521" t="s">
        <v>269</v>
      </c>
      <c r="AI4120" s="521" t="s">
        <v>270</v>
      </c>
      <c r="AJ4120" s="521" t="s">
        <v>271</v>
      </c>
      <c r="AK4120" s="521" t="s">
        <v>272</v>
      </c>
      <c r="AM4120" s="745" t="s">
        <v>281</v>
      </c>
      <c r="AN4120" s="746" t="s">
        <v>282</v>
      </c>
      <c r="AO4120" s="522" t="s">
        <v>278</v>
      </c>
      <c r="AR4120" s="51"/>
      <c r="AS4120" s="42" t="s">
        <v>139</v>
      </c>
    </row>
    <row r="4121" spans="1:45" s="520" customFormat="1" ht="12" customHeight="1">
      <c r="A4121" s="747">
        <v>1</v>
      </c>
      <c r="B4121" s="523" t="s">
        <v>141</v>
      </c>
      <c r="C4121" s="748"/>
      <c r="D4121" s="749" t="s">
        <v>1734</v>
      </c>
      <c r="E4121" s="750">
        <f ca="1">IF(AND($A4121=0,$A$1="DIF"),0, ROUND(ROUND(($R4126*$S$2+($T4126*$T$2))/A4121,2)*$C$2,2))</f>
        <v>158.15</v>
      </c>
      <c r="F4121" s="751">
        <f ca="1">ROUND($A4121*$E4121,2)</f>
        <v>158.15</v>
      </c>
      <c r="G4121" s="752" t="s">
        <v>142</v>
      </c>
      <c r="H4121" s="753"/>
      <c r="I4121" s="754"/>
      <c r="J4121" s="753"/>
      <c r="K4121" s="753" t="s">
        <v>3</v>
      </c>
      <c r="L4121" s="755" t="s">
        <v>143</v>
      </c>
      <c r="M4121" s="755"/>
      <c r="N4121" s="755"/>
      <c r="O4121" s="755"/>
      <c r="P4121" s="755"/>
      <c r="Q4121" s="51"/>
      <c r="T4121" s="756" t="str">
        <f ca="1">IF(AND($R4126=0,$T4126=0),"0.00","mu :" &amp; ROUND($F4121/$C$2/($R4126+$T4126*$D$9),2))</f>
        <v>mu :1.23</v>
      </c>
      <c r="W4121" s="524"/>
      <c r="AG4121" s="481">
        <f ca="1">IF($E4121=0,0,ROUND($R4126*$S$2*$C$2/$A4121,2))</f>
        <v>57.39</v>
      </c>
      <c r="AH4121" s="481">
        <f ca="1">$AG4121*$A4121</f>
        <v>57.39</v>
      </c>
      <c r="AI4121" s="525">
        <f ca="1">$E4121-$AG4121</f>
        <v>100.76</v>
      </c>
      <c r="AJ4121" s="525">
        <f ca="1">$A4121*$AI4121</f>
        <v>100.76</v>
      </c>
      <c r="AK4121" s="526">
        <f ca="1">ROUND(($AG4121+$AI4121)*$A4121,2)</f>
        <v>158.15</v>
      </c>
      <c r="AM4121" s="527">
        <f ca="1">ROUND(R4126,2)</f>
        <v>46.61</v>
      </c>
      <c r="AN4121" s="528">
        <f ca="1">ROUND(T4126,2)</f>
        <v>2.98</v>
      </c>
      <c r="AO4121" s="529">
        <f ca="1">ROUND(AM4121+AN4121,2)*A4121</f>
        <v>49.59</v>
      </c>
      <c r="AR4121" s="747">
        <v>1</v>
      </c>
      <c r="AS4121" s="751">
        <v>169.31</v>
      </c>
    </row>
    <row r="4122" spans="1:45" s="520" customFormat="1" ht="13.2">
      <c r="A4122" s="748"/>
      <c r="B4122"/>
      <c r="C4122" s="748"/>
      <c r="D4122" s="749" t="s">
        <v>793</v>
      </c>
      <c r="F4122" s="753"/>
      <c r="G4122" s="3"/>
      <c r="H4122" s="753"/>
      <c r="I4122" s="754"/>
      <c r="J4122" s="753"/>
      <c r="K4122" s="753" t="s">
        <v>144</v>
      </c>
      <c r="L4122" s="753"/>
      <c r="M4122" s="753"/>
      <c r="N4122" s="753"/>
      <c r="O4122" s="753"/>
      <c r="P4122" s="753"/>
      <c r="Q4122" s="51"/>
      <c r="R4122" s="530"/>
      <c r="S4122" s="757"/>
      <c r="T4122" s="753"/>
      <c r="AR4122" s="748"/>
      <c r="AS4122" s="753"/>
    </row>
    <row r="4123" spans="1:45" s="886" customFormat="1" ht="13.2">
      <c r="A4123"/>
      <c r="B4123" s="910"/>
      <c r="C4123" s="910" t="s">
        <v>2597</v>
      </c>
      <c r="D4123" s="910" t="str">
        <f ca="1">CELL("Address",Elec_Rates!D$46)</f>
        <v>[E25_0062_Quintano_Foods_Elec_ELV_As_Awarded.xlsx]Elec_Rates!$D$46</v>
      </c>
      <c r="E4123" s="911"/>
      <c r="F4123" s="911"/>
      <c r="G4123" s="912" t="s">
        <v>2598</v>
      </c>
      <c r="H4123" s="912"/>
      <c r="I4123" s="912"/>
      <c r="J4123" s="912"/>
      <c r="K4123" s="913"/>
      <c r="L4123" s="911"/>
      <c r="M4123" s="911"/>
      <c r="N4123" s="911"/>
      <c r="O4123" s="914"/>
      <c r="P4123" s="911"/>
      <c r="Q4123" s="915"/>
      <c r="R4123" s="916"/>
      <c r="S4123" s="915"/>
      <c r="T4123" s="917"/>
      <c r="U4123" s="918"/>
      <c r="AR4123"/>
      <c r="AS4123" s="911"/>
    </row>
    <row r="4124" spans="1:45" s="886" customFormat="1" ht="11.4">
      <c r="A4124" s="919">
        <v>1</v>
      </c>
      <c r="B4124" s="920">
        <v>1</v>
      </c>
      <c r="C4124" s="920">
        <f>$A4124*$B4124</f>
        <v>1</v>
      </c>
      <c r="D4124" s="921" t="str">
        <f>Elec_Rates!$D$46</f>
        <v>004# Light point rate (Galvanised Conduit)</v>
      </c>
      <c r="E4124" s="921" t="s">
        <v>2969</v>
      </c>
      <c r="F4124" s="918"/>
      <c r="G4124" s="922" t="s">
        <v>2878</v>
      </c>
      <c r="H4124" s="922"/>
      <c r="I4124" s="922"/>
      <c r="J4124" s="922"/>
      <c r="K4124" s="923"/>
      <c r="L4124" s="918"/>
      <c r="M4124" s="918"/>
      <c r="N4124" s="918"/>
      <c r="O4124" s="924"/>
      <c r="P4124" s="921"/>
      <c r="Q4124" s="925">
        <f ca="1">$B4124*Elec_Rates!$R$46</f>
        <v>46.61</v>
      </c>
      <c r="R4124" s="916">
        <f ca="1">$A4124*Q4124</f>
        <v>46.61</v>
      </c>
      <c r="S4124" s="925">
        <f ca="1">$B4124*Elec_Rates!$T$46</f>
        <v>2.98</v>
      </c>
      <c r="T4124" s="917">
        <f ca="1">$A4124*S4124</f>
        <v>2.98</v>
      </c>
      <c r="U4124" s="926"/>
      <c r="AR4124" s="919">
        <v>1</v>
      </c>
      <c r="AS4124" s="918"/>
    </row>
    <row r="4125" spans="1:45" s="520" customFormat="1" ht="12">
      <c r="A4125" s="758"/>
      <c r="B4125" s="758"/>
      <c r="C4125" s="758"/>
      <c r="D4125" s="758"/>
      <c r="E4125" s="758"/>
      <c r="F4125" s="753"/>
      <c r="G4125" s="758"/>
      <c r="H4125" s="758"/>
      <c r="I4125" s="519"/>
      <c r="J4125" s="758"/>
      <c r="K4125" s="758"/>
      <c r="L4125" s="758"/>
      <c r="M4125" s="758"/>
      <c r="N4125" s="758"/>
      <c r="O4125" s="758"/>
      <c r="P4125" s="758"/>
      <c r="Q4125" s="519"/>
      <c r="R4125" s="759">
        <f>$A4125*Q4125</f>
        <v>0</v>
      </c>
      <c r="S4125" s="519"/>
      <c r="T4125" s="760">
        <f>$A4125*S4125*$T$1</f>
        <v>0</v>
      </c>
      <c r="AR4125" s="758"/>
      <c r="AS4125" s="753"/>
    </row>
    <row r="4126" spans="1:45" s="520" customFormat="1" ht="12.6" thickBot="1">
      <c r="A4126" s="761" t="s">
        <v>145</v>
      </c>
      <c r="B4126" s="762">
        <f>(R4125+T4125)</f>
        <v>0</v>
      </c>
      <c r="C4126" s="763"/>
      <c r="D4126" s="763"/>
      <c r="E4126" s="763"/>
      <c r="F4126" s="764"/>
      <c r="G4126" s="763" t="s">
        <v>146</v>
      </c>
      <c r="H4126" s="763"/>
      <c r="I4126" s="765"/>
      <c r="J4126" s="763"/>
      <c r="K4126" s="763" t="s">
        <v>3</v>
      </c>
      <c r="L4126" s="766" t="s">
        <v>143</v>
      </c>
      <c r="M4126" s="766"/>
      <c r="N4126" s="766"/>
      <c r="O4126" s="766"/>
      <c r="P4126" s="766"/>
      <c r="Q4126" s="767"/>
      <c r="R4126" s="768">
        <f ca="1">SUM(R4122:R4125)</f>
        <v>46.61</v>
      </c>
      <c r="S4126" s="763"/>
      <c r="T4126" s="768">
        <f ca="1">SUM(T4122:T4125)</f>
        <v>2.98</v>
      </c>
      <c r="U4126" s="531"/>
      <c r="V4126" s="531"/>
      <c r="W4126" s="531"/>
      <c r="X4126" s="531"/>
      <c r="Y4126" s="531"/>
      <c r="Z4126" s="531"/>
      <c r="AA4126" s="531"/>
      <c r="AB4126" s="531"/>
      <c r="AC4126" s="531"/>
      <c r="AD4126" s="531"/>
      <c r="AE4126" s="531"/>
      <c r="AF4126" s="531"/>
      <c r="AG4126" s="531"/>
      <c r="AH4126" s="531"/>
      <c r="AI4126" s="531"/>
      <c r="AJ4126" s="531"/>
      <c r="AK4126" s="531"/>
      <c r="AL4126" s="531"/>
      <c r="AM4126" s="531"/>
      <c r="AN4126" s="531"/>
      <c r="AO4126" s="531"/>
      <c r="AR4126" s="761" t="s">
        <v>145</v>
      </c>
      <c r="AS4126" s="764"/>
    </row>
    <row r="4127" spans="1:45" s="520" customFormat="1" ht="12" thickTop="1">
      <c r="A4127" s="51"/>
      <c r="B4127" s="41"/>
      <c r="C4127" s="51"/>
      <c r="E4127" s="42" t="s">
        <v>138</v>
      </c>
      <c r="F4127" s="42" t="s">
        <v>139</v>
      </c>
      <c r="G4127" s="51"/>
      <c r="H4127" s="51"/>
      <c r="I4127" s="51"/>
      <c r="J4127" s="51"/>
      <c r="K4127" s="51" t="s">
        <v>140</v>
      </c>
      <c r="L4127" s="51"/>
      <c r="M4127" s="51"/>
      <c r="N4127" s="51"/>
      <c r="O4127" s="52"/>
      <c r="P4127" s="51"/>
      <c r="Q4127" s="51"/>
      <c r="R4127" s="51"/>
      <c r="S4127" s="51"/>
      <c r="T4127" s="41"/>
      <c r="AG4127" s="521" t="s">
        <v>268</v>
      </c>
      <c r="AH4127" s="521" t="s">
        <v>269</v>
      </c>
      <c r="AI4127" s="521" t="s">
        <v>270</v>
      </c>
      <c r="AJ4127" s="521" t="s">
        <v>271</v>
      </c>
      <c r="AK4127" s="521" t="s">
        <v>272</v>
      </c>
      <c r="AM4127" s="745" t="s">
        <v>281</v>
      </c>
      <c r="AN4127" s="746" t="s">
        <v>282</v>
      </c>
      <c r="AO4127" s="522" t="s">
        <v>278</v>
      </c>
      <c r="AR4127" s="51"/>
      <c r="AS4127" s="42" t="s">
        <v>139</v>
      </c>
    </row>
    <row r="4128" spans="1:45" s="520" customFormat="1" ht="12" customHeight="1">
      <c r="A4128" s="747">
        <v>1</v>
      </c>
      <c r="B4128" s="523" t="s">
        <v>141</v>
      </c>
      <c r="C4128" s="748"/>
      <c r="D4128" s="749" t="s">
        <v>1735</v>
      </c>
      <c r="E4128" s="750">
        <f>IF(AND($A4128=0,$A$1="DIF"),0, ROUND(ROUND(($R4132*$S$2+($T4132*$T$2))/A4128,2)*$C$2,2))</f>
        <v>0</v>
      </c>
      <c r="F4128" s="751">
        <f>ROUND($A4128*$E4128,2)</f>
        <v>0</v>
      </c>
      <c r="G4128" s="752" t="s">
        <v>142</v>
      </c>
      <c r="H4128" s="753"/>
      <c r="I4128" s="754"/>
      <c r="J4128" s="753"/>
      <c r="K4128" s="753" t="s">
        <v>3</v>
      </c>
      <c r="L4128" s="755" t="s">
        <v>143</v>
      </c>
      <c r="M4128" s="755"/>
      <c r="N4128" s="755"/>
      <c r="O4128" s="755"/>
      <c r="P4128" s="755"/>
      <c r="Q4128" s="53" t="s">
        <v>2895</v>
      </c>
      <c r="T4128" s="756" t="str">
        <f>IF(AND($R4132=0,$T4132=0),"0.00","mu :" &amp; ROUND($F4128/$C$2/($R4132+$T4132*$D$9),2))</f>
        <v>0.00</v>
      </c>
      <c r="W4128" s="524"/>
      <c r="AG4128" s="481">
        <f>IF($E4128=0,0,ROUND($R4132*$S$2*$C$2/$A4128,2))</f>
        <v>0</v>
      </c>
      <c r="AH4128" s="481">
        <f>$AG4128*$A4128</f>
        <v>0</v>
      </c>
      <c r="AI4128" s="525">
        <f>$E4128-$AG4128</f>
        <v>0</v>
      </c>
      <c r="AJ4128" s="525">
        <f>$A4128*$AI4128</f>
        <v>0</v>
      </c>
      <c r="AK4128" s="526">
        <f>ROUND(($AG4128+$AI4128)*$A4128,2)</f>
        <v>0</v>
      </c>
      <c r="AM4128" s="527">
        <f>ROUND(R4132,2)</f>
        <v>0</v>
      </c>
      <c r="AN4128" s="528">
        <f>ROUND(T4132,2)</f>
        <v>0</v>
      </c>
      <c r="AO4128" s="529">
        <f>ROUND(AM4128+AN4128,2)*A4128</f>
        <v>0</v>
      </c>
      <c r="AR4128" s="747">
        <v>1</v>
      </c>
      <c r="AS4128" s="751">
        <v>0</v>
      </c>
    </row>
    <row r="4129" spans="1:45" s="520" customFormat="1" ht="13.2">
      <c r="A4129" s="748"/>
      <c r="B4129"/>
      <c r="C4129" s="748"/>
      <c r="D4129" s="749" t="s">
        <v>776</v>
      </c>
      <c r="F4129" s="753"/>
      <c r="G4129" s="3"/>
      <c r="H4129" s="753"/>
      <c r="I4129" s="754"/>
      <c r="J4129" s="753"/>
      <c r="K4129" s="753" t="s">
        <v>144</v>
      </c>
      <c r="L4129" s="753"/>
      <c r="M4129" s="753"/>
      <c r="N4129" s="753"/>
      <c r="O4129" s="753"/>
      <c r="P4129" s="753"/>
      <c r="Q4129" s="51"/>
      <c r="R4129" s="530"/>
      <c r="S4129" s="757"/>
      <c r="T4129" s="753"/>
      <c r="AR4129" s="748"/>
      <c r="AS4129" s="753"/>
    </row>
    <row r="4130" spans="1:45" s="520" customFormat="1" ht="12">
      <c r="A4130" s="51"/>
      <c r="B4130" s="758"/>
      <c r="C4130" s="758"/>
      <c r="D4130" s="1061" t="s">
        <v>3253</v>
      </c>
      <c r="E4130" s="758"/>
      <c r="F4130" s="753"/>
      <c r="G4130" s="758"/>
      <c r="H4130" s="758"/>
      <c r="I4130" s="519"/>
      <c r="J4130" s="758"/>
      <c r="K4130" s="758"/>
      <c r="L4130" s="758"/>
      <c r="M4130" s="758"/>
      <c r="N4130" s="758"/>
      <c r="O4130" s="758"/>
      <c r="P4130" s="758"/>
      <c r="Q4130" s="519"/>
      <c r="R4130" s="759">
        <f t="shared" ref="R4130:R4131" si="122">$A4130*Q4130</f>
        <v>0</v>
      </c>
      <c r="S4130" s="519"/>
      <c r="T4130" s="760">
        <f t="shared" ref="T4130:T4131" si="123">$A4130*S4130*$T$1</f>
        <v>0</v>
      </c>
      <c r="AR4130" s="51"/>
      <c r="AS4130" s="753"/>
    </row>
    <row r="4131" spans="1:45" s="520" customFormat="1" ht="12">
      <c r="A4131" s="758"/>
      <c r="B4131" s="758"/>
      <c r="C4131" s="758"/>
      <c r="D4131" s="758"/>
      <c r="E4131" s="758"/>
      <c r="F4131" s="753"/>
      <c r="G4131" s="758"/>
      <c r="H4131" s="758"/>
      <c r="I4131" s="519"/>
      <c r="J4131" s="758"/>
      <c r="K4131" s="758"/>
      <c r="L4131" s="758"/>
      <c r="M4131" s="758"/>
      <c r="N4131" s="758"/>
      <c r="O4131" s="758"/>
      <c r="P4131" s="758"/>
      <c r="Q4131" s="519"/>
      <c r="R4131" s="759">
        <f t="shared" si="122"/>
        <v>0</v>
      </c>
      <c r="S4131" s="519"/>
      <c r="T4131" s="760">
        <f t="shared" si="123"/>
        <v>0</v>
      </c>
      <c r="AR4131" s="758"/>
      <c r="AS4131" s="753"/>
    </row>
    <row r="4132" spans="1:45" s="520" customFormat="1" ht="12.6" thickBot="1">
      <c r="A4132" s="761" t="s">
        <v>145</v>
      </c>
      <c r="B4132" s="762">
        <f>(R4131+T4131)</f>
        <v>0</v>
      </c>
      <c r="C4132" s="763"/>
      <c r="D4132" s="763"/>
      <c r="E4132" s="763"/>
      <c r="F4132" s="764"/>
      <c r="G4132" s="763" t="s">
        <v>146</v>
      </c>
      <c r="H4132" s="763"/>
      <c r="I4132" s="765"/>
      <c r="J4132" s="763"/>
      <c r="K4132" s="763" t="s">
        <v>3</v>
      </c>
      <c r="L4132" s="766" t="s">
        <v>143</v>
      </c>
      <c r="M4132" s="766"/>
      <c r="N4132" s="766"/>
      <c r="O4132" s="766"/>
      <c r="P4132" s="766"/>
      <c r="Q4132" s="767"/>
      <c r="R4132" s="768">
        <f>SUM(R4129:R4131)</f>
        <v>0</v>
      </c>
      <c r="S4132" s="763"/>
      <c r="T4132" s="768">
        <f>SUM(T4129:T4131)</f>
        <v>0</v>
      </c>
      <c r="U4132" s="531"/>
      <c r="V4132" s="531"/>
      <c r="W4132" s="531"/>
      <c r="X4132" s="531"/>
      <c r="Y4132" s="531"/>
      <c r="Z4132" s="531"/>
      <c r="AA4132" s="531"/>
      <c r="AB4132" s="531"/>
      <c r="AC4132" s="531"/>
      <c r="AD4132" s="531"/>
      <c r="AE4132" s="531"/>
      <c r="AF4132" s="531"/>
      <c r="AG4132" s="531"/>
      <c r="AH4132" s="531"/>
      <c r="AI4132" s="531"/>
      <c r="AJ4132" s="531"/>
      <c r="AK4132" s="531"/>
      <c r="AL4132" s="531"/>
      <c r="AM4132" s="531"/>
      <c r="AN4132" s="531"/>
      <c r="AO4132" s="531"/>
      <c r="AR4132" s="761" t="s">
        <v>145</v>
      </c>
      <c r="AS4132" s="764"/>
    </row>
    <row r="4133" spans="1:45" s="520" customFormat="1" ht="12" thickTop="1">
      <c r="A4133" s="51"/>
      <c r="B4133" s="41"/>
      <c r="C4133" s="51"/>
      <c r="E4133" s="42" t="s">
        <v>138</v>
      </c>
      <c r="F4133" s="42" t="s">
        <v>139</v>
      </c>
      <c r="G4133" s="51"/>
      <c r="H4133" s="51"/>
      <c r="I4133" s="51"/>
      <c r="J4133" s="51"/>
      <c r="K4133" s="51" t="s">
        <v>140</v>
      </c>
      <c r="L4133" s="51"/>
      <c r="M4133" s="51"/>
      <c r="N4133" s="51"/>
      <c r="O4133" s="52"/>
      <c r="P4133" s="51"/>
      <c r="Q4133" s="51"/>
      <c r="R4133" s="51"/>
      <c r="S4133" s="51"/>
      <c r="T4133" s="41"/>
      <c r="AG4133" s="521" t="s">
        <v>268</v>
      </c>
      <c r="AH4133" s="521" t="s">
        <v>269</v>
      </c>
      <c r="AI4133" s="521" t="s">
        <v>270</v>
      </c>
      <c r="AJ4133" s="521" t="s">
        <v>271</v>
      </c>
      <c r="AK4133" s="521" t="s">
        <v>272</v>
      </c>
      <c r="AM4133" s="745" t="s">
        <v>281</v>
      </c>
      <c r="AN4133" s="746" t="s">
        <v>282</v>
      </c>
      <c r="AO4133" s="522" t="s">
        <v>278</v>
      </c>
      <c r="AR4133" s="51"/>
      <c r="AS4133" s="42" t="s">
        <v>139</v>
      </c>
    </row>
    <row r="4134" spans="1:45" s="520" customFormat="1" ht="12" customHeight="1">
      <c r="A4134" s="747">
        <v>1</v>
      </c>
      <c r="B4134" s="523" t="s">
        <v>141</v>
      </c>
      <c r="C4134" s="748"/>
      <c r="D4134" s="749" t="s">
        <v>1736</v>
      </c>
      <c r="E4134" s="750">
        <f ca="1">IF(AND($A4134=0,$A$1="DIF"),0, ROUND(ROUND(($R4139*$S$2+($T4139*$T$2))/A4134,2)*$C$2,2))</f>
        <v>151.94</v>
      </c>
      <c r="F4134" s="751">
        <f ca="1">ROUND($A4134*$E4134,2)</f>
        <v>151.94</v>
      </c>
      <c r="G4134" s="752" t="s">
        <v>142</v>
      </c>
      <c r="H4134" s="753"/>
      <c r="I4134" s="754"/>
      <c r="J4134" s="753"/>
      <c r="K4134" s="753" t="s">
        <v>3</v>
      </c>
      <c r="L4134" s="755" t="s">
        <v>143</v>
      </c>
      <c r="M4134" s="755"/>
      <c r="N4134" s="755"/>
      <c r="O4134" s="755"/>
      <c r="P4134" s="755"/>
      <c r="Q4134" s="51"/>
      <c r="T4134" s="756" t="str">
        <f ca="1">IF(AND($R4139=0,$T4139=0),"0.00","mu :" &amp; ROUND($F4134/$C$2/($R4139+$T4139*$D$9),2))</f>
        <v>mu :1.23</v>
      </c>
      <c r="W4134" s="524"/>
      <c r="AG4134" s="481">
        <f ca="1">IF($E4134=0,0,ROUND($R4139*$S$2*$C$2/$A4134,2))</f>
        <v>54.89</v>
      </c>
      <c r="AH4134" s="481">
        <f ca="1">$AG4134*$A4134</f>
        <v>54.89</v>
      </c>
      <c r="AI4134" s="525">
        <f ca="1">$E4134-$AG4134</f>
        <v>97.05</v>
      </c>
      <c r="AJ4134" s="525">
        <f ca="1">$A4134*$AI4134</f>
        <v>97.05</v>
      </c>
      <c r="AK4134" s="526">
        <f ca="1">ROUND(($AG4134+$AI4134)*$A4134,2)</f>
        <v>151.94</v>
      </c>
      <c r="AM4134" s="527">
        <f ca="1">ROUND(R4139,2)</f>
        <v>44.58</v>
      </c>
      <c r="AN4134" s="528">
        <f ca="1">ROUND(T4139,2)</f>
        <v>2.87</v>
      </c>
      <c r="AO4134" s="529">
        <f ca="1">ROUND(AM4134+AN4134,2)*A4134</f>
        <v>47.45</v>
      </c>
      <c r="AR4134" s="747">
        <v>1</v>
      </c>
      <c r="AS4134" s="751">
        <v>162.41999999999999</v>
      </c>
    </row>
    <row r="4135" spans="1:45" s="520" customFormat="1" ht="13.2">
      <c r="A4135" s="748"/>
      <c r="B4135"/>
      <c r="C4135" s="748"/>
      <c r="D4135" s="749" t="s">
        <v>777</v>
      </c>
      <c r="F4135" s="753"/>
      <c r="G4135" s="3"/>
      <c r="H4135" s="753"/>
      <c r="I4135" s="754"/>
      <c r="J4135" s="753"/>
      <c r="K4135" s="753" t="s">
        <v>144</v>
      </c>
      <c r="L4135" s="753"/>
      <c r="M4135" s="753"/>
      <c r="N4135" s="753"/>
      <c r="O4135" s="753"/>
      <c r="P4135" s="753"/>
      <c r="Q4135" s="51"/>
      <c r="R4135" s="530"/>
      <c r="S4135" s="757"/>
      <c r="T4135" s="753"/>
      <c r="AR4135" s="748"/>
      <c r="AS4135" s="753"/>
    </row>
    <row r="4136" spans="1:45" s="886" customFormat="1" ht="13.2">
      <c r="A4136"/>
      <c r="B4136" s="910"/>
      <c r="C4136" s="910" t="s">
        <v>2597</v>
      </c>
      <c r="D4136" s="910" t="str">
        <f ca="1">CELL("Address",Elec_Rates!D$103)</f>
        <v>[E25_0062_Quintano_Foods_Elec_ELV_As_Awarded.xlsx]Elec_Rates!$D$103</v>
      </c>
      <c r="E4136" s="911"/>
      <c r="F4136" s="911"/>
      <c r="G4136" s="912" t="s">
        <v>2598</v>
      </c>
      <c r="H4136" s="912"/>
      <c r="I4136" s="912"/>
      <c r="J4136" s="912"/>
      <c r="K4136" s="913"/>
      <c r="L4136" s="911"/>
      <c r="M4136" s="911"/>
      <c r="N4136" s="911"/>
      <c r="O4136" s="914"/>
      <c r="P4136" s="911"/>
      <c r="Q4136" s="915"/>
      <c r="R4136" s="916"/>
      <c r="S4136" s="915"/>
      <c r="T4136" s="917"/>
      <c r="U4136" s="918"/>
      <c r="AR4136"/>
      <c r="AS4136" s="911"/>
    </row>
    <row r="4137" spans="1:45" s="886" customFormat="1" ht="11.4">
      <c r="A4137" s="919">
        <v>1</v>
      </c>
      <c r="B4137" s="920">
        <v>1</v>
      </c>
      <c r="C4137" s="920">
        <f>$A4137*$B4137</f>
        <v>1</v>
      </c>
      <c r="D4137" s="921" t="str">
        <f>Elec_Rates!$D$103</f>
        <v>008# Maintained Emergency Light point rate (Galvanised Conduit)</v>
      </c>
      <c r="E4137" s="921"/>
      <c r="F4137" s="921" t="s">
        <v>2599</v>
      </c>
      <c r="G4137" s="922" t="s">
        <v>2600</v>
      </c>
      <c r="H4137" s="922"/>
      <c r="I4137" s="922"/>
      <c r="J4137" s="922"/>
      <c r="K4137" s="923"/>
      <c r="L4137" s="918"/>
      <c r="M4137" s="918"/>
      <c r="N4137" s="918"/>
      <c r="O4137" s="924"/>
      <c r="P4137" s="921"/>
      <c r="Q4137" s="925">
        <f ca="1">$B4137*Elec_Rates!$R$103</f>
        <v>44.58</v>
      </c>
      <c r="R4137" s="916">
        <f ca="1">$A4137*Q4137</f>
        <v>44.58</v>
      </c>
      <c r="S4137" s="925">
        <f ca="1">$B4137*Elec_Rates!$T$103</f>
        <v>2.87</v>
      </c>
      <c r="T4137" s="917">
        <f ca="1">$A4137*S4137</f>
        <v>2.87</v>
      </c>
      <c r="U4137" s="926"/>
      <c r="AR4137" s="919">
        <v>1</v>
      </c>
      <c r="AS4137" s="921" t="s">
        <v>2599</v>
      </c>
    </row>
    <row r="4138" spans="1:45" s="520" customFormat="1" ht="12">
      <c r="A4138" s="758"/>
      <c r="B4138" s="758"/>
      <c r="C4138" s="758"/>
      <c r="D4138" s="758"/>
      <c r="E4138" s="758"/>
      <c r="F4138" s="753"/>
      <c r="G4138" s="758"/>
      <c r="H4138" s="758"/>
      <c r="I4138" s="519"/>
      <c r="J4138" s="758"/>
      <c r="K4138" s="758"/>
      <c r="L4138" s="758"/>
      <c r="M4138" s="758"/>
      <c r="N4138" s="758"/>
      <c r="O4138" s="758"/>
      <c r="P4138" s="758"/>
      <c r="Q4138" s="519"/>
      <c r="R4138" s="759">
        <f>$A4138*Q4138</f>
        <v>0</v>
      </c>
      <c r="S4138" s="519"/>
      <c r="T4138" s="760">
        <f>$A4138*S4138*$T$1</f>
        <v>0</v>
      </c>
      <c r="AR4138" s="758"/>
      <c r="AS4138" s="753"/>
    </row>
    <row r="4139" spans="1:45" s="520" customFormat="1" ht="12.6" thickBot="1">
      <c r="A4139" s="761" t="s">
        <v>145</v>
      </c>
      <c r="B4139" s="762">
        <f>(R4138+T4138)</f>
        <v>0</v>
      </c>
      <c r="C4139" s="763"/>
      <c r="D4139" s="763"/>
      <c r="E4139" s="763"/>
      <c r="F4139" s="764"/>
      <c r="G4139" s="763" t="s">
        <v>146</v>
      </c>
      <c r="H4139" s="763"/>
      <c r="I4139" s="765"/>
      <c r="J4139" s="763"/>
      <c r="K4139" s="763" t="s">
        <v>3</v>
      </c>
      <c r="L4139" s="766" t="s">
        <v>143</v>
      </c>
      <c r="M4139" s="766"/>
      <c r="N4139" s="766"/>
      <c r="O4139" s="766"/>
      <c r="P4139" s="766"/>
      <c r="Q4139" s="767"/>
      <c r="R4139" s="768">
        <f ca="1">SUM(R4135:R4138)</f>
        <v>44.58</v>
      </c>
      <c r="S4139" s="763"/>
      <c r="T4139" s="768">
        <f ca="1">SUM(T4135:T4138)</f>
        <v>2.87</v>
      </c>
      <c r="U4139" s="531"/>
      <c r="V4139" s="531"/>
      <c r="W4139" s="531"/>
      <c r="X4139" s="531"/>
      <c r="Y4139" s="531"/>
      <c r="Z4139" s="531"/>
      <c r="AA4139" s="531"/>
      <c r="AB4139" s="531"/>
      <c r="AC4139" s="531"/>
      <c r="AD4139" s="531"/>
      <c r="AE4139" s="531"/>
      <c r="AF4139" s="531"/>
      <c r="AG4139" s="531"/>
      <c r="AH4139" s="531"/>
      <c r="AI4139" s="531"/>
      <c r="AJ4139" s="531"/>
      <c r="AK4139" s="531"/>
      <c r="AL4139" s="531"/>
      <c r="AM4139" s="531"/>
      <c r="AN4139" s="531"/>
      <c r="AO4139" s="531"/>
      <c r="AR4139" s="761" t="s">
        <v>145</v>
      </c>
      <c r="AS4139" s="764"/>
    </row>
    <row r="4140" spans="1:45" s="520" customFormat="1" thickTop="1">
      <c r="A4140" s="51"/>
      <c r="B4140" s="51"/>
      <c r="C4140" s="3"/>
      <c r="D4140" s="3"/>
      <c r="E4140" s="51"/>
      <c r="F4140" s="51"/>
      <c r="G4140" s="51"/>
      <c r="H4140" s="51"/>
      <c r="I4140" s="51"/>
      <c r="J4140" s="51"/>
      <c r="K4140" s="51" t="s">
        <v>134</v>
      </c>
      <c r="L4140" s="51"/>
      <c r="M4140" s="51"/>
      <c r="N4140" s="51"/>
      <c r="O4140" s="52"/>
      <c r="P4140" s="51"/>
      <c r="Q4140" s="51"/>
      <c r="R4140" s="51"/>
      <c r="S4140" s="51"/>
      <c r="T4140" s="51"/>
      <c r="AR4140" s="51"/>
      <c r="AS4140" s="51"/>
    </row>
    <row r="4141" spans="1:45" s="520" customFormat="1" ht="12">
      <c r="A4141" s="51"/>
      <c r="B4141" s="51"/>
      <c r="C4141" s="51" t="s">
        <v>135</v>
      </c>
      <c r="D4141" s="37"/>
      <c r="E4141" s="51"/>
      <c r="F4141" s="51"/>
      <c r="G4141" s="51"/>
      <c r="H4141" s="51"/>
      <c r="I4141" s="51"/>
      <c r="J4141" s="51"/>
      <c r="K4141" s="51"/>
      <c r="L4141" s="51"/>
      <c r="M4141" s="51"/>
      <c r="N4141" s="51"/>
      <c r="O4141" s="52"/>
      <c r="P4141" s="51"/>
      <c r="Q4141" s="51"/>
      <c r="R4141" s="51"/>
      <c r="S4141" s="51"/>
      <c r="T4141" s="51"/>
      <c r="AR4141" s="51"/>
      <c r="AS4141" s="51"/>
    </row>
    <row r="4142" spans="1:45" s="520" customFormat="1" ht="12">
      <c r="A4142" s="51"/>
      <c r="B4142" s="51"/>
      <c r="C4142" s="51"/>
      <c r="D4142" s="37" t="s">
        <v>778</v>
      </c>
      <c r="E4142" s="51"/>
      <c r="F4142" s="51"/>
      <c r="G4142" s="51"/>
      <c r="H4142" s="51"/>
      <c r="I4142" s="51"/>
      <c r="J4142" s="51"/>
      <c r="K4142" s="51"/>
      <c r="L4142" s="51"/>
      <c r="M4142" s="51"/>
      <c r="N4142" s="51"/>
      <c r="O4142" s="52"/>
      <c r="P4142" s="51"/>
      <c r="Q4142" s="51"/>
      <c r="R4142" s="51"/>
      <c r="S4142" s="38"/>
      <c r="T4142" s="38"/>
      <c r="AR4142" s="51"/>
      <c r="AS4142" s="51"/>
    </row>
    <row r="4143" spans="1:45" s="3" customFormat="1" thickBot="1">
      <c r="A4143" s="531"/>
      <c r="O4143" s="107"/>
      <c r="AR4143" s="531"/>
    </row>
    <row r="4144" spans="1:45" s="520" customFormat="1" ht="12" thickTop="1">
      <c r="A4144" s="51"/>
      <c r="B4144" s="41"/>
      <c r="C4144" s="51"/>
      <c r="E4144" s="42" t="s">
        <v>138</v>
      </c>
      <c r="F4144" s="42" t="s">
        <v>139</v>
      </c>
      <c r="G4144" s="51"/>
      <c r="H4144" s="51"/>
      <c r="I4144" s="51"/>
      <c r="J4144" s="51"/>
      <c r="K4144" s="51" t="s">
        <v>140</v>
      </c>
      <c r="L4144" s="51"/>
      <c r="M4144" s="51"/>
      <c r="N4144" s="51"/>
      <c r="O4144" s="52"/>
      <c r="P4144" s="51"/>
      <c r="Q4144" s="51"/>
      <c r="R4144" s="51"/>
      <c r="S4144" s="51"/>
      <c r="T4144" s="41"/>
      <c r="AG4144" s="521" t="s">
        <v>268</v>
      </c>
      <c r="AH4144" s="521" t="s">
        <v>269</v>
      </c>
      <c r="AI4144" s="521" t="s">
        <v>270</v>
      </c>
      <c r="AJ4144" s="521" t="s">
        <v>271</v>
      </c>
      <c r="AK4144" s="521" t="s">
        <v>272</v>
      </c>
      <c r="AM4144" s="745" t="s">
        <v>281</v>
      </c>
      <c r="AN4144" s="746" t="s">
        <v>282</v>
      </c>
      <c r="AO4144" s="522" t="s">
        <v>278</v>
      </c>
      <c r="AR4144" s="51"/>
      <c r="AS4144" s="42" t="s">
        <v>139</v>
      </c>
    </row>
    <row r="4145" spans="1:45" s="520" customFormat="1" ht="12" customHeight="1">
      <c r="A4145" s="747">
        <v>1</v>
      </c>
      <c r="B4145" s="523" t="s">
        <v>141</v>
      </c>
      <c r="C4145" s="748"/>
      <c r="D4145" s="749" t="s">
        <v>1737</v>
      </c>
      <c r="E4145" s="750">
        <f ca="1">IF(AND($A4145=0,$A$1="DIF"),0, ROUND(ROUND(($R4150*$S$2+($T4150*$T$2))/A4145,2)*$C$2,2))</f>
        <v>47.62</v>
      </c>
      <c r="F4145" s="751">
        <f ca="1">ROUND($A4145*$E4145,2)</f>
        <v>47.62</v>
      </c>
      <c r="G4145" s="752" t="s">
        <v>142</v>
      </c>
      <c r="H4145" s="753"/>
      <c r="I4145" s="754"/>
      <c r="J4145" s="753"/>
      <c r="K4145" s="753" t="s">
        <v>3</v>
      </c>
      <c r="L4145" s="755" t="s">
        <v>143</v>
      </c>
      <c r="M4145" s="755"/>
      <c r="N4145" s="755"/>
      <c r="O4145" s="755"/>
      <c r="P4145" s="755"/>
      <c r="Q4145" s="51"/>
      <c r="T4145" s="756" t="str">
        <f ca="1">IF(AND($R4150=0,$T4150=0),"0.00","mu :" &amp; ROUND($F4145/$C$2/($R4150+$T4150*$D$9),2))</f>
        <v>mu :1.23</v>
      </c>
      <c r="W4145" s="524"/>
      <c r="AG4145" s="481">
        <f ca="1">IF($E4145=0,0,ROUND($R4150*$S$2*$C$2/$A4145,2))</f>
        <v>38.49</v>
      </c>
      <c r="AH4145" s="481">
        <f ca="1">$AG4145*$A4145</f>
        <v>38.49</v>
      </c>
      <c r="AI4145" s="525">
        <f ca="1">$E4145-$AG4145</f>
        <v>9.1299999999999955</v>
      </c>
      <c r="AJ4145" s="525">
        <f ca="1">$A4145*$AI4145</f>
        <v>9.1299999999999955</v>
      </c>
      <c r="AK4145" s="526">
        <f ca="1">ROUND(($AG4145+$AI4145)*$A4145,2)</f>
        <v>47.62</v>
      </c>
      <c r="AM4145" s="527">
        <f ca="1">ROUND(R4150,2)</f>
        <v>31.26</v>
      </c>
      <c r="AN4145" s="528">
        <f ca="1">ROUND(T4150,2)</f>
        <v>0.27</v>
      </c>
      <c r="AO4145" s="529">
        <f ca="1">ROUND(AM4145+AN4145,2)*A4145</f>
        <v>31.53</v>
      </c>
      <c r="AR4145" s="747">
        <v>1</v>
      </c>
      <c r="AS4145" s="751">
        <v>48.64</v>
      </c>
    </row>
    <row r="4146" spans="1:45" s="520" customFormat="1" ht="13.2">
      <c r="A4146" s="748"/>
      <c r="B4146"/>
      <c r="C4146" s="748"/>
      <c r="D4146" s="749" t="s">
        <v>781</v>
      </c>
      <c r="F4146" s="753"/>
      <c r="G4146" s="3"/>
      <c r="H4146" s="753"/>
      <c r="I4146" s="754"/>
      <c r="J4146" s="753"/>
      <c r="K4146" s="753" t="s">
        <v>144</v>
      </c>
      <c r="L4146" s="753"/>
      <c r="M4146" s="753"/>
      <c r="N4146" s="753"/>
      <c r="O4146" s="753"/>
      <c r="P4146" s="753"/>
      <c r="Q4146" s="51"/>
      <c r="R4146" s="530"/>
      <c r="S4146" s="757"/>
      <c r="T4146" s="753"/>
      <c r="AR4146" s="748"/>
      <c r="AS4146" s="753"/>
    </row>
    <row r="4147" spans="1:45" s="886" customFormat="1" ht="13.2">
      <c r="A4147"/>
      <c r="B4147" s="910"/>
      <c r="C4147" s="910" t="s">
        <v>2597</v>
      </c>
      <c r="D4147" s="910" t="str">
        <f ca="1">CELL("Address",Elec_Rates!D$165)</f>
        <v>[E25_0062_Quintano_Foods_Elec_ELV_As_Awarded.xlsx]Elec_Rates!$D$165</v>
      </c>
      <c r="E4147" s="911"/>
      <c r="F4147" s="911"/>
      <c r="G4147" s="912" t="s">
        <v>2598</v>
      </c>
      <c r="H4147" s="912"/>
      <c r="I4147" s="912"/>
      <c r="J4147" s="912"/>
      <c r="K4147" s="913"/>
      <c r="L4147" s="911"/>
      <c r="M4147" s="911"/>
      <c r="N4147" s="911"/>
      <c r="O4147" s="914"/>
      <c r="P4147" s="911"/>
      <c r="Q4147" s="915"/>
      <c r="R4147" s="916"/>
      <c r="S4147" s="915"/>
      <c r="T4147" s="917"/>
      <c r="U4147" s="918"/>
      <c r="AR4147"/>
      <c r="AS4147" s="911"/>
    </row>
    <row r="4148" spans="1:45" s="886" customFormat="1" ht="11.4">
      <c r="A4148" s="919">
        <v>1</v>
      </c>
      <c r="B4148" s="920">
        <v>1</v>
      </c>
      <c r="C4148" s="920">
        <f>$A4148*$B4148</f>
        <v>1</v>
      </c>
      <c r="D4148" s="921" t="str">
        <f>Elec_Rates!$D$165</f>
        <v>015# 3Pin 16Amp IP67 Interlocked Socket outlet</v>
      </c>
      <c r="E4148" s="921"/>
      <c r="F4148" s="921" t="s">
        <v>2599</v>
      </c>
      <c r="G4148" s="922" t="s">
        <v>2601</v>
      </c>
      <c r="H4148" s="922"/>
      <c r="I4148" s="922"/>
      <c r="J4148" s="922"/>
      <c r="K4148" s="923"/>
      <c r="L4148" s="918"/>
      <c r="M4148" s="918"/>
      <c r="N4148" s="918"/>
      <c r="O4148" s="924"/>
      <c r="P4148" s="921"/>
      <c r="Q4148" s="925">
        <f ca="1">$B4148*Elec_Rates!$R$165</f>
        <v>31.26</v>
      </c>
      <c r="R4148" s="916">
        <f ca="1">$A4148*Q4148</f>
        <v>31.26</v>
      </c>
      <c r="S4148" s="925">
        <f ca="1">$B4148*Elec_Rates!$T$165</f>
        <v>0.27</v>
      </c>
      <c r="T4148" s="917">
        <f ca="1">$A4148*S4148</f>
        <v>0.27</v>
      </c>
      <c r="U4148" s="926"/>
      <c r="AR4148" s="919">
        <v>1</v>
      </c>
      <c r="AS4148" s="921" t="s">
        <v>2599</v>
      </c>
    </row>
    <row r="4149" spans="1:45" s="520" customFormat="1" ht="12">
      <c r="A4149" s="758"/>
      <c r="B4149" s="758"/>
      <c r="C4149" s="758"/>
      <c r="D4149" s="758"/>
      <c r="E4149" s="758"/>
      <c r="F4149" s="753"/>
      <c r="G4149" s="758"/>
      <c r="H4149" s="758"/>
      <c r="I4149" s="519"/>
      <c r="J4149" s="758"/>
      <c r="K4149" s="758"/>
      <c r="L4149" s="758"/>
      <c r="M4149" s="758"/>
      <c r="N4149" s="758"/>
      <c r="O4149" s="758"/>
      <c r="P4149" s="758"/>
      <c r="Q4149" s="519"/>
      <c r="R4149" s="759">
        <f>$A4149*Q4149</f>
        <v>0</v>
      </c>
      <c r="S4149" s="519"/>
      <c r="T4149" s="760">
        <f>$A4149*S4149*$T$1</f>
        <v>0</v>
      </c>
      <c r="AR4149" s="758"/>
      <c r="AS4149" s="753"/>
    </row>
    <row r="4150" spans="1:45" s="520" customFormat="1" ht="12.6" thickBot="1">
      <c r="A4150" s="761" t="s">
        <v>145</v>
      </c>
      <c r="B4150" s="762">
        <f>(R4149+T4149)</f>
        <v>0</v>
      </c>
      <c r="C4150" s="763"/>
      <c r="D4150" s="763"/>
      <c r="E4150" s="763"/>
      <c r="F4150" s="764"/>
      <c r="G4150" s="763" t="s">
        <v>146</v>
      </c>
      <c r="H4150" s="763"/>
      <c r="I4150" s="765"/>
      <c r="J4150" s="763"/>
      <c r="K4150" s="763" t="s">
        <v>3</v>
      </c>
      <c r="L4150" s="766" t="s">
        <v>143</v>
      </c>
      <c r="M4150" s="766"/>
      <c r="N4150" s="766"/>
      <c r="O4150" s="766"/>
      <c r="P4150" s="766"/>
      <c r="Q4150" s="767"/>
      <c r="R4150" s="768">
        <f ca="1">SUM(R4146:R4149)</f>
        <v>31.26</v>
      </c>
      <c r="S4150" s="763"/>
      <c r="T4150" s="768">
        <f ca="1">SUM(T4146:T4149)</f>
        <v>0.27</v>
      </c>
      <c r="U4150" s="531"/>
      <c r="V4150" s="531"/>
      <c r="W4150" s="531"/>
      <c r="X4150" s="531"/>
      <c r="Y4150" s="531"/>
      <c r="Z4150" s="531"/>
      <c r="AA4150" s="531"/>
      <c r="AB4150" s="531"/>
      <c r="AC4150" s="531"/>
      <c r="AD4150" s="531"/>
      <c r="AE4150" s="531"/>
      <c r="AF4150" s="531"/>
      <c r="AG4150" s="531"/>
      <c r="AH4150" s="531"/>
      <c r="AI4150" s="531"/>
      <c r="AJ4150" s="531"/>
      <c r="AK4150" s="531"/>
      <c r="AL4150" s="531"/>
      <c r="AM4150" s="531"/>
      <c r="AN4150" s="531"/>
      <c r="AO4150" s="531"/>
      <c r="AR4150" s="761" t="s">
        <v>145</v>
      </c>
      <c r="AS4150" s="764"/>
    </row>
    <row r="4151" spans="1:45" s="520" customFormat="1" ht="12" thickTop="1">
      <c r="A4151" s="51"/>
      <c r="B4151" s="41"/>
      <c r="C4151" s="51"/>
      <c r="E4151" s="42" t="s">
        <v>138</v>
      </c>
      <c r="F4151" s="42" t="s">
        <v>139</v>
      </c>
      <c r="G4151" s="51"/>
      <c r="H4151" s="51"/>
      <c r="I4151" s="51"/>
      <c r="J4151" s="51"/>
      <c r="K4151" s="51" t="s">
        <v>140</v>
      </c>
      <c r="L4151" s="51"/>
      <c r="M4151" s="51"/>
      <c r="N4151" s="51"/>
      <c r="O4151" s="52"/>
      <c r="P4151" s="51"/>
      <c r="Q4151" s="51"/>
      <c r="R4151" s="51"/>
      <c r="S4151" s="51"/>
      <c r="T4151" s="41"/>
      <c r="AG4151" s="521" t="s">
        <v>268</v>
      </c>
      <c r="AH4151" s="521" t="s">
        <v>269</v>
      </c>
      <c r="AI4151" s="521" t="s">
        <v>270</v>
      </c>
      <c r="AJ4151" s="521" t="s">
        <v>271</v>
      </c>
      <c r="AK4151" s="521" t="s">
        <v>272</v>
      </c>
      <c r="AM4151" s="745" t="s">
        <v>281</v>
      </c>
      <c r="AN4151" s="746" t="s">
        <v>282</v>
      </c>
      <c r="AO4151" s="522" t="s">
        <v>278</v>
      </c>
      <c r="AR4151" s="51"/>
      <c r="AS4151" s="42" t="s">
        <v>139</v>
      </c>
    </row>
    <row r="4152" spans="1:45" s="520" customFormat="1" ht="12" customHeight="1">
      <c r="A4152" s="747">
        <v>1</v>
      </c>
      <c r="B4152" s="523" t="s">
        <v>141</v>
      </c>
      <c r="C4152" s="748"/>
      <c r="D4152" s="749" t="s">
        <v>1738</v>
      </c>
      <c r="E4152" s="750">
        <f>IF(AND($A4152=0,$A$1="DIF"),0, ROUND(ROUND(($R4158*$S$2+($T4158*$T$2))/A4152,2)*$C$2,2))</f>
        <v>30.09</v>
      </c>
      <c r="F4152" s="751">
        <f>ROUND($A4152*$E4152,2)</f>
        <v>30.09</v>
      </c>
      <c r="G4152" s="752" t="s">
        <v>142</v>
      </c>
      <c r="H4152" s="753"/>
      <c r="I4152" s="754"/>
      <c r="J4152" s="753"/>
      <c r="K4152" s="753" t="s">
        <v>3</v>
      </c>
      <c r="L4152" s="755" t="s">
        <v>143</v>
      </c>
      <c r="M4152" s="755"/>
      <c r="N4152" s="755"/>
      <c r="O4152" s="755"/>
      <c r="P4152" s="755"/>
      <c r="Q4152" s="51"/>
      <c r="T4152" s="756" t="str">
        <f>IF(AND($R4158=0,$T4158=0),"0.00","mu :" &amp; ROUND($F4152/$C$2/($R4158+$T4158*$D$9),2))</f>
        <v>mu :1.23</v>
      </c>
      <c r="W4152" s="524"/>
      <c r="AG4152" s="481">
        <f>IF($E4152=0,0,ROUND($R4158*$S$2*$C$2/$A4152,2))</f>
        <v>14.87</v>
      </c>
      <c r="AH4152" s="481">
        <f>$AG4152*$A4152</f>
        <v>14.87</v>
      </c>
      <c r="AI4152" s="525">
        <f>$E4152-$AG4152</f>
        <v>15.22</v>
      </c>
      <c r="AJ4152" s="525">
        <f>$A4152*$AI4152</f>
        <v>15.22</v>
      </c>
      <c r="AK4152" s="526">
        <f>ROUND(($AG4152+$AI4152)*$A4152,2)</f>
        <v>30.09</v>
      </c>
      <c r="AM4152" s="527">
        <f>ROUND(R4158,2)</f>
        <v>12.08</v>
      </c>
      <c r="AN4152" s="528">
        <f>ROUND(T4158,2)</f>
        <v>0.45</v>
      </c>
      <c r="AO4152" s="529">
        <f>ROUND(AM4152+AN4152,2)*A4152</f>
        <v>12.53</v>
      </c>
      <c r="AR4152" s="747">
        <v>1</v>
      </c>
      <c r="AS4152" s="751">
        <v>31.78</v>
      </c>
    </row>
    <row r="4153" spans="1:45" s="520" customFormat="1" ht="13.2">
      <c r="A4153" s="748"/>
      <c r="B4153"/>
      <c r="C4153" s="748"/>
      <c r="D4153" s="749" t="s">
        <v>1633</v>
      </c>
      <c r="F4153" s="753"/>
      <c r="G4153" s="3"/>
      <c r="H4153" s="753"/>
      <c r="I4153" s="754"/>
      <c r="J4153" s="753"/>
      <c r="K4153" s="753" t="s">
        <v>144</v>
      </c>
      <c r="L4153" s="753"/>
      <c r="M4153" s="753"/>
      <c r="N4153" s="753"/>
      <c r="O4153" s="753"/>
      <c r="P4153" s="753"/>
      <c r="Q4153" s="51"/>
      <c r="R4153" s="530"/>
      <c r="S4153" s="757"/>
      <c r="T4153" s="753"/>
      <c r="AR4153" s="748"/>
      <c r="AS4153" s="753"/>
    </row>
    <row r="4154" spans="1:45" s="901" customFormat="1" ht="13.2">
      <c r="A4154" s="116">
        <v>1</v>
      </c>
      <c r="B4154" s="901" t="s">
        <v>141</v>
      </c>
      <c r="D4154" s="901" t="s">
        <v>2948</v>
      </c>
      <c r="F4154" s="1054" t="s">
        <v>3423</v>
      </c>
      <c r="G4154" s="941" t="s">
        <v>2949</v>
      </c>
      <c r="H4154" s="942">
        <v>705</v>
      </c>
      <c r="I4154" s="901" t="s">
        <v>2607</v>
      </c>
      <c r="O4154" s="943">
        <v>3</v>
      </c>
      <c r="P4154" s="944"/>
      <c r="Q4154" s="945">
        <v>12</v>
      </c>
      <c r="R4154" s="946">
        <f>$A4154*Q4154</f>
        <v>12</v>
      </c>
      <c r="S4154" s="945">
        <v>0.5</v>
      </c>
      <c r="T4154" s="947">
        <f>$A4154*S4154*$T$1</f>
        <v>0.45</v>
      </c>
      <c r="AR4154" s="116">
        <v>1</v>
      </c>
      <c r="AS4154" s="1054" t="s">
        <v>3423</v>
      </c>
    </row>
    <row r="4155" spans="1:45" s="901" customFormat="1" ht="13.2">
      <c r="A4155">
        <v>2</v>
      </c>
      <c r="B4155" s="901" t="s">
        <v>141</v>
      </c>
      <c r="D4155" s="901" t="s">
        <v>2739</v>
      </c>
      <c r="G4155" s="941" t="s">
        <v>2740</v>
      </c>
      <c r="H4155" s="942">
        <v>875</v>
      </c>
      <c r="I4155" s="901" t="s">
        <v>2607</v>
      </c>
      <c r="K4155" s="901" t="s">
        <v>2741</v>
      </c>
      <c r="O4155" s="943">
        <v>1</v>
      </c>
      <c r="P4155" s="944">
        <v>34669</v>
      </c>
      <c r="Q4155" s="945">
        <v>0.02</v>
      </c>
      <c r="R4155" s="946">
        <f>$A4155*Q4155</f>
        <v>0.04</v>
      </c>
      <c r="S4155" s="945"/>
      <c r="T4155" s="947">
        <f>$A4155*S4155*$T$1</f>
        <v>0</v>
      </c>
      <c r="AR4155">
        <v>2</v>
      </c>
    </row>
    <row r="4156" spans="1:45" s="901" customFormat="1" ht="13.2">
      <c r="A4156">
        <v>2</v>
      </c>
      <c r="B4156" s="901" t="s">
        <v>141</v>
      </c>
      <c r="D4156" s="901" t="s">
        <v>2742</v>
      </c>
      <c r="G4156" s="941" t="s">
        <v>2743</v>
      </c>
      <c r="H4156" s="942">
        <v>875</v>
      </c>
      <c r="I4156" s="901" t="s">
        <v>2607</v>
      </c>
      <c r="K4156" s="901" t="s">
        <v>2744</v>
      </c>
      <c r="O4156" s="943">
        <v>1</v>
      </c>
      <c r="P4156" s="944">
        <v>34669</v>
      </c>
      <c r="Q4156" s="945">
        <v>0.02</v>
      </c>
      <c r="R4156" s="946">
        <f>$A4156*Q4156</f>
        <v>0.04</v>
      </c>
      <c r="S4156" s="945"/>
      <c r="T4156" s="947">
        <f>$A4156*S4156*$T$1</f>
        <v>0</v>
      </c>
      <c r="AR4156">
        <v>2</v>
      </c>
    </row>
    <row r="4157" spans="1:45" s="520" customFormat="1" ht="12">
      <c r="A4157" s="758"/>
      <c r="B4157" s="758"/>
      <c r="C4157" s="758"/>
      <c r="D4157" s="758"/>
      <c r="E4157" s="758"/>
      <c r="F4157" s="753"/>
      <c r="G4157" s="758"/>
      <c r="H4157" s="758"/>
      <c r="I4157" s="519"/>
      <c r="J4157" s="758"/>
      <c r="K4157" s="758"/>
      <c r="L4157" s="758"/>
      <c r="M4157" s="758"/>
      <c r="N4157" s="758"/>
      <c r="O4157" s="758"/>
      <c r="P4157" s="758"/>
      <c r="Q4157" s="519"/>
      <c r="R4157" s="759">
        <f>$A4157*Q4157</f>
        <v>0</v>
      </c>
      <c r="S4157" s="519"/>
      <c r="T4157" s="760">
        <f>$A4157*S4157*$T$1</f>
        <v>0</v>
      </c>
      <c r="AR4157" s="758"/>
      <c r="AS4157" s="753"/>
    </row>
    <row r="4158" spans="1:45" s="520" customFormat="1" ht="12.6" thickBot="1">
      <c r="A4158" s="761" t="s">
        <v>145</v>
      </c>
      <c r="B4158" s="762">
        <f>(R4157+T4157)</f>
        <v>0</v>
      </c>
      <c r="C4158" s="763"/>
      <c r="D4158" s="763"/>
      <c r="E4158" s="763"/>
      <c r="F4158" s="764"/>
      <c r="G4158" s="763" t="s">
        <v>146</v>
      </c>
      <c r="H4158" s="763"/>
      <c r="I4158" s="765"/>
      <c r="J4158" s="763"/>
      <c r="K4158" s="763" t="s">
        <v>3</v>
      </c>
      <c r="L4158" s="766" t="s">
        <v>143</v>
      </c>
      <c r="M4158" s="766"/>
      <c r="N4158" s="766"/>
      <c r="O4158" s="766"/>
      <c r="P4158" s="766"/>
      <c r="Q4158" s="767"/>
      <c r="R4158" s="768">
        <f>SUM(R4153:R4157)</f>
        <v>12.079999999999998</v>
      </c>
      <c r="S4158" s="763"/>
      <c r="T4158" s="768">
        <f>SUM(T4153:T4157)</f>
        <v>0.45</v>
      </c>
      <c r="U4158" s="531"/>
      <c r="V4158" s="531"/>
      <c r="W4158" s="531"/>
      <c r="X4158" s="531"/>
      <c r="Y4158" s="531"/>
      <c r="Z4158" s="531"/>
      <c r="AA4158" s="531"/>
      <c r="AB4158" s="531"/>
      <c r="AC4158" s="531"/>
      <c r="AD4158" s="531"/>
      <c r="AE4158" s="531"/>
      <c r="AF4158" s="531"/>
      <c r="AG4158" s="531"/>
      <c r="AH4158" s="531"/>
      <c r="AI4158" s="531"/>
      <c r="AJ4158" s="531"/>
      <c r="AK4158" s="531"/>
      <c r="AL4158" s="531"/>
      <c r="AM4158" s="531"/>
      <c r="AN4158" s="531"/>
      <c r="AO4158" s="531"/>
      <c r="AR4158" s="761" t="s">
        <v>145</v>
      </c>
      <c r="AS4158" s="764"/>
    </row>
    <row r="4159" spans="1:45" s="520" customFormat="1" thickTop="1">
      <c r="A4159" s="51"/>
      <c r="B4159" s="51"/>
      <c r="C4159" s="3"/>
      <c r="D4159" s="3"/>
      <c r="E4159" s="51"/>
      <c r="F4159" s="51"/>
      <c r="G4159" s="51"/>
      <c r="H4159" s="51"/>
      <c r="I4159" s="51"/>
      <c r="J4159" s="51"/>
      <c r="K4159" s="51" t="s">
        <v>134</v>
      </c>
      <c r="L4159" s="51"/>
      <c r="M4159" s="51"/>
      <c r="N4159" s="51"/>
      <c r="O4159" s="52"/>
      <c r="P4159" s="51"/>
      <c r="Q4159" s="51"/>
      <c r="R4159" s="51"/>
      <c r="S4159" s="51"/>
      <c r="T4159" s="51"/>
      <c r="AR4159" s="51"/>
      <c r="AS4159" s="51"/>
    </row>
    <row r="4160" spans="1:45" s="520" customFormat="1" ht="12">
      <c r="A4160" s="51"/>
      <c r="B4160" s="51"/>
      <c r="C4160" s="51" t="s">
        <v>135</v>
      </c>
      <c r="D4160" s="37"/>
      <c r="E4160" s="51"/>
      <c r="F4160" s="51"/>
      <c r="G4160" s="51"/>
      <c r="H4160" s="51"/>
      <c r="I4160" s="51"/>
      <c r="J4160" s="51"/>
      <c r="K4160" s="51"/>
      <c r="L4160" s="51"/>
      <c r="M4160" s="51"/>
      <c r="N4160" s="51"/>
      <c r="O4160" s="52"/>
      <c r="P4160" s="51"/>
      <c r="Q4160" s="51"/>
      <c r="R4160" s="51"/>
      <c r="S4160" s="51"/>
      <c r="T4160" s="51"/>
      <c r="AR4160" s="51"/>
      <c r="AS4160" s="51"/>
    </row>
    <row r="4161" spans="1:45" s="520" customFormat="1" ht="39.9" customHeight="1">
      <c r="A4161" s="51"/>
      <c r="B4161" s="51"/>
      <c r="C4161" s="51"/>
      <c r="D4161" s="1454" t="s">
        <v>1739</v>
      </c>
      <c r="E4161" s="1455"/>
      <c r="F4161" s="1455"/>
      <c r="G4161" s="1455"/>
      <c r="H4161" s="1455"/>
      <c r="I4161" s="1455"/>
      <c r="J4161" s="1455"/>
      <c r="K4161" s="1455"/>
      <c r="L4161" s="1455"/>
      <c r="M4161" s="1455"/>
      <c r="N4161" s="1455"/>
      <c r="O4161" s="1455"/>
      <c r="P4161" s="1455"/>
      <c r="Q4161" s="1455"/>
      <c r="R4161" s="1455"/>
      <c r="S4161" s="1455"/>
      <c r="T4161" s="1455"/>
      <c r="AR4161" s="51"/>
    </row>
    <row r="4162" spans="1:45" s="3" customFormat="1" thickBot="1">
      <c r="A4162" s="531"/>
      <c r="O4162" s="107"/>
      <c r="AR4162" s="531"/>
    </row>
    <row r="4163" spans="1:45" s="520" customFormat="1" thickTop="1">
      <c r="A4163" s="51"/>
      <c r="B4163" s="51"/>
      <c r="C4163" s="3"/>
      <c r="D4163" s="3"/>
      <c r="E4163" s="51"/>
      <c r="F4163" s="51"/>
      <c r="G4163" s="51"/>
      <c r="H4163" s="51"/>
      <c r="I4163" s="51"/>
      <c r="J4163" s="51"/>
      <c r="K4163" s="51" t="s">
        <v>134</v>
      </c>
      <c r="L4163" s="51"/>
      <c r="M4163" s="51"/>
      <c r="N4163" s="51"/>
      <c r="O4163" s="52"/>
      <c r="P4163" s="51"/>
      <c r="Q4163" s="51"/>
      <c r="R4163" s="51"/>
      <c r="S4163" s="51"/>
      <c r="T4163" s="51"/>
      <c r="AR4163" s="51"/>
      <c r="AS4163" s="51"/>
    </row>
    <row r="4164" spans="1:45" s="520" customFormat="1" ht="12">
      <c r="A4164" s="51"/>
      <c r="B4164" s="51"/>
      <c r="C4164" s="51" t="s">
        <v>135</v>
      </c>
      <c r="D4164" s="37"/>
      <c r="E4164" s="51"/>
      <c r="F4164" s="51"/>
      <c r="G4164" s="51"/>
      <c r="H4164" s="51"/>
      <c r="I4164" s="51"/>
      <c r="J4164" s="51"/>
      <c r="K4164" s="51"/>
      <c r="L4164" s="51"/>
      <c r="M4164" s="51"/>
      <c r="N4164" s="51"/>
      <c r="O4164" s="52"/>
      <c r="P4164" s="51"/>
      <c r="Q4164" s="51"/>
      <c r="R4164" s="51"/>
      <c r="S4164" s="51"/>
      <c r="T4164" s="51"/>
      <c r="AR4164" s="51"/>
      <c r="AS4164" s="51"/>
    </row>
    <row r="4165" spans="1:45" s="520" customFormat="1" ht="12">
      <c r="A4165" s="51"/>
      <c r="B4165" s="51"/>
      <c r="C4165" s="51"/>
      <c r="D4165" s="37" t="s">
        <v>838</v>
      </c>
      <c r="E4165" s="51"/>
      <c r="F4165" s="51"/>
      <c r="G4165" s="51"/>
      <c r="H4165" s="51"/>
      <c r="I4165" s="51"/>
      <c r="J4165" s="51"/>
      <c r="K4165" s="51"/>
      <c r="L4165" s="51"/>
      <c r="M4165" s="51"/>
      <c r="N4165" s="51"/>
      <c r="O4165" s="52"/>
      <c r="P4165" s="51"/>
      <c r="Q4165" s="51"/>
      <c r="R4165" s="51"/>
      <c r="S4165" s="38"/>
      <c r="T4165" s="38"/>
      <c r="AR4165" s="51"/>
      <c r="AS4165" s="51"/>
    </row>
    <row r="4166" spans="1:45" s="3" customFormat="1" thickBot="1">
      <c r="A4166" s="531"/>
      <c r="O4166" s="107"/>
      <c r="AR4166" s="531"/>
    </row>
    <row r="4167" spans="1:45" s="520" customFormat="1" ht="12" thickTop="1">
      <c r="A4167" s="51"/>
      <c r="B4167" s="41"/>
      <c r="C4167" s="51"/>
      <c r="E4167" s="42" t="s">
        <v>138</v>
      </c>
      <c r="F4167" s="42" t="s">
        <v>139</v>
      </c>
      <c r="G4167" s="51"/>
      <c r="H4167" s="51"/>
      <c r="I4167" s="51"/>
      <c r="J4167" s="51"/>
      <c r="K4167" s="51" t="s">
        <v>140</v>
      </c>
      <c r="L4167" s="51"/>
      <c r="M4167" s="51"/>
      <c r="N4167" s="51"/>
      <c r="O4167" s="52"/>
      <c r="P4167" s="51"/>
      <c r="Q4167" s="51"/>
      <c r="R4167" s="51"/>
      <c r="S4167" s="51"/>
      <c r="T4167" s="41"/>
      <c r="AG4167" s="521" t="s">
        <v>268</v>
      </c>
      <c r="AH4167" s="521" t="s">
        <v>269</v>
      </c>
      <c r="AI4167" s="521" t="s">
        <v>270</v>
      </c>
      <c r="AJ4167" s="521" t="s">
        <v>271</v>
      </c>
      <c r="AK4167" s="521" t="s">
        <v>272</v>
      </c>
      <c r="AM4167" s="745" t="s">
        <v>281</v>
      </c>
      <c r="AN4167" s="746" t="s">
        <v>282</v>
      </c>
      <c r="AO4167" s="522" t="s">
        <v>278</v>
      </c>
      <c r="AR4167" s="51"/>
      <c r="AS4167" s="42" t="s">
        <v>139</v>
      </c>
    </row>
    <row r="4168" spans="1:45" s="520" customFormat="1" ht="12" customHeight="1">
      <c r="A4168" s="747">
        <v>5</v>
      </c>
      <c r="B4168" s="523" t="s">
        <v>141</v>
      </c>
      <c r="C4168" s="748"/>
      <c r="D4168" s="749" t="s">
        <v>1740</v>
      </c>
      <c r="E4168" s="750">
        <f ca="1">IF(AND($A4168=0,$A$1="DIF"),0, ROUND(ROUND(($R4173*$S$2+($T4173*$T$2))/A4168,2)*$C$2,2))</f>
        <v>883.93</v>
      </c>
      <c r="F4168" s="751">
        <f ca="1">ROUND($A4168*$E4168,2)</f>
        <v>4419.6499999999996</v>
      </c>
      <c r="G4168" s="752" t="s">
        <v>142</v>
      </c>
      <c r="H4168" s="753"/>
      <c r="I4168" s="754"/>
      <c r="J4168" s="753"/>
      <c r="K4168" s="753" t="s">
        <v>3</v>
      </c>
      <c r="L4168" s="755" t="s">
        <v>143</v>
      </c>
      <c r="M4168" s="755"/>
      <c r="N4168" s="755"/>
      <c r="O4168" s="755"/>
      <c r="P4168" s="755"/>
      <c r="Q4168" s="51"/>
      <c r="T4168" s="756" t="str">
        <f ca="1">IF(AND($R4173=0,$T4173=0),"0.00","mu :" &amp; ROUND($F4168/$C$2/($R4173+$T4173*$D$9),2))</f>
        <v>mu :1.23</v>
      </c>
      <c r="W4168" s="524"/>
      <c r="AG4168" s="481">
        <f ca="1">IF($E4168=0,0,ROUND($R4173*$S$2*$C$2/$A4168,2))</f>
        <v>703.71</v>
      </c>
      <c r="AH4168" s="481">
        <f ca="1">$AG4168*$A4168</f>
        <v>3518.55</v>
      </c>
      <c r="AI4168" s="525">
        <f ca="1">$E4168-$AG4168</f>
        <v>180.21999999999991</v>
      </c>
      <c r="AJ4168" s="525">
        <f ca="1">$A4168*$AI4168</f>
        <v>901.09999999999957</v>
      </c>
      <c r="AK4168" s="526">
        <f ca="1">ROUND(($AG4168+$AI4168)*$A4168,2)</f>
        <v>4419.6499999999996</v>
      </c>
      <c r="AM4168" s="527">
        <f ca="1">ROUND(R4173,2)</f>
        <v>2857.5</v>
      </c>
      <c r="AN4168" s="528">
        <f ca="1">ROUND(T4173,2)</f>
        <v>26.65</v>
      </c>
      <c r="AO4168" s="529">
        <f ca="1">ROUND(AM4168+AN4168,2)*A4168</f>
        <v>14420.75</v>
      </c>
      <c r="AR4168" s="747">
        <v>5</v>
      </c>
      <c r="AS4168" s="751">
        <v>4519.3999999999996</v>
      </c>
    </row>
    <row r="4169" spans="1:45" s="520" customFormat="1" ht="13.2">
      <c r="A4169" s="748"/>
      <c r="B4169"/>
      <c r="C4169" s="748"/>
      <c r="D4169" s="749" t="s">
        <v>756</v>
      </c>
      <c r="F4169" s="753"/>
      <c r="G4169" s="3"/>
      <c r="H4169" s="753"/>
      <c r="I4169" s="754"/>
      <c r="J4169" s="753"/>
      <c r="K4169" s="753" t="s">
        <v>144</v>
      </c>
      <c r="L4169" s="753"/>
      <c r="M4169" s="753"/>
      <c r="N4169" s="753"/>
      <c r="O4169" s="753"/>
      <c r="P4169" s="753"/>
      <c r="Q4169" s="51"/>
      <c r="R4169" s="530"/>
      <c r="S4169" s="757"/>
      <c r="T4169" s="753"/>
      <c r="AR4169" s="748"/>
      <c r="AS4169" s="753"/>
    </row>
    <row r="4170" spans="1:45" s="886" customFormat="1" ht="13.2">
      <c r="A4170"/>
      <c r="B4170" s="910"/>
      <c r="C4170" s="910" t="s">
        <v>2597</v>
      </c>
      <c r="D4170" s="910" t="str">
        <f ca="1">CELL("Address",Elec_Rates!D$141)</f>
        <v>[E25_0062_Quintano_Foods_Elec_ELV_As_Awarded.xlsx]Elec_Rates!$D$141</v>
      </c>
      <c r="E4170" s="911"/>
      <c r="F4170" s="911"/>
      <c r="G4170" s="912" t="s">
        <v>2598</v>
      </c>
      <c r="H4170" s="912"/>
      <c r="I4170" s="912"/>
      <c r="J4170" s="912"/>
      <c r="K4170" s="913"/>
      <c r="L4170" s="911"/>
      <c r="M4170" s="911"/>
      <c r="N4170" s="911"/>
      <c r="O4170" s="914"/>
      <c r="P4170" s="911"/>
      <c r="Q4170" s="915"/>
      <c r="R4170" s="916"/>
      <c r="S4170" s="915"/>
      <c r="T4170" s="917"/>
      <c r="U4170" s="918"/>
      <c r="AR4170"/>
      <c r="AS4170" s="911"/>
    </row>
    <row r="4171" spans="1:45" s="886" customFormat="1" ht="11.4">
      <c r="A4171" s="919">
        <v>5</v>
      </c>
      <c r="B4171" s="920">
        <v>1</v>
      </c>
      <c r="C4171" s="920">
        <f>$A4171*$B4171</f>
        <v>5</v>
      </c>
      <c r="D4171" s="921" t="str">
        <f>Elec_Rates!$D$141</f>
        <v>013# Single phase isolator / socket outlet point Stainless Steel conduit</v>
      </c>
      <c r="E4171" s="921"/>
      <c r="F4171" s="921" t="s">
        <v>2599</v>
      </c>
      <c r="G4171" s="922" t="s">
        <v>2600</v>
      </c>
      <c r="H4171" s="922"/>
      <c r="I4171" s="922"/>
      <c r="J4171" s="922"/>
      <c r="K4171" s="923"/>
      <c r="L4171" s="918"/>
      <c r="M4171" s="918"/>
      <c r="N4171" s="918"/>
      <c r="O4171" s="924"/>
      <c r="P4171" s="921"/>
      <c r="Q4171" s="925">
        <f ca="1">$B4171*Elec_Rates!$R$141</f>
        <v>571.5</v>
      </c>
      <c r="R4171" s="916">
        <f ca="1">$A4171*Q4171</f>
        <v>2857.5</v>
      </c>
      <c r="S4171" s="925">
        <f ca="1">$B4171*Elec_Rates!$T$141</f>
        <v>5.33</v>
      </c>
      <c r="T4171" s="917">
        <f ca="1">$A4171*S4171</f>
        <v>26.65</v>
      </c>
      <c r="U4171" s="926"/>
      <c r="AR4171" s="919">
        <v>5</v>
      </c>
      <c r="AS4171" s="921" t="s">
        <v>2599</v>
      </c>
    </row>
    <row r="4172" spans="1:45" s="520" customFormat="1" ht="12">
      <c r="A4172" s="758"/>
      <c r="B4172" s="758"/>
      <c r="C4172" s="758"/>
      <c r="D4172" s="758"/>
      <c r="E4172" s="758"/>
      <c r="F4172" s="753"/>
      <c r="G4172" s="758"/>
      <c r="H4172" s="758"/>
      <c r="I4172" s="519"/>
      <c r="J4172" s="758"/>
      <c r="K4172" s="758"/>
      <c r="L4172" s="758"/>
      <c r="M4172" s="758"/>
      <c r="N4172" s="758"/>
      <c r="O4172" s="758"/>
      <c r="P4172" s="758"/>
      <c r="Q4172" s="519"/>
      <c r="R4172" s="759">
        <f>$A4172*Q4172</f>
        <v>0</v>
      </c>
      <c r="S4172" s="519"/>
      <c r="T4172" s="760">
        <f>$A4172*S4172*$T$1</f>
        <v>0</v>
      </c>
      <c r="AR4172" s="758"/>
      <c r="AS4172" s="753"/>
    </row>
    <row r="4173" spans="1:45" s="520" customFormat="1" ht="12.6" thickBot="1">
      <c r="A4173" s="761" t="s">
        <v>145</v>
      </c>
      <c r="B4173" s="762">
        <f>(R4172+T4172)</f>
        <v>0</v>
      </c>
      <c r="C4173" s="763"/>
      <c r="D4173" s="763"/>
      <c r="E4173" s="763"/>
      <c r="F4173" s="764"/>
      <c r="G4173" s="763" t="s">
        <v>146</v>
      </c>
      <c r="H4173" s="763"/>
      <c r="I4173" s="765"/>
      <c r="J4173" s="763"/>
      <c r="K4173" s="763" t="s">
        <v>3</v>
      </c>
      <c r="L4173" s="766" t="s">
        <v>143</v>
      </c>
      <c r="M4173" s="766"/>
      <c r="N4173" s="766"/>
      <c r="O4173" s="766"/>
      <c r="P4173" s="766"/>
      <c r="Q4173" s="767"/>
      <c r="R4173" s="768">
        <f ca="1">SUM(R4169:R4172)</f>
        <v>2857.5</v>
      </c>
      <c r="S4173" s="763"/>
      <c r="T4173" s="768">
        <f ca="1">SUM(T4169:T4172)</f>
        <v>26.65</v>
      </c>
      <c r="U4173" s="531"/>
      <c r="V4173" s="531"/>
      <c r="W4173" s="531"/>
      <c r="X4173" s="531"/>
      <c r="Y4173" s="531"/>
      <c r="Z4173" s="531"/>
      <c r="AA4173" s="531"/>
      <c r="AB4173" s="531"/>
      <c r="AC4173" s="531"/>
      <c r="AD4173" s="531"/>
      <c r="AE4173" s="531"/>
      <c r="AF4173" s="531"/>
      <c r="AG4173" s="531"/>
      <c r="AH4173" s="531"/>
      <c r="AI4173" s="531"/>
      <c r="AJ4173" s="531"/>
      <c r="AK4173" s="531"/>
      <c r="AL4173" s="531"/>
      <c r="AM4173" s="531"/>
      <c r="AN4173" s="531"/>
      <c r="AO4173" s="531"/>
      <c r="AR4173" s="761" t="s">
        <v>145</v>
      </c>
      <c r="AS4173" s="764"/>
    </row>
    <row r="4174" spans="1:45" s="520" customFormat="1" ht="12" thickTop="1">
      <c r="A4174" s="51"/>
      <c r="B4174" s="41"/>
      <c r="C4174" s="51"/>
      <c r="E4174" s="42" t="s">
        <v>138</v>
      </c>
      <c r="F4174" s="42" t="s">
        <v>139</v>
      </c>
      <c r="G4174" s="51"/>
      <c r="H4174" s="51"/>
      <c r="I4174" s="51"/>
      <c r="J4174" s="51"/>
      <c r="K4174" s="51" t="s">
        <v>140</v>
      </c>
      <c r="L4174" s="51"/>
      <c r="M4174" s="51"/>
      <c r="N4174" s="51"/>
      <c r="O4174" s="52"/>
      <c r="P4174" s="51"/>
      <c r="Q4174" s="51"/>
      <c r="R4174" s="51"/>
      <c r="S4174" s="51"/>
      <c r="T4174" s="41"/>
      <c r="AG4174" s="521" t="s">
        <v>268</v>
      </c>
      <c r="AH4174" s="521" t="s">
        <v>269</v>
      </c>
      <c r="AI4174" s="521" t="s">
        <v>270</v>
      </c>
      <c r="AJ4174" s="521" t="s">
        <v>271</v>
      </c>
      <c r="AK4174" s="521" t="s">
        <v>272</v>
      </c>
      <c r="AM4174" s="745" t="s">
        <v>281</v>
      </c>
      <c r="AN4174" s="746" t="s">
        <v>282</v>
      </c>
      <c r="AO4174" s="522" t="s">
        <v>278</v>
      </c>
      <c r="AR4174" s="51"/>
      <c r="AS4174" s="42" t="s">
        <v>139</v>
      </c>
    </row>
    <row r="4175" spans="1:45" s="520" customFormat="1" ht="12" customHeight="1">
      <c r="A4175" s="747">
        <v>7</v>
      </c>
      <c r="B4175" s="523" t="s">
        <v>141</v>
      </c>
      <c r="C4175" s="748"/>
      <c r="D4175" s="749" t="s">
        <v>1741</v>
      </c>
      <c r="E4175" s="750">
        <f ca="1">IF(AND($A4175=0,$A$1="DIF"),0, ROUND(ROUND(($R4180*$S$2+($T4180*$T$2))/A4175,2)*$C$2,2))</f>
        <v>883.93</v>
      </c>
      <c r="F4175" s="751">
        <f ca="1">ROUND($A4175*$E4175,2)</f>
        <v>6187.51</v>
      </c>
      <c r="G4175" s="752" t="s">
        <v>142</v>
      </c>
      <c r="H4175" s="753"/>
      <c r="I4175" s="754"/>
      <c r="J4175" s="753"/>
      <c r="K4175" s="753" t="s">
        <v>3</v>
      </c>
      <c r="L4175" s="755" t="s">
        <v>143</v>
      </c>
      <c r="M4175" s="755"/>
      <c r="N4175" s="755"/>
      <c r="O4175" s="755"/>
      <c r="P4175" s="755"/>
      <c r="Q4175" s="51"/>
      <c r="T4175" s="756" t="str">
        <f ca="1">IF(AND($R4180=0,$T4180=0),"0.00","mu :" &amp; ROUND($F4175/$C$2/($R4180+$T4180*$D$9),2))</f>
        <v>mu :1.23</v>
      </c>
      <c r="W4175" s="524"/>
      <c r="AG4175" s="481">
        <f ca="1">IF($E4175=0,0,ROUND($R4180*$S$2*$C$2/$A4175,2))</f>
        <v>703.71</v>
      </c>
      <c r="AH4175" s="481">
        <f ca="1">$AG4175*$A4175</f>
        <v>4925.97</v>
      </c>
      <c r="AI4175" s="525">
        <f ca="1">$E4175-$AG4175</f>
        <v>180.21999999999991</v>
      </c>
      <c r="AJ4175" s="525">
        <f ca="1">$A4175*$AI4175</f>
        <v>1261.5399999999995</v>
      </c>
      <c r="AK4175" s="526">
        <f ca="1">ROUND(($AG4175+$AI4175)*$A4175,2)</f>
        <v>6187.51</v>
      </c>
      <c r="AM4175" s="527">
        <f ca="1">ROUND(R4180,2)</f>
        <v>4000.5</v>
      </c>
      <c r="AN4175" s="528">
        <f ca="1">ROUND(T4180,2)</f>
        <v>37.31</v>
      </c>
      <c r="AO4175" s="529">
        <f ca="1">ROUND(AM4175+AN4175,2)*A4175</f>
        <v>28264.67</v>
      </c>
      <c r="AR4175" s="747">
        <v>7</v>
      </c>
      <c r="AS4175" s="751">
        <v>6327.16</v>
      </c>
    </row>
    <row r="4176" spans="1:45" s="520" customFormat="1" ht="13.2">
      <c r="A4176" s="748"/>
      <c r="B4176"/>
      <c r="C4176" s="748"/>
      <c r="D4176" s="749" t="s">
        <v>757</v>
      </c>
      <c r="F4176" s="753"/>
      <c r="G4176" s="3"/>
      <c r="H4176" s="753"/>
      <c r="I4176" s="754"/>
      <c r="J4176" s="753"/>
      <c r="K4176" s="753" t="s">
        <v>144</v>
      </c>
      <c r="L4176" s="753"/>
      <c r="M4176" s="753"/>
      <c r="N4176" s="753"/>
      <c r="O4176" s="753"/>
      <c r="P4176" s="753"/>
      <c r="Q4176" s="51"/>
      <c r="R4176" s="530"/>
      <c r="S4176" s="757"/>
      <c r="T4176" s="753"/>
      <c r="AR4176" s="748"/>
      <c r="AS4176" s="753"/>
    </row>
    <row r="4177" spans="1:45" s="886" customFormat="1" ht="13.2">
      <c r="A4177"/>
      <c r="B4177" s="910"/>
      <c r="C4177" s="910" t="s">
        <v>2597</v>
      </c>
      <c r="D4177" s="910" t="str">
        <f ca="1">CELL("Address",Elec_Rates!D$141)</f>
        <v>[E25_0062_Quintano_Foods_Elec_ELV_As_Awarded.xlsx]Elec_Rates!$D$141</v>
      </c>
      <c r="E4177" s="911"/>
      <c r="F4177" s="911"/>
      <c r="G4177" s="912" t="s">
        <v>2598</v>
      </c>
      <c r="H4177" s="912"/>
      <c r="I4177" s="912"/>
      <c r="J4177" s="912"/>
      <c r="K4177" s="913"/>
      <c r="L4177" s="911"/>
      <c r="M4177" s="911"/>
      <c r="N4177" s="911"/>
      <c r="O4177" s="914"/>
      <c r="P4177" s="911"/>
      <c r="Q4177" s="915"/>
      <c r="R4177" s="916"/>
      <c r="S4177" s="915"/>
      <c r="T4177" s="917"/>
      <c r="U4177" s="918"/>
      <c r="AR4177"/>
      <c r="AS4177" s="911"/>
    </row>
    <row r="4178" spans="1:45" s="886" customFormat="1" ht="11.4">
      <c r="A4178" s="919">
        <v>7</v>
      </c>
      <c r="B4178" s="920">
        <v>1</v>
      </c>
      <c r="C4178" s="920">
        <f>$A4178*$B4178</f>
        <v>7</v>
      </c>
      <c r="D4178" s="921" t="str">
        <f>Elec_Rates!$D$141</f>
        <v>013# Single phase isolator / socket outlet point Stainless Steel conduit</v>
      </c>
      <c r="E4178" s="921"/>
      <c r="F4178" s="921" t="s">
        <v>2599</v>
      </c>
      <c r="G4178" s="922" t="s">
        <v>2600</v>
      </c>
      <c r="H4178" s="922"/>
      <c r="I4178" s="922"/>
      <c r="J4178" s="922"/>
      <c r="K4178" s="923"/>
      <c r="L4178" s="918"/>
      <c r="M4178" s="918"/>
      <c r="N4178" s="918"/>
      <c r="O4178" s="924"/>
      <c r="P4178" s="921"/>
      <c r="Q4178" s="925">
        <f ca="1">$B4178*Elec_Rates!$R$141</f>
        <v>571.5</v>
      </c>
      <c r="R4178" s="916">
        <f ca="1">$A4178*Q4178</f>
        <v>4000.5</v>
      </c>
      <c r="S4178" s="925">
        <f ca="1">$B4178*Elec_Rates!$T$141</f>
        <v>5.33</v>
      </c>
      <c r="T4178" s="917">
        <f ca="1">$A4178*S4178</f>
        <v>37.31</v>
      </c>
      <c r="U4178" s="926"/>
      <c r="AR4178" s="919">
        <v>7</v>
      </c>
      <c r="AS4178" s="921" t="s">
        <v>2599</v>
      </c>
    </row>
    <row r="4179" spans="1:45" s="520" customFormat="1" ht="12">
      <c r="A4179" s="758"/>
      <c r="B4179" s="758"/>
      <c r="C4179" s="758"/>
      <c r="D4179" s="758"/>
      <c r="E4179" s="758"/>
      <c r="F4179" s="753"/>
      <c r="G4179" s="758"/>
      <c r="H4179" s="758"/>
      <c r="I4179" s="519"/>
      <c r="J4179" s="758"/>
      <c r="K4179" s="758"/>
      <c r="L4179" s="758"/>
      <c r="M4179" s="758"/>
      <c r="N4179" s="758"/>
      <c r="O4179" s="758"/>
      <c r="P4179" s="758"/>
      <c r="Q4179" s="519"/>
      <c r="R4179" s="759">
        <f>$A4179*Q4179</f>
        <v>0</v>
      </c>
      <c r="S4179" s="519"/>
      <c r="T4179" s="760">
        <f>$A4179*S4179*$T$1</f>
        <v>0</v>
      </c>
      <c r="AR4179" s="758"/>
      <c r="AS4179" s="753"/>
    </row>
    <row r="4180" spans="1:45" s="520" customFormat="1" ht="12.6" thickBot="1">
      <c r="A4180" s="761" t="s">
        <v>145</v>
      </c>
      <c r="B4180" s="762">
        <f>(R4179+T4179)</f>
        <v>0</v>
      </c>
      <c r="C4180" s="763"/>
      <c r="D4180" s="763"/>
      <c r="E4180" s="763"/>
      <c r="F4180" s="764"/>
      <c r="G4180" s="763" t="s">
        <v>146</v>
      </c>
      <c r="H4180" s="763"/>
      <c r="I4180" s="765"/>
      <c r="J4180" s="763"/>
      <c r="K4180" s="763" t="s">
        <v>3</v>
      </c>
      <c r="L4180" s="766" t="s">
        <v>143</v>
      </c>
      <c r="M4180" s="766"/>
      <c r="N4180" s="766"/>
      <c r="O4180" s="766"/>
      <c r="P4180" s="766"/>
      <c r="Q4180" s="767"/>
      <c r="R4180" s="768">
        <f ca="1">SUM(R4176:R4179)</f>
        <v>4000.5</v>
      </c>
      <c r="S4180" s="763"/>
      <c r="T4180" s="768">
        <f ca="1">SUM(T4176:T4179)</f>
        <v>37.31</v>
      </c>
      <c r="U4180" s="531"/>
      <c r="V4180" s="531"/>
      <c r="W4180" s="531"/>
      <c r="X4180" s="531"/>
      <c r="Y4180" s="531"/>
      <c r="Z4180" s="531"/>
      <c r="AA4180" s="531"/>
      <c r="AB4180" s="531"/>
      <c r="AC4180" s="531"/>
      <c r="AD4180" s="531"/>
      <c r="AE4180" s="531"/>
      <c r="AF4180" s="531"/>
      <c r="AG4180" s="531"/>
      <c r="AH4180" s="531"/>
      <c r="AI4180" s="531"/>
      <c r="AJ4180" s="531"/>
      <c r="AK4180" s="531"/>
      <c r="AL4180" s="531"/>
      <c r="AM4180" s="531"/>
      <c r="AN4180" s="531"/>
      <c r="AO4180" s="531"/>
      <c r="AR4180" s="761" t="s">
        <v>145</v>
      </c>
      <c r="AS4180" s="764"/>
    </row>
    <row r="4181" spans="1:45" s="520" customFormat="1" thickTop="1">
      <c r="A4181" s="51"/>
      <c r="B4181" s="51"/>
      <c r="C4181" s="3"/>
      <c r="D4181" s="3"/>
      <c r="E4181" s="51"/>
      <c r="F4181" s="51"/>
      <c r="G4181" s="51"/>
      <c r="H4181" s="51"/>
      <c r="I4181" s="51"/>
      <c r="J4181" s="51"/>
      <c r="K4181" s="51" t="s">
        <v>134</v>
      </c>
      <c r="L4181" s="51"/>
      <c r="M4181" s="51"/>
      <c r="N4181" s="51"/>
      <c r="O4181" s="52"/>
      <c r="P4181" s="51"/>
      <c r="Q4181" s="51"/>
      <c r="R4181" s="51"/>
      <c r="S4181" s="51"/>
      <c r="T4181" s="51"/>
      <c r="AR4181" s="51"/>
      <c r="AS4181" s="51"/>
    </row>
    <row r="4182" spans="1:45" s="520" customFormat="1" ht="12">
      <c r="A4182" s="51"/>
      <c r="B4182" s="51"/>
      <c r="C4182" s="51" t="s">
        <v>135</v>
      </c>
      <c r="D4182" s="37"/>
      <c r="E4182" s="51"/>
      <c r="F4182" s="51"/>
      <c r="G4182" s="51"/>
      <c r="H4182" s="51"/>
      <c r="I4182" s="51"/>
      <c r="J4182" s="51"/>
      <c r="K4182" s="51"/>
      <c r="L4182" s="51"/>
      <c r="M4182" s="51"/>
      <c r="N4182" s="51"/>
      <c r="O4182" s="52"/>
      <c r="P4182" s="51"/>
      <c r="Q4182" s="51"/>
      <c r="R4182" s="51"/>
      <c r="S4182" s="51"/>
      <c r="T4182" s="51"/>
      <c r="AR4182" s="51"/>
      <c r="AS4182" s="51"/>
    </row>
    <row r="4183" spans="1:45" s="520" customFormat="1" ht="12">
      <c r="A4183" s="51"/>
      <c r="B4183" s="51"/>
      <c r="C4183" s="51"/>
      <c r="D4183" s="37" t="s">
        <v>778</v>
      </c>
      <c r="E4183" s="51"/>
      <c r="F4183" s="51"/>
      <c r="G4183" s="51"/>
      <c r="H4183" s="51"/>
      <c r="I4183" s="51"/>
      <c r="J4183" s="51"/>
      <c r="K4183" s="51"/>
      <c r="L4183" s="51"/>
      <c r="M4183" s="51"/>
      <c r="N4183" s="51"/>
      <c r="O4183" s="52"/>
      <c r="P4183" s="51"/>
      <c r="Q4183" s="51"/>
      <c r="R4183" s="51"/>
      <c r="S4183" s="38"/>
      <c r="T4183" s="38"/>
      <c r="AR4183" s="51"/>
      <c r="AS4183" s="51"/>
    </row>
    <row r="4184" spans="1:45" s="3" customFormat="1" thickBot="1">
      <c r="A4184" s="531"/>
      <c r="O4184" s="107"/>
      <c r="AR4184" s="531"/>
    </row>
    <row r="4185" spans="1:45" s="520" customFormat="1" ht="12" thickTop="1">
      <c r="A4185" s="51"/>
      <c r="B4185" s="41"/>
      <c r="C4185" s="51"/>
      <c r="E4185" s="42" t="s">
        <v>138</v>
      </c>
      <c r="F4185" s="42" t="s">
        <v>139</v>
      </c>
      <c r="G4185" s="51"/>
      <c r="H4185" s="51"/>
      <c r="I4185" s="51"/>
      <c r="J4185" s="51"/>
      <c r="K4185" s="51" t="s">
        <v>140</v>
      </c>
      <c r="L4185" s="51"/>
      <c r="M4185" s="51"/>
      <c r="N4185" s="51"/>
      <c r="O4185" s="52"/>
      <c r="P4185" s="51"/>
      <c r="Q4185" s="51"/>
      <c r="R4185" s="51"/>
      <c r="S4185" s="51"/>
      <c r="T4185" s="41"/>
      <c r="AG4185" s="521" t="s">
        <v>268</v>
      </c>
      <c r="AH4185" s="521" t="s">
        <v>269</v>
      </c>
      <c r="AI4185" s="521" t="s">
        <v>270</v>
      </c>
      <c r="AJ4185" s="521" t="s">
        <v>271</v>
      </c>
      <c r="AK4185" s="521" t="s">
        <v>272</v>
      </c>
      <c r="AM4185" s="745" t="s">
        <v>281</v>
      </c>
      <c r="AN4185" s="746" t="s">
        <v>282</v>
      </c>
      <c r="AO4185" s="522" t="s">
        <v>278</v>
      </c>
      <c r="AR4185" s="51"/>
      <c r="AS4185" s="42" t="s">
        <v>139</v>
      </c>
    </row>
    <row r="4186" spans="1:45" s="520" customFormat="1" ht="12" customHeight="1">
      <c r="A4186" s="747">
        <v>5</v>
      </c>
      <c r="B4186" s="523" t="s">
        <v>141</v>
      </c>
      <c r="C4186" s="748"/>
      <c r="D4186" s="749" t="s">
        <v>1742</v>
      </c>
      <c r="E4186" s="750">
        <f ca="1">IF(AND($A4186=0,$A$1="DIF"),0, ROUND(ROUND(($R4191*$S$2+($T4191*$T$2))/A4186,2)*$C$2,2))</f>
        <v>48.45</v>
      </c>
      <c r="F4186" s="751">
        <f ca="1">ROUND($A4186*$E4186,2)</f>
        <v>242.25</v>
      </c>
      <c r="G4186" s="752" t="s">
        <v>142</v>
      </c>
      <c r="H4186" s="753"/>
      <c r="I4186" s="754"/>
      <c r="J4186" s="753"/>
      <c r="K4186" s="753" t="s">
        <v>3</v>
      </c>
      <c r="L4186" s="755" t="s">
        <v>143</v>
      </c>
      <c r="M4186" s="755"/>
      <c r="N4186" s="755"/>
      <c r="O4186" s="755"/>
      <c r="P4186" s="755"/>
      <c r="Q4186" s="1047" t="s">
        <v>3771</v>
      </c>
      <c r="T4186" s="756" t="str">
        <f ca="1">IF(AND($R4191=0,$T4191=0),"0.00","mu :" &amp; ROUND($F4186/$C$2/($R4191+$T4191*$D$9),2))</f>
        <v>mu :1.23</v>
      </c>
      <c r="W4186" s="524"/>
      <c r="AG4186" s="481">
        <f ca="1">IF($E4186=0,0,ROUND($R4191*$S$2*$C$2/$A4186,2))</f>
        <v>31.55</v>
      </c>
      <c r="AH4186" s="481">
        <f ca="1">$AG4186*$A4186</f>
        <v>157.75</v>
      </c>
      <c r="AI4186" s="525">
        <f ca="1">$E4186-$AG4186</f>
        <v>16.900000000000002</v>
      </c>
      <c r="AJ4186" s="525">
        <f ca="1">$A4186*$AI4186</f>
        <v>84.500000000000014</v>
      </c>
      <c r="AK4186" s="526">
        <f ca="1">ROUND(($AG4186+$AI4186)*$A4186,2)</f>
        <v>242.25</v>
      </c>
      <c r="AM4186" s="527">
        <f ca="1">ROUND(R4191,2)</f>
        <v>128.1</v>
      </c>
      <c r="AN4186" s="528">
        <f ca="1">ROUND(T4191,2)</f>
        <v>2.5</v>
      </c>
      <c r="AO4186" s="529">
        <f ca="1">ROUND(AM4186+AN4186,2)*A4186</f>
        <v>653</v>
      </c>
      <c r="AR4186" s="747">
        <v>5</v>
      </c>
      <c r="AS4186" s="751">
        <v>250.7</v>
      </c>
    </row>
    <row r="4187" spans="1:45" s="520" customFormat="1" ht="13.2">
      <c r="A4187" s="748"/>
      <c r="B4187"/>
      <c r="C4187" s="748"/>
      <c r="D4187" s="749" t="s">
        <v>779</v>
      </c>
      <c r="F4187" s="753"/>
      <c r="G4187" s="3"/>
      <c r="H4187" s="753"/>
      <c r="I4187" s="754"/>
      <c r="J4187" s="753"/>
      <c r="K4187" s="753" t="s">
        <v>144</v>
      </c>
      <c r="L4187" s="753"/>
      <c r="M4187" s="753"/>
      <c r="N4187" s="753"/>
      <c r="O4187" s="753"/>
      <c r="P4187" s="753"/>
      <c r="Q4187" s="51"/>
      <c r="R4187" s="530"/>
      <c r="S4187" s="757"/>
      <c r="T4187" s="753"/>
      <c r="AR4187" s="748"/>
      <c r="AS4187" s="753"/>
    </row>
    <row r="4188" spans="1:45" s="520" customFormat="1" ht="12">
      <c r="A4188" s="51"/>
      <c r="B4188" s="758"/>
      <c r="C4188" s="753" t="s">
        <v>2597</v>
      </c>
      <c r="D4188" s="753" t="str">
        <f ca="1">CELL("Address",Elec_Rates!$D$192)</f>
        <v>[E25_0062_Quintano_Foods_Elec_ELV_As_Awarded.xlsx]Elec_Rates!$D$192</v>
      </c>
      <c r="E4188" s="758"/>
      <c r="F4188" s="753"/>
      <c r="G4188" s="1049" t="s">
        <v>2598</v>
      </c>
      <c r="H4188" s="1050"/>
      <c r="I4188" s="1051"/>
      <c r="J4188" s="1050"/>
      <c r="K4188" s="1050"/>
      <c r="L4188" s="758"/>
      <c r="M4188" s="758"/>
      <c r="N4188" s="758"/>
      <c r="O4188" s="758"/>
      <c r="P4188" s="758"/>
      <c r="Q4188" s="519"/>
      <c r="R4188" s="759"/>
      <c r="S4188" s="519"/>
      <c r="T4188" s="760"/>
      <c r="AR4188" s="51"/>
      <c r="AS4188" s="753"/>
    </row>
    <row r="4189" spans="1:45" s="520" customFormat="1" ht="11.4">
      <c r="A4189" s="51">
        <v>5</v>
      </c>
      <c r="B4189" s="519">
        <v>1</v>
      </c>
      <c r="C4189" s="519">
        <f>$A4189*$B4189</f>
        <v>5</v>
      </c>
      <c r="D4189" s="1048" t="str">
        <f>Elec_Rates!$D$192</f>
        <v>018# 1-Phase 25/32A Isolator</v>
      </c>
      <c r="E4189" s="1048"/>
      <c r="F4189" s="1048" t="s">
        <v>2733</v>
      </c>
      <c r="G4189" s="1050" t="s">
        <v>2600</v>
      </c>
      <c r="H4189" s="1050"/>
      <c r="I4189" s="1051"/>
      <c r="J4189" s="1050"/>
      <c r="K4189" s="1050"/>
      <c r="L4189" s="758"/>
      <c r="M4189" s="758"/>
      <c r="N4189" s="758"/>
      <c r="O4189" s="758"/>
      <c r="P4189" s="758"/>
      <c r="Q4189" s="1052">
        <f ca="1">$B4189*Elec_Rates!$R$192</f>
        <v>25.62</v>
      </c>
      <c r="R4189" s="759">
        <f ca="1">$A4189*Q4189</f>
        <v>128.1</v>
      </c>
      <c r="S4189" s="1052">
        <f ca="1">$B4189*Elec_Rates!$T$192</f>
        <v>0.5</v>
      </c>
      <c r="T4189" s="917">
        <f ca="1">$A4189*S4189</f>
        <v>2.5</v>
      </c>
      <c r="AR4189" s="51">
        <v>5</v>
      </c>
      <c r="AS4189" s="1048" t="s">
        <v>2733</v>
      </c>
    </row>
    <row r="4190" spans="1:45" s="520" customFormat="1" ht="12">
      <c r="A4190" s="758"/>
      <c r="B4190" s="758"/>
      <c r="C4190" s="758"/>
      <c r="D4190" s="758"/>
      <c r="E4190" s="758"/>
      <c r="F4190" s="753"/>
      <c r="G4190" s="758"/>
      <c r="H4190" s="758"/>
      <c r="I4190" s="519"/>
      <c r="J4190" s="758"/>
      <c r="K4190" s="758"/>
      <c r="L4190" s="758"/>
      <c r="M4190" s="758"/>
      <c r="N4190" s="758"/>
      <c r="O4190" s="758"/>
      <c r="P4190" s="758"/>
      <c r="Q4190" s="519"/>
      <c r="R4190" s="759">
        <f>$A4190*Q4190</f>
        <v>0</v>
      </c>
      <c r="S4190" s="519"/>
      <c r="T4190" s="760">
        <f>$A4190*S4190*$T$1</f>
        <v>0</v>
      </c>
      <c r="AR4190" s="758"/>
      <c r="AS4190" s="753"/>
    </row>
    <row r="4191" spans="1:45" s="520" customFormat="1" ht="12.6" thickBot="1">
      <c r="A4191" s="761" t="s">
        <v>145</v>
      </c>
      <c r="B4191" s="762">
        <f>(R4190+T4190)</f>
        <v>0</v>
      </c>
      <c r="C4191" s="763"/>
      <c r="D4191" s="763"/>
      <c r="E4191" s="763"/>
      <c r="F4191" s="764"/>
      <c r="G4191" s="763" t="s">
        <v>146</v>
      </c>
      <c r="H4191" s="763"/>
      <c r="I4191" s="765"/>
      <c r="J4191" s="763"/>
      <c r="K4191" s="763" t="s">
        <v>3</v>
      </c>
      <c r="L4191" s="766" t="s">
        <v>143</v>
      </c>
      <c r="M4191" s="766"/>
      <c r="N4191" s="766"/>
      <c r="O4191" s="766"/>
      <c r="P4191" s="766"/>
      <c r="Q4191" s="767"/>
      <c r="R4191" s="768">
        <f ca="1">SUM(R4187:R4190)</f>
        <v>128.1</v>
      </c>
      <c r="S4191" s="763"/>
      <c r="T4191" s="768">
        <f ca="1">SUM(T4187:T4190)</f>
        <v>2.5</v>
      </c>
      <c r="U4191" s="531"/>
      <c r="V4191" s="531"/>
      <c r="W4191" s="531"/>
      <c r="X4191" s="531"/>
      <c r="Y4191" s="531"/>
      <c r="Z4191" s="531"/>
      <c r="AA4191" s="531"/>
      <c r="AB4191" s="531"/>
      <c r="AC4191" s="531"/>
      <c r="AD4191" s="531"/>
      <c r="AE4191" s="531"/>
      <c r="AF4191" s="531"/>
      <c r="AG4191" s="531"/>
      <c r="AH4191" s="531"/>
      <c r="AI4191" s="531"/>
      <c r="AJ4191" s="531"/>
      <c r="AK4191" s="531"/>
      <c r="AL4191" s="531"/>
      <c r="AM4191" s="531"/>
      <c r="AN4191" s="531"/>
      <c r="AO4191" s="531"/>
      <c r="AR4191" s="761" t="s">
        <v>145</v>
      </c>
      <c r="AS4191" s="764"/>
    </row>
    <row r="4192" spans="1:45" s="520" customFormat="1" ht="12" thickTop="1">
      <c r="A4192" s="51"/>
      <c r="B4192" s="41"/>
      <c r="C4192" s="51"/>
      <c r="E4192" s="42" t="s">
        <v>138</v>
      </c>
      <c r="F4192" s="42" t="s">
        <v>139</v>
      </c>
      <c r="G4192" s="51"/>
      <c r="H4192" s="51"/>
      <c r="I4192" s="51"/>
      <c r="J4192" s="51"/>
      <c r="K4192" s="51" t="s">
        <v>140</v>
      </c>
      <c r="L4192" s="51"/>
      <c r="M4192" s="51"/>
      <c r="N4192" s="51"/>
      <c r="O4192" s="52"/>
      <c r="P4192" s="51"/>
      <c r="Q4192" s="51"/>
      <c r="R4192" s="51"/>
      <c r="S4192" s="51"/>
      <c r="T4192" s="41"/>
      <c r="AG4192" s="521" t="s">
        <v>268</v>
      </c>
      <c r="AH4192" s="521" t="s">
        <v>269</v>
      </c>
      <c r="AI4192" s="521" t="s">
        <v>270</v>
      </c>
      <c r="AJ4192" s="521" t="s">
        <v>271</v>
      </c>
      <c r="AK4192" s="521" t="s">
        <v>272</v>
      </c>
      <c r="AM4192" s="745" t="s">
        <v>281</v>
      </c>
      <c r="AN4192" s="746" t="s">
        <v>282</v>
      </c>
      <c r="AO4192" s="522" t="s">
        <v>278</v>
      </c>
      <c r="AR4192" s="51"/>
      <c r="AS4192" s="42" t="s">
        <v>139</v>
      </c>
    </row>
    <row r="4193" spans="1:45" s="520" customFormat="1" ht="12" customHeight="1">
      <c r="A4193" s="747">
        <v>7</v>
      </c>
      <c r="B4193" s="523" t="s">
        <v>141</v>
      </c>
      <c r="C4193" s="748"/>
      <c r="D4193" s="749" t="s">
        <v>1743</v>
      </c>
      <c r="E4193" s="750">
        <f>IF(AND($A4193=0,$A$1="DIF"),0, ROUND(ROUND(($R4200*$S$2+($T4200*$T$2))/A4193,2)*$C$2,2))</f>
        <v>803.62</v>
      </c>
      <c r="F4193" s="751">
        <f>ROUND($A4193*$E4193,2)</f>
        <v>5625.34</v>
      </c>
      <c r="G4193" s="752" t="s">
        <v>142</v>
      </c>
      <c r="H4193" s="753"/>
      <c r="I4193" s="754"/>
      <c r="J4193" s="753"/>
      <c r="K4193" s="753" t="s">
        <v>3</v>
      </c>
      <c r="L4193" s="755" t="s">
        <v>143</v>
      </c>
      <c r="M4193" s="755"/>
      <c r="N4193" s="755"/>
      <c r="O4193" s="755"/>
      <c r="P4193" s="755"/>
      <c r="Q4193" s="51"/>
      <c r="T4193" s="756" t="str">
        <f>IF(AND($R4200=0,$T4200=0),"0.00","mu :" &amp; ROUND($F4193/$C$2/($R4200+$T4200*$D$9),2))</f>
        <v>mu :1.23</v>
      </c>
      <c r="W4193" s="524"/>
      <c r="AG4193" s="481">
        <f>IF($E4193=0,0,ROUND($R4200*$S$2*$C$2/$A4193,2))</f>
        <v>786.88</v>
      </c>
      <c r="AH4193" s="481">
        <f>$AG4193*$A4193</f>
        <v>5508.16</v>
      </c>
      <c r="AI4193" s="525">
        <f>$E4193-$AG4193</f>
        <v>16.740000000000009</v>
      </c>
      <c r="AJ4193" s="525">
        <f>$A4193*$AI4193</f>
        <v>117.18000000000006</v>
      </c>
      <c r="AK4193" s="526">
        <f>ROUND(($AG4193+$AI4193)*$A4193,2)</f>
        <v>5625.34</v>
      </c>
      <c r="AM4193" s="527">
        <f>ROUND(R4200,2)</f>
        <v>4473.28</v>
      </c>
      <c r="AN4193" s="528">
        <f>ROUND(T4200,2)</f>
        <v>3.47</v>
      </c>
      <c r="AO4193" s="529">
        <f>ROUND(AM4193+AN4193,2)*A4193</f>
        <v>31337.25</v>
      </c>
      <c r="AR4193" s="747">
        <v>7</v>
      </c>
      <c r="AS4193" s="751">
        <v>5638.36</v>
      </c>
    </row>
    <row r="4194" spans="1:45" s="520" customFormat="1" ht="13.2">
      <c r="A4194" s="748"/>
      <c r="B4194"/>
      <c r="C4194" s="748"/>
      <c r="D4194" s="749" t="s">
        <v>781</v>
      </c>
      <c r="F4194" s="753"/>
      <c r="G4194" s="3"/>
      <c r="H4194" s="753"/>
      <c r="I4194" s="754"/>
      <c r="J4194" s="753"/>
      <c r="K4194" s="753" t="s">
        <v>144</v>
      </c>
      <c r="L4194" s="753"/>
      <c r="M4194" s="753"/>
      <c r="N4194" s="753"/>
      <c r="O4194" s="753"/>
      <c r="P4194" s="753"/>
      <c r="Q4194" s="51"/>
      <c r="R4194" s="530"/>
      <c r="S4194" s="757"/>
      <c r="T4194" s="753"/>
      <c r="AR4194" s="748"/>
      <c r="AS4194" s="753"/>
    </row>
    <row r="4195" spans="1:45" s="901" customFormat="1" ht="11.4">
      <c r="A4195" s="919">
        <v>7</v>
      </c>
      <c r="B4195" s="901" t="s">
        <v>141</v>
      </c>
      <c r="D4195" s="901" t="s">
        <v>2853</v>
      </c>
      <c r="F4195" s="1047" t="s">
        <v>3241</v>
      </c>
      <c r="G4195" s="941" t="s">
        <v>2850</v>
      </c>
      <c r="H4195" s="942">
        <v>705</v>
      </c>
      <c r="I4195" s="901" t="s">
        <v>2851</v>
      </c>
      <c r="J4195" s="901" t="s">
        <v>2852</v>
      </c>
      <c r="O4195" s="943">
        <v>3</v>
      </c>
      <c r="P4195" s="944">
        <v>38047</v>
      </c>
      <c r="Q4195" s="945">
        <f>ROUNDUP(569.2*1.112,2)</f>
        <v>632.96</v>
      </c>
      <c r="R4195" s="946">
        <f>$A4195*Q4195</f>
        <v>4430.72</v>
      </c>
      <c r="S4195" s="945">
        <v>0.5</v>
      </c>
      <c r="T4195" s="947">
        <f>$A4195*S4195*$T$1</f>
        <v>3.15</v>
      </c>
      <c r="AR4195" s="919">
        <v>7</v>
      </c>
      <c r="AS4195" s="1047" t="s">
        <v>3241</v>
      </c>
    </row>
    <row r="4196" spans="1:45" s="901" customFormat="1" ht="11.4">
      <c r="A4196" s="919">
        <v>28</v>
      </c>
      <c r="B4196" s="901" t="s">
        <v>141</v>
      </c>
      <c r="D4196" s="901" t="s">
        <v>2739</v>
      </c>
      <c r="F4196" s="1047" t="s">
        <v>3241</v>
      </c>
      <c r="G4196" s="941" t="s">
        <v>2740</v>
      </c>
      <c r="H4196" s="942">
        <v>875</v>
      </c>
      <c r="I4196" s="901" t="s">
        <v>2607</v>
      </c>
      <c r="K4196" s="901" t="s">
        <v>2741</v>
      </c>
      <c r="O4196" s="943">
        <v>1</v>
      </c>
      <c r="P4196" s="944">
        <v>34669</v>
      </c>
      <c r="Q4196" s="945">
        <f>ROUNDUP(10.92/50*1.112,2)</f>
        <v>0.25</v>
      </c>
      <c r="R4196" s="946">
        <f>$A4196*Q4196</f>
        <v>7</v>
      </c>
      <c r="S4196" s="945"/>
      <c r="T4196" s="947">
        <f>$A4196*S4196*$T$1</f>
        <v>0</v>
      </c>
      <c r="AR4196" s="919">
        <v>28</v>
      </c>
      <c r="AS4196" s="1047" t="s">
        <v>3241</v>
      </c>
    </row>
    <row r="4197" spans="1:45" s="901" customFormat="1" ht="11.4">
      <c r="A4197" s="919">
        <v>28</v>
      </c>
      <c r="B4197" s="901" t="s">
        <v>141</v>
      </c>
      <c r="D4197" s="901" t="s">
        <v>2742</v>
      </c>
      <c r="G4197" s="941" t="s">
        <v>2743</v>
      </c>
      <c r="H4197" s="942">
        <v>875</v>
      </c>
      <c r="I4197" s="901" t="s">
        <v>2607</v>
      </c>
      <c r="K4197" s="901" t="s">
        <v>2744</v>
      </c>
      <c r="O4197" s="943">
        <v>1</v>
      </c>
      <c r="P4197" s="944">
        <v>34669</v>
      </c>
      <c r="Q4197" s="945">
        <v>0.02</v>
      </c>
      <c r="R4197" s="946">
        <f>$A4197*Q4197</f>
        <v>0.56000000000000005</v>
      </c>
      <c r="S4197" s="945"/>
      <c r="T4197" s="947">
        <f>$A4197*S4197*$T$1</f>
        <v>0</v>
      </c>
      <c r="AR4197" s="919">
        <v>28</v>
      </c>
    </row>
    <row r="4198" spans="1:45" s="901" customFormat="1" ht="11.4">
      <c r="A4198" s="919">
        <v>7</v>
      </c>
      <c r="B4198" s="901" t="s">
        <v>141</v>
      </c>
      <c r="D4198" s="901" t="s">
        <v>2745</v>
      </c>
      <c r="G4198" s="941" t="s">
        <v>2746</v>
      </c>
      <c r="H4198" s="942">
        <v>875</v>
      </c>
      <c r="I4198" s="901" t="s">
        <v>2607</v>
      </c>
      <c r="K4198" s="901" t="s">
        <v>2747</v>
      </c>
      <c r="O4198" s="943">
        <v>3</v>
      </c>
      <c r="P4198" s="944">
        <v>34820</v>
      </c>
      <c r="Q4198" s="945">
        <v>5</v>
      </c>
      <c r="R4198" s="946">
        <f>$A4198*Q4198</f>
        <v>35</v>
      </c>
      <c r="S4198" s="945">
        <v>0.05</v>
      </c>
      <c r="T4198" s="947">
        <f>$A4198*S4198*$T$1</f>
        <v>0.31500000000000006</v>
      </c>
      <c r="AR4198" s="919">
        <v>7</v>
      </c>
    </row>
    <row r="4199" spans="1:45" s="520" customFormat="1" ht="12">
      <c r="A4199" s="758"/>
      <c r="B4199" s="758"/>
      <c r="C4199" s="758"/>
      <c r="D4199" s="758"/>
      <c r="E4199" s="758"/>
      <c r="F4199" s="753"/>
      <c r="G4199" s="758"/>
      <c r="H4199" s="758"/>
      <c r="I4199" s="519"/>
      <c r="J4199" s="758"/>
      <c r="K4199" s="758"/>
      <c r="L4199" s="758"/>
      <c r="M4199" s="758"/>
      <c r="N4199" s="758"/>
      <c r="O4199" s="758"/>
      <c r="P4199" s="758"/>
      <c r="Q4199" s="519"/>
      <c r="R4199" s="759">
        <f>$A4199*Q4199</f>
        <v>0</v>
      </c>
      <c r="S4199" s="519"/>
      <c r="T4199" s="760">
        <f>$A4199*S4199*$T$1</f>
        <v>0</v>
      </c>
      <c r="AR4199" s="758"/>
      <c r="AS4199" s="753"/>
    </row>
    <row r="4200" spans="1:45" s="520" customFormat="1" ht="12.6" thickBot="1">
      <c r="A4200" s="761" t="s">
        <v>145</v>
      </c>
      <c r="B4200" s="762">
        <f>(R4199+T4199)</f>
        <v>0</v>
      </c>
      <c r="C4200" s="763"/>
      <c r="D4200" s="763"/>
      <c r="E4200" s="763"/>
      <c r="F4200" s="764"/>
      <c r="G4200" s="763" t="s">
        <v>146</v>
      </c>
      <c r="H4200" s="763"/>
      <c r="I4200" s="765"/>
      <c r="J4200" s="763"/>
      <c r="K4200" s="763" t="s">
        <v>3</v>
      </c>
      <c r="L4200" s="766" t="s">
        <v>143</v>
      </c>
      <c r="M4200" s="766"/>
      <c r="N4200" s="766"/>
      <c r="O4200" s="766"/>
      <c r="P4200" s="766"/>
      <c r="Q4200" s="767"/>
      <c r="R4200" s="768">
        <f>SUM(R4194:R4199)</f>
        <v>4473.2800000000007</v>
      </c>
      <c r="S4200" s="763"/>
      <c r="T4200" s="768">
        <f>SUM(T4194:T4199)</f>
        <v>3.4649999999999999</v>
      </c>
      <c r="U4200" s="531"/>
      <c r="V4200" s="531"/>
      <c r="W4200" s="531"/>
      <c r="X4200" s="531"/>
      <c r="Y4200" s="531"/>
      <c r="Z4200" s="531"/>
      <c r="AA4200" s="531"/>
      <c r="AB4200" s="531"/>
      <c r="AC4200" s="531"/>
      <c r="AD4200" s="531"/>
      <c r="AE4200" s="531"/>
      <c r="AF4200" s="531"/>
      <c r="AG4200" s="531"/>
      <c r="AH4200" s="531"/>
      <c r="AI4200" s="531"/>
      <c r="AJ4200" s="531"/>
      <c r="AK4200" s="531"/>
      <c r="AL4200" s="531"/>
      <c r="AM4200" s="531"/>
      <c r="AN4200" s="531"/>
      <c r="AO4200" s="531"/>
      <c r="AR4200" s="761" t="s">
        <v>145</v>
      </c>
      <c r="AS4200" s="764"/>
    </row>
    <row r="4201" spans="1:45" s="520" customFormat="1" ht="12" thickTop="1">
      <c r="A4201" s="48" t="s">
        <v>148</v>
      </c>
      <c r="D4201" s="13"/>
      <c r="E4201" s="42"/>
      <c r="O4201" s="771"/>
      <c r="AR4201" s="48" t="s">
        <v>148</v>
      </c>
    </row>
    <row r="4202" spans="1:45" s="520" customFormat="1" ht="13.2">
      <c r="B4202" s="3"/>
      <c r="O4202" s="771"/>
    </row>
    <row r="4203" spans="1:45" s="520" customFormat="1" ht="12">
      <c r="B4203" s="772">
        <f ca="1">$F4203/$C$2-($R4203*$S$2+$T4203*$T$2)</f>
        <v>0.1827243503939826</v>
      </c>
      <c r="D4203" s="773" t="s">
        <v>3633</v>
      </c>
      <c r="E4203" s="774"/>
      <c r="F4203" s="775">
        <f ca="1">SUMIF($L3928:$L4201,"ITEM",F3928:F4201)</f>
        <v>54018.179999999993</v>
      </c>
      <c r="G4203" s="758"/>
      <c r="H4203" s="758"/>
      <c r="I4203" s="519"/>
      <c r="J4203" s="758"/>
      <c r="K4203" s="758"/>
      <c r="L4203" s="755" t="s">
        <v>157</v>
      </c>
      <c r="M4203" s="755"/>
      <c r="N4203" s="755"/>
      <c r="O4203" s="755"/>
      <c r="P4203" s="755"/>
      <c r="R4203" s="775">
        <f ca="1">SUMIF($L3928:$L4201,"ITEM",R3928:R4201)</f>
        <v>26200.959999999999</v>
      </c>
      <c r="S4203" s="776"/>
      <c r="T4203" s="775">
        <f ca="1">SUMIF($L3928:$L4201,"ITEM",T3928:T4201)</f>
        <v>643.41500000000008</v>
      </c>
      <c r="AS4203" s="775">
        <v>56513.599999999991</v>
      </c>
    </row>
    <row r="4204" spans="1:45" s="520" customFormat="1" ht="13.2">
      <c r="A4204" s="51"/>
      <c r="B4204" s="49" t="s">
        <v>1064</v>
      </c>
      <c r="C4204" s="51"/>
      <c r="D4204" s="3"/>
      <c r="F4204" s="777" t="s">
        <v>158</v>
      </c>
      <c r="G4204" s="758"/>
      <c r="H4204" s="758"/>
      <c r="I4204" s="519"/>
      <c r="J4204" s="758"/>
      <c r="K4204" s="758"/>
      <c r="L4204" s="758"/>
      <c r="M4204" s="758"/>
      <c r="N4204" s="758"/>
      <c r="O4204" s="758"/>
      <c r="P4204" s="758"/>
      <c r="Q4204" s="778"/>
      <c r="R4204" s="777" t="s">
        <v>159</v>
      </c>
      <c r="S4204" s="38"/>
      <c r="T4204" s="777" t="s">
        <v>160</v>
      </c>
      <c r="AR4204" s="51"/>
      <c r="AS4204" s="777" t="s">
        <v>158</v>
      </c>
    </row>
    <row r="4205" spans="1:45" s="520" customFormat="1" ht="13.2">
      <c r="A4205" s="758"/>
      <c r="B4205" s="3"/>
      <c r="C4205" s="758"/>
      <c r="D4205" s="3"/>
      <c r="E4205" s="3"/>
      <c r="G4205" s="3"/>
      <c r="H4205" s="3"/>
      <c r="I4205" s="3"/>
      <c r="J4205" s="3"/>
      <c r="K4205" s="3"/>
      <c r="L4205" s="3"/>
      <c r="M4205" s="3"/>
      <c r="N4205" s="3"/>
      <c r="O4205" s="107"/>
      <c r="P4205" s="3"/>
      <c r="Q4205" s="3"/>
      <c r="R4205" s="3"/>
      <c r="S4205" s="3"/>
      <c r="T4205" s="3"/>
      <c r="AR4205" s="758"/>
    </row>
    <row r="4206" spans="1:45" s="520" customFormat="1" ht="12" thickBot="1">
      <c r="A4206" s="531"/>
      <c r="B4206" s="763"/>
      <c r="C4206" s="763"/>
      <c r="D4206" s="531"/>
      <c r="E4206" s="39"/>
      <c r="F4206" s="779"/>
      <c r="G4206" s="763"/>
      <c r="H4206" s="763"/>
      <c r="I4206" s="765"/>
      <c r="J4206" s="763"/>
      <c r="K4206" s="763"/>
      <c r="L4206" s="766"/>
      <c r="M4206" s="766"/>
      <c r="N4206" s="766"/>
      <c r="O4206" s="766"/>
      <c r="P4206" s="766"/>
      <c r="Q4206" s="767"/>
      <c r="R4206" s="779"/>
      <c r="S4206" s="780"/>
      <c r="T4206" s="779"/>
      <c r="U4206" s="531"/>
      <c r="V4206" s="531"/>
      <c r="W4206" s="531"/>
      <c r="X4206" s="531"/>
      <c r="Y4206" s="531"/>
      <c r="Z4206" s="531"/>
      <c r="AA4206" s="531"/>
      <c r="AB4206" s="531"/>
      <c r="AC4206" s="531"/>
      <c r="AD4206" s="531"/>
      <c r="AE4206" s="531"/>
      <c r="AF4206" s="531"/>
      <c r="AG4206" s="531"/>
      <c r="AH4206" s="531"/>
      <c r="AI4206" s="531"/>
      <c r="AJ4206" s="531"/>
      <c r="AK4206" s="531"/>
      <c r="AR4206" s="531"/>
      <c r="AS4206" s="779"/>
    </row>
    <row r="4207" spans="1:45" s="520" customFormat="1" thickTop="1">
      <c r="A4207" s="51"/>
      <c r="B4207" s="51"/>
      <c r="C4207" s="3"/>
      <c r="D4207" s="3"/>
      <c r="E4207" s="51"/>
      <c r="F4207" s="51"/>
      <c r="G4207" s="51"/>
      <c r="H4207" s="51"/>
      <c r="I4207" s="51"/>
      <c r="J4207" s="51"/>
      <c r="K4207" s="51" t="s">
        <v>134</v>
      </c>
      <c r="L4207" s="51"/>
      <c r="M4207" s="51"/>
      <c r="N4207" s="51"/>
      <c r="O4207" s="52"/>
      <c r="P4207" s="51"/>
      <c r="Q4207" s="51"/>
      <c r="R4207" s="51"/>
      <c r="S4207" s="51"/>
      <c r="T4207" s="51"/>
      <c r="AR4207" s="51"/>
      <c r="AS4207" s="51"/>
    </row>
    <row r="4208" spans="1:45" s="520" customFormat="1" ht="12">
      <c r="A4208" s="51"/>
      <c r="B4208" s="51"/>
      <c r="C4208" s="51" t="s">
        <v>135</v>
      </c>
      <c r="D4208" s="37"/>
      <c r="E4208" s="51"/>
      <c r="F4208" s="51"/>
      <c r="G4208" s="51"/>
      <c r="H4208" s="51"/>
      <c r="I4208" s="51"/>
      <c r="J4208" s="51"/>
      <c r="K4208" s="51"/>
      <c r="L4208" s="51"/>
      <c r="M4208" s="51"/>
      <c r="N4208" s="51"/>
      <c r="O4208" s="52"/>
      <c r="P4208" s="51"/>
      <c r="Q4208" s="51"/>
      <c r="R4208" s="51"/>
      <c r="S4208" s="51"/>
      <c r="T4208" s="51"/>
      <c r="AR4208" s="51"/>
      <c r="AS4208" s="51"/>
    </row>
    <row r="4209" spans="1:45" s="520" customFormat="1" ht="12">
      <c r="A4209" s="51"/>
      <c r="B4209" s="51"/>
      <c r="C4209" s="51"/>
      <c r="D4209" s="37" t="s">
        <v>362</v>
      </c>
      <c r="E4209" s="51"/>
      <c r="F4209" s="51"/>
      <c r="G4209" s="51"/>
      <c r="H4209" s="51"/>
      <c r="I4209" s="51"/>
      <c r="J4209" s="51"/>
      <c r="K4209" s="51"/>
      <c r="L4209" s="51"/>
      <c r="M4209" s="51"/>
      <c r="N4209" s="51"/>
      <c r="O4209" s="52"/>
      <c r="P4209" s="51"/>
      <c r="Q4209" s="51"/>
      <c r="R4209" s="51"/>
      <c r="S4209" s="38"/>
      <c r="T4209" s="38"/>
      <c r="AR4209" s="51"/>
      <c r="AS4209" s="51"/>
    </row>
    <row r="4210" spans="1:45" s="3" customFormat="1" thickBot="1">
      <c r="A4210" s="531"/>
      <c r="O4210" s="107"/>
      <c r="AR4210" s="531"/>
    </row>
    <row r="4211" spans="1:45" s="520" customFormat="1" thickTop="1">
      <c r="A4211" s="51"/>
      <c r="B4211" s="51"/>
      <c r="C4211" s="3"/>
      <c r="D4211" s="3"/>
      <c r="E4211" s="51"/>
      <c r="F4211" s="51"/>
      <c r="G4211" s="51"/>
      <c r="H4211" s="51"/>
      <c r="I4211" s="51"/>
      <c r="J4211" s="51"/>
      <c r="K4211" s="51" t="s">
        <v>134</v>
      </c>
      <c r="L4211" s="51"/>
      <c r="M4211" s="51"/>
      <c r="N4211" s="51"/>
      <c r="O4211" s="52"/>
      <c r="P4211" s="51"/>
      <c r="Q4211" s="51"/>
      <c r="R4211" s="51"/>
      <c r="S4211" s="51"/>
      <c r="T4211" s="51"/>
      <c r="AR4211" s="51"/>
      <c r="AS4211" s="51"/>
    </row>
    <row r="4212" spans="1:45" s="520" customFormat="1" ht="12">
      <c r="A4212" s="51"/>
      <c r="B4212" s="51"/>
      <c r="C4212" s="51" t="s">
        <v>135</v>
      </c>
      <c r="D4212" s="37"/>
      <c r="E4212" s="51"/>
      <c r="F4212" s="51"/>
      <c r="G4212" s="51"/>
      <c r="H4212" s="51"/>
      <c r="I4212" s="51"/>
      <c r="J4212" s="51"/>
      <c r="K4212" s="51"/>
      <c r="L4212" s="51"/>
      <c r="M4212" s="51"/>
      <c r="N4212" s="51"/>
      <c r="O4212" s="52"/>
      <c r="P4212" s="51"/>
      <c r="Q4212" s="51"/>
      <c r="R4212" s="51"/>
      <c r="S4212" s="51"/>
      <c r="T4212" s="51"/>
      <c r="AR4212" s="51"/>
      <c r="AS4212" s="51"/>
    </row>
    <row r="4213" spans="1:45" s="520" customFormat="1" ht="39.9" customHeight="1">
      <c r="A4213" s="51"/>
      <c r="B4213" s="51"/>
      <c r="C4213" s="51"/>
      <c r="D4213" s="1453" t="s">
        <v>1660</v>
      </c>
      <c r="E4213" s="1452"/>
      <c r="F4213" s="1452"/>
      <c r="G4213" s="1452"/>
      <c r="H4213" s="1452"/>
      <c r="I4213" s="1452"/>
      <c r="J4213" s="1452"/>
      <c r="K4213" s="1452"/>
      <c r="L4213" s="1452"/>
      <c r="M4213" s="1452"/>
      <c r="N4213" s="1452"/>
      <c r="O4213" s="1452"/>
      <c r="P4213" s="1452"/>
      <c r="Q4213" s="1452"/>
      <c r="R4213" s="1452"/>
      <c r="S4213" s="1452"/>
      <c r="T4213" s="1452"/>
      <c r="AR4213" s="51"/>
    </row>
    <row r="4214" spans="1:45" s="3" customFormat="1" thickBot="1">
      <c r="A4214" s="531"/>
      <c r="O4214" s="107"/>
      <c r="AR4214" s="531"/>
    </row>
    <row r="4215" spans="1:45" s="520" customFormat="1" thickTop="1">
      <c r="A4215" s="51"/>
      <c r="B4215" s="51"/>
      <c r="C4215" s="3"/>
      <c r="D4215" s="3"/>
      <c r="E4215" s="51"/>
      <c r="F4215" s="51"/>
      <c r="G4215" s="51"/>
      <c r="H4215" s="51"/>
      <c r="I4215" s="51"/>
      <c r="J4215" s="51"/>
      <c r="K4215" s="51" t="s">
        <v>134</v>
      </c>
      <c r="L4215" s="51"/>
      <c r="M4215" s="51"/>
      <c r="N4215" s="51"/>
      <c r="O4215" s="52"/>
      <c r="P4215" s="51"/>
      <c r="Q4215" s="51"/>
      <c r="R4215" s="51"/>
      <c r="S4215" s="51"/>
      <c r="T4215" s="51"/>
      <c r="AR4215" s="51"/>
      <c r="AS4215" s="51"/>
    </row>
    <row r="4216" spans="1:45" s="520" customFormat="1" ht="12">
      <c r="A4216" s="51"/>
      <c r="B4216" s="51"/>
      <c r="C4216" s="51" t="s">
        <v>135</v>
      </c>
      <c r="D4216" s="37"/>
      <c r="E4216" s="51"/>
      <c r="F4216" s="51"/>
      <c r="G4216" s="51"/>
      <c r="H4216" s="51"/>
      <c r="I4216" s="51"/>
      <c r="J4216" s="51"/>
      <c r="K4216" s="51"/>
      <c r="L4216" s="51"/>
      <c r="M4216" s="51"/>
      <c r="N4216" s="51"/>
      <c r="O4216" s="52"/>
      <c r="P4216" s="51"/>
      <c r="Q4216" s="51"/>
      <c r="R4216" s="51"/>
      <c r="S4216" s="51"/>
      <c r="T4216" s="51"/>
      <c r="AR4216" s="51"/>
      <c r="AS4216" s="51"/>
    </row>
    <row r="4217" spans="1:45" s="520" customFormat="1" ht="12">
      <c r="A4217" s="51"/>
      <c r="B4217" s="51"/>
      <c r="C4217" s="51"/>
      <c r="D4217" s="37" t="s">
        <v>842</v>
      </c>
      <c r="E4217" s="51"/>
      <c r="F4217" s="51"/>
      <c r="G4217" s="51"/>
      <c r="H4217" s="51"/>
      <c r="I4217" s="51"/>
      <c r="J4217" s="51"/>
      <c r="K4217" s="51"/>
      <c r="L4217" s="51"/>
      <c r="M4217" s="51"/>
      <c r="N4217" s="51"/>
      <c r="O4217" s="52"/>
      <c r="P4217" s="51"/>
      <c r="Q4217" s="51"/>
      <c r="R4217" s="51"/>
      <c r="S4217" s="38"/>
      <c r="T4217" s="38"/>
      <c r="AR4217" s="51"/>
      <c r="AS4217" s="51"/>
    </row>
    <row r="4218" spans="1:45" s="3" customFormat="1" thickBot="1">
      <c r="A4218" s="531"/>
      <c r="O4218" s="107"/>
      <c r="AR4218" s="531"/>
    </row>
    <row r="4219" spans="1:45" s="520" customFormat="1" ht="12" thickTop="1">
      <c r="A4219" s="51"/>
      <c r="B4219" s="41"/>
      <c r="C4219" s="51"/>
      <c r="E4219" s="42" t="s">
        <v>138</v>
      </c>
      <c r="F4219" s="42" t="s">
        <v>139</v>
      </c>
      <c r="G4219" s="51"/>
      <c r="H4219" s="51"/>
      <c r="I4219" s="51"/>
      <c r="J4219" s="51"/>
      <c r="K4219" s="51" t="s">
        <v>140</v>
      </c>
      <c r="L4219" s="51"/>
      <c r="M4219" s="51"/>
      <c r="N4219" s="51"/>
      <c r="O4219" s="52"/>
      <c r="P4219" s="51"/>
      <c r="Q4219" s="51"/>
      <c r="R4219" s="51"/>
      <c r="S4219" s="51"/>
      <c r="T4219" s="41"/>
      <c r="AG4219" s="521" t="s">
        <v>268</v>
      </c>
      <c r="AH4219" s="521" t="s">
        <v>269</v>
      </c>
      <c r="AI4219" s="521" t="s">
        <v>270</v>
      </c>
      <c r="AJ4219" s="521" t="s">
        <v>271</v>
      </c>
      <c r="AK4219" s="521" t="s">
        <v>272</v>
      </c>
      <c r="AM4219" s="745" t="s">
        <v>281</v>
      </c>
      <c r="AN4219" s="746" t="s">
        <v>282</v>
      </c>
      <c r="AO4219" s="522" t="s">
        <v>278</v>
      </c>
      <c r="AR4219" s="51"/>
      <c r="AS4219" s="42" t="s">
        <v>139</v>
      </c>
    </row>
    <row r="4220" spans="1:45" s="520" customFormat="1" ht="12" customHeight="1">
      <c r="A4220" s="747">
        <v>1</v>
      </c>
      <c r="B4220" s="523" t="s">
        <v>141</v>
      </c>
      <c r="C4220" s="748"/>
      <c r="D4220" s="749" t="s">
        <v>1744</v>
      </c>
      <c r="E4220" s="750">
        <f ca="1">IF(AND($A4220=0,$A$1="DIF"),0, ROUND(ROUND(($R4226*$S$2+($T4226*$T$2))/A4220,2)*$C$2,2))</f>
        <v>61.15</v>
      </c>
      <c r="F4220" s="751">
        <f ca="1">ROUND($A4220*$E4220,2)</f>
        <v>61.15</v>
      </c>
      <c r="G4220" s="752" t="s">
        <v>142</v>
      </c>
      <c r="H4220" s="753"/>
      <c r="I4220" s="754"/>
      <c r="J4220" s="753"/>
      <c r="K4220" s="753" t="s">
        <v>3</v>
      </c>
      <c r="L4220" s="755" t="s">
        <v>143</v>
      </c>
      <c r="M4220" s="755"/>
      <c r="N4220" s="755"/>
      <c r="O4220" s="755"/>
      <c r="P4220" s="755"/>
      <c r="Q4220" s="51"/>
      <c r="T4220" s="756" t="str">
        <f ca="1">IF(AND($R4226=0,$T4226=0),"0.00","mu :" &amp; ROUND($F4220/$C$2/($R4226+$T4226*$D$9),2))</f>
        <v>mu :1.23</v>
      </c>
      <c r="W4220" s="524"/>
      <c r="AG4220" s="481">
        <f ca="1">IF($E4220=0,0,ROUND($R4226*$S$2*$C$2/$A4220,2))</f>
        <v>25.88</v>
      </c>
      <c r="AH4220" s="481">
        <f ca="1">$AG4220*$A4220</f>
        <v>25.88</v>
      </c>
      <c r="AI4220" s="525">
        <f ca="1">$E4220-$AG4220</f>
        <v>35.269999999999996</v>
      </c>
      <c r="AJ4220" s="525">
        <f ca="1">$A4220*$AI4220</f>
        <v>35.269999999999996</v>
      </c>
      <c r="AK4220" s="526">
        <f ca="1">ROUND(($AG4220+$AI4220)*$A4220,2)</f>
        <v>61.15</v>
      </c>
      <c r="AM4220" s="527">
        <f ca="1">ROUND(R4226,2)</f>
        <v>21.02</v>
      </c>
      <c r="AN4220" s="528">
        <f ca="1">ROUND(T4226,2)</f>
        <v>1.04</v>
      </c>
      <c r="AO4220" s="529">
        <f ca="1">ROUND(AM4220+AN4220,2)*A4220</f>
        <v>22.06</v>
      </c>
      <c r="AR4220" s="747">
        <v>1</v>
      </c>
      <c r="AS4220" s="751">
        <v>65.11</v>
      </c>
    </row>
    <row r="4221" spans="1:45" s="520" customFormat="1" ht="13.2">
      <c r="A4221" s="748"/>
      <c r="B4221"/>
      <c r="C4221" s="748"/>
      <c r="D4221" s="749" t="s">
        <v>805</v>
      </c>
      <c r="F4221" s="753"/>
      <c r="G4221" s="3"/>
      <c r="H4221" s="753"/>
      <c r="I4221" s="754"/>
      <c r="J4221" s="753"/>
      <c r="K4221" s="753" t="s">
        <v>144</v>
      </c>
      <c r="L4221" s="753"/>
      <c r="M4221" s="753"/>
      <c r="N4221" s="753"/>
      <c r="O4221" s="753"/>
      <c r="P4221" s="753"/>
      <c r="Q4221" s="51"/>
      <c r="R4221" s="530"/>
      <c r="S4221" s="757"/>
      <c r="T4221" s="753"/>
      <c r="AR4221" s="748"/>
      <c r="AS4221" s="753"/>
    </row>
    <row r="4222" spans="1:45" s="886" customFormat="1" ht="13.2">
      <c r="A4222"/>
      <c r="B4222" s="910"/>
      <c r="C4222" s="910" t="s">
        <v>2597</v>
      </c>
      <c r="D4222" s="910" t="str">
        <f ca="1">CELL("Address",Elec_Rates!D$39)</f>
        <v>[E25_0062_Quintano_Foods_Elec_ELV_As_Awarded.xlsx]Elec_Rates!$D$39</v>
      </c>
      <c r="E4222" s="911"/>
      <c r="F4222" s="911"/>
      <c r="G4222" s="912" t="s">
        <v>2598</v>
      </c>
      <c r="H4222" s="912"/>
      <c r="I4222" s="912"/>
      <c r="J4222" s="912"/>
      <c r="K4222" s="913"/>
      <c r="L4222" s="911"/>
      <c r="M4222" s="911"/>
      <c r="N4222" s="911"/>
      <c r="O4222" s="914"/>
      <c r="P4222" s="911"/>
      <c r="Q4222" s="915"/>
      <c r="R4222" s="916"/>
      <c r="S4222" s="915"/>
      <c r="T4222" s="917"/>
      <c r="U4222" s="918"/>
      <c r="AR4222"/>
      <c r="AS4222" s="911"/>
    </row>
    <row r="4223" spans="1:45" s="886" customFormat="1" ht="11.4">
      <c r="A4223" s="919">
        <v>1</v>
      </c>
      <c r="B4223" s="920">
        <v>1</v>
      </c>
      <c r="C4223" s="920">
        <f>$A4223*$B4223</f>
        <v>1</v>
      </c>
      <c r="D4223" s="921" t="str">
        <f>Elec_Rates!$D$39</f>
        <v>003# Power Point Rate (LSZH Conduit)</v>
      </c>
      <c r="E4223" s="921"/>
      <c r="F4223" s="921" t="s">
        <v>2599</v>
      </c>
      <c r="G4223" s="922" t="s">
        <v>2601</v>
      </c>
      <c r="H4223" s="922"/>
      <c r="I4223" s="922"/>
      <c r="J4223" s="922"/>
      <c r="K4223" s="923"/>
      <c r="L4223" s="918"/>
      <c r="M4223" s="918"/>
      <c r="N4223" s="918"/>
      <c r="O4223" s="924"/>
      <c r="P4223" s="921"/>
      <c r="Q4223" s="925">
        <f ca="1">$B4223*Elec_Rates!$R$39</f>
        <v>18.920000000000002</v>
      </c>
      <c r="R4223" s="916">
        <f ca="1">$A4223*Q4223</f>
        <v>18.920000000000002</v>
      </c>
      <c r="S4223" s="925">
        <f ca="1">$B4223*Elec_Rates!$T$39</f>
        <v>0.89</v>
      </c>
      <c r="T4223" s="917">
        <f ca="1">$A4223*S4223</f>
        <v>0.89</v>
      </c>
      <c r="U4223" s="926"/>
      <c r="AR4223" s="919">
        <v>1</v>
      </c>
      <c r="AS4223" s="921" t="s">
        <v>2599</v>
      </c>
    </row>
    <row r="4224" spans="1:45" s="901" customFormat="1" ht="13.2">
      <c r="A4224" s="116">
        <v>1</v>
      </c>
      <c r="B4224" s="901" t="s">
        <v>141</v>
      </c>
      <c r="D4224" s="901" t="s">
        <v>2977</v>
      </c>
      <c r="E4224" s="901" t="s">
        <v>3424</v>
      </c>
      <c r="F4224" s="1054" t="s">
        <v>3436</v>
      </c>
      <c r="G4224" s="941" t="s">
        <v>2978</v>
      </c>
      <c r="H4224" s="942">
        <v>705</v>
      </c>
      <c r="I4224" s="901" t="s">
        <v>2979</v>
      </c>
      <c r="J4224" s="901" t="s">
        <v>2980</v>
      </c>
      <c r="O4224" s="943">
        <v>3</v>
      </c>
      <c r="P4224" s="944">
        <v>34669</v>
      </c>
      <c r="Q4224" s="945">
        <v>2.1</v>
      </c>
      <c r="R4224" s="946">
        <f>$A4224*Q4224</f>
        <v>2.1</v>
      </c>
      <c r="S4224" s="945">
        <v>0.17</v>
      </c>
      <c r="T4224" s="947">
        <f>$A4224*S4224*$T$1</f>
        <v>0.15300000000000002</v>
      </c>
      <c r="AR4224" s="116">
        <v>1</v>
      </c>
      <c r="AS4224" s="1054" t="s">
        <v>3436</v>
      </c>
    </row>
    <row r="4225" spans="1:45" s="520" customFormat="1" ht="12">
      <c r="A4225" s="758"/>
      <c r="B4225" s="758"/>
      <c r="C4225" s="758"/>
      <c r="D4225" s="758"/>
      <c r="E4225" s="758"/>
      <c r="F4225" s="753"/>
      <c r="G4225" s="758"/>
      <c r="H4225" s="758"/>
      <c r="I4225" s="519"/>
      <c r="J4225" s="758"/>
      <c r="K4225" s="758"/>
      <c r="L4225" s="758"/>
      <c r="M4225" s="758"/>
      <c r="N4225" s="758"/>
      <c r="O4225" s="758"/>
      <c r="P4225" s="758"/>
      <c r="Q4225" s="519"/>
      <c r="R4225" s="759">
        <f>$A4225*Q4225</f>
        <v>0</v>
      </c>
      <c r="S4225" s="519"/>
      <c r="T4225" s="760">
        <f>$A4225*S4225*$T$1</f>
        <v>0</v>
      </c>
      <c r="AR4225" s="758"/>
      <c r="AS4225" s="753"/>
    </row>
    <row r="4226" spans="1:45" s="520" customFormat="1" ht="12.6" thickBot="1">
      <c r="A4226" s="761" t="s">
        <v>145</v>
      </c>
      <c r="B4226" s="762">
        <f>(R4225+T4225)</f>
        <v>0</v>
      </c>
      <c r="C4226" s="763"/>
      <c r="D4226" s="763"/>
      <c r="E4226" s="763"/>
      <c r="F4226" s="764"/>
      <c r="G4226" s="763" t="s">
        <v>146</v>
      </c>
      <c r="H4226" s="763"/>
      <c r="I4226" s="765"/>
      <c r="J4226" s="763"/>
      <c r="K4226" s="763" t="s">
        <v>3</v>
      </c>
      <c r="L4226" s="766" t="s">
        <v>143</v>
      </c>
      <c r="M4226" s="766"/>
      <c r="N4226" s="766"/>
      <c r="O4226" s="766"/>
      <c r="P4226" s="766"/>
      <c r="Q4226" s="767"/>
      <c r="R4226" s="768">
        <f ca="1">SUM(R4221:R4225)</f>
        <v>21.020000000000003</v>
      </c>
      <c r="S4226" s="763"/>
      <c r="T4226" s="768">
        <f ca="1">SUM(T4221:T4225)</f>
        <v>1.0430000000000001</v>
      </c>
      <c r="U4226" s="531"/>
      <c r="V4226" s="531"/>
      <c r="W4226" s="531"/>
      <c r="X4226" s="531"/>
      <c r="Y4226" s="531"/>
      <c r="Z4226" s="531"/>
      <c r="AA4226" s="531"/>
      <c r="AB4226" s="531"/>
      <c r="AC4226" s="531"/>
      <c r="AD4226" s="531"/>
      <c r="AE4226" s="531"/>
      <c r="AF4226" s="531"/>
      <c r="AG4226" s="531"/>
      <c r="AH4226" s="531"/>
      <c r="AI4226" s="531"/>
      <c r="AJ4226" s="531"/>
      <c r="AK4226" s="531"/>
      <c r="AL4226" s="531"/>
      <c r="AM4226" s="531"/>
      <c r="AN4226" s="531"/>
      <c r="AO4226" s="531"/>
      <c r="AR4226" s="761" t="s">
        <v>145</v>
      </c>
      <c r="AS4226" s="764"/>
    </row>
    <row r="4227" spans="1:45" s="520" customFormat="1" ht="12" thickTop="1">
      <c r="A4227" s="51"/>
      <c r="B4227" s="41"/>
      <c r="C4227" s="51"/>
      <c r="E4227" s="42" t="s">
        <v>138</v>
      </c>
      <c r="F4227" s="42" t="s">
        <v>139</v>
      </c>
      <c r="G4227" s="51"/>
      <c r="H4227" s="51"/>
      <c r="I4227" s="51"/>
      <c r="J4227" s="51"/>
      <c r="K4227" s="51" t="s">
        <v>140</v>
      </c>
      <c r="L4227" s="51"/>
      <c r="M4227" s="51"/>
      <c r="N4227" s="51"/>
      <c r="O4227" s="52"/>
      <c r="P4227" s="51"/>
      <c r="Q4227" s="51"/>
      <c r="R4227" s="51"/>
      <c r="S4227" s="51"/>
      <c r="T4227" s="41"/>
      <c r="AG4227" s="521" t="s">
        <v>268</v>
      </c>
      <c r="AH4227" s="521" t="s">
        <v>269</v>
      </c>
      <c r="AI4227" s="521" t="s">
        <v>270</v>
      </c>
      <c r="AJ4227" s="521" t="s">
        <v>271</v>
      </c>
      <c r="AK4227" s="521" t="s">
        <v>272</v>
      </c>
      <c r="AM4227" s="745" t="s">
        <v>281</v>
      </c>
      <c r="AN4227" s="746" t="s">
        <v>282</v>
      </c>
      <c r="AO4227" s="522" t="s">
        <v>278</v>
      </c>
      <c r="AR4227" s="51"/>
      <c r="AS4227" s="42" t="s">
        <v>139</v>
      </c>
    </row>
    <row r="4228" spans="1:45" s="520" customFormat="1" ht="12" customHeight="1">
      <c r="A4228" s="747">
        <v>1</v>
      </c>
      <c r="B4228" s="523" t="s">
        <v>141</v>
      </c>
      <c r="C4228" s="748"/>
      <c r="D4228" s="749" t="s">
        <v>1745</v>
      </c>
      <c r="E4228" s="750">
        <f ca="1">IF(AND($A4228=0,$A$1="DIF"),0, ROUND(ROUND(($R4234*$S$2+($T4234*$T$2))/A4228,2)*$C$2,2))</f>
        <v>75.63</v>
      </c>
      <c r="F4228" s="751">
        <f ca="1">ROUND($A4228*$E4228,2)</f>
        <v>75.63</v>
      </c>
      <c r="G4228" s="752" t="s">
        <v>142</v>
      </c>
      <c r="H4228" s="753"/>
      <c r="I4228" s="754"/>
      <c r="J4228" s="753"/>
      <c r="K4228" s="753" t="s">
        <v>3</v>
      </c>
      <c r="L4228" s="755" t="s">
        <v>143</v>
      </c>
      <c r="M4228" s="755"/>
      <c r="N4228" s="755"/>
      <c r="O4228" s="755"/>
      <c r="P4228" s="755"/>
      <c r="Q4228" s="51"/>
      <c r="T4228" s="756" t="str">
        <f ca="1">IF(AND($R4234=0,$T4234=0),"0.00","mu :" &amp; ROUND($F4228/$C$2/($R4234+$T4234*$D$9),2))</f>
        <v>mu :1.23</v>
      </c>
      <c r="W4228" s="524"/>
      <c r="AG4228" s="481">
        <f ca="1">IF($E4228=0,0,ROUND($R4234*$S$2*$C$2/$A4228,2))</f>
        <v>40.36</v>
      </c>
      <c r="AH4228" s="481">
        <f ca="1">$AG4228*$A4228</f>
        <v>40.36</v>
      </c>
      <c r="AI4228" s="525">
        <f ca="1">$E4228-$AG4228</f>
        <v>35.269999999999996</v>
      </c>
      <c r="AJ4228" s="525">
        <f ca="1">$A4228*$AI4228</f>
        <v>35.269999999999996</v>
      </c>
      <c r="AK4228" s="526">
        <f ca="1">ROUND(($AG4228+$AI4228)*$A4228,2)</f>
        <v>75.63</v>
      </c>
      <c r="AM4228" s="527">
        <f ca="1">ROUND(R4234,2)</f>
        <v>32.78</v>
      </c>
      <c r="AN4228" s="528">
        <f ca="1">ROUND(T4234,2)</f>
        <v>1.04</v>
      </c>
      <c r="AO4228" s="529">
        <f ca="1">ROUND(AM4228+AN4228,2)*A4228</f>
        <v>33.82</v>
      </c>
      <c r="AR4228" s="747">
        <v>1</v>
      </c>
      <c r="AS4228" s="751">
        <v>79.59</v>
      </c>
    </row>
    <row r="4229" spans="1:45" s="520" customFormat="1" ht="13.2">
      <c r="A4229" s="748"/>
      <c r="B4229"/>
      <c r="C4229" s="748"/>
      <c r="D4229" s="749" t="s">
        <v>843</v>
      </c>
      <c r="F4229" s="753"/>
      <c r="G4229" s="3"/>
      <c r="H4229" s="753"/>
      <c r="I4229" s="754"/>
      <c r="J4229" s="753"/>
      <c r="K4229" s="753" t="s">
        <v>144</v>
      </c>
      <c r="L4229" s="753"/>
      <c r="M4229" s="753"/>
      <c r="N4229" s="753"/>
      <c r="O4229" s="753"/>
      <c r="P4229" s="753"/>
      <c r="Q4229" s="51"/>
      <c r="R4229" s="530"/>
      <c r="S4229" s="757"/>
      <c r="T4229" s="753"/>
      <c r="AR4229" s="748"/>
      <c r="AS4229" s="753"/>
    </row>
    <row r="4230" spans="1:45" s="886" customFormat="1" ht="13.2">
      <c r="A4230"/>
      <c r="B4230" s="910"/>
      <c r="C4230" s="910" t="s">
        <v>2597</v>
      </c>
      <c r="D4230" s="910" t="str">
        <f ca="1">CELL("Address",Elec_Rates!D$39)</f>
        <v>[E25_0062_Quintano_Foods_Elec_ELV_As_Awarded.xlsx]Elec_Rates!$D$39</v>
      </c>
      <c r="E4230" s="911"/>
      <c r="F4230" s="911"/>
      <c r="G4230" s="912" t="s">
        <v>2598</v>
      </c>
      <c r="H4230" s="912"/>
      <c r="I4230" s="912"/>
      <c r="J4230" s="912"/>
      <c r="K4230" s="913"/>
      <c r="L4230" s="911"/>
      <c r="M4230" s="911"/>
      <c r="N4230" s="911"/>
      <c r="O4230" s="914"/>
      <c r="P4230" s="911"/>
      <c r="Q4230" s="915"/>
      <c r="R4230" s="916"/>
      <c r="S4230" s="915"/>
      <c r="T4230" s="917"/>
      <c r="U4230" s="918"/>
      <c r="AR4230"/>
      <c r="AS4230" s="911"/>
    </row>
    <row r="4231" spans="1:45" s="886" customFormat="1" ht="11.4">
      <c r="A4231" s="919">
        <v>1</v>
      </c>
      <c r="B4231" s="920">
        <v>1</v>
      </c>
      <c r="C4231" s="920">
        <f>$A4231*$B4231</f>
        <v>1</v>
      </c>
      <c r="D4231" s="921" t="str">
        <f>Elec_Rates!$D$39</f>
        <v>003# Power Point Rate (LSZH Conduit)</v>
      </c>
      <c r="E4231" s="921"/>
      <c r="F4231" s="921" t="s">
        <v>2599</v>
      </c>
      <c r="G4231" s="922" t="s">
        <v>2601</v>
      </c>
      <c r="H4231" s="922"/>
      <c r="I4231" s="922"/>
      <c r="J4231" s="922"/>
      <c r="K4231" s="923"/>
      <c r="L4231" s="918"/>
      <c r="M4231" s="918"/>
      <c r="N4231" s="918"/>
      <c r="O4231" s="924"/>
      <c r="P4231" s="921"/>
      <c r="Q4231" s="925">
        <f ca="1">$B4231*Elec_Rates!$R$39</f>
        <v>18.920000000000002</v>
      </c>
      <c r="R4231" s="916">
        <f ca="1">$A4231*Q4231</f>
        <v>18.920000000000002</v>
      </c>
      <c r="S4231" s="925">
        <f ca="1">$B4231*Elec_Rates!$T$39</f>
        <v>0.89</v>
      </c>
      <c r="T4231" s="917">
        <f ca="1">$A4231*S4231</f>
        <v>0.89</v>
      </c>
      <c r="U4231" s="926"/>
      <c r="AR4231" s="919">
        <v>1</v>
      </c>
      <c r="AS4231" s="921" t="s">
        <v>2599</v>
      </c>
    </row>
    <row r="4232" spans="1:45" s="901" customFormat="1" ht="13.2">
      <c r="A4232" s="116">
        <v>1</v>
      </c>
      <c r="B4232" s="901" t="s">
        <v>141</v>
      </c>
      <c r="D4232" s="901" t="s">
        <v>3033</v>
      </c>
      <c r="E4232" s="901" t="s">
        <v>3424</v>
      </c>
      <c r="F4232" s="1054" t="s">
        <v>3429</v>
      </c>
      <c r="G4232" s="941" t="s">
        <v>3031</v>
      </c>
      <c r="H4232" s="942">
        <v>705</v>
      </c>
      <c r="I4232" s="901" t="s">
        <v>2607</v>
      </c>
      <c r="O4232" s="943">
        <v>3</v>
      </c>
      <c r="P4232" s="944"/>
      <c r="Q4232" s="945">
        <v>13.86</v>
      </c>
      <c r="R4232" s="946">
        <f>$A4232*Q4232</f>
        <v>13.86</v>
      </c>
      <c r="S4232" s="945">
        <v>0.17</v>
      </c>
      <c r="T4232" s="947">
        <f>$A4232*S4232*$T$1</f>
        <v>0.15300000000000002</v>
      </c>
      <c r="AR4232" s="116">
        <v>1</v>
      </c>
      <c r="AS4232" s="1054" t="s">
        <v>3429</v>
      </c>
    </row>
    <row r="4233" spans="1:45" s="520" customFormat="1" ht="12">
      <c r="A4233" s="758"/>
      <c r="B4233" s="758"/>
      <c r="C4233" s="758"/>
      <c r="D4233" s="758"/>
      <c r="E4233" s="758"/>
      <c r="F4233" s="753"/>
      <c r="G4233" s="758"/>
      <c r="H4233" s="758"/>
      <c r="I4233" s="519"/>
      <c r="J4233" s="758"/>
      <c r="K4233" s="758"/>
      <c r="L4233" s="758"/>
      <c r="M4233" s="758"/>
      <c r="N4233" s="758"/>
      <c r="O4233" s="758"/>
      <c r="P4233" s="758"/>
      <c r="Q4233" s="519"/>
      <c r="R4233" s="759">
        <f>$A4233*Q4233</f>
        <v>0</v>
      </c>
      <c r="S4233" s="519"/>
      <c r="T4233" s="760">
        <f>$A4233*S4233*$T$1</f>
        <v>0</v>
      </c>
      <c r="AR4233" s="758"/>
      <c r="AS4233" s="753"/>
    </row>
    <row r="4234" spans="1:45" s="520" customFormat="1" ht="12.6" thickBot="1">
      <c r="A4234" s="761" t="s">
        <v>145</v>
      </c>
      <c r="B4234" s="762">
        <f>(R4233+T4233)</f>
        <v>0</v>
      </c>
      <c r="C4234" s="763"/>
      <c r="D4234" s="763"/>
      <c r="E4234" s="763"/>
      <c r="F4234" s="764"/>
      <c r="G4234" s="763" t="s">
        <v>146</v>
      </c>
      <c r="H4234" s="763"/>
      <c r="I4234" s="765"/>
      <c r="J4234" s="763"/>
      <c r="K4234" s="763" t="s">
        <v>3</v>
      </c>
      <c r="L4234" s="766" t="s">
        <v>143</v>
      </c>
      <c r="M4234" s="766"/>
      <c r="N4234" s="766"/>
      <c r="O4234" s="766"/>
      <c r="P4234" s="766"/>
      <c r="Q4234" s="767"/>
      <c r="R4234" s="768">
        <f ca="1">SUM(R4229:R4233)</f>
        <v>32.78</v>
      </c>
      <c r="S4234" s="763"/>
      <c r="T4234" s="768">
        <f ca="1">SUM(T4229:T4233)</f>
        <v>1.0430000000000001</v>
      </c>
      <c r="U4234" s="531"/>
      <c r="V4234" s="531"/>
      <c r="W4234" s="531"/>
      <c r="X4234" s="531"/>
      <c r="Y4234" s="531"/>
      <c r="Z4234" s="531"/>
      <c r="AA4234" s="531"/>
      <c r="AB4234" s="531"/>
      <c r="AC4234" s="531"/>
      <c r="AD4234" s="531"/>
      <c r="AE4234" s="531"/>
      <c r="AF4234" s="531"/>
      <c r="AG4234" s="531"/>
      <c r="AH4234" s="531"/>
      <c r="AI4234" s="531"/>
      <c r="AJ4234" s="531"/>
      <c r="AK4234" s="531"/>
      <c r="AL4234" s="531"/>
      <c r="AM4234" s="531"/>
      <c r="AN4234" s="531"/>
      <c r="AO4234" s="531"/>
      <c r="AR4234" s="761" t="s">
        <v>145</v>
      </c>
      <c r="AS4234" s="764"/>
    </row>
    <row r="4235" spans="1:45" s="520" customFormat="1" ht="12" thickTop="1">
      <c r="A4235" s="51"/>
      <c r="B4235" s="41"/>
      <c r="C4235" s="51"/>
      <c r="E4235" s="42" t="s">
        <v>138</v>
      </c>
      <c r="F4235" s="42" t="s">
        <v>139</v>
      </c>
      <c r="G4235" s="51"/>
      <c r="H4235" s="51"/>
      <c r="I4235" s="51"/>
      <c r="J4235" s="51"/>
      <c r="K4235" s="51" t="s">
        <v>140</v>
      </c>
      <c r="L4235" s="51"/>
      <c r="M4235" s="51"/>
      <c r="N4235" s="51"/>
      <c r="O4235" s="52"/>
      <c r="P4235" s="51"/>
      <c r="Q4235" s="51"/>
      <c r="R4235" s="51"/>
      <c r="S4235" s="51"/>
      <c r="T4235" s="41"/>
      <c r="AG4235" s="521" t="s">
        <v>268</v>
      </c>
      <c r="AH4235" s="521" t="s">
        <v>269</v>
      </c>
      <c r="AI4235" s="521" t="s">
        <v>270</v>
      </c>
      <c r="AJ4235" s="521" t="s">
        <v>271</v>
      </c>
      <c r="AK4235" s="521" t="s">
        <v>272</v>
      </c>
      <c r="AM4235" s="745" t="s">
        <v>281</v>
      </c>
      <c r="AN4235" s="746" t="s">
        <v>282</v>
      </c>
      <c r="AO4235" s="522" t="s">
        <v>278</v>
      </c>
      <c r="AR4235" s="51"/>
      <c r="AS4235" s="42" t="s">
        <v>139</v>
      </c>
    </row>
    <row r="4236" spans="1:45" s="520" customFormat="1" ht="12" customHeight="1">
      <c r="A4236" s="747">
        <v>38</v>
      </c>
      <c r="B4236" s="523" t="s">
        <v>141</v>
      </c>
      <c r="C4236" s="748"/>
      <c r="D4236" s="749" t="s">
        <v>1746</v>
      </c>
      <c r="E4236" s="750">
        <f ca="1">IF(AND($A4236=0,$A$1="DIF"),0, ROUND(ROUND(($R4242*$S$2+($T4242*$T$2))/A4236,2)*$C$2,2))</f>
        <v>61.52</v>
      </c>
      <c r="F4236" s="751">
        <f ca="1">ROUND($A4236*$E4236,2)</f>
        <v>2337.7600000000002</v>
      </c>
      <c r="G4236" s="752" t="s">
        <v>142</v>
      </c>
      <c r="H4236" s="753"/>
      <c r="I4236" s="754"/>
      <c r="J4236" s="753"/>
      <c r="K4236" s="753" t="s">
        <v>3</v>
      </c>
      <c r="L4236" s="755" t="s">
        <v>143</v>
      </c>
      <c r="M4236" s="755"/>
      <c r="N4236" s="755"/>
      <c r="O4236" s="755"/>
      <c r="P4236" s="755"/>
      <c r="Q4236" s="51"/>
      <c r="T4236" s="756" t="str">
        <f ca="1">IF(AND($R4242=0,$T4242=0),"0.00","mu :" &amp; ROUND($F4236/$C$2/($R4242+$T4242*$D$9),2))</f>
        <v>mu :1.23</v>
      </c>
      <c r="W4236" s="524"/>
      <c r="AG4236" s="481">
        <f ca="1">IF($E4236=0,0,ROUND($R4242*$S$2*$C$2/$A4236,2))</f>
        <v>26.25</v>
      </c>
      <c r="AH4236" s="481">
        <f ca="1">$AG4236*$A4236</f>
        <v>997.5</v>
      </c>
      <c r="AI4236" s="525">
        <f ca="1">$E4236-$AG4236</f>
        <v>35.270000000000003</v>
      </c>
      <c r="AJ4236" s="525">
        <f ca="1">$A4236*$AI4236</f>
        <v>1340.2600000000002</v>
      </c>
      <c r="AK4236" s="526">
        <f ca="1">ROUND(($AG4236+$AI4236)*$A4236,2)</f>
        <v>2337.7600000000002</v>
      </c>
      <c r="AM4236" s="527">
        <f ca="1">ROUND(R4242,2)</f>
        <v>810.16</v>
      </c>
      <c r="AN4236" s="528">
        <f ca="1">ROUND(T4242,2)</f>
        <v>39.630000000000003</v>
      </c>
      <c r="AO4236" s="529">
        <f ca="1">ROUND(AM4236+AN4236,2)*A4236</f>
        <v>32292.019999999997</v>
      </c>
      <c r="AR4236" s="747">
        <v>38</v>
      </c>
      <c r="AS4236" s="751">
        <v>2487.86</v>
      </c>
    </row>
    <row r="4237" spans="1:45" s="520" customFormat="1" ht="13.2">
      <c r="A4237" s="748"/>
      <c r="B4237"/>
      <c r="C4237" s="748"/>
      <c r="D4237" s="749" t="s">
        <v>788</v>
      </c>
      <c r="F4237" s="753"/>
      <c r="G4237" s="3"/>
      <c r="H4237" s="753"/>
      <c r="I4237" s="754"/>
      <c r="J4237" s="753"/>
      <c r="K4237" s="753" t="s">
        <v>144</v>
      </c>
      <c r="L4237" s="753"/>
      <c r="M4237" s="753"/>
      <c r="N4237" s="753"/>
      <c r="O4237" s="753"/>
      <c r="P4237" s="753"/>
      <c r="Q4237" s="51"/>
      <c r="R4237" s="530"/>
      <c r="S4237" s="757"/>
      <c r="T4237" s="753"/>
      <c r="AR4237" s="748"/>
      <c r="AS4237" s="753"/>
    </row>
    <row r="4238" spans="1:45" s="886" customFormat="1" ht="13.2">
      <c r="A4238"/>
      <c r="B4238" s="910"/>
      <c r="C4238" s="910" t="s">
        <v>2597</v>
      </c>
      <c r="D4238" s="910" t="str">
        <f ca="1">CELL("Address",Elec_Rates!D$39)</f>
        <v>[E25_0062_Quintano_Foods_Elec_ELV_As_Awarded.xlsx]Elec_Rates!$D$39</v>
      </c>
      <c r="E4238" s="911"/>
      <c r="F4238" s="911"/>
      <c r="G4238" s="912" t="s">
        <v>2598</v>
      </c>
      <c r="H4238" s="912"/>
      <c r="I4238" s="912"/>
      <c r="J4238" s="912"/>
      <c r="K4238" s="913"/>
      <c r="L4238" s="911"/>
      <c r="M4238" s="911"/>
      <c r="N4238" s="911"/>
      <c r="O4238" s="914"/>
      <c r="P4238" s="911"/>
      <c r="Q4238" s="915"/>
      <c r="R4238" s="916"/>
      <c r="S4238" s="915"/>
      <c r="T4238" s="917"/>
      <c r="U4238" s="918"/>
      <c r="AR4238"/>
      <c r="AS4238" s="911"/>
    </row>
    <row r="4239" spans="1:45" s="886" customFormat="1" ht="11.4">
      <c r="A4239" s="919">
        <v>38</v>
      </c>
      <c r="B4239" s="920">
        <v>1</v>
      </c>
      <c r="C4239" s="920">
        <f>$A4239*$B4239</f>
        <v>38</v>
      </c>
      <c r="D4239" s="921" t="str">
        <f>Elec_Rates!$D$39</f>
        <v>003# Power Point Rate (LSZH Conduit)</v>
      </c>
      <c r="E4239" s="921"/>
      <c r="F4239" s="921" t="s">
        <v>2599</v>
      </c>
      <c r="G4239" s="922" t="s">
        <v>2601</v>
      </c>
      <c r="H4239" s="922"/>
      <c r="I4239" s="922"/>
      <c r="J4239" s="922"/>
      <c r="K4239" s="923"/>
      <c r="L4239" s="918"/>
      <c r="M4239" s="918"/>
      <c r="N4239" s="918"/>
      <c r="O4239" s="924"/>
      <c r="P4239" s="921"/>
      <c r="Q4239" s="925">
        <f ca="1">$B4239*Elec_Rates!$R$39</f>
        <v>18.920000000000002</v>
      </c>
      <c r="R4239" s="916">
        <f ca="1">$A4239*Q4239</f>
        <v>718.96</v>
      </c>
      <c r="S4239" s="925">
        <f ca="1">$B4239*Elec_Rates!$T$39</f>
        <v>0.89</v>
      </c>
      <c r="T4239" s="917">
        <f ca="1">$A4239*S4239</f>
        <v>33.82</v>
      </c>
      <c r="U4239" s="926"/>
      <c r="AR4239" s="919">
        <v>38</v>
      </c>
      <c r="AS4239" s="921" t="s">
        <v>2599</v>
      </c>
    </row>
    <row r="4240" spans="1:45" s="901" customFormat="1" ht="13.2">
      <c r="A4240" s="116">
        <v>38</v>
      </c>
      <c r="B4240" s="901" t="s">
        <v>141</v>
      </c>
      <c r="D4240" s="901" t="s">
        <v>2981</v>
      </c>
      <c r="E4240" s="901" t="s">
        <v>3424</v>
      </c>
      <c r="F4240" s="1054" t="s">
        <v>3437</v>
      </c>
      <c r="G4240" s="941" t="s">
        <v>2982</v>
      </c>
      <c r="H4240" s="942">
        <v>705</v>
      </c>
      <c r="I4240" s="901" t="s">
        <v>2979</v>
      </c>
      <c r="J4240" s="901" t="s">
        <v>2983</v>
      </c>
      <c r="O4240" s="943">
        <v>3</v>
      </c>
      <c r="P4240" s="944">
        <v>34669</v>
      </c>
      <c r="Q4240" s="945">
        <v>2.4</v>
      </c>
      <c r="R4240" s="946">
        <f>$A4240*Q4240</f>
        <v>91.2</v>
      </c>
      <c r="S4240" s="945">
        <v>0.17</v>
      </c>
      <c r="T4240" s="947">
        <f>$A4240*S4240*$T$1</f>
        <v>5.8140000000000009</v>
      </c>
      <c r="AR4240" s="116">
        <v>38</v>
      </c>
      <c r="AS4240" s="1054" t="s">
        <v>3437</v>
      </c>
    </row>
    <row r="4241" spans="1:45" s="520" customFormat="1" ht="12">
      <c r="A4241" s="758"/>
      <c r="B4241" s="758"/>
      <c r="C4241" s="758"/>
      <c r="D4241" s="758"/>
      <c r="E4241" s="758"/>
      <c r="F4241" s="753"/>
      <c r="G4241" s="758"/>
      <c r="H4241" s="758"/>
      <c r="I4241" s="519"/>
      <c r="J4241" s="758"/>
      <c r="K4241" s="758"/>
      <c r="L4241" s="758"/>
      <c r="M4241" s="758"/>
      <c r="N4241" s="758"/>
      <c r="O4241" s="758"/>
      <c r="P4241" s="758"/>
      <c r="Q4241" s="519"/>
      <c r="R4241" s="759">
        <f>$A4241*Q4241</f>
        <v>0</v>
      </c>
      <c r="S4241" s="519"/>
      <c r="T4241" s="760">
        <f>$A4241*S4241*$T$1</f>
        <v>0</v>
      </c>
      <c r="AR4241" s="758"/>
      <c r="AS4241" s="753"/>
    </row>
    <row r="4242" spans="1:45" s="520" customFormat="1" ht="12.6" thickBot="1">
      <c r="A4242" s="761" t="s">
        <v>145</v>
      </c>
      <c r="B4242" s="762">
        <f>(R4241+T4241)</f>
        <v>0</v>
      </c>
      <c r="C4242" s="763"/>
      <c r="D4242" s="763"/>
      <c r="E4242" s="763"/>
      <c r="F4242" s="764"/>
      <c r="G4242" s="763" t="s">
        <v>146</v>
      </c>
      <c r="H4242" s="763"/>
      <c r="I4242" s="765"/>
      <c r="J4242" s="763"/>
      <c r="K4242" s="763" t="s">
        <v>3</v>
      </c>
      <c r="L4242" s="766" t="s">
        <v>143</v>
      </c>
      <c r="M4242" s="766"/>
      <c r="N4242" s="766"/>
      <c r="O4242" s="766"/>
      <c r="P4242" s="766"/>
      <c r="Q4242" s="767"/>
      <c r="R4242" s="768">
        <f ca="1">SUM(R4237:R4241)</f>
        <v>810.16000000000008</v>
      </c>
      <c r="S4242" s="763"/>
      <c r="T4242" s="768">
        <f ca="1">SUM(T4237:T4241)</f>
        <v>39.634</v>
      </c>
      <c r="U4242" s="531"/>
      <c r="V4242" s="531"/>
      <c r="W4242" s="531"/>
      <c r="X4242" s="531"/>
      <c r="Y4242" s="531"/>
      <c r="Z4242" s="531"/>
      <c r="AA4242" s="531"/>
      <c r="AB4242" s="531"/>
      <c r="AC4242" s="531"/>
      <c r="AD4242" s="531"/>
      <c r="AE4242" s="531"/>
      <c r="AF4242" s="531"/>
      <c r="AG4242" s="531"/>
      <c r="AH4242" s="531"/>
      <c r="AI4242" s="531"/>
      <c r="AJ4242" s="531"/>
      <c r="AK4242" s="531"/>
      <c r="AL4242" s="531"/>
      <c r="AM4242" s="531"/>
      <c r="AN4242" s="531"/>
      <c r="AO4242" s="531"/>
      <c r="AR4242" s="761" t="s">
        <v>145</v>
      </c>
      <c r="AS4242" s="764"/>
    </row>
    <row r="4243" spans="1:45" s="520" customFormat="1" ht="12" thickTop="1">
      <c r="A4243" s="51"/>
      <c r="B4243" s="41"/>
      <c r="C4243" s="51"/>
      <c r="E4243" s="42" t="s">
        <v>138</v>
      </c>
      <c r="F4243" s="42" t="s">
        <v>139</v>
      </c>
      <c r="G4243" s="51"/>
      <c r="H4243" s="51"/>
      <c r="I4243" s="51"/>
      <c r="J4243" s="51"/>
      <c r="K4243" s="51" t="s">
        <v>140</v>
      </c>
      <c r="L4243" s="51"/>
      <c r="M4243" s="51"/>
      <c r="N4243" s="51"/>
      <c r="O4243" s="52"/>
      <c r="P4243" s="51"/>
      <c r="Q4243" s="51"/>
      <c r="R4243" s="51"/>
      <c r="S4243" s="51"/>
      <c r="T4243" s="41"/>
      <c r="AG4243" s="521" t="s">
        <v>268</v>
      </c>
      <c r="AH4243" s="521" t="s">
        <v>269</v>
      </c>
      <c r="AI4243" s="521" t="s">
        <v>270</v>
      </c>
      <c r="AJ4243" s="521" t="s">
        <v>271</v>
      </c>
      <c r="AK4243" s="521" t="s">
        <v>272</v>
      </c>
      <c r="AM4243" s="745" t="s">
        <v>281</v>
      </c>
      <c r="AN4243" s="746" t="s">
        <v>282</v>
      </c>
      <c r="AO4243" s="522" t="s">
        <v>278</v>
      </c>
      <c r="AR4243" s="51"/>
      <c r="AS4243" s="42" t="s">
        <v>139</v>
      </c>
    </row>
    <row r="4244" spans="1:45" s="520" customFormat="1" ht="12" customHeight="1">
      <c r="A4244" s="747">
        <v>19</v>
      </c>
      <c r="B4244" s="523" t="s">
        <v>141</v>
      </c>
      <c r="C4244" s="748"/>
      <c r="D4244" s="749" t="s">
        <v>1747</v>
      </c>
      <c r="E4244" s="750">
        <f ca="1">IF(AND($A4244=0,$A$1="DIF"),0, ROUND(ROUND(($R4250*$S$2+($T4250*$T$2))/A4244,2)*$C$2,2))</f>
        <v>64.84</v>
      </c>
      <c r="F4244" s="751">
        <f ca="1">ROUND($A4244*$E4244,2)</f>
        <v>1231.96</v>
      </c>
      <c r="G4244" s="752" t="s">
        <v>142</v>
      </c>
      <c r="H4244" s="753"/>
      <c r="I4244" s="754"/>
      <c r="J4244" s="753"/>
      <c r="K4244" s="753" t="s">
        <v>3</v>
      </c>
      <c r="L4244" s="755" t="s">
        <v>143</v>
      </c>
      <c r="M4244" s="755"/>
      <c r="N4244" s="755"/>
      <c r="O4244" s="755"/>
      <c r="P4244" s="755"/>
      <c r="Q4244" s="51"/>
      <c r="T4244" s="756" t="str">
        <f ca="1">IF(AND($R4250=0,$T4250=0),"0.00","mu :" &amp; ROUND($F4244/$C$2/($R4250+$T4250*$D$9),2))</f>
        <v>mu :1.23</v>
      </c>
      <c r="W4244" s="524"/>
      <c r="AG4244" s="481">
        <f ca="1">IF($E4244=0,0,ROUND($R4250*$S$2*$C$2/$A4244,2))</f>
        <v>29.58</v>
      </c>
      <c r="AH4244" s="481">
        <f ca="1">$AG4244*$A4244</f>
        <v>562.02</v>
      </c>
      <c r="AI4244" s="525">
        <f ca="1">$E4244-$AG4244</f>
        <v>35.260000000000005</v>
      </c>
      <c r="AJ4244" s="525">
        <f ca="1">$A4244*$AI4244</f>
        <v>669.94</v>
      </c>
      <c r="AK4244" s="526">
        <f ca="1">ROUND(($AG4244+$AI4244)*$A4244,2)</f>
        <v>1231.96</v>
      </c>
      <c r="AM4244" s="527">
        <f ca="1">ROUND(R4250,2)</f>
        <v>456.38</v>
      </c>
      <c r="AN4244" s="528">
        <f ca="1">ROUND(T4250,2)</f>
        <v>19.82</v>
      </c>
      <c r="AO4244" s="529">
        <f ca="1">ROUND(AM4244+AN4244,2)*A4244</f>
        <v>9047.7999999999993</v>
      </c>
      <c r="AR4244" s="747">
        <v>19</v>
      </c>
      <c r="AS4244" s="751">
        <v>1307.2</v>
      </c>
    </row>
    <row r="4245" spans="1:45" s="520" customFormat="1" ht="13.2">
      <c r="A4245" s="748"/>
      <c r="B4245"/>
      <c r="C4245" s="748"/>
      <c r="D4245" s="749" t="s">
        <v>724</v>
      </c>
      <c r="F4245" s="753"/>
      <c r="G4245" s="3"/>
      <c r="H4245" s="753"/>
      <c r="I4245" s="754"/>
      <c r="J4245" s="753"/>
      <c r="K4245" s="753" t="s">
        <v>144</v>
      </c>
      <c r="L4245" s="753"/>
      <c r="M4245" s="753"/>
      <c r="N4245" s="753"/>
      <c r="O4245" s="753"/>
      <c r="P4245" s="753"/>
      <c r="Q4245" s="51"/>
      <c r="R4245" s="530"/>
      <c r="S4245" s="757"/>
      <c r="T4245" s="753"/>
      <c r="AR4245" s="748"/>
      <c r="AS4245" s="753"/>
    </row>
    <row r="4246" spans="1:45" s="886" customFormat="1" ht="13.2">
      <c r="A4246"/>
      <c r="B4246" s="910"/>
      <c r="C4246" s="910" t="s">
        <v>2597</v>
      </c>
      <c r="D4246" s="910" t="str">
        <f ca="1">CELL("Address",Elec_Rates!D$39)</f>
        <v>[E25_0062_Quintano_Foods_Elec_ELV_As_Awarded.xlsx]Elec_Rates!$D$39</v>
      </c>
      <c r="E4246" s="911"/>
      <c r="F4246" s="911"/>
      <c r="G4246" s="912" t="s">
        <v>2598</v>
      </c>
      <c r="H4246" s="912"/>
      <c r="I4246" s="912"/>
      <c r="J4246" s="912"/>
      <c r="K4246" s="913"/>
      <c r="L4246" s="911"/>
      <c r="M4246" s="911"/>
      <c r="N4246" s="911"/>
      <c r="O4246" s="914"/>
      <c r="P4246" s="911"/>
      <c r="Q4246" s="915"/>
      <c r="R4246" s="916"/>
      <c r="S4246" s="915"/>
      <c r="T4246" s="917"/>
      <c r="U4246" s="918"/>
      <c r="AR4246"/>
      <c r="AS4246" s="911"/>
    </row>
    <row r="4247" spans="1:45" s="886" customFormat="1" ht="11.4">
      <c r="A4247" s="919">
        <v>19</v>
      </c>
      <c r="B4247" s="920">
        <v>1</v>
      </c>
      <c r="C4247" s="920">
        <f>$A4247*$B4247</f>
        <v>19</v>
      </c>
      <c r="D4247" s="921" t="str">
        <f>Elec_Rates!$D$39</f>
        <v>003# Power Point Rate (LSZH Conduit)</v>
      </c>
      <c r="E4247" s="921"/>
      <c r="F4247" s="921" t="s">
        <v>2599</v>
      </c>
      <c r="G4247" s="922" t="s">
        <v>2601</v>
      </c>
      <c r="H4247" s="922"/>
      <c r="I4247" s="922"/>
      <c r="J4247" s="922"/>
      <c r="K4247" s="923"/>
      <c r="L4247" s="918"/>
      <c r="M4247" s="918"/>
      <c r="N4247" s="918"/>
      <c r="O4247" s="924"/>
      <c r="P4247" s="921"/>
      <c r="Q4247" s="925">
        <f ca="1">$B4247*Elec_Rates!$R$39</f>
        <v>18.920000000000002</v>
      </c>
      <c r="R4247" s="916">
        <f ca="1">$A4247*Q4247</f>
        <v>359.48</v>
      </c>
      <c r="S4247" s="925">
        <f ca="1">$B4247*Elec_Rates!$T$39</f>
        <v>0.89</v>
      </c>
      <c r="T4247" s="917">
        <f ca="1">$A4247*S4247</f>
        <v>16.91</v>
      </c>
      <c r="U4247" s="926"/>
      <c r="AR4247" s="919">
        <v>19</v>
      </c>
      <c r="AS4247" s="921" t="s">
        <v>2599</v>
      </c>
    </row>
    <row r="4248" spans="1:45" s="901" customFormat="1" ht="13.2">
      <c r="A4248" s="116">
        <v>19</v>
      </c>
      <c r="B4248" s="901" t="s">
        <v>141</v>
      </c>
      <c r="D4248" s="901" t="s">
        <v>2984</v>
      </c>
      <c r="E4248" s="901" t="s">
        <v>3424</v>
      </c>
      <c r="F4248" s="1054" t="s">
        <v>3434</v>
      </c>
      <c r="G4248" s="941" t="s">
        <v>2985</v>
      </c>
      <c r="H4248" s="942">
        <v>705</v>
      </c>
      <c r="I4248" s="901" t="s">
        <v>2979</v>
      </c>
      <c r="J4248" s="901" t="s">
        <v>2986</v>
      </c>
      <c r="O4248" s="943">
        <v>3</v>
      </c>
      <c r="P4248" s="944">
        <v>34669</v>
      </c>
      <c r="Q4248" s="945">
        <v>5.0999999999999996</v>
      </c>
      <c r="R4248" s="946">
        <f>$A4248*Q4248</f>
        <v>96.899999999999991</v>
      </c>
      <c r="S4248" s="945">
        <v>0.17</v>
      </c>
      <c r="T4248" s="947">
        <f>$A4248*S4248*$T$1</f>
        <v>2.9070000000000005</v>
      </c>
      <c r="AR4248" s="116">
        <v>19</v>
      </c>
      <c r="AS4248" s="1054" t="s">
        <v>3434</v>
      </c>
    </row>
    <row r="4249" spans="1:45" s="520" customFormat="1" ht="12">
      <c r="A4249" s="758"/>
      <c r="B4249" s="758"/>
      <c r="C4249" s="758"/>
      <c r="D4249" s="758"/>
      <c r="E4249" s="758"/>
      <c r="F4249" s="753"/>
      <c r="G4249" s="758"/>
      <c r="H4249" s="758"/>
      <c r="I4249" s="519"/>
      <c r="J4249" s="758"/>
      <c r="K4249" s="758"/>
      <c r="L4249" s="758"/>
      <c r="M4249" s="758"/>
      <c r="N4249" s="758"/>
      <c r="O4249" s="758"/>
      <c r="P4249" s="758"/>
      <c r="Q4249" s="519"/>
      <c r="R4249" s="759">
        <f>$A4249*Q4249</f>
        <v>0</v>
      </c>
      <c r="S4249" s="519"/>
      <c r="T4249" s="760">
        <f>$A4249*S4249*$T$1</f>
        <v>0</v>
      </c>
      <c r="AR4249" s="758"/>
      <c r="AS4249" s="753"/>
    </row>
    <row r="4250" spans="1:45" s="520" customFormat="1" ht="12.6" thickBot="1">
      <c r="A4250" s="761" t="s">
        <v>145</v>
      </c>
      <c r="B4250" s="762">
        <f>(R4249+T4249)</f>
        <v>0</v>
      </c>
      <c r="C4250" s="763"/>
      <c r="D4250" s="763"/>
      <c r="E4250" s="763"/>
      <c r="F4250" s="764"/>
      <c r="G4250" s="763" t="s">
        <v>146</v>
      </c>
      <c r="H4250" s="763"/>
      <c r="I4250" s="765"/>
      <c r="J4250" s="763"/>
      <c r="K4250" s="763" t="s">
        <v>3</v>
      </c>
      <c r="L4250" s="766" t="s">
        <v>143</v>
      </c>
      <c r="M4250" s="766"/>
      <c r="N4250" s="766"/>
      <c r="O4250" s="766"/>
      <c r="P4250" s="766"/>
      <c r="Q4250" s="767"/>
      <c r="R4250" s="768">
        <f ca="1">SUM(R4245:R4249)</f>
        <v>456.38</v>
      </c>
      <c r="S4250" s="763"/>
      <c r="T4250" s="768">
        <f ca="1">SUM(T4245:T4249)</f>
        <v>19.817</v>
      </c>
      <c r="U4250" s="531"/>
      <c r="V4250" s="531"/>
      <c r="W4250" s="531"/>
      <c r="X4250" s="531"/>
      <c r="Y4250" s="531"/>
      <c r="Z4250" s="531"/>
      <c r="AA4250" s="531"/>
      <c r="AB4250" s="531"/>
      <c r="AC4250" s="531"/>
      <c r="AD4250" s="531"/>
      <c r="AE4250" s="531"/>
      <c r="AF4250" s="531"/>
      <c r="AG4250" s="531"/>
      <c r="AH4250" s="531"/>
      <c r="AI4250" s="531"/>
      <c r="AJ4250" s="531"/>
      <c r="AK4250" s="531"/>
      <c r="AL4250" s="531"/>
      <c r="AM4250" s="531"/>
      <c r="AN4250" s="531"/>
      <c r="AO4250" s="531"/>
      <c r="AR4250" s="761" t="s">
        <v>145</v>
      </c>
      <c r="AS4250" s="764"/>
    </row>
    <row r="4251" spans="1:45" s="520" customFormat="1" ht="12" thickTop="1">
      <c r="A4251" s="51"/>
      <c r="B4251" s="41"/>
      <c r="C4251" s="51"/>
      <c r="E4251" s="42" t="s">
        <v>138</v>
      </c>
      <c r="F4251" s="42" t="s">
        <v>139</v>
      </c>
      <c r="G4251" s="51"/>
      <c r="H4251" s="51"/>
      <c r="I4251" s="51"/>
      <c r="J4251" s="51"/>
      <c r="K4251" s="51" t="s">
        <v>140</v>
      </c>
      <c r="L4251" s="51"/>
      <c r="M4251" s="51"/>
      <c r="N4251" s="51"/>
      <c r="O4251" s="52"/>
      <c r="P4251" s="51"/>
      <c r="Q4251" s="51"/>
      <c r="R4251" s="51"/>
      <c r="S4251" s="51"/>
      <c r="T4251" s="41"/>
      <c r="AG4251" s="521" t="s">
        <v>268</v>
      </c>
      <c r="AH4251" s="521" t="s">
        <v>269</v>
      </c>
      <c r="AI4251" s="521" t="s">
        <v>270</v>
      </c>
      <c r="AJ4251" s="521" t="s">
        <v>271</v>
      </c>
      <c r="AK4251" s="521" t="s">
        <v>272</v>
      </c>
      <c r="AM4251" s="745" t="s">
        <v>281</v>
      </c>
      <c r="AN4251" s="746" t="s">
        <v>282</v>
      </c>
      <c r="AO4251" s="522" t="s">
        <v>278</v>
      </c>
      <c r="AR4251" s="51"/>
      <c r="AS4251" s="42" t="s">
        <v>139</v>
      </c>
    </row>
    <row r="4252" spans="1:45" s="520" customFormat="1" ht="12" customHeight="1">
      <c r="A4252" s="747">
        <v>1</v>
      </c>
      <c r="B4252" s="523" t="s">
        <v>141</v>
      </c>
      <c r="C4252" s="748"/>
      <c r="D4252" s="749" t="s">
        <v>1748</v>
      </c>
      <c r="E4252" s="750">
        <f ca="1">IF(AND($A4252=0,$A$1="DIF"),0, ROUND(ROUND(($R4258*$S$2+($T4258*$T$2))/A4252,2)*$C$2,2))</f>
        <v>63.24</v>
      </c>
      <c r="F4252" s="751">
        <f ca="1">ROUND($A4252*$E4252,2)</f>
        <v>63.24</v>
      </c>
      <c r="G4252" s="752" t="s">
        <v>142</v>
      </c>
      <c r="H4252" s="753"/>
      <c r="I4252" s="754"/>
      <c r="J4252" s="753"/>
      <c r="K4252" s="753" t="s">
        <v>3</v>
      </c>
      <c r="L4252" s="755" t="s">
        <v>143</v>
      </c>
      <c r="M4252" s="755"/>
      <c r="N4252" s="755"/>
      <c r="O4252" s="755"/>
      <c r="P4252" s="755"/>
      <c r="Q4252" s="51"/>
      <c r="T4252" s="756" t="str">
        <f ca="1">IF(AND($R4258=0,$T4258=0),"0.00","mu :" &amp; ROUND($F4252/$C$2/($R4258+$T4258*$D$9),2))</f>
        <v>mu :1.23</v>
      </c>
      <c r="W4252" s="524"/>
      <c r="AG4252" s="481">
        <f ca="1">IF($E4252=0,0,ROUND($R4258*$S$2*$C$2/$A4252,2))</f>
        <v>27.98</v>
      </c>
      <c r="AH4252" s="481">
        <f ca="1">$AG4252*$A4252</f>
        <v>27.98</v>
      </c>
      <c r="AI4252" s="525">
        <f ca="1">$E4252-$AG4252</f>
        <v>35.260000000000005</v>
      </c>
      <c r="AJ4252" s="525">
        <f ca="1">$A4252*$AI4252</f>
        <v>35.260000000000005</v>
      </c>
      <c r="AK4252" s="526">
        <f ca="1">ROUND(($AG4252+$AI4252)*$A4252,2)</f>
        <v>63.24</v>
      </c>
      <c r="AM4252" s="527">
        <f ca="1">ROUND(R4258,2)</f>
        <v>22.72</v>
      </c>
      <c r="AN4252" s="528">
        <f ca="1">ROUND(T4258,2)</f>
        <v>1.04</v>
      </c>
      <c r="AO4252" s="529">
        <f ca="1">ROUND(AM4252+AN4252,2)*A4252</f>
        <v>23.76</v>
      </c>
      <c r="AR4252" s="747">
        <v>1</v>
      </c>
      <c r="AS4252" s="751">
        <v>67.2</v>
      </c>
    </row>
    <row r="4253" spans="1:45" s="520" customFormat="1" ht="13.2">
      <c r="A4253" s="748"/>
      <c r="B4253"/>
      <c r="C4253" s="748"/>
      <c r="D4253" s="749" t="s">
        <v>807</v>
      </c>
      <c r="F4253" s="753"/>
      <c r="G4253" s="3"/>
      <c r="H4253" s="753"/>
      <c r="I4253" s="754"/>
      <c r="J4253" s="753"/>
      <c r="K4253" s="753" t="s">
        <v>144</v>
      </c>
      <c r="L4253" s="753"/>
      <c r="M4253" s="753"/>
      <c r="N4253" s="753"/>
      <c r="O4253" s="753"/>
      <c r="P4253" s="753"/>
      <c r="Q4253" s="51"/>
      <c r="R4253" s="530"/>
      <c r="S4253" s="757"/>
      <c r="T4253" s="753"/>
      <c r="AR4253" s="748"/>
      <c r="AS4253" s="753"/>
    </row>
    <row r="4254" spans="1:45" s="886" customFormat="1" ht="13.2">
      <c r="A4254"/>
      <c r="B4254" s="910"/>
      <c r="C4254" s="910" t="s">
        <v>2597</v>
      </c>
      <c r="D4254" s="910" t="str">
        <f ca="1">CELL("Address",Elec_Rates!D$39)</f>
        <v>[E25_0062_Quintano_Foods_Elec_ELV_As_Awarded.xlsx]Elec_Rates!$D$39</v>
      </c>
      <c r="E4254" s="911"/>
      <c r="F4254" s="911"/>
      <c r="G4254" s="912" t="s">
        <v>2598</v>
      </c>
      <c r="H4254" s="912"/>
      <c r="I4254" s="912"/>
      <c r="J4254" s="912"/>
      <c r="K4254" s="913"/>
      <c r="L4254" s="911"/>
      <c r="M4254" s="911"/>
      <c r="N4254" s="911"/>
      <c r="O4254" s="914"/>
      <c r="P4254" s="911"/>
      <c r="Q4254" s="915"/>
      <c r="R4254" s="916"/>
      <c r="S4254" s="915"/>
      <c r="T4254" s="917"/>
      <c r="U4254" s="918"/>
      <c r="AR4254"/>
      <c r="AS4254" s="911"/>
    </row>
    <row r="4255" spans="1:45" s="886" customFormat="1" ht="11.4">
      <c r="A4255" s="919">
        <v>1</v>
      </c>
      <c r="B4255" s="920">
        <v>1</v>
      </c>
      <c r="C4255" s="920">
        <f>$A4255*$B4255</f>
        <v>1</v>
      </c>
      <c r="D4255" s="921" t="str">
        <f>Elec_Rates!$D$39</f>
        <v>003# Power Point Rate (LSZH Conduit)</v>
      </c>
      <c r="E4255" s="921"/>
      <c r="F4255" s="921" t="s">
        <v>2599</v>
      </c>
      <c r="G4255" s="922" t="s">
        <v>2601</v>
      </c>
      <c r="H4255" s="922"/>
      <c r="I4255" s="922"/>
      <c r="J4255" s="922"/>
      <c r="K4255" s="923"/>
      <c r="L4255" s="918"/>
      <c r="M4255" s="918"/>
      <c r="N4255" s="918"/>
      <c r="O4255" s="924"/>
      <c r="P4255" s="921"/>
      <c r="Q4255" s="925">
        <f ca="1">$B4255*Elec_Rates!$R$39</f>
        <v>18.920000000000002</v>
      </c>
      <c r="R4255" s="916">
        <f ca="1">$A4255*Q4255</f>
        <v>18.920000000000002</v>
      </c>
      <c r="S4255" s="925">
        <f ca="1">$B4255*Elec_Rates!$T$39</f>
        <v>0.89</v>
      </c>
      <c r="T4255" s="917">
        <f ca="1">$A4255*S4255</f>
        <v>0.89</v>
      </c>
      <c r="U4255" s="926"/>
      <c r="AR4255" s="919">
        <v>1</v>
      </c>
      <c r="AS4255" s="921" t="s">
        <v>2599</v>
      </c>
    </row>
    <row r="4256" spans="1:45" s="901" customFormat="1" ht="13.2">
      <c r="A4256" s="116">
        <v>1</v>
      </c>
      <c r="B4256" s="901" t="s">
        <v>141</v>
      </c>
      <c r="D4256" s="901" t="s">
        <v>2989</v>
      </c>
      <c r="E4256" s="901" t="s">
        <v>3424</v>
      </c>
      <c r="F4256" s="1054" t="s">
        <v>3435</v>
      </c>
      <c r="G4256" s="941" t="s">
        <v>2990</v>
      </c>
      <c r="H4256" s="942">
        <v>705</v>
      </c>
      <c r="I4256" s="901" t="s">
        <v>2991</v>
      </c>
      <c r="J4256" s="901" t="s">
        <v>2992</v>
      </c>
      <c r="O4256" s="943">
        <v>3</v>
      </c>
      <c r="P4256" s="944">
        <v>34669</v>
      </c>
      <c r="Q4256" s="945">
        <v>3.8</v>
      </c>
      <c r="R4256" s="946">
        <f>$A4256*Q4256</f>
        <v>3.8</v>
      </c>
      <c r="S4256" s="945">
        <v>0.17</v>
      </c>
      <c r="T4256" s="947">
        <f>$A4256*S4256*$T$1</f>
        <v>0.15300000000000002</v>
      </c>
      <c r="AR4256" s="116">
        <v>1</v>
      </c>
      <c r="AS4256" s="1054" t="s">
        <v>3435</v>
      </c>
    </row>
    <row r="4257" spans="1:45" s="520" customFormat="1" ht="12">
      <c r="A4257" s="758"/>
      <c r="B4257" s="758"/>
      <c r="C4257" s="758"/>
      <c r="D4257" s="758"/>
      <c r="E4257" s="758"/>
      <c r="F4257" s="753"/>
      <c r="G4257" s="758"/>
      <c r="H4257" s="758"/>
      <c r="I4257" s="519"/>
      <c r="J4257" s="758"/>
      <c r="K4257" s="758"/>
      <c r="L4257" s="758"/>
      <c r="M4257" s="758"/>
      <c r="N4257" s="758"/>
      <c r="O4257" s="758"/>
      <c r="P4257" s="758"/>
      <c r="Q4257" s="519"/>
      <c r="R4257" s="759">
        <f>$A4257*Q4257</f>
        <v>0</v>
      </c>
      <c r="S4257" s="519"/>
      <c r="T4257" s="760">
        <f>$A4257*S4257*$T$1</f>
        <v>0</v>
      </c>
      <c r="AR4257" s="758"/>
      <c r="AS4257" s="753"/>
    </row>
    <row r="4258" spans="1:45" s="520" customFormat="1" ht="12.6" thickBot="1">
      <c r="A4258" s="761" t="s">
        <v>145</v>
      </c>
      <c r="B4258" s="762">
        <f>(R4257+T4257)</f>
        <v>0</v>
      </c>
      <c r="C4258" s="763"/>
      <c r="D4258" s="763"/>
      <c r="E4258" s="763"/>
      <c r="F4258" s="764"/>
      <c r="G4258" s="763" t="s">
        <v>146</v>
      </c>
      <c r="H4258" s="763"/>
      <c r="I4258" s="765"/>
      <c r="J4258" s="763"/>
      <c r="K4258" s="763" t="s">
        <v>3</v>
      </c>
      <c r="L4258" s="766" t="s">
        <v>143</v>
      </c>
      <c r="M4258" s="766"/>
      <c r="N4258" s="766"/>
      <c r="O4258" s="766"/>
      <c r="P4258" s="766"/>
      <c r="Q4258" s="767"/>
      <c r="R4258" s="768">
        <f ca="1">SUM(R4253:R4257)</f>
        <v>22.720000000000002</v>
      </c>
      <c r="S4258" s="763"/>
      <c r="T4258" s="768">
        <f ca="1">SUM(T4253:T4257)</f>
        <v>1.0430000000000001</v>
      </c>
      <c r="U4258" s="531"/>
      <c r="V4258" s="531"/>
      <c r="W4258" s="531"/>
      <c r="X4258" s="531"/>
      <c r="Y4258" s="531"/>
      <c r="Z4258" s="531"/>
      <c r="AA4258" s="531"/>
      <c r="AB4258" s="531"/>
      <c r="AC4258" s="531"/>
      <c r="AD4258" s="531"/>
      <c r="AE4258" s="531"/>
      <c r="AF4258" s="531"/>
      <c r="AG4258" s="531"/>
      <c r="AH4258" s="531"/>
      <c r="AI4258" s="531"/>
      <c r="AJ4258" s="531"/>
      <c r="AK4258" s="531"/>
      <c r="AL4258" s="531"/>
      <c r="AM4258" s="531"/>
      <c r="AN4258" s="531"/>
      <c r="AO4258" s="531"/>
      <c r="AR4258" s="761" t="s">
        <v>145</v>
      </c>
      <c r="AS4258" s="764"/>
    </row>
    <row r="4259" spans="1:45" s="520" customFormat="1" ht="12" thickTop="1">
      <c r="A4259" s="51"/>
      <c r="B4259" s="41"/>
      <c r="C4259" s="51"/>
      <c r="E4259" s="42" t="s">
        <v>138</v>
      </c>
      <c r="F4259" s="42" t="s">
        <v>139</v>
      </c>
      <c r="G4259" s="51"/>
      <c r="H4259" s="51"/>
      <c r="I4259" s="51"/>
      <c r="J4259" s="51"/>
      <c r="K4259" s="51" t="s">
        <v>140</v>
      </c>
      <c r="L4259" s="51"/>
      <c r="M4259" s="51"/>
      <c r="N4259" s="51"/>
      <c r="O4259" s="52"/>
      <c r="P4259" s="51"/>
      <c r="Q4259" s="51"/>
      <c r="R4259" s="51"/>
      <c r="S4259" s="51"/>
      <c r="T4259" s="41"/>
      <c r="AG4259" s="521" t="s">
        <v>268</v>
      </c>
      <c r="AH4259" s="521" t="s">
        <v>269</v>
      </c>
      <c r="AI4259" s="521" t="s">
        <v>270</v>
      </c>
      <c r="AJ4259" s="521" t="s">
        <v>271</v>
      </c>
      <c r="AK4259" s="521" t="s">
        <v>272</v>
      </c>
      <c r="AM4259" s="745" t="s">
        <v>281</v>
      </c>
      <c r="AN4259" s="746" t="s">
        <v>282</v>
      </c>
      <c r="AO4259" s="522" t="s">
        <v>278</v>
      </c>
      <c r="AR4259" s="51"/>
      <c r="AS4259" s="42" t="s">
        <v>139</v>
      </c>
    </row>
    <row r="4260" spans="1:45" s="520" customFormat="1" ht="12" customHeight="1">
      <c r="A4260" s="747">
        <v>2</v>
      </c>
      <c r="B4260" s="523" t="s">
        <v>141</v>
      </c>
      <c r="C4260" s="748"/>
      <c r="D4260" s="749" t="s">
        <v>1749</v>
      </c>
      <c r="E4260" s="750">
        <f ca="1">IF(AND($A4260=0,$A$1="DIF"),0, ROUND(ROUND(($R4265*$S$2+($T4265*$T$2))/A4260,2)*$C$2,2))</f>
        <v>208.63</v>
      </c>
      <c r="F4260" s="751">
        <f ca="1">ROUND($A4260*$E4260,2)</f>
        <v>417.26</v>
      </c>
      <c r="G4260" s="752" t="s">
        <v>142</v>
      </c>
      <c r="H4260" s="753"/>
      <c r="I4260" s="754"/>
      <c r="J4260" s="753"/>
      <c r="K4260" s="753" t="s">
        <v>3</v>
      </c>
      <c r="L4260" s="755" t="s">
        <v>143</v>
      </c>
      <c r="M4260" s="755"/>
      <c r="N4260" s="755"/>
      <c r="O4260" s="755"/>
      <c r="P4260" s="755"/>
      <c r="Q4260" s="51"/>
      <c r="T4260" s="756" t="str">
        <f ca="1">IF(AND($R4265=0,$T4265=0),"0.00","mu :" &amp; ROUND($F4260/$C$2/($R4265+$T4265*$D$9),2))</f>
        <v>mu :1.23</v>
      </c>
      <c r="W4260" s="524"/>
      <c r="AG4260" s="481">
        <f ca="1">IF($E4260=0,0,ROUND($R4265*$S$2*$C$2/$A4260,2))</f>
        <v>91.64</v>
      </c>
      <c r="AH4260" s="481">
        <f ca="1">$AG4260*$A4260</f>
        <v>183.28</v>
      </c>
      <c r="AI4260" s="525">
        <f ca="1">$E4260-$AG4260</f>
        <v>116.99</v>
      </c>
      <c r="AJ4260" s="525">
        <f ca="1">$A4260*$AI4260</f>
        <v>233.98</v>
      </c>
      <c r="AK4260" s="526">
        <f ca="1">ROUND(($AG4260+$AI4260)*$A4260,2)</f>
        <v>417.26</v>
      </c>
      <c r="AM4260" s="527">
        <f ca="1">ROUND(R4265,2)</f>
        <v>148.84</v>
      </c>
      <c r="AN4260" s="528">
        <f ca="1">ROUND(T4265,2)</f>
        <v>6.92</v>
      </c>
      <c r="AO4260" s="529">
        <f ca="1">ROUND(AM4260+AN4260,2)*A4260</f>
        <v>311.52</v>
      </c>
      <c r="AR4260" s="747">
        <v>2</v>
      </c>
      <c r="AS4260" s="751">
        <v>442.96</v>
      </c>
    </row>
    <row r="4261" spans="1:45" s="520" customFormat="1" ht="13.2">
      <c r="A4261" s="748"/>
      <c r="B4261"/>
      <c r="C4261" s="748"/>
      <c r="D4261" s="749" t="s">
        <v>757</v>
      </c>
      <c r="F4261" s="753"/>
      <c r="G4261" s="3"/>
      <c r="H4261" s="753"/>
      <c r="I4261" s="754"/>
      <c r="J4261" s="753"/>
      <c r="K4261" s="753" t="s">
        <v>144</v>
      </c>
      <c r="L4261" s="753"/>
      <c r="M4261" s="753"/>
      <c r="N4261" s="753"/>
      <c r="O4261" s="753"/>
      <c r="P4261" s="753"/>
      <c r="Q4261" s="51"/>
      <c r="R4261" s="530"/>
      <c r="S4261" s="757"/>
      <c r="T4261" s="753"/>
      <c r="AR4261" s="748"/>
      <c r="AS4261" s="753"/>
    </row>
    <row r="4262" spans="1:45" s="886" customFormat="1" ht="13.2">
      <c r="A4262"/>
      <c r="B4262" s="910"/>
      <c r="C4262" s="910" t="s">
        <v>2597</v>
      </c>
      <c r="D4262" s="910" t="str">
        <f ca="1">CELL("Address",Elec_Rates!D$134)</f>
        <v>[E25_0062_Quintano_Foods_Elec_ELV_As_Awarded.xlsx]Elec_Rates!$D$134</v>
      </c>
      <c r="E4262" s="911"/>
      <c r="F4262" s="911"/>
      <c r="G4262" s="912" t="s">
        <v>2598</v>
      </c>
      <c r="H4262" s="912"/>
      <c r="I4262" s="912"/>
      <c r="J4262" s="912"/>
      <c r="K4262" s="913"/>
      <c r="L4262" s="911"/>
      <c r="M4262" s="911"/>
      <c r="N4262" s="911"/>
      <c r="O4262" s="914"/>
      <c r="P4262" s="911"/>
      <c r="Q4262" s="915"/>
      <c r="R4262" s="916"/>
      <c r="S4262" s="915"/>
      <c r="T4262" s="917"/>
      <c r="U4262" s="918"/>
      <c r="AR4262"/>
      <c r="AS4262" s="911"/>
    </row>
    <row r="4263" spans="1:45" s="886" customFormat="1" ht="11.4">
      <c r="A4263" s="919">
        <v>2</v>
      </c>
      <c r="B4263" s="920">
        <v>1</v>
      </c>
      <c r="C4263" s="920">
        <f>$A4263*$B4263</f>
        <v>2</v>
      </c>
      <c r="D4263" s="921" t="str">
        <f>Elec_Rates!$D$134</f>
        <v>012# Single phase isolator / socket outlet point Galvanised conduit</v>
      </c>
      <c r="E4263" s="921"/>
      <c r="F4263" s="921" t="s">
        <v>2599</v>
      </c>
      <c r="G4263" s="922" t="s">
        <v>2600</v>
      </c>
      <c r="H4263" s="922"/>
      <c r="I4263" s="922"/>
      <c r="J4263" s="922"/>
      <c r="K4263" s="923"/>
      <c r="L4263" s="918"/>
      <c r="M4263" s="918"/>
      <c r="N4263" s="918"/>
      <c r="O4263" s="924"/>
      <c r="P4263" s="921"/>
      <c r="Q4263" s="925">
        <f ca="1">$B4263*Elec_Rates!$R$134</f>
        <v>74.42</v>
      </c>
      <c r="R4263" s="916">
        <f ca="1">$A4263*Q4263</f>
        <v>148.84</v>
      </c>
      <c r="S4263" s="925">
        <f ca="1">$B4263*Elec_Rates!$T$134</f>
        <v>3.46</v>
      </c>
      <c r="T4263" s="917">
        <f ca="1">$A4263*S4263</f>
        <v>6.92</v>
      </c>
      <c r="U4263" s="926"/>
      <c r="AR4263" s="919">
        <v>2</v>
      </c>
      <c r="AS4263" s="921" t="s">
        <v>2599</v>
      </c>
    </row>
    <row r="4264" spans="1:45" s="520" customFormat="1" ht="12">
      <c r="A4264" s="758"/>
      <c r="B4264" s="758"/>
      <c r="C4264" s="758"/>
      <c r="D4264" s="758"/>
      <c r="E4264" s="758"/>
      <c r="F4264" s="753"/>
      <c r="G4264" s="758"/>
      <c r="H4264" s="758"/>
      <c r="I4264" s="519"/>
      <c r="J4264" s="758"/>
      <c r="K4264" s="758"/>
      <c r="L4264" s="758"/>
      <c r="M4264" s="758"/>
      <c r="N4264" s="758"/>
      <c r="O4264" s="758"/>
      <c r="P4264" s="758"/>
      <c r="Q4264" s="519"/>
      <c r="R4264" s="759">
        <f>$A4264*Q4264</f>
        <v>0</v>
      </c>
      <c r="S4264" s="519"/>
      <c r="T4264" s="760">
        <f>$A4264*S4264*$T$1</f>
        <v>0</v>
      </c>
      <c r="AR4264" s="758"/>
      <c r="AS4264" s="753"/>
    </row>
    <row r="4265" spans="1:45" s="520" customFormat="1" ht="12.6" thickBot="1">
      <c r="A4265" s="761" t="s">
        <v>145</v>
      </c>
      <c r="B4265" s="762">
        <f>(R4264+T4264)</f>
        <v>0</v>
      </c>
      <c r="C4265" s="763"/>
      <c r="D4265" s="763"/>
      <c r="E4265" s="763"/>
      <c r="F4265" s="764"/>
      <c r="G4265" s="763" t="s">
        <v>146</v>
      </c>
      <c r="H4265" s="763"/>
      <c r="I4265" s="765"/>
      <c r="J4265" s="763"/>
      <c r="K4265" s="763" t="s">
        <v>3</v>
      </c>
      <c r="L4265" s="766" t="s">
        <v>143</v>
      </c>
      <c r="M4265" s="766"/>
      <c r="N4265" s="766"/>
      <c r="O4265" s="766"/>
      <c r="P4265" s="766"/>
      <c r="Q4265" s="767"/>
      <c r="R4265" s="768">
        <f ca="1">SUM(R4261:R4264)</f>
        <v>148.84</v>
      </c>
      <c r="S4265" s="763"/>
      <c r="T4265" s="768">
        <f ca="1">SUM(T4261:T4264)</f>
        <v>6.92</v>
      </c>
      <c r="U4265" s="531"/>
      <c r="V4265" s="531"/>
      <c r="W4265" s="531"/>
      <c r="X4265" s="531"/>
      <c r="Y4265" s="531"/>
      <c r="Z4265" s="531"/>
      <c r="AA4265" s="531"/>
      <c r="AB4265" s="531"/>
      <c r="AC4265" s="531"/>
      <c r="AD4265" s="531"/>
      <c r="AE4265" s="531"/>
      <c r="AF4265" s="531"/>
      <c r="AG4265" s="531"/>
      <c r="AH4265" s="531"/>
      <c r="AI4265" s="531"/>
      <c r="AJ4265" s="531"/>
      <c r="AK4265" s="531"/>
      <c r="AL4265" s="531"/>
      <c r="AM4265" s="531"/>
      <c r="AN4265" s="531"/>
      <c r="AO4265" s="531"/>
      <c r="AR4265" s="761" t="s">
        <v>145</v>
      </c>
      <c r="AS4265" s="764"/>
    </row>
    <row r="4266" spans="1:45" s="520" customFormat="1" ht="12" thickTop="1">
      <c r="A4266" s="51"/>
      <c r="B4266" s="41"/>
      <c r="C4266" s="51"/>
      <c r="E4266" s="42" t="s">
        <v>138</v>
      </c>
      <c r="F4266" s="42" t="s">
        <v>139</v>
      </c>
      <c r="G4266" s="51"/>
      <c r="H4266" s="51"/>
      <c r="I4266" s="51"/>
      <c r="J4266" s="51"/>
      <c r="K4266" s="51" t="s">
        <v>140</v>
      </c>
      <c r="L4266" s="51"/>
      <c r="M4266" s="51"/>
      <c r="N4266" s="51"/>
      <c r="O4266" s="52"/>
      <c r="P4266" s="51"/>
      <c r="Q4266" s="51"/>
      <c r="R4266" s="51"/>
      <c r="S4266" s="51"/>
      <c r="T4266" s="41"/>
      <c r="AG4266" s="521" t="s">
        <v>268</v>
      </c>
      <c r="AH4266" s="521" t="s">
        <v>269</v>
      </c>
      <c r="AI4266" s="521" t="s">
        <v>270</v>
      </c>
      <c r="AJ4266" s="521" t="s">
        <v>271</v>
      </c>
      <c r="AK4266" s="521" t="s">
        <v>272</v>
      </c>
      <c r="AM4266" s="745" t="s">
        <v>281</v>
      </c>
      <c r="AN4266" s="746" t="s">
        <v>282</v>
      </c>
      <c r="AO4266" s="522" t="s">
        <v>278</v>
      </c>
      <c r="AR4266" s="51"/>
      <c r="AS4266" s="42" t="s">
        <v>139</v>
      </c>
    </row>
    <row r="4267" spans="1:45" s="520" customFormat="1" ht="12" customHeight="1">
      <c r="A4267" s="747">
        <v>3</v>
      </c>
      <c r="B4267" s="523" t="s">
        <v>141</v>
      </c>
      <c r="C4267" s="748"/>
      <c r="D4267" s="749" t="s">
        <v>1750</v>
      </c>
      <c r="E4267" s="750">
        <f ca="1">IF(AND($A4267=0,$A$1="DIF"),0, ROUND(ROUND(($R4272*$S$2+($T4272*$T$2))/A4267,2)*$C$2,2))</f>
        <v>68.06</v>
      </c>
      <c r="F4267" s="751">
        <f ca="1">ROUND($A4267*$E4267,2)</f>
        <v>204.18</v>
      </c>
      <c r="G4267" s="752" t="s">
        <v>142</v>
      </c>
      <c r="H4267" s="753"/>
      <c r="I4267" s="754"/>
      <c r="J4267" s="753"/>
      <c r="K4267" s="753" t="s">
        <v>3</v>
      </c>
      <c r="L4267" s="755" t="s">
        <v>143</v>
      </c>
      <c r="M4267" s="755"/>
      <c r="N4267" s="755"/>
      <c r="O4267" s="755"/>
      <c r="P4267" s="755"/>
      <c r="Q4267" s="51"/>
      <c r="T4267" s="756" t="str">
        <f ca="1">IF(AND($R4272=0,$T4272=0),"0.00","mu :" &amp; ROUND($F4267/$C$2/($R4272+$T4272*$D$9),2))</f>
        <v>mu :1.23</v>
      </c>
      <c r="W4267" s="524"/>
      <c r="AG4267" s="481">
        <f ca="1">IF($E4267=0,0,ROUND($R4272*$S$2*$C$2/$A4267,2))</f>
        <v>22.76</v>
      </c>
      <c r="AH4267" s="481">
        <f ca="1">$AG4267*$A4267</f>
        <v>68.28</v>
      </c>
      <c r="AI4267" s="525">
        <f ca="1">$E4267-$AG4267</f>
        <v>45.3</v>
      </c>
      <c r="AJ4267" s="525">
        <f ca="1">$A4267*$AI4267</f>
        <v>135.89999999999998</v>
      </c>
      <c r="AK4267" s="526">
        <f ca="1">ROUND(($AG4267+$AI4267)*$A4267,2)</f>
        <v>204.18</v>
      </c>
      <c r="AM4267" s="527">
        <f ca="1">ROUND(R4272,2)</f>
        <v>55.44</v>
      </c>
      <c r="AN4267" s="528">
        <f ca="1">ROUND(T4272,2)</f>
        <v>4.0199999999999996</v>
      </c>
      <c r="AO4267" s="529">
        <f ca="1">ROUND(AM4267+AN4267,2)*A4267</f>
        <v>178.38</v>
      </c>
      <c r="AR4267" s="747">
        <v>3</v>
      </c>
      <c r="AS4267" s="751">
        <v>219.42</v>
      </c>
    </row>
    <row r="4268" spans="1:45" s="520" customFormat="1" ht="13.2">
      <c r="A4268" s="748"/>
      <c r="B4268"/>
      <c r="C4268" s="748"/>
      <c r="D4268" s="749" t="s">
        <v>758</v>
      </c>
      <c r="F4268" s="753"/>
      <c r="G4268" s="3"/>
      <c r="H4268" s="753"/>
      <c r="I4268" s="754"/>
      <c r="J4268" s="753"/>
      <c r="K4268" s="753" t="s">
        <v>144</v>
      </c>
      <c r="L4268" s="753"/>
      <c r="M4268" s="753"/>
      <c r="N4268" s="753"/>
      <c r="O4268" s="753"/>
      <c r="P4268" s="753"/>
      <c r="Q4268" s="51"/>
      <c r="R4268" s="530"/>
      <c r="S4268" s="757"/>
      <c r="T4268" s="753"/>
      <c r="AR4268" s="748"/>
      <c r="AS4268" s="753"/>
    </row>
    <row r="4269" spans="1:45" s="886" customFormat="1" ht="13.2">
      <c r="A4269"/>
      <c r="B4269" s="910"/>
      <c r="C4269" s="910" t="s">
        <v>2597</v>
      </c>
      <c r="D4269" s="910" t="str">
        <f ca="1">CELL("Address",Elec_Rates!D$19)</f>
        <v>[E25_0062_Quintano_Foods_Elec_ELV_As_Awarded.xlsx]Elec_Rates!$D$19</v>
      </c>
      <c r="E4269" s="911"/>
      <c r="F4269" s="911"/>
      <c r="G4269" s="912" t="s">
        <v>2598</v>
      </c>
      <c r="H4269" s="912"/>
      <c r="I4269" s="912"/>
      <c r="J4269" s="912"/>
      <c r="K4269" s="913"/>
      <c r="L4269" s="911"/>
      <c r="M4269" s="911"/>
      <c r="N4269" s="911"/>
      <c r="O4269" s="914"/>
      <c r="P4269" s="911"/>
      <c r="Q4269" s="915"/>
      <c r="R4269" s="916"/>
      <c r="S4269" s="915"/>
      <c r="T4269" s="917"/>
      <c r="U4269" s="918"/>
      <c r="AR4269"/>
      <c r="AS4269" s="911"/>
    </row>
    <row r="4270" spans="1:45" s="886" customFormat="1" ht="11.4">
      <c r="A4270" s="919">
        <v>3</v>
      </c>
      <c r="B4270" s="920">
        <v>1</v>
      </c>
      <c r="C4270" s="920">
        <f>$A4270*$B4270</f>
        <v>3</v>
      </c>
      <c r="D4270" s="921" t="str">
        <f>Elec_Rates!$D$19</f>
        <v>001# Light Point Rate (LSZH Conduit)</v>
      </c>
      <c r="E4270" s="921" t="s">
        <v>2877</v>
      </c>
      <c r="F4270" s="918"/>
      <c r="G4270" s="922" t="s">
        <v>2878</v>
      </c>
      <c r="H4270" s="922"/>
      <c r="I4270" s="922"/>
      <c r="J4270" s="922"/>
      <c r="K4270" s="923"/>
      <c r="L4270" s="918"/>
      <c r="M4270" s="918"/>
      <c r="N4270" s="918"/>
      <c r="O4270" s="924"/>
      <c r="P4270" s="921"/>
      <c r="Q4270" s="925">
        <f ca="1">$B4270*Elec_Rates!$R$19</f>
        <v>18.48</v>
      </c>
      <c r="R4270" s="916">
        <f ca="1">$A4270*Q4270</f>
        <v>55.44</v>
      </c>
      <c r="S4270" s="925">
        <f ca="1">$B4270*Elec_Rates!$T$19</f>
        <v>1.34</v>
      </c>
      <c r="T4270" s="917">
        <f ca="1">$A4270*S4270</f>
        <v>4.0200000000000005</v>
      </c>
      <c r="U4270" s="926"/>
      <c r="AR4270" s="919">
        <v>3</v>
      </c>
      <c r="AS4270" s="918"/>
    </row>
    <row r="4271" spans="1:45" s="520" customFormat="1" ht="12">
      <c r="A4271" s="758"/>
      <c r="B4271" s="758"/>
      <c r="C4271" s="758"/>
      <c r="D4271" s="758"/>
      <c r="E4271" s="758"/>
      <c r="F4271" s="753"/>
      <c r="G4271" s="758"/>
      <c r="H4271" s="758"/>
      <c r="I4271" s="519"/>
      <c r="J4271" s="758"/>
      <c r="K4271" s="758"/>
      <c r="L4271" s="758"/>
      <c r="M4271" s="758"/>
      <c r="N4271" s="758"/>
      <c r="O4271" s="758"/>
      <c r="P4271" s="758"/>
      <c r="Q4271" s="519"/>
      <c r="R4271" s="759">
        <f>$A4271*Q4271</f>
        <v>0</v>
      </c>
      <c r="S4271" s="519"/>
      <c r="T4271" s="760">
        <f>$A4271*S4271*$T$1</f>
        <v>0</v>
      </c>
      <c r="AR4271" s="758"/>
      <c r="AS4271" s="753"/>
    </row>
    <row r="4272" spans="1:45" s="520" customFormat="1" ht="12.6" thickBot="1">
      <c r="A4272" s="761" t="s">
        <v>145</v>
      </c>
      <c r="B4272" s="762">
        <f>(R4271+T4271)</f>
        <v>0</v>
      </c>
      <c r="C4272" s="763"/>
      <c r="D4272" s="763"/>
      <c r="E4272" s="763"/>
      <c r="F4272" s="764"/>
      <c r="G4272" s="763" t="s">
        <v>146</v>
      </c>
      <c r="H4272" s="763"/>
      <c r="I4272" s="765"/>
      <c r="J4272" s="763"/>
      <c r="K4272" s="763" t="s">
        <v>3</v>
      </c>
      <c r="L4272" s="766" t="s">
        <v>143</v>
      </c>
      <c r="M4272" s="766"/>
      <c r="N4272" s="766"/>
      <c r="O4272" s="766"/>
      <c r="P4272" s="766"/>
      <c r="Q4272" s="767"/>
      <c r="R4272" s="768">
        <f ca="1">SUM(R4268:R4271)</f>
        <v>55.44</v>
      </c>
      <c r="S4272" s="763"/>
      <c r="T4272" s="768">
        <f ca="1">SUM(T4268:T4271)</f>
        <v>4.0200000000000005</v>
      </c>
      <c r="U4272" s="531"/>
      <c r="V4272" s="531"/>
      <c r="W4272" s="531"/>
      <c r="X4272" s="531"/>
      <c r="Y4272" s="531"/>
      <c r="Z4272" s="531"/>
      <c r="AA4272" s="531"/>
      <c r="AB4272" s="531"/>
      <c r="AC4272" s="531"/>
      <c r="AD4272" s="531"/>
      <c r="AE4272" s="531"/>
      <c r="AF4272" s="531"/>
      <c r="AG4272" s="531"/>
      <c r="AH4272" s="531"/>
      <c r="AI4272" s="531"/>
      <c r="AJ4272" s="531"/>
      <c r="AK4272" s="531"/>
      <c r="AL4272" s="531"/>
      <c r="AM4272" s="531"/>
      <c r="AN4272" s="531"/>
      <c r="AO4272" s="531"/>
      <c r="AR4272" s="761" t="s">
        <v>145</v>
      </c>
      <c r="AS4272" s="764"/>
    </row>
    <row r="4273" spans="1:45" s="520" customFormat="1" ht="12" thickTop="1">
      <c r="A4273" s="51"/>
      <c r="B4273" s="41"/>
      <c r="C4273" s="51"/>
      <c r="E4273" s="42" t="s">
        <v>138</v>
      </c>
      <c r="F4273" s="42" t="s">
        <v>139</v>
      </c>
      <c r="G4273" s="51"/>
      <c r="H4273" s="51"/>
      <c r="I4273" s="51"/>
      <c r="J4273" s="51"/>
      <c r="K4273" s="51" t="s">
        <v>140</v>
      </c>
      <c r="L4273" s="51"/>
      <c r="M4273" s="51"/>
      <c r="N4273" s="51"/>
      <c r="O4273" s="52"/>
      <c r="P4273" s="51"/>
      <c r="Q4273" s="51"/>
      <c r="R4273" s="51"/>
      <c r="S4273" s="51"/>
      <c r="T4273" s="41"/>
      <c r="AG4273" s="521" t="s">
        <v>268</v>
      </c>
      <c r="AH4273" s="521" t="s">
        <v>269</v>
      </c>
      <c r="AI4273" s="521" t="s">
        <v>270</v>
      </c>
      <c r="AJ4273" s="521" t="s">
        <v>271</v>
      </c>
      <c r="AK4273" s="521" t="s">
        <v>272</v>
      </c>
      <c r="AM4273" s="745" t="s">
        <v>281</v>
      </c>
      <c r="AN4273" s="746" t="s">
        <v>282</v>
      </c>
      <c r="AO4273" s="522" t="s">
        <v>278</v>
      </c>
      <c r="AR4273" s="51"/>
      <c r="AS4273" s="42" t="s">
        <v>139</v>
      </c>
    </row>
    <row r="4274" spans="1:45" s="520" customFormat="1" ht="12" customHeight="1">
      <c r="A4274" s="747">
        <v>2</v>
      </c>
      <c r="B4274" s="523" t="s">
        <v>141</v>
      </c>
      <c r="C4274" s="748"/>
      <c r="D4274" s="749" t="s">
        <v>1751</v>
      </c>
      <c r="E4274" s="750">
        <f ca="1">IF(AND($A4274=0,$A$1="DIF"),0, ROUND(ROUND(($R4279*$S$2+($T4279*$T$2))/A4274,2)*$C$2,2))</f>
        <v>136.13</v>
      </c>
      <c r="F4274" s="751">
        <f ca="1">ROUND($A4274*$E4274,2)</f>
        <v>272.26</v>
      </c>
      <c r="G4274" s="752" t="s">
        <v>142</v>
      </c>
      <c r="H4274" s="753"/>
      <c r="I4274" s="754"/>
      <c r="J4274" s="753"/>
      <c r="K4274" s="753" t="s">
        <v>3</v>
      </c>
      <c r="L4274" s="755" t="s">
        <v>143</v>
      </c>
      <c r="M4274" s="755"/>
      <c r="N4274" s="755"/>
      <c r="O4274" s="755"/>
      <c r="P4274" s="755"/>
      <c r="Q4274" s="51"/>
      <c r="T4274" s="756" t="str">
        <f ca="1">IF(AND($R4279=0,$T4279=0),"0.00","mu :" &amp; ROUND($F4274/$C$2/($R4279+$T4279*$D$9),2))</f>
        <v>mu :1.23</v>
      </c>
      <c r="W4274" s="524"/>
      <c r="AG4274" s="481">
        <f ca="1">IF($E4274=0,0,ROUND($R4279*$S$2*$C$2/$A4274,2))</f>
        <v>45.51</v>
      </c>
      <c r="AH4274" s="481">
        <f ca="1">$AG4274*$A4274</f>
        <v>91.02</v>
      </c>
      <c r="AI4274" s="525">
        <f ca="1">$E4274-$AG4274</f>
        <v>90.62</v>
      </c>
      <c r="AJ4274" s="525">
        <f ca="1">$A4274*$AI4274</f>
        <v>181.24</v>
      </c>
      <c r="AK4274" s="526">
        <f ca="1">ROUND(($AG4274+$AI4274)*$A4274,2)</f>
        <v>272.26</v>
      </c>
      <c r="AM4274" s="527">
        <f ca="1">ROUND(R4279,2)</f>
        <v>73.92</v>
      </c>
      <c r="AN4274" s="528">
        <f ca="1">ROUND(T4279,2)</f>
        <v>5.36</v>
      </c>
      <c r="AO4274" s="529">
        <f ca="1">ROUND(AM4274+AN4274,2)*A4274</f>
        <v>158.56</v>
      </c>
      <c r="AR4274" s="747">
        <v>2</v>
      </c>
      <c r="AS4274" s="751">
        <v>292.54000000000002</v>
      </c>
    </row>
    <row r="4275" spans="1:45" s="520" customFormat="1" ht="13.2">
      <c r="A4275" s="748"/>
      <c r="B4275"/>
      <c r="C4275" s="748"/>
      <c r="D4275" s="749" t="s">
        <v>791</v>
      </c>
      <c r="F4275" s="753"/>
      <c r="G4275" s="3"/>
      <c r="H4275" s="753"/>
      <c r="I4275" s="754"/>
      <c r="J4275" s="753"/>
      <c r="K4275" s="753" t="s">
        <v>144</v>
      </c>
      <c r="L4275" s="753"/>
      <c r="M4275" s="753"/>
      <c r="N4275" s="753"/>
      <c r="O4275" s="753"/>
      <c r="P4275" s="753"/>
      <c r="Q4275" s="51"/>
      <c r="R4275" s="530"/>
      <c r="S4275" s="757"/>
      <c r="T4275" s="753"/>
      <c r="AR4275" s="748"/>
      <c r="AS4275" s="753"/>
    </row>
    <row r="4276" spans="1:45" s="886" customFormat="1" ht="13.2">
      <c r="A4276"/>
      <c r="B4276" s="910"/>
      <c r="C4276" s="910" t="s">
        <v>2597</v>
      </c>
      <c r="D4276" s="910" t="str">
        <f ca="1">CELL("Address",Elec_Rates!D$19)</f>
        <v>[E25_0062_Quintano_Foods_Elec_ELV_As_Awarded.xlsx]Elec_Rates!$D$19</v>
      </c>
      <c r="E4276" s="911"/>
      <c r="F4276" s="911"/>
      <c r="G4276" s="912" t="s">
        <v>2598</v>
      </c>
      <c r="H4276" s="912"/>
      <c r="I4276" s="912"/>
      <c r="J4276" s="912"/>
      <c r="K4276" s="913"/>
      <c r="L4276" s="911"/>
      <c r="M4276" s="911"/>
      <c r="N4276" s="911"/>
      <c r="O4276" s="914"/>
      <c r="P4276" s="911"/>
      <c r="Q4276" s="915"/>
      <c r="R4276" s="916"/>
      <c r="S4276" s="915"/>
      <c r="T4276" s="917"/>
      <c r="U4276" s="918"/>
      <c r="AR4276"/>
      <c r="AS4276" s="911"/>
    </row>
    <row r="4277" spans="1:45" s="886" customFormat="1" ht="11.4">
      <c r="A4277" s="919">
        <v>2</v>
      </c>
      <c r="B4277" s="920">
        <v>2</v>
      </c>
      <c r="C4277" s="920">
        <f>$A4277*$B4277</f>
        <v>4</v>
      </c>
      <c r="D4277" s="921" t="str">
        <f>Elec_Rates!$D$19</f>
        <v>001# Light Point Rate (LSZH Conduit)</v>
      </c>
      <c r="E4277" s="921" t="s">
        <v>2967</v>
      </c>
      <c r="F4277" s="918"/>
      <c r="G4277" s="922" t="s">
        <v>2878</v>
      </c>
      <c r="H4277" s="922"/>
      <c r="I4277" s="922"/>
      <c r="J4277" s="922"/>
      <c r="K4277" s="923"/>
      <c r="L4277" s="918"/>
      <c r="M4277" s="918"/>
      <c r="N4277" s="918"/>
      <c r="O4277" s="924"/>
      <c r="P4277" s="921"/>
      <c r="Q4277" s="925">
        <f ca="1">$B4277*Elec_Rates!$R$19</f>
        <v>36.96</v>
      </c>
      <c r="R4277" s="916">
        <f ca="1">$A4277*Q4277</f>
        <v>73.92</v>
      </c>
      <c r="S4277" s="925">
        <f ca="1">$B4277*Elec_Rates!$T$19</f>
        <v>2.68</v>
      </c>
      <c r="T4277" s="917">
        <f ca="1">$A4277*S4277</f>
        <v>5.36</v>
      </c>
      <c r="U4277" s="926"/>
      <c r="AR4277" s="919">
        <v>2</v>
      </c>
      <c r="AS4277" s="918"/>
    </row>
    <row r="4278" spans="1:45" s="520" customFormat="1" ht="12">
      <c r="A4278" s="758"/>
      <c r="B4278" s="758"/>
      <c r="C4278" s="758"/>
      <c r="D4278" s="758"/>
      <c r="E4278" s="758"/>
      <c r="F4278" s="753"/>
      <c r="G4278" s="758"/>
      <c r="H4278" s="758"/>
      <c r="I4278" s="519"/>
      <c r="J4278" s="758"/>
      <c r="K4278" s="758"/>
      <c r="L4278" s="758"/>
      <c r="M4278" s="758"/>
      <c r="N4278" s="758"/>
      <c r="O4278" s="758"/>
      <c r="P4278" s="758"/>
      <c r="Q4278" s="519"/>
      <c r="R4278" s="759">
        <f>$A4278*Q4278</f>
        <v>0</v>
      </c>
      <c r="S4278" s="519"/>
      <c r="T4278" s="760">
        <f>$A4278*S4278*$T$1</f>
        <v>0</v>
      </c>
      <c r="AR4278" s="758"/>
      <c r="AS4278" s="753"/>
    </row>
    <row r="4279" spans="1:45" s="520" customFormat="1" ht="12.6" thickBot="1">
      <c r="A4279" s="761" t="s">
        <v>145</v>
      </c>
      <c r="B4279" s="762">
        <f>(R4278+T4278)</f>
        <v>0</v>
      </c>
      <c r="C4279" s="763"/>
      <c r="D4279" s="763"/>
      <c r="E4279" s="763"/>
      <c r="F4279" s="764"/>
      <c r="G4279" s="763" t="s">
        <v>146</v>
      </c>
      <c r="H4279" s="763"/>
      <c r="I4279" s="765"/>
      <c r="J4279" s="763"/>
      <c r="K4279" s="763" t="s">
        <v>3</v>
      </c>
      <c r="L4279" s="766" t="s">
        <v>143</v>
      </c>
      <c r="M4279" s="766"/>
      <c r="N4279" s="766"/>
      <c r="O4279" s="766"/>
      <c r="P4279" s="766"/>
      <c r="Q4279" s="767"/>
      <c r="R4279" s="768">
        <f ca="1">SUM(R4275:R4278)</f>
        <v>73.92</v>
      </c>
      <c r="S4279" s="763"/>
      <c r="T4279" s="768">
        <f ca="1">SUM(T4275:T4278)</f>
        <v>5.36</v>
      </c>
      <c r="U4279" s="531"/>
      <c r="V4279" s="531"/>
      <c r="W4279" s="531"/>
      <c r="X4279" s="531"/>
      <c r="Y4279" s="531"/>
      <c r="Z4279" s="531"/>
      <c r="AA4279" s="531"/>
      <c r="AB4279" s="531"/>
      <c r="AC4279" s="531"/>
      <c r="AD4279" s="531"/>
      <c r="AE4279" s="531"/>
      <c r="AF4279" s="531"/>
      <c r="AG4279" s="531"/>
      <c r="AH4279" s="531"/>
      <c r="AI4279" s="531"/>
      <c r="AJ4279" s="531"/>
      <c r="AK4279" s="531"/>
      <c r="AL4279" s="531"/>
      <c r="AM4279" s="531"/>
      <c r="AN4279" s="531"/>
      <c r="AO4279" s="531"/>
      <c r="AR4279" s="761" t="s">
        <v>145</v>
      </c>
      <c r="AS4279" s="764"/>
    </row>
    <row r="4280" spans="1:45" s="520" customFormat="1" ht="12" thickTop="1">
      <c r="A4280" s="51"/>
      <c r="B4280" s="41"/>
      <c r="C4280" s="51"/>
      <c r="E4280" s="42" t="s">
        <v>138</v>
      </c>
      <c r="F4280" s="42" t="s">
        <v>139</v>
      </c>
      <c r="G4280" s="51"/>
      <c r="H4280" s="51"/>
      <c r="I4280" s="51"/>
      <c r="J4280" s="51"/>
      <c r="K4280" s="51" t="s">
        <v>140</v>
      </c>
      <c r="L4280" s="51"/>
      <c r="M4280" s="51"/>
      <c r="N4280" s="51"/>
      <c r="O4280" s="52"/>
      <c r="P4280" s="51"/>
      <c r="Q4280" s="51"/>
      <c r="R4280" s="51"/>
      <c r="S4280" s="51"/>
      <c r="T4280" s="41"/>
      <c r="AG4280" s="521" t="s">
        <v>268</v>
      </c>
      <c r="AH4280" s="521" t="s">
        <v>269</v>
      </c>
      <c r="AI4280" s="521" t="s">
        <v>270</v>
      </c>
      <c r="AJ4280" s="521" t="s">
        <v>271</v>
      </c>
      <c r="AK4280" s="521" t="s">
        <v>272</v>
      </c>
      <c r="AM4280" s="745" t="s">
        <v>281</v>
      </c>
      <c r="AN4280" s="746" t="s">
        <v>282</v>
      </c>
      <c r="AO4280" s="522" t="s">
        <v>278</v>
      </c>
      <c r="AR4280" s="51"/>
      <c r="AS4280" s="42" t="s">
        <v>139</v>
      </c>
    </row>
    <row r="4281" spans="1:45" s="520" customFormat="1" ht="12" customHeight="1">
      <c r="A4281" s="747">
        <v>3</v>
      </c>
      <c r="B4281" s="523" t="s">
        <v>141</v>
      </c>
      <c r="C4281" s="748"/>
      <c r="D4281" s="749" t="s">
        <v>1752</v>
      </c>
      <c r="E4281" s="750">
        <f ca="1">IF(AND($A4281=0,$A$1="DIF"),0, ROUND(ROUND(($R4286*$S$2+($T4286*$T$2))/A4281,2)*$C$2,2))</f>
        <v>170.16</v>
      </c>
      <c r="F4281" s="751">
        <f ca="1">ROUND($A4281*$E4281,2)</f>
        <v>510.48</v>
      </c>
      <c r="G4281" s="752" t="s">
        <v>142</v>
      </c>
      <c r="H4281" s="753"/>
      <c r="I4281" s="754"/>
      <c r="J4281" s="753"/>
      <c r="K4281" s="753" t="s">
        <v>3</v>
      </c>
      <c r="L4281" s="755" t="s">
        <v>143</v>
      </c>
      <c r="M4281" s="755"/>
      <c r="N4281" s="755"/>
      <c r="O4281" s="755"/>
      <c r="P4281" s="755"/>
      <c r="Q4281" s="51"/>
      <c r="T4281" s="756" t="str">
        <f ca="1">IF(AND($R4286=0,$T4286=0),"0.00","mu :" &amp; ROUND($F4281/$C$2/($R4286+$T4286*$D$9),2))</f>
        <v>mu :1.23</v>
      </c>
      <c r="W4281" s="524"/>
      <c r="AG4281" s="481">
        <f ca="1">IF($E4281=0,0,ROUND($R4286*$S$2*$C$2/$A4281,2))</f>
        <v>56.89</v>
      </c>
      <c r="AH4281" s="481">
        <f ca="1">$AG4281*$A4281</f>
        <v>170.67000000000002</v>
      </c>
      <c r="AI4281" s="525">
        <f ca="1">$E4281-$AG4281</f>
        <v>113.27</v>
      </c>
      <c r="AJ4281" s="525">
        <f ca="1">$A4281*$AI4281</f>
        <v>339.81</v>
      </c>
      <c r="AK4281" s="526">
        <f ca="1">ROUND(($AG4281+$AI4281)*$A4281,2)</f>
        <v>510.48</v>
      </c>
      <c r="AM4281" s="527">
        <f ca="1">ROUND(R4286,2)</f>
        <v>138.6</v>
      </c>
      <c r="AN4281" s="528">
        <f ca="1">ROUND(T4286,2)</f>
        <v>10.050000000000001</v>
      </c>
      <c r="AO4281" s="529">
        <f ca="1">ROUND(AM4281+AN4281,2)*A4281</f>
        <v>445.95000000000005</v>
      </c>
      <c r="AR4281" s="747">
        <v>3</v>
      </c>
      <c r="AS4281" s="751">
        <v>548.52</v>
      </c>
    </row>
    <row r="4282" spans="1:45" s="520" customFormat="1" ht="13.2">
      <c r="A4282" s="748"/>
      <c r="B4282"/>
      <c r="C4282" s="748"/>
      <c r="D4282" s="749" t="s">
        <v>761</v>
      </c>
      <c r="F4282" s="753"/>
      <c r="G4282" s="3"/>
      <c r="H4282" s="753"/>
      <c r="I4282" s="754"/>
      <c r="J4282" s="753"/>
      <c r="K4282" s="753" t="s">
        <v>144</v>
      </c>
      <c r="L4282" s="753"/>
      <c r="M4282" s="753"/>
      <c r="N4282" s="753"/>
      <c r="O4282" s="753"/>
      <c r="P4282" s="753"/>
      <c r="Q4282" s="51"/>
      <c r="R4282" s="530"/>
      <c r="S4282" s="757"/>
      <c r="T4282" s="753"/>
      <c r="AR4282" s="748"/>
      <c r="AS4282" s="753"/>
    </row>
    <row r="4283" spans="1:45" s="886" customFormat="1" ht="15.6" customHeight="1">
      <c r="A4283"/>
      <c r="B4283" s="910"/>
      <c r="C4283" s="910" t="s">
        <v>2597</v>
      </c>
      <c r="D4283" s="910" t="str">
        <f ca="1">CELL("Address",Elec_Rates!D$19)</f>
        <v>[E25_0062_Quintano_Foods_Elec_ELV_As_Awarded.xlsx]Elec_Rates!$D$19</v>
      </c>
      <c r="E4283" s="911"/>
      <c r="F4283" s="911"/>
      <c r="G4283" s="912" t="s">
        <v>2598</v>
      </c>
      <c r="H4283" s="912"/>
      <c r="I4283" s="912"/>
      <c r="J4283" s="912"/>
      <c r="K4283" s="913"/>
      <c r="L4283" s="911"/>
      <c r="M4283" s="911"/>
      <c r="N4283" s="911"/>
      <c r="O4283" s="914"/>
      <c r="P4283" s="911"/>
      <c r="Q4283" s="915"/>
      <c r="R4283" s="916"/>
      <c r="S4283" s="915"/>
      <c r="T4283" s="917"/>
      <c r="U4283" s="918"/>
      <c r="AR4283"/>
      <c r="AS4283" s="911"/>
    </row>
    <row r="4284" spans="1:45" s="886" customFormat="1" ht="11.4">
      <c r="A4284" s="919">
        <v>3</v>
      </c>
      <c r="B4284" s="920">
        <v>2.5</v>
      </c>
      <c r="C4284" s="920">
        <f>$A4284*$B4284</f>
        <v>7.5</v>
      </c>
      <c r="D4284" s="921" t="str">
        <f>Elec_Rates!$D$19</f>
        <v>001# Light Point Rate (LSZH Conduit)</v>
      </c>
      <c r="E4284" s="921" t="s">
        <v>2882</v>
      </c>
      <c r="F4284" s="918"/>
      <c r="G4284" s="922" t="s">
        <v>2878</v>
      </c>
      <c r="H4284" s="922"/>
      <c r="I4284" s="922"/>
      <c r="J4284" s="922"/>
      <c r="K4284" s="923"/>
      <c r="L4284" s="918"/>
      <c r="M4284" s="918"/>
      <c r="N4284" s="918"/>
      <c r="O4284" s="924"/>
      <c r="P4284" s="921"/>
      <c r="Q4284" s="925">
        <f ca="1">$B4284*Elec_Rates!$R$19</f>
        <v>46.2</v>
      </c>
      <c r="R4284" s="916">
        <f ca="1">$A4284*Q4284</f>
        <v>138.60000000000002</v>
      </c>
      <c r="S4284" s="925">
        <f ca="1">$B4284*Elec_Rates!$T$19</f>
        <v>3.35</v>
      </c>
      <c r="T4284" s="917">
        <f ca="1">$A4284*S4284</f>
        <v>10.050000000000001</v>
      </c>
      <c r="U4284" s="926"/>
      <c r="AR4284" s="919">
        <v>3</v>
      </c>
      <c r="AS4284" s="918"/>
    </row>
    <row r="4285" spans="1:45" s="520" customFormat="1" ht="12">
      <c r="A4285" s="758"/>
      <c r="B4285" s="758"/>
      <c r="C4285" s="758"/>
      <c r="D4285" s="758"/>
      <c r="E4285" s="758"/>
      <c r="F4285" s="753"/>
      <c r="G4285" s="758"/>
      <c r="H4285" s="758"/>
      <c r="I4285" s="519"/>
      <c r="J4285" s="758"/>
      <c r="K4285" s="758"/>
      <c r="L4285" s="758"/>
      <c r="M4285" s="758"/>
      <c r="N4285" s="758"/>
      <c r="O4285" s="758"/>
      <c r="P4285" s="758"/>
      <c r="Q4285" s="519"/>
      <c r="R4285" s="759">
        <f>$A4285*Q4285</f>
        <v>0</v>
      </c>
      <c r="S4285" s="519"/>
      <c r="T4285" s="760">
        <f>$A4285*S4285*$T$1</f>
        <v>0</v>
      </c>
      <c r="AR4285" s="758"/>
      <c r="AS4285" s="753"/>
    </row>
    <row r="4286" spans="1:45" s="520" customFormat="1" ht="12.6" thickBot="1">
      <c r="A4286" s="761" t="s">
        <v>145</v>
      </c>
      <c r="B4286" s="762">
        <f>(R4285+T4285)</f>
        <v>0</v>
      </c>
      <c r="C4286" s="763"/>
      <c r="D4286" s="763"/>
      <c r="E4286" s="763"/>
      <c r="F4286" s="764"/>
      <c r="G4286" s="763" t="s">
        <v>146</v>
      </c>
      <c r="H4286" s="763"/>
      <c r="I4286" s="765"/>
      <c r="J4286" s="763"/>
      <c r="K4286" s="763" t="s">
        <v>3</v>
      </c>
      <c r="L4286" s="766" t="s">
        <v>143</v>
      </c>
      <c r="M4286" s="766"/>
      <c r="N4286" s="766"/>
      <c r="O4286" s="766"/>
      <c r="P4286" s="766"/>
      <c r="Q4286" s="767"/>
      <c r="R4286" s="768">
        <f ca="1">SUM(R4282:R4285)</f>
        <v>138.60000000000002</v>
      </c>
      <c r="S4286" s="763"/>
      <c r="T4286" s="768">
        <f ca="1">SUM(T4282:T4285)</f>
        <v>10.050000000000001</v>
      </c>
      <c r="U4286" s="531"/>
      <c r="V4286" s="531"/>
      <c r="W4286" s="531"/>
      <c r="X4286" s="531"/>
      <c r="Y4286" s="531"/>
      <c r="Z4286" s="531"/>
      <c r="AA4286" s="531"/>
      <c r="AB4286" s="531"/>
      <c r="AC4286" s="531"/>
      <c r="AD4286" s="531"/>
      <c r="AE4286" s="531"/>
      <c r="AF4286" s="531"/>
      <c r="AG4286" s="531"/>
      <c r="AH4286" s="531"/>
      <c r="AI4286" s="531"/>
      <c r="AJ4286" s="531"/>
      <c r="AK4286" s="531"/>
      <c r="AL4286" s="531"/>
      <c r="AM4286" s="531"/>
      <c r="AN4286" s="531"/>
      <c r="AO4286" s="531"/>
      <c r="AR4286" s="761" t="s">
        <v>145</v>
      </c>
      <c r="AS4286" s="764"/>
    </row>
    <row r="4287" spans="1:45" s="520" customFormat="1" ht="12" thickTop="1">
      <c r="A4287" s="51"/>
      <c r="B4287" s="41"/>
      <c r="C4287" s="51"/>
      <c r="E4287" s="42" t="s">
        <v>138</v>
      </c>
      <c r="F4287" s="42" t="s">
        <v>139</v>
      </c>
      <c r="G4287" s="51"/>
      <c r="H4287" s="51"/>
      <c r="I4287" s="51"/>
      <c r="J4287" s="51"/>
      <c r="K4287" s="51" t="s">
        <v>140</v>
      </c>
      <c r="L4287" s="51"/>
      <c r="M4287" s="51"/>
      <c r="N4287" s="51"/>
      <c r="O4287" s="52"/>
      <c r="P4287" s="51"/>
      <c r="Q4287" s="51"/>
      <c r="R4287" s="51"/>
      <c r="S4287" s="51"/>
      <c r="T4287" s="41"/>
      <c r="AG4287" s="521" t="s">
        <v>268</v>
      </c>
      <c r="AH4287" s="521" t="s">
        <v>269</v>
      </c>
      <c r="AI4287" s="521" t="s">
        <v>270</v>
      </c>
      <c r="AJ4287" s="521" t="s">
        <v>271</v>
      </c>
      <c r="AK4287" s="521" t="s">
        <v>272</v>
      </c>
      <c r="AM4287" s="745" t="s">
        <v>281</v>
      </c>
      <c r="AN4287" s="746" t="s">
        <v>282</v>
      </c>
      <c r="AO4287" s="522" t="s">
        <v>278</v>
      </c>
      <c r="AR4287" s="51"/>
      <c r="AS4287" s="42" t="s">
        <v>139</v>
      </c>
    </row>
    <row r="4288" spans="1:45" s="520" customFormat="1" ht="12" customHeight="1">
      <c r="A4288" s="747">
        <v>2</v>
      </c>
      <c r="B4288" s="523" t="s">
        <v>141</v>
      </c>
      <c r="C4288" s="748"/>
      <c r="D4288" s="749" t="s">
        <v>1753</v>
      </c>
      <c r="E4288" s="750">
        <f ca="1">IF(AND($A4288=0,$A$1="DIF"),0, ROUND(ROUND(($R4293*$S$2+($T4293*$T$2))/A4288,2)*$C$2,2))</f>
        <v>204.19</v>
      </c>
      <c r="F4288" s="751">
        <f ca="1">ROUND($A4288*$E4288,2)</f>
        <v>408.38</v>
      </c>
      <c r="G4288" s="752" t="s">
        <v>142</v>
      </c>
      <c r="H4288" s="753"/>
      <c r="I4288" s="754"/>
      <c r="J4288" s="753"/>
      <c r="K4288" s="753" t="s">
        <v>3</v>
      </c>
      <c r="L4288" s="755" t="s">
        <v>143</v>
      </c>
      <c r="M4288" s="755"/>
      <c r="N4288" s="755"/>
      <c r="O4288" s="755"/>
      <c r="P4288" s="755"/>
      <c r="Q4288" s="51"/>
      <c r="T4288" s="756" t="str">
        <f ca="1">IF(AND($R4293=0,$T4293=0),"0.00","mu :" &amp; ROUND($F4288/$C$2/($R4293+$T4293*$D$9),2))</f>
        <v>mu :1.23</v>
      </c>
      <c r="W4288" s="524"/>
      <c r="AG4288" s="481">
        <f ca="1">IF($E4288=0,0,ROUND($R4293*$S$2*$C$2/$A4288,2))</f>
        <v>68.27</v>
      </c>
      <c r="AH4288" s="481">
        <f ca="1">$AG4288*$A4288</f>
        <v>136.54</v>
      </c>
      <c r="AI4288" s="525">
        <f ca="1">$E4288-$AG4288</f>
        <v>135.92000000000002</v>
      </c>
      <c r="AJ4288" s="525">
        <f ca="1">$A4288*$AI4288</f>
        <v>271.84000000000003</v>
      </c>
      <c r="AK4288" s="526">
        <f ca="1">ROUND(($AG4288+$AI4288)*$A4288,2)</f>
        <v>408.38</v>
      </c>
      <c r="AM4288" s="527">
        <f ca="1">ROUND(R4293,2)</f>
        <v>110.88</v>
      </c>
      <c r="AN4288" s="528">
        <f ca="1">ROUND(T4293,2)</f>
        <v>8.0399999999999991</v>
      </c>
      <c r="AO4288" s="529">
        <f ca="1">ROUND(AM4288+AN4288,2)*A4288</f>
        <v>237.84</v>
      </c>
      <c r="AR4288" s="747">
        <v>2</v>
      </c>
      <c r="AS4288" s="751">
        <v>438.82</v>
      </c>
    </row>
    <row r="4289" spans="1:45" s="520" customFormat="1" ht="13.2">
      <c r="A4289" s="748"/>
      <c r="B4289"/>
      <c r="C4289" s="748"/>
      <c r="D4289" s="749" t="s">
        <v>762</v>
      </c>
      <c r="F4289" s="753"/>
      <c r="G4289" s="3"/>
      <c r="H4289" s="753"/>
      <c r="I4289" s="754"/>
      <c r="J4289" s="753"/>
      <c r="K4289" s="753" t="s">
        <v>144</v>
      </c>
      <c r="L4289" s="753"/>
      <c r="M4289" s="753"/>
      <c r="N4289" s="753"/>
      <c r="O4289" s="753"/>
      <c r="P4289" s="753"/>
      <c r="Q4289" s="51"/>
      <c r="R4289" s="530"/>
      <c r="S4289" s="757"/>
      <c r="T4289" s="753"/>
      <c r="AR4289" s="748"/>
      <c r="AS4289" s="753"/>
    </row>
    <row r="4290" spans="1:45" s="886" customFormat="1" ht="13.2">
      <c r="A4290"/>
      <c r="B4290" s="910"/>
      <c r="C4290" s="910" t="s">
        <v>2597</v>
      </c>
      <c r="D4290" s="910" t="str">
        <f ca="1">CELL("Address",Elec_Rates!D$19)</f>
        <v>[E25_0062_Quintano_Foods_Elec_ELV_As_Awarded.xlsx]Elec_Rates!$D$19</v>
      </c>
      <c r="E4290" s="911"/>
      <c r="F4290" s="911"/>
      <c r="G4290" s="912" t="s">
        <v>2598</v>
      </c>
      <c r="H4290" s="912"/>
      <c r="I4290" s="912"/>
      <c r="J4290" s="912"/>
      <c r="K4290" s="913"/>
      <c r="L4290" s="911"/>
      <c r="M4290" s="911"/>
      <c r="N4290" s="911"/>
      <c r="O4290" s="914"/>
      <c r="P4290" s="911"/>
      <c r="Q4290" s="915"/>
      <c r="R4290" s="916"/>
      <c r="S4290" s="915"/>
      <c r="T4290" s="917"/>
      <c r="U4290" s="918"/>
      <c r="AR4290"/>
      <c r="AS4290" s="911"/>
    </row>
    <row r="4291" spans="1:45" s="886" customFormat="1" ht="11.4">
      <c r="A4291" s="919">
        <v>2</v>
      </c>
      <c r="B4291" s="920">
        <v>3</v>
      </c>
      <c r="C4291" s="920">
        <f>$A4291*$B4291</f>
        <v>6</v>
      </c>
      <c r="D4291" s="921" t="str">
        <f>Elec_Rates!$D$19</f>
        <v>001# Light Point Rate (LSZH Conduit)</v>
      </c>
      <c r="E4291" s="921" t="s">
        <v>2883</v>
      </c>
      <c r="F4291" s="918"/>
      <c r="G4291" s="922" t="s">
        <v>2878</v>
      </c>
      <c r="H4291" s="922"/>
      <c r="I4291" s="922"/>
      <c r="J4291" s="922"/>
      <c r="K4291" s="923"/>
      <c r="L4291" s="918"/>
      <c r="M4291" s="918"/>
      <c r="N4291" s="918"/>
      <c r="O4291" s="924"/>
      <c r="P4291" s="921"/>
      <c r="Q4291" s="925">
        <f ca="1">$B4291*Elec_Rates!$R$19</f>
        <v>55.44</v>
      </c>
      <c r="R4291" s="916">
        <f ca="1">$A4291*Q4291</f>
        <v>110.88</v>
      </c>
      <c r="S4291" s="925">
        <f ca="1">$B4291*Elec_Rates!$T$19</f>
        <v>4.0200000000000005</v>
      </c>
      <c r="T4291" s="917">
        <f ca="1">$A4291*S4291</f>
        <v>8.0400000000000009</v>
      </c>
      <c r="U4291" s="926"/>
      <c r="AR4291" s="919">
        <v>2</v>
      </c>
      <c r="AS4291" s="918"/>
    </row>
    <row r="4292" spans="1:45" s="520" customFormat="1" ht="12">
      <c r="A4292" s="758"/>
      <c r="B4292" s="758"/>
      <c r="C4292" s="758"/>
      <c r="D4292" s="758"/>
      <c r="E4292" s="758"/>
      <c r="F4292" s="753"/>
      <c r="G4292" s="758"/>
      <c r="H4292" s="758"/>
      <c r="I4292" s="519"/>
      <c r="J4292" s="758"/>
      <c r="K4292" s="758"/>
      <c r="L4292" s="758"/>
      <c r="M4292" s="758"/>
      <c r="N4292" s="758"/>
      <c r="O4292" s="758"/>
      <c r="P4292" s="758"/>
      <c r="Q4292" s="519"/>
      <c r="R4292" s="759">
        <f>$A4292*Q4292</f>
        <v>0</v>
      </c>
      <c r="S4292" s="519"/>
      <c r="T4292" s="760">
        <f>$A4292*S4292*$T$1</f>
        <v>0</v>
      </c>
      <c r="AR4292" s="758"/>
      <c r="AS4292" s="753"/>
    </row>
    <row r="4293" spans="1:45" s="520" customFormat="1" ht="12.6" thickBot="1">
      <c r="A4293" s="761" t="s">
        <v>145</v>
      </c>
      <c r="B4293" s="762">
        <f>(R4292+T4292)</f>
        <v>0</v>
      </c>
      <c r="C4293" s="763"/>
      <c r="D4293" s="763"/>
      <c r="E4293" s="763"/>
      <c r="F4293" s="764"/>
      <c r="G4293" s="763" t="s">
        <v>146</v>
      </c>
      <c r="H4293" s="763"/>
      <c r="I4293" s="765"/>
      <c r="J4293" s="763"/>
      <c r="K4293" s="763" t="s">
        <v>3</v>
      </c>
      <c r="L4293" s="766" t="s">
        <v>143</v>
      </c>
      <c r="M4293" s="766"/>
      <c r="N4293" s="766"/>
      <c r="O4293" s="766"/>
      <c r="P4293" s="766"/>
      <c r="Q4293" s="767"/>
      <c r="R4293" s="768">
        <f ca="1">SUM(R4289:R4292)</f>
        <v>110.88</v>
      </c>
      <c r="S4293" s="763"/>
      <c r="T4293" s="768">
        <f ca="1">SUM(T4289:T4292)</f>
        <v>8.0400000000000009</v>
      </c>
      <c r="U4293" s="531"/>
      <c r="V4293" s="531"/>
      <c r="W4293" s="531"/>
      <c r="X4293" s="531"/>
      <c r="Y4293" s="531"/>
      <c r="Z4293" s="531"/>
      <c r="AA4293" s="531"/>
      <c r="AB4293" s="531"/>
      <c r="AC4293" s="531"/>
      <c r="AD4293" s="531"/>
      <c r="AE4293" s="531"/>
      <c r="AF4293" s="531"/>
      <c r="AG4293" s="531"/>
      <c r="AH4293" s="531"/>
      <c r="AI4293" s="531"/>
      <c r="AJ4293" s="531"/>
      <c r="AK4293" s="531"/>
      <c r="AL4293" s="531"/>
      <c r="AM4293" s="531"/>
      <c r="AN4293" s="531"/>
      <c r="AO4293" s="531"/>
      <c r="AR4293" s="761" t="s">
        <v>145</v>
      </c>
      <c r="AS4293" s="764"/>
    </row>
    <row r="4294" spans="1:45" s="520" customFormat="1" ht="12" thickTop="1">
      <c r="A4294" s="51"/>
      <c r="B4294" s="41"/>
      <c r="C4294" s="51"/>
      <c r="E4294" s="42" t="s">
        <v>138</v>
      </c>
      <c r="F4294" s="42" t="s">
        <v>139</v>
      </c>
      <c r="G4294" s="51"/>
      <c r="H4294" s="51"/>
      <c r="I4294" s="51"/>
      <c r="J4294" s="51"/>
      <c r="K4294" s="51" t="s">
        <v>140</v>
      </c>
      <c r="L4294" s="51"/>
      <c r="M4294" s="51"/>
      <c r="N4294" s="51"/>
      <c r="O4294" s="52"/>
      <c r="P4294" s="51"/>
      <c r="Q4294" s="51"/>
      <c r="R4294" s="51"/>
      <c r="S4294" s="51"/>
      <c r="T4294" s="41"/>
      <c r="AG4294" s="521" t="s">
        <v>268</v>
      </c>
      <c r="AH4294" s="521" t="s">
        <v>269</v>
      </c>
      <c r="AI4294" s="521" t="s">
        <v>270</v>
      </c>
      <c r="AJ4294" s="521" t="s">
        <v>271</v>
      </c>
      <c r="AK4294" s="521" t="s">
        <v>272</v>
      </c>
      <c r="AM4294" s="745" t="s">
        <v>281</v>
      </c>
      <c r="AN4294" s="746" t="s">
        <v>282</v>
      </c>
      <c r="AO4294" s="522" t="s">
        <v>278</v>
      </c>
      <c r="AR4294" s="51"/>
      <c r="AS4294" s="42" t="s">
        <v>139</v>
      </c>
    </row>
    <row r="4295" spans="1:45" s="520" customFormat="1" ht="12" customHeight="1">
      <c r="A4295" s="747">
        <v>1</v>
      </c>
      <c r="B4295" s="523" t="s">
        <v>141</v>
      </c>
      <c r="C4295" s="748"/>
      <c r="D4295" s="749" t="s">
        <v>1754</v>
      </c>
      <c r="E4295" s="750">
        <f ca="1">IF(AND($A4295=0,$A$1="DIF"),0, ROUND(ROUND(($R4300*$S$2+($T4300*$T$2))/A4295,2)*$C$2,2))</f>
        <v>68.06</v>
      </c>
      <c r="F4295" s="751">
        <f ca="1">ROUND($A4295*$E4295,2)</f>
        <v>68.06</v>
      </c>
      <c r="G4295" s="752" t="s">
        <v>142</v>
      </c>
      <c r="H4295" s="753"/>
      <c r="I4295" s="754"/>
      <c r="J4295" s="753"/>
      <c r="K4295" s="753" t="s">
        <v>3</v>
      </c>
      <c r="L4295" s="755" t="s">
        <v>143</v>
      </c>
      <c r="M4295" s="755"/>
      <c r="N4295" s="755"/>
      <c r="O4295" s="755"/>
      <c r="P4295" s="755"/>
      <c r="Q4295" s="51"/>
      <c r="T4295" s="756" t="str">
        <f ca="1">IF(AND($R4300=0,$T4300=0),"0.00","mu :" &amp; ROUND($F4295/$C$2/($R4300+$T4300*$D$9),2))</f>
        <v>mu :1.23</v>
      </c>
      <c r="W4295" s="524"/>
      <c r="AG4295" s="481">
        <f ca="1">IF($E4295=0,0,ROUND($R4300*$S$2*$C$2/$A4295,2))</f>
        <v>22.76</v>
      </c>
      <c r="AH4295" s="481">
        <f ca="1">$AG4295*$A4295</f>
        <v>22.76</v>
      </c>
      <c r="AI4295" s="525">
        <f ca="1">$E4295-$AG4295</f>
        <v>45.3</v>
      </c>
      <c r="AJ4295" s="525">
        <f ca="1">$A4295*$AI4295</f>
        <v>45.3</v>
      </c>
      <c r="AK4295" s="526">
        <f ca="1">ROUND(($AG4295+$AI4295)*$A4295,2)</f>
        <v>68.06</v>
      </c>
      <c r="AM4295" s="527">
        <f ca="1">ROUND(R4300,2)</f>
        <v>18.48</v>
      </c>
      <c r="AN4295" s="528">
        <f ca="1">ROUND(T4300,2)</f>
        <v>1.34</v>
      </c>
      <c r="AO4295" s="529">
        <f ca="1">ROUND(AM4295+AN4295,2)*A4295</f>
        <v>19.82</v>
      </c>
      <c r="AR4295" s="747">
        <v>1</v>
      </c>
      <c r="AS4295" s="751">
        <v>73.14</v>
      </c>
    </row>
    <row r="4296" spans="1:45" s="520" customFormat="1" ht="13.2">
      <c r="A4296" s="748"/>
      <c r="B4296"/>
      <c r="C4296" s="748"/>
      <c r="D4296" s="749" t="s">
        <v>844</v>
      </c>
      <c r="F4296" s="753"/>
      <c r="G4296" s="3"/>
      <c r="H4296" s="753"/>
      <c r="I4296" s="754"/>
      <c r="J4296" s="753"/>
      <c r="K4296" s="753" t="s">
        <v>144</v>
      </c>
      <c r="L4296" s="753"/>
      <c r="M4296" s="753"/>
      <c r="N4296" s="753"/>
      <c r="O4296" s="753"/>
      <c r="P4296" s="753"/>
      <c r="Q4296" s="51"/>
      <c r="R4296" s="530"/>
      <c r="S4296" s="757"/>
      <c r="T4296" s="753"/>
      <c r="AR4296" s="748"/>
      <c r="AS4296" s="753"/>
    </row>
    <row r="4297" spans="1:45" s="886" customFormat="1" ht="13.2">
      <c r="A4297"/>
      <c r="B4297" s="910"/>
      <c r="C4297" s="910" t="s">
        <v>2597</v>
      </c>
      <c r="D4297" s="910" t="str">
        <f ca="1">CELL("Address",Elec_Rates!D$19)</f>
        <v>[E25_0062_Quintano_Foods_Elec_ELV_As_Awarded.xlsx]Elec_Rates!$D$19</v>
      </c>
      <c r="E4297" s="911"/>
      <c r="F4297" s="911"/>
      <c r="G4297" s="912" t="s">
        <v>2598</v>
      </c>
      <c r="H4297" s="912"/>
      <c r="I4297" s="912"/>
      <c r="J4297" s="912"/>
      <c r="K4297" s="913"/>
      <c r="L4297" s="911"/>
      <c r="M4297" s="911"/>
      <c r="N4297" s="911"/>
      <c r="O4297" s="914"/>
      <c r="P4297" s="911"/>
      <c r="Q4297" s="915"/>
      <c r="R4297" s="916"/>
      <c r="S4297" s="915"/>
      <c r="T4297" s="917"/>
      <c r="U4297" s="918"/>
      <c r="AR4297"/>
      <c r="AS4297" s="911"/>
    </row>
    <row r="4298" spans="1:45" s="886" customFormat="1" ht="11.4">
      <c r="A4298" s="919">
        <v>1</v>
      </c>
      <c r="B4298" s="920">
        <v>1</v>
      </c>
      <c r="C4298" s="920">
        <f>$A4298*$B4298</f>
        <v>1</v>
      </c>
      <c r="D4298" s="921" t="str">
        <f>Elec_Rates!$D$19</f>
        <v>001# Light Point Rate (LSZH Conduit)</v>
      </c>
      <c r="E4298" s="921" t="s">
        <v>2877</v>
      </c>
      <c r="F4298" s="918"/>
      <c r="G4298" s="922" t="s">
        <v>2878</v>
      </c>
      <c r="H4298" s="922"/>
      <c r="I4298" s="922"/>
      <c r="J4298" s="922"/>
      <c r="K4298" s="923"/>
      <c r="L4298" s="918"/>
      <c r="M4298" s="918"/>
      <c r="N4298" s="918"/>
      <c r="O4298" s="924"/>
      <c r="P4298" s="921"/>
      <c r="Q4298" s="925">
        <f ca="1">$B4298*Elec_Rates!$R$19</f>
        <v>18.48</v>
      </c>
      <c r="R4298" s="916">
        <f ca="1">$A4298*Q4298</f>
        <v>18.48</v>
      </c>
      <c r="S4298" s="925">
        <f ca="1">$B4298*Elec_Rates!$T$19</f>
        <v>1.34</v>
      </c>
      <c r="T4298" s="917">
        <f ca="1">$A4298*S4298</f>
        <v>1.34</v>
      </c>
      <c r="U4298" s="926"/>
      <c r="AR4298" s="919">
        <v>1</v>
      </c>
      <c r="AS4298" s="918"/>
    </row>
    <row r="4299" spans="1:45" s="520" customFormat="1" ht="12">
      <c r="A4299" s="758"/>
      <c r="B4299" s="758"/>
      <c r="C4299" s="758"/>
      <c r="D4299" s="758"/>
      <c r="E4299" s="758"/>
      <c r="F4299" s="753"/>
      <c r="G4299" s="758"/>
      <c r="H4299" s="758"/>
      <c r="I4299" s="519"/>
      <c r="J4299" s="758"/>
      <c r="K4299" s="758"/>
      <c r="L4299" s="758"/>
      <c r="M4299" s="758"/>
      <c r="N4299" s="758"/>
      <c r="O4299" s="758"/>
      <c r="P4299" s="758"/>
      <c r="Q4299" s="519"/>
      <c r="R4299" s="759">
        <f>$A4299*Q4299</f>
        <v>0</v>
      </c>
      <c r="S4299" s="519"/>
      <c r="T4299" s="760">
        <f>$A4299*S4299*$T$1</f>
        <v>0</v>
      </c>
      <c r="AR4299" s="758"/>
      <c r="AS4299" s="753"/>
    </row>
    <row r="4300" spans="1:45" s="520" customFormat="1" ht="12.6" thickBot="1">
      <c r="A4300" s="761" t="s">
        <v>145</v>
      </c>
      <c r="B4300" s="762">
        <f>(R4299+T4299)</f>
        <v>0</v>
      </c>
      <c r="C4300" s="763"/>
      <c r="D4300" s="763"/>
      <c r="E4300" s="763"/>
      <c r="F4300" s="764"/>
      <c r="G4300" s="763" t="s">
        <v>146</v>
      </c>
      <c r="H4300" s="763"/>
      <c r="I4300" s="765"/>
      <c r="J4300" s="763"/>
      <c r="K4300" s="763" t="s">
        <v>3</v>
      </c>
      <c r="L4300" s="766" t="s">
        <v>143</v>
      </c>
      <c r="M4300" s="766"/>
      <c r="N4300" s="766"/>
      <c r="O4300" s="766"/>
      <c r="P4300" s="766"/>
      <c r="Q4300" s="767"/>
      <c r="R4300" s="768">
        <f ca="1">SUM(R4296:R4299)</f>
        <v>18.48</v>
      </c>
      <c r="S4300" s="763"/>
      <c r="T4300" s="768">
        <f ca="1">SUM(T4296:T4299)</f>
        <v>1.34</v>
      </c>
      <c r="U4300" s="531"/>
      <c r="V4300" s="531"/>
      <c r="W4300" s="531"/>
      <c r="X4300" s="531"/>
      <c r="Y4300" s="531"/>
      <c r="Z4300" s="531"/>
      <c r="AA4300" s="531"/>
      <c r="AB4300" s="531"/>
      <c r="AC4300" s="531"/>
      <c r="AD4300" s="531"/>
      <c r="AE4300" s="531"/>
      <c r="AF4300" s="531"/>
      <c r="AG4300" s="531"/>
      <c r="AH4300" s="531"/>
      <c r="AI4300" s="531"/>
      <c r="AJ4300" s="531"/>
      <c r="AK4300" s="531"/>
      <c r="AL4300" s="531"/>
      <c r="AM4300" s="531"/>
      <c r="AN4300" s="531"/>
      <c r="AO4300" s="531"/>
      <c r="AR4300" s="761" t="s">
        <v>145</v>
      </c>
      <c r="AS4300" s="764"/>
    </row>
    <row r="4301" spans="1:45" s="520" customFormat="1" ht="12" thickTop="1">
      <c r="A4301" s="51"/>
      <c r="B4301" s="41"/>
      <c r="C4301" s="51"/>
      <c r="E4301" s="42" t="s">
        <v>138</v>
      </c>
      <c r="F4301" s="42" t="s">
        <v>139</v>
      </c>
      <c r="G4301" s="51"/>
      <c r="H4301" s="51"/>
      <c r="I4301" s="51"/>
      <c r="J4301" s="51"/>
      <c r="K4301" s="51" t="s">
        <v>140</v>
      </c>
      <c r="L4301" s="51"/>
      <c r="M4301" s="51"/>
      <c r="N4301" s="51"/>
      <c r="O4301" s="52"/>
      <c r="P4301" s="51"/>
      <c r="Q4301" s="51"/>
      <c r="R4301" s="51"/>
      <c r="S4301" s="51"/>
      <c r="T4301" s="41"/>
      <c r="AG4301" s="521" t="s">
        <v>268</v>
      </c>
      <c r="AH4301" s="521" t="s">
        <v>269</v>
      </c>
      <c r="AI4301" s="521" t="s">
        <v>270</v>
      </c>
      <c r="AJ4301" s="521" t="s">
        <v>271</v>
      </c>
      <c r="AK4301" s="521" t="s">
        <v>272</v>
      </c>
      <c r="AM4301" s="745" t="s">
        <v>281</v>
      </c>
      <c r="AN4301" s="746" t="s">
        <v>282</v>
      </c>
      <c r="AO4301" s="522" t="s">
        <v>278</v>
      </c>
      <c r="AR4301" s="51"/>
      <c r="AS4301" s="42" t="s">
        <v>139</v>
      </c>
    </row>
    <row r="4302" spans="1:45" s="520" customFormat="1" ht="12" customHeight="1">
      <c r="A4302" s="747">
        <v>1</v>
      </c>
      <c r="B4302" s="523" t="s">
        <v>141</v>
      </c>
      <c r="C4302" s="748"/>
      <c r="D4302" s="749" t="s">
        <v>1755</v>
      </c>
      <c r="E4302" s="750">
        <f ca="1">IF(AND($A4302=0,$A$1="DIF"),0, ROUND(ROUND(($R4307*$S$2+($T4307*$T$2))/A4302,2)*$C$2,2))</f>
        <v>68.06</v>
      </c>
      <c r="F4302" s="751">
        <f ca="1">ROUND($A4302*$E4302,2)</f>
        <v>68.06</v>
      </c>
      <c r="G4302" s="752" t="s">
        <v>142</v>
      </c>
      <c r="H4302" s="753"/>
      <c r="I4302" s="754"/>
      <c r="J4302" s="753"/>
      <c r="K4302" s="753" t="s">
        <v>3</v>
      </c>
      <c r="L4302" s="755" t="s">
        <v>143</v>
      </c>
      <c r="M4302" s="755"/>
      <c r="N4302" s="755"/>
      <c r="O4302" s="755"/>
      <c r="P4302" s="755"/>
      <c r="Q4302" s="51"/>
      <c r="T4302" s="756" t="str">
        <f ca="1">IF(AND($R4307=0,$T4307=0),"0.00","mu :" &amp; ROUND($F4302/$C$2/($R4307+$T4307*$D$9),2))</f>
        <v>mu :1.23</v>
      </c>
      <c r="W4302" s="524"/>
      <c r="AG4302" s="481">
        <f ca="1">IF($E4302=0,0,ROUND($R4307*$S$2*$C$2/$A4302,2))</f>
        <v>22.76</v>
      </c>
      <c r="AH4302" s="481">
        <f ca="1">$AG4302*$A4302</f>
        <v>22.76</v>
      </c>
      <c r="AI4302" s="525">
        <f ca="1">$E4302-$AG4302</f>
        <v>45.3</v>
      </c>
      <c r="AJ4302" s="525">
        <f ca="1">$A4302*$AI4302</f>
        <v>45.3</v>
      </c>
      <c r="AK4302" s="526">
        <f ca="1">ROUND(($AG4302+$AI4302)*$A4302,2)</f>
        <v>68.06</v>
      </c>
      <c r="AM4302" s="527">
        <f ca="1">ROUND(R4307,2)</f>
        <v>18.48</v>
      </c>
      <c r="AN4302" s="528">
        <f ca="1">ROUND(T4307,2)</f>
        <v>1.34</v>
      </c>
      <c r="AO4302" s="529">
        <f ca="1">ROUND(AM4302+AN4302,2)*A4302</f>
        <v>19.82</v>
      </c>
      <c r="AR4302" s="747">
        <v>1</v>
      </c>
      <c r="AS4302" s="751">
        <v>73.14</v>
      </c>
    </row>
    <row r="4303" spans="1:45" s="520" customFormat="1" ht="13.2">
      <c r="A4303" s="748"/>
      <c r="B4303"/>
      <c r="C4303" s="748"/>
      <c r="D4303" s="749" t="s">
        <v>793</v>
      </c>
      <c r="F4303" s="753"/>
      <c r="G4303" s="3"/>
      <c r="H4303" s="753"/>
      <c r="I4303" s="754"/>
      <c r="J4303" s="753"/>
      <c r="K4303" s="753" t="s">
        <v>144</v>
      </c>
      <c r="L4303" s="753"/>
      <c r="M4303" s="753"/>
      <c r="N4303" s="753"/>
      <c r="O4303" s="753"/>
      <c r="P4303" s="753"/>
      <c r="Q4303" s="51"/>
      <c r="R4303" s="530"/>
      <c r="S4303" s="757"/>
      <c r="T4303" s="753"/>
      <c r="AR4303" s="748"/>
      <c r="AS4303" s="753"/>
    </row>
    <row r="4304" spans="1:45" s="886" customFormat="1" ht="13.2">
      <c r="A4304"/>
      <c r="B4304" s="910"/>
      <c r="C4304" s="910" t="s">
        <v>2597</v>
      </c>
      <c r="D4304" s="910" t="str">
        <f ca="1">CELL("Address",Elec_Rates!D$19)</f>
        <v>[E25_0062_Quintano_Foods_Elec_ELV_As_Awarded.xlsx]Elec_Rates!$D$19</v>
      </c>
      <c r="E4304" s="911"/>
      <c r="F4304" s="911"/>
      <c r="G4304" s="912" t="s">
        <v>2598</v>
      </c>
      <c r="H4304" s="912"/>
      <c r="I4304" s="912"/>
      <c r="J4304" s="912"/>
      <c r="K4304" s="913"/>
      <c r="L4304" s="911"/>
      <c r="M4304" s="911"/>
      <c r="N4304" s="911"/>
      <c r="O4304" s="914"/>
      <c r="P4304" s="911"/>
      <c r="Q4304" s="915"/>
      <c r="R4304" s="916"/>
      <c r="S4304" s="915"/>
      <c r="T4304" s="917"/>
      <c r="U4304" s="918"/>
      <c r="AR4304"/>
      <c r="AS4304" s="911"/>
    </row>
    <row r="4305" spans="1:45" s="886" customFormat="1" ht="11.4">
      <c r="A4305" s="919">
        <v>1</v>
      </c>
      <c r="B4305" s="920">
        <v>1</v>
      </c>
      <c r="C4305" s="920">
        <f>$A4305*$B4305</f>
        <v>1</v>
      </c>
      <c r="D4305" s="921" t="str">
        <f>Elec_Rates!$D$19</f>
        <v>001# Light Point Rate (LSZH Conduit)</v>
      </c>
      <c r="E4305" s="921" t="s">
        <v>2969</v>
      </c>
      <c r="F4305" s="918"/>
      <c r="G4305" s="922" t="s">
        <v>2878</v>
      </c>
      <c r="H4305" s="922"/>
      <c r="I4305" s="922"/>
      <c r="J4305" s="922"/>
      <c r="K4305" s="923"/>
      <c r="L4305" s="918"/>
      <c r="M4305" s="918"/>
      <c r="N4305" s="918"/>
      <c r="O4305" s="924"/>
      <c r="P4305" s="921"/>
      <c r="Q4305" s="925">
        <f ca="1">$B4305*Elec_Rates!$R$19</f>
        <v>18.48</v>
      </c>
      <c r="R4305" s="916">
        <f ca="1">$A4305*Q4305</f>
        <v>18.48</v>
      </c>
      <c r="S4305" s="925">
        <f ca="1">$B4305*Elec_Rates!$T$19</f>
        <v>1.34</v>
      </c>
      <c r="T4305" s="917">
        <f ca="1">$A4305*S4305</f>
        <v>1.34</v>
      </c>
      <c r="U4305" s="926"/>
      <c r="AR4305" s="919">
        <v>1</v>
      </c>
      <c r="AS4305" s="918"/>
    </row>
    <row r="4306" spans="1:45" s="520" customFormat="1" ht="12">
      <c r="A4306" s="758"/>
      <c r="B4306" s="758"/>
      <c r="C4306" s="758"/>
      <c r="D4306" s="758"/>
      <c r="E4306" s="758"/>
      <c r="F4306" s="753"/>
      <c r="G4306" s="758"/>
      <c r="H4306" s="758"/>
      <c r="I4306" s="519"/>
      <c r="J4306" s="758"/>
      <c r="K4306" s="758"/>
      <c r="L4306" s="758"/>
      <c r="M4306" s="758"/>
      <c r="N4306" s="758"/>
      <c r="O4306" s="758"/>
      <c r="P4306" s="758"/>
      <c r="Q4306" s="519"/>
      <c r="R4306" s="759">
        <f>$A4306*Q4306</f>
        <v>0</v>
      </c>
      <c r="S4306" s="519"/>
      <c r="T4306" s="760">
        <f>$A4306*S4306*$T$1</f>
        <v>0</v>
      </c>
      <c r="AR4306" s="758"/>
      <c r="AS4306" s="753"/>
    </row>
    <row r="4307" spans="1:45" s="520" customFormat="1" ht="12.6" thickBot="1">
      <c r="A4307" s="761" t="s">
        <v>145</v>
      </c>
      <c r="B4307" s="762">
        <f>(R4306+T4306)</f>
        <v>0</v>
      </c>
      <c r="C4307" s="763"/>
      <c r="D4307" s="763"/>
      <c r="E4307" s="763"/>
      <c r="F4307" s="764"/>
      <c r="G4307" s="763" t="s">
        <v>146</v>
      </c>
      <c r="H4307" s="763"/>
      <c r="I4307" s="765"/>
      <c r="J4307" s="763"/>
      <c r="K4307" s="763" t="s">
        <v>3</v>
      </c>
      <c r="L4307" s="766" t="s">
        <v>143</v>
      </c>
      <c r="M4307" s="766"/>
      <c r="N4307" s="766"/>
      <c r="O4307" s="766"/>
      <c r="P4307" s="766"/>
      <c r="Q4307" s="767"/>
      <c r="R4307" s="768">
        <f ca="1">SUM(R4303:R4306)</f>
        <v>18.48</v>
      </c>
      <c r="S4307" s="763"/>
      <c r="T4307" s="768">
        <f ca="1">SUM(T4303:T4306)</f>
        <v>1.34</v>
      </c>
      <c r="U4307" s="531"/>
      <c r="V4307" s="531"/>
      <c r="W4307" s="531"/>
      <c r="X4307" s="531"/>
      <c r="Y4307" s="531"/>
      <c r="Z4307" s="531"/>
      <c r="AA4307" s="531"/>
      <c r="AB4307" s="531"/>
      <c r="AC4307" s="531"/>
      <c r="AD4307" s="531"/>
      <c r="AE4307" s="531"/>
      <c r="AF4307" s="531"/>
      <c r="AG4307" s="531"/>
      <c r="AH4307" s="531"/>
      <c r="AI4307" s="531"/>
      <c r="AJ4307" s="531"/>
      <c r="AK4307" s="531"/>
      <c r="AL4307" s="531"/>
      <c r="AM4307" s="531"/>
      <c r="AN4307" s="531"/>
      <c r="AO4307" s="531"/>
      <c r="AR4307" s="761" t="s">
        <v>145</v>
      </c>
      <c r="AS4307" s="764"/>
    </row>
    <row r="4308" spans="1:45" s="520" customFormat="1" ht="12" thickTop="1">
      <c r="A4308" s="51"/>
      <c r="B4308" s="41"/>
      <c r="C4308" s="51"/>
      <c r="E4308" s="42" t="s">
        <v>138</v>
      </c>
      <c r="F4308" s="42" t="s">
        <v>139</v>
      </c>
      <c r="G4308" s="51"/>
      <c r="H4308" s="51"/>
      <c r="I4308" s="51"/>
      <c r="J4308" s="51"/>
      <c r="K4308" s="51" t="s">
        <v>140</v>
      </c>
      <c r="L4308" s="51"/>
      <c r="M4308" s="51"/>
      <c r="N4308" s="51"/>
      <c r="O4308" s="52"/>
      <c r="P4308" s="51"/>
      <c r="Q4308" s="51"/>
      <c r="R4308" s="51"/>
      <c r="S4308" s="51"/>
      <c r="T4308" s="41"/>
      <c r="AG4308" s="521" t="s">
        <v>268</v>
      </c>
      <c r="AH4308" s="521" t="s">
        <v>269</v>
      </c>
      <c r="AI4308" s="521" t="s">
        <v>270</v>
      </c>
      <c r="AJ4308" s="521" t="s">
        <v>271</v>
      </c>
      <c r="AK4308" s="521" t="s">
        <v>272</v>
      </c>
      <c r="AM4308" s="745" t="s">
        <v>281</v>
      </c>
      <c r="AN4308" s="746" t="s">
        <v>282</v>
      </c>
      <c r="AO4308" s="522" t="s">
        <v>278</v>
      </c>
      <c r="AR4308" s="51"/>
      <c r="AS4308" s="42" t="s">
        <v>139</v>
      </c>
    </row>
    <row r="4309" spans="1:45" s="520" customFormat="1" ht="12" customHeight="1">
      <c r="A4309" s="747">
        <v>3</v>
      </c>
      <c r="B4309" s="523" t="s">
        <v>141</v>
      </c>
      <c r="C4309" s="748"/>
      <c r="D4309" s="749" t="s">
        <v>1756</v>
      </c>
      <c r="E4309" s="750">
        <f ca="1">IF(AND($A4309=0,$A$1="DIF"),0, ROUND(ROUND(($R4314*$S$2+($T4314*$T$2))/A4309,2)*$C$2,2))</f>
        <v>102.1</v>
      </c>
      <c r="F4309" s="751">
        <f ca="1">ROUND($A4309*$E4309,2)</f>
        <v>306.3</v>
      </c>
      <c r="G4309" s="752" t="s">
        <v>142</v>
      </c>
      <c r="H4309" s="753"/>
      <c r="I4309" s="754"/>
      <c r="J4309" s="753"/>
      <c r="K4309" s="753" t="s">
        <v>3</v>
      </c>
      <c r="L4309" s="755" t="s">
        <v>143</v>
      </c>
      <c r="M4309" s="755"/>
      <c r="N4309" s="755"/>
      <c r="O4309" s="755"/>
      <c r="P4309" s="755"/>
      <c r="Q4309" s="51"/>
      <c r="T4309" s="756" t="str">
        <f ca="1">IF(AND($R4314=0,$T4314=0),"0.00","mu :" &amp; ROUND($F4309/$C$2/($R4314+$T4314*$D$9),2))</f>
        <v>mu :1.23</v>
      </c>
      <c r="W4309" s="524"/>
      <c r="AG4309" s="481">
        <f ca="1">IF($E4309=0,0,ROUND($R4314*$S$2*$C$2/$A4309,2))</f>
        <v>34.130000000000003</v>
      </c>
      <c r="AH4309" s="481">
        <f ca="1">$AG4309*$A4309</f>
        <v>102.39000000000001</v>
      </c>
      <c r="AI4309" s="525">
        <f ca="1">$E4309-$AG4309</f>
        <v>67.97</v>
      </c>
      <c r="AJ4309" s="525">
        <f ca="1">$A4309*$AI4309</f>
        <v>203.91</v>
      </c>
      <c r="AK4309" s="526">
        <f ca="1">ROUND(($AG4309+$AI4309)*$A4309,2)</f>
        <v>306.3</v>
      </c>
      <c r="AM4309" s="527">
        <f ca="1">ROUND(R4314,2)</f>
        <v>83.16</v>
      </c>
      <c r="AN4309" s="528">
        <f ca="1">ROUND(T4314,2)</f>
        <v>6.03</v>
      </c>
      <c r="AO4309" s="529">
        <f ca="1">ROUND(AM4309+AN4309,2)*A4309</f>
        <v>267.57</v>
      </c>
      <c r="AR4309" s="747">
        <v>3</v>
      </c>
      <c r="AS4309" s="751">
        <v>329.1</v>
      </c>
    </row>
    <row r="4310" spans="1:45" s="520" customFormat="1" ht="13.2">
      <c r="A4310" s="748"/>
      <c r="B4310"/>
      <c r="C4310" s="748"/>
      <c r="D4310" s="749" t="s">
        <v>794</v>
      </c>
      <c r="F4310" s="753"/>
      <c r="G4310" s="3"/>
      <c r="H4310" s="753"/>
      <c r="I4310" s="754"/>
      <c r="J4310" s="753"/>
      <c r="K4310" s="753" t="s">
        <v>144</v>
      </c>
      <c r="L4310" s="753"/>
      <c r="M4310" s="753"/>
      <c r="N4310" s="753"/>
      <c r="O4310" s="753"/>
      <c r="P4310" s="753"/>
      <c r="Q4310" s="51"/>
      <c r="R4310" s="530"/>
      <c r="S4310" s="757"/>
      <c r="T4310" s="753"/>
      <c r="AR4310" s="748"/>
      <c r="AS4310" s="753"/>
    </row>
    <row r="4311" spans="1:45" s="886" customFormat="1" ht="13.2">
      <c r="A4311"/>
      <c r="B4311" s="910"/>
      <c r="C4311" s="910" t="s">
        <v>2597</v>
      </c>
      <c r="D4311" s="910" t="str">
        <f ca="1">CELL("Address",Elec_Rates!D$19)</f>
        <v>[E25_0062_Quintano_Foods_Elec_ELV_As_Awarded.xlsx]Elec_Rates!$D$19</v>
      </c>
      <c r="E4311" s="911"/>
      <c r="F4311" s="911"/>
      <c r="G4311" s="912" t="s">
        <v>2598</v>
      </c>
      <c r="H4311" s="912"/>
      <c r="I4311" s="912"/>
      <c r="J4311" s="912"/>
      <c r="K4311" s="913"/>
      <c r="L4311" s="911"/>
      <c r="M4311" s="911"/>
      <c r="N4311" s="911"/>
      <c r="O4311" s="914"/>
      <c r="P4311" s="911"/>
      <c r="Q4311" s="915"/>
      <c r="R4311" s="916"/>
      <c r="S4311" s="915"/>
      <c r="T4311" s="917"/>
      <c r="U4311" s="918"/>
      <c r="AR4311"/>
      <c r="AS4311" s="911"/>
    </row>
    <row r="4312" spans="1:45" s="886" customFormat="1" ht="11.4">
      <c r="A4312" s="919">
        <v>3</v>
      </c>
      <c r="B4312" s="920">
        <v>1.5</v>
      </c>
      <c r="C4312" s="920">
        <f>$A4312*$B4312</f>
        <v>4.5</v>
      </c>
      <c r="D4312" s="921" t="str">
        <f>Elec_Rates!$D$19</f>
        <v>001# Light Point Rate (LSZH Conduit)</v>
      </c>
      <c r="E4312" s="921" t="s">
        <v>2894</v>
      </c>
      <c r="F4312" s="918"/>
      <c r="G4312" s="922" t="s">
        <v>2878</v>
      </c>
      <c r="H4312" s="922"/>
      <c r="I4312" s="922"/>
      <c r="J4312" s="922"/>
      <c r="K4312" s="923"/>
      <c r="L4312" s="918"/>
      <c r="M4312" s="918"/>
      <c r="N4312" s="918"/>
      <c r="O4312" s="924"/>
      <c r="P4312" s="921"/>
      <c r="Q4312" s="925">
        <f ca="1">$B4312*Elec_Rates!$R$19</f>
        <v>27.72</v>
      </c>
      <c r="R4312" s="916">
        <f ca="1">$A4312*Q4312</f>
        <v>83.16</v>
      </c>
      <c r="S4312" s="925">
        <f ca="1">$B4312*Elec_Rates!$T$19</f>
        <v>2.0100000000000002</v>
      </c>
      <c r="T4312" s="917">
        <f ca="1">$A4312*S4312</f>
        <v>6.0300000000000011</v>
      </c>
      <c r="U4312" s="926"/>
      <c r="AR4312" s="919">
        <v>3</v>
      </c>
      <c r="AS4312" s="918"/>
    </row>
    <row r="4313" spans="1:45" s="520" customFormat="1" ht="12">
      <c r="A4313" s="758"/>
      <c r="B4313" s="758"/>
      <c r="C4313" s="758"/>
      <c r="D4313" s="758"/>
      <c r="E4313" s="758"/>
      <c r="F4313" s="753"/>
      <c r="G4313" s="758"/>
      <c r="H4313" s="758"/>
      <c r="I4313" s="519"/>
      <c r="J4313" s="758"/>
      <c r="K4313" s="758"/>
      <c r="L4313" s="758"/>
      <c r="M4313" s="758"/>
      <c r="N4313" s="758"/>
      <c r="O4313" s="758"/>
      <c r="P4313" s="758"/>
      <c r="Q4313" s="519"/>
      <c r="R4313" s="759">
        <f>$A4313*Q4313</f>
        <v>0</v>
      </c>
      <c r="S4313" s="519"/>
      <c r="T4313" s="760">
        <f>$A4313*S4313*$T$1</f>
        <v>0</v>
      </c>
      <c r="AR4313" s="758"/>
      <c r="AS4313" s="753"/>
    </row>
    <row r="4314" spans="1:45" s="520" customFormat="1" ht="12.6" thickBot="1">
      <c r="A4314" s="761" t="s">
        <v>145</v>
      </c>
      <c r="B4314" s="762">
        <f>(R4313+T4313)</f>
        <v>0</v>
      </c>
      <c r="C4314" s="763"/>
      <c r="D4314" s="763"/>
      <c r="E4314" s="763"/>
      <c r="F4314" s="764"/>
      <c r="G4314" s="763" t="s">
        <v>146</v>
      </c>
      <c r="H4314" s="763"/>
      <c r="I4314" s="765"/>
      <c r="J4314" s="763"/>
      <c r="K4314" s="763" t="s">
        <v>3</v>
      </c>
      <c r="L4314" s="766" t="s">
        <v>143</v>
      </c>
      <c r="M4314" s="766"/>
      <c r="N4314" s="766"/>
      <c r="O4314" s="766"/>
      <c r="P4314" s="766"/>
      <c r="Q4314" s="767"/>
      <c r="R4314" s="768">
        <f ca="1">SUM(R4310:R4313)</f>
        <v>83.16</v>
      </c>
      <c r="S4314" s="763"/>
      <c r="T4314" s="768">
        <f ca="1">SUM(T4310:T4313)</f>
        <v>6.0300000000000011</v>
      </c>
      <c r="U4314" s="531"/>
      <c r="V4314" s="531"/>
      <c r="W4314" s="531"/>
      <c r="X4314" s="531"/>
      <c r="Y4314" s="531"/>
      <c r="Z4314" s="531"/>
      <c r="AA4314" s="531"/>
      <c r="AB4314" s="531"/>
      <c r="AC4314" s="531"/>
      <c r="AD4314" s="531"/>
      <c r="AE4314" s="531"/>
      <c r="AF4314" s="531"/>
      <c r="AG4314" s="531"/>
      <c r="AH4314" s="531"/>
      <c r="AI4314" s="531"/>
      <c r="AJ4314" s="531"/>
      <c r="AK4314" s="531"/>
      <c r="AL4314" s="531"/>
      <c r="AM4314" s="531"/>
      <c r="AN4314" s="531"/>
      <c r="AO4314" s="531"/>
      <c r="AR4314" s="761" t="s">
        <v>145</v>
      </c>
      <c r="AS4314" s="764"/>
    </row>
    <row r="4315" spans="1:45" s="520" customFormat="1" ht="12" thickTop="1">
      <c r="A4315" s="51"/>
      <c r="B4315" s="41"/>
      <c r="C4315" s="51"/>
      <c r="E4315" s="42" t="s">
        <v>138</v>
      </c>
      <c r="F4315" s="42" t="s">
        <v>139</v>
      </c>
      <c r="G4315" s="51"/>
      <c r="H4315" s="51"/>
      <c r="I4315" s="51"/>
      <c r="J4315" s="51"/>
      <c r="K4315" s="51" t="s">
        <v>140</v>
      </c>
      <c r="L4315" s="51"/>
      <c r="M4315" s="51"/>
      <c r="N4315" s="51"/>
      <c r="O4315" s="52"/>
      <c r="P4315" s="51"/>
      <c r="Q4315" s="51"/>
      <c r="R4315" s="51"/>
      <c r="S4315" s="51"/>
      <c r="T4315" s="41"/>
      <c r="AG4315" s="521" t="s">
        <v>268</v>
      </c>
      <c r="AH4315" s="521" t="s">
        <v>269</v>
      </c>
      <c r="AI4315" s="521" t="s">
        <v>270</v>
      </c>
      <c r="AJ4315" s="521" t="s">
        <v>271</v>
      </c>
      <c r="AK4315" s="521" t="s">
        <v>272</v>
      </c>
      <c r="AM4315" s="745" t="s">
        <v>281</v>
      </c>
      <c r="AN4315" s="746" t="s">
        <v>282</v>
      </c>
      <c r="AO4315" s="522" t="s">
        <v>278</v>
      </c>
      <c r="AR4315" s="51"/>
      <c r="AS4315" s="42" t="s">
        <v>139</v>
      </c>
    </row>
    <row r="4316" spans="1:45" s="520" customFormat="1" ht="12" customHeight="1">
      <c r="A4316" s="747">
        <v>1</v>
      </c>
      <c r="B4316" s="523" t="s">
        <v>141</v>
      </c>
      <c r="C4316" s="748"/>
      <c r="D4316" s="749" t="s">
        <v>1757</v>
      </c>
      <c r="E4316" s="750">
        <f ca="1">IF(AND($A4316=0,$A$1="DIF"),0, ROUND(ROUND(($R4321*$S$2+($T4321*$T$2))/A4316,2)*$C$2,2))</f>
        <v>136.13</v>
      </c>
      <c r="F4316" s="751">
        <f ca="1">ROUND($A4316*$E4316,2)</f>
        <v>136.13</v>
      </c>
      <c r="G4316" s="752" t="s">
        <v>142</v>
      </c>
      <c r="H4316" s="753"/>
      <c r="I4316" s="754"/>
      <c r="J4316" s="753"/>
      <c r="K4316" s="753" t="s">
        <v>3</v>
      </c>
      <c r="L4316" s="755" t="s">
        <v>143</v>
      </c>
      <c r="M4316" s="755"/>
      <c r="N4316" s="755"/>
      <c r="O4316" s="755"/>
      <c r="P4316" s="755"/>
      <c r="Q4316" s="51"/>
      <c r="T4316" s="756" t="str">
        <f ca="1">IF(AND($R4321=0,$T4321=0),"0.00","mu :" &amp; ROUND($F4316/$C$2/($R4321+$T4321*$D$9),2))</f>
        <v>mu :1.23</v>
      </c>
      <c r="W4316" s="524"/>
      <c r="AG4316" s="481">
        <f ca="1">IF($E4316=0,0,ROUND($R4321*$S$2*$C$2/$A4316,2))</f>
        <v>45.51</v>
      </c>
      <c r="AH4316" s="481">
        <f ca="1">$AG4316*$A4316</f>
        <v>45.51</v>
      </c>
      <c r="AI4316" s="525">
        <f ca="1">$E4316-$AG4316</f>
        <v>90.62</v>
      </c>
      <c r="AJ4316" s="525">
        <f ca="1">$A4316*$AI4316</f>
        <v>90.62</v>
      </c>
      <c r="AK4316" s="526">
        <f ca="1">ROUND(($AG4316+$AI4316)*$A4316,2)</f>
        <v>136.13</v>
      </c>
      <c r="AM4316" s="527">
        <f ca="1">ROUND(R4321,2)</f>
        <v>36.96</v>
      </c>
      <c r="AN4316" s="528">
        <f ca="1">ROUND(T4321,2)</f>
        <v>2.68</v>
      </c>
      <c r="AO4316" s="529">
        <f ca="1">ROUND(AM4316+AN4316,2)*A4316</f>
        <v>39.64</v>
      </c>
      <c r="AR4316" s="747">
        <v>1</v>
      </c>
      <c r="AS4316" s="751">
        <v>146.27000000000001</v>
      </c>
    </row>
    <row r="4317" spans="1:45" s="520" customFormat="1" ht="13.2">
      <c r="A4317" s="748"/>
      <c r="B4317"/>
      <c r="C4317" s="748"/>
      <c r="D4317" s="749" t="s">
        <v>770</v>
      </c>
      <c r="F4317" s="753"/>
      <c r="G4317" s="3"/>
      <c r="H4317" s="753"/>
      <c r="I4317" s="754"/>
      <c r="J4317" s="753"/>
      <c r="K4317" s="753" t="s">
        <v>144</v>
      </c>
      <c r="L4317" s="753"/>
      <c r="M4317" s="753"/>
      <c r="N4317" s="753"/>
      <c r="O4317" s="753"/>
      <c r="P4317" s="753"/>
      <c r="Q4317" s="51"/>
      <c r="R4317" s="530"/>
      <c r="S4317" s="757"/>
      <c r="T4317" s="753"/>
      <c r="AR4317" s="748"/>
      <c r="AS4317" s="753"/>
    </row>
    <row r="4318" spans="1:45" s="886" customFormat="1" ht="13.2">
      <c r="A4318"/>
      <c r="B4318" s="910"/>
      <c r="C4318" s="910" t="s">
        <v>2597</v>
      </c>
      <c r="D4318" s="910" t="str">
        <f ca="1">CELL("Address",Elec_Rates!D$19)</f>
        <v>[E25_0062_Quintano_Foods_Elec_ELV_As_Awarded.xlsx]Elec_Rates!$D$19</v>
      </c>
      <c r="E4318" s="911"/>
      <c r="F4318" s="911"/>
      <c r="G4318" s="912" t="s">
        <v>2598</v>
      </c>
      <c r="H4318" s="912"/>
      <c r="I4318" s="912"/>
      <c r="J4318" s="912"/>
      <c r="K4318" s="913"/>
      <c r="L4318" s="911"/>
      <c r="M4318" s="911"/>
      <c r="N4318" s="911"/>
      <c r="O4318" s="914"/>
      <c r="P4318" s="911"/>
      <c r="Q4318" s="915"/>
      <c r="R4318" s="916"/>
      <c r="S4318" s="915"/>
      <c r="T4318" s="917"/>
      <c r="U4318" s="918"/>
      <c r="AR4318"/>
      <c r="AS4318" s="911"/>
    </row>
    <row r="4319" spans="1:45" s="886" customFormat="1" ht="11.4">
      <c r="A4319" s="919">
        <v>1</v>
      </c>
      <c r="B4319" s="920">
        <v>2</v>
      </c>
      <c r="C4319" s="920">
        <f>$A4319*$B4319</f>
        <v>2</v>
      </c>
      <c r="D4319" s="921" t="str">
        <f>Elec_Rates!$D$19</f>
        <v>001# Light Point Rate (LSZH Conduit)</v>
      </c>
      <c r="E4319" s="921" t="s">
        <v>2891</v>
      </c>
      <c r="F4319" s="918"/>
      <c r="G4319" s="922" t="s">
        <v>2878</v>
      </c>
      <c r="H4319" s="922"/>
      <c r="I4319" s="922"/>
      <c r="J4319" s="922"/>
      <c r="K4319" s="923"/>
      <c r="L4319" s="918"/>
      <c r="M4319" s="918"/>
      <c r="N4319" s="918"/>
      <c r="O4319" s="924"/>
      <c r="P4319" s="921"/>
      <c r="Q4319" s="925">
        <f ca="1">$B4319*Elec_Rates!$R$19</f>
        <v>36.96</v>
      </c>
      <c r="R4319" s="916">
        <f ca="1">$A4319*Q4319</f>
        <v>36.96</v>
      </c>
      <c r="S4319" s="925">
        <f ca="1">$B4319*Elec_Rates!$T$19</f>
        <v>2.68</v>
      </c>
      <c r="T4319" s="917">
        <f ca="1">$A4319*S4319</f>
        <v>2.68</v>
      </c>
      <c r="U4319" s="926"/>
      <c r="AR4319" s="919">
        <v>1</v>
      </c>
      <c r="AS4319" s="918"/>
    </row>
    <row r="4320" spans="1:45" s="520" customFormat="1" ht="12">
      <c r="A4320" s="758"/>
      <c r="B4320" s="758"/>
      <c r="C4320" s="758"/>
      <c r="D4320" s="758"/>
      <c r="E4320" s="758"/>
      <c r="F4320" s="753"/>
      <c r="G4320" s="758"/>
      <c r="H4320" s="758"/>
      <c r="I4320" s="519"/>
      <c r="J4320" s="758"/>
      <c r="K4320" s="758"/>
      <c r="L4320" s="758"/>
      <c r="M4320" s="758"/>
      <c r="N4320" s="758"/>
      <c r="O4320" s="758"/>
      <c r="P4320" s="758"/>
      <c r="Q4320" s="519"/>
      <c r="R4320" s="759">
        <f>$A4320*Q4320</f>
        <v>0</v>
      </c>
      <c r="S4320" s="519"/>
      <c r="T4320" s="760">
        <f>$A4320*S4320*$T$1</f>
        <v>0</v>
      </c>
      <c r="AR4320" s="758"/>
      <c r="AS4320" s="753"/>
    </row>
    <row r="4321" spans="1:45" s="520" customFormat="1" ht="12.6" thickBot="1">
      <c r="A4321" s="761" t="s">
        <v>145</v>
      </c>
      <c r="B4321" s="762">
        <f>(R4320+T4320)</f>
        <v>0</v>
      </c>
      <c r="C4321" s="763"/>
      <c r="D4321" s="763"/>
      <c r="E4321" s="763"/>
      <c r="F4321" s="764"/>
      <c r="G4321" s="763" t="s">
        <v>146</v>
      </c>
      <c r="H4321" s="763"/>
      <c r="I4321" s="765"/>
      <c r="J4321" s="763"/>
      <c r="K4321" s="763" t="s">
        <v>3</v>
      </c>
      <c r="L4321" s="766" t="s">
        <v>143</v>
      </c>
      <c r="M4321" s="766"/>
      <c r="N4321" s="766"/>
      <c r="O4321" s="766"/>
      <c r="P4321" s="766"/>
      <c r="Q4321" s="767"/>
      <c r="R4321" s="768">
        <f ca="1">SUM(R4317:R4320)</f>
        <v>36.96</v>
      </c>
      <c r="S4321" s="763"/>
      <c r="T4321" s="768">
        <f ca="1">SUM(T4317:T4320)</f>
        <v>2.68</v>
      </c>
      <c r="U4321" s="531"/>
      <c r="V4321" s="531"/>
      <c r="W4321" s="531"/>
      <c r="X4321" s="531"/>
      <c r="Y4321" s="531"/>
      <c r="Z4321" s="531"/>
      <c r="AA4321" s="531"/>
      <c r="AB4321" s="531"/>
      <c r="AC4321" s="531"/>
      <c r="AD4321" s="531"/>
      <c r="AE4321" s="531"/>
      <c r="AF4321" s="531"/>
      <c r="AG4321" s="531"/>
      <c r="AH4321" s="531"/>
      <c r="AI4321" s="531"/>
      <c r="AJ4321" s="531"/>
      <c r="AK4321" s="531"/>
      <c r="AL4321" s="531"/>
      <c r="AM4321" s="531"/>
      <c r="AN4321" s="531"/>
      <c r="AO4321" s="531"/>
      <c r="AR4321" s="761" t="s">
        <v>145</v>
      </c>
      <c r="AS4321" s="764"/>
    </row>
    <row r="4322" spans="1:45" s="520" customFormat="1" ht="12" thickTop="1">
      <c r="A4322" s="51"/>
      <c r="B4322" s="41"/>
      <c r="C4322" s="51"/>
      <c r="E4322" s="42" t="s">
        <v>138</v>
      </c>
      <c r="F4322" s="42" t="s">
        <v>139</v>
      </c>
      <c r="G4322" s="51"/>
      <c r="H4322" s="51"/>
      <c r="I4322" s="51"/>
      <c r="J4322" s="51"/>
      <c r="K4322" s="51" t="s">
        <v>140</v>
      </c>
      <c r="L4322" s="51"/>
      <c r="M4322" s="51"/>
      <c r="N4322" s="51"/>
      <c r="O4322" s="52"/>
      <c r="P4322" s="51"/>
      <c r="Q4322" s="51"/>
      <c r="R4322" s="51"/>
      <c r="S4322" s="51"/>
      <c r="T4322" s="41"/>
      <c r="AG4322" s="521" t="s">
        <v>268</v>
      </c>
      <c r="AH4322" s="521" t="s">
        <v>269</v>
      </c>
      <c r="AI4322" s="521" t="s">
        <v>270</v>
      </c>
      <c r="AJ4322" s="521" t="s">
        <v>271</v>
      </c>
      <c r="AK4322" s="521" t="s">
        <v>272</v>
      </c>
      <c r="AM4322" s="745" t="s">
        <v>281</v>
      </c>
      <c r="AN4322" s="746" t="s">
        <v>282</v>
      </c>
      <c r="AO4322" s="522" t="s">
        <v>278</v>
      </c>
      <c r="AR4322" s="51"/>
      <c r="AS4322" s="42" t="s">
        <v>139</v>
      </c>
    </row>
    <row r="4323" spans="1:45" s="520" customFormat="1" ht="12" customHeight="1">
      <c r="A4323" s="747">
        <v>13</v>
      </c>
      <c r="B4323" s="523" t="s">
        <v>141</v>
      </c>
      <c r="C4323" s="748"/>
      <c r="D4323" s="749" t="s">
        <v>1758</v>
      </c>
      <c r="E4323" s="750">
        <f>IF(AND($A4323=0,$A$1="DIF"),0, ROUND(ROUND(($R4327*$S$2+($T4327*$T$2))/A4323,2)*$C$2,2))</f>
        <v>0</v>
      </c>
      <c r="F4323" s="751">
        <f>ROUND($A4323*$E4323,2)</f>
        <v>0</v>
      </c>
      <c r="G4323" s="752" t="s">
        <v>142</v>
      </c>
      <c r="H4323" s="753"/>
      <c r="I4323" s="754"/>
      <c r="J4323" s="753"/>
      <c r="K4323" s="753" t="s">
        <v>3</v>
      </c>
      <c r="L4323" s="755" t="s">
        <v>143</v>
      </c>
      <c r="M4323" s="755"/>
      <c r="N4323" s="755"/>
      <c r="O4323" s="755"/>
      <c r="P4323" s="755"/>
      <c r="Q4323" s="53" t="s">
        <v>2895</v>
      </c>
      <c r="T4323" s="756" t="str">
        <f>IF(AND($R4327=0,$T4327=0),"0.00","mu :" &amp; ROUND($F4323/$C$2/($R4327+$T4327*$D$9),2))</f>
        <v>0.00</v>
      </c>
      <c r="W4323" s="524"/>
      <c r="AG4323" s="481">
        <f>IF($E4323=0,0,ROUND($R4327*$S$2*$C$2/$A4323,2))</f>
        <v>0</v>
      </c>
      <c r="AH4323" s="481">
        <f>$AG4323*$A4323</f>
        <v>0</v>
      </c>
      <c r="AI4323" s="525">
        <f>$E4323-$AG4323</f>
        <v>0</v>
      </c>
      <c r="AJ4323" s="525">
        <f>$A4323*$AI4323</f>
        <v>0</v>
      </c>
      <c r="AK4323" s="526">
        <f>ROUND(($AG4323+$AI4323)*$A4323,2)</f>
        <v>0</v>
      </c>
      <c r="AM4323" s="527">
        <f>ROUND(R4327,2)</f>
        <v>0</v>
      </c>
      <c r="AN4323" s="528">
        <f>ROUND(T4327,2)</f>
        <v>0</v>
      </c>
      <c r="AO4323" s="529">
        <f>ROUND(AM4323+AN4323,2)*A4323</f>
        <v>0</v>
      </c>
      <c r="AR4323" s="747">
        <v>13</v>
      </c>
      <c r="AS4323" s="751">
        <v>0</v>
      </c>
    </row>
    <row r="4324" spans="1:45" s="520" customFormat="1" ht="13.2">
      <c r="A4324" s="748"/>
      <c r="B4324"/>
      <c r="C4324" s="748"/>
      <c r="D4324" s="749" t="s">
        <v>776</v>
      </c>
      <c r="F4324" s="753"/>
      <c r="G4324" s="3"/>
      <c r="H4324" s="753"/>
      <c r="I4324" s="754"/>
      <c r="J4324" s="753"/>
      <c r="K4324" s="753" t="s">
        <v>144</v>
      </c>
      <c r="L4324" s="753"/>
      <c r="M4324" s="753"/>
      <c r="N4324" s="753"/>
      <c r="O4324" s="753"/>
      <c r="P4324" s="753"/>
      <c r="Q4324" s="51"/>
      <c r="R4324" s="530"/>
      <c r="S4324" s="757"/>
      <c r="T4324" s="753"/>
      <c r="AR4324" s="748"/>
      <c r="AS4324" s="753"/>
    </row>
    <row r="4325" spans="1:45" s="520" customFormat="1" ht="12">
      <c r="A4325" s="51"/>
      <c r="B4325" s="758"/>
      <c r="C4325" s="758"/>
      <c r="D4325" s="1061" t="s">
        <v>3253</v>
      </c>
      <c r="E4325" s="758"/>
      <c r="F4325" s="753"/>
      <c r="G4325" s="758"/>
      <c r="H4325" s="758"/>
      <c r="I4325" s="519"/>
      <c r="J4325" s="758"/>
      <c r="K4325" s="758"/>
      <c r="L4325" s="758"/>
      <c r="M4325" s="758"/>
      <c r="N4325" s="758"/>
      <c r="O4325" s="758"/>
      <c r="P4325" s="758"/>
      <c r="Q4325" s="519"/>
      <c r="R4325" s="759">
        <f t="shared" ref="R4325:R4326" si="124">$A4325*Q4325</f>
        <v>0</v>
      </c>
      <c r="S4325" s="519"/>
      <c r="T4325" s="760">
        <f t="shared" ref="T4325:T4326" si="125">$A4325*S4325*$T$1</f>
        <v>0</v>
      </c>
      <c r="AR4325" s="51"/>
      <c r="AS4325" s="753"/>
    </row>
    <row r="4326" spans="1:45" s="520" customFormat="1" ht="12">
      <c r="A4326" s="758"/>
      <c r="B4326" s="758"/>
      <c r="C4326" s="758"/>
      <c r="D4326" s="758"/>
      <c r="E4326" s="758"/>
      <c r="F4326" s="753"/>
      <c r="G4326" s="758"/>
      <c r="H4326" s="758"/>
      <c r="I4326" s="519"/>
      <c r="J4326" s="758"/>
      <c r="K4326" s="758"/>
      <c r="L4326" s="758"/>
      <c r="M4326" s="758"/>
      <c r="N4326" s="758"/>
      <c r="O4326" s="758"/>
      <c r="P4326" s="758"/>
      <c r="Q4326" s="519"/>
      <c r="R4326" s="759">
        <f t="shared" si="124"/>
        <v>0</v>
      </c>
      <c r="S4326" s="519"/>
      <c r="T4326" s="760">
        <f t="shared" si="125"/>
        <v>0</v>
      </c>
      <c r="AR4326" s="758"/>
      <c r="AS4326" s="753"/>
    </row>
    <row r="4327" spans="1:45" s="520" customFormat="1" ht="12.6" thickBot="1">
      <c r="A4327" s="761" t="s">
        <v>145</v>
      </c>
      <c r="B4327" s="762">
        <f>(R4326+T4326)</f>
        <v>0</v>
      </c>
      <c r="C4327" s="763"/>
      <c r="D4327" s="763"/>
      <c r="E4327" s="763"/>
      <c r="F4327" s="764"/>
      <c r="G4327" s="763" t="s">
        <v>146</v>
      </c>
      <c r="H4327" s="763"/>
      <c r="I4327" s="765"/>
      <c r="J4327" s="763"/>
      <c r="K4327" s="763" t="s">
        <v>3</v>
      </c>
      <c r="L4327" s="766" t="s">
        <v>143</v>
      </c>
      <c r="M4327" s="766"/>
      <c r="N4327" s="766"/>
      <c r="O4327" s="766"/>
      <c r="P4327" s="766"/>
      <c r="Q4327" s="767"/>
      <c r="R4327" s="768">
        <f>SUM(R4324:R4326)</f>
        <v>0</v>
      </c>
      <c r="S4327" s="763"/>
      <c r="T4327" s="768">
        <f>SUM(T4324:T4326)</f>
        <v>0</v>
      </c>
      <c r="U4327" s="531"/>
      <c r="V4327" s="531"/>
      <c r="W4327" s="531"/>
      <c r="X4327" s="531"/>
      <c r="Y4327" s="531"/>
      <c r="Z4327" s="531"/>
      <c r="AA4327" s="531"/>
      <c r="AB4327" s="531"/>
      <c r="AC4327" s="531"/>
      <c r="AD4327" s="531"/>
      <c r="AE4327" s="531"/>
      <c r="AF4327" s="531"/>
      <c r="AG4327" s="531"/>
      <c r="AH4327" s="531"/>
      <c r="AI4327" s="531"/>
      <c r="AJ4327" s="531"/>
      <c r="AK4327" s="531"/>
      <c r="AL4327" s="531"/>
      <c r="AM4327" s="531"/>
      <c r="AN4327" s="531"/>
      <c r="AO4327" s="531"/>
      <c r="AR4327" s="761" t="s">
        <v>145</v>
      </c>
      <c r="AS4327" s="764"/>
    </row>
    <row r="4328" spans="1:45" s="520" customFormat="1" ht="12" thickTop="1">
      <c r="A4328" s="51"/>
      <c r="B4328" s="41"/>
      <c r="C4328" s="51"/>
      <c r="E4328" s="42" t="s">
        <v>138</v>
      </c>
      <c r="F4328" s="42" t="s">
        <v>139</v>
      </c>
      <c r="G4328" s="51"/>
      <c r="H4328" s="51"/>
      <c r="I4328" s="51"/>
      <c r="J4328" s="51"/>
      <c r="K4328" s="51" t="s">
        <v>140</v>
      </c>
      <c r="L4328" s="51"/>
      <c r="M4328" s="51"/>
      <c r="N4328" s="51"/>
      <c r="O4328" s="52"/>
      <c r="P4328" s="51"/>
      <c r="Q4328" s="51"/>
      <c r="R4328" s="51"/>
      <c r="S4328" s="51"/>
      <c r="T4328" s="41"/>
      <c r="AG4328" s="521" t="s">
        <v>268</v>
      </c>
      <c r="AH4328" s="521" t="s">
        <v>269</v>
      </c>
      <c r="AI4328" s="521" t="s">
        <v>270</v>
      </c>
      <c r="AJ4328" s="521" t="s">
        <v>271</v>
      </c>
      <c r="AK4328" s="521" t="s">
        <v>272</v>
      </c>
      <c r="AM4328" s="745" t="s">
        <v>281</v>
      </c>
      <c r="AN4328" s="746" t="s">
        <v>282</v>
      </c>
      <c r="AO4328" s="522" t="s">
        <v>278</v>
      </c>
      <c r="AR4328" s="51"/>
      <c r="AS4328" s="42" t="s">
        <v>139</v>
      </c>
    </row>
    <row r="4329" spans="1:45" s="520" customFormat="1" ht="12" customHeight="1">
      <c r="A4329" s="747">
        <v>2</v>
      </c>
      <c r="B4329" s="523" t="s">
        <v>141</v>
      </c>
      <c r="C4329" s="748"/>
      <c r="D4329" s="749" t="s">
        <v>1759</v>
      </c>
      <c r="E4329" s="750">
        <f ca="1">IF(AND($A4329=0,$A$1="DIF"),0, ROUND(ROUND(($R4334*$S$2+($T4334*$T$2))/A4329,2)*$C$2,2))</f>
        <v>46.93</v>
      </c>
      <c r="F4329" s="751">
        <f ca="1">ROUND($A4329*$E4329,2)</f>
        <v>93.86</v>
      </c>
      <c r="G4329" s="752" t="s">
        <v>142</v>
      </c>
      <c r="H4329" s="753"/>
      <c r="I4329" s="754"/>
      <c r="J4329" s="753"/>
      <c r="K4329" s="753" t="s">
        <v>3</v>
      </c>
      <c r="L4329" s="755" t="s">
        <v>143</v>
      </c>
      <c r="M4329" s="755"/>
      <c r="N4329" s="755"/>
      <c r="O4329" s="755"/>
      <c r="P4329" s="755"/>
      <c r="Q4329" s="51"/>
      <c r="T4329" s="756" t="str">
        <f ca="1">IF(AND($R4334=0,$T4334=0),"0.00","mu :" &amp; ROUND($F4329/$C$2/($R4334+$T4334*$D$9),2))</f>
        <v>mu :1.23</v>
      </c>
      <c r="W4329" s="524"/>
      <c r="AG4329" s="481">
        <f ca="1">IF($E4329=0,0,ROUND($R4334*$S$2*$C$2/$A4329,2))</f>
        <v>15.82</v>
      </c>
      <c r="AH4329" s="481">
        <f ca="1">$AG4329*$A4329</f>
        <v>31.64</v>
      </c>
      <c r="AI4329" s="525">
        <f ca="1">$E4329-$AG4329</f>
        <v>31.11</v>
      </c>
      <c r="AJ4329" s="525">
        <f ca="1">$A4329*$AI4329</f>
        <v>62.22</v>
      </c>
      <c r="AK4329" s="526">
        <f ca="1">ROUND(($AG4329+$AI4329)*$A4329,2)</f>
        <v>93.86</v>
      </c>
      <c r="AM4329" s="527">
        <f ca="1">ROUND(R4334,2)</f>
        <v>25.7</v>
      </c>
      <c r="AN4329" s="528">
        <f ca="1">ROUND(T4334,2)</f>
        <v>1.84</v>
      </c>
      <c r="AO4329" s="529">
        <f ca="1">ROUND(AM4329+AN4329,2)*A4329</f>
        <v>55.08</v>
      </c>
      <c r="AR4329" s="747">
        <v>2</v>
      </c>
      <c r="AS4329" s="751">
        <v>101.3</v>
      </c>
    </row>
    <row r="4330" spans="1:45" s="520" customFormat="1" ht="13.2">
      <c r="A4330" s="748"/>
      <c r="B4330"/>
      <c r="C4330" s="748"/>
      <c r="D4330" s="749" t="s">
        <v>777</v>
      </c>
      <c r="F4330" s="753"/>
      <c r="G4330" s="3"/>
      <c r="H4330" s="753"/>
      <c r="I4330" s="754"/>
      <c r="J4330" s="753"/>
      <c r="K4330" s="753" t="s">
        <v>144</v>
      </c>
      <c r="L4330" s="753"/>
      <c r="M4330" s="753"/>
      <c r="N4330" s="753"/>
      <c r="O4330" s="753"/>
      <c r="P4330" s="753"/>
      <c r="Q4330" s="51"/>
      <c r="R4330" s="530"/>
      <c r="S4330" s="757"/>
      <c r="T4330" s="753"/>
      <c r="AR4330" s="748"/>
      <c r="AS4330" s="753"/>
    </row>
    <row r="4331" spans="1:45" s="886" customFormat="1" ht="13.2">
      <c r="A4331"/>
      <c r="B4331" s="910"/>
      <c r="C4331" s="910" t="s">
        <v>2597</v>
      </c>
      <c r="D4331" s="910" t="str">
        <f ca="1">CELL("Address",Elec_Rates!D$30)</f>
        <v>[E25_0062_Quintano_Foods_Elec_ELV_As_Awarded.xlsx]Elec_Rates!$D$30</v>
      </c>
      <c r="E4331" s="911"/>
      <c r="F4331" s="911"/>
      <c r="G4331" s="912" t="s">
        <v>2598</v>
      </c>
      <c r="H4331" s="912"/>
      <c r="I4331" s="912"/>
      <c r="J4331" s="912"/>
      <c r="K4331" s="913"/>
      <c r="L4331" s="911"/>
      <c r="M4331" s="911"/>
      <c r="N4331" s="911"/>
      <c r="O4331" s="914"/>
      <c r="P4331" s="911"/>
      <c r="Q4331" s="915"/>
      <c r="R4331" s="916"/>
      <c r="S4331" s="915"/>
      <c r="T4331" s="917"/>
      <c r="U4331" s="918"/>
      <c r="AR4331"/>
      <c r="AS4331" s="911"/>
    </row>
    <row r="4332" spans="1:45" s="886" customFormat="1" ht="11.4">
      <c r="A4332" s="919">
        <v>2</v>
      </c>
      <c r="B4332" s="920">
        <v>1</v>
      </c>
      <c r="C4332" s="920">
        <f>$A4332*$B4332</f>
        <v>2</v>
      </c>
      <c r="D4332" s="921" t="str">
        <f>Elec_Rates!$D$30</f>
        <v>002# Maintaned Emergency Light point rate (LSZH Conduit)</v>
      </c>
      <c r="E4332" s="921"/>
      <c r="F4332" s="921" t="s">
        <v>2599</v>
      </c>
      <c r="G4332" s="922" t="s">
        <v>2600</v>
      </c>
      <c r="H4332" s="922"/>
      <c r="I4332" s="922"/>
      <c r="J4332" s="922"/>
      <c r="K4332" s="923"/>
      <c r="L4332" s="918"/>
      <c r="M4332" s="918"/>
      <c r="N4332" s="918"/>
      <c r="O4332" s="924"/>
      <c r="P4332" s="921"/>
      <c r="Q4332" s="925">
        <f ca="1">$B4332*Elec_Rates!$R$30</f>
        <v>12.85</v>
      </c>
      <c r="R4332" s="916">
        <f ca="1">$A4332*Q4332</f>
        <v>25.7</v>
      </c>
      <c r="S4332" s="925">
        <f ca="1">$B4332*Elec_Rates!$T$30</f>
        <v>0.92</v>
      </c>
      <c r="T4332" s="917">
        <f ca="1">$A4332*S4332</f>
        <v>1.84</v>
      </c>
      <c r="U4332" s="926"/>
      <c r="AR4332" s="919">
        <v>2</v>
      </c>
      <c r="AS4332" s="921" t="s">
        <v>2599</v>
      </c>
    </row>
    <row r="4333" spans="1:45" s="520" customFormat="1" ht="12">
      <c r="A4333" s="758"/>
      <c r="B4333" s="758"/>
      <c r="C4333" s="758"/>
      <c r="D4333" s="758"/>
      <c r="E4333" s="758"/>
      <c r="F4333" s="753"/>
      <c r="G4333" s="758"/>
      <c r="H4333" s="758"/>
      <c r="I4333" s="519"/>
      <c r="J4333" s="758"/>
      <c r="K4333" s="758"/>
      <c r="L4333" s="758"/>
      <c r="M4333" s="758"/>
      <c r="N4333" s="758"/>
      <c r="O4333" s="758"/>
      <c r="P4333" s="758"/>
      <c r="Q4333" s="519"/>
      <c r="R4333" s="759">
        <f>$A4333*Q4333</f>
        <v>0</v>
      </c>
      <c r="S4333" s="519"/>
      <c r="T4333" s="760">
        <f>$A4333*S4333*$T$1</f>
        <v>0</v>
      </c>
      <c r="AR4333" s="758"/>
      <c r="AS4333" s="753"/>
    </row>
    <row r="4334" spans="1:45" s="520" customFormat="1" ht="12.6" thickBot="1">
      <c r="A4334" s="761" t="s">
        <v>145</v>
      </c>
      <c r="B4334" s="762">
        <f>(R4333+T4333)</f>
        <v>0</v>
      </c>
      <c r="C4334" s="763"/>
      <c r="D4334" s="763"/>
      <c r="E4334" s="763"/>
      <c r="F4334" s="764"/>
      <c r="G4334" s="763" t="s">
        <v>146</v>
      </c>
      <c r="H4334" s="763"/>
      <c r="I4334" s="765"/>
      <c r="J4334" s="763"/>
      <c r="K4334" s="763" t="s">
        <v>3</v>
      </c>
      <c r="L4334" s="766" t="s">
        <v>143</v>
      </c>
      <c r="M4334" s="766"/>
      <c r="N4334" s="766"/>
      <c r="O4334" s="766"/>
      <c r="P4334" s="766"/>
      <c r="Q4334" s="767"/>
      <c r="R4334" s="768">
        <f ca="1">SUM(R4330:R4333)</f>
        <v>25.7</v>
      </c>
      <c r="S4334" s="763"/>
      <c r="T4334" s="768">
        <f ca="1">SUM(T4330:T4333)</f>
        <v>1.84</v>
      </c>
      <c r="U4334" s="531"/>
      <c r="V4334" s="531"/>
      <c r="W4334" s="531"/>
      <c r="X4334" s="531"/>
      <c r="Y4334" s="531"/>
      <c r="Z4334" s="531"/>
      <c r="AA4334" s="531"/>
      <c r="AB4334" s="531"/>
      <c r="AC4334" s="531"/>
      <c r="AD4334" s="531"/>
      <c r="AE4334" s="531"/>
      <c r="AF4334" s="531"/>
      <c r="AG4334" s="531"/>
      <c r="AH4334" s="531"/>
      <c r="AI4334" s="531"/>
      <c r="AJ4334" s="531"/>
      <c r="AK4334" s="531"/>
      <c r="AL4334" s="531"/>
      <c r="AM4334" s="531"/>
      <c r="AN4334" s="531"/>
      <c r="AO4334" s="531"/>
      <c r="AR4334" s="761" t="s">
        <v>145</v>
      </c>
      <c r="AS4334" s="764"/>
    </row>
    <row r="4335" spans="1:45" s="520" customFormat="1" thickTop="1">
      <c r="A4335" s="51"/>
      <c r="B4335" s="51"/>
      <c r="C4335" s="3"/>
      <c r="D4335" s="3"/>
      <c r="E4335" s="51"/>
      <c r="F4335" s="51"/>
      <c r="G4335" s="51"/>
      <c r="H4335" s="51"/>
      <c r="I4335" s="51"/>
      <c r="J4335" s="51"/>
      <c r="K4335" s="51" t="s">
        <v>134</v>
      </c>
      <c r="L4335" s="51"/>
      <c r="M4335" s="51"/>
      <c r="N4335" s="51"/>
      <c r="O4335" s="52"/>
      <c r="P4335" s="51"/>
      <c r="Q4335" s="51"/>
      <c r="R4335" s="51"/>
      <c r="S4335" s="51"/>
      <c r="T4335" s="51"/>
      <c r="AR4335" s="51"/>
      <c r="AS4335" s="51"/>
    </row>
    <row r="4336" spans="1:45" s="520" customFormat="1" ht="12">
      <c r="A4336" s="51"/>
      <c r="B4336" s="51"/>
      <c r="C4336" s="51" t="s">
        <v>135</v>
      </c>
      <c r="D4336" s="37"/>
      <c r="E4336" s="51"/>
      <c r="F4336" s="51"/>
      <c r="G4336" s="51"/>
      <c r="H4336" s="51"/>
      <c r="I4336" s="51"/>
      <c r="J4336" s="51"/>
      <c r="K4336" s="51"/>
      <c r="L4336" s="51"/>
      <c r="M4336" s="51"/>
      <c r="N4336" s="51"/>
      <c r="O4336" s="52"/>
      <c r="P4336" s="51"/>
      <c r="Q4336" s="51"/>
      <c r="R4336" s="51"/>
      <c r="S4336" s="51"/>
      <c r="T4336" s="51"/>
      <c r="AR4336" s="51"/>
      <c r="AS4336" s="51"/>
    </row>
    <row r="4337" spans="1:45" s="520" customFormat="1" ht="12">
      <c r="A4337" s="51"/>
      <c r="B4337" s="51"/>
      <c r="C4337" s="51"/>
      <c r="D4337" s="37" t="s">
        <v>778</v>
      </c>
      <c r="E4337" s="51"/>
      <c r="F4337" s="51"/>
      <c r="G4337" s="51"/>
      <c r="H4337" s="51"/>
      <c r="I4337" s="51"/>
      <c r="J4337" s="51"/>
      <c r="K4337" s="51"/>
      <c r="L4337" s="51"/>
      <c r="M4337" s="51"/>
      <c r="N4337" s="51"/>
      <c r="O4337" s="52"/>
      <c r="P4337" s="51"/>
      <c r="Q4337" s="51"/>
      <c r="R4337" s="51"/>
      <c r="S4337" s="38"/>
      <c r="T4337" s="38"/>
      <c r="AR4337" s="51"/>
      <c r="AS4337" s="51"/>
    </row>
    <row r="4338" spans="1:45" s="3" customFormat="1" thickBot="1">
      <c r="A4338" s="531"/>
      <c r="O4338" s="107"/>
      <c r="AR4338" s="531"/>
    </row>
    <row r="4339" spans="1:45" s="520" customFormat="1" ht="12" thickTop="1">
      <c r="A4339" s="51"/>
      <c r="B4339" s="41"/>
      <c r="C4339" s="51"/>
      <c r="E4339" s="42" t="s">
        <v>138</v>
      </c>
      <c r="F4339" s="42" t="s">
        <v>139</v>
      </c>
      <c r="G4339" s="51"/>
      <c r="H4339" s="51"/>
      <c r="I4339" s="51"/>
      <c r="J4339" s="51"/>
      <c r="K4339" s="51" t="s">
        <v>140</v>
      </c>
      <c r="L4339" s="51"/>
      <c r="M4339" s="51"/>
      <c r="N4339" s="51"/>
      <c r="O4339" s="52"/>
      <c r="P4339" s="51"/>
      <c r="Q4339" s="51"/>
      <c r="R4339" s="51"/>
      <c r="S4339" s="51"/>
      <c r="T4339" s="41"/>
      <c r="AG4339" s="521" t="s">
        <v>268</v>
      </c>
      <c r="AH4339" s="521" t="s">
        <v>269</v>
      </c>
      <c r="AI4339" s="521" t="s">
        <v>270</v>
      </c>
      <c r="AJ4339" s="521" t="s">
        <v>271</v>
      </c>
      <c r="AK4339" s="521" t="s">
        <v>272</v>
      </c>
      <c r="AM4339" s="745" t="s">
        <v>281</v>
      </c>
      <c r="AN4339" s="746" t="s">
        <v>282</v>
      </c>
      <c r="AO4339" s="522" t="s">
        <v>278</v>
      </c>
      <c r="AR4339" s="51"/>
      <c r="AS4339" s="42" t="s">
        <v>139</v>
      </c>
    </row>
    <row r="4340" spans="1:45" s="520" customFormat="1" ht="12" customHeight="1">
      <c r="A4340" s="747">
        <v>6</v>
      </c>
      <c r="B4340" s="523" t="s">
        <v>141</v>
      </c>
      <c r="C4340" s="748"/>
      <c r="D4340" s="749" t="s">
        <v>1760</v>
      </c>
      <c r="E4340" s="750">
        <f>IF(AND($A4340=0,$A$1="DIF"),0, ROUND(ROUND(($R4346*$S$2+($T4346*$T$2))/A4340,2)*$C$2,2))</f>
        <v>142.9</v>
      </c>
      <c r="F4340" s="751">
        <f>ROUND($A4340*$E4340,2)</f>
        <v>857.4</v>
      </c>
      <c r="G4340" s="752" t="s">
        <v>142</v>
      </c>
      <c r="H4340" s="753"/>
      <c r="I4340" s="754"/>
      <c r="J4340" s="753"/>
      <c r="K4340" s="753" t="s">
        <v>3</v>
      </c>
      <c r="L4340" s="755" t="s">
        <v>143</v>
      </c>
      <c r="M4340" s="755"/>
      <c r="N4340" s="755"/>
      <c r="O4340" s="755"/>
      <c r="P4340" s="755"/>
      <c r="Q4340" s="51"/>
      <c r="T4340" s="756" t="str">
        <f>IF(AND($R4346=0,$T4346=0),"0.00","mu :" &amp; ROUND($F4340/$C$2/($R4346+$T4346*$D$9),2))</f>
        <v>mu :1.23</v>
      </c>
      <c r="W4340" s="524"/>
      <c r="AG4340" s="481">
        <f>IF($E4340=0,0,ROUND($R4346*$S$2*$C$2/$A4340,2))</f>
        <v>97.25</v>
      </c>
      <c r="AH4340" s="481">
        <f>$AG4340*$A4340</f>
        <v>583.5</v>
      </c>
      <c r="AI4340" s="525">
        <f>$E4340-$AG4340</f>
        <v>45.650000000000006</v>
      </c>
      <c r="AJ4340" s="525">
        <f>$A4340*$AI4340</f>
        <v>273.90000000000003</v>
      </c>
      <c r="AK4340" s="526">
        <f>ROUND(($AG4340+$AI4340)*$A4340,2)</f>
        <v>857.4</v>
      </c>
      <c r="AM4340" s="527">
        <f>ROUND(R4346,2)</f>
        <v>473.88</v>
      </c>
      <c r="AN4340" s="528">
        <f>ROUND(T4346,2)</f>
        <v>8.1</v>
      </c>
      <c r="AO4340" s="529">
        <f>ROUND(AM4340+AN4340,2)*A4340</f>
        <v>2891.88</v>
      </c>
      <c r="AR4340" s="747">
        <v>6</v>
      </c>
      <c r="AS4340" s="751">
        <v>887.82</v>
      </c>
    </row>
    <row r="4341" spans="1:45" s="520" customFormat="1" ht="13.2">
      <c r="A4341" s="748"/>
      <c r="B4341"/>
      <c r="C4341" s="748"/>
      <c r="D4341" s="749" t="s">
        <v>845</v>
      </c>
      <c r="F4341" s="753"/>
      <c r="G4341" s="3"/>
      <c r="H4341" s="753"/>
      <c r="I4341" s="754"/>
      <c r="J4341" s="753"/>
      <c r="K4341" s="753" t="s">
        <v>144</v>
      </c>
      <c r="L4341" s="753"/>
      <c r="M4341" s="753"/>
      <c r="N4341" s="753"/>
      <c r="O4341" s="753"/>
      <c r="P4341" s="753"/>
      <c r="Q4341" s="51"/>
      <c r="R4341" s="530"/>
      <c r="S4341" s="757"/>
      <c r="T4341" s="753"/>
      <c r="AR4341" s="748"/>
      <c r="AS4341" s="753"/>
    </row>
    <row r="4342" spans="1:45" s="901" customFormat="1" ht="13.2">
      <c r="A4342" s="116">
        <v>6</v>
      </c>
      <c r="B4342" s="901" t="s">
        <v>141</v>
      </c>
      <c r="D4342" s="901" t="s">
        <v>2997</v>
      </c>
      <c r="E4342" s="901" t="s">
        <v>3424</v>
      </c>
      <c r="F4342" s="1054" t="s">
        <v>3032</v>
      </c>
      <c r="G4342" s="941" t="s">
        <v>2998</v>
      </c>
      <c r="H4342" s="942">
        <v>705</v>
      </c>
      <c r="I4342" s="901" t="s">
        <v>2607</v>
      </c>
      <c r="O4342" s="943">
        <v>2</v>
      </c>
      <c r="P4342" s="944"/>
      <c r="Q4342" s="945">
        <v>70</v>
      </c>
      <c r="R4342" s="946">
        <f>$A4342*Q4342</f>
        <v>420</v>
      </c>
      <c r="S4342" s="945">
        <v>1</v>
      </c>
      <c r="T4342" s="947">
        <f>$A4342*S4342*$T$1</f>
        <v>5.4</v>
      </c>
      <c r="AR4342" s="116">
        <v>6</v>
      </c>
      <c r="AS4342" s="1054" t="s">
        <v>3032</v>
      </c>
    </row>
    <row r="4343" spans="1:45" s="901" customFormat="1" ht="13.2">
      <c r="A4343" s="116">
        <v>12</v>
      </c>
      <c r="B4343" s="901" t="s">
        <v>320</v>
      </c>
      <c r="D4343" s="901" t="s">
        <v>3002</v>
      </c>
      <c r="G4343" s="941" t="s">
        <v>3003</v>
      </c>
      <c r="H4343" s="942">
        <v>690</v>
      </c>
      <c r="I4343" s="901" t="s">
        <v>2946</v>
      </c>
      <c r="J4343" s="901" t="s">
        <v>2947</v>
      </c>
      <c r="O4343" s="943">
        <v>1</v>
      </c>
      <c r="P4343" s="944">
        <v>34669</v>
      </c>
      <c r="Q4343" s="945">
        <v>2.0699999999999998</v>
      </c>
      <c r="R4343" s="946">
        <f>$A4343*Q4343</f>
        <v>24.839999999999996</v>
      </c>
      <c r="S4343" s="945">
        <v>0.25</v>
      </c>
      <c r="T4343" s="947">
        <f>$A4343*S4343*$T$1</f>
        <v>2.7</v>
      </c>
      <c r="AR4343" s="116">
        <v>12</v>
      </c>
    </row>
    <row r="4344" spans="1:45" s="901" customFormat="1" ht="13.2">
      <c r="A4344" s="116">
        <v>24</v>
      </c>
      <c r="B4344" s="901" t="s">
        <v>320</v>
      </c>
      <c r="D4344" s="901" t="s">
        <v>3004</v>
      </c>
      <c r="G4344" s="941" t="s">
        <v>3005</v>
      </c>
      <c r="H4344" s="942">
        <v>690</v>
      </c>
      <c r="I4344" s="901" t="s">
        <v>2946</v>
      </c>
      <c r="J4344" s="901" t="s">
        <v>2947</v>
      </c>
      <c r="O4344" s="943">
        <v>1</v>
      </c>
      <c r="P4344" s="944">
        <v>34669</v>
      </c>
      <c r="Q4344" s="945">
        <v>1.21</v>
      </c>
      <c r="R4344" s="946">
        <f>$A4344*Q4344</f>
        <v>29.04</v>
      </c>
      <c r="S4344" s="945"/>
      <c r="T4344" s="947">
        <f>$A4344*S4344*$T$1</f>
        <v>0</v>
      </c>
      <c r="AR4344" s="116">
        <v>24</v>
      </c>
    </row>
    <row r="4345" spans="1:45" s="520" customFormat="1" ht="12">
      <c r="A4345" s="758"/>
      <c r="B4345" s="758"/>
      <c r="C4345" s="758"/>
      <c r="D4345" s="758"/>
      <c r="E4345" s="758"/>
      <c r="F4345" s="753"/>
      <c r="G4345" s="758"/>
      <c r="H4345" s="758"/>
      <c r="I4345" s="519"/>
      <c r="J4345" s="758"/>
      <c r="K4345" s="758"/>
      <c r="L4345" s="758"/>
      <c r="M4345" s="758"/>
      <c r="N4345" s="758"/>
      <c r="O4345" s="758"/>
      <c r="P4345" s="758"/>
      <c r="Q4345" s="519"/>
      <c r="R4345" s="759">
        <f>$A4345*Q4345</f>
        <v>0</v>
      </c>
      <c r="S4345" s="519"/>
      <c r="T4345" s="760">
        <f>$A4345*S4345*$T$1</f>
        <v>0</v>
      </c>
      <c r="AR4345" s="758"/>
      <c r="AS4345" s="753"/>
    </row>
    <row r="4346" spans="1:45" s="520" customFormat="1" ht="12.6" thickBot="1">
      <c r="A4346" s="761" t="s">
        <v>145</v>
      </c>
      <c r="B4346" s="762">
        <f>(R4345+T4345)</f>
        <v>0</v>
      </c>
      <c r="C4346" s="763"/>
      <c r="D4346" s="763"/>
      <c r="E4346" s="763"/>
      <c r="F4346" s="764"/>
      <c r="G4346" s="763" t="s">
        <v>146</v>
      </c>
      <c r="H4346" s="763"/>
      <c r="I4346" s="765"/>
      <c r="J4346" s="763"/>
      <c r="K4346" s="763" t="s">
        <v>3</v>
      </c>
      <c r="L4346" s="766" t="s">
        <v>143</v>
      </c>
      <c r="M4346" s="766"/>
      <c r="N4346" s="766"/>
      <c r="O4346" s="766"/>
      <c r="P4346" s="766"/>
      <c r="Q4346" s="767"/>
      <c r="R4346" s="768">
        <f>SUM(R4341:R4345)</f>
        <v>473.88</v>
      </c>
      <c r="S4346" s="763"/>
      <c r="T4346" s="768">
        <f>SUM(T4341:T4345)</f>
        <v>8.1000000000000014</v>
      </c>
      <c r="U4346" s="531"/>
      <c r="V4346" s="531"/>
      <c r="W4346" s="531"/>
      <c r="X4346" s="531"/>
      <c r="Y4346" s="531"/>
      <c r="Z4346" s="531"/>
      <c r="AA4346" s="531"/>
      <c r="AB4346" s="531"/>
      <c r="AC4346" s="531"/>
      <c r="AD4346" s="531"/>
      <c r="AE4346" s="531"/>
      <c r="AF4346" s="531"/>
      <c r="AG4346" s="531"/>
      <c r="AH4346" s="531"/>
      <c r="AI4346" s="531"/>
      <c r="AJ4346" s="531"/>
      <c r="AK4346" s="531"/>
      <c r="AL4346" s="531"/>
      <c r="AM4346" s="531"/>
      <c r="AN4346" s="531"/>
      <c r="AO4346" s="531"/>
      <c r="AR4346" s="761" t="s">
        <v>145</v>
      </c>
      <c r="AS4346" s="764"/>
    </row>
    <row r="4347" spans="1:45" s="520" customFormat="1" ht="12" thickTop="1">
      <c r="A4347" s="51"/>
      <c r="B4347" s="41"/>
      <c r="C4347" s="51"/>
      <c r="E4347" s="42" t="s">
        <v>138</v>
      </c>
      <c r="F4347" s="42" t="s">
        <v>139</v>
      </c>
      <c r="G4347" s="51"/>
      <c r="H4347" s="51"/>
      <c r="I4347" s="51"/>
      <c r="J4347" s="51"/>
      <c r="K4347" s="51" t="s">
        <v>140</v>
      </c>
      <c r="L4347" s="51"/>
      <c r="M4347" s="51"/>
      <c r="N4347" s="51"/>
      <c r="O4347" s="52"/>
      <c r="P4347" s="51"/>
      <c r="Q4347" s="51"/>
      <c r="R4347" s="51"/>
      <c r="S4347" s="51"/>
      <c r="T4347" s="41"/>
      <c r="AG4347" s="521" t="s">
        <v>268</v>
      </c>
      <c r="AH4347" s="521" t="s">
        <v>269</v>
      </c>
      <c r="AI4347" s="521" t="s">
        <v>270</v>
      </c>
      <c r="AJ4347" s="521" t="s">
        <v>271</v>
      </c>
      <c r="AK4347" s="521" t="s">
        <v>272</v>
      </c>
      <c r="AM4347" s="745" t="s">
        <v>281</v>
      </c>
      <c r="AN4347" s="746" t="s">
        <v>282</v>
      </c>
      <c r="AO4347" s="522" t="s">
        <v>278</v>
      </c>
      <c r="AR4347" s="51"/>
      <c r="AS4347" s="42" t="s">
        <v>139</v>
      </c>
    </row>
    <row r="4348" spans="1:45" s="520" customFormat="1" ht="12" customHeight="1">
      <c r="A4348" s="747">
        <v>2</v>
      </c>
      <c r="B4348" s="523" t="s">
        <v>141</v>
      </c>
      <c r="C4348" s="748"/>
      <c r="D4348" s="749" t="s">
        <v>1761</v>
      </c>
      <c r="E4348" s="750">
        <f ca="1">IF(AND($A4348=0,$A$1="DIF"),0, ROUND(ROUND(($R4353*$S$2+($T4353*$T$2))/A4348,2)*$C$2,2))</f>
        <v>47.62</v>
      </c>
      <c r="F4348" s="751">
        <f ca="1">ROUND($A4348*$E4348,2)</f>
        <v>95.24</v>
      </c>
      <c r="G4348" s="752" t="s">
        <v>142</v>
      </c>
      <c r="H4348" s="753"/>
      <c r="I4348" s="754"/>
      <c r="J4348" s="753"/>
      <c r="K4348" s="753" t="s">
        <v>3</v>
      </c>
      <c r="L4348" s="755" t="s">
        <v>143</v>
      </c>
      <c r="M4348" s="755"/>
      <c r="N4348" s="755"/>
      <c r="O4348" s="755"/>
      <c r="P4348" s="755"/>
      <c r="Q4348" s="51"/>
      <c r="T4348" s="756" t="str">
        <f ca="1">IF(AND($R4353=0,$T4353=0),"0.00","mu :" &amp; ROUND($F4348/$C$2/($R4353+$T4353*$D$9),2))</f>
        <v>mu :1.23</v>
      </c>
      <c r="W4348" s="524"/>
      <c r="AG4348" s="481">
        <f ca="1">IF($E4348=0,0,ROUND($R4353*$S$2*$C$2/$A4348,2))</f>
        <v>38.49</v>
      </c>
      <c r="AH4348" s="481">
        <f ca="1">$AG4348*$A4348</f>
        <v>76.98</v>
      </c>
      <c r="AI4348" s="525">
        <f ca="1">$E4348-$AG4348</f>
        <v>9.1299999999999955</v>
      </c>
      <c r="AJ4348" s="525">
        <f ca="1">$A4348*$AI4348</f>
        <v>18.259999999999991</v>
      </c>
      <c r="AK4348" s="526">
        <f ca="1">ROUND(($AG4348+$AI4348)*$A4348,2)</f>
        <v>95.24</v>
      </c>
      <c r="AM4348" s="527">
        <f ca="1">ROUND(R4353,2)</f>
        <v>62.52</v>
      </c>
      <c r="AN4348" s="528">
        <f ca="1">ROUND(T4353,2)</f>
        <v>0.54</v>
      </c>
      <c r="AO4348" s="529">
        <f ca="1">ROUND(AM4348+AN4348,2)*A4348</f>
        <v>126.12</v>
      </c>
      <c r="AR4348" s="747">
        <v>2</v>
      </c>
      <c r="AS4348" s="751">
        <v>97.28</v>
      </c>
    </row>
    <row r="4349" spans="1:45" s="520" customFormat="1" ht="13.2">
      <c r="A4349" s="748"/>
      <c r="B4349"/>
      <c r="C4349" s="748"/>
      <c r="D4349" s="749" t="s">
        <v>780</v>
      </c>
      <c r="F4349" s="753"/>
      <c r="G4349" s="3"/>
      <c r="H4349" s="753"/>
      <c r="I4349" s="754"/>
      <c r="J4349" s="753"/>
      <c r="K4349" s="753" t="s">
        <v>144</v>
      </c>
      <c r="L4349" s="753"/>
      <c r="M4349" s="753"/>
      <c r="N4349" s="753"/>
      <c r="O4349" s="753"/>
      <c r="P4349" s="753"/>
      <c r="Q4349" s="51"/>
      <c r="R4349" s="530"/>
      <c r="S4349" s="757"/>
      <c r="T4349" s="753"/>
      <c r="AR4349" s="748"/>
      <c r="AS4349" s="753"/>
    </row>
    <row r="4350" spans="1:45" s="886" customFormat="1" ht="13.2">
      <c r="A4350"/>
      <c r="B4350" s="910"/>
      <c r="C4350" s="910" t="s">
        <v>2597</v>
      </c>
      <c r="D4350" s="910" t="str">
        <f ca="1">CELL("Address",Elec_Rates!D$156)</f>
        <v>[E25_0062_Quintano_Foods_Elec_ELV_As_Awarded.xlsx]Elec_Rates!$D$156</v>
      </c>
      <c r="E4350" s="911"/>
      <c r="F4350" s="911"/>
      <c r="G4350" s="912" t="s">
        <v>2598</v>
      </c>
      <c r="H4350" s="912"/>
      <c r="I4350" s="912"/>
      <c r="J4350" s="912"/>
      <c r="K4350" s="913"/>
      <c r="L4350" s="911"/>
      <c r="M4350" s="911"/>
      <c r="N4350" s="911"/>
      <c r="O4350" s="914"/>
      <c r="P4350" s="911"/>
      <c r="Q4350" s="915"/>
      <c r="R4350" s="916"/>
      <c r="S4350" s="915"/>
      <c r="T4350" s="917"/>
      <c r="U4350" s="918"/>
      <c r="AR4350"/>
      <c r="AS4350" s="911"/>
    </row>
    <row r="4351" spans="1:45" s="886" customFormat="1" ht="11.4">
      <c r="A4351" s="919">
        <v>2</v>
      </c>
      <c r="B4351" s="920">
        <v>1</v>
      </c>
      <c r="C4351" s="920">
        <f>$A4351*$B4351</f>
        <v>2</v>
      </c>
      <c r="D4351" s="921" t="str">
        <f>Elec_Rates!$D$156</f>
        <v>014# 3Pin 16Amp IP67 Unswitched Socket outlet</v>
      </c>
      <c r="E4351" s="921"/>
      <c r="F4351" s="921" t="s">
        <v>2599</v>
      </c>
      <c r="G4351" s="922" t="s">
        <v>2601</v>
      </c>
      <c r="H4351" s="922"/>
      <c r="I4351" s="922"/>
      <c r="J4351" s="922"/>
      <c r="K4351" s="923"/>
      <c r="L4351" s="918"/>
      <c r="M4351" s="918"/>
      <c r="N4351" s="918"/>
      <c r="O4351" s="924"/>
      <c r="P4351" s="921"/>
      <c r="Q4351" s="925">
        <f ca="1">$B4351*Elec_Rates!$R$156</f>
        <v>31.26</v>
      </c>
      <c r="R4351" s="916">
        <f ca="1">$A4351*Q4351</f>
        <v>62.52</v>
      </c>
      <c r="S4351" s="925">
        <f ca="1">$B4351*Elec_Rates!$T$156</f>
        <v>0.27</v>
      </c>
      <c r="T4351" s="917">
        <f ca="1">$A4351*S4351</f>
        <v>0.54</v>
      </c>
      <c r="U4351" s="926"/>
      <c r="AR4351" s="919">
        <v>2</v>
      </c>
      <c r="AS4351" s="921" t="s">
        <v>2599</v>
      </c>
    </row>
    <row r="4352" spans="1:45" s="520" customFormat="1" ht="12">
      <c r="A4352" s="758"/>
      <c r="B4352" s="758"/>
      <c r="C4352" s="758"/>
      <c r="D4352" s="758"/>
      <c r="E4352" s="758"/>
      <c r="F4352" s="753"/>
      <c r="G4352" s="758"/>
      <c r="H4352" s="758"/>
      <c r="I4352" s="519"/>
      <c r="J4352" s="758"/>
      <c r="K4352" s="758"/>
      <c r="L4352" s="758"/>
      <c r="M4352" s="758"/>
      <c r="N4352" s="758"/>
      <c r="O4352" s="758"/>
      <c r="P4352" s="758"/>
      <c r="Q4352" s="519"/>
      <c r="R4352" s="759">
        <f>$A4352*Q4352</f>
        <v>0</v>
      </c>
      <c r="S4352" s="519"/>
      <c r="T4352" s="760">
        <f>$A4352*S4352*$T$1</f>
        <v>0</v>
      </c>
      <c r="AR4352" s="758"/>
      <c r="AS4352" s="753"/>
    </row>
    <row r="4353" spans="1:45" s="520" customFormat="1" ht="12.6" thickBot="1">
      <c r="A4353" s="761" t="s">
        <v>145</v>
      </c>
      <c r="B4353" s="762">
        <f>(R4352+T4352)</f>
        <v>0</v>
      </c>
      <c r="C4353" s="763"/>
      <c r="D4353" s="763"/>
      <c r="E4353" s="763"/>
      <c r="F4353" s="764"/>
      <c r="G4353" s="763" t="s">
        <v>146</v>
      </c>
      <c r="H4353" s="763"/>
      <c r="I4353" s="765"/>
      <c r="J4353" s="763"/>
      <c r="K4353" s="763" t="s">
        <v>3</v>
      </c>
      <c r="L4353" s="766" t="s">
        <v>143</v>
      </c>
      <c r="M4353" s="766"/>
      <c r="N4353" s="766"/>
      <c r="O4353" s="766"/>
      <c r="P4353" s="766"/>
      <c r="Q4353" s="767"/>
      <c r="R4353" s="768">
        <f ca="1">SUM(R4349:R4352)</f>
        <v>62.52</v>
      </c>
      <c r="S4353" s="763"/>
      <c r="T4353" s="768">
        <f ca="1">SUM(T4349:T4352)</f>
        <v>0.54</v>
      </c>
      <c r="U4353" s="531"/>
      <c r="V4353" s="531"/>
      <c r="W4353" s="531"/>
      <c r="X4353" s="531"/>
      <c r="Y4353" s="531"/>
      <c r="Z4353" s="531"/>
      <c r="AA4353" s="531"/>
      <c r="AB4353" s="531"/>
      <c r="AC4353" s="531"/>
      <c r="AD4353" s="531"/>
      <c r="AE4353" s="531"/>
      <c r="AF4353" s="531"/>
      <c r="AG4353" s="531"/>
      <c r="AH4353" s="531"/>
      <c r="AI4353" s="531"/>
      <c r="AJ4353" s="531"/>
      <c r="AK4353" s="531"/>
      <c r="AL4353" s="531"/>
      <c r="AM4353" s="531"/>
      <c r="AN4353" s="531"/>
      <c r="AO4353" s="531"/>
      <c r="AR4353" s="761" t="s">
        <v>145</v>
      </c>
      <c r="AS4353" s="764"/>
    </row>
    <row r="4354" spans="1:45" s="520" customFormat="1" ht="12" thickTop="1">
      <c r="A4354" s="51"/>
      <c r="B4354" s="41"/>
      <c r="C4354" s="51"/>
      <c r="E4354" s="42" t="s">
        <v>138</v>
      </c>
      <c r="F4354" s="42" t="s">
        <v>139</v>
      </c>
      <c r="G4354" s="51"/>
      <c r="H4354" s="51"/>
      <c r="I4354" s="51"/>
      <c r="J4354" s="51"/>
      <c r="K4354" s="51" t="s">
        <v>140</v>
      </c>
      <c r="L4354" s="51"/>
      <c r="M4354" s="51"/>
      <c r="N4354" s="51"/>
      <c r="O4354" s="52"/>
      <c r="P4354" s="51"/>
      <c r="Q4354" s="51"/>
      <c r="R4354" s="51"/>
      <c r="S4354" s="51"/>
      <c r="T4354" s="41"/>
      <c r="AG4354" s="521" t="s">
        <v>268</v>
      </c>
      <c r="AH4354" s="521" t="s">
        <v>269</v>
      </c>
      <c r="AI4354" s="521" t="s">
        <v>270</v>
      </c>
      <c r="AJ4354" s="521" t="s">
        <v>271</v>
      </c>
      <c r="AK4354" s="521" t="s">
        <v>272</v>
      </c>
      <c r="AM4354" s="745" t="s">
        <v>281</v>
      </c>
      <c r="AN4354" s="746" t="s">
        <v>282</v>
      </c>
      <c r="AO4354" s="522" t="s">
        <v>278</v>
      </c>
      <c r="AR4354" s="51"/>
      <c r="AS4354" s="42" t="s">
        <v>139</v>
      </c>
    </row>
    <row r="4355" spans="1:45" s="520" customFormat="1" ht="12" customHeight="1">
      <c r="A4355" s="747">
        <v>6</v>
      </c>
      <c r="B4355" s="523" t="s">
        <v>141</v>
      </c>
      <c r="C4355" s="748"/>
      <c r="D4355" s="749" t="s">
        <v>1762</v>
      </c>
      <c r="E4355" s="750">
        <f>IF(AND($A4355=0,$A$1="DIF"),0, ROUND(ROUND(($R4361*$S$2+($T4361*$T$2))/A4355,2)*$C$2,2))</f>
        <v>20.64</v>
      </c>
      <c r="F4355" s="751">
        <f>ROUND($A4355*$E4355,2)</f>
        <v>123.84</v>
      </c>
      <c r="G4355" s="752" t="s">
        <v>142</v>
      </c>
      <c r="H4355" s="753"/>
      <c r="I4355" s="754"/>
      <c r="J4355" s="753"/>
      <c r="K4355" s="753" t="s">
        <v>3</v>
      </c>
      <c r="L4355" s="755" t="s">
        <v>143</v>
      </c>
      <c r="M4355" s="755"/>
      <c r="N4355" s="755"/>
      <c r="O4355" s="755"/>
      <c r="P4355" s="755"/>
      <c r="Q4355" s="51"/>
      <c r="T4355" s="756" t="str">
        <f>IF(AND($R4361=0,$T4361=0),"0.00","mu :" &amp; ROUND($F4355/$C$2/($R4361+$T4361*$D$9),2))</f>
        <v>mu :1.23</v>
      </c>
      <c r="W4355" s="524"/>
      <c r="AG4355" s="481">
        <f>IF($E4355=0,0,ROUND($R4361*$S$2*$C$2/$A4355,2))</f>
        <v>13.03</v>
      </c>
      <c r="AH4355" s="481">
        <f>$AG4355*$A4355</f>
        <v>78.179999999999993</v>
      </c>
      <c r="AI4355" s="525">
        <f>$E4355-$AG4355</f>
        <v>7.6100000000000012</v>
      </c>
      <c r="AJ4355" s="525">
        <f>$A4355*$AI4355</f>
        <v>45.660000000000011</v>
      </c>
      <c r="AK4355" s="526">
        <f>ROUND(($AG4355+$AI4355)*$A4355,2)</f>
        <v>123.84</v>
      </c>
      <c r="AM4355" s="527">
        <f>ROUND(R4361,2)</f>
        <v>63.48</v>
      </c>
      <c r="AN4355" s="528">
        <f>ROUND(T4361,2)</f>
        <v>1.35</v>
      </c>
      <c r="AO4355" s="529">
        <f>ROUND(AM4355+AN4355,2)*A4355</f>
        <v>388.98</v>
      </c>
      <c r="AR4355" s="747">
        <v>6</v>
      </c>
      <c r="AS4355" s="751">
        <v>128.88</v>
      </c>
    </row>
    <row r="4356" spans="1:45" s="520" customFormat="1" ht="13.2">
      <c r="A4356" s="748"/>
      <c r="B4356"/>
      <c r="C4356" s="748"/>
      <c r="D4356" s="749" t="s">
        <v>1633</v>
      </c>
      <c r="F4356" s="753"/>
      <c r="G4356" s="3"/>
      <c r="H4356" s="753"/>
      <c r="I4356" s="754"/>
      <c r="J4356" s="753"/>
      <c r="K4356" s="753" t="s">
        <v>144</v>
      </c>
      <c r="L4356" s="753"/>
      <c r="M4356" s="753"/>
      <c r="N4356" s="753"/>
      <c r="O4356" s="753"/>
      <c r="P4356" s="753"/>
      <c r="Q4356" s="51"/>
      <c r="R4356" s="530"/>
      <c r="S4356" s="757"/>
      <c r="T4356" s="753"/>
      <c r="AR4356" s="748"/>
      <c r="AS4356" s="753"/>
    </row>
    <row r="4357" spans="1:45" s="901" customFormat="1" ht="13.2">
      <c r="A4357" s="116">
        <v>6</v>
      </c>
      <c r="B4357" s="901" t="s">
        <v>141</v>
      </c>
      <c r="D4357" s="901" t="s">
        <v>3000</v>
      </c>
      <c r="F4357" s="1054" t="s">
        <v>3323</v>
      </c>
      <c r="G4357" s="941" t="s">
        <v>3001</v>
      </c>
      <c r="H4357" s="942">
        <v>705</v>
      </c>
      <c r="I4357" s="901" t="s">
        <v>2607</v>
      </c>
      <c r="O4357" s="943">
        <v>3</v>
      </c>
      <c r="P4357" s="944"/>
      <c r="Q4357" s="945">
        <v>10.5</v>
      </c>
      <c r="R4357" s="946">
        <f>$A4357*Q4357</f>
        <v>63</v>
      </c>
      <c r="S4357" s="945">
        <v>0.25</v>
      </c>
      <c r="T4357" s="947">
        <f>$A4357*S4357*$T$1</f>
        <v>1.35</v>
      </c>
      <c r="AR4357" s="116">
        <v>6</v>
      </c>
      <c r="AS4357" s="1054" t="s">
        <v>3323</v>
      </c>
    </row>
    <row r="4358" spans="1:45" s="901" customFormat="1" ht="13.2">
      <c r="A4358">
        <v>12</v>
      </c>
      <c r="B4358" s="901" t="s">
        <v>141</v>
      </c>
      <c r="D4358" s="901" t="s">
        <v>2739</v>
      </c>
      <c r="G4358" s="941" t="s">
        <v>2740</v>
      </c>
      <c r="H4358" s="942">
        <v>875</v>
      </c>
      <c r="I4358" s="901" t="s">
        <v>2607</v>
      </c>
      <c r="K4358" s="901" t="s">
        <v>2741</v>
      </c>
      <c r="O4358" s="943">
        <v>1</v>
      </c>
      <c r="P4358" s="944">
        <v>34669</v>
      </c>
      <c r="Q4358" s="945">
        <v>0.02</v>
      </c>
      <c r="R4358" s="946">
        <f>$A4358*Q4358</f>
        <v>0.24</v>
      </c>
      <c r="S4358" s="945"/>
      <c r="T4358" s="947">
        <f>$A4358*S4358*$T$1</f>
        <v>0</v>
      </c>
      <c r="AR4358">
        <v>12</v>
      </c>
    </row>
    <row r="4359" spans="1:45" s="901" customFormat="1" ht="13.2">
      <c r="A4359">
        <v>12</v>
      </c>
      <c r="B4359" s="901" t="s">
        <v>141</v>
      </c>
      <c r="D4359" s="901" t="s">
        <v>2742</v>
      </c>
      <c r="G4359" s="941" t="s">
        <v>2743</v>
      </c>
      <c r="H4359" s="942">
        <v>875</v>
      </c>
      <c r="I4359" s="901" t="s">
        <v>2607</v>
      </c>
      <c r="K4359" s="901" t="s">
        <v>2744</v>
      </c>
      <c r="O4359" s="943">
        <v>1</v>
      </c>
      <c r="P4359" s="944">
        <v>34669</v>
      </c>
      <c r="Q4359" s="945">
        <v>0.02</v>
      </c>
      <c r="R4359" s="946">
        <f>$A4359*Q4359</f>
        <v>0.24</v>
      </c>
      <c r="S4359" s="945"/>
      <c r="T4359" s="947">
        <f>$A4359*S4359*$T$1</f>
        <v>0</v>
      </c>
      <c r="AR4359">
        <v>12</v>
      </c>
    </row>
    <row r="4360" spans="1:45" s="520" customFormat="1" ht="12">
      <c r="A4360" s="758"/>
      <c r="B4360" s="758"/>
      <c r="C4360" s="758"/>
      <c r="D4360" s="758"/>
      <c r="E4360" s="758"/>
      <c r="F4360" s="753"/>
      <c r="G4360" s="758"/>
      <c r="H4360" s="758"/>
      <c r="I4360" s="519"/>
      <c r="J4360" s="758"/>
      <c r="K4360" s="758"/>
      <c r="L4360" s="758"/>
      <c r="M4360" s="758"/>
      <c r="N4360" s="758"/>
      <c r="O4360" s="758"/>
      <c r="P4360" s="758"/>
      <c r="Q4360" s="519"/>
      <c r="R4360" s="759">
        <f>$A4360*Q4360</f>
        <v>0</v>
      </c>
      <c r="S4360" s="519"/>
      <c r="T4360" s="760">
        <f>$A4360*S4360*$T$1</f>
        <v>0</v>
      </c>
      <c r="AR4360" s="758"/>
      <c r="AS4360" s="753"/>
    </row>
    <row r="4361" spans="1:45" s="520" customFormat="1" ht="12.6" thickBot="1">
      <c r="A4361" s="761" t="s">
        <v>145</v>
      </c>
      <c r="B4361" s="762">
        <f>(R4360+T4360)</f>
        <v>0</v>
      </c>
      <c r="C4361" s="763"/>
      <c r="D4361" s="763"/>
      <c r="E4361" s="763"/>
      <c r="F4361" s="764"/>
      <c r="G4361" s="763" t="s">
        <v>146</v>
      </c>
      <c r="H4361" s="763"/>
      <c r="I4361" s="765"/>
      <c r="J4361" s="763"/>
      <c r="K4361" s="763" t="s">
        <v>3</v>
      </c>
      <c r="L4361" s="766" t="s">
        <v>143</v>
      </c>
      <c r="M4361" s="766"/>
      <c r="N4361" s="766"/>
      <c r="O4361" s="766"/>
      <c r="P4361" s="766"/>
      <c r="Q4361" s="767"/>
      <c r="R4361" s="768">
        <f>SUM(R4356:R4360)</f>
        <v>63.480000000000004</v>
      </c>
      <c r="S4361" s="763"/>
      <c r="T4361" s="768">
        <f>SUM(T4356:T4360)</f>
        <v>1.35</v>
      </c>
      <c r="U4361" s="531"/>
      <c r="V4361" s="531"/>
      <c r="W4361" s="531"/>
      <c r="X4361" s="531"/>
      <c r="Y4361" s="531"/>
      <c r="Z4361" s="531"/>
      <c r="AA4361" s="531"/>
      <c r="AB4361" s="531"/>
      <c r="AC4361" s="531"/>
      <c r="AD4361" s="531"/>
      <c r="AE4361" s="531"/>
      <c r="AF4361" s="531"/>
      <c r="AG4361" s="531"/>
      <c r="AH4361" s="531"/>
      <c r="AI4361" s="531"/>
      <c r="AJ4361" s="531"/>
      <c r="AK4361" s="531"/>
      <c r="AL4361" s="531"/>
      <c r="AM4361" s="531"/>
      <c r="AN4361" s="531"/>
      <c r="AO4361" s="531"/>
      <c r="AR4361" s="761" t="s">
        <v>145</v>
      </c>
      <c r="AS4361" s="764"/>
    </row>
    <row r="4362" spans="1:45" s="520" customFormat="1" thickTop="1">
      <c r="A4362" s="51"/>
      <c r="B4362" s="51"/>
      <c r="C4362" s="3"/>
      <c r="D4362" s="3"/>
      <c r="E4362" s="51"/>
      <c r="F4362" s="51"/>
      <c r="G4362" s="51"/>
      <c r="H4362" s="51"/>
      <c r="I4362" s="51"/>
      <c r="J4362" s="51"/>
      <c r="K4362" s="51" t="s">
        <v>134</v>
      </c>
      <c r="L4362" s="51"/>
      <c r="M4362" s="51"/>
      <c r="N4362" s="51"/>
      <c r="O4362" s="52"/>
      <c r="P4362" s="51"/>
      <c r="Q4362" s="51"/>
      <c r="R4362" s="51"/>
      <c r="S4362" s="51"/>
      <c r="T4362" s="51"/>
      <c r="AR4362" s="51"/>
      <c r="AS4362" s="51"/>
    </row>
    <row r="4363" spans="1:45" s="520" customFormat="1" ht="12">
      <c r="A4363" s="51"/>
      <c r="B4363" s="51"/>
      <c r="C4363" s="51" t="s">
        <v>135</v>
      </c>
      <c r="D4363" s="37"/>
      <c r="E4363" s="51"/>
      <c r="F4363" s="51"/>
      <c r="G4363" s="51"/>
      <c r="H4363" s="51"/>
      <c r="I4363" s="51"/>
      <c r="J4363" s="51"/>
      <c r="K4363" s="51"/>
      <c r="L4363" s="51"/>
      <c r="M4363" s="51"/>
      <c r="N4363" s="51"/>
      <c r="O4363" s="52"/>
      <c r="P4363" s="51"/>
      <c r="Q4363" s="51"/>
      <c r="R4363" s="51"/>
      <c r="S4363" s="51"/>
      <c r="T4363" s="51"/>
      <c r="AR4363" s="51"/>
      <c r="AS4363" s="51"/>
    </row>
    <row r="4364" spans="1:45" s="520" customFormat="1" ht="39.9" customHeight="1">
      <c r="A4364" s="51"/>
      <c r="B4364" s="51"/>
      <c r="C4364" s="51"/>
      <c r="D4364" s="1453" t="s">
        <v>1660</v>
      </c>
      <c r="E4364" s="1452"/>
      <c r="F4364" s="1452"/>
      <c r="G4364" s="1452"/>
      <c r="H4364" s="1452"/>
      <c r="I4364" s="1452"/>
      <c r="J4364" s="1452"/>
      <c r="K4364" s="1452"/>
      <c r="L4364" s="1452"/>
      <c r="M4364" s="1452"/>
      <c r="N4364" s="1452"/>
      <c r="O4364" s="1452"/>
      <c r="P4364" s="1452"/>
      <c r="Q4364" s="1452"/>
      <c r="R4364" s="1452"/>
      <c r="S4364" s="1452"/>
      <c r="T4364" s="1452"/>
      <c r="AR4364" s="51"/>
    </row>
    <row r="4365" spans="1:45" s="3" customFormat="1" thickBot="1">
      <c r="A4365" s="531"/>
      <c r="O4365" s="107"/>
      <c r="AR4365" s="531"/>
    </row>
    <row r="4366" spans="1:45" s="520" customFormat="1" thickTop="1">
      <c r="A4366" s="51"/>
      <c r="B4366" s="51"/>
      <c r="C4366" s="3"/>
      <c r="D4366" s="3"/>
      <c r="E4366" s="51"/>
      <c r="F4366" s="51"/>
      <c r="G4366" s="51"/>
      <c r="H4366" s="51"/>
      <c r="I4366" s="51"/>
      <c r="J4366" s="51"/>
      <c r="K4366" s="51" t="s">
        <v>134</v>
      </c>
      <c r="L4366" s="51"/>
      <c r="M4366" s="51"/>
      <c r="N4366" s="51"/>
      <c r="O4366" s="52"/>
      <c r="P4366" s="51"/>
      <c r="Q4366" s="51"/>
      <c r="R4366" s="51"/>
      <c r="S4366" s="51"/>
      <c r="T4366" s="51"/>
      <c r="AR4366" s="51"/>
      <c r="AS4366" s="51"/>
    </row>
    <row r="4367" spans="1:45" s="520" customFormat="1" ht="12">
      <c r="A4367" s="51"/>
      <c r="B4367" s="51"/>
      <c r="C4367" s="51" t="s">
        <v>135</v>
      </c>
      <c r="D4367" s="37"/>
      <c r="E4367" s="51"/>
      <c r="F4367" s="51"/>
      <c r="G4367" s="51"/>
      <c r="H4367" s="51"/>
      <c r="I4367" s="51"/>
      <c r="J4367" s="51"/>
      <c r="K4367" s="51"/>
      <c r="L4367" s="51"/>
      <c r="M4367" s="51"/>
      <c r="N4367" s="51"/>
      <c r="O4367" s="52"/>
      <c r="P4367" s="51"/>
      <c r="Q4367" s="51"/>
      <c r="R4367" s="51"/>
      <c r="S4367" s="51"/>
      <c r="T4367" s="51"/>
      <c r="AR4367" s="51"/>
      <c r="AS4367" s="51"/>
    </row>
    <row r="4368" spans="1:45" s="520" customFormat="1" ht="12">
      <c r="A4368" s="51"/>
      <c r="B4368" s="51"/>
      <c r="C4368" s="51"/>
      <c r="D4368" s="37" t="s">
        <v>846</v>
      </c>
      <c r="E4368" s="51"/>
      <c r="F4368" s="51"/>
      <c r="G4368" s="51"/>
      <c r="H4368" s="51"/>
      <c r="I4368" s="51"/>
      <c r="J4368" s="51"/>
      <c r="K4368" s="51"/>
      <c r="L4368" s="51"/>
      <c r="M4368" s="51"/>
      <c r="N4368" s="51"/>
      <c r="O4368" s="52"/>
      <c r="P4368" s="51"/>
      <c r="Q4368" s="51"/>
      <c r="R4368" s="51"/>
      <c r="S4368" s="38"/>
      <c r="T4368" s="38"/>
      <c r="AR4368" s="51"/>
      <c r="AS4368" s="51"/>
    </row>
    <row r="4369" spans="1:45" s="3" customFormat="1" thickBot="1">
      <c r="A4369" s="531"/>
      <c r="O4369" s="107"/>
      <c r="AR4369" s="531"/>
    </row>
    <row r="4370" spans="1:45" s="520" customFormat="1" ht="12" thickTop="1">
      <c r="A4370" s="51"/>
      <c r="B4370" s="41"/>
      <c r="C4370" s="51"/>
      <c r="E4370" s="42" t="s">
        <v>138</v>
      </c>
      <c r="F4370" s="42" t="s">
        <v>139</v>
      </c>
      <c r="G4370" s="51"/>
      <c r="H4370" s="51"/>
      <c r="I4370" s="51"/>
      <c r="J4370" s="51"/>
      <c r="K4370" s="51" t="s">
        <v>140</v>
      </c>
      <c r="L4370" s="51"/>
      <c r="M4370" s="51"/>
      <c r="N4370" s="51"/>
      <c r="O4370" s="52"/>
      <c r="P4370" s="51"/>
      <c r="Q4370" s="51"/>
      <c r="R4370" s="51"/>
      <c r="S4370" s="51"/>
      <c r="T4370" s="41"/>
      <c r="AG4370" s="521" t="s">
        <v>268</v>
      </c>
      <c r="AH4370" s="521" t="s">
        <v>269</v>
      </c>
      <c r="AI4370" s="521" t="s">
        <v>270</v>
      </c>
      <c r="AJ4370" s="521" t="s">
        <v>271</v>
      </c>
      <c r="AK4370" s="521" t="s">
        <v>272</v>
      </c>
      <c r="AM4370" s="745" t="s">
        <v>281</v>
      </c>
      <c r="AN4370" s="746" t="s">
        <v>282</v>
      </c>
      <c r="AO4370" s="522" t="s">
        <v>278</v>
      </c>
      <c r="AR4370" s="51"/>
      <c r="AS4370" s="42" t="s">
        <v>139</v>
      </c>
    </row>
    <row r="4371" spans="1:45" s="520" customFormat="1" ht="12" customHeight="1">
      <c r="A4371" s="747">
        <v>1</v>
      </c>
      <c r="B4371" s="523" t="s">
        <v>141</v>
      </c>
      <c r="C4371" s="748"/>
      <c r="D4371" s="749" t="s">
        <v>1763</v>
      </c>
      <c r="E4371" s="750">
        <f ca="1">IF(AND($A4371=0,$A$1="DIF"),0, ROUND(ROUND(($R4377*$S$2+($T4377*$T$2))/A4371,2)*$C$2,2))</f>
        <v>75.63</v>
      </c>
      <c r="F4371" s="751">
        <f ca="1">ROUND($A4371*$E4371,2)</f>
        <v>75.63</v>
      </c>
      <c r="G4371" s="752" t="s">
        <v>142</v>
      </c>
      <c r="H4371" s="753"/>
      <c r="I4371" s="754"/>
      <c r="J4371" s="753"/>
      <c r="K4371" s="753" t="s">
        <v>3</v>
      </c>
      <c r="L4371" s="755" t="s">
        <v>143</v>
      </c>
      <c r="M4371" s="755"/>
      <c r="N4371" s="755"/>
      <c r="O4371" s="755"/>
      <c r="P4371" s="755"/>
      <c r="Q4371" s="51"/>
      <c r="T4371" s="756" t="str">
        <f ca="1">IF(AND($R4377=0,$T4377=0),"0.00","mu :" &amp; ROUND($F4371/$C$2/($R4377+$T4377*$D$9),2))</f>
        <v>mu :1.23</v>
      </c>
      <c r="W4371" s="524"/>
      <c r="AG4371" s="481">
        <f ca="1">IF($E4371=0,0,ROUND($R4377*$S$2*$C$2/$A4371,2))</f>
        <v>40.36</v>
      </c>
      <c r="AH4371" s="481">
        <f ca="1">$AG4371*$A4371</f>
        <v>40.36</v>
      </c>
      <c r="AI4371" s="525">
        <f ca="1">$E4371-$AG4371</f>
        <v>35.269999999999996</v>
      </c>
      <c r="AJ4371" s="525">
        <f ca="1">$A4371*$AI4371</f>
        <v>35.269999999999996</v>
      </c>
      <c r="AK4371" s="526">
        <f ca="1">ROUND(($AG4371+$AI4371)*$A4371,2)</f>
        <v>75.63</v>
      </c>
      <c r="AM4371" s="527">
        <f ca="1">ROUND(R4377,2)</f>
        <v>32.78</v>
      </c>
      <c r="AN4371" s="528">
        <f ca="1">ROUND(T4377,2)</f>
        <v>1.04</v>
      </c>
      <c r="AO4371" s="529">
        <f ca="1">ROUND(AM4371+AN4371,2)*A4371</f>
        <v>33.82</v>
      </c>
      <c r="AR4371" s="747">
        <v>1</v>
      </c>
      <c r="AS4371" s="751">
        <v>79.59</v>
      </c>
    </row>
    <row r="4372" spans="1:45" s="520" customFormat="1" ht="13.2">
      <c r="A4372" s="748"/>
      <c r="B4372"/>
      <c r="C4372" s="748"/>
      <c r="D4372" s="749" t="s">
        <v>843</v>
      </c>
      <c r="F4372" s="753"/>
      <c r="G4372" s="3"/>
      <c r="H4372" s="753"/>
      <c r="I4372" s="754"/>
      <c r="J4372" s="753"/>
      <c r="K4372" s="753" t="s">
        <v>144</v>
      </c>
      <c r="L4372" s="753"/>
      <c r="M4372" s="753"/>
      <c r="N4372" s="753"/>
      <c r="O4372" s="753"/>
      <c r="P4372" s="753"/>
      <c r="Q4372" s="51"/>
      <c r="R4372" s="530"/>
      <c r="S4372" s="757"/>
      <c r="T4372" s="753"/>
      <c r="AR4372" s="748"/>
      <c r="AS4372" s="753"/>
    </row>
    <row r="4373" spans="1:45" s="886" customFormat="1" ht="13.2">
      <c r="A4373"/>
      <c r="B4373" s="910"/>
      <c r="C4373" s="910" t="s">
        <v>2597</v>
      </c>
      <c r="D4373" s="910" t="str">
        <f ca="1">CELL("Address",Elec_Rates!D$39)</f>
        <v>[E25_0062_Quintano_Foods_Elec_ELV_As_Awarded.xlsx]Elec_Rates!$D$39</v>
      </c>
      <c r="E4373" s="911"/>
      <c r="F4373" s="911"/>
      <c r="G4373" s="912" t="s">
        <v>2598</v>
      </c>
      <c r="H4373" s="912"/>
      <c r="I4373" s="912"/>
      <c r="J4373" s="912"/>
      <c r="K4373" s="913"/>
      <c r="L4373" s="911"/>
      <c r="M4373" s="911"/>
      <c r="N4373" s="911"/>
      <c r="O4373" s="914"/>
      <c r="P4373" s="911"/>
      <c r="Q4373" s="915"/>
      <c r="R4373" s="916"/>
      <c r="S4373" s="915"/>
      <c r="T4373" s="917"/>
      <c r="U4373" s="918"/>
      <c r="AR4373"/>
      <c r="AS4373" s="911"/>
    </row>
    <row r="4374" spans="1:45" s="886" customFormat="1" ht="11.4">
      <c r="A4374" s="919">
        <v>1</v>
      </c>
      <c r="B4374" s="920">
        <v>1</v>
      </c>
      <c r="C4374" s="920">
        <f>$A4374*$B4374</f>
        <v>1</v>
      </c>
      <c r="D4374" s="921" t="str">
        <f>Elec_Rates!$D$39</f>
        <v>003# Power Point Rate (LSZH Conduit)</v>
      </c>
      <c r="E4374" s="921"/>
      <c r="F4374" s="921" t="s">
        <v>2599</v>
      </c>
      <c r="G4374" s="922" t="s">
        <v>2601</v>
      </c>
      <c r="H4374" s="922"/>
      <c r="I4374" s="922"/>
      <c r="J4374" s="922"/>
      <c r="K4374" s="923"/>
      <c r="L4374" s="918"/>
      <c r="M4374" s="918"/>
      <c r="N4374" s="918"/>
      <c r="O4374" s="924"/>
      <c r="P4374" s="921"/>
      <c r="Q4374" s="925">
        <f ca="1">$B4374*Elec_Rates!$R$39</f>
        <v>18.920000000000002</v>
      </c>
      <c r="R4374" s="916">
        <f ca="1">$A4374*Q4374</f>
        <v>18.920000000000002</v>
      </c>
      <c r="S4374" s="925">
        <f ca="1">$B4374*Elec_Rates!$T$39</f>
        <v>0.89</v>
      </c>
      <c r="T4374" s="917">
        <f ca="1">$A4374*S4374</f>
        <v>0.89</v>
      </c>
      <c r="U4374" s="926"/>
      <c r="AR4374" s="919">
        <v>1</v>
      </c>
      <c r="AS4374" s="921" t="s">
        <v>2599</v>
      </c>
    </row>
    <row r="4375" spans="1:45" s="901" customFormat="1" ht="13.2">
      <c r="A4375" s="116">
        <v>1</v>
      </c>
      <c r="B4375" s="901" t="s">
        <v>141</v>
      </c>
      <c r="D4375" s="901" t="s">
        <v>3033</v>
      </c>
      <c r="E4375" s="901" t="s">
        <v>3424</v>
      </c>
      <c r="F4375" s="1054" t="s">
        <v>3429</v>
      </c>
      <c r="G4375" s="941" t="s">
        <v>3034</v>
      </c>
      <c r="H4375" s="942">
        <v>705</v>
      </c>
      <c r="I4375" s="901" t="s">
        <v>2607</v>
      </c>
      <c r="O4375" s="943">
        <v>3</v>
      </c>
      <c r="P4375" s="944"/>
      <c r="Q4375" s="945">
        <v>13.86</v>
      </c>
      <c r="R4375" s="946">
        <f>$A4375*Q4375</f>
        <v>13.86</v>
      </c>
      <c r="S4375" s="945">
        <v>0.17</v>
      </c>
      <c r="T4375" s="947">
        <f>$A4375*S4375*$T$1</f>
        <v>0.15300000000000002</v>
      </c>
      <c r="AR4375" s="116">
        <v>1</v>
      </c>
      <c r="AS4375" s="1054" t="s">
        <v>3429</v>
      </c>
    </row>
    <row r="4376" spans="1:45" s="520" customFormat="1" ht="12">
      <c r="A4376" s="758"/>
      <c r="B4376" s="758"/>
      <c r="C4376" s="758"/>
      <c r="D4376" s="758"/>
      <c r="E4376" s="758"/>
      <c r="F4376" s="753"/>
      <c r="G4376" s="758"/>
      <c r="H4376" s="758"/>
      <c r="I4376" s="519"/>
      <c r="J4376" s="758"/>
      <c r="K4376" s="758"/>
      <c r="L4376" s="758"/>
      <c r="M4376" s="758"/>
      <c r="N4376" s="758"/>
      <c r="O4376" s="758"/>
      <c r="P4376" s="758"/>
      <c r="Q4376" s="519"/>
      <c r="R4376" s="759">
        <f>$A4376*Q4376</f>
        <v>0</v>
      </c>
      <c r="S4376" s="519"/>
      <c r="T4376" s="760">
        <f>$A4376*S4376*$T$1</f>
        <v>0</v>
      </c>
      <c r="AR4376" s="758"/>
      <c r="AS4376" s="753"/>
    </row>
    <row r="4377" spans="1:45" s="520" customFormat="1" ht="12.6" thickBot="1">
      <c r="A4377" s="761" t="s">
        <v>145</v>
      </c>
      <c r="B4377" s="762">
        <f>(R4376+T4376)</f>
        <v>0</v>
      </c>
      <c r="C4377" s="763"/>
      <c r="D4377" s="763"/>
      <c r="E4377" s="763"/>
      <c r="F4377" s="764"/>
      <c r="G4377" s="763" t="s">
        <v>146</v>
      </c>
      <c r="H4377" s="763"/>
      <c r="I4377" s="765"/>
      <c r="J4377" s="763"/>
      <c r="K4377" s="763" t="s">
        <v>3</v>
      </c>
      <c r="L4377" s="766" t="s">
        <v>143</v>
      </c>
      <c r="M4377" s="766"/>
      <c r="N4377" s="766"/>
      <c r="O4377" s="766"/>
      <c r="P4377" s="766"/>
      <c r="Q4377" s="767"/>
      <c r="R4377" s="768">
        <f ca="1">SUM(R4372:R4376)</f>
        <v>32.78</v>
      </c>
      <c r="S4377" s="763"/>
      <c r="T4377" s="768">
        <f ca="1">SUM(T4372:T4376)</f>
        <v>1.0430000000000001</v>
      </c>
      <c r="U4377" s="531"/>
      <c r="V4377" s="531"/>
      <c r="W4377" s="531"/>
      <c r="X4377" s="531"/>
      <c r="Y4377" s="531"/>
      <c r="Z4377" s="531"/>
      <c r="AA4377" s="531"/>
      <c r="AB4377" s="531"/>
      <c r="AC4377" s="531"/>
      <c r="AD4377" s="531"/>
      <c r="AE4377" s="531"/>
      <c r="AF4377" s="531"/>
      <c r="AG4377" s="531"/>
      <c r="AH4377" s="531"/>
      <c r="AI4377" s="531"/>
      <c r="AJ4377" s="531"/>
      <c r="AK4377" s="531"/>
      <c r="AL4377" s="531"/>
      <c r="AM4377" s="531"/>
      <c r="AN4377" s="531"/>
      <c r="AO4377" s="531"/>
      <c r="AR4377" s="761" t="s">
        <v>145</v>
      </c>
      <c r="AS4377" s="764"/>
    </row>
    <row r="4378" spans="1:45" s="520" customFormat="1" ht="12" thickTop="1">
      <c r="A4378" s="51"/>
      <c r="B4378" s="41"/>
      <c r="C4378" s="51"/>
      <c r="E4378" s="42" t="s">
        <v>138</v>
      </c>
      <c r="F4378" s="42" t="s">
        <v>139</v>
      </c>
      <c r="G4378" s="51"/>
      <c r="H4378" s="51"/>
      <c r="I4378" s="51"/>
      <c r="J4378" s="51"/>
      <c r="K4378" s="51" t="s">
        <v>140</v>
      </c>
      <c r="L4378" s="51"/>
      <c r="M4378" s="51"/>
      <c r="N4378" s="51"/>
      <c r="O4378" s="52"/>
      <c r="P4378" s="51"/>
      <c r="Q4378" s="51"/>
      <c r="R4378" s="51"/>
      <c r="S4378" s="51"/>
      <c r="T4378" s="41"/>
      <c r="AG4378" s="521" t="s">
        <v>268</v>
      </c>
      <c r="AH4378" s="521" t="s">
        <v>269</v>
      </c>
      <c r="AI4378" s="521" t="s">
        <v>270</v>
      </c>
      <c r="AJ4378" s="521" t="s">
        <v>271</v>
      </c>
      <c r="AK4378" s="521" t="s">
        <v>272</v>
      </c>
      <c r="AM4378" s="745" t="s">
        <v>281</v>
      </c>
      <c r="AN4378" s="746" t="s">
        <v>282</v>
      </c>
      <c r="AO4378" s="522" t="s">
        <v>278</v>
      </c>
      <c r="AR4378" s="51"/>
      <c r="AS4378" s="42" t="s">
        <v>139</v>
      </c>
    </row>
    <row r="4379" spans="1:45" s="520" customFormat="1" ht="12" customHeight="1">
      <c r="A4379" s="747">
        <v>15</v>
      </c>
      <c r="B4379" s="523" t="s">
        <v>141</v>
      </c>
      <c r="C4379" s="748"/>
      <c r="D4379" s="749" t="s">
        <v>1764</v>
      </c>
      <c r="E4379" s="750">
        <f ca="1">IF(AND($A4379=0,$A$1="DIF"),0, ROUND(ROUND(($R4385*$S$2+($T4385*$T$2))/A4379,2)*$C$2,2))</f>
        <v>61.52</v>
      </c>
      <c r="F4379" s="751">
        <f ca="1">ROUND($A4379*$E4379,2)</f>
        <v>922.8</v>
      </c>
      <c r="G4379" s="752" t="s">
        <v>142</v>
      </c>
      <c r="H4379" s="753"/>
      <c r="I4379" s="754"/>
      <c r="J4379" s="753"/>
      <c r="K4379" s="753" t="s">
        <v>3</v>
      </c>
      <c r="L4379" s="755" t="s">
        <v>143</v>
      </c>
      <c r="M4379" s="755"/>
      <c r="N4379" s="755"/>
      <c r="O4379" s="755"/>
      <c r="P4379" s="755"/>
      <c r="Q4379" s="51"/>
      <c r="T4379" s="756" t="str">
        <f ca="1">IF(AND($R4385=0,$T4385=0),"0.00","mu :" &amp; ROUND($F4379/$C$2/($R4385+$T4385*$D$9),2))</f>
        <v>mu :1.23</v>
      </c>
      <c r="W4379" s="524"/>
      <c r="AG4379" s="481">
        <f ca="1">IF($E4379=0,0,ROUND($R4385*$S$2*$C$2/$A4379,2))</f>
        <v>26.25</v>
      </c>
      <c r="AH4379" s="481">
        <f ca="1">$AG4379*$A4379</f>
        <v>393.75</v>
      </c>
      <c r="AI4379" s="525">
        <f ca="1">$E4379-$AG4379</f>
        <v>35.270000000000003</v>
      </c>
      <c r="AJ4379" s="525">
        <f ca="1">$A4379*$AI4379</f>
        <v>529.05000000000007</v>
      </c>
      <c r="AK4379" s="526">
        <f ca="1">ROUND(($AG4379+$AI4379)*$A4379,2)</f>
        <v>922.8</v>
      </c>
      <c r="AM4379" s="527">
        <f ca="1">ROUND(R4385,2)</f>
        <v>319.8</v>
      </c>
      <c r="AN4379" s="528">
        <f ca="1">ROUND(T4385,2)</f>
        <v>15.65</v>
      </c>
      <c r="AO4379" s="529">
        <f ca="1">ROUND(AM4379+AN4379,2)*A4379</f>
        <v>5031.75</v>
      </c>
      <c r="AR4379" s="747">
        <v>15</v>
      </c>
      <c r="AS4379" s="751">
        <v>982.05</v>
      </c>
    </row>
    <row r="4380" spans="1:45" s="520" customFormat="1" ht="13.2">
      <c r="A4380" s="748"/>
      <c r="B4380"/>
      <c r="C4380" s="748"/>
      <c r="D4380" s="749" t="s">
        <v>788</v>
      </c>
      <c r="F4380" s="753"/>
      <c r="G4380" s="3"/>
      <c r="H4380" s="753"/>
      <c r="I4380" s="754"/>
      <c r="J4380" s="753"/>
      <c r="K4380" s="753" t="s">
        <v>144</v>
      </c>
      <c r="L4380" s="753"/>
      <c r="M4380" s="753"/>
      <c r="N4380" s="753"/>
      <c r="O4380" s="753"/>
      <c r="P4380" s="753"/>
      <c r="Q4380" s="51"/>
      <c r="R4380" s="530"/>
      <c r="S4380" s="757"/>
      <c r="T4380" s="753"/>
      <c r="AR4380" s="748"/>
      <c r="AS4380" s="753"/>
    </row>
    <row r="4381" spans="1:45" s="886" customFormat="1" ht="13.2">
      <c r="A4381"/>
      <c r="B4381" s="910"/>
      <c r="C4381" s="910" t="s">
        <v>2597</v>
      </c>
      <c r="D4381" s="910" t="str">
        <f ca="1">CELL("Address",Elec_Rates!D$39)</f>
        <v>[E25_0062_Quintano_Foods_Elec_ELV_As_Awarded.xlsx]Elec_Rates!$D$39</v>
      </c>
      <c r="E4381" s="911"/>
      <c r="F4381" s="911"/>
      <c r="G4381" s="912" t="s">
        <v>2598</v>
      </c>
      <c r="H4381" s="912"/>
      <c r="I4381" s="912"/>
      <c r="J4381" s="912"/>
      <c r="K4381" s="913"/>
      <c r="L4381" s="911"/>
      <c r="M4381" s="911"/>
      <c r="N4381" s="911"/>
      <c r="O4381" s="914"/>
      <c r="P4381" s="911"/>
      <c r="Q4381" s="915"/>
      <c r="R4381" s="916"/>
      <c r="S4381" s="915"/>
      <c r="T4381" s="917"/>
      <c r="U4381" s="918"/>
      <c r="AR4381"/>
      <c r="AS4381" s="911"/>
    </row>
    <row r="4382" spans="1:45" s="886" customFormat="1" ht="11.4">
      <c r="A4382" s="919">
        <v>15</v>
      </c>
      <c r="B4382" s="920">
        <v>1</v>
      </c>
      <c r="C4382" s="920">
        <f>$A4382*$B4382</f>
        <v>15</v>
      </c>
      <c r="D4382" s="921" t="str">
        <f>Elec_Rates!$D$39</f>
        <v>003# Power Point Rate (LSZH Conduit)</v>
      </c>
      <c r="E4382" s="921"/>
      <c r="F4382" s="921" t="s">
        <v>2599</v>
      </c>
      <c r="G4382" s="922" t="s">
        <v>2601</v>
      </c>
      <c r="H4382" s="922"/>
      <c r="I4382" s="922"/>
      <c r="J4382" s="922"/>
      <c r="K4382" s="923"/>
      <c r="L4382" s="918"/>
      <c r="M4382" s="918"/>
      <c r="N4382" s="918"/>
      <c r="O4382" s="924"/>
      <c r="P4382" s="921"/>
      <c r="Q4382" s="925">
        <f ca="1">$B4382*Elec_Rates!$R$39</f>
        <v>18.920000000000002</v>
      </c>
      <c r="R4382" s="916">
        <f ca="1">$A4382*Q4382</f>
        <v>283.8</v>
      </c>
      <c r="S4382" s="925">
        <f ca="1">$B4382*Elec_Rates!$T$39</f>
        <v>0.89</v>
      </c>
      <c r="T4382" s="917">
        <f ca="1">$A4382*S4382</f>
        <v>13.35</v>
      </c>
      <c r="U4382" s="926"/>
      <c r="AR4382" s="919">
        <v>15</v>
      </c>
      <c r="AS4382" s="921" t="s">
        <v>2599</v>
      </c>
    </row>
    <row r="4383" spans="1:45" s="901" customFormat="1" ht="13.2">
      <c r="A4383" s="116">
        <v>15</v>
      </c>
      <c r="B4383" s="901" t="s">
        <v>141</v>
      </c>
      <c r="D4383" s="901" t="s">
        <v>2981</v>
      </c>
      <c r="E4383" s="901" t="s">
        <v>3424</v>
      </c>
      <c r="F4383" s="1054" t="s">
        <v>3437</v>
      </c>
      <c r="G4383" s="941" t="s">
        <v>2982</v>
      </c>
      <c r="H4383" s="942">
        <v>705</v>
      </c>
      <c r="I4383" s="901" t="s">
        <v>2979</v>
      </c>
      <c r="J4383" s="901" t="s">
        <v>2983</v>
      </c>
      <c r="O4383" s="943">
        <v>3</v>
      </c>
      <c r="P4383" s="944">
        <v>34669</v>
      </c>
      <c r="Q4383" s="945">
        <v>2.4</v>
      </c>
      <c r="R4383" s="946">
        <f>$A4383*Q4383</f>
        <v>36</v>
      </c>
      <c r="S4383" s="945">
        <v>0.17</v>
      </c>
      <c r="T4383" s="947">
        <f>$A4383*S4383*$T$1</f>
        <v>2.2950000000000004</v>
      </c>
      <c r="AR4383" s="116">
        <v>15</v>
      </c>
      <c r="AS4383" s="1054" t="s">
        <v>3437</v>
      </c>
    </row>
    <row r="4384" spans="1:45" s="520" customFormat="1" ht="12">
      <c r="A4384" s="758"/>
      <c r="B4384" s="758"/>
      <c r="C4384" s="758"/>
      <c r="D4384" s="758"/>
      <c r="E4384" s="758"/>
      <c r="F4384" s="753"/>
      <c r="G4384" s="758"/>
      <c r="H4384" s="758"/>
      <c r="I4384" s="519"/>
      <c r="J4384" s="758"/>
      <c r="K4384" s="758"/>
      <c r="L4384" s="758"/>
      <c r="M4384" s="758"/>
      <c r="N4384" s="758"/>
      <c r="O4384" s="758"/>
      <c r="P4384" s="758"/>
      <c r="Q4384" s="519"/>
      <c r="R4384" s="759">
        <f>$A4384*Q4384</f>
        <v>0</v>
      </c>
      <c r="S4384" s="519"/>
      <c r="T4384" s="760">
        <f>$A4384*S4384*$T$1</f>
        <v>0</v>
      </c>
      <c r="AR4384" s="758"/>
      <c r="AS4384" s="753"/>
    </row>
    <row r="4385" spans="1:45" s="520" customFormat="1" ht="12.6" thickBot="1">
      <c r="A4385" s="761" t="s">
        <v>145</v>
      </c>
      <c r="B4385" s="762">
        <f>(R4384+T4384)</f>
        <v>0</v>
      </c>
      <c r="C4385" s="763"/>
      <c r="D4385" s="763"/>
      <c r="E4385" s="763"/>
      <c r="F4385" s="764"/>
      <c r="G4385" s="763" t="s">
        <v>146</v>
      </c>
      <c r="H4385" s="763"/>
      <c r="I4385" s="765"/>
      <c r="J4385" s="763"/>
      <c r="K4385" s="763" t="s">
        <v>3</v>
      </c>
      <c r="L4385" s="766" t="s">
        <v>143</v>
      </c>
      <c r="M4385" s="766"/>
      <c r="N4385" s="766"/>
      <c r="O4385" s="766"/>
      <c r="P4385" s="766"/>
      <c r="Q4385" s="767"/>
      <c r="R4385" s="768">
        <f ca="1">SUM(R4380:R4384)</f>
        <v>319.8</v>
      </c>
      <c r="S4385" s="763"/>
      <c r="T4385" s="768">
        <f ca="1">SUM(T4380:T4384)</f>
        <v>15.645</v>
      </c>
      <c r="U4385" s="531"/>
      <c r="V4385" s="531"/>
      <c r="W4385" s="531"/>
      <c r="X4385" s="531"/>
      <c r="Y4385" s="531"/>
      <c r="Z4385" s="531"/>
      <c r="AA4385" s="531"/>
      <c r="AB4385" s="531"/>
      <c r="AC4385" s="531"/>
      <c r="AD4385" s="531"/>
      <c r="AE4385" s="531"/>
      <c r="AF4385" s="531"/>
      <c r="AG4385" s="531"/>
      <c r="AH4385" s="531"/>
      <c r="AI4385" s="531"/>
      <c r="AJ4385" s="531"/>
      <c r="AK4385" s="531"/>
      <c r="AL4385" s="531"/>
      <c r="AM4385" s="531"/>
      <c r="AN4385" s="531"/>
      <c r="AO4385" s="531"/>
      <c r="AR4385" s="761" t="s">
        <v>145</v>
      </c>
      <c r="AS4385" s="764"/>
    </row>
    <row r="4386" spans="1:45" s="520" customFormat="1" ht="12" thickTop="1">
      <c r="A4386" s="51"/>
      <c r="B4386" s="41"/>
      <c r="C4386" s="51"/>
      <c r="E4386" s="42" t="s">
        <v>138</v>
      </c>
      <c r="F4386" s="42" t="s">
        <v>139</v>
      </c>
      <c r="G4386" s="51"/>
      <c r="H4386" s="51"/>
      <c r="I4386" s="51"/>
      <c r="J4386" s="51"/>
      <c r="K4386" s="51" t="s">
        <v>140</v>
      </c>
      <c r="L4386" s="51"/>
      <c r="M4386" s="51"/>
      <c r="N4386" s="51"/>
      <c r="O4386" s="52"/>
      <c r="P4386" s="51"/>
      <c r="Q4386" s="51"/>
      <c r="R4386" s="51"/>
      <c r="S4386" s="51"/>
      <c r="T4386" s="41"/>
      <c r="AG4386" s="521" t="s">
        <v>268</v>
      </c>
      <c r="AH4386" s="521" t="s">
        <v>269</v>
      </c>
      <c r="AI4386" s="521" t="s">
        <v>270</v>
      </c>
      <c r="AJ4386" s="521" t="s">
        <v>271</v>
      </c>
      <c r="AK4386" s="521" t="s">
        <v>272</v>
      </c>
      <c r="AM4386" s="745" t="s">
        <v>281</v>
      </c>
      <c r="AN4386" s="746" t="s">
        <v>282</v>
      </c>
      <c r="AO4386" s="522" t="s">
        <v>278</v>
      </c>
      <c r="AR4386" s="51"/>
      <c r="AS4386" s="42" t="s">
        <v>139</v>
      </c>
    </row>
    <row r="4387" spans="1:45" s="520" customFormat="1" ht="12" customHeight="1">
      <c r="A4387" s="747">
        <v>8</v>
      </c>
      <c r="B4387" s="523" t="s">
        <v>141</v>
      </c>
      <c r="C4387" s="748"/>
      <c r="D4387" s="749" t="s">
        <v>1765</v>
      </c>
      <c r="E4387" s="750">
        <f ca="1">IF(AND($A4387=0,$A$1="DIF"),0, ROUND(ROUND(($R4393*$S$2+($T4393*$T$2))/A4387,2)*$C$2,2))</f>
        <v>64.84</v>
      </c>
      <c r="F4387" s="751">
        <f ca="1">ROUND($A4387*$E4387,2)</f>
        <v>518.72</v>
      </c>
      <c r="G4387" s="752" t="s">
        <v>142</v>
      </c>
      <c r="H4387" s="753"/>
      <c r="I4387" s="754"/>
      <c r="J4387" s="753"/>
      <c r="K4387" s="753" t="s">
        <v>3</v>
      </c>
      <c r="L4387" s="755" t="s">
        <v>143</v>
      </c>
      <c r="M4387" s="755"/>
      <c r="N4387" s="755"/>
      <c r="O4387" s="755"/>
      <c r="P4387" s="755"/>
      <c r="Q4387" s="51"/>
      <c r="T4387" s="756" t="str">
        <f ca="1">IF(AND($R4393=0,$T4393=0),"0.00","mu :" &amp; ROUND($F4387/$C$2/($R4393+$T4393*$D$9),2))</f>
        <v>mu :1.23</v>
      </c>
      <c r="W4387" s="524"/>
      <c r="AG4387" s="481">
        <f ca="1">IF($E4387=0,0,ROUND($R4393*$S$2*$C$2/$A4387,2))</f>
        <v>29.58</v>
      </c>
      <c r="AH4387" s="481">
        <f ca="1">$AG4387*$A4387</f>
        <v>236.64</v>
      </c>
      <c r="AI4387" s="525">
        <f ca="1">$E4387-$AG4387</f>
        <v>35.260000000000005</v>
      </c>
      <c r="AJ4387" s="525">
        <f ca="1">$A4387*$AI4387</f>
        <v>282.08000000000004</v>
      </c>
      <c r="AK4387" s="526">
        <f ca="1">ROUND(($AG4387+$AI4387)*$A4387,2)</f>
        <v>518.72</v>
      </c>
      <c r="AM4387" s="527">
        <f ca="1">ROUND(R4393,2)</f>
        <v>192.16</v>
      </c>
      <c r="AN4387" s="528">
        <f ca="1">ROUND(T4393,2)</f>
        <v>8.34</v>
      </c>
      <c r="AO4387" s="529">
        <f ca="1">ROUND(AM4387+AN4387,2)*A4387</f>
        <v>1604</v>
      </c>
      <c r="AR4387" s="747">
        <v>8</v>
      </c>
      <c r="AS4387" s="751">
        <v>550.4</v>
      </c>
    </row>
    <row r="4388" spans="1:45" s="520" customFormat="1" ht="13.2">
      <c r="A4388" s="748"/>
      <c r="B4388"/>
      <c r="C4388" s="748"/>
      <c r="D4388" s="749" t="s">
        <v>724</v>
      </c>
      <c r="F4388" s="753"/>
      <c r="G4388" s="3"/>
      <c r="H4388" s="753"/>
      <c r="I4388" s="754"/>
      <c r="J4388" s="753"/>
      <c r="K4388" s="753" t="s">
        <v>144</v>
      </c>
      <c r="L4388" s="753"/>
      <c r="M4388" s="753"/>
      <c r="N4388" s="753"/>
      <c r="O4388" s="753"/>
      <c r="P4388" s="753"/>
      <c r="Q4388" s="51"/>
      <c r="R4388" s="530"/>
      <c r="S4388" s="757"/>
      <c r="T4388" s="753"/>
      <c r="AR4388" s="748"/>
      <c r="AS4388" s="753"/>
    </row>
    <row r="4389" spans="1:45" s="886" customFormat="1" ht="13.2">
      <c r="A4389"/>
      <c r="B4389" s="910"/>
      <c r="C4389" s="910" t="s">
        <v>2597</v>
      </c>
      <c r="D4389" s="910" t="str">
        <f ca="1">CELL("Address",Elec_Rates!D$39)</f>
        <v>[E25_0062_Quintano_Foods_Elec_ELV_As_Awarded.xlsx]Elec_Rates!$D$39</v>
      </c>
      <c r="E4389" s="911"/>
      <c r="F4389" s="911"/>
      <c r="G4389" s="912" t="s">
        <v>2598</v>
      </c>
      <c r="H4389" s="912"/>
      <c r="I4389" s="912"/>
      <c r="J4389" s="912"/>
      <c r="K4389" s="913"/>
      <c r="L4389" s="911"/>
      <c r="M4389" s="911"/>
      <c r="N4389" s="911"/>
      <c r="O4389" s="914"/>
      <c r="P4389" s="911"/>
      <c r="Q4389" s="915"/>
      <c r="R4389" s="916"/>
      <c r="S4389" s="915"/>
      <c r="T4389" s="917"/>
      <c r="U4389" s="918"/>
      <c r="AR4389"/>
      <c r="AS4389" s="911"/>
    </row>
    <row r="4390" spans="1:45" s="886" customFormat="1" ht="11.4">
      <c r="A4390" s="919">
        <v>8</v>
      </c>
      <c r="B4390" s="920">
        <v>1</v>
      </c>
      <c r="C4390" s="920">
        <f>$A4390*$B4390</f>
        <v>8</v>
      </c>
      <c r="D4390" s="921" t="str">
        <f>Elec_Rates!$D$39</f>
        <v>003# Power Point Rate (LSZH Conduit)</v>
      </c>
      <c r="E4390" s="921"/>
      <c r="F4390" s="921" t="s">
        <v>2599</v>
      </c>
      <c r="G4390" s="922" t="s">
        <v>2601</v>
      </c>
      <c r="H4390" s="922"/>
      <c r="I4390" s="922"/>
      <c r="J4390" s="922"/>
      <c r="K4390" s="923"/>
      <c r="L4390" s="918"/>
      <c r="M4390" s="918"/>
      <c r="N4390" s="918"/>
      <c r="O4390" s="924"/>
      <c r="P4390" s="921"/>
      <c r="Q4390" s="925">
        <f ca="1">$B4390*Elec_Rates!$R$39</f>
        <v>18.920000000000002</v>
      </c>
      <c r="R4390" s="916">
        <f ca="1">$A4390*Q4390</f>
        <v>151.36000000000001</v>
      </c>
      <c r="S4390" s="925">
        <f ca="1">$B4390*Elec_Rates!$T$39</f>
        <v>0.89</v>
      </c>
      <c r="T4390" s="917">
        <f ca="1">$A4390*S4390</f>
        <v>7.12</v>
      </c>
      <c r="U4390" s="926"/>
      <c r="AR4390" s="919">
        <v>8</v>
      </c>
      <c r="AS4390" s="921" t="s">
        <v>2599</v>
      </c>
    </row>
    <row r="4391" spans="1:45" s="901" customFormat="1" ht="13.2">
      <c r="A4391" s="116">
        <v>8</v>
      </c>
      <c r="B4391" s="901" t="s">
        <v>141</v>
      </c>
      <c r="D4391" s="901" t="s">
        <v>2984</v>
      </c>
      <c r="E4391" s="901" t="s">
        <v>3424</v>
      </c>
      <c r="F4391" s="1054" t="s">
        <v>3434</v>
      </c>
      <c r="G4391" s="941" t="s">
        <v>2985</v>
      </c>
      <c r="H4391" s="942">
        <v>705</v>
      </c>
      <c r="I4391" s="901" t="s">
        <v>2979</v>
      </c>
      <c r="J4391" s="901" t="s">
        <v>2986</v>
      </c>
      <c r="O4391" s="943">
        <v>3</v>
      </c>
      <c r="P4391" s="944">
        <v>34669</v>
      </c>
      <c r="Q4391" s="945">
        <v>5.0999999999999996</v>
      </c>
      <c r="R4391" s="946">
        <f>$A4391*Q4391</f>
        <v>40.799999999999997</v>
      </c>
      <c r="S4391" s="945">
        <v>0.17</v>
      </c>
      <c r="T4391" s="947">
        <f>$A4391*S4391*$T$1</f>
        <v>1.2240000000000002</v>
      </c>
      <c r="AR4391" s="116">
        <v>8</v>
      </c>
      <c r="AS4391" s="1054" t="s">
        <v>3434</v>
      </c>
    </row>
    <row r="4392" spans="1:45" s="520" customFormat="1" ht="12">
      <c r="A4392" s="758"/>
      <c r="B4392" s="758"/>
      <c r="C4392" s="758"/>
      <c r="D4392" s="758"/>
      <c r="E4392" s="758"/>
      <c r="F4392" s="753"/>
      <c r="G4392" s="758"/>
      <c r="H4392" s="758"/>
      <c r="I4392" s="519"/>
      <c r="J4392" s="758"/>
      <c r="K4392" s="758"/>
      <c r="L4392" s="758"/>
      <c r="M4392" s="758"/>
      <c r="N4392" s="758"/>
      <c r="O4392" s="758"/>
      <c r="P4392" s="758"/>
      <c r="Q4392" s="519"/>
      <c r="R4392" s="759">
        <f>$A4392*Q4392</f>
        <v>0</v>
      </c>
      <c r="S4392" s="519"/>
      <c r="T4392" s="760">
        <f>$A4392*S4392*$T$1</f>
        <v>0</v>
      </c>
      <c r="AR4392" s="758"/>
      <c r="AS4392" s="753"/>
    </row>
    <row r="4393" spans="1:45" s="520" customFormat="1" ht="12.6" thickBot="1">
      <c r="A4393" s="761" t="s">
        <v>145</v>
      </c>
      <c r="B4393" s="762">
        <f>(R4392+T4392)</f>
        <v>0</v>
      </c>
      <c r="C4393" s="763"/>
      <c r="D4393" s="763"/>
      <c r="E4393" s="763"/>
      <c r="F4393" s="764"/>
      <c r="G4393" s="763" t="s">
        <v>146</v>
      </c>
      <c r="H4393" s="763"/>
      <c r="I4393" s="765"/>
      <c r="J4393" s="763"/>
      <c r="K4393" s="763" t="s">
        <v>3</v>
      </c>
      <c r="L4393" s="766" t="s">
        <v>143</v>
      </c>
      <c r="M4393" s="766"/>
      <c r="N4393" s="766"/>
      <c r="O4393" s="766"/>
      <c r="P4393" s="766"/>
      <c r="Q4393" s="767"/>
      <c r="R4393" s="768">
        <f ca="1">SUM(R4388:R4392)</f>
        <v>192.16000000000003</v>
      </c>
      <c r="S4393" s="763"/>
      <c r="T4393" s="768">
        <f ca="1">SUM(T4388:T4392)</f>
        <v>8.3440000000000012</v>
      </c>
      <c r="U4393" s="531"/>
      <c r="V4393" s="531"/>
      <c r="W4393" s="531"/>
      <c r="X4393" s="531"/>
      <c r="Y4393" s="531"/>
      <c r="Z4393" s="531"/>
      <c r="AA4393" s="531"/>
      <c r="AB4393" s="531"/>
      <c r="AC4393" s="531"/>
      <c r="AD4393" s="531"/>
      <c r="AE4393" s="531"/>
      <c r="AF4393" s="531"/>
      <c r="AG4393" s="531"/>
      <c r="AH4393" s="531"/>
      <c r="AI4393" s="531"/>
      <c r="AJ4393" s="531"/>
      <c r="AK4393" s="531"/>
      <c r="AL4393" s="531"/>
      <c r="AM4393" s="531"/>
      <c r="AN4393" s="531"/>
      <c r="AO4393" s="531"/>
      <c r="AR4393" s="761" t="s">
        <v>145</v>
      </c>
      <c r="AS4393" s="764"/>
    </row>
    <row r="4394" spans="1:45" s="520" customFormat="1" ht="12" thickTop="1">
      <c r="A4394" s="51"/>
      <c r="B4394" s="41"/>
      <c r="C4394" s="51"/>
      <c r="E4394" s="42" t="s">
        <v>138</v>
      </c>
      <c r="F4394" s="42" t="s">
        <v>139</v>
      </c>
      <c r="G4394" s="51"/>
      <c r="H4394" s="51"/>
      <c r="I4394" s="51"/>
      <c r="J4394" s="51"/>
      <c r="K4394" s="51" t="s">
        <v>140</v>
      </c>
      <c r="L4394" s="51"/>
      <c r="M4394" s="51"/>
      <c r="N4394" s="51"/>
      <c r="O4394" s="52"/>
      <c r="P4394" s="51"/>
      <c r="Q4394" s="51"/>
      <c r="R4394" s="51"/>
      <c r="S4394" s="51"/>
      <c r="T4394" s="41"/>
      <c r="AG4394" s="521" t="s">
        <v>268</v>
      </c>
      <c r="AH4394" s="521" t="s">
        <v>269</v>
      </c>
      <c r="AI4394" s="521" t="s">
        <v>270</v>
      </c>
      <c r="AJ4394" s="521" t="s">
        <v>271</v>
      </c>
      <c r="AK4394" s="521" t="s">
        <v>272</v>
      </c>
      <c r="AM4394" s="745" t="s">
        <v>281</v>
      </c>
      <c r="AN4394" s="746" t="s">
        <v>282</v>
      </c>
      <c r="AO4394" s="522" t="s">
        <v>278</v>
      </c>
      <c r="AR4394" s="51"/>
      <c r="AS4394" s="42" t="s">
        <v>139</v>
      </c>
    </row>
    <row r="4395" spans="1:45" s="520" customFormat="1" ht="12" customHeight="1">
      <c r="A4395" s="747">
        <v>1</v>
      </c>
      <c r="B4395" s="523" t="s">
        <v>141</v>
      </c>
      <c r="C4395" s="748"/>
      <c r="D4395" s="749" t="s">
        <v>1766</v>
      </c>
      <c r="E4395" s="750">
        <f ca="1">IF(AND($A4395=0,$A$1="DIF"),0, ROUND(ROUND(($R4401*$S$2+($T4401*$T$2))/A4395,2)*$C$2,2))</f>
        <v>189.03</v>
      </c>
      <c r="F4395" s="751">
        <f ca="1">ROUND($A4395*$E4395,2)</f>
        <v>189.03</v>
      </c>
      <c r="G4395" s="752" t="s">
        <v>142</v>
      </c>
      <c r="H4395" s="753"/>
      <c r="I4395" s="754"/>
      <c r="J4395" s="753"/>
      <c r="K4395" s="753" t="s">
        <v>3</v>
      </c>
      <c r="L4395" s="755" t="s">
        <v>143</v>
      </c>
      <c r="M4395" s="755"/>
      <c r="N4395" s="755"/>
      <c r="O4395" s="755"/>
      <c r="P4395" s="755"/>
      <c r="Q4395" s="51"/>
      <c r="T4395" s="756" t="str">
        <f ca="1">IF(AND($R4401=0,$T4401=0),"0.00","mu :" &amp; ROUND($F4395/$C$2/($R4401+$T4401*$D$9),2))</f>
        <v>mu :1.23</v>
      </c>
      <c r="W4395" s="524"/>
      <c r="AG4395" s="481">
        <f ca="1">IF($E4395=0,0,ROUND($R4401*$S$2*$C$2/$A4395,2))</f>
        <v>150.38</v>
      </c>
      <c r="AH4395" s="481">
        <f ca="1">$AG4395*$A4395</f>
        <v>150.38</v>
      </c>
      <c r="AI4395" s="525">
        <f ca="1">$E4395-$AG4395</f>
        <v>38.650000000000006</v>
      </c>
      <c r="AJ4395" s="525">
        <f ca="1">$A4395*$AI4395</f>
        <v>38.650000000000006</v>
      </c>
      <c r="AK4395" s="526">
        <f ca="1">ROUND(($AG4395+$AI4395)*$A4395,2)</f>
        <v>189.03</v>
      </c>
      <c r="AM4395" s="527">
        <f ca="1">ROUND(R4401,2)</f>
        <v>122.13</v>
      </c>
      <c r="AN4395" s="528">
        <f ca="1">ROUND(T4401,2)</f>
        <v>1.1399999999999999</v>
      </c>
      <c r="AO4395" s="529">
        <f ca="1">ROUND(AM4395+AN4395,2)*A4395</f>
        <v>123.27</v>
      </c>
      <c r="AR4395" s="747">
        <v>1</v>
      </c>
      <c r="AS4395" s="751">
        <v>198.92</v>
      </c>
    </row>
    <row r="4396" spans="1:45" s="520" customFormat="1" ht="13.2">
      <c r="A4396" s="748"/>
      <c r="B4396"/>
      <c r="C4396" s="748"/>
      <c r="D4396" s="749" t="s">
        <v>755</v>
      </c>
      <c r="F4396" s="753"/>
      <c r="G4396" s="3"/>
      <c r="H4396" s="753"/>
      <c r="I4396" s="754"/>
      <c r="J4396" s="753"/>
      <c r="K4396" s="753" t="s">
        <v>144</v>
      </c>
      <c r="L4396" s="753"/>
      <c r="M4396" s="753"/>
      <c r="N4396" s="753"/>
      <c r="O4396" s="753"/>
      <c r="P4396" s="753"/>
      <c r="Q4396" s="51"/>
      <c r="R4396" s="530"/>
      <c r="S4396" s="757"/>
      <c r="T4396" s="753"/>
      <c r="AR4396" s="748"/>
      <c r="AS4396" s="753"/>
    </row>
    <row r="4397" spans="1:45" s="886" customFormat="1" ht="13.2">
      <c r="A4397"/>
      <c r="B4397" s="910"/>
      <c r="C4397" s="910" t="s">
        <v>2597</v>
      </c>
      <c r="D4397" s="910" t="str">
        <f ca="1">CELL("Address",Elec_Rates!D$127)</f>
        <v>[E25_0062_Quintano_Foods_Elec_ELV_As_Awarded.xlsx]Elec_Rates!$D$127</v>
      </c>
      <c r="E4397" s="911"/>
      <c r="F4397" s="911"/>
      <c r="G4397" s="912" t="s">
        <v>2598</v>
      </c>
      <c r="H4397" s="912"/>
      <c r="I4397" s="912"/>
      <c r="J4397" s="912"/>
      <c r="K4397" s="913"/>
      <c r="L4397" s="911"/>
      <c r="M4397" s="911"/>
      <c r="N4397" s="911"/>
      <c r="O4397" s="914"/>
      <c r="P4397" s="911"/>
      <c r="Q4397" s="915"/>
      <c r="R4397" s="916"/>
      <c r="S4397" s="915"/>
      <c r="T4397" s="917"/>
      <c r="U4397" s="918"/>
      <c r="AR4397"/>
      <c r="AS4397" s="911"/>
    </row>
    <row r="4398" spans="1:45" s="886" customFormat="1" ht="11.4">
      <c r="A4398" s="919">
        <v>1</v>
      </c>
      <c r="B4398" s="920">
        <v>1</v>
      </c>
      <c r="C4398" s="920">
        <f>$A4398*$B4398</f>
        <v>1</v>
      </c>
      <c r="D4398" s="921" t="str">
        <f>Elec_Rates!$D$127</f>
        <v>011# Power points rate LSZH conduit (CWZ LSZH Cable)</v>
      </c>
      <c r="E4398" s="921"/>
      <c r="F4398" s="921" t="s">
        <v>2599</v>
      </c>
      <c r="G4398" s="922" t="s">
        <v>2601</v>
      </c>
      <c r="H4398" s="922"/>
      <c r="I4398" s="922"/>
      <c r="J4398" s="922"/>
      <c r="K4398" s="923"/>
      <c r="L4398" s="918"/>
      <c r="M4398" s="918"/>
      <c r="N4398" s="918"/>
      <c r="O4398" s="924"/>
      <c r="P4398" s="921"/>
      <c r="Q4398" s="925">
        <f ca="1">$B4398*Elec_Rates!$R$127</f>
        <v>117.03</v>
      </c>
      <c r="R4398" s="916">
        <f ca="1">$A4398*Q4398</f>
        <v>117.03</v>
      </c>
      <c r="S4398" s="925">
        <f ca="1">$B4398*Elec_Rates!$T$127</f>
        <v>0.99</v>
      </c>
      <c r="T4398" s="917">
        <f ca="1">$A4398*S4398</f>
        <v>0.99</v>
      </c>
      <c r="U4398" s="926"/>
      <c r="AR4398" s="919">
        <v>1</v>
      </c>
      <c r="AS4398" s="921" t="s">
        <v>2599</v>
      </c>
    </row>
    <row r="4399" spans="1:45" s="901" customFormat="1" ht="13.2">
      <c r="A4399" s="116">
        <v>1</v>
      </c>
      <c r="B4399" s="901" t="s">
        <v>141</v>
      </c>
      <c r="D4399" s="901" t="s">
        <v>2984</v>
      </c>
      <c r="E4399" s="901" t="s">
        <v>3424</v>
      </c>
      <c r="F4399" s="1054" t="s">
        <v>3434</v>
      </c>
      <c r="G4399" s="941" t="s">
        <v>2985</v>
      </c>
      <c r="H4399" s="942">
        <v>705</v>
      </c>
      <c r="I4399" s="901" t="s">
        <v>2979</v>
      </c>
      <c r="J4399" s="901" t="s">
        <v>2986</v>
      </c>
      <c r="O4399" s="943">
        <v>3</v>
      </c>
      <c r="P4399" s="944">
        <v>34669</v>
      </c>
      <c r="Q4399" s="945">
        <v>5.0999999999999996</v>
      </c>
      <c r="R4399" s="946">
        <f>$A4399*Q4399</f>
        <v>5.0999999999999996</v>
      </c>
      <c r="S4399" s="945">
        <v>0.17</v>
      </c>
      <c r="T4399" s="947">
        <f>$A4399*S4399*$T$1</f>
        <v>0.15300000000000002</v>
      </c>
      <c r="AR4399" s="116">
        <v>1</v>
      </c>
      <c r="AS4399" s="1054" t="s">
        <v>3434</v>
      </c>
    </row>
    <row r="4400" spans="1:45" s="520" customFormat="1" ht="12">
      <c r="A4400" s="758"/>
      <c r="B4400" s="758"/>
      <c r="C4400" s="758"/>
      <c r="D4400" s="758"/>
      <c r="E4400" s="758"/>
      <c r="F4400" s="753"/>
      <c r="G4400" s="758"/>
      <c r="H4400" s="758"/>
      <c r="I4400" s="519"/>
      <c r="J4400" s="758"/>
      <c r="K4400" s="758"/>
      <c r="L4400" s="758"/>
      <c r="M4400" s="758"/>
      <c r="N4400" s="758"/>
      <c r="O4400" s="758"/>
      <c r="P4400" s="758"/>
      <c r="Q4400" s="519"/>
      <c r="R4400" s="759">
        <f>$A4400*Q4400</f>
        <v>0</v>
      </c>
      <c r="S4400" s="519"/>
      <c r="T4400" s="760">
        <f>$A4400*S4400*$T$1</f>
        <v>0</v>
      </c>
      <c r="AR4400" s="758"/>
      <c r="AS4400" s="753"/>
    </row>
    <row r="4401" spans="1:45" s="520" customFormat="1" ht="12.6" thickBot="1">
      <c r="A4401" s="761" t="s">
        <v>145</v>
      </c>
      <c r="B4401" s="762">
        <f>(R4400+T4400)</f>
        <v>0</v>
      </c>
      <c r="C4401" s="763"/>
      <c r="D4401" s="763"/>
      <c r="E4401" s="763"/>
      <c r="F4401" s="764"/>
      <c r="G4401" s="763" t="s">
        <v>146</v>
      </c>
      <c r="H4401" s="763"/>
      <c r="I4401" s="765"/>
      <c r="J4401" s="763"/>
      <c r="K4401" s="763" t="s">
        <v>3</v>
      </c>
      <c r="L4401" s="766" t="s">
        <v>143</v>
      </c>
      <c r="M4401" s="766"/>
      <c r="N4401" s="766"/>
      <c r="O4401" s="766"/>
      <c r="P4401" s="766"/>
      <c r="Q4401" s="767"/>
      <c r="R4401" s="768">
        <f ca="1">SUM(R4396:R4400)</f>
        <v>122.13</v>
      </c>
      <c r="S4401" s="763"/>
      <c r="T4401" s="768">
        <f ca="1">SUM(T4396:T4400)</f>
        <v>1.143</v>
      </c>
      <c r="U4401" s="531"/>
      <c r="V4401" s="531"/>
      <c r="W4401" s="531"/>
      <c r="X4401" s="531"/>
      <c r="Y4401" s="531"/>
      <c r="Z4401" s="531"/>
      <c r="AA4401" s="531"/>
      <c r="AB4401" s="531"/>
      <c r="AC4401" s="531"/>
      <c r="AD4401" s="531"/>
      <c r="AE4401" s="531"/>
      <c r="AF4401" s="531"/>
      <c r="AG4401" s="531"/>
      <c r="AH4401" s="531"/>
      <c r="AI4401" s="531"/>
      <c r="AJ4401" s="531"/>
      <c r="AK4401" s="531"/>
      <c r="AL4401" s="531"/>
      <c r="AM4401" s="531"/>
      <c r="AN4401" s="531"/>
      <c r="AO4401" s="531"/>
      <c r="AR4401" s="761" t="s">
        <v>145</v>
      </c>
      <c r="AS4401" s="764"/>
    </row>
    <row r="4402" spans="1:45" s="520" customFormat="1" ht="12" thickTop="1">
      <c r="A4402" s="51"/>
      <c r="B4402" s="41"/>
      <c r="C4402" s="51"/>
      <c r="E4402" s="42" t="s">
        <v>138</v>
      </c>
      <c r="F4402" s="42" t="s">
        <v>139</v>
      </c>
      <c r="G4402" s="51"/>
      <c r="H4402" s="51"/>
      <c r="I4402" s="51"/>
      <c r="J4402" s="51"/>
      <c r="K4402" s="51" t="s">
        <v>140</v>
      </c>
      <c r="L4402" s="51"/>
      <c r="M4402" s="51"/>
      <c r="N4402" s="51"/>
      <c r="O4402" s="52"/>
      <c r="P4402" s="51"/>
      <c r="Q4402" s="51"/>
      <c r="R4402" s="51"/>
      <c r="S4402" s="51"/>
      <c r="T4402" s="41"/>
      <c r="AG4402" s="521" t="s">
        <v>268</v>
      </c>
      <c r="AH4402" s="521" t="s">
        <v>269</v>
      </c>
      <c r="AI4402" s="521" t="s">
        <v>270</v>
      </c>
      <c r="AJ4402" s="521" t="s">
        <v>271</v>
      </c>
      <c r="AK4402" s="521" t="s">
        <v>272</v>
      </c>
      <c r="AM4402" s="745" t="s">
        <v>281</v>
      </c>
      <c r="AN4402" s="746" t="s">
        <v>282</v>
      </c>
      <c r="AO4402" s="522" t="s">
        <v>278</v>
      </c>
      <c r="AR4402" s="51"/>
      <c r="AS4402" s="42" t="s">
        <v>139</v>
      </c>
    </row>
    <row r="4403" spans="1:45" s="520" customFormat="1" ht="12" customHeight="1">
      <c r="A4403" s="747">
        <v>2</v>
      </c>
      <c r="B4403" s="523" t="s">
        <v>141</v>
      </c>
      <c r="C4403" s="748"/>
      <c r="D4403" s="749" t="s">
        <v>1767</v>
      </c>
      <c r="E4403" s="750">
        <f ca="1">IF(AND($A4403=0,$A$1="DIF"),0, ROUND(ROUND(($R4409*$S$2+($T4409*$T$2))/A4403,2)*$C$2,2))</f>
        <v>63.24</v>
      </c>
      <c r="F4403" s="751">
        <f ca="1">ROUND($A4403*$E4403,2)</f>
        <v>126.48</v>
      </c>
      <c r="G4403" s="752" t="s">
        <v>142</v>
      </c>
      <c r="H4403" s="753"/>
      <c r="I4403" s="754"/>
      <c r="J4403" s="753"/>
      <c r="K4403" s="753" t="s">
        <v>3</v>
      </c>
      <c r="L4403" s="755" t="s">
        <v>143</v>
      </c>
      <c r="M4403" s="755"/>
      <c r="N4403" s="755"/>
      <c r="O4403" s="755"/>
      <c r="P4403" s="755"/>
      <c r="Q4403" s="51"/>
      <c r="T4403" s="756" t="str">
        <f ca="1">IF(AND($R4409=0,$T4409=0),"0.00","mu :" &amp; ROUND($F4403/$C$2/($R4409+$T4409*$D$9),2))</f>
        <v>mu :1.23</v>
      </c>
      <c r="W4403" s="524"/>
      <c r="AG4403" s="481">
        <f ca="1">IF($E4403=0,0,ROUND($R4409*$S$2*$C$2/$A4403,2))</f>
        <v>27.98</v>
      </c>
      <c r="AH4403" s="481">
        <f ca="1">$AG4403*$A4403</f>
        <v>55.96</v>
      </c>
      <c r="AI4403" s="525">
        <f ca="1">$E4403-$AG4403</f>
        <v>35.260000000000005</v>
      </c>
      <c r="AJ4403" s="525">
        <f ca="1">$A4403*$AI4403</f>
        <v>70.52000000000001</v>
      </c>
      <c r="AK4403" s="526">
        <f ca="1">ROUND(($AG4403+$AI4403)*$A4403,2)</f>
        <v>126.48</v>
      </c>
      <c r="AM4403" s="527">
        <f ca="1">ROUND(R4409,2)</f>
        <v>45.44</v>
      </c>
      <c r="AN4403" s="528">
        <f ca="1">ROUND(T4409,2)</f>
        <v>2.09</v>
      </c>
      <c r="AO4403" s="529">
        <f ca="1">ROUND(AM4403+AN4403,2)*A4403</f>
        <v>95.06</v>
      </c>
      <c r="AR4403" s="747">
        <v>2</v>
      </c>
      <c r="AS4403" s="751">
        <v>134.4</v>
      </c>
    </row>
    <row r="4404" spans="1:45" s="520" customFormat="1" ht="13.2">
      <c r="A4404" s="748"/>
      <c r="B4404"/>
      <c r="C4404" s="748"/>
      <c r="D4404" s="749" t="s">
        <v>807</v>
      </c>
      <c r="F4404" s="753"/>
      <c r="G4404" s="3"/>
      <c r="H4404" s="753"/>
      <c r="I4404" s="754"/>
      <c r="J4404" s="753"/>
      <c r="K4404" s="753" t="s">
        <v>144</v>
      </c>
      <c r="L4404" s="753"/>
      <c r="M4404" s="753"/>
      <c r="N4404" s="753"/>
      <c r="O4404" s="753"/>
      <c r="P4404" s="753"/>
      <c r="Q4404" s="51"/>
      <c r="R4404" s="530"/>
      <c r="S4404" s="757"/>
      <c r="T4404" s="753"/>
      <c r="AR4404" s="748"/>
      <c r="AS4404" s="753"/>
    </row>
    <row r="4405" spans="1:45" s="886" customFormat="1" ht="13.2">
      <c r="A4405"/>
      <c r="B4405" s="910"/>
      <c r="C4405" s="910" t="s">
        <v>2597</v>
      </c>
      <c r="D4405" s="910" t="str">
        <f ca="1">CELL("Address",Elec_Rates!D$39)</f>
        <v>[E25_0062_Quintano_Foods_Elec_ELV_As_Awarded.xlsx]Elec_Rates!$D$39</v>
      </c>
      <c r="E4405" s="911"/>
      <c r="F4405" s="911"/>
      <c r="G4405" s="912" t="s">
        <v>2598</v>
      </c>
      <c r="H4405" s="912"/>
      <c r="I4405" s="912"/>
      <c r="J4405" s="912"/>
      <c r="K4405" s="913"/>
      <c r="L4405" s="911"/>
      <c r="M4405" s="911"/>
      <c r="N4405" s="911"/>
      <c r="O4405" s="914"/>
      <c r="P4405" s="911"/>
      <c r="Q4405" s="915"/>
      <c r="R4405" s="916"/>
      <c r="S4405" s="915"/>
      <c r="T4405" s="917"/>
      <c r="U4405" s="918"/>
      <c r="AR4405"/>
      <c r="AS4405" s="911"/>
    </row>
    <row r="4406" spans="1:45" s="886" customFormat="1" ht="11.4">
      <c r="A4406" s="919">
        <v>2</v>
      </c>
      <c r="B4406" s="920">
        <v>1</v>
      </c>
      <c r="C4406" s="920">
        <f>$A4406*$B4406</f>
        <v>2</v>
      </c>
      <c r="D4406" s="921" t="str">
        <f>Elec_Rates!$D$39</f>
        <v>003# Power Point Rate (LSZH Conduit)</v>
      </c>
      <c r="E4406" s="921"/>
      <c r="F4406" s="921" t="s">
        <v>2599</v>
      </c>
      <c r="G4406" s="922" t="s">
        <v>2601</v>
      </c>
      <c r="H4406" s="922"/>
      <c r="I4406" s="922"/>
      <c r="J4406" s="922"/>
      <c r="K4406" s="923"/>
      <c r="L4406" s="918"/>
      <c r="M4406" s="918"/>
      <c r="N4406" s="918"/>
      <c r="O4406" s="924"/>
      <c r="P4406" s="921"/>
      <c r="Q4406" s="925">
        <f ca="1">$B4406*Elec_Rates!$R$39</f>
        <v>18.920000000000002</v>
      </c>
      <c r="R4406" s="916">
        <f ca="1">$A4406*Q4406</f>
        <v>37.840000000000003</v>
      </c>
      <c r="S4406" s="925">
        <f ca="1">$B4406*Elec_Rates!$T$39</f>
        <v>0.89</v>
      </c>
      <c r="T4406" s="917">
        <f ca="1">$A4406*S4406</f>
        <v>1.78</v>
      </c>
      <c r="U4406" s="926"/>
      <c r="AR4406" s="919">
        <v>2</v>
      </c>
      <c r="AS4406" s="921" t="s">
        <v>2599</v>
      </c>
    </row>
    <row r="4407" spans="1:45" s="901" customFormat="1" ht="13.2">
      <c r="A4407" s="116">
        <v>2</v>
      </c>
      <c r="B4407" s="901" t="s">
        <v>141</v>
      </c>
      <c r="D4407" s="901" t="s">
        <v>2989</v>
      </c>
      <c r="E4407" s="901" t="s">
        <v>3424</v>
      </c>
      <c r="F4407" s="1054" t="s">
        <v>3435</v>
      </c>
      <c r="G4407" s="941" t="s">
        <v>2990</v>
      </c>
      <c r="H4407" s="942">
        <v>705</v>
      </c>
      <c r="I4407" s="901" t="s">
        <v>2991</v>
      </c>
      <c r="J4407" s="901" t="s">
        <v>2992</v>
      </c>
      <c r="O4407" s="943">
        <v>3</v>
      </c>
      <c r="P4407" s="944">
        <v>34669</v>
      </c>
      <c r="Q4407" s="945">
        <v>3.8</v>
      </c>
      <c r="R4407" s="946">
        <f>$A4407*Q4407</f>
        <v>7.6</v>
      </c>
      <c r="S4407" s="945">
        <v>0.17</v>
      </c>
      <c r="T4407" s="947">
        <f>$A4407*S4407*$T$1</f>
        <v>0.30600000000000005</v>
      </c>
      <c r="AR4407" s="116">
        <v>2</v>
      </c>
      <c r="AS4407" s="1054" t="s">
        <v>3435</v>
      </c>
    </row>
    <row r="4408" spans="1:45" s="520" customFormat="1" ht="12">
      <c r="A4408" s="758"/>
      <c r="B4408" s="758"/>
      <c r="C4408" s="758"/>
      <c r="D4408" s="758"/>
      <c r="E4408" s="758"/>
      <c r="F4408" s="753"/>
      <c r="G4408" s="758"/>
      <c r="H4408" s="758"/>
      <c r="I4408" s="519"/>
      <c r="J4408" s="758"/>
      <c r="K4408" s="758"/>
      <c r="L4408" s="758"/>
      <c r="M4408" s="758"/>
      <c r="N4408" s="758"/>
      <c r="O4408" s="758"/>
      <c r="P4408" s="758"/>
      <c r="Q4408" s="519"/>
      <c r="R4408" s="759">
        <f>$A4408*Q4408</f>
        <v>0</v>
      </c>
      <c r="S4408" s="519"/>
      <c r="T4408" s="760">
        <f>$A4408*S4408*$T$1</f>
        <v>0</v>
      </c>
      <c r="AR4408" s="758"/>
      <c r="AS4408" s="753"/>
    </row>
    <row r="4409" spans="1:45" s="520" customFormat="1" ht="12.6" thickBot="1">
      <c r="A4409" s="761" t="s">
        <v>145</v>
      </c>
      <c r="B4409" s="762">
        <f>(R4408+T4408)</f>
        <v>0</v>
      </c>
      <c r="C4409" s="763"/>
      <c r="D4409" s="763"/>
      <c r="E4409" s="763"/>
      <c r="F4409" s="764"/>
      <c r="G4409" s="763" t="s">
        <v>146</v>
      </c>
      <c r="H4409" s="763"/>
      <c r="I4409" s="765"/>
      <c r="J4409" s="763"/>
      <c r="K4409" s="763" t="s">
        <v>3</v>
      </c>
      <c r="L4409" s="766" t="s">
        <v>143</v>
      </c>
      <c r="M4409" s="766"/>
      <c r="N4409" s="766"/>
      <c r="O4409" s="766"/>
      <c r="P4409" s="766"/>
      <c r="Q4409" s="767"/>
      <c r="R4409" s="768">
        <f ca="1">SUM(R4404:R4408)</f>
        <v>45.440000000000005</v>
      </c>
      <c r="S4409" s="763"/>
      <c r="T4409" s="768">
        <f ca="1">SUM(T4404:T4408)</f>
        <v>2.0860000000000003</v>
      </c>
      <c r="U4409" s="531"/>
      <c r="V4409" s="531"/>
      <c r="W4409" s="531"/>
      <c r="X4409" s="531"/>
      <c r="Y4409" s="531"/>
      <c r="Z4409" s="531"/>
      <c r="AA4409" s="531"/>
      <c r="AB4409" s="531"/>
      <c r="AC4409" s="531"/>
      <c r="AD4409" s="531"/>
      <c r="AE4409" s="531"/>
      <c r="AF4409" s="531"/>
      <c r="AG4409" s="531"/>
      <c r="AH4409" s="531"/>
      <c r="AI4409" s="531"/>
      <c r="AJ4409" s="531"/>
      <c r="AK4409" s="531"/>
      <c r="AL4409" s="531"/>
      <c r="AM4409" s="531"/>
      <c r="AN4409" s="531"/>
      <c r="AO4409" s="531"/>
      <c r="AR4409" s="761" t="s">
        <v>145</v>
      </c>
      <c r="AS4409" s="764"/>
    </row>
    <row r="4410" spans="1:45" s="520" customFormat="1" ht="12" thickTop="1">
      <c r="A4410" s="51"/>
      <c r="B4410" s="41"/>
      <c r="C4410" s="51"/>
      <c r="E4410" s="42" t="s">
        <v>138</v>
      </c>
      <c r="F4410" s="42" t="s">
        <v>139</v>
      </c>
      <c r="G4410" s="51"/>
      <c r="H4410" s="51"/>
      <c r="I4410" s="51"/>
      <c r="J4410" s="51"/>
      <c r="K4410" s="51" t="s">
        <v>140</v>
      </c>
      <c r="L4410" s="51"/>
      <c r="M4410" s="51"/>
      <c r="N4410" s="51"/>
      <c r="O4410" s="52"/>
      <c r="P4410" s="51"/>
      <c r="Q4410" s="51"/>
      <c r="R4410" s="51"/>
      <c r="S4410" s="51"/>
      <c r="T4410" s="41"/>
      <c r="AG4410" s="521" t="s">
        <v>268</v>
      </c>
      <c r="AH4410" s="521" t="s">
        <v>269</v>
      </c>
      <c r="AI4410" s="521" t="s">
        <v>270</v>
      </c>
      <c r="AJ4410" s="521" t="s">
        <v>271</v>
      </c>
      <c r="AK4410" s="521" t="s">
        <v>272</v>
      </c>
      <c r="AM4410" s="745" t="s">
        <v>281</v>
      </c>
      <c r="AN4410" s="746" t="s">
        <v>282</v>
      </c>
      <c r="AO4410" s="522" t="s">
        <v>278</v>
      </c>
      <c r="AR4410" s="51"/>
      <c r="AS4410" s="42" t="s">
        <v>139</v>
      </c>
    </row>
    <row r="4411" spans="1:45" s="520" customFormat="1" ht="12" customHeight="1">
      <c r="A4411" s="747">
        <v>2</v>
      </c>
      <c r="B4411" s="523" t="s">
        <v>141</v>
      </c>
      <c r="C4411" s="748"/>
      <c r="D4411" s="749" t="s">
        <v>1768</v>
      </c>
      <c r="E4411" s="750">
        <f ca="1">IF(AND($A4411=0,$A$1="DIF"),0, ROUND(ROUND(($R4416*$S$2+($T4416*$T$2))/A4411,2)*$C$2,2))</f>
        <v>208.63</v>
      </c>
      <c r="F4411" s="751">
        <f ca="1">ROUND($A4411*$E4411,2)</f>
        <v>417.26</v>
      </c>
      <c r="G4411" s="752" t="s">
        <v>142</v>
      </c>
      <c r="H4411" s="753"/>
      <c r="I4411" s="754"/>
      <c r="J4411" s="753"/>
      <c r="K4411" s="753" t="s">
        <v>3</v>
      </c>
      <c r="L4411" s="755" t="s">
        <v>143</v>
      </c>
      <c r="M4411" s="755"/>
      <c r="N4411" s="755"/>
      <c r="O4411" s="755"/>
      <c r="P4411" s="755"/>
      <c r="Q4411" s="51"/>
      <c r="T4411" s="756" t="str">
        <f ca="1">IF(AND($R4416=0,$T4416=0),"0.00","mu :" &amp; ROUND($F4411/$C$2/($R4416+$T4416*$D$9),2))</f>
        <v>mu :1.23</v>
      </c>
      <c r="W4411" s="524"/>
      <c r="AG4411" s="481">
        <f ca="1">IF($E4411=0,0,ROUND($R4416*$S$2*$C$2/$A4411,2))</f>
        <v>91.64</v>
      </c>
      <c r="AH4411" s="481">
        <f ca="1">$AG4411*$A4411</f>
        <v>183.28</v>
      </c>
      <c r="AI4411" s="525">
        <f ca="1">$E4411-$AG4411</f>
        <v>116.99</v>
      </c>
      <c r="AJ4411" s="525">
        <f ca="1">$A4411*$AI4411</f>
        <v>233.98</v>
      </c>
      <c r="AK4411" s="526">
        <f ca="1">ROUND(($AG4411+$AI4411)*$A4411,2)</f>
        <v>417.26</v>
      </c>
      <c r="AM4411" s="527">
        <f ca="1">ROUND(R4416,2)</f>
        <v>148.84</v>
      </c>
      <c r="AN4411" s="528">
        <f ca="1">ROUND(T4416,2)</f>
        <v>6.92</v>
      </c>
      <c r="AO4411" s="529">
        <f ca="1">ROUND(AM4411+AN4411,2)*A4411</f>
        <v>311.52</v>
      </c>
      <c r="AR4411" s="747">
        <v>2</v>
      </c>
      <c r="AS4411" s="751">
        <v>442.96</v>
      </c>
    </row>
    <row r="4412" spans="1:45" s="520" customFormat="1" ht="13.2">
      <c r="A4412" s="748"/>
      <c r="B4412"/>
      <c r="C4412" s="748"/>
      <c r="D4412" s="749" t="s">
        <v>757</v>
      </c>
      <c r="F4412" s="753"/>
      <c r="G4412" s="3"/>
      <c r="H4412" s="753"/>
      <c r="I4412" s="754"/>
      <c r="J4412" s="753"/>
      <c r="K4412" s="753" t="s">
        <v>144</v>
      </c>
      <c r="L4412" s="753"/>
      <c r="M4412" s="753"/>
      <c r="N4412" s="753"/>
      <c r="O4412" s="753"/>
      <c r="P4412" s="753"/>
      <c r="Q4412" s="51"/>
      <c r="R4412" s="530"/>
      <c r="S4412" s="757"/>
      <c r="T4412" s="753"/>
      <c r="AR4412" s="748"/>
      <c r="AS4412" s="753"/>
    </row>
    <row r="4413" spans="1:45" s="886" customFormat="1" ht="13.2">
      <c r="A4413"/>
      <c r="B4413" s="910"/>
      <c r="C4413" s="910" t="s">
        <v>2597</v>
      </c>
      <c r="D4413" s="910" t="str">
        <f ca="1">CELL("Address",Elec_Rates!D$134)</f>
        <v>[E25_0062_Quintano_Foods_Elec_ELV_As_Awarded.xlsx]Elec_Rates!$D$134</v>
      </c>
      <c r="E4413" s="911"/>
      <c r="F4413" s="911"/>
      <c r="G4413" s="912" t="s">
        <v>2598</v>
      </c>
      <c r="H4413" s="912"/>
      <c r="I4413" s="912"/>
      <c r="J4413" s="912"/>
      <c r="K4413" s="913"/>
      <c r="L4413" s="911"/>
      <c r="M4413" s="911"/>
      <c r="N4413" s="911"/>
      <c r="O4413" s="914"/>
      <c r="P4413" s="911"/>
      <c r="Q4413" s="915"/>
      <c r="R4413" s="916"/>
      <c r="S4413" s="915"/>
      <c r="T4413" s="917"/>
      <c r="U4413" s="918"/>
      <c r="AR4413"/>
      <c r="AS4413" s="911"/>
    </row>
    <row r="4414" spans="1:45" s="886" customFormat="1" ht="11.4">
      <c r="A4414" s="919">
        <v>2</v>
      </c>
      <c r="B4414" s="920">
        <v>1</v>
      </c>
      <c r="C4414" s="920">
        <f>$A4414*$B4414</f>
        <v>2</v>
      </c>
      <c r="D4414" s="921" t="str">
        <f>Elec_Rates!$D$134</f>
        <v>012# Single phase isolator / socket outlet point Galvanised conduit</v>
      </c>
      <c r="E4414" s="921"/>
      <c r="F4414" s="921" t="s">
        <v>2599</v>
      </c>
      <c r="G4414" s="922" t="s">
        <v>2600</v>
      </c>
      <c r="H4414" s="922"/>
      <c r="I4414" s="922"/>
      <c r="J4414" s="922"/>
      <c r="K4414" s="923"/>
      <c r="L4414" s="918"/>
      <c r="M4414" s="918"/>
      <c r="N4414" s="918"/>
      <c r="O4414" s="924"/>
      <c r="P4414" s="921"/>
      <c r="Q4414" s="925">
        <f ca="1">$B4414*Elec_Rates!$R$134</f>
        <v>74.42</v>
      </c>
      <c r="R4414" s="916">
        <f ca="1">$A4414*Q4414</f>
        <v>148.84</v>
      </c>
      <c r="S4414" s="925">
        <f ca="1">$B4414*Elec_Rates!$T$134</f>
        <v>3.46</v>
      </c>
      <c r="T4414" s="917">
        <f ca="1">$A4414*S4414</f>
        <v>6.92</v>
      </c>
      <c r="U4414" s="926"/>
      <c r="AR4414" s="919">
        <v>2</v>
      </c>
      <c r="AS4414" s="921" t="s">
        <v>2599</v>
      </c>
    </row>
    <row r="4415" spans="1:45" s="520" customFormat="1" ht="12">
      <c r="A4415" s="758"/>
      <c r="B4415" s="758"/>
      <c r="C4415" s="758"/>
      <c r="D4415" s="758"/>
      <c r="E4415" s="758"/>
      <c r="F4415" s="753"/>
      <c r="G4415" s="758"/>
      <c r="H4415" s="758"/>
      <c r="I4415" s="519"/>
      <c r="J4415" s="758"/>
      <c r="K4415" s="758"/>
      <c r="L4415" s="758"/>
      <c r="M4415" s="758"/>
      <c r="N4415" s="758"/>
      <c r="O4415" s="758"/>
      <c r="P4415" s="758"/>
      <c r="Q4415" s="519"/>
      <c r="R4415" s="759">
        <f>$A4415*Q4415</f>
        <v>0</v>
      </c>
      <c r="S4415" s="519"/>
      <c r="T4415" s="760">
        <f>$A4415*S4415*$T$1</f>
        <v>0</v>
      </c>
      <c r="AR4415" s="758"/>
      <c r="AS4415" s="753"/>
    </row>
    <row r="4416" spans="1:45" s="520" customFormat="1" ht="12.6" thickBot="1">
      <c r="A4416" s="761" t="s">
        <v>145</v>
      </c>
      <c r="B4416" s="762">
        <f>(R4415+T4415)</f>
        <v>0</v>
      </c>
      <c r="C4416" s="763"/>
      <c r="D4416" s="763"/>
      <c r="E4416" s="763"/>
      <c r="F4416" s="764"/>
      <c r="G4416" s="763" t="s">
        <v>146</v>
      </c>
      <c r="H4416" s="763"/>
      <c r="I4416" s="765"/>
      <c r="J4416" s="763"/>
      <c r="K4416" s="763" t="s">
        <v>3</v>
      </c>
      <c r="L4416" s="766" t="s">
        <v>143</v>
      </c>
      <c r="M4416" s="766"/>
      <c r="N4416" s="766"/>
      <c r="O4416" s="766"/>
      <c r="P4416" s="766"/>
      <c r="Q4416" s="767"/>
      <c r="R4416" s="768">
        <f ca="1">SUM(R4412:R4415)</f>
        <v>148.84</v>
      </c>
      <c r="S4416" s="763"/>
      <c r="T4416" s="768">
        <f ca="1">SUM(T4412:T4415)</f>
        <v>6.92</v>
      </c>
      <c r="U4416" s="531"/>
      <c r="V4416" s="531"/>
      <c r="W4416" s="531"/>
      <c r="X4416" s="531"/>
      <c r="Y4416" s="531"/>
      <c r="Z4416" s="531"/>
      <c r="AA4416" s="531"/>
      <c r="AB4416" s="531"/>
      <c r="AC4416" s="531"/>
      <c r="AD4416" s="531"/>
      <c r="AE4416" s="531"/>
      <c r="AF4416" s="531"/>
      <c r="AG4416" s="531"/>
      <c r="AH4416" s="531"/>
      <c r="AI4416" s="531"/>
      <c r="AJ4416" s="531"/>
      <c r="AK4416" s="531"/>
      <c r="AL4416" s="531"/>
      <c r="AM4416" s="531"/>
      <c r="AN4416" s="531"/>
      <c r="AO4416" s="531"/>
      <c r="AR4416" s="761" t="s">
        <v>145</v>
      </c>
      <c r="AS4416" s="764"/>
    </row>
    <row r="4417" spans="1:45" s="520" customFormat="1" ht="12" thickTop="1">
      <c r="A4417" s="51"/>
      <c r="B4417" s="41"/>
      <c r="C4417" s="51"/>
      <c r="E4417" s="42" t="s">
        <v>138</v>
      </c>
      <c r="F4417" s="42" t="s">
        <v>139</v>
      </c>
      <c r="G4417" s="51"/>
      <c r="H4417" s="51"/>
      <c r="I4417" s="51"/>
      <c r="J4417" s="51"/>
      <c r="K4417" s="51" t="s">
        <v>140</v>
      </c>
      <c r="L4417" s="51"/>
      <c r="M4417" s="51"/>
      <c r="N4417" s="51"/>
      <c r="O4417" s="52"/>
      <c r="P4417" s="51"/>
      <c r="Q4417" s="51"/>
      <c r="R4417" s="51"/>
      <c r="S4417" s="51"/>
      <c r="T4417" s="41"/>
      <c r="AG4417" s="521" t="s">
        <v>268</v>
      </c>
      <c r="AH4417" s="521" t="s">
        <v>269</v>
      </c>
      <c r="AI4417" s="521" t="s">
        <v>270</v>
      </c>
      <c r="AJ4417" s="521" t="s">
        <v>271</v>
      </c>
      <c r="AK4417" s="521" t="s">
        <v>272</v>
      </c>
      <c r="AM4417" s="745" t="s">
        <v>281</v>
      </c>
      <c r="AN4417" s="746" t="s">
        <v>282</v>
      </c>
      <c r="AO4417" s="522" t="s">
        <v>278</v>
      </c>
      <c r="AR4417" s="51"/>
      <c r="AS4417" s="42" t="s">
        <v>139</v>
      </c>
    </row>
    <row r="4418" spans="1:45" s="520" customFormat="1" ht="12" customHeight="1">
      <c r="A4418" s="747">
        <v>2</v>
      </c>
      <c r="B4418" s="523" t="s">
        <v>141</v>
      </c>
      <c r="C4418" s="748"/>
      <c r="D4418" s="749" t="s">
        <v>1769</v>
      </c>
      <c r="E4418" s="750">
        <f ca="1">IF(AND($A4418=0,$A$1="DIF"),0, ROUND(ROUND(($R4423*$S$2+($T4423*$T$2))/A4418,2)*$C$2,2))</f>
        <v>68.06</v>
      </c>
      <c r="F4418" s="751">
        <f ca="1">ROUND($A4418*$E4418,2)</f>
        <v>136.12</v>
      </c>
      <c r="G4418" s="752" t="s">
        <v>142</v>
      </c>
      <c r="H4418" s="753"/>
      <c r="I4418" s="754"/>
      <c r="J4418" s="753"/>
      <c r="K4418" s="753" t="s">
        <v>3</v>
      </c>
      <c r="L4418" s="755" t="s">
        <v>143</v>
      </c>
      <c r="M4418" s="755"/>
      <c r="N4418" s="755"/>
      <c r="O4418" s="755"/>
      <c r="P4418" s="755"/>
      <c r="Q4418" s="51"/>
      <c r="T4418" s="756" t="str">
        <f ca="1">IF(AND($R4423=0,$T4423=0),"0.00","mu :" &amp; ROUND($F4418/$C$2/($R4423+$T4423*$D$9),2))</f>
        <v>mu :1.23</v>
      </c>
      <c r="W4418" s="524"/>
      <c r="AG4418" s="481">
        <f ca="1">IF($E4418=0,0,ROUND($R4423*$S$2*$C$2/$A4418,2))</f>
        <v>22.76</v>
      </c>
      <c r="AH4418" s="481">
        <f ca="1">$AG4418*$A4418</f>
        <v>45.52</v>
      </c>
      <c r="AI4418" s="525">
        <f ca="1">$E4418-$AG4418</f>
        <v>45.3</v>
      </c>
      <c r="AJ4418" s="525">
        <f ca="1">$A4418*$AI4418</f>
        <v>90.6</v>
      </c>
      <c r="AK4418" s="526">
        <f ca="1">ROUND(($AG4418+$AI4418)*$A4418,2)</f>
        <v>136.12</v>
      </c>
      <c r="AM4418" s="527">
        <f ca="1">ROUND(R4423,2)</f>
        <v>36.96</v>
      </c>
      <c r="AN4418" s="528">
        <f ca="1">ROUND(T4423,2)</f>
        <v>2.68</v>
      </c>
      <c r="AO4418" s="529">
        <f ca="1">ROUND(AM4418+AN4418,2)*A4418</f>
        <v>79.28</v>
      </c>
      <c r="AR4418" s="747">
        <v>2</v>
      </c>
      <c r="AS4418" s="751">
        <v>146.28</v>
      </c>
    </row>
    <row r="4419" spans="1:45" s="520" customFormat="1" ht="13.2">
      <c r="A4419" s="748"/>
      <c r="B4419"/>
      <c r="C4419" s="748"/>
      <c r="D4419" s="749" t="s">
        <v>758</v>
      </c>
      <c r="F4419" s="753"/>
      <c r="G4419" s="3"/>
      <c r="H4419" s="753"/>
      <c r="I4419" s="754"/>
      <c r="J4419" s="753"/>
      <c r="K4419" s="753" t="s">
        <v>144</v>
      </c>
      <c r="L4419" s="753"/>
      <c r="M4419" s="753"/>
      <c r="N4419" s="753"/>
      <c r="O4419" s="753"/>
      <c r="P4419" s="753"/>
      <c r="Q4419" s="51"/>
      <c r="R4419" s="530"/>
      <c r="S4419" s="757"/>
      <c r="T4419" s="753"/>
      <c r="AR4419" s="748"/>
      <c r="AS4419" s="753"/>
    </row>
    <row r="4420" spans="1:45" s="886" customFormat="1" ht="13.2">
      <c r="A4420"/>
      <c r="B4420" s="910"/>
      <c r="C4420" s="910" t="s">
        <v>2597</v>
      </c>
      <c r="D4420" s="910" t="str">
        <f ca="1">CELL("Address",Elec_Rates!D$19)</f>
        <v>[E25_0062_Quintano_Foods_Elec_ELV_As_Awarded.xlsx]Elec_Rates!$D$19</v>
      </c>
      <c r="E4420" s="911"/>
      <c r="F4420" s="911"/>
      <c r="G4420" s="912" t="s">
        <v>2598</v>
      </c>
      <c r="H4420" s="912"/>
      <c r="I4420" s="912"/>
      <c r="J4420" s="912"/>
      <c r="K4420" s="913"/>
      <c r="L4420" s="911"/>
      <c r="M4420" s="911"/>
      <c r="N4420" s="911"/>
      <c r="O4420" s="914"/>
      <c r="P4420" s="911"/>
      <c r="Q4420" s="915"/>
      <c r="R4420" s="916"/>
      <c r="S4420" s="915"/>
      <c r="T4420" s="917"/>
      <c r="U4420" s="918"/>
      <c r="AR4420"/>
      <c r="AS4420" s="911"/>
    </row>
    <row r="4421" spans="1:45" s="886" customFormat="1" ht="11.4">
      <c r="A4421" s="919">
        <v>2</v>
      </c>
      <c r="B4421" s="920">
        <v>1</v>
      </c>
      <c r="C4421" s="920">
        <f>$A4421*$B4421</f>
        <v>2</v>
      </c>
      <c r="D4421" s="921" t="str">
        <f>Elec_Rates!$D$19</f>
        <v>001# Light Point Rate (LSZH Conduit)</v>
      </c>
      <c r="E4421" s="921" t="s">
        <v>2877</v>
      </c>
      <c r="F4421" s="918"/>
      <c r="G4421" s="922" t="s">
        <v>2878</v>
      </c>
      <c r="H4421" s="922"/>
      <c r="I4421" s="922"/>
      <c r="J4421" s="922"/>
      <c r="K4421" s="923"/>
      <c r="L4421" s="918"/>
      <c r="M4421" s="918"/>
      <c r="N4421" s="918"/>
      <c r="O4421" s="924"/>
      <c r="P4421" s="921"/>
      <c r="Q4421" s="925">
        <f ca="1">$B4421*Elec_Rates!$R$19</f>
        <v>18.48</v>
      </c>
      <c r="R4421" s="916">
        <f ca="1">$A4421*Q4421</f>
        <v>36.96</v>
      </c>
      <c r="S4421" s="925">
        <f ca="1">$B4421*Elec_Rates!$T$19</f>
        <v>1.34</v>
      </c>
      <c r="T4421" s="917">
        <f ca="1">$A4421*S4421</f>
        <v>2.68</v>
      </c>
      <c r="U4421" s="926"/>
      <c r="AR4421" s="919">
        <v>2</v>
      </c>
      <c r="AS4421" s="918"/>
    </row>
    <row r="4422" spans="1:45" s="520" customFormat="1" ht="12">
      <c r="A4422" s="758"/>
      <c r="B4422" s="758"/>
      <c r="C4422" s="758"/>
      <c r="D4422" s="758"/>
      <c r="E4422" s="758"/>
      <c r="F4422" s="753"/>
      <c r="G4422" s="758"/>
      <c r="H4422" s="758"/>
      <c r="I4422" s="519"/>
      <c r="J4422" s="758"/>
      <c r="K4422" s="758"/>
      <c r="L4422" s="758"/>
      <c r="M4422" s="758"/>
      <c r="N4422" s="758"/>
      <c r="O4422" s="758"/>
      <c r="P4422" s="758"/>
      <c r="Q4422" s="519"/>
      <c r="R4422" s="759">
        <f>$A4422*Q4422</f>
        <v>0</v>
      </c>
      <c r="S4422" s="519"/>
      <c r="T4422" s="760">
        <f>$A4422*S4422*$T$1</f>
        <v>0</v>
      </c>
      <c r="AR4422" s="758"/>
      <c r="AS4422" s="753"/>
    </row>
    <row r="4423" spans="1:45" s="520" customFormat="1" ht="12.6" thickBot="1">
      <c r="A4423" s="761" t="s">
        <v>145</v>
      </c>
      <c r="B4423" s="762">
        <f>(R4422+T4422)</f>
        <v>0</v>
      </c>
      <c r="C4423" s="763"/>
      <c r="D4423" s="763"/>
      <c r="E4423" s="763"/>
      <c r="F4423" s="764"/>
      <c r="G4423" s="763" t="s">
        <v>146</v>
      </c>
      <c r="H4423" s="763"/>
      <c r="I4423" s="765"/>
      <c r="J4423" s="763"/>
      <c r="K4423" s="763" t="s">
        <v>3</v>
      </c>
      <c r="L4423" s="766" t="s">
        <v>143</v>
      </c>
      <c r="M4423" s="766"/>
      <c r="N4423" s="766"/>
      <c r="O4423" s="766"/>
      <c r="P4423" s="766"/>
      <c r="Q4423" s="767"/>
      <c r="R4423" s="768">
        <f ca="1">SUM(R4419:R4422)</f>
        <v>36.96</v>
      </c>
      <c r="S4423" s="763"/>
      <c r="T4423" s="768">
        <f ca="1">SUM(T4419:T4422)</f>
        <v>2.68</v>
      </c>
      <c r="U4423" s="531"/>
      <c r="V4423" s="531"/>
      <c r="W4423" s="531"/>
      <c r="X4423" s="531"/>
      <c r="Y4423" s="531"/>
      <c r="Z4423" s="531"/>
      <c r="AA4423" s="531"/>
      <c r="AB4423" s="531"/>
      <c r="AC4423" s="531"/>
      <c r="AD4423" s="531"/>
      <c r="AE4423" s="531"/>
      <c r="AF4423" s="531"/>
      <c r="AG4423" s="531"/>
      <c r="AH4423" s="531"/>
      <c r="AI4423" s="531"/>
      <c r="AJ4423" s="531"/>
      <c r="AK4423" s="531"/>
      <c r="AL4423" s="531"/>
      <c r="AM4423" s="531"/>
      <c r="AN4423" s="531"/>
      <c r="AO4423" s="531"/>
      <c r="AR4423" s="761" t="s">
        <v>145</v>
      </c>
      <c r="AS4423" s="764"/>
    </row>
    <row r="4424" spans="1:45" s="520" customFormat="1" ht="12" thickTop="1">
      <c r="A4424" s="51"/>
      <c r="B4424" s="41"/>
      <c r="C4424" s="51"/>
      <c r="E4424" s="42" t="s">
        <v>138</v>
      </c>
      <c r="F4424" s="42" t="s">
        <v>139</v>
      </c>
      <c r="G4424" s="51"/>
      <c r="H4424" s="51"/>
      <c r="I4424" s="51"/>
      <c r="J4424" s="51"/>
      <c r="K4424" s="51" t="s">
        <v>140</v>
      </c>
      <c r="L4424" s="51"/>
      <c r="M4424" s="51"/>
      <c r="N4424" s="51"/>
      <c r="O4424" s="52"/>
      <c r="P4424" s="51"/>
      <c r="Q4424" s="51"/>
      <c r="R4424" s="51"/>
      <c r="S4424" s="51"/>
      <c r="T4424" s="41"/>
      <c r="AG4424" s="521" t="s">
        <v>268</v>
      </c>
      <c r="AH4424" s="521" t="s">
        <v>269</v>
      </c>
      <c r="AI4424" s="521" t="s">
        <v>270</v>
      </c>
      <c r="AJ4424" s="521" t="s">
        <v>271</v>
      </c>
      <c r="AK4424" s="521" t="s">
        <v>272</v>
      </c>
      <c r="AM4424" s="745" t="s">
        <v>281</v>
      </c>
      <c r="AN4424" s="746" t="s">
        <v>282</v>
      </c>
      <c r="AO4424" s="522" t="s">
        <v>278</v>
      </c>
      <c r="AR4424" s="51"/>
      <c r="AS4424" s="42" t="s">
        <v>139</v>
      </c>
    </row>
    <row r="4425" spans="1:45" s="520" customFormat="1" ht="12" customHeight="1">
      <c r="A4425" s="747">
        <v>2</v>
      </c>
      <c r="B4425" s="523" t="s">
        <v>141</v>
      </c>
      <c r="C4425" s="748"/>
      <c r="D4425" s="749" t="s">
        <v>1770</v>
      </c>
      <c r="E4425" s="750">
        <f ca="1">IF(AND($A4425=0,$A$1="DIF"),0, ROUND(ROUND(($R4430*$S$2+($T4430*$T$2))/A4425,2)*$C$2,2))</f>
        <v>102.1</v>
      </c>
      <c r="F4425" s="751">
        <f ca="1">ROUND($A4425*$E4425,2)</f>
        <v>204.2</v>
      </c>
      <c r="G4425" s="752" t="s">
        <v>142</v>
      </c>
      <c r="H4425" s="753"/>
      <c r="I4425" s="754"/>
      <c r="J4425" s="753"/>
      <c r="K4425" s="753" t="s">
        <v>3</v>
      </c>
      <c r="L4425" s="755" t="s">
        <v>143</v>
      </c>
      <c r="M4425" s="755"/>
      <c r="N4425" s="755"/>
      <c r="O4425" s="755"/>
      <c r="P4425" s="755"/>
      <c r="Q4425" s="51"/>
      <c r="T4425" s="756" t="str">
        <f ca="1">IF(AND($R4430=0,$T4430=0),"0.00","mu :" &amp; ROUND($F4425/$C$2/($R4430+$T4430*$D$9),2))</f>
        <v>mu :1.23</v>
      </c>
      <c r="W4425" s="524"/>
      <c r="AG4425" s="481">
        <f ca="1">IF($E4425=0,0,ROUND($R4430*$S$2*$C$2/$A4425,2))</f>
        <v>34.130000000000003</v>
      </c>
      <c r="AH4425" s="481">
        <f ca="1">$AG4425*$A4425</f>
        <v>68.260000000000005</v>
      </c>
      <c r="AI4425" s="525">
        <f ca="1">$E4425-$AG4425</f>
        <v>67.97</v>
      </c>
      <c r="AJ4425" s="525">
        <f ca="1">$A4425*$AI4425</f>
        <v>135.94</v>
      </c>
      <c r="AK4425" s="526">
        <f ca="1">ROUND(($AG4425+$AI4425)*$A4425,2)</f>
        <v>204.2</v>
      </c>
      <c r="AM4425" s="527">
        <f ca="1">ROUND(R4430,2)</f>
        <v>55.44</v>
      </c>
      <c r="AN4425" s="528">
        <f ca="1">ROUND(T4430,2)</f>
        <v>4.0199999999999996</v>
      </c>
      <c r="AO4425" s="529">
        <f ca="1">ROUND(AM4425+AN4425,2)*A4425</f>
        <v>118.92</v>
      </c>
      <c r="AR4425" s="747">
        <v>2</v>
      </c>
      <c r="AS4425" s="751">
        <v>219.4</v>
      </c>
    </row>
    <row r="4426" spans="1:45" s="520" customFormat="1" ht="13.2">
      <c r="A4426" s="748"/>
      <c r="B4426"/>
      <c r="C4426" s="748"/>
      <c r="D4426" s="749" t="s">
        <v>759</v>
      </c>
      <c r="F4426" s="753"/>
      <c r="G4426" s="3"/>
      <c r="H4426" s="753"/>
      <c r="I4426" s="754"/>
      <c r="J4426" s="753"/>
      <c r="K4426" s="753" t="s">
        <v>144</v>
      </c>
      <c r="L4426" s="753"/>
      <c r="M4426" s="753"/>
      <c r="N4426" s="753"/>
      <c r="O4426" s="753"/>
      <c r="P4426" s="753"/>
      <c r="Q4426" s="51"/>
      <c r="R4426" s="530"/>
      <c r="S4426" s="757"/>
      <c r="T4426" s="753"/>
      <c r="AR4426" s="748"/>
      <c r="AS4426" s="753"/>
    </row>
    <row r="4427" spans="1:45" s="886" customFormat="1" ht="13.2">
      <c r="A4427"/>
      <c r="B4427" s="910"/>
      <c r="C4427" s="910" t="s">
        <v>2597</v>
      </c>
      <c r="D4427" s="910" t="str">
        <f ca="1">CELL("Address",Elec_Rates!D$19)</f>
        <v>[E25_0062_Quintano_Foods_Elec_ELV_As_Awarded.xlsx]Elec_Rates!$D$19</v>
      </c>
      <c r="E4427" s="911"/>
      <c r="F4427" s="911"/>
      <c r="G4427" s="912" t="s">
        <v>2598</v>
      </c>
      <c r="H4427" s="912"/>
      <c r="I4427" s="912"/>
      <c r="J4427" s="912"/>
      <c r="K4427" s="913"/>
      <c r="L4427" s="911"/>
      <c r="M4427" s="911"/>
      <c r="N4427" s="911"/>
      <c r="O4427" s="914"/>
      <c r="P4427" s="911"/>
      <c r="Q4427" s="915"/>
      <c r="R4427" s="916"/>
      <c r="S4427" s="915"/>
      <c r="T4427" s="917"/>
      <c r="U4427" s="918"/>
      <c r="AR4427"/>
      <c r="AS4427" s="911"/>
    </row>
    <row r="4428" spans="1:45" s="886" customFormat="1" ht="11.4">
      <c r="A4428" s="919">
        <v>2</v>
      </c>
      <c r="B4428" s="920">
        <v>1.5</v>
      </c>
      <c r="C4428" s="920">
        <f>$A4428*$B4428</f>
        <v>3</v>
      </c>
      <c r="D4428" s="921" t="str">
        <f>Elec_Rates!$D$19</f>
        <v>001# Light Point Rate (LSZH Conduit)</v>
      </c>
      <c r="E4428" s="921" t="s">
        <v>2879</v>
      </c>
      <c r="F4428" s="918"/>
      <c r="G4428" s="922" t="s">
        <v>2878</v>
      </c>
      <c r="H4428" s="922"/>
      <c r="I4428" s="922"/>
      <c r="J4428" s="922"/>
      <c r="K4428" s="923"/>
      <c r="L4428" s="918"/>
      <c r="M4428" s="918"/>
      <c r="N4428" s="918"/>
      <c r="O4428" s="924"/>
      <c r="P4428" s="921"/>
      <c r="Q4428" s="925">
        <f ca="1">$B4428*Elec_Rates!$R$19</f>
        <v>27.72</v>
      </c>
      <c r="R4428" s="916">
        <f ca="1">$A4428*Q4428</f>
        <v>55.44</v>
      </c>
      <c r="S4428" s="925">
        <f ca="1">$B4428*Elec_Rates!$T$19</f>
        <v>2.0100000000000002</v>
      </c>
      <c r="T4428" s="917">
        <f ca="1">$A4428*S4428</f>
        <v>4.0200000000000005</v>
      </c>
      <c r="U4428" s="926"/>
      <c r="AR4428" s="919">
        <v>2</v>
      </c>
      <c r="AS4428" s="918"/>
    </row>
    <row r="4429" spans="1:45" s="520" customFormat="1" ht="12">
      <c r="A4429" s="758"/>
      <c r="B4429" s="758"/>
      <c r="C4429" s="758"/>
      <c r="D4429" s="758"/>
      <c r="E4429" s="758"/>
      <c r="F4429" s="753"/>
      <c r="G4429" s="758"/>
      <c r="H4429" s="758"/>
      <c r="I4429" s="519"/>
      <c r="J4429" s="758"/>
      <c r="K4429" s="758"/>
      <c r="L4429" s="758"/>
      <c r="M4429" s="758"/>
      <c r="N4429" s="758"/>
      <c r="O4429" s="758"/>
      <c r="P4429" s="758"/>
      <c r="Q4429" s="519"/>
      <c r="R4429" s="759">
        <f>$A4429*Q4429</f>
        <v>0</v>
      </c>
      <c r="S4429" s="519"/>
      <c r="T4429" s="760">
        <f>$A4429*S4429*$T$1</f>
        <v>0</v>
      </c>
      <c r="AR4429" s="758"/>
      <c r="AS4429" s="753"/>
    </row>
    <row r="4430" spans="1:45" s="520" customFormat="1" ht="12.6" thickBot="1">
      <c r="A4430" s="761" t="s">
        <v>145</v>
      </c>
      <c r="B4430" s="762">
        <f>(R4429+T4429)</f>
        <v>0</v>
      </c>
      <c r="C4430" s="763"/>
      <c r="D4430" s="763"/>
      <c r="E4430" s="763"/>
      <c r="F4430" s="764"/>
      <c r="G4430" s="763" t="s">
        <v>146</v>
      </c>
      <c r="H4430" s="763"/>
      <c r="I4430" s="765"/>
      <c r="J4430" s="763"/>
      <c r="K4430" s="763" t="s">
        <v>3</v>
      </c>
      <c r="L4430" s="766" t="s">
        <v>143</v>
      </c>
      <c r="M4430" s="766"/>
      <c r="N4430" s="766"/>
      <c r="O4430" s="766"/>
      <c r="P4430" s="766"/>
      <c r="Q4430" s="767"/>
      <c r="R4430" s="768">
        <f ca="1">SUM(R4426:R4429)</f>
        <v>55.44</v>
      </c>
      <c r="S4430" s="763"/>
      <c r="T4430" s="768">
        <f ca="1">SUM(T4426:T4429)</f>
        <v>4.0200000000000005</v>
      </c>
      <c r="U4430" s="531"/>
      <c r="V4430" s="531"/>
      <c r="W4430" s="531"/>
      <c r="X4430" s="531"/>
      <c r="Y4430" s="531"/>
      <c r="Z4430" s="531"/>
      <c r="AA4430" s="531"/>
      <c r="AB4430" s="531"/>
      <c r="AC4430" s="531"/>
      <c r="AD4430" s="531"/>
      <c r="AE4430" s="531"/>
      <c r="AF4430" s="531"/>
      <c r="AG4430" s="531"/>
      <c r="AH4430" s="531"/>
      <c r="AI4430" s="531"/>
      <c r="AJ4430" s="531"/>
      <c r="AK4430" s="531"/>
      <c r="AL4430" s="531"/>
      <c r="AM4430" s="531"/>
      <c r="AN4430" s="531"/>
      <c r="AO4430" s="531"/>
      <c r="AR4430" s="761" t="s">
        <v>145</v>
      </c>
      <c r="AS4430" s="764"/>
    </row>
    <row r="4431" spans="1:45" s="520" customFormat="1" ht="12" thickTop="1">
      <c r="A4431" s="51"/>
      <c r="B4431" s="41"/>
      <c r="C4431" s="51"/>
      <c r="E4431" s="42" t="s">
        <v>138</v>
      </c>
      <c r="F4431" s="42" t="s">
        <v>139</v>
      </c>
      <c r="G4431" s="51"/>
      <c r="H4431" s="51"/>
      <c r="I4431" s="51"/>
      <c r="J4431" s="51"/>
      <c r="K4431" s="51" t="s">
        <v>140</v>
      </c>
      <c r="L4431" s="51"/>
      <c r="M4431" s="51"/>
      <c r="N4431" s="51"/>
      <c r="O4431" s="52"/>
      <c r="P4431" s="51"/>
      <c r="Q4431" s="51"/>
      <c r="R4431" s="51"/>
      <c r="S4431" s="51"/>
      <c r="T4431" s="41"/>
      <c r="AG4431" s="521" t="s">
        <v>268</v>
      </c>
      <c r="AH4431" s="521" t="s">
        <v>269</v>
      </c>
      <c r="AI4431" s="521" t="s">
        <v>270</v>
      </c>
      <c r="AJ4431" s="521" t="s">
        <v>271</v>
      </c>
      <c r="AK4431" s="521" t="s">
        <v>272</v>
      </c>
      <c r="AM4431" s="745" t="s">
        <v>281</v>
      </c>
      <c r="AN4431" s="746" t="s">
        <v>282</v>
      </c>
      <c r="AO4431" s="522" t="s">
        <v>278</v>
      </c>
      <c r="AR4431" s="51"/>
      <c r="AS4431" s="42" t="s">
        <v>139</v>
      </c>
    </row>
    <row r="4432" spans="1:45" s="520" customFormat="1" ht="12" customHeight="1">
      <c r="A4432" s="747">
        <v>3</v>
      </c>
      <c r="B4432" s="523" t="s">
        <v>141</v>
      </c>
      <c r="C4432" s="748"/>
      <c r="D4432" s="749" t="s">
        <v>1771</v>
      </c>
      <c r="E4432" s="750">
        <f ca="1">IF(AND($A4432=0,$A$1="DIF"),0, ROUND(ROUND(($R4437*$S$2+($T4437*$T$2))/A4432,2)*$C$2,2))</f>
        <v>136.13</v>
      </c>
      <c r="F4432" s="751">
        <f ca="1">ROUND($A4432*$E4432,2)</f>
        <v>408.39</v>
      </c>
      <c r="G4432" s="752" t="s">
        <v>142</v>
      </c>
      <c r="H4432" s="753"/>
      <c r="I4432" s="754"/>
      <c r="J4432" s="753"/>
      <c r="K4432" s="753" t="s">
        <v>3</v>
      </c>
      <c r="L4432" s="755" t="s">
        <v>143</v>
      </c>
      <c r="M4432" s="755"/>
      <c r="N4432" s="755"/>
      <c r="O4432" s="755"/>
      <c r="P4432" s="755"/>
      <c r="Q4432" s="51"/>
      <c r="T4432" s="756" t="str">
        <f ca="1">IF(AND($R4437=0,$T4437=0),"0.00","mu :" &amp; ROUND($F4432/$C$2/($R4437+$T4437*$D$9),2))</f>
        <v>mu :1.23</v>
      </c>
      <c r="W4432" s="524"/>
      <c r="AG4432" s="481">
        <f ca="1">IF($E4432=0,0,ROUND($R4437*$S$2*$C$2/$A4432,2))</f>
        <v>45.51</v>
      </c>
      <c r="AH4432" s="481">
        <f ca="1">$AG4432*$A4432</f>
        <v>136.53</v>
      </c>
      <c r="AI4432" s="525">
        <f ca="1">$E4432-$AG4432</f>
        <v>90.62</v>
      </c>
      <c r="AJ4432" s="525">
        <f ca="1">$A4432*$AI4432</f>
        <v>271.86</v>
      </c>
      <c r="AK4432" s="526">
        <f ca="1">ROUND(($AG4432+$AI4432)*$A4432,2)</f>
        <v>408.39</v>
      </c>
      <c r="AM4432" s="527">
        <f ca="1">ROUND(R4437,2)</f>
        <v>110.88</v>
      </c>
      <c r="AN4432" s="528">
        <f ca="1">ROUND(T4437,2)</f>
        <v>8.0399999999999991</v>
      </c>
      <c r="AO4432" s="529">
        <f ca="1">ROUND(AM4432+AN4432,2)*A4432</f>
        <v>356.76</v>
      </c>
      <c r="AR4432" s="747">
        <v>3</v>
      </c>
      <c r="AS4432" s="751">
        <v>438.81</v>
      </c>
    </row>
    <row r="4433" spans="1:45" s="520" customFormat="1" ht="13.2">
      <c r="A4433" s="748"/>
      <c r="B4433"/>
      <c r="C4433" s="748"/>
      <c r="D4433" s="749" t="s">
        <v>791</v>
      </c>
      <c r="F4433" s="753"/>
      <c r="G4433" s="3"/>
      <c r="H4433" s="753"/>
      <c r="I4433" s="754"/>
      <c r="J4433" s="753"/>
      <c r="K4433" s="753" t="s">
        <v>144</v>
      </c>
      <c r="L4433" s="753"/>
      <c r="M4433" s="753"/>
      <c r="N4433" s="753"/>
      <c r="O4433" s="753"/>
      <c r="P4433" s="753"/>
      <c r="Q4433" s="51"/>
      <c r="R4433" s="530"/>
      <c r="S4433" s="757"/>
      <c r="T4433" s="753"/>
      <c r="AR4433" s="748"/>
      <c r="AS4433" s="753"/>
    </row>
    <row r="4434" spans="1:45" s="886" customFormat="1" ht="13.2">
      <c r="A4434"/>
      <c r="B4434" s="910"/>
      <c r="C4434" s="910" t="s">
        <v>2597</v>
      </c>
      <c r="D4434" s="910" t="str">
        <f ca="1">CELL("Address",Elec_Rates!D$19)</f>
        <v>[E25_0062_Quintano_Foods_Elec_ELV_As_Awarded.xlsx]Elec_Rates!$D$19</v>
      </c>
      <c r="E4434" s="911"/>
      <c r="F4434" s="911"/>
      <c r="G4434" s="912" t="s">
        <v>2598</v>
      </c>
      <c r="H4434" s="912"/>
      <c r="I4434" s="912"/>
      <c r="J4434" s="912"/>
      <c r="K4434" s="913"/>
      <c r="L4434" s="911"/>
      <c r="M4434" s="911"/>
      <c r="N4434" s="911"/>
      <c r="O4434" s="914"/>
      <c r="P4434" s="911"/>
      <c r="Q4434" s="915"/>
      <c r="R4434" s="916"/>
      <c r="S4434" s="915"/>
      <c r="T4434" s="917"/>
      <c r="U4434" s="918"/>
      <c r="AR4434"/>
      <c r="AS4434" s="911"/>
    </row>
    <row r="4435" spans="1:45" s="886" customFormat="1" ht="11.4">
      <c r="A4435" s="919">
        <v>3</v>
      </c>
      <c r="B4435" s="920">
        <v>2</v>
      </c>
      <c r="C4435" s="920">
        <f>$A4435*$B4435</f>
        <v>6</v>
      </c>
      <c r="D4435" s="921" t="str">
        <f>Elec_Rates!$D$19</f>
        <v>001# Light Point Rate (LSZH Conduit)</v>
      </c>
      <c r="E4435" s="921" t="s">
        <v>2967</v>
      </c>
      <c r="F4435" s="918"/>
      <c r="G4435" s="922" t="s">
        <v>2878</v>
      </c>
      <c r="H4435" s="922"/>
      <c r="I4435" s="922"/>
      <c r="J4435" s="922"/>
      <c r="K4435" s="923"/>
      <c r="L4435" s="918"/>
      <c r="M4435" s="918"/>
      <c r="N4435" s="918"/>
      <c r="O4435" s="924"/>
      <c r="P4435" s="921"/>
      <c r="Q4435" s="925">
        <f ca="1">$B4435*Elec_Rates!$R$19</f>
        <v>36.96</v>
      </c>
      <c r="R4435" s="916">
        <f ca="1">$A4435*Q4435</f>
        <v>110.88</v>
      </c>
      <c r="S4435" s="925">
        <f ca="1">$B4435*Elec_Rates!$T$19</f>
        <v>2.68</v>
      </c>
      <c r="T4435" s="917">
        <f ca="1">$A4435*S4435</f>
        <v>8.0400000000000009</v>
      </c>
      <c r="U4435" s="926"/>
      <c r="AR4435" s="919">
        <v>3</v>
      </c>
      <c r="AS4435" s="918"/>
    </row>
    <row r="4436" spans="1:45" s="520" customFormat="1" ht="12">
      <c r="A4436" s="758"/>
      <c r="B4436" s="758"/>
      <c r="C4436" s="758"/>
      <c r="D4436" s="758"/>
      <c r="E4436" s="758"/>
      <c r="F4436" s="753"/>
      <c r="G4436" s="758"/>
      <c r="H4436" s="758"/>
      <c r="I4436" s="519"/>
      <c r="J4436" s="758"/>
      <c r="K4436" s="758"/>
      <c r="L4436" s="758"/>
      <c r="M4436" s="758"/>
      <c r="N4436" s="758"/>
      <c r="O4436" s="758"/>
      <c r="P4436" s="758"/>
      <c r="Q4436" s="519"/>
      <c r="R4436" s="759">
        <f>$A4436*Q4436</f>
        <v>0</v>
      </c>
      <c r="S4436" s="519"/>
      <c r="T4436" s="760">
        <f>$A4436*S4436*$T$1</f>
        <v>0</v>
      </c>
      <c r="AR4436" s="758"/>
      <c r="AS4436" s="753"/>
    </row>
    <row r="4437" spans="1:45" s="520" customFormat="1" ht="12.6" thickBot="1">
      <c r="A4437" s="761" t="s">
        <v>145</v>
      </c>
      <c r="B4437" s="762">
        <f>(R4436+T4436)</f>
        <v>0</v>
      </c>
      <c r="C4437" s="763"/>
      <c r="D4437" s="763"/>
      <c r="E4437" s="763"/>
      <c r="F4437" s="764"/>
      <c r="G4437" s="763" t="s">
        <v>146</v>
      </c>
      <c r="H4437" s="763"/>
      <c r="I4437" s="765"/>
      <c r="J4437" s="763"/>
      <c r="K4437" s="763" t="s">
        <v>3</v>
      </c>
      <c r="L4437" s="766" t="s">
        <v>143</v>
      </c>
      <c r="M4437" s="766"/>
      <c r="N4437" s="766"/>
      <c r="O4437" s="766"/>
      <c r="P4437" s="766"/>
      <c r="Q4437" s="767"/>
      <c r="R4437" s="768">
        <f ca="1">SUM(R4433:R4436)</f>
        <v>110.88</v>
      </c>
      <c r="S4437" s="763"/>
      <c r="T4437" s="768">
        <f ca="1">SUM(T4433:T4436)</f>
        <v>8.0400000000000009</v>
      </c>
      <c r="U4437" s="531"/>
      <c r="V4437" s="531"/>
      <c r="W4437" s="531"/>
      <c r="X4437" s="531"/>
      <c r="Y4437" s="531"/>
      <c r="Z4437" s="531"/>
      <c r="AA4437" s="531"/>
      <c r="AB4437" s="531"/>
      <c r="AC4437" s="531"/>
      <c r="AD4437" s="531"/>
      <c r="AE4437" s="531"/>
      <c r="AF4437" s="531"/>
      <c r="AG4437" s="531"/>
      <c r="AH4437" s="531"/>
      <c r="AI4437" s="531"/>
      <c r="AJ4437" s="531"/>
      <c r="AK4437" s="531"/>
      <c r="AL4437" s="531"/>
      <c r="AM4437" s="531"/>
      <c r="AN4437" s="531"/>
      <c r="AO4437" s="531"/>
      <c r="AR4437" s="761" t="s">
        <v>145</v>
      </c>
      <c r="AS4437" s="764"/>
    </row>
    <row r="4438" spans="1:45" s="520" customFormat="1" ht="12" thickTop="1">
      <c r="A4438" s="51"/>
      <c r="B4438" s="41"/>
      <c r="C4438" s="51"/>
      <c r="E4438" s="42" t="s">
        <v>138</v>
      </c>
      <c r="F4438" s="42" t="s">
        <v>139</v>
      </c>
      <c r="G4438" s="51"/>
      <c r="H4438" s="51"/>
      <c r="I4438" s="51"/>
      <c r="J4438" s="51"/>
      <c r="K4438" s="51" t="s">
        <v>140</v>
      </c>
      <c r="L4438" s="51"/>
      <c r="M4438" s="51"/>
      <c r="N4438" s="51"/>
      <c r="O4438" s="52"/>
      <c r="P4438" s="51"/>
      <c r="Q4438" s="51"/>
      <c r="R4438" s="51"/>
      <c r="S4438" s="51"/>
      <c r="T4438" s="41"/>
      <c r="AG4438" s="521" t="s">
        <v>268</v>
      </c>
      <c r="AH4438" s="521" t="s">
        <v>269</v>
      </c>
      <c r="AI4438" s="521" t="s">
        <v>270</v>
      </c>
      <c r="AJ4438" s="521" t="s">
        <v>271</v>
      </c>
      <c r="AK4438" s="521" t="s">
        <v>272</v>
      </c>
      <c r="AM4438" s="745" t="s">
        <v>281</v>
      </c>
      <c r="AN4438" s="746" t="s">
        <v>282</v>
      </c>
      <c r="AO4438" s="522" t="s">
        <v>278</v>
      </c>
      <c r="AR4438" s="51"/>
      <c r="AS4438" s="42" t="s">
        <v>139</v>
      </c>
    </row>
    <row r="4439" spans="1:45" s="520" customFormat="1" ht="12" customHeight="1">
      <c r="A4439" s="747">
        <v>2</v>
      </c>
      <c r="B4439" s="523" t="s">
        <v>141</v>
      </c>
      <c r="C4439" s="748"/>
      <c r="D4439" s="749" t="s">
        <v>1772</v>
      </c>
      <c r="E4439" s="750">
        <f ca="1">IF(AND($A4439=0,$A$1="DIF"),0, ROUND(ROUND(($R4444*$S$2+($T4444*$T$2))/A4439,2)*$C$2,2))</f>
        <v>170.16</v>
      </c>
      <c r="F4439" s="751">
        <f ca="1">ROUND($A4439*$E4439,2)</f>
        <v>340.32</v>
      </c>
      <c r="G4439" s="752" t="s">
        <v>142</v>
      </c>
      <c r="H4439" s="753"/>
      <c r="I4439" s="754"/>
      <c r="J4439" s="753"/>
      <c r="K4439" s="753" t="s">
        <v>3</v>
      </c>
      <c r="L4439" s="755" t="s">
        <v>143</v>
      </c>
      <c r="M4439" s="755"/>
      <c r="N4439" s="755"/>
      <c r="O4439" s="755"/>
      <c r="P4439" s="755"/>
      <c r="Q4439" s="51"/>
      <c r="T4439" s="756" t="str">
        <f ca="1">IF(AND($R4444=0,$T4444=0),"0.00","mu :" &amp; ROUND($F4439/$C$2/($R4444+$T4444*$D$9),2))</f>
        <v>mu :1.23</v>
      </c>
      <c r="W4439" s="524"/>
      <c r="AG4439" s="481">
        <f ca="1">IF($E4439=0,0,ROUND($R4444*$S$2*$C$2/$A4439,2))</f>
        <v>56.89</v>
      </c>
      <c r="AH4439" s="481">
        <f ca="1">$AG4439*$A4439</f>
        <v>113.78</v>
      </c>
      <c r="AI4439" s="525">
        <f ca="1">$E4439-$AG4439</f>
        <v>113.27</v>
      </c>
      <c r="AJ4439" s="525">
        <f ca="1">$A4439*$AI4439</f>
        <v>226.54</v>
      </c>
      <c r="AK4439" s="526">
        <f ca="1">ROUND(($AG4439+$AI4439)*$A4439,2)</f>
        <v>340.32</v>
      </c>
      <c r="AM4439" s="527">
        <f ca="1">ROUND(R4444,2)</f>
        <v>92.4</v>
      </c>
      <c r="AN4439" s="528">
        <f ca="1">ROUND(T4444,2)</f>
        <v>6.7</v>
      </c>
      <c r="AO4439" s="529">
        <f ca="1">ROUND(AM4439+AN4439,2)*A4439</f>
        <v>198.2</v>
      </c>
      <c r="AR4439" s="747">
        <v>2</v>
      </c>
      <c r="AS4439" s="751">
        <v>365.68</v>
      </c>
    </row>
    <row r="4440" spans="1:45" s="520" customFormat="1" ht="13.2">
      <c r="A4440" s="748"/>
      <c r="B4440"/>
      <c r="C4440" s="748"/>
      <c r="D4440" s="749" t="s">
        <v>761</v>
      </c>
      <c r="F4440" s="753"/>
      <c r="G4440" s="3"/>
      <c r="H4440" s="753"/>
      <c r="I4440" s="754"/>
      <c r="J4440" s="753"/>
      <c r="K4440" s="753" t="s">
        <v>144</v>
      </c>
      <c r="L4440" s="753"/>
      <c r="M4440" s="753"/>
      <c r="N4440" s="753"/>
      <c r="O4440" s="753"/>
      <c r="P4440" s="753"/>
      <c r="Q4440" s="51"/>
      <c r="R4440" s="530"/>
      <c r="S4440" s="757"/>
      <c r="T4440" s="753"/>
      <c r="AR4440" s="748"/>
      <c r="AS4440" s="753"/>
    </row>
    <row r="4441" spans="1:45" s="886" customFormat="1" ht="15.6" customHeight="1">
      <c r="A4441"/>
      <c r="B4441" s="910"/>
      <c r="C4441" s="910" t="s">
        <v>2597</v>
      </c>
      <c r="D4441" s="910" t="str">
        <f ca="1">CELL("Address",Elec_Rates!D$19)</f>
        <v>[E25_0062_Quintano_Foods_Elec_ELV_As_Awarded.xlsx]Elec_Rates!$D$19</v>
      </c>
      <c r="E4441" s="911"/>
      <c r="F4441" s="911"/>
      <c r="G4441" s="912" t="s">
        <v>2598</v>
      </c>
      <c r="H4441" s="912"/>
      <c r="I4441" s="912"/>
      <c r="J4441" s="912"/>
      <c r="K4441" s="913"/>
      <c r="L4441" s="911"/>
      <c r="M4441" s="911"/>
      <c r="N4441" s="911"/>
      <c r="O4441" s="914"/>
      <c r="P4441" s="911"/>
      <c r="Q4441" s="915"/>
      <c r="R4441" s="916"/>
      <c r="S4441" s="915"/>
      <c r="T4441" s="917"/>
      <c r="U4441" s="918"/>
      <c r="AR4441"/>
      <c r="AS4441" s="911"/>
    </row>
    <row r="4442" spans="1:45" s="886" customFormat="1" ht="11.4">
      <c r="A4442" s="919">
        <v>2</v>
      </c>
      <c r="B4442" s="920">
        <v>2.5</v>
      </c>
      <c r="C4442" s="920">
        <f>$A4442*$B4442</f>
        <v>5</v>
      </c>
      <c r="D4442" s="921" t="str">
        <f>Elec_Rates!$D$19</f>
        <v>001# Light Point Rate (LSZH Conduit)</v>
      </c>
      <c r="E4442" s="921" t="s">
        <v>2882</v>
      </c>
      <c r="F4442" s="918"/>
      <c r="G4442" s="922" t="s">
        <v>2878</v>
      </c>
      <c r="H4442" s="922"/>
      <c r="I4442" s="922"/>
      <c r="J4442" s="922"/>
      <c r="K4442" s="923"/>
      <c r="L4442" s="918"/>
      <c r="M4442" s="918"/>
      <c r="N4442" s="918"/>
      <c r="O4442" s="924"/>
      <c r="P4442" s="921"/>
      <c r="Q4442" s="925">
        <f ca="1">$B4442*Elec_Rates!$R$19</f>
        <v>46.2</v>
      </c>
      <c r="R4442" s="916">
        <f ca="1">$A4442*Q4442</f>
        <v>92.4</v>
      </c>
      <c r="S4442" s="925">
        <f ca="1">$B4442*Elec_Rates!$T$19</f>
        <v>3.35</v>
      </c>
      <c r="T4442" s="917">
        <f ca="1">$A4442*S4442</f>
        <v>6.7</v>
      </c>
      <c r="U4442" s="926"/>
      <c r="AR4442" s="919">
        <v>2</v>
      </c>
      <c r="AS4442" s="918"/>
    </row>
    <row r="4443" spans="1:45" s="520" customFormat="1" ht="12">
      <c r="A4443" s="758"/>
      <c r="B4443" s="758"/>
      <c r="C4443" s="758"/>
      <c r="D4443" s="758"/>
      <c r="E4443" s="758"/>
      <c r="F4443" s="753"/>
      <c r="G4443" s="758"/>
      <c r="H4443" s="758"/>
      <c r="I4443" s="519"/>
      <c r="J4443" s="758"/>
      <c r="K4443" s="758"/>
      <c r="L4443" s="758"/>
      <c r="M4443" s="758"/>
      <c r="N4443" s="758"/>
      <c r="O4443" s="758"/>
      <c r="P4443" s="758"/>
      <c r="Q4443" s="519"/>
      <c r="R4443" s="759">
        <f>$A4443*Q4443</f>
        <v>0</v>
      </c>
      <c r="S4443" s="519"/>
      <c r="T4443" s="760">
        <f>$A4443*S4443*$T$1</f>
        <v>0</v>
      </c>
      <c r="AR4443" s="758"/>
      <c r="AS4443" s="753"/>
    </row>
    <row r="4444" spans="1:45" s="520" customFormat="1" ht="12.6" thickBot="1">
      <c r="A4444" s="761" t="s">
        <v>145</v>
      </c>
      <c r="B4444" s="762">
        <f>(R4443+T4443)</f>
        <v>0</v>
      </c>
      <c r="C4444" s="763"/>
      <c r="D4444" s="763"/>
      <c r="E4444" s="763"/>
      <c r="F4444" s="764"/>
      <c r="G4444" s="763" t="s">
        <v>146</v>
      </c>
      <c r="H4444" s="763"/>
      <c r="I4444" s="765"/>
      <c r="J4444" s="763"/>
      <c r="K4444" s="763" t="s">
        <v>3</v>
      </c>
      <c r="L4444" s="766" t="s">
        <v>143</v>
      </c>
      <c r="M4444" s="766"/>
      <c r="N4444" s="766"/>
      <c r="O4444" s="766"/>
      <c r="P4444" s="766"/>
      <c r="Q4444" s="767"/>
      <c r="R4444" s="768">
        <f ca="1">SUM(R4440:R4443)</f>
        <v>92.4</v>
      </c>
      <c r="S4444" s="763"/>
      <c r="T4444" s="768">
        <f ca="1">SUM(T4440:T4443)</f>
        <v>6.7</v>
      </c>
      <c r="U4444" s="531"/>
      <c r="V4444" s="531"/>
      <c r="W4444" s="531"/>
      <c r="X4444" s="531"/>
      <c r="Y4444" s="531"/>
      <c r="Z4444" s="531"/>
      <c r="AA4444" s="531"/>
      <c r="AB4444" s="531"/>
      <c r="AC4444" s="531"/>
      <c r="AD4444" s="531"/>
      <c r="AE4444" s="531"/>
      <c r="AF4444" s="531"/>
      <c r="AG4444" s="531"/>
      <c r="AH4444" s="531"/>
      <c r="AI4444" s="531"/>
      <c r="AJ4444" s="531"/>
      <c r="AK4444" s="531"/>
      <c r="AL4444" s="531"/>
      <c r="AM4444" s="531"/>
      <c r="AN4444" s="531"/>
      <c r="AO4444" s="531"/>
      <c r="AR4444" s="761" t="s">
        <v>145</v>
      </c>
      <c r="AS4444" s="764"/>
    </row>
    <row r="4445" spans="1:45" s="520" customFormat="1" ht="12" thickTop="1">
      <c r="A4445" s="51"/>
      <c r="B4445" s="41"/>
      <c r="C4445" s="51"/>
      <c r="E4445" s="42" t="s">
        <v>138</v>
      </c>
      <c r="F4445" s="42" t="s">
        <v>139</v>
      </c>
      <c r="G4445" s="51"/>
      <c r="H4445" s="51"/>
      <c r="I4445" s="51"/>
      <c r="J4445" s="51"/>
      <c r="K4445" s="51" t="s">
        <v>140</v>
      </c>
      <c r="L4445" s="51"/>
      <c r="M4445" s="51"/>
      <c r="N4445" s="51"/>
      <c r="O4445" s="52"/>
      <c r="P4445" s="51"/>
      <c r="Q4445" s="51"/>
      <c r="R4445" s="51"/>
      <c r="S4445" s="51"/>
      <c r="T4445" s="41"/>
      <c r="AG4445" s="521" t="s">
        <v>268</v>
      </c>
      <c r="AH4445" s="521" t="s">
        <v>269</v>
      </c>
      <c r="AI4445" s="521" t="s">
        <v>270</v>
      </c>
      <c r="AJ4445" s="521" t="s">
        <v>271</v>
      </c>
      <c r="AK4445" s="521" t="s">
        <v>272</v>
      </c>
      <c r="AM4445" s="745" t="s">
        <v>281</v>
      </c>
      <c r="AN4445" s="746" t="s">
        <v>282</v>
      </c>
      <c r="AO4445" s="522" t="s">
        <v>278</v>
      </c>
      <c r="AR4445" s="51"/>
      <c r="AS4445" s="42" t="s">
        <v>139</v>
      </c>
    </row>
    <row r="4446" spans="1:45" s="520" customFormat="1" ht="12" customHeight="1">
      <c r="A4446" s="747">
        <v>1</v>
      </c>
      <c r="B4446" s="523" t="s">
        <v>141</v>
      </c>
      <c r="C4446" s="748"/>
      <c r="D4446" s="749" t="s">
        <v>1773</v>
      </c>
      <c r="E4446" s="750">
        <f ca="1">IF(AND($A4446=0,$A$1="DIF"),0, ROUND(ROUND(($R4451*$S$2+($T4451*$T$2))/A4446,2)*$C$2,2))</f>
        <v>204.19</v>
      </c>
      <c r="F4446" s="751">
        <f ca="1">ROUND($A4446*$E4446,2)</f>
        <v>204.19</v>
      </c>
      <c r="G4446" s="752" t="s">
        <v>142</v>
      </c>
      <c r="H4446" s="753"/>
      <c r="I4446" s="754"/>
      <c r="J4446" s="753"/>
      <c r="K4446" s="753" t="s">
        <v>3</v>
      </c>
      <c r="L4446" s="755" t="s">
        <v>143</v>
      </c>
      <c r="M4446" s="755"/>
      <c r="N4446" s="755"/>
      <c r="O4446" s="755"/>
      <c r="P4446" s="755"/>
      <c r="Q4446" s="51"/>
      <c r="T4446" s="756" t="str">
        <f ca="1">IF(AND($R4451=0,$T4451=0),"0.00","mu :" &amp; ROUND($F4446/$C$2/($R4451+$T4451*$D$9),2))</f>
        <v>mu :1.23</v>
      </c>
      <c r="W4446" s="524"/>
      <c r="AG4446" s="481">
        <f ca="1">IF($E4446=0,0,ROUND($R4451*$S$2*$C$2/$A4446,2))</f>
        <v>68.27</v>
      </c>
      <c r="AH4446" s="481">
        <f ca="1">$AG4446*$A4446</f>
        <v>68.27</v>
      </c>
      <c r="AI4446" s="525">
        <f ca="1">$E4446-$AG4446</f>
        <v>135.92000000000002</v>
      </c>
      <c r="AJ4446" s="525">
        <f ca="1">$A4446*$AI4446</f>
        <v>135.92000000000002</v>
      </c>
      <c r="AK4446" s="526">
        <f ca="1">ROUND(($AG4446+$AI4446)*$A4446,2)</f>
        <v>204.19</v>
      </c>
      <c r="AM4446" s="527">
        <f ca="1">ROUND(R4451,2)</f>
        <v>55.44</v>
      </c>
      <c r="AN4446" s="528">
        <f ca="1">ROUND(T4451,2)</f>
        <v>4.0199999999999996</v>
      </c>
      <c r="AO4446" s="529">
        <f ca="1">ROUND(AM4446+AN4446,2)*A4446</f>
        <v>59.46</v>
      </c>
      <c r="AR4446" s="747">
        <v>1</v>
      </c>
      <c r="AS4446" s="751">
        <v>219.41</v>
      </c>
    </row>
    <row r="4447" spans="1:45" s="520" customFormat="1" ht="13.2">
      <c r="A4447" s="748"/>
      <c r="B4447"/>
      <c r="C4447" s="748"/>
      <c r="D4447" s="749" t="s">
        <v>762</v>
      </c>
      <c r="F4447" s="753"/>
      <c r="G4447" s="3"/>
      <c r="H4447" s="753"/>
      <c r="I4447" s="754"/>
      <c r="J4447" s="753"/>
      <c r="K4447" s="753" t="s">
        <v>144</v>
      </c>
      <c r="L4447" s="753"/>
      <c r="M4447" s="753"/>
      <c r="N4447" s="753"/>
      <c r="O4447" s="753"/>
      <c r="P4447" s="753"/>
      <c r="Q4447" s="51"/>
      <c r="R4447" s="530"/>
      <c r="S4447" s="757"/>
      <c r="T4447" s="753"/>
      <c r="AR4447" s="748"/>
      <c r="AS4447" s="753"/>
    </row>
    <row r="4448" spans="1:45" s="886" customFormat="1" ht="13.2">
      <c r="A4448"/>
      <c r="B4448" s="910"/>
      <c r="C4448" s="910" t="s">
        <v>2597</v>
      </c>
      <c r="D4448" s="910" t="str">
        <f ca="1">CELL("Address",Elec_Rates!D$19)</f>
        <v>[E25_0062_Quintano_Foods_Elec_ELV_As_Awarded.xlsx]Elec_Rates!$D$19</v>
      </c>
      <c r="E4448" s="911"/>
      <c r="F4448" s="911"/>
      <c r="G4448" s="912" t="s">
        <v>2598</v>
      </c>
      <c r="H4448" s="912"/>
      <c r="I4448" s="912"/>
      <c r="J4448" s="912"/>
      <c r="K4448" s="913"/>
      <c r="L4448" s="911"/>
      <c r="M4448" s="911"/>
      <c r="N4448" s="911"/>
      <c r="O4448" s="914"/>
      <c r="P4448" s="911"/>
      <c r="Q4448" s="915"/>
      <c r="R4448" s="916"/>
      <c r="S4448" s="915"/>
      <c r="T4448" s="917"/>
      <c r="U4448" s="918"/>
      <c r="AR4448"/>
      <c r="AS4448" s="911"/>
    </row>
    <row r="4449" spans="1:45" s="886" customFormat="1" ht="11.4">
      <c r="A4449" s="919">
        <v>1</v>
      </c>
      <c r="B4449" s="920">
        <v>3</v>
      </c>
      <c r="C4449" s="920">
        <f>$A4449*$B4449</f>
        <v>3</v>
      </c>
      <c r="D4449" s="921" t="str">
        <f>Elec_Rates!$D$19</f>
        <v>001# Light Point Rate (LSZH Conduit)</v>
      </c>
      <c r="E4449" s="921" t="s">
        <v>2883</v>
      </c>
      <c r="F4449" s="918"/>
      <c r="G4449" s="922" t="s">
        <v>2878</v>
      </c>
      <c r="H4449" s="922"/>
      <c r="I4449" s="922"/>
      <c r="J4449" s="922"/>
      <c r="K4449" s="923"/>
      <c r="L4449" s="918"/>
      <c r="M4449" s="918"/>
      <c r="N4449" s="918"/>
      <c r="O4449" s="924"/>
      <c r="P4449" s="921"/>
      <c r="Q4449" s="925">
        <f ca="1">$B4449*Elec_Rates!$R$19</f>
        <v>55.44</v>
      </c>
      <c r="R4449" s="916">
        <f ca="1">$A4449*Q4449</f>
        <v>55.44</v>
      </c>
      <c r="S4449" s="925">
        <f ca="1">$B4449*Elec_Rates!$T$19</f>
        <v>4.0200000000000005</v>
      </c>
      <c r="T4449" s="917">
        <f ca="1">$A4449*S4449</f>
        <v>4.0200000000000005</v>
      </c>
      <c r="U4449" s="926"/>
      <c r="AR4449" s="919">
        <v>1</v>
      </c>
      <c r="AS4449" s="918"/>
    </row>
    <row r="4450" spans="1:45" s="520" customFormat="1" ht="12">
      <c r="A4450" s="758"/>
      <c r="B4450" s="758"/>
      <c r="C4450" s="758"/>
      <c r="D4450" s="758"/>
      <c r="E4450" s="758"/>
      <c r="F4450" s="753"/>
      <c r="G4450" s="758"/>
      <c r="H4450" s="758"/>
      <c r="I4450" s="519"/>
      <c r="J4450" s="758"/>
      <c r="K4450" s="758"/>
      <c r="L4450" s="758"/>
      <c r="M4450" s="758"/>
      <c r="N4450" s="758"/>
      <c r="O4450" s="758"/>
      <c r="P4450" s="758"/>
      <c r="Q4450" s="519"/>
      <c r="R4450" s="759">
        <f>$A4450*Q4450</f>
        <v>0</v>
      </c>
      <c r="S4450" s="519"/>
      <c r="T4450" s="760">
        <f>$A4450*S4450*$T$1</f>
        <v>0</v>
      </c>
      <c r="AR4450" s="758"/>
      <c r="AS4450" s="753"/>
    </row>
    <row r="4451" spans="1:45" s="520" customFormat="1" ht="12.6" thickBot="1">
      <c r="A4451" s="761" t="s">
        <v>145</v>
      </c>
      <c r="B4451" s="762">
        <f>(R4450+T4450)</f>
        <v>0</v>
      </c>
      <c r="C4451" s="763"/>
      <c r="D4451" s="763"/>
      <c r="E4451" s="763"/>
      <c r="F4451" s="764"/>
      <c r="G4451" s="763" t="s">
        <v>146</v>
      </c>
      <c r="H4451" s="763"/>
      <c r="I4451" s="765"/>
      <c r="J4451" s="763"/>
      <c r="K4451" s="763" t="s">
        <v>3</v>
      </c>
      <c r="L4451" s="766" t="s">
        <v>143</v>
      </c>
      <c r="M4451" s="766"/>
      <c r="N4451" s="766"/>
      <c r="O4451" s="766"/>
      <c r="P4451" s="766"/>
      <c r="Q4451" s="767"/>
      <c r="R4451" s="768">
        <f ca="1">SUM(R4447:R4450)</f>
        <v>55.44</v>
      </c>
      <c r="S4451" s="763"/>
      <c r="T4451" s="768">
        <f ca="1">SUM(T4447:T4450)</f>
        <v>4.0200000000000005</v>
      </c>
      <c r="U4451" s="531"/>
      <c r="V4451" s="531"/>
      <c r="W4451" s="531"/>
      <c r="X4451" s="531"/>
      <c r="Y4451" s="531"/>
      <c r="Z4451" s="531"/>
      <c r="AA4451" s="531"/>
      <c r="AB4451" s="531"/>
      <c r="AC4451" s="531"/>
      <c r="AD4451" s="531"/>
      <c r="AE4451" s="531"/>
      <c r="AF4451" s="531"/>
      <c r="AG4451" s="531"/>
      <c r="AH4451" s="531"/>
      <c r="AI4451" s="531"/>
      <c r="AJ4451" s="531"/>
      <c r="AK4451" s="531"/>
      <c r="AL4451" s="531"/>
      <c r="AM4451" s="531"/>
      <c r="AN4451" s="531"/>
      <c r="AO4451" s="531"/>
      <c r="AR4451" s="761" t="s">
        <v>145</v>
      </c>
      <c r="AS4451" s="764"/>
    </row>
    <row r="4452" spans="1:45" s="520" customFormat="1" ht="12" thickTop="1">
      <c r="A4452" s="51"/>
      <c r="B4452" s="41"/>
      <c r="C4452" s="51"/>
      <c r="E4452" s="42" t="s">
        <v>138</v>
      </c>
      <c r="F4452" s="42" t="s">
        <v>139</v>
      </c>
      <c r="G4452" s="51"/>
      <c r="H4452" s="51"/>
      <c r="I4452" s="51"/>
      <c r="J4452" s="51"/>
      <c r="K4452" s="51" t="s">
        <v>140</v>
      </c>
      <c r="L4452" s="51"/>
      <c r="M4452" s="51"/>
      <c r="N4452" s="51"/>
      <c r="O4452" s="52"/>
      <c r="P4452" s="51"/>
      <c r="Q4452" s="51"/>
      <c r="R4452" s="51"/>
      <c r="S4452" s="51"/>
      <c r="T4452" s="41"/>
      <c r="AG4452" s="521" t="s">
        <v>268</v>
      </c>
      <c r="AH4452" s="521" t="s">
        <v>269</v>
      </c>
      <c r="AI4452" s="521" t="s">
        <v>270</v>
      </c>
      <c r="AJ4452" s="521" t="s">
        <v>271</v>
      </c>
      <c r="AK4452" s="521" t="s">
        <v>272</v>
      </c>
      <c r="AM4452" s="745" t="s">
        <v>281</v>
      </c>
      <c r="AN4452" s="746" t="s">
        <v>282</v>
      </c>
      <c r="AO4452" s="522" t="s">
        <v>278</v>
      </c>
      <c r="AR4452" s="51"/>
      <c r="AS4452" s="42" t="s">
        <v>139</v>
      </c>
    </row>
    <row r="4453" spans="1:45" s="520" customFormat="1" ht="12" customHeight="1">
      <c r="A4453" s="747">
        <v>6</v>
      </c>
      <c r="B4453" s="523" t="s">
        <v>141</v>
      </c>
      <c r="C4453" s="748"/>
      <c r="D4453" s="749" t="s">
        <v>1774</v>
      </c>
      <c r="E4453" s="750">
        <f ca="1">IF(AND($A4453=0,$A$1="DIF"),0, ROUND(ROUND(($R4458*$S$2+($T4458*$T$2))/A4453,2)*$C$2,2))</f>
        <v>68.06</v>
      </c>
      <c r="F4453" s="751">
        <f ca="1">ROUND($A4453*$E4453,2)</f>
        <v>408.36</v>
      </c>
      <c r="G4453" s="752" t="s">
        <v>142</v>
      </c>
      <c r="H4453" s="753"/>
      <c r="I4453" s="754"/>
      <c r="J4453" s="753"/>
      <c r="K4453" s="753" t="s">
        <v>3</v>
      </c>
      <c r="L4453" s="755" t="s">
        <v>143</v>
      </c>
      <c r="M4453" s="755"/>
      <c r="N4453" s="755"/>
      <c r="O4453" s="755"/>
      <c r="P4453" s="755"/>
      <c r="Q4453" s="51"/>
      <c r="T4453" s="756" t="str">
        <f ca="1">IF(AND($R4458=0,$T4458=0),"0.00","mu :" &amp; ROUND($F4453/$C$2/($R4458+$T4458*$D$9),2))</f>
        <v>mu :1.23</v>
      </c>
      <c r="W4453" s="524"/>
      <c r="AG4453" s="481">
        <f ca="1">IF($E4453=0,0,ROUND($R4458*$S$2*$C$2/$A4453,2))</f>
        <v>22.76</v>
      </c>
      <c r="AH4453" s="481">
        <f ca="1">$AG4453*$A4453</f>
        <v>136.56</v>
      </c>
      <c r="AI4453" s="525">
        <f ca="1">$E4453-$AG4453</f>
        <v>45.3</v>
      </c>
      <c r="AJ4453" s="525">
        <f ca="1">$A4453*$AI4453</f>
        <v>271.79999999999995</v>
      </c>
      <c r="AK4453" s="526">
        <f ca="1">ROUND(($AG4453+$AI4453)*$A4453,2)</f>
        <v>408.36</v>
      </c>
      <c r="AM4453" s="527">
        <f ca="1">ROUND(R4458,2)</f>
        <v>110.88</v>
      </c>
      <c r="AN4453" s="528">
        <f ca="1">ROUND(T4458,2)</f>
        <v>8.0399999999999991</v>
      </c>
      <c r="AO4453" s="529">
        <f ca="1">ROUND(AM4453+AN4453,2)*A4453</f>
        <v>713.52</v>
      </c>
      <c r="AR4453" s="747">
        <v>6</v>
      </c>
      <c r="AS4453" s="751">
        <v>438.84</v>
      </c>
    </row>
    <row r="4454" spans="1:45" s="520" customFormat="1" ht="13.2">
      <c r="A4454" s="748"/>
      <c r="B4454"/>
      <c r="C4454" s="748"/>
      <c r="D4454" s="749" t="s">
        <v>793</v>
      </c>
      <c r="F4454" s="753"/>
      <c r="G4454" s="3"/>
      <c r="H4454" s="753"/>
      <c r="I4454" s="754"/>
      <c r="J4454" s="753"/>
      <c r="K4454" s="753" t="s">
        <v>144</v>
      </c>
      <c r="L4454" s="753"/>
      <c r="M4454" s="753"/>
      <c r="N4454" s="753"/>
      <c r="O4454" s="753"/>
      <c r="P4454" s="753"/>
      <c r="Q4454" s="51"/>
      <c r="R4454" s="530"/>
      <c r="S4454" s="757"/>
      <c r="T4454" s="753"/>
      <c r="AR4454" s="748"/>
      <c r="AS4454" s="753"/>
    </row>
    <row r="4455" spans="1:45" s="886" customFormat="1" ht="13.2">
      <c r="A4455"/>
      <c r="B4455" s="910"/>
      <c r="C4455" s="910" t="s">
        <v>2597</v>
      </c>
      <c r="D4455" s="910" t="str">
        <f ca="1">CELL("Address",Elec_Rates!D$19)</f>
        <v>[E25_0062_Quintano_Foods_Elec_ELV_As_Awarded.xlsx]Elec_Rates!$D$19</v>
      </c>
      <c r="E4455" s="911"/>
      <c r="F4455" s="911"/>
      <c r="G4455" s="912" t="s">
        <v>2598</v>
      </c>
      <c r="H4455" s="912"/>
      <c r="I4455" s="912"/>
      <c r="J4455" s="912"/>
      <c r="K4455" s="913"/>
      <c r="L4455" s="911"/>
      <c r="M4455" s="911"/>
      <c r="N4455" s="911"/>
      <c r="O4455" s="914"/>
      <c r="P4455" s="911"/>
      <c r="Q4455" s="915"/>
      <c r="R4455" s="916"/>
      <c r="S4455" s="915"/>
      <c r="T4455" s="917"/>
      <c r="U4455" s="918"/>
      <c r="AR4455"/>
      <c r="AS4455" s="911"/>
    </row>
    <row r="4456" spans="1:45" s="886" customFormat="1" ht="11.4">
      <c r="A4456" s="919">
        <v>6</v>
      </c>
      <c r="B4456" s="920">
        <v>1</v>
      </c>
      <c r="C4456" s="920">
        <f>$A4456*$B4456</f>
        <v>6</v>
      </c>
      <c r="D4456" s="921" t="str">
        <f>Elec_Rates!$D$19</f>
        <v>001# Light Point Rate (LSZH Conduit)</v>
      </c>
      <c r="E4456" s="921" t="s">
        <v>2969</v>
      </c>
      <c r="F4456" s="918"/>
      <c r="G4456" s="922" t="s">
        <v>2878</v>
      </c>
      <c r="H4456" s="922"/>
      <c r="I4456" s="922"/>
      <c r="J4456" s="922"/>
      <c r="K4456" s="923"/>
      <c r="L4456" s="918"/>
      <c r="M4456" s="918"/>
      <c r="N4456" s="918"/>
      <c r="O4456" s="924"/>
      <c r="P4456" s="921"/>
      <c r="Q4456" s="925">
        <f ca="1">$B4456*Elec_Rates!$R$19</f>
        <v>18.48</v>
      </c>
      <c r="R4456" s="916">
        <f ca="1">$A4456*Q4456</f>
        <v>110.88</v>
      </c>
      <c r="S4456" s="925">
        <f ca="1">$B4456*Elec_Rates!$T$19</f>
        <v>1.34</v>
      </c>
      <c r="T4456" s="917">
        <f ca="1">$A4456*S4456</f>
        <v>8.0400000000000009</v>
      </c>
      <c r="U4456" s="926"/>
      <c r="AR4456" s="919">
        <v>6</v>
      </c>
      <c r="AS4456" s="918"/>
    </row>
    <row r="4457" spans="1:45" s="520" customFormat="1" ht="12">
      <c r="A4457" s="758"/>
      <c r="B4457" s="758"/>
      <c r="C4457" s="758"/>
      <c r="D4457" s="758"/>
      <c r="E4457" s="758"/>
      <c r="F4457" s="753"/>
      <c r="G4457" s="758"/>
      <c r="H4457" s="758"/>
      <c r="I4457" s="519"/>
      <c r="J4457" s="758"/>
      <c r="K4457" s="758"/>
      <c r="L4457" s="758"/>
      <c r="M4457" s="758"/>
      <c r="N4457" s="758"/>
      <c r="O4457" s="758"/>
      <c r="P4457" s="758"/>
      <c r="Q4457" s="519"/>
      <c r="R4457" s="759">
        <f>$A4457*Q4457</f>
        <v>0</v>
      </c>
      <c r="S4457" s="519"/>
      <c r="T4457" s="760">
        <f>$A4457*S4457*$T$1</f>
        <v>0</v>
      </c>
      <c r="AR4457" s="758"/>
      <c r="AS4457" s="753"/>
    </row>
    <row r="4458" spans="1:45" s="520" customFormat="1" ht="12.6" thickBot="1">
      <c r="A4458" s="761" t="s">
        <v>145</v>
      </c>
      <c r="B4458" s="762">
        <f>(R4457+T4457)</f>
        <v>0</v>
      </c>
      <c r="C4458" s="763"/>
      <c r="D4458" s="763"/>
      <c r="E4458" s="763"/>
      <c r="F4458" s="764"/>
      <c r="G4458" s="763" t="s">
        <v>146</v>
      </c>
      <c r="H4458" s="763"/>
      <c r="I4458" s="765"/>
      <c r="J4458" s="763"/>
      <c r="K4458" s="763" t="s">
        <v>3</v>
      </c>
      <c r="L4458" s="766" t="s">
        <v>143</v>
      </c>
      <c r="M4458" s="766"/>
      <c r="N4458" s="766"/>
      <c r="O4458" s="766"/>
      <c r="P4458" s="766"/>
      <c r="Q4458" s="767"/>
      <c r="R4458" s="768">
        <f ca="1">SUM(R4454:R4457)</f>
        <v>110.88</v>
      </c>
      <c r="S4458" s="763"/>
      <c r="T4458" s="768">
        <f ca="1">SUM(T4454:T4457)</f>
        <v>8.0400000000000009</v>
      </c>
      <c r="U4458" s="531"/>
      <c r="V4458" s="531"/>
      <c r="W4458" s="531"/>
      <c r="X4458" s="531"/>
      <c r="Y4458" s="531"/>
      <c r="Z4458" s="531"/>
      <c r="AA4458" s="531"/>
      <c r="AB4458" s="531"/>
      <c r="AC4458" s="531"/>
      <c r="AD4458" s="531"/>
      <c r="AE4458" s="531"/>
      <c r="AF4458" s="531"/>
      <c r="AG4458" s="531"/>
      <c r="AH4458" s="531"/>
      <c r="AI4458" s="531"/>
      <c r="AJ4458" s="531"/>
      <c r="AK4458" s="531"/>
      <c r="AL4458" s="531"/>
      <c r="AM4458" s="531"/>
      <c r="AN4458" s="531"/>
      <c r="AO4458" s="531"/>
      <c r="AR4458" s="761" t="s">
        <v>145</v>
      </c>
      <c r="AS4458" s="764"/>
    </row>
    <row r="4459" spans="1:45" s="520" customFormat="1" ht="12" thickTop="1">
      <c r="A4459" s="51"/>
      <c r="B4459" s="41"/>
      <c r="C4459" s="51"/>
      <c r="E4459" s="42" t="s">
        <v>138</v>
      </c>
      <c r="F4459" s="42" t="s">
        <v>139</v>
      </c>
      <c r="G4459" s="51"/>
      <c r="H4459" s="51"/>
      <c r="I4459" s="51"/>
      <c r="J4459" s="51"/>
      <c r="K4459" s="51" t="s">
        <v>140</v>
      </c>
      <c r="L4459" s="51"/>
      <c r="M4459" s="51"/>
      <c r="N4459" s="51"/>
      <c r="O4459" s="52"/>
      <c r="P4459" s="51"/>
      <c r="Q4459" s="51"/>
      <c r="R4459" s="51"/>
      <c r="S4459" s="51"/>
      <c r="T4459" s="41"/>
      <c r="AG4459" s="521" t="s">
        <v>268</v>
      </c>
      <c r="AH4459" s="521" t="s">
        <v>269</v>
      </c>
      <c r="AI4459" s="521" t="s">
        <v>270</v>
      </c>
      <c r="AJ4459" s="521" t="s">
        <v>271</v>
      </c>
      <c r="AK4459" s="521" t="s">
        <v>272</v>
      </c>
      <c r="AM4459" s="745" t="s">
        <v>281</v>
      </c>
      <c r="AN4459" s="746" t="s">
        <v>282</v>
      </c>
      <c r="AO4459" s="522" t="s">
        <v>278</v>
      </c>
      <c r="AR4459" s="51"/>
      <c r="AS4459" s="42" t="s">
        <v>139</v>
      </c>
    </row>
    <row r="4460" spans="1:45" s="520" customFormat="1" ht="12" customHeight="1">
      <c r="A4460" s="747">
        <v>3</v>
      </c>
      <c r="B4460" s="523" t="s">
        <v>141</v>
      </c>
      <c r="C4460" s="748"/>
      <c r="D4460" s="749" t="s">
        <v>1775</v>
      </c>
      <c r="E4460" s="750">
        <f ca="1">IF(AND($A4460=0,$A$1="DIF"),0, ROUND(ROUND(($R4465*$S$2+($T4465*$T$2))/A4460,2)*$C$2,2))</f>
        <v>136.13</v>
      </c>
      <c r="F4460" s="751">
        <f ca="1">ROUND($A4460*$E4460,2)</f>
        <v>408.39</v>
      </c>
      <c r="G4460" s="752" t="s">
        <v>142</v>
      </c>
      <c r="H4460" s="753"/>
      <c r="I4460" s="754"/>
      <c r="J4460" s="753"/>
      <c r="K4460" s="753" t="s">
        <v>3</v>
      </c>
      <c r="L4460" s="755" t="s">
        <v>143</v>
      </c>
      <c r="M4460" s="755"/>
      <c r="N4460" s="755"/>
      <c r="O4460" s="755"/>
      <c r="P4460" s="755"/>
      <c r="Q4460" s="51"/>
      <c r="T4460" s="756" t="str">
        <f ca="1">IF(AND($R4465=0,$T4465=0),"0.00","mu :" &amp; ROUND($F4460/$C$2/($R4465+$T4465*$D$9),2))</f>
        <v>mu :1.23</v>
      </c>
      <c r="W4460" s="524"/>
      <c r="AG4460" s="481">
        <f ca="1">IF($E4460=0,0,ROUND($R4465*$S$2*$C$2/$A4460,2))</f>
        <v>45.51</v>
      </c>
      <c r="AH4460" s="481">
        <f ca="1">$AG4460*$A4460</f>
        <v>136.53</v>
      </c>
      <c r="AI4460" s="525">
        <f ca="1">$E4460-$AG4460</f>
        <v>90.62</v>
      </c>
      <c r="AJ4460" s="525">
        <f ca="1">$A4460*$AI4460</f>
        <v>271.86</v>
      </c>
      <c r="AK4460" s="526">
        <f ca="1">ROUND(($AG4460+$AI4460)*$A4460,2)</f>
        <v>408.39</v>
      </c>
      <c r="AM4460" s="527">
        <f ca="1">ROUND(R4465,2)</f>
        <v>110.88</v>
      </c>
      <c r="AN4460" s="528">
        <f ca="1">ROUND(T4465,2)</f>
        <v>8.0399999999999991</v>
      </c>
      <c r="AO4460" s="529">
        <f ca="1">ROUND(AM4460+AN4460,2)*A4460</f>
        <v>356.76</v>
      </c>
      <c r="AR4460" s="747">
        <v>3</v>
      </c>
      <c r="AS4460" s="751">
        <v>438.81</v>
      </c>
    </row>
    <row r="4461" spans="1:45" s="520" customFormat="1" ht="21" customHeight="1">
      <c r="A4461" s="748"/>
      <c r="B4461"/>
      <c r="C4461" s="748"/>
      <c r="D4461" s="749" t="s">
        <v>769</v>
      </c>
      <c r="F4461" s="753"/>
      <c r="G4461" s="3"/>
      <c r="H4461" s="753"/>
      <c r="I4461" s="754"/>
      <c r="J4461" s="753"/>
      <c r="K4461" s="753" t="s">
        <v>144</v>
      </c>
      <c r="L4461" s="753"/>
      <c r="M4461" s="753"/>
      <c r="N4461" s="753"/>
      <c r="O4461" s="753"/>
      <c r="P4461" s="753"/>
      <c r="Q4461" s="51"/>
      <c r="R4461" s="530"/>
      <c r="S4461" s="757"/>
      <c r="T4461" s="753"/>
      <c r="AR4461" s="748"/>
      <c r="AS4461" s="753"/>
    </row>
    <row r="4462" spans="1:45" s="886" customFormat="1" ht="13.2">
      <c r="A4462"/>
      <c r="B4462" s="910"/>
      <c r="C4462" s="910" t="s">
        <v>2597</v>
      </c>
      <c r="D4462" s="910" t="str">
        <f ca="1">CELL("Address",Elec_Rates!D$19)</f>
        <v>[E25_0062_Quintano_Foods_Elec_ELV_As_Awarded.xlsx]Elec_Rates!$D$19</v>
      </c>
      <c r="E4462" s="911"/>
      <c r="F4462" s="911"/>
      <c r="G4462" s="912" t="s">
        <v>2598</v>
      </c>
      <c r="H4462" s="912"/>
      <c r="I4462" s="912"/>
      <c r="J4462" s="912"/>
      <c r="K4462" s="913"/>
      <c r="L4462" s="911"/>
      <c r="M4462" s="911"/>
      <c r="N4462" s="911"/>
      <c r="O4462" s="914"/>
      <c r="P4462" s="911"/>
      <c r="Q4462" s="915"/>
      <c r="R4462" s="916"/>
      <c r="S4462" s="915"/>
      <c r="T4462" s="917"/>
      <c r="U4462" s="918"/>
      <c r="AR4462"/>
      <c r="AS4462" s="911"/>
    </row>
    <row r="4463" spans="1:45" s="886" customFormat="1" ht="11.4">
      <c r="A4463" s="919">
        <v>3</v>
      </c>
      <c r="B4463" s="920">
        <v>2</v>
      </c>
      <c r="C4463" s="920">
        <f>$A4463*$B4463</f>
        <v>6</v>
      </c>
      <c r="D4463" s="921" t="str">
        <f>Elec_Rates!$D$19</f>
        <v>001# Light Point Rate (LSZH Conduit)</v>
      </c>
      <c r="E4463" s="921" t="s">
        <v>2890</v>
      </c>
      <c r="F4463" s="918"/>
      <c r="G4463" s="922" t="s">
        <v>2878</v>
      </c>
      <c r="H4463" s="922"/>
      <c r="I4463" s="922"/>
      <c r="J4463" s="922"/>
      <c r="K4463" s="923"/>
      <c r="L4463" s="918"/>
      <c r="M4463" s="918"/>
      <c r="N4463" s="918"/>
      <c r="O4463" s="924"/>
      <c r="P4463" s="921"/>
      <c r="Q4463" s="925">
        <f ca="1">$B4463*Elec_Rates!$R$19</f>
        <v>36.96</v>
      </c>
      <c r="R4463" s="916">
        <f ca="1">$A4463*Q4463</f>
        <v>110.88</v>
      </c>
      <c r="S4463" s="925">
        <f ca="1">$B4463*Elec_Rates!$T$19</f>
        <v>2.68</v>
      </c>
      <c r="T4463" s="917">
        <f ca="1">$A4463*S4463</f>
        <v>8.0400000000000009</v>
      </c>
      <c r="U4463" s="926"/>
      <c r="AR4463" s="919">
        <v>3</v>
      </c>
      <c r="AS4463" s="918"/>
    </row>
    <row r="4464" spans="1:45" s="520" customFormat="1" ht="12">
      <c r="A4464" s="758"/>
      <c r="B4464" s="758"/>
      <c r="C4464" s="758"/>
      <c r="D4464" s="758"/>
      <c r="E4464" s="758"/>
      <c r="F4464" s="753"/>
      <c r="G4464" s="758"/>
      <c r="H4464" s="758"/>
      <c r="I4464" s="519"/>
      <c r="J4464" s="758"/>
      <c r="K4464" s="758"/>
      <c r="L4464" s="758"/>
      <c r="M4464" s="758"/>
      <c r="N4464" s="758"/>
      <c r="O4464" s="758"/>
      <c r="P4464" s="758"/>
      <c r="Q4464" s="519"/>
      <c r="R4464" s="759">
        <f>$A4464*Q4464</f>
        <v>0</v>
      </c>
      <c r="S4464" s="519"/>
      <c r="T4464" s="760">
        <f>$A4464*S4464*$T$1</f>
        <v>0</v>
      </c>
      <c r="AR4464" s="758"/>
      <c r="AS4464" s="753"/>
    </row>
    <row r="4465" spans="1:45" s="520" customFormat="1" ht="12.6" thickBot="1">
      <c r="A4465" s="761" t="s">
        <v>145</v>
      </c>
      <c r="B4465" s="762">
        <f>(R4464+T4464)</f>
        <v>0</v>
      </c>
      <c r="C4465" s="763"/>
      <c r="D4465" s="763"/>
      <c r="E4465" s="763"/>
      <c r="F4465" s="764"/>
      <c r="G4465" s="763" t="s">
        <v>146</v>
      </c>
      <c r="H4465" s="763"/>
      <c r="I4465" s="765"/>
      <c r="J4465" s="763"/>
      <c r="K4465" s="763" t="s">
        <v>3</v>
      </c>
      <c r="L4465" s="766" t="s">
        <v>143</v>
      </c>
      <c r="M4465" s="766"/>
      <c r="N4465" s="766"/>
      <c r="O4465" s="766"/>
      <c r="P4465" s="766"/>
      <c r="Q4465" s="767"/>
      <c r="R4465" s="768">
        <f ca="1">SUM(R4461:R4464)</f>
        <v>110.88</v>
      </c>
      <c r="S4465" s="763"/>
      <c r="T4465" s="768">
        <f ca="1">SUM(T4461:T4464)</f>
        <v>8.0400000000000009</v>
      </c>
      <c r="U4465" s="531"/>
      <c r="V4465" s="531"/>
      <c r="W4465" s="531"/>
      <c r="X4465" s="531"/>
      <c r="Y4465" s="531"/>
      <c r="Z4465" s="531"/>
      <c r="AA4465" s="531"/>
      <c r="AB4465" s="531"/>
      <c r="AC4465" s="531"/>
      <c r="AD4465" s="531"/>
      <c r="AE4465" s="531"/>
      <c r="AF4465" s="531"/>
      <c r="AG4465" s="531"/>
      <c r="AH4465" s="531"/>
      <c r="AI4465" s="531"/>
      <c r="AJ4465" s="531"/>
      <c r="AK4465" s="531"/>
      <c r="AL4465" s="531"/>
      <c r="AM4465" s="531"/>
      <c r="AN4465" s="531"/>
      <c r="AO4465" s="531"/>
      <c r="AR4465" s="761" t="s">
        <v>145</v>
      </c>
      <c r="AS4465" s="764"/>
    </row>
    <row r="4466" spans="1:45" s="520" customFormat="1" ht="12" thickTop="1">
      <c r="A4466" s="51"/>
      <c r="B4466" s="41"/>
      <c r="C4466" s="51"/>
      <c r="E4466" s="42" t="s">
        <v>138</v>
      </c>
      <c r="F4466" s="42" t="s">
        <v>139</v>
      </c>
      <c r="G4466" s="51"/>
      <c r="H4466" s="51"/>
      <c r="I4466" s="51"/>
      <c r="J4466" s="51"/>
      <c r="K4466" s="51" t="s">
        <v>140</v>
      </c>
      <c r="L4466" s="51"/>
      <c r="M4466" s="51"/>
      <c r="N4466" s="51"/>
      <c r="O4466" s="52"/>
      <c r="P4466" s="51"/>
      <c r="Q4466" s="51"/>
      <c r="R4466" s="51"/>
      <c r="S4466" s="51"/>
      <c r="T4466" s="41"/>
      <c r="AG4466" s="521" t="s">
        <v>268</v>
      </c>
      <c r="AH4466" s="521" t="s">
        <v>269</v>
      </c>
      <c r="AI4466" s="521" t="s">
        <v>270</v>
      </c>
      <c r="AJ4466" s="521" t="s">
        <v>271</v>
      </c>
      <c r="AK4466" s="521" t="s">
        <v>272</v>
      </c>
      <c r="AM4466" s="745" t="s">
        <v>281</v>
      </c>
      <c r="AN4466" s="746" t="s">
        <v>282</v>
      </c>
      <c r="AO4466" s="522" t="s">
        <v>278</v>
      </c>
      <c r="AR4466" s="51"/>
      <c r="AS4466" s="42" t="s">
        <v>139</v>
      </c>
    </row>
    <row r="4467" spans="1:45" s="520" customFormat="1" ht="12" customHeight="1">
      <c r="A4467" s="747">
        <v>1</v>
      </c>
      <c r="B4467" s="523" t="s">
        <v>141</v>
      </c>
      <c r="C4467" s="748"/>
      <c r="D4467" s="749" t="s">
        <v>1776</v>
      </c>
      <c r="E4467" s="750">
        <f ca="1">IF(AND($A4467=0,$A$1="DIF"),0, ROUND(ROUND(($R4472*$S$2+($T4472*$T$2))/A4467,2)*$C$2,2))</f>
        <v>238.22</v>
      </c>
      <c r="F4467" s="751">
        <f ca="1">ROUND($A4467*$E4467,2)</f>
        <v>238.22</v>
      </c>
      <c r="G4467" s="752" t="s">
        <v>142</v>
      </c>
      <c r="H4467" s="753"/>
      <c r="I4467" s="754"/>
      <c r="J4467" s="753"/>
      <c r="K4467" s="753" t="s">
        <v>3</v>
      </c>
      <c r="L4467" s="755" t="s">
        <v>143</v>
      </c>
      <c r="M4467" s="755"/>
      <c r="N4467" s="755"/>
      <c r="O4467" s="755"/>
      <c r="P4467" s="755"/>
      <c r="Q4467" s="51"/>
      <c r="T4467" s="756" t="str">
        <f ca="1">IF(AND($R4472=0,$T4472=0),"0.00","mu :" &amp; ROUND($F4467/$C$2/($R4472+$T4472*$D$9),2))</f>
        <v>mu :1.23</v>
      </c>
      <c r="W4467" s="524"/>
      <c r="AG4467" s="481">
        <f ca="1">IF($E4467=0,0,ROUND($R4472*$S$2*$C$2/$A4467,2))</f>
        <v>79.64</v>
      </c>
      <c r="AH4467" s="481">
        <f ca="1">$AG4467*$A4467</f>
        <v>79.64</v>
      </c>
      <c r="AI4467" s="525">
        <f ca="1">$E4467-$AG4467</f>
        <v>158.57999999999998</v>
      </c>
      <c r="AJ4467" s="525">
        <f ca="1">$A4467*$AI4467</f>
        <v>158.57999999999998</v>
      </c>
      <c r="AK4467" s="526">
        <f ca="1">ROUND(($AG4467+$AI4467)*$A4467,2)</f>
        <v>238.22</v>
      </c>
      <c r="AM4467" s="527">
        <f ca="1">ROUND(R4472,2)</f>
        <v>64.680000000000007</v>
      </c>
      <c r="AN4467" s="528">
        <f ca="1">ROUND(T4472,2)</f>
        <v>4.6900000000000004</v>
      </c>
      <c r="AO4467" s="529">
        <f ca="1">ROUND(AM4467+AN4467,2)*A4467</f>
        <v>69.37</v>
      </c>
      <c r="AR4467" s="747">
        <v>1</v>
      </c>
      <c r="AS4467" s="751">
        <v>255.98</v>
      </c>
    </row>
    <row r="4468" spans="1:45" s="520" customFormat="1" ht="13.2">
      <c r="A4468" s="748"/>
      <c r="B4468"/>
      <c r="C4468" s="748"/>
      <c r="D4468" s="749" t="s">
        <v>847</v>
      </c>
      <c r="F4468" s="753"/>
      <c r="G4468" s="3"/>
      <c r="H4468" s="753"/>
      <c r="I4468" s="754"/>
      <c r="J4468" s="753"/>
      <c r="K4468" s="753" t="s">
        <v>144</v>
      </c>
      <c r="L4468" s="753"/>
      <c r="M4468" s="753"/>
      <c r="N4468" s="753"/>
      <c r="O4468" s="753"/>
      <c r="P4468" s="753"/>
      <c r="Q4468" s="51"/>
      <c r="R4468" s="530"/>
      <c r="S4468" s="757"/>
      <c r="T4468" s="753"/>
      <c r="AR4468" s="748"/>
      <c r="AS4468" s="753"/>
    </row>
    <row r="4469" spans="1:45" s="886" customFormat="1" ht="13.2">
      <c r="A4469"/>
      <c r="B4469" s="910"/>
      <c r="C4469" s="910" t="s">
        <v>2597</v>
      </c>
      <c r="D4469" s="910" t="str">
        <f ca="1">CELL("Address",Elec_Rates!D$19)</f>
        <v>[E25_0062_Quintano_Foods_Elec_ELV_As_Awarded.xlsx]Elec_Rates!$D$19</v>
      </c>
      <c r="E4469" s="911"/>
      <c r="F4469" s="911"/>
      <c r="G4469" s="912" t="s">
        <v>2598</v>
      </c>
      <c r="H4469" s="912"/>
      <c r="I4469" s="912"/>
      <c r="J4469" s="912"/>
      <c r="K4469" s="913"/>
      <c r="L4469" s="911"/>
      <c r="M4469" s="911"/>
      <c r="N4469" s="911"/>
      <c r="O4469" s="914"/>
      <c r="P4469" s="911"/>
      <c r="Q4469" s="915"/>
      <c r="R4469" s="916"/>
      <c r="S4469" s="915"/>
      <c r="T4469" s="917"/>
      <c r="U4469" s="918"/>
      <c r="AR4469"/>
      <c r="AS4469" s="911"/>
    </row>
    <row r="4470" spans="1:45" s="886" customFormat="1" ht="11.4">
      <c r="A4470" s="919">
        <v>1</v>
      </c>
      <c r="B4470" s="920">
        <f>2.5+0.5+0.5</f>
        <v>3.5</v>
      </c>
      <c r="C4470" s="920">
        <f>$A4470*$B4470</f>
        <v>3.5</v>
      </c>
      <c r="D4470" s="921" t="str">
        <f>Elec_Rates!$D$19</f>
        <v>001# Light Point Rate (LSZH Conduit)</v>
      </c>
      <c r="E4470" s="921" t="s">
        <v>3035</v>
      </c>
      <c r="F4470" s="918"/>
      <c r="G4470" s="922" t="s">
        <v>2878</v>
      </c>
      <c r="H4470" s="922"/>
      <c r="I4470" s="922"/>
      <c r="J4470" s="922"/>
      <c r="K4470" s="923"/>
      <c r="L4470" s="918"/>
      <c r="M4470" s="918"/>
      <c r="N4470" s="918"/>
      <c r="O4470" s="924"/>
      <c r="P4470" s="921"/>
      <c r="Q4470" s="925">
        <f ca="1">$B4470*Elec_Rates!$R$19</f>
        <v>64.680000000000007</v>
      </c>
      <c r="R4470" s="916">
        <f ca="1">$A4470*Q4470</f>
        <v>64.680000000000007</v>
      </c>
      <c r="S4470" s="925">
        <f ca="1">$B4470*Elec_Rates!$T$19</f>
        <v>4.6900000000000004</v>
      </c>
      <c r="T4470" s="917">
        <f ca="1">$A4470*S4470</f>
        <v>4.6900000000000004</v>
      </c>
      <c r="U4470" s="926"/>
      <c r="AR4470" s="919">
        <v>1</v>
      </c>
      <c r="AS4470" s="918"/>
    </row>
    <row r="4471" spans="1:45" s="520" customFormat="1" ht="12">
      <c r="A4471" s="758"/>
      <c r="B4471" s="758"/>
      <c r="C4471" s="758"/>
      <c r="D4471" s="758"/>
      <c r="E4471" s="758"/>
      <c r="F4471" s="753"/>
      <c r="G4471" s="758"/>
      <c r="H4471" s="758"/>
      <c r="I4471" s="519"/>
      <c r="J4471" s="758"/>
      <c r="K4471" s="758"/>
      <c r="L4471" s="758"/>
      <c r="M4471" s="758"/>
      <c r="N4471" s="758"/>
      <c r="O4471" s="758"/>
      <c r="P4471" s="758"/>
      <c r="Q4471" s="519"/>
      <c r="R4471" s="759">
        <f>$A4471*Q4471</f>
        <v>0</v>
      </c>
      <c r="S4471" s="519"/>
      <c r="T4471" s="760">
        <f>$A4471*S4471*$T$1</f>
        <v>0</v>
      </c>
      <c r="AR4471" s="758"/>
      <c r="AS4471" s="753"/>
    </row>
    <row r="4472" spans="1:45" s="520" customFormat="1" ht="12.6" thickBot="1">
      <c r="A4472" s="761" t="s">
        <v>145</v>
      </c>
      <c r="B4472" s="762">
        <f>(R4471+T4471)</f>
        <v>0</v>
      </c>
      <c r="C4472" s="763"/>
      <c r="D4472" s="763"/>
      <c r="E4472" s="763"/>
      <c r="F4472" s="764"/>
      <c r="G4472" s="763" t="s">
        <v>146</v>
      </c>
      <c r="H4472" s="763"/>
      <c r="I4472" s="765"/>
      <c r="J4472" s="763"/>
      <c r="K4472" s="763" t="s">
        <v>3</v>
      </c>
      <c r="L4472" s="766" t="s">
        <v>143</v>
      </c>
      <c r="M4472" s="766"/>
      <c r="N4472" s="766"/>
      <c r="O4472" s="766"/>
      <c r="P4472" s="766"/>
      <c r="Q4472" s="767"/>
      <c r="R4472" s="768">
        <f ca="1">SUM(R4468:R4471)</f>
        <v>64.680000000000007</v>
      </c>
      <c r="S4472" s="763"/>
      <c r="T4472" s="768">
        <f ca="1">SUM(T4468:T4471)</f>
        <v>4.6900000000000004</v>
      </c>
      <c r="U4472" s="531"/>
      <c r="V4472" s="531"/>
      <c r="W4472" s="531"/>
      <c r="X4472" s="531"/>
      <c r="Y4472" s="531"/>
      <c r="Z4472" s="531"/>
      <c r="AA4472" s="531"/>
      <c r="AB4472" s="531"/>
      <c r="AC4472" s="531"/>
      <c r="AD4472" s="531"/>
      <c r="AE4472" s="531"/>
      <c r="AF4472" s="531"/>
      <c r="AG4472" s="531"/>
      <c r="AH4472" s="531"/>
      <c r="AI4472" s="531"/>
      <c r="AJ4472" s="531"/>
      <c r="AK4472" s="531"/>
      <c r="AL4472" s="531"/>
      <c r="AM4472" s="531"/>
      <c r="AN4472" s="531"/>
      <c r="AO4472" s="531"/>
      <c r="AR4472" s="761" t="s">
        <v>145</v>
      </c>
      <c r="AS4472" s="764"/>
    </row>
    <row r="4473" spans="1:45" s="520" customFormat="1" ht="12" thickTop="1">
      <c r="A4473" s="51"/>
      <c r="B4473" s="41"/>
      <c r="C4473" s="51"/>
      <c r="E4473" s="42" t="s">
        <v>138</v>
      </c>
      <c r="F4473" s="42" t="s">
        <v>139</v>
      </c>
      <c r="G4473" s="51"/>
      <c r="H4473" s="51"/>
      <c r="I4473" s="51"/>
      <c r="J4473" s="51"/>
      <c r="K4473" s="51" t="s">
        <v>140</v>
      </c>
      <c r="L4473" s="51"/>
      <c r="M4473" s="51"/>
      <c r="N4473" s="51"/>
      <c r="O4473" s="52"/>
      <c r="P4473" s="51"/>
      <c r="Q4473" s="51"/>
      <c r="R4473" s="51"/>
      <c r="S4473" s="51"/>
      <c r="T4473" s="41"/>
      <c r="AG4473" s="521" t="s">
        <v>268</v>
      </c>
      <c r="AH4473" s="521" t="s">
        <v>269</v>
      </c>
      <c r="AI4473" s="521" t="s">
        <v>270</v>
      </c>
      <c r="AJ4473" s="521" t="s">
        <v>271</v>
      </c>
      <c r="AK4473" s="521" t="s">
        <v>272</v>
      </c>
      <c r="AM4473" s="745" t="s">
        <v>281</v>
      </c>
      <c r="AN4473" s="746" t="s">
        <v>282</v>
      </c>
      <c r="AO4473" s="522" t="s">
        <v>278</v>
      </c>
      <c r="AR4473" s="51"/>
      <c r="AS4473" s="42" t="s">
        <v>139</v>
      </c>
    </row>
    <row r="4474" spans="1:45" s="520" customFormat="1" ht="12" customHeight="1">
      <c r="A4474" s="747">
        <v>12</v>
      </c>
      <c r="B4474" s="523" t="s">
        <v>141</v>
      </c>
      <c r="C4474" s="748"/>
      <c r="D4474" s="749" t="s">
        <v>1777</v>
      </c>
      <c r="E4474" s="750">
        <f>IF(AND($A4474=0,$A$1="DIF"),0, ROUND(ROUND(($R4478*$S$2+($T4478*$T$2))/A4474,2)*$C$2,2))</f>
        <v>0</v>
      </c>
      <c r="F4474" s="751">
        <f>ROUND($A4474*$E4474,2)</f>
        <v>0</v>
      </c>
      <c r="G4474" s="752" t="s">
        <v>142</v>
      </c>
      <c r="H4474" s="753"/>
      <c r="I4474" s="754"/>
      <c r="J4474" s="753"/>
      <c r="K4474" s="753" t="s">
        <v>3</v>
      </c>
      <c r="L4474" s="755" t="s">
        <v>143</v>
      </c>
      <c r="M4474" s="755"/>
      <c r="N4474" s="755"/>
      <c r="O4474" s="755"/>
      <c r="P4474" s="755"/>
      <c r="Q4474" s="1061" t="s">
        <v>2895</v>
      </c>
      <c r="T4474" s="756" t="str">
        <f>IF(AND($R4478=0,$T4478=0),"0.00","mu :" &amp; ROUND($F4474/$C$2/($R4478+$T4478*$D$9),2))</f>
        <v>0.00</v>
      </c>
      <c r="W4474" s="524"/>
      <c r="AG4474" s="481">
        <f>IF($E4474=0,0,ROUND($R4478*$S$2*$C$2/$A4474,2))</f>
        <v>0</v>
      </c>
      <c r="AH4474" s="481">
        <f>$AG4474*$A4474</f>
        <v>0</v>
      </c>
      <c r="AI4474" s="525">
        <f>$E4474-$AG4474</f>
        <v>0</v>
      </c>
      <c r="AJ4474" s="525">
        <f>$A4474*$AI4474</f>
        <v>0</v>
      </c>
      <c r="AK4474" s="526">
        <f>ROUND(($AG4474+$AI4474)*$A4474,2)</f>
        <v>0</v>
      </c>
      <c r="AM4474" s="527">
        <f>ROUND(R4478,2)</f>
        <v>0</v>
      </c>
      <c r="AN4474" s="528">
        <f>ROUND(T4478,2)</f>
        <v>0</v>
      </c>
      <c r="AO4474" s="529">
        <f>ROUND(AM4474+AN4474,2)*A4474</f>
        <v>0</v>
      </c>
      <c r="AR4474" s="747">
        <v>12</v>
      </c>
      <c r="AS4474" s="751">
        <v>0</v>
      </c>
    </row>
    <row r="4475" spans="1:45" s="520" customFormat="1" ht="13.2">
      <c r="A4475" s="748"/>
      <c r="B4475"/>
      <c r="C4475" s="748"/>
      <c r="D4475" s="749" t="s">
        <v>776</v>
      </c>
      <c r="F4475" s="753"/>
      <c r="G4475" s="3"/>
      <c r="H4475" s="753"/>
      <c r="I4475" s="754"/>
      <c r="J4475" s="753"/>
      <c r="K4475" s="753" t="s">
        <v>144</v>
      </c>
      <c r="L4475" s="753"/>
      <c r="M4475" s="753"/>
      <c r="N4475" s="753"/>
      <c r="O4475" s="753"/>
      <c r="P4475" s="753"/>
      <c r="Q4475" s="51"/>
      <c r="R4475" s="530"/>
      <c r="S4475" s="757"/>
      <c r="T4475" s="753"/>
      <c r="AR4475" s="748"/>
      <c r="AS4475" s="753"/>
    </row>
    <row r="4476" spans="1:45" s="520" customFormat="1" ht="12">
      <c r="A4476" s="51"/>
      <c r="B4476" s="758"/>
      <c r="C4476" s="758"/>
      <c r="D4476" s="1061" t="s">
        <v>3253</v>
      </c>
      <c r="E4476" s="758"/>
      <c r="F4476" s="753"/>
      <c r="G4476" s="758"/>
      <c r="H4476" s="758"/>
      <c r="I4476" s="519"/>
      <c r="J4476" s="758"/>
      <c r="K4476" s="758"/>
      <c r="L4476" s="758"/>
      <c r="M4476" s="758"/>
      <c r="N4476" s="758"/>
      <c r="O4476" s="758"/>
      <c r="P4476" s="758"/>
      <c r="Q4476" s="519"/>
      <c r="R4476" s="759">
        <f t="shared" ref="R4476:R4477" si="126">$A4476*Q4476</f>
        <v>0</v>
      </c>
      <c r="S4476" s="519"/>
      <c r="T4476" s="760">
        <f t="shared" ref="T4476:T4477" si="127">$A4476*S4476*$T$1</f>
        <v>0</v>
      </c>
      <c r="AR4476" s="51"/>
      <c r="AS4476" s="753"/>
    </row>
    <row r="4477" spans="1:45" s="520" customFormat="1" ht="12">
      <c r="A4477" s="758"/>
      <c r="B4477" s="758"/>
      <c r="C4477" s="758"/>
      <c r="D4477" s="758"/>
      <c r="E4477" s="758"/>
      <c r="F4477" s="753"/>
      <c r="G4477" s="758"/>
      <c r="H4477" s="758"/>
      <c r="I4477" s="519"/>
      <c r="J4477" s="758"/>
      <c r="K4477" s="758"/>
      <c r="L4477" s="758"/>
      <c r="M4477" s="758"/>
      <c r="N4477" s="758"/>
      <c r="O4477" s="758"/>
      <c r="P4477" s="758"/>
      <c r="Q4477" s="519"/>
      <c r="R4477" s="759">
        <f t="shared" si="126"/>
        <v>0</v>
      </c>
      <c r="S4477" s="519"/>
      <c r="T4477" s="760">
        <f t="shared" si="127"/>
        <v>0</v>
      </c>
      <c r="AR4477" s="758"/>
      <c r="AS4477" s="753"/>
    </row>
    <row r="4478" spans="1:45" s="520" customFormat="1" ht="12.6" thickBot="1">
      <c r="A4478" s="761" t="s">
        <v>145</v>
      </c>
      <c r="B4478" s="762">
        <f>(R4477+T4477)</f>
        <v>0</v>
      </c>
      <c r="C4478" s="763"/>
      <c r="D4478" s="763"/>
      <c r="E4478" s="763"/>
      <c r="F4478" s="764"/>
      <c r="G4478" s="763" t="s">
        <v>146</v>
      </c>
      <c r="H4478" s="763"/>
      <c r="I4478" s="765"/>
      <c r="J4478" s="763"/>
      <c r="K4478" s="763" t="s">
        <v>3</v>
      </c>
      <c r="L4478" s="766" t="s">
        <v>143</v>
      </c>
      <c r="M4478" s="766"/>
      <c r="N4478" s="766"/>
      <c r="O4478" s="766"/>
      <c r="P4478" s="766"/>
      <c r="Q4478" s="767"/>
      <c r="R4478" s="768">
        <f>SUM(R4475:R4477)</f>
        <v>0</v>
      </c>
      <c r="S4478" s="763"/>
      <c r="T4478" s="768">
        <f>SUM(T4475:T4477)</f>
        <v>0</v>
      </c>
      <c r="U4478" s="531"/>
      <c r="V4478" s="531"/>
      <c r="W4478" s="531"/>
      <c r="X4478" s="531"/>
      <c r="Y4478" s="531"/>
      <c r="Z4478" s="531"/>
      <c r="AA4478" s="531"/>
      <c r="AB4478" s="531"/>
      <c r="AC4478" s="531"/>
      <c r="AD4478" s="531"/>
      <c r="AE4478" s="531"/>
      <c r="AF4478" s="531"/>
      <c r="AG4478" s="531"/>
      <c r="AH4478" s="531"/>
      <c r="AI4478" s="531"/>
      <c r="AJ4478" s="531"/>
      <c r="AK4478" s="531"/>
      <c r="AL4478" s="531"/>
      <c r="AM4478" s="531"/>
      <c r="AN4478" s="531"/>
      <c r="AO4478" s="531"/>
      <c r="AR4478" s="761" t="s">
        <v>145</v>
      </c>
      <c r="AS4478" s="764"/>
    </row>
    <row r="4479" spans="1:45" s="520" customFormat="1" ht="12" thickTop="1">
      <c r="A4479" s="51"/>
      <c r="B4479" s="41"/>
      <c r="C4479" s="51"/>
      <c r="E4479" s="42" t="s">
        <v>138</v>
      </c>
      <c r="F4479" s="42" t="s">
        <v>139</v>
      </c>
      <c r="G4479" s="51"/>
      <c r="H4479" s="51"/>
      <c r="I4479" s="51"/>
      <c r="J4479" s="51"/>
      <c r="K4479" s="51" t="s">
        <v>140</v>
      </c>
      <c r="L4479" s="51"/>
      <c r="M4479" s="51"/>
      <c r="N4479" s="51"/>
      <c r="O4479" s="52"/>
      <c r="P4479" s="51"/>
      <c r="Q4479" s="51"/>
      <c r="R4479" s="51"/>
      <c r="S4479" s="51"/>
      <c r="T4479" s="41"/>
      <c r="AG4479" s="521" t="s">
        <v>268</v>
      </c>
      <c r="AH4479" s="521" t="s">
        <v>269</v>
      </c>
      <c r="AI4479" s="521" t="s">
        <v>270</v>
      </c>
      <c r="AJ4479" s="521" t="s">
        <v>271</v>
      </c>
      <c r="AK4479" s="521" t="s">
        <v>272</v>
      </c>
      <c r="AM4479" s="745" t="s">
        <v>281</v>
      </c>
      <c r="AN4479" s="746" t="s">
        <v>282</v>
      </c>
      <c r="AO4479" s="522" t="s">
        <v>278</v>
      </c>
      <c r="AR4479" s="51"/>
      <c r="AS4479" s="42" t="s">
        <v>139</v>
      </c>
    </row>
    <row r="4480" spans="1:45" s="520" customFormat="1" ht="12" customHeight="1">
      <c r="A4480" s="747">
        <v>2</v>
      </c>
      <c r="B4480" s="523" t="s">
        <v>141</v>
      </c>
      <c r="C4480" s="748"/>
      <c r="D4480" s="749" t="s">
        <v>1778</v>
      </c>
      <c r="E4480" s="750">
        <f ca="1">IF(AND($A4480=0,$A$1="DIF"),0, ROUND(ROUND(($R4485*$S$2+($T4485*$T$2))/A4480,2)*$C$2,2))</f>
        <v>46.93</v>
      </c>
      <c r="F4480" s="751">
        <f ca="1">ROUND($A4480*$E4480,2)</f>
        <v>93.86</v>
      </c>
      <c r="G4480" s="752" t="s">
        <v>142</v>
      </c>
      <c r="H4480" s="753"/>
      <c r="I4480" s="754"/>
      <c r="J4480" s="753"/>
      <c r="K4480" s="753" t="s">
        <v>3</v>
      </c>
      <c r="L4480" s="755" t="s">
        <v>143</v>
      </c>
      <c r="M4480" s="755"/>
      <c r="N4480" s="755"/>
      <c r="O4480" s="755"/>
      <c r="P4480" s="755"/>
      <c r="Q4480" s="51"/>
      <c r="T4480" s="756" t="str">
        <f ca="1">IF(AND($R4485=0,$T4485=0),"0.00","mu :" &amp; ROUND($F4480/$C$2/($R4485+$T4485*$D$9),2))</f>
        <v>mu :1.23</v>
      </c>
      <c r="W4480" s="524"/>
      <c r="AG4480" s="481">
        <f ca="1">IF($E4480=0,0,ROUND($R4485*$S$2*$C$2/$A4480,2))</f>
        <v>15.82</v>
      </c>
      <c r="AH4480" s="481">
        <f ca="1">$AG4480*$A4480</f>
        <v>31.64</v>
      </c>
      <c r="AI4480" s="525">
        <f ca="1">$E4480-$AG4480</f>
        <v>31.11</v>
      </c>
      <c r="AJ4480" s="525">
        <f ca="1">$A4480*$AI4480</f>
        <v>62.22</v>
      </c>
      <c r="AK4480" s="526">
        <f ca="1">ROUND(($AG4480+$AI4480)*$A4480,2)</f>
        <v>93.86</v>
      </c>
      <c r="AM4480" s="527">
        <f ca="1">ROUND(R4485,2)</f>
        <v>25.7</v>
      </c>
      <c r="AN4480" s="528">
        <f ca="1">ROUND(T4485,2)</f>
        <v>1.84</v>
      </c>
      <c r="AO4480" s="529">
        <f ca="1">ROUND(AM4480+AN4480,2)*A4480</f>
        <v>55.08</v>
      </c>
      <c r="AR4480" s="747">
        <v>2</v>
      </c>
      <c r="AS4480" s="751">
        <v>101.3</v>
      </c>
    </row>
    <row r="4481" spans="1:45" s="520" customFormat="1" ht="13.2">
      <c r="A4481" s="748"/>
      <c r="B4481"/>
      <c r="C4481" s="748"/>
      <c r="D4481" s="749" t="s">
        <v>777</v>
      </c>
      <c r="F4481" s="753"/>
      <c r="G4481" s="3"/>
      <c r="H4481" s="753"/>
      <c r="I4481" s="754"/>
      <c r="J4481" s="753"/>
      <c r="K4481" s="753" t="s">
        <v>144</v>
      </c>
      <c r="L4481" s="753"/>
      <c r="M4481" s="753"/>
      <c r="N4481" s="753"/>
      <c r="O4481" s="753"/>
      <c r="P4481" s="753"/>
      <c r="Q4481" s="51"/>
      <c r="R4481" s="530"/>
      <c r="S4481" s="757"/>
      <c r="T4481" s="753"/>
      <c r="AR4481" s="748"/>
      <c r="AS4481" s="753"/>
    </row>
    <row r="4482" spans="1:45" s="886" customFormat="1" ht="13.2">
      <c r="A4482"/>
      <c r="B4482" s="910"/>
      <c r="C4482" s="910" t="s">
        <v>2597</v>
      </c>
      <c r="D4482" s="910" t="str">
        <f ca="1">CELL("Address",Elec_Rates!D$30)</f>
        <v>[E25_0062_Quintano_Foods_Elec_ELV_As_Awarded.xlsx]Elec_Rates!$D$30</v>
      </c>
      <c r="E4482" s="911"/>
      <c r="F4482" s="911"/>
      <c r="G4482" s="912" t="s">
        <v>2598</v>
      </c>
      <c r="H4482" s="912"/>
      <c r="I4482" s="912"/>
      <c r="J4482" s="912"/>
      <c r="K4482" s="913"/>
      <c r="L4482" s="911"/>
      <c r="M4482" s="911"/>
      <c r="N4482" s="911"/>
      <c r="O4482" s="914"/>
      <c r="P4482" s="911"/>
      <c r="Q4482" s="915"/>
      <c r="R4482" s="916"/>
      <c r="S4482" s="915"/>
      <c r="T4482" s="917"/>
      <c r="U4482" s="918"/>
      <c r="AR4482"/>
      <c r="AS4482" s="911"/>
    </row>
    <row r="4483" spans="1:45" s="886" customFormat="1" ht="11.4">
      <c r="A4483" s="919">
        <v>2</v>
      </c>
      <c r="B4483" s="920">
        <v>1</v>
      </c>
      <c r="C4483" s="920">
        <f>$A4483*$B4483</f>
        <v>2</v>
      </c>
      <c r="D4483" s="921" t="str">
        <f>Elec_Rates!$D$30</f>
        <v>002# Maintaned Emergency Light point rate (LSZH Conduit)</v>
      </c>
      <c r="E4483" s="921"/>
      <c r="F4483" s="921" t="s">
        <v>2599</v>
      </c>
      <c r="G4483" s="922" t="s">
        <v>2600</v>
      </c>
      <c r="H4483" s="922"/>
      <c r="I4483" s="922"/>
      <c r="J4483" s="922"/>
      <c r="K4483" s="923"/>
      <c r="L4483" s="918"/>
      <c r="M4483" s="918"/>
      <c r="N4483" s="918"/>
      <c r="O4483" s="924"/>
      <c r="P4483" s="921"/>
      <c r="Q4483" s="925">
        <f ca="1">$B4483*Elec_Rates!$R$30</f>
        <v>12.85</v>
      </c>
      <c r="R4483" s="916">
        <f ca="1">$A4483*Q4483</f>
        <v>25.7</v>
      </c>
      <c r="S4483" s="925">
        <f ca="1">$B4483*Elec_Rates!$T$30</f>
        <v>0.92</v>
      </c>
      <c r="T4483" s="917">
        <f ca="1">$A4483*S4483</f>
        <v>1.84</v>
      </c>
      <c r="U4483" s="926"/>
      <c r="AR4483" s="919">
        <v>2</v>
      </c>
      <c r="AS4483" s="921" t="s">
        <v>2599</v>
      </c>
    </row>
    <row r="4484" spans="1:45" s="520" customFormat="1" ht="12">
      <c r="A4484" s="758"/>
      <c r="B4484" s="758"/>
      <c r="C4484" s="758"/>
      <c r="D4484" s="758"/>
      <c r="E4484" s="758"/>
      <c r="F4484" s="753"/>
      <c r="G4484" s="758"/>
      <c r="H4484" s="758"/>
      <c r="I4484" s="519"/>
      <c r="J4484" s="758"/>
      <c r="K4484" s="758"/>
      <c r="L4484" s="758"/>
      <c r="M4484" s="758"/>
      <c r="N4484" s="758"/>
      <c r="O4484" s="758"/>
      <c r="P4484" s="758"/>
      <c r="Q4484" s="519"/>
      <c r="R4484" s="759">
        <f>$A4484*Q4484</f>
        <v>0</v>
      </c>
      <c r="S4484" s="519"/>
      <c r="T4484" s="760">
        <f>$A4484*S4484*$T$1</f>
        <v>0</v>
      </c>
      <c r="AR4484" s="758"/>
      <c r="AS4484" s="753"/>
    </row>
    <row r="4485" spans="1:45" s="520" customFormat="1" ht="12.6" thickBot="1">
      <c r="A4485" s="761" t="s">
        <v>145</v>
      </c>
      <c r="B4485" s="762">
        <f>(R4484+T4484)</f>
        <v>0</v>
      </c>
      <c r="C4485" s="763"/>
      <c r="D4485" s="763"/>
      <c r="E4485" s="763"/>
      <c r="F4485" s="764"/>
      <c r="G4485" s="763" t="s">
        <v>146</v>
      </c>
      <c r="H4485" s="763"/>
      <c r="I4485" s="765"/>
      <c r="J4485" s="763"/>
      <c r="K4485" s="763" t="s">
        <v>3</v>
      </c>
      <c r="L4485" s="766" t="s">
        <v>143</v>
      </c>
      <c r="M4485" s="766"/>
      <c r="N4485" s="766"/>
      <c r="O4485" s="766"/>
      <c r="P4485" s="766"/>
      <c r="Q4485" s="767"/>
      <c r="R4485" s="768">
        <f ca="1">SUM(R4481:R4484)</f>
        <v>25.7</v>
      </c>
      <c r="S4485" s="763"/>
      <c r="T4485" s="768">
        <f ca="1">SUM(T4481:T4484)</f>
        <v>1.84</v>
      </c>
      <c r="U4485" s="531"/>
      <c r="V4485" s="531"/>
      <c r="W4485" s="531"/>
      <c r="X4485" s="531"/>
      <c r="Y4485" s="531"/>
      <c r="Z4485" s="531"/>
      <c r="AA4485" s="531"/>
      <c r="AB4485" s="531"/>
      <c r="AC4485" s="531"/>
      <c r="AD4485" s="531"/>
      <c r="AE4485" s="531"/>
      <c r="AF4485" s="531"/>
      <c r="AG4485" s="531"/>
      <c r="AH4485" s="531"/>
      <c r="AI4485" s="531"/>
      <c r="AJ4485" s="531"/>
      <c r="AK4485" s="531"/>
      <c r="AL4485" s="531"/>
      <c r="AM4485" s="531"/>
      <c r="AN4485" s="531"/>
      <c r="AO4485" s="531"/>
      <c r="AR4485" s="761" t="s">
        <v>145</v>
      </c>
      <c r="AS4485" s="764"/>
    </row>
    <row r="4486" spans="1:45" s="520" customFormat="1" thickTop="1">
      <c r="A4486" s="51"/>
      <c r="B4486" s="51"/>
      <c r="C4486" s="3"/>
      <c r="D4486" s="3"/>
      <c r="E4486" s="51"/>
      <c r="F4486" s="51"/>
      <c r="G4486" s="51"/>
      <c r="H4486" s="51"/>
      <c r="I4486" s="51"/>
      <c r="J4486" s="51"/>
      <c r="K4486" s="51" t="s">
        <v>134</v>
      </c>
      <c r="L4486" s="51"/>
      <c r="M4486" s="51"/>
      <c r="N4486" s="51"/>
      <c r="O4486" s="52"/>
      <c r="P4486" s="51"/>
      <c r="Q4486" s="51"/>
      <c r="R4486" s="51"/>
      <c r="S4486" s="51"/>
      <c r="T4486" s="51"/>
      <c r="AR4486" s="51"/>
      <c r="AS4486" s="51"/>
    </row>
    <row r="4487" spans="1:45" s="520" customFormat="1" ht="12">
      <c r="A4487" s="51"/>
      <c r="B4487" s="51"/>
      <c r="C4487" s="51" t="s">
        <v>135</v>
      </c>
      <c r="D4487" s="37"/>
      <c r="E4487" s="51"/>
      <c r="F4487" s="51"/>
      <c r="G4487" s="51"/>
      <c r="H4487" s="51"/>
      <c r="I4487" s="51"/>
      <c r="J4487" s="51"/>
      <c r="K4487" s="51"/>
      <c r="L4487" s="51"/>
      <c r="M4487" s="51"/>
      <c r="N4487" s="51"/>
      <c r="O4487" s="52"/>
      <c r="P4487" s="51"/>
      <c r="Q4487" s="51"/>
      <c r="R4487" s="51"/>
      <c r="S4487" s="51"/>
      <c r="T4487" s="51"/>
      <c r="AR4487" s="51"/>
      <c r="AS4487" s="51"/>
    </row>
    <row r="4488" spans="1:45" s="520" customFormat="1" ht="12">
      <c r="A4488" s="51"/>
      <c r="B4488" s="51"/>
      <c r="C4488" s="51"/>
      <c r="D4488" s="37" t="s">
        <v>778</v>
      </c>
      <c r="E4488" s="51"/>
      <c r="F4488" s="51"/>
      <c r="G4488" s="51"/>
      <c r="H4488" s="51"/>
      <c r="I4488" s="51"/>
      <c r="J4488" s="51"/>
      <c r="K4488" s="51"/>
      <c r="L4488" s="51"/>
      <c r="M4488" s="51"/>
      <c r="N4488" s="51"/>
      <c r="O4488" s="52"/>
      <c r="P4488" s="51"/>
      <c r="Q4488" s="51"/>
      <c r="R4488" s="51"/>
      <c r="S4488" s="38"/>
      <c r="T4488" s="38"/>
      <c r="AR4488" s="51"/>
      <c r="AS4488" s="51"/>
    </row>
    <row r="4489" spans="1:45" s="3" customFormat="1" thickBot="1">
      <c r="A4489" s="531"/>
      <c r="O4489" s="107"/>
      <c r="AR4489" s="531"/>
    </row>
    <row r="4490" spans="1:45" s="520" customFormat="1" ht="12" thickTop="1">
      <c r="A4490" s="51"/>
      <c r="B4490" s="41"/>
      <c r="C4490" s="51"/>
      <c r="E4490" s="42" t="s">
        <v>138</v>
      </c>
      <c r="F4490" s="42" t="s">
        <v>139</v>
      </c>
      <c r="G4490" s="51"/>
      <c r="H4490" s="51"/>
      <c r="I4490" s="51"/>
      <c r="J4490" s="51"/>
      <c r="K4490" s="51" t="s">
        <v>140</v>
      </c>
      <c r="L4490" s="51"/>
      <c r="M4490" s="51"/>
      <c r="N4490" s="51"/>
      <c r="O4490" s="52"/>
      <c r="P4490" s="51"/>
      <c r="Q4490" s="51"/>
      <c r="R4490" s="51"/>
      <c r="S4490" s="51"/>
      <c r="T4490" s="41"/>
      <c r="AG4490" s="521" t="s">
        <v>268</v>
      </c>
      <c r="AH4490" s="521" t="s">
        <v>269</v>
      </c>
      <c r="AI4490" s="521" t="s">
        <v>270</v>
      </c>
      <c r="AJ4490" s="521" t="s">
        <v>271</v>
      </c>
      <c r="AK4490" s="521" t="s">
        <v>272</v>
      </c>
      <c r="AM4490" s="745" t="s">
        <v>281</v>
      </c>
      <c r="AN4490" s="746" t="s">
        <v>282</v>
      </c>
      <c r="AO4490" s="522" t="s">
        <v>278</v>
      </c>
      <c r="AR4490" s="51"/>
      <c r="AS4490" s="42" t="s">
        <v>139</v>
      </c>
    </row>
    <row r="4491" spans="1:45" s="520" customFormat="1" ht="12" customHeight="1">
      <c r="A4491" s="747">
        <v>2</v>
      </c>
      <c r="B4491" s="523" t="s">
        <v>141</v>
      </c>
      <c r="C4491" s="748"/>
      <c r="D4491" s="749" t="s">
        <v>1779</v>
      </c>
      <c r="E4491" s="750">
        <f ca="1">IF(AND($A4491=0,$A$1="DIF"),0, ROUND(ROUND(($R4496*$S$2+($T4496*$T$2))/A4491,2)*$C$2,2))</f>
        <v>47.62</v>
      </c>
      <c r="F4491" s="751">
        <f ca="1">ROUND($A4491*$E4491,2)</f>
        <v>95.24</v>
      </c>
      <c r="G4491" s="752" t="s">
        <v>142</v>
      </c>
      <c r="H4491" s="753"/>
      <c r="I4491" s="754"/>
      <c r="J4491" s="753"/>
      <c r="K4491" s="753" t="s">
        <v>3</v>
      </c>
      <c r="L4491" s="755" t="s">
        <v>143</v>
      </c>
      <c r="M4491" s="755"/>
      <c r="N4491" s="755"/>
      <c r="O4491" s="755"/>
      <c r="P4491" s="755"/>
      <c r="Q4491" s="51"/>
      <c r="T4491" s="756" t="str">
        <f ca="1">IF(AND($R4496=0,$T4496=0),"0.00","mu :" &amp; ROUND($F4491/$C$2/($R4496+$T4496*$D$9),2))</f>
        <v>mu :1.23</v>
      </c>
      <c r="W4491" s="524"/>
      <c r="AG4491" s="481">
        <f ca="1">IF($E4491=0,0,ROUND($R4496*$S$2*$C$2/$A4491,2))</f>
        <v>38.49</v>
      </c>
      <c r="AH4491" s="481">
        <f ca="1">$AG4491*$A4491</f>
        <v>76.98</v>
      </c>
      <c r="AI4491" s="525">
        <f ca="1">$E4491-$AG4491</f>
        <v>9.1299999999999955</v>
      </c>
      <c r="AJ4491" s="525">
        <f ca="1">$A4491*$AI4491</f>
        <v>18.259999999999991</v>
      </c>
      <c r="AK4491" s="526">
        <f ca="1">ROUND(($AG4491+$AI4491)*$A4491,2)</f>
        <v>95.24</v>
      </c>
      <c r="AM4491" s="527">
        <f ca="1">ROUND(R4496,2)</f>
        <v>62.52</v>
      </c>
      <c r="AN4491" s="528">
        <f ca="1">ROUND(T4496,2)</f>
        <v>0.54</v>
      </c>
      <c r="AO4491" s="529">
        <f ca="1">ROUND(AM4491+AN4491,2)*A4491</f>
        <v>126.12</v>
      </c>
      <c r="AR4491" s="747">
        <v>2</v>
      </c>
      <c r="AS4491" s="751">
        <v>97.28</v>
      </c>
    </row>
    <row r="4492" spans="1:45" s="520" customFormat="1" ht="13.2">
      <c r="A4492" s="748"/>
      <c r="B4492"/>
      <c r="C4492" s="748"/>
      <c r="D4492" s="749" t="s">
        <v>780</v>
      </c>
      <c r="F4492" s="753"/>
      <c r="G4492" s="3"/>
      <c r="H4492" s="753"/>
      <c r="I4492" s="754"/>
      <c r="J4492" s="753"/>
      <c r="K4492" s="753" t="s">
        <v>144</v>
      </c>
      <c r="L4492" s="753"/>
      <c r="M4492" s="753"/>
      <c r="N4492" s="753"/>
      <c r="O4492" s="753"/>
      <c r="P4492" s="753"/>
      <c r="Q4492" s="51"/>
      <c r="R4492" s="530"/>
      <c r="S4492" s="757"/>
      <c r="T4492" s="753"/>
      <c r="AR4492" s="748"/>
      <c r="AS4492" s="753"/>
    </row>
    <row r="4493" spans="1:45" s="886" customFormat="1" ht="13.2">
      <c r="A4493"/>
      <c r="B4493" s="910"/>
      <c r="C4493" s="910" t="s">
        <v>2597</v>
      </c>
      <c r="D4493" s="910" t="str">
        <f ca="1">CELL("Address",Elec_Rates!D$156)</f>
        <v>[E25_0062_Quintano_Foods_Elec_ELV_As_Awarded.xlsx]Elec_Rates!$D$156</v>
      </c>
      <c r="E4493" s="911"/>
      <c r="F4493" s="911"/>
      <c r="G4493" s="912" t="s">
        <v>2598</v>
      </c>
      <c r="H4493" s="912"/>
      <c r="I4493" s="912"/>
      <c r="J4493" s="912"/>
      <c r="K4493" s="913"/>
      <c r="L4493" s="911"/>
      <c r="M4493" s="911"/>
      <c r="N4493" s="911"/>
      <c r="O4493" s="914"/>
      <c r="P4493" s="911"/>
      <c r="Q4493" s="915"/>
      <c r="R4493" s="916"/>
      <c r="S4493" s="915"/>
      <c r="T4493" s="917"/>
      <c r="U4493" s="918"/>
      <c r="AR4493"/>
      <c r="AS4493" s="911"/>
    </row>
    <row r="4494" spans="1:45" s="886" customFormat="1" ht="11.4">
      <c r="A4494" s="919">
        <v>2</v>
      </c>
      <c r="B4494" s="920">
        <v>1</v>
      </c>
      <c r="C4494" s="920">
        <f>$A4494*$B4494</f>
        <v>2</v>
      </c>
      <c r="D4494" s="921" t="str">
        <f>Elec_Rates!$D$156</f>
        <v>014# 3Pin 16Amp IP67 Unswitched Socket outlet</v>
      </c>
      <c r="E4494" s="921"/>
      <c r="F4494" s="921" t="s">
        <v>2599</v>
      </c>
      <c r="G4494" s="922" t="s">
        <v>2601</v>
      </c>
      <c r="H4494" s="922"/>
      <c r="I4494" s="922"/>
      <c r="J4494" s="922"/>
      <c r="K4494" s="923"/>
      <c r="L4494" s="918"/>
      <c r="M4494" s="918"/>
      <c r="N4494" s="918"/>
      <c r="O4494" s="924"/>
      <c r="P4494" s="921"/>
      <c r="Q4494" s="925">
        <f ca="1">$B4494*Elec_Rates!$R$156</f>
        <v>31.26</v>
      </c>
      <c r="R4494" s="916">
        <f ca="1">$A4494*Q4494</f>
        <v>62.52</v>
      </c>
      <c r="S4494" s="925">
        <f ca="1">$B4494*Elec_Rates!$T$156</f>
        <v>0.27</v>
      </c>
      <c r="T4494" s="917">
        <f ca="1">$A4494*S4494</f>
        <v>0.54</v>
      </c>
      <c r="U4494" s="926"/>
      <c r="AR4494" s="919">
        <v>2</v>
      </c>
      <c r="AS4494" s="921" t="s">
        <v>2599</v>
      </c>
    </row>
    <row r="4495" spans="1:45" s="520" customFormat="1" ht="12">
      <c r="A4495" s="758"/>
      <c r="B4495" s="758"/>
      <c r="C4495" s="758"/>
      <c r="D4495" s="758"/>
      <c r="E4495" s="758"/>
      <c r="F4495" s="753"/>
      <c r="G4495" s="758"/>
      <c r="H4495" s="758"/>
      <c r="I4495" s="519"/>
      <c r="J4495" s="758"/>
      <c r="K4495" s="758"/>
      <c r="L4495" s="758"/>
      <c r="M4495" s="758"/>
      <c r="N4495" s="758"/>
      <c r="O4495" s="758"/>
      <c r="P4495" s="758"/>
      <c r="Q4495" s="519"/>
      <c r="R4495" s="759">
        <f>$A4495*Q4495</f>
        <v>0</v>
      </c>
      <c r="S4495" s="519"/>
      <c r="T4495" s="760">
        <f>$A4495*S4495*$T$1</f>
        <v>0</v>
      </c>
      <c r="AR4495" s="758"/>
      <c r="AS4495" s="753"/>
    </row>
    <row r="4496" spans="1:45" s="520" customFormat="1" ht="12.6" thickBot="1">
      <c r="A4496" s="761" t="s">
        <v>145</v>
      </c>
      <c r="B4496" s="762">
        <f>(R4495+T4495)</f>
        <v>0</v>
      </c>
      <c r="C4496" s="763"/>
      <c r="D4496" s="763"/>
      <c r="E4496" s="763"/>
      <c r="F4496" s="764"/>
      <c r="G4496" s="763" t="s">
        <v>146</v>
      </c>
      <c r="H4496" s="763"/>
      <c r="I4496" s="765"/>
      <c r="J4496" s="763"/>
      <c r="K4496" s="763" t="s">
        <v>3</v>
      </c>
      <c r="L4496" s="766" t="s">
        <v>143</v>
      </c>
      <c r="M4496" s="766"/>
      <c r="N4496" s="766"/>
      <c r="O4496" s="766"/>
      <c r="P4496" s="766"/>
      <c r="Q4496" s="767"/>
      <c r="R4496" s="768">
        <f ca="1">SUM(R4492:R4495)</f>
        <v>62.52</v>
      </c>
      <c r="S4496" s="763"/>
      <c r="T4496" s="768">
        <f ca="1">SUM(T4492:T4495)</f>
        <v>0.54</v>
      </c>
      <c r="U4496" s="531"/>
      <c r="V4496" s="531"/>
      <c r="W4496" s="531"/>
      <c r="X4496" s="531"/>
      <c r="Y4496" s="531"/>
      <c r="Z4496" s="531"/>
      <c r="AA4496" s="531"/>
      <c r="AB4496" s="531"/>
      <c r="AC4496" s="531"/>
      <c r="AD4496" s="531"/>
      <c r="AE4496" s="531"/>
      <c r="AF4496" s="531"/>
      <c r="AG4496" s="531"/>
      <c r="AH4496" s="531"/>
      <c r="AI4496" s="531"/>
      <c r="AJ4496" s="531"/>
      <c r="AK4496" s="531"/>
      <c r="AL4496" s="531"/>
      <c r="AM4496" s="531"/>
      <c r="AN4496" s="531"/>
      <c r="AO4496" s="531"/>
      <c r="AR4496" s="761" t="s">
        <v>145</v>
      </c>
      <c r="AS4496" s="764"/>
    </row>
    <row r="4497" spans="1:45" s="520" customFormat="1" ht="12" thickTop="1">
      <c r="A4497" s="51"/>
      <c r="B4497" s="41"/>
      <c r="C4497" s="51"/>
      <c r="E4497" s="42" t="s">
        <v>138</v>
      </c>
      <c r="F4497" s="42" t="s">
        <v>139</v>
      </c>
      <c r="G4497" s="51"/>
      <c r="H4497" s="51"/>
      <c r="I4497" s="51"/>
      <c r="J4497" s="51"/>
      <c r="K4497" s="51" t="s">
        <v>140</v>
      </c>
      <c r="L4497" s="51"/>
      <c r="M4497" s="51"/>
      <c r="N4497" s="51"/>
      <c r="O4497" s="52"/>
      <c r="P4497" s="51"/>
      <c r="Q4497" s="51"/>
      <c r="R4497" s="51"/>
      <c r="S4497" s="51"/>
      <c r="T4497" s="41"/>
      <c r="AG4497" s="521" t="s">
        <v>268</v>
      </c>
      <c r="AH4497" s="521" t="s">
        <v>269</v>
      </c>
      <c r="AI4497" s="521" t="s">
        <v>270</v>
      </c>
      <c r="AJ4497" s="521" t="s">
        <v>271</v>
      </c>
      <c r="AK4497" s="521" t="s">
        <v>272</v>
      </c>
      <c r="AM4497" s="745" t="s">
        <v>281</v>
      </c>
      <c r="AN4497" s="746" t="s">
        <v>282</v>
      </c>
      <c r="AO4497" s="522" t="s">
        <v>278</v>
      </c>
      <c r="AR4497" s="51"/>
      <c r="AS4497" s="42" t="s">
        <v>139</v>
      </c>
    </row>
    <row r="4498" spans="1:45" s="520" customFormat="1" ht="12" customHeight="1">
      <c r="A4498" s="747">
        <v>9</v>
      </c>
      <c r="B4498" s="523" t="s">
        <v>141</v>
      </c>
      <c r="C4498" s="748"/>
      <c r="D4498" s="749" t="s">
        <v>1780</v>
      </c>
      <c r="E4498" s="750">
        <f>IF(AND($A4498=0,$A$1="DIF"),0, ROUND(ROUND(($R4504*$S$2+($T4504*$T$2))/A4498,2)*$C$2,2))</f>
        <v>20.64</v>
      </c>
      <c r="F4498" s="751">
        <f>ROUND($A4498*$E4498,2)</f>
        <v>185.76</v>
      </c>
      <c r="G4498" s="752" t="s">
        <v>142</v>
      </c>
      <c r="H4498" s="753"/>
      <c r="I4498" s="754"/>
      <c r="J4498" s="753"/>
      <c r="K4498" s="753" t="s">
        <v>3</v>
      </c>
      <c r="L4498" s="755" t="s">
        <v>143</v>
      </c>
      <c r="M4498" s="755"/>
      <c r="N4498" s="755"/>
      <c r="O4498" s="755"/>
      <c r="P4498" s="755"/>
      <c r="Q4498" s="51"/>
      <c r="T4498" s="756" t="str">
        <f>IF(AND($R4504=0,$T4504=0),"0.00","mu :" &amp; ROUND($F4498/$C$2/($R4504+$T4504*$D$9),2))</f>
        <v>mu :1.23</v>
      </c>
      <c r="W4498" s="524"/>
      <c r="AG4498" s="481">
        <f>IF($E4498=0,0,ROUND($R4504*$S$2*$C$2/$A4498,2))</f>
        <v>13.03</v>
      </c>
      <c r="AH4498" s="481">
        <f>$AG4498*$A4498</f>
        <v>117.27</v>
      </c>
      <c r="AI4498" s="525">
        <f>$E4498-$AG4498</f>
        <v>7.6100000000000012</v>
      </c>
      <c r="AJ4498" s="525">
        <f>$A4498*$AI4498</f>
        <v>68.490000000000009</v>
      </c>
      <c r="AK4498" s="526">
        <f>ROUND(($AG4498+$AI4498)*$A4498,2)</f>
        <v>185.76</v>
      </c>
      <c r="AM4498" s="527">
        <f>ROUND(R4504,2)</f>
        <v>95.22</v>
      </c>
      <c r="AN4498" s="528">
        <f>ROUND(T4504,2)</f>
        <v>2.0299999999999998</v>
      </c>
      <c r="AO4498" s="529">
        <f>ROUND(AM4498+AN4498,2)*A4498</f>
        <v>875.25</v>
      </c>
      <c r="AR4498" s="747">
        <v>9</v>
      </c>
      <c r="AS4498" s="751">
        <v>193.32</v>
      </c>
    </row>
    <row r="4499" spans="1:45" s="520" customFormat="1" ht="13.2">
      <c r="A4499" s="748"/>
      <c r="B4499"/>
      <c r="C4499" s="748"/>
      <c r="D4499" s="749" t="s">
        <v>1633</v>
      </c>
      <c r="F4499" s="753"/>
      <c r="G4499" s="3"/>
      <c r="H4499" s="753"/>
      <c r="I4499" s="754"/>
      <c r="J4499" s="753"/>
      <c r="K4499" s="753" t="s">
        <v>144</v>
      </c>
      <c r="L4499" s="753"/>
      <c r="M4499" s="753"/>
      <c r="N4499" s="753"/>
      <c r="O4499" s="753"/>
      <c r="P4499" s="753"/>
      <c r="Q4499" s="51"/>
      <c r="R4499" s="530"/>
      <c r="S4499" s="757"/>
      <c r="T4499" s="753"/>
      <c r="AR4499" s="748"/>
      <c r="AS4499" s="753"/>
    </row>
    <row r="4500" spans="1:45" s="901" customFormat="1" ht="13.2">
      <c r="A4500" s="116">
        <v>9</v>
      </c>
      <c r="B4500" s="901" t="s">
        <v>141</v>
      </c>
      <c r="D4500" s="901" t="s">
        <v>3000</v>
      </c>
      <c r="F4500" s="1054" t="s">
        <v>3323</v>
      </c>
      <c r="G4500" s="941" t="s">
        <v>3001</v>
      </c>
      <c r="H4500" s="942">
        <v>705</v>
      </c>
      <c r="I4500" s="901" t="s">
        <v>2607</v>
      </c>
      <c r="O4500" s="943">
        <v>3</v>
      </c>
      <c r="P4500" s="944"/>
      <c r="Q4500" s="945">
        <v>10.5</v>
      </c>
      <c r="R4500" s="946">
        <f>$A4500*Q4500</f>
        <v>94.5</v>
      </c>
      <c r="S4500" s="945">
        <v>0.25</v>
      </c>
      <c r="T4500" s="947">
        <f>$A4500*S4500*$T$1</f>
        <v>2.0249999999999999</v>
      </c>
      <c r="AR4500" s="116">
        <v>9</v>
      </c>
      <c r="AS4500" s="1054" t="s">
        <v>3323</v>
      </c>
    </row>
    <row r="4501" spans="1:45" s="901" customFormat="1" ht="13.2">
      <c r="A4501">
        <v>18</v>
      </c>
      <c r="B4501" s="901" t="s">
        <v>141</v>
      </c>
      <c r="D4501" s="901" t="s">
        <v>2739</v>
      </c>
      <c r="G4501" s="941" t="s">
        <v>2740</v>
      </c>
      <c r="H4501" s="942">
        <v>875</v>
      </c>
      <c r="I4501" s="901" t="s">
        <v>2607</v>
      </c>
      <c r="K4501" s="901" t="s">
        <v>2741</v>
      </c>
      <c r="O4501" s="943">
        <v>1</v>
      </c>
      <c r="P4501" s="944">
        <v>34669</v>
      </c>
      <c r="Q4501" s="945">
        <v>0.02</v>
      </c>
      <c r="R4501" s="946">
        <f>$A4501*Q4501</f>
        <v>0.36</v>
      </c>
      <c r="S4501" s="945"/>
      <c r="T4501" s="947">
        <f>$A4501*S4501*$T$1</f>
        <v>0</v>
      </c>
      <c r="AR4501">
        <v>18</v>
      </c>
    </row>
    <row r="4502" spans="1:45" s="901" customFormat="1" ht="13.2">
      <c r="A4502">
        <v>18</v>
      </c>
      <c r="B4502" s="901" t="s">
        <v>141</v>
      </c>
      <c r="D4502" s="901" t="s">
        <v>2742</v>
      </c>
      <c r="G4502" s="941" t="s">
        <v>2743</v>
      </c>
      <c r="H4502" s="942">
        <v>875</v>
      </c>
      <c r="I4502" s="901" t="s">
        <v>2607</v>
      </c>
      <c r="K4502" s="901" t="s">
        <v>2744</v>
      </c>
      <c r="O4502" s="943">
        <v>1</v>
      </c>
      <c r="P4502" s="944">
        <v>34669</v>
      </c>
      <c r="Q4502" s="945">
        <v>0.02</v>
      </c>
      <c r="R4502" s="946">
        <f>$A4502*Q4502</f>
        <v>0.36</v>
      </c>
      <c r="S4502" s="945"/>
      <c r="T4502" s="947">
        <f>$A4502*S4502*$T$1</f>
        <v>0</v>
      </c>
      <c r="AR4502">
        <v>18</v>
      </c>
    </row>
    <row r="4503" spans="1:45" s="520" customFormat="1" ht="12">
      <c r="A4503" s="758"/>
      <c r="B4503" s="758"/>
      <c r="C4503" s="758"/>
      <c r="D4503" s="758"/>
      <c r="E4503" s="758"/>
      <c r="F4503" s="753"/>
      <c r="G4503" s="758"/>
      <c r="H4503" s="758"/>
      <c r="I4503" s="519"/>
      <c r="J4503" s="758"/>
      <c r="K4503" s="758"/>
      <c r="L4503" s="758"/>
      <c r="M4503" s="758"/>
      <c r="N4503" s="758"/>
      <c r="O4503" s="758"/>
      <c r="P4503" s="758"/>
      <c r="Q4503" s="519"/>
      <c r="R4503" s="759">
        <f>$A4503*Q4503</f>
        <v>0</v>
      </c>
      <c r="S4503" s="519"/>
      <c r="T4503" s="760">
        <f>$A4503*S4503*$T$1</f>
        <v>0</v>
      </c>
      <c r="AR4503" s="758"/>
      <c r="AS4503" s="753"/>
    </row>
    <row r="4504" spans="1:45" s="520" customFormat="1" ht="12.6" thickBot="1">
      <c r="A4504" s="761" t="s">
        <v>145</v>
      </c>
      <c r="B4504" s="762">
        <f>(R4503+T4503)</f>
        <v>0</v>
      </c>
      <c r="C4504" s="763"/>
      <c r="D4504" s="763"/>
      <c r="E4504" s="763"/>
      <c r="F4504" s="764"/>
      <c r="G4504" s="763" t="s">
        <v>146</v>
      </c>
      <c r="H4504" s="763"/>
      <c r="I4504" s="765"/>
      <c r="J4504" s="763"/>
      <c r="K4504" s="763" t="s">
        <v>3</v>
      </c>
      <c r="L4504" s="766" t="s">
        <v>143</v>
      </c>
      <c r="M4504" s="766"/>
      <c r="N4504" s="766"/>
      <c r="O4504" s="766"/>
      <c r="P4504" s="766"/>
      <c r="Q4504" s="767"/>
      <c r="R4504" s="768">
        <f>SUM(R4499:R4503)</f>
        <v>95.22</v>
      </c>
      <c r="S4504" s="763"/>
      <c r="T4504" s="768">
        <f>SUM(T4499:T4503)</f>
        <v>2.0249999999999999</v>
      </c>
      <c r="U4504" s="531"/>
      <c r="V4504" s="531"/>
      <c r="W4504" s="531"/>
      <c r="X4504" s="531"/>
      <c r="Y4504" s="531"/>
      <c r="Z4504" s="531"/>
      <c r="AA4504" s="531"/>
      <c r="AB4504" s="531"/>
      <c r="AC4504" s="531"/>
      <c r="AD4504" s="531"/>
      <c r="AE4504" s="531"/>
      <c r="AF4504" s="531"/>
      <c r="AG4504" s="531"/>
      <c r="AH4504" s="531"/>
      <c r="AI4504" s="531"/>
      <c r="AJ4504" s="531"/>
      <c r="AK4504" s="531"/>
      <c r="AL4504" s="531"/>
      <c r="AM4504" s="531"/>
      <c r="AN4504" s="531"/>
      <c r="AO4504" s="531"/>
      <c r="AR4504" s="761" t="s">
        <v>145</v>
      </c>
      <c r="AS4504" s="764"/>
    </row>
    <row r="4505" spans="1:45" s="520" customFormat="1" ht="12" thickTop="1">
      <c r="A4505" s="51"/>
      <c r="B4505" s="41"/>
      <c r="C4505" s="51"/>
      <c r="E4505" s="42" t="s">
        <v>138</v>
      </c>
      <c r="F4505" s="42" t="s">
        <v>139</v>
      </c>
      <c r="G4505" s="51"/>
      <c r="H4505" s="51"/>
      <c r="I4505" s="51"/>
      <c r="J4505" s="51"/>
      <c r="K4505" s="51" t="s">
        <v>140</v>
      </c>
      <c r="L4505" s="51"/>
      <c r="M4505" s="51"/>
      <c r="N4505" s="51"/>
      <c r="O4505" s="52"/>
      <c r="P4505" s="51"/>
      <c r="Q4505" s="51"/>
      <c r="R4505" s="51"/>
      <c r="S4505" s="51"/>
      <c r="T4505" s="41"/>
      <c r="AG4505" s="521" t="s">
        <v>268</v>
      </c>
      <c r="AH4505" s="521" t="s">
        <v>269</v>
      </c>
      <c r="AI4505" s="521" t="s">
        <v>270</v>
      </c>
      <c r="AJ4505" s="521" t="s">
        <v>271</v>
      </c>
      <c r="AK4505" s="521" t="s">
        <v>272</v>
      </c>
      <c r="AM4505" s="745" t="s">
        <v>281</v>
      </c>
      <c r="AN4505" s="746" t="s">
        <v>282</v>
      </c>
      <c r="AO4505" s="522" t="s">
        <v>278</v>
      </c>
      <c r="AR4505" s="51"/>
      <c r="AS4505" s="42" t="s">
        <v>139</v>
      </c>
    </row>
    <row r="4506" spans="1:45" s="520" customFormat="1" ht="12" customHeight="1">
      <c r="A4506" s="747">
        <v>1</v>
      </c>
      <c r="B4506" s="523" t="s">
        <v>141</v>
      </c>
      <c r="C4506" s="748"/>
      <c r="D4506" s="749" t="s">
        <v>1781</v>
      </c>
      <c r="E4506" s="750">
        <f>IF(AND($A4506=0,$A$1="DIF"),0, ROUND(ROUND(($R4513*$S$2+($T4513*$T$2))/A4506,2)*$C$2,2))</f>
        <v>110.9</v>
      </c>
      <c r="F4506" s="751">
        <f>ROUND($A4506*$E4506,2)</f>
        <v>110.9</v>
      </c>
      <c r="G4506" s="752" t="s">
        <v>142</v>
      </c>
      <c r="H4506" s="753"/>
      <c r="I4506" s="754"/>
      <c r="J4506" s="753"/>
      <c r="K4506" s="753" t="s">
        <v>3</v>
      </c>
      <c r="L4506" s="755" t="s">
        <v>143</v>
      </c>
      <c r="M4506" s="755"/>
      <c r="N4506" s="755"/>
      <c r="O4506" s="755"/>
      <c r="P4506" s="755"/>
      <c r="Q4506" s="51"/>
      <c r="T4506" s="756" t="str">
        <f>IF(AND($R4513=0,$T4513=0),"0.00","mu :" &amp; ROUND($F4506/$C$2/($R4513+$T4513*$D$9),2))</f>
        <v>mu :1.23</v>
      </c>
      <c r="W4506" s="524"/>
      <c r="AG4506" s="481">
        <f>IF($E4506=0,0,ROUND($R4513*$S$2*$C$2/$A4506,2))</f>
        <v>61.44</v>
      </c>
      <c r="AH4506" s="481">
        <f>$AG4506*$A4506</f>
        <v>61.44</v>
      </c>
      <c r="AI4506" s="525">
        <f>$E4506-$AG4506</f>
        <v>49.460000000000008</v>
      </c>
      <c r="AJ4506" s="525">
        <f>$A4506*$AI4506</f>
        <v>49.460000000000008</v>
      </c>
      <c r="AK4506" s="526">
        <f>ROUND(($AG4506+$AI4506)*$A4506,2)</f>
        <v>110.9</v>
      </c>
      <c r="AM4506" s="527">
        <f>ROUND(R4513,2)</f>
        <v>49.9</v>
      </c>
      <c r="AN4506" s="528">
        <f>ROUND(T4513,2)</f>
        <v>1.46</v>
      </c>
      <c r="AO4506" s="529">
        <f>ROUND(AM4506+AN4506,2)*A4506</f>
        <v>51.36</v>
      </c>
      <c r="AR4506" s="747">
        <v>1</v>
      </c>
      <c r="AS4506" s="751">
        <v>116.39</v>
      </c>
    </row>
    <row r="4507" spans="1:45" s="520" customFormat="1" ht="13.2">
      <c r="A4507" s="748"/>
      <c r="B4507"/>
      <c r="C4507" s="748"/>
      <c r="D4507" s="749" t="s">
        <v>820</v>
      </c>
      <c r="F4507" s="753"/>
      <c r="G4507" s="3"/>
      <c r="H4507" s="753"/>
      <c r="I4507" s="754"/>
      <c r="J4507" s="753"/>
      <c r="K4507" s="753" t="s">
        <v>144</v>
      </c>
      <c r="L4507" s="753"/>
      <c r="M4507" s="753"/>
      <c r="N4507" s="753"/>
      <c r="O4507" s="753"/>
      <c r="P4507" s="753"/>
      <c r="Q4507" s="51"/>
      <c r="R4507" s="530"/>
      <c r="S4507" s="757"/>
      <c r="T4507" s="753"/>
      <c r="AR4507" s="748"/>
      <c r="AS4507" s="753"/>
    </row>
    <row r="4508" spans="1:45" s="901" customFormat="1" ht="13.2">
      <c r="A4508" s="116">
        <v>1</v>
      </c>
      <c r="B4508" s="901" t="s">
        <v>141</v>
      </c>
      <c r="D4508" s="901" t="s">
        <v>3012</v>
      </c>
      <c r="E4508" s="901" t="s">
        <v>3424</v>
      </c>
      <c r="F4508" s="1054" t="s">
        <v>3438</v>
      </c>
      <c r="G4508" s="941" t="s">
        <v>3013</v>
      </c>
      <c r="H4508" s="942">
        <v>705</v>
      </c>
      <c r="I4508" s="901" t="s">
        <v>3014</v>
      </c>
      <c r="J4508" s="901" t="s">
        <v>3015</v>
      </c>
      <c r="O4508" s="943">
        <v>3</v>
      </c>
      <c r="P4508" s="944">
        <v>34669</v>
      </c>
      <c r="Q4508" s="945">
        <v>30</v>
      </c>
      <c r="R4508" s="946">
        <f>$A4508*Q4508</f>
        <v>30</v>
      </c>
      <c r="S4508" s="945">
        <v>0.25</v>
      </c>
      <c r="T4508" s="947">
        <f>$A4508*S4508*$T$1</f>
        <v>0.22500000000000001</v>
      </c>
      <c r="AR4508" s="116">
        <v>1</v>
      </c>
      <c r="AS4508" s="1054" t="s">
        <v>3438</v>
      </c>
    </row>
    <row r="4509" spans="1:45" s="520" customFormat="1" ht="12">
      <c r="A4509" s="51"/>
      <c r="B4509" s="758"/>
      <c r="C4509" s="758"/>
      <c r="D4509" s="1061" t="s">
        <v>3016</v>
      </c>
      <c r="E4509" s="758"/>
      <c r="F4509" s="753"/>
      <c r="G4509" s="758"/>
      <c r="H4509" s="758"/>
      <c r="I4509" s="519"/>
      <c r="J4509" s="758"/>
      <c r="K4509" s="758"/>
      <c r="L4509" s="758"/>
      <c r="M4509" s="758"/>
      <c r="N4509" s="758"/>
      <c r="O4509" s="758"/>
      <c r="P4509" s="758"/>
      <c r="Q4509" s="519"/>
      <c r="R4509" s="759">
        <f>$A4509*Q4509</f>
        <v>0</v>
      </c>
      <c r="S4509" s="519"/>
      <c r="T4509" s="760">
        <f>$A4509*S4509*$T$1</f>
        <v>0</v>
      </c>
      <c r="AR4509" s="51"/>
      <c r="AS4509" s="753"/>
    </row>
    <row r="4510" spans="1:45" s="901" customFormat="1" ht="13.2">
      <c r="A4510">
        <v>5</v>
      </c>
      <c r="B4510" s="901" t="s">
        <v>320</v>
      </c>
      <c r="D4510" s="901" t="s">
        <v>2951</v>
      </c>
      <c r="G4510" s="941" t="s">
        <v>2952</v>
      </c>
      <c r="H4510" s="942">
        <v>690</v>
      </c>
      <c r="I4510" s="901" t="s">
        <v>2946</v>
      </c>
      <c r="J4510" s="901" t="s">
        <v>2953</v>
      </c>
      <c r="O4510" s="943">
        <v>1</v>
      </c>
      <c r="P4510" s="944">
        <v>34669</v>
      </c>
      <c r="Q4510" s="1197">
        <v>3.03</v>
      </c>
      <c r="R4510" s="946">
        <f>$A4510*Q4510</f>
        <v>15.149999999999999</v>
      </c>
      <c r="S4510" s="945">
        <v>0.2</v>
      </c>
      <c r="T4510" s="947">
        <f>$A4510*S4510*$T$1</f>
        <v>0.9</v>
      </c>
      <c r="AR4510">
        <v>5</v>
      </c>
    </row>
    <row r="4511" spans="1:45" s="901" customFormat="1" ht="13.2">
      <c r="A4511">
        <v>25</v>
      </c>
      <c r="B4511" s="901" t="s">
        <v>320</v>
      </c>
      <c r="D4511" s="901" t="s">
        <v>2954</v>
      </c>
      <c r="F4511" s="901" t="s">
        <v>3299</v>
      </c>
      <c r="G4511" s="941" t="s">
        <v>2955</v>
      </c>
      <c r="H4511" s="942">
        <v>615</v>
      </c>
      <c r="I4511" s="901" t="s">
        <v>2272</v>
      </c>
      <c r="K4511" s="901" t="s">
        <v>2956</v>
      </c>
      <c r="O4511" s="943">
        <v>2</v>
      </c>
      <c r="P4511" s="944">
        <v>38988</v>
      </c>
      <c r="Q4511" s="1194">
        <f>0.2*0.95</f>
        <v>0.19</v>
      </c>
      <c r="R4511" s="946">
        <f>$A4511*Q4511</f>
        <v>4.75</v>
      </c>
      <c r="S4511" s="945">
        <v>1.4999999999999999E-2</v>
      </c>
      <c r="T4511" s="947">
        <f>$A4511*S4511*$T$1</f>
        <v>0.33750000000000002</v>
      </c>
      <c r="AR4511">
        <v>25</v>
      </c>
      <c r="AS4511" s="901" t="s">
        <v>3299</v>
      </c>
    </row>
    <row r="4512" spans="1:45" s="520" customFormat="1" ht="12">
      <c r="A4512" s="758"/>
      <c r="B4512" s="758"/>
      <c r="C4512" s="758"/>
      <c r="D4512" s="758"/>
      <c r="E4512" s="758"/>
      <c r="F4512" s="753"/>
      <c r="G4512" s="758"/>
      <c r="H4512" s="758"/>
      <c r="I4512" s="519"/>
      <c r="J4512" s="758"/>
      <c r="K4512" s="758"/>
      <c r="L4512" s="758"/>
      <c r="M4512" s="758"/>
      <c r="N4512" s="758"/>
      <c r="O4512" s="758"/>
      <c r="P4512" s="758"/>
      <c r="Q4512" s="519"/>
      <c r="R4512" s="759">
        <f>$A4512*Q4512</f>
        <v>0</v>
      </c>
      <c r="S4512" s="519"/>
      <c r="T4512" s="760">
        <f>$A4512*S4512*$T$1</f>
        <v>0</v>
      </c>
      <c r="AR4512" s="758"/>
      <c r="AS4512" s="753"/>
    </row>
    <row r="4513" spans="1:45" s="520" customFormat="1" ht="12.6" thickBot="1">
      <c r="A4513" s="761" t="s">
        <v>145</v>
      </c>
      <c r="B4513" s="762">
        <f>(R4512+T4512)</f>
        <v>0</v>
      </c>
      <c r="C4513" s="763"/>
      <c r="D4513" s="763"/>
      <c r="E4513" s="763"/>
      <c r="F4513" s="764"/>
      <c r="G4513" s="763" t="s">
        <v>146</v>
      </c>
      <c r="H4513" s="763"/>
      <c r="I4513" s="765"/>
      <c r="J4513" s="763"/>
      <c r="K4513" s="763" t="s">
        <v>3</v>
      </c>
      <c r="L4513" s="766" t="s">
        <v>143</v>
      </c>
      <c r="M4513" s="766"/>
      <c r="N4513" s="766"/>
      <c r="O4513" s="766"/>
      <c r="P4513" s="766"/>
      <c r="Q4513" s="767"/>
      <c r="R4513" s="768">
        <f>SUM(R4507:R4512)</f>
        <v>49.9</v>
      </c>
      <c r="S4513" s="763"/>
      <c r="T4513" s="768">
        <f>SUM(T4507:T4512)</f>
        <v>1.4624999999999999</v>
      </c>
      <c r="U4513" s="531"/>
      <c r="V4513" s="531"/>
      <c r="W4513" s="531"/>
      <c r="X4513" s="531"/>
      <c r="Y4513" s="531"/>
      <c r="Z4513" s="531"/>
      <c r="AA4513" s="531"/>
      <c r="AB4513" s="531"/>
      <c r="AC4513" s="531"/>
      <c r="AD4513" s="531"/>
      <c r="AE4513" s="531"/>
      <c r="AF4513" s="531"/>
      <c r="AG4513" s="531"/>
      <c r="AH4513" s="531"/>
      <c r="AI4513" s="531"/>
      <c r="AJ4513" s="531"/>
      <c r="AK4513" s="531"/>
      <c r="AL4513" s="531"/>
      <c r="AM4513" s="531"/>
      <c r="AN4513" s="531"/>
      <c r="AO4513" s="531"/>
      <c r="AR4513" s="761" t="s">
        <v>145</v>
      </c>
      <c r="AS4513" s="764"/>
    </row>
    <row r="4514" spans="1:45" s="520" customFormat="1" ht="12" thickTop="1">
      <c r="A4514" s="51"/>
      <c r="B4514" s="41"/>
      <c r="C4514" s="51"/>
      <c r="E4514" s="42" t="s">
        <v>138</v>
      </c>
      <c r="F4514" s="42" t="s">
        <v>139</v>
      </c>
      <c r="G4514" s="51"/>
      <c r="H4514" s="51"/>
      <c r="I4514" s="51"/>
      <c r="J4514" s="51"/>
      <c r="K4514" s="51" t="s">
        <v>140</v>
      </c>
      <c r="L4514" s="51"/>
      <c r="M4514" s="51"/>
      <c r="N4514" s="51"/>
      <c r="O4514" s="52"/>
      <c r="P4514" s="51"/>
      <c r="Q4514" s="51"/>
      <c r="R4514" s="51"/>
      <c r="S4514" s="51"/>
      <c r="T4514" s="41"/>
      <c r="AG4514" s="521" t="s">
        <v>268</v>
      </c>
      <c r="AH4514" s="521" t="s">
        <v>269</v>
      </c>
      <c r="AI4514" s="521" t="s">
        <v>270</v>
      </c>
      <c r="AJ4514" s="521" t="s">
        <v>271</v>
      </c>
      <c r="AK4514" s="521" t="s">
        <v>272</v>
      </c>
      <c r="AM4514" s="745" t="s">
        <v>281</v>
      </c>
      <c r="AN4514" s="746" t="s">
        <v>282</v>
      </c>
      <c r="AO4514" s="522" t="s">
        <v>278</v>
      </c>
      <c r="AR4514" s="51"/>
      <c r="AS4514" s="42" t="s">
        <v>139</v>
      </c>
    </row>
    <row r="4515" spans="1:45" s="520" customFormat="1" ht="12" customHeight="1">
      <c r="A4515" s="747">
        <v>1</v>
      </c>
      <c r="B4515" s="523" t="s">
        <v>141</v>
      </c>
      <c r="C4515" s="748"/>
      <c r="D4515" s="749" t="s">
        <v>1782</v>
      </c>
      <c r="E4515" s="750">
        <f>IF(AND($A4515=0,$A$1="DIF"),0, ROUND(ROUND(($R4521*$S$2+($T4521*$T$2))/A4515,2)*$C$2,2))</f>
        <v>267.02999999999997</v>
      </c>
      <c r="F4515" s="751">
        <f>ROUND($A4515*$E4515,2)</f>
        <v>267.02999999999997</v>
      </c>
      <c r="G4515" s="752" t="s">
        <v>142</v>
      </c>
      <c r="H4515" s="753"/>
      <c r="I4515" s="754"/>
      <c r="J4515" s="753"/>
      <c r="K4515" s="753" t="s">
        <v>3</v>
      </c>
      <c r="L4515" s="755" t="s">
        <v>143</v>
      </c>
      <c r="M4515" s="755"/>
      <c r="N4515" s="755"/>
      <c r="O4515" s="755"/>
      <c r="P4515" s="755"/>
      <c r="Q4515" s="51"/>
      <c r="T4515" s="756" t="str">
        <f>IF(AND($R4521=0,$T4521=0),"0.00","mu :" &amp; ROUND($F4515/$C$2/($R4521+$T4521*$D$9),2))</f>
        <v>mu :1.23</v>
      </c>
      <c r="W4515" s="524"/>
      <c r="AG4515" s="481">
        <f>IF($E4515=0,0,ROUND($R4521*$S$2*$C$2/$A4515,2))</f>
        <v>156.26</v>
      </c>
      <c r="AH4515" s="481">
        <f>$AG4515*$A4515</f>
        <v>156.26</v>
      </c>
      <c r="AI4515" s="525">
        <f>$E4515-$AG4515</f>
        <v>110.76999999999998</v>
      </c>
      <c r="AJ4515" s="525">
        <f>$A4515*$AI4515</f>
        <v>110.76999999999998</v>
      </c>
      <c r="AK4515" s="526">
        <f>ROUND(($AG4515+$AI4515)*$A4515,2)</f>
        <v>267.02999999999997</v>
      </c>
      <c r="AM4515" s="527">
        <f>ROUND(R4521,2)</f>
        <v>126.9</v>
      </c>
      <c r="AN4515" s="528">
        <f>ROUND(T4521,2)</f>
        <v>3.28</v>
      </c>
      <c r="AO4515" s="529">
        <f>ROUND(AM4515+AN4515,2)*A4515</f>
        <v>130.18</v>
      </c>
      <c r="AR4515" s="747">
        <v>1</v>
      </c>
      <c r="AS4515" s="751">
        <v>279.33999999999997</v>
      </c>
    </row>
    <row r="4516" spans="1:45" s="520" customFormat="1" ht="39.9" customHeight="1">
      <c r="A4516" s="748"/>
      <c r="B4516"/>
      <c r="C4516" s="748"/>
      <c r="D4516" s="1451" t="s">
        <v>812</v>
      </c>
      <c r="E4516" s="1452"/>
      <c r="F4516" s="1452"/>
      <c r="G4516" s="1452"/>
      <c r="H4516" s="1452"/>
      <c r="I4516" s="1452"/>
      <c r="J4516" s="1452"/>
      <c r="K4516" s="1452"/>
      <c r="L4516" s="1452"/>
      <c r="M4516" s="1452"/>
      <c r="N4516" s="1452"/>
      <c r="O4516" s="1452"/>
      <c r="P4516" s="1452"/>
      <c r="Q4516" s="1452"/>
      <c r="R4516" s="1452"/>
      <c r="S4516" s="1452"/>
      <c r="T4516" s="1452"/>
      <c r="AR4516" s="748"/>
    </row>
    <row r="4517" spans="1:45" s="901" customFormat="1" ht="13.2">
      <c r="A4517" s="116">
        <v>18</v>
      </c>
      <c r="B4517" s="901" t="s">
        <v>320</v>
      </c>
      <c r="D4517" s="901" t="s">
        <v>3006</v>
      </c>
      <c r="E4517" s="901" t="s">
        <v>3415</v>
      </c>
      <c r="F4517" s="901" t="s">
        <v>3237</v>
      </c>
      <c r="G4517" s="941" t="s">
        <v>3007</v>
      </c>
      <c r="H4517" s="942">
        <v>700</v>
      </c>
      <c r="I4517" s="901" t="s">
        <v>3008</v>
      </c>
      <c r="J4517" s="901" t="s">
        <v>2947</v>
      </c>
      <c r="O4517" s="943">
        <v>1</v>
      </c>
      <c r="P4517" s="944">
        <v>42213</v>
      </c>
      <c r="Q4517" s="945">
        <v>2.0499999999999998</v>
      </c>
      <c r="R4517" s="946">
        <f>$A4517*Q4517</f>
        <v>36.9</v>
      </c>
      <c r="S4517" s="945">
        <v>0.18</v>
      </c>
      <c r="T4517" s="947">
        <f>$A4517*S4517*$T$1</f>
        <v>2.9159999999999999</v>
      </c>
      <c r="AR4517" s="116">
        <v>18</v>
      </c>
      <c r="AS4517" s="901" t="s">
        <v>3237</v>
      </c>
    </row>
    <row r="4518" spans="1:45" s="901" customFormat="1" ht="13.2">
      <c r="A4518">
        <v>1</v>
      </c>
      <c r="B4518" s="901" t="s">
        <v>329</v>
      </c>
      <c r="D4518" s="901" t="s">
        <v>3414</v>
      </c>
      <c r="E4518" s="901" t="s">
        <v>3413</v>
      </c>
      <c r="G4518" s="941" t="s">
        <v>3412</v>
      </c>
      <c r="H4518" s="942">
        <v>617</v>
      </c>
      <c r="I4518" s="901" t="s">
        <v>2607</v>
      </c>
      <c r="O4518" s="943">
        <v>2</v>
      </c>
      <c r="P4518" s="944">
        <v>39647</v>
      </c>
      <c r="Q4518" s="945">
        <v>30</v>
      </c>
      <c r="R4518" s="946">
        <f>$A4518*Q4518</f>
        <v>30</v>
      </c>
      <c r="S4518" s="945">
        <f>0.04*10</f>
        <v>0.4</v>
      </c>
      <c r="T4518" s="947">
        <f>$A4518*S4518*$T$1</f>
        <v>0.36000000000000004</v>
      </c>
      <c r="AR4518">
        <v>1</v>
      </c>
    </row>
    <row r="4519" spans="1:45" s="901" customFormat="1" ht="13.2">
      <c r="A4519" s="116">
        <v>2</v>
      </c>
      <c r="B4519" s="901" t="s">
        <v>141</v>
      </c>
      <c r="D4519" s="901" t="s">
        <v>3419</v>
      </c>
      <c r="E4519" s="901" t="s">
        <v>3420</v>
      </c>
      <c r="F4519" s="901" t="s">
        <v>3421</v>
      </c>
      <c r="G4519" s="941" t="s">
        <v>3416</v>
      </c>
      <c r="H4519" s="942">
        <v>705</v>
      </c>
      <c r="I4519" s="901" t="s">
        <v>3417</v>
      </c>
      <c r="J4519" s="901" t="s">
        <v>3418</v>
      </c>
      <c r="O4519" s="943">
        <v>3</v>
      </c>
      <c r="P4519" s="944">
        <v>38744</v>
      </c>
      <c r="Q4519" s="945">
        <v>30</v>
      </c>
      <c r="R4519" s="946">
        <f>$A4519*Q4519</f>
        <v>60</v>
      </c>
      <c r="S4519" s="945"/>
      <c r="T4519" s="947">
        <f>$A4519*S4519*$T$1</f>
        <v>0</v>
      </c>
      <c r="AR4519" s="116">
        <v>2</v>
      </c>
      <c r="AS4519" s="901" t="s">
        <v>3421</v>
      </c>
    </row>
    <row r="4520" spans="1:45" s="520" customFormat="1" ht="12">
      <c r="A4520" s="758"/>
      <c r="B4520" s="758"/>
      <c r="C4520" s="758"/>
      <c r="D4520" s="758"/>
      <c r="E4520" s="758"/>
      <c r="F4520" s="753"/>
      <c r="G4520" s="758"/>
      <c r="H4520" s="758"/>
      <c r="I4520" s="519"/>
      <c r="J4520" s="758"/>
      <c r="K4520" s="758"/>
      <c r="L4520" s="758"/>
      <c r="M4520" s="758"/>
      <c r="N4520" s="758"/>
      <c r="O4520" s="758"/>
      <c r="P4520" s="758"/>
      <c r="Q4520" s="519"/>
      <c r="R4520" s="759">
        <f>$A4520*Q4520</f>
        <v>0</v>
      </c>
      <c r="S4520" s="519"/>
      <c r="T4520" s="760">
        <f>$A4520*S4520*$T$1</f>
        <v>0</v>
      </c>
      <c r="AR4520" s="758"/>
      <c r="AS4520" s="753"/>
    </row>
    <row r="4521" spans="1:45" s="520" customFormat="1" ht="12.6" thickBot="1">
      <c r="A4521" s="761" t="s">
        <v>145</v>
      </c>
      <c r="B4521" s="762">
        <f>(R4520+T4520)</f>
        <v>0</v>
      </c>
      <c r="C4521" s="763"/>
      <c r="D4521" s="763"/>
      <c r="E4521" s="763"/>
      <c r="F4521" s="764"/>
      <c r="G4521" s="763" t="s">
        <v>146</v>
      </c>
      <c r="H4521" s="763"/>
      <c r="I4521" s="765"/>
      <c r="J4521" s="763"/>
      <c r="K4521" s="763" t="s">
        <v>3</v>
      </c>
      <c r="L4521" s="766" t="s">
        <v>143</v>
      </c>
      <c r="M4521" s="766"/>
      <c r="N4521" s="766"/>
      <c r="O4521" s="766"/>
      <c r="P4521" s="766"/>
      <c r="Q4521" s="767"/>
      <c r="R4521" s="768">
        <f>SUM(R4516:R4520)</f>
        <v>126.9</v>
      </c>
      <c r="S4521" s="763"/>
      <c r="T4521" s="768">
        <f>SUM(T4516:T4520)</f>
        <v>3.2759999999999998</v>
      </c>
      <c r="U4521" s="531"/>
      <c r="V4521" s="531"/>
      <c r="W4521" s="531"/>
      <c r="X4521" s="531"/>
      <c r="Y4521" s="531"/>
      <c r="Z4521" s="531"/>
      <c r="AA4521" s="531"/>
      <c r="AB4521" s="531"/>
      <c r="AC4521" s="531"/>
      <c r="AD4521" s="531"/>
      <c r="AE4521" s="531"/>
      <c r="AF4521" s="531"/>
      <c r="AG4521" s="531"/>
      <c r="AH4521" s="531"/>
      <c r="AI4521" s="531"/>
      <c r="AJ4521" s="531"/>
      <c r="AK4521" s="531"/>
      <c r="AL4521" s="531"/>
      <c r="AM4521" s="531"/>
      <c r="AN4521" s="531"/>
      <c r="AO4521" s="531"/>
      <c r="AR4521" s="761" t="s">
        <v>145</v>
      </c>
      <c r="AS4521" s="764"/>
    </row>
    <row r="4522" spans="1:45" s="520" customFormat="1" ht="12" thickTop="1">
      <c r="A4522" s="48" t="s">
        <v>148</v>
      </c>
      <c r="D4522" s="13"/>
      <c r="E4522" s="42"/>
      <c r="O4522" s="771"/>
      <c r="AR4522" s="48" t="s">
        <v>148</v>
      </c>
    </row>
    <row r="4523" spans="1:45" s="520" customFormat="1" ht="13.2">
      <c r="B4523" s="3"/>
      <c r="O4523" s="771"/>
    </row>
    <row r="4524" spans="1:45" s="520" customFormat="1" ht="12">
      <c r="B4524" s="772">
        <f ca="1">$F4524/$C$2-($R4524*$S$2+$T4524*$T$2)</f>
        <v>-6.9685956823377637E-3</v>
      </c>
      <c r="D4524" s="773" t="s">
        <v>3634</v>
      </c>
      <c r="E4524" s="774"/>
      <c r="F4524" s="775">
        <f ca="1">SUMIF($L4207:$L4522,"ITEM",F4207:F4522)</f>
        <v>12682.090000000002</v>
      </c>
      <c r="G4524" s="758"/>
      <c r="H4524" s="758"/>
      <c r="I4524" s="519"/>
      <c r="J4524" s="758"/>
      <c r="K4524" s="758"/>
      <c r="L4524" s="755" t="s">
        <v>157</v>
      </c>
      <c r="M4524" s="755"/>
      <c r="N4524" s="755"/>
      <c r="O4524" s="755"/>
      <c r="P4524" s="755"/>
      <c r="R4524" s="775">
        <f ca="1">SUMIF($L4207:$L4522,"ITEM",R4207:R4522)</f>
        <v>4512.3500000000013</v>
      </c>
      <c r="S4524" s="776"/>
      <c r="T4524" s="775">
        <f ca="1">SUMIF($L4207:$L4522,"ITEM",T4207:T4522)</f>
        <v>210.74450000000002</v>
      </c>
      <c r="AS4524" s="775">
        <v>13485.309999999998</v>
      </c>
    </row>
    <row r="4525" spans="1:45" s="520" customFormat="1" ht="13.2">
      <c r="A4525" s="51"/>
      <c r="B4525" s="49" t="s">
        <v>1064</v>
      </c>
      <c r="C4525" s="51"/>
      <c r="D4525" s="3"/>
      <c r="F4525" s="777" t="s">
        <v>158</v>
      </c>
      <c r="G4525" s="758"/>
      <c r="H4525" s="758"/>
      <c r="I4525" s="519"/>
      <c r="J4525" s="758"/>
      <c r="K4525" s="758"/>
      <c r="L4525" s="758"/>
      <c r="M4525" s="758"/>
      <c r="N4525" s="758"/>
      <c r="O4525" s="758"/>
      <c r="P4525" s="758"/>
      <c r="Q4525" s="778"/>
      <c r="R4525" s="777" t="s">
        <v>159</v>
      </c>
      <c r="S4525" s="38"/>
      <c r="T4525" s="777" t="s">
        <v>160</v>
      </c>
      <c r="AR4525" s="51"/>
      <c r="AS4525" s="777" t="s">
        <v>158</v>
      </c>
    </row>
    <row r="4526" spans="1:45" s="520" customFormat="1" ht="13.2">
      <c r="A4526" s="758"/>
      <c r="B4526" s="3"/>
      <c r="C4526" s="758"/>
      <c r="D4526" s="3"/>
      <c r="E4526" s="3"/>
      <c r="G4526" s="3"/>
      <c r="H4526" s="3"/>
      <c r="I4526" s="3"/>
      <c r="J4526" s="3"/>
      <c r="K4526" s="3"/>
      <c r="L4526" s="3"/>
      <c r="M4526" s="3"/>
      <c r="N4526" s="3"/>
      <c r="O4526" s="107"/>
      <c r="P4526" s="3"/>
      <c r="Q4526" s="3"/>
      <c r="R4526" s="3"/>
      <c r="S4526" s="3"/>
      <c r="T4526" s="3"/>
      <c r="AR4526" s="758"/>
    </row>
    <row r="4527" spans="1:45" s="520" customFormat="1" ht="12" thickBot="1">
      <c r="A4527" s="531"/>
      <c r="B4527" s="763"/>
      <c r="C4527" s="763"/>
      <c r="D4527" s="531"/>
      <c r="E4527" s="39"/>
      <c r="F4527" s="779"/>
      <c r="G4527" s="763"/>
      <c r="H4527" s="763"/>
      <c r="I4527" s="765"/>
      <c r="J4527" s="763"/>
      <c r="K4527" s="763"/>
      <c r="L4527" s="766"/>
      <c r="M4527" s="766"/>
      <c r="N4527" s="766"/>
      <c r="O4527" s="766"/>
      <c r="P4527" s="766"/>
      <c r="Q4527" s="767"/>
      <c r="R4527" s="779"/>
      <c r="S4527" s="780"/>
      <c r="T4527" s="779"/>
      <c r="U4527" s="531"/>
      <c r="V4527" s="531"/>
      <c r="W4527" s="531"/>
      <c r="X4527" s="531"/>
      <c r="Y4527" s="531"/>
      <c r="Z4527" s="531"/>
      <c r="AA4527" s="531"/>
      <c r="AB4527" s="531"/>
      <c r="AC4527" s="531"/>
      <c r="AD4527" s="531"/>
      <c r="AE4527" s="531"/>
      <c r="AF4527" s="531"/>
      <c r="AG4527" s="531"/>
      <c r="AH4527" s="531"/>
      <c r="AI4527" s="531"/>
      <c r="AJ4527" s="531"/>
      <c r="AK4527" s="531"/>
      <c r="AR4527" s="531"/>
      <c r="AS4527" s="779"/>
    </row>
    <row r="4528" spans="1:45" s="520" customFormat="1" thickTop="1">
      <c r="A4528" s="51"/>
      <c r="B4528" s="51"/>
      <c r="C4528" s="3"/>
      <c r="D4528" s="3"/>
      <c r="E4528" s="51"/>
      <c r="F4528" s="51"/>
      <c r="G4528" s="51"/>
      <c r="H4528" s="51"/>
      <c r="I4528" s="51"/>
      <c r="J4528" s="51"/>
      <c r="K4528" s="51" t="s">
        <v>134</v>
      </c>
      <c r="L4528" s="51"/>
      <c r="M4528" s="51"/>
      <c r="N4528" s="51"/>
      <c r="O4528" s="52"/>
      <c r="P4528" s="51"/>
      <c r="Q4528" s="51"/>
      <c r="R4528" s="51"/>
      <c r="S4528" s="51"/>
      <c r="T4528" s="51"/>
      <c r="AR4528" s="51"/>
      <c r="AS4528" s="51"/>
    </row>
    <row r="4529" spans="1:45" s="520" customFormat="1" ht="12">
      <c r="A4529" s="51"/>
      <c r="B4529" s="51"/>
      <c r="C4529" s="51" t="s">
        <v>135</v>
      </c>
      <c r="D4529" s="37"/>
      <c r="E4529" s="51"/>
      <c r="F4529" s="51"/>
      <c r="G4529" s="51"/>
      <c r="H4529" s="51"/>
      <c r="I4529" s="51"/>
      <c r="J4529" s="51"/>
      <c r="K4529" s="51"/>
      <c r="L4529" s="51"/>
      <c r="M4529" s="51"/>
      <c r="N4529" s="51"/>
      <c r="O4529" s="52"/>
      <c r="P4529" s="51"/>
      <c r="Q4529" s="51"/>
      <c r="R4529" s="51"/>
      <c r="S4529" s="51"/>
      <c r="T4529" s="51"/>
      <c r="AR4529" s="51"/>
      <c r="AS4529" s="51"/>
    </row>
    <row r="4530" spans="1:45" s="520" customFormat="1" ht="12">
      <c r="A4530" s="51"/>
      <c r="B4530" s="51"/>
      <c r="C4530" s="51"/>
      <c r="D4530" s="37" t="s">
        <v>368</v>
      </c>
      <c r="E4530" s="51"/>
      <c r="F4530" s="51"/>
      <c r="G4530" s="51"/>
      <c r="H4530" s="51"/>
      <c r="I4530" s="51"/>
      <c r="J4530" s="51"/>
      <c r="K4530" s="51"/>
      <c r="L4530" s="51"/>
      <c r="M4530" s="51"/>
      <c r="N4530" s="51"/>
      <c r="O4530" s="52"/>
      <c r="P4530" s="51"/>
      <c r="Q4530" s="51"/>
      <c r="R4530" s="51"/>
      <c r="S4530" s="38"/>
      <c r="T4530" s="38"/>
      <c r="AR4530" s="51"/>
      <c r="AS4530" s="51"/>
    </row>
    <row r="4531" spans="1:45" s="3" customFormat="1" thickBot="1">
      <c r="A4531" s="531"/>
      <c r="O4531" s="107"/>
      <c r="AR4531" s="531"/>
    </row>
    <row r="4532" spans="1:45" s="520" customFormat="1" thickTop="1">
      <c r="A4532" s="51"/>
      <c r="B4532" s="51"/>
      <c r="C4532" s="3"/>
      <c r="D4532" s="3"/>
      <c r="E4532" s="51"/>
      <c r="F4532" s="51"/>
      <c r="G4532" s="51"/>
      <c r="H4532" s="51"/>
      <c r="I4532" s="51"/>
      <c r="J4532" s="51"/>
      <c r="K4532" s="51" t="s">
        <v>134</v>
      </c>
      <c r="L4532" s="51"/>
      <c r="M4532" s="51"/>
      <c r="N4532" s="51"/>
      <c r="O4532" s="52"/>
      <c r="P4532" s="51"/>
      <c r="Q4532" s="51"/>
      <c r="R4532" s="51"/>
      <c r="S4532" s="51"/>
      <c r="T4532" s="51"/>
      <c r="AR4532" s="51"/>
      <c r="AS4532" s="51"/>
    </row>
    <row r="4533" spans="1:45" s="520" customFormat="1" ht="12">
      <c r="A4533" s="51"/>
      <c r="B4533" s="51"/>
      <c r="C4533" s="51" t="s">
        <v>135</v>
      </c>
      <c r="D4533" s="37"/>
      <c r="E4533" s="51"/>
      <c r="F4533" s="51"/>
      <c r="G4533" s="51"/>
      <c r="H4533" s="51"/>
      <c r="I4533" s="51"/>
      <c r="J4533" s="51"/>
      <c r="K4533" s="51"/>
      <c r="L4533" s="51"/>
      <c r="M4533" s="51"/>
      <c r="N4533" s="51"/>
      <c r="O4533" s="52"/>
      <c r="P4533" s="51"/>
      <c r="Q4533" s="51"/>
      <c r="R4533" s="51"/>
      <c r="S4533" s="51"/>
      <c r="T4533" s="51"/>
      <c r="AR4533" s="51"/>
      <c r="AS4533" s="51"/>
    </row>
    <row r="4534" spans="1:45" s="520" customFormat="1" ht="39.9" customHeight="1">
      <c r="A4534" s="51"/>
      <c r="B4534" s="51"/>
      <c r="C4534" s="51"/>
      <c r="D4534" s="1453" t="s">
        <v>1660</v>
      </c>
      <c r="E4534" s="1452"/>
      <c r="F4534" s="1452"/>
      <c r="G4534" s="1452"/>
      <c r="H4534" s="1452"/>
      <c r="I4534" s="1452"/>
      <c r="J4534" s="1452"/>
      <c r="K4534" s="1452"/>
      <c r="L4534" s="1452"/>
      <c r="M4534" s="1452"/>
      <c r="N4534" s="1452"/>
      <c r="O4534" s="1452"/>
      <c r="P4534" s="1452"/>
      <c r="Q4534" s="1452"/>
      <c r="R4534" s="1452"/>
      <c r="S4534" s="1452"/>
      <c r="T4534" s="1452"/>
      <c r="AR4534" s="51"/>
    </row>
    <row r="4535" spans="1:45" s="3" customFormat="1" thickBot="1">
      <c r="A4535" s="531"/>
      <c r="O4535" s="107"/>
      <c r="AR4535" s="531"/>
    </row>
    <row r="4536" spans="1:45" s="520" customFormat="1" thickTop="1">
      <c r="A4536" s="51"/>
      <c r="B4536" s="51"/>
      <c r="C4536" s="3"/>
      <c r="D4536" s="3"/>
      <c r="E4536" s="51"/>
      <c r="F4536" s="51"/>
      <c r="G4536" s="51"/>
      <c r="H4536" s="51"/>
      <c r="I4536" s="51"/>
      <c r="J4536" s="51"/>
      <c r="K4536" s="51" t="s">
        <v>134</v>
      </c>
      <c r="L4536" s="51"/>
      <c r="M4536" s="51"/>
      <c r="N4536" s="51"/>
      <c r="O4536" s="52"/>
      <c r="P4536" s="51"/>
      <c r="Q4536" s="51"/>
      <c r="R4536" s="51"/>
      <c r="S4536" s="51"/>
      <c r="T4536" s="51"/>
      <c r="AR4536" s="51"/>
      <c r="AS4536" s="51"/>
    </row>
    <row r="4537" spans="1:45" s="520" customFormat="1" ht="12">
      <c r="A4537" s="51"/>
      <c r="B4537" s="51"/>
      <c r="C4537" s="51" t="s">
        <v>135</v>
      </c>
      <c r="D4537" s="37"/>
      <c r="E4537" s="51"/>
      <c r="F4537" s="51"/>
      <c r="G4537" s="51"/>
      <c r="H4537" s="51"/>
      <c r="I4537" s="51"/>
      <c r="J4537" s="51"/>
      <c r="K4537" s="51"/>
      <c r="L4537" s="51"/>
      <c r="M4537" s="51"/>
      <c r="N4537" s="51"/>
      <c r="O4537" s="52"/>
      <c r="P4537" s="51"/>
      <c r="Q4537" s="51"/>
      <c r="R4537" s="51"/>
      <c r="S4537" s="51"/>
      <c r="T4537" s="51"/>
      <c r="AR4537" s="51"/>
      <c r="AS4537" s="51"/>
    </row>
    <row r="4538" spans="1:45" s="520" customFormat="1" ht="12">
      <c r="A4538" s="51"/>
      <c r="B4538" s="51"/>
      <c r="C4538" s="51"/>
      <c r="D4538" s="37" t="s">
        <v>849</v>
      </c>
      <c r="E4538" s="51"/>
      <c r="F4538" s="51"/>
      <c r="G4538" s="51"/>
      <c r="H4538" s="51"/>
      <c r="I4538" s="51"/>
      <c r="J4538" s="51"/>
      <c r="K4538" s="51"/>
      <c r="L4538" s="51"/>
      <c r="M4538" s="51"/>
      <c r="N4538" s="51"/>
      <c r="O4538" s="52"/>
      <c r="P4538" s="51"/>
      <c r="Q4538" s="51"/>
      <c r="R4538" s="51"/>
      <c r="S4538" s="38"/>
      <c r="T4538" s="38"/>
      <c r="AR4538" s="51"/>
      <c r="AS4538" s="51"/>
    </row>
    <row r="4539" spans="1:45" s="3" customFormat="1" thickBot="1">
      <c r="A4539" s="531"/>
      <c r="O4539" s="107"/>
      <c r="AR4539" s="531"/>
    </row>
    <row r="4540" spans="1:45" s="520" customFormat="1" ht="12" thickTop="1">
      <c r="A4540" s="51"/>
      <c r="B4540" s="41"/>
      <c r="C4540" s="51"/>
      <c r="E4540" s="42" t="s">
        <v>138</v>
      </c>
      <c r="F4540" s="42" t="s">
        <v>139</v>
      </c>
      <c r="G4540" s="51"/>
      <c r="H4540" s="51"/>
      <c r="I4540" s="51"/>
      <c r="J4540" s="51"/>
      <c r="K4540" s="51" t="s">
        <v>140</v>
      </c>
      <c r="L4540" s="51"/>
      <c r="M4540" s="51"/>
      <c r="N4540" s="51"/>
      <c r="O4540" s="52"/>
      <c r="P4540" s="51"/>
      <c r="Q4540" s="51"/>
      <c r="R4540" s="51"/>
      <c r="S4540" s="51"/>
      <c r="T4540" s="41"/>
      <c r="AG4540" s="521" t="s">
        <v>268</v>
      </c>
      <c r="AH4540" s="521" t="s">
        <v>269</v>
      </c>
      <c r="AI4540" s="521" t="s">
        <v>270</v>
      </c>
      <c r="AJ4540" s="521" t="s">
        <v>271</v>
      </c>
      <c r="AK4540" s="521" t="s">
        <v>272</v>
      </c>
      <c r="AM4540" s="745" t="s">
        <v>281</v>
      </c>
      <c r="AN4540" s="746" t="s">
        <v>282</v>
      </c>
      <c r="AO4540" s="522" t="s">
        <v>278</v>
      </c>
      <c r="AR4540" s="51"/>
      <c r="AS4540" s="42" t="s">
        <v>139</v>
      </c>
    </row>
    <row r="4541" spans="1:45" s="520" customFormat="1" ht="12" customHeight="1">
      <c r="A4541" s="747">
        <v>1</v>
      </c>
      <c r="B4541" s="523" t="s">
        <v>141</v>
      </c>
      <c r="C4541" s="748"/>
      <c r="D4541" s="749" t="s">
        <v>1783</v>
      </c>
      <c r="E4541" s="750">
        <f ca="1">IF(AND($A4541=0,$A$1="DIF"),0, ROUND(ROUND(($R4547*$S$2+($T4547*$T$2))/A4541,2)*$C$2,2))</f>
        <v>75.63</v>
      </c>
      <c r="F4541" s="751">
        <f ca="1">ROUND($A4541*$E4541,2)</f>
        <v>75.63</v>
      </c>
      <c r="G4541" s="752" t="s">
        <v>142</v>
      </c>
      <c r="H4541" s="753"/>
      <c r="I4541" s="754"/>
      <c r="J4541" s="753"/>
      <c r="K4541" s="753" t="s">
        <v>3</v>
      </c>
      <c r="L4541" s="755" t="s">
        <v>143</v>
      </c>
      <c r="M4541" s="755"/>
      <c r="N4541" s="755"/>
      <c r="O4541" s="755"/>
      <c r="P4541" s="755"/>
      <c r="Q4541" s="51"/>
      <c r="T4541" s="756" t="str">
        <f ca="1">IF(AND($R4547=0,$T4547=0),"0.00","mu :" &amp; ROUND($F4541/$C$2/($R4547+$T4547*$D$9),2))</f>
        <v>mu :1.23</v>
      </c>
      <c r="W4541" s="524"/>
      <c r="AG4541" s="481">
        <f ca="1">IF($E4541=0,0,ROUND($R4547*$S$2*$C$2/$A4541,2))</f>
        <v>40.36</v>
      </c>
      <c r="AH4541" s="481">
        <f ca="1">$AG4541*$A4541</f>
        <v>40.36</v>
      </c>
      <c r="AI4541" s="525">
        <f ca="1">$E4541-$AG4541</f>
        <v>35.269999999999996</v>
      </c>
      <c r="AJ4541" s="525">
        <f ca="1">$A4541*$AI4541</f>
        <v>35.269999999999996</v>
      </c>
      <c r="AK4541" s="526">
        <f ca="1">ROUND(($AG4541+$AI4541)*$A4541,2)</f>
        <v>75.63</v>
      </c>
      <c r="AM4541" s="527">
        <f ca="1">ROUND(R4547,2)</f>
        <v>32.78</v>
      </c>
      <c r="AN4541" s="528">
        <f ca="1">ROUND(T4547,2)</f>
        <v>1.04</v>
      </c>
      <c r="AO4541" s="529">
        <f ca="1">ROUND(AM4541+AN4541,2)*A4541</f>
        <v>33.82</v>
      </c>
      <c r="AR4541" s="747">
        <v>1</v>
      </c>
      <c r="AS4541" s="751">
        <v>79.59</v>
      </c>
    </row>
    <row r="4542" spans="1:45" s="520" customFormat="1" ht="13.2">
      <c r="A4542" s="748"/>
      <c r="B4542"/>
      <c r="C4542" s="748"/>
      <c r="D4542" s="749" t="s">
        <v>843</v>
      </c>
      <c r="F4542" s="753"/>
      <c r="G4542" s="3"/>
      <c r="H4542" s="753"/>
      <c r="I4542" s="754"/>
      <c r="J4542" s="753"/>
      <c r="K4542" s="753" t="s">
        <v>144</v>
      </c>
      <c r="L4542" s="753"/>
      <c r="M4542" s="753"/>
      <c r="N4542" s="753"/>
      <c r="O4542" s="753"/>
      <c r="P4542" s="753"/>
      <c r="Q4542" s="51"/>
      <c r="R4542" s="530"/>
      <c r="S4542" s="757"/>
      <c r="T4542" s="753"/>
      <c r="AR4542" s="748"/>
      <c r="AS4542" s="753"/>
    </row>
    <row r="4543" spans="1:45" s="886" customFormat="1" ht="13.2">
      <c r="A4543"/>
      <c r="B4543" s="910"/>
      <c r="C4543" s="910" t="s">
        <v>2597</v>
      </c>
      <c r="D4543" s="910" t="str">
        <f ca="1">CELL("Address",Elec_Rates!D$39)</f>
        <v>[E25_0062_Quintano_Foods_Elec_ELV_As_Awarded.xlsx]Elec_Rates!$D$39</v>
      </c>
      <c r="E4543" s="911"/>
      <c r="F4543" s="911"/>
      <c r="G4543" s="912" t="s">
        <v>2598</v>
      </c>
      <c r="H4543" s="912"/>
      <c r="I4543" s="912"/>
      <c r="J4543" s="912"/>
      <c r="K4543" s="913"/>
      <c r="L4543" s="911"/>
      <c r="M4543" s="911"/>
      <c r="N4543" s="911"/>
      <c r="O4543" s="914"/>
      <c r="P4543" s="911"/>
      <c r="Q4543" s="915"/>
      <c r="R4543" s="916"/>
      <c r="S4543" s="915"/>
      <c r="T4543" s="917"/>
      <c r="U4543" s="918"/>
      <c r="AR4543"/>
      <c r="AS4543" s="911"/>
    </row>
    <row r="4544" spans="1:45" s="886" customFormat="1" ht="11.4">
      <c r="A4544" s="919">
        <v>1</v>
      </c>
      <c r="B4544" s="920">
        <v>1</v>
      </c>
      <c r="C4544" s="920">
        <f>$A4544*$B4544</f>
        <v>1</v>
      </c>
      <c r="D4544" s="921" t="str">
        <f>Elec_Rates!$D$39</f>
        <v>003# Power Point Rate (LSZH Conduit)</v>
      </c>
      <c r="E4544" s="921"/>
      <c r="F4544" s="921" t="s">
        <v>2599</v>
      </c>
      <c r="G4544" s="922" t="s">
        <v>2601</v>
      </c>
      <c r="H4544" s="922"/>
      <c r="I4544" s="922"/>
      <c r="J4544" s="922"/>
      <c r="K4544" s="923"/>
      <c r="L4544" s="918"/>
      <c r="M4544" s="918"/>
      <c r="N4544" s="918"/>
      <c r="O4544" s="924"/>
      <c r="P4544" s="921"/>
      <c r="Q4544" s="925">
        <f ca="1">$B4544*Elec_Rates!$R$39</f>
        <v>18.920000000000002</v>
      </c>
      <c r="R4544" s="916">
        <f ca="1">$A4544*Q4544</f>
        <v>18.920000000000002</v>
      </c>
      <c r="S4544" s="925">
        <f ca="1">$B4544*Elec_Rates!$T$39</f>
        <v>0.89</v>
      </c>
      <c r="T4544" s="917">
        <f ca="1">$A4544*S4544</f>
        <v>0.89</v>
      </c>
      <c r="U4544" s="926"/>
      <c r="AR4544" s="919">
        <v>1</v>
      </c>
      <c r="AS4544" s="921" t="s">
        <v>2599</v>
      </c>
    </row>
    <row r="4545" spans="1:45" s="901" customFormat="1" ht="13.2">
      <c r="A4545" s="116">
        <v>1</v>
      </c>
      <c r="B4545" s="901" t="s">
        <v>141</v>
      </c>
      <c r="D4545" s="901" t="s">
        <v>3033</v>
      </c>
      <c r="E4545" s="901" t="s">
        <v>3424</v>
      </c>
      <c r="F4545" s="1054" t="s">
        <v>3429</v>
      </c>
      <c r="G4545" s="941" t="s">
        <v>3031</v>
      </c>
      <c r="H4545" s="942">
        <v>705</v>
      </c>
      <c r="I4545" s="901" t="s">
        <v>2607</v>
      </c>
      <c r="O4545" s="943">
        <v>3</v>
      </c>
      <c r="P4545" s="944"/>
      <c r="Q4545" s="945">
        <v>13.86</v>
      </c>
      <c r="R4545" s="946">
        <f>$A4545*Q4545</f>
        <v>13.86</v>
      </c>
      <c r="S4545" s="945">
        <v>0.17</v>
      </c>
      <c r="T4545" s="947">
        <f>$A4545*S4545*$T$1</f>
        <v>0.15300000000000002</v>
      </c>
      <c r="AR4545" s="116">
        <v>1</v>
      </c>
      <c r="AS4545" s="1054" t="s">
        <v>3429</v>
      </c>
    </row>
    <row r="4546" spans="1:45" s="520" customFormat="1" ht="12">
      <c r="A4546" s="758"/>
      <c r="B4546" s="758"/>
      <c r="C4546" s="758"/>
      <c r="D4546" s="758"/>
      <c r="E4546" s="758"/>
      <c r="F4546" s="753"/>
      <c r="G4546" s="758"/>
      <c r="H4546" s="758"/>
      <c r="I4546" s="519"/>
      <c r="J4546" s="758"/>
      <c r="K4546" s="758"/>
      <c r="L4546" s="758"/>
      <c r="M4546" s="758"/>
      <c r="N4546" s="758"/>
      <c r="O4546" s="758"/>
      <c r="P4546" s="758"/>
      <c r="Q4546" s="519"/>
      <c r="R4546" s="759">
        <f>$A4546*Q4546</f>
        <v>0</v>
      </c>
      <c r="S4546" s="519"/>
      <c r="T4546" s="760">
        <f>$A4546*S4546*$T$1</f>
        <v>0</v>
      </c>
      <c r="AR4546" s="758"/>
      <c r="AS4546" s="753"/>
    </row>
    <row r="4547" spans="1:45" s="520" customFormat="1" ht="12.6" thickBot="1">
      <c r="A4547" s="761" t="s">
        <v>145</v>
      </c>
      <c r="B4547" s="762">
        <f>(R4546+T4546)</f>
        <v>0</v>
      </c>
      <c r="C4547" s="763"/>
      <c r="D4547" s="763"/>
      <c r="E4547" s="763"/>
      <c r="F4547" s="764"/>
      <c r="G4547" s="763" t="s">
        <v>146</v>
      </c>
      <c r="H4547" s="763"/>
      <c r="I4547" s="765"/>
      <c r="J4547" s="763"/>
      <c r="K4547" s="763" t="s">
        <v>3</v>
      </c>
      <c r="L4547" s="766" t="s">
        <v>143</v>
      </c>
      <c r="M4547" s="766"/>
      <c r="N4547" s="766"/>
      <c r="O4547" s="766"/>
      <c r="P4547" s="766"/>
      <c r="Q4547" s="767"/>
      <c r="R4547" s="768">
        <f ca="1">SUM(R4542:R4546)</f>
        <v>32.78</v>
      </c>
      <c r="S4547" s="763"/>
      <c r="T4547" s="768">
        <f ca="1">SUM(T4542:T4546)</f>
        <v>1.0430000000000001</v>
      </c>
      <c r="U4547" s="531"/>
      <c r="V4547" s="531"/>
      <c r="W4547" s="531"/>
      <c r="X4547" s="531"/>
      <c r="Y4547" s="531"/>
      <c r="Z4547" s="531"/>
      <c r="AA4547" s="531"/>
      <c r="AB4547" s="531"/>
      <c r="AC4547" s="531"/>
      <c r="AD4547" s="531"/>
      <c r="AE4547" s="531"/>
      <c r="AF4547" s="531"/>
      <c r="AG4547" s="531"/>
      <c r="AH4547" s="531"/>
      <c r="AI4547" s="531"/>
      <c r="AJ4547" s="531"/>
      <c r="AK4547" s="531"/>
      <c r="AL4547" s="531"/>
      <c r="AM4547" s="531"/>
      <c r="AN4547" s="531"/>
      <c r="AO4547" s="531"/>
      <c r="AR4547" s="761" t="s">
        <v>145</v>
      </c>
      <c r="AS4547" s="764"/>
    </row>
    <row r="4548" spans="1:45" s="520" customFormat="1" ht="12" thickTop="1">
      <c r="A4548" s="51"/>
      <c r="B4548" s="41"/>
      <c r="C4548" s="51"/>
      <c r="E4548" s="42" t="s">
        <v>138</v>
      </c>
      <c r="F4548" s="42" t="s">
        <v>139</v>
      </c>
      <c r="G4548" s="51"/>
      <c r="H4548" s="51"/>
      <c r="I4548" s="51"/>
      <c r="J4548" s="51"/>
      <c r="K4548" s="51" t="s">
        <v>140</v>
      </c>
      <c r="L4548" s="51"/>
      <c r="M4548" s="51"/>
      <c r="N4548" s="51"/>
      <c r="O4548" s="52"/>
      <c r="P4548" s="51"/>
      <c r="Q4548" s="51"/>
      <c r="R4548" s="51"/>
      <c r="S4548" s="51"/>
      <c r="T4548" s="41"/>
      <c r="AG4548" s="521" t="s">
        <v>268</v>
      </c>
      <c r="AH4548" s="521" t="s">
        <v>269</v>
      </c>
      <c r="AI4548" s="521" t="s">
        <v>270</v>
      </c>
      <c r="AJ4548" s="521" t="s">
        <v>271</v>
      </c>
      <c r="AK4548" s="521" t="s">
        <v>272</v>
      </c>
      <c r="AM4548" s="745" t="s">
        <v>281</v>
      </c>
      <c r="AN4548" s="746" t="s">
        <v>282</v>
      </c>
      <c r="AO4548" s="522" t="s">
        <v>278</v>
      </c>
      <c r="AR4548" s="51"/>
      <c r="AS4548" s="42" t="s">
        <v>139</v>
      </c>
    </row>
    <row r="4549" spans="1:45" s="520" customFormat="1" ht="12" customHeight="1">
      <c r="A4549" s="747">
        <v>88</v>
      </c>
      <c r="B4549" s="523" t="s">
        <v>141</v>
      </c>
      <c r="C4549" s="748"/>
      <c r="D4549" s="749" t="s">
        <v>1784</v>
      </c>
      <c r="E4549" s="750">
        <f ca="1">IF(AND($A4549=0,$A$1="DIF"),0, ROUND(ROUND(($R4555*$S$2+($T4555*$T$2))/A4549,2)*$C$2,2))</f>
        <v>61.52</v>
      </c>
      <c r="F4549" s="751">
        <f ca="1">ROUND($A4549*$E4549,2)</f>
        <v>5413.76</v>
      </c>
      <c r="G4549" s="752" t="s">
        <v>142</v>
      </c>
      <c r="H4549" s="753"/>
      <c r="I4549" s="754"/>
      <c r="J4549" s="753"/>
      <c r="K4549" s="753" t="s">
        <v>3</v>
      </c>
      <c r="L4549" s="755" t="s">
        <v>143</v>
      </c>
      <c r="M4549" s="755"/>
      <c r="N4549" s="755"/>
      <c r="O4549" s="755"/>
      <c r="P4549" s="755"/>
      <c r="Q4549" s="51"/>
      <c r="T4549" s="756" t="str">
        <f ca="1">IF(AND($R4555=0,$T4555=0),"0.00","mu :" &amp; ROUND($F4549/$C$2/($R4555+$T4555*$D$9),2))</f>
        <v>mu :1.23</v>
      </c>
      <c r="W4549" s="524"/>
      <c r="AG4549" s="481">
        <f ca="1">IF($E4549=0,0,ROUND($R4555*$S$2*$C$2/$A4549,2))</f>
        <v>26.25</v>
      </c>
      <c r="AH4549" s="481">
        <f ca="1">$AG4549*$A4549</f>
        <v>2310</v>
      </c>
      <c r="AI4549" s="525">
        <f ca="1">$E4549-$AG4549</f>
        <v>35.270000000000003</v>
      </c>
      <c r="AJ4549" s="525">
        <f ca="1">$A4549*$AI4549</f>
        <v>3103.76</v>
      </c>
      <c r="AK4549" s="526">
        <f ca="1">ROUND(($AG4549+$AI4549)*$A4549,2)</f>
        <v>5413.76</v>
      </c>
      <c r="AM4549" s="527">
        <f ca="1">ROUND(R4555,2)</f>
        <v>1876.16</v>
      </c>
      <c r="AN4549" s="528">
        <f ca="1">ROUND(T4555,2)</f>
        <v>91.78</v>
      </c>
      <c r="AO4549" s="529">
        <f ca="1">ROUND(AM4549+AN4549,2)*A4549</f>
        <v>173178.72</v>
      </c>
      <c r="AR4549" s="747">
        <v>88</v>
      </c>
      <c r="AS4549" s="751">
        <v>5761.36</v>
      </c>
    </row>
    <row r="4550" spans="1:45" s="520" customFormat="1" ht="13.2">
      <c r="A4550" s="748"/>
      <c r="B4550"/>
      <c r="C4550" s="748"/>
      <c r="D4550" s="749" t="s">
        <v>788</v>
      </c>
      <c r="F4550" s="753"/>
      <c r="G4550" s="3"/>
      <c r="H4550" s="753"/>
      <c r="I4550" s="754"/>
      <c r="J4550" s="753"/>
      <c r="K4550" s="753" t="s">
        <v>144</v>
      </c>
      <c r="L4550" s="753"/>
      <c r="M4550" s="753"/>
      <c r="N4550" s="753"/>
      <c r="O4550" s="753"/>
      <c r="P4550" s="753"/>
      <c r="Q4550" s="51"/>
      <c r="R4550" s="530"/>
      <c r="S4550" s="757"/>
      <c r="T4550" s="753"/>
      <c r="AR4550" s="748"/>
      <c r="AS4550" s="753"/>
    </row>
    <row r="4551" spans="1:45" s="886" customFormat="1" ht="13.2">
      <c r="A4551"/>
      <c r="B4551" s="910"/>
      <c r="C4551" s="910" t="s">
        <v>2597</v>
      </c>
      <c r="D4551" s="910" t="str">
        <f ca="1">CELL("Address",Elec_Rates!D$39)</f>
        <v>[E25_0062_Quintano_Foods_Elec_ELV_As_Awarded.xlsx]Elec_Rates!$D$39</v>
      </c>
      <c r="E4551" s="911"/>
      <c r="F4551" s="911"/>
      <c r="G4551" s="912" t="s">
        <v>2598</v>
      </c>
      <c r="H4551" s="912"/>
      <c r="I4551" s="912"/>
      <c r="J4551" s="912"/>
      <c r="K4551" s="913"/>
      <c r="L4551" s="911"/>
      <c r="M4551" s="911"/>
      <c r="N4551" s="911"/>
      <c r="O4551" s="914"/>
      <c r="P4551" s="911"/>
      <c r="Q4551" s="915"/>
      <c r="R4551" s="916"/>
      <c r="S4551" s="915"/>
      <c r="T4551" s="917"/>
      <c r="U4551" s="918"/>
      <c r="AR4551"/>
      <c r="AS4551" s="911"/>
    </row>
    <row r="4552" spans="1:45" s="886" customFormat="1" ht="11.4">
      <c r="A4552" s="919">
        <v>88</v>
      </c>
      <c r="B4552" s="920">
        <v>1</v>
      </c>
      <c r="C4552" s="920">
        <f>$A4552*$B4552</f>
        <v>88</v>
      </c>
      <c r="D4552" s="921" t="str">
        <f>Elec_Rates!$D$39</f>
        <v>003# Power Point Rate (LSZH Conduit)</v>
      </c>
      <c r="E4552" s="921"/>
      <c r="F4552" s="921" t="s">
        <v>2599</v>
      </c>
      <c r="G4552" s="922" t="s">
        <v>2601</v>
      </c>
      <c r="H4552" s="922"/>
      <c r="I4552" s="922"/>
      <c r="J4552" s="922"/>
      <c r="K4552" s="923"/>
      <c r="L4552" s="918"/>
      <c r="M4552" s="918"/>
      <c r="N4552" s="918"/>
      <c r="O4552" s="924"/>
      <c r="P4552" s="921"/>
      <c r="Q4552" s="925">
        <f ca="1">$B4552*Elec_Rates!$R$39</f>
        <v>18.920000000000002</v>
      </c>
      <c r="R4552" s="916">
        <f ca="1">$A4552*Q4552</f>
        <v>1664.96</v>
      </c>
      <c r="S4552" s="925">
        <f ca="1">$B4552*Elec_Rates!$T$39</f>
        <v>0.89</v>
      </c>
      <c r="T4552" s="917">
        <f ca="1">$A4552*S4552</f>
        <v>78.320000000000007</v>
      </c>
      <c r="U4552" s="926"/>
      <c r="AR4552" s="919">
        <v>88</v>
      </c>
      <c r="AS4552" s="921" t="s">
        <v>2599</v>
      </c>
    </row>
    <row r="4553" spans="1:45" s="901" customFormat="1" ht="13.2">
      <c r="A4553" s="116">
        <v>88</v>
      </c>
      <c r="B4553" s="901" t="s">
        <v>141</v>
      </c>
      <c r="D4553" s="901" t="s">
        <v>2981</v>
      </c>
      <c r="E4553" s="901" t="s">
        <v>3424</v>
      </c>
      <c r="F4553" s="1054" t="s">
        <v>3437</v>
      </c>
      <c r="G4553" s="941" t="s">
        <v>2982</v>
      </c>
      <c r="H4553" s="942">
        <v>705</v>
      </c>
      <c r="I4553" s="901" t="s">
        <v>2979</v>
      </c>
      <c r="J4553" s="901" t="s">
        <v>2983</v>
      </c>
      <c r="O4553" s="943">
        <v>3</v>
      </c>
      <c r="P4553" s="944">
        <v>34669</v>
      </c>
      <c r="Q4553" s="945">
        <v>2.4</v>
      </c>
      <c r="R4553" s="946">
        <f>$A4553*Q4553</f>
        <v>211.2</v>
      </c>
      <c r="S4553" s="945">
        <v>0.17</v>
      </c>
      <c r="T4553" s="947">
        <f>$A4553*S4553*$T$1</f>
        <v>13.464</v>
      </c>
      <c r="AR4553" s="116">
        <v>88</v>
      </c>
      <c r="AS4553" s="1054" t="s">
        <v>3437</v>
      </c>
    </row>
    <row r="4554" spans="1:45" s="520" customFormat="1" ht="12">
      <c r="A4554" s="758"/>
      <c r="B4554" s="758"/>
      <c r="C4554" s="758"/>
      <c r="D4554" s="758"/>
      <c r="E4554" s="758"/>
      <c r="F4554" s="753"/>
      <c r="G4554" s="758"/>
      <c r="H4554" s="758"/>
      <c r="I4554" s="519"/>
      <c r="J4554" s="758"/>
      <c r="K4554" s="758"/>
      <c r="L4554" s="758"/>
      <c r="M4554" s="758"/>
      <c r="N4554" s="758"/>
      <c r="O4554" s="758"/>
      <c r="P4554" s="758"/>
      <c r="Q4554" s="519"/>
      <c r="R4554" s="759">
        <f>$A4554*Q4554</f>
        <v>0</v>
      </c>
      <c r="S4554" s="519"/>
      <c r="T4554" s="760">
        <f>$A4554*S4554*$T$1</f>
        <v>0</v>
      </c>
      <c r="AR4554" s="758"/>
      <c r="AS4554" s="753"/>
    </row>
    <row r="4555" spans="1:45" s="520" customFormat="1" ht="12.6" thickBot="1">
      <c r="A4555" s="761" t="s">
        <v>145</v>
      </c>
      <c r="B4555" s="762">
        <f>(R4554+T4554)</f>
        <v>0</v>
      </c>
      <c r="C4555" s="763"/>
      <c r="D4555" s="763"/>
      <c r="E4555" s="763"/>
      <c r="F4555" s="764"/>
      <c r="G4555" s="763" t="s">
        <v>146</v>
      </c>
      <c r="H4555" s="763"/>
      <c r="I4555" s="765"/>
      <c r="J4555" s="763"/>
      <c r="K4555" s="763" t="s">
        <v>3</v>
      </c>
      <c r="L4555" s="766" t="s">
        <v>143</v>
      </c>
      <c r="M4555" s="766"/>
      <c r="N4555" s="766"/>
      <c r="O4555" s="766"/>
      <c r="P4555" s="766"/>
      <c r="Q4555" s="767"/>
      <c r="R4555" s="768">
        <f ca="1">SUM(R4550:R4554)</f>
        <v>1876.16</v>
      </c>
      <c r="S4555" s="763"/>
      <c r="T4555" s="768">
        <f ca="1">SUM(T4550:T4554)</f>
        <v>91.784000000000006</v>
      </c>
      <c r="U4555" s="531"/>
      <c r="V4555" s="531"/>
      <c r="W4555" s="531"/>
      <c r="X4555" s="531"/>
      <c r="Y4555" s="531"/>
      <c r="Z4555" s="531"/>
      <c r="AA4555" s="531"/>
      <c r="AB4555" s="531"/>
      <c r="AC4555" s="531"/>
      <c r="AD4555" s="531"/>
      <c r="AE4555" s="531"/>
      <c r="AF4555" s="531"/>
      <c r="AG4555" s="531"/>
      <c r="AH4555" s="531"/>
      <c r="AI4555" s="531"/>
      <c r="AJ4555" s="531"/>
      <c r="AK4555" s="531"/>
      <c r="AL4555" s="531"/>
      <c r="AM4555" s="531"/>
      <c r="AN4555" s="531"/>
      <c r="AO4555" s="531"/>
      <c r="AR4555" s="761" t="s">
        <v>145</v>
      </c>
      <c r="AS4555" s="764"/>
    </row>
    <row r="4556" spans="1:45" s="520" customFormat="1" ht="12" thickTop="1">
      <c r="A4556" s="51"/>
      <c r="B4556" s="41"/>
      <c r="C4556" s="51"/>
      <c r="E4556" s="42" t="s">
        <v>138</v>
      </c>
      <c r="F4556" s="42" t="s">
        <v>139</v>
      </c>
      <c r="G4556" s="51"/>
      <c r="H4556" s="51"/>
      <c r="I4556" s="51"/>
      <c r="J4556" s="51"/>
      <c r="K4556" s="51" t="s">
        <v>140</v>
      </c>
      <c r="L4556" s="51"/>
      <c r="M4556" s="51"/>
      <c r="N4556" s="51"/>
      <c r="O4556" s="52"/>
      <c r="P4556" s="51"/>
      <c r="Q4556" s="51"/>
      <c r="R4556" s="51"/>
      <c r="S4556" s="51"/>
      <c r="T4556" s="41"/>
      <c r="AG4556" s="521" t="s">
        <v>268</v>
      </c>
      <c r="AH4556" s="521" t="s">
        <v>269</v>
      </c>
      <c r="AI4556" s="521" t="s">
        <v>270</v>
      </c>
      <c r="AJ4556" s="521" t="s">
        <v>271</v>
      </c>
      <c r="AK4556" s="521" t="s">
        <v>272</v>
      </c>
      <c r="AM4556" s="745" t="s">
        <v>281</v>
      </c>
      <c r="AN4556" s="746" t="s">
        <v>282</v>
      </c>
      <c r="AO4556" s="522" t="s">
        <v>278</v>
      </c>
      <c r="AR4556" s="51"/>
      <c r="AS4556" s="42" t="s">
        <v>139</v>
      </c>
    </row>
    <row r="4557" spans="1:45" s="520" customFormat="1" ht="12" customHeight="1">
      <c r="A4557" s="747">
        <v>31</v>
      </c>
      <c r="B4557" s="523" t="s">
        <v>141</v>
      </c>
      <c r="C4557" s="748"/>
      <c r="D4557" s="749" t="s">
        <v>1785</v>
      </c>
      <c r="E4557" s="750">
        <f ca="1">IF(AND($A4557=0,$A$1="DIF"),0, ROUND(ROUND(($R4563*$S$2+($T4563*$T$2))/A4557,2)*$C$2,2))</f>
        <v>64.84</v>
      </c>
      <c r="F4557" s="751">
        <f ca="1">ROUND($A4557*$E4557,2)</f>
        <v>2010.04</v>
      </c>
      <c r="G4557" s="752" t="s">
        <v>142</v>
      </c>
      <c r="H4557" s="753"/>
      <c r="I4557" s="754"/>
      <c r="J4557" s="753"/>
      <c r="K4557" s="753" t="s">
        <v>3</v>
      </c>
      <c r="L4557" s="755" t="s">
        <v>143</v>
      </c>
      <c r="M4557" s="755"/>
      <c r="N4557" s="755"/>
      <c r="O4557" s="755"/>
      <c r="P4557" s="755"/>
      <c r="Q4557" s="51"/>
      <c r="T4557" s="756" t="str">
        <f ca="1">IF(AND($R4563=0,$T4563=0),"0.00","mu :" &amp; ROUND($F4557/$C$2/($R4563+$T4563*$D$9),2))</f>
        <v>mu :1.23</v>
      </c>
      <c r="W4557" s="524"/>
      <c r="AG4557" s="481">
        <f ca="1">IF($E4557=0,0,ROUND($R4563*$S$2*$C$2/$A4557,2))</f>
        <v>29.58</v>
      </c>
      <c r="AH4557" s="481">
        <f ca="1">$AG4557*$A4557</f>
        <v>916.9799999999999</v>
      </c>
      <c r="AI4557" s="525">
        <f ca="1">$E4557-$AG4557</f>
        <v>35.260000000000005</v>
      </c>
      <c r="AJ4557" s="525">
        <f ca="1">$A4557*$AI4557</f>
        <v>1093.0600000000002</v>
      </c>
      <c r="AK4557" s="526">
        <f ca="1">ROUND(($AG4557+$AI4557)*$A4557,2)</f>
        <v>2010.04</v>
      </c>
      <c r="AM4557" s="527">
        <f ca="1">ROUND(R4563,2)</f>
        <v>744.62</v>
      </c>
      <c r="AN4557" s="528">
        <f ca="1">ROUND(T4563,2)</f>
        <v>32.33</v>
      </c>
      <c r="AO4557" s="529">
        <f ca="1">ROUND(AM4557+AN4557,2)*A4557</f>
        <v>24085.45</v>
      </c>
      <c r="AR4557" s="747">
        <v>31</v>
      </c>
      <c r="AS4557" s="751">
        <v>2132.8000000000002</v>
      </c>
    </row>
    <row r="4558" spans="1:45" s="520" customFormat="1" ht="13.2">
      <c r="A4558" s="748"/>
      <c r="B4558"/>
      <c r="C4558" s="748"/>
      <c r="D4558" s="749" t="s">
        <v>724</v>
      </c>
      <c r="F4558" s="753"/>
      <c r="G4558" s="3"/>
      <c r="H4558" s="753"/>
      <c r="I4558" s="754"/>
      <c r="J4558" s="753"/>
      <c r="K4558" s="753" t="s">
        <v>144</v>
      </c>
      <c r="L4558" s="753"/>
      <c r="M4558" s="753"/>
      <c r="N4558" s="753"/>
      <c r="O4558" s="753"/>
      <c r="P4558" s="753"/>
      <c r="Q4558" s="51"/>
      <c r="R4558" s="530"/>
      <c r="S4558" s="757"/>
      <c r="T4558" s="753"/>
      <c r="AR4558" s="748"/>
      <c r="AS4558" s="753"/>
    </row>
    <row r="4559" spans="1:45" s="886" customFormat="1" ht="13.2">
      <c r="A4559"/>
      <c r="B4559" s="910"/>
      <c r="C4559" s="910" t="s">
        <v>2597</v>
      </c>
      <c r="D4559" s="910" t="str">
        <f ca="1">CELL("Address",Elec_Rates!D$39)</f>
        <v>[E25_0062_Quintano_Foods_Elec_ELV_As_Awarded.xlsx]Elec_Rates!$D$39</v>
      </c>
      <c r="E4559" s="911"/>
      <c r="F4559" s="911"/>
      <c r="G4559" s="912" t="s">
        <v>2598</v>
      </c>
      <c r="H4559" s="912"/>
      <c r="I4559" s="912"/>
      <c r="J4559" s="912"/>
      <c r="K4559" s="913"/>
      <c r="L4559" s="911"/>
      <c r="M4559" s="911"/>
      <c r="N4559" s="911"/>
      <c r="O4559" s="914"/>
      <c r="P4559" s="911"/>
      <c r="Q4559" s="915"/>
      <c r="R4559" s="916"/>
      <c r="S4559" s="915"/>
      <c r="T4559" s="917"/>
      <c r="U4559" s="918"/>
      <c r="AR4559"/>
      <c r="AS4559" s="911"/>
    </row>
    <row r="4560" spans="1:45" s="886" customFormat="1" ht="11.4">
      <c r="A4560" s="919">
        <v>31</v>
      </c>
      <c r="B4560" s="920">
        <v>1</v>
      </c>
      <c r="C4560" s="920">
        <f>$A4560*$B4560</f>
        <v>31</v>
      </c>
      <c r="D4560" s="921" t="str">
        <f>Elec_Rates!$D$39</f>
        <v>003# Power Point Rate (LSZH Conduit)</v>
      </c>
      <c r="E4560" s="921"/>
      <c r="F4560" s="921" t="s">
        <v>2599</v>
      </c>
      <c r="G4560" s="922" t="s">
        <v>2601</v>
      </c>
      <c r="H4560" s="922"/>
      <c r="I4560" s="922"/>
      <c r="J4560" s="922"/>
      <c r="K4560" s="923"/>
      <c r="L4560" s="918"/>
      <c r="M4560" s="918"/>
      <c r="N4560" s="918"/>
      <c r="O4560" s="924"/>
      <c r="P4560" s="921"/>
      <c r="Q4560" s="925">
        <f ca="1">$B4560*Elec_Rates!$R$39</f>
        <v>18.920000000000002</v>
      </c>
      <c r="R4560" s="916">
        <f ca="1">$A4560*Q4560</f>
        <v>586.5200000000001</v>
      </c>
      <c r="S4560" s="925">
        <f ca="1">$B4560*Elec_Rates!$T$39</f>
        <v>0.89</v>
      </c>
      <c r="T4560" s="917">
        <f ca="1">$A4560*S4560</f>
        <v>27.59</v>
      </c>
      <c r="U4560" s="926"/>
      <c r="AR4560" s="919">
        <v>31</v>
      </c>
      <c r="AS4560" s="921" t="s">
        <v>2599</v>
      </c>
    </row>
    <row r="4561" spans="1:45" s="901" customFormat="1" ht="13.2">
      <c r="A4561" s="116">
        <v>31</v>
      </c>
      <c r="B4561" s="901" t="s">
        <v>141</v>
      </c>
      <c r="D4561" s="901" t="s">
        <v>2984</v>
      </c>
      <c r="E4561" s="901" t="s">
        <v>3424</v>
      </c>
      <c r="F4561" s="1054" t="s">
        <v>3434</v>
      </c>
      <c r="G4561" s="941" t="s">
        <v>2985</v>
      </c>
      <c r="H4561" s="942">
        <v>705</v>
      </c>
      <c r="I4561" s="901" t="s">
        <v>2979</v>
      </c>
      <c r="J4561" s="901" t="s">
        <v>2986</v>
      </c>
      <c r="O4561" s="943">
        <v>3</v>
      </c>
      <c r="P4561" s="944">
        <v>34669</v>
      </c>
      <c r="Q4561" s="945">
        <v>5.0999999999999996</v>
      </c>
      <c r="R4561" s="946">
        <f>$A4561*Q4561</f>
        <v>158.1</v>
      </c>
      <c r="S4561" s="945">
        <v>0.17</v>
      </c>
      <c r="T4561" s="947">
        <f>$A4561*S4561*$T$1</f>
        <v>4.7430000000000003</v>
      </c>
      <c r="AR4561" s="116">
        <v>31</v>
      </c>
      <c r="AS4561" s="1054" t="s">
        <v>3434</v>
      </c>
    </row>
    <row r="4562" spans="1:45" s="520" customFormat="1" ht="12">
      <c r="A4562" s="758"/>
      <c r="B4562" s="758"/>
      <c r="C4562" s="758"/>
      <c r="D4562" s="758"/>
      <c r="E4562" s="758"/>
      <c r="F4562" s="753"/>
      <c r="G4562" s="758"/>
      <c r="H4562" s="758"/>
      <c r="I4562" s="519"/>
      <c r="J4562" s="758"/>
      <c r="K4562" s="758"/>
      <c r="L4562" s="758"/>
      <c r="M4562" s="758"/>
      <c r="N4562" s="758"/>
      <c r="O4562" s="758"/>
      <c r="P4562" s="758"/>
      <c r="Q4562" s="519"/>
      <c r="R4562" s="759">
        <f>$A4562*Q4562</f>
        <v>0</v>
      </c>
      <c r="S4562" s="519"/>
      <c r="T4562" s="760">
        <f>$A4562*S4562*$T$1</f>
        <v>0</v>
      </c>
      <c r="AR4562" s="758"/>
      <c r="AS4562" s="753"/>
    </row>
    <row r="4563" spans="1:45" s="520" customFormat="1" ht="12.6" thickBot="1">
      <c r="A4563" s="761" t="s">
        <v>145</v>
      </c>
      <c r="B4563" s="762">
        <f>(R4562+T4562)</f>
        <v>0</v>
      </c>
      <c r="C4563" s="763"/>
      <c r="D4563" s="763"/>
      <c r="E4563" s="763"/>
      <c r="F4563" s="764"/>
      <c r="G4563" s="763" t="s">
        <v>146</v>
      </c>
      <c r="H4563" s="763"/>
      <c r="I4563" s="765"/>
      <c r="J4563" s="763"/>
      <c r="K4563" s="763" t="s">
        <v>3</v>
      </c>
      <c r="L4563" s="766" t="s">
        <v>143</v>
      </c>
      <c r="M4563" s="766"/>
      <c r="N4563" s="766"/>
      <c r="O4563" s="766"/>
      <c r="P4563" s="766"/>
      <c r="Q4563" s="767"/>
      <c r="R4563" s="768">
        <f ca="1">SUM(R4558:R4562)</f>
        <v>744.62000000000012</v>
      </c>
      <c r="S4563" s="763"/>
      <c r="T4563" s="768">
        <f ca="1">SUM(T4558:T4562)</f>
        <v>32.332999999999998</v>
      </c>
      <c r="U4563" s="531"/>
      <c r="V4563" s="531"/>
      <c r="W4563" s="531"/>
      <c r="X4563" s="531"/>
      <c r="Y4563" s="531"/>
      <c r="Z4563" s="531"/>
      <c r="AA4563" s="531"/>
      <c r="AB4563" s="531"/>
      <c r="AC4563" s="531"/>
      <c r="AD4563" s="531"/>
      <c r="AE4563" s="531"/>
      <c r="AF4563" s="531"/>
      <c r="AG4563" s="531"/>
      <c r="AH4563" s="531"/>
      <c r="AI4563" s="531"/>
      <c r="AJ4563" s="531"/>
      <c r="AK4563" s="531"/>
      <c r="AL4563" s="531"/>
      <c r="AM4563" s="531"/>
      <c r="AN4563" s="531"/>
      <c r="AO4563" s="531"/>
      <c r="AR4563" s="761" t="s">
        <v>145</v>
      </c>
      <c r="AS4563" s="764"/>
    </row>
    <row r="4564" spans="1:45" s="520" customFormat="1" ht="12" thickTop="1">
      <c r="A4564" s="51"/>
      <c r="B4564" s="41"/>
      <c r="C4564" s="51"/>
      <c r="E4564" s="42" t="s">
        <v>138</v>
      </c>
      <c r="F4564" s="42" t="s">
        <v>139</v>
      </c>
      <c r="G4564" s="51"/>
      <c r="H4564" s="51"/>
      <c r="I4564" s="51"/>
      <c r="J4564" s="51"/>
      <c r="K4564" s="51" t="s">
        <v>140</v>
      </c>
      <c r="L4564" s="51"/>
      <c r="M4564" s="51"/>
      <c r="N4564" s="51"/>
      <c r="O4564" s="52"/>
      <c r="P4564" s="51"/>
      <c r="Q4564" s="51"/>
      <c r="R4564" s="51"/>
      <c r="S4564" s="51"/>
      <c r="T4564" s="41"/>
      <c r="AG4564" s="521" t="s">
        <v>268</v>
      </c>
      <c r="AH4564" s="521" t="s">
        <v>269</v>
      </c>
      <c r="AI4564" s="521" t="s">
        <v>270</v>
      </c>
      <c r="AJ4564" s="521" t="s">
        <v>271</v>
      </c>
      <c r="AK4564" s="521" t="s">
        <v>272</v>
      </c>
      <c r="AM4564" s="745" t="s">
        <v>281</v>
      </c>
      <c r="AN4564" s="746" t="s">
        <v>282</v>
      </c>
      <c r="AO4564" s="522" t="s">
        <v>278</v>
      </c>
      <c r="AR4564" s="51"/>
      <c r="AS4564" s="42" t="s">
        <v>139</v>
      </c>
    </row>
    <row r="4565" spans="1:45" s="520" customFormat="1" ht="12" customHeight="1">
      <c r="A4565" s="747">
        <v>1</v>
      </c>
      <c r="B4565" s="523" t="s">
        <v>141</v>
      </c>
      <c r="C4565" s="748"/>
      <c r="D4565" s="749" t="s">
        <v>1786</v>
      </c>
      <c r="E4565" s="750">
        <f ca="1">IF(AND($A4565=0,$A$1="DIF"),0, ROUND(ROUND(($R4571*$S$2+($T4571*$T$2))/A4565,2)*$C$2,2))</f>
        <v>189.03</v>
      </c>
      <c r="F4565" s="751">
        <f ca="1">ROUND($A4565*$E4565,2)</f>
        <v>189.03</v>
      </c>
      <c r="G4565" s="752" t="s">
        <v>142</v>
      </c>
      <c r="H4565" s="753"/>
      <c r="I4565" s="754"/>
      <c r="J4565" s="753"/>
      <c r="K4565" s="753" t="s">
        <v>3</v>
      </c>
      <c r="L4565" s="755" t="s">
        <v>143</v>
      </c>
      <c r="M4565" s="755"/>
      <c r="N4565" s="755"/>
      <c r="O4565" s="755"/>
      <c r="P4565" s="755"/>
      <c r="Q4565" s="51"/>
      <c r="T4565" s="756" t="str">
        <f ca="1">IF(AND($R4571=0,$T4571=0),"0.00","mu :" &amp; ROUND($F4565/$C$2/($R4571+$T4571*$D$9),2))</f>
        <v>mu :1.23</v>
      </c>
      <c r="W4565" s="524"/>
      <c r="AG4565" s="481">
        <f ca="1">IF($E4565=0,0,ROUND($R4571*$S$2*$C$2/$A4565,2))</f>
        <v>150.38</v>
      </c>
      <c r="AH4565" s="481">
        <f ca="1">$AG4565*$A4565</f>
        <v>150.38</v>
      </c>
      <c r="AI4565" s="525">
        <f ca="1">$E4565-$AG4565</f>
        <v>38.650000000000006</v>
      </c>
      <c r="AJ4565" s="525">
        <f ca="1">$A4565*$AI4565</f>
        <v>38.650000000000006</v>
      </c>
      <c r="AK4565" s="526">
        <f ca="1">ROUND(($AG4565+$AI4565)*$A4565,2)</f>
        <v>189.03</v>
      </c>
      <c r="AM4565" s="527">
        <f ca="1">ROUND(R4571,2)</f>
        <v>122.13</v>
      </c>
      <c r="AN4565" s="528">
        <f ca="1">ROUND(T4571,2)</f>
        <v>1.1399999999999999</v>
      </c>
      <c r="AO4565" s="529">
        <f ca="1">ROUND(AM4565+AN4565,2)*A4565</f>
        <v>123.27</v>
      </c>
      <c r="AR4565" s="747">
        <v>1</v>
      </c>
      <c r="AS4565" s="751">
        <v>198.92</v>
      </c>
    </row>
    <row r="4566" spans="1:45" s="520" customFormat="1" ht="13.2">
      <c r="A4566" s="748"/>
      <c r="B4566"/>
      <c r="C4566" s="748"/>
      <c r="D4566" s="749" t="s">
        <v>755</v>
      </c>
      <c r="F4566" s="753"/>
      <c r="G4566" s="3"/>
      <c r="H4566" s="753"/>
      <c r="I4566" s="754"/>
      <c r="J4566" s="753"/>
      <c r="K4566" s="753" t="s">
        <v>144</v>
      </c>
      <c r="L4566" s="753"/>
      <c r="M4566" s="753"/>
      <c r="N4566" s="753"/>
      <c r="O4566" s="753"/>
      <c r="P4566" s="753"/>
      <c r="Q4566" s="51"/>
      <c r="R4566" s="530"/>
      <c r="S4566" s="757"/>
      <c r="T4566" s="753"/>
      <c r="AR4566" s="748"/>
      <c r="AS4566" s="753"/>
    </row>
    <row r="4567" spans="1:45" s="886" customFormat="1" ht="13.2">
      <c r="A4567"/>
      <c r="B4567" s="910"/>
      <c r="C4567" s="910" t="s">
        <v>2597</v>
      </c>
      <c r="D4567" s="910" t="str">
        <f ca="1">CELL("Address",Elec_Rates!D$127)</f>
        <v>[E25_0062_Quintano_Foods_Elec_ELV_As_Awarded.xlsx]Elec_Rates!$D$127</v>
      </c>
      <c r="E4567" s="911"/>
      <c r="F4567" s="911"/>
      <c r="G4567" s="912" t="s">
        <v>2598</v>
      </c>
      <c r="H4567" s="912"/>
      <c r="I4567" s="912"/>
      <c r="J4567" s="912"/>
      <c r="K4567" s="913"/>
      <c r="L4567" s="911"/>
      <c r="M4567" s="911"/>
      <c r="N4567" s="911"/>
      <c r="O4567" s="914"/>
      <c r="P4567" s="911"/>
      <c r="Q4567" s="915"/>
      <c r="R4567" s="916"/>
      <c r="S4567" s="915"/>
      <c r="T4567" s="917"/>
      <c r="U4567" s="918"/>
      <c r="AR4567"/>
      <c r="AS4567" s="911"/>
    </row>
    <row r="4568" spans="1:45" s="886" customFormat="1" ht="11.4">
      <c r="A4568" s="919">
        <v>1</v>
      </c>
      <c r="B4568" s="920">
        <v>1</v>
      </c>
      <c r="C4568" s="920">
        <f>$A4568*$B4568</f>
        <v>1</v>
      </c>
      <c r="D4568" s="921" t="str">
        <f>Elec_Rates!$D$127</f>
        <v>011# Power points rate LSZH conduit (CWZ LSZH Cable)</v>
      </c>
      <c r="E4568" s="921"/>
      <c r="F4568" s="921" t="s">
        <v>2599</v>
      </c>
      <c r="G4568" s="922" t="s">
        <v>2601</v>
      </c>
      <c r="H4568" s="922"/>
      <c r="I4568" s="922"/>
      <c r="J4568" s="922"/>
      <c r="K4568" s="923"/>
      <c r="L4568" s="918"/>
      <c r="M4568" s="918"/>
      <c r="N4568" s="918"/>
      <c r="O4568" s="924"/>
      <c r="P4568" s="921"/>
      <c r="Q4568" s="925">
        <f ca="1">$B4568*Elec_Rates!$R$127</f>
        <v>117.03</v>
      </c>
      <c r="R4568" s="916">
        <f ca="1">$A4568*Q4568</f>
        <v>117.03</v>
      </c>
      <c r="S4568" s="925">
        <f ca="1">$B4568*Elec_Rates!$T$127</f>
        <v>0.99</v>
      </c>
      <c r="T4568" s="917">
        <f ca="1">$A4568*S4568</f>
        <v>0.99</v>
      </c>
      <c r="U4568" s="926"/>
      <c r="AR4568" s="919">
        <v>1</v>
      </c>
      <c r="AS4568" s="921" t="s">
        <v>2599</v>
      </c>
    </row>
    <row r="4569" spans="1:45" s="901" customFormat="1" ht="13.2">
      <c r="A4569" s="116">
        <v>1</v>
      </c>
      <c r="B4569" s="901" t="s">
        <v>141</v>
      </c>
      <c r="D4569" s="901" t="s">
        <v>2984</v>
      </c>
      <c r="E4569" s="901" t="s">
        <v>3424</v>
      </c>
      <c r="F4569" s="1054" t="s">
        <v>3434</v>
      </c>
      <c r="G4569" s="941" t="s">
        <v>2985</v>
      </c>
      <c r="H4569" s="942">
        <v>705</v>
      </c>
      <c r="I4569" s="901" t="s">
        <v>2979</v>
      </c>
      <c r="J4569" s="901" t="s">
        <v>2986</v>
      </c>
      <c r="O4569" s="943">
        <v>3</v>
      </c>
      <c r="P4569" s="944">
        <v>34669</v>
      </c>
      <c r="Q4569" s="945">
        <v>5.0999999999999996</v>
      </c>
      <c r="R4569" s="946">
        <f>$A4569*Q4569</f>
        <v>5.0999999999999996</v>
      </c>
      <c r="S4569" s="945">
        <v>0.17</v>
      </c>
      <c r="T4569" s="947">
        <f>$A4569*S4569*$T$1</f>
        <v>0.15300000000000002</v>
      </c>
      <c r="AR4569" s="116">
        <v>1</v>
      </c>
      <c r="AS4569" s="1054" t="s">
        <v>3434</v>
      </c>
    </row>
    <row r="4570" spans="1:45" s="520" customFormat="1" ht="12">
      <c r="A4570" s="758"/>
      <c r="B4570" s="758"/>
      <c r="C4570" s="758"/>
      <c r="D4570" s="758"/>
      <c r="E4570" s="758"/>
      <c r="F4570" s="753"/>
      <c r="G4570" s="758"/>
      <c r="H4570" s="758"/>
      <c r="I4570" s="519"/>
      <c r="J4570" s="758"/>
      <c r="K4570" s="758"/>
      <c r="L4570" s="758"/>
      <c r="M4570" s="758"/>
      <c r="N4570" s="758"/>
      <c r="O4570" s="758"/>
      <c r="P4570" s="758"/>
      <c r="Q4570" s="519"/>
      <c r="R4570" s="759">
        <f>$A4570*Q4570</f>
        <v>0</v>
      </c>
      <c r="S4570" s="519"/>
      <c r="T4570" s="760">
        <f>$A4570*S4570*$T$1</f>
        <v>0</v>
      </c>
      <c r="AR4570" s="758"/>
      <c r="AS4570" s="753"/>
    </row>
    <row r="4571" spans="1:45" s="520" customFormat="1" ht="12.6" thickBot="1">
      <c r="A4571" s="761" t="s">
        <v>145</v>
      </c>
      <c r="B4571" s="762">
        <f>(R4570+T4570)</f>
        <v>0</v>
      </c>
      <c r="C4571" s="763"/>
      <c r="D4571" s="763"/>
      <c r="E4571" s="763"/>
      <c r="F4571" s="764"/>
      <c r="G4571" s="763" t="s">
        <v>146</v>
      </c>
      <c r="H4571" s="763"/>
      <c r="I4571" s="765"/>
      <c r="J4571" s="763"/>
      <c r="K4571" s="763" t="s">
        <v>3</v>
      </c>
      <c r="L4571" s="766" t="s">
        <v>143</v>
      </c>
      <c r="M4571" s="766"/>
      <c r="N4571" s="766"/>
      <c r="O4571" s="766"/>
      <c r="P4571" s="766"/>
      <c r="Q4571" s="767"/>
      <c r="R4571" s="768">
        <f ca="1">SUM(R4566:R4570)</f>
        <v>122.13</v>
      </c>
      <c r="S4571" s="763"/>
      <c r="T4571" s="768">
        <f ca="1">SUM(T4566:T4570)</f>
        <v>1.143</v>
      </c>
      <c r="U4571" s="531"/>
      <c r="V4571" s="531"/>
      <c r="W4571" s="531"/>
      <c r="X4571" s="531"/>
      <c r="Y4571" s="531"/>
      <c r="Z4571" s="531"/>
      <c r="AA4571" s="531"/>
      <c r="AB4571" s="531"/>
      <c r="AC4571" s="531"/>
      <c r="AD4571" s="531"/>
      <c r="AE4571" s="531"/>
      <c r="AF4571" s="531"/>
      <c r="AG4571" s="531"/>
      <c r="AH4571" s="531"/>
      <c r="AI4571" s="531"/>
      <c r="AJ4571" s="531"/>
      <c r="AK4571" s="531"/>
      <c r="AL4571" s="531"/>
      <c r="AM4571" s="531"/>
      <c r="AN4571" s="531"/>
      <c r="AO4571" s="531"/>
      <c r="AR4571" s="761" t="s">
        <v>145</v>
      </c>
      <c r="AS4571" s="764"/>
    </row>
    <row r="4572" spans="1:45" s="520" customFormat="1" ht="12" thickTop="1">
      <c r="A4572" s="51"/>
      <c r="B4572" s="41"/>
      <c r="C4572" s="51"/>
      <c r="E4572" s="42" t="s">
        <v>138</v>
      </c>
      <c r="F4572" s="42" t="s">
        <v>139</v>
      </c>
      <c r="G4572" s="51"/>
      <c r="H4572" s="51"/>
      <c r="I4572" s="51"/>
      <c r="J4572" s="51"/>
      <c r="K4572" s="51" t="s">
        <v>140</v>
      </c>
      <c r="L4572" s="51"/>
      <c r="M4572" s="51"/>
      <c r="N4572" s="51"/>
      <c r="O4572" s="52"/>
      <c r="P4572" s="51"/>
      <c r="Q4572" s="51"/>
      <c r="R4572" s="51"/>
      <c r="S4572" s="51"/>
      <c r="T4572" s="41"/>
      <c r="AG4572" s="521" t="s">
        <v>268</v>
      </c>
      <c r="AH4572" s="521" t="s">
        <v>269</v>
      </c>
      <c r="AI4572" s="521" t="s">
        <v>270</v>
      </c>
      <c r="AJ4572" s="521" t="s">
        <v>271</v>
      </c>
      <c r="AK4572" s="521" t="s">
        <v>272</v>
      </c>
      <c r="AM4572" s="745" t="s">
        <v>281</v>
      </c>
      <c r="AN4572" s="746" t="s">
        <v>282</v>
      </c>
      <c r="AO4572" s="522" t="s">
        <v>278</v>
      </c>
      <c r="AR4572" s="51"/>
      <c r="AS4572" s="42" t="s">
        <v>139</v>
      </c>
    </row>
    <row r="4573" spans="1:45" s="520" customFormat="1" ht="12" customHeight="1">
      <c r="A4573" s="747">
        <v>1</v>
      </c>
      <c r="B4573" s="523" t="s">
        <v>141</v>
      </c>
      <c r="C4573" s="748"/>
      <c r="D4573" s="749" t="s">
        <v>1787</v>
      </c>
      <c r="E4573" s="750">
        <f ca="1">IF(AND($A4573=0,$A$1="DIF"),0, ROUND(ROUND(($R4579*$S$2+($T4579*$T$2))/A4573,2)*$C$2,2))</f>
        <v>63.24</v>
      </c>
      <c r="F4573" s="751">
        <f ca="1">ROUND($A4573*$E4573,2)</f>
        <v>63.24</v>
      </c>
      <c r="G4573" s="752" t="s">
        <v>142</v>
      </c>
      <c r="H4573" s="753"/>
      <c r="I4573" s="754"/>
      <c r="J4573" s="753"/>
      <c r="K4573" s="753" t="s">
        <v>3</v>
      </c>
      <c r="L4573" s="755" t="s">
        <v>143</v>
      </c>
      <c r="M4573" s="755"/>
      <c r="N4573" s="755"/>
      <c r="O4573" s="755"/>
      <c r="P4573" s="755"/>
      <c r="Q4573" s="51"/>
      <c r="T4573" s="756" t="str">
        <f ca="1">IF(AND($R4579=0,$T4579=0),"0.00","mu :" &amp; ROUND($F4573/$C$2/($R4579+$T4579*$D$9),2))</f>
        <v>mu :1.23</v>
      </c>
      <c r="W4573" s="524"/>
      <c r="AG4573" s="481">
        <f ca="1">IF($E4573=0,0,ROUND($R4579*$S$2*$C$2/$A4573,2))</f>
        <v>27.98</v>
      </c>
      <c r="AH4573" s="481">
        <f ca="1">$AG4573*$A4573</f>
        <v>27.98</v>
      </c>
      <c r="AI4573" s="525">
        <f ca="1">$E4573-$AG4573</f>
        <v>35.260000000000005</v>
      </c>
      <c r="AJ4573" s="525">
        <f ca="1">$A4573*$AI4573</f>
        <v>35.260000000000005</v>
      </c>
      <c r="AK4573" s="526">
        <f ca="1">ROUND(($AG4573+$AI4573)*$A4573,2)</f>
        <v>63.24</v>
      </c>
      <c r="AM4573" s="527">
        <f ca="1">ROUND(R4579,2)</f>
        <v>22.72</v>
      </c>
      <c r="AN4573" s="528">
        <f ca="1">ROUND(T4579,2)</f>
        <v>1.04</v>
      </c>
      <c r="AO4573" s="529">
        <f ca="1">ROUND(AM4573+AN4573,2)*A4573</f>
        <v>23.76</v>
      </c>
      <c r="AR4573" s="747">
        <v>1</v>
      </c>
      <c r="AS4573" s="751">
        <v>67.2</v>
      </c>
    </row>
    <row r="4574" spans="1:45" s="520" customFormat="1" ht="13.2">
      <c r="A4574" s="748"/>
      <c r="B4574"/>
      <c r="C4574" s="748"/>
      <c r="D4574" s="749" t="s">
        <v>807</v>
      </c>
      <c r="F4574" s="753"/>
      <c r="G4574" s="3"/>
      <c r="H4574" s="753"/>
      <c r="I4574" s="754"/>
      <c r="J4574" s="753"/>
      <c r="K4574" s="753" t="s">
        <v>144</v>
      </c>
      <c r="L4574" s="753"/>
      <c r="M4574" s="753"/>
      <c r="N4574" s="753"/>
      <c r="O4574" s="753"/>
      <c r="P4574" s="753"/>
      <c r="Q4574" s="51"/>
      <c r="R4574" s="530"/>
      <c r="S4574" s="757"/>
      <c r="T4574" s="753"/>
      <c r="AR4574" s="748"/>
      <c r="AS4574" s="753"/>
    </row>
    <row r="4575" spans="1:45" s="886" customFormat="1" ht="13.2">
      <c r="A4575"/>
      <c r="B4575" s="910"/>
      <c r="C4575" s="910" t="s">
        <v>2597</v>
      </c>
      <c r="D4575" s="910" t="str">
        <f ca="1">CELL("Address",Elec_Rates!D$39)</f>
        <v>[E25_0062_Quintano_Foods_Elec_ELV_As_Awarded.xlsx]Elec_Rates!$D$39</v>
      </c>
      <c r="E4575" s="911"/>
      <c r="F4575" s="911"/>
      <c r="G4575" s="912" t="s">
        <v>2598</v>
      </c>
      <c r="H4575" s="912"/>
      <c r="I4575" s="912"/>
      <c r="J4575" s="912"/>
      <c r="K4575" s="913"/>
      <c r="L4575" s="911"/>
      <c r="M4575" s="911"/>
      <c r="N4575" s="911"/>
      <c r="O4575" s="914"/>
      <c r="P4575" s="911"/>
      <c r="Q4575" s="915"/>
      <c r="R4575" s="916"/>
      <c r="S4575" s="915"/>
      <c r="T4575" s="917"/>
      <c r="U4575" s="918"/>
      <c r="AR4575"/>
      <c r="AS4575" s="911"/>
    </row>
    <row r="4576" spans="1:45" s="886" customFormat="1" ht="11.4">
      <c r="A4576" s="919">
        <v>1</v>
      </c>
      <c r="B4576" s="920">
        <v>1</v>
      </c>
      <c r="C4576" s="920">
        <f>$A4576*$B4576</f>
        <v>1</v>
      </c>
      <c r="D4576" s="921" t="str">
        <f>Elec_Rates!$D$39</f>
        <v>003# Power Point Rate (LSZH Conduit)</v>
      </c>
      <c r="E4576" s="921"/>
      <c r="F4576" s="921" t="s">
        <v>2599</v>
      </c>
      <c r="G4576" s="922" t="s">
        <v>2601</v>
      </c>
      <c r="H4576" s="922"/>
      <c r="I4576" s="922"/>
      <c r="J4576" s="922"/>
      <c r="K4576" s="923"/>
      <c r="L4576" s="918"/>
      <c r="M4576" s="918"/>
      <c r="N4576" s="918"/>
      <c r="O4576" s="924"/>
      <c r="P4576" s="921"/>
      <c r="Q4576" s="925">
        <f ca="1">$B4576*Elec_Rates!$R$39</f>
        <v>18.920000000000002</v>
      </c>
      <c r="R4576" s="916">
        <f ca="1">$A4576*Q4576</f>
        <v>18.920000000000002</v>
      </c>
      <c r="S4576" s="925">
        <f ca="1">$B4576*Elec_Rates!$T$39</f>
        <v>0.89</v>
      </c>
      <c r="T4576" s="917">
        <f ca="1">$A4576*S4576</f>
        <v>0.89</v>
      </c>
      <c r="U4576" s="926"/>
      <c r="AR4576" s="919">
        <v>1</v>
      </c>
      <c r="AS4576" s="921" t="s">
        <v>2599</v>
      </c>
    </row>
    <row r="4577" spans="1:45" s="901" customFormat="1" ht="13.2">
      <c r="A4577" s="116">
        <v>1</v>
      </c>
      <c r="B4577" s="901" t="s">
        <v>141</v>
      </c>
      <c r="D4577" s="901" t="s">
        <v>2989</v>
      </c>
      <c r="E4577" s="901" t="s">
        <v>3424</v>
      </c>
      <c r="F4577" s="1054" t="s">
        <v>3435</v>
      </c>
      <c r="G4577" s="941" t="s">
        <v>2990</v>
      </c>
      <c r="H4577" s="942">
        <v>705</v>
      </c>
      <c r="I4577" s="901" t="s">
        <v>2991</v>
      </c>
      <c r="J4577" s="901" t="s">
        <v>2992</v>
      </c>
      <c r="O4577" s="943">
        <v>3</v>
      </c>
      <c r="P4577" s="944">
        <v>34669</v>
      </c>
      <c r="Q4577" s="945">
        <v>3.8</v>
      </c>
      <c r="R4577" s="946">
        <f>$A4577*Q4577</f>
        <v>3.8</v>
      </c>
      <c r="S4577" s="945">
        <v>0.17</v>
      </c>
      <c r="T4577" s="947">
        <f>$A4577*S4577*$T$1</f>
        <v>0.15300000000000002</v>
      </c>
      <c r="AR4577" s="116">
        <v>1</v>
      </c>
      <c r="AS4577" s="1054" t="s">
        <v>3435</v>
      </c>
    </row>
    <row r="4578" spans="1:45" s="520" customFormat="1" ht="12">
      <c r="A4578" s="758"/>
      <c r="B4578" s="758"/>
      <c r="C4578" s="758"/>
      <c r="D4578" s="758"/>
      <c r="E4578" s="758"/>
      <c r="F4578" s="753"/>
      <c r="G4578" s="758"/>
      <c r="H4578" s="758"/>
      <c r="I4578" s="519"/>
      <c r="J4578" s="758"/>
      <c r="K4578" s="758"/>
      <c r="L4578" s="758"/>
      <c r="M4578" s="758"/>
      <c r="N4578" s="758"/>
      <c r="O4578" s="758"/>
      <c r="P4578" s="758"/>
      <c r="Q4578" s="519"/>
      <c r="R4578" s="759">
        <f>$A4578*Q4578</f>
        <v>0</v>
      </c>
      <c r="S4578" s="519"/>
      <c r="T4578" s="760">
        <f>$A4578*S4578*$T$1</f>
        <v>0</v>
      </c>
      <c r="AR4578" s="758"/>
      <c r="AS4578" s="753"/>
    </row>
    <row r="4579" spans="1:45" s="520" customFormat="1" ht="12.6" thickBot="1">
      <c r="A4579" s="761" t="s">
        <v>145</v>
      </c>
      <c r="B4579" s="762">
        <f>(R4578+T4578)</f>
        <v>0</v>
      </c>
      <c r="C4579" s="763"/>
      <c r="D4579" s="763"/>
      <c r="E4579" s="763"/>
      <c r="F4579" s="764"/>
      <c r="G4579" s="763" t="s">
        <v>146</v>
      </c>
      <c r="H4579" s="763"/>
      <c r="I4579" s="765"/>
      <c r="J4579" s="763"/>
      <c r="K4579" s="763" t="s">
        <v>3</v>
      </c>
      <c r="L4579" s="766" t="s">
        <v>143</v>
      </c>
      <c r="M4579" s="766"/>
      <c r="N4579" s="766"/>
      <c r="O4579" s="766"/>
      <c r="P4579" s="766"/>
      <c r="Q4579" s="767"/>
      <c r="R4579" s="768">
        <f ca="1">SUM(R4574:R4578)</f>
        <v>22.720000000000002</v>
      </c>
      <c r="S4579" s="763"/>
      <c r="T4579" s="768">
        <f ca="1">SUM(T4574:T4578)</f>
        <v>1.0430000000000001</v>
      </c>
      <c r="U4579" s="531"/>
      <c r="V4579" s="531"/>
      <c r="W4579" s="531"/>
      <c r="X4579" s="531"/>
      <c r="Y4579" s="531"/>
      <c r="Z4579" s="531"/>
      <c r="AA4579" s="531"/>
      <c r="AB4579" s="531"/>
      <c r="AC4579" s="531"/>
      <c r="AD4579" s="531"/>
      <c r="AE4579" s="531"/>
      <c r="AF4579" s="531"/>
      <c r="AG4579" s="531"/>
      <c r="AH4579" s="531"/>
      <c r="AI4579" s="531"/>
      <c r="AJ4579" s="531"/>
      <c r="AK4579" s="531"/>
      <c r="AL4579" s="531"/>
      <c r="AM4579" s="531"/>
      <c r="AN4579" s="531"/>
      <c r="AO4579" s="531"/>
      <c r="AR4579" s="761" t="s">
        <v>145</v>
      </c>
      <c r="AS4579" s="764"/>
    </row>
    <row r="4580" spans="1:45" s="520" customFormat="1" ht="12" thickTop="1">
      <c r="A4580" s="51"/>
      <c r="B4580" s="41"/>
      <c r="C4580" s="51"/>
      <c r="E4580" s="42" t="s">
        <v>138</v>
      </c>
      <c r="F4580" s="42" t="s">
        <v>139</v>
      </c>
      <c r="G4580" s="51"/>
      <c r="H4580" s="51"/>
      <c r="I4580" s="51"/>
      <c r="J4580" s="51"/>
      <c r="K4580" s="51" t="s">
        <v>140</v>
      </c>
      <c r="L4580" s="51"/>
      <c r="M4580" s="51"/>
      <c r="N4580" s="51"/>
      <c r="O4580" s="52"/>
      <c r="P4580" s="51"/>
      <c r="Q4580" s="51"/>
      <c r="R4580" s="51"/>
      <c r="S4580" s="51"/>
      <c r="T4580" s="41"/>
      <c r="AG4580" s="521" t="s">
        <v>268</v>
      </c>
      <c r="AH4580" s="521" t="s">
        <v>269</v>
      </c>
      <c r="AI4580" s="521" t="s">
        <v>270</v>
      </c>
      <c r="AJ4580" s="521" t="s">
        <v>271</v>
      </c>
      <c r="AK4580" s="521" t="s">
        <v>272</v>
      </c>
      <c r="AM4580" s="745" t="s">
        <v>281</v>
      </c>
      <c r="AN4580" s="746" t="s">
        <v>282</v>
      </c>
      <c r="AO4580" s="522" t="s">
        <v>278</v>
      </c>
      <c r="AR4580" s="51"/>
      <c r="AS4580" s="42" t="s">
        <v>139</v>
      </c>
    </row>
    <row r="4581" spans="1:45" s="520" customFormat="1" ht="12" customHeight="1">
      <c r="A4581" s="747">
        <v>5</v>
      </c>
      <c r="B4581" s="523" t="s">
        <v>141</v>
      </c>
      <c r="C4581" s="748"/>
      <c r="D4581" s="749" t="s">
        <v>1788</v>
      </c>
      <c r="E4581" s="750">
        <f ca="1">IF(AND($A4581=0,$A$1="DIF"),0, ROUND(ROUND(($R4586*$S$2+($T4586*$T$2))/A4581,2)*$C$2,2))</f>
        <v>208.63</v>
      </c>
      <c r="F4581" s="751">
        <f ca="1">ROUND($A4581*$E4581,2)</f>
        <v>1043.1500000000001</v>
      </c>
      <c r="G4581" s="752" t="s">
        <v>142</v>
      </c>
      <c r="H4581" s="753"/>
      <c r="I4581" s="754"/>
      <c r="J4581" s="753"/>
      <c r="K4581" s="753" t="s">
        <v>3</v>
      </c>
      <c r="L4581" s="755" t="s">
        <v>143</v>
      </c>
      <c r="M4581" s="755"/>
      <c r="N4581" s="755"/>
      <c r="O4581" s="755"/>
      <c r="P4581" s="755"/>
      <c r="Q4581" s="51"/>
      <c r="T4581" s="756" t="str">
        <f ca="1">IF(AND($R4586=0,$T4586=0),"0.00","mu :" &amp; ROUND($F4581/$C$2/($R4586+$T4586*$D$9),2))</f>
        <v>mu :1.23</v>
      </c>
      <c r="W4581" s="524"/>
      <c r="AG4581" s="481">
        <f ca="1">IF($E4581=0,0,ROUND($R4586*$S$2*$C$2/$A4581,2))</f>
        <v>91.64</v>
      </c>
      <c r="AH4581" s="481">
        <f ca="1">$AG4581*$A4581</f>
        <v>458.2</v>
      </c>
      <c r="AI4581" s="525">
        <f ca="1">$E4581-$AG4581</f>
        <v>116.99</v>
      </c>
      <c r="AJ4581" s="525">
        <f ca="1">$A4581*$AI4581</f>
        <v>584.94999999999993</v>
      </c>
      <c r="AK4581" s="526">
        <f ca="1">ROUND(($AG4581+$AI4581)*$A4581,2)</f>
        <v>1043.1500000000001</v>
      </c>
      <c r="AM4581" s="527">
        <f ca="1">ROUND(R4586,2)</f>
        <v>372.1</v>
      </c>
      <c r="AN4581" s="528">
        <f ca="1">ROUND(T4586,2)</f>
        <v>17.3</v>
      </c>
      <c r="AO4581" s="529">
        <f ca="1">ROUND(AM4581+AN4581,2)*A4581</f>
        <v>1947</v>
      </c>
      <c r="AR4581" s="747">
        <v>5</v>
      </c>
      <c r="AS4581" s="751">
        <v>1107.4000000000001</v>
      </c>
    </row>
    <row r="4582" spans="1:45" s="520" customFormat="1" ht="13.2">
      <c r="A4582" s="748"/>
      <c r="B4582"/>
      <c r="C4582" s="748"/>
      <c r="D4582" s="749" t="s">
        <v>757</v>
      </c>
      <c r="F4582" s="753"/>
      <c r="G4582" s="3"/>
      <c r="H4582" s="753"/>
      <c r="I4582" s="754"/>
      <c r="J4582" s="753"/>
      <c r="K4582" s="753" t="s">
        <v>144</v>
      </c>
      <c r="L4582" s="753"/>
      <c r="M4582" s="753"/>
      <c r="N4582" s="753"/>
      <c r="O4582" s="753"/>
      <c r="P4582" s="753"/>
      <c r="Q4582" s="51"/>
      <c r="R4582" s="530"/>
      <c r="S4582" s="757"/>
      <c r="T4582" s="753"/>
      <c r="AR4582" s="748"/>
      <c r="AS4582" s="753"/>
    </row>
    <row r="4583" spans="1:45" s="886" customFormat="1" ht="13.2">
      <c r="A4583"/>
      <c r="B4583" s="910"/>
      <c r="C4583" s="910" t="s">
        <v>2597</v>
      </c>
      <c r="D4583" s="910" t="str">
        <f ca="1">CELL("Address",Elec_Rates!D$134)</f>
        <v>[E25_0062_Quintano_Foods_Elec_ELV_As_Awarded.xlsx]Elec_Rates!$D$134</v>
      </c>
      <c r="E4583" s="911"/>
      <c r="F4583" s="911"/>
      <c r="G4583" s="912" t="s">
        <v>2598</v>
      </c>
      <c r="H4583" s="912"/>
      <c r="I4583" s="912"/>
      <c r="J4583" s="912"/>
      <c r="K4583" s="913"/>
      <c r="L4583" s="911"/>
      <c r="M4583" s="911"/>
      <c r="N4583" s="911"/>
      <c r="O4583" s="914"/>
      <c r="P4583" s="911"/>
      <c r="Q4583" s="915"/>
      <c r="R4583" s="916"/>
      <c r="S4583" s="915"/>
      <c r="T4583" s="917"/>
      <c r="U4583" s="918"/>
      <c r="AR4583"/>
      <c r="AS4583" s="911"/>
    </row>
    <row r="4584" spans="1:45" s="886" customFormat="1" ht="11.4">
      <c r="A4584" s="919">
        <v>5</v>
      </c>
      <c r="B4584" s="920">
        <v>1</v>
      </c>
      <c r="C4584" s="920">
        <f>$A4584*$B4584</f>
        <v>5</v>
      </c>
      <c r="D4584" s="921" t="str">
        <f>Elec_Rates!$D$134</f>
        <v>012# Single phase isolator / socket outlet point Galvanised conduit</v>
      </c>
      <c r="E4584" s="921"/>
      <c r="F4584" s="921" t="s">
        <v>2599</v>
      </c>
      <c r="G4584" s="922" t="s">
        <v>2600</v>
      </c>
      <c r="H4584" s="922"/>
      <c r="I4584" s="922"/>
      <c r="J4584" s="922"/>
      <c r="K4584" s="923"/>
      <c r="L4584" s="918"/>
      <c r="M4584" s="918"/>
      <c r="N4584" s="918"/>
      <c r="O4584" s="924"/>
      <c r="P4584" s="921"/>
      <c r="Q4584" s="925">
        <f ca="1">$B4584*Elec_Rates!$R$134</f>
        <v>74.42</v>
      </c>
      <c r="R4584" s="916">
        <f ca="1">$A4584*Q4584</f>
        <v>372.1</v>
      </c>
      <c r="S4584" s="925">
        <f ca="1">$B4584*Elec_Rates!$T$134</f>
        <v>3.46</v>
      </c>
      <c r="T4584" s="917">
        <f ca="1">$A4584*S4584</f>
        <v>17.3</v>
      </c>
      <c r="U4584" s="926"/>
      <c r="AR4584" s="919">
        <v>5</v>
      </c>
      <c r="AS4584" s="921" t="s">
        <v>2599</v>
      </c>
    </row>
    <row r="4585" spans="1:45" s="520" customFormat="1" ht="12">
      <c r="A4585" s="758"/>
      <c r="B4585" s="758"/>
      <c r="C4585" s="758"/>
      <c r="D4585" s="758"/>
      <c r="E4585" s="758"/>
      <c r="F4585" s="753"/>
      <c r="G4585" s="758"/>
      <c r="H4585" s="758"/>
      <c r="I4585" s="519"/>
      <c r="J4585" s="758"/>
      <c r="K4585" s="758"/>
      <c r="L4585" s="758"/>
      <c r="M4585" s="758"/>
      <c r="N4585" s="758"/>
      <c r="O4585" s="758"/>
      <c r="P4585" s="758"/>
      <c r="Q4585" s="519"/>
      <c r="R4585" s="759">
        <f>$A4585*Q4585</f>
        <v>0</v>
      </c>
      <c r="S4585" s="519"/>
      <c r="T4585" s="760">
        <f>$A4585*S4585*$T$1</f>
        <v>0</v>
      </c>
      <c r="AR4585" s="758"/>
      <c r="AS4585" s="753"/>
    </row>
    <row r="4586" spans="1:45" s="520" customFormat="1" ht="12.6" thickBot="1">
      <c r="A4586" s="761" t="s">
        <v>145</v>
      </c>
      <c r="B4586" s="762">
        <f>(R4585+T4585)</f>
        <v>0</v>
      </c>
      <c r="C4586" s="763"/>
      <c r="D4586" s="763"/>
      <c r="E4586" s="763"/>
      <c r="F4586" s="764"/>
      <c r="G4586" s="763" t="s">
        <v>146</v>
      </c>
      <c r="H4586" s="763"/>
      <c r="I4586" s="765"/>
      <c r="J4586" s="763"/>
      <c r="K4586" s="763" t="s">
        <v>3</v>
      </c>
      <c r="L4586" s="766" t="s">
        <v>143</v>
      </c>
      <c r="M4586" s="766"/>
      <c r="N4586" s="766"/>
      <c r="O4586" s="766"/>
      <c r="P4586" s="766"/>
      <c r="Q4586" s="767"/>
      <c r="R4586" s="768">
        <f ca="1">SUM(R4582:R4585)</f>
        <v>372.1</v>
      </c>
      <c r="S4586" s="763"/>
      <c r="T4586" s="768">
        <f ca="1">SUM(T4582:T4585)</f>
        <v>17.3</v>
      </c>
      <c r="U4586" s="531"/>
      <c r="V4586" s="531"/>
      <c r="W4586" s="531"/>
      <c r="X4586" s="531"/>
      <c r="Y4586" s="531"/>
      <c r="Z4586" s="531"/>
      <c r="AA4586" s="531"/>
      <c r="AB4586" s="531"/>
      <c r="AC4586" s="531"/>
      <c r="AD4586" s="531"/>
      <c r="AE4586" s="531"/>
      <c r="AF4586" s="531"/>
      <c r="AG4586" s="531"/>
      <c r="AH4586" s="531"/>
      <c r="AI4586" s="531"/>
      <c r="AJ4586" s="531"/>
      <c r="AK4586" s="531"/>
      <c r="AL4586" s="531"/>
      <c r="AM4586" s="531"/>
      <c r="AN4586" s="531"/>
      <c r="AO4586" s="531"/>
      <c r="AR4586" s="761" t="s">
        <v>145</v>
      </c>
      <c r="AS4586" s="764"/>
    </row>
    <row r="4587" spans="1:45" s="520" customFormat="1" ht="12" thickTop="1">
      <c r="A4587" s="51"/>
      <c r="B4587" s="41"/>
      <c r="C4587" s="51"/>
      <c r="E4587" s="42" t="s">
        <v>138</v>
      </c>
      <c r="F4587" s="42" t="s">
        <v>139</v>
      </c>
      <c r="G4587" s="51"/>
      <c r="H4587" s="51"/>
      <c r="I4587" s="51"/>
      <c r="J4587" s="51"/>
      <c r="K4587" s="51" t="s">
        <v>140</v>
      </c>
      <c r="L4587" s="51"/>
      <c r="M4587" s="51"/>
      <c r="N4587" s="51"/>
      <c r="O4587" s="52"/>
      <c r="P4587" s="51"/>
      <c r="Q4587" s="51"/>
      <c r="R4587" s="51"/>
      <c r="S4587" s="51"/>
      <c r="T4587" s="41"/>
      <c r="AG4587" s="521" t="s">
        <v>268</v>
      </c>
      <c r="AH4587" s="521" t="s">
        <v>269</v>
      </c>
      <c r="AI4587" s="521" t="s">
        <v>270</v>
      </c>
      <c r="AJ4587" s="521" t="s">
        <v>271</v>
      </c>
      <c r="AK4587" s="521" t="s">
        <v>272</v>
      </c>
      <c r="AM4587" s="745" t="s">
        <v>281</v>
      </c>
      <c r="AN4587" s="746" t="s">
        <v>282</v>
      </c>
      <c r="AO4587" s="522" t="s">
        <v>278</v>
      </c>
      <c r="AR4587" s="51"/>
      <c r="AS4587" s="42" t="s">
        <v>139</v>
      </c>
    </row>
    <row r="4588" spans="1:45" s="520" customFormat="1" ht="12" customHeight="1">
      <c r="A4588" s="747">
        <v>7</v>
      </c>
      <c r="B4588" s="523" t="s">
        <v>141</v>
      </c>
      <c r="C4588" s="748"/>
      <c r="D4588" s="749" t="s">
        <v>1789</v>
      </c>
      <c r="E4588" s="750">
        <f ca="1">IF(AND($A4588=0,$A$1="DIF"),0, ROUND(ROUND(($R4593*$S$2+($T4593*$T$2))/A4588,2)*$C$2,2))</f>
        <v>102.1</v>
      </c>
      <c r="F4588" s="751">
        <f ca="1">ROUND($A4588*$E4588,2)</f>
        <v>714.7</v>
      </c>
      <c r="G4588" s="752" t="s">
        <v>142</v>
      </c>
      <c r="H4588" s="753"/>
      <c r="I4588" s="754"/>
      <c r="J4588" s="753"/>
      <c r="K4588" s="753" t="s">
        <v>3</v>
      </c>
      <c r="L4588" s="755" t="s">
        <v>143</v>
      </c>
      <c r="M4588" s="755"/>
      <c r="N4588" s="755"/>
      <c r="O4588" s="755"/>
      <c r="P4588" s="755"/>
      <c r="Q4588" s="51"/>
      <c r="T4588" s="756" t="str">
        <f ca="1">IF(AND($R4593=0,$T4593=0),"0.00","mu :" &amp; ROUND($F4588/$C$2/($R4593+$T4593*$D$9),2))</f>
        <v>mu :1.23</v>
      </c>
      <c r="W4588" s="524"/>
      <c r="AG4588" s="481">
        <f ca="1">IF($E4588=0,0,ROUND($R4593*$S$2*$C$2/$A4588,2))</f>
        <v>34.130000000000003</v>
      </c>
      <c r="AH4588" s="481">
        <f ca="1">$AG4588*$A4588</f>
        <v>238.91000000000003</v>
      </c>
      <c r="AI4588" s="525">
        <f ca="1">$E4588-$AG4588</f>
        <v>67.97</v>
      </c>
      <c r="AJ4588" s="525">
        <f ca="1">$A4588*$AI4588</f>
        <v>475.78999999999996</v>
      </c>
      <c r="AK4588" s="526">
        <f ca="1">ROUND(($AG4588+$AI4588)*$A4588,2)</f>
        <v>714.7</v>
      </c>
      <c r="AM4588" s="527">
        <f ca="1">ROUND(R4593,2)</f>
        <v>194.04</v>
      </c>
      <c r="AN4588" s="528">
        <f ca="1">ROUND(T4593,2)</f>
        <v>14.07</v>
      </c>
      <c r="AO4588" s="529">
        <f ca="1">ROUND(AM4588+AN4588,2)*A4588</f>
        <v>1456.77</v>
      </c>
      <c r="AR4588" s="747">
        <v>7</v>
      </c>
      <c r="AS4588" s="751">
        <v>767.9</v>
      </c>
    </row>
    <row r="4589" spans="1:45" s="520" customFormat="1" ht="13.2">
      <c r="A4589" s="748"/>
      <c r="B4589"/>
      <c r="C4589" s="748"/>
      <c r="D4589" s="749" t="s">
        <v>759</v>
      </c>
      <c r="F4589" s="753"/>
      <c r="G4589" s="3"/>
      <c r="H4589" s="753"/>
      <c r="I4589" s="754"/>
      <c r="J4589" s="753"/>
      <c r="K4589" s="753" t="s">
        <v>144</v>
      </c>
      <c r="L4589" s="753"/>
      <c r="M4589" s="753"/>
      <c r="N4589" s="753"/>
      <c r="O4589" s="753"/>
      <c r="P4589" s="753"/>
      <c r="Q4589" s="51"/>
      <c r="R4589" s="530"/>
      <c r="S4589" s="757"/>
      <c r="T4589" s="753"/>
      <c r="AR4589" s="748"/>
      <c r="AS4589" s="753"/>
    </row>
    <row r="4590" spans="1:45" s="886" customFormat="1" ht="13.2">
      <c r="A4590"/>
      <c r="B4590" s="910"/>
      <c r="C4590" s="910" t="s">
        <v>2597</v>
      </c>
      <c r="D4590" s="910" t="str">
        <f ca="1">CELL("Address",Elec_Rates!D$19)</f>
        <v>[E25_0062_Quintano_Foods_Elec_ELV_As_Awarded.xlsx]Elec_Rates!$D$19</v>
      </c>
      <c r="E4590" s="911"/>
      <c r="F4590" s="911"/>
      <c r="G4590" s="912" t="s">
        <v>2598</v>
      </c>
      <c r="H4590" s="912"/>
      <c r="I4590" s="912"/>
      <c r="J4590" s="912"/>
      <c r="K4590" s="913"/>
      <c r="L4590" s="911"/>
      <c r="M4590" s="911"/>
      <c r="N4590" s="911"/>
      <c r="O4590" s="914"/>
      <c r="P4590" s="911"/>
      <c r="Q4590" s="915"/>
      <c r="R4590" s="916"/>
      <c r="S4590" s="915"/>
      <c r="T4590" s="917"/>
      <c r="U4590" s="918"/>
      <c r="AR4590"/>
      <c r="AS4590" s="911"/>
    </row>
    <row r="4591" spans="1:45" s="886" customFormat="1" ht="11.4">
      <c r="A4591" s="919">
        <v>7</v>
      </c>
      <c r="B4591" s="920">
        <v>1.5</v>
      </c>
      <c r="C4591" s="920">
        <f>$A4591*$B4591</f>
        <v>10.5</v>
      </c>
      <c r="D4591" s="921" t="str">
        <f>Elec_Rates!$D$19</f>
        <v>001# Light Point Rate (LSZH Conduit)</v>
      </c>
      <c r="E4591" s="921" t="s">
        <v>2879</v>
      </c>
      <c r="F4591" s="918"/>
      <c r="G4591" s="922" t="s">
        <v>2878</v>
      </c>
      <c r="H4591" s="922"/>
      <c r="I4591" s="922"/>
      <c r="J4591" s="922"/>
      <c r="K4591" s="923"/>
      <c r="L4591" s="918"/>
      <c r="M4591" s="918"/>
      <c r="N4591" s="918"/>
      <c r="O4591" s="924"/>
      <c r="P4591" s="921"/>
      <c r="Q4591" s="925">
        <f ca="1">$B4591*Elec_Rates!$R$19</f>
        <v>27.72</v>
      </c>
      <c r="R4591" s="916">
        <f ca="1">$A4591*Q4591</f>
        <v>194.04</v>
      </c>
      <c r="S4591" s="925">
        <f ca="1">$B4591*Elec_Rates!$T$19</f>
        <v>2.0100000000000002</v>
      </c>
      <c r="T4591" s="917">
        <f ca="1">$A4591*S4591</f>
        <v>14.070000000000002</v>
      </c>
      <c r="U4591" s="926"/>
      <c r="AR4591" s="919">
        <v>7</v>
      </c>
      <c r="AS4591" s="918"/>
    </row>
    <row r="4592" spans="1:45" s="520" customFormat="1" ht="12">
      <c r="A4592" s="758"/>
      <c r="B4592" s="758"/>
      <c r="C4592" s="758"/>
      <c r="D4592" s="758"/>
      <c r="E4592" s="758"/>
      <c r="F4592" s="753"/>
      <c r="G4592" s="758"/>
      <c r="H4592" s="758"/>
      <c r="I4592" s="519"/>
      <c r="J4592" s="758"/>
      <c r="K4592" s="758"/>
      <c r="L4592" s="758"/>
      <c r="M4592" s="758"/>
      <c r="N4592" s="758"/>
      <c r="O4592" s="758"/>
      <c r="P4592" s="758"/>
      <c r="Q4592" s="519"/>
      <c r="R4592" s="759">
        <f>$A4592*Q4592</f>
        <v>0</v>
      </c>
      <c r="S4592" s="519"/>
      <c r="T4592" s="760">
        <f>$A4592*S4592*$T$1</f>
        <v>0</v>
      </c>
      <c r="AR4592" s="758"/>
      <c r="AS4592" s="753"/>
    </row>
    <row r="4593" spans="1:45" s="520" customFormat="1" ht="12.6" thickBot="1">
      <c r="A4593" s="761" t="s">
        <v>145</v>
      </c>
      <c r="B4593" s="762">
        <f>(R4592+T4592)</f>
        <v>0</v>
      </c>
      <c r="C4593" s="763"/>
      <c r="D4593" s="763"/>
      <c r="E4593" s="763"/>
      <c r="F4593" s="764"/>
      <c r="G4593" s="763" t="s">
        <v>146</v>
      </c>
      <c r="H4593" s="763"/>
      <c r="I4593" s="765"/>
      <c r="J4593" s="763"/>
      <c r="K4593" s="763" t="s">
        <v>3</v>
      </c>
      <c r="L4593" s="766" t="s">
        <v>143</v>
      </c>
      <c r="M4593" s="766"/>
      <c r="N4593" s="766"/>
      <c r="O4593" s="766"/>
      <c r="P4593" s="766"/>
      <c r="Q4593" s="767"/>
      <c r="R4593" s="768">
        <f ca="1">SUM(R4589:R4592)</f>
        <v>194.04</v>
      </c>
      <c r="S4593" s="763"/>
      <c r="T4593" s="768">
        <f ca="1">SUM(T4589:T4592)</f>
        <v>14.070000000000002</v>
      </c>
      <c r="U4593" s="531"/>
      <c r="V4593" s="531"/>
      <c r="W4593" s="531"/>
      <c r="X4593" s="531"/>
      <c r="Y4593" s="531"/>
      <c r="Z4593" s="531"/>
      <c r="AA4593" s="531"/>
      <c r="AB4593" s="531"/>
      <c r="AC4593" s="531"/>
      <c r="AD4593" s="531"/>
      <c r="AE4593" s="531"/>
      <c r="AF4593" s="531"/>
      <c r="AG4593" s="531"/>
      <c r="AH4593" s="531"/>
      <c r="AI4593" s="531"/>
      <c r="AJ4593" s="531"/>
      <c r="AK4593" s="531"/>
      <c r="AL4593" s="531"/>
      <c r="AM4593" s="531"/>
      <c r="AN4593" s="531"/>
      <c r="AO4593" s="531"/>
      <c r="AR4593" s="761" t="s">
        <v>145</v>
      </c>
      <c r="AS4593" s="764"/>
    </row>
    <row r="4594" spans="1:45" s="520" customFormat="1" ht="12" thickTop="1">
      <c r="A4594" s="51"/>
      <c r="B4594" s="41"/>
      <c r="C4594" s="51"/>
      <c r="E4594" s="42" t="s">
        <v>138</v>
      </c>
      <c r="F4594" s="42" t="s">
        <v>139</v>
      </c>
      <c r="G4594" s="51"/>
      <c r="H4594" s="51"/>
      <c r="I4594" s="51"/>
      <c r="J4594" s="51"/>
      <c r="K4594" s="51" t="s">
        <v>140</v>
      </c>
      <c r="L4594" s="51"/>
      <c r="M4594" s="51"/>
      <c r="N4594" s="51"/>
      <c r="O4594" s="52"/>
      <c r="P4594" s="51"/>
      <c r="Q4594" s="51"/>
      <c r="R4594" s="51"/>
      <c r="S4594" s="51"/>
      <c r="T4594" s="41"/>
      <c r="AG4594" s="521" t="s">
        <v>268</v>
      </c>
      <c r="AH4594" s="521" t="s">
        <v>269</v>
      </c>
      <c r="AI4594" s="521" t="s">
        <v>270</v>
      </c>
      <c r="AJ4594" s="521" t="s">
        <v>271</v>
      </c>
      <c r="AK4594" s="521" t="s">
        <v>272</v>
      </c>
      <c r="AM4594" s="745" t="s">
        <v>281</v>
      </c>
      <c r="AN4594" s="746" t="s">
        <v>282</v>
      </c>
      <c r="AO4594" s="522" t="s">
        <v>278</v>
      </c>
      <c r="AR4594" s="51"/>
      <c r="AS4594" s="42" t="s">
        <v>139</v>
      </c>
    </row>
    <row r="4595" spans="1:45" s="520" customFormat="1" ht="12" customHeight="1">
      <c r="A4595" s="747">
        <v>7</v>
      </c>
      <c r="B4595" s="523" t="s">
        <v>141</v>
      </c>
      <c r="C4595" s="748"/>
      <c r="D4595" s="749" t="s">
        <v>1790</v>
      </c>
      <c r="E4595" s="750">
        <f ca="1">IF(AND($A4595=0,$A$1="DIF"),0, ROUND(ROUND(($R4600*$S$2+($T4600*$T$2))/A4595,2)*$C$2,2))</f>
        <v>136.13</v>
      </c>
      <c r="F4595" s="751">
        <f ca="1">ROUND($A4595*$E4595,2)</f>
        <v>952.91</v>
      </c>
      <c r="G4595" s="752" t="s">
        <v>142</v>
      </c>
      <c r="H4595" s="753"/>
      <c r="I4595" s="754"/>
      <c r="J4595" s="753"/>
      <c r="K4595" s="753" t="s">
        <v>3</v>
      </c>
      <c r="L4595" s="755" t="s">
        <v>143</v>
      </c>
      <c r="M4595" s="755"/>
      <c r="N4595" s="755"/>
      <c r="O4595" s="755"/>
      <c r="P4595" s="755"/>
      <c r="Q4595" s="51"/>
      <c r="T4595" s="756" t="str">
        <f ca="1">IF(AND($R4600=0,$T4600=0),"0.00","mu :" &amp; ROUND($F4595/$C$2/($R4600+$T4600*$D$9),2))</f>
        <v>mu :1.23</v>
      </c>
      <c r="W4595" s="524"/>
      <c r="AG4595" s="481">
        <f ca="1">IF($E4595=0,0,ROUND($R4600*$S$2*$C$2/$A4595,2))</f>
        <v>45.51</v>
      </c>
      <c r="AH4595" s="481">
        <f ca="1">$AG4595*$A4595</f>
        <v>318.57</v>
      </c>
      <c r="AI4595" s="525">
        <f ca="1">$E4595-$AG4595</f>
        <v>90.62</v>
      </c>
      <c r="AJ4595" s="525">
        <f ca="1">$A4595*$AI4595</f>
        <v>634.34</v>
      </c>
      <c r="AK4595" s="526">
        <f ca="1">ROUND(($AG4595+$AI4595)*$A4595,2)</f>
        <v>952.91</v>
      </c>
      <c r="AM4595" s="527">
        <f ca="1">ROUND(R4600,2)</f>
        <v>258.72000000000003</v>
      </c>
      <c r="AN4595" s="528">
        <f ca="1">ROUND(T4600,2)</f>
        <v>18.760000000000002</v>
      </c>
      <c r="AO4595" s="529">
        <f ca="1">ROUND(AM4595+AN4595,2)*A4595</f>
        <v>1942.3600000000001</v>
      </c>
      <c r="AR4595" s="747">
        <v>7</v>
      </c>
      <c r="AS4595" s="751">
        <v>1023.89</v>
      </c>
    </row>
    <row r="4596" spans="1:45" s="520" customFormat="1" ht="13.2">
      <c r="A4596" s="748"/>
      <c r="B4596"/>
      <c r="C4596" s="748"/>
      <c r="D4596" s="749" t="s">
        <v>791</v>
      </c>
      <c r="F4596" s="753"/>
      <c r="G4596" s="3"/>
      <c r="H4596" s="753"/>
      <c r="I4596" s="754"/>
      <c r="J4596" s="753"/>
      <c r="K4596" s="753" t="s">
        <v>144</v>
      </c>
      <c r="L4596" s="753"/>
      <c r="M4596" s="753"/>
      <c r="N4596" s="753"/>
      <c r="O4596" s="753"/>
      <c r="P4596" s="753"/>
      <c r="Q4596" s="51"/>
      <c r="R4596" s="530"/>
      <c r="S4596" s="757"/>
      <c r="T4596" s="753"/>
      <c r="AR4596" s="748"/>
      <c r="AS4596" s="753"/>
    </row>
    <row r="4597" spans="1:45" s="886" customFormat="1" ht="13.2">
      <c r="A4597"/>
      <c r="B4597" s="910"/>
      <c r="C4597" s="910" t="s">
        <v>2597</v>
      </c>
      <c r="D4597" s="910" t="str">
        <f ca="1">CELL("Address",Elec_Rates!D$19)</f>
        <v>[E25_0062_Quintano_Foods_Elec_ELV_As_Awarded.xlsx]Elec_Rates!$D$19</v>
      </c>
      <c r="E4597" s="911"/>
      <c r="F4597" s="911"/>
      <c r="G4597" s="912" t="s">
        <v>2598</v>
      </c>
      <c r="H4597" s="912"/>
      <c r="I4597" s="912"/>
      <c r="J4597" s="912"/>
      <c r="K4597" s="913"/>
      <c r="L4597" s="911"/>
      <c r="M4597" s="911"/>
      <c r="N4597" s="911"/>
      <c r="O4597" s="914"/>
      <c r="P4597" s="911"/>
      <c r="Q4597" s="915"/>
      <c r="R4597" s="916"/>
      <c r="S4597" s="915"/>
      <c r="T4597" s="917"/>
      <c r="U4597" s="918"/>
      <c r="AR4597"/>
      <c r="AS4597" s="911"/>
    </row>
    <row r="4598" spans="1:45" s="886" customFormat="1" ht="11.4">
      <c r="A4598" s="919">
        <v>7</v>
      </c>
      <c r="B4598" s="920">
        <v>2</v>
      </c>
      <c r="C4598" s="920">
        <f>$A4598*$B4598</f>
        <v>14</v>
      </c>
      <c r="D4598" s="921" t="str">
        <f>Elec_Rates!$D$19</f>
        <v>001# Light Point Rate (LSZH Conduit)</v>
      </c>
      <c r="E4598" s="921" t="s">
        <v>2967</v>
      </c>
      <c r="F4598" s="918"/>
      <c r="G4598" s="922" t="s">
        <v>2878</v>
      </c>
      <c r="H4598" s="922"/>
      <c r="I4598" s="922"/>
      <c r="J4598" s="922"/>
      <c r="K4598" s="923"/>
      <c r="L4598" s="918"/>
      <c r="M4598" s="918"/>
      <c r="N4598" s="918"/>
      <c r="O4598" s="924"/>
      <c r="P4598" s="921"/>
      <c r="Q4598" s="925">
        <f ca="1">$B4598*Elec_Rates!$R$19</f>
        <v>36.96</v>
      </c>
      <c r="R4598" s="916">
        <f ca="1">$A4598*Q4598</f>
        <v>258.72000000000003</v>
      </c>
      <c r="S4598" s="925">
        <f ca="1">$B4598*Elec_Rates!$T$19</f>
        <v>2.68</v>
      </c>
      <c r="T4598" s="917">
        <f ca="1">$A4598*S4598</f>
        <v>18.760000000000002</v>
      </c>
      <c r="U4598" s="926"/>
      <c r="AR4598" s="919">
        <v>7</v>
      </c>
      <c r="AS4598" s="918"/>
    </row>
    <row r="4599" spans="1:45" s="520" customFormat="1" ht="12">
      <c r="A4599" s="758"/>
      <c r="B4599" s="758"/>
      <c r="C4599" s="758"/>
      <c r="D4599" s="758"/>
      <c r="E4599" s="758"/>
      <c r="F4599" s="753"/>
      <c r="G4599" s="758"/>
      <c r="H4599" s="758"/>
      <c r="I4599" s="519"/>
      <c r="J4599" s="758"/>
      <c r="K4599" s="758"/>
      <c r="L4599" s="758"/>
      <c r="M4599" s="758"/>
      <c r="N4599" s="758"/>
      <c r="O4599" s="758"/>
      <c r="P4599" s="758"/>
      <c r="Q4599" s="519"/>
      <c r="R4599" s="759">
        <f>$A4599*Q4599</f>
        <v>0</v>
      </c>
      <c r="S4599" s="519"/>
      <c r="T4599" s="760">
        <f>$A4599*S4599*$T$1</f>
        <v>0</v>
      </c>
      <c r="AR4599" s="758"/>
      <c r="AS4599" s="753"/>
    </row>
    <row r="4600" spans="1:45" s="520" customFormat="1" ht="12.6" thickBot="1">
      <c r="A4600" s="761" t="s">
        <v>145</v>
      </c>
      <c r="B4600" s="762">
        <f>(R4599+T4599)</f>
        <v>0</v>
      </c>
      <c r="C4600" s="763"/>
      <c r="D4600" s="763"/>
      <c r="E4600" s="763"/>
      <c r="F4600" s="764"/>
      <c r="G4600" s="763" t="s">
        <v>146</v>
      </c>
      <c r="H4600" s="763"/>
      <c r="I4600" s="765"/>
      <c r="J4600" s="763"/>
      <c r="K4600" s="763" t="s">
        <v>3</v>
      </c>
      <c r="L4600" s="766" t="s">
        <v>143</v>
      </c>
      <c r="M4600" s="766"/>
      <c r="N4600" s="766"/>
      <c r="O4600" s="766"/>
      <c r="P4600" s="766"/>
      <c r="Q4600" s="767"/>
      <c r="R4600" s="768">
        <f ca="1">SUM(R4596:R4599)</f>
        <v>258.72000000000003</v>
      </c>
      <c r="S4600" s="763"/>
      <c r="T4600" s="768">
        <f ca="1">SUM(T4596:T4599)</f>
        <v>18.760000000000002</v>
      </c>
      <c r="U4600" s="531"/>
      <c r="V4600" s="531"/>
      <c r="W4600" s="531"/>
      <c r="X4600" s="531"/>
      <c r="Y4600" s="531"/>
      <c r="Z4600" s="531"/>
      <c r="AA4600" s="531"/>
      <c r="AB4600" s="531"/>
      <c r="AC4600" s="531"/>
      <c r="AD4600" s="531"/>
      <c r="AE4600" s="531"/>
      <c r="AF4600" s="531"/>
      <c r="AG4600" s="531"/>
      <c r="AH4600" s="531"/>
      <c r="AI4600" s="531"/>
      <c r="AJ4600" s="531"/>
      <c r="AK4600" s="531"/>
      <c r="AL4600" s="531"/>
      <c r="AM4600" s="531"/>
      <c r="AN4600" s="531"/>
      <c r="AO4600" s="531"/>
      <c r="AR4600" s="761" t="s">
        <v>145</v>
      </c>
      <c r="AS4600" s="764"/>
    </row>
    <row r="4601" spans="1:45" s="520" customFormat="1" ht="12" thickTop="1">
      <c r="A4601" s="51"/>
      <c r="B4601" s="41"/>
      <c r="C4601" s="51"/>
      <c r="E4601" s="42" t="s">
        <v>138</v>
      </c>
      <c r="F4601" s="42" t="s">
        <v>139</v>
      </c>
      <c r="G4601" s="51"/>
      <c r="H4601" s="51"/>
      <c r="I4601" s="51"/>
      <c r="J4601" s="51"/>
      <c r="K4601" s="51" t="s">
        <v>140</v>
      </c>
      <c r="L4601" s="51"/>
      <c r="M4601" s="51"/>
      <c r="N4601" s="51"/>
      <c r="O4601" s="52"/>
      <c r="P4601" s="51"/>
      <c r="Q4601" s="51"/>
      <c r="R4601" s="51"/>
      <c r="S4601" s="51"/>
      <c r="T4601" s="41"/>
      <c r="AG4601" s="521" t="s">
        <v>268</v>
      </c>
      <c r="AH4601" s="521" t="s">
        <v>269</v>
      </c>
      <c r="AI4601" s="521" t="s">
        <v>270</v>
      </c>
      <c r="AJ4601" s="521" t="s">
        <v>271</v>
      </c>
      <c r="AK4601" s="521" t="s">
        <v>272</v>
      </c>
      <c r="AM4601" s="745" t="s">
        <v>281</v>
      </c>
      <c r="AN4601" s="746" t="s">
        <v>282</v>
      </c>
      <c r="AO4601" s="522" t="s">
        <v>278</v>
      </c>
      <c r="AR4601" s="51"/>
      <c r="AS4601" s="42" t="s">
        <v>139</v>
      </c>
    </row>
    <row r="4602" spans="1:45" s="520" customFormat="1" ht="12" customHeight="1">
      <c r="A4602" s="747">
        <v>10</v>
      </c>
      <c r="B4602" s="523" t="s">
        <v>141</v>
      </c>
      <c r="C4602" s="748"/>
      <c r="D4602" s="749" t="s">
        <v>1791</v>
      </c>
      <c r="E4602" s="750">
        <f ca="1">IF(AND($A4602=0,$A$1="DIF"),0, ROUND(ROUND(($R4607*$S$2+($T4607*$T$2))/A4602,2)*$C$2,2))</f>
        <v>170.16</v>
      </c>
      <c r="F4602" s="751">
        <f ca="1">ROUND($A4602*$E4602,2)</f>
        <v>1701.6</v>
      </c>
      <c r="G4602" s="752" t="s">
        <v>142</v>
      </c>
      <c r="H4602" s="753"/>
      <c r="I4602" s="754"/>
      <c r="J4602" s="753"/>
      <c r="K4602" s="753" t="s">
        <v>3</v>
      </c>
      <c r="L4602" s="755" t="s">
        <v>143</v>
      </c>
      <c r="M4602" s="755"/>
      <c r="N4602" s="755"/>
      <c r="O4602" s="755"/>
      <c r="P4602" s="755"/>
      <c r="Q4602" s="51"/>
      <c r="T4602" s="756" t="str">
        <f ca="1">IF(AND($R4607=0,$T4607=0),"0.00","mu :" &amp; ROUND($F4602/$C$2/($R4607+$T4607*$D$9),2))</f>
        <v>mu :1.23</v>
      </c>
      <c r="W4602" s="524"/>
      <c r="AG4602" s="481">
        <f ca="1">IF($E4602=0,0,ROUND($R4607*$S$2*$C$2/$A4602,2))</f>
        <v>56.89</v>
      </c>
      <c r="AH4602" s="481">
        <f ca="1">$AG4602*$A4602</f>
        <v>568.9</v>
      </c>
      <c r="AI4602" s="525">
        <f ca="1">$E4602-$AG4602</f>
        <v>113.27</v>
      </c>
      <c r="AJ4602" s="525">
        <f ca="1">$A4602*$AI4602</f>
        <v>1132.7</v>
      </c>
      <c r="AK4602" s="526">
        <f ca="1">ROUND(($AG4602+$AI4602)*$A4602,2)</f>
        <v>1701.6</v>
      </c>
      <c r="AM4602" s="527">
        <f ca="1">ROUND(R4607,2)</f>
        <v>462</v>
      </c>
      <c r="AN4602" s="528">
        <f ca="1">ROUND(T4607,2)</f>
        <v>33.5</v>
      </c>
      <c r="AO4602" s="529">
        <f ca="1">ROUND(AM4602+AN4602,2)*A4602</f>
        <v>4955</v>
      </c>
      <c r="AR4602" s="747">
        <v>10</v>
      </c>
      <c r="AS4602" s="751">
        <v>1828.4</v>
      </c>
    </row>
    <row r="4603" spans="1:45" s="520" customFormat="1" ht="13.2">
      <c r="A4603" s="748"/>
      <c r="B4603"/>
      <c r="C4603" s="748"/>
      <c r="D4603" s="749" t="s">
        <v>761</v>
      </c>
      <c r="F4603" s="753"/>
      <c r="G4603" s="3"/>
      <c r="H4603" s="753"/>
      <c r="I4603" s="754"/>
      <c r="J4603" s="753"/>
      <c r="K4603" s="753" t="s">
        <v>144</v>
      </c>
      <c r="L4603" s="753"/>
      <c r="M4603" s="753"/>
      <c r="N4603" s="753"/>
      <c r="O4603" s="753"/>
      <c r="P4603" s="753"/>
      <c r="Q4603" s="51"/>
      <c r="R4603" s="530"/>
      <c r="S4603" s="757"/>
      <c r="T4603" s="753"/>
      <c r="AR4603" s="748"/>
      <c r="AS4603" s="753"/>
    </row>
    <row r="4604" spans="1:45" s="886" customFormat="1" ht="15.6" customHeight="1">
      <c r="A4604"/>
      <c r="B4604" s="910"/>
      <c r="C4604" s="910" t="s">
        <v>2597</v>
      </c>
      <c r="D4604" s="910" t="str">
        <f ca="1">CELL("Address",Elec_Rates!D$19)</f>
        <v>[E25_0062_Quintano_Foods_Elec_ELV_As_Awarded.xlsx]Elec_Rates!$D$19</v>
      </c>
      <c r="E4604" s="911"/>
      <c r="F4604" s="911"/>
      <c r="G4604" s="912" t="s">
        <v>2598</v>
      </c>
      <c r="H4604" s="912"/>
      <c r="I4604" s="912"/>
      <c r="J4604" s="912"/>
      <c r="K4604" s="913"/>
      <c r="L4604" s="911"/>
      <c r="M4604" s="911"/>
      <c r="N4604" s="911"/>
      <c r="O4604" s="914"/>
      <c r="P4604" s="911"/>
      <c r="Q4604" s="915"/>
      <c r="R4604" s="916"/>
      <c r="S4604" s="915"/>
      <c r="T4604" s="917"/>
      <c r="U4604" s="918"/>
      <c r="AR4604"/>
      <c r="AS4604" s="911"/>
    </row>
    <row r="4605" spans="1:45" s="886" customFormat="1" ht="11.4">
      <c r="A4605" s="919">
        <v>10</v>
      </c>
      <c r="B4605" s="920">
        <v>2.5</v>
      </c>
      <c r="C4605" s="920">
        <f>$A4605*$B4605</f>
        <v>25</v>
      </c>
      <c r="D4605" s="921" t="str">
        <f>Elec_Rates!$D$19</f>
        <v>001# Light Point Rate (LSZH Conduit)</v>
      </c>
      <c r="E4605" s="921" t="s">
        <v>2882</v>
      </c>
      <c r="F4605" s="918"/>
      <c r="G4605" s="922" t="s">
        <v>2878</v>
      </c>
      <c r="H4605" s="922"/>
      <c r="I4605" s="922"/>
      <c r="J4605" s="922"/>
      <c r="K4605" s="923"/>
      <c r="L4605" s="918"/>
      <c r="M4605" s="918"/>
      <c r="N4605" s="918"/>
      <c r="O4605" s="924"/>
      <c r="P4605" s="921"/>
      <c r="Q4605" s="925">
        <f ca="1">$B4605*Elec_Rates!$R$19</f>
        <v>46.2</v>
      </c>
      <c r="R4605" s="916">
        <f ca="1">$A4605*Q4605</f>
        <v>462</v>
      </c>
      <c r="S4605" s="925">
        <f ca="1">$B4605*Elec_Rates!$T$19</f>
        <v>3.35</v>
      </c>
      <c r="T4605" s="917">
        <f ca="1">$A4605*S4605</f>
        <v>33.5</v>
      </c>
      <c r="U4605" s="926"/>
      <c r="AR4605" s="919">
        <v>10</v>
      </c>
      <c r="AS4605" s="918"/>
    </row>
    <row r="4606" spans="1:45" s="520" customFormat="1" ht="12">
      <c r="A4606" s="758"/>
      <c r="B4606" s="758"/>
      <c r="C4606" s="758"/>
      <c r="D4606" s="758"/>
      <c r="E4606" s="758"/>
      <c r="F4606" s="753"/>
      <c r="G4606" s="758"/>
      <c r="H4606" s="758"/>
      <c r="I4606" s="519"/>
      <c r="J4606" s="758"/>
      <c r="K4606" s="758"/>
      <c r="L4606" s="758"/>
      <c r="M4606" s="758"/>
      <c r="N4606" s="758"/>
      <c r="O4606" s="758"/>
      <c r="P4606" s="758"/>
      <c r="Q4606" s="519"/>
      <c r="R4606" s="759">
        <f>$A4606*Q4606</f>
        <v>0</v>
      </c>
      <c r="S4606" s="519"/>
      <c r="T4606" s="760">
        <f>$A4606*S4606*$T$1</f>
        <v>0</v>
      </c>
      <c r="AR4606" s="758"/>
      <c r="AS4606" s="753"/>
    </row>
    <row r="4607" spans="1:45" s="520" customFormat="1" ht="12.6" thickBot="1">
      <c r="A4607" s="761" t="s">
        <v>145</v>
      </c>
      <c r="B4607" s="762">
        <f>(R4606+T4606)</f>
        <v>0</v>
      </c>
      <c r="C4607" s="763"/>
      <c r="D4607" s="763"/>
      <c r="E4607" s="763"/>
      <c r="F4607" s="764"/>
      <c r="G4607" s="763" t="s">
        <v>146</v>
      </c>
      <c r="H4607" s="763"/>
      <c r="I4607" s="765"/>
      <c r="J4607" s="763"/>
      <c r="K4607" s="763" t="s">
        <v>3</v>
      </c>
      <c r="L4607" s="766" t="s">
        <v>143</v>
      </c>
      <c r="M4607" s="766"/>
      <c r="N4607" s="766"/>
      <c r="O4607" s="766"/>
      <c r="P4607" s="766"/>
      <c r="Q4607" s="767"/>
      <c r="R4607" s="768">
        <f ca="1">SUM(R4603:R4606)</f>
        <v>462</v>
      </c>
      <c r="S4607" s="763"/>
      <c r="T4607" s="768">
        <f ca="1">SUM(T4603:T4606)</f>
        <v>33.5</v>
      </c>
      <c r="U4607" s="531"/>
      <c r="V4607" s="531"/>
      <c r="W4607" s="531"/>
      <c r="X4607" s="531"/>
      <c r="Y4607" s="531"/>
      <c r="Z4607" s="531"/>
      <c r="AA4607" s="531"/>
      <c r="AB4607" s="531"/>
      <c r="AC4607" s="531"/>
      <c r="AD4607" s="531"/>
      <c r="AE4607" s="531"/>
      <c r="AF4607" s="531"/>
      <c r="AG4607" s="531"/>
      <c r="AH4607" s="531"/>
      <c r="AI4607" s="531"/>
      <c r="AJ4607" s="531"/>
      <c r="AK4607" s="531"/>
      <c r="AL4607" s="531"/>
      <c r="AM4607" s="531"/>
      <c r="AN4607" s="531"/>
      <c r="AO4607" s="531"/>
      <c r="AR4607" s="761" t="s">
        <v>145</v>
      </c>
      <c r="AS4607" s="764"/>
    </row>
    <row r="4608" spans="1:45" s="520" customFormat="1" ht="12" thickTop="1">
      <c r="A4608" s="51"/>
      <c r="B4608" s="41"/>
      <c r="C4608" s="51"/>
      <c r="E4608" s="42" t="s">
        <v>138</v>
      </c>
      <c r="F4608" s="42" t="s">
        <v>139</v>
      </c>
      <c r="G4608" s="51"/>
      <c r="H4608" s="51"/>
      <c r="I4608" s="51"/>
      <c r="J4608" s="51"/>
      <c r="K4608" s="51" t="s">
        <v>140</v>
      </c>
      <c r="L4608" s="51"/>
      <c r="M4608" s="51"/>
      <c r="N4608" s="51"/>
      <c r="O4608" s="52"/>
      <c r="P4608" s="51"/>
      <c r="Q4608" s="51"/>
      <c r="R4608" s="51"/>
      <c r="S4608" s="51"/>
      <c r="T4608" s="41"/>
      <c r="AG4608" s="521" t="s">
        <v>268</v>
      </c>
      <c r="AH4608" s="521" t="s">
        <v>269</v>
      </c>
      <c r="AI4608" s="521" t="s">
        <v>270</v>
      </c>
      <c r="AJ4608" s="521" t="s">
        <v>271</v>
      </c>
      <c r="AK4608" s="521" t="s">
        <v>272</v>
      </c>
      <c r="AM4608" s="745" t="s">
        <v>281</v>
      </c>
      <c r="AN4608" s="746" t="s">
        <v>282</v>
      </c>
      <c r="AO4608" s="522" t="s">
        <v>278</v>
      </c>
      <c r="AR4608" s="51"/>
      <c r="AS4608" s="42" t="s">
        <v>139</v>
      </c>
    </row>
    <row r="4609" spans="1:45" s="520" customFormat="1" ht="12" customHeight="1">
      <c r="A4609" s="747">
        <v>1</v>
      </c>
      <c r="B4609" s="523" t="s">
        <v>141</v>
      </c>
      <c r="C4609" s="748"/>
      <c r="D4609" s="749" t="s">
        <v>1792</v>
      </c>
      <c r="E4609" s="750">
        <f ca="1">IF(AND($A4609=0,$A$1="DIF"),0, ROUND(ROUND(($R4614*$S$2+($T4614*$T$2))/A4609,2)*$C$2,2))</f>
        <v>204.19</v>
      </c>
      <c r="F4609" s="751">
        <f ca="1">ROUND($A4609*$E4609,2)</f>
        <v>204.19</v>
      </c>
      <c r="G4609" s="752" t="s">
        <v>142</v>
      </c>
      <c r="H4609" s="753"/>
      <c r="I4609" s="754"/>
      <c r="J4609" s="753"/>
      <c r="K4609" s="753" t="s">
        <v>3</v>
      </c>
      <c r="L4609" s="755" t="s">
        <v>143</v>
      </c>
      <c r="M4609" s="755"/>
      <c r="N4609" s="755"/>
      <c r="O4609" s="755"/>
      <c r="P4609" s="755"/>
      <c r="Q4609" s="51"/>
      <c r="T4609" s="756" t="str">
        <f ca="1">IF(AND($R4614=0,$T4614=0),"0.00","mu :" &amp; ROUND($F4609/$C$2/($R4614+$T4614*$D$9),2))</f>
        <v>mu :1.23</v>
      </c>
      <c r="W4609" s="524"/>
      <c r="AG4609" s="481">
        <f ca="1">IF($E4609=0,0,ROUND($R4614*$S$2*$C$2/$A4609,2))</f>
        <v>68.27</v>
      </c>
      <c r="AH4609" s="481">
        <f ca="1">$AG4609*$A4609</f>
        <v>68.27</v>
      </c>
      <c r="AI4609" s="525">
        <f ca="1">$E4609-$AG4609</f>
        <v>135.92000000000002</v>
      </c>
      <c r="AJ4609" s="525">
        <f ca="1">$A4609*$AI4609</f>
        <v>135.92000000000002</v>
      </c>
      <c r="AK4609" s="526">
        <f ca="1">ROUND(($AG4609+$AI4609)*$A4609,2)</f>
        <v>204.19</v>
      </c>
      <c r="AM4609" s="527">
        <f ca="1">ROUND(R4614,2)</f>
        <v>55.44</v>
      </c>
      <c r="AN4609" s="528">
        <f ca="1">ROUND(T4614,2)</f>
        <v>4.0199999999999996</v>
      </c>
      <c r="AO4609" s="529">
        <f ca="1">ROUND(AM4609+AN4609,2)*A4609</f>
        <v>59.46</v>
      </c>
      <c r="AR4609" s="747">
        <v>1</v>
      </c>
      <c r="AS4609" s="751">
        <v>219.41</v>
      </c>
    </row>
    <row r="4610" spans="1:45" s="520" customFormat="1" ht="13.2">
      <c r="A4610" s="748"/>
      <c r="B4610"/>
      <c r="C4610" s="748"/>
      <c r="D4610" s="749" t="s">
        <v>762</v>
      </c>
      <c r="F4610" s="753"/>
      <c r="G4610" s="3"/>
      <c r="H4610" s="753"/>
      <c r="I4610" s="754"/>
      <c r="J4610" s="753"/>
      <c r="K4610" s="753" t="s">
        <v>144</v>
      </c>
      <c r="L4610" s="753"/>
      <c r="M4610" s="753"/>
      <c r="N4610" s="753"/>
      <c r="O4610" s="753"/>
      <c r="P4610" s="753"/>
      <c r="Q4610" s="51"/>
      <c r="R4610" s="530"/>
      <c r="S4610" s="757"/>
      <c r="T4610" s="753"/>
      <c r="AR4610" s="748"/>
      <c r="AS4610" s="753"/>
    </row>
    <row r="4611" spans="1:45" s="886" customFormat="1" ht="13.2">
      <c r="A4611"/>
      <c r="B4611" s="910"/>
      <c r="C4611" s="910" t="s">
        <v>2597</v>
      </c>
      <c r="D4611" s="910" t="str">
        <f ca="1">CELL("Address",Elec_Rates!D$19)</f>
        <v>[E25_0062_Quintano_Foods_Elec_ELV_As_Awarded.xlsx]Elec_Rates!$D$19</v>
      </c>
      <c r="E4611" s="911"/>
      <c r="F4611" s="911"/>
      <c r="G4611" s="912" t="s">
        <v>2598</v>
      </c>
      <c r="H4611" s="912"/>
      <c r="I4611" s="912"/>
      <c r="J4611" s="912"/>
      <c r="K4611" s="913"/>
      <c r="L4611" s="911"/>
      <c r="M4611" s="911"/>
      <c r="N4611" s="911"/>
      <c r="O4611" s="914"/>
      <c r="P4611" s="911"/>
      <c r="Q4611" s="915"/>
      <c r="R4611" s="916"/>
      <c r="S4611" s="915"/>
      <c r="T4611" s="917"/>
      <c r="U4611" s="918"/>
      <c r="AR4611"/>
      <c r="AS4611" s="911"/>
    </row>
    <row r="4612" spans="1:45" s="886" customFormat="1" ht="11.4">
      <c r="A4612" s="919">
        <v>1</v>
      </c>
      <c r="B4612" s="920">
        <v>3</v>
      </c>
      <c r="C4612" s="920">
        <f>$A4612*$B4612</f>
        <v>3</v>
      </c>
      <c r="D4612" s="921" t="str">
        <f>Elec_Rates!$D$19</f>
        <v>001# Light Point Rate (LSZH Conduit)</v>
      </c>
      <c r="E4612" s="921" t="s">
        <v>2883</v>
      </c>
      <c r="F4612" s="918"/>
      <c r="G4612" s="922" t="s">
        <v>2878</v>
      </c>
      <c r="H4612" s="922"/>
      <c r="I4612" s="922"/>
      <c r="J4612" s="922"/>
      <c r="K4612" s="923"/>
      <c r="L4612" s="918"/>
      <c r="M4612" s="918"/>
      <c r="N4612" s="918"/>
      <c r="O4612" s="924"/>
      <c r="P4612" s="921"/>
      <c r="Q4612" s="925">
        <f ca="1">$B4612*Elec_Rates!$R$19</f>
        <v>55.44</v>
      </c>
      <c r="R4612" s="916">
        <f ca="1">$A4612*Q4612</f>
        <v>55.44</v>
      </c>
      <c r="S4612" s="925">
        <f ca="1">$B4612*Elec_Rates!$T$19</f>
        <v>4.0200000000000005</v>
      </c>
      <c r="T4612" s="917">
        <f ca="1">$A4612*S4612</f>
        <v>4.0200000000000005</v>
      </c>
      <c r="U4612" s="926"/>
      <c r="AR4612" s="919">
        <v>1</v>
      </c>
      <c r="AS4612" s="918"/>
    </row>
    <row r="4613" spans="1:45" s="520" customFormat="1" ht="12">
      <c r="A4613" s="758"/>
      <c r="B4613" s="758"/>
      <c r="C4613" s="758"/>
      <c r="D4613" s="758"/>
      <c r="E4613" s="758"/>
      <c r="F4613" s="753"/>
      <c r="G4613" s="758"/>
      <c r="H4613" s="758"/>
      <c r="I4613" s="519"/>
      <c r="J4613" s="758"/>
      <c r="K4613" s="758"/>
      <c r="L4613" s="758"/>
      <c r="M4613" s="758"/>
      <c r="N4613" s="758"/>
      <c r="O4613" s="758"/>
      <c r="P4613" s="758"/>
      <c r="Q4613" s="519"/>
      <c r="R4613" s="759">
        <f>$A4613*Q4613</f>
        <v>0</v>
      </c>
      <c r="S4613" s="519"/>
      <c r="T4613" s="760">
        <f>$A4613*S4613*$T$1</f>
        <v>0</v>
      </c>
      <c r="AR4613" s="758"/>
      <c r="AS4613" s="753"/>
    </row>
    <row r="4614" spans="1:45" s="520" customFormat="1" ht="12.6" thickBot="1">
      <c r="A4614" s="761" t="s">
        <v>145</v>
      </c>
      <c r="B4614" s="762">
        <f>(R4613+T4613)</f>
        <v>0</v>
      </c>
      <c r="C4614" s="763"/>
      <c r="D4614" s="763"/>
      <c r="E4614" s="763"/>
      <c r="F4614" s="764"/>
      <c r="G4614" s="763" t="s">
        <v>146</v>
      </c>
      <c r="H4614" s="763"/>
      <c r="I4614" s="765"/>
      <c r="J4614" s="763"/>
      <c r="K4614" s="763" t="s">
        <v>3</v>
      </c>
      <c r="L4614" s="766" t="s">
        <v>143</v>
      </c>
      <c r="M4614" s="766"/>
      <c r="N4614" s="766"/>
      <c r="O4614" s="766"/>
      <c r="P4614" s="766"/>
      <c r="Q4614" s="767"/>
      <c r="R4614" s="768">
        <f ca="1">SUM(R4610:R4613)</f>
        <v>55.44</v>
      </c>
      <c r="S4614" s="763"/>
      <c r="T4614" s="768">
        <f ca="1">SUM(T4610:T4613)</f>
        <v>4.0200000000000005</v>
      </c>
      <c r="U4614" s="531"/>
      <c r="V4614" s="531"/>
      <c r="W4614" s="531"/>
      <c r="X4614" s="531"/>
      <c r="Y4614" s="531"/>
      <c r="Z4614" s="531"/>
      <c r="AA4614" s="531"/>
      <c r="AB4614" s="531"/>
      <c r="AC4614" s="531"/>
      <c r="AD4614" s="531"/>
      <c r="AE4614" s="531"/>
      <c r="AF4614" s="531"/>
      <c r="AG4614" s="531"/>
      <c r="AH4614" s="531"/>
      <c r="AI4614" s="531"/>
      <c r="AJ4614" s="531"/>
      <c r="AK4614" s="531"/>
      <c r="AL4614" s="531"/>
      <c r="AM4614" s="531"/>
      <c r="AN4614" s="531"/>
      <c r="AO4614" s="531"/>
      <c r="AR4614" s="761" t="s">
        <v>145</v>
      </c>
      <c r="AS4614" s="764"/>
    </row>
    <row r="4615" spans="1:45" s="520" customFormat="1" ht="12" thickTop="1">
      <c r="A4615" s="51"/>
      <c r="B4615" s="41"/>
      <c r="C4615" s="51"/>
      <c r="E4615" s="42" t="s">
        <v>138</v>
      </c>
      <c r="F4615" s="42" t="s">
        <v>139</v>
      </c>
      <c r="G4615" s="51"/>
      <c r="H4615" s="51"/>
      <c r="I4615" s="51"/>
      <c r="J4615" s="51"/>
      <c r="K4615" s="51" t="s">
        <v>140</v>
      </c>
      <c r="L4615" s="51"/>
      <c r="M4615" s="51"/>
      <c r="N4615" s="51"/>
      <c r="O4615" s="52"/>
      <c r="P4615" s="51"/>
      <c r="Q4615" s="51"/>
      <c r="R4615" s="51"/>
      <c r="S4615" s="51"/>
      <c r="T4615" s="41"/>
      <c r="AG4615" s="521" t="s">
        <v>268</v>
      </c>
      <c r="AH4615" s="521" t="s">
        <v>269</v>
      </c>
      <c r="AI4615" s="521" t="s">
        <v>270</v>
      </c>
      <c r="AJ4615" s="521" t="s">
        <v>271</v>
      </c>
      <c r="AK4615" s="521" t="s">
        <v>272</v>
      </c>
      <c r="AM4615" s="745" t="s">
        <v>281</v>
      </c>
      <c r="AN4615" s="746" t="s">
        <v>282</v>
      </c>
      <c r="AO4615" s="522" t="s">
        <v>278</v>
      </c>
      <c r="AR4615" s="51"/>
      <c r="AS4615" s="42" t="s">
        <v>139</v>
      </c>
    </row>
    <row r="4616" spans="1:45" s="520" customFormat="1" ht="12" customHeight="1">
      <c r="A4616" s="747">
        <v>2</v>
      </c>
      <c r="B4616" s="523" t="s">
        <v>141</v>
      </c>
      <c r="C4616" s="748"/>
      <c r="D4616" s="749" t="s">
        <v>1793</v>
      </c>
      <c r="E4616" s="750">
        <f ca="1">IF(AND($A4616=0,$A$1="DIF"),0, ROUND(ROUND(($R4621*$S$2+($T4621*$T$2))/A4616,2)*$C$2,2))</f>
        <v>474.46</v>
      </c>
      <c r="F4616" s="751">
        <f ca="1">ROUND($A4616*$E4616,2)</f>
        <v>948.92</v>
      </c>
      <c r="G4616" s="752" t="s">
        <v>142</v>
      </c>
      <c r="H4616" s="753"/>
      <c r="I4616" s="754"/>
      <c r="J4616" s="753"/>
      <c r="K4616" s="753" t="s">
        <v>3</v>
      </c>
      <c r="L4616" s="755" t="s">
        <v>143</v>
      </c>
      <c r="M4616" s="755"/>
      <c r="N4616" s="755"/>
      <c r="O4616" s="755"/>
      <c r="P4616" s="755"/>
      <c r="Q4616" s="51"/>
      <c r="T4616" s="756" t="str">
        <f ca="1">IF(AND($R4621=0,$T4621=0),"0.00","mu :" &amp; ROUND($F4616/$C$2/($R4621+$T4621*$D$9),2))</f>
        <v>mu :1.23</v>
      </c>
      <c r="W4616" s="524"/>
      <c r="AG4616" s="481">
        <f ca="1">IF($E4616=0,0,ROUND($R4621*$S$2*$C$2/$A4616,2))</f>
        <v>172.18</v>
      </c>
      <c r="AH4616" s="481">
        <f ca="1">$AG4616*$A4616</f>
        <v>344.36</v>
      </c>
      <c r="AI4616" s="525">
        <f ca="1">$E4616-$AG4616</f>
        <v>302.27999999999997</v>
      </c>
      <c r="AJ4616" s="525">
        <f ca="1">$A4616*$AI4616</f>
        <v>604.55999999999995</v>
      </c>
      <c r="AK4616" s="526">
        <f ca="1">ROUND(($AG4616+$AI4616)*$A4616,2)</f>
        <v>948.92</v>
      </c>
      <c r="AM4616" s="527">
        <f ca="1">ROUND(R4621,2)</f>
        <v>279.66000000000003</v>
      </c>
      <c r="AN4616" s="528">
        <f ca="1">ROUND(T4621,2)</f>
        <v>17.88</v>
      </c>
      <c r="AO4616" s="529">
        <f ca="1">ROUND(AM4616+AN4616,2)*A4616</f>
        <v>595.08000000000004</v>
      </c>
      <c r="AR4616" s="747">
        <v>2</v>
      </c>
      <c r="AS4616" s="751">
        <v>1015.88</v>
      </c>
    </row>
    <row r="4617" spans="1:45" s="520" customFormat="1" ht="13.2">
      <c r="A4617" s="748"/>
      <c r="B4617"/>
      <c r="C4617" s="748"/>
      <c r="D4617" s="749" t="s">
        <v>817</v>
      </c>
      <c r="F4617" s="753"/>
      <c r="G4617" s="3"/>
      <c r="H4617" s="753"/>
      <c r="I4617" s="754"/>
      <c r="J4617" s="753"/>
      <c r="K4617" s="753" t="s">
        <v>144</v>
      </c>
      <c r="L4617" s="753"/>
      <c r="M4617" s="753"/>
      <c r="N4617" s="753"/>
      <c r="O4617" s="753"/>
      <c r="P4617" s="753"/>
      <c r="Q4617" s="51"/>
      <c r="R4617" s="530"/>
      <c r="S4617" s="757"/>
      <c r="T4617" s="753"/>
      <c r="AR4617" s="748"/>
      <c r="AS4617" s="753"/>
    </row>
    <row r="4618" spans="1:45" s="886" customFormat="1" ht="13.2">
      <c r="A4618"/>
      <c r="B4618" s="910"/>
      <c r="C4618" s="910" t="s">
        <v>2597</v>
      </c>
      <c r="D4618" s="910" t="str">
        <f ca="1">CELL("Address",Elec_Rates!D$46)</f>
        <v>[E25_0062_Quintano_Foods_Elec_ELV_As_Awarded.xlsx]Elec_Rates!$D$46</v>
      </c>
      <c r="E4618" s="911"/>
      <c r="F4618" s="911"/>
      <c r="G4618" s="912" t="s">
        <v>2598</v>
      </c>
      <c r="H4618" s="912"/>
      <c r="I4618" s="912"/>
      <c r="J4618" s="912"/>
      <c r="K4618" s="913"/>
      <c r="L4618" s="911"/>
      <c r="M4618" s="911"/>
      <c r="N4618" s="911"/>
      <c r="O4618" s="914"/>
      <c r="P4618" s="911"/>
      <c r="Q4618" s="915"/>
      <c r="R4618" s="916"/>
      <c r="S4618" s="915"/>
      <c r="T4618" s="917"/>
      <c r="U4618" s="918"/>
      <c r="AR4618"/>
      <c r="AS4618" s="911"/>
    </row>
    <row r="4619" spans="1:45" s="886" customFormat="1" ht="11.4">
      <c r="A4619" s="919">
        <v>2</v>
      </c>
      <c r="B4619" s="920">
        <v>3</v>
      </c>
      <c r="C4619" s="920">
        <f>$A4619*$B4619</f>
        <v>6</v>
      </c>
      <c r="D4619" s="921" t="str">
        <f>Elec_Rates!$D$46</f>
        <v>004# Light point rate (Galvanised Conduit)</v>
      </c>
      <c r="E4619" s="921" t="s">
        <v>2885</v>
      </c>
      <c r="F4619" s="918"/>
      <c r="G4619" s="922" t="s">
        <v>2878</v>
      </c>
      <c r="H4619" s="922"/>
      <c r="I4619" s="922"/>
      <c r="J4619" s="922"/>
      <c r="K4619" s="923"/>
      <c r="L4619" s="918"/>
      <c r="M4619" s="918"/>
      <c r="N4619" s="918"/>
      <c r="O4619" s="924"/>
      <c r="P4619" s="921"/>
      <c r="Q4619" s="925">
        <f ca="1">$B4619*Elec_Rates!$R$46</f>
        <v>139.82999999999998</v>
      </c>
      <c r="R4619" s="916">
        <f ca="1">$A4619*Q4619</f>
        <v>279.65999999999997</v>
      </c>
      <c r="S4619" s="925">
        <f ca="1">$B4619*Elec_Rates!$T$46</f>
        <v>8.94</v>
      </c>
      <c r="T4619" s="917">
        <f ca="1">$A4619*S4619</f>
        <v>17.88</v>
      </c>
      <c r="U4619" s="926"/>
      <c r="AR4619" s="919">
        <v>2</v>
      </c>
      <c r="AS4619" s="918"/>
    </row>
    <row r="4620" spans="1:45" s="520" customFormat="1" ht="12">
      <c r="A4620" s="758"/>
      <c r="B4620" s="758"/>
      <c r="C4620" s="758"/>
      <c r="D4620" s="758"/>
      <c r="E4620" s="758"/>
      <c r="F4620" s="753"/>
      <c r="G4620" s="758"/>
      <c r="H4620" s="758"/>
      <c r="I4620" s="519"/>
      <c r="J4620" s="758"/>
      <c r="K4620" s="758"/>
      <c r="L4620" s="758"/>
      <c r="M4620" s="758"/>
      <c r="N4620" s="758"/>
      <c r="O4620" s="758"/>
      <c r="P4620" s="758"/>
      <c r="Q4620" s="519"/>
      <c r="R4620" s="759">
        <f>$A4620*Q4620</f>
        <v>0</v>
      </c>
      <c r="S4620" s="519"/>
      <c r="T4620" s="760">
        <f>$A4620*S4620*$T$1</f>
        <v>0</v>
      </c>
      <c r="AR4620" s="758"/>
      <c r="AS4620" s="753"/>
    </row>
    <row r="4621" spans="1:45" s="520" customFormat="1" ht="12.6" thickBot="1">
      <c r="A4621" s="761" t="s">
        <v>145</v>
      </c>
      <c r="B4621" s="762">
        <f>(R4620+T4620)</f>
        <v>0</v>
      </c>
      <c r="C4621" s="763"/>
      <c r="D4621" s="763"/>
      <c r="E4621" s="763"/>
      <c r="F4621" s="764"/>
      <c r="G4621" s="763" t="s">
        <v>146</v>
      </c>
      <c r="H4621" s="763"/>
      <c r="I4621" s="765"/>
      <c r="J4621" s="763"/>
      <c r="K4621" s="763" t="s">
        <v>3</v>
      </c>
      <c r="L4621" s="766" t="s">
        <v>143</v>
      </c>
      <c r="M4621" s="766"/>
      <c r="N4621" s="766"/>
      <c r="O4621" s="766"/>
      <c r="P4621" s="766"/>
      <c r="Q4621" s="767"/>
      <c r="R4621" s="768">
        <f ca="1">SUM(R4617:R4620)</f>
        <v>279.65999999999997</v>
      </c>
      <c r="S4621" s="763"/>
      <c r="T4621" s="768">
        <f ca="1">SUM(T4617:T4620)</f>
        <v>17.88</v>
      </c>
      <c r="U4621" s="531"/>
      <c r="V4621" s="531"/>
      <c r="W4621" s="531"/>
      <c r="X4621" s="531"/>
      <c r="Y4621" s="531"/>
      <c r="Z4621" s="531"/>
      <c r="AA4621" s="531"/>
      <c r="AB4621" s="531"/>
      <c r="AC4621" s="531"/>
      <c r="AD4621" s="531"/>
      <c r="AE4621" s="531"/>
      <c r="AF4621" s="531"/>
      <c r="AG4621" s="531"/>
      <c r="AH4621" s="531"/>
      <c r="AI4621" s="531"/>
      <c r="AJ4621" s="531"/>
      <c r="AK4621" s="531"/>
      <c r="AL4621" s="531"/>
      <c r="AM4621" s="531"/>
      <c r="AN4621" s="531"/>
      <c r="AO4621" s="531"/>
      <c r="AR4621" s="761" t="s">
        <v>145</v>
      </c>
      <c r="AS4621" s="764"/>
    </row>
    <row r="4622" spans="1:45" s="520" customFormat="1" ht="12" thickTop="1">
      <c r="A4622" s="51"/>
      <c r="B4622" s="41"/>
      <c r="C4622" s="51"/>
      <c r="E4622" s="42" t="s">
        <v>138</v>
      </c>
      <c r="F4622" s="42" t="s">
        <v>139</v>
      </c>
      <c r="G4622" s="51"/>
      <c r="H4622" s="51"/>
      <c r="I4622" s="51"/>
      <c r="J4622" s="51"/>
      <c r="K4622" s="51" t="s">
        <v>140</v>
      </c>
      <c r="L4622" s="51"/>
      <c r="M4622" s="51"/>
      <c r="N4622" s="51"/>
      <c r="O4622" s="52"/>
      <c r="P4622" s="51"/>
      <c r="Q4622" s="51"/>
      <c r="R4622" s="51"/>
      <c r="S4622" s="51"/>
      <c r="T4622" s="41"/>
      <c r="AG4622" s="521" t="s">
        <v>268</v>
      </c>
      <c r="AH4622" s="521" t="s">
        <v>269</v>
      </c>
      <c r="AI4622" s="521" t="s">
        <v>270</v>
      </c>
      <c r="AJ4622" s="521" t="s">
        <v>271</v>
      </c>
      <c r="AK4622" s="521" t="s">
        <v>272</v>
      </c>
      <c r="AM4622" s="745" t="s">
        <v>281</v>
      </c>
      <c r="AN4622" s="746" t="s">
        <v>282</v>
      </c>
      <c r="AO4622" s="522" t="s">
        <v>278</v>
      </c>
      <c r="AR4622" s="51"/>
      <c r="AS4622" s="42" t="s">
        <v>139</v>
      </c>
    </row>
    <row r="4623" spans="1:45" s="520" customFormat="1" ht="12" customHeight="1">
      <c r="A4623" s="747">
        <v>4</v>
      </c>
      <c r="B4623" s="523" t="s">
        <v>141</v>
      </c>
      <c r="C4623" s="748"/>
      <c r="D4623" s="749" t="s">
        <v>1794</v>
      </c>
      <c r="E4623" s="750">
        <f ca="1">IF(AND($A4623=0,$A$1="DIF"),0, ROUND(ROUND(($R4628*$S$2+($T4628*$T$2))/A4623,2)*$C$2,2))</f>
        <v>158.15</v>
      </c>
      <c r="F4623" s="751">
        <f ca="1">ROUND($A4623*$E4623,2)</f>
        <v>632.6</v>
      </c>
      <c r="G4623" s="752" t="s">
        <v>142</v>
      </c>
      <c r="H4623" s="753"/>
      <c r="I4623" s="754"/>
      <c r="J4623" s="753"/>
      <c r="K4623" s="753" t="s">
        <v>3</v>
      </c>
      <c r="L4623" s="755" t="s">
        <v>143</v>
      </c>
      <c r="M4623" s="755"/>
      <c r="N4623" s="755"/>
      <c r="O4623" s="755"/>
      <c r="P4623" s="755"/>
      <c r="Q4623" s="51"/>
      <c r="T4623" s="756" t="str">
        <f ca="1">IF(AND($R4628=0,$T4628=0),"0.00","mu :" &amp; ROUND($F4623/$C$2/($R4628+$T4628*$D$9),2))</f>
        <v>mu :1.23</v>
      </c>
      <c r="W4623" s="524"/>
      <c r="AG4623" s="481">
        <f ca="1">IF($E4623=0,0,ROUND($R4628*$S$2*$C$2/$A4623,2))</f>
        <v>57.39</v>
      </c>
      <c r="AH4623" s="481">
        <f ca="1">$AG4623*$A4623</f>
        <v>229.56</v>
      </c>
      <c r="AI4623" s="525">
        <f ca="1">$E4623-$AG4623</f>
        <v>100.76</v>
      </c>
      <c r="AJ4623" s="525">
        <f ca="1">$A4623*$AI4623</f>
        <v>403.04</v>
      </c>
      <c r="AK4623" s="526">
        <f ca="1">ROUND(($AG4623+$AI4623)*$A4623,2)</f>
        <v>632.6</v>
      </c>
      <c r="AM4623" s="527">
        <f ca="1">ROUND(R4628,2)</f>
        <v>186.44</v>
      </c>
      <c r="AN4623" s="528">
        <f ca="1">ROUND(T4628,2)</f>
        <v>11.92</v>
      </c>
      <c r="AO4623" s="529">
        <f ca="1">ROUND(AM4623+AN4623,2)*A4623</f>
        <v>793.44</v>
      </c>
      <c r="AR4623" s="747">
        <v>4</v>
      </c>
      <c r="AS4623" s="751">
        <v>677.24</v>
      </c>
    </row>
    <row r="4624" spans="1:45" s="520" customFormat="1" ht="13.2">
      <c r="A4624" s="748"/>
      <c r="B4624"/>
      <c r="C4624" s="748"/>
      <c r="D4624" s="749" t="s">
        <v>793</v>
      </c>
      <c r="F4624" s="753"/>
      <c r="G4624" s="3"/>
      <c r="H4624" s="753"/>
      <c r="I4624" s="754"/>
      <c r="J4624" s="753"/>
      <c r="K4624" s="753" t="s">
        <v>144</v>
      </c>
      <c r="L4624" s="753"/>
      <c r="M4624" s="753"/>
      <c r="N4624" s="753"/>
      <c r="O4624" s="753"/>
      <c r="P4624" s="753"/>
      <c r="Q4624" s="51"/>
      <c r="R4624" s="530"/>
      <c r="S4624" s="757"/>
      <c r="T4624" s="753"/>
      <c r="AR4624" s="748"/>
      <c r="AS4624" s="753"/>
    </row>
    <row r="4625" spans="1:45" s="886" customFormat="1" ht="13.2">
      <c r="A4625"/>
      <c r="B4625" s="910"/>
      <c r="C4625" s="910" t="s">
        <v>2597</v>
      </c>
      <c r="D4625" s="910" t="str">
        <f ca="1">CELL("Address",Elec_Rates!D$46)</f>
        <v>[E25_0062_Quintano_Foods_Elec_ELV_As_Awarded.xlsx]Elec_Rates!$D$46</v>
      </c>
      <c r="E4625" s="911"/>
      <c r="F4625" s="911"/>
      <c r="G4625" s="912" t="s">
        <v>2598</v>
      </c>
      <c r="H4625" s="912"/>
      <c r="I4625" s="912"/>
      <c r="J4625" s="912"/>
      <c r="K4625" s="913"/>
      <c r="L4625" s="911"/>
      <c r="M4625" s="911"/>
      <c r="N4625" s="911"/>
      <c r="O4625" s="914"/>
      <c r="P4625" s="911"/>
      <c r="Q4625" s="915"/>
      <c r="R4625" s="916"/>
      <c r="S4625" s="915"/>
      <c r="T4625" s="917"/>
      <c r="U4625" s="918"/>
      <c r="AR4625"/>
      <c r="AS4625" s="911"/>
    </row>
    <row r="4626" spans="1:45" s="886" customFormat="1" ht="11.4">
      <c r="A4626" s="919">
        <v>4</v>
      </c>
      <c r="B4626" s="920">
        <v>1</v>
      </c>
      <c r="C4626" s="920">
        <f>$A4626*$B4626</f>
        <v>4</v>
      </c>
      <c r="D4626" s="921" t="str">
        <f>Elec_Rates!$D$46</f>
        <v>004# Light point rate (Galvanised Conduit)</v>
      </c>
      <c r="E4626" s="921" t="s">
        <v>2969</v>
      </c>
      <c r="F4626" s="918"/>
      <c r="G4626" s="922" t="s">
        <v>2878</v>
      </c>
      <c r="H4626" s="922"/>
      <c r="I4626" s="922"/>
      <c r="J4626" s="922"/>
      <c r="K4626" s="923"/>
      <c r="L4626" s="918"/>
      <c r="M4626" s="918"/>
      <c r="N4626" s="918"/>
      <c r="O4626" s="924"/>
      <c r="P4626" s="921"/>
      <c r="Q4626" s="925">
        <f ca="1">$B4626*Elec_Rates!$R$46</f>
        <v>46.61</v>
      </c>
      <c r="R4626" s="916">
        <f ca="1">$A4626*Q4626</f>
        <v>186.44</v>
      </c>
      <c r="S4626" s="925">
        <f ca="1">$B4626*Elec_Rates!$T$46</f>
        <v>2.98</v>
      </c>
      <c r="T4626" s="917">
        <f ca="1">$A4626*S4626</f>
        <v>11.92</v>
      </c>
      <c r="U4626" s="926"/>
      <c r="AR4626" s="919">
        <v>4</v>
      </c>
      <c r="AS4626" s="918"/>
    </row>
    <row r="4627" spans="1:45" s="520" customFormat="1" ht="12">
      <c r="A4627" s="758"/>
      <c r="B4627" s="758"/>
      <c r="C4627" s="758"/>
      <c r="D4627" s="758"/>
      <c r="E4627" s="758"/>
      <c r="F4627" s="753"/>
      <c r="G4627" s="758"/>
      <c r="H4627" s="758"/>
      <c r="I4627" s="519"/>
      <c r="J4627" s="758"/>
      <c r="K4627" s="758"/>
      <c r="L4627" s="758"/>
      <c r="M4627" s="758"/>
      <c r="N4627" s="758"/>
      <c r="O4627" s="758"/>
      <c r="P4627" s="758"/>
      <c r="Q4627" s="519"/>
      <c r="R4627" s="759">
        <f>$A4627*Q4627</f>
        <v>0</v>
      </c>
      <c r="S4627" s="519"/>
      <c r="T4627" s="760">
        <f>$A4627*S4627*$T$1</f>
        <v>0</v>
      </c>
      <c r="AR4627" s="758"/>
      <c r="AS4627" s="753"/>
    </row>
    <row r="4628" spans="1:45" s="520" customFormat="1" ht="12.6" thickBot="1">
      <c r="A4628" s="761" t="s">
        <v>145</v>
      </c>
      <c r="B4628" s="762">
        <f>(R4627+T4627)</f>
        <v>0</v>
      </c>
      <c r="C4628" s="763"/>
      <c r="D4628" s="763"/>
      <c r="E4628" s="763"/>
      <c r="F4628" s="764"/>
      <c r="G4628" s="763" t="s">
        <v>146</v>
      </c>
      <c r="H4628" s="763"/>
      <c r="I4628" s="765"/>
      <c r="J4628" s="763"/>
      <c r="K4628" s="763" t="s">
        <v>3</v>
      </c>
      <c r="L4628" s="766" t="s">
        <v>143</v>
      </c>
      <c r="M4628" s="766"/>
      <c r="N4628" s="766"/>
      <c r="O4628" s="766"/>
      <c r="P4628" s="766"/>
      <c r="Q4628" s="767"/>
      <c r="R4628" s="768">
        <f ca="1">SUM(R4624:R4627)</f>
        <v>186.44</v>
      </c>
      <c r="S4628" s="763"/>
      <c r="T4628" s="768">
        <f ca="1">SUM(T4624:T4627)</f>
        <v>11.92</v>
      </c>
      <c r="U4628" s="531"/>
      <c r="V4628" s="531"/>
      <c r="W4628" s="531"/>
      <c r="X4628" s="531"/>
      <c r="Y4628" s="531"/>
      <c r="Z4628" s="531"/>
      <c r="AA4628" s="531"/>
      <c r="AB4628" s="531"/>
      <c r="AC4628" s="531"/>
      <c r="AD4628" s="531"/>
      <c r="AE4628" s="531"/>
      <c r="AF4628" s="531"/>
      <c r="AG4628" s="531"/>
      <c r="AH4628" s="531"/>
      <c r="AI4628" s="531"/>
      <c r="AJ4628" s="531"/>
      <c r="AK4628" s="531"/>
      <c r="AL4628" s="531"/>
      <c r="AM4628" s="531"/>
      <c r="AN4628" s="531"/>
      <c r="AO4628" s="531"/>
      <c r="AR4628" s="761" t="s">
        <v>145</v>
      </c>
      <c r="AS4628" s="764"/>
    </row>
    <row r="4629" spans="1:45" s="520" customFormat="1" ht="12" thickTop="1">
      <c r="A4629" s="51"/>
      <c r="B4629" s="41"/>
      <c r="C4629" s="51"/>
      <c r="E4629" s="42" t="s">
        <v>138</v>
      </c>
      <c r="F4629" s="42" t="s">
        <v>139</v>
      </c>
      <c r="G4629" s="51"/>
      <c r="H4629" s="51"/>
      <c r="I4629" s="51"/>
      <c r="J4629" s="51"/>
      <c r="K4629" s="51" t="s">
        <v>140</v>
      </c>
      <c r="L4629" s="51"/>
      <c r="M4629" s="51"/>
      <c r="N4629" s="51"/>
      <c r="O4629" s="52"/>
      <c r="P4629" s="51"/>
      <c r="Q4629" s="51"/>
      <c r="R4629" s="51"/>
      <c r="S4629" s="51"/>
      <c r="T4629" s="41"/>
      <c r="AG4629" s="521" t="s">
        <v>268</v>
      </c>
      <c r="AH4629" s="521" t="s">
        <v>269</v>
      </c>
      <c r="AI4629" s="521" t="s">
        <v>270</v>
      </c>
      <c r="AJ4629" s="521" t="s">
        <v>271</v>
      </c>
      <c r="AK4629" s="521" t="s">
        <v>272</v>
      </c>
      <c r="AM4629" s="745" t="s">
        <v>281</v>
      </c>
      <c r="AN4629" s="746" t="s">
        <v>282</v>
      </c>
      <c r="AO4629" s="522" t="s">
        <v>278</v>
      </c>
      <c r="AR4629" s="51"/>
      <c r="AS4629" s="42" t="s">
        <v>139</v>
      </c>
    </row>
    <row r="4630" spans="1:45" s="520" customFormat="1" ht="12" customHeight="1">
      <c r="A4630" s="747">
        <v>2</v>
      </c>
      <c r="B4630" s="523" t="s">
        <v>141</v>
      </c>
      <c r="C4630" s="748"/>
      <c r="D4630" s="749" t="s">
        <v>1795</v>
      </c>
      <c r="E4630" s="750">
        <f ca="1">IF(AND($A4630=0,$A$1="DIF"),0, ROUND(ROUND(($R4635*$S$2+($T4635*$T$2))/A4630,2)*$C$2,2))</f>
        <v>237.23</v>
      </c>
      <c r="F4630" s="751">
        <f ca="1">ROUND($A4630*$E4630,2)</f>
        <v>474.46</v>
      </c>
      <c r="G4630" s="752" t="s">
        <v>142</v>
      </c>
      <c r="H4630" s="753"/>
      <c r="I4630" s="754"/>
      <c r="J4630" s="753"/>
      <c r="K4630" s="753" t="s">
        <v>3</v>
      </c>
      <c r="L4630" s="755" t="s">
        <v>143</v>
      </c>
      <c r="M4630" s="755"/>
      <c r="N4630" s="755"/>
      <c r="O4630" s="755"/>
      <c r="P4630" s="755"/>
      <c r="Q4630" s="51"/>
      <c r="T4630" s="756" t="str">
        <f ca="1">IF(AND($R4635=0,$T4635=0),"0.00","mu :" &amp; ROUND($F4630/$C$2/($R4635+$T4635*$D$9),2))</f>
        <v>mu :1.23</v>
      </c>
      <c r="W4630" s="524"/>
      <c r="AG4630" s="481">
        <f ca="1">IF($E4630=0,0,ROUND($R4635*$S$2*$C$2/$A4630,2))</f>
        <v>86.09</v>
      </c>
      <c r="AH4630" s="481">
        <f ca="1">$AG4630*$A4630</f>
        <v>172.18</v>
      </c>
      <c r="AI4630" s="525">
        <f ca="1">$E4630-$AG4630</f>
        <v>151.13999999999999</v>
      </c>
      <c r="AJ4630" s="525">
        <f ca="1">$A4630*$AI4630</f>
        <v>302.27999999999997</v>
      </c>
      <c r="AK4630" s="526">
        <f ca="1">ROUND(($AG4630+$AI4630)*$A4630,2)</f>
        <v>474.46</v>
      </c>
      <c r="AM4630" s="527">
        <f ca="1">ROUND(R4635,2)</f>
        <v>139.83000000000001</v>
      </c>
      <c r="AN4630" s="528">
        <f ca="1">ROUND(T4635,2)</f>
        <v>8.94</v>
      </c>
      <c r="AO4630" s="529">
        <f ca="1">ROUND(AM4630+AN4630,2)*A4630</f>
        <v>297.54000000000002</v>
      </c>
      <c r="AR4630" s="747">
        <v>2</v>
      </c>
      <c r="AS4630" s="751">
        <v>507.94</v>
      </c>
    </row>
    <row r="4631" spans="1:45" s="520" customFormat="1" ht="13.2">
      <c r="A4631" s="748"/>
      <c r="B4631"/>
      <c r="C4631" s="748"/>
      <c r="D4631" s="749" t="s">
        <v>794</v>
      </c>
      <c r="F4631" s="753"/>
      <c r="G4631" s="3"/>
      <c r="H4631" s="753"/>
      <c r="I4631" s="754"/>
      <c r="J4631" s="753"/>
      <c r="K4631" s="753" t="s">
        <v>144</v>
      </c>
      <c r="L4631" s="753"/>
      <c r="M4631" s="753"/>
      <c r="N4631" s="753"/>
      <c r="O4631" s="753"/>
      <c r="P4631" s="753"/>
      <c r="Q4631" s="51"/>
      <c r="R4631" s="530"/>
      <c r="S4631" s="757"/>
      <c r="T4631" s="753"/>
      <c r="AR4631" s="748"/>
      <c r="AS4631" s="753"/>
    </row>
    <row r="4632" spans="1:45" s="886" customFormat="1" ht="13.2">
      <c r="A4632"/>
      <c r="B4632" s="910"/>
      <c r="C4632" s="910" t="s">
        <v>2597</v>
      </c>
      <c r="D4632" s="910" t="str">
        <f ca="1">CELL("Address",Elec_Rates!D$46)</f>
        <v>[E25_0062_Quintano_Foods_Elec_ELV_As_Awarded.xlsx]Elec_Rates!$D$46</v>
      </c>
      <c r="E4632" s="911"/>
      <c r="F4632" s="911"/>
      <c r="G4632" s="912" t="s">
        <v>2598</v>
      </c>
      <c r="H4632" s="912"/>
      <c r="I4632" s="912"/>
      <c r="J4632" s="912"/>
      <c r="K4632" s="913"/>
      <c r="L4632" s="911"/>
      <c r="M4632" s="911"/>
      <c r="N4632" s="911"/>
      <c r="O4632" s="914"/>
      <c r="P4632" s="911"/>
      <c r="Q4632" s="915"/>
      <c r="R4632" s="916"/>
      <c r="S4632" s="915"/>
      <c r="T4632" s="917"/>
      <c r="U4632" s="918"/>
      <c r="AR4632"/>
      <c r="AS4632" s="911"/>
    </row>
    <row r="4633" spans="1:45" s="886" customFormat="1" ht="11.4">
      <c r="A4633" s="919">
        <v>2</v>
      </c>
      <c r="B4633" s="920">
        <v>1.5</v>
      </c>
      <c r="C4633" s="920">
        <f>$A4633*$B4633</f>
        <v>3</v>
      </c>
      <c r="D4633" s="921" t="str">
        <f>Elec_Rates!$D$46</f>
        <v>004# Light point rate (Galvanised Conduit)</v>
      </c>
      <c r="E4633" s="921" t="s">
        <v>2894</v>
      </c>
      <c r="F4633" s="918"/>
      <c r="G4633" s="922" t="s">
        <v>2878</v>
      </c>
      <c r="H4633" s="922"/>
      <c r="I4633" s="922"/>
      <c r="J4633" s="922"/>
      <c r="K4633" s="923"/>
      <c r="L4633" s="918"/>
      <c r="M4633" s="918"/>
      <c r="N4633" s="918"/>
      <c r="O4633" s="924"/>
      <c r="P4633" s="921"/>
      <c r="Q4633" s="925">
        <f ca="1">$B4633*Elec_Rates!$R$46</f>
        <v>69.914999999999992</v>
      </c>
      <c r="R4633" s="916">
        <f ca="1">$A4633*Q4633</f>
        <v>139.82999999999998</v>
      </c>
      <c r="S4633" s="925">
        <f ca="1">$B4633*Elec_Rates!$T$46</f>
        <v>4.47</v>
      </c>
      <c r="T4633" s="917">
        <f ca="1">$A4633*S4633</f>
        <v>8.94</v>
      </c>
      <c r="U4633" s="926"/>
      <c r="AR4633" s="919">
        <v>2</v>
      </c>
      <c r="AS4633" s="918"/>
    </row>
    <row r="4634" spans="1:45" s="520" customFormat="1" ht="12">
      <c r="A4634" s="758"/>
      <c r="B4634" s="758"/>
      <c r="C4634" s="758"/>
      <c r="D4634" s="758"/>
      <c r="E4634" s="758"/>
      <c r="F4634" s="753"/>
      <c r="G4634" s="758"/>
      <c r="H4634" s="758"/>
      <c r="I4634" s="519"/>
      <c r="J4634" s="758"/>
      <c r="K4634" s="758"/>
      <c r="L4634" s="758"/>
      <c r="M4634" s="758"/>
      <c r="N4634" s="758"/>
      <c r="O4634" s="758"/>
      <c r="P4634" s="758"/>
      <c r="Q4634" s="519"/>
      <c r="R4634" s="759">
        <f>$A4634*Q4634</f>
        <v>0</v>
      </c>
      <c r="S4634" s="519"/>
      <c r="T4634" s="760">
        <f>$A4634*S4634*$T$1</f>
        <v>0</v>
      </c>
      <c r="AR4634" s="758"/>
      <c r="AS4634" s="753"/>
    </row>
    <row r="4635" spans="1:45" s="520" customFormat="1" ht="12.6" thickBot="1">
      <c r="A4635" s="761" t="s">
        <v>145</v>
      </c>
      <c r="B4635" s="762">
        <f>(R4634+T4634)</f>
        <v>0</v>
      </c>
      <c r="C4635" s="763"/>
      <c r="D4635" s="763"/>
      <c r="E4635" s="763"/>
      <c r="F4635" s="764"/>
      <c r="G4635" s="763" t="s">
        <v>146</v>
      </c>
      <c r="H4635" s="763"/>
      <c r="I4635" s="765"/>
      <c r="J4635" s="763"/>
      <c r="K4635" s="763" t="s">
        <v>3</v>
      </c>
      <c r="L4635" s="766" t="s">
        <v>143</v>
      </c>
      <c r="M4635" s="766"/>
      <c r="N4635" s="766"/>
      <c r="O4635" s="766"/>
      <c r="P4635" s="766"/>
      <c r="Q4635" s="767"/>
      <c r="R4635" s="768">
        <f ca="1">SUM(R4631:R4634)</f>
        <v>139.82999999999998</v>
      </c>
      <c r="S4635" s="763"/>
      <c r="T4635" s="768">
        <f ca="1">SUM(T4631:T4634)</f>
        <v>8.94</v>
      </c>
      <c r="U4635" s="531"/>
      <c r="V4635" s="531"/>
      <c r="W4635" s="531"/>
      <c r="X4635" s="531"/>
      <c r="Y4635" s="531"/>
      <c r="Z4635" s="531"/>
      <c r="AA4635" s="531"/>
      <c r="AB4635" s="531"/>
      <c r="AC4635" s="531"/>
      <c r="AD4635" s="531"/>
      <c r="AE4635" s="531"/>
      <c r="AF4635" s="531"/>
      <c r="AG4635" s="531"/>
      <c r="AH4635" s="531"/>
      <c r="AI4635" s="531"/>
      <c r="AJ4635" s="531"/>
      <c r="AK4635" s="531"/>
      <c r="AL4635" s="531"/>
      <c r="AM4635" s="531"/>
      <c r="AN4635" s="531"/>
      <c r="AO4635" s="531"/>
      <c r="AR4635" s="761" t="s">
        <v>145</v>
      </c>
      <c r="AS4635" s="764"/>
    </row>
    <row r="4636" spans="1:45" s="520" customFormat="1" ht="12" thickTop="1">
      <c r="A4636" s="51"/>
      <c r="B4636" s="41"/>
      <c r="C4636" s="51"/>
      <c r="E4636" s="42" t="s">
        <v>138</v>
      </c>
      <c r="F4636" s="42" t="s">
        <v>139</v>
      </c>
      <c r="G4636" s="51"/>
      <c r="H4636" s="51"/>
      <c r="I4636" s="51"/>
      <c r="J4636" s="51"/>
      <c r="K4636" s="51" t="s">
        <v>140</v>
      </c>
      <c r="L4636" s="51"/>
      <c r="M4636" s="51"/>
      <c r="N4636" s="51"/>
      <c r="O4636" s="52"/>
      <c r="P4636" s="51"/>
      <c r="Q4636" s="51"/>
      <c r="R4636" s="51"/>
      <c r="S4636" s="51"/>
      <c r="T4636" s="41"/>
      <c r="AG4636" s="521" t="s">
        <v>268</v>
      </c>
      <c r="AH4636" s="521" t="s">
        <v>269</v>
      </c>
      <c r="AI4636" s="521" t="s">
        <v>270</v>
      </c>
      <c r="AJ4636" s="521" t="s">
        <v>271</v>
      </c>
      <c r="AK4636" s="521" t="s">
        <v>272</v>
      </c>
      <c r="AM4636" s="745" t="s">
        <v>281</v>
      </c>
      <c r="AN4636" s="746" t="s">
        <v>282</v>
      </c>
      <c r="AO4636" s="522" t="s">
        <v>278</v>
      </c>
      <c r="AR4636" s="51"/>
      <c r="AS4636" s="42" t="s">
        <v>139</v>
      </c>
    </row>
    <row r="4637" spans="1:45" s="520" customFormat="1" ht="12" customHeight="1">
      <c r="A4637" s="747">
        <v>1</v>
      </c>
      <c r="B4637" s="523" t="s">
        <v>141</v>
      </c>
      <c r="C4637" s="748"/>
      <c r="D4637" s="749" t="s">
        <v>1796</v>
      </c>
      <c r="E4637" s="750">
        <f ca="1">IF(AND($A4637=0,$A$1="DIF"),0, ROUND(ROUND(($R4642*$S$2+($T4642*$T$2))/A4637,2)*$C$2,2))</f>
        <v>869.85</v>
      </c>
      <c r="F4637" s="751">
        <f ca="1">ROUND($A4637*$E4637,2)</f>
        <v>869.85</v>
      </c>
      <c r="G4637" s="752" t="s">
        <v>142</v>
      </c>
      <c r="H4637" s="753"/>
      <c r="I4637" s="754"/>
      <c r="J4637" s="753"/>
      <c r="K4637" s="753" t="s">
        <v>3</v>
      </c>
      <c r="L4637" s="755" t="s">
        <v>143</v>
      </c>
      <c r="M4637" s="755"/>
      <c r="N4637" s="755"/>
      <c r="O4637" s="755"/>
      <c r="P4637" s="755"/>
      <c r="Q4637" s="51"/>
      <c r="T4637" s="756" t="str">
        <f ca="1">IF(AND($R4642=0,$T4642=0),"0.00","mu :" &amp; ROUND($F4637/$C$2/($R4642+$T4642*$D$9),2))</f>
        <v>mu :1.23</v>
      </c>
      <c r="W4637" s="524"/>
      <c r="AG4637" s="481">
        <f ca="1">IF($E4637=0,0,ROUND($R4642*$S$2*$C$2/$A4637,2))</f>
        <v>315.66000000000003</v>
      </c>
      <c r="AH4637" s="481">
        <f ca="1">$AG4637*$A4637</f>
        <v>315.66000000000003</v>
      </c>
      <c r="AI4637" s="525">
        <f ca="1">$E4637-$AG4637</f>
        <v>554.19000000000005</v>
      </c>
      <c r="AJ4637" s="525">
        <f ca="1">$A4637*$AI4637</f>
        <v>554.19000000000005</v>
      </c>
      <c r="AK4637" s="526">
        <f ca="1">ROUND(($AG4637+$AI4637)*$A4637,2)</f>
        <v>869.85</v>
      </c>
      <c r="AM4637" s="527">
        <f ca="1">ROUND(R4642,2)</f>
        <v>256.36</v>
      </c>
      <c r="AN4637" s="528">
        <f ca="1">ROUND(T4642,2)</f>
        <v>16.39</v>
      </c>
      <c r="AO4637" s="529">
        <f ca="1">ROUND(AM4637+AN4637,2)*A4637</f>
        <v>272.75</v>
      </c>
      <c r="AR4637" s="747">
        <v>1</v>
      </c>
      <c r="AS4637" s="751">
        <v>931.22</v>
      </c>
    </row>
    <row r="4638" spans="1:45" s="520" customFormat="1" ht="13.2">
      <c r="A4638" s="748"/>
      <c r="B4638"/>
      <c r="C4638" s="748"/>
      <c r="D4638" s="749" t="s">
        <v>850</v>
      </c>
      <c r="F4638" s="753"/>
      <c r="G4638" s="3"/>
      <c r="H4638" s="753"/>
      <c r="I4638" s="754"/>
      <c r="J4638" s="753"/>
      <c r="K4638" s="753" t="s">
        <v>144</v>
      </c>
      <c r="L4638" s="753"/>
      <c r="M4638" s="753"/>
      <c r="N4638" s="753"/>
      <c r="O4638" s="753"/>
      <c r="P4638" s="753"/>
      <c r="Q4638" s="51"/>
      <c r="R4638" s="530"/>
      <c r="S4638" s="757"/>
      <c r="T4638" s="753"/>
      <c r="AR4638" s="748"/>
      <c r="AS4638" s="753"/>
    </row>
    <row r="4639" spans="1:45" s="886" customFormat="1" ht="13.2">
      <c r="A4639"/>
      <c r="B4639" s="910"/>
      <c r="C4639" s="910" t="s">
        <v>2597</v>
      </c>
      <c r="D4639" s="910" t="str">
        <f ca="1">CELL("Address",Elec_Rates!D$46)</f>
        <v>[E25_0062_Quintano_Foods_Elec_ELV_As_Awarded.xlsx]Elec_Rates!$D$46</v>
      </c>
      <c r="E4639" s="911"/>
      <c r="F4639" s="911"/>
      <c r="G4639" s="912" t="s">
        <v>2598</v>
      </c>
      <c r="H4639" s="912"/>
      <c r="I4639" s="912"/>
      <c r="J4639" s="912"/>
      <c r="K4639" s="913"/>
      <c r="L4639" s="911"/>
      <c r="M4639" s="911"/>
      <c r="N4639" s="911"/>
      <c r="O4639" s="914"/>
      <c r="P4639" s="911"/>
      <c r="Q4639" s="915"/>
      <c r="R4639" s="916"/>
      <c r="S4639" s="915"/>
      <c r="T4639" s="917"/>
      <c r="U4639" s="918"/>
      <c r="AR4639"/>
      <c r="AS4639" s="911"/>
    </row>
    <row r="4640" spans="1:45" s="886" customFormat="1" ht="11.4">
      <c r="A4640" s="919">
        <v>1</v>
      </c>
      <c r="B4640" s="920">
        <f>3+2.5</f>
        <v>5.5</v>
      </c>
      <c r="C4640" s="920">
        <f>$A4640*$B4640</f>
        <v>5.5</v>
      </c>
      <c r="D4640" s="921" t="str">
        <f>Elec_Rates!$D$46</f>
        <v>004# Light point rate (Galvanised Conduit)</v>
      </c>
      <c r="E4640" s="921" t="s">
        <v>3036</v>
      </c>
      <c r="F4640" s="918"/>
      <c r="G4640" s="922" t="s">
        <v>2878</v>
      </c>
      <c r="H4640" s="922"/>
      <c r="I4640" s="922"/>
      <c r="J4640" s="922"/>
      <c r="K4640" s="923"/>
      <c r="L4640" s="918"/>
      <c r="M4640" s="918"/>
      <c r="N4640" s="918"/>
      <c r="O4640" s="924"/>
      <c r="P4640" s="921"/>
      <c r="Q4640" s="925">
        <f ca="1">$B4640*Elec_Rates!$R$46</f>
        <v>256.35500000000002</v>
      </c>
      <c r="R4640" s="916">
        <f ca="1">$A4640*Q4640</f>
        <v>256.35500000000002</v>
      </c>
      <c r="S4640" s="925">
        <f ca="1">$B4640*Elec_Rates!$T$46</f>
        <v>16.39</v>
      </c>
      <c r="T4640" s="917">
        <f ca="1">$A4640*S4640</f>
        <v>16.39</v>
      </c>
      <c r="U4640" s="926"/>
      <c r="AR4640" s="919">
        <v>1</v>
      </c>
      <c r="AS4640" s="918"/>
    </row>
    <row r="4641" spans="1:45" s="520" customFormat="1" ht="12">
      <c r="A4641" s="758"/>
      <c r="B4641" s="758"/>
      <c r="C4641" s="758"/>
      <c r="D4641" s="758"/>
      <c r="E4641" s="758"/>
      <c r="F4641" s="753"/>
      <c r="G4641" s="758"/>
      <c r="H4641" s="758"/>
      <c r="I4641" s="519"/>
      <c r="J4641" s="758"/>
      <c r="K4641" s="758"/>
      <c r="L4641" s="758"/>
      <c r="M4641" s="758"/>
      <c r="N4641" s="758"/>
      <c r="O4641" s="758"/>
      <c r="P4641" s="758"/>
      <c r="Q4641" s="519"/>
      <c r="R4641" s="759">
        <f>$A4641*Q4641</f>
        <v>0</v>
      </c>
      <c r="S4641" s="519"/>
      <c r="T4641" s="760">
        <f>$A4641*S4641*$T$1</f>
        <v>0</v>
      </c>
      <c r="AR4641" s="758"/>
      <c r="AS4641" s="753"/>
    </row>
    <row r="4642" spans="1:45" s="520" customFormat="1" ht="12.6" thickBot="1">
      <c r="A4642" s="761" t="s">
        <v>145</v>
      </c>
      <c r="B4642" s="762">
        <f>(R4641+T4641)</f>
        <v>0</v>
      </c>
      <c r="C4642" s="763"/>
      <c r="D4642" s="763"/>
      <c r="E4642" s="763"/>
      <c r="F4642" s="764"/>
      <c r="G4642" s="763" t="s">
        <v>146</v>
      </c>
      <c r="H4642" s="763"/>
      <c r="I4642" s="765"/>
      <c r="J4642" s="763"/>
      <c r="K4642" s="763" t="s">
        <v>3</v>
      </c>
      <c r="L4642" s="766" t="s">
        <v>143</v>
      </c>
      <c r="M4642" s="766"/>
      <c r="N4642" s="766"/>
      <c r="O4642" s="766"/>
      <c r="P4642" s="766"/>
      <c r="Q4642" s="767"/>
      <c r="R4642" s="768">
        <f ca="1">SUM(R4638:R4641)</f>
        <v>256.35500000000002</v>
      </c>
      <c r="S4642" s="763"/>
      <c r="T4642" s="768">
        <f ca="1">SUM(T4638:T4641)</f>
        <v>16.39</v>
      </c>
      <c r="U4642" s="531"/>
      <c r="V4642" s="531"/>
      <c r="W4642" s="531"/>
      <c r="X4642" s="531"/>
      <c r="Y4642" s="531"/>
      <c r="Z4642" s="531"/>
      <c r="AA4642" s="531"/>
      <c r="AB4642" s="531"/>
      <c r="AC4642" s="531"/>
      <c r="AD4642" s="531"/>
      <c r="AE4642" s="531"/>
      <c r="AF4642" s="531"/>
      <c r="AG4642" s="531"/>
      <c r="AH4642" s="531"/>
      <c r="AI4642" s="531"/>
      <c r="AJ4642" s="531"/>
      <c r="AK4642" s="531"/>
      <c r="AL4642" s="531"/>
      <c r="AM4642" s="531"/>
      <c r="AN4642" s="531"/>
      <c r="AO4642" s="531"/>
      <c r="AR4642" s="761" t="s">
        <v>145</v>
      </c>
      <c r="AS4642" s="764"/>
    </row>
    <row r="4643" spans="1:45" s="520" customFormat="1" ht="12" thickTop="1">
      <c r="A4643" s="51"/>
      <c r="B4643" s="41"/>
      <c r="C4643" s="51"/>
      <c r="E4643" s="42" t="s">
        <v>138</v>
      </c>
      <c r="F4643" s="42" t="s">
        <v>139</v>
      </c>
      <c r="G4643" s="51"/>
      <c r="H4643" s="51"/>
      <c r="I4643" s="51"/>
      <c r="J4643" s="51"/>
      <c r="K4643" s="51" t="s">
        <v>140</v>
      </c>
      <c r="L4643" s="51"/>
      <c r="M4643" s="51"/>
      <c r="N4643" s="51"/>
      <c r="O4643" s="52"/>
      <c r="P4643" s="51"/>
      <c r="Q4643" s="51"/>
      <c r="R4643" s="51"/>
      <c r="S4643" s="51"/>
      <c r="T4643" s="41"/>
      <c r="AG4643" s="521" t="s">
        <v>268</v>
      </c>
      <c r="AH4643" s="521" t="s">
        <v>269</v>
      </c>
      <c r="AI4643" s="521" t="s">
        <v>270</v>
      </c>
      <c r="AJ4643" s="521" t="s">
        <v>271</v>
      </c>
      <c r="AK4643" s="521" t="s">
        <v>272</v>
      </c>
      <c r="AM4643" s="745" t="s">
        <v>281</v>
      </c>
      <c r="AN4643" s="746" t="s">
        <v>282</v>
      </c>
      <c r="AO4643" s="522" t="s">
        <v>278</v>
      </c>
      <c r="AR4643" s="51"/>
      <c r="AS4643" s="42" t="s">
        <v>139</v>
      </c>
    </row>
    <row r="4644" spans="1:45" s="520" customFormat="1" ht="12" customHeight="1">
      <c r="A4644" s="747">
        <v>1</v>
      </c>
      <c r="B4644" s="523" t="s">
        <v>141</v>
      </c>
      <c r="C4644" s="748"/>
      <c r="D4644" s="749" t="s">
        <v>1797</v>
      </c>
      <c r="E4644" s="750">
        <f ca="1">IF(AND($A4644=0,$A$1="DIF"),0, ROUND(ROUND(($R4649*$S$2+($T4649*$T$2))/A4644,2)*$C$2,2))</f>
        <v>238.22</v>
      </c>
      <c r="F4644" s="751">
        <f ca="1">ROUND($A4644*$E4644,2)</f>
        <v>238.22</v>
      </c>
      <c r="G4644" s="752" t="s">
        <v>142</v>
      </c>
      <c r="H4644" s="753"/>
      <c r="I4644" s="754"/>
      <c r="J4644" s="753"/>
      <c r="K4644" s="753" t="s">
        <v>3</v>
      </c>
      <c r="L4644" s="755" t="s">
        <v>143</v>
      </c>
      <c r="M4644" s="755"/>
      <c r="N4644" s="755"/>
      <c r="O4644" s="755"/>
      <c r="P4644" s="755"/>
      <c r="Q4644" s="51"/>
      <c r="T4644" s="756" t="str">
        <f ca="1">IF(AND($R4649=0,$T4649=0),"0.00","mu :" &amp; ROUND($F4644/$C$2/($R4649+$T4649*$D$9),2))</f>
        <v>mu :1.23</v>
      </c>
      <c r="W4644" s="524"/>
      <c r="AG4644" s="481">
        <f ca="1">IF($E4644=0,0,ROUND($R4649*$S$2*$C$2/$A4644,2))</f>
        <v>79.64</v>
      </c>
      <c r="AH4644" s="481">
        <f ca="1">$AG4644*$A4644</f>
        <v>79.64</v>
      </c>
      <c r="AI4644" s="525">
        <f ca="1">$E4644-$AG4644</f>
        <v>158.57999999999998</v>
      </c>
      <c r="AJ4644" s="525">
        <f ca="1">$A4644*$AI4644</f>
        <v>158.57999999999998</v>
      </c>
      <c r="AK4644" s="526">
        <f ca="1">ROUND(($AG4644+$AI4644)*$A4644,2)</f>
        <v>238.22</v>
      </c>
      <c r="AM4644" s="527">
        <f ca="1">ROUND(R4649,2)</f>
        <v>64.680000000000007</v>
      </c>
      <c r="AN4644" s="528">
        <f ca="1">ROUND(T4649,2)</f>
        <v>4.6900000000000004</v>
      </c>
      <c r="AO4644" s="529">
        <f ca="1">ROUND(AM4644+AN4644,2)*A4644</f>
        <v>69.37</v>
      </c>
      <c r="AR4644" s="747">
        <v>1</v>
      </c>
      <c r="AS4644" s="751">
        <v>255.98</v>
      </c>
    </row>
    <row r="4645" spans="1:45" s="520" customFormat="1" ht="13.2">
      <c r="A4645" s="748"/>
      <c r="B4645"/>
      <c r="C4645" s="748"/>
      <c r="D4645" s="749" t="s">
        <v>851</v>
      </c>
      <c r="F4645" s="753"/>
      <c r="G4645" s="3"/>
      <c r="H4645" s="753"/>
      <c r="I4645" s="754"/>
      <c r="J4645" s="753"/>
      <c r="K4645" s="753" t="s">
        <v>144</v>
      </c>
      <c r="L4645" s="753"/>
      <c r="M4645" s="753"/>
      <c r="N4645" s="753"/>
      <c r="O4645" s="753"/>
      <c r="P4645" s="753"/>
      <c r="Q4645" s="51"/>
      <c r="R4645" s="530"/>
      <c r="S4645" s="757"/>
      <c r="T4645" s="753"/>
      <c r="AR4645" s="748"/>
      <c r="AS4645" s="753"/>
    </row>
    <row r="4646" spans="1:45" s="886" customFormat="1" ht="13.2">
      <c r="A4646"/>
      <c r="B4646" s="910"/>
      <c r="C4646" s="910" t="s">
        <v>2597</v>
      </c>
      <c r="D4646" s="910" t="str">
        <f ca="1">CELL("Address",Elec_Rates!D$19)</f>
        <v>[E25_0062_Quintano_Foods_Elec_ELV_As_Awarded.xlsx]Elec_Rates!$D$19</v>
      </c>
      <c r="E4646" s="911"/>
      <c r="F4646" s="911"/>
      <c r="G4646" s="912" t="s">
        <v>2598</v>
      </c>
      <c r="H4646" s="912"/>
      <c r="I4646" s="912"/>
      <c r="J4646" s="912"/>
      <c r="K4646" s="913"/>
      <c r="L4646" s="911"/>
      <c r="M4646" s="911"/>
      <c r="N4646" s="911"/>
      <c r="O4646" s="914"/>
      <c r="P4646" s="911"/>
      <c r="Q4646" s="915"/>
      <c r="R4646" s="916"/>
      <c r="S4646" s="915"/>
      <c r="T4646" s="917"/>
      <c r="U4646" s="918"/>
      <c r="AR4646"/>
      <c r="AS4646" s="911"/>
    </row>
    <row r="4647" spans="1:45" s="886" customFormat="1" ht="12">
      <c r="A4647" s="919">
        <v>1</v>
      </c>
      <c r="B4647" s="920">
        <v>3.5</v>
      </c>
      <c r="C4647" s="920">
        <f>$A4647*$B4647</f>
        <v>3.5</v>
      </c>
      <c r="D4647" s="921" t="str">
        <f>Elec_Rates!$D$19</f>
        <v>001# Light Point Rate (LSZH Conduit)</v>
      </c>
      <c r="E4647" s="921" t="s">
        <v>3037</v>
      </c>
      <c r="F4647" s="1060" t="s">
        <v>2994</v>
      </c>
      <c r="G4647" s="922" t="s">
        <v>2878</v>
      </c>
      <c r="H4647" s="922"/>
      <c r="I4647" s="922"/>
      <c r="J4647" s="922"/>
      <c r="K4647" s="923"/>
      <c r="L4647" s="918"/>
      <c r="M4647" s="918"/>
      <c r="N4647" s="918"/>
      <c r="O4647" s="924"/>
      <c r="P4647" s="921"/>
      <c r="Q4647" s="925">
        <f ca="1">$B4647*Elec_Rates!$R$19</f>
        <v>64.680000000000007</v>
      </c>
      <c r="R4647" s="916">
        <f ca="1">$A4647*Q4647</f>
        <v>64.680000000000007</v>
      </c>
      <c r="S4647" s="925">
        <f ca="1">$B4647*Elec_Rates!$T$19</f>
        <v>4.6900000000000004</v>
      </c>
      <c r="T4647" s="917">
        <f ca="1">$A4647*S4647</f>
        <v>4.6900000000000004</v>
      </c>
      <c r="U4647" s="926"/>
      <c r="AR4647" s="919">
        <v>1</v>
      </c>
      <c r="AS4647" s="1060" t="s">
        <v>2994</v>
      </c>
    </row>
    <row r="4648" spans="1:45" s="520" customFormat="1" ht="12">
      <c r="A4648" s="758"/>
      <c r="B4648" s="758"/>
      <c r="C4648" s="758"/>
      <c r="D4648" s="758"/>
      <c r="E4648" s="758"/>
      <c r="F4648" s="753"/>
      <c r="G4648" s="758"/>
      <c r="H4648" s="758"/>
      <c r="I4648" s="519"/>
      <c r="J4648" s="758"/>
      <c r="K4648" s="758"/>
      <c r="L4648" s="758"/>
      <c r="M4648" s="758"/>
      <c r="N4648" s="758"/>
      <c r="O4648" s="758"/>
      <c r="P4648" s="758"/>
      <c r="Q4648" s="519"/>
      <c r="R4648" s="759">
        <f>$A4648*Q4648</f>
        <v>0</v>
      </c>
      <c r="S4648" s="519"/>
      <c r="T4648" s="760">
        <f>$A4648*S4648*$T$1</f>
        <v>0</v>
      </c>
      <c r="AR4648" s="758"/>
      <c r="AS4648" s="753"/>
    </row>
    <row r="4649" spans="1:45" s="520" customFormat="1" ht="12.6" thickBot="1">
      <c r="A4649" s="761" t="s">
        <v>145</v>
      </c>
      <c r="B4649" s="762">
        <f>(R4648+T4648)</f>
        <v>0</v>
      </c>
      <c r="C4649" s="763"/>
      <c r="D4649" s="763"/>
      <c r="E4649" s="763"/>
      <c r="F4649" s="764"/>
      <c r="G4649" s="763" t="s">
        <v>146</v>
      </c>
      <c r="H4649" s="763"/>
      <c r="I4649" s="765"/>
      <c r="J4649" s="763"/>
      <c r="K4649" s="763" t="s">
        <v>3</v>
      </c>
      <c r="L4649" s="766" t="s">
        <v>143</v>
      </c>
      <c r="M4649" s="766"/>
      <c r="N4649" s="766"/>
      <c r="O4649" s="766"/>
      <c r="P4649" s="766"/>
      <c r="Q4649" s="767"/>
      <c r="R4649" s="768">
        <f ca="1">SUM(R4645:R4648)</f>
        <v>64.680000000000007</v>
      </c>
      <c r="S4649" s="763"/>
      <c r="T4649" s="768">
        <f ca="1">SUM(T4645:T4648)</f>
        <v>4.6900000000000004</v>
      </c>
      <c r="U4649" s="531"/>
      <c r="V4649" s="531"/>
      <c r="W4649" s="531"/>
      <c r="X4649" s="531"/>
      <c r="Y4649" s="531"/>
      <c r="Z4649" s="531"/>
      <c r="AA4649" s="531"/>
      <c r="AB4649" s="531"/>
      <c r="AC4649" s="531"/>
      <c r="AD4649" s="531"/>
      <c r="AE4649" s="531"/>
      <c r="AF4649" s="531"/>
      <c r="AG4649" s="531"/>
      <c r="AH4649" s="531"/>
      <c r="AI4649" s="531"/>
      <c r="AJ4649" s="531"/>
      <c r="AK4649" s="531"/>
      <c r="AL4649" s="531"/>
      <c r="AM4649" s="531"/>
      <c r="AN4649" s="531"/>
      <c r="AO4649" s="531"/>
      <c r="AR4649" s="761" t="s">
        <v>145</v>
      </c>
      <c r="AS4649" s="764"/>
    </row>
    <row r="4650" spans="1:45" s="520" customFormat="1" ht="12" thickTop="1">
      <c r="A4650" s="51"/>
      <c r="B4650" s="41"/>
      <c r="C4650" s="51"/>
      <c r="E4650" s="42" t="s">
        <v>138</v>
      </c>
      <c r="F4650" s="42" t="s">
        <v>139</v>
      </c>
      <c r="G4650" s="51"/>
      <c r="H4650" s="51"/>
      <c r="I4650" s="51"/>
      <c r="J4650" s="51"/>
      <c r="K4650" s="51" t="s">
        <v>140</v>
      </c>
      <c r="L4650" s="51"/>
      <c r="M4650" s="51"/>
      <c r="N4650" s="51"/>
      <c r="O4650" s="52"/>
      <c r="P4650" s="51"/>
      <c r="Q4650" s="51"/>
      <c r="R4650" s="51"/>
      <c r="S4650" s="51"/>
      <c r="T4650" s="41"/>
      <c r="AG4650" s="521" t="s">
        <v>268</v>
      </c>
      <c r="AH4650" s="521" t="s">
        <v>269</v>
      </c>
      <c r="AI4650" s="521" t="s">
        <v>270</v>
      </c>
      <c r="AJ4650" s="521" t="s">
        <v>271</v>
      </c>
      <c r="AK4650" s="521" t="s">
        <v>272</v>
      </c>
      <c r="AM4650" s="745" t="s">
        <v>281</v>
      </c>
      <c r="AN4650" s="746" t="s">
        <v>282</v>
      </c>
      <c r="AO4650" s="522" t="s">
        <v>278</v>
      </c>
      <c r="AR4650" s="51"/>
      <c r="AS4650" s="42" t="s">
        <v>139</v>
      </c>
    </row>
    <row r="4651" spans="1:45" s="520" customFormat="1" ht="12" customHeight="1">
      <c r="A4651" s="747">
        <v>1</v>
      </c>
      <c r="B4651" s="523" t="s">
        <v>141</v>
      </c>
      <c r="C4651" s="748"/>
      <c r="D4651" s="749" t="s">
        <v>1798</v>
      </c>
      <c r="E4651" s="750">
        <f ca="1">IF(AND($A4651=0,$A$1="DIF"),0, ROUND(ROUND(($R4656*$S$2+($T4656*$T$2))/A4651,2)*$C$2,2))</f>
        <v>272.26</v>
      </c>
      <c r="F4651" s="751">
        <f ca="1">ROUND($A4651*$E4651,2)</f>
        <v>272.26</v>
      </c>
      <c r="G4651" s="752" t="s">
        <v>142</v>
      </c>
      <c r="H4651" s="753"/>
      <c r="I4651" s="754"/>
      <c r="J4651" s="753"/>
      <c r="K4651" s="753" t="s">
        <v>3</v>
      </c>
      <c r="L4651" s="755" t="s">
        <v>143</v>
      </c>
      <c r="M4651" s="755"/>
      <c r="N4651" s="755"/>
      <c r="O4651" s="755"/>
      <c r="P4651" s="755"/>
      <c r="Q4651" s="51"/>
      <c r="T4651" s="756" t="str">
        <f ca="1">IF(AND($R4656=0,$T4656=0),"0.00","mu :" &amp; ROUND($F4651/$C$2/($R4656+$T4656*$D$9),2))</f>
        <v>mu :1.23</v>
      </c>
      <c r="W4651" s="524"/>
      <c r="AG4651" s="481">
        <f ca="1">IF($E4651=0,0,ROUND($R4656*$S$2*$C$2/$A4651,2))</f>
        <v>91.02</v>
      </c>
      <c r="AH4651" s="481">
        <f ca="1">$AG4651*$A4651</f>
        <v>91.02</v>
      </c>
      <c r="AI4651" s="525">
        <f ca="1">$E4651-$AG4651</f>
        <v>181.24</v>
      </c>
      <c r="AJ4651" s="525">
        <f ca="1">$A4651*$AI4651</f>
        <v>181.24</v>
      </c>
      <c r="AK4651" s="526">
        <f ca="1">ROUND(($AG4651+$AI4651)*$A4651,2)</f>
        <v>272.26</v>
      </c>
      <c r="AM4651" s="527">
        <f ca="1">ROUND(R4656,2)</f>
        <v>73.92</v>
      </c>
      <c r="AN4651" s="528">
        <f ca="1">ROUND(T4656,2)</f>
        <v>5.36</v>
      </c>
      <c r="AO4651" s="529">
        <f ca="1">ROUND(AM4651+AN4651,2)*A4651</f>
        <v>79.28</v>
      </c>
      <c r="AR4651" s="747">
        <v>1</v>
      </c>
      <c r="AS4651" s="751">
        <v>292.54000000000002</v>
      </c>
    </row>
    <row r="4652" spans="1:45" s="520" customFormat="1" ht="13.2">
      <c r="A4652" s="748"/>
      <c r="B4652"/>
      <c r="C4652" s="748"/>
      <c r="D4652" s="749" t="s">
        <v>852</v>
      </c>
      <c r="F4652" s="753"/>
      <c r="G4652" s="3"/>
      <c r="H4652" s="753"/>
      <c r="I4652" s="754"/>
      <c r="J4652" s="753"/>
      <c r="K4652" s="753" t="s">
        <v>144</v>
      </c>
      <c r="L4652" s="753"/>
      <c r="M4652" s="753"/>
      <c r="N4652" s="753"/>
      <c r="O4652" s="753"/>
      <c r="P4652" s="753"/>
      <c r="Q4652" s="51"/>
      <c r="R4652" s="530"/>
      <c r="S4652" s="757"/>
      <c r="T4652" s="753"/>
      <c r="AR4652" s="748"/>
      <c r="AS4652" s="753"/>
    </row>
    <row r="4653" spans="1:45" s="886" customFormat="1" ht="13.2">
      <c r="A4653"/>
      <c r="B4653" s="910"/>
      <c r="C4653" s="910" t="s">
        <v>2597</v>
      </c>
      <c r="D4653" s="910" t="str">
        <f ca="1">CELL("Address",Elec_Rates!D$19)</f>
        <v>[E25_0062_Quintano_Foods_Elec_ELV_As_Awarded.xlsx]Elec_Rates!$D$19</v>
      </c>
      <c r="E4653" s="911"/>
      <c r="F4653" s="911"/>
      <c r="G4653" s="912" t="s">
        <v>2598</v>
      </c>
      <c r="H4653" s="912"/>
      <c r="I4653" s="912"/>
      <c r="J4653" s="912"/>
      <c r="K4653" s="913"/>
      <c r="L4653" s="911"/>
      <c r="M4653" s="911"/>
      <c r="N4653" s="911"/>
      <c r="O4653" s="914"/>
      <c r="P4653" s="911"/>
      <c r="Q4653" s="915"/>
      <c r="R4653" s="916"/>
      <c r="S4653" s="915"/>
      <c r="T4653" s="917"/>
      <c r="U4653" s="918"/>
      <c r="AR4653"/>
      <c r="AS4653" s="911"/>
    </row>
    <row r="4654" spans="1:45" s="886" customFormat="1" ht="12">
      <c r="A4654" s="919">
        <v>1</v>
      </c>
      <c r="B4654" s="920">
        <v>4</v>
      </c>
      <c r="C4654" s="920">
        <f>$A4654*$B4654</f>
        <v>4</v>
      </c>
      <c r="D4654" s="921" t="str">
        <f>Elec_Rates!$D$19</f>
        <v>001# Light Point Rate (LSZH Conduit)</v>
      </c>
      <c r="E4654" s="921" t="s">
        <v>3038</v>
      </c>
      <c r="F4654" s="1060" t="s">
        <v>2994</v>
      </c>
      <c r="G4654" s="922" t="s">
        <v>2878</v>
      </c>
      <c r="H4654" s="922"/>
      <c r="I4654" s="922"/>
      <c r="J4654" s="922"/>
      <c r="K4654" s="923"/>
      <c r="L4654" s="918"/>
      <c r="M4654" s="918"/>
      <c r="N4654" s="918"/>
      <c r="O4654" s="924"/>
      <c r="P4654" s="921"/>
      <c r="Q4654" s="925">
        <f ca="1">$B4654*Elec_Rates!$R$19</f>
        <v>73.92</v>
      </c>
      <c r="R4654" s="916">
        <f ca="1">$A4654*Q4654</f>
        <v>73.92</v>
      </c>
      <c r="S4654" s="925">
        <f ca="1">$B4654*Elec_Rates!$T$19</f>
        <v>5.36</v>
      </c>
      <c r="T4654" s="917">
        <f ca="1">$A4654*S4654</f>
        <v>5.36</v>
      </c>
      <c r="U4654" s="926"/>
      <c r="AR4654" s="919">
        <v>1</v>
      </c>
      <c r="AS4654" s="1060" t="s">
        <v>2994</v>
      </c>
    </row>
    <row r="4655" spans="1:45" s="520" customFormat="1" ht="12">
      <c r="A4655" s="758"/>
      <c r="B4655" s="758"/>
      <c r="C4655" s="758"/>
      <c r="D4655" s="758"/>
      <c r="E4655" s="758"/>
      <c r="F4655" s="753"/>
      <c r="G4655" s="758"/>
      <c r="H4655" s="758"/>
      <c r="I4655" s="519"/>
      <c r="J4655" s="758"/>
      <c r="K4655" s="758"/>
      <c r="L4655" s="758"/>
      <c r="M4655" s="758"/>
      <c r="N4655" s="758"/>
      <c r="O4655" s="758"/>
      <c r="P4655" s="758"/>
      <c r="Q4655" s="519"/>
      <c r="R4655" s="759">
        <f>$A4655*Q4655</f>
        <v>0</v>
      </c>
      <c r="S4655" s="519"/>
      <c r="T4655" s="760">
        <f>$A4655*S4655*$T$1</f>
        <v>0</v>
      </c>
      <c r="AR4655" s="758"/>
      <c r="AS4655" s="753"/>
    </row>
    <row r="4656" spans="1:45" s="520" customFormat="1" ht="12.6" thickBot="1">
      <c r="A4656" s="761" t="s">
        <v>145</v>
      </c>
      <c r="B4656" s="762">
        <f>(R4655+T4655)</f>
        <v>0</v>
      </c>
      <c r="C4656" s="763"/>
      <c r="D4656" s="763"/>
      <c r="E4656" s="763"/>
      <c r="F4656" s="764"/>
      <c r="G4656" s="763" t="s">
        <v>146</v>
      </c>
      <c r="H4656" s="763"/>
      <c r="I4656" s="765"/>
      <c r="J4656" s="763"/>
      <c r="K4656" s="763" t="s">
        <v>3</v>
      </c>
      <c r="L4656" s="766" t="s">
        <v>143</v>
      </c>
      <c r="M4656" s="766"/>
      <c r="N4656" s="766"/>
      <c r="O4656" s="766"/>
      <c r="P4656" s="766"/>
      <c r="Q4656" s="767"/>
      <c r="R4656" s="768">
        <f ca="1">SUM(R4652:R4655)</f>
        <v>73.92</v>
      </c>
      <c r="S4656" s="763"/>
      <c r="T4656" s="768">
        <f ca="1">SUM(T4652:T4655)</f>
        <v>5.36</v>
      </c>
      <c r="U4656" s="531"/>
      <c r="V4656" s="531"/>
      <c r="W4656" s="531"/>
      <c r="X4656" s="531"/>
      <c r="Y4656" s="531"/>
      <c r="Z4656" s="531"/>
      <c r="AA4656" s="531"/>
      <c r="AB4656" s="531"/>
      <c r="AC4656" s="531"/>
      <c r="AD4656" s="531"/>
      <c r="AE4656" s="531"/>
      <c r="AF4656" s="531"/>
      <c r="AG4656" s="531"/>
      <c r="AH4656" s="531"/>
      <c r="AI4656" s="531"/>
      <c r="AJ4656" s="531"/>
      <c r="AK4656" s="531"/>
      <c r="AL4656" s="531"/>
      <c r="AM4656" s="531"/>
      <c r="AN4656" s="531"/>
      <c r="AO4656" s="531"/>
      <c r="AR4656" s="761" t="s">
        <v>145</v>
      </c>
      <c r="AS4656" s="764"/>
    </row>
    <row r="4657" spans="1:45" s="520" customFormat="1" ht="12" thickTop="1">
      <c r="A4657" s="51"/>
      <c r="B4657" s="41"/>
      <c r="C4657" s="51"/>
      <c r="E4657" s="42" t="s">
        <v>138</v>
      </c>
      <c r="F4657" s="42" t="s">
        <v>139</v>
      </c>
      <c r="G4657" s="51"/>
      <c r="H4657" s="51"/>
      <c r="I4657" s="51"/>
      <c r="J4657" s="51"/>
      <c r="K4657" s="51" t="s">
        <v>140</v>
      </c>
      <c r="L4657" s="51"/>
      <c r="M4657" s="51"/>
      <c r="N4657" s="51"/>
      <c r="O4657" s="52"/>
      <c r="P4657" s="51"/>
      <c r="Q4657" s="51"/>
      <c r="R4657" s="51"/>
      <c r="S4657" s="51"/>
      <c r="T4657" s="41"/>
      <c r="AG4657" s="521" t="s">
        <v>268</v>
      </c>
      <c r="AH4657" s="521" t="s">
        <v>269</v>
      </c>
      <c r="AI4657" s="521" t="s">
        <v>270</v>
      </c>
      <c r="AJ4657" s="521" t="s">
        <v>271</v>
      </c>
      <c r="AK4657" s="521" t="s">
        <v>272</v>
      </c>
      <c r="AM4657" s="745" t="s">
        <v>281</v>
      </c>
      <c r="AN4657" s="746" t="s">
        <v>282</v>
      </c>
      <c r="AO4657" s="522" t="s">
        <v>278</v>
      </c>
      <c r="AR4657" s="51"/>
      <c r="AS4657" s="42" t="s">
        <v>139</v>
      </c>
    </row>
    <row r="4658" spans="1:45" s="520" customFormat="1" ht="12" customHeight="1">
      <c r="A4658" s="747">
        <v>43</v>
      </c>
      <c r="B4658" s="523" t="s">
        <v>141</v>
      </c>
      <c r="C4658" s="748"/>
      <c r="D4658" s="749" t="s">
        <v>1799</v>
      </c>
      <c r="E4658" s="750">
        <f>IF(AND($A4658=0,$A$1="DIF"),0, ROUND(ROUND(($R4662*$S$2+($T4662*$T$2))/A4658,2)*$C$2,2))</f>
        <v>0</v>
      </c>
      <c r="F4658" s="751">
        <f>ROUND($A4658*$E4658,2)</f>
        <v>0</v>
      </c>
      <c r="G4658" s="752" t="s">
        <v>142</v>
      </c>
      <c r="H4658" s="753"/>
      <c r="I4658" s="754"/>
      <c r="J4658" s="753"/>
      <c r="K4658" s="753" t="s">
        <v>3</v>
      </c>
      <c r="L4658" s="755" t="s">
        <v>143</v>
      </c>
      <c r="M4658" s="755"/>
      <c r="N4658" s="755"/>
      <c r="O4658" s="755"/>
      <c r="P4658" s="755"/>
      <c r="Q4658" s="911" t="s">
        <v>2895</v>
      </c>
      <c r="T4658" s="756" t="str">
        <f>IF(AND($R4662=0,$T4662=0),"0.00","mu :" &amp; ROUND($F4658/$C$2/($R4662+$T4662*$D$9),2))</f>
        <v>0.00</v>
      </c>
      <c r="W4658" s="524"/>
      <c r="AG4658" s="481">
        <f>IF($E4658=0,0,ROUND($R4662*$S$2*$C$2/$A4658,2))</f>
        <v>0</v>
      </c>
      <c r="AH4658" s="481">
        <f>$AG4658*$A4658</f>
        <v>0</v>
      </c>
      <c r="AI4658" s="525">
        <f>$E4658-$AG4658</f>
        <v>0</v>
      </c>
      <c r="AJ4658" s="525">
        <f>$A4658*$AI4658</f>
        <v>0</v>
      </c>
      <c r="AK4658" s="526">
        <f>ROUND(($AG4658+$AI4658)*$A4658,2)</f>
        <v>0</v>
      </c>
      <c r="AM4658" s="527">
        <f>ROUND(R4662,2)</f>
        <v>0</v>
      </c>
      <c r="AN4658" s="528">
        <f>ROUND(T4662,2)</f>
        <v>0</v>
      </c>
      <c r="AO4658" s="529">
        <f>ROUND(AM4658+AN4658,2)*A4658</f>
        <v>0</v>
      </c>
      <c r="AR4658" s="747">
        <v>43</v>
      </c>
      <c r="AS4658" s="751">
        <v>0</v>
      </c>
    </row>
    <row r="4659" spans="1:45" s="520" customFormat="1" ht="13.2">
      <c r="A4659" s="748"/>
      <c r="B4659"/>
      <c r="C4659" s="748"/>
      <c r="D4659" s="749" t="s">
        <v>776</v>
      </c>
      <c r="F4659" s="753"/>
      <c r="G4659" s="3"/>
      <c r="H4659" s="753"/>
      <c r="I4659" s="754"/>
      <c r="J4659" s="753"/>
      <c r="K4659" s="753" t="s">
        <v>144</v>
      </c>
      <c r="L4659" s="753"/>
      <c r="M4659" s="753"/>
      <c r="N4659" s="753"/>
      <c r="O4659" s="753"/>
      <c r="P4659" s="753"/>
      <c r="Q4659" s="51"/>
      <c r="R4659" s="530"/>
      <c r="S4659" s="757"/>
      <c r="T4659" s="753"/>
      <c r="AR4659" s="748"/>
      <c r="AS4659" s="753"/>
    </row>
    <row r="4660" spans="1:45" s="520" customFormat="1" ht="12">
      <c r="A4660" s="51"/>
      <c r="B4660" s="758"/>
      <c r="C4660" s="758"/>
      <c r="D4660" s="1061" t="s">
        <v>3253</v>
      </c>
      <c r="E4660" s="758"/>
      <c r="F4660" s="753"/>
      <c r="G4660" s="758"/>
      <c r="H4660" s="758"/>
      <c r="I4660" s="519"/>
      <c r="J4660" s="758"/>
      <c r="K4660" s="758"/>
      <c r="L4660" s="758"/>
      <c r="M4660" s="758"/>
      <c r="N4660" s="758"/>
      <c r="O4660" s="758"/>
      <c r="P4660" s="758"/>
      <c r="Q4660" s="519"/>
      <c r="R4660" s="759">
        <f t="shared" ref="R4660:R4661" si="128">$A4660*Q4660</f>
        <v>0</v>
      </c>
      <c r="S4660" s="519"/>
      <c r="T4660" s="760">
        <f t="shared" ref="T4660:T4661" si="129">$A4660*S4660*$T$1</f>
        <v>0</v>
      </c>
      <c r="AR4660" s="51"/>
      <c r="AS4660" s="753"/>
    </row>
    <row r="4661" spans="1:45" s="520" customFormat="1" ht="12">
      <c r="A4661" s="758"/>
      <c r="B4661" s="758"/>
      <c r="C4661" s="758"/>
      <c r="D4661" s="758"/>
      <c r="E4661" s="758"/>
      <c r="F4661" s="753"/>
      <c r="G4661" s="758"/>
      <c r="H4661" s="758"/>
      <c r="I4661" s="519"/>
      <c r="J4661" s="758"/>
      <c r="K4661" s="758"/>
      <c r="L4661" s="758"/>
      <c r="M4661" s="758"/>
      <c r="N4661" s="758"/>
      <c r="O4661" s="758"/>
      <c r="P4661" s="758"/>
      <c r="Q4661" s="519"/>
      <c r="R4661" s="759">
        <f t="shared" si="128"/>
        <v>0</v>
      </c>
      <c r="S4661" s="519"/>
      <c r="T4661" s="760">
        <f t="shared" si="129"/>
        <v>0</v>
      </c>
      <c r="AR4661" s="758"/>
      <c r="AS4661" s="753"/>
    </row>
    <row r="4662" spans="1:45" s="520" customFormat="1" ht="12.6" thickBot="1">
      <c r="A4662" s="761" t="s">
        <v>145</v>
      </c>
      <c r="B4662" s="762">
        <f>(R4661+T4661)</f>
        <v>0</v>
      </c>
      <c r="C4662" s="763"/>
      <c r="D4662" s="763"/>
      <c r="E4662" s="763"/>
      <c r="F4662" s="764"/>
      <c r="G4662" s="763" t="s">
        <v>146</v>
      </c>
      <c r="H4662" s="763"/>
      <c r="I4662" s="765"/>
      <c r="J4662" s="763"/>
      <c r="K4662" s="763" t="s">
        <v>3</v>
      </c>
      <c r="L4662" s="766" t="s">
        <v>143</v>
      </c>
      <c r="M4662" s="766"/>
      <c r="N4662" s="766"/>
      <c r="O4662" s="766"/>
      <c r="P4662" s="766"/>
      <c r="Q4662" s="767"/>
      <c r="R4662" s="768">
        <f>SUM(R4659:R4661)</f>
        <v>0</v>
      </c>
      <c r="S4662" s="763"/>
      <c r="T4662" s="768">
        <f>SUM(T4659:T4661)</f>
        <v>0</v>
      </c>
      <c r="U4662" s="531"/>
      <c r="V4662" s="531"/>
      <c r="W4662" s="531"/>
      <c r="X4662" s="531"/>
      <c r="Y4662" s="531"/>
      <c r="Z4662" s="531"/>
      <c r="AA4662" s="531"/>
      <c r="AB4662" s="531"/>
      <c r="AC4662" s="531"/>
      <c r="AD4662" s="531"/>
      <c r="AE4662" s="531"/>
      <c r="AF4662" s="531"/>
      <c r="AG4662" s="531"/>
      <c r="AH4662" s="531"/>
      <c r="AI4662" s="531"/>
      <c r="AJ4662" s="531"/>
      <c r="AK4662" s="531"/>
      <c r="AL4662" s="531"/>
      <c r="AM4662" s="531"/>
      <c r="AN4662" s="531"/>
      <c r="AO4662" s="531"/>
      <c r="AR4662" s="761" t="s">
        <v>145</v>
      </c>
      <c r="AS4662" s="764"/>
    </row>
    <row r="4663" spans="1:45" s="520" customFormat="1" ht="12" thickTop="1">
      <c r="A4663" s="51"/>
      <c r="B4663" s="41"/>
      <c r="C4663" s="51"/>
      <c r="E4663" s="42" t="s">
        <v>138</v>
      </c>
      <c r="F4663" s="42" t="s">
        <v>139</v>
      </c>
      <c r="G4663" s="51"/>
      <c r="H4663" s="51"/>
      <c r="I4663" s="51"/>
      <c r="J4663" s="51"/>
      <c r="K4663" s="51" t="s">
        <v>140</v>
      </c>
      <c r="L4663" s="51"/>
      <c r="M4663" s="51"/>
      <c r="N4663" s="51"/>
      <c r="O4663" s="52"/>
      <c r="P4663" s="51"/>
      <c r="Q4663" s="51"/>
      <c r="R4663" s="51"/>
      <c r="S4663" s="51"/>
      <c r="T4663" s="41"/>
      <c r="AG4663" s="521" t="s">
        <v>268</v>
      </c>
      <c r="AH4663" s="521" t="s">
        <v>269</v>
      </c>
      <c r="AI4663" s="521" t="s">
        <v>270</v>
      </c>
      <c r="AJ4663" s="521" t="s">
        <v>271</v>
      </c>
      <c r="AK4663" s="521" t="s">
        <v>272</v>
      </c>
      <c r="AM4663" s="745" t="s">
        <v>281</v>
      </c>
      <c r="AN4663" s="746" t="s">
        <v>282</v>
      </c>
      <c r="AO4663" s="522" t="s">
        <v>278</v>
      </c>
      <c r="AR4663" s="51"/>
      <c r="AS4663" s="42" t="s">
        <v>139</v>
      </c>
    </row>
    <row r="4664" spans="1:45" s="520" customFormat="1" ht="12" customHeight="1">
      <c r="A4664" s="747">
        <v>5</v>
      </c>
      <c r="B4664" s="523" t="s">
        <v>141</v>
      </c>
      <c r="C4664" s="748"/>
      <c r="D4664" s="749" t="s">
        <v>1800</v>
      </c>
      <c r="E4664" s="750">
        <f ca="1">IF(AND($A4664=0,$A$1="DIF"),0, ROUND(ROUND(($R4669*$S$2+($T4669*$T$2))/A4664,2)*$C$2,2))</f>
        <v>46.93</v>
      </c>
      <c r="F4664" s="751">
        <f ca="1">ROUND($A4664*$E4664,2)</f>
        <v>234.65</v>
      </c>
      <c r="G4664" s="752" t="s">
        <v>142</v>
      </c>
      <c r="H4664" s="753"/>
      <c r="I4664" s="754"/>
      <c r="J4664" s="753"/>
      <c r="K4664" s="753" t="s">
        <v>3</v>
      </c>
      <c r="L4664" s="755" t="s">
        <v>143</v>
      </c>
      <c r="M4664" s="755"/>
      <c r="N4664" s="755"/>
      <c r="O4664" s="755"/>
      <c r="P4664" s="755"/>
      <c r="Q4664" s="51"/>
      <c r="T4664" s="756" t="str">
        <f ca="1">IF(AND($R4669=0,$T4669=0),"0.00","mu :" &amp; ROUND($F4664/$C$2/($R4669+$T4669*$D$9),2))</f>
        <v>mu :1.23</v>
      </c>
      <c r="W4664" s="524"/>
      <c r="AG4664" s="481">
        <f ca="1">IF($E4664=0,0,ROUND($R4669*$S$2*$C$2/$A4664,2))</f>
        <v>15.82</v>
      </c>
      <c r="AH4664" s="481">
        <f ca="1">$AG4664*$A4664</f>
        <v>79.099999999999994</v>
      </c>
      <c r="AI4664" s="525">
        <f ca="1">$E4664-$AG4664</f>
        <v>31.11</v>
      </c>
      <c r="AJ4664" s="525">
        <f ca="1">$A4664*$AI4664</f>
        <v>155.55000000000001</v>
      </c>
      <c r="AK4664" s="526">
        <f ca="1">ROUND(($AG4664+$AI4664)*$A4664,2)</f>
        <v>234.65</v>
      </c>
      <c r="AM4664" s="527">
        <f ca="1">ROUND(R4669,2)</f>
        <v>64.25</v>
      </c>
      <c r="AN4664" s="528">
        <f ca="1">ROUND(T4669,2)</f>
        <v>4.5999999999999996</v>
      </c>
      <c r="AO4664" s="529">
        <f ca="1">ROUND(AM4664+AN4664,2)*A4664</f>
        <v>344.25</v>
      </c>
      <c r="AR4664" s="747">
        <v>5</v>
      </c>
      <c r="AS4664" s="751">
        <v>253.25</v>
      </c>
    </row>
    <row r="4665" spans="1:45" s="520" customFormat="1" ht="13.2">
      <c r="A4665" s="748"/>
      <c r="B4665"/>
      <c r="C4665" s="748"/>
      <c r="D4665" s="749" t="s">
        <v>777</v>
      </c>
      <c r="F4665" s="753"/>
      <c r="G4665" s="3"/>
      <c r="H4665" s="753"/>
      <c r="I4665" s="754"/>
      <c r="J4665" s="753"/>
      <c r="K4665" s="753" t="s">
        <v>144</v>
      </c>
      <c r="L4665" s="753"/>
      <c r="M4665" s="753"/>
      <c r="N4665" s="753"/>
      <c r="O4665" s="753"/>
      <c r="P4665" s="753"/>
      <c r="Q4665" s="51"/>
      <c r="R4665" s="530"/>
      <c r="S4665" s="757"/>
      <c r="T4665" s="753"/>
      <c r="AR4665" s="748"/>
      <c r="AS4665" s="753"/>
    </row>
    <row r="4666" spans="1:45" s="886" customFormat="1" ht="13.2">
      <c r="A4666"/>
      <c r="B4666" s="910"/>
      <c r="C4666" s="910" t="s">
        <v>2597</v>
      </c>
      <c r="D4666" s="910" t="str">
        <f ca="1">CELL("Address",Elec_Rates!D$30)</f>
        <v>[E25_0062_Quintano_Foods_Elec_ELV_As_Awarded.xlsx]Elec_Rates!$D$30</v>
      </c>
      <c r="E4666" s="911"/>
      <c r="F4666" s="911"/>
      <c r="G4666" s="912" t="s">
        <v>2598</v>
      </c>
      <c r="H4666" s="912"/>
      <c r="I4666" s="912"/>
      <c r="J4666" s="912"/>
      <c r="K4666" s="913"/>
      <c r="L4666" s="911"/>
      <c r="M4666" s="911"/>
      <c r="N4666" s="911"/>
      <c r="O4666" s="914"/>
      <c r="P4666" s="911"/>
      <c r="Q4666" s="915"/>
      <c r="R4666" s="916"/>
      <c r="S4666" s="915"/>
      <c r="T4666" s="917"/>
      <c r="U4666" s="918"/>
      <c r="AR4666"/>
      <c r="AS4666" s="911"/>
    </row>
    <row r="4667" spans="1:45" s="886" customFormat="1" ht="11.4">
      <c r="A4667" s="919">
        <v>5</v>
      </c>
      <c r="B4667" s="920">
        <v>1</v>
      </c>
      <c r="C4667" s="920">
        <f>$A4667*$B4667</f>
        <v>5</v>
      </c>
      <c r="D4667" s="921" t="str">
        <f>Elec_Rates!$D$30</f>
        <v>002# Maintaned Emergency Light point rate (LSZH Conduit)</v>
      </c>
      <c r="E4667" s="921"/>
      <c r="F4667" s="921" t="s">
        <v>2599</v>
      </c>
      <c r="G4667" s="922" t="s">
        <v>2600</v>
      </c>
      <c r="H4667" s="922"/>
      <c r="I4667" s="922"/>
      <c r="J4667" s="922"/>
      <c r="K4667" s="923"/>
      <c r="L4667" s="918"/>
      <c r="M4667" s="918"/>
      <c r="N4667" s="918"/>
      <c r="O4667" s="924"/>
      <c r="P4667" s="921"/>
      <c r="Q4667" s="925">
        <f ca="1">$B4667*Elec_Rates!$R$30</f>
        <v>12.85</v>
      </c>
      <c r="R4667" s="916">
        <f ca="1">$A4667*Q4667</f>
        <v>64.25</v>
      </c>
      <c r="S4667" s="925">
        <f ca="1">$B4667*Elec_Rates!$T$30</f>
        <v>0.92</v>
      </c>
      <c r="T4667" s="917">
        <f ca="1">$A4667*S4667</f>
        <v>4.6000000000000005</v>
      </c>
      <c r="U4667" s="926"/>
      <c r="AR4667" s="919">
        <v>5</v>
      </c>
      <c r="AS4667" s="921" t="s">
        <v>2599</v>
      </c>
    </row>
    <row r="4668" spans="1:45" s="520" customFormat="1" ht="12">
      <c r="A4668" s="758"/>
      <c r="B4668" s="758"/>
      <c r="C4668" s="758"/>
      <c r="D4668" s="758"/>
      <c r="E4668" s="758"/>
      <c r="F4668" s="753"/>
      <c r="G4668" s="758"/>
      <c r="H4668" s="758"/>
      <c r="I4668" s="519"/>
      <c r="J4668" s="758"/>
      <c r="K4668" s="758"/>
      <c r="L4668" s="758"/>
      <c r="M4668" s="758"/>
      <c r="N4668" s="758"/>
      <c r="O4668" s="758"/>
      <c r="P4668" s="758"/>
      <c r="Q4668" s="519"/>
      <c r="R4668" s="759">
        <f>$A4668*Q4668</f>
        <v>0</v>
      </c>
      <c r="S4668" s="519"/>
      <c r="T4668" s="760">
        <f>$A4668*S4668*$T$1</f>
        <v>0</v>
      </c>
      <c r="AR4668" s="758"/>
      <c r="AS4668" s="753"/>
    </row>
    <row r="4669" spans="1:45" s="520" customFormat="1" ht="12.6" thickBot="1">
      <c r="A4669" s="761" t="s">
        <v>145</v>
      </c>
      <c r="B4669" s="762">
        <f>(R4668+T4668)</f>
        <v>0</v>
      </c>
      <c r="C4669" s="763"/>
      <c r="D4669" s="763"/>
      <c r="E4669" s="763"/>
      <c r="F4669" s="764"/>
      <c r="G4669" s="763" t="s">
        <v>146</v>
      </c>
      <c r="H4669" s="763"/>
      <c r="I4669" s="765"/>
      <c r="J4669" s="763"/>
      <c r="K4669" s="763" t="s">
        <v>3</v>
      </c>
      <c r="L4669" s="766" t="s">
        <v>143</v>
      </c>
      <c r="M4669" s="766"/>
      <c r="N4669" s="766"/>
      <c r="O4669" s="766"/>
      <c r="P4669" s="766"/>
      <c r="Q4669" s="767"/>
      <c r="R4669" s="768">
        <f ca="1">SUM(R4665:R4668)</f>
        <v>64.25</v>
      </c>
      <c r="S4669" s="763"/>
      <c r="T4669" s="768">
        <f ca="1">SUM(T4665:T4668)</f>
        <v>4.6000000000000005</v>
      </c>
      <c r="U4669" s="531"/>
      <c r="V4669" s="531"/>
      <c r="W4669" s="531"/>
      <c r="X4669" s="531"/>
      <c r="Y4669" s="531"/>
      <c r="Z4669" s="531"/>
      <c r="AA4669" s="531"/>
      <c r="AB4669" s="531"/>
      <c r="AC4669" s="531"/>
      <c r="AD4669" s="531"/>
      <c r="AE4669" s="531"/>
      <c r="AF4669" s="531"/>
      <c r="AG4669" s="531"/>
      <c r="AH4669" s="531"/>
      <c r="AI4669" s="531"/>
      <c r="AJ4669" s="531"/>
      <c r="AK4669" s="531"/>
      <c r="AL4669" s="531"/>
      <c r="AM4669" s="531"/>
      <c r="AN4669" s="531"/>
      <c r="AO4669" s="531"/>
      <c r="AR4669" s="761" t="s">
        <v>145</v>
      </c>
      <c r="AS4669" s="764"/>
    </row>
    <row r="4670" spans="1:45" s="520" customFormat="1" thickTop="1">
      <c r="A4670" s="51"/>
      <c r="B4670" s="51"/>
      <c r="C4670" s="3"/>
      <c r="D4670" s="3"/>
      <c r="E4670" s="51"/>
      <c r="F4670" s="51"/>
      <c r="G4670" s="51"/>
      <c r="H4670" s="51"/>
      <c r="I4670" s="51"/>
      <c r="J4670" s="51"/>
      <c r="K4670" s="51" t="s">
        <v>134</v>
      </c>
      <c r="L4670" s="51"/>
      <c r="M4670" s="51"/>
      <c r="N4670" s="51"/>
      <c r="O4670" s="52"/>
      <c r="P4670" s="51"/>
      <c r="Q4670" s="51"/>
      <c r="R4670" s="51"/>
      <c r="S4670" s="51"/>
      <c r="T4670" s="51"/>
      <c r="AR4670" s="51"/>
      <c r="AS4670" s="51"/>
    </row>
    <row r="4671" spans="1:45" s="520" customFormat="1" ht="12">
      <c r="A4671" s="51"/>
      <c r="B4671" s="51"/>
      <c r="C4671" s="51" t="s">
        <v>135</v>
      </c>
      <c r="D4671" s="37"/>
      <c r="E4671" s="51"/>
      <c r="F4671" s="51"/>
      <c r="G4671" s="51"/>
      <c r="H4671" s="51"/>
      <c r="I4671" s="51"/>
      <c r="J4671" s="51"/>
      <c r="K4671" s="51"/>
      <c r="L4671" s="51"/>
      <c r="M4671" s="51"/>
      <c r="N4671" s="51"/>
      <c r="O4671" s="52"/>
      <c r="P4671" s="51"/>
      <c r="Q4671" s="51"/>
      <c r="R4671" s="51"/>
      <c r="S4671" s="51"/>
      <c r="T4671" s="51"/>
      <c r="AR4671" s="51"/>
      <c r="AS4671" s="51"/>
    </row>
    <row r="4672" spans="1:45" s="520" customFormat="1" ht="12">
      <c r="A4672" s="51"/>
      <c r="B4672" s="51"/>
      <c r="C4672" s="51"/>
      <c r="D4672" s="37" t="s">
        <v>778</v>
      </c>
      <c r="E4672" s="51"/>
      <c r="F4672" s="51"/>
      <c r="G4672" s="51"/>
      <c r="H4672" s="51"/>
      <c r="I4672" s="51"/>
      <c r="J4672" s="51"/>
      <c r="K4672" s="51"/>
      <c r="L4672" s="51"/>
      <c r="M4672" s="51"/>
      <c r="N4672" s="51"/>
      <c r="O4672" s="52"/>
      <c r="P4672" s="51"/>
      <c r="Q4672" s="51"/>
      <c r="R4672" s="51"/>
      <c r="S4672" s="38"/>
      <c r="T4672" s="38"/>
      <c r="AR4672" s="51"/>
      <c r="AS4672" s="51"/>
    </row>
    <row r="4673" spans="1:45" s="3" customFormat="1" thickBot="1">
      <c r="A4673" s="531"/>
      <c r="O4673" s="107"/>
      <c r="AR4673" s="531"/>
    </row>
    <row r="4674" spans="1:45" s="520" customFormat="1" ht="12" thickTop="1">
      <c r="A4674" s="51"/>
      <c r="B4674" s="41"/>
      <c r="C4674" s="51"/>
      <c r="E4674" s="42" t="s">
        <v>138</v>
      </c>
      <c r="F4674" s="42" t="s">
        <v>139</v>
      </c>
      <c r="G4674" s="51"/>
      <c r="H4674" s="51"/>
      <c r="I4674" s="51"/>
      <c r="J4674" s="51"/>
      <c r="K4674" s="51" t="s">
        <v>140</v>
      </c>
      <c r="L4674" s="51"/>
      <c r="M4674" s="51"/>
      <c r="N4674" s="51"/>
      <c r="O4674" s="52"/>
      <c r="P4674" s="51"/>
      <c r="Q4674" s="51"/>
      <c r="R4674" s="51"/>
      <c r="S4674" s="51"/>
      <c r="T4674" s="41"/>
      <c r="AG4674" s="521" t="s">
        <v>268</v>
      </c>
      <c r="AH4674" s="521" t="s">
        <v>269</v>
      </c>
      <c r="AI4674" s="521" t="s">
        <v>270</v>
      </c>
      <c r="AJ4674" s="521" t="s">
        <v>271</v>
      </c>
      <c r="AK4674" s="521" t="s">
        <v>272</v>
      </c>
      <c r="AM4674" s="745" t="s">
        <v>281</v>
      </c>
      <c r="AN4674" s="746" t="s">
        <v>282</v>
      </c>
      <c r="AO4674" s="522" t="s">
        <v>278</v>
      </c>
      <c r="AR4674" s="51"/>
      <c r="AS4674" s="42" t="s">
        <v>139</v>
      </c>
    </row>
    <row r="4675" spans="1:45" s="520" customFormat="1" ht="12" customHeight="1">
      <c r="A4675" s="747">
        <v>7</v>
      </c>
      <c r="B4675" s="523" t="s">
        <v>141</v>
      </c>
      <c r="C4675" s="748"/>
      <c r="D4675" s="749" t="s">
        <v>1801</v>
      </c>
      <c r="E4675" s="750">
        <f>IF(AND($A4675=0,$A$1="DIF"),0, ROUND(ROUND(($R4681*$S$2+($T4681*$T$2))/A4675,2)*$C$2,2))</f>
        <v>142.9</v>
      </c>
      <c r="F4675" s="751">
        <f>ROUND($A4675*$E4675,2)</f>
        <v>1000.3</v>
      </c>
      <c r="G4675" s="752" t="s">
        <v>142</v>
      </c>
      <c r="H4675" s="753"/>
      <c r="I4675" s="754"/>
      <c r="J4675" s="753"/>
      <c r="K4675" s="753" t="s">
        <v>3</v>
      </c>
      <c r="L4675" s="755" t="s">
        <v>143</v>
      </c>
      <c r="M4675" s="755"/>
      <c r="N4675" s="755"/>
      <c r="O4675" s="755"/>
      <c r="P4675" s="755"/>
      <c r="Q4675" s="51"/>
      <c r="T4675" s="756" t="str">
        <f>IF(AND($R4681=0,$T4681=0),"0.00","mu :" &amp; ROUND($F4675/$C$2/($R4681+$T4681*$D$9),2))</f>
        <v>mu :1.23</v>
      </c>
      <c r="W4675" s="524"/>
      <c r="AG4675" s="481">
        <f>IF($E4675=0,0,ROUND($R4681*$S$2*$C$2/$A4675,2))</f>
        <v>97.25</v>
      </c>
      <c r="AH4675" s="481">
        <f>$AG4675*$A4675</f>
        <v>680.75</v>
      </c>
      <c r="AI4675" s="525">
        <f>$E4675-$AG4675</f>
        <v>45.650000000000006</v>
      </c>
      <c r="AJ4675" s="525">
        <f>$A4675*$AI4675</f>
        <v>319.55000000000007</v>
      </c>
      <c r="AK4675" s="526">
        <f>ROUND(($AG4675+$AI4675)*$A4675,2)</f>
        <v>1000.3</v>
      </c>
      <c r="AM4675" s="527">
        <f>ROUND(R4681,2)</f>
        <v>552.86</v>
      </c>
      <c r="AN4675" s="528">
        <f>ROUND(T4681,2)</f>
        <v>9.4499999999999993</v>
      </c>
      <c r="AO4675" s="529">
        <f>ROUND(AM4675+AN4675,2)*A4675</f>
        <v>3936.1699999999996</v>
      </c>
      <c r="AR4675" s="747">
        <v>7</v>
      </c>
      <c r="AS4675" s="751">
        <v>1035.79</v>
      </c>
    </row>
    <row r="4676" spans="1:45" s="520" customFormat="1" ht="13.2">
      <c r="A4676" s="748"/>
      <c r="B4676"/>
      <c r="C4676" s="748"/>
      <c r="D4676" s="749" t="s">
        <v>845</v>
      </c>
      <c r="F4676" s="753"/>
      <c r="G4676" s="3"/>
      <c r="H4676" s="753"/>
      <c r="I4676" s="754"/>
      <c r="J4676" s="753"/>
      <c r="K4676" s="753" t="s">
        <v>144</v>
      </c>
      <c r="L4676" s="753"/>
      <c r="M4676" s="753"/>
      <c r="N4676" s="753"/>
      <c r="O4676" s="753"/>
      <c r="P4676" s="753"/>
      <c r="Q4676" s="51"/>
      <c r="R4676" s="530"/>
      <c r="S4676" s="757"/>
      <c r="T4676" s="753"/>
      <c r="AR4676" s="748"/>
      <c r="AS4676" s="753"/>
    </row>
    <row r="4677" spans="1:45" s="901" customFormat="1" ht="13.2">
      <c r="A4677" s="116">
        <v>7</v>
      </c>
      <c r="B4677" s="901" t="s">
        <v>141</v>
      </c>
      <c r="D4677" s="901" t="s">
        <v>2997</v>
      </c>
      <c r="E4677" s="901" t="s">
        <v>3424</v>
      </c>
      <c r="F4677" s="1054" t="s">
        <v>3032</v>
      </c>
      <c r="G4677" s="941" t="s">
        <v>2998</v>
      </c>
      <c r="H4677" s="942">
        <v>705</v>
      </c>
      <c r="I4677" s="901" t="s">
        <v>2607</v>
      </c>
      <c r="O4677" s="943">
        <v>2</v>
      </c>
      <c r="P4677" s="944"/>
      <c r="Q4677" s="945">
        <v>70</v>
      </c>
      <c r="R4677" s="946">
        <f>$A4677*Q4677</f>
        <v>490</v>
      </c>
      <c r="S4677" s="945">
        <v>1</v>
      </c>
      <c r="T4677" s="947">
        <f>$A4677*S4677*$T$1</f>
        <v>6.3</v>
      </c>
      <c r="AR4677" s="116">
        <v>7</v>
      </c>
      <c r="AS4677" s="1054" t="s">
        <v>3032</v>
      </c>
    </row>
    <row r="4678" spans="1:45" s="901" customFormat="1" ht="13.2">
      <c r="A4678" s="116">
        <v>14</v>
      </c>
      <c r="B4678" s="901" t="s">
        <v>320</v>
      </c>
      <c r="D4678" s="901" t="s">
        <v>3002</v>
      </c>
      <c r="G4678" s="941" t="s">
        <v>3003</v>
      </c>
      <c r="H4678" s="942">
        <v>690</v>
      </c>
      <c r="I4678" s="901" t="s">
        <v>2946</v>
      </c>
      <c r="J4678" s="901" t="s">
        <v>2947</v>
      </c>
      <c r="O4678" s="943">
        <v>1</v>
      </c>
      <c r="P4678" s="944">
        <v>34669</v>
      </c>
      <c r="Q4678" s="945">
        <v>2.0699999999999998</v>
      </c>
      <c r="R4678" s="946">
        <f>$A4678*Q4678</f>
        <v>28.979999999999997</v>
      </c>
      <c r="S4678" s="945">
        <v>0.25</v>
      </c>
      <c r="T4678" s="947">
        <f>$A4678*S4678*$T$1</f>
        <v>3.15</v>
      </c>
      <c r="AR4678" s="116">
        <v>14</v>
      </c>
    </row>
    <row r="4679" spans="1:45" s="901" customFormat="1" ht="13.2">
      <c r="A4679" s="116">
        <v>28</v>
      </c>
      <c r="B4679" s="901" t="s">
        <v>320</v>
      </c>
      <c r="D4679" s="901" t="s">
        <v>3004</v>
      </c>
      <c r="G4679" s="941" t="s">
        <v>3005</v>
      </c>
      <c r="H4679" s="942">
        <v>690</v>
      </c>
      <c r="I4679" s="901" t="s">
        <v>2946</v>
      </c>
      <c r="J4679" s="901" t="s">
        <v>2947</v>
      </c>
      <c r="O4679" s="943">
        <v>1</v>
      </c>
      <c r="P4679" s="944">
        <v>34669</v>
      </c>
      <c r="Q4679" s="945">
        <v>1.21</v>
      </c>
      <c r="R4679" s="946">
        <f>$A4679*Q4679</f>
        <v>33.879999999999995</v>
      </c>
      <c r="S4679" s="945"/>
      <c r="T4679" s="947">
        <f>$A4679*S4679*$T$1</f>
        <v>0</v>
      </c>
      <c r="AR4679" s="116">
        <v>28</v>
      </c>
    </row>
    <row r="4680" spans="1:45" s="520" customFormat="1" ht="12">
      <c r="A4680" s="758"/>
      <c r="B4680" s="758"/>
      <c r="C4680" s="758"/>
      <c r="D4680" s="758"/>
      <c r="E4680" s="758"/>
      <c r="F4680" s="753"/>
      <c r="G4680" s="758"/>
      <c r="H4680" s="758"/>
      <c r="I4680" s="519"/>
      <c r="J4680" s="758"/>
      <c r="K4680" s="758"/>
      <c r="L4680" s="758"/>
      <c r="M4680" s="758"/>
      <c r="N4680" s="758"/>
      <c r="O4680" s="758"/>
      <c r="P4680" s="758"/>
      <c r="Q4680" s="519"/>
      <c r="R4680" s="759">
        <f>$A4680*Q4680</f>
        <v>0</v>
      </c>
      <c r="S4680" s="519"/>
      <c r="T4680" s="760">
        <f>$A4680*S4680*$T$1</f>
        <v>0</v>
      </c>
      <c r="AR4680" s="758"/>
      <c r="AS4680" s="753"/>
    </row>
    <row r="4681" spans="1:45" s="520" customFormat="1" ht="12.6" thickBot="1">
      <c r="A4681" s="761" t="s">
        <v>145</v>
      </c>
      <c r="B4681" s="762">
        <f>(R4680+T4680)</f>
        <v>0</v>
      </c>
      <c r="C4681" s="763"/>
      <c r="D4681" s="763"/>
      <c r="E4681" s="763"/>
      <c r="F4681" s="764"/>
      <c r="G4681" s="763" t="s">
        <v>146</v>
      </c>
      <c r="H4681" s="763"/>
      <c r="I4681" s="765"/>
      <c r="J4681" s="763"/>
      <c r="K4681" s="763" t="s">
        <v>3</v>
      </c>
      <c r="L4681" s="766" t="s">
        <v>143</v>
      </c>
      <c r="M4681" s="766"/>
      <c r="N4681" s="766"/>
      <c r="O4681" s="766"/>
      <c r="P4681" s="766"/>
      <c r="Q4681" s="767"/>
      <c r="R4681" s="768">
        <f>SUM(R4676:R4680)</f>
        <v>552.86</v>
      </c>
      <c r="S4681" s="763"/>
      <c r="T4681" s="768">
        <f>SUM(T4676:T4680)</f>
        <v>9.4499999999999993</v>
      </c>
      <c r="U4681" s="531"/>
      <c r="V4681" s="531"/>
      <c r="W4681" s="531"/>
      <c r="X4681" s="531"/>
      <c r="Y4681" s="531"/>
      <c r="Z4681" s="531"/>
      <c r="AA4681" s="531"/>
      <c r="AB4681" s="531"/>
      <c r="AC4681" s="531"/>
      <c r="AD4681" s="531"/>
      <c r="AE4681" s="531"/>
      <c r="AF4681" s="531"/>
      <c r="AG4681" s="531"/>
      <c r="AH4681" s="531"/>
      <c r="AI4681" s="531"/>
      <c r="AJ4681" s="531"/>
      <c r="AK4681" s="531"/>
      <c r="AL4681" s="531"/>
      <c r="AM4681" s="531"/>
      <c r="AN4681" s="531"/>
      <c r="AO4681" s="531"/>
      <c r="AR4681" s="761" t="s">
        <v>145</v>
      </c>
      <c r="AS4681" s="764"/>
    </row>
    <row r="4682" spans="1:45" s="520" customFormat="1" ht="12" thickTop="1">
      <c r="A4682" s="51"/>
      <c r="B4682" s="41"/>
      <c r="C4682" s="51"/>
      <c r="E4682" s="42" t="s">
        <v>138</v>
      </c>
      <c r="F4682" s="42" t="s">
        <v>139</v>
      </c>
      <c r="G4682" s="51"/>
      <c r="H4682" s="51"/>
      <c r="I4682" s="51"/>
      <c r="J4682" s="51"/>
      <c r="K4682" s="51" t="s">
        <v>140</v>
      </c>
      <c r="L4682" s="51"/>
      <c r="M4682" s="51"/>
      <c r="N4682" s="51"/>
      <c r="O4682" s="52"/>
      <c r="P4682" s="51"/>
      <c r="Q4682" s="51"/>
      <c r="R4682" s="51"/>
      <c r="S4682" s="51"/>
      <c r="T4682" s="41"/>
      <c r="AG4682" s="521" t="s">
        <v>268</v>
      </c>
      <c r="AH4682" s="521" t="s">
        <v>269</v>
      </c>
      <c r="AI4682" s="521" t="s">
        <v>270</v>
      </c>
      <c r="AJ4682" s="521" t="s">
        <v>271</v>
      </c>
      <c r="AK4682" s="521" t="s">
        <v>272</v>
      </c>
      <c r="AM4682" s="745" t="s">
        <v>281</v>
      </c>
      <c r="AN4682" s="746" t="s">
        <v>282</v>
      </c>
      <c r="AO4682" s="522" t="s">
        <v>278</v>
      </c>
      <c r="AR4682" s="51"/>
      <c r="AS4682" s="42" t="s">
        <v>139</v>
      </c>
    </row>
    <row r="4683" spans="1:45" s="520" customFormat="1" ht="12" customHeight="1">
      <c r="A4683" s="747">
        <v>2</v>
      </c>
      <c r="B4683" s="523" t="s">
        <v>141</v>
      </c>
      <c r="C4683" s="748"/>
      <c r="D4683" s="749" t="s">
        <v>1802</v>
      </c>
      <c r="E4683" s="750">
        <f>IF(AND($A4683=0,$A$1="DIF"),0, ROUND(ROUND(($R4689*$S$2+($T4689*$T$2))/A4683,2)*$C$2,2))</f>
        <v>142.9</v>
      </c>
      <c r="F4683" s="751">
        <f>ROUND($A4683*$E4683,2)</f>
        <v>285.8</v>
      </c>
      <c r="G4683" s="752" t="s">
        <v>142</v>
      </c>
      <c r="H4683" s="753"/>
      <c r="I4683" s="754"/>
      <c r="J4683" s="753"/>
      <c r="K4683" s="753" t="s">
        <v>3</v>
      </c>
      <c r="L4683" s="755" t="s">
        <v>143</v>
      </c>
      <c r="M4683" s="755"/>
      <c r="N4683" s="755"/>
      <c r="O4683" s="755"/>
      <c r="P4683" s="755"/>
      <c r="Q4683" s="51"/>
      <c r="T4683" s="756" t="str">
        <f>IF(AND($R4689=0,$T4689=0),"0.00","mu :" &amp; ROUND($F4683/$C$2/($R4689+$T4689*$D$9),2))</f>
        <v>mu :1.23</v>
      </c>
      <c r="W4683" s="524"/>
      <c r="AG4683" s="481">
        <f>IF($E4683=0,0,ROUND($R4689*$S$2*$C$2/$A4683,2))</f>
        <v>97.25</v>
      </c>
      <c r="AH4683" s="481">
        <f>$AG4683*$A4683</f>
        <v>194.5</v>
      </c>
      <c r="AI4683" s="525">
        <f>$E4683-$AG4683</f>
        <v>45.650000000000006</v>
      </c>
      <c r="AJ4683" s="525">
        <f>$A4683*$AI4683</f>
        <v>91.300000000000011</v>
      </c>
      <c r="AK4683" s="526">
        <f>ROUND(($AG4683+$AI4683)*$A4683,2)</f>
        <v>285.8</v>
      </c>
      <c r="AM4683" s="527">
        <f>ROUND(R4689,2)</f>
        <v>157.96</v>
      </c>
      <c r="AN4683" s="528">
        <f>ROUND(T4689,2)</f>
        <v>2.7</v>
      </c>
      <c r="AO4683" s="529">
        <f>ROUND(AM4683+AN4683,2)*A4683</f>
        <v>321.32</v>
      </c>
      <c r="AR4683" s="747">
        <v>2</v>
      </c>
      <c r="AS4683" s="751">
        <v>295.94</v>
      </c>
    </row>
    <row r="4684" spans="1:45" s="520" customFormat="1" ht="13.2">
      <c r="A4684" s="748"/>
      <c r="B4684"/>
      <c r="C4684" s="748"/>
      <c r="D4684" s="749" t="s">
        <v>853</v>
      </c>
      <c r="F4684" s="753"/>
      <c r="G4684" s="3"/>
      <c r="H4684" s="753"/>
      <c r="I4684" s="754"/>
      <c r="J4684" s="753"/>
      <c r="K4684" s="753" t="s">
        <v>144</v>
      </c>
      <c r="L4684" s="753"/>
      <c r="M4684" s="753"/>
      <c r="N4684" s="753"/>
      <c r="O4684" s="753"/>
      <c r="P4684" s="753"/>
      <c r="Q4684" s="51"/>
      <c r="R4684" s="530"/>
      <c r="S4684" s="757"/>
      <c r="T4684" s="753"/>
      <c r="AR4684" s="748"/>
      <c r="AS4684" s="753"/>
    </row>
    <row r="4685" spans="1:45" s="901" customFormat="1" ht="13.2">
      <c r="A4685" s="116">
        <v>2</v>
      </c>
      <c r="B4685" s="901" t="s">
        <v>141</v>
      </c>
      <c r="D4685" s="901" t="s">
        <v>2997</v>
      </c>
      <c r="E4685" s="901" t="s">
        <v>3424</v>
      </c>
      <c r="F4685" s="1054" t="s">
        <v>3039</v>
      </c>
      <c r="G4685" s="941" t="s">
        <v>2998</v>
      </c>
      <c r="H4685" s="942">
        <v>705</v>
      </c>
      <c r="I4685" s="901" t="s">
        <v>2607</v>
      </c>
      <c r="O4685" s="943">
        <v>2</v>
      </c>
      <c r="P4685" s="944"/>
      <c r="Q4685" s="945">
        <v>70</v>
      </c>
      <c r="R4685" s="946">
        <f>$A4685*Q4685</f>
        <v>140</v>
      </c>
      <c r="S4685" s="945">
        <v>1</v>
      </c>
      <c r="T4685" s="947">
        <f>$A4685*S4685*$T$1</f>
        <v>1.8</v>
      </c>
      <c r="AR4685" s="116">
        <v>2</v>
      </c>
      <c r="AS4685" s="1054" t="s">
        <v>3039</v>
      </c>
    </row>
    <row r="4686" spans="1:45" s="901" customFormat="1" ht="13.2">
      <c r="A4686" s="116">
        <v>4</v>
      </c>
      <c r="B4686" s="901" t="s">
        <v>320</v>
      </c>
      <c r="D4686" s="901" t="s">
        <v>3002</v>
      </c>
      <c r="G4686" s="941" t="s">
        <v>3003</v>
      </c>
      <c r="H4686" s="942">
        <v>690</v>
      </c>
      <c r="I4686" s="901" t="s">
        <v>2946</v>
      </c>
      <c r="J4686" s="901" t="s">
        <v>2947</v>
      </c>
      <c r="O4686" s="943">
        <v>1</v>
      </c>
      <c r="P4686" s="944">
        <v>34669</v>
      </c>
      <c r="Q4686" s="945">
        <v>2.0699999999999998</v>
      </c>
      <c r="R4686" s="946">
        <f>$A4686*Q4686</f>
        <v>8.2799999999999994</v>
      </c>
      <c r="S4686" s="945">
        <v>0.25</v>
      </c>
      <c r="T4686" s="947">
        <f>$A4686*S4686*$T$1</f>
        <v>0.9</v>
      </c>
      <c r="AR4686" s="116">
        <v>4</v>
      </c>
    </row>
    <row r="4687" spans="1:45" s="901" customFormat="1" ht="13.2">
      <c r="A4687" s="116">
        <v>8</v>
      </c>
      <c r="B4687" s="901" t="s">
        <v>320</v>
      </c>
      <c r="D4687" s="901" t="s">
        <v>3004</v>
      </c>
      <c r="G4687" s="941" t="s">
        <v>3005</v>
      </c>
      <c r="H4687" s="942">
        <v>690</v>
      </c>
      <c r="I4687" s="901" t="s">
        <v>2946</v>
      </c>
      <c r="J4687" s="901" t="s">
        <v>2947</v>
      </c>
      <c r="O4687" s="943">
        <v>1</v>
      </c>
      <c r="P4687" s="944">
        <v>34669</v>
      </c>
      <c r="Q4687" s="945">
        <v>1.21</v>
      </c>
      <c r="R4687" s="946">
        <f>$A4687*Q4687</f>
        <v>9.68</v>
      </c>
      <c r="S4687" s="945"/>
      <c r="T4687" s="947">
        <f>$A4687*S4687*$T$1</f>
        <v>0</v>
      </c>
      <c r="AR4687" s="116">
        <v>8</v>
      </c>
    </row>
    <row r="4688" spans="1:45" s="520" customFormat="1" ht="12">
      <c r="A4688" s="758"/>
      <c r="B4688" s="758"/>
      <c r="C4688" s="758"/>
      <c r="D4688" s="758"/>
      <c r="E4688" s="758"/>
      <c r="F4688" s="753"/>
      <c r="G4688" s="758"/>
      <c r="H4688" s="758"/>
      <c r="I4688" s="519"/>
      <c r="J4688" s="758"/>
      <c r="K4688" s="758"/>
      <c r="L4688" s="758"/>
      <c r="M4688" s="758"/>
      <c r="N4688" s="758"/>
      <c r="O4688" s="758"/>
      <c r="P4688" s="758"/>
      <c r="Q4688" s="519"/>
      <c r="R4688" s="759">
        <f>$A4688*Q4688</f>
        <v>0</v>
      </c>
      <c r="S4688" s="519"/>
      <c r="T4688" s="760">
        <f>$A4688*S4688*$T$1</f>
        <v>0</v>
      </c>
      <c r="AR4688" s="758"/>
      <c r="AS4688" s="753"/>
    </row>
    <row r="4689" spans="1:45" s="520" customFormat="1" ht="12.6" thickBot="1">
      <c r="A4689" s="761" t="s">
        <v>145</v>
      </c>
      <c r="B4689" s="762">
        <f>(R4688+T4688)</f>
        <v>0</v>
      </c>
      <c r="C4689" s="763"/>
      <c r="D4689" s="763"/>
      <c r="E4689" s="763"/>
      <c r="F4689" s="764"/>
      <c r="G4689" s="763" t="s">
        <v>146</v>
      </c>
      <c r="H4689" s="763"/>
      <c r="I4689" s="765"/>
      <c r="J4689" s="763"/>
      <c r="K4689" s="763" t="s">
        <v>3</v>
      </c>
      <c r="L4689" s="766" t="s">
        <v>143</v>
      </c>
      <c r="M4689" s="766"/>
      <c r="N4689" s="766"/>
      <c r="O4689" s="766"/>
      <c r="P4689" s="766"/>
      <c r="Q4689" s="767"/>
      <c r="R4689" s="768">
        <f>SUM(R4684:R4688)</f>
        <v>157.96</v>
      </c>
      <c r="S4689" s="763"/>
      <c r="T4689" s="768">
        <f>SUM(T4684:T4688)</f>
        <v>2.7</v>
      </c>
      <c r="U4689" s="531"/>
      <c r="V4689" s="531"/>
      <c r="W4689" s="531"/>
      <c r="X4689" s="531"/>
      <c r="Y4689" s="531"/>
      <c r="Z4689" s="531"/>
      <c r="AA4689" s="531"/>
      <c r="AB4689" s="531"/>
      <c r="AC4689" s="531"/>
      <c r="AD4689" s="531"/>
      <c r="AE4689" s="531"/>
      <c r="AF4689" s="531"/>
      <c r="AG4689" s="531"/>
      <c r="AH4689" s="531"/>
      <c r="AI4689" s="531"/>
      <c r="AJ4689" s="531"/>
      <c r="AK4689" s="531"/>
      <c r="AL4689" s="531"/>
      <c r="AM4689" s="531"/>
      <c r="AN4689" s="531"/>
      <c r="AO4689" s="531"/>
      <c r="AR4689" s="761" t="s">
        <v>145</v>
      </c>
      <c r="AS4689" s="764"/>
    </row>
    <row r="4690" spans="1:45" s="520" customFormat="1" ht="12" thickTop="1">
      <c r="A4690" s="51"/>
      <c r="B4690" s="41"/>
      <c r="C4690" s="51"/>
      <c r="E4690" s="42" t="s">
        <v>138</v>
      </c>
      <c r="F4690" s="42" t="s">
        <v>139</v>
      </c>
      <c r="G4690" s="51"/>
      <c r="H4690" s="51"/>
      <c r="I4690" s="51"/>
      <c r="J4690" s="51"/>
      <c r="K4690" s="51" t="s">
        <v>140</v>
      </c>
      <c r="L4690" s="51"/>
      <c r="M4690" s="51"/>
      <c r="N4690" s="51"/>
      <c r="O4690" s="52"/>
      <c r="P4690" s="51"/>
      <c r="Q4690" s="51"/>
      <c r="R4690" s="51"/>
      <c r="S4690" s="51"/>
      <c r="T4690" s="41"/>
      <c r="AG4690" s="521" t="s">
        <v>268</v>
      </c>
      <c r="AH4690" s="521" t="s">
        <v>269</v>
      </c>
      <c r="AI4690" s="521" t="s">
        <v>270</v>
      </c>
      <c r="AJ4690" s="521" t="s">
        <v>271</v>
      </c>
      <c r="AK4690" s="521" t="s">
        <v>272</v>
      </c>
      <c r="AM4690" s="745" t="s">
        <v>281</v>
      </c>
      <c r="AN4690" s="746" t="s">
        <v>282</v>
      </c>
      <c r="AO4690" s="522" t="s">
        <v>278</v>
      </c>
      <c r="AR4690" s="51"/>
      <c r="AS4690" s="42" t="s">
        <v>139</v>
      </c>
    </row>
    <row r="4691" spans="1:45" s="520" customFormat="1" ht="12" customHeight="1">
      <c r="A4691" s="747">
        <v>5</v>
      </c>
      <c r="B4691" s="523" t="s">
        <v>141</v>
      </c>
      <c r="C4691" s="748"/>
      <c r="D4691" s="749" t="s">
        <v>1803</v>
      </c>
      <c r="E4691" s="750">
        <f ca="1">IF(AND($A4691=0,$A$1="DIF"),0, ROUND(ROUND(($R4696*$S$2+($T4696*$T$2))/A4691,2)*$C$2,2))</f>
        <v>47.62</v>
      </c>
      <c r="F4691" s="751">
        <f ca="1">ROUND($A4691*$E4691,2)</f>
        <v>238.1</v>
      </c>
      <c r="G4691" s="752" t="s">
        <v>142</v>
      </c>
      <c r="H4691" s="753"/>
      <c r="I4691" s="754"/>
      <c r="J4691" s="753"/>
      <c r="K4691" s="753" t="s">
        <v>3</v>
      </c>
      <c r="L4691" s="755" t="s">
        <v>143</v>
      </c>
      <c r="M4691" s="755"/>
      <c r="N4691" s="755"/>
      <c r="O4691" s="755"/>
      <c r="P4691" s="755"/>
      <c r="Q4691" s="51"/>
      <c r="T4691" s="756" t="str">
        <f ca="1">IF(AND($R4696=0,$T4696=0),"0.00","mu :" &amp; ROUND($F4691/$C$2/($R4696+$T4696*$D$9),2))</f>
        <v>mu :1.23</v>
      </c>
      <c r="W4691" s="524"/>
      <c r="AG4691" s="481">
        <f ca="1">IF($E4691=0,0,ROUND($R4696*$S$2*$C$2/$A4691,2))</f>
        <v>38.49</v>
      </c>
      <c r="AH4691" s="481">
        <f ca="1">$AG4691*$A4691</f>
        <v>192.45000000000002</v>
      </c>
      <c r="AI4691" s="525">
        <f ca="1">$E4691-$AG4691</f>
        <v>9.1299999999999955</v>
      </c>
      <c r="AJ4691" s="525">
        <f ca="1">$A4691*$AI4691</f>
        <v>45.649999999999977</v>
      </c>
      <c r="AK4691" s="526">
        <f ca="1">ROUND(($AG4691+$AI4691)*$A4691,2)</f>
        <v>238.1</v>
      </c>
      <c r="AM4691" s="527">
        <f ca="1">ROUND(R4696,2)</f>
        <v>156.30000000000001</v>
      </c>
      <c r="AN4691" s="528">
        <f ca="1">ROUND(T4696,2)</f>
        <v>1.35</v>
      </c>
      <c r="AO4691" s="529">
        <f ca="1">ROUND(AM4691+AN4691,2)*A4691</f>
        <v>788.25</v>
      </c>
      <c r="AR4691" s="747">
        <v>5</v>
      </c>
      <c r="AS4691" s="751">
        <v>243.2</v>
      </c>
    </row>
    <row r="4692" spans="1:45" s="520" customFormat="1" ht="13.2">
      <c r="A4692" s="748"/>
      <c r="B4692"/>
      <c r="C4692" s="748"/>
      <c r="D4692" s="749" t="s">
        <v>780</v>
      </c>
      <c r="F4692" s="753"/>
      <c r="G4692" s="3"/>
      <c r="H4692" s="753"/>
      <c r="I4692" s="754"/>
      <c r="J4692" s="753"/>
      <c r="K4692" s="753" t="s">
        <v>144</v>
      </c>
      <c r="L4692" s="753"/>
      <c r="M4692" s="753"/>
      <c r="N4692" s="753"/>
      <c r="O4692" s="753"/>
      <c r="P4692" s="753"/>
      <c r="Q4692" s="51"/>
      <c r="R4692" s="530"/>
      <c r="S4692" s="757"/>
      <c r="T4692" s="753"/>
      <c r="AR4692" s="748"/>
      <c r="AS4692" s="753"/>
    </row>
    <row r="4693" spans="1:45" s="886" customFormat="1" ht="13.2">
      <c r="A4693"/>
      <c r="B4693" s="910"/>
      <c r="C4693" s="910" t="s">
        <v>2597</v>
      </c>
      <c r="D4693" s="910" t="str">
        <f ca="1">CELL("Address",Elec_Rates!D$156)</f>
        <v>[E25_0062_Quintano_Foods_Elec_ELV_As_Awarded.xlsx]Elec_Rates!$D$156</v>
      </c>
      <c r="E4693" s="911"/>
      <c r="F4693" s="911"/>
      <c r="G4693" s="912" t="s">
        <v>2598</v>
      </c>
      <c r="H4693" s="912"/>
      <c r="I4693" s="912"/>
      <c r="J4693" s="912"/>
      <c r="K4693" s="913"/>
      <c r="L4693" s="911"/>
      <c r="M4693" s="911"/>
      <c r="N4693" s="911"/>
      <c r="O4693" s="914"/>
      <c r="P4693" s="911"/>
      <c r="Q4693" s="915"/>
      <c r="R4693" s="916"/>
      <c r="S4693" s="915"/>
      <c r="T4693" s="917"/>
      <c r="U4693" s="918"/>
      <c r="AR4693"/>
      <c r="AS4693" s="911"/>
    </row>
    <row r="4694" spans="1:45" s="886" customFormat="1" ht="11.4">
      <c r="A4694" s="919">
        <v>5</v>
      </c>
      <c r="B4694" s="920">
        <v>1</v>
      </c>
      <c r="C4694" s="920">
        <f>$A4694*$B4694</f>
        <v>5</v>
      </c>
      <c r="D4694" s="921" t="str">
        <f>Elec_Rates!$D$156</f>
        <v>014# 3Pin 16Amp IP67 Unswitched Socket outlet</v>
      </c>
      <c r="E4694" s="921"/>
      <c r="F4694" s="921" t="s">
        <v>2599</v>
      </c>
      <c r="G4694" s="922" t="s">
        <v>2601</v>
      </c>
      <c r="H4694" s="922"/>
      <c r="I4694" s="922"/>
      <c r="J4694" s="922"/>
      <c r="K4694" s="923"/>
      <c r="L4694" s="918"/>
      <c r="M4694" s="918"/>
      <c r="N4694" s="918"/>
      <c r="O4694" s="924"/>
      <c r="P4694" s="921"/>
      <c r="Q4694" s="925">
        <f ca="1">$B4694*Elec_Rates!$R$156</f>
        <v>31.26</v>
      </c>
      <c r="R4694" s="916">
        <f ca="1">$A4694*Q4694</f>
        <v>156.30000000000001</v>
      </c>
      <c r="S4694" s="925">
        <f ca="1">$B4694*Elec_Rates!$T$156</f>
        <v>0.27</v>
      </c>
      <c r="T4694" s="917">
        <f ca="1">$A4694*S4694</f>
        <v>1.35</v>
      </c>
      <c r="U4694" s="926"/>
      <c r="AR4694" s="919">
        <v>5</v>
      </c>
      <c r="AS4694" s="921" t="s">
        <v>2599</v>
      </c>
    </row>
    <row r="4695" spans="1:45" s="520" customFormat="1" ht="12">
      <c r="A4695" s="758"/>
      <c r="B4695" s="758"/>
      <c r="C4695" s="758"/>
      <c r="D4695" s="758"/>
      <c r="E4695" s="758"/>
      <c r="F4695" s="753"/>
      <c r="G4695" s="758"/>
      <c r="H4695" s="758"/>
      <c r="I4695" s="519"/>
      <c r="J4695" s="758"/>
      <c r="K4695" s="758"/>
      <c r="L4695" s="758"/>
      <c r="M4695" s="758"/>
      <c r="N4695" s="758"/>
      <c r="O4695" s="758"/>
      <c r="P4695" s="758"/>
      <c r="Q4695" s="519"/>
      <c r="R4695" s="759">
        <f>$A4695*Q4695</f>
        <v>0</v>
      </c>
      <c r="S4695" s="519"/>
      <c r="T4695" s="760">
        <f>$A4695*S4695*$T$1</f>
        <v>0</v>
      </c>
      <c r="AR4695" s="758"/>
      <c r="AS4695" s="753"/>
    </row>
    <row r="4696" spans="1:45" s="520" customFormat="1" ht="12.6" thickBot="1">
      <c r="A4696" s="761" t="s">
        <v>145</v>
      </c>
      <c r="B4696" s="762">
        <f>(R4695+T4695)</f>
        <v>0</v>
      </c>
      <c r="C4696" s="763"/>
      <c r="D4696" s="763"/>
      <c r="E4696" s="763"/>
      <c r="F4696" s="764"/>
      <c r="G4696" s="763" t="s">
        <v>146</v>
      </c>
      <c r="H4696" s="763"/>
      <c r="I4696" s="765"/>
      <c r="J4696" s="763"/>
      <c r="K4696" s="763" t="s">
        <v>3</v>
      </c>
      <c r="L4696" s="766" t="s">
        <v>143</v>
      </c>
      <c r="M4696" s="766"/>
      <c r="N4696" s="766"/>
      <c r="O4696" s="766"/>
      <c r="P4696" s="766"/>
      <c r="Q4696" s="767"/>
      <c r="R4696" s="768">
        <f ca="1">SUM(R4692:R4695)</f>
        <v>156.30000000000001</v>
      </c>
      <c r="S4696" s="763"/>
      <c r="T4696" s="768">
        <f ca="1">SUM(T4692:T4695)</f>
        <v>1.35</v>
      </c>
      <c r="U4696" s="531"/>
      <c r="V4696" s="531"/>
      <c r="W4696" s="531"/>
      <c r="X4696" s="531"/>
      <c r="Y4696" s="531"/>
      <c r="Z4696" s="531"/>
      <c r="AA4696" s="531"/>
      <c r="AB4696" s="531"/>
      <c r="AC4696" s="531"/>
      <c r="AD4696" s="531"/>
      <c r="AE4696" s="531"/>
      <c r="AF4696" s="531"/>
      <c r="AG4696" s="531"/>
      <c r="AH4696" s="531"/>
      <c r="AI4696" s="531"/>
      <c r="AJ4696" s="531"/>
      <c r="AK4696" s="531"/>
      <c r="AL4696" s="531"/>
      <c r="AM4696" s="531"/>
      <c r="AN4696" s="531"/>
      <c r="AO4696" s="531"/>
      <c r="AR4696" s="761" t="s">
        <v>145</v>
      </c>
      <c r="AS4696" s="764"/>
    </row>
    <row r="4697" spans="1:45" s="520" customFormat="1" ht="12" thickTop="1">
      <c r="A4697" s="51"/>
      <c r="B4697" s="41"/>
      <c r="C4697" s="51"/>
      <c r="E4697" s="42" t="s">
        <v>138</v>
      </c>
      <c r="F4697" s="42" t="s">
        <v>139</v>
      </c>
      <c r="G4697" s="51"/>
      <c r="H4697" s="51"/>
      <c r="I4697" s="51"/>
      <c r="J4697" s="51"/>
      <c r="K4697" s="51" t="s">
        <v>140</v>
      </c>
      <c r="L4697" s="51"/>
      <c r="M4697" s="51"/>
      <c r="N4697" s="51"/>
      <c r="O4697" s="52"/>
      <c r="P4697" s="51"/>
      <c r="Q4697" s="51"/>
      <c r="R4697" s="51"/>
      <c r="S4697" s="51"/>
      <c r="T4697" s="41"/>
      <c r="AG4697" s="521" t="s">
        <v>268</v>
      </c>
      <c r="AH4697" s="521" t="s">
        <v>269</v>
      </c>
      <c r="AI4697" s="521" t="s">
        <v>270</v>
      </c>
      <c r="AJ4697" s="521" t="s">
        <v>271</v>
      </c>
      <c r="AK4697" s="521" t="s">
        <v>272</v>
      </c>
      <c r="AM4697" s="745" t="s">
        <v>281</v>
      </c>
      <c r="AN4697" s="746" t="s">
        <v>282</v>
      </c>
      <c r="AO4697" s="522" t="s">
        <v>278</v>
      </c>
      <c r="AR4697" s="51"/>
      <c r="AS4697" s="42" t="s">
        <v>139</v>
      </c>
    </row>
    <row r="4698" spans="1:45" s="520" customFormat="1" ht="12" customHeight="1">
      <c r="A4698" s="747">
        <v>11</v>
      </c>
      <c r="B4698" s="523" t="s">
        <v>141</v>
      </c>
      <c r="C4698" s="748"/>
      <c r="D4698" s="749" t="s">
        <v>1804</v>
      </c>
      <c r="E4698" s="750">
        <f>IF(AND($A4698=0,$A$1="DIF"),0, ROUND(ROUND(($R4704*$S$2+($T4704*$T$2))/A4698,2)*$C$2,2))</f>
        <v>20.64</v>
      </c>
      <c r="F4698" s="751">
        <f>ROUND($A4698*$E4698,2)</f>
        <v>227.04</v>
      </c>
      <c r="G4698" s="752" t="s">
        <v>142</v>
      </c>
      <c r="H4698" s="753"/>
      <c r="I4698" s="754"/>
      <c r="J4698" s="753"/>
      <c r="K4698" s="753" t="s">
        <v>3</v>
      </c>
      <c r="L4698" s="755" t="s">
        <v>143</v>
      </c>
      <c r="M4698" s="755"/>
      <c r="N4698" s="755"/>
      <c r="O4698" s="755"/>
      <c r="P4698" s="755"/>
      <c r="Q4698" s="51"/>
      <c r="T4698" s="756" t="str">
        <f>IF(AND($R4704=0,$T4704=0),"0.00","mu :" &amp; ROUND($F4698/$C$2/($R4704+$T4704*$D$9),2))</f>
        <v>mu :1.23</v>
      </c>
      <c r="W4698" s="524"/>
      <c r="AG4698" s="481">
        <f>IF($E4698=0,0,ROUND($R4704*$S$2*$C$2/$A4698,2))</f>
        <v>13.03</v>
      </c>
      <c r="AH4698" s="481">
        <f>$AG4698*$A4698</f>
        <v>143.32999999999998</v>
      </c>
      <c r="AI4698" s="525">
        <f>$E4698-$AG4698</f>
        <v>7.6100000000000012</v>
      </c>
      <c r="AJ4698" s="525">
        <f>$A4698*$AI4698</f>
        <v>83.710000000000008</v>
      </c>
      <c r="AK4698" s="526">
        <f>ROUND(($AG4698+$AI4698)*$A4698,2)</f>
        <v>227.04</v>
      </c>
      <c r="AM4698" s="527">
        <f>ROUND(R4704,2)</f>
        <v>116.38</v>
      </c>
      <c r="AN4698" s="528">
        <f>ROUND(T4704,2)</f>
        <v>2.48</v>
      </c>
      <c r="AO4698" s="529">
        <f>ROUND(AM4698+AN4698,2)*A4698</f>
        <v>1307.46</v>
      </c>
      <c r="AR4698" s="747">
        <v>11</v>
      </c>
      <c r="AS4698" s="751">
        <v>236.28</v>
      </c>
    </row>
    <row r="4699" spans="1:45" s="520" customFormat="1" ht="13.2">
      <c r="A4699" s="748"/>
      <c r="B4699"/>
      <c r="C4699" s="748"/>
      <c r="D4699" s="749" t="s">
        <v>1633</v>
      </c>
      <c r="F4699" s="753"/>
      <c r="G4699" s="3"/>
      <c r="H4699" s="753"/>
      <c r="I4699" s="754"/>
      <c r="J4699" s="753"/>
      <c r="K4699" s="753" t="s">
        <v>144</v>
      </c>
      <c r="L4699" s="753"/>
      <c r="M4699" s="753"/>
      <c r="N4699" s="753"/>
      <c r="O4699" s="753"/>
      <c r="P4699" s="753"/>
      <c r="Q4699" s="51"/>
      <c r="R4699" s="530"/>
      <c r="S4699" s="757"/>
      <c r="T4699" s="753"/>
      <c r="AR4699" s="748"/>
      <c r="AS4699" s="753"/>
    </row>
    <row r="4700" spans="1:45" s="901" customFormat="1" ht="13.2">
      <c r="A4700" s="116">
        <v>11</v>
      </c>
      <c r="B4700" s="901" t="s">
        <v>141</v>
      </c>
      <c r="D4700" s="901" t="s">
        <v>3000</v>
      </c>
      <c r="F4700" s="1054" t="s">
        <v>3323</v>
      </c>
      <c r="G4700" s="941" t="s">
        <v>3001</v>
      </c>
      <c r="H4700" s="942">
        <v>705</v>
      </c>
      <c r="I4700" s="901" t="s">
        <v>2607</v>
      </c>
      <c r="O4700" s="943">
        <v>3</v>
      </c>
      <c r="P4700" s="944"/>
      <c r="Q4700" s="945">
        <v>10.5</v>
      </c>
      <c r="R4700" s="946">
        <f>$A4700*Q4700</f>
        <v>115.5</v>
      </c>
      <c r="S4700" s="945">
        <v>0.25</v>
      </c>
      <c r="T4700" s="947">
        <f>$A4700*S4700*$T$1</f>
        <v>2.4750000000000001</v>
      </c>
      <c r="AR4700" s="116">
        <v>11</v>
      </c>
      <c r="AS4700" s="1054" t="s">
        <v>3323</v>
      </c>
    </row>
    <row r="4701" spans="1:45" s="901" customFormat="1" ht="13.2">
      <c r="A4701">
        <v>22</v>
      </c>
      <c r="B4701" s="901" t="s">
        <v>141</v>
      </c>
      <c r="D4701" s="901" t="s">
        <v>2739</v>
      </c>
      <c r="G4701" s="941" t="s">
        <v>2740</v>
      </c>
      <c r="H4701" s="942">
        <v>875</v>
      </c>
      <c r="I4701" s="901" t="s">
        <v>2607</v>
      </c>
      <c r="K4701" s="901" t="s">
        <v>2741</v>
      </c>
      <c r="O4701" s="943">
        <v>1</v>
      </c>
      <c r="P4701" s="944">
        <v>34669</v>
      </c>
      <c r="Q4701" s="945">
        <v>0.02</v>
      </c>
      <c r="R4701" s="946">
        <f>$A4701*Q4701</f>
        <v>0.44</v>
      </c>
      <c r="S4701" s="945"/>
      <c r="T4701" s="947">
        <f>$A4701*S4701*$T$1</f>
        <v>0</v>
      </c>
      <c r="AR4701">
        <v>22</v>
      </c>
    </row>
    <row r="4702" spans="1:45" s="901" customFormat="1" ht="13.2">
      <c r="A4702">
        <v>22</v>
      </c>
      <c r="B4702" s="901" t="s">
        <v>141</v>
      </c>
      <c r="D4702" s="901" t="s">
        <v>2742</v>
      </c>
      <c r="G4702" s="941" t="s">
        <v>2743</v>
      </c>
      <c r="H4702" s="942">
        <v>875</v>
      </c>
      <c r="I4702" s="901" t="s">
        <v>2607</v>
      </c>
      <c r="K4702" s="901" t="s">
        <v>2744</v>
      </c>
      <c r="O4702" s="943">
        <v>1</v>
      </c>
      <c r="P4702" s="944">
        <v>34669</v>
      </c>
      <c r="Q4702" s="945">
        <v>0.02</v>
      </c>
      <c r="R4702" s="946">
        <f>$A4702*Q4702</f>
        <v>0.44</v>
      </c>
      <c r="S4702" s="945"/>
      <c r="T4702" s="947">
        <f>$A4702*S4702*$T$1</f>
        <v>0</v>
      </c>
      <c r="AR4702">
        <v>22</v>
      </c>
    </row>
    <row r="4703" spans="1:45" s="520" customFormat="1" ht="12">
      <c r="A4703" s="758"/>
      <c r="B4703" s="758"/>
      <c r="C4703" s="758"/>
      <c r="D4703" s="758"/>
      <c r="E4703" s="758"/>
      <c r="F4703" s="753"/>
      <c r="G4703" s="758"/>
      <c r="H4703" s="758"/>
      <c r="I4703" s="519"/>
      <c r="J4703" s="758"/>
      <c r="K4703" s="758"/>
      <c r="L4703" s="758"/>
      <c r="M4703" s="758"/>
      <c r="N4703" s="758"/>
      <c r="O4703" s="758"/>
      <c r="P4703" s="758"/>
      <c r="Q4703" s="519"/>
      <c r="R4703" s="759">
        <f>$A4703*Q4703</f>
        <v>0</v>
      </c>
      <c r="S4703" s="519"/>
      <c r="T4703" s="760">
        <f>$A4703*S4703*$T$1</f>
        <v>0</v>
      </c>
      <c r="AR4703" s="758"/>
      <c r="AS4703" s="753"/>
    </row>
    <row r="4704" spans="1:45" s="520" customFormat="1" ht="12.6" thickBot="1">
      <c r="A4704" s="761" t="s">
        <v>145</v>
      </c>
      <c r="B4704" s="762">
        <f>(R4703+T4703)</f>
        <v>0</v>
      </c>
      <c r="C4704" s="763"/>
      <c r="D4704" s="763"/>
      <c r="E4704" s="763"/>
      <c r="F4704" s="764"/>
      <c r="G4704" s="763" t="s">
        <v>146</v>
      </c>
      <c r="H4704" s="763"/>
      <c r="I4704" s="765"/>
      <c r="J4704" s="763"/>
      <c r="K4704" s="763" t="s">
        <v>3</v>
      </c>
      <c r="L4704" s="766" t="s">
        <v>143</v>
      </c>
      <c r="M4704" s="766"/>
      <c r="N4704" s="766"/>
      <c r="O4704" s="766"/>
      <c r="P4704" s="766"/>
      <c r="Q4704" s="767"/>
      <c r="R4704" s="768">
        <f>SUM(R4699:R4703)</f>
        <v>116.38</v>
      </c>
      <c r="S4704" s="763"/>
      <c r="T4704" s="768">
        <f>SUM(T4699:T4703)</f>
        <v>2.4750000000000001</v>
      </c>
      <c r="U4704" s="531"/>
      <c r="V4704" s="531"/>
      <c r="W4704" s="531"/>
      <c r="X4704" s="531"/>
      <c r="Y4704" s="531"/>
      <c r="Z4704" s="531"/>
      <c r="AA4704" s="531"/>
      <c r="AB4704" s="531"/>
      <c r="AC4704" s="531"/>
      <c r="AD4704" s="531"/>
      <c r="AE4704" s="531"/>
      <c r="AF4704" s="531"/>
      <c r="AG4704" s="531"/>
      <c r="AH4704" s="531"/>
      <c r="AI4704" s="531"/>
      <c r="AJ4704" s="531"/>
      <c r="AK4704" s="531"/>
      <c r="AL4704" s="531"/>
      <c r="AM4704" s="531"/>
      <c r="AN4704" s="531"/>
      <c r="AO4704" s="531"/>
      <c r="AR4704" s="761" t="s">
        <v>145</v>
      </c>
      <c r="AS4704" s="764"/>
    </row>
    <row r="4705" spans="1:45" s="520" customFormat="1" thickTop="1">
      <c r="A4705" s="51"/>
      <c r="B4705" s="51"/>
      <c r="C4705" s="3"/>
      <c r="D4705" s="3"/>
      <c r="E4705" s="51"/>
      <c r="F4705" s="51"/>
      <c r="G4705" s="51"/>
      <c r="H4705" s="51"/>
      <c r="I4705" s="51"/>
      <c r="J4705" s="51"/>
      <c r="K4705" s="51" t="s">
        <v>134</v>
      </c>
      <c r="L4705" s="51"/>
      <c r="M4705" s="51"/>
      <c r="N4705" s="51"/>
      <c r="O4705" s="52"/>
      <c r="P4705" s="51"/>
      <c r="Q4705" s="51"/>
      <c r="R4705" s="51"/>
      <c r="S4705" s="51"/>
      <c r="T4705" s="51"/>
      <c r="AR4705" s="51"/>
      <c r="AS4705" s="51"/>
    </row>
    <row r="4706" spans="1:45" s="520" customFormat="1" ht="12">
      <c r="A4706" s="51"/>
      <c r="B4706" s="51"/>
      <c r="C4706" s="51" t="s">
        <v>135</v>
      </c>
      <c r="D4706" s="37"/>
      <c r="E4706" s="51"/>
      <c r="F4706" s="51"/>
      <c r="G4706" s="51"/>
      <c r="H4706" s="51"/>
      <c r="I4706" s="51"/>
      <c r="J4706" s="51"/>
      <c r="K4706" s="51"/>
      <c r="L4706" s="51"/>
      <c r="M4706" s="51"/>
      <c r="N4706" s="51"/>
      <c r="O4706" s="52"/>
      <c r="P4706" s="51"/>
      <c r="Q4706" s="51"/>
      <c r="R4706" s="51"/>
      <c r="S4706" s="51"/>
      <c r="T4706" s="51"/>
      <c r="AR4706" s="51"/>
      <c r="AS4706" s="51"/>
    </row>
    <row r="4707" spans="1:45" s="520" customFormat="1" ht="39.9" customHeight="1">
      <c r="A4707" s="51"/>
      <c r="B4707" s="51"/>
      <c r="C4707" s="51"/>
      <c r="D4707" s="1453" t="s">
        <v>1660</v>
      </c>
      <c r="E4707" s="1452"/>
      <c r="F4707" s="1452"/>
      <c r="G4707" s="1452"/>
      <c r="H4707" s="1452"/>
      <c r="I4707" s="1452"/>
      <c r="J4707" s="1452"/>
      <c r="K4707" s="1452"/>
      <c r="L4707" s="1452"/>
      <c r="M4707" s="1452"/>
      <c r="N4707" s="1452"/>
      <c r="O4707" s="1452"/>
      <c r="P4707" s="1452"/>
      <c r="Q4707" s="1452"/>
      <c r="R4707" s="1452"/>
      <c r="S4707" s="1452"/>
      <c r="T4707" s="1452"/>
      <c r="AR4707" s="51"/>
    </row>
    <row r="4708" spans="1:45" s="3" customFormat="1" thickBot="1">
      <c r="A4708" s="531"/>
      <c r="O4708" s="107"/>
      <c r="AR4708" s="531"/>
    </row>
    <row r="4709" spans="1:45" s="520" customFormat="1" thickTop="1">
      <c r="A4709" s="51"/>
      <c r="B4709" s="51"/>
      <c r="C4709" s="3"/>
      <c r="D4709" s="3"/>
      <c r="E4709" s="51"/>
      <c r="F4709" s="51"/>
      <c r="G4709" s="51"/>
      <c r="H4709" s="51"/>
      <c r="I4709" s="51"/>
      <c r="J4709" s="51"/>
      <c r="K4709" s="51" t="s">
        <v>134</v>
      </c>
      <c r="L4709" s="51"/>
      <c r="M4709" s="51"/>
      <c r="N4709" s="51"/>
      <c r="O4709" s="52"/>
      <c r="P4709" s="51"/>
      <c r="Q4709" s="51"/>
      <c r="R4709" s="51"/>
      <c r="S4709" s="51"/>
      <c r="T4709" s="51"/>
      <c r="AR4709" s="51"/>
      <c r="AS4709" s="51"/>
    </row>
    <row r="4710" spans="1:45" s="520" customFormat="1" ht="12">
      <c r="A4710" s="51"/>
      <c r="B4710" s="51"/>
      <c r="C4710" s="51" t="s">
        <v>135</v>
      </c>
      <c r="D4710" s="37"/>
      <c r="E4710" s="51"/>
      <c r="F4710" s="51"/>
      <c r="G4710" s="51"/>
      <c r="H4710" s="51"/>
      <c r="I4710" s="51"/>
      <c r="J4710" s="51"/>
      <c r="K4710" s="51"/>
      <c r="L4710" s="51"/>
      <c r="M4710" s="51"/>
      <c r="N4710" s="51"/>
      <c r="O4710" s="52"/>
      <c r="P4710" s="51"/>
      <c r="Q4710" s="51"/>
      <c r="R4710" s="51"/>
      <c r="S4710" s="51"/>
      <c r="T4710" s="51"/>
      <c r="AR4710" s="51"/>
      <c r="AS4710" s="51"/>
    </row>
    <row r="4711" spans="1:45" s="520" customFormat="1" ht="12">
      <c r="A4711" s="51"/>
      <c r="B4711" s="51"/>
      <c r="C4711" s="51"/>
      <c r="D4711" s="37" t="s">
        <v>854</v>
      </c>
      <c r="E4711" s="51"/>
      <c r="F4711" s="51"/>
      <c r="G4711" s="51"/>
      <c r="H4711" s="51"/>
      <c r="I4711" s="51"/>
      <c r="J4711" s="51"/>
      <c r="K4711" s="51"/>
      <c r="L4711" s="51"/>
      <c r="M4711" s="51"/>
      <c r="N4711" s="51"/>
      <c r="O4711" s="52"/>
      <c r="P4711" s="51"/>
      <c r="Q4711" s="51"/>
      <c r="R4711" s="51"/>
      <c r="S4711" s="38"/>
      <c r="T4711" s="38"/>
      <c r="AR4711" s="51"/>
      <c r="AS4711" s="51"/>
    </row>
    <row r="4712" spans="1:45" s="3" customFormat="1" thickBot="1">
      <c r="A4712" s="531"/>
      <c r="O4712" s="107"/>
      <c r="AR4712" s="531"/>
    </row>
    <row r="4713" spans="1:45" s="520" customFormat="1" ht="12" thickTop="1">
      <c r="A4713" s="51"/>
      <c r="B4713" s="41"/>
      <c r="C4713" s="51"/>
      <c r="E4713" s="42" t="s">
        <v>138</v>
      </c>
      <c r="F4713" s="42" t="s">
        <v>139</v>
      </c>
      <c r="G4713" s="51"/>
      <c r="H4713" s="51"/>
      <c r="I4713" s="51"/>
      <c r="J4713" s="51"/>
      <c r="K4713" s="51" t="s">
        <v>140</v>
      </c>
      <c r="L4713" s="51"/>
      <c r="M4713" s="51"/>
      <c r="N4713" s="51"/>
      <c r="O4713" s="52"/>
      <c r="P4713" s="51"/>
      <c r="Q4713" s="51"/>
      <c r="R4713" s="51"/>
      <c r="S4713" s="51"/>
      <c r="T4713" s="41"/>
      <c r="AG4713" s="521" t="s">
        <v>268</v>
      </c>
      <c r="AH4713" s="521" t="s">
        <v>269</v>
      </c>
      <c r="AI4713" s="521" t="s">
        <v>270</v>
      </c>
      <c r="AJ4713" s="521" t="s">
        <v>271</v>
      </c>
      <c r="AK4713" s="521" t="s">
        <v>272</v>
      </c>
      <c r="AM4713" s="745" t="s">
        <v>281</v>
      </c>
      <c r="AN4713" s="746" t="s">
        <v>282</v>
      </c>
      <c r="AO4713" s="522" t="s">
        <v>278</v>
      </c>
      <c r="AR4713" s="51"/>
      <c r="AS4713" s="42" t="s">
        <v>139</v>
      </c>
    </row>
    <row r="4714" spans="1:45" s="520" customFormat="1" ht="12" customHeight="1">
      <c r="A4714" s="747">
        <v>2</v>
      </c>
      <c r="B4714" s="523" t="s">
        <v>141</v>
      </c>
      <c r="C4714" s="748"/>
      <c r="D4714" s="749" t="s">
        <v>1805</v>
      </c>
      <c r="E4714" s="750">
        <f ca="1">IF(AND($A4714=0,$A$1="DIF"),0, ROUND(ROUND(($R4719*$S$2+($T4719*$T$2))/A4714,2)*$C$2,2))</f>
        <v>208.63</v>
      </c>
      <c r="F4714" s="751">
        <f ca="1">ROUND($A4714*$E4714,2)</f>
        <v>417.26</v>
      </c>
      <c r="G4714" s="752" t="s">
        <v>142</v>
      </c>
      <c r="H4714" s="753"/>
      <c r="I4714" s="754"/>
      <c r="J4714" s="753"/>
      <c r="K4714" s="753" t="s">
        <v>3</v>
      </c>
      <c r="L4714" s="755" t="s">
        <v>143</v>
      </c>
      <c r="M4714" s="755"/>
      <c r="N4714" s="755"/>
      <c r="O4714" s="755"/>
      <c r="P4714" s="755"/>
      <c r="Q4714" s="51"/>
      <c r="T4714" s="756" t="str">
        <f ca="1">IF(AND($R4719=0,$T4719=0),"0.00","mu :" &amp; ROUND($F4714/$C$2/($R4719+$T4719*$D$9),2))</f>
        <v>mu :1.23</v>
      </c>
      <c r="W4714" s="524"/>
      <c r="AG4714" s="481">
        <f ca="1">IF($E4714=0,0,ROUND($R4719*$S$2*$C$2/$A4714,2))</f>
        <v>91.64</v>
      </c>
      <c r="AH4714" s="481">
        <f ca="1">$AG4714*$A4714</f>
        <v>183.28</v>
      </c>
      <c r="AI4714" s="525">
        <f ca="1">$E4714-$AG4714</f>
        <v>116.99</v>
      </c>
      <c r="AJ4714" s="525">
        <f ca="1">$A4714*$AI4714</f>
        <v>233.98</v>
      </c>
      <c r="AK4714" s="526">
        <f ca="1">ROUND(($AG4714+$AI4714)*$A4714,2)</f>
        <v>417.26</v>
      </c>
      <c r="AM4714" s="527">
        <f ca="1">ROUND(R4719,2)</f>
        <v>148.84</v>
      </c>
      <c r="AN4714" s="528">
        <f ca="1">ROUND(T4719,2)</f>
        <v>6.92</v>
      </c>
      <c r="AO4714" s="529">
        <f ca="1">ROUND(AM4714+AN4714,2)*A4714</f>
        <v>311.52</v>
      </c>
      <c r="AR4714" s="747">
        <v>2</v>
      </c>
      <c r="AS4714" s="751">
        <v>442.96</v>
      </c>
    </row>
    <row r="4715" spans="1:45" s="520" customFormat="1" ht="13.2">
      <c r="A4715" s="748"/>
      <c r="B4715"/>
      <c r="C4715" s="748"/>
      <c r="D4715" s="749" t="s">
        <v>757</v>
      </c>
      <c r="F4715" s="753"/>
      <c r="G4715" s="3"/>
      <c r="H4715" s="753"/>
      <c r="I4715" s="754"/>
      <c r="J4715" s="753"/>
      <c r="K4715" s="753" t="s">
        <v>144</v>
      </c>
      <c r="L4715" s="753"/>
      <c r="M4715" s="753"/>
      <c r="N4715" s="753"/>
      <c r="O4715" s="753"/>
      <c r="P4715" s="753"/>
      <c r="Q4715" s="51"/>
      <c r="R4715" s="530"/>
      <c r="S4715" s="757"/>
      <c r="T4715" s="753"/>
      <c r="AR4715" s="748"/>
      <c r="AS4715" s="753"/>
    </row>
    <row r="4716" spans="1:45" s="886" customFormat="1" ht="13.2">
      <c r="A4716"/>
      <c r="B4716" s="910"/>
      <c r="C4716" s="910" t="s">
        <v>2597</v>
      </c>
      <c r="D4716" s="910" t="str">
        <f ca="1">CELL("Address",Elec_Rates!D$134)</f>
        <v>[E25_0062_Quintano_Foods_Elec_ELV_As_Awarded.xlsx]Elec_Rates!$D$134</v>
      </c>
      <c r="E4716" s="911"/>
      <c r="F4716" s="911"/>
      <c r="G4716" s="912" t="s">
        <v>2598</v>
      </c>
      <c r="H4716" s="912"/>
      <c r="I4716" s="912"/>
      <c r="J4716" s="912"/>
      <c r="K4716" s="913"/>
      <c r="L4716" s="911"/>
      <c r="M4716" s="911"/>
      <c r="N4716" s="911"/>
      <c r="O4716" s="914"/>
      <c r="P4716" s="911"/>
      <c r="Q4716" s="915"/>
      <c r="R4716" s="916"/>
      <c r="S4716" s="915"/>
      <c r="T4716" s="917"/>
      <c r="U4716" s="918"/>
      <c r="AR4716"/>
      <c r="AS4716" s="911"/>
    </row>
    <row r="4717" spans="1:45" s="886" customFormat="1" ht="11.4">
      <c r="A4717" s="919">
        <v>2</v>
      </c>
      <c r="B4717" s="920">
        <v>1</v>
      </c>
      <c r="C4717" s="920">
        <f>$A4717*$B4717</f>
        <v>2</v>
      </c>
      <c r="D4717" s="921" t="str">
        <f>Elec_Rates!$D$134</f>
        <v>012# Single phase isolator / socket outlet point Galvanised conduit</v>
      </c>
      <c r="E4717" s="921"/>
      <c r="F4717" s="921" t="s">
        <v>2599</v>
      </c>
      <c r="G4717" s="922" t="s">
        <v>2600</v>
      </c>
      <c r="H4717" s="922"/>
      <c r="I4717" s="922"/>
      <c r="J4717" s="922"/>
      <c r="K4717" s="923"/>
      <c r="L4717" s="918"/>
      <c r="M4717" s="918"/>
      <c r="N4717" s="918"/>
      <c r="O4717" s="924"/>
      <c r="P4717" s="921"/>
      <c r="Q4717" s="925">
        <f ca="1">$B4717*Elec_Rates!$R$134</f>
        <v>74.42</v>
      </c>
      <c r="R4717" s="916">
        <f ca="1">$A4717*Q4717</f>
        <v>148.84</v>
      </c>
      <c r="S4717" s="925">
        <f ca="1">$B4717*Elec_Rates!$T$134</f>
        <v>3.46</v>
      </c>
      <c r="T4717" s="917">
        <f ca="1">$A4717*S4717</f>
        <v>6.92</v>
      </c>
      <c r="U4717" s="926"/>
      <c r="AR4717" s="919">
        <v>2</v>
      </c>
      <c r="AS4717" s="921" t="s">
        <v>2599</v>
      </c>
    </row>
    <row r="4718" spans="1:45" s="520" customFormat="1" ht="12">
      <c r="A4718" s="758"/>
      <c r="B4718" s="758"/>
      <c r="C4718" s="758"/>
      <c r="D4718" s="758"/>
      <c r="E4718" s="758"/>
      <c r="F4718" s="753"/>
      <c r="G4718" s="758"/>
      <c r="H4718" s="758"/>
      <c r="I4718" s="519"/>
      <c r="J4718" s="758"/>
      <c r="K4718" s="758"/>
      <c r="L4718" s="758"/>
      <c r="M4718" s="758"/>
      <c r="N4718" s="758"/>
      <c r="O4718" s="758"/>
      <c r="P4718" s="758"/>
      <c r="Q4718" s="519"/>
      <c r="R4718" s="759">
        <f>$A4718*Q4718</f>
        <v>0</v>
      </c>
      <c r="S4718" s="519"/>
      <c r="T4718" s="760">
        <f>$A4718*S4718*$T$1</f>
        <v>0</v>
      </c>
      <c r="AR4718" s="758"/>
      <c r="AS4718" s="753"/>
    </row>
    <row r="4719" spans="1:45" s="520" customFormat="1" ht="12.6" thickBot="1">
      <c r="A4719" s="761" t="s">
        <v>145</v>
      </c>
      <c r="B4719" s="762">
        <f>(R4718+T4718)</f>
        <v>0</v>
      </c>
      <c r="C4719" s="763"/>
      <c r="D4719" s="763"/>
      <c r="E4719" s="763"/>
      <c r="F4719" s="764"/>
      <c r="G4719" s="763" t="s">
        <v>146</v>
      </c>
      <c r="H4719" s="763"/>
      <c r="I4719" s="765"/>
      <c r="J4719" s="763"/>
      <c r="K4719" s="763" t="s">
        <v>3</v>
      </c>
      <c r="L4719" s="766" t="s">
        <v>143</v>
      </c>
      <c r="M4719" s="766"/>
      <c r="N4719" s="766"/>
      <c r="O4719" s="766"/>
      <c r="P4719" s="766"/>
      <c r="Q4719" s="767"/>
      <c r="R4719" s="768">
        <f ca="1">SUM(R4715:R4718)</f>
        <v>148.84</v>
      </c>
      <c r="S4719" s="763"/>
      <c r="T4719" s="768">
        <f ca="1">SUM(T4715:T4718)</f>
        <v>6.92</v>
      </c>
      <c r="U4719" s="531"/>
      <c r="V4719" s="531"/>
      <c r="W4719" s="531"/>
      <c r="X4719" s="531"/>
      <c r="Y4719" s="531"/>
      <c r="Z4719" s="531"/>
      <c r="AA4719" s="531"/>
      <c r="AB4719" s="531"/>
      <c r="AC4719" s="531"/>
      <c r="AD4719" s="531"/>
      <c r="AE4719" s="531"/>
      <c r="AF4719" s="531"/>
      <c r="AG4719" s="531"/>
      <c r="AH4719" s="531"/>
      <c r="AI4719" s="531"/>
      <c r="AJ4719" s="531"/>
      <c r="AK4719" s="531"/>
      <c r="AL4719" s="531"/>
      <c r="AM4719" s="531"/>
      <c r="AN4719" s="531"/>
      <c r="AO4719" s="531"/>
      <c r="AR4719" s="761" t="s">
        <v>145</v>
      </c>
      <c r="AS4719" s="764"/>
    </row>
    <row r="4720" spans="1:45" s="520" customFormat="1" thickTop="1">
      <c r="A4720" s="51"/>
      <c r="B4720" s="51"/>
      <c r="C4720" s="3"/>
      <c r="D4720" s="3"/>
      <c r="E4720" s="51"/>
      <c r="F4720" s="51"/>
      <c r="G4720" s="51"/>
      <c r="H4720" s="51"/>
      <c r="I4720" s="51"/>
      <c r="J4720" s="51"/>
      <c r="K4720" s="51" t="s">
        <v>134</v>
      </c>
      <c r="L4720" s="51"/>
      <c r="M4720" s="51"/>
      <c r="N4720" s="51"/>
      <c r="O4720" s="52"/>
      <c r="P4720" s="51"/>
      <c r="Q4720" s="51"/>
      <c r="R4720" s="51"/>
      <c r="S4720" s="51"/>
      <c r="T4720" s="51"/>
      <c r="AR4720" s="51"/>
      <c r="AS4720" s="51"/>
    </row>
    <row r="4721" spans="1:45" s="520" customFormat="1" ht="12">
      <c r="A4721" s="51"/>
      <c r="B4721" s="51"/>
      <c r="C4721" s="51" t="s">
        <v>135</v>
      </c>
      <c r="D4721" s="37"/>
      <c r="E4721" s="51"/>
      <c r="F4721" s="51"/>
      <c r="G4721" s="51"/>
      <c r="H4721" s="51"/>
      <c r="I4721" s="51"/>
      <c r="J4721" s="51"/>
      <c r="K4721" s="51"/>
      <c r="L4721" s="51"/>
      <c r="M4721" s="51"/>
      <c r="N4721" s="51"/>
      <c r="O4721" s="52"/>
      <c r="P4721" s="51"/>
      <c r="Q4721" s="51"/>
      <c r="R4721" s="51"/>
      <c r="S4721" s="51"/>
      <c r="T4721" s="51"/>
      <c r="AR4721" s="51"/>
      <c r="AS4721" s="51"/>
    </row>
    <row r="4722" spans="1:45" s="520" customFormat="1" ht="12">
      <c r="A4722" s="51"/>
      <c r="B4722" s="51"/>
      <c r="C4722" s="51"/>
      <c r="D4722" s="37" t="s">
        <v>778</v>
      </c>
      <c r="E4722" s="51"/>
      <c r="F4722" s="51"/>
      <c r="G4722" s="51"/>
      <c r="H4722" s="51"/>
      <c r="I4722" s="51"/>
      <c r="J4722" s="51"/>
      <c r="K4722" s="51"/>
      <c r="L4722" s="51"/>
      <c r="M4722" s="51"/>
      <c r="N4722" s="51"/>
      <c r="O4722" s="52"/>
      <c r="P4722" s="51"/>
      <c r="Q4722" s="51"/>
      <c r="R4722" s="51"/>
      <c r="S4722" s="38"/>
      <c r="T4722" s="38"/>
      <c r="AR4722" s="51"/>
      <c r="AS4722" s="51"/>
    </row>
    <row r="4723" spans="1:45" s="3" customFormat="1" thickBot="1">
      <c r="A4723" s="531"/>
      <c r="O4723" s="107"/>
      <c r="AR4723" s="531"/>
    </row>
    <row r="4724" spans="1:45" s="520" customFormat="1" ht="12" thickTop="1">
      <c r="A4724" s="51"/>
      <c r="B4724" s="41"/>
      <c r="C4724" s="51"/>
      <c r="E4724" s="42" t="s">
        <v>138</v>
      </c>
      <c r="F4724" s="42" t="s">
        <v>139</v>
      </c>
      <c r="G4724" s="51"/>
      <c r="H4724" s="51"/>
      <c r="I4724" s="51"/>
      <c r="J4724" s="51"/>
      <c r="K4724" s="51" t="s">
        <v>140</v>
      </c>
      <c r="L4724" s="51"/>
      <c r="M4724" s="51"/>
      <c r="N4724" s="51"/>
      <c r="O4724" s="52"/>
      <c r="P4724" s="51"/>
      <c r="Q4724" s="51"/>
      <c r="R4724" s="51"/>
      <c r="S4724" s="51"/>
      <c r="T4724" s="41"/>
      <c r="AG4724" s="521" t="s">
        <v>268</v>
      </c>
      <c r="AH4724" s="521" t="s">
        <v>269</v>
      </c>
      <c r="AI4724" s="521" t="s">
        <v>270</v>
      </c>
      <c r="AJ4724" s="521" t="s">
        <v>271</v>
      </c>
      <c r="AK4724" s="521" t="s">
        <v>272</v>
      </c>
      <c r="AM4724" s="745" t="s">
        <v>281</v>
      </c>
      <c r="AN4724" s="746" t="s">
        <v>282</v>
      </c>
      <c r="AO4724" s="522" t="s">
        <v>278</v>
      </c>
      <c r="AR4724" s="51"/>
      <c r="AS4724" s="42" t="s">
        <v>139</v>
      </c>
    </row>
    <row r="4725" spans="1:45" s="520" customFormat="1" ht="12" customHeight="1">
      <c r="A4725" s="747">
        <v>2</v>
      </c>
      <c r="B4725" s="523" t="s">
        <v>141</v>
      </c>
      <c r="C4725" s="748"/>
      <c r="D4725" s="749" t="s">
        <v>1806</v>
      </c>
      <c r="E4725" s="750">
        <f ca="1">IF(AND($A4725=0,$A$1="DIF"),0, ROUND(ROUND(($R4730*$S$2+($T4730*$T$2))/A4725,2)*$C$2,2))</f>
        <v>47.62</v>
      </c>
      <c r="F4725" s="751">
        <f ca="1">ROUND($A4725*$E4725,2)</f>
        <v>95.24</v>
      </c>
      <c r="G4725" s="752" t="s">
        <v>142</v>
      </c>
      <c r="H4725" s="753"/>
      <c r="I4725" s="754"/>
      <c r="J4725" s="753"/>
      <c r="K4725" s="753" t="s">
        <v>3</v>
      </c>
      <c r="L4725" s="755" t="s">
        <v>143</v>
      </c>
      <c r="M4725" s="755"/>
      <c r="N4725" s="755"/>
      <c r="O4725" s="755"/>
      <c r="P4725" s="755"/>
      <c r="Q4725" s="51"/>
      <c r="T4725" s="756" t="str">
        <f ca="1">IF(AND($R4730=0,$T4730=0),"0.00","mu :" &amp; ROUND($F4725/$C$2/($R4730+$T4730*$D$9),2))</f>
        <v>mu :1.23</v>
      </c>
      <c r="W4725" s="524"/>
      <c r="AG4725" s="481">
        <f ca="1">IF($E4725=0,0,ROUND($R4730*$S$2*$C$2/$A4725,2))</f>
        <v>38.49</v>
      </c>
      <c r="AH4725" s="481">
        <f ca="1">$AG4725*$A4725</f>
        <v>76.98</v>
      </c>
      <c r="AI4725" s="525">
        <f ca="1">$E4725-$AG4725</f>
        <v>9.1299999999999955</v>
      </c>
      <c r="AJ4725" s="525">
        <f ca="1">$A4725*$AI4725</f>
        <v>18.259999999999991</v>
      </c>
      <c r="AK4725" s="526">
        <f ca="1">ROUND(($AG4725+$AI4725)*$A4725,2)</f>
        <v>95.24</v>
      </c>
      <c r="AM4725" s="527">
        <f ca="1">ROUND(R4730,2)</f>
        <v>62.52</v>
      </c>
      <c r="AN4725" s="528">
        <f ca="1">ROUND(T4730,2)</f>
        <v>0.54</v>
      </c>
      <c r="AO4725" s="529">
        <f ca="1">ROUND(AM4725+AN4725,2)*A4725</f>
        <v>126.12</v>
      </c>
      <c r="AR4725" s="747">
        <v>2</v>
      </c>
      <c r="AS4725" s="751">
        <v>97.28</v>
      </c>
    </row>
    <row r="4726" spans="1:45" s="520" customFormat="1" ht="13.2">
      <c r="A4726" s="748"/>
      <c r="B4726"/>
      <c r="C4726" s="748"/>
      <c r="D4726" s="749" t="s">
        <v>780</v>
      </c>
      <c r="F4726" s="753"/>
      <c r="G4726" s="3"/>
      <c r="H4726" s="753"/>
      <c r="I4726" s="754"/>
      <c r="J4726" s="753"/>
      <c r="K4726" s="753" t="s">
        <v>144</v>
      </c>
      <c r="L4726" s="753"/>
      <c r="M4726" s="753"/>
      <c r="N4726" s="753"/>
      <c r="O4726" s="753"/>
      <c r="P4726" s="753"/>
      <c r="Q4726" s="51"/>
      <c r="R4726" s="530"/>
      <c r="S4726" s="757"/>
      <c r="T4726" s="753"/>
      <c r="AR4726" s="748"/>
      <c r="AS4726" s="753"/>
    </row>
    <row r="4727" spans="1:45" s="886" customFormat="1" ht="13.2">
      <c r="A4727"/>
      <c r="B4727" s="910"/>
      <c r="C4727" s="910" t="s">
        <v>2597</v>
      </c>
      <c r="D4727" s="910" t="str">
        <f ca="1">CELL("Address",Elec_Rates!D$156)</f>
        <v>[E25_0062_Quintano_Foods_Elec_ELV_As_Awarded.xlsx]Elec_Rates!$D$156</v>
      </c>
      <c r="E4727" s="911"/>
      <c r="F4727" s="911"/>
      <c r="G4727" s="912" t="s">
        <v>2598</v>
      </c>
      <c r="H4727" s="912"/>
      <c r="I4727" s="912"/>
      <c r="J4727" s="912"/>
      <c r="K4727" s="913"/>
      <c r="L4727" s="911"/>
      <c r="M4727" s="911"/>
      <c r="N4727" s="911"/>
      <c r="O4727" s="914"/>
      <c r="P4727" s="911"/>
      <c r="Q4727" s="915"/>
      <c r="R4727" s="916"/>
      <c r="S4727" s="915"/>
      <c r="T4727" s="917"/>
      <c r="U4727" s="918"/>
      <c r="AR4727"/>
      <c r="AS4727" s="911"/>
    </row>
    <row r="4728" spans="1:45" s="886" customFormat="1" ht="11.4">
      <c r="A4728" s="919">
        <v>2</v>
      </c>
      <c r="B4728" s="920">
        <v>1</v>
      </c>
      <c r="C4728" s="920">
        <f>$A4728*$B4728</f>
        <v>2</v>
      </c>
      <c r="D4728" s="921" t="str">
        <f>Elec_Rates!$D$156</f>
        <v>014# 3Pin 16Amp IP67 Unswitched Socket outlet</v>
      </c>
      <c r="E4728" s="921"/>
      <c r="F4728" s="921" t="s">
        <v>2599</v>
      </c>
      <c r="G4728" s="922" t="s">
        <v>2601</v>
      </c>
      <c r="H4728" s="922"/>
      <c r="I4728" s="922"/>
      <c r="J4728" s="922"/>
      <c r="K4728" s="923"/>
      <c r="L4728" s="918"/>
      <c r="M4728" s="918"/>
      <c r="N4728" s="918"/>
      <c r="O4728" s="924"/>
      <c r="P4728" s="921"/>
      <c r="Q4728" s="925">
        <f ca="1">$B4728*Elec_Rates!$R$156</f>
        <v>31.26</v>
      </c>
      <c r="R4728" s="916">
        <f ca="1">$A4728*Q4728</f>
        <v>62.52</v>
      </c>
      <c r="S4728" s="925">
        <f ca="1">$B4728*Elec_Rates!$T$156</f>
        <v>0.27</v>
      </c>
      <c r="T4728" s="917">
        <f ca="1">$A4728*S4728</f>
        <v>0.54</v>
      </c>
      <c r="U4728" s="926"/>
      <c r="AR4728" s="919">
        <v>2</v>
      </c>
      <c r="AS4728" s="921" t="s">
        <v>2599</v>
      </c>
    </row>
    <row r="4729" spans="1:45" s="520" customFormat="1" ht="12">
      <c r="A4729" s="758"/>
      <c r="B4729" s="758"/>
      <c r="C4729" s="758"/>
      <c r="D4729" s="758"/>
      <c r="E4729" s="758"/>
      <c r="F4729" s="753"/>
      <c r="G4729" s="758"/>
      <c r="H4729" s="758"/>
      <c r="I4729" s="519"/>
      <c r="J4729" s="758"/>
      <c r="K4729" s="758"/>
      <c r="L4729" s="758"/>
      <c r="M4729" s="758"/>
      <c r="N4729" s="758"/>
      <c r="O4729" s="758"/>
      <c r="P4729" s="758"/>
      <c r="Q4729" s="519"/>
      <c r="R4729" s="759">
        <f>$A4729*Q4729</f>
        <v>0</v>
      </c>
      <c r="S4729" s="519"/>
      <c r="T4729" s="760">
        <f>$A4729*S4729*$T$1</f>
        <v>0</v>
      </c>
      <c r="AR4729" s="758"/>
      <c r="AS4729" s="753"/>
    </row>
    <row r="4730" spans="1:45" s="520" customFormat="1" ht="12.6" thickBot="1">
      <c r="A4730" s="761" t="s">
        <v>145</v>
      </c>
      <c r="B4730" s="762">
        <f>(R4729+T4729)</f>
        <v>0</v>
      </c>
      <c r="C4730" s="763"/>
      <c r="D4730" s="763"/>
      <c r="E4730" s="763"/>
      <c r="F4730" s="764"/>
      <c r="G4730" s="763" t="s">
        <v>146</v>
      </c>
      <c r="H4730" s="763"/>
      <c r="I4730" s="765"/>
      <c r="J4730" s="763"/>
      <c r="K4730" s="763" t="s">
        <v>3</v>
      </c>
      <c r="L4730" s="766" t="s">
        <v>143</v>
      </c>
      <c r="M4730" s="766"/>
      <c r="N4730" s="766"/>
      <c r="O4730" s="766"/>
      <c r="P4730" s="766"/>
      <c r="Q4730" s="767"/>
      <c r="R4730" s="768">
        <f ca="1">SUM(R4726:R4729)</f>
        <v>62.52</v>
      </c>
      <c r="S4730" s="763"/>
      <c r="T4730" s="768">
        <f ca="1">SUM(T4726:T4729)</f>
        <v>0.54</v>
      </c>
      <c r="U4730" s="531"/>
      <c r="V4730" s="531"/>
      <c r="W4730" s="531"/>
      <c r="X4730" s="531"/>
      <c r="Y4730" s="531"/>
      <c r="Z4730" s="531"/>
      <c r="AA4730" s="531"/>
      <c r="AB4730" s="531"/>
      <c r="AC4730" s="531"/>
      <c r="AD4730" s="531"/>
      <c r="AE4730" s="531"/>
      <c r="AF4730" s="531"/>
      <c r="AG4730" s="531"/>
      <c r="AH4730" s="531"/>
      <c r="AI4730" s="531"/>
      <c r="AJ4730" s="531"/>
      <c r="AK4730" s="531"/>
      <c r="AL4730" s="531"/>
      <c r="AM4730" s="531"/>
      <c r="AN4730" s="531"/>
      <c r="AO4730" s="531"/>
      <c r="AR4730" s="761" t="s">
        <v>145</v>
      </c>
      <c r="AS4730" s="764"/>
    </row>
    <row r="4731" spans="1:45" s="520" customFormat="1" ht="12" thickTop="1">
      <c r="A4731" s="48" t="s">
        <v>148</v>
      </c>
      <c r="D4731" s="13"/>
      <c r="E4731" s="42"/>
      <c r="O4731" s="771"/>
      <c r="AR4731" s="48" t="s">
        <v>148</v>
      </c>
    </row>
    <row r="4732" spans="1:45" s="520" customFormat="1" ht="13.2">
      <c r="B4732" s="3"/>
      <c r="O4732" s="771"/>
    </row>
    <row r="4733" spans="1:45" s="520" customFormat="1" ht="12">
      <c r="B4733" s="772">
        <f ca="1">$F4733/$C$2-($R4733*$S$2+$T4733*$T$2)</f>
        <v>3.2299543356202776E-2</v>
      </c>
      <c r="D4733" s="773" t="s">
        <v>3635</v>
      </c>
      <c r="E4733" s="774"/>
      <c r="F4733" s="775">
        <f ca="1">SUMIF($L4528:$L4731,"ITEM",F4528:F4731)</f>
        <v>18302.95</v>
      </c>
      <c r="G4733" s="758"/>
      <c r="H4733" s="758"/>
      <c r="I4733" s="519"/>
      <c r="J4733" s="758"/>
      <c r="K4733" s="758"/>
      <c r="L4733" s="755" t="s">
        <v>157</v>
      </c>
      <c r="M4733" s="755"/>
      <c r="N4733" s="755"/>
      <c r="O4733" s="755"/>
      <c r="P4733" s="755"/>
      <c r="R4733" s="775">
        <f ca="1">SUMIF($L4528:$L4731,"ITEM",R4528:R4731)</f>
        <v>6400.7049999999999</v>
      </c>
      <c r="S4733" s="776"/>
      <c r="T4733" s="775">
        <f ca="1">SUMIF($L4528:$L4731,"ITEM",T4528:T4731)</f>
        <v>308.21100000000007</v>
      </c>
      <c r="AS4733" s="775">
        <v>19472.369999999995</v>
      </c>
    </row>
    <row r="4734" spans="1:45" s="520" customFormat="1" ht="13.2">
      <c r="A4734" s="51"/>
      <c r="B4734" s="49" t="s">
        <v>1064</v>
      </c>
      <c r="C4734" s="51"/>
      <c r="D4734" s="3"/>
      <c r="F4734" s="777" t="s">
        <v>158</v>
      </c>
      <c r="G4734" s="758"/>
      <c r="H4734" s="758"/>
      <c r="I4734" s="519"/>
      <c r="J4734" s="758"/>
      <c r="K4734" s="758"/>
      <c r="L4734" s="758"/>
      <c r="M4734" s="758"/>
      <c r="N4734" s="758"/>
      <c r="O4734" s="758"/>
      <c r="P4734" s="758"/>
      <c r="Q4734" s="778"/>
      <c r="R4734" s="777" t="s">
        <v>159</v>
      </c>
      <c r="S4734" s="38"/>
      <c r="T4734" s="777" t="s">
        <v>160</v>
      </c>
      <c r="AR4734" s="51"/>
      <c r="AS4734" s="777" t="s">
        <v>158</v>
      </c>
    </row>
    <row r="4735" spans="1:45" s="520" customFormat="1" ht="13.2">
      <c r="A4735" s="758"/>
      <c r="B4735" s="3"/>
      <c r="C4735" s="758"/>
      <c r="D4735" s="3"/>
      <c r="E4735" s="3"/>
      <c r="G4735" s="3"/>
      <c r="H4735" s="3"/>
      <c r="I4735" s="3"/>
      <c r="J4735" s="3"/>
      <c r="K4735" s="3"/>
      <c r="L4735" s="3"/>
      <c r="M4735" s="3"/>
      <c r="N4735" s="3"/>
      <c r="O4735" s="107"/>
      <c r="P4735" s="3"/>
      <c r="Q4735" s="3"/>
      <c r="R4735" s="3"/>
      <c r="S4735" s="3"/>
      <c r="T4735" s="3"/>
      <c r="AR4735" s="758"/>
    </row>
    <row r="4736" spans="1:45" s="520" customFormat="1" ht="12" thickBot="1">
      <c r="A4736" s="531"/>
      <c r="B4736" s="763"/>
      <c r="C4736" s="763"/>
      <c r="D4736" s="531"/>
      <c r="E4736" s="39"/>
      <c r="F4736" s="779"/>
      <c r="G4736" s="763"/>
      <c r="H4736" s="763"/>
      <c r="I4736" s="765"/>
      <c r="J4736" s="763"/>
      <c r="K4736" s="763"/>
      <c r="L4736" s="766"/>
      <c r="M4736" s="766"/>
      <c r="N4736" s="766"/>
      <c r="O4736" s="766"/>
      <c r="P4736" s="766"/>
      <c r="Q4736" s="767"/>
      <c r="R4736" s="779"/>
      <c r="S4736" s="780"/>
      <c r="T4736" s="779"/>
      <c r="U4736" s="531"/>
      <c r="V4736" s="531"/>
      <c r="W4736" s="531"/>
      <c r="X4736" s="531"/>
      <c r="Y4736" s="531"/>
      <c r="Z4736" s="531"/>
      <c r="AA4736" s="531"/>
      <c r="AB4736" s="531"/>
      <c r="AC4736" s="531"/>
      <c r="AD4736" s="531"/>
      <c r="AE4736" s="531"/>
      <c r="AF4736" s="531"/>
      <c r="AG4736" s="531"/>
      <c r="AH4736" s="531"/>
      <c r="AI4736" s="531"/>
      <c r="AJ4736" s="531"/>
      <c r="AK4736" s="531"/>
      <c r="AR4736" s="531"/>
      <c r="AS4736" s="779"/>
    </row>
    <row r="4737" spans="1:45" s="520" customFormat="1" thickTop="1">
      <c r="A4737" s="51"/>
      <c r="B4737" s="51"/>
      <c r="C4737" s="3"/>
      <c r="D4737" s="3"/>
      <c r="E4737" s="51"/>
      <c r="F4737" s="51"/>
      <c r="G4737" s="51"/>
      <c r="H4737" s="51"/>
      <c r="I4737" s="51"/>
      <c r="J4737" s="51"/>
      <c r="K4737" s="51" t="s">
        <v>134</v>
      </c>
      <c r="L4737" s="51"/>
      <c r="M4737" s="51"/>
      <c r="N4737" s="51"/>
      <c r="O4737" s="52"/>
      <c r="P4737" s="51"/>
      <c r="Q4737" s="51"/>
      <c r="R4737" s="51"/>
      <c r="S4737" s="51"/>
      <c r="T4737" s="51"/>
      <c r="AR4737" s="51"/>
      <c r="AS4737" s="51"/>
    </row>
    <row r="4738" spans="1:45" s="520" customFormat="1" ht="12">
      <c r="A4738" s="51"/>
      <c r="B4738" s="51"/>
      <c r="C4738" s="51" t="s">
        <v>135</v>
      </c>
      <c r="D4738" s="37"/>
      <c r="E4738" s="51"/>
      <c r="F4738" s="51"/>
      <c r="G4738" s="51"/>
      <c r="H4738" s="51"/>
      <c r="I4738" s="51"/>
      <c r="J4738" s="51"/>
      <c r="K4738" s="51"/>
      <c r="L4738" s="51"/>
      <c r="M4738" s="51"/>
      <c r="N4738" s="51"/>
      <c r="O4738" s="52"/>
      <c r="P4738" s="51"/>
      <c r="Q4738" s="51"/>
      <c r="R4738" s="51"/>
      <c r="S4738" s="51"/>
      <c r="T4738" s="51"/>
      <c r="AR4738" s="51"/>
      <c r="AS4738" s="51"/>
    </row>
    <row r="4739" spans="1:45" s="520" customFormat="1" ht="12">
      <c r="A4739" s="51"/>
      <c r="B4739" s="51"/>
      <c r="C4739" s="51"/>
      <c r="D4739" s="37" t="s">
        <v>371</v>
      </c>
      <c r="E4739" s="51"/>
      <c r="F4739" s="51"/>
      <c r="G4739" s="51"/>
      <c r="H4739" s="51"/>
      <c r="I4739" s="51"/>
      <c r="J4739" s="51"/>
      <c r="K4739" s="51"/>
      <c r="L4739" s="51"/>
      <c r="M4739" s="51"/>
      <c r="N4739" s="51"/>
      <c r="O4739" s="52"/>
      <c r="P4739" s="51"/>
      <c r="Q4739" s="51"/>
      <c r="R4739" s="51"/>
      <c r="S4739" s="38"/>
      <c r="T4739" s="38"/>
      <c r="AR4739" s="51"/>
      <c r="AS4739" s="51"/>
    </row>
    <row r="4740" spans="1:45" s="3" customFormat="1" thickBot="1">
      <c r="A4740" s="531"/>
      <c r="O4740" s="107"/>
      <c r="AR4740" s="531"/>
    </row>
    <row r="4741" spans="1:45" s="520" customFormat="1" thickTop="1">
      <c r="A4741" s="51"/>
      <c r="B4741" s="51"/>
      <c r="C4741" s="3"/>
      <c r="D4741" s="3"/>
      <c r="E4741" s="51"/>
      <c r="F4741" s="51"/>
      <c r="G4741" s="51"/>
      <c r="H4741" s="51"/>
      <c r="I4741" s="51"/>
      <c r="J4741" s="51"/>
      <c r="K4741" s="51" t="s">
        <v>134</v>
      </c>
      <c r="L4741" s="51"/>
      <c r="M4741" s="51"/>
      <c r="N4741" s="51"/>
      <c r="O4741" s="52"/>
      <c r="P4741" s="51"/>
      <c r="Q4741" s="51"/>
      <c r="R4741" s="51"/>
      <c r="S4741" s="51"/>
      <c r="T4741" s="51"/>
      <c r="AR4741" s="51"/>
      <c r="AS4741" s="51"/>
    </row>
    <row r="4742" spans="1:45" s="520" customFormat="1" ht="12">
      <c r="A4742" s="51"/>
      <c r="B4742" s="51"/>
      <c r="C4742" s="51" t="s">
        <v>135</v>
      </c>
      <c r="D4742" s="37"/>
      <c r="E4742" s="51"/>
      <c r="F4742" s="51"/>
      <c r="G4742" s="51"/>
      <c r="H4742" s="51"/>
      <c r="I4742" s="51"/>
      <c r="J4742" s="51"/>
      <c r="K4742" s="51"/>
      <c r="L4742" s="51"/>
      <c r="M4742" s="51"/>
      <c r="N4742" s="51"/>
      <c r="O4742" s="52"/>
      <c r="P4742" s="51"/>
      <c r="Q4742" s="51"/>
      <c r="R4742" s="51"/>
      <c r="S4742" s="51"/>
      <c r="T4742" s="51"/>
      <c r="AR4742" s="51"/>
      <c r="AS4742" s="51"/>
    </row>
    <row r="4743" spans="1:45" s="520" customFormat="1" ht="39.9" customHeight="1">
      <c r="A4743" s="51"/>
      <c r="B4743" s="51"/>
      <c r="C4743" s="51"/>
      <c r="D4743" s="1453" t="s">
        <v>1660</v>
      </c>
      <c r="E4743" s="1452"/>
      <c r="F4743" s="1452"/>
      <c r="G4743" s="1452"/>
      <c r="H4743" s="1452"/>
      <c r="I4743" s="1452"/>
      <c r="J4743" s="1452"/>
      <c r="K4743" s="1452"/>
      <c r="L4743" s="1452"/>
      <c r="M4743" s="1452"/>
      <c r="N4743" s="1452"/>
      <c r="O4743" s="1452"/>
      <c r="P4743" s="1452"/>
      <c r="Q4743" s="1452"/>
      <c r="R4743" s="1452"/>
      <c r="S4743" s="1452"/>
      <c r="T4743" s="1452"/>
      <c r="AR4743" s="51"/>
    </row>
    <row r="4744" spans="1:45" s="3" customFormat="1" thickBot="1">
      <c r="A4744" s="531"/>
      <c r="O4744" s="107"/>
      <c r="AR4744" s="531"/>
    </row>
    <row r="4745" spans="1:45" s="520" customFormat="1" thickTop="1">
      <c r="A4745" s="51"/>
      <c r="B4745" s="51"/>
      <c r="C4745" s="3"/>
      <c r="D4745" s="3"/>
      <c r="E4745" s="51"/>
      <c r="F4745" s="51"/>
      <c r="G4745" s="51"/>
      <c r="H4745" s="51"/>
      <c r="I4745" s="51"/>
      <c r="J4745" s="51"/>
      <c r="K4745" s="51" t="s">
        <v>134</v>
      </c>
      <c r="L4745" s="51"/>
      <c r="M4745" s="51"/>
      <c r="N4745" s="51"/>
      <c r="O4745" s="52"/>
      <c r="P4745" s="51"/>
      <c r="Q4745" s="51"/>
      <c r="R4745" s="51"/>
      <c r="S4745" s="51"/>
      <c r="T4745" s="51"/>
      <c r="AR4745" s="51"/>
      <c r="AS4745" s="51"/>
    </row>
    <row r="4746" spans="1:45" s="520" customFormat="1" ht="12">
      <c r="A4746" s="51"/>
      <c r="B4746" s="51"/>
      <c r="C4746" s="51" t="s">
        <v>135</v>
      </c>
      <c r="D4746" s="37"/>
      <c r="E4746" s="51"/>
      <c r="F4746" s="51"/>
      <c r="G4746" s="51"/>
      <c r="H4746" s="51"/>
      <c r="I4746" s="51"/>
      <c r="J4746" s="51"/>
      <c r="K4746" s="51"/>
      <c r="L4746" s="51"/>
      <c r="M4746" s="51"/>
      <c r="N4746" s="51"/>
      <c r="O4746" s="52"/>
      <c r="P4746" s="51"/>
      <c r="Q4746" s="51"/>
      <c r="R4746" s="51"/>
      <c r="S4746" s="51"/>
      <c r="T4746" s="51"/>
      <c r="AR4746" s="51"/>
      <c r="AS4746" s="51"/>
    </row>
    <row r="4747" spans="1:45" s="520" customFormat="1" ht="12">
      <c r="A4747" s="51"/>
      <c r="B4747" s="51"/>
      <c r="C4747" s="51"/>
      <c r="D4747" s="37" t="s">
        <v>856</v>
      </c>
      <c r="E4747" s="51"/>
      <c r="F4747" s="51"/>
      <c r="G4747" s="51"/>
      <c r="H4747" s="51"/>
      <c r="I4747" s="51"/>
      <c r="J4747" s="51"/>
      <c r="K4747" s="51"/>
      <c r="L4747" s="51"/>
      <c r="M4747" s="51"/>
      <c r="N4747" s="51"/>
      <c r="O4747" s="52"/>
      <c r="P4747" s="51"/>
      <c r="Q4747" s="51"/>
      <c r="R4747" s="51"/>
      <c r="S4747" s="38"/>
      <c r="T4747" s="38"/>
      <c r="AR4747" s="51"/>
      <c r="AS4747" s="51"/>
    </row>
    <row r="4748" spans="1:45" s="3" customFormat="1" thickBot="1">
      <c r="A4748" s="531"/>
      <c r="O4748" s="107"/>
      <c r="AR4748" s="531"/>
    </row>
    <row r="4749" spans="1:45" s="520" customFormat="1" ht="12" thickTop="1">
      <c r="A4749" s="51"/>
      <c r="B4749" s="41"/>
      <c r="C4749" s="51"/>
      <c r="E4749" s="42" t="s">
        <v>138</v>
      </c>
      <c r="F4749" s="42" t="s">
        <v>139</v>
      </c>
      <c r="G4749" s="51"/>
      <c r="H4749" s="51"/>
      <c r="I4749" s="51"/>
      <c r="J4749" s="51"/>
      <c r="K4749" s="51" t="s">
        <v>140</v>
      </c>
      <c r="L4749" s="51"/>
      <c r="M4749" s="51"/>
      <c r="N4749" s="51"/>
      <c r="O4749" s="52"/>
      <c r="P4749" s="51"/>
      <c r="Q4749" s="51"/>
      <c r="R4749" s="51"/>
      <c r="S4749" s="51"/>
      <c r="T4749" s="41"/>
      <c r="AG4749" s="521" t="s">
        <v>268</v>
      </c>
      <c r="AH4749" s="521" t="s">
        <v>269</v>
      </c>
      <c r="AI4749" s="521" t="s">
        <v>270</v>
      </c>
      <c r="AJ4749" s="521" t="s">
        <v>271</v>
      </c>
      <c r="AK4749" s="521" t="s">
        <v>272</v>
      </c>
      <c r="AM4749" s="745" t="s">
        <v>281</v>
      </c>
      <c r="AN4749" s="746" t="s">
        <v>282</v>
      </c>
      <c r="AO4749" s="522" t="s">
        <v>278</v>
      </c>
      <c r="AR4749" s="51"/>
      <c r="AS4749" s="42" t="s">
        <v>139</v>
      </c>
    </row>
    <row r="4750" spans="1:45" s="520" customFormat="1" ht="12" customHeight="1">
      <c r="A4750" s="747">
        <v>1</v>
      </c>
      <c r="B4750" s="523" t="s">
        <v>141</v>
      </c>
      <c r="C4750" s="748"/>
      <c r="D4750" s="749" t="s">
        <v>1807</v>
      </c>
      <c r="E4750" s="750">
        <f ca="1">IF(AND($A4750=0,$A$1="DIF"),0, ROUND(ROUND(($R4756*$S$2+($T4756*$T$2))/A4750,2)*$C$2,2))</f>
        <v>75.63</v>
      </c>
      <c r="F4750" s="751">
        <f ca="1">ROUND($A4750*$E4750,2)</f>
        <v>75.63</v>
      </c>
      <c r="G4750" s="752" t="s">
        <v>142</v>
      </c>
      <c r="H4750" s="753"/>
      <c r="I4750" s="754"/>
      <c r="J4750" s="753"/>
      <c r="K4750" s="753" t="s">
        <v>3</v>
      </c>
      <c r="L4750" s="755" t="s">
        <v>143</v>
      </c>
      <c r="M4750" s="755"/>
      <c r="N4750" s="755"/>
      <c r="O4750" s="755"/>
      <c r="P4750" s="755"/>
      <c r="Q4750" s="51"/>
      <c r="T4750" s="756" t="str">
        <f ca="1">IF(AND($R4756=0,$T4756=0),"0.00","mu :" &amp; ROUND($F4750/$C$2/($R4756+$T4756*$D$9),2))</f>
        <v>mu :1.23</v>
      </c>
      <c r="W4750" s="524"/>
      <c r="AG4750" s="481">
        <f ca="1">IF($E4750=0,0,ROUND($R4756*$S$2*$C$2/$A4750,2))</f>
        <v>40.36</v>
      </c>
      <c r="AH4750" s="481">
        <f ca="1">$AG4750*$A4750</f>
        <v>40.36</v>
      </c>
      <c r="AI4750" s="525">
        <f ca="1">$E4750-$AG4750</f>
        <v>35.269999999999996</v>
      </c>
      <c r="AJ4750" s="525">
        <f ca="1">$A4750*$AI4750</f>
        <v>35.269999999999996</v>
      </c>
      <c r="AK4750" s="526">
        <f ca="1">ROUND(($AG4750+$AI4750)*$A4750,2)</f>
        <v>75.63</v>
      </c>
      <c r="AM4750" s="527">
        <f ca="1">ROUND(R4756,2)</f>
        <v>32.78</v>
      </c>
      <c r="AN4750" s="528">
        <f ca="1">ROUND(T4756,2)</f>
        <v>1.04</v>
      </c>
      <c r="AO4750" s="529">
        <f ca="1">ROUND(AM4750+AN4750,2)*A4750</f>
        <v>33.82</v>
      </c>
      <c r="AR4750" s="747">
        <v>1</v>
      </c>
      <c r="AS4750" s="751">
        <v>79.59</v>
      </c>
    </row>
    <row r="4751" spans="1:45" s="520" customFormat="1" ht="13.2">
      <c r="A4751" s="748"/>
      <c r="B4751"/>
      <c r="C4751" s="748"/>
      <c r="D4751" s="749" t="s">
        <v>843</v>
      </c>
      <c r="F4751" s="753"/>
      <c r="G4751" s="3"/>
      <c r="H4751" s="753"/>
      <c r="I4751" s="754"/>
      <c r="J4751" s="753"/>
      <c r="K4751" s="753" t="s">
        <v>144</v>
      </c>
      <c r="L4751" s="753"/>
      <c r="M4751" s="753"/>
      <c r="N4751" s="753"/>
      <c r="O4751" s="753"/>
      <c r="P4751" s="753"/>
      <c r="Q4751" s="51"/>
      <c r="R4751" s="530"/>
      <c r="S4751" s="757"/>
      <c r="T4751" s="753"/>
      <c r="AR4751" s="748"/>
      <c r="AS4751" s="753"/>
    </row>
    <row r="4752" spans="1:45" s="886" customFormat="1" ht="13.2">
      <c r="A4752"/>
      <c r="B4752" s="910"/>
      <c r="C4752" s="910" t="s">
        <v>2597</v>
      </c>
      <c r="D4752" s="910" t="str">
        <f ca="1">CELL("Address",Elec_Rates!D$39)</f>
        <v>[E25_0062_Quintano_Foods_Elec_ELV_As_Awarded.xlsx]Elec_Rates!$D$39</v>
      </c>
      <c r="E4752" s="911"/>
      <c r="F4752" s="911"/>
      <c r="G4752" s="912" t="s">
        <v>2598</v>
      </c>
      <c r="H4752" s="912"/>
      <c r="I4752" s="912"/>
      <c r="J4752" s="912"/>
      <c r="K4752" s="913"/>
      <c r="L4752" s="911"/>
      <c r="M4752" s="911"/>
      <c r="N4752" s="911"/>
      <c r="O4752" s="914"/>
      <c r="P4752" s="911"/>
      <c r="Q4752" s="915"/>
      <c r="R4752" s="916"/>
      <c r="S4752" s="915"/>
      <c r="T4752" s="917"/>
      <c r="U4752" s="918"/>
      <c r="AR4752"/>
      <c r="AS4752" s="911"/>
    </row>
    <row r="4753" spans="1:45" s="886" customFormat="1" ht="11.4">
      <c r="A4753" s="919">
        <v>1</v>
      </c>
      <c r="B4753" s="920">
        <v>1</v>
      </c>
      <c r="C4753" s="920">
        <f>$A4753*$B4753</f>
        <v>1</v>
      </c>
      <c r="D4753" s="921" t="str">
        <f>Elec_Rates!$D$39</f>
        <v>003# Power Point Rate (LSZH Conduit)</v>
      </c>
      <c r="E4753" s="921"/>
      <c r="F4753" s="921" t="s">
        <v>2599</v>
      </c>
      <c r="G4753" s="922" t="s">
        <v>2601</v>
      </c>
      <c r="H4753" s="922"/>
      <c r="I4753" s="922"/>
      <c r="J4753" s="922"/>
      <c r="K4753" s="923"/>
      <c r="L4753" s="918"/>
      <c r="M4753" s="918"/>
      <c r="N4753" s="918"/>
      <c r="O4753" s="924"/>
      <c r="P4753" s="921"/>
      <c r="Q4753" s="925">
        <f ca="1">$B4753*Elec_Rates!$R$39</f>
        <v>18.920000000000002</v>
      </c>
      <c r="R4753" s="916">
        <f ca="1">$A4753*Q4753</f>
        <v>18.920000000000002</v>
      </c>
      <c r="S4753" s="925">
        <f ca="1">$B4753*Elec_Rates!$T$39</f>
        <v>0.89</v>
      </c>
      <c r="T4753" s="917">
        <f ca="1">$A4753*S4753</f>
        <v>0.89</v>
      </c>
      <c r="U4753" s="926"/>
      <c r="AR4753" s="919">
        <v>1</v>
      </c>
      <c r="AS4753" s="921" t="s">
        <v>2599</v>
      </c>
    </row>
    <row r="4754" spans="1:45" s="901" customFormat="1" ht="13.2">
      <c r="A4754" s="116">
        <v>1</v>
      </c>
      <c r="B4754" s="901" t="s">
        <v>141</v>
      </c>
      <c r="D4754" s="901" t="s">
        <v>3033</v>
      </c>
      <c r="E4754" s="901" t="s">
        <v>3424</v>
      </c>
      <c r="F4754" s="1054" t="s">
        <v>3429</v>
      </c>
      <c r="G4754" s="941" t="s">
        <v>3031</v>
      </c>
      <c r="H4754" s="942">
        <v>705</v>
      </c>
      <c r="I4754" s="901" t="s">
        <v>2607</v>
      </c>
      <c r="O4754" s="943">
        <v>3</v>
      </c>
      <c r="P4754" s="944"/>
      <c r="Q4754" s="945">
        <v>13.86</v>
      </c>
      <c r="R4754" s="946">
        <f>$A4754*Q4754</f>
        <v>13.86</v>
      </c>
      <c r="S4754" s="945">
        <v>0.17</v>
      </c>
      <c r="T4754" s="947">
        <f>$A4754*S4754*$T$1</f>
        <v>0.15300000000000002</v>
      </c>
      <c r="AR4754" s="116">
        <v>1</v>
      </c>
      <c r="AS4754" s="1054" t="s">
        <v>3429</v>
      </c>
    </row>
    <row r="4755" spans="1:45" s="520" customFormat="1" ht="12">
      <c r="A4755" s="758"/>
      <c r="B4755" s="758"/>
      <c r="C4755" s="758"/>
      <c r="D4755" s="758"/>
      <c r="E4755" s="758"/>
      <c r="F4755" s="753"/>
      <c r="G4755" s="758"/>
      <c r="H4755" s="758"/>
      <c r="I4755" s="519"/>
      <c r="J4755" s="758"/>
      <c r="K4755" s="758"/>
      <c r="L4755" s="758"/>
      <c r="M4755" s="758"/>
      <c r="N4755" s="758"/>
      <c r="O4755" s="758"/>
      <c r="P4755" s="758"/>
      <c r="Q4755" s="519"/>
      <c r="R4755" s="759">
        <f>$A4755*Q4755</f>
        <v>0</v>
      </c>
      <c r="S4755" s="519"/>
      <c r="T4755" s="760">
        <f>$A4755*S4755*$T$1</f>
        <v>0</v>
      </c>
      <c r="AR4755" s="758"/>
      <c r="AS4755" s="753"/>
    </row>
    <row r="4756" spans="1:45" s="520" customFormat="1" ht="12.6" thickBot="1">
      <c r="A4756" s="761" t="s">
        <v>145</v>
      </c>
      <c r="B4756" s="762">
        <f>(R4755+T4755)</f>
        <v>0</v>
      </c>
      <c r="C4756" s="763"/>
      <c r="D4756" s="763"/>
      <c r="E4756" s="763"/>
      <c r="F4756" s="764"/>
      <c r="G4756" s="763" t="s">
        <v>146</v>
      </c>
      <c r="H4756" s="763"/>
      <c r="I4756" s="765"/>
      <c r="J4756" s="763"/>
      <c r="K4756" s="763" t="s">
        <v>3</v>
      </c>
      <c r="L4756" s="766" t="s">
        <v>143</v>
      </c>
      <c r="M4756" s="766"/>
      <c r="N4756" s="766"/>
      <c r="O4756" s="766"/>
      <c r="P4756" s="766"/>
      <c r="Q4756" s="767"/>
      <c r="R4756" s="768">
        <f ca="1">SUM(R4751:R4755)</f>
        <v>32.78</v>
      </c>
      <c r="S4756" s="763"/>
      <c r="T4756" s="768">
        <f ca="1">SUM(T4751:T4755)</f>
        <v>1.0430000000000001</v>
      </c>
      <c r="U4756" s="531"/>
      <c r="V4756" s="531"/>
      <c r="W4756" s="531"/>
      <c r="X4756" s="531"/>
      <c r="Y4756" s="531"/>
      <c r="Z4756" s="531"/>
      <c r="AA4756" s="531"/>
      <c r="AB4756" s="531"/>
      <c r="AC4756" s="531"/>
      <c r="AD4756" s="531"/>
      <c r="AE4756" s="531"/>
      <c r="AF4756" s="531"/>
      <c r="AG4756" s="531"/>
      <c r="AH4756" s="531"/>
      <c r="AI4756" s="531"/>
      <c r="AJ4756" s="531"/>
      <c r="AK4756" s="531"/>
      <c r="AL4756" s="531"/>
      <c r="AM4756" s="531"/>
      <c r="AN4756" s="531"/>
      <c r="AO4756" s="531"/>
      <c r="AR4756" s="761" t="s">
        <v>145</v>
      </c>
      <c r="AS4756" s="764"/>
    </row>
    <row r="4757" spans="1:45" s="520" customFormat="1" ht="12" thickTop="1">
      <c r="A4757" s="51"/>
      <c r="B4757" s="41"/>
      <c r="C4757" s="51"/>
      <c r="E4757" s="42" t="s">
        <v>138</v>
      </c>
      <c r="F4757" s="42" t="s">
        <v>139</v>
      </c>
      <c r="G4757" s="51"/>
      <c r="H4757" s="51"/>
      <c r="I4757" s="51"/>
      <c r="J4757" s="51"/>
      <c r="K4757" s="51" t="s">
        <v>140</v>
      </c>
      <c r="L4757" s="51"/>
      <c r="M4757" s="51"/>
      <c r="N4757" s="51"/>
      <c r="O4757" s="52"/>
      <c r="P4757" s="51"/>
      <c r="Q4757" s="51"/>
      <c r="R4757" s="51"/>
      <c r="S4757" s="51"/>
      <c r="T4757" s="41"/>
      <c r="AG4757" s="521" t="s">
        <v>268</v>
      </c>
      <c r="AH4757" s="521" t="s">
        <v>269</v>
      </c>
      <c r="AI4757" s="521" t="s">
        <v>270</v>
      </c>
      <c r="AJ4757" s="521" t="s">
        <v>271</v>
      </c>
      <c r="AK4757" s="521" t="s">
        <v>272</v>
      </c>
      <c r="AM4757" s="745" t="s">
        <v>281</v>
      </c>
      <c r="AN4757" s="746" t="s">
        <v>282</v>
      </c>
      <c r="AO4757" s="522" t="s">
        <v>278</v>
      </c>
      <c r="AR4757" s="51"/>
      <c r="AS4757" s="42" t="s">
        <v>139</v>
      </c>
    </row>
    <row r="4758" spans="1:45" s="520" customFormat="1" ht="12" customHeight="1">
      <c r="A4758" s="747">
        <v>51</v>
      </c>
      <c r="B4758" s="523" t="s">
        <v>141</v>
      </c>
      <c r="C4758" s="748"/>
      <c r="D4758" s="749" t="s">
        <v>1808</v>
      </c>
      <c r="E4758" s="750">
        <f ca="1">IF(AND($A4758=0,$A$1="DIF"),0, ROUND(ROUND(($R4764*$S$2+($T4764*$T$2))/A4758,2)*$C$2,2))</f>
        <v>61.52</v>
      </c>
      <c r="F4758" s="751">
        <f ca="1">ROUND($A4758*$E4758,2)</f>
        <v>3137.52</v>
      </c>
      <c r="G4758" s="752" t="s">
        <v>142</v>
      </c>
      <c r="H4758" s="753"/>
      <c r="I4758" s="754"/>
      <c r="J4758" s="753"/>
      <c r="K4758" s="753" t="s">
        <v>3</v>
      </c>
      <c r="L4758" s="755" t="s">
        <v>143</v>
      </c>
      <c r="M4758" s="755"/>
      <c r="N4758" s="755"/>
      <c r="O4758" s="755"/>
      <c r="P4758" s="755"/>
      <c r="Q4758" s="51"/>
      <c r="T4758" s="756" t="str">
        <f ca="1">IF(AND($R4764=0,$T4764=0),"0.00","mu :" &amp; ROUND($F4758/$C$2/($R4764+$T4764*$D$9),2))</f>
        <v>mu :1.23</v>
      </c>
      <c r="W4758" s="524"/>
      <c r="AG4758" s="481">
        <f ca="1">IF($E4758=0,0,ROUND($R4764*$S$2*$C$2/$A4758,2))</f>
        <v>26.25</v>
      </c>
      <c r="AH4758" s="481">
        <f ca="1">$AG4758*$A4758</f>
        <v>1338.75</v>
      </c>
      <c r="AI4758" s="525">
        <f ca="1">$E4758-$AG4758</f>
        <v>35.270000000000003</v>
      </c>
      <c r="AJ4758" s="525">
        <f ca="1">$A4758*$AI4758</f>
        <v>1798.7700000000002</v>
      </c>
      <c r="AK4758" s="526">
        <f ca="1">ROUND(($AG4758+$AI4758)*$A4758,2)</f>
        <v>3137.52</v>
      </c>
      <c r="AM4758" s="527">
        <f ca="1">ROUND(R4764,2)</f>
        <v>1087.32</v>
      </c>
      <c r="AN4758" s="528">
        <f ca="1">ROUND(T4764,2)</f>
        <v>53.19</v>
      </c>
      <c r="AO4758" s="529">
        <f ca="1">ROUND(AM4758+AN4758,2)*A4758</f>
        <v>58166.01</v>
      </c>
      <c r="AR4758" s="747">
        <v>51</v>
      </c>
      <c r="AS4758" s="751">
        <v>3338.97</v>
      </c>
    </row>
    <row r="4759" spans="1:45" s="520" customFormat="1" ht="13.2">
      <c r="A4759" s="748"/>
      <c r="B4759"/>
      <c r="C4759" s="748"/>
      <c r="D4759" s="749" t="s">
        <v>788</v>
      </c>
      <c r="F4759" s="753"/>
      <c r="G4759" s="3"/>
      <c r="H4759" s="753"/>
      <c r="I4759" s="754"/>
      <c r="J4759" s="753"/>
      <c r="K4759" s="753" t="s">
        <v>144</v>
      </c>
      <c r="L4759" s="753"/>
      <c r="M4759" s="753"/>
      <c r="N4759" s="753"/>
      <c r="O4759" s="753"/>
      <c r="P4759" s="753"/>
      <c r="Q4759" s="51"/>
      <c r="R4759" s="530"/>
      <c r="S4759" s="757"/>
      <c r="T4759" s="753"/>
      <c r="AR4759" s="748"/>
      <c r="AS4759" s="753"/>
    </row>
    <row r="4760" spans="1:45" s="886" customFormat="1" ht="13.2">
      <c r="A4760"/>
      <c r="B4760" s="910"/>
      <c r="C4760" s="910" t="s">
        <v>2597</v>
      </c>
      <c r="D4760" s="910" t="str">
        <f ca="1">CELL("Address",Elec_Rates!D$39)</f>
        <v>[E25_0062_Quintano_Foods_Elec_ELV_As_Awarded.xlsx]Elec_Rates!$D$39</v>
      </c>
      <c r="E4760" s="911"/>
      <c r="F4760" s="911"/>
      <c r="G4760" s="912" t="s">
        <v>2598</v>
      </c>
      <c r="H4760" s="912"/>
      <c r="I4760" s="912"/>
      <c r="J4760" s="912"/>
      <c r="K4760" s="913"/>
      <c r="L4760" s="911"/>
      <c r="M4760" s="911"/>
      <c r="N4760" s="911"/>
      <c r="O4760" s="914"/>
      <c r="P4760" s="911"/>
      <c r="Q4760" s="915"/>
      <c r="R4760" s="916"/>
      <c r="S4760" s="915"/>
      <c r="T4760" s="917"/>
      <c r="U4760" s="918"/>
      <c r="AR4760"/>
      <c r="AS4760" s="911"/>
    </row>
    <row r="4761" spans="1:45" s="886" customFormat="1" ht="11.4">
      <c r="A4761" s="919">
        <v>51</v>
      </c>
      <c r="B4761" s="920">
        <v>1</v>
      </c>
      <c r="C4761" s="920">
        <f>$A4761*$B4761</f>
        <v>51</v>
      </c>
      <c r="D4761" s="921" t="str">
        <f>Elec_Rates!$D$39</f>
        <v>003# Power Point Rate (LSZH Conduit)</v>
      </c>
      <c r="E4761" s="921"/>
      <c r="F4761" s="921" t="s">
        <v>2599</v>
      </c>
      <c r="G4761" s="922" t="s">
        <v>2601</v>
      </c>
      <c r="H4761" s="922"/>
      <c r="I4761" s="922"/>
      <c r="J4761" s="922"/>
      <c r="K4761" s="923"/>
      <c r="L4761" s="918"/>
      <c r="M4761" s="918"/>
      <c r="N4761" s="918"/>
      <c r="O4761" s="924"/>
      <c r="P4761" s="921"/>
      <c r="Q4761" s="925">
        <f ca="1">$B4761*Elec_Rates!$R$39</f>
        <v>18.920000000000002</v>
      </c>
      <c r="R4761" s="916">
        <f ca="1">$A4761*Q4761</f>
        <v>964.92000000000007</v>
      </c>
      <c r="S4761" s="925">
        <f ca="1">$B4761*Elec_Rates!$T$39</f>
        <v>0.89</v>
      </c>
      <c r="T4761" s="917">
        <f ca="1">$A4761*S4761</f>
        <v>45.39</v>
      </c>
      <c r="U4761" s="926"/>
      <c r="AR4761" s="919">
        <v>51</v>
      </c>
      <c r="AS4761" s="921" t="s">
        <v>2599</v>
      </c>
    </row>
    <row r="4762" spans="1:45" s="901" customFormat="1" ht="13.2">
      <c r="A4762" s="116">
        <v>51</v>
      </c>
      <c r="B4762" s="901" t="s">
        <v>141</v>
      </c>
      <c r="D4762" s="901" t="s">
        <v>2981</v>
      </c>
      <c r="E4762" s="901" t="s">
        <v>3424</v>
      </c>
      <c r="F4762" s="1054" t="s">
        <v>3437</v>
      </c>
      <c r="G4762" s="941" t="s">
        <v>2982</v>
      </c>
      <c r="H4762" s="942">
        <v>705</v>
      </c>
      <c r="I4762" s="901" t="s">
        <v>2979</v>
      </c>
      <c r="J4762" s="901" t="s">
        <v>2983</v>
      </c>
      <c r="O4762" s="943">
        <v>3</v>
      </c>
      <c r="P4762" s="944">
        <v>34669</v>
      </c>
      <c r="Q4762" s="945">
        <v>2.4</v>
      </c>
      <c r="R4762" s="946">
        <f>$A4762*Q4762</f>
        <v>122.39999999999999</v>
      </c>
      <c r="S4762" s="945">
        <v>0.17</v>
      </c>
      <c r="T4762" s="947">
        <f>$A4762*S4762*$T$1</f>
        <v>7.8029999999999999</v>
      </c>
      <c r="AR4762" s="116">
        <v>51</v>
      </c>
      <c r="AS4762" s="1054" t="s">
        <v>3437</v>
      </c>
    </row>
    <row r="4763" spans="1:45" s="520" customFormat="1" ht="12">
      <c r="A4763" s="758"/>
      <c r="B4763" s="758"/>
      <c r="C4763" s="758"/>
      <c r="D4763" s="758"/>
      <c r="E4763" s="758"/>
      <c r="F4763" s="753"/>
      <c r="G4763" s="758"/>
      <c r="H4763" s="758"/>
      <c r="I4763" s="519"/>
      <c r="J4763" s="758"/>
      <c r="K4763" s="758"/>
      <c r="L4763" s="758"/>
      <c r="M4763" s="758"/>
      <c r="N4763" s="758"/>
      <c r="O4763" s="758"/>
      <c r="P4763" s="758"/>
      <c r="Q4763" s="519"/>
      <c r="R4763" s="759">
        <f>$A4763*Q4763</f>
        <v>0</v>
      </c>
      <c r="S4763" s="519"/>
      <c r="T4763" s="760">
        <f>$A4763*S4763*$T$1</f>
        <v>0</v>
      </c>
      <c r="AR4763" s="758"/>
      <c r="AS4763" s="753"/>
    </row>
    <row r="4764" spans="1:45" s="520" customFormat="1" ht="12.6" thickBot="1">
      <c r="A4764" s="761" t="s">
        <v>145</v>
      </c>
      <c r="B4764" s="762">
        <f>(R4763+T4763)</f>
        <v>0</v>
      </c>
      <c r="C4764" s="763"/>
      <c r="D4764" s="763"/>
      <c r="E4764" s="763"/>
      <c r="F4764" s="764"/>
      <c r="G4764" s="763" t="s">
        <v>146</v>
      </c>
      <c r="H4764" s="763"/>
      <c r="I4764" s="765"/>
      <c r="J4764" s="763"/>
      <c r="K4764" s="763" t="s">
        <v>3</v>
      </c>
      <c r="L4764" s="766" t="s">
        <v>143</v>
      </c>
      <c r="M4764" s="766"/>
      <c r="N4764" s="766"/>
      <c r="O4764" s="766"/>
      <c r="P4764" s="766"/>
      <c r="Q4764" s="767"/>
      <c r="R4764" s="768">
        <f ca="1">SUM(R4759:R4763)</f>
        <v>1087.3200000000002</v>
      </c>
      <c r="S4764" s="763"/>
      <c r="T4764" s="768">
        <f ca="1">SUM(T4759:T4763)</f>
        <v>53.192999999999998</v>
      </c>
      <c r="U4764" s="531"/>
      <c r="V4764" s="531"/>
      <c r="W4764" s="531"/>
      <c r="X4764" s="531"/>
      <c r="Y4764" s="531"/>
      <c r="Z4764" s="531"/>
      <c r="AA4764" s="531"/>
      <c r="AB4764" s="531"/>
      <c r="AC4764" s="531"/>
      <c r="AD4764" s="531"/>
      <c r="AE4764" s="531"/>
      <c r="AF4764" s="531"/>
      <c r="AG4764" s="531"/>
      <c r="AH4764" s="531"/>
      <c r="AI4764" s="531"/>
      <c r="AJ4764" s="531"/>
      <c r="AK4764" s="531"/>
      <c r="AL4764" s="531"/>
      <c r="AM4764" s="531"/>
      <c r="AN4764" s="531"/>
      <c r="AO4764" s="531"/>
      <c r="AR4764" s="761" t="s">
        <v>145</v>
      </c>
      <c r="AS4764" s="764"/>
    </row>
    <row r="4765" spans="1:45" s="520" customFormat="1" ht="12" thickTop="1">
      <c r="A4765" s="51"/>
      <c r="B4765" s="41"/>
      <c r="C4765" s="51"/>
      <c r="E4765" s="42" t="s">
        <v>138</v>
      </c>
      <c r="F4765" s="42" t="s">
        <v>139</v>
      </c>
      <c r="G4765" s="51"/>
      <c r="H4765" s="51"/>
      <c r="I4765" s="51"/>
      <c r="J4765" s="51"/>
      <c r="K4765" s="51" t="s">
        <v>140</v>
      </c>
      <c r="L4765" s="51"/>
      <c r="M4765" s="51"/>
      <c r="N4765" s="51"/>
      <c r="O4765" s="52"/>
      <c r="P4765" s="51"/>
      <c r="Q4765" s="51"/>
      <c r="R4765" s="51"/>
      <c r="S4765" s="51"/>
      <c r="T4765" s="41"/>
      <c r="AG4765" s="521" t="s">
        <v>268</v>
      </c>
      <c r="AH4765" s="521" t="s">
        <v>269</v>
      </c>
      <c r="AI4765" s="521" t="s">
        <v>270</v>
      </c>
      <c r="AJ4765" s="521" t="s">
        <v>271</v>
      </c>
      <c r="AK4765" s="521" t="s">
        <v>272</v>
      </c>
      <c r="AM4765" s="745" t="s">
        <v>281</v>
      </c>
      <c r="AN4765" s="746" t="s">
        <v>282</v>
      </c>
      <c r="AO4765" s="522" t="s">
        <v>278</v>
      </c>
      <c r="AR4765" s="51"/>
      <c r="AS4765" s="42" t="s">
        <v>139</v>
      </c>
    </row>
    <row r="4766" spans="1:45" s="520" customFormat="1" ht="12" customHeight="1">
      <c r="A4766" s="747">
        <v>21</v>
      </c>
      <c r="B4766" s="523" t="s">
        <v>141</v>
      </c>
      <c r="C4766" s="748"/>
      <c r="D4766" s="749" t="s">
        <v>1809</v>
      </c>
      <c r="E4766" s="750">
        <f ca="1">IF(AND($A4766=0,$A$1="DIF"),0, ROUND(ROUND(($R4772*$S$2+($T4772*$T$2))/A4766,2)*$C$2,2))</f>
        <v>64.84</v>
      </c>
      <c r="F4766" s="751">
        <f ca="1">ROUND($A4766*$E4766,2)</f>
        <v>1361.64</v>
      </c>
      <c r="G4766" s="752" t="s">
        <v>142</v>
      </c>
      <c r="H4766" s="753"/>
      <c r="I4766" s="754"/>
      <c r="J4766" s="753"/>
      <c r="K4766" s="753" t="s">
        <v>3</v>
      </c>
      <c r="L4766" s="755" t="s">
        <v>143</v>
      </c>
      <c r="M4766" s="755"/>
      <c r="N4766" s="755"/>
      <c r="O4766" s="755"/>
      <c r="P4766" s="755"/>
      <c r="Q4766" s="51"/>
      <c r="T4766" s="756" t="str">
        <f ca="1">IF(AND($R4772=0,$T4772=0),"0.00","mu :" &amp; ROUND($F4766/$C$2/($R4772+$T4772*$D$9),2))</f>
        <v>mu :1.23</v>
      </c>
      <c r="W4766" s="524"/>
      <c r="AG4766" s="481">
        <f ca="1">IF($E4766=0,0,ROUND($R4772*$S$2*$C$2/$A4766,2))</f>
        <v>29.58</v>
      </c>
      <c r="AH4766" s="481">
        <f ca="1">$AG4766*$A4766</f>
        <v>621.17999999999995</v>
      </c>
      <c r="AI4766" s="525">
        <f ca="1">$E4766-$AG4766</f>
        <v>35.260000000000005</v>
      </c>
      <c r="AJ4766" s="525">
        <f ca="1">$A4766*$AI4766</f>
        <v>740.46000000000015</v>
      </c>
      <c r="AK4766" s="526">
        <f ca="1">ROUND(($AG4766+$AI4766)*$A4766,2)</f>
        <v>1361.64</v>
      </c>
      <c r="AM4766" s="527">
        <f ca="1">ROUND(R4772,2)</f>
        <v>504.42</v>
      </c>
      <c r="AN4766" s="528">
        <f ca="1">ROUND(T4772,2)</f>
        <v>21.9</v>
      </c>
      <c r="AO4766" s="529">
        <f ca="1">ROUND(AM4766+AN4766,2)*A4766</f>
        <v>11052.720000000001</v>
      </c>
      <c r="AR4766" s="747">
        <v>21</v>
      </c>
      <c r="AS4766" s="751">
        <v>1444.8</v>
      </c>
    </row>
    <row r="4767" spans="1:45" s="520" customFormat="1" ht="13.2">
      <c r="A4767" s="748"/>
      <c r="B4767"/>
      <c r="C4767" s="748"/>
      <c r="D4767" s="749" t="s">
        <v>724</v>
      </c>
      <c r="F4767" s="753"/>
      <c r="G4767" s="3"/>
      <c r="H4767" s="753"/>
      <c r="I4767" s="754"/>
      <c r="J4767" s="753"/>
      <c r="K4767" s="753" t="s">
        <v>144</v>
      </c>
      <c r="L4767" s="753"/>
      <c r="M4767" s="753"/>
      <c r="N4767" s="753"/>
      <c r="O4767" s="753"/>
      <c r="P4767" s="753"/>
      <c r="Q4767" s="51"/>
      <c r="R4767" s="530"/>
      <c r="S4767" s="757"/>
      <c r="T4767" s="753"/>
      <c r="AR4767" s="748"/>
      <c r="AS4767" s="753"/>
    </row>
    <row r="4768" spans="1:45" s="886" customFormat="1" ht="13.2">
      <c r="A4768"/>
      <c r="B4768" s="910"/>
      <c r="C4768" s="910" t="s">
        <v>2597</v>
      </c>
      <c r="D4768" s="910" t="str">
        <f ca="1">CELL("Address",Elec_Rates!D$39)</f>
        <v>[E25_0062_Quintano_Foods_Elec_ELV_As_Awarded.xlsx]Elec_Rates!$D$39</v>
      </c>
      <c r="E4768" s="911"/>
      <c r="F4768" s="911"/>
      <c r="G4768" s="912" t="s">
        <v>2598</v>
      </c>
      <c r="H4768" s="912"/>
      <c r="I4768" s="912"/>
      <c r="J4768" s="912"/>
      <c r="K4768" s="913"/>
      <c r="L4768" s="911"/>
      <c r="M4768" s="911"/>
      <c r="N4768" s="911"/>
      <c r="O4768" s="914"/>
      <c r="P4768" s="911"/>
      <c r="Q4768" s="915"/>
      <c r="R4768" s="916"/>
      <c r="S4768" s="915"/>
      <c r="T4768" s="917"/>
      <c r="U4768" s="918"/>
      <c r="AR4768"/>
      <c r="AS4768" s="911"/>
    </row>
    <row r="4769" spans="1:45" s="886" customFormat="1" ht="11.4">
      <c r="A4769" s="919">
        <v>21</v>
      </c>
      <c r="B4769" s="920">
        <v>1</v>
      </c>
      <c r="C4769" s="920">
        <f>$A4769*$B4769</f>
        <v>21</v>
      </c>
      <c r="D4769" s="921" t="str">
        <f>Elec_Rates!$D$39</f>
        <v>003# Power Point Rate (LSZH Conduit)</v>
      </c>
      <c r="E4769" s="921"/>
      <c r="F4769" s="921" t="s">
        <v>2599</v>
      </c>
      <c r="G4769" s="922" t="s">
        <v>2601</v>
      </c>
      <c r="H4769" s="922"/>
      <c r="I4769" s="922"/>
      <c r="J4769" s="922"/>
      <c r="K4769" s="923"/>
      <c r="L4769" s="918"/>
      <c r="M4769" s="918"/>
      <c r="N4769" s="918"/>
      <c r="O4769" s="924"/>
      <c r="P4769" s="921"/>
      <c r="Q4769" s="925">
        <f ca="1">$B4769*Elec_Rates!$R$39</f>
        <v>18.920000000000002</v>
      </c>
      <c r="R4769" s="916">
        <f ca="1">$A4769*Q4769</f>
        <v>397.32000000000005</v>
      </c>
      <c r="S4769" s="925">
        <f ca="1">$B4769*Elec_Rates!$T$39</f>
        <v>0.89</v>
      </c>
      <c r="T4769" s="917">
        <f ca="1">$A4769*S4769</f>
        <v>18.690000000000001</v>
      </c>
      <c r="U4769" s="926"/>
      <c r="AR4769" s="919">
        <v>21</v>
      </c>
      <c r="AS4769" s="921" t="s">
        <v>2599</v>
      </c>
    </row>
    <row r="4770" spans="1:45" s="901" customFormat="1" ht="13.2">
      <c r="A4770" s="116">
        <v>21</v>
      </c>
      <c r="B4770" s="901" t="s">
        <v>141</v>
      </c>
      <c r="D4770" s="901" t="s">
        <v>2984</v>
      </c>
      <c r="E4770" s="901" t="s">
        <v>3424</v>
      </c>
      <c r="F4770" s="1054" t="s">
        <v>3434</v>
      </c>
      <c r="G4770" s="941" t="s">
        <v>2985</v>
      </c>
      <c r="H4770" s="942">
        <v>705</v>
      </c>
      <c r="I4770" s="901" t="s">
        <v>2979</v>
      </c>
      <c r="J4770" s="901" t="s">
        <v>2986</v>
      </c>
      <c r="O4770" s="943">
        <v>3</v>
      </c>
      <c r="P4770" s="944">
        <v>34669</v>
      </c>
      <c r="Q4770" s="945">
        <v>5.0999999999999996</v>
      </c>
      <c r="R4770" s="946">
        <f>$A4770*Q4770</f>
        <v>107.1</v>
      </c>
      <c r="S4770" s="945">
        <v>0.17</v>
      </c>
      <c r="T4770" s="947">
        <f>$A4770*S4770*$T$1</f>
        <v>3.2130000000000005</v>
      </c>
      <c r="AR4770" s="116">
        <v>21</v>
      </c>
      <c r="AS4770" s="1054" t="s">
        <v>3434</v>
      </c>
    </row>
    <row r="4771" spans="1:45" s="520" customFormat="1" ht="12">
      <c r="A4771" s="758"/>
      <c r="B4771" s="758"/>
      <c r="C4771" s="758"/>
      <c r="D4771" s="758"/>
      <c r="E4771" s="758"/>
      <c r="F4771" s="753"/>
      <c r="G4771" s="758"/>
      <c r="H4771" s="758"/>
      <c r="I4771" s="519"/>
      <c r="J4771" s="758"/>
      <c r="K4771" s="758"/>
      <c r="L4771" s="758"/>
      <c r="M4771" s="758"/>
      <c r="N4771" s="758"/>
      <c r="O4771" s="758"/>
      <c r="P4771" s="758"/>
      <c r="Q4771" s="519"/>
      <c r="R4771" s="759">
        <f>$A4771*Q4771</f>
        <v>0</v>
      </c>
      <c r="S4771" s="519"/>
      <c r="T4771" s="760">
        <f>$A4771*S4771*$T$1</f>
        <v>0</v>
      </c>
      <c r="AR4771" s="758"/>
      <c r="AS4771" s="753"/>
    </row>
    <row r="4772" spans="1:45" s="520" customFormat="1" ht="12.6" thickBot="1">
      <c r="A4772" s="761" t="s">
        <v>145</v>
      </c>
      <c r="B4772" s="762">
        <f>(R4771+T4771)</f>
        <v>0</v>
      </c>
      <c r="C4772" s="763"/>
      <c r="D4772" s="763"/>
      <c r="E4772" s="763"/>
      <c r="F4772" s="764"/>
      <c r="G4772" s="763" t="s">
        <v>146</v>
      </c>
      <c r="H4772" s="763"/>
      <c r="I4772" s="765"/>
      <c r="J4772" s="763"/>
      <c r="K4772" s="763" t="s">
        <v>3</v>
      </c>
      <c r="L4772" s="766" t="s">
        <v>143</v>
      </c>
      <c r="M4772" s="766"/>
      <c r="N4772" s="766"/>
      <c r="O4772" s="766"/>
      <c r="P4772" s="766"/>
      <c r="Q4772" s="767"/>
      <c r="R4772" s="768">
        <f ca="1">SUM(R4767:R4771)</f>
        <v>504.42000000000007</v>
      </c>
      <c r="S4772" s="763"/>
      <c r="T4772" s="768">
        <f ca="1">SUM(T4767:T4771)</f>
        <v>21.903000000000002</v>
      </c>
      <c r="U4772" s="531"/>
      <c r="V4772" s="531"/>
      <c r="W4772" s="531"/>
      <c r="X4772" s="531"/>
      <c r="Y4772" s="531"/>
      <c r="Z4772" s="531"/>
      <c r="AA4772" s="531"/>
      <c r="AB4772" s="531"/>
      <c r="AC4772" s="531"/>
      <c r="AD4772" s="531"/>
      <c r="AE4772" s="531"/>
      <c r="AF4772" s="531"/>
      <c r="AG4772" s="531"/>
      <c r="AH4772" s="531"/>
      <c r="AI4772" s="531"/>
      <c r="AJ4772" s="531"/>
      <c r="AK4772" s="531"/>
      <c r="AL4772" s="531"/>
      <c r="AM4772" s="531"/>
      <c r="AN4772" s="531"/>
      <c r="AO4772" s="531"/>
      <c r="AR4772" s="761" t="s">
        <v>145</v>
      </c>
      <c r="AS4772" s="764"/>
    </row>
    <row r="4773" spans="1:45" s="520" customFormat="1" ht="12" thickTop="1">
      <c r="A4773" s="51"/>
      <c r="B4773" s="41"/>
      <c r="C4773" s="51"/>
      <c r="E4773" s="42" t="s">
        <v>138</v>
      </c>
      <c r="F4773" s="42" t="s">
        <v>139</v>
      </c>
      <c r="G4773" s="51"/>
      <c r="H4773" s="51"/>
      <c r="I4773" s="51"/>
      <c r="J4773" s="51"/>
      <c r="K4773" s="51" t="s">
        <v>140</v>
      </c>
      <c r="L4773" s="51"/>
      <c r="M4773" s="51"/>
      <c r="N4773" s="51"/>
      <c r="O4773" s="52"/>
      <c r="P4773" s="51"/>
      <c r="Q4773" s="51"/>
      <c r="R4773" s="51"/>
      <c r="S4773" s="51"/>
      <c r="T4773" s="41"/>
      <c r="AG4773" s="521" t="s">
        <v>268</v>
      </c>
      <c r="AH4773" s="521" t="s">
        <v>269</v>
      </c>
      <c r="AI4773" s="521" t="s">
        <v>270</v>
      </c>
      <c r="AJ4773" s="521" t="s">
        <v>271</v>
      </c>
      <c r="AK4773" s="521" t="s">
        <v>272</v>
      </c>
      <c r="AM4773" s="745" t="s">
        <v>281</v>
      </c>
      <c r="AN4773" s="746" t="s">
        <v>282</v>
      </c>
      <c r="AO4773" s="522" t="s">
        <v>278</v>
      </c>
      <c r="AR4773" s="51"/>
      <c r="AS4773" s="42" t="s">
        <v>139</v>
      </c>
    </row>
    <row r="4774" spans="1:45" s="520" customFormat="1" ht="12" customHeight="1">
      <c r="A4774" s="747">
        <v>1</v>
      </c>
      <c r="B4774" s="523" t="s">
        <v>141</v>
      </c>
      <c r="C4774" s="748"/>
      <c r="D4774" s="749" t="s">
        <v>1810</v>
      </c>
      <c r="E4774" s="750">
        <f ca="1">IF(AND($A4774=0,$A$1="DIF"),0, ROUND(ROUND(($R4780*$S$2+($T4780*$T$2))/A4774,2)*$C$2,2))</f>
        <v>63.24</v>
      </c>
      <c r="F4774" s="751">
        <f ca="1">ROUND($A4774*$E4774,2)</f>
        <v>63.24</v>
      </c>
      <c r="G4774" s="752" t="s">
        <v>142</v>
      </c>
      <c r="H4774" s="753"/>
      <c r="I4774" s="754"/>
      <c r="J4774" s="753"/>
      <c r="K4774" s="753" t="s">
        <v>3</v>
      </c>
      <c r="L4774" s="755" t="s">
        <v>143</v>
      </c>
      <c r="M4774" s="755"/>
      <c r="N4774" s="755"/>
      <c r="O4774" s="755"/>
      <c r="P4774" s="755"/>
      <c r="Q4774" s="51"/>
      <c r="T4774" s="756" t="str">
        <f ca="1">IF(AND($R4780=0,$T4780=0),"0.00","mu :" &amp; ROUND($F4774/$C$2/($R4780+$T4780*$D$9),2))</f>
        <v>mu :1.23</v>
      </c>
      <c r="W4774" s="524"/>
      <c r="AG4774" s="481">
        <f ca="1">IF($E4774=0,0,ROUND($R4780*$S$2*$C$2/$A4774,2))</f>
        <v>27.98</v>
      </c>
      <c r="AH4774" s="481">
        <f ca="1">$AG4774*$A4774</f>
        <v>27.98</v>
      </c>
      <c r="AI4774" s="525">
        <f ca="1">$E4774-$AG4774</f>
        <v>35.260000000000005</v>
      </c>
      <c r="AJ4774" s="525">
        <f ca="1">$A4774*$AI4774</f>
        <v>35.260000000000005</v>
      </c>
      <c r="AK4774" s="526">
        <f ca="1">ROUND(($AG4774+$AI4774)*$A4774,2)</f>
        <v>63.24</v>
      </c>
      <c r="AM4774" s="527">
        <f ca="1">ROUND(R4780,2)</f>
        <v>22.72</v>
      </c>
      <c r="AN4774" s="528">
        <f ca="1">ROUND(T4780,2)</f>
        <v>1.04</v>
      </c>
      <c r="AO4774" s="529">
        <f ca="1">ROUND(AM4774+AN4774,2)*A4774</f>
        <v>23.76</v>
      </c>
      <c r="AR4774" s="747">
        <v>1</v>
      </c>
      <c r="AS4774" s="751">
        <v>67.2</v>
      </c>
    </row>
    <row r="4775" spans="1:45" s="520" customFormat="1" ht="13.2">
      <c r="A4775" s="748"/>
      <c r="B4775"/>
      <c r="C4775" s="748"/>
      <c r="D4775" s="749" t="s">
        <v>807</v>
      </c>
      <c r="F4775" s="753"/>
      <c r="G4775" s="3"/>
      <c r="H4775" s="753"/>
      <c r="I4775" s="754"/>
      <c r="J4775" s="753"/>
      <c r="K4775" s="753" t="s">
        <v>144</v>
      </c>
      <c r="L4775" s="753"/>
      <c r="M4775" s="753"/>
      <c r="N4775" s="753"/>
      <c r="O4775" s="753"/>
      <c r="P4775" s="753"/>
      <c r="Q4775" s="51"/>
      <c r="R4775" s="530"/>
      <c r="S4775" s="757"/>
      <c r="T4775" s="753"/>
      <c r="AR4775" s="748"/>
      <c r="AS4775" s="753"/>
    </row>
    <row r="4776" spans="1:45" s="886" customFormat="1" ht="13.2">
      <c r="A4776"/>
      <c r="B4776" s="910"/>
      <c r="C4776" s="910" t="s">
        <v>2597</v>
      </c>
      <c r="D4776" s="910" t="str">
        <f ca="1">CELL("Address",Elec_Rates!D$39)</f>
        <v>[E25_0062_Quintano_Foods_Elec_ELV_As_Awarded.xlsx]Elec_Rates!$D$39</v>
      </c>
      <c r="E4776" s="911"/>
      <c r="F4776" s="911"/>
      <c r="G4776" s="912" t="s">
        <v>2598</v>
      </c>
      <c r="H4776" s="912"/>
      <c r="I4776" s="912"/>
      <c r="J4776" s="912"/>
      <c r="K4776" s="913"/>
      <c r="L4776" s="911"/>
      <c r="M4776" s="911"/>
      <c r="N4776" s="911"/>
      <c r="O4776" s="914"/>
      <c r="P4776" s="911"/>
      <c r="Q4776" s="915"/>
      <c r="R4776" s="916"/>
      <c r="S4776" s="915"/>
      <c r="T4776" s="917"/>
      <c r="U4776" s="918"/>
      <c r="AR4776"/>
      <c r="AS4776" s="911"/>
    </row>
    <row r="4777" spans="1:45" s="886" customFormat="1" ht="11.4">
      <c r="A4777" s="919">
        <v>1</v>
      </c>
      <c r="B4777" s="920">
        <v>1</v>
      </c>
      <c r="C4777" s="920">
        <f>$A4777*$B4777</f>
        <v>1</v>
      </c>
      <c r="D4777" s="921" t="str">
        <f>Elec_Rates!$D$39</f>
        <v>003# Power Point Rate (LSZH Conduit)</v>
      </c>
      <c r="E4777" s="921"/>
      <c r="F4777" s="921" t="s">
        <v>2599</v>
      </c>
      <c r="G4777" s="922" t="s">
        <v>2601</v>
      </c>
      <c r="H4777" s="922"/>
      <c r="I4777" s="922"/>
      <c r="J4777" s="922"/>
      <c r="K4777" s="923"/>
      <c r="L4777" s="918"/>
      <c r="M4777" s="918"/>
      <c r="N4777" s="918"/>
      <c r="O4777" s="924"/>
      <c r="P4777" s="921"/>
      <c r="Q4777" s="925">
        <f ca="1">$B4777*Elec_Rates!$R$39</f>
        <v>18.920000000000002</v>
      </c>
      <c r="R4777" s="916">
        <f ca="1">$A4777*Q4777</f>
        <v>18.920000000000002</v>
      </c>
      <c r="S4777" s="925">
        <f ca="1">$B4777*Elec_Rates!$T$39</f>
        <v>0.89</v>
      </c>
      <c r="T4777" s="917">
        <f ca="1">$A4777*S4777</f>
        <v>0.89</v>
      </c>
      <c r="U4777" s="926"/>
      <c r="AR4777" s="919">
        <v>1</v>
      </c>
      <c r="AS4777" s="921" t="s">
        <v>2599</v>
      </c>
    </row>
    <row r="4778" spans="1:45" s="901" customFormat="1" ht="13.2">
      <c r="A4778" s="116">
        <v>1</v>
      </c>
      <c r="B4778" s="901" t="s">
        <v>141</v>
      </c>
      <c r="D4778" s="901" t="s">
        <v>2989</v>
      </c>
      <c r="E4778" s="901" t="s">
        <v>3424</v>
      </c>
      <c r="F4778" s="1054" t="s">
        <v>3435</v>
      </c>
      <c r="G4778" s="941" t="s">
        <v>2990</v>
      </c>
      <c r="H4778" s="942">
        <v>705</v>
      </c>
      <c r="I4778" s="901" t="s">
        <v>2991</v>
      </c>
      <c r="J4778" s="901" t="s">
        <v>2992</v>
      </c>
      <c r="O4778" s="943">
        <v>3</v>
      </c>
      <c r="P4778" s="944">
        <v>34669</v>
      </c>
      <c r="Q4778" s="945">
        <v>3.8</v>
      </c>
      <c r="R4778" s="946">
        <f>$A4778*Q4778</f>
        <v>3.8</v>
      </c>
      <c r="S4778" s="945">
        <v>0.17</v>
      </c>
      <c r="T4778" s="947">
        <f>$A4778*S4778*$T$1</f>
        <v>0.15300000000000002</v>
      </c>
      <c r="AR4778" s="116">
        <v>1</v>
      </c>
      <c r="AS4778" s="1054" t="s">
        <v>3435</v>
      </c>
    </row>
    <row r="4779" spans="1:45" s="520" customFormat="1" ht="12">
      <c r="A4779" s="758"/>
      <c r="B4779" s="758"/>
      <c r="C4779" s="758"/>
      <c r="D4779" s="758"/>
      <c r="E4779" s="758"/>
      <c r="F4779" s="753"/>
      <c r="G4779" s="758"/>
      <c r="H4779" s="758"/>
      <c r="I4779" s="519"/>
      <c r="J4779" s="758"/>
      <c r="K4779" s="758"/>
      <c r="L4779" s="758"/>
      <c r="M4779" s="758"/>
      <c r="N4779" s="758"/>
      <c r="O4779" s="758"/>
      <c r="P4779" s="758"/>
      <c r="Q4779" s="519"/>
      <c r="R4779" s="759">
        <f>$A4779*Q4779</f>
        <v>0</v>
      </c>
      <c r="S4779" s="519"/>
      <c r="T4779" s="760">
        <f>$A4779*S4779*$T$1</f>
        <v>0</v>
      </c>
      <c r="AR4779" s="758"/>
      <c r="AS4779" s="753"/>
    </row>
    <row r="4780" spans="1:45" s="520" customFormat="1" ht="12.6" thickBot="1">
      <c r="A4780" s="761" t="s">
        <v>145</v>
      </c>
      <c r="B4780" s="762">
        <f>(R4779+T4779)</f>
        <v>0</v>
      </c>
      <c r="C4780" s="763"/>
      <c r="D4780" s="763"/>
      <c r="E4780" s="763"/>
      <c r="F4780" s="764"/>
      <c r="G4780" s="763" t="s">
        <v>146</v>
      </c>
      <c r="H4780" s="763"/>
      <c r="I4780" s="765"/>
      <c r="J4780" s="763"/>
      <c r="K4780" s="763" t="s">
        <v>3</v>
      </c>
      <c r="L4780" s="766" t="s">
        <v>143</v>
      </c>
      <c r="M4780" s="766"/>
      <c r="N4780" s="766"/>
      <c r="O4780" s="766"/>
      <c r="P4780" s="766"/>
      <c r="Q4780" s="767"/>
      <c r="R4780" s="768">
        <f ca="1">SUM(R4775:R4779)</f>
        <v>22.720000000000002</v>
      </c>
      <c r="S4780" s="763"/>
      <c r="T4780" s="768">
        <f ca="1">SUM(T4775:T4779)</f>
        <v>1.0430000000000001</v>
      </c>
      <c r="U4780" s="531"/>
      <c r="V4780" s="531"/>
      <c r="W4780" s="531"/>
      <c r="X4780" s="531"/>
      <c r="Y4780" s="531"/>
      <c r="Z4780" s="531"/>
      <c r="AA4780" s="531"/>
      <c r="AB4780" s="531"/>
      <c r="AC4780" s="531"/>
      <c r="AD4780" s="531"/>
      <c r="AE4780" s="531"/>
      <c r="AF4780" s="531"/>
      <c r="AG4780" s="531"/>
      <c r="AH4780" s="531"/>
      <c r="AI4780" s="531"/>
      <c r="AJ4780" s="531"/>
      <c r="AK4780" s="531"/>
      <c r="AL4780" s="531"/>
      <c r="AM4780" s="531"/>
      <c r="AN4780" s="531"/>
      <c r="AO4780" s="531"/>
      <c r="AR4780" s="761" t="s">
        <v>145</v>
      </c>
      <c r="AS4780" s="764"/>
    </row>
    <row r="4781" spans="1:45" s="520" customFormat="1" ht="12" thickTop="1">
      <c r="A4781" s="51"/>
      <c r="B4781" s="41"/>
      <c r="C4781" s="51"/>
      <c r="E4781" s="42" t="s">
        <v>138</v>
      </c>
      <c r="F4781" s="42" t="s">
        <v>139</v>
      </c>
      <c r="G4781" s="51"/>
      <c r="H4781" s="51"/>
      <c r="I4781" s="51"/>
      <c r="J4781" s="51"/>
      <c r="K4781" s="51" t="s">
        <v>140</v>
      </c>
      <c r="L4781" s="51"/>
      <c r="M4781" s="51"/>
      <c r="N4781" s="51"/>
      <c r="O4781" s="52"/>
      <c r="P4781" s="51"/>
      <c r="Q4781" s="51"/>
      <c r="R4781" s="51"/>
      <c r="S4781" s="51"/>
      <c r="T4781" s="41"/>
      <c r="AG4781" s="521" t="s">
        <v>268</v>
      </c>
      <c r="AH4781" s="521" t="s">
        <v>269</v>
      </c>
      <c r="AI4781" s="521" t="s">
        <v>270</v>
      </c>
      <c r="AJ4781" s="521" t="s">
        <v>271</v>
      </c>
      <c r="AK4781" s="521" t="s">
        <v>272</v>
      </c>
      <c r="AM4781" s="745" t="s">
        <v>281</v>
      </c>
      <c r="AN4781" s="746" t="s">
        <v>282</v>
      </c>
      <c r="AO4781" s="522" t="s">
        <v>278</v>
      </c>
      <c r="AR4781" s="51"/>
      <c r="AS4781" s="42" t="s">
        <v>139</v>
      </c>
    </row>
    <row r="4782" spans="1:45" s="520" customFormat="1" ht="12" customHeight="1">
      <c r="A4782" s="747">
        <v>1</v>
      </c>
      <c r="B4782" s="523" t="s">
        <v>141</v>
      </c>
      <c r="C4782" s="748"/>
      <c r="D4782" s="749" t="s">
        <v>1811</v>
      </c>
      <c r="E4782" s="750">
        <f ca="1">IF(AND($A4782=0,$A$1="DIF"),0, ROUND(ROUND(($R4787*$S$2+($T4787*$T$2))/A4782,2)*$C$2,2))</f>
        <v>208.63</v>
      </c>
      <c r="F4782" s="751">
        <f ca="1">ROUND($A4782*$E4782,2)</f>
        <v>208.63</v>
      </c>
      <c r="G4782" s="752" t="s">
        <v>142</v>
      </c>
      <c r="H4782" s="753"/>
      <c r="I4782" s="754"/>
      <c r="J4782" s="753"/>
      <c r="K4782" s="753" t="s">
        <v>3</v>
      </c>
      <c r="L4782" s="755" t="s">
        <v>143</v>
      </c>
      <c r="M4782" s="755"/>
      <c r="N4782" s="755"/>
      <c r="O4782" s="755"/>
      <c r="P4782" s="755"/>
      <c r="Q4782" s="51"/>
      <c r="T4782" s="756" t="str">
        <f ca="1">IF(AND($R4787=0,$T4787=0),"0.00","mu :" &amp; ROUND($F4782/$C$2/($R4787+$T4787*$D$9),2))</f>
        <v>mu :1.23</v>
      </c>
      <c r="W4782" s="524"/>
      <c r="AG4782" s="481">
        <f ca="1">IF($E4782=0,0,ROUND($R4787*$S$2*$C$2/$A4782,2))</f>
        <v>91.64</v>
      </c>
      <c r="AH4782" s="481">
        <f ca="1">$AG4782*$A4782</f>
        <v>91.64</v>
      </c>
      <c r="AI4782" s="525">
        <f ca="1">$E4782-$AG4782</f>
        <v>116.99</v>
      </c>
      <c r="AJ4782" s="525">
        <f ca="1">$A4782*$AI4782</f>
        <v>116.99</v>
      </c>
      <c r="AK4782" s="526">
        <f ca="1">ROUND(($AG4782+$AI4782)*$A4782,2)</f>
        <v>208.63</v>
      </c>
      <c r="AM4782" s="527">
        <f ca="1">ROUND(R4787,2)</f>
        <v>74.42</v>
      </c>
      <c r="AN4782" s="528">
        <f ca="1">ROUND(T4787,2)</f>
        <v>3.46</v>
      </c>
      <c r="AO4782" s="529">
        <f ca="1">ROUND(AM4782+AN4782,2)*A4782</f>
        <v>77.88</v>
      </c>
      <c r="AR4782" s="747">
        <v>1</v>
      </c>
      <c r="AS4782" s="751">
        <v>221.48</v>
      </c>
    </row>
    <row r="4783" spans="1:45" s="520" customFormat="1" ht="13.2">
      <c r="A4783" s="748"/>
      <c r="B4783"/>
      <c r="C4783" s="748"/>
      <c r="D4783" s="749" t="s">
        <v>757</v>
      </c>
      <c r="F4783" s="753"/>
      <c r="G4783" s="3"/>
      <c r="H4783" s="753"/>
      <c r="I4783" s="754"/>
      <c r="J4783" s="753"/>
      <c r="K4783" s="753" t="s">
        <v>144</v>
      </c>
      <c r="L4783" s="753"/>
      <c r="M4783" s="753"/>
      <c r="N4783" s="753"/>
      <c r="O4783" s="753"/>
      <c r="P4783" s="753"/>
      <c r="Q4783" s="51"/>
      <c r="R4783" s="530"/>
      <c r="S4783" s="757"/>
      <c r="T4783" s="753"/>
      <c r="AR4783" s="748"/>
      <c r="AS4783" s="753"/>
    </row>
    <row r="4784" spans="1:45" s="886" customFormat="1" ht="13.2">
      <c r="A4784"/>
      <c r="B4784" s="910"/>
      <c r="C4784" s="910" t="s">
        <v>2597</v>
      </c>
      <c r="D4784" s="910" t="str">
        <f ca="1">CELL("Address",Elec_Rates!D$134)</f>
        <v>[E25_0062_Quintano_Foods_Elec_ELV_As_Awarded.xlsx]Elec_Rates!$D$134</v>
      </c>
      <c r="E4784" s="911"/>
      <c r="F4784" s="911"/>
      <c r="G4784" s="912" t="s">
        <v>2598</v>
      </c>
      <c r="H4784" s="912"/>
      <c r="I4784" s="912"/>
      <c r="J4784" s="912"/>
      <c r="K4784" s="913"/>
      <c r="L4784" s="911"/>
      <c r="M4784" s="911"/>
      <c r="N4784" s="911"/>
      <c r="O4784" s="914"/>
      <c r="P4784" s="911"/>
      <c r="Q4784" s="915"/>
      <c r="R4784" s="916"/>
      <c r="S4784" s="915"/>
      <c r="T4784" s="917"/>
      <c r="U4784" s="918"/>
      <c r="AR4784"/>
      <c r="AS4784" s="911"/>
    </row>
    <row r="4785" spans="1:45" s="886" customFormat="1" ht="11.4">
      <c r="A4785" s="919">
        <v>1</v>
      </c>
      <c r="B4785" s="920">
        <v>1</v>
      </c>
      <c r="C4785" s="920">
        <f>$A4785*$B4785</f>
        <v>1</v>
      </c>
      <c r="D4785" s="921" t="str">
        <f>Elec_Rates!$D$134</f>
        <v>012# Single phase isolator / socket outlet point Galvanised conduit</v>
      </c>
      <c r="E4785" s="921"/>
      <c r="F4785" s="921" t="s">
        <v>2599</v>
      </c>
      <c r="G4785" s="922" t="s">
        <v>2600</v>
      </c>
      <c r="H4785" s="922"/>
      <c r="I4785" s="922"/>
      <c r="J4785" s="922"/>
      <c r="K4785" s="923"/>
      <c r="L4785" s="918"/>
      <c r="M4785" s="918"/>
      <c r="N4785" s="918"/>
      <c r="O4785" s="924"/>
      <c r="P4785" s="921"/>
      <c r="Q4785" s="925">
        <f ca="1">$B4785*Elec_Rates!$R$134</f>
        <v>74.42</v>
      </c>
      <c r="R4785" s="916">
        <f ca="1">$A4785*Q4785</f>
        <v>74.42</v>
      </c>
      <c r="S4785" s="925">
        <f ca="1">$B4785*Elec_Rates!$T$134</f>
        <v>3.46</v>
      </c>
      <c r="T4785" s="917">
        <f ca="1">$A4785*S4785</f>
        <v>3.46</v>
      </c>
      <c r="U4785" s="926"/>
      <c r="AR4785" s="919">
        <v>1</v>
      </c>
      <c r="AS4785" s="921" t="s">
        <v>2599</v>
      </c>
    </row>
    <row r="4786" spans="1:45" s="520" customFormat="1" ht="12">
      <c r="A4786" s="758"/>
      <c r="B4786" s="758"/>
      <c r="C4786" s="758"/>
      <c r="D4786" s="758"/>
      <c r="E4786" s="758"/>
      <c r="F4786" s="753"/>
      <c r="G4786" s="758"/>
      <c r="H4786" s="758"/>
      <c r="I4786" s="519"/>
      <c r="J4786" s="758"/>
      <c r="K4786" s="758"/>
      <c r="L4786" s="758"/>
      <c r="M4786" s="758"/>
      <c r="N4786" s="758"/>
      <c r="O4786" s="758"/>
      <c r="P4786" s="758"/>
      <c r="Q4786" s="519"/>
      <c r="R4786" s="759">
        <f>$A4786*Q4786</f>
        <v>0</v>
      </c>
      <c r="S4786" s="519"/>
      <c r="T4786" s="760">
        <f>$A4786*S4786*$T$1</f>
        <v>0</v>
      </c>
      <c r="AR4786" s="758"/>
      <c r="AS4786" s="753"/>
    </row>
    <row r="4787" spans="1:45" s="520" customFormat="1" ht="12.6" thickBot="1">
      <c r="A4787" s="761" t="s">
        <v>145</v>
      </c>
      <c r="B4787" s="762">
        <f>(R4786+T4786)</f>
        <v>0</v>
      </c>
      <c r="C4787" s="763"/>
      <c r="D4787" s="763"/>
      <c r="E4787" s="763"/>
      <c r="F4787" s="764"/>
      <c r="G4787" s="763" t="s">
        <v>146</v>
      </c>
      <c r="H4787" s="763"/>
      <c r="I4787" s="765"/>
      <c r="J4787" s="763"/>
      <c r="K4787" s="763" t="s">
        <v>3</v>
      </c>
      <c r="L4787" s="766" t="s">
        <v>143</v>
      </c>
      <c r="M4787" s="766"/>
      <c r="N4787" s="766"/>
      <c r="O4787" s="766"/>
      <c r="P4787" s="766"/>
      <c r="Q4787" s="767"/>
      <c r="R4787" s="768">
        <f ca="1">SUM(R4783:R4786)</f>
        <v>74.42</v>
      </c>
      <c r="S4787" s="763"/>
      <c r="T4787" s="768">
        <f ca="1">SUM(T4783:T4786)</f>
        <v>3.46</v>
      </c>
      <c r="U4787" s="531"/>
      <c r="V4787" s="531"/>
      <c r="W4787" s="531"/>
      <c r="X4787" s="531"/>
      <c r="Y4787" s="531"/>
      <c r="Z4787" s="531"/>
      <c r="AA4787" s="531"/>
      <c r="AB4787" s="531"/>
      <c r="AC4787" s="531"/>
      <c r="AD4787" s="531"/>
      <c r="AE4787" s="531"/>
      <c r="AF4787" s="531"/>
      <c r="AG4787" s="531"/>
      <c r="AH4787" s="531"/>
      <c r="AI4787" s="531"/>
      <c r="AJ4787" s="531"/>
      <c r="AK4787" s="531"/>
      <c r="AL4787" s="531"/>
      <c r="AM4787" s="531"/>
      <c r="AN4787" s="531"/>
      <c r="AO4787" s="531"/>
      <c r="AR4787" s="761" t="s">
        <v>145</v>
      </c>
      <c r="AS4787" s="764"/>
    </row>
    <row r="4788" spans="1:45" s="520" customFormat="1" ht="12" thickTop="1">
      <c r="A4788" s="51"/>
      <c r="B4788" s="41"/>
      <c r="C4788" s="51"/>
      <c r="E4788" s="42" t="s">
        <v>138</v>
      </c>
      <c r="F4788" s="42" t="s">
        <v>139</v>
      </c>
      <c r="G4788" s="51"/>
      <c r="H4788" s="51"/>
      <c r="I4788" s="51"/>
      <c r="J4788" s="51"/>
      <c r="K4788" s="51" t="s">
        <v>140</v>
      </c>
      <c r="L4788" s="51"/>
      <c r="M4788" s="51"/>
      <c r="N4788" s="51"/>
      <c r="O4788" s="52"/>
      <c r="P4788" s="51"/>
      <c r="Q4788" s="51"/>
      <c r="R4788" s="51"/>
      <c r="S4788" s="51"/>
      <c r="T4788" s="41"/>
      <c r="AG4788" s="521" t="s">
        <v>268</v>
      </c>
      <c r="AH4788" s="521" t="s">
        <v>269</v>
      </c>
      <c r="AI4788" s="521" t="s">
        <v>270</v>
      </c>
      <c r="AJ4788" s="521" t="s">
        <v>271</v>
      </c>
      <c r="AK4788" s="521" t="s">
        <v>272</v>
      </c>
      <c r="AM4788" s="745" t="s">
        <v>281</v>
      </c>
      <c r="AN4788" s="746" t="s">
        <v>282</v>
      </c>
      <c r="AO4788" s="522" t="s">
        <v>278</v>
      </c>
      <c r="AR4788" s="51"/>
      <c r="AS4788" s="42" t="s">
        <v>139</v>
      </c>
    </row>
    <row r="4789" spans="1:45" s="520" customFormat="1" ht="12" customHeight="1">
      <c r="A4789" s="747">
        <v>1</v>
      </c>
      <c r="B4789" s="523" t="s">
        <v>141</v>
      </c>
      <c r="C4789" s="748"/>
      <c r="D4789" s="749" t="s">
        <v>1812</v>
      </c>
      <c r="E4789" s="750">
        <f ca="1">IF(AND($A4789=0,$A$1="DIF"),0, ROUND(ROUND(($R4794*$S$2+($T4794*$T$2))/A4789,2)*$C$2,2))</f>
        <v>68.06</v>
      </c>
      <c r="F4789" s="751">
        <f ca="1">ROUND($A4789*$E4789,2)</f>
        <v>68.06</v>
      </c>
      <c r="G4789" s="752" t="s">
        <v>142</v>
      </c>
      <c r="H4789" s="753"/>
      <c r="I4789" s="754"/>
      <c r="J4789" s="753"/>
      <c r="K4789" s="753" t="s">
        <v>3</v>
      </c>
      <c r="L4789" s="755" t="s">
        <v>143</v>
      </c>
      <c r="M4789" s="755"/>
      <c r="N4789" s="755"/>
      <c r="O4789" s="755"/>
      <c r="P4789" s="755"/>
      <c r="Q4789" s="51"/>
      <c r="T4789" s="756" t="str">
        <f ca="1">IF(AND($R4794=0,$T4794=0),"0.00","mu :" &amp; ROUND($F4789/$C$2/($R4794+$T4794*$D$9),2))</f>
        <v>mu :1.23</v>
      </c>
      <c r="W4789" s="524"/>
      <c r="AG4789" s="481">
        <f ca="1">IF($E4789=0,0,ROUND($R4794*$S$2*$C$2/$A4789,2))</f>
        <v>22.76</v>
      </c>
      <c r="AH4789" s="481">
        <f ca="1">$AG4789*$A4789</f>
        <v>22.76</v>
      </c>
      <c r="AI4789" s="525">
        <f ca="1">$E4789-$AG4789</f>
        <v>45.3</v>
      </c>
      <c r="AJ4789" s="525">
        <f ca="1">$A4789*$AI4789</f>
        <v>45.3</v>
      </c>
      <c r="AK4789" s="526">
        <f ca="1">ROUND(($AG4789+$AI4789)*$A4789,2)</f>
        <v>68.06</v>
      </c>
      <c r="AM4789" s="527">
        <f ca="1">ROUND(R4794,2)</f>
        <v>18.48</v>
      </c>
      <c r="AN4789" s="528">
        <f ca="1">ROUND(T4794,2)</f>
        <v>1.34</v>
      </c>
      <c r="AO4789" s="529">
        <f ca="1">ROUND(AM4789+AN4789,2)*A4789</f>
        <v>19.82</v>
      </c>
      <c r="AR4789" s="747">
        <v>1</v>
      </c>
      <c r="AS4789" s="751">
        <v>73.14</v>
      </c>
    </row>
    <row r="4790" spans="1:45" s="520" customFormat="1" ht="13.2">
      <c r="A4790" s="748"/>
      <c r="B4790"/>
      <c r="C4790" s="748"/>
      <c r="D4790" s="749" t="s">
        <v>758</v>
      </c>
      <c r="F4790" s="753"/>
      <c r="G4790" s="3"/>
      <c r="H4790" s="753"/>
      <c r="I4790" s="754"/>
      <c r="J4790" s="753"/>
      <c r="K4790" s="753" t="s">
        <v>144</v>
      </c>
      <c r="L4790" s="753"/>
      <c r="M4790" s="753"/>
      <c r="N4790" s="753"/>
      <c r="O4790" s="753"/>
      <c r="P4790" s="753"/>
      <c r="Q4790" s="51"/>
      <c r="R4790" s="530"/>
      <c r="S4790" s="757"/>
      <c r="T4790" s="753"/>
      <c r="AR4790" s="748"/>
      <c r="AS4790" s="753"/>
    </row>
    <row r="4791" spans="1:45" s="886" customFormat="1" ht="13.2">
      <c r="A4791"/>
      <c r="B4791" s="910"/>
      <c r="C4791" s="910" t="s">
        <v>2597</v>
      </c>
      <c r="D4791" s="910" t="str">
        <f ca="1">CELL("Address",Elec_Rates!D$19)</f>
        <v>[E25_0062_Quintano_Foods_Elec_ELV_As_Awarded.xlsx]Elec_Rates!$D$19</v>
      </c>
      <c r="E4791" s="911"/>
      <c r="F4791" s="911"/>
      <c r="G4791" s="912" t="s">
        <v>2598</v>
      </c>
      <c r="H4791" s="912"/>
      <c r="I4791" s="912"/>
      <c r="J4791" s="912"/>
      <c r="K4791" s="913"/>
      <c r="L4791" s="911"/>
      <c r="M4791" s="911"/>
      <c r="N4791" s="911"/>
      <c r="O4791" s="914"/>
      <c r="P4791" s="911"/>
      <c r="Q4791" s="915"/>
      <c r="R4791" s="916"/>
      <c r="S4791" s="915"/>
      <c r="T4791" s="917"/>
      <c r="U4791" s="918"/>
      <c r="AR4791"/>
      <c r="AS4791" s="911"/>
    </row>
    <row r="4792" spans="1:45" s="886" customFormat="1" ht="11.4">
      <c r="A4792" s="919">
        <v>1</v>
      </c>
      <c r="B4792" s="920">
        <v>1</v>
      </c>
      <c r="C4792" s="920">
        <f>$A4792*$B4792</f>
        <v>1</v>
      </c>
      <c r="D4792" s="921" t="str">
        <f>Elec_Rates!$D$19</f>
        <v>001# Light Point Rate (LSZH Conduit)</v>
      </c>
      <c r="E4792" s="921" t="s">
        <v>2877</v>
      </c>
      <c r="F4792" s="918"/>
      <c r="G4792" s="922" t="s">
        <v>2878</v>
      </c>
      <c r="H4792" s="922"/>
      <c r="I4792" s="922"/>
      <c r="J4792" s="922"/>
      <c r="K4792" s="923"/>
      <c r="L4792" s="918"/>
      <c r="M4792" s="918"/>
      <c r="N4792" s="918"/>
      <c r="O4792" s="924"/>
      <c r="P4792" s="921"/>
      <c r="Q4792" s="925">
        <f ca="1">$B4792*Elec_Rates!$R$19</f>
        <v>18.48</v>
      </c>
      <c r="R4792" s="916">
        <f ca="1">$A4792*Q4792</f>
        <v>18.48</v>
      </c>
      <c r="S4792" s="925">
        <f ca="1">$B4792*Elec_Rates!$T$19</f>
        <v>1.34</v>
      </c>
      <c r="T4792" s="917">
        <f ca="1">$A4792*S4792</f>
        <v>1.34</v>
      </c>
      <c r="U4792" s="926"/>
      <c r="AR4792" s="919">
        <v>1</v>
      </c>
      <c r="AS4792" s="918"/>
    </row>
    <row r="4793" spans="1:45" s="520" customFormat="1" ht="12">
      <c r="A4793" s="758"/>
      <c r="B4793" s="758"/>
      <c r="C4793" s="758"/>
      <c r="D4793" s="758"/>
      <c r="E4793" s="758"/>
      <c r="F4793" s="753"/>
      <c r="G4793" s="758"/>
      <c r="H4793" s="758"/>
      <c r="I4793" s="519"/>
      <c r="J4793" s="758"/>
      <c r="K4793" s="758"/>
      <c r="L4793" s="758"/>
      <c r="M4793" s="758"/>
      <c r="N4793" s="758"/>
      <c r="O4793" s="758"/>
      <c r="P4793" s="758"/>
      <c r="Q4793" s="519"/>
      <c r="R4793" s="759">
        <f>$A4793*Q4793</f>
        <v>0</v>
      </c>
      <c r="S4793" s="519"/>
      <c r="T4793" s="760">
        <f>$A4793*S4793*$T$1</f>
        <v>0</v>
      </c>
      <c r="AR4793" s="758"/>
      <c r="AS4793" s="753"/>
    </row>
    <row r="4794" spans="1:45" s="520" customFormat="1" ht="12.6" thickBot="1">
      <c r="A4794" s="761" t="s">
        <v>145</v>
      </c>
      <c r="B4794" s="762">
        <f>(R4793+T4793)</f>
        <v>0</v>
      </c>
      <c r="C4794" s="763"/>
      <c r="D4794" s="763"/>
      <c r="E4794" s="763"/>
      <c r="F4794" s="764"/>
      <c r="G4794" s="763" t="s">
        <v>146</v>
      </c>
      <c r="H4794" s="763"/>
      <c r="I4794" s="765"/>
      <c r="J4794" s="763"/>
      <c r="K4794" s="763" t="s">
        <v>3</v>
      </c>
      <c r="L4794" s="766" t="s">
        <v>143</v>
      </c>
      <c r="M4794" s="766"/>
      <c r="N4794" s="766"/>
      <c r="O4794" s="766"/>
      <c r="P4794" s="766"/>
      <c r="Q4794" s="767"/>
      <c r="R4794" s="768">
        <f ca="1">SUM(R4790:R4793)</f>
        <v>18.48</v>
      </c>
      <c r="S4794" s="763"/>
      <c r="T4794" s="768">
        <f ca="1">SUM(T4790:T4793)</f>
        <v>1.34</v>
      </c>
      <c r="U4794" s="531"/>
      <c r="V4794" s="531"/>
      <c r="W4794" s="531"/>
      <c r="X4794" s="531"/>
      <c r="Y4794" s="531"/>
      <c r="Z4794" s="531"/>
      <c r="AA4794" s="531"/>
      <c r="AB4794" s="531"/>
      <c r="AC4794" s="531"/>
      <c r="AD4794" s="531"/>
      <c r="AE4794" s="531"/>
      <c r="AF4794" s="531"/>
      <c r="AG4794" s="531"/>
      <c r="AH4794" s="531"/>
      <c r="AI4794" s="531"/>
      <c r="AJ4794" s="531"/>
      <c r="AK4794" s="531"/>
      <c r="AL4794" s="531"/>
      <c r="AM4794" s="531"/>
      <c r="AN4794" s="531"/>
      <c r="AO4794" s="531"/>
      <c r="AR4794" s="761" t="s">
        <v>145</v>
      </c>
      <c r="AS4794" s="764"/>
    </row>
    <row r="4795" spans="1:45" s="520" customFormat="1" ht="12" thickTop="1">
      <c r="A4795" s="51"/>
      <c r="B4795" s="41"/>
      <c r="C4795" s="51"/>
      <c r="E4795" s="42" t="s">
        <v>138</v>
      </c>
      <c r="F4795" s="42" t="s">
        <v>139</v>
      </c>
      <c r="G4795" s="51"/>
      <c r="H4795" s="51"/>
      <c r="I4795" s="51"/>
      <c r="J4795" s="51"/>
      <c r="K4795" s="51" t="s">
        <v>140</v>
      </c>
      <c r="L4795" s="51"/>
      <c r="M4795" s="51"/>
      <c r="N4795" s="51"/>
      <c r="O4795" s="52"/>
      <c r="P4795" s="51"/>
      <c r="Q4795" s="51"/>
      <c r="R4795" s="51"/>
      <c r="S4795" s="51"/>
      <c r="T4795" s="41"/>
      <c r="AG4795" s="521" t="s">
        <v>268</v>
      </c>
      <c r="AH4795" s="521" t="s">
        <v>269</v>
      </c>
      <c r="AI4795" s="521" t="s">
        <v>270</v>
      </c>
      <c r="AJ4795" s="521" t="s">
        <v>271</v>
      </c>
      <c r="AK4795" s="521" t="s">
        <v>272</v>
      </c>
      <c r="AM4795" s="745" t="s">
        <v>281</v>
      </c>
      <c r="AN4795" s="746" t="s">
        <v>282</v>
      </c>
      <c r="AO4795" s="522" t="s">
        <v>278</v>
      </c>
      <c r="AR4795" s="51"/>
      <c r="AS4795" s="42" t="s">
        <v>139</v>
      </c>
    </row>
    <row r="4796" spans="1:45" s="520" customFormat="1" ht="12" customHeight="1">
      <c r="A4796" s="747">
        <v>3</v>
      </c>
      <c r="B4796" s="523" t="s">
        <v>141</v>
      </c>
      <c r="C4796" s="748"/>
      <c r="D4796" s="749" t="s">
        <v>1813</v>
      </c>
      <c r="E4796" s="750">
        <f ca="1">IF(AND($A4796=0,$A$1="DIF"),0, ROUND(ROUND(($R4801*$S$2+($T4801*$T$2))/A4796,2)*$C$2,2))</f>
        <v>68.06</v>
      </c>
      <c r="F4796" s="751">
        <f ca="1">ROUND($A4796*$E4796,2)</f>
        <v>204.18</v>
      </c>
      <c r="G4796" s="752" t="s">
        <v>142</v>
      </c>
      <c r="H4796" s="753"/>
      <c r="I4796" s="754"/>
      <c r="J4796" s="753"/>
      <c r="K4796" s="753" t="s">
        <v>3</v>
      </c>
      <c r="L4796" s="755" t="s">
        <v>143</v>
      </c>
      <c r="M4796" s="755"/>
      <c r="N4796" s="755"/>
      <c r="O4796" s="755"/>
      <c r="P4796" s="755"/>
      <c r="Q4796" s="51"/>
      <c r="T4796" s="756" t="str">
        <f ca="1">IF(AND($R4801=0,$T4801=0),"0.00","mu :" &amp; ROUND($F4796/$C$2/($R4801+$T4801*$D$9),2))</f>
        <v>mu :1.23</v>
      </c>
      <c r="W4796" s="524"/>
      <c r="AG4796" s="481">
        <f ca="1">IF($E4796=0,0,ROUND($R4801*$S$2*$C$2/$A4796,2))</f>
        <v>22.76</v>
      </c>
      <c r="AH4796" s="481">
        <f ca="1">$AG4796*$A4796</f>
        <v>68.28</v>
      </c>
      <c r="AI4796" s="525">
        <f ca="1">$E4796-$AG4796</f>
        <v>45.3</v>
      </c>
      <c r="AJ4796" s="525">
        <f ca="1">$A4796*$AI4796</f>
        <v>135.89999999999998</v>
      </c>
      <c r="AK4796" s="526">
        <f ca="1">ROUND(($AG4796+$AI4796)*$A4796,2)</f>
        <v>204.18</v>
      </c>
      <c r="AM4796" s="527">
        <f ca="1">ROUND(R4801,2)</f>
        <v>55.44</v>
      </c>
      <c r="AN4796" s="528">
        <f ca="1">ROUND(T4801,2)</f>
        <v>4.0199999999999996</v>
      </c>
      <c r="AO4796" s="529">
        <f ca="1">ROUND(AM4796+AN4796,2)*A4796</f>
        <v>178.38</v>
      </c>
      <c r="AR4796" s="747">
        <v>3</v>
      </c>
      <c r="AS4796" s="751">
        <v>219.42</v>
      </c>
    </row>
    <row r="4797" spans="1:45" s="520" customFormat="1" ht="13.2">
      <c r="A4797" s="748"/>
      <c r="B4797"/>
      <c r="C4797" s="748"/>
      <c r="D4797" s="749" t="s">
        <v>759</v>
      </c>
      <c r="F4797" s="753"/>
      <c r="G4797" s="3"/>
      <c r="H4797" s="753"/>
      <c r="I4797" s="754"/>
      <c r="J4797" s="753"/>
      <c r="K4797" s="753" t="s">
        <v>144</v>
      </c>
      <c r="L4797" s="753"/>
      <c r="M4797" s="753"/>
      <c r="N4797" s="753"/>
      <c r="O4797" s="753"/>
      <c r="P4797" s="753"/>
      <c r="Q4797" s="51"/>
      <c r="R4797" s="530"/>
      <c r="S4797" s="757"/>
      <c r="T4797" s="753"/>
      <c r="AR4797" s="748"/>
      <c r="AS4797" s="753"/>
    </row>
    <row r="4798" spans="1:45" s="886" customFormat="1" ht="13.2">
      <c r="A4798"/>
      <c r="B4798" s="910"/>
      <c r="C4798" s="910" t="s">
        <v>2597</v>
      </c>
      <c r="D4798" s="910" t="str">
        <f ca="1">CELL("Address",Elec_Rates!D$19)</f>
        <v>[E25_0062_Quintano_Foods_Elec_ELV_As_Awarded.xlsx]Elec_Rates!$D$19</v>
      </c>
      <c r="E4798" s="911"/>
      <c r="F4798" s="911"/>
      <c r="G4798" s="912" t="s">
        <v>2598</v>
      </c>
      <c r="H4798" s="912"/>
      <c r="I4798" s="912"/>
      <c r="J4798" s="912"/>
      <c r="K4798" s="913"/>
      <c r="L4798" s="911"/>
      <c r="M4798" s="911"/>
      <c r="N4798" s="911"/>
      <c r="O4798" s="914"/>
      <c r="P4798" s="911"/>
      <c r="Q4798" s="915"/>
      <c r="R4798" s="916"/>
      <c r="S4798" s="915"/>
      <c r="T4798" s="917"/>
      <c r="U4798" s="918"/>
      <c r="AR4798"/>
      <c r="AS4798" s="911"/>
    </row>
    <row r="4799" spans="1:45" s="886" customFormat="1" ht="11.4">
      <c r="A4799" s="919">
        <v>2</v>
      </c>
      <c r="B4799" s="920">
        <v>1.5</v>
      </c>
      <c r="C4799" s="920">
        <f>$A4799*$B4799</f>
        <v>3</v>
      </c>
      <c r="D4799" s="921" t="str">
        <f>Elec_Rates!$D$19</f>
        <v>001# Light Point Rate (LSZH Conduit)</v>
      </c>
      <c r="E4799" s="921" t="s">
        <v>2879</v>
      </c>
      <c r="F4799" s="918"/>
      <c r="G4799" s="922" t="s">
        <v>2878</v>
      </c>
      <c r="H4799" s="922"/>
      <c r="I4799" s="922"/>
      <c r="J4799" s="922"/>
      <c r="K4799" s="923"/>
      <c r="L4799" s="918"/>
      <c r="M4799" s="918"/>
      <c r="N4799" s="918"/>
      <c r="O4799" s="924"/>
      <c r="P4799" s="921"/>
      <c r="Q4799" s="925">
        <f ca="1">$B4799*Elec_Rates!$R$19</f>
        <v>27.72</v>
      </c>
      <c r="R4799" s="916">
        <f ca="1">$A4799*Q4799</f>
        <v>55.44</v>
      </c>
      <c r="S4799" s="925">
        <f ca="1">$B4799*Elec_Rates!$T$19</f>
        <v>2.0100000000000002</v>
      </c>
      <c r="T4799" s="917">
        <f ca="1">$A4799*S4799</f>
        <v>4.0200000000000005</v>
      </c>
      <c r="U4799" s="926"/>
      <c r="AR4799" s="919">
        <v>2</v>
      </c>
      <c r="AS4799" s="918"/>
    </row>
    <row r="4800" spans="1:45" s="520" customFormat="1" ht="12">
      <c r="A4800" s="758"/>
      <c r="B4800" s="758"/>
      <c r="C4800" s="758"/>
      <c r="D4800" s="758"/>
      <c r="E4800" s="758"/>
      <c r="F4800" s="753"/>
      <c r="G4800" s="758"/>
      <c r="H4800" s="758"/>
      <c r="I4800" s="519"/>
      <c r="J4800" s="758"/>
      <c r="K4800" s="758"/>
      <c r="L4800" s="758"/>
      <c r="M4800" s="758"/>
      <c r="N4800" s="758"/>
      <c r="O4800" s="758"/>
      <c r="P4800" s="758"/>
      <c r="Q4800" s="519"/>
      <c r="R4800" s="759">
        <f>$A4800*Q4800</f>
        <v>0</v>
      </c>
      <c r="S4800" s="519"/>
      <c r="T4800" s="760">
        <f>$A4800*S4800*$T$1</f>
        <v>0</v>
      </c>
      <c r="AR4800" s="758"/>
      <c r="AS4800" s="753"/>
    </row>
    <row r="4801" spans="1:45" s="520" customFormat="1" ht="12.6" thickBot="1">
      <c r="A4801" s="761" t="s">
        <v>145</v>
      </c>
      <c r="B4801" s="762">
        <f>(R4800+T4800)</f>
        <v>0</v>
      </c>
      <c r="C4801" s="763"/>
      <c r="D4801" s="763"/>
      <c r="E4801" s="763"/>
      <c r="F4801" s="764"/>
      <c r="G4801" s="763" t="s">
        <v>146</v>
      </c>
      <c r="H4801" s="763"/>
      <c r="I4801" s="765"/>
      <c r="J4801" s="763"/>
      <c r="K4801" s="763" t="s">
        <v>3</v>
      </c>
      <c r="L4801" s="766" t="s">
        <v>143</v>
      </c>
      <c r="M4801" s="766"/>
      <c r="N4801" s="766"/>
      <c r="O4801" s="766"/>
      <c r="P4801" s="766"/>
      <c r="Q4801" s="767"/>
      <c r="R4801" s="768">
        <f ca="1">SUM(R4797:R4800)</f>
        <v>55.44</v>
      </c>
      <c r="S4801" s="763"/>
      <c r="T4801" s="768">
        <f ca="1">SUM(T4797:T4800)</f>
        <v>4.0200000000000005</v>
      </c>
      <c r="U4801" s="531"/>
      <c r="V4801" s="531"/>
      <c r="W4801" s="531"/>
      <c r="X4801" s="531"/>
      <c r="Y4801" s="531"/>
      <c r="Z4801" s="531"/>
      <c r="AA4801" s="531"/>
      <c r="AB4801" s="531"/>
      <c r="AC4801" s="531"/>
      <c r="AD4801" s="531"/>
      <c r="AE4801" s="531"/>
      <c r="AF4801" s="531"/>
      <c r="AG4801" s="531"/>
      <c r="AH4801" s="531"/>
      <c r="AI4801" s="531"/>
      <c r="AJ4801" s="531"/>
      <c r="AK4801" s="531"/>
      <c r="AL4801" s="531"/>
      <c r="AM4801" s="531"/>
      <c r="AN4801" s="531"/>
      <c r="AO4801" s="531"/>
      <c r="AR4801" s="761" t="s">
        <v>145</v>
      </c>
      <c r="AS4801" s="764"/>
    </row>
    <row r="4802" spans="1:45" s="520" customFormat="1" ht="12" thickTop="1">
      <c r="A4802" s="51"/>
      <c r="B4802" s="41"/>
      <c r="C4802" s="51"/>
      <c r="E4802" s="42" t="s">
        <v>138</v>
      </c>
      <c r="F4802" s="42" t="s">
        <v>139</v>
      </c>
      <c r="G4802" s="51"/>
      <c r="H4802" s="51"/>
      <c r="I4802" s="51"/>
      <c r="J4802" s="51"/>
      <c r="K4802" s="51" t="s">
        <v>140</v>
      </c>
      <c r="L4802" s="51"/>
      <c r="M4802" s="51"/>
      <c r="N4802" s="51"/>
      <c r="O4802" s="52"/>
      <c r="P4802" s="51"/>
      <c r="Q4802" s="51"/>
      <c r="R4802" s="51"/>
      <c r="S4802" s="51"/>
      <c r="T4802" s="41"/>
      <c r="AG4802" s="521" t="s">
        <v>268</v>
      </c>
      <c r="AH4802" s="521" t="s">
        <v>269</v>
      </c>
      <c r="AI4802" s="521" t="s">
        <v>270</v>
      </c>
      <c r="AJ4802" s="521" t="s">
        <v>271</v>
      </c>
      <c r="AK4802" s="521" t="s">
        <v>272</v>
      </c>
      <c r="AM4802" s="745" t="s">
        <v>281</v>
      </c>
      <c r="AN4802" s="746" t="s">
        <v>282</v>
      </c>
      <c r="AO4802" s="522" t="s">
        <v>278</v>
      </c>
      <c r="AR4802" s="51"/>
      <c r="AS4802" s="42" t="s">
        <v>139</v>
      </c>
    </row>
    <row r="4803" spans="1:45" s="520" customFormat="1" ht="12" customHeight="1">
      <c r="A4803" s="747">
        <v>6</v>
      </c>
      <c r="B4803" s="523" t="s">
        <v>141</v>
      </c>
      <c r="C4803" s="748"/>
      <c r="D4803" s="749" t="s">
        <v>1814</v>
      </c>
      <c r="E4803" s="750">
        <f ca="1">IF(AND($A4803=0,$A$1="DIF"),0, ROUND(ROUND(($R4808*$S$2+($T4808*$T$2))/A4803,2)*$C$2,2))</f>
        <v>136.13</v>
      </c>
      <c r="F4803" s="751">
        <f ca="1">ROUND($A4803*$E4803,2)</f>
        <v>816.78</v>
      </c>
      <c r="G4803" s="752" t="s">
        <v>142</v>
      </c>
      <c r="H4803" s="753"/>
      <c r="I4803" s="754"/>
      <c r="J4803" s="753"/>
      <c r="K4803" s="753" t="s">
        <v>3</v>
      </c>
      <c r="L4803" s="755" t="s">
        <v>143</v>
      </c>
      <c r="M4803" s="755"/>
      <c r="N4803" s="755"/>
      <c r="O4803" s="755"/>
      <c r="P4803" s="755"/>
      <c r="Q4803" s="51"/>
      <c r="T4803" s="756" t="str">
        <f ca="1">IF(AND($R4808=0,$T4808=0),"0.00","mu :" &amp; ROUND($F4803/$C$2/($R4808+$T4808*$D$9),2))</f>
        <v>mu :1.23</v>
      </c>
      <c r="W4803" s="524"/>
      <c r="AG4803" s="481">
        <f ca="1">IF($E4803=0,0,ROUND($R4808*$S$2*$C$2/$A4803,2))</f>
        <v>45.51</v>
      </c>
      <c r="AH4803" s="481">
        <f ca="1">$AG4803*$A4803</f>
        <v>273.06</v>
      </c>
      <c r="AI4803" s="525">
        <f ca="1">$E4803-$AG4803</f>
        <v>90.62</v>
      </c>
      <c r="AJ4803" s="525">
        <f ca="1">$A4803*$AI4803</f>
        <v>543.72</v>
      </c>
      <c r="AK4803" s="526">
        <f ca="1">ROUND(($AG4803+$AI4803)*$A4803,2)</f>
        <v>816.78</v>
      </c>
      <c r="AM4803" s="527">
        <f ca="1">ROUND(R4808,2)</f>
        <v>221.76</v>
      </c>
      <c r="AN4803" s="528">
        <f ca="1">ROUND(T4808,2)</f>
        <v>16.079999999999998</v>
      </c>
      <c r="AO4803" s="529">
        <f ca="1">ROUND(AM4803+AN4803,2)*A4803</f>
        <v>1427.04</v>
      </c>
      <c r="AR4803" s="747">
        <v>6</v>
      </c>
      <c r="AS4803" s="751">
        <v>877.62</v>
      </c>
    </row>
    <row r="4804" spans="1:45" s="520" customFormat="1" ht="13.2">
      <c r="A4804" s="748"/>
      <c r="B4804"/>
      <c r="C4804" s="748"/>
      <c r="D4804" s="749" t="s">
        <v>791</v>
      </c>
      <c r="F4804" s="753"/>
      <c r="G4804" s="3"/>
      <c r="H4804" s="753"/>
      <c r="I4804" s="754"/>
      <c r="J4804" s="753"/>
      <c r="K4804" s="753" t="s">
        <v>144</v>
      </c>
      <c r="L4804" s="753"/>
      <c r="M4804" s="753"/>
      <c r="N4804" s="753"/>
      <c r="O4804" s="753"/>
      <c r="P4804" s="753"/>
      <c r="Q4804" s="51"/>
      <c r="R4804" s="530"/>
      <c r="S4804" s="757"/>
      <c r="T4804" s="753"/>
      <c r="AR4804" s="748"/>
      <c r="AS4804" s="753"/>
    </row>
    <row r="4805" spans="1:45" s="886" customFormat="1" ht="13.2">
      <c r="A4805"/>
      <c r="B4805" s="910"/>
      <c r="C4805" s="910" t="s">
        <v>2597</v>
      </c>
      <c r="D4805" s="910" t="str">
        <f ca="1">CELL("Address",Elec_Rates!D$19)</f>
        <v>[E25_0062_Quintano_Foods_Elec_ELV_As_Awarded.xlsx]Elec_Rates!$D$19</v>
      </c>
      <c r="E4805" s="911"/>
      <c r="F4805" s="911"/>
      <c r="G4805" s="912" t="s">
        <v>2598</v>
      </c>
      <c r="H4805" s="912"/>
      <c r="I4805" s="912"/>
      <c r="J4805" s="912"/>
      <c r="K4805" s="913"/>
      <c r="L4805" s="911"/>
      <c r="M4805" s="911"/>
      <c r="N4805" s="911"/>
      <c r="O4805" s="914"/>
      <c r="P4805" s="911"/>
      <c r="Q4805" s="915"/>
      <c r="R4805" s="916"/>
      <c r="S4805" s="915"/>
      <c r="T4805" s="917"/>
      <c r="U4805" s="918"/>
      <c r="AR4805"/>
      <c r="AS4805" s="911"/>
    </row>
    <row r="4806" spans="1:45" s="886" customFormat="1" ht="11.4">
      <c r="A4806" s="919">
        <v>6</v>
      </c>
      <c r="B4806" s="920">
        <v>2</v>
      </c>
      <c r="C4806" s="920">
        <f>$A4806*$B4806</f>
        <v>12</v>
      </c>
      <c r="D4806" s="921" t="str">
        <f>Elec_Rates!$D$19</f>
        <v>001# Light Point Rate (LSZH Conduit)</v>
      </c>
      <c r="E4806" s="921" t="s">
        <v>2967</v>
      </c>
      <c r="F4806" s="918"/>
      <c r="G4806" s="922" t="s">
        <v>2878</v>
      </c>
      <c r="H4806" s="922"/>
      <c r="I4806" s="922"/>
      <c r="J4806" s="922"/>
      <c r="K4806" s="923"/>
      <c r="L4806" s="918"/>
      <c r="M4806" s="918"/>
      <c r="N4806" s="918"/>
      <c r="O4806" s="924"/>
      <c r="P4806" s="921"/>
      <c r="Q4806" s="925">
        <f ca="1">$B4806*Elec_Rates!$R$19</f>
        <v>36.96</v>
      </c>
      <c r="R4806" s="916">
        <f ca="1">$A4806*Q4806</f>
        <v>221.76</v>
      </c>
      <c r="S4806" s="925">
        <f ca="1">$B4806*Elec_Rates!$T$19</f>
        <v>2.68</v>
      </c>
      <c r="T4806" s="917">
        <f ca="1">$A4806*S4806</f>
        <v>16.080000000000002</v>
      </c>
      <c r="U4806" s="926"/>
      <c r="AR4806" s="919">
        <v>6</v>
      </c>
      <c r="AS4806" s="918"/>
    </row>
    <row r="4807" spans="1:45" s="520" customFormat="1" ht="12">
      <c r="A4807" s="758"/>
      <c r="B4807" s="758"/>
      <c r="C4807" s="758"/>
      <c r="D4807" s="758"/>
      <c r="E4807" s="758"/>
      <c r="F4807" s="753"/>
      <c r="G4807" s="758"/>
      <c r="H4807" s="758"/>
      <c r="I4807" s="519"/>
      <c r="J4807" s="758"/>
      <c r="K4807" s="758"/>
      <c r="L4807" s="758"/>
      <c r="M4807" s="758"/>
      <c r="N4807" s="758"/>
      <c r="O4807" s="758"/>
      <c r="P4807" s="758"/>
      <c r="Q4807" s="519"/>
      <c r="R4807" s="759">
        <f>$A4807*Q4807</f>
        <v>0</v>
      </c>
      <c r="S4807" s="519"/>
      <c r="T4807" s="760">
        <f>$A4807*S4807*$T$1</f>
        <v>0</v>
      </c>
      <c r="AR4807" s="758"/>
      <c r="AS4807" s="753"/>
    </row>
    <row r="4808" spans="1:45" s="520" customFormat="1" ht="12.6" thickBot="1">
      <c r="A4808" s="761" t="s">
        <v>145</v>
      </c>
      <c r="B4808" s="762">
        <f>(R4807+T4807)</f>
        <v>0</v>
      </c>
      <c r="C4808" s="763"/>
      <c r="D4808" s="763"/>
      <c r="E4808" s="763"/>
      <c r="F4808" s="764"/>
      <c r="G4808" s="763" t="s">
        <v>146</v>
      </c>
      <c r="H4808" s="763"/>
      <c r="I4808" s="765"/>
      <c r="J4808" s="763"/>
      <c r="K4808" s="763" t="s">
        <v>3</v>
      </c>
      <c r="L4808" s="766" t="s">
        <v>143</v>
      </c>
      <c r="M4808" s="766"/>
      <c r="N4808" s="766"/>
      <c r="O4808" s="766"/>
      <c r="P4808" s="766"/>
      <c r="Q4808" s="767"/>
      <c r="R4808" s="768">
        <f ca="1">SUM(R4804:R4807)</f>
        <v>221.76</v>
      </c>
      <c r="S4808" s="763"/>
      <c r="T4808" s="768">
        <f ca="1">SUM(T4804:T4807)</f>
        <v>16.080000000000002</v>
      </c>
      <c r="U4808" s="531"/>
      <c r="V4808" s="531"/>
      <c r="W4808" s="531"/>
      <c r="X4808" s="531"/>
      <c r="Y4808" s="531"/>
      <c r="Z4808" s="531"/>
      <c r="AA4808" s="531"/>
      <c r="AB4808" s="531"/>
      <c r="AC4808" s="531"/>
      <c r="AD4808" s="531"/>
      <c r="AE4808" s="531"/>
      <c r="AF4808" s="531"/>
      <c r="AG4808" s="531"/>
      <c r="AH4808" s="531"/>
      <c r="AI4808" s="531"/>
      <c r="AJ4808" s="531"/>
      <c r="AK4808" s="531"/>
      <c r="AL4808" s="531"/>
      <c r="AM4808" s="531"/>
      <c r="AN4808" s="531"/>
      <c r="AO4808" s="531"/>
      <c r="AR4808" s="761" t="s">
        <v>145</v>
      </c>
      <c r="AS4808" s="764"/>
    </row>
    <row r="4809" spans="1:45" s="520" customFormat="1" ht="12" thickTop="1">
      <c r="A4809" s="51"/>
      <c r="B4809" s="41"/>
      <c r="C4809" s="51"/>
      <c r="E4809" s="42" t="s">
        <v>138</v>
      </c>
      <c r="F4809" s="42" t="s">
        <v>139</v>
      </c>
      <c r="G4809" s="51"/>
      <c r="H4809" s="51"/>
      <c r="I4809" s="51"/>
      <c r="J4809" s="51"/>
      <c r="K4809" s="51" t="s">
        <v>140</v>
      </c>
      <c r="L4809" s="51"/>
      <c r="M4809" s="51"/>
      <c r="N4809" s="51"/>
      <c r="O4809" s="52"/>
      <c r="P4809" s="51"/>
      <c r="Q4809" s="51"/>
      <c r="R4809" s="51"/>
      <c r="S4809" s="51"/>
      <c r="T4809" s="41"/>
      <c r="AG4809" s="521" t="s">
        <v>268</v>
      </c>
      <c r="AH4809" s="521" t="s">
        <v>269</v>
      </c>
      <c r="AI4809" s="521" t="s">
        <v>270</v>
      </c>
      <c r="AJ4809" s="521" t="s">
        <v>271</v>
      </c>
      <c r="AK4809" s="521" t="s">
        <v>272</v>
      </c>
      <c r="AM4809" s="745" t="s">
        <v>281</v>
      </c>
      <c r="AN4809" s="746" t="s">
        <v>282</v>
      </c>
      <c r="AO4809" s="522" t="s">
        <v>278</v>
      </c>
      <c r="AR4809" s="51"/>
      <c r="AS4809" s="42" t="s">
        <v>139</v>
      </c>
    </row>
    <row r="4810" spans="1:45" s="520" customFormat="1" ht="12" customHeight="1">
      <c r="A4810" s="747">
        <v>9</v>
      </c>
      <c r="B4810" s="523" t="s">
        <v>141</v>
      </c>
      <c r="C4810" s="748"/>
      <c r="D4810" s="749" t="s">
        <v>1815</v>
      </c>
      <c r="E4810" s="750">
        <f ca="1">IF(AND($A4810=0,$A$1="DIF"),0, ROUND(ROUND(($R4815*$S$2+($T4815*$T$2))/A4810,2)*$C$2,2))</f>
        <v>170.16</v>
      </c>
      <c r="F4810" s="751">
        <f ca="1">ROUND($A4810*$E4810,2)</f>
        <v>1531.44</v>
      </c>
      <c r="G4810" s="752" t="s">
        <v>142</v>
      </c>
      <c r="H4810" s="753"/>
      <c r="I4810" s="754"/>
      <c r="J4810" s="753"/>
      <c r="K4810" s="753" t="s">
        <v>3</v>
      </c>
      <c r="L4810" s="755" t="s">
        <v>143</v>
      </c>
      <c r="M4810" s="755"/>
      <c r="N4810" s="755"/>
      <c r="O4810" s="755"/>
      <c r="P4810" s="755"/>
      <c r="Q4810" s="51"/>
      <c r="T4810" s="756" t="str">
        <f ca="1">IF(AND($R4815=0,$T4815=0),"0.00","mu :" &amp; ROUND($F4810/$C$2/($R4815+$T4815*$D$9),2))</f>
        <v>mu :1.23</v>
      </c>
      <c r="W4810" s="524"/>
      <c r="AG4810" s="481">
        <f ca="1">IF($E4810=0,0,ROUND($R4815*$S$2*$C$2/$A4810,2))</f>
        <v>56.89</v>
      </c>
      <c r="AH4810" s="481">
        <f ca="1">$AG4810*$A4810</f>
        <v>512.01</v>
      </c>
      <c r="AI4810" s="525">
        <f ca="1">$E4810-$AG4810</f>
        <v>113.27</v>
      </c>
      <c r="AJ4810" s="525">
        <f ca="1">$A4810*$AI4810</f>
        <v>1019.43</v>
      </c>
      <c r="AK4810" s="526">
        <f ca="1">ROUND(($AG4810+$AI4810)*$A4810,2)</f>
        <v>1531.44</v>
      </c>
      <c r="AM4810" s="527">
        <f ca="1">ROUND(R4815,2)</f>
        <v>415.8</v>
      </c>
      <c r="AN4810" s="528">
        <f ca="1">ROUND(T4815,2)</f>
        <v>30.15</v>
      </c>
      <c r="AO4810" s="529">
        <f ca="1">ROUND(AM4810+AN4810,2)*A4810</f>
        <v>4013.5499999999997</v>
      </c>
      <c r="AR4810" s="747">
        <v>9</v>
      </c>
      <c r="AS4810" s="751">
        <v>1645.56</v>
      </c>
    </row>
    <row r="4811" spans="1:45" s="520" customFormat="1" ht="13.2">
      <c r="A4811" s="748"/>
      <c r="B4811"/>
      <c r="C4811" s="748"/>
      <c r="D4811" s="749" t="s">
        <v>761</v>
      </c>
      <c r="F4811" s="753"/>
      <c r="G4811" s="3"/>
      <c r="H4811" s="753"/>
      <c r="I4811" s="754"/>
      <c r="J4811" s="753"/>
      <c r="K4811" s="753" t="s">
        <v>144</v>
      </c>
      <c r="L4811" s="753"/>
      <c r="M4811" s="753"/>
      <c r="N4811" s="753"/>
      <c r="O4811" s="753"/>
      <c r="P4811" s="753"/>
      <c r="Q4811" s="51"/>
      <c r="R4811" s="530"/>
      <c r="S4811" s="757"/>
      <c r="T4811" s="753"/>
      <c r="AR4811" s="748"/>
      <c r="AS4811" s="753"/>
    </row>
    <row r="4812" spans="1:45" s="886" customFormat="1" ht="15.6" customHeight="1">
      <c r="A4812"/>
      <c r="B4812" s="910"/>
      <c r="C4812" s="910" t="s">
        <v>2597</v>
      </c>
      <c r="D4812" s="910" t="str">
        <f ca="1">CELL("Address",Elec_Rates!D$19)</f>
        <v>[E25_0062_Quintano_Foods_Elec_ELV_As_Awarded.xlsx]Elec_Rates!$D$19</v>
      </c>
      <c r="E4812" s="911"/>
      <c r="F4812" s="911"/>
      <c r="G4812" s="912" t="s">
        <v>2598</v>
      </c>
      <c r="H4812" s="912"/>
      <c r="I4812" s="912"/>
      <c r="J4812" s="912"/>
      <c r="K4812" s="913"/>
      <c r="L4812" s="911"/>
      <c r="M4812" s="911"/>
      <c r="N4812" s="911"/>
      <c r="O4812" s="914"/>
      <c r="P4812" s="911"/>
      <c r="Q4812" s="915"/>
      <c r="R4812" s="916"/>
      <c r="S4812" s="915"/>
      <c r="T4812" s="917"/>
      <c r="U4812" s="918"/>
      <c r="AR4812"/>
      <c r="AS4812" s="911"/>
    </row>
    <row r="4813" spans="1:45" s="886" customFormat="1" ht="11.4">
      <c r="A4813" s="919">
        <v>9</v>
      </c>
      <c r="B4813" s="920">
        <v>2.5</v>
      </c>
      <c r="C4813" s="920">
        <f>$A4813*$B4813</f>
        <v>22.5</v>
      </c>
      <c r="D4813" s="921" t="str">
        <f>Elec_Rates!$D$19</f>
        <v>001# Light Point Rate (LSZH Conduit)</v>
      </c>
      <c r="E4813" s="921" t="s">
        <v>2882</v>
      </c>
      <c r="F4813" s="918"/>
      <c r="G4813" s="922" t="s">
        <v>2878</v>
      </c>
      <c r="H4813" s="922"/>
      <c r="I4813" s="922"/>
      <c r="J4813" s="922"/>
      <c r="K4813" s="923"/>
      <c r="L4813" s="918"/>
      <c r="M4813" s="918"/>
      <c r="N4813" s="918"/>
      <c r="O4813" s="924"/>
      <c r="P4813" s="921"/>
      <c r="Q4813" s="925">
        <f ca="1">$B4813*Elec_Rates!$R$19</f>
        <v>46.2</v>
      </c>
      <c r="R4813" s="916">
        <f ca="1">$A4813*Q4813</f>
        <v>415.8</v>
      </c>
      <c r="S4813" s="925">
        <f ca="1">$B4813*Elec_Rates!$T$19</f>
        <v>3.35</v>
      </c>
      <c r="T4813" s="917">
        <f ca="1">$A4813*S4813</f>
        <v>30.150000000000002</v>
      </c>
      <c r="U4813" s="926"/>
      <c r="AR4813" s="919">
        <v>9</v>
      </c>
      <c r="AS4813" s="918"/>
    </row>
    <row r="4814" spans="1:45" s="520" customFormat="1" ht="12">
      <c r="A4814" s="758"/>
      <c r="B4814" s="758"/>
      <c r="C4814" s="758"/>
      <c r="D4814" s="758"/>
      <c r="E4814" s="758"/>
      <c r="F4814" s="753"/>
      <c r="G4814" s="758"/>
      <c r="H4814" s="758"/>
      <c r="I4814" s="519"/>
      <c r="J4814" s="758"/>
      <c r="K4814" s="758"/>
      <c r="L4814" s="758"/>
      <c r="M4814" s="758"/>
      <c r="N4814" s="758"/>
      <c r="O4814" s="758"/>
      <c r="P4814" s="758"/>
      <c r="Q4814" s="519"/>
      <c r="R4814" s="759">
        <f>$A4814*Q4814</f>
        <v>0</v>
      </c>
      <c r="S4814" s="519"/>
      <c r="T4814" s="760">
        <f>$A4814*S4814*$T$1</f>
        <v>0</v>
      </c>
      <c r="AR4814" s="758"/>
      <c r="AS4814" s="753"/>
    </row>
    <row r="4815" spans="1:45" s="520" customFormat="1" ht="12.6" thickBot="1">
      <c r="A4815" s="761" t="s">
        <v>145</v>
      </c>
      <c r="B4815" s="762">
        <f>(R4814+T4814)</f>
        <v>0</v>
      </c>
      <c r="C4815" s="763"/>
      <c r="D4815" s="763"/>
      <c r="E4815" s="763"/>
      <c r="F4815" s="764"/>
      <c r="G4815" s="763" t="s">
        <v>146</v>
      </c>
      <c r="H4815" s="763"/>
      <c r="I4815" s="765"/>
      <c r="J4815" s="763"/>
      <c r="K4815" s="763" t="s">
        <v>3</v>
      </c>
      <c r="L4815" s="766" t="s">
        <v>143</v>
      </c>
      <c r="M4815" s="766"/>
      <c r="N4815" s="766"/>
      <c r="O4815" s="766"/>
      <c r="P4815" s="766"/>
      <c r="Q4815" s="767"/>
      <c r="R4815" s="768">
        <f ca="1">SUM(R4811:R4814)</f>
        <v>415.8</v>
      </c>
      <c r="S4815" s="763"/>
      <c r="T4815" s="768">
        <f ca="1">SUM(T4811:T4814)</f>
        <v>30.150000000000002</v>
      </c>
      <c r="U4815" s="531"/>
      <c r="V4815" s="531"/>
      <c r="W4815" s="531"/>
      <c r="X4815" s="531"/>
      <c r="Y4815" s="531"/>
      <c r="Z4815" s="531"/>
      <c r="AA4815" s="531"/>
      <c r="AB4815" s="531"/>
      <c r="AC4815" s="531"/>
      <c r="AD4815" s="531"/>
      <c r="AE4815" s="531"/>
      <c r="AF4815" s="531"/>
      <c r="AG4815" s="531"/>
      <c r="AH4815" s="531"/>
      <c r="AI4815" s="531"/>
      <c r="AJ4815" s="531"/>
      <c r="AK4815" s="531"/>
      <c r="AL4815" s="531"/>
      <c r="AM4815" s="531"/>
      <c r="AN4815" s="531"/>
      <c r="AO4815" s="531"/>
      <c r="AR4815" s="761" t="s">
        <v>145</v>
      </c>
      <c r="AS4815" s="764"/>
    </row>
    <row r="4816" spans="1:45" s="520" customFormat="1" ht="12" thickTop="1">
      <c r="A4816" s="51"/>
      <c r="B4816" s="41"/>
      <c r="C4816" s="51"/>
      <c r="E4816" s="42" t="s">
        <v>138</v>
      </c>
      <c r="F4816" s="42" t="s">
        <v>139</v>
      </c>
      <c r="G4816" s="51"/>
      <c r="H4816" s="51"/>
      <c r="I4816" s="51"/>
      <c r="J4816" s="51"/>
      <c r="K4816" s="51" t="s">
        <v>140</v>
      </c>
      <c r="L4816" s="51"/>
      <c r="M4816" s="51"/>
      <c r="N4816" s="51"/>
      <c r="O4816" s="52"/>
      <c r="P4816" s="51"/>
      <c r="Q4816" s="51"/>
      <c r="R4816" s="51"/>
      <c r="S4816" s="51"/>
      <c r="T4816" s="41"/>
      <c r="AG4816" s="521" t="s">
        <v>268</v>
      </c>
      <c r="AH4816" s="521" t="s">
        <v>269</v>
      </c>
      <c r="AI4816" s="521" t="s">
        <v>270</v>
      </c>
      <c r="AJ4816" s="521" t="s">
        <v>271</v>
      </c>
      <c r="AK4816" s="521" t="s">
        <v>272</v>
      </c>
      <c r="AM4816" s="745" t="s">
        <v>281</v>
      </c>
      <c r="AN4816" s="746" t="s">
        <v>282</v>
      </c>
      <c r="AO4816" s="522" t="s">
        <v>278</v>
      </c>
      <c r="AR4816" s="51"/>
      <c r="AS4816" s="42" t="s">
        <v>139</v>
      </c>
    </row>
    <row r="4817" spans="1:45" s="520" customFormat="1" ht="12" customHeight="1">
      <c r="A4817" s="747">
        <v>5</v>
      </c>
      <c r="B4817" s="523" t="s">
        <v>141</v>
      </c>
      <c r="C4817" s="748"/>
      <c r="D4817" s="749" t="s">
        <v>1816</v>
      </c>
      <c r="E4817" s="750">
        <f ca="1">IF(AND($A4817=0,$A$1="DIF"),0, ROUND(ROUND(($R4822*$S$2+($T4822*$T$2))/A4817,2)*$C$2,2))</f>
        <v>68.06</v>
      </c>
      <c r="F4817" s="751">
        <f ca="1">ROUND($A4817*$E4817,2)</f>
        <v>340.3</v>
      </c>
      <c r="G4817" s="752" t="s">
        <v>142</v>
      </c>
      <c r="H4817" s="753"/>
      <c r="I4817" s="754"/>
      <c r="J4817" s="753"/>
      <c r="K4817" s="753" t="s">
        <v>3</v>
      </c>
      <c r="L4817" s="755" t="s">
        <v>143</v>
      </c>
      <c r="M4817" s="755"/>
      <c r="N4817" s="755"/>
      <c r="O4817" s="755"/>
      <c r="P4817" s="755"/>
      <c r="Q4817" s="51"/>
      <c r="T4817" s="756" t="str">
        <f ca="1">IF(AND($R4822=0,$T4822=0),"0.00","mu :" &amp; ROUND($F4817/$C$2/($R4822+$T4822*$D$9),2))</f>
        <v>mu :1.23</v>
      </c>
      <c r="W4817" s="524"/>
      <c r="AG4817" s="481">
        <f ca="1">IF($E4817=0,0,ROUND($R4822*$S$2*$C$2/$A4817,2))</f>
        <v>22.76</v>
      </c>
      <c r="AH4817" s="481">
        <f ca="1">$AG4817*$A4817</f>
        <v>113.80000000000001</v>
      </c>
      <c r="AI4817" s="525">
        <f ca="1">$E4817-$AG4817</f>
        <v>45.3</v>
      </c>
      <c r="AJ4817" s="525">
        <f ca="1">$A4817*$AI4817</f>
        <v>226.5</v>
      </c>
      <c r="AK4817" s="526">
        <f ca="1">ROUND(($AG4817+$AI4817)*$A4817,2)</f>
        <v>340.3</v>
      </c>
      <c r="AM4817" s="527">
        <f ca="1">ROUND(R4822,2)</f>
        <v>92.4</v>
      </c>
      <c r="AN4817" s="528">
        <f ca="1">ROUND(T4822,2)</f>
        <v>6.7</v>
      </c>
      <c r="AO4817" s="529">
        <f ca="1">ROUND(AM4817+AN4817,2)*A4817</f>
        <v>495.5</v>
      </c>
      <c r="AR4817" s="747">
        <v>5</v>
      </c>
      <c r="AS4817" s="751">
        <v>365.7</v>
      </c>
    </row>
    <row r="4818" spans="1:45" s="520" customFormat="1" ht="13.2">
      <c r="A4818" s="748"/>
      <c r="B4818"/>
      <c r="C4818" s="748"/>
      <c r="D4818" s="749" t="s">
        <v>793</v>
      </c>
      <c r="F4818" s="753"/>
      <c r="G4818" s="3"/>
      <c r="H4818" s="753"/>
      <c r="I4818" s="754"/>
      <c r="J4818" s="753"/>
      <c r="K4818" s="753" t="s">
        <v>144</v>
      </c>
      <c r="L4818" s="753"/>
      <c r="M4818" s="753"/>
      <c r="N4818" s="753"/>
      <c r="O4818" s="753"/>
      <c r="P4818" s="753"/>
      <c r="Q4818" s="51"/>
      <c r="R4818" s="530"/>
      <c r="S4818" s="757"/>
      <c r="T4818" s="753"/>
      <c r="AR4818" s="748"/>
      <c r="AS4818" s="753"/>
    </row>
    <row r="4819" spans="1:45" s="886" customFormat="1" ht="13.2">
      <c r="A4819"/>
      <c r="B4819" s="910"/>
      <c r="C4819" s="910" t="s">
        <v>2597</v>
      </c>
      <c r="D4819" s="910" t="str">
        <f ca="1">CELL("Address",Elec_Rates!D$19)</f>
        <v>[E25_0062_Quintano_Foods_Elec_ELV_As_Awarded.xlsx]Elec_Rates!$D$19</v>
      </c>
      <c r="E4819" s="911"/>
      <c r="F4819" s="911"/>
      <c r="G4819" s="912" t="s">
        <v>2598</v>
      </c>
      <c r="H4819" s="912"/>
      <c r="I4819" s="912"/>
      <c r="J4819" s="912"/>
      <c r="K4819" s="913"/>
      <c r="L4819" s="911"/>
      <c r="M4819" s="911"/>
      <c r="N4819" s="911"/>
      <c r="O4819" s="914"/>
      <c r="P4819" s="911"/>
      <c r="Q4819" s="915"/>
      <c r="R4819" s="916"/>
      <c r="S4819" s="915"/>
      <c r="T4819" s="917"/>
      <c r="U4819" s="918"/>
      <c r="AR4819"/>
      <c r="AS4819" s="911"/>
    </row>
    <row r="4820" spans="1:45" s="886" customFormat="1" ht="11.4">
      <c r="A4820" s="919">
        <v>5</v>
      </c>
      <c r="B4820" s="920">
        <v>1</v>
      </c>
      <c r="C4820" s="920">
        <f>$A4820*$B4820</f>
        <v>5</v>
      </c>
      <c r="D4820" s="921" t="str">
        <f>Elec_Rates!$D$19</f>
        <v>001# Light Point Rate (LSZH Conduit)</v>
      </c>
      <c r="E4820" s="921" t="s">
        <v>2969</v>
      </c>
      <c r="F4820" s="918"/>
      <c r="G4820" s="922" t="s">
        <v>2878</v>
      </c>
      <c r="H4820" s="922"/>
      <c r="I4820" s="922"/>
      <c r="J4820" s="922"/>
      <c r="K4820" s="923"/>
      <c r="L4820" s="918"/>
      <c r="M4820" s="918"/>
      <c r="N4820" s="918"/>
      <c r="O4820" s="924"/>
      <c r="P4820" s="921"/>
      <c r="Q4820" s="925">
        <f ca="1">$B4820*Elec_Rates!$R$19</f>
        <v>18.48</v>
      </c>
      <c r="R4820" s="916">
        <f ca="1">$A4820*Q4820</f>
        <v>92.4</v>
      </c>
      <c r="S4820" s="925">
        <f ca="1">$B4820*Elec_Rates!$T$19</f>
        <v>1.34</v>
      </c>
      <c r="T4820" s="917">
        <f ca="1">$A4820*S4820</f>
        <v>6.7</v>
      </c>
      <c r="U4820" s="926"/>
      <c r="AR4820" s="919">
        <v>5</v>
      </c>
      <c r="AS4820" s="918"/>
    </row>
    <row r="4821" spans="1:45" s="520" customFormat="1" ht="12">
      <c r="A4821" s="758"/>
      <c r="B4821" s="758"/>
      <c r="C4821" s="758"/>
      <c r="D4821" s="758"/>
      <c r="E4821" s="758"/>
      <c r="F4821" s="753"/>
      <c r="G4821" s="758"/>
      <c r="H4821" s="758"/>
      <c r="I4821" s="519"/>
      <c r="J4821" s="758"/>
      <c r="K4821" s="758"/>
      <c r="L4821" s="758"/>
      <c r="M4821" s="758"/>
      <c r="N4821" s="758"/>
      <c r="O4821" s="758"/>
      <c r="P4821" s="758"/>
      <c r="Q4821" s="519"/>
      <c r="R4821" s="759">
        <f>$A4821*Q4821</f>
        <v>0</v>
      </c>
      <c r="S4821" s="519"/>
      <c r="T4821" s="760">
        <f>$A4821*S4821*$T$1</f>
        <v>0</v>
      </c>
      <c r="AR4821" s="758"/>
      <c r="AS4821" s="753"/>
    </row>
    <row r="4822" spans="1:45" s="520" customFormat="1" ht="12.6" thickBot="1">
      <c r="A4822" s="761" t="s">
        <v>145</v>
      </c>
      <c r="B4822" s="762">
        <f>(R4821+T4821)</f>
        <v>0</v>
      </c>
      <c r="C4822" s="763"/>
      <c r="D4822" s="763"/>
      <c r="E4822" s="763"/>
      <c r="F4822" s="764"/>
      <c r="G4822" s="763" t="s">
        <v>146</v>
      </c>
      <c r="H4822" s="763"/>
      <c r="I4822" s="765"/>
      <c r="J4822" s="763"/>
      <c r="K4822" s="763" t="s">
        <v>3</v>
      </c>
      <c r="L4822" s="766" t="s">
        <v>143</v>
      </c>
      <c r="M4822" s="766"/>
      <c r="N4822" s="766"/>
      <c r="O4822" s="766"/>
      <c r="P4822" s="766"/>
      <c r="Q4822" s="767"/>
      <c r="R4822" s="768">
        <f ca="1">SUM(R4818:R4821)</f>
        <v>92.4</v>
      </c>
      <c r="S4822" s="763"/>
      <c r="T4822" s="768">
        <f ca="1">SUM(T4818:T4821)</f>
        <v>6.7</v>
      </c>
      <c r="U4822" s="531"/>
      <c r="V4822" s="531"/>
      <c r="W4822" s="531"/>
      <c r="X4822" s="531"/>
      <c r="Y4822" s="531"/>
      <c r="Z4822" s="531"/>
      <c r="AA4822" s="531"/>
      <c r="AB4822" s="531"/>
      <c r="AC4822" s="531"/>
      <c r="AD4822" s="531"/>
      <c r="AE4822" s="531"/>
      <c r="AF4822" s="531"/>
      <c r="AG4822" s="531"/>
      <c r="AH4822" s="531"/>
      <c r="AI4822" s="531"/>
      <c r="AJ4822" s="531"/>
      <c r="AK4822" s="531"/>
      <c r="AL4822" s="531"/>
      <c r="AM4822" s="531"/>
      <c r="AN4822" s="531"/>
      <c r="AO4822" s="531"/>
      <c r="AR4822" s="761" t="s">
        <v>145</v>
      </c>
      <c r="AS4822" s="764"/>
    </row>
    <row r="4823" spans="1:45" s="520" customFormat="1" ht="12" thickTop="1">
      <c r="A4823" s="51"/>
      <c r="B4823" s="41"/>
      <c r="C4823" s="51"/>
      <c r="E4823" s="42" t="s">
        <v>138</v>
      </c>
      <c r="F4823" s="42" t="s">
        <v>139</v>
      </c>
      <c r="G4823" s="51"/>
      <c r="H4823" s="51"/>
      <c r="I4823" s="51"/>
      <c r="J4823" s="51"/>
      <c r="K4823" s="51" t="s">
        <v>140</v>
      </c>
      <c r="L4823" s="51"/>
      <c r="M4823" s="51"/>
      <c r="N4823" s="51"/>
      <c r="O4823" s="52"/>
      <c r="P4823" s="51"/>
      <c r="Q4823" s="51"/>
      <c r="R4823" s="51"/>
      <c r="S4823" s="51"/>
      <c r="T4823" s="41"/>
      <c r="AG4823" s="521" t="s">
        <v>268</v>
      </c>
      <c r="AH4823" s="521" t="s">
        <v>269</v>
      </c>
      <c r="AI4823" s="521" t="s">
        <v>270</v>
      </c>
      <c r="AJ4823" s="521" t="s">
        <v>271</v>
      </c>
      <c r="AK4823" s="521" t="s">
        <v>272</v>
      </c>
      <c r="AM4823" s="745" t="s">
        <v>281</v>
      </c>
      <c r="AN4823" s="746" t="s">
        <v>282</v>
      </c>
      <c r="AO4823" s="522" t="s">
        <v>278</v>
      </c>
      <c r="AR4823" s="51"/>
      <c r="AS4823" s="42" t="s">
        <v>139</v>
      </c>
    </row>
    <row r="4824" spans="1:45" s="520" customFormat="1" ht="12" customHeight="1">
      <c r="A4824" s="747">
        <v>1</v>
      </c>
      <c r="B4824" s="523" t="s">
        <v>141</v>
      </c>
      <c r="C4824" s="748"/>
      <c r="D4824" s="749" t="s">
        <v>1817</v>
      </c>
      <c r="E4824" s="750">
        <f ca="1">IF(AND($A4824=0,$A$1="DIF"),0, ROUND(ROUND(($R4829*$S$2+($T4829*$T$2))/A4824,2)*$C$2,2))</f>
        <v>102.1</v>
      </c>
      <c r="F4824" s="751">
        <f ca="1">ROUND($A4824*$E4824,2)</f>
        <v>102.1</v>
      </c>
      <c r="G4824" s="752" t="s">
        <v>142</v>
      </c>
      <c r="H4824" s="753"/>
      <c r="I4824" s="754"/>
      <c r="J4824" s="753"/>
      <c r="K4824" s="753" t="s">
        <v>3</v>
      </c>
      <c r="L4824" s="755" t="s">
        <v>143</v>
      </c>
      <c r="M4824" s="755"/>
      <c r="N4824" s="755"/>
      <c r="O4824" s="755"/>
      <c r="P4824" s="755"/>
      <c r="Q4824" s="51"/>
      <c r="T4824" s="756" t="str">
        <f ca="1">IF(AND($R4829=0,$T4829=0),"0.00","mu :" &amp; ROUND($F4824/$C$2/($R4829+$T4829*$D$9),2))</f>
        <v>mu :1.23</v>
      </c>
      <c r="W4824" s="524"/>
      <c r="AG4824" s="481">
        <f ca="1">IF($E4824=0,0,ROUND($R4829*$S$2*$C$2/$A4824,2))</f>
        <v>34.130000000000003</v>
      </c>
      <c r="AH4824" s="481">
        <f ca="1">$AG4824*$A4824</f>
        <v>34.130000000000003</v>
      </c>
      <c r="AI4824" s="525">
        <f ca="1">$E4824-$AG4824</f>
        <v>67.97</v>
      </c>
      <c r="AJ4824" s="525">
        <f ca="1">$A4824*$AI4824</f>
        <v>67.97</v>
      </c>
      <c r="AK4824" s="526">
        <f ca="1">ROUND(($AG4824+$AI4824)*$A4824,2)</f>
        <v>102.1</v>
      </c>
      <c r="AM4824" s="527">
        <f ca="1">ROUND(R4829,2)</f>
        <v>27.72</v>
      </c>
      <c r="AN4824" s="528">
        <f ca="1">ROUND(T4829,2)</f>
        <v>2.0099999999999998</v>
      </c>
      <c r="AO4824" s="529">
        <f ca="1">ROUND(AM4824+AN4824,2)*A4824</f>
        <v>29.73</v>
      </c>
      <c r="AR4824" s="747">
        <v>1</v>
      </c>
      <c r="AS4824" s="751">
        <v>109.7</v>
      </c>
    </row>
    <row r="4825" spans="1:45" s="520" customFormat="1" ht="13.2">
      <c r="A4825" s="748"/>
      <c r="B4825"/>
      <c r="C4825" s="748"/>
      <c r="D4825" s="749" t="s">
        <v>794</v>
      </c>
      <c r="F4825" s="753"/>
      <c r="G4825" s="3"/>
      <c r="H4825" s="753"/>
      <c r="I4825" s="754"/>
      <c r="J4825" s="753"/>
      <c r="K4825" s="753" t="s">
        <v>144</v>
      </c>
      <c r="L4825" s="753"/>
      <c r="M4825" s="753"/>
      <c r="N4825" s="753"/>
      <c r="O4825" s="753"/>
      <c r="P4825" s="753"/>
      <c r="Q4825" s="51"/>
      <c r="R4825" s="530"/>
      <c r="S4825" s="757"/>
      <c r="T4825" s="753"/>
      <c r="AR4825" s="748"/>
      <c r="AS4825" s="753"/>
    </row>
    <row r="4826" spans="1:45" s="886" customFormat="1" ht="13.2">
      <c r="A4826"/>
      <c r="B4826" s="910"/>
      <c r="C4826" s="910" t="s">
        <v>2597</v>
      </c>
      <c r="D4826" s="910" t="str">
        <f ca="1">CELL("Address",Elec_Rates!D$19)</f>
        <v>[E25_0062_Quintano_Foods_Elec_ELV_As_Awarded.xlsx]Elec_Rates!$D$19</v>
      </c>
      <c r="E4826" s="911"/>
      <c r="F4826" s="911"/>
      <c r="G4826" s="912" t="s">
        <v>2598</v>
      </c>
      <c r="H4826" s="912"/>
      <c r="I4826" s="912"/>
      <c r="J4826" s="912"/>
      <c r="K4826" s="913"/>
      <c r="L4826" s="911"/>
      <c r="M4826" s="911"/>
      <c r="N4826" s="911"/>
      <c r="O4826" s="914"/>
      <c r="P4826" s="911"/>
      <c r="Q4826" s="915"/>
      <c r="R4826" s="916"/>
      <c r="S4826" s="915"/>
      <c r="T4826" s="917"/>
      <c r="U4826" s="918"/>
      <c r="AR4826"/>
      <c r="AS4826" s="911"/>
    </row>
    <row r="4827" spans="1:45" s="886" customFormat="1" ht="11.4">
      <c r="A4827" s="919">
        <v>1</v>
      </c>
      <c r="B4827" s="920">
        <v>1.5</v>
      </c>
      <c r="C4827" s="920">
        <f>$A4827*$B4827</f>
        <v>1.5</v>
      </c>
      <c r="D4827" s="921" t="str">
        <f>Elec_Rates!$D$19</f>
        <v>001# Light Point Rate (LSZH Conduit)</v>
      </c>
      <c r="E4827" s="921" t="s">
        <v>2894</v>
      </c>
      <c r="F4827" s="918"/>
      <c r="G4827" s="922" t="s">
        <v>2878</v>
      </c>
      <c r="H4827" s="922"/>
      <c r="I4827" s="922"/>
      <c r="J4827" s="922"/>
      <c r="K4827" s="923"/>
      <c r="L4827" s="918"/>
      <c r="M4827" s="918"/>
      <c r="N4827" s="918"/>
      <c r="O4827" s="924"/>
      <c r="P4827" s="921"/>
      <c r="Q4827" s="925">
        <f ca="1">$B4827*Elec_Rates!$R$19</f>
        <v>27.72</v>
      </c>
      <c r="R4827" s="916">
        <f ca="1">$A4827*Q4827</f>
        <v>27.72</v>
      </c>
      <c r="S4827" s="925">
        <f ca="1">$B4827*Elec_Rates!$T$19</f>
        <v>2.0100000000000002</v>
      </c>
      <c r="T4827" s="917">
        <f ca="1">$A4827*S4827</f>
        <v>2.0100000000000002</v>
      </c>
      <c r="U4827" s="926"/>
      <c r="AR4827" s="919">
        <v>1</v>
      </c>
      <c r="AS4827" s="918"/>
    </row>
    <row r="4828" spans="1:45" s="520" customFormat="1" ht="12">
      <c r="A4828" s="758"/>
      <c r="B4828" s="758"/>
      <c r="C4828" s="758"/>
      <c r="D4828" s="758"/>
      <c r="E4828" s="758"/>
      <c r="F4828" s="753"/>
      <c r="G4828" s="758"/>
      <c r="H4828" s="758"/>
      <c r="I4828" s="519"/>
      <c r="J4828" s="758"/>
      <c r="K4828" s="758"/>
      <c r="L4828" s="758"/>
      <c r="M4828" s="758"/>
      <c r="N4828" s="758"/>
      <c r="O4828" s="758"/>
      <c r="P4828" s="758"/>
      <c r="Q4828" s="519"/>
      <c r="R4828" s="759">
        <f>$A4828*Q4828</f>
        <v>0</v>
      </c>
      <c r="S4828" s="519"/>
      <c r="T4828" s="760">
        <f>$A4828*S4828*$T$1</f>
        <v>0</v>
      </c>
      <c r="AR4828" s="758"/>
      <c r="AS4828" s="753"/>
    </row>
    <row r="4829" spans="1:45" s="520" customFormat="1" ht="12.6" thickBot="1">
      <c r="A4829" s="761" t="s">
        <v>145</v>
      </c>
      <c r="B4829" s="762">
        <f>(R4828+T4828)</f>
        <v>0</v>
      </c>
      <c r="C4829" s="763"/>
      <c r="D4829" s="763"/>
      <c r="E4829" s="763"/>
      <c r="F4829" s="764"/>
      <c r="G4829" s="763" t="s">
        <v>146</v>
      </c>
      <c r="H4829" s="763"/>
      <c r="I4829" s="765"/>
      <c r="J4829" s="763"/>
      <c r="K4829" s="763" t="s">
        <v>3</v>
      </c>
      <c r="L4829" s="766" t="s">
        <v>143</v>
      </c>
      <c r="M4829" s="766"/>
      <c r="N4829" s="766"/>
      <c r="O4829" s="766"/>
      <c r="P4829" s="766"/>
      <c r="Q4829" s="767"/>
      <c r="R4829" s="768">
        <f ca="1">SUM(R4825:R4828)</f>
        <v>27.72</v>
      </c>
      <c r="S4829" s="763"/>
      <c r="T4829" s="768">
        <f ca="1">SUM(T4825:T4828)</f>
        <v>2.0100000000000002</v>
      </c>
      <c r="U4829" s="531"/>
      <c r="V4829" s="531"/>
      <c r="W4829" s="531"/>
      <c r="X4829" s="531"/>
      <c r="Y4829" s="531"/>
      <c r="Z4829" s="531"/>
      <c r="AA4829" s="531"/>
      <c r="AB4829" s="531"/>
      <c r="AC4829" s="531"/>
      <c r="AD4829" s="531"/>
      <c r="AE4829" s="531"/>
      <c r="AF4829" s="531"/>
      <c r="AG4829" s="531"/>
      <c r="AH4829" s="531"/>
      <c r="AI4829" s="531"/>
      <c r="AJ4829" s="531"/>
      <c r="AK4829" s="531"/>
      <c r="AL4829" s="531"/>
      <c r="AM4829" s="531"/>
      <c r="AN4829" s="531"/>
      <c r="AO4829" s="531"/>
      <c r="AR4829" s="761" t="s">
        <v>145</v>
      </c>
      <c r="AS4829" s="764"/>
    </row>
    <row r="4830" spans="1:45" s="520" customFormat="1" ht="12" thickTop="1">
      <c r="A4830" s="51"/>
      <c r="B4830" s="41"/>
      <c r="C4830" s="51"/>
      <c r="E4830" s="42" t="s">
        <v>138</v>
      </c>
      <c r="F4830" s="42" t="s">
        <v>139</v>
      </c>
      <c r="G4830" s="51"/>
      <c r="H4830" s="51"/>
      <c r="I4830" s="51"/>
      <c r="J4830" s="51"/>
      <c r="K4830" s="51" t="s">
        <v>140</v>
      </c>
      <c r="L4830" s="51"/>
      <c r="M4830" s="51"/>
      <c r="N4830" s="51"/>
      <c r="O4830" s="52"/>
      <c r="P4830" s="51"/>
      <c r="Q4830" s="51"/>
      <c r="R4830" s="51"/>
      <c r="S4830" s="51"/>
      <c r="T4830" s="41"/>
      <c r="AG4830" s="521" t="s">
        <v>268</v>
      </c>
      <c r="AH4830" s="521" t="s">
        <v>269</v>
      </c>
      <c r="AI4830" s="521" t="s">
        <v>270</v>
      </c>
      <c r="AJ4830" s="521" t="s">
        <v>271</v>
      </c>
      <c r="AK4830" s="521" t="s">
        <v>272</v>
      </c>
      <c r="AM4830" s="745" t="s">
        <v>281</v>
      </c>
      <c r="AN4830" s="746" t="s">
        <v>282</v>
      </c>
      <c r="AO4830" s="522" t="s">
        <v>278</v>
      </c>
      <c r="AR4830" s="51"/>
      <c r="AS4830" s="42" t="s">
        <v>139</v>
      </c>
    </row>
    <row r="4831" spans="1:45" s="520" customFormat="1" ht="12" customHeight="1">
      <c r="A4831" s="747">
        <v>1</v>
      </c>
      <c r="B4831" s="523" t="s">
        <v>141</v>
      </c>
      <c r="C4831" s="748"/>
      <c r="D4831" s="749" t="s">
        <v>1818</v>
      </c>
      <c r="E4831" s="750">
        <f ca="1">IF(AND($A4831=0,$A$1="DIF"),0, ROUND(ROUND(($R4836*$S$2+($T4836*$T$2))/A4831,2)*$C$2,2))</f>
        <v>476.45</v>
      </c>
      <c r="F4831" s="751">
        <f ca="1">ROUND($A4831*$E4831,2)</f>
        <v>476.45</v>
      </c>
      <c r="G4831" s="752" t="s">
        <v>142</v>
      </c>
      <c r="H4831" s="753"/>
      <c r="I4831" s="754"/>
      <c r="J4831" s="753"/>
      <c r="K4831" s="753" t="s">
        <v>3</v>
      </c>
      <c r="L4831" s="755" t="s">
        <v>143</v>
      </c>
      <c r="M4831" s="755"/>
      <c r="N4831" s="755"/>
      <c r="O4831" s="755"/>
      <c r="P4831" s="755"/>
      <c r="Q4831" s="51"/>
      <c r="T4831" s="756" t="str">
        <f ca="1">IF(AND($R4836=0,$T4836=0),"0.00","mu :" &amp; ROUND($F4831/$C$2/($R4836+$T4836*$D$9),2))</f>
        <v>mu :1.23</v>
      </c>
      <c r="W4831" s="524"/>
      <c r="AG4831" s="481">
        <f ca="1">IF($E4831=0,0,ROUND($R4836*$S$2*$C$2/$A4831,2))</f>
        <v>159.29</v>
      </c>
      <c r="AH4831" s="481">
        <f ca="1">$AG4831*$A4831</f>
        <v>159.29</v>
      </c>
      <c r="AI4831" s="525">
        <f ca="1">$E4831-$AG4831</f>
        <v>317.15999999999997</v>
      </c>
      <c r="AJ4831" s="525">
        <f ca="1">$A4831*$AI4831</f>
        <v>317.15999999999997</v>
      </c>
      <c r="AK4831" s="526">
        <f ca="1">ROUND(($AG4831+$AI4831)*$A4831,2)</f>
        <v>476.45</v>
      </c>
      <c r="AM4831" s="527">
        <f ca="1">ROUND(R4836,2)</f>
        <v>129.36000000000001</v>
      </c>
      <c r="AN4831" s="528">
        <f ca="1">ROUND(T4836,2)</f>
        <v>9.3800000000000008</v>
      </c>
      <c r="AO4831" s="529">
        <f ca="1">ROUND(AM4831+AN4831,2)*A4831</f>
        <v>138.74</v>
      </c>
      <c r="AR4831" s="747">
        <v>1</v>
      </c>
      <c r="AS4831" s="751">
        <v>511.95</v>
      </c>
    </row>
    <row r="4832" spans="1:45" s="520" customFormat="1" ht="13.2">
      <c r="A4832" s="748"/>
      <c r="B4832"/>
      <c r="C4832" s="748"/>
      <c r="D4832" s="749" t="s">
        <v>857</v>
      </c>
      <c r="F4832" s="753"/>
      <c r="G4832" s="3"/>
      <c r="H4832" s="753"/>
      <c r="I4832" s="754"/>
      <c r="J4832" s="753"/>
      <c r="K4832" s="753" t="s">
        <v>144</v>
      </c>
      <c r="L4832" s="753"/>
      <c r="M4832" s="753"/>
      <c r="N4832" s="753"/>
      <c r="O4832" s="753"/>
      <c r="P4832" s="753"/>
      <c r="Q4832" s="51"/>
      <c r="R4832" s="530"/>
      <c r="S4832" s="757"/>
      <c r="T4832" s="753"/>
      <c r="AR4832" s="748"/>
      <c r="AS4832" s="753"/>
    </row>
    <row r="4833" spans="1:45" s="886" customFormat="1" ht="13.2">
      <c r="A4833"/>
      <c r="B4833" s="910"/>
      <c r="C4833" s="910" t="s">
        <v>2597</v>
      </c>
      <c r="D4833" s="910" t="str">
        <f ca="1">CELL("Address",Elec_Rates!D$19)</f>
        <v>[E25_0062_Quintano_Foods_Elec_ELV_As_Awarded.xlsx]Elec_Rates!$D$19</v>
      </c>
      <c r="E4833" s="911"/>
      <c r="F4833" s="911"/>
      <c r="G4833" s="912" t="s">
        <v>2598</v>
      </c>
      <c r="H4833" s="912"/>
      <c r="I4833" s="912"/>
      <c r="J4833" s="912"/>
      <c r="K4833" s="913"/>
      <c r="L4833" s="911"/>
      <c r="M4833" s="911"/>
      <c r="N4833" s="911"/>
      <c r="O4833" s="914"/>
      <c r="P4833" s="911"/>
      <c r="Q4833" s="915"/>
      <c r="R4833" s="916"/>
      <c r="S4833" s="915"/>
      <c r="T4833" s="917"/>
      <c r="U4833" s="918"/>
      <c r="AR4833"/>
      <c r="AS4833" s="911"/>
    </row>
    <row r="4834" spans="1:45" s="886" customFormat="1" ht="11.4">
      <c r="A4834" s="919">
        <v>1</v>
      </c>
      <c r="B4834" s="920">
        <f>4.5+2.5</f>
        <v>7</v>
      </c>
      <c r="C4834" s="920">
        <f>$A4834*$B4834</f>
        <v>7</v>
      </c>
      <c r="D4834" s="921" t="str">
        <f>Elec_Rates!$D$19</f>
        <v>001# Light Point Rate (LSZH Conduit)</v>
      </c>
      <c r="E4834" s="921" t="s">
        <v>3040</v>
      </c>
      <c r="F4834" s="918"/>
      <c r="G4834" s="922" t="s">
        <v>2878</v>
      </c>
      <c r="H4834" s="922"/>
      <c r="I4834" s="922"/>
      <c r="J4834" s="922"/>
      <c r="K4834" s="923"/>
      <c r="L4834" s="918"/>
      <c r="M4834" s="918"/>
      <c r="N4834" s="918"/>
      <c r="O4834" s="924"/>
      <c r="P4834" s="921"/>
      <c r="Q4834" s="925">
        <f ca="1">$B4834*Elec_Rates!$R$19</f>
        <v>129.36000000000001</v>
      </c>
      <c r="R4834" s="916">
        <f ca="1">$A4834*Q4834</f>
        <v>129.36000000000001</v>
      </c>
      <c r="S4834" s="925">
        <f ca="1">$B4834*Elec_Rates!$T$19</f>
        <v>9.3800000000000008</v>
      </c>
      <c r="T4834" s="917">
        <f ca="1">$A4834*S4834</f>
        <v>9.3800000000000008</v>
      </c>
      <c r="U4834" s="926"/>
      <c r="AR4834" s="919">
        <v>1</v>
      </c>
      <c r="AS4834" s="918"/>
    </row>
    <row r="4835" spans="1:45" s="520" customFormat="1" ht="12">
      <c r="A4835" s="758"/>
      <c r="B4835" s="758"/>
      <c r="C4835" s="758"/>
      <c r="D4835" s="758"/>
      <c r="E4835" s="758"/>
      <c r="F4835" s="753"/>
      <c r="G4835" s="758"/>
      <c r="H4835" s="758"/>
      <c r="I4835" s="519"/>
      <c r="J4835" s="758"/>
      <c r="K4835" s="758"/>
      <c r="L4835" s="758"/>
      <c r="M4835" s="758"/>
      <c r="N4835" s="758"/>
      <c r="O4835" s="758"/>
      <c r="P4835" s="758"/>
      <c r="Q4835" s="519"/>
      <c r="R4835" s="759">
        <f>$A4835*Q4835</f>
        <v>0</v>
      </c>
      <c r="S4835" s="519"/>
      <c r="T4835" s="760">
        <f>$A4835*S4835*$T$1</f>
        <v>0</v>
      </c>
      <c r="AR4835" s="758"/>
      <c r="AS4835" s="753"/>
    </row>
    <row r="4836" spans="1:45" s="520" customFormat="1" ht="12.6" thickBot="1">
      <c r="A4836" s="761" t="s">
        <v>145</v>
      </c>
      <c r="B4836" s="762">
        <f>(R4835+T4835)</f>
        <v>0</v>
      </c>
      <c r="C4836" s="763"/>
      <c r="D4836" s="763"/>
      <c r="E4836" s="763"/>
      <c r="F4836" s="764"/>
      <c r="G4836" s="763" t="s">
        <v>146</v>
      </c>
      <c r="H4836" s="763"/>
      <c r="I4836" s="765"/>
      <c r="J4836" s="763"/>
      <c r="K4836" s="763" t="s">
        <v>3</v>
      </c>
      <c r="L4836" s="766" t="s">
        <v>143</v>
      </c>
      <c r="M4836" s="766"/>
      <c r="N4836" s="766"/>
      <c r="O4836" s="766"/>
      <c r="P4836" s="766"/>
      <c r="Q4836" s="767"/>
      <c r="R4836" s="768">
        <f ca="1">SUM(R4832:R4835)</f>
        <v>129.36000000000001</v>
      </c>
      <c r="S4836" s="763"/>
      <c r="T4836" s="768">
        <f ca="1">SUM(T4832:T4835)</f>
        <v>9.3800000000000008</v>
      </c>
      <c r="U4836" s="531"/>
      <c r="V4836" s="531"/>
      <c r="W4836" s="531"/>
      <c r="X4836" s="531"/>
      <c r="Y4836" s="531"/>
      <c r="Z4836" s="531"/>
      <c r="AA4836" s="531"/>
      <c r="AB4836" s="531"/>
      <c r="AC4836" s="531"/>
      <c r="AD4836" s="531"/>
      <c r="AE4836" s="531"/>
      <c r="AF4836" s="531"/>
      <c r="AG4836" s="531"/>
      <c r="AH4836" s="531"/>
      <c r="AI4836" s="531"/>
      <c r="AJ4836" s="531"/>
      <c r="AK4836" s="531"/>
      <c r="AL4836" s="531"/>
      <c r="AM4836" s="531"/>
      <c r="AN4836" s="531"/>
      <c r="AO4836" s="531"/>
      <c r="AR4836" s="761" t="s">
        <v>145</v>
      </c>
      <c r="AS4836" s="764"/>
    </row>
    <row r="4837" spans="1:45" s="520" customFormat="1" ht="12" thickTop="1">
      <c r="A4837" s="51"/>
      <c r="B4837" s="41"/>
      <c r="C4837" s="51"/>
      <c r="E4837" s="42" t="s">
        <v>138</v>
      </c>
      <c r="F4837" s="42" t="s">
        <v>139</v>
      </c>
      <c r="G4837" s="51"/>
      <c r="H4837" s="51"/>
      <c r="I4837" s="51"/>
      <c r="J4837" s="51"/>
      <c r="K4837" s="51" t="s">
        <v>140</v>
      </c>
      <c r="L4837" s="51"/>
      <c r="M4837" s="51"/>
      <c r="N4837" s="51"/>
      <c r="O4837" s="52"/>
      <c r="P4837" s="51"/>
      <c r="Q4837" s="51"/>
      <c r="R4837" s="51"/>
      <c r="S4837" s="51"/>
      <c r="T4837" s="41"/>
      <c r="AG4837" s="521" t="s">
        <v>268</v>
      </c>
      <c r="AH4837" s="521" t="s">
        <v>269</v>
      </c>
      <c r="AI4837" s="521" t="s">
        <v>270</v>
      </c>
      <c r="AJ4837" s="521" t="s">
        <v>271</v>
      </c>
      <c r="AK4837" s="521" t="s">
        <v>272</v>
      </c>
      <c r="AM4837" s="745" t="s">
        <v>281</v>
      </c>
      <c r="AN4837" s="746" t="s">
        <v>282</v>
      </c>
      <c r="AO4837" s="522" t="s">
        <v>278</v>
      </c>
      <c r="AR4837" s="51"/>
      <c r="AS4837" s="42" t="s">
        <v>139</v>
      </c>
    </row>
    <row r="4838" spans="1:45" s="520" customFormat="1" ht="12" customHeight="1">
      <c r="A4838" s="747">
        <v>1</v>
      </c>
      <c r="B4838" s="523" t="s">
        <v>141</v>
      </c>
      <c r="C4838" s="748"/>
      <c r="D4838" s="749" t="s">
        <v>1819</v>
      </c>
      <c r="E4838" s="750">
        <f ca="1">IF(AND($A4838=0,$A$1="DIF"),0, ROUND(ROUND(($R4843*$S$2+($T4843*$T$2))/A4838,2)*$C$2,2))</f>
        <v>238.22</v>
      </c>
      <c r="F4838" s="751">
        <f ca="1">ROUND($A4838*$E4838,2)</f>
        <v>238.22</v>
      </c>
      <c r="G4838" s="752" t="s">
        <v>142</v>
      </c>
      <c r="H4838" s="753"/>
      <c r="I4838" s="754"/>
      <c r="J4838" s="753"/>
      <c r="K4838" s="753" t="s">
        <v>3</v>
      </c>
      <c r="L4838" s="755" t="s">
        <v>143</v>
      </c>
      <c r="M4838" s="755"/>
      <c r="N4838" s="755"/>
      <c r="O4838" s="755"/>
      <c r="P4838" s="755"/>
      <c r="Q4838" s="51"/>
      <c r="T4838" s="756" t="str">
        <f ca="1">IF(AND($R4843=0,$T4843=0),"0.00","mu :" &amp; ROUND($F4838/$C$2/($R4843+$T4843*$D$9),2))</f>
        <v>mu :1.23</v>
      </c>
      <c r="W4838" s="524"/>
      <c r="AG4838" s="481">
        <f ca="1">IF($E4838=0,0,ROUND($R4843*$S$2*$C$2/$A4838,2))</f>
        <v>79.64</v>
      </c>
      <c r="AH4838" s="481">
        <f ca="1">$AG4838*$A4838</f>
        <v>79.64</v>
      </c>
      <c r="AI4838" s="525">
        <f ca="1">$E4838-$AG4838</f>
        <v>158.57999999999998</v>
      </c>
      <c r="AJ4838" s="525">
        <f ca="1">$A4838*$AI4838</f>
        <v>158.57999999999998</v>
      </c>
      <c r="AK4838" s="526">
        <f ca="1">ROUND(($AG4838+$AI4838)*$A4838,2)</f>
        <v>238.22</v>
      </c>
      <c r="AM4838" s="527">
        <f ca="1">ROUND(R4843,2)</f>
        <v>64.680000000000007</v>
      </c>
      <c r="AN4838" s="528">
        <f ca="1">ROUND(T4843,2)</f>
        <v>4.6900000000000004</v>
      </c>
      <c r="AO4838" s="529">
        <f ca="1">ROUND(AM4838+AN4838,2)*A4838</f>
        <v>69.37</v>
      </c>
      <c r="AR4838" s="747">
        <v>1</v>
      </c>
      <c r="AS4838" s="751">
        <v>255.98</v>
      </c>
    </row>
    <row r="4839" spans="1:45" s="520" customFormat="1" ht="13.2">
      <c r="A4839" s="748"/>
      <c r="B4839"/>
      <c r="C4839" s="748"/>
      <c r="D4839" s="749" t="s">
        <v>851</v>
      </c>
      <c r="F4839" s="753"/>
      <c r="G4839" s="3"/>
      <c r="H4839" s="753"/>
      <c r="I4839" s="754"/>
      <c r="J4839" s="753"/>
      <c r="K4839" s="753" t="s">
        <v>144</v>
      </c>
      <c r="L4839" s="753"/>
      <c r="M4839" s="753"/>
      <c r="N4839" s="753"/>
      <c r="O4839" s="753"/>
      <c r="P4839" s="753"/>
      <c r="Q4839" s="51"/>
      <c r="R4839" s="530"/>
      <c r="S4839" s="757"/>
      <c r="T4839" s="753"/>
      <c r="AR4839" s="748"/>
      <c r="AS4839" s="753"/>
    </row>
    <row r="4840" spans="1:45" s="886" customFormat="1" ht="13.2">
      <c r="A4840"/>
      <c r="B4840" s="910"/>
      <c r="C4840" s="910" t="s">
        <v>2597</v>
      </c>
      <c r="D4840" s="910" t="str">
        <f ca="1">CELL("Address",Elec_Rates!D$19)</f>
        <v>[E25_0062_Quintano_Foods_Elec_ELV_As_Awarded.xlsx]Elec_Rates!$D$19</v>
      </c>
      <c r="E4840" s="911"/>
      <c r="F4840" s="911"/>
      <c r="G4840" s="912" t="s">
        <v>2598</v>
      </c>
      <c r="H4840" s="912"/>
      <c r="I4840" s="912"/>
      <c r="J4840" s="912"/>
      <c r="K4840" s="913"/>
      <c r="L4840" s="911"/>
      <c r="M4840" s="911"/>
      <c r="N4840" s="911"/>
      <c r="O4840" s="914"/>
      <c r="P4840" s="911"/>
      <c r="Q4840" s="915"/>
      <c r="R4840" s="916"/>
      <c r="S4840" s="915"/>
      <c r="T4840" s="917"/>
      <c r="U4840" s="918"/>
      <c r="AR4840"/>
      <c r="AS4840" s="911"/>
    </row>
    <row r="4841" spans="1:45" s="886" customFormat="1" ht="12">
      <c r="A4841" s="919">
        <v>1</v>
      </c>
      <c r="B4841" s="920">
        <v>3.5</v>
      </c>
      <c r="C4841" s="920">
        <f>$A4841*$B4841</f>
        <v>3.5</v>
      </c>
      <c r="D4841" s="921" t="str">
        <f>Elec_Rates!$D$19</f>
        <v>001# Light Point Rate (LSZH Conduit)</v>
      </c>
      <c r="E4841" s="921" t="s">
        <v>3037</v>
      </c>
      <c r="F4841" s="1060" t="s">
        <v>2994</v>
      </c>
      <c r="G4841" s="922" t="s">
        <v>2878</v>
      </c>
      <c r="H4841" s="922"/>
      <c r="I4841" s="922"/>
      <c r="J4841" s="922"/>
      <c r="K4841" s="923"/>
      <c r="L4841" s="918"/>
      <c r="M4841" s="918"/>
      <c r="N4841" s="918"/>
      <c r="O4841" s="924"/>
      <c r="P4841" s="921"/>
      <c r="Q4841" s="925">
        <f ca="1">$B4841*Elec_Rates!$R$19</f>
        <v>64.680000000000007</v>
      </c>
      <c r="R4841" s="916">
        <f ca="1">$A4841*Q4841</f>
        <v>64.680000000000007</v>
      </c>
      <c r="S4841" s="925">
        <f ca="1">$B4841*Elec_Rates!$T$19</f>
        <v>4.6900000000000004</v>
      </c>
      <c r="T4841" s="917">
        <f ca="1">$A4841*S4841</f>
        <v>4.6900000000000004</v>
      </c>
      <c r="U4841" s="926"/>
      <c r="AR4841" s="919">
        <v>1</v>
      </c>
      <c r="AS4841" s="1060" t="s">
        <v>2994</v>
      </c>
    </row>
    <row r="4842" spans="1:45" s="520" customFormat="1" ht="12">
      <c r="A4842" s="758"/>
      <c r="B4842" s="758"/>
      <c r="C4842" s="758"/>
      <c r="D4842" s="758"/>
      <c r="E4842" s="758"/>
      <c r="F4842" s="753"/>
      <c r="G4842" s="758"/>
      <c r="H4842" s="758"/>
      <c r="I4842" s="519"/>
      <c r="J4842" s="758"/>
      <c r="K4842" s="758"/>
      <c r="L4842" s="758"/>
      <c r="M4842" s="758"/>
      <c r="N4842" s="758"/>
      <c r="O4842" s="758"/>
      <c r="P4842" s="758"/>
      <c r="Q4842" s="519"/>
      <c r="R4842" s="759">
        <f>$A4842*Q4842</f>
        <v>0</v>
      </c>
      <c r="S4842" s="519"/>
      <c r="T4842" s="760">
        <f>$A4842*S4842*$T$1</f>
        <v>0</v>
      </c>
      <c r="AR4842" s="758"/>
      <c r="AS4842" s="753"/>
    </row>
    <row r="4843" spans="1:45" s="520" customFormat="1" ht="12.6" thickBot="1">
      <c r="A4843" s="761" t="s">
        <v>145</v>
      </c>
      <c r="B4843" s="762">
        <f>(R4842+T4842)</f>
        <v>0</v>
      </c>
      <c r="C4843" s="763"/>
      <c r="D4843" s="763"/>
      <c r="E4843" s="763"/>
      <c r="F4843" s="764"/>
      <c r="G4843" s="763" t="s">
        <v>146</v>
      </c>
      <c r="H4843" s="763"/>
      <c r="I4843" s="765"/>
      <c r="J4843" s="763"/>
      <c r="K4843" s="763" t="s">
        <v>3</v>
      </c>
      <c r="L4843" s="766" t="s">
        <v>143</v>
      </c>
      <c r="M4843" s="766"/>
      <c r="N4843" s="766"/>
      <c r="O4843" s="766"/>
      <c r="P4843" s="766"/>
      <c r="Q4843" s="767"/>
      <c r="R4843" s="768">
        <f ca="1">SUM(R4839:R4842)</f>
        <v>64.680000000000007</v>
      </c>
      <c r="S4843" s="763"/>
      <c r="T4843" s="768">
        <f ca="1">SUM(T4839:T4842)</f>
        <v>4.6900000000000004</v>
      </c>
      <c r="U4843" s="531"/>
      <c r="V4843" s="531"/>
      <c r="W4843" s="531"/>
      <c r="X4843" s="531"/>
      <c r="Y4843" s="531"/>
      <c r="Z4843" s="531"/>
      <c r="AA4843" s="531"/>
      <c r="AB4843" s="531"/>
      <c r="AC4843" s="531"/>
      <c r="AD4843" s="531"/>
      <c r="AE4843" s="531"/>
      <c r="AF4843" s="531"/>
      <c r="AG4843" s="531"/>
      <c r="AH4843" s="531"/>
      <c r="AI4843" s="531"/>
      <c r="AJ4843" s="531"/>
      <c r="AK4843" s="531"/>
      <c r="AL4843" s="531"/>
      <c r="AM4843" s="531"/>
      <c r="AN4843" s="531"/>
      <c r="AO4843" s="531"/>
      <c r="AR4843" s="761" t="s">
        <v>145</v>
      </c>
      <c r="AS4843" s="764"/>
    </row>
    <row r="4844" spans="1:45" s="520" customFormat="1" ht="12" thickTop="1">
      <c r="A4844" s="51"/>
      <c r="B4844" s="41"/>
      <c r="C4844" s="51"/>
      <c r="E4844" s="42" t="s">
        <v>138</v>
      </c>
      <c r="F4844" s="42" t="s">
        <v>139</v>
      </c>
      <c r="G4844" s="51"/>
      <c r="H4844" s="51"/>
      <c r="I4844" s="51"/>
      <c r="J4844" s="51"/>
      <c r="K4844" s="51" t="s">
        <v>140</v>
      </c>
      <c r="L4844" s="51"/>
      <c r="M4844" s="51"/>
      <c r="N4844" s="51"/>
      <c r="O4844" s="52"/>
      <c r="P4844" s="51"/>
      <c r="Q4844" s="51"/>
      <c r="R4844" s="51"/>
      <c r="S4844" s="51"/>
      <c r="T4844" s="41"/>
      <c r="AG4844" s="521" t="s">
        <v>268</v>
      </c>
      <c r="AH4844" s="521" t="s">
        <v>269</v>
      </c>
      <c r="AI4844" s="521" t="s">
        <v>270</v>
      </c>
      <c r="AJ4844" s="521" t="s">
        <v>271</v>
      </c>
      <c r="AK4844" s="521" t="s">
        <v>272</v>
      </c>
      <c r="AM4844" s="745" t="s">
        <v>281</v>
      </c>
      <c r="AN4844" s="746" t="s">
        <v>282</v>
      </c>
      <c r="AO4844" s="522" t="s">
        <v>278</v>
      </c>
      <c r="AR4844" s="51"/>
      <c r="AS4844" s="42" t="s">
        <v>139</v>
      </c>
    </row>
    <row r="4845" spans="1:45" s="520" customFormat="1" ht="12" customHeight="1">
      <c r="A4845" s="747">
        <v>1</v>
      </c>
      <c r="B4845" s="523" t="s">
        <v>141</v>
      </c>
      <c r="C4845" s="748"/>
      <c r="D4845" s="749" t="s">
        <v>1820</v>
      </c>
      <c r="E4845" s="750">
        <f ca="1">IF(AND($A4845=0,$A$1="DIF"),0, ROUND(ROUND(($R4850*$S$2+($T4850*$T$2))/A4845,2)*$C$2,2))</f>
        <v>2023.34</v>
      </c>
      <c r="F4845" s="751">
        <f ca="1">ROUND($A4845*$E4845,2)</f>
        <v>2023.34</v>
      </c>
      <c r="G4845" s="752" t="s">
        <v>142</v>
      </c>
      <c r="H4845" s="753"/>
      <c r="I4845" s="754"/>
      <c r="J4845" s="753"/>
      <c r="K4845" s="753" t="s">
        <v>3</v>
      </c>
      <c r="L4845" s="755" t="s">
        <v>143</v>
      </c>
      <c r="M4845" s="755"/>
      <c r="N4845" s="755"/>
      <c r="O4845" s="755"/>
      <c r="P4845" s="755"/>
      <c r="Q4845" s="51"/>
      <c r="T4845" s="756" t="str">
        <f ca="1">IF(AND($R4850=0,$T4850=0),"0.00","mu :" &amp; ROUND($F4845/$C$2/($R4850+$T4850*$D$9),2))</f>
        <v>mu :1.23</v>
      </c>
      <c r="W4845" s="524"/>
      <c r="AG4845" s="481">
        <f ca="1">IF($E4845=0,0,ROUND($R4850*$S$2*$C$2/$A4845,2))</f>
        <v>748.26</v>
      </c>
      <c r="AH4845" s="481">
        <f ca="1">$AG4845*$A4845</f>
        <v>748.26</v>
      </c>
      <c r="AI4845" s="525">
        <f ca="1">$E4845-$AG4845</f>
        <v>1275.08</v>
      </c>
      <c r="AJ4845" s="525">
        <f ca="1">$A4845*$AI4845</f>
        <v>1275.08</v>
      </c>
      <c r="AK4845" s="526">
        <f ca="1">ROUND(($AG4845+$AI4845)*$A4845,2)</f>
        <v>2023.34</v>
      </c>
      <c r="AM4845" s="527">
        <f ca="1">ROUND(R4850,2)</f>
        <v>607.67999999999995</v>
      </c>
      <c r="AN4845" s="528">
        <f ca="1">ROUND(T4850,2)</f>
        <v>37.71</v>
      </c>
      <c r="AO4845" s="529">
        <f ca="1">ROUND(AM4845+AN4845,2)*A4845</f>
        <v>645.39</v>
      </c>
      <c r="AR4845" s="747">
        <v>1</v>
      </c>
      <c r="AS4845" s="751">
        <v>2163.3200000000002</v>
      </c>
    </row>
    <row r="4846" spans="1:45" s="520" customFormat="1" ht="13.2">
      <c r="A4846" s="748"/>
      <c r="B4846"/>
      <c r="C4846" s="748"/>
      <c r="D4846" s="749" t="s">
        <v>858</v>
      </c>
      <c r="F4846" s="753"/>
      <c r="G4846" s="3"/>
      <c r="H4846" s="753"/>
      <c r="I4846" s="754"/>
      <c r="J4846" s="753"/>
      <c r="K4846" s="753" t="s">
        <v>144</v>
      </c>
      <c r="L4846" s="753"/>
      <c r="M4846" s="753"/>
      <c r="N4846" s="753"/>
      <c r="O4846" s="753"/>
      <c r="P4846" s="753"/>
      <c r="Q4846" s="51"/>
      <c r="R4846" s="530"/>
      <c r="S4846" s="757"/>
      <c r="T4846" s="753"/>
      <c r="AR4846" s="748"/>
      <c r="AS4846" s="753"/>
    </row>
    <row r="4847" spans="1:45" s="886" customFormat="1" ht="13.2">
      <c r="A4847"/>
      <c r="B4847" s="910"/>
      <c r="C4847" s="910" t="s">
        <v>2597</v>
      </c>
      <c r="D4847" s="910" t="str">
        <f ca="1">CELL("Address",Elec_Rates!D$56)</f>
        <v>[E25_0062_Quintano_Foods_Elec_ELV_As_Awarded.xlsx]Elec_Rates!$D$56</v>
      </c>
      <c r="E4847" s="911"/>
      <c r="F4847" s="911"/>
      <c r="G4847" s="912" t="s">
        <v>2598</v>
      </c>
      <c r="H4847" s="912"/>
      <c r="I4847" s="912"/>
      <c r="J4847" s="912"/>
      <c r="K4847" s="913"/>
      <c r="L4847" s="911"/>
      <c r="M4847" s="911"/>
      <c r="N4847" s="911"/>
      <c r="O4847" s="914"/>
      <c r="P4847" s="911"/>
      <c r="Q4847" s="915"/>
      <c r="R4847" s="916"/>
      <c r="S4847" s="915"/>
      <c r="T4847" s="917"/>
      <c r="U4847" s="918"/>
      <c r="AR4847"/>
      <c r="AS4847" s="911"/>
    </row>
    <row r="4848" spans="1:45" s="886" customFormat="1" ht="11.4">
      <c r="A4848" s="919">
        <v>1</v>
      </c>
      <c r="B4848" s="920">
        <v>9</v>
      </c>
      <c r="C4848" s="920">
        <f>$A4848*$B4848</f>
        <v>9</v>
      </c>
      <c r="D4848" s="921" t="str">
        <f>Elec_Rates!$D$56</f>
        <v>005# Externall Light point rate (Galvanised Conduit)</v>
      </c>
      <c r="E4848" s="921" t="s">
        <v>3041</v>
      </c>
      <c r="F4848" s="918"/>
      <c r="G4848" s="922" t="s">
        <v>2878</v>
      </c>
      <c r="H4848" s="922"/>
      <c r="I4848" s="922"/>
      <c r="J4848" s="922"/>
      <c r="K4848" s="923"/>
      <c r="L4848" s="918"/>
      <c r="M4848" s="918"/>
      <c r="N4848" s="918"/>
      <c r="O4848" s="924"/>
      <c r="P4848" s="921"/>
      <c r="Q4848" s="925">
        <f ca="1">$B4848*Elec_Rates!$R$56</f>
        <v>607.67999999999995</v>
      </c>
      <c r="R4848" s="916">
        <f ca="1">$A4848*Q4848</f>
        <v>607.67999999999995</v>
      </c>
      <c r="S4848" s="925">
        <f ca="1">$B4848*Elec_Rates!$T$56</f>
        <v>37.71</v>
      </c>
      <c r="T4848" s="917">
        <f ca="1">$A4848*S4848</f>
        <v>37.71</v>
      </c>
      <c r="U4848" s="926"/>
      <c r="AR4848" s="919">
        <v>1</v>
      </c>
      <c r="AS4848" s="918"/>
    </row>
    <row r="4849" spans="1:45" s="520" customFormat="1" ht="12">
      <c r="A4849" s="758"/>
      <c r="B4849" s="758"/>
      <c r="C4849" s="758"/>
      <c r="D4849" s="758"/>
      <c r="E4849" s="758"/>
      <c r="F4849" s="753"/>
      <c r="G4849" s="758"/>
      <c r="H4849" s="758"/>
      <c r="I4849" s="519"/>
      <c r="J4849" s="758"/>
      <c r="K4849" s="758"/>
      <c r="L4849" s="758"/>
      <c r="M4849" s="758"/>
      <c r="N4849" s="758"/>
      <c r="O4849" s="758"/>
      <c r="P4849" s="758"/>
      <c r="Q4849" s="519"/>
      <c r="R4849" s="759">
        <f>$A4849*Q4849</f>
        <v>0</v>
      </c>
      <c r="S4849" s="519"/>
      <c r="T4849" s="760">
        <f>$A4849*S4849*$T$1</f>
        <v>0</v>
      </c>
      <c r="AR4849" s="758"/>
      <c r="AS4849" s="753"/>
    </row>
    <row r="4850" spans="1:45" s="520" customFormat="1" ht="12.6" thickBot="1">
      <c r="A4850" s="761" t="s">
        <v>145</v>
      </c>
      <c r="B4850" s="762">
        <f>(R4849+T4849)</f>
        <v>0</v>
      </c>
      <c r="C4850" s="763"/>
      <c r="D4850" s="763"/>
      <c r="E4850" s="763"/>
      <c r="F4850" s="764"/>
      <c r="G4850" s="763" t="s">
        <v>146</v>
      </c>
      <c r="H4850" s="763"/>
      <c r="I4850" s="765"/>
      <c r="J4850" s="763"/>
      <c r="K4850" s="763" t="s">
        <v>3</v>
      </c>
      <c r="L4850" s="766" t="s">
        <v>143</v>
      </c>
      <c r="M4850" s="766"/>
      <c r="N4850" s="766"/>
      <c r="O4850" s="766"/>
      <c r="P4850" s="766"/>
      <c r="Q4850" s="767"/>
      <c r="R4850" s="768">
        <f ca="1">SUM(R4846:R4849)</f>
        <v>607.67999999999995</v>
      </c>
      <c r="S4850" s="763"/>
      <c r="T4850" s="768">
        <f ca="1">SUM(T4846:T4849)</f>
        <v>37.71</v>
      </c>
      <c r="U4850" s="531"/>
      <c r="V4850" s="531"/>
      <c r="W4850" s="531"/>
      <c r="X4850" s="531"/>
      <c r="Y4850" s="531"/>
      <c r="Z4850" s="531"/>
      <c r="AA4850" s="531"/>
      <c r="AB4850" s="531"/>
      <c r="AC4850" s="531"/>
      <c r="AD4850" s="531"/>
      <c r="AE4850" s="531"/>
      <c r="AF4850" s="531"/>
      <c r="AG4850" s="531"/>
      <c r="AH4850" s="531"/>
      <c r="AI4850" s="531"/>
      <c r="AJ4850" s="531"/>
      <c r="AK4850" s="531"/>
      <c r="AL4850" s="531"/>
      <c r="AM4850" s="531"/>
      <c r="AN4850" s="531"/>
      <c r="AO4850" s="531"/>
      <c r="AR4850" s="761" t="s">
        <v>145</v>
      </c>
      <c r="AS4850" s="764"/>
    </row>
    <row r="4851" spans="1:45" s="520" customFormat="1" ht="12" thickTop="1">
      <c r="A4851" s="51"/>
      <c r="B4851" s="41"/>
      <c r="C4851" s="51"/>
      <c r="E4851" s="42" t="s">
        <v>138</v>
      </c>
      <c r="F4851" s="42" t="s">
        <v>139</v>
      </c>
      <c r="G4851" s="51"/>
      <c r="H4851" s="51"/>
      <c r="I4851" s="51"/>
      <c r="J4851" s="51"/>
      <c r="K4851" s="51" t="s">
        <v>140</v>
      </c>
      <c r="L4851" s="51"/>
      <c r="M4851" s="51"/>
      <c r="N4851" s="51"/>
      <c r="O4851" s="52"/>
      <c r="P4851" s="51"/>
      <c r="Q4851" s="51"/>
      <c r="R4851" s="51"/>
      <c r="S4851" s="51"/>
      <c r="T4851" s="41"/>
      <c r="AG4851" s="521" t="s">
        <v>268</v>
      </c>
      <c r="AH4851" s="521" t="s">
        <v>269</v>
      </c>
      <c r="AI4851" s="521" t="s">
        <v>270</v>
      </c>
      <c r="AJ4851" s="521" t="s">
        <v>271</v>
      </c>
      <c r="AK4851" s="521" t="s">
        <v>272</v>
      </c>
      <c r="AM4851" s="745" t="s">
        <v>281</v>
      </c>
      <c r="AN4851" s="746" t="s">
        <v>282</v>
      </c>
      <c r="AO4851" s="522" t="s">
        <v>278</v>
      </c>
      <c r="AR4851" s="51"/>
      <c r="AS4851" s="42" t="s">
        <v>139</v>
      </c>
    </row>
    <row r="4852" spans="1:45" s="520" customFormat="1" ht="12" customHeight="1">
      <c r="A4852" s="747">
        <v>28</v>
      </c>
      <c r="B4852" s="523" t="s">
        <v>141</v>
      </c>
      <c r="C4852" s="748"/>
      <c r="D4852" s="749" t="s">
        <v>1821</v>
      </c>
      <c r="E4852" s="750">
        <f>IF(AND($A4852=0,$A$1="DIF"),0, ROUND(ROUND(($R4856*$S$2+($T4856*$T$2))/A4852,2)*$C$2,2))</f>
        <v>0</v>
      </c>
      <c r="F4852" s="751">
        <f>ROUND($A4852*$E4852,2)</f>
        <v>0</v>
      </c>
      <c r="G4852" s="752" t="s">
        <v>142</v>
      </c>
      <c r="H4852" s="753"/>
      <c r="I4852" s="754"/>
      <c r="J4852" s="753"/>
      <c r="K4852" s="753" t="s">
        <v>3</v>
      </c>
      <c r="L4852" s="755" t="s">
        <v>143</v>
      </c>
      <c r="M4852" s="755"/>
      <c r="N4852" s="755"/>
      <c r="O4852" s="755"/>
      <c r="P4852" s="755"/>
      <c r="Q4852" s="911" t="s">
        <v>2895</v>
      </c>
      <c r="T4852" s="756" t="str">
        <f>IF(AND($R4856=0,$T4856=0),"0.00","mu :" &amp; ROUND($F4852/$C$2/($R4856+$T4856*$D$9),2))</f>
        <v>0.00</v>
      </c>
      <c r="W4852" s="524"/>
      <c r="AG4852" s="481">
        <f>IF($E4852=0,0,ROUND($R4856*$S$2*$C$2/$A4852,2))</f>
        <v>0</v>
      </c>
      <c r="AH4852" s="481">
        <f>$AG4852*$A4852</f>
        <v>0</v>
      </c>
      <c r="AI4852" s="525">
        <f>$E4852-$AG4852</f>
        <v>0</v>
      </c>
      <c r="AJ4852" s="525">
        <f>$A4852*$AI4852</f>
        <v>0</v>
      </c>
      <c r="AK4852" s="526">
        <f>ROUND(($AG4852+$AI4852)*$A4852,2)</f>
        <v>0</v>
      </c>
      <c r="AM4852" s="527">
        <f>ROUND(R4856,2)</f>
        <v>0</v>
      </c>
      <c r="AN4852" s="528">
        <f>ROUND(T4856,2)</f>
        <v>0</v>
      </c>
      <c r="AO4852" s="529">
        <f>ROUND(AM4852+AN4852,2)*A4852</f>
        <v>0</v>
      </c>
      <c r="AR4852" s="747">
        <v>28</v>
      </c>
      <c r="AS4852" s="751">
        <v>0</v>
      </c>
    </row>
    <row r="4853" spans="1:45" s="520" customFormat="1" ht="13.2">
      <c r="A4853" s="748"/>
      <c r="B4853"/>
      <c r="C4853" s="748"/>
      <c r="D4853" s="749" t="s">
        <v>776</v>
      </c>
      <c r="F4853" s="753"/>
      <c r="G4853" s="3"/>
      <c r="H4853" s="753"/>
      <c r="I4853" s="754"/>
      <c r="J4853" s="753"/>
      <c r="K4853" s="753" t="s">
        <v>144</v>
      </c>
      <c r="L4853" s="753"/>
      <c r="M4853" s="753"/>
      <c r="N4853" s="753"/>
      <c r="O4853" s="753"/>
      <c r="P4853" s="753"/>
      <c r="Q4853" s="51"/>
      <c r="R4853" s="530"/>
      <c r="S4853" s="757"/>
      <c r="T4853" s="753"/>
      <c r="AR4853" s="748"/>
      <c r="AS4853" s="753"/>
    </row>
    <row r="4854" spans="1:45" s="520" customFormat="1" ht="12">
      <c r="A4854" s="51"/>
      <c r="B4854" s="758"/>
      <c r="C4854" s="758"/>
      <c r="D4854" s="1061" t="s">
        <v>3253</v>
      </c>
      <c r="E4854" s="758"/>
      <c r="F4854" s="753"/>
      <c r="G4854" s="758"/>
      <c r="H4854" s="758"/>
      <c r="I4854" s="519"/>
      <c r="J4854" s="758"/>
      <c r="K4854" s="758"/>
      <c r="L4854" s="758"/>
      <c r="M4854" s="758"/>
      <c r="N4854" s="758"/>
      <c r="O4854" s="758"/>
      <c r="P4854" s="758"/>
      <c r="Q4854" s="519"/>
      <c r="R4854" s="759">
        <f t="shared" ref="R4854:R4855" si="130">$A4854*Q4854</f>
        <v>0</v>
      </c>
      <c r="S4854" s="519"/>
      <c r="T4854" s="760">
        <f t="shared" ref="T4854:T4855" si="131">$A4854*S4854*$T$1</f>
        <v>0</v>
      </c>
      <c r="AR4854" s="51"/>
      <c r="AS4854" s="753"/>
    </row>
    <row r="4855" spans="1:45" s="520" customFormat="1" ht="12">
      <c r="A4855" s="758"/>
      <c r="B4855" s="758"/>
      <c r="C4855" s="758"/>
      <c r="D4855" s="758"/>
      <c r="E4855" s="758"/>
      <c r="F4855" s="753"/>
      <c r="G4855" s="758"/>
      <c r="H4855" s="758"/>
      <c r="I4855" s="519"/>
      <c r="J4855" s="758"/>
      <c r="K4855" s="758"/>
      <c r="L4855" s="758"/>
      <c r="M4855" s="758"/>
      <c r="N4855" s="758"/>
      <c r="O4855" s="758"/>
      <c r="P4855" s="758"/>
      <c r="Q4855" s="519"/>
      <c r="R4855" s="759">
        <f t="shared" si="130"/>
        <v>0</v>
      </c>
      <c r="S4855" s="519"/>
      <c r="T4855" s="760">
        <f t="shared" si="131"/>
        <v>0</v>
      </c>
      <c r="AR4855" s="758"/>
      <c r="AS4855" s="753"/>
    </row>
    <row r="4856" spans="1:45" s="520" customFormat="1" ht="12.6" thickBot="1">
      <c r="A4856" s="761" t="s">
        <v>145</v>
      </c>
      <c r="B4856" s="762">
        <f>(R4855+T4855)</f>
        <v>0</v>
      </c>
      <c r="C4856" s="763"/>
      <c r="D4856" s="763"/>
      <c r="E4856" s="763"/>
      <c r="F4856" s="764"/>
      <c r="G4856" s="763" t="s">
        <v>146</v>
      </c>
      <c r="H4856" s="763"/>
      <c r="I4856" s="765"/>
      <c r="J4856" s="763"/>
      <c r="K4856" s="763" t="s">
        <v>3</v>
      </c>
      <c r="L4856" s="766" t="s">
        <v>143</v>
      </c>
      <c r="M4856" s="766"/>
      <c r="N4856" s="766"/>
      <c r="O4856" s="766"/>
      <c r="P4856" s="766"/>
      <c r="Q4856" s="767"/>
      <c r="R4856" s="768">
        <f>SUM(R4853:R4855)</f>
        <v>0</v>
      </c>
      <c r="S4856" s="763"/>
      <c r="T4856" s="768">
        <f>SUM(T4853:T4855)</f>
        <v>0</v>
      </c>
      <c r="U4856" s="531"/>
      <c r="V4856" s="531"/>
      <c r="W4856" s="531"/>
      <c r="X4856" s="531"/>
      <c r="Y4856" s="531"/>
      <c r="Z4856" s="531"/>
      <c r="AA4856" s="531"/>
      <c r="AB4856" s="531"/>
      <c r="AC4856" s="531"/>
      <c r="AD4856" s="531"/>
      <c r="AE4856" s="531"/>
      <c r="AF4856" s="531"/>
      <c r="AG4856" s="531"/>
      <c r="AH4856" s="531"/>
      <c r="AI4856" s="531"/>
      <c r="AJ4856" s="531"/>
      <c r="AK4856" s="531"/>
      <c r="AL4856" s="531"/>
      <c r="AM4856" s="531"/>
      <c r="AN4856" s="531"/>
      <c r="AO4856" s="531"/>
      <c r="AR4856" s="761" t="s">
        <v>145</v>
      </c>
      <c r="AS4856" s="764"/>
    </row>
    <row r="4857" spans="1:45" s="520" customFormat="1" ht="12" thickTop="1">
      <c r="A4857" s="51"/>
      <c r="B4857" s="41"/>
      <c r="C4857" s="51"/>
      <c r="E4857" s="42" t="s">
        <v>138</v>
      </c>
      <c r="F4857" s="42" t="s">
        <v>139</v>
      </c>
      <c r="G4857" s="51"/>
      <c r="H4857" s="51"/>
      <c r="I4857" s="51"/>
      <c r="J4857" s="51"/>
      <c r="K4857" s="51" t="s">
        <v>140</v>
      </c>
      <c r="L4857" s="51"/>
      <c r="M4857" s="51"/>
      <c r="N4857" s="51"/>
      <c r="O4857" s="52"/>
      <c r="P4857" s="51"/>
      <c r="Q4857" s="51"/>
      <c r="R4857" s="51"/>
      <c r="S4857" s="51"/>
      <c r="T4857" s="41"/>
      <c r="AG4857" s="521" t="s">
        <v>268</v>
      </c>
      <c r="AH4857" s="521" t="s">
        <v>269</v>
      </c>
      <c r="AI4857" s="521" t="s">
        <v>270</v>
      </c>
      <c r="AJ4857" s="521" t="s">
        <v>271</v>
      </c>
      <c r="AK4857" s="521" t="s">
        <v>272</v>
      </c>
      <c r="AM4857" s="745" t="s">
        <v>281</v>
      </c>
      <c r="AN4857" s="746" t="s">
        <v>282</v>
      </c>
      <c r="AO4857" s="522" t="s">
        <v>278</v>
      </c>
      <c r="AR4857" s="51"/>
      <c r="AS4857" s="42" t="s">
        <v>139</v>
      </c>
    </row>
    <row r="4858" spans="1:45" s="520" customFormat="1" ht="12" customHeight="1">
      <c r="A4858" s="747">
        <v>6</v>
      </c>
      <c r="B4858" s="523" t="s">
        <v>141</v>
      </c>
      <c r="C4858" s="748"/>
      <c r="D4858" s="749" t="s">
        <v>1822</v>
      </c>
      <c r="E4858" s="750">
        <f ca="1">IF(AND($A4858=0,$A$1="DIF"),0, ROUND(ROUND(($R4863*$S$2+($T4863*$T$2))/A4858,2)*$C$2,2))</f>
        <v>46.93</v>
      </c>
      <c r="F4858" s="751">
        <f ca="1">ROUND($A4858*$E4858,2)</f>
        <v>281.58</v>
      </c>
      <c r="G4858" s="752" t="s">
        <v>142</v>
      </c>
      <c r="H4858" s="753"/>
      <c r="I4858" s="754"/>
      <c r="J4858" s="753"/>
      <c r="K4858" s="753" t="s">
        <v>3</v>
      </c>
      <c r="L4858" s="755" t="s">
        <v>143</v>
      </c>
      <c r="M4858" s="755"/>
      <c r="N4858" s="755"/>
      <c r="O4858" s="755"/>
      <c r="P4858" s="755"/>
      <c r="Q4858" s="51"/>
      <c r="T4858" s="756" t="str">
        <f ca="1">IF(AND($R4863=0,$T4863=0),"0.00","mu :" &amp; ROUND($F4858/$C$2/($R4863+$T4863*$D$9),2))</f>
        <v>mu :1.23</v>
      </c>
      <c r="W4858" s="524"/>
      <c r="AG4858" s="481">
        <f ca="1">IF($E4858=0,0,ROUND($R4863*$S$2*$C$2/$A4858,2))</f>
        <v>15.82</v>
      </c>
      <c r="AH4858" s="481">
        <f ca="1">$AG4858*$A4858</f>
        <v>94.92</v>
      </c>
      <c r="AI4858" s="525">
        <f ca="1">$E4858-$AG4858</f>
        <v>31.11</v>
      </c>
      <c r="AJ4858" s="525">
        <f ca="1">$A4858*$AI4858</f>
        <v>186.66</v>
      </c>
      <c r="AK4858" s="526">
        <f ca="1">ROUND(($AG4858+$AI4858)*$A4858,2)</f>
        <v>281.58</v>
      </c>
      <c r="AM4858" s="527">
        <f ca="1">ROUND(R4863,2)</f>
        <v>77.099999999999994</v>
      </c>
      <c r="AN4858" s="528">
        <f ca="1">ROUND(T4863,2)</f>
        <v>5.52</v>
      </c>
      <c r="AO4858" s="529">
        <f ca="1">ROUND(AM4858+AN4858,2)*A4858</f>
        <v>495.72</v>
      </c>
      <c r="AR4858" s="747">
        <v>6</v>
      </c>
      <c r="AS4858" s="751">
        <v>303.89999999999998</v>
      </c>
    </row>
    <row r="4859" spans="1:45" s="520" customFormat="1" ht="13.2">
      <c r="A4859" s="748"/>
      <c r="B4859"/>
      <c r="C4859" s="748"/>
      <c r="D4859" s="749" t="s">
        <v>777</v>
      </c>
      <c r="F4859" s="753"/>
      <c r="G4859" s="3"/>
      <c r="H4859" s="753"/>
      <c r="I4859" s="754"/>
      <c r="J4859" s="753"/>
      <c r="K4859" s="753" t="s">
        <v>144</v>
      </c>
      <c r="L4859" s="753"/>
      <c r="M4859" s="753"/>
      <c r="N4859" s="753"/>
      <c r="O4859" s="753"/>
      <c r="P4859" s="753"/>
      <c r="Q4859" s="51"/>
      <c r="R4859" s="530"/>
      <c r="S4859" s="757"/>
      <c r="T4859" s="753"/>
      <c r="AR4859" s="748"/>
      <c r="AS4859" s="753"/>
    </row>
    <row r="4860" spans="1:45" s="886" customFormat="1" ht="13.2">
      <c r="A4860"/>
      <c r="B4860" s="910"/>
      <c r="C4860" s="910" t="s">
        <v>2597</v>
      </c>
      <c r="D4860" s="910" t="str">
        <f ca="1">CELL("Address",Elec_Rates!D$30)</f>
        <v>[E25_0062_Quintano_Foods_Elec_ELV_As_Awarded.xlsx]Elec_Rates!$D$30</v>
      </c>
      <c r="E4860" s="911"/>
      <c r="F4860" s="911"/>
      <c r="G4860" s="912" t="s">
        <v>2598</v>
      </c>
      <c r="H4860" s="912"/>
      <c r="I4860" s="912"/>
      <c r="J4860" s="912"/>
      <c r="K4860" s="913"/>
      <c r="L4860" s="911"/>
      <c r="M4860" s="911"/>
      <c r="N4860" s="911"/>
      <c r="O4860" s="914"/>
      <c r="P4860" s="911"/>
      <c r="Q4860" s="915"/>
      <c r="R4860" s="916"/>
      <c r="S4860" s="915"/>
      <c r="T4860" s="917"/>
      <c r="U4860" s="918"/>
      <c r="AR4860"/>
      <c r="AS4860" s="911"/>
    </row>
    <row r="4861" spans="1:45" s="886" customFormat="1" ht="11.4">
      <c r="A4861" s="919">
        <v>6</v>
      </c>
      <c r="B4861" s="920">
        <v>1</v>
      </c>
      <c r="C4861" s="920">
        <f>$A4861*$B4861</f>
        <v>6</v>
      </c>
      <c r="D4861" s="921" t="str">
        <f>Elec_Rates!$D$30</f>
        <v>002# Maintaned Emergency Light point rate (LSZH Conduit)</v>
      </c>
      <c r="E4861" s="921"/>
      <c r="F4861" s="921" t="s">
        <v>2599</v>
      </c>
      <c r="G4861" s="922" t="s">
        <v>2600</v>
      </c>
      <c r="H4861" s="922"/>
      <c r="I4861" s="922"/>
      <c r="J4861" s="922"/>
      <c r="K4861" s="923"/>
      <c r="L4861" s="918"/>
      <c r="M4861" s="918"/>
      <c r="N4861" s="918"/>
      <c r="O4861" s="924"/>
      <c r="P4861" s="921"/>
      <c r="Q4861" s="925">
        <f ca="1">$B4861*Elec_Rates!$R$30</f>
        <v>12.85</v>
      </c>
      <c r="R4861" s="916">
        <f ca="1">$A4861*Q4861</f>
        <v>77.099999999999994</v>
      </c>
      <c r="S4861" s="925">
        <f ca="1">$B4861*Elec_Rates!$T$30</f>
        <v>0.92</v>
      </c>
      <c r="T4861" s="917">
        <f ca="1">$A4861*S4861</f>
        <v>5.5200000000000005</v>
      </c>
      <c r="U4861" s="926"/>
      <c r="AR4861" s="919">
        <v>6</v>
      </c>
      <c r="AS4861" s="921" t="s">
        <v>2599</v>
      </c>
    </row>
    <row r="4862" spans="1:45" s="520" customFormat="1" ht="12">
      <c r="A4862" s="758"/>
      <c r="B4862" s="758"/>
      <c r="C4862" s="758"/>
      <c r="D4862" s="758"/>
      <c r="E4862" s="758"/>
      <c r="F4862" s="753"/>
      <c r="G4862" s="758"/>
      <c r="H4862" s="758"/>
      <c r="I4862" s="519"/>
      <c r="J4862" s="758"/>
      <c r="K4862" s="758"/>
      <c r="L4862" s="758"/>
      <c r="M4862" s="758"/>
      <c r="N4862" s="758"/>
      <c r="O4862" s="758"/>
      <c r="P4862" s="758"/>
      <c r="Q4862" s="519"/>
      <c r="R4862" s="759">
        <f>$A4862*Q4862</f>
        <v>0</v>
      </c>
      <c r="S4862" s="519"/>
      <c r="T4862" s="760">
        <f>$A4862*S4862*$T$1</f>
        <v>0</v>
      </c>
      <c r="AR4862" s="758"/>
      <c r="AS4862" s="753"/>
    </row>
    <row r="4863" spans="1:45" s="520" customFormat="1" ht="12.6" thickBot="1">
      <c r="A4863" s="761" t="s">
        <v>145</v>
      </c>
      <c r="B4863" s="762">
        <f>(R4862+T4862)</f>
        <v>0</v>
      </c>
      <c r="C4863" s="763"/>
      <c r="D4863" s="763"/>
      <c r="E4863" s="763"/>
      <c r="F4863" s="764"/>
      <c r="G4863" s="763" t="s">
        <v>146</v>
      </c>
      <c r="H4863" s="763"/>
      <c r="I4863" s="765"/>
      <c r="J4863" s="763"/>
      <c r="K4863" s="763" t="s">
        <v>3</v>
      </c>
      <c r="L4863" s="766" t="s">
        <v>143</v>
      </c>
      <c r="M4863" s="766"/>
      <c r="N4863" s="766"/>
      <c r="O4863" s="766"/>
      <c r="P4863" s="766"/>
      <c r="Q4863" s="767"/>
      <c r="R4863" s="768">
        <f ca="1">SUM(R4859:R4862)</f>
        <v>77.099999999999994</v>
      </c>
      <c r="S4863" s="763"/>
      <c r="T4863" s="768">
        <f ca="1">SUM(T4859:T4862)</f>
        <v>5.5200000000000005</v>
      </c>
      <c r="U4863" s="531"/>
      <c r="V4863" s="531"/>
      <c r="W4863" s="531"/>
      <c r="X4863" s="531"/>
      <c r="Y4863" s="531"/>
      <c r="Z4863" s="531"/>
      <c r="AA4863" s="531"/>
      <c r="AB4863" s="531"/>
      <c r="AC4863" s="531"/>
      <c r="AD4863" s="531"/>
      <c r="AE4863" s="531"/>
      <c r="AF4863" s="531"/>
      <c r="AG4863" s="531"/>
      <c r="AH4863" s="531"/>
      <c r="AI4863" s="531"/>
      <c r="AJ4863" s="531"/>
      <c r="AK4863" s="531"/>
      <c r="AL4863" s="531"/>
      <c r="AM4863" s="531"/>
      <c r="AN4863" s="531"/>
      <c r="AO4863" s="531"/>
      <c r="AR4863" s="761" t="s">
        <v>145</v>
      </c>
      <c r="AS4863" s="764"/>
    </row>
    <row r="4864" spans="1:45" s="520" customFormat="1" thickTop="1">
      <c r="A4864" s="51"/>
      <c r="B4864" s="51"/>
      <c r="C4864" s="3"/>
      <c r="D4864" s="3"/>
      <c r="E4864" s="51"/>
      <c r="F4864" s="51"/>
      <c r="G4864" s="51"/>
      <c r="H4864" s="51"/>
      <c r="I4864" s="51"/>
      <c r="J4864" s="51"/>
      <c r="K4864" s="51" t="s">
        <v>134</v>
      </c>
      <c r="L4864" s="51"/>
      <c r="M4864" s="51"/>
      <c r="N4864" s="51"/>
      <c r="O4864" s="52"/>
      <c r="P4864" s="51"/>
      <c r="Q4864" s="51"/>
      <c r="R4864" s="51"/>
      <c r="S4864" s="51"/>
      <c r="T4864" s="51"/>
      <c r="AR4864" s="51"/>
      <c r="AS4864" s="51"/>
    </row>
    <row r="4865" spans="1:45" s="520" customFormat="1" ht="12">
      <c r="A4865" s="51"/>
      <c r="B4865" s="51"/>
      <c r="C4865" s="51" t="s">
        <v>135</v>
      </c>
      <c r="D4865" s="37"/>
      <c r="E4865" s="51"/>
      <c r="F4865" s="51"/>
      <c r="G4865" s="51"/>
      <c r="H4865" s="51"/>
      <c r="I4865" s="51"/>
      <c r="J4865" s="51"/>
      <c r="K4865" s="51"/>
      <c r="L4865" s="51"/>
      <c r="M4865" s="51"/>
      <c r="N4865" s="51"/>
      <c r="O4865" s="52"/>
      <c r="P4865" s="51"/>
      <c r="Q4865" s="51"/>
      <c r="R4865" s="51"/>
      <c r="S4865" s="51"/>
      <c r="T4865" s="51"/>
      <c r="AR4865" s="51"/>
      <c r="AS4865" s="51"/>
    </row>
    <row r="4866" spans="1:45" s="520" customFormat="1" ht="12">
      <c r="A4866" s="51"/>
      <c r="B4866" s="51"/>
      <c r="C4866" s="51"/>
      <c r="D4866" s="37" t="s">
        <v>778</v>
      </c>
      <c r="E4866" s="51"/>
      <c r="F4866" s="51"/>
      <c r="G4866" s="51"/>
      <c r="H4866" s="51"/>
      <c r="I4866" s="51"/>
      <c r="J4866" s="51"/>
      <c r="K4866" s="51"/>
      <c r="L4866" s="51"/>
      <c r="M4866" s="51"/>
      <c r="N4866" s="51"/>
      <c r="O4866" s="52"/>
      <c r="P4866" s="51"/>
      <c r="Q4866" s="51"/>
      <c r="R4866" s="51"/>
      <c r="S4866" s="38"/>
      <c r="T4866" s="38"/>
      <c r="AR4866" s="51"/>
      <c r="AS4866" s="51"/>
    </row>
    <row r="4867" spans="1:45" s="3" customFormat="1" thickBot="1">
      <c r="A4867" s="531"/>
      <c r="O4867" s="107"/>
      <c r="AR4867" s="531"/>
    </row>
    <row r="4868" spans="1:45" s="520" customFormat="1" ht="12" thickTop="1">
      <c r="A4868" s="51"/>
      <c r="B4868" s="41"/>
      <c r="C4868" s="51"/>
      <c r="E4868" s="42" t="s">
        <v>138</v>
      </c>
      <c r="F4868" s="42" t="s">
        <v>139</v>
      </c>
      <c r="G4868" s="51"/>
      <c r="H4868" s="51"/>
      <c r="I4868" s="51"/>
      <c r="J4868" s="51"/>
      <c r="K4868" s="51" t="s">
        <v>140</v>
      </c>
      <c r="L4868" s="51"/>
      <c r="M4868" s="51"/>
      <c r="N4868" s="51"/>
      <c r="O4868" s="52"/>
      <c r="P4868" s="51"/>
      <c r="Q4868" s="51"/>
      <c r="R4868" s="51"/>
      <c r="S4868" s="51"/>
      <c r="T4868" s="41"/>
      <c r="AG4868" s="521" t="s">
        <v>268</v>
      </c>
      <c r="AH4868" s="521" t="s">
        <v>269</v>
      </c>
      <c r="AI4868" s="521" t="s">
        <v>270</v>
      </c>
      <c r="AJ4868" s="521" t="s">
        <v>271</v>
      </c>
      <c r="AK4868" s="521" t="s">
        <v>272</v>
      </c>
      <c r="AM4868" s="745" t="s">
        <v>281</v>
      </c>
      <c r="AN4868" s="746" t="s">
        <v>282</v>
      </c>
      <c r="AO4868" s="522" t="s">
        <v>278</v>
      </c>
      <c r="AR4868" s="51"/>
      <c r="AS4868" s="42" t="s">
        <v>139</v>
      </c>
    </row>
    <row r="4869" spans="1:45" s="520" customFormat="1" ht="12" customHeight="1">
      <c r="A4869" s="747">
        <v>2</v>
      </c>
      <c r="B4869" s="523" t="s">
        <v>141</v>
      </c>
      <c r="C4869" s="748"/>
      <c r="D4869" s="749" t="s">
        <v>1823</v>
      </c>
      <c r="E4869" s="750">
        <f>IF(AND($A4869=0,$A$1="DIF"),0, ROUND(ROUND(($R4875*$S$2+($T4875*$T$2))/A4869,2)*$C$2,2))</f>
        <v>142.9</v>
      </c>
      <c r="F4869" s="751">
        <f>ROUND($A4869*$E4869,2)</f>
        <v>285.8</v>
      </c>
      <c r="G4869" s="752" t="s">
        <v>142</v>
      </c>
      <c r="H4869" s="753"/>
      <c r="I4869" s="754"/>
      <c r="J4869" s="753"/>
      <c r="K4869" s="753" t="s">
        <v>3</v>
      </c>
      <c r="L4869" s="755" t="s">
        <v>143</v>
      </c>
      <c r="M4869" s="755"/>
      <c r="N4869" s="755"/>
      <c r="O4869" s="755"/>
      <c r="P4869" s="755"/>
      <c r="Q4869" s="51"/>
      <c r="T4869" s="756" t="str">
        <f>IF(AND($R4875=0,$T4875=0),"0.00","mu :" &amp; ROUND($F4869/$C$2/($R4875+$T4875*$D$9),2))</f>
        <v>mu :1.23</v>
      </c>
      <c r="W4869" s="524"/>
      <c r="AG4869" s="481">
        <f>IF($E4869=0,0,ROUND($R4875*$S$2*$C$2/$A4869,2))</f>
        <v>97.25</v>
      </c>
      <c r="AH4869" s="481">
        <f>$AG4869*$A4869</f>
        <v>194.5</v>
      </c>
      <c r="AI4869" s="525">
        <f>$E4869-$AG4869</f>
        <v>45.650000000000006</v>
      </c>
      <c r="AJ4869" s="525">
        <f>$A4869*$AI4869</f>
        <v>91.300000000000011</v>
      </c>
      <c r="AK4869" s="526">
        <f>ROUND(($AG4869+$AI4869)*$A4869,2)</f>
        <v>285.8</v>
      </c>
      <c r="AM4869" s="527">
        <f>ROUND(R4875,2)</f>
        <v>157.96</v>
      </c>
      <c r="AN4869" s="528">
        <f>ROUND(T4875,2)</f>
        <v>2.7</v>
      </c>
      <c r="AO4869" s="529">
        <f>ROUND(AM4869+AN4869,2)*A4869</f>
        <v>321.32</v>
      </c>
      <c r="AR4869" s="747">
        <v>2</v>
      </c>
      <c r="AS4869" s="751">
        <v>295.94</v>
      </c>
    </row>
    <row r="4870" spans="1:45" s="520" customFormat="1" ht="13.2">
      <c r="A4870" s="748"/>
      <c r="B4870"/>
      <c r="C4870" s="748"/>
      <c r="D4870" s="749" t="s">
        <v>811</v>
      </c>
      <c r="F4870" s="753"/>
      <c r="G4870" s="3"/>
      <c r="H4870" s="753"/>
      <c r="I4870" s="754"/>
      <c r="J4870" s="753"/>
      <c r="K4870" s="753" t="s">
        <v>144</v>
      </c>
      <c r="L4870" s="753"/>
      <c r="M4870" s="753"/>
      <c r="N4870" s="753"/>
      <c r="O4870" s="753"/>
      <c r="P4870" s="753"/>
      <c r="Q4870" s="51"/>
      <c r="R4870" s="530"/>
      <c r="S4870" s="757"/>
      <c r="T4870" s="753"/>
      <c r="AR4870" s="748"/>
      <c r="AS4870" s="753"/>
    </row>
    <row r="4871" spans="1:45" s="901" customFormat="1" ht="13.2">
      <c r="A4871" s="116">
        <v>2</v>
      </c>
      <c r="B4871" s="901" t="s">
        <v>141</v>
      </c>
      <c r="D4871" s="901" t="s">
        <v>2997</v>
      </c>
      <c r="E4871" s="901" t="s">
        <v>3424</v>
      </c>
      <c r="F4871" s="1054" t="s">
        <v>2999</v>
      </c>
      <c r="G4871" s="941" t="s">
        <v>2998</v>
      </c>
      <c r="H4871" s="942">
        <v>705</v>
      </c>
      <c r="I4871" s="901" t="s">
        <v>2607</v>
      </c>
      <c r="O4871" s="943">
        <v>2</v>
      </c>
      <c r="P4871" s="944"/>
      <c r="Q4871" s="945">
        <v>70</v>
      </c>
      <c r="R4871" s="946">
        <f>$A4871*Q4871</f>
        <v>140</v>
      </c>
      <c r="S4871" s="945">
        <v>1</v>
      </c>
      <c r="T4871" s="947">
        <f>$A4871*S4871*$T$1</f>
        <v>1.8</v>
      </c>
      <c r="AR4871" s="116">
        <v>2</v>
      </c>
      <c r="AS4871" s="1054" t="s">
        <v>2999</v>
      </c>
    </row>
    <row r="4872" spans="1:45" s="901" customFormat="1" ht="13.2">
      <c r="A4872" s="116">
        <v>4</v>
      </c>
      <c r="B4872" s="901" t="s">
        <v>320</v>
      </c>
      <c r="D4872" s="901" t="s">
        <v>3002</v>
      </c>
      <c r="G4872" s="941" t="s">
        <v>3003</v>
      </c>
      <c r="H4872" s="942">
        <v>690</v>
      </c>
      <c r="I4872" s="901" t="s">
        <v>2946</v>
      </c>
      <c r="J4872" s="901" t="s">
        <v>2947</v>
      </c>
      <c r="O4872" s="943">
        <v>1</v>
      </c>
      <c r="P4872" s="944">
        <v>34669</v>
      </c>
      <c r="Q4872" s="945">
        <v>2.0699999999999998</v>
      </c>
      <c r="R4872" s="946">
        <f>$A4872*Q4872</f>
        <v>8.2799999999999994</v>
      </c>
      <c r="S4872" s="945">
        <v>0.25</v>
      </c>
      <c r="T4872" s="947">
        <f>$A4872*S4872*$T$1</f>
        <v>0.9</v>
      </c>
      <c r="AR4872" s="116">
        <v>4</v>
      </c>
    </row>
    <row r="4873" spans="1:45" s="901" customFormat="1" ht="13.2">
      <c r="A4873" s="116">
        <v>8</v>
      </c>
      <c r="B4873" s="901" t="s">
        <v>320</v>
      </c>
      <c r="D4873" s="901" t="s">
        <v>3004</v>
      </c>
      <c r="G4873" s="941" t="s">
        <v>3005</v>
      </c>
      <c r="H4873" s="942">
        <v>690</v>
      </c>
      <c r="I4873" s="901" t="s">
        <v>2946</v>
      </c>
      <c r="J4873" s="901" t="s">
        <v>2947</v>
      </c>
      <c r="O4873" s="943">
        <v>1</v>
      </c>
      <c r="P4873" s="944">
        <v>34669</v>
      </c>
      <c r="Q4873" s="945">
        <v>1.21</v>
      </c>
      <c r="R4873" s="946">
        <f>$A4873*Q4873</f>
        <v>9.68</v>
      </c>
      <c r="S4873" s="945"/>
      <c r="T4873" s="947">
        <f>$A4873*S4873*$T$1</f>
        <v>0</v>
      </c>
      <c r="AR4873" s="116">
        <v>8</v>
      </c>
    </row>
    <row r="4874" spans="1:45" s="520" customFormat="1" ht="12">
      <c r="A4874" s="758"/>
      <c r="B4874" s="758"/>
      <c r="C4874" s="758"/>
      <c r="D4874" s="758"/>
      <c r="E4874" s="758"/>
      <c r="F4874" s="753"/>
      <c r="G4874" s="758"/>
      <c r="H4874" s="758"/>
      <c r="I4874" s="519"/>
      <c r="J4874" s="758"/>
      <c r="K4874" s="758"/>
      <c r="L4874" s="758"/>
      <c r="M4874" s="758"/>
      <c r="N4874" s="758"/>
      <c r="O4874" s="758"/>
      <c r="P4874" s="758"/>
      <c r="Q4874" s="519"/>
      <c r="R4874" s="759">
        <f>$A4874*Q4874</f>
        <v>0</v>
      </c>
      <c r="S4874" s="519"/>
      <c r="T4874" s="760">
        <f>$A4874*S4874*$T$1</f>
        <v>0</v>
      </c>
      <c r="AR4874" s="758"/>
      <c r="AS4874" s="753"/>
    </row>
    <row r="4875" spans="1:45" s="520" customFormat="1" ht="12.6" thickBot="1">
      <c r="A4875" s="761" t="s">
        <v>145</v>
      </c>
      <c r="B4875" s="762">
        <f>(R4874+T4874)</f>
        <v>0</v>
      </c>
      <c r="C4875" s="763"/>
      <c r="D4875" s="763"/>
      <c r="E4875" s="763"/>
      <c r="F4875" s="764"/>
      <c r="G4875" s="763" t="s">
        <v>146</v>
      </c>
      <c r="H4875" s="763"/>
      <c r="I4875" s="765"/>
      <c r="J4875" s="763"/>
      <c r="K4875" s="763" t="s">
        <v>3</v>
      </c>
      <c r="L4875" s="766" t="s">
        <v>143</v>
      </c>
      <c r="M4875" s="766"/>
      <c r="N4875" s="766"/>
      <c r="O4875" s="766"/>
      <c r="P4875" s="766"/>
      <c r="Q4875" s="767"/>
      <c r="R4875" s="768">
        <f>SUM(R4870:R4874)</f>
        <v>157.96</v>
      </c>
      <c r="S4875" s="763"/>
      <c r="T4875" s="768">
        <f>SUM(T4870:T4874)</f>
        <v>2.7</v>
      </c>
      <c r="U4875" s="531"/>
      <c r="V4875" s="531"/>
      <c r="W4875" s="531"/>
      <c r="X4875" s="531"/>
      <c r="Y4875" s="531"/>
      <c r="Z4875" s="531"/>
      <c r="AA4875" s="531"/>
      <c r="AB4875" s="531"/>
      <c r="AC4875" s="531"/>
      <c r="AD4875" s="531"/>
      <c r="AE4875" s="531"/>
      <c r="AF4875" s="531"/>
      <c r="AG4875" s="531"/>
      <c r="AH4875" s="531"/>
      <c r="AI4875" s="531"/>
      <c r="AJ4875" s="531"/>
      <c r="AK4875" s="531"/>
      <c r="AL4875" s="531"/>
      <c r="AM4875" s="531"/>
      <c r="AN4875" s="531"/>
      <c r="AO4875" s="531"/>
      <c r="AR4875" s="761" t="s">
        <v>145</v>
      </c>
      <c r="AS4875" s="764"/>
    </row>
    <row r="4876" spans="1:45" s="520" customFormat="1" ht="12" thickTop="1">
      <c r="A4876" s="51"/>
      <c r="B4876" s="41"/>
      <c r="C4876" s="51"/>
      <c r="E4876" s="42" t="s">
        <v>138</v>
      </c>
      <c r="F4876" s="42" t="s">
        <v>139</v>
      </c>
      <c r="G4876" s="51"/>
      <c r="H4876" s="51"/>
      <c r="I4876" s="51"/>
      <c r="J4876" s="51"/>
      <c r="K4876" s="51" t="s">
        <v>140</v>
      </c>
      <c r="L4876" s="51"/>
      <c r="M4876" s="51"/>
      <c r="N4876" s="51"/>
      <c r="O4876" s="52"/>
      <c r="P4876" s="51"/>
      <c r="Q4876" s="51"/>
      <c r="R4876" s="51"/>
      <c r="S4876" s="51"/>
      <c r="T4876" s="41"/>
      <c r="AG4876" s="521" t="s">
        <v>268</v>
      </c>
      <c r="AH4876" s="521" t="s">
        <v>269</v>
      </c>
      <c r="AI4876" s="521" t="s">
        <v>270</v>
      </c>
      <c r="AJ4876" s="521" t="s">
        <v>271</v>
      </c>
      <c r="AK4876" s="521" t="s">
        <v>272</v>
      </c>
      <c r="AM4876" s="745" t="s">
        <v>281</v>
      </c>
      <c r="AN4876" s="746" t="s">
        <v>282</v>
      </c>
      <c r="AO4876" s="522" t="s">
        <v>278</v>
      </c>
      <c r="AR4876" s="51"/>
      <c r="AS4876" s="42" t="s">
        <v>139</v>
      </c>
    </row>
    <row r="4877" spans="1:45" s="520" customFormat="1" ht="12" customHeight="1">
      <c r="A4877" s="747">
        <v>5</v>
      </c>
      <c r="B4877" s="523" t="s">
        <v>141</v>
      </c>
      <c r="C4877" s="748"/>
      <c r="D4877" s="749" t="s">
        <v>1824</v>
      </c>
      <c r="E4877" s="750">
        <f>IF(AND($A4877=0,$A$1="DIF"),0, ROUND(ROUND(($R4883*$S$2+($T4883*$T$2))/A4877,2)*$C$2,2))</f>
        <v>142.9</v>
      </c>
      <c r="F4877" s="751">
        <f>ROUND($A4877*$E4877,2)</f>
        <v>714.5</v>
      </c>
      <c r="G4877" s="752" t="s">
        <v>142</v>
      </c>
      <c r="H4877" s="753"/>
      <c r="I4877" s="754"/>
      <c r="J4877" s="753"/>
      <c r="K4877" s="753" t="s">
        <v>3</v>
      </c>
      <c r="L4877" s="755" t="s">
        <v>143</v>
      </c>
      <c r="M4877" s="755"/>
      <c r="N4877" s="755"/>
      <c r="O4877" s="755"/>
      <c r="P4877" s="755"/>
      <c r="Q4877" s="51"/>
      <c r="T4877" s="756" t="str">
        <f>IF(AND($R4883=0,$T4883=0),"0.00","mu :" &amp; ROUND($F4877/$C$2/($R4883+$T4883*$D$9),2))</f>
        <v>mu :1.23</v>
      </c>
      <c r="W4877" s="524"/>
      <c r="AG4877" s="481">
        <f>IF($E4877=0,0,ROUND($R4883*$S$2*$C$2/$A4877,2))</f>
        <v>97.25</v>
      </c>
      <c r="AH4877" s="481">
        <f>$AG4877*$A4877</f>
        <v>486.25</v>
      </c>
      <c r="AI4877" s="525">
        <f>$E4877-$AG4877</f>
        <v>45.650000000000006</v>
      </c>
      <c r="AJ4877" s="525">
        <f>$A4877*$AI4877</f>
        <v>228.25000000000003</v>
      </c>
      <c r="AK4877" s="526">
        <f>ROUND(($AG4877+$AI4877)*$A4877,2)</f>
        <v>714.5</v>
      </c>
      <c r="AM4877" s="527">
        <f>ROUND(R4883,2)</f>
        <v>394.9</v>
      </c>
      <c r="AN4877" s="528">
        <f>ROUND(T4883,2)</f>
        <v>6.75</v>
      </c>
      <c r="AO4877" s="529">
        <f>ROUND(AM4877+AN4877,2)*A4877</f>
        <v>2008.25</v>
      </c>
      <c r="AR4877" s="747">
        <v>5</v>
      </c>
      <c r="AS4877" s="751">
        <v>739.85</v>
      </c>
    </row>
    <row r="4878" spans="1:45" s="520" customFormat="1" ht="13.2">
      <c r="A4878" s="748"/>
      <c r="B4878"/>
      <c r="C4878" s="748"/>
      <c r="D4878" s="749" t="s">
        <v>853</v>
      </c>
      <c r="F4878" s="753"/>
      <c r="G4878" s="3"/>
      <c r="H4878" s="753"/>
      <c r="I4878" s="754"/>
      <c r="J4878" s="753"/>
      <c r="K4878" s="753" t="s">
        <v>144</v>
      </c>
      <c r="L4878" s="753"/>
      <c r="M4878" s="753"/>
      <c r="N4878" s="753"/>
      <c r="O4878" s="753"/>
      <c r="P4878" s="753"/>
      <c r="Q4878" s="51"/>
      <c r="R4878" s="530"/>
      <c r="S4878" s="757"/>
      <c r="T4878" s="753"/>
      <c r="AR4878" s="748"/>
      <c r="AS4878" s="753"/>
    </row>
    <row r="4879" spans="1:45" s="901" customFormat="1" ht="13.2">
      <c r="A4879" s="116">
        <v>5</v>
      </c>
      <c r="B4879" s="901" t="s">
        <v>141</v>
      </c>
      <c r="D4879" s="901" t="s">
        <v>2997</v>
      </c>
      <c r="E4879" s="901" t="s">
        <v>3424</v>
      </c>
      <c r="F4879" s="1054" t="s">
        <v>3039</v>
      </c>
      <c r="G4879" s="941" t="s">
        <v>2998</v>
      </c>
      <c r="H4879" s="942">
        <v>705</v>
      </c>
      <c r="I4879" s="901" t="s">
        <v>2607</v>
      </c>
      <c r="O4879" s="943">
        <v>2</v>
      </c>
      <c r="P4879" s="944"/>
      <c r="Q4879" s="945">
        <v>70</v>
      </c>
      <c r="R4879" s="946">
        <f>$A4879*Q4879</f>
        <v>350</v>
      </c>
      <c r="S4879" s="945">
        <v>1</v>
      </c>
      <c r="T4879" s="947">
        <f>$A4879*S4879*$T$1</f>
        <v>4.5</v>
      </c>
      <c r="AR4879" s="116">
        <v>5</v>
      </c>
      <c r="AS4879" s="1054" t="s">
        <v>3039</v>
      </c>
    </row>
    <row r="4880" spans="1:45" s="901" customFormat="1" ht="13.2">
      <c r="A4880" s="116">
        <v>10</v>
      </c>
      <c r="B4880" s="901" t="s">
        <v>320</v>
      </c>
      <c r="D4880" s="901" t="s">
        <v>3002</v>
      </c>
      <c r="G4880" s="941" t="s">
        <v>3003</v>
      </c>
      <c r="H4880" s="942">
        <v>690</v>
      </c>
      <c r="I4880" s="901" t="s">
        <v>2946</v>
      </c>
      <c r="J4880" s="901" t="s">
        <v>2947</v>
      </c>
      <c r="O4880" s="943">
        <v>1</v>
      </c>
      <c r="P4880" s="944">
        <v>34669</v>
      </c>
      <c r="Q4880" s="945">
        <v>2.0699999999999998</v>
      </c>
      <c r="R4880" s="946">
        <f>$A4880*Q4880</f>
        <v>20.7</v>
      </c>
      <c r="S4880" s="945">
        <v>0.25</v>
      </c>
      <c r="T4880" s="947">
        <f>$A4880*S4880*$T$1</f>
        <v>2.25</v>
      </c>
      <c r="AR4880" s="116">
        <v>10</v>
      </c>
    </row>
    <row r="4881" spans="1:45" s="901" customFormat="1" ht="13.2">
      <c r="A4881" s="116">
        <v>20</v>
      </c>
      <c r="B4881" s="901" t="s">
        <v>320</v>
      </c>
      <c r="D4881" s="901" t="s">
        <v>3004</v>
      </c>
      <c r="G4881" s="941" t="s">
        <v>3005</v>
      </c>
      <c r="H4881" s="942">
        <v>690</v>
      </c>
      <c r="I4881" s="901" t="s">
        <v>2946</v>
      </c>
      <c r="J4881" s="901" t="s">
        <v>2947</v>
      </c>
      <c r="O4881" s="943">
        <v>1</v>
      </c>
      <c r="P4881" s="944">
        <v>34669</v>
      </c>
      <c r="Q4881" s="945">
        <v>1.21</v>
      </c>
      <c r="R4881" s="946">
        <f>$A4881*Q4881</f>
        <v>24.2</v>
      </c>
      <c r="S4881" s="945"/>
      <c r="T4881" s="947">
        <f>$A4881*S4881*$T$1</f>
        <v>0</v>
      </c>
      <c r="AR4881" s="116">
        <v>20</v>
      </c>
    </row>
    <row r="4882" spans="1:45" s="520" customFormat="1" ht="12">
      <c r="A4882" s="758"/>
      <c r="B4882" s="758"/>
      <c r="C4882" s="758"/>
      <c r="D4882" s="758"/>
      <c r="E4882" s="758"/>
      <c r="F4882" s="753"/>
      <c r="G4882" s="758"/>
      <c r="H4882" s="758"/>
      <c r="I4882" s="519"/>
      <c r="J4882" s="758"/>
      <c r="K4882" s="758"/>
      <c r="L4882" s="758"/>
      <c r="M4882" s="758"/>
      <c r="N4882" s="758"/>
      <c r="O4882" s="758"/>
      <c r="P4882" s="758"/>
      <c r="Q4882" s="519"/>
      <c r="R4882" s="759">
        <f>$A4882*Q4882</f>
        <v>0</v>
      </c>
      <c r="S4882" s="519"/>
      <c r="T4882" s="760">
        <f>$A4882*S4882*$T$1</f>
        <v>0</v>
      </c>
      <c r="AR4882" s="758"/>
      <c r="AS4882" s="753"/>
    </row>
    <row r="4883" spans="1:45" s="520" customFormat="1" ht="12.6" thickBot="1">
      <c r="A4883" s="761" t="s">
        <v>145</v>
      </c>
      <c r="B4883" s="762">
        <f>(R4882+T4882)</f>
        <v>0</v>
      </c>
      <c r="C4883" s="763"/>
      <c r="D4883" s="763"/>
      <c r="E4883" s="763"/>
      <c r="F4883" s="764"/>
      <c r="G4883" s="763" t="s">
        <v>146</v>
      </c>
      <c r="H4883" s="763"/>
      <c r="I4883" s="765"/>
      <c r="J4883" s="763"/>
      <c r="K4883" s="763" t="s">
        <v>3</v>
      </c>
      <c r="L4883" s="766" t="s">
        <v>143</v>
      </c>
      <c r="M4883" s="766"/>
      <c r="N4883" s="766"/>
      <c r="O4883" s="766"/>
      <c r="P4883" s="766"/>
      <c r="Q4883" s="767"/>
      <c r="R4883" s="768">
        <f>SUM(R4878:R4882)</f>
        <v>394.9</v>
      </c>
      <c r="S4883" s="763"/>
      <c r="T4883" s="768">
        <f>SUM(T4878:T4882)</f>
        <v>6.75</v>
      </c>
      <c r="U4883" s="531"/>
      <c r="V4883" s="531"/>
      <c r="W4883" s="531"/>
      <c r="X4883" s="531"/>
      <c r="Y4883" s="531"/>
      <c r="Z4883" s="531"/>
      <c r="AA4883" s="531"/>
      <c r="AB4883" s="531"/>
      <c r="AC4883" s="531"/>
      <c r="AD4883" s="531"/>
      <c r="AE4883" s="531"/>
      <c r="AF4883" s="531"/>
      <c r="AG4883" s="531"/>
      <c r="AH4883" s="531"/>
      <c r="AI4883" s="531"/>
      <c r="AJ4883" s="531"/>
      <c r="AK4883" s="531"/>
      <c r="AL4883" s="531"/>
      <c r="AM4883" s="531"/>
      <c r="AN4883" s="531"/>
      <c r="AO4883" s="531"/>
      <c r="AR4883" s="761" t="s">
        <v>145</v>
      </c>
      <c r="AS4883" s="764"/>
    </row>
    <row r="4884" spans="1:45" s="520" customFormat="1" ht="12" thickTop="1">
      <c r="A4884" s="51"/>
      <c r="B4884" s="41"/>
      <c r="C4884" s="51"/>
      <c r="E4884" s="42" t="s">
        <v>138</v>
      </c>
      <c r="F4884" s="42" t="s">
        <v>139</v>
      </c>
      <c r="G4884" s="51"/>
      <c r="H4884" s="51"/>
      <c r="I4884" s="51"/>
      <c r="J4884" s="51"/>
      <c r="K4884" s="51" t="s">
        <v>140</v>
      </c>
      <c r="L4884" s="51"/>
      <c r="M4884" s="51"/>
      <c r="N4884" s="51"/>
      <c r="O4884" s="52"/>
      <c r="P4884" s="51"/>
      <c r="Q4884" s="51"/>
      <c r="R4884" s="51"/>
      <c r="S4884" s="51"/>
      <c r="T4884" s="41"/>
      <c r="AG4884" s="521" t="s">
        <v>268</v>
      </c>
      <c r="AH4884" s="521" t="s">
        <v>269</v>
      </c>
      <c r="AI4884" s="521" t="s">
        <v>270</v>
      </c>
      <c r="AJ4884" s="521" t="s">
        <v>271</v>
      </c>
      <c r="AK4884" s="521" t="s">
        <v>272</v>
      </c>
      <c r="AM4884" s="745" t="s">
        <v>281</v>
      </c>
      <c r="AN4884" s="746" t="s">
        <v>282</v>
      </c>
      <c r="AO4884" s="522" t="s">
        <v>278</v>
      </c>
      <c r="AR4884" s="51"/>
      <c r="AS4884" s="42" t="s">
        <v>139</v>
      </c>
    </row>
    <row r="4885" spans="1:45" s="520" customFormat="1" ht="12" customHeight="1">
      <c r="A4885" s="747">
        <v>1</v>
      </c>
      <c r="B4885" s="523" t="s">
        <v>141</v>
      </c>
      <c r="C4885" s="748"/>
      <c r="D4885" s="749" t="s">
        <v>1825</v>
      </c>
      <c r="E4885" s="750">
        <f ca="1">IF(AND($A4885=0,$A$1="DIF"),0, ROUND(ROUND(($R4890*$S$2+($T4890*$T$2))/A4885,2)*$C$2,2))</f>
        <v>47.62</v>
      </c>
      <c r="F4885" s="751">
        <f ca="1">ROUND($A4885*$E4885,2)</f>
        <v>47.62</v>
      </c>
      <c r="G4885" s="752" t="s">
        <v>142</v>
      </c>
      <c r="H4885" s="753"/>
      <c r="I4885" s="754"/>
      <c r="J4885" s="753"/>
      <c r="K4885" s="753" t="s">
        <v>3</v>
      </c>
      <c r="L4885" s="755" t="s">
        <v>143</v>
      </c>
      <c r="M4885" s="755"/>
      <c r="N4885" s="755"/>
      <c r="O4885" s="755"/>
      <c r="P4885" s="755"/>
      <c r="Q4885" s="51"/>
      <c r="T4885" s="756" t="str">
        <f ca="1">IF(AND($R4890=0,$T4890=0),"0.00","mu :" &amp; ROUND($F4885/$C$2/($R4890+$T4890*$D$9),2))</f>
        <v>mu :1.23</v>
      </c>
      <c r="W4885" s="524"/>
      <c r="AG4885" s="481">
        <f ca="1">IF($E4885=0,0,ROUND($R4890*$S$2*$C$2/$A4885,2))</f>
        <v>38.49</v>
      </c>
      <c r="AH4885" s="481">
        <f ca="1">$AG4885*$A4885</f>
        <v>38.49</v>
      </c>
      <c r="AI4885" s="525">
        <f ca="1">$E4885-$AG4885</f>
        <v>9.1299999999999955</v>
      </c>
      <c r="AJ4885" s="525">
        <f ca="1">$A4885*$AI4885</f>
        <v>9.1299999999999955</v>
      </c>
      <c r="AK4885" s="526">
        <f ca="1">ROUND(($AG4885+$AI4885)*$A4885,2)</f>
        <v>47.62</v>
      </c>
      <c r="AM4885" s="527">
        <f ca="1">ROUND(R4890,2)</f>
        <v>31.26</v>
      </c>
      <c r="AN4885" s="528">
        <f ca="1">ROUND(T4890,2)</f>
        <v>0.27</v>
      </c>
      <c r="AO4885" s="529">
        <f ca="1">ROUND(AM4885+AN4885,2)*A4885</f>
        <v>31.53</v>
      </c>
      <c r="AR4885" s="747">
        <v>1</v>
      </c>
      <c r="AS4885" s="751">
        <v>48.64</v>
      </c>
    </row>
    <row r="4886" spans="1:45" s="520" customFormat="1" ht="13.2">
      <c r="A4886" s="748"/>
      <c r="B4886"/>
      <c r="C4886" s="748"/>
      <c r="D4886" s="749" t="s">
        <v>780</v>
      </c>
      <c r="F4886" s="753"/>
      <c r="G4886" s="3"/>
      <c r="H4886" s="753"/>
      <c r="I4886" s="754"/>
      <c r="J4886" s="753"/>
      <c r="K4886" s="753" t="s">
        <v>144</v>
      </c>
      <c r="L4886" s="753"/>
      <c r="M4886" s="753"/>
      <c r="N4886" s="753"/>
      <c r="O4886" s="753"/>
      <c r="P4886" s="753"/>
      <c r="Q4886" s="51"/>
      <c r="R4886" s="530"/>
      <c r="S4886" s="757"/>
      <c r="T4886" s="753"/>
      <c r="AR4886" s="748"/>
      <c r="AS4886" s="753"/>
    </row>
    <row r="4887" spans="1:45" s="886" customFormat="1" ht="13.2">
      <c r="A4887"/>
      <c r="B4887" s="910"/>
      <c r="C4887" s="910" t="s">
        <v>2597</v>
      </c>
      <c r="D4887" s="910" t="str">
        <f ca="1">CELL("Address",Elec_Rates!D$156)</f>
        <v>[E25_0062_Quintano_Foods_Elec_ELV_As_Awarded.xlsx]Elec_Rates!$D$156</v>
      </c>
      <c r="E4887" s="911"/>
      <c r="F4887" s="911"/>
      <c r="G4887" s="912" t="s">
        <v>2598</v>
      </c>
      <c r="H4887" s="912"/>
      <c r="I4887" s="912"/>
      <c r="J4887" s="912"/>
      <c r="K4887" s="913"/>
      <c r="L4887" s="911"/>
      <c r="M4887" s="911"/>
      <c r="N4887" s="911"/>
      <c r="O4887" s="914"/>
      <c r="P4887" s="911"/>
      <c r="Q4887" s="915"/>
      <c r="R4887" s="916"/>
      <c r="S4887" s="915"/>
      <c r="T4887" s="917"/>
      <c r="U4887" s="918"/>
      <c r="AR4887"/>
      <c r="AS4887" s="911"/>
    </row>
    <row r="4888" spans="1:45" s="886" customFormat="1" ht="11.4">
      <c r="A4888" s="919">
        <v>1</v>
      </c>
      <c r="B4888" s="920">
        <v>1</v>
      </c>
      <c r="C4888" s="920">
        <f>$A4888*$B4888</f>
        <v>1</v>
      </c>
      <c r="D4888" s="921" t="str">
        <f>Elec_Rates!$D$156</f>
        <v>014# 3Pin 16Amp IP67 Unswitched Socket outlet</v>
      </c>
      <c r="E4888" s="921"/>
      <c r="F4888" s="921" t="s">
        <v>2599</v>
      </c>
      <c r="G4888" s="922" t="s">
        <v>2601</v>
      </c>
      <c r="H4888" s="922"/>
      <c r="I4888" s="922"/>
      <c r="J4888" s="922"/>
      <c r="K4888" s="923"/>
      <c r="L4888" s="918"/>
      <c r="M4888" s="918"/>
      <c r="N4888" s="918"/>
      <c r="O4888" s="924"/>
      <c r="P4888" s="921"/>
      <c r="Q4888" s="925">
        <f ca="1">$B4888*Elec_Rates!$R$156</f>
        <v>31.26</v>
      </c>
      <c r="R4888" s="916">
        <f ca="1">$A4888*Q4888</f>
        <v>31.26</v>
      </c>
      <c r="S4888" s="925">
        <f ca="1">$B4888*Elec_Rates!$T$156</f>
        <v>0.27</v>
      </c>
      <c r="T4888" s="917">
        <f ca="1">$A4888*S4888</f>
        <v>0.27</v>
      </c>
      <c r="U4888" s="926"/>
      <c r="AR4888" s="919">
        <v>1</v>
      </c>
      <c r="AS4888" s="921" t="s">
        <v>2599</v>
      </c>
    </row>
    <row r="4889" spans="1:45" s="520" customFormat="1" ht="12">
      <c r="A4889" s="758"/>
      <c r="B4889" s="758"/>
      <c r="C4889" s="758"/>
      <c r="D4889" s="758"/>
      <c r="E4889" s="758"/>
      <c r="F4889" s="753"/>
      <c r="G4889" s="758"/>
      <c r="H4889" s="758"/>
      <c r="I4889" s="519"/>
      <c r="J4889" s="758"/>
      <c r="K4889" s="758"/>
      <c r="L4889" s="758"/>
      <c r="M4889" s="758"/>
      <c r="N4889" s="758"/>
      <c r="O4889" s="758"/>
      <c r="P4889" s="758"/>
      <c r="Q4889" s="519"/>
      <c r="R4889" s="759">
        <f>$A4889*Q4889</f>
        <v>0</v>
      </c>
      <c r="S4889" s="519"/>
      <c r="T4889" s="760">
        <f>$A4889*S4889*$T$1</f>
        <v>0</v>
      </c>
      <c r="AR4889" s="758"/>
      <c r="AS4889" s="753"/>
    </row>
    <row r="4890" spans="1:45" s="520" customFormat="1" ht="12.6" thickBot="1">
      <c r="A4890" s="761" t="s">
        <v>145</v>
      </c>
      <c r="B4890" s="762">
        <f>(R4889+T4889)</f>
        <v>0</v>
      </c>
      <c r="C4890" s="763"/>
      <c r="D4890" s="763"/>
      <c r="E4890" s="763"/>
      <c r="F4890" s="764"/>
      <c r="G4890" s="763" t="s">
        <v>146</v>
      </c>
      <c r="H4890" s="763"/>
      <c r="I4890" s="765"/>
      <c r="J4890" s="763"/>
      <c r="K4890" s="763" t="s">
        <v>3</v>
      </c>
      <c r="L4890" s="766" t="s">
        <v>143</v>
      </c>
      <c r="M4890" s="766"/>
      <c r="N4890" s="766"/>
      <c r="O4890" s="766"/>
      <c r="P4890" s="766"/>
      <c r="Q4890" s="767"/>
      <c r="R4890" s="768">
        <f ca="1">SUM(R4886:R4889)</f>
        <v>31.26</v>
      </c>
      <c r="S4890" s="763"/>
      <c r="T4890" s="768">
        <f ca="1">SUM(T4886:T4889)</f>
        <v>0.27</v>
      </c>
      <c r="U4890" s="531"/>
      <c r="V4890" s="531"/>
      <c r="W4890" s="531"/>
      <c r="X4890" s="531"/>
      <c r="Y4890" s="531"/>
      <c r="Z4890" s="531"/>
      <c r="AA4890" s="531"/>
      <c r="AB4890" s="531"/>
      <c r="AC4890" s="531"/>
      <c r="AD4890" s="531"/>
      <c r="AE4890" s="531"/>
      <c r="AF4890" s="531"/>
      <c r="AG4890" s="531"/>
      <c r="AH4890" s="531"/>
      <c r="AI4890" s="531"/>
      <c r="AJ4890" s="531"/>
      <c r="AK4890" s="531"/>
      <c r="AL4890" s="531"/>
      <c r="AM4890" s="531"/>
      <c r="AN4890" s="531"/>
      <c r="AO4890" s="531"/>
      <c r="AR4890" s="761" t="s">
        <v>145</v>
      </c>
      <c r="AS4890" s="764"/>
    </row>
    <row r="4891" spans="1:45" s="520" customFormat="1" ht="12" thickTop="1">
      <c r="A4891" s="51"/>
      <c r="B4891" s="41"/>
      <c r="C4891" s="51"/>
      <c r="E4891" s="42" t="s">
        <v>138</v>
      </c>
      <c r="F4891" s="42" t="s">
        <v>139</v>
      </c>
      <c r="G4891" s="51"/>
      <c r="H4891" s="51"/>
      <c r="I4891" s="51"/>
      <c r="J4891" s="51"/>
      <c r="K4891" s="51" t="s">
        <v>140</v>
      </c>
      <c r="L4891" s="51"/>
      <c r="M4891" s="51"/>
      <c r="N4891" s="51"/>
      <c r="O4891" s="52"/>
      <c r="P4891" s="51"/>
      <c r="Q4891" s="51"/>
      <c r="R4891" s="51"/>
      <c r="S4891" s="51"/>
      <c r="T4891" s="41"/>
      <c r="AG4891" s="521" t="s">
        <v>268</v>
      </c>
      <c r="AH4891" s="521" t="s">
        <v>269</v>
      </c>
      <c r="AI4891" s="521" t="s">
        <v>270</v>
      </c>
      <c r="AJ4891" s="521" t="s">
        <v>271</v>
      </c>
      <c r="AK4891" s="521" t="s">
        <v>272</v>
      </c>
      <c r="AM4891" s="745" t="s">
        <v>281</v>
      </c>
      <c r="AN4891" s="746" t="s">
        <v>282</v>
      </c>
      <c r="AO4891" s="522" t="s">
        <v>278</v>
      </c>
      <c r="AR4891" s="51"/>
      <c r="AS4891" s="42" t="s">
        <v>139</v>
      </c>
    </row>
    <row r="4892" spans="1:45" s="520" customFormat="1" ht="12" customHeight="1">
      <c r="A4892" s="747">
        <v>11</v>
      </c>
      <c r="B4892" s="523" t="s">
        <v>141</v>
      </c>
      <c r="C4892" s="748"/>
      <c r="D4892" s="749" t="s">
        <v>1826</v>
      </c>
      <c r="E4892" s="750">
        <f>IF(AND($A4892=0,$A$1="DIF"),0, ROUND(ROUND(($R4898*$S$2+($T4898*$T$2))/A4892,2)*$C$2,2))</f>
        <v>20.64</v>
      </c>
      <c r="F4892" s="751">
        <f>ROUND($A4892*$E4892,2)</f>
        <v>227.04</v>
      </c>
      <c r="G4892" s="752" t="s">
        <v>142</v>
      </c>
      <c r="H4892" s="753"/>
      <c r="I4892" s="754"/>
      <c r="J4892" s="753"/>
      <c r="K4892" s="753" t="s">
        <v>3</v>
      </c>
      <c r="L4892" s="755" t="s">
        <v>143</v>
      </c>
      <c r="M4892" s="755"/>
      <c r="N4892" s="755"/>
      <c r="O4892" s="755"/>
      <c r="P4892" s="755"/>
      <c r="Q4892" s="51"/>
      <c r="T4892" s="756" t="str">
        <f>IF(AND($R4898=0,$T4898=0),"0.00","mu :" &amp; ROUND($F4892/$C$2/($R4898+$T4898*$D$9),2))</f>
        <v>mu :1.23</v>
      </c>
      <c r="W4892" s="524"/>
      <c r="AG4892" s="481">
        <f>IF($E4892=0,0,ROUND($R4898*$S$2*$C$2/$A4892,2))</f>
        <v>13.03</v>
      </c>
      <c r="AH4892" s="481">
        <f>$AG4892*$A4892</f>
        <v>143.32999999999998</v>
      </c>
      <c r="AI4892" s="525">
        <f>$E4892-$AG4892</f>
        <v>7.6100000000000012</v>
      </c>
      <c r="AJ4892" s="525">
        <f>$A4892*$AI4892</f>
        <v>83.710000000000008</v>
      </c>
      <c r="AK4892" s="526">
        <f>ROUND(($AG4892+$AI4892)*$A4892,2)</f>
        <v>227.04</v>
      </c>
      <c r="AM4892" s="527">
        <f>ROUND(R4898,2)</f>
        <v>116.38</v>
      </c>
      <c r="AN4892" s="528">
        <f>ROUND(T4898,2)</f>
        <v>2.48</v>
      </c>
      <c r="AO4892" s="529">
        <f>ROUND(AM4892+AN4892,2)*A4892</f>
        <v>1307.46</v>
      </c>
      <c r="AR4892" s="747">
        <v>11</v>
      </c>
      <c r="AS4892" s="751">
        <v>236.28</v>
      </c>
    </row>
    <row r="4893" spans="1:45" s="520" customFormat="1" ht="13.2">
      <c r="A4893" s="748"/>
      <c r="B4893"/>
      <c r="C4893" s="748"/>
      <c r="D4893" s="749" t="s">
        <v>1633</v>
      </c>
      <c r="F4893" s="753"/>
      <c r="G4893" s="3"/>
      <c r="H4893" s="753"/>
      <c r="I4893" s="754"/>
      <c r="J4893" s="753"/>
      <c r="K4893" s="753" t="s">
        <v>144</v>
      </c>
      <c r="L4893" s="753"/>
      <c r="M4893" s="753"/>
      <c r="N4893" s="753"/>
      <c r="O4893" s="753"/>
      <c r="P4893" s="753"/>
      <c r="Q4893" s="51"/>
      <c r="R4893" s="530"/>
      <c r="S4893" s="757"/>
      <c r="T4893" s="753"/>
      <c r="AR4893" s="748"/>
      <c r="AS4893" s="753"/>
    </row>
    <row r="4894" spans="1:45" s="901" customFormat="1" ht="13.2">
      <c r="A4894" s="116">
        <v>11</v>
      </c>
      <c r="B4894" s="901" t="s">
        <v>141</v>
      </c>
      <c r="D4894" s="901" t="s">
        <v>3000</v>
      </c>
      <c r="F4894" s="1054" t="s">
        <v>3323</v>
      </c>
      <c r="G4894" s="941" t="s">
        <v>3001</v>
      </c>
      <c r="H4894" s="942">
        <v>705</v>
      </c>
      <c r="I4894" s="901" t="s">
        <v>2607</v>
      </c>
      <c r="O4894" s="943">
        <v>3</v>
      </c>
      <c r="P4894" s="944"/>
      <c r="Q4894" s="945">
        <v>10.5</v>
      </c>
      <c r="R4894" s="946">
        <f>$A4894*Q4894</f>
        <v>115.5</v>
      </c>
      <c r="S4894" s="945">
        <v>0.25</v>
      </c>
      <c r="T4894" s="947">
        <f>$A4894*S4894*$T$1</f>
        <v>2.4750000000000001</v>
      </c>
      <c r="AR4894" s="116">
        <v>11</v>
      </c>
      <c r="AS4894" s="1054" t="s">
        <v>3323</v>
      </c>
    </row>
    <row r="4895" spans="1:45" s="901" customFormat="1" ht="13.2">
      <c r="A4895">
        <v>22</v>
      </c>
      <c r="B4895" s="901" t="s">
        <v>141</v>
      </c>
      <c r="D4895" s="901" t="s">
        <v>2739</v>
      </c>
      <c r="G4895" s="941" t="s">
        <v>2740</v>
      </c>
      <c r="H4895" s="942">
        <v>875</v>
      </c>
      <c r="I4895" s="901" t="s">
        <v>2607</v>
      </c>
      <c r="K4895" s="901" t="s">
        <v>2741</v>
      </c>
      <c r="O4895" s="943">
        <v>1</v>
      </c>
      <c r="P4895" s="944">
        <v>34669</v>
      </c>
      <c r="Q4895" s="945">
        <v>0.02</v>
      </c>
      <c r="R4895" s="946">
        <f>$A4895*Q4895</f>
        <v>0.44</v>
      </c>
      <c r="S4895" s="945"/>
      <c r="T4895" s="947">
        <f>$A4895*S4895*$T$1</f>
        <v>0</v>
      </c>
      <c r="AR4895">
        <v>22</v>
      </c>
    </row>
    <row r="4896" spans="1:45" s="901" customFormat="1" ht="13.2">
      <c r="A4896">
        <v>22</v>
      </c>
      <c r="B4896" s="901" t="s">
        <v>141</v>
      </c>
      <c r="D4896" s="901" t="s">
        <v>2742</v>
      </c>
      <c r="G4896" s="941" t="s">
        <v>2743</v>
      </c>
      <c r="H4896" s="942">
        <v>875</v>
      </c>
      <c r="I4896" s="901" t="s">
        <v>2607</v>
      </c>
      <c r="K4896" s="901" t="s">
        <v>2744</v>
      </c>
      <c r="O4896" s="943">
        <v>1</v>
      </c>
      <c r="P4896" s="944">
        <v>34669</v>
      </c>
      <c r="Q4896" s="945">
        <v>0.02</v>
      </c>
      <c r="R4896" s="946">
        <f>$A4896*Q4896</f>
        <v>0.44</v>
      </c>
      <c r="S4896" s="945"/>
      <c r="T4896" s="947">
        <f>$A4896*S4896*$T$1</f>
        <v>0</v>
      </c>
      <c r="AR4896">
        <v>22</v>
      </c>
    </row>
    <row r="4897" spans="1:45" s="520" customFormat="1" ht="12">
      <c r="A4897" s="758"/>
      <c r="B4897" s="758"/>
      <c r="C4897" s="758"/>
      <c r="D4897" s="758"/>
      <c r="E4897" s="758"/>
      <c r="F4897" s="753"/>
      <c r="G4897" s="758"/>
      <c r="H4897" s="758"/>
      <c r="I4897" s="519"/>
      <c r="J4897" s="758"/>
      <c r="K4897" s="758"/>
      <c r="L4897" s="758"/>
      <c r="M4897" s="758"/>
      <c r="N4897" s="758"/>
      <c r="O4897" s="758"/>
      <c r="P4897" s="758"/>
      <c r="Q4897" s="519"/>
      <c r="R4897" s="759">
        <f>$A4897*Q4897</f>
        <v>0</v>
      </c>
      <c r="S4897" s="519"/>
      <c r="T4897" s="760">
        <f>$A4897*S4897*$T$1</f>
        <v>0</v>
      </c>
      <c r="AR4897" s="758"/>
      <c r="AS4897" s="753"/>
    </row>
    <row r="4898" spans="1:45" s="520" customFormat="1" ht="12.6" thickBot="1">
      <c r="A4898" s="761" t="s">
        <v>145</v>
      </c>
      <c r="B4898" s="762">
        <f>(R4897+T4897)</f>
        <v>0</v>
      </c>
      <c r="C4898" s="763"/>
      <c r="D4898" s="763"/>
      <c r="E4898" s="763"/>
      <c r="F4898" s="764"/>
      <c r="G4898" s="763" t="s">
        <v>146</v>
      </c>
      <c r="H4898" s="763"/>
      <c r="I4898" s="765"/>
      <c r="J4898" s="763"/>
      <c r="K4898" s="763" t="s">
        <v>3</v>
      </c>
      <c r="L4898" s="766" t="s">
        <v>143</v>
      </c>
      <c r="M4898" s="766"/>
      <c r="N4898" s="766"/>
      <c r="O4898" s="766"/>
      <c r="P4898" s="766"/>
      <c r="Q4898" s="767"/>
      <c r="R4898" s="768">
        <f>SUM(R4893:R4897)</f>
        <v>116.38</v>
      </c>
      <c r="S4898" s="763"/>
      <c r="T4898" s="768">
        <f>SUM(T4893:T4897)</f>
        <v>2.4750000000000001</v>
      </c>
      <c r="U4898" s="531"/>
      <c r="V4898" s="531"/>
      <c r="W4898" s="531"/>
      <c r="X4898" s="531"/>
      <c r="Y4898" s="531"/>
      <c r="Z4898" s="531"/>
      <c r="AA4898" s="531"/>
      <c r="AB4898" s="531"/>
      <c r="AC4898" s="531"/>
      <c r="AD4898" s="531"/>
      <c r="AE4898" s="531"/>
      <c r="AF4898" s="531"/>
      <c r="AG4898" s="531"/>
      <c r="AH4898" s="531"/>
      <c r="AI4898" s="531"/>
      <c r="AJ4898" s="531"/>
      <c r="AK4898" s="531"/>
      <c r="AL4898" s="531"/>
      <c r="AM4898" s="531"/>
      <c r="AN4898" s="531"/>
      <c r="AO4898" s="531"/>
      <c r="AR4898" s="761" t="s">
        <v>145</v>
      </c>
      <c r="AS4898" s="764"/>
    </row>
    <row r="4899" spans="1:45" s="520" customFormat="1" ht="12" thickTop="1">
      <c r="A4899" s="51"/>
      <c r="B4899" s="41"/>
      <c r="C4899" s="51"/>
      <c r="E4899" s="42" t="s">
        <v>138</v>
      </c>
      <c r="F4899" s="42" t="s">
        <v>139</v>
      </c>
      <c r="G4899" s="51"/>
      <c r="H4899" s="51"/>
      <c r="I4899" s="51"/>
      <c r="J4899" s="51"/>
      <c r="K4899" s="51" t="s">
        <v>140</v>
      </c>
      <c r="L4899" s="51"/>
      <c r="M4899" s="51"/>
      <c r="N4899" s="51"/>
      <c r="O4899" s="52"/>
      <c r="P4899" s="51"/>
      <c r="Q4899" s="51"/>
      <c r="R4899" s="51"/>
      <c r="S4899" s="51"/>
      <c r="T4899" s="41"/>
      <c r="AG4899" s="521" t="s">
        <v>268</v>
      </c>
      <c r="AH4899" s="521" t="s">
        <v>269</v>
      </c>
      <c r="AI4899" s="521" t="s">
        <v>270</v>
      </c>
      <c r="AJ4899" s="521" t="s">
        <v>271</v>
      </c>
      <c r="AK4899" s="521" t="s">
        <v>272</v>
      </c>
      <c r="AM4899" s="745" t="s">
        <v>281</v>
      </c>
      <c r="AN4899" s="746" t="s">
        <v>282</v>
      </c>
      <c r="AO4899" s="522" t="s">
        <v>278</v>
      </c>
      <c r="AR4899" s="51"/>
      <c r="AS4899" s="42" t="s">
        <v>139</v>
      </c>
    </row>
    <row r="4900" spans="1:45" s="520" customFormat="1" ht="12" customHeight="1">
      <c r="A4900" s="747">
        <v>1</v>
      </c>
      <c r="B4900" s="523" t="s">
        <v>141</v>
      </c>
      <c r="C4900" s="748"/>
      <c r="D4900" s="749" t="s">
        <v>1827</v>
      </c>
      <c r="E4900" s="750">
        <f>IF(AND($A4900=0,$A$1="DIF"),0, ROUND(ROUND(($R4907*$S$2+($T4907*$T$2))/A4900,2)*$C$2,2))</f>
        <v>110.9</v>
      </c>
      <c r="F4900" s="751">
        <f>ROUND($A4900*$E4900,2)</f>
        <v>110.9</v>
      </c>
      <c r="G4900" s="752" t="s">
        <v>142</v>
      </c>
      <c r="H4900" s="753"/>
      <c r="I4900" s="754"/>
      <c r="J4900" s="753"/>
      <c r="K4900" s="753" t="s">
        <v>3</v>
      </c>
      <c r="L4900" s="755" t="s">
        <v>143</v>
      </c>
      <c r="M4900" s="755"/>
      <c r="N4900" s="755"/>
      <c r="O4900" s="755"/>
      <c r="P4900" s="755"/>
      <c r="Q4900" s="51"/>
      <c r="T4900" s="756" t="str">
        <f>IF(AND($R4907=0,$T4907=0),"0.00","mu :" &amp; ROUND($F4900/$C$2/($R4907+$T4907*$D$9),2))</f>
        <v>mu :1.23</v>
      </c>
      <c r="W4900" s="524"/>
      <c r="AG4900" s="481">
        <f>IF($E4900=0,0,ROUND($R4907*$S$2*$C$2/$A4900,2))</f>
        <v>61.44</v>
      </c>
      <c r="AH4900" s="481">
        <f>$AG4900*$A4900</f>
        <v>61.44</v>
      </c>
      <c r="AI4900" s="525">
        <f>$E4900-$AG4900</f>
        <v>49.460000000000008</v>
      </c>
      <c r="AJ4900" s="525">
        <f>$A4900*$AI4900</f>
        <v>49.460000000000008</v>
      </c>
      <c r="AK4900" s="526">
        <f>ROUND(($AG4900+$AI4900)*$A4900,2)</f>
        <v>110.9</v>
      </c>
      <c r="AM4900" s="527">
        <f>ROUND(R4907,2)</f>
        <v>49.9</v>
      </c>
      <c r="AN4900" s="528">
        <f>ROUND(T4907,2)</f>
        <v>1.46</v>
      </c>
      <c r="AO4900" s="529">
        <f>ROUND(AM4900+AN4900,2)*A4900</f>
        <v>51.36</v>
      </c>
      <c r="AR4900" s="747">
        <v>1</v>
      </c>
      <c r="AS4900" s="751">
        <v>116.39</v>
      </c>
    </row>
    <row r="4901" spans="1:45" s="520" customFormat="1" ht="13.2">
      <c r="A4901" s="748"/>
      <c r="B4901"/>
      <c r="C4901" s="748"/>
      <c r="D4901" s="749" t="s">
        <v>820</v>
      </c>
      <c r="F4901" s="753"/>
      <c r="G4901" s="3"/>
      <c r="H4901" s="753"/>
      <c r="I4901" s="754"/>
      <c r="J4901" s="753"/>
      <c r="K4901" s="753" t="s">
        <v>144</v>
      </c>
      <c r="L4901" s="753"/>
      <c r="M4901" s="753"/>
      <c r="N4901" s="753"/>
      <c r="O4901" s="753"/>
      <c r="P4901" s="753"/>
      <c r="Q4901" s="51"/>
      <c r="R4901" s="530"/>
      <c r="S4901" s="757"/>
      <c r="T4901" s="753"/>
      <c r="AR4901" s="748"/>
      <c r="AS4901" s="753"/>
    </row>
    <row r="4902" spans="1:45" s="901" customFormat="1" ht="13.2">
      <c r="A4902" s="116">
        <v>1</v>
      </c>
      <c r="B4902" s="901" t="s">
        <v>141</v>
      </c>
      <c r="D4902" s="901" t="s">
        <v>3012</v>
      </c>
      <c r="E4902" s="901" t="s">
        <v>3424</v>
      </c>
      <c r="F4902" s="1054" t="s">
        <v>3438</v>
      </c>
      <c r="G4902" s="941" t="s">
        <v>3013</v>
      </c>
      <c r="H4902" s="942">
        <v>705</v>
      </c>
      <c r="I4902" s="901" t="s">
        <v>3014</v>
      </c>
      <c r="J4902" s="901" t="s">
        <v>3015</v>
      </c>
      <c r="O4902" s="943">
        <v>3</v>
      </c>
      <c r="P4902" s="944">
        <v>34669</v>
      </c>
      <c r="Q4902" s="945">
        <v>30</v>
      </c>
      <c r="R4902" s="946">
        <f>$A4902*Q4902</f>
        <v>30</v>
      </c>
      <c r="S4902" s="945">
        <v>0.25</v>
      </c>
      <c r="T4902" s="947">
        <f>$A4902*S4902*$T$1</f>
        <v>0.22500000000000001</v>
      </c>
      <c r="AR4902" s="116">
        <v>1</v>
      </c>
      <c r="AS4902" s="1054" t="s">
        <v>3438</v>
      </c>
    </row>
    <row r="4903" spans="1:45" s="520" customFormat="1" ht="12">
      <c r="A4903" s="51"/>
      <c r="B4903" s="758"/>
      <c r="C4903" s="758"/>
      <c r="D4903" s="1061" t="s">
        <v>3016</v>
      </c>
      <c r="E4903" s="758"/>
      <c r="F4903" s="753"/>
      <c r="G4903" s="758"/>
      <c r="H4903" s="758"/>
      <c r="I4903" s="519"/>
      <c r="J4903" s="758"/>
      <c r="K4903" s="758"/>
      <c r="L4903" s="758"/>
      <c r="M4903" s="758"/>
      <c r="N4903" s="758"/>
      <c r="O4903" s="758"/>
      <c r="P4903" s="758"/>
      <c r="Q4903" s="519"/>
      <c r="R4903" s="759">
        <f>$A4903*Q4903</f>
        <v>0</v>
      </c>
      <c r="S4903" s="519"/>
      <c r="T4903" s="760">
        <f>$A4903*S4903*$T$1</f>
        <v>0</v>
      </c>
      <c r="AR4903" s="51"/>
      <c r="AS4903" s="753"/>
    </row>
    <row r="4904" spans="1:45" s="901" customFormat="1" ht="13.2">
      <c r="A4904">
        <v>5</v>
      </c>
      <c r="B4904" s="901" t="s">
        <v>320</v>
      </c>
      <c r="D4904" s="901" t="s">
        <v>2951</v>
      </c>
      <c r="G4904" s="941" t="s">
        <v>2952</v>
      </c>
      <c r="H4904" s="942">
        <v>690</v>
      </c>
      <c r="I4904" s="901" t="s">
        <v>2946</v>
      </c>
      <c r="J4904" s="901" t="s">
        <v>2953</v>
      </c>
      <c r="O4904" s="943">
        <v>1</v>
      </c>
      <c r="P4904" s="944">
        <v>34669</v>
      </c>
      <c r="Q4904" s="1197">
        <v>3.03</v>
      </c>
      <c r="R4904" s="946">
        <f>$A4904*Q4904</f>
        <v>15.149999999999999</v>
      </c>
      <c r="S4904" s="945">
        <v>0.2</v>
      </c>
      <c r="T4904" s="947">
        <f>$A4904*S4904*$T$1</f>
        <v>0.9</v>
      </c>
      <c r="AR4904">
        <v>5</v>
      </c>
    </row>
    <row r="4905" spans="1:45" s="901" customFormat="1" ht="13.2">
      <c r="A4905">
        <v>25</v>
      </c>
      <c r="B4905" s="901" t="s">
        <v>320</v>
      </c>
      <c r="D4905" s="901" t="s">
        <v>2954</v>
      </c>
      <c r="F4905" s="901" t="s">
        <v>3299</v>
      </c>
      <c r="G4905" s="941" t="s">
        <v>2955</v>
      </c>
      <c r="H4905" s="942">
        <v>615</v>
      </c>
      <c r="I4905" s="901" t="s">
        <v>2272</v>
      </c>
      <c r="K4905" s="901" t="s">
        <v>2956</v>
      </c>
      <c r="O4905" s="943">
        <v>2</v>
      </c>
      <c r="P4905" s="944">
        <v>38988</v>
      </c>
      <c r="Q4905" s="1194">
        <f>0.2*0.95</f>
        <v>0.19</v>
      </c>
      <c r="R4905" s="946">
        <f>$A4905*Q4905</f>
        <v>4.75</v>
      </c>
      <c r="S4905" s="945">
        <v>1.4999999999999999E-2</v>
      </c>
      <c r="T4905" s="947">
        <f>$A4905*S4905*$T$1</f>
        <v>0.33750000000000002</v>
      </c>
      <c r="AR4905">
        <v>25</v>
      </c>
      <c r="AS4905" s="901" t="s">
        <v>3299</v>
      </c>
    </row>
    <row r="4906" spans="1:45" s="520" customFormat="1" ht="12">
      <c r="A4906" s="758"/>
      <c r="B4906" s="758"/>
      <c r="C4906" s="758"/>
      <c r="D4906" s="758"/>
      <c r="E4906" s="758"/>
      <c r="F4906" s="753"/>
      <c r="G4906" s="758"/>
      <c r="H4906" s="758"/>
      <c r="I4906" s="519"/>
      <c r="J4906" s="758"/>
      <c r="K4906" s="758"/>
      <c r="L4906" s="758"/>
      <c r="M4906" s="758"/>
      <c r="N4906" s="758"/>
      <c r="O4906" s="758"/>
      <c r="P4906" s="758"/>
      <c r="Q4906" s="519"/>
      <c r="R4906" s="759">
        <f>$A4906*Q4906</f>
        <v>0</v>
      </c>
      <c r="S4906" s="519"/>
      <c r="T4906" s="760">
        <f>$A4906*S4906*$T$1</f>
        <v>0</v>
      </c>
      <c r="AR4906" s="758"/>
      <c r="AS4906" s="753"/>
    </row>
    <row r="4907" spans="1:45" s="520" customFormat="1" ht="12.6" thickBot="1">
      <c r="A4907" s="761" t="s">
        <v>145</v>
      </c>
      <c r="B4907" s="762">
        <f>(R4906+T4906)</f>
        <v>0</v>
      </c>
      <c r="C4907" s="763"/>
      <c r="D4907" s="763"/>
      <c r="E4907" s="763"/>
      <c r="F4907" s="764"/>
      <c r="G4907" s="763" t="s">
        <v>146</v>
      </c>
      <c r="H4907" s="763"/>
      <c r="I4907" s="765"/>
      <c r="J4907" s="763"/>
      <c r="K4907" s="763" t="s">
        <v>3</v>
      </c>
      <c r="L4907" s="766" t="s">
        <v>143</v>
      </c>
      <c r="M4907" s="766"/>
      <c r="N4907" s="766"/>
      <c r="O4907" s="766"/>
      <c r="P4907" s="766"/>
      <c r="Q4907" s="767"/>
      <c r="R4907" s="768">
        <f>SUM(R4901:R4906)</f>
        <v>49.9</v>
      </c>
      <c r="S4907" s="763"/>
      <c r="T4907" s="768">
        <f>SUM(T4901:T4906)</f>
        <v>1.4624999999999999</v>
      </c>
      <c r="U4907" s="531"/>
      <c r="V4907" s="531"/>
      <c r="W4907" s="531"/>
      <c r="X4907" s="531"/>
      <c r="Y4907" s="531"/>
      <c r="Z4907" s="531"/>
      <c r="AA4907" s="531"/>
      <c r="AB4907" s="531"/>
      <c r="AC4907" s="531"/>
      <c r="AD4907" s="531"/>
      <c r="AE4907" s="531"/>
      <c r="AF4907" s="531"/>
      <c r="AG4907" s="531"/>
      <c r="AH4907" s="531"/>
      <c r="AI4907" s="531"/>
      <c r="AJ4907" s="531"/>
      <c r="AK4907" s="531"/>
      <c r="AL4907" s="531"/>
      <c r="AM4907" s="531"/>
      <c r="AN4907" s="531"/>
      <c r="AO4907" s="531"/>
      <c r="AR4907" s="761" t="s">
        <v>145</v>
      </c>
      <c r="AS4907" s="764"/>
    </row>
    <row r="4908" spans="1:45" s="520" customFormat="1" ht="12" thickTop="1">
      <c r="A4908" s="51"/>
      <c r="B4908" s="41"/>
      <c r="C4908" s="51"/>
      <c r="E4908" s="42" t="s">
        <v>138</v>
      </c>
      <c r="F4908" s="42" t="s">
        <v>139</v>
      </c>
      <c r="G4908" s="51"/>
      <c r="H4908" s="51"/>
      <c r="I4908" s="51"/>
      <c r="J4908" s="51"/>
      <c r="K4908" s="51" t="s">
        <v>140</v>
      </c>
      <c r="L4908" s="51"/>
      <c r="M4908" s="51"/>
      <c r="N4908" s="51"/>
      <c r="O4908" s="52"/>
      <c r="P4908" s="51"/>
      <c r="Q4908" s="51"/>
      <c r="R4908" s="51"/>
      <c r="S4908" s="51"/>
      <c r="T4908" s="41"/>
      <c r="AG4908" s="521" t="s">
        <v>268</v>
      </c>
      <c r="AH4908" s="521" t="s">
        <v>269</v>
      </c>
      <c r="AI4908" s="521" t="s">
        <v>270</v>
      </c>
      <c r="AJ4908" s="521" t="s">
        <v>271</v>
      </c>
      <c r="AK4908" s="521" t="s">
        <v>272</v>
      </c>
      <c r="AM4908" s="745" t="s">
        <v>281</v>
      </c>
      <c r="AN4908" s="746" t="s">
        <v>282</v>
      </c>
      <c r="AO4908" s="522" t="s">
        <v>278</v>
      </c>
      <c r="AR4908" s="51"/>
      <c r="AS4908" s="42" t="s">
        <v>139</v>
      </c>
    </row>
    <row r="4909" spans="1:45" s="520" customFormat="1" ht="12" customHeight="1">
      <c r="A4909" s="747">
        <v>2</v>
      </c>
      <c r="B4909" s="523" t="s">
        <v>141</v>
      </c>
      <c r="C4909" s="748"/>
      <c r="D4909" s="749" t="s">
        <v>1828</v>
      </c>
      <c r="E4909" s="750">
        <f>IF(AND($A4909=0,$A$1="DIF"),0, ROUND(ROUND(($R4915*$S$2+($T4915*$T$2))/A4909,2)*$C$2,2))</f>
        <v>267.02999999999997</v>
      </c>
      <c r="F4909" s="751">
        <f>ROUND($A4909*$E4909,2)</f>
        <v>534.05999999999995</v>
      </c>
      <c r="G4909" s="752" t="s">
        <v>142</v>
      </c>
      <c r="H4909" s="753"/>
      <c r="I4909" s="754"/>
      <c r="J4909" s="753"/>
      <c r="K4909" s="753" t="s">
        <v>3</v>
      </c>
      <c r="L4909" s="755" t="s">
        <v>143</v>
      </c>
      <c r="M4909" s="755"/>
      <c r="N4909" s="755"/>
      <c r="O4909" s="755"/>
      <c r="P4909" s="755"/>
      <c r="Q4909" s="51"/>
      <c r="T4909" s="756" t="str">
        <f>IF(AND($R4915=0,$T4915=0),"0.00","mu :" &amp; ROUND($F4909/$C$2/($R4915+$T4915*$D$9),2))</f>
        <v>mu :1.23</v>
      </c>
      <c r="W4909" s="524"/>
      <c r="AG4909" s="481">
        <f>IF($E4909=0,0,ROUND($R4915*$S$2*$C$2/$A4909,2))</f>
        <v>156.26</v>
      </c>
      <c r="AH4909" s="481">
        <f>$AG4909*$A4909</f>
        <v>312.52</v>
      </c>
      <c r="AI4909" s="525">
        <f>$E4909-$AG4909</f>
        <v>110.76999999999998</v>
      </c>
      <c r="AJ4909" s="525">
        <f>$A4909*$AI4909</f>
        <v>221.53999999999996</v>
      </c>
      <c r="AK4909" s="526">
        <f>ROUND(($AG4909+$AI4909)*$A4909,2)</f>
        <v>534.05999999999995</v>
      </c>
      <c r="AM4909" s="527">
        <f>ROUND(R4915,2)</f>
        <v>253.8</v>
      </c>
      <c r="AN4909" s="528">
        <f>ROUND(T4915,2)</f>
        <v>6.55</v>
      </c>
      <c r="AO4909" s="529">
        <f>ROUND(AM4909+AN4909,2)*A4909</f>
        <v>520.70000000000005</v>
      </c>
      <c r="AR4909" s="747">
        <v>2</v>
      </c>
      <c r="AS4909" s="751">
        <v>558.67999999999995</v>
      </c>
    </row>
    <row r="4910" spans="1:45" s="520" customFormat="1" ht="39.9" customHeight="1">
      <c r="A4910" s="748"/>
      <c r="B4910"/>
      <c r="C4910" s="748"/>
      <c r="D4910" s="1451" t="s">
        <v>812</v>
      </c>
      <c r="E4910" s="1452"/>
      <c r="F4910" s="1452"/>
      <c r="G4910" s="1452"/>
      <c r="H4910" s="1452"/>
      <c r="I4910" s="1452"/>
      <c r="J4910" s="1452"/>
      <c r="K4910" s="1452"/>
      <c r="L4910" s="1452"/>
      <c r="M4910" s="1452"/>
      <c r="N4910" s="1452"/>
      <c r="O4910" s="1452"/>
      <c r="P4910" s="1452"/>
      <c r="Q4910" s="1452"/>
      <c r="R4910" s="1452"/>
      <c r="S4910" s="1452"/>
      <c r="T4910" s="1452"/>
      <c r="AR4910" s="748"/>
    </row>
    <row r="4911" spans="1:45" s="901" customFormat="1" ht="13.2">
      <c r="A4911" s="116">
        <v>36</v>
      </c>
      <c r="B4911" s="901" t="s">
        <v>320</v>
      </c>
      <c r="D4911" s="901" t="s">
        <v>3006</v>
      </c>
      <c r="F4911" s="901" t="s">
        <v>3237</v>
      </c>
      <c r="G4911" s="941" t="s">
        <v>3007</v>
      </c>
      <c r="H4911" s="942">
        <v>700</v>
      </c>
      <c r="I4911" s="901" t="s">
        <v>3008</v>
      </c>
      <c r="J4911" s="901" t="s">
        <v>2947</v>
      </c>
      <c r="O4911" s="943">
        <v>1</v>
      </c>
      <c r="P4911" s="944">
        <v>42213</v>
      </c>
      <c r="Q4911" s="945">
        <v>2.0499999999999998</v>
      </c>
      <c r="R4911" s="946">
        <f>$A4911*Q4911</f>
        <v>73.8</v>
      </c>
      <c r="S4911" s="945">
        <v>0.18</v>
      </c>
      <c r="T4911" s="947">
        <f>$A4911*S4911*$T$1</f>
        <v>5.8319999999999999</v>
      </c>
      <c r="AR4911" s="116">
        <v>36</v>
      </c>
      <c r="AS4911" s="901" t="s">
        <v>3237</v>
      </c>
    </row>
    <row r="4912" spans="1:45" s="901" customFormat="1" ht="13.2">
      <c r="A4912">
        <v>2</v>
      </c>
      <c r="B4912" s="901" t="s">
        <v>329</v>
      </c>
      <c r="D4912" s="901" t="s">
        <v>3414</v>
      </c>
      <c r="E4912" s="901" t="s">
        <v>3413</v>
      </c>
      <c r="G4912" s="941" t="s">
        <v>3412</v>
      </c>
      <c r="H4912" s="942">
        <v>617</v>
      </c>
      <c r="I4912" s="901" t="s">
        <v>2607</v>
      </c>
      <c r="O4912" s="943">
        <v>2</v>
      </c>
      <c r="P4912" s="944">
        <v>39647</v>
      </c>
      <c r="Q4912" s="945">
        <v>30</v>
      </c>
      <c r="R4912" s="946">
        <f>$A4912*Q4912</f>
        <v>60</v>
      </c>
      <c r="S4912" s="945">
        <f>0.04*10</f>
        <v>0.4</v>
      </c>
      <c r="T4912" s="947">
        <f>$A4912*S4912*$T$1</f>
        <v>0.72000000000000008</v>
      </c>
      <c r="AR4912">
        <v>2</v>
      </c>
    </row>
    <row r="4913" spans="1:45" s="901" customFormat="1" ht="13.2">
      <c r="A4913" s="116">
        <v>4</v>
      </c>
      <c r="B4913" s="901" t="s">
        <v>141</v>
      </c>
      <c r="D4913" s="901" t="s">
        <v>3419</v>
      </c>
      <c r="E4913" s="901" t="s">
        <v>3420</v>
      </c>
      <c r="F4913" s="901" t="s">
        <v>3421</v>
      </c>
      <c r="G4913" s="941" t="s">
        <v>3416</v>
      </c>
      <c r="H4913" s="942">
        <v>705</v>
      </c>
      <c r="I4913" s="901" t="s">
        <v>3417</v>
      </c>
      <c r="J4913" s="901" t="s">
        <v>3418</v>
      </c>
      <c r="O4913" s="943">
        <v>3</v>
      </c>
      <c r="P4913" s="944">
        <v>38744</v>
      </c>
      <c r="Q4913" s="945">
        <v>30</v>
      </c>
      <c r="R4913" s="946">
        <f>$A4913*Q4913</f>
        <v>120</v>
      </c>
      <c r="S4913" s="945"/>
      <c r="T4913" s="947">
        <f>$A4913*S4913*$T$1</f>
        <v>0</v>
      </c>
      <c r="AR4913" s="116">
        <v>4</v>
      </c>
      <c r="AS4913" s="901" t="s">
        <v>3421</v>
      </c>
    </row>
    <row r="4914" spans="1:45" s="520" customFormat="1" ht="12">
      <c r="A4914" s="758"/>
      <c r="B4914" s="758"/>
      <c r="C4914" s="758"/>
      <c r="D4914" s="758"/>
      <c r="E4914" s="758"/>
      <c r="F4914" s="753"/>
      <c r="G4914" s="758"/>
      <c r="H4914" s="758"/>
      <c r="I4914" s="519"/>
      <c r="J4914" s="758"/>
      <c r="K4914" s="758"/>
      <c r="L4914" s="758"/>
      <c r="M4914" s="758"/>
      <c r="N4914" s="758"/>
      <c r="O4914" s="758"/>
      <c r="P4914" s="758"/>
      <c r="Q4914" s="519"/>
      <c r="R4914" s="759">
        <f>$A4914*Q4914</f>
        <v>0</v>
      </c>
      <c r="S4914" s="519"/>
      <c r="T4914" s="760">
        <f>$A4914*S4914*$T$1</f>
        <v>0</v>
      </c>
      <c r="AR4914" s="758"/>
      <c r="AS4914" s="753"/>
    </row>
    <row r="4915" spans="1:45" s="520" customFormat="1" ht="12.6" thickBot="1">
      <c r="A4915" s="761" t="s">
        <v>145</v>
      </c>
      <c r="B4915" s="762">
        <f>(R4914+T4914)</f>
        <v>0</v>
      </c>
      <c r="C4915" s="763"/>
      <c r="D4915" s="763"/>
      <c r="E4915" s="763"/>
      <c r="F4915" s="764"/>
      <c r="G4915" s="763" t="s">
        <v>146</v>
      </c>
      <c r="H4915" s="763"/>
      <c r="I4915" s="765"/>
      <c r="J4915" s="763"/>
      <c r="K4915" s="763" t="s">
        <v>3</v>
      </c>
      <c r="L4915" s="766" t="s">
        <v>143</v>
      </c>
      <c r="M4915" s="766"/>
      <c r="N4915" s="766"/>
      <c r="O4915" s="766"/>
      <c r="P4915" s="766"/>
      <c r="Q4915" s="767"/>
      <c r="R4915" s="768">
        <f>SUM(R4910:R4914)</f>
        <v>253.8</v>
      </c>
      <c r="S4915" s="763"/>
      <c r="T4915" s="768">
        <f>SUM(T4910:T4914)</f>
        <v>6.5519999999999996</v>
      </c>
      <c r="U4915" s="531"/>
      <c r="V4915" s="531"/>
      <c r="W4915" s="531"/>
      <c r="X4915" s="531"/>
      <c r="Y4915" s="531"/>
      <c r="Z4915" s="531"/>
      <c r="AA4915" s="531"/>
      <c r="AB4915" s="531"/>
      <c r="AC4915" s="531"/>
      <c r="AD4915" s="531"/>
      <c r="AE4915" s="531"/>
      <c r="AF4915" s="531"/>
      <c r="AG4915" s="531"/>
      <c r="AH4915" s="531"/>
      <c r="AI4915" s="531"/>
      <c r="AJ4915" s="531"/>
      <c r="AK4915" s="531"/>
      <c r="AL4915" s="531"/>
      <c r="AM4915" s="531"/>
      <c r="AN4915" s="531"/>
      <c r="AO4915" s="531"/>
      <c r="AR4915" s="761" t="s">
        <v>145</v>
      </c>
      <c r="AS4915" s="764"/>
    </row>
    <row r="4916" spans="1:45" s="520" customFormat="1" thickTop="1">
      <c r="A4916" s="51"/>
      <c r="B4916" s="51"/>
      <c r="C4916" s="3"/>
      <c r="D4916" s="3"/>
      <c r="E4916" s="51"/>
      <c r="F4916" s="51"/>
      <c r="G4916" s="51"/>
      <c r="H4916" s="51"/>
      <c r="I4916" s="51"/>
      <c r="J4916" s="51"/>
      <c r="K4916" s="51" t="s">
        <v>134</v>
      </c>
      <c r="L4916" s="51"/>
      <c r="M4916" s="51"/>
      <c r="N4916" s="51"/>
      <c r="O4916" s="52"/>
      <c r="P4916" s="51"/>
      <c r="Q4916" s="51"/>
      <c r="R4916" s="51"/>
      <c r="S4916" s="51"/>
      <c r="T4916" s="51"/>
      <c r="AR4916" s="51"/>
      <c r="AS4916" s="51"/>
    </row>
    <row r="4917" spans="1:45" s="520" customFormat="1" ht="12">
      <c r="A4917" s="51"/>
      <c r="B4917" s="51"/>
      <c r="C4917" s="51" t="s">
        <v>135</v>
      </c>
      <c r="D4917" s="37"/>
      <c r="E4917" s="51"/>
      <c r="F4917" s="51"/>
      <c r="G4917" s="51"/>
      <c r="H4917" s="51"/>
      <c r="I4917" s="51"/>
      <c r="J4917" s="51"/>
      <c r="K4917" s="51"/>
      <c r="L4917" s="51"/>
      <c r="M4917" s="51"/>
      <c r="N4917" s="51"/>
      <c r="O4917" s="52"/>
      <c r="P4917" s="51"/>
      <c r="Q4917" s="51"/>
      <c r="R4917" s="51"/>
      <c r="S4917" s="51"/>
      <c r="T4917" s="51"/>
      <c r="AR4917" s="51"/>
      <c r="AS4917" s="51"/>
    </row>
    <row r="4918" spans="1:45" s="520" customFormat="1" ht="12">
      <c r="A4918" s="51"/>
      <c r="B4918" s="51"/>
      <c r="C4918" s="51"/>
      <c r="D4918" s="37" t="s">
        <v>442</v>
      </c>
      <c r="E4918" s="51"/>
      <c r="F4918" s="51"/>
      <c r="G4918" s="51"/>
      <c r="H4918" s="51"/>
      <c r="I4918" s="51"/>
      <c r="J4918" s="51"/>
      <c r="K4918" s="51"/>
      <c r="L4918" s="51"/>
      <c r="M4918" s="51"/>
      <c r="N4918" s="51"/>
      <c r="O4918" s="52"/>
      <c r="P4918" s="51"/>
      <c r="Q4918" s="51"/>
      <c r="R4918" s="51"/>
      <c r="S4918" s="38"/>
      <c r="T4918" s="38"/>
      <c r="AR4918" s="51"/>
      <c r="AS4918" s="51"/>
    </row>
    <row r="4919" spans="1:45" s="3" customFormat="1" thickBot="1">
      <c r="A4919" s="531"/>
      <c r="O4919" s="107"/>
      <c r="AR4919" s="531"/>
    </row>
    <row r="4920" spans="1:45" s="520" customFormat="1" thickTop="1">
      <c r="A4920" s="51"/>
      <c r="B4920" s="51"/>
      <c r="C4920" s="3"/>
      <c r="D4920" s="3"/>
      <c r="E4920" s="51"/>
      <c r="F4920" s="51"/>
      <c r="G4920" s="51"/>
      <c r="H4920" s="51"/>
      <c r="I4920" s="51"/>
      <c r="J4920" s="51"/>
      <c r="K4920" s="51" t="s">
        <v>134</v>
      </c>
      <c r="L4920" s="51"/>
      <c r="M4920" s="51"/>
      <c r="N4920" s="51"/>
      <c r="O4920" s="52"/>
      <c r="P4920" s="51"/>
      <c r="Q4920" s="51"/>
      <c r="R4920" s="51"/>
      <c r="S4920" s="51"/>
      <c r="T4920" s="51"/>
      <c r="AR4920" s="51"/>
      <c r="AS4920" s="51"/>
    </row>
    <row r="4921" spans="1:45" s="520" customFormat="1" ht="12">
      <c r="A4921" s="51"/>
      <c r="B4921" s="51"/>
      <c r="C4921" s="51" t="s">
        <v>135</v>
      </c>
      <c r="D4921" s="37"/>
      <c r="E4921" s="51"/>
      <c r="F4921" s="51"/>
      <c r="G4921" s="51"/>
      <c r="H4921" s="51"/>
      <c r="I4921" s="51"/>
      <c r="J4921" s="51"/>
      <c r="K4921" s="51"/>
      <c r="L4921" s="51"/>
      <c r="M4921" s="51"/>
      <c r="N4921" s="51"/>
      <c r="O4921" s="52"/>
      <c r="P4921" s="51"/>
      <c r="Q4921" s="51"/>
      <c r="R4921" s="51"/>
      <c r="S4921" s="51"/>
      <c r="T4921" s="51"/>
      <c r="AR4921" s="51"/>
      <c r="AS4921" s="51"/>
    </row>
    <row r="4922" spans="1:45" s="520" customFormat="1" ht="39.9" customHeight="1">
      <c r="A4922" s="51"/>
      <c r="B4922" s="51"/>
      <c r="C4922" s="51"/>
      <c r="D4922" s="1453" t="s">
        <v>1660</v>
      </c>
      <c r="E4922" s="1452"/>
      <c r="F4922" s="1452"/>
      <c r="G4922" s="1452"/>
      <c r="H4922" s="1452"/>
      <c r="I4922" s="1452"/>
      <c r="J4922" s="1452"/>
      <c r="K4922" s="1452"/>
      <c r="L4922" s="1452"/>
      <c r="M4922" s="1452"/>
      <c r="N4922" s="1452"/>
      <c r="O4922" s="1452"/>
      <c r="P4922" s="1452"/>
      <c r="Q4922" s="1452"/>
      <c r="R4922" s="1452"/>
      <c r="S4922" s="1452"/>
      <c r="T4922" s="1452"/>
      <c r="AR4922" s="51"/>
    </row>
    <row r="4923" spans="1:45" s="3" customFormat="1" thickBot="1">
      <c r="A4923" s="531"/>
      <c r="O4923" s="107"/>
      <c r="AR4923" s="531"/>
    </row>
    <row r="4924" spans="1:45" s="520" customFormat="1" thickTop="1">
      <c r="A4924" s="51"/>
      <c r="B4924" s="51"/>
      <c r="C4924" s="3"/>
      <c r="D4924" s="3"/>
      <c r="E4924" s="51"/>
      <c r="F4924" s="51"/>
      <c r="G4924" s="51"/>
      <c r="H4924" s="51"/>
      <c r="I4924" s="51"/>
      <c r="J4924" s="51"/>
      <c r="K4924" s="51" t="s">
        <v>134</v>
      </c>
      <c r="L4924" s="51"/>
      <c r="M4924" s="51"/>
      <c r="N4924" s="51"/>
      <c r="O4924" s="52"/>
      <c r="P4924" s="51"/>
      <c r="Q4924" s="51"/>
      <c r="R4924" s="51"/>
      <c r="S4924" s="51"/>
      <c r="T4924" s="51"/>
      <c r="AR4924" s="51"/>
      <c r="AS4924" s="51"/>
    </row>
    <row r="4925" spans="1:45" s="520" customFormat="1" ht="12">
      <c r="A4925" s="51"/>
      <c r="B4925" s="51"/>
      <c r="C4925" s="51" t="s">
        <v>135</v>
      </c>
      <c r="D4925" s="37"/>
      <c r="E4925" s="51"/>
      <c r="F4925" s="51"/>
      <c r="G4925" s="51"/>
      <c r="H4925" s="51"/>
      <c r="I4925" s="51"/>
      <c r="J4925" s="51"/>
      <c r="K4925" s="51"/>
      <c r="L4925" s="51"/>
      <c r="M4925" s="51"/>
      <c r="N4925" s="51"/>
      <c r="O4925" s="52"/>
      <c r="P4925" s="51"/>
      <c r="Q4925" s="51"/>
      <c r="R4925" s="51"/>
      <c r="S4925" s="51"/>
      <c r="T4925" s="51"/>
      <c r="AR4925" s="51"/>
      <c r="AS4925" s="51"/>
    </row>
    <row r="4926" spans="1:45" s="520" customFormat="1" ht="12">
      <c r="A4926" s="51"/>
      <c r="B4926" s="51"/>
      <c r="C4926" s="51"/>
      <c r="D4926" s="37" t="s">
        <v>859</v>
      </c>
      <c r="E4926" s="51"/>
      <c r="F4926" s="51"/>
      <c r="G4926" s="51"/>
      <c r="H4926" s="51"/>
      <c r="I4926" s="51"/>
      <c r="J4926" s="51"/>
      <c r="K4926" s="51"/>
      <c r="L4926" s="51"/>
      <c r="M4926" s="51"/>
      <c r="N4926" s="51"/>
      <c r="O4926" s="52"/>
      <c r="P4926" s="51"/>
      <c r="Q4926" s="51"/>
      <c r="R4926" s="51"/>
      <c r="S4926" s="38"/>
      <c r="T4926" s="38"/>
      <c r="AR4926" s="51"/>
      <c r="AS4926" s="51"/>
    </row>
    <row r="4927" spans="1:45" s="3" customFormat="1" thickBot="1">
      <c r="A4927" s="531"/>
      <c r="O4927" s="107"/>
      <c r="AR4927" s="531"/>
    </row>
    <row r="4928" spans="1:45" s="520" customFormat="1" ht="12" thickTop="1">
      <c r="A4928" s="51"/>
      <c r="B4928" s="41"/>
      <c r="C4928" s="51"/>
      <c r="E4928" s="42" t="s">
        <v>138</v>
      </c>
      <c r="F4928" s="42" t="s">
        <v>139</v>
      </c>
      <c r="G4928" s="51"/>
      <c r="H4928" s="51"/>
      <c r="I4928" s="51"/>
      <c r="J4928" s="51"/>
      <c r="K4928" s="51" t="s">
        <v>140</v>
      </c>
      <c r="L4928" s="51"/>
      <c r="M4928" s="51"/>
      <c r="N4928" s="51"/>
      <c r="O4928" s="52"/>
      <c r="P4928" s="51"/>
      <c r="Q4928" s="51"/>
      <c r="R4928" s="51"/>
      <c r="S4928" s="51"/>
      <c r="T4928" s="41"/>
      <c r="AG4928" s="521" t="s">
        <v>268</v>
      </c>
      <c r="AH4928" s="521" t="s">
        <v>269</v>
      </c>
      <c r="AI4928" s="521" t="s">
        <v>270</v>
      </c>
      <c r="AJ4928" s="521" t="s">
        <v>271</v>
      </c>
      <c r="AK4928" s="521" t="s">
        <v>272</v>
      </c>
      <c r="AM4928" s="745" t="s">
        <v>281</v>
      </c>
      <c r="AN4928" s="746" t="s">
        <v>282</v>
      </c>
      <c r="AO4928" s="522" t="s">
        <v>278</v>
      </c>
      <c r="AR4928" s="51"/>
      <c r="AS4928" s="42" t="s">
        <v>139</v>
      </c>
    </row>
    <row r="4929" spans="1:45" s="520" customFormat="1" ht="12" customHeight="1">
      <c r="A4929" s="747">
        <v>1</v>
      </c>
      <c r="B4929" s="523" t="s">
        <v>141</v>
      </c>
      <c r="C4929" s="748"/>
      <c r="D4929" s="749" t="s">
        <v>1829</v>
      </c>
      <c r="E4929" s="750">
        <f ca="1">IF(AND($A4929=0,$A$1="DIF"),0, ROUND(ROUND(($R4935*$S$2+($T4935*$T$2))/A4929,2)*$C$2,2))</f>
        <v>596.32000000000005</v>
      </c>
      <c r="F4929" s="751">
        <f ca="1">ROUND($A4929*$E4929,2)</f>
        <v>596.32000000000005</v>
      </c>
      <c r="G4929" s="752" t="s">
        <v>142</v>
      </c>
      <c r="H4929" s="753"/>
      <c r="I4929" s="754"/>
      <c r="J4929" s="753"/>
      <c r="K4929" s="753" t="s">
        <v>3</v>
      </c>
      <c r="L4929" s="755" t="s">
        <v>143</v>
      </c>
      <c r="M4929" s="755"/>
      <c r="N4929" s="755"/>
      <c r="O4929" s="755"/>
      <c r="P4929" s="755"/>
      <c r="Q4929" s="51"/>
      <c r="T4929" s="756" t="str">
        <f ca="1">IF(AND($R4935=0,$T4935=0),"0.00","mu :" &amp; ROUND($F4929/$C$2/($R4935+$T4935*$D$9),2))</f>
        <v>mu :1.23</v>
      </c>
      <c r="W4929" s="524"/>
      <c r="AG4929" s="481">
        <f ca="1">IF($E4929=0,0,ROUND($R4935*$S$2*$C$2/$A4929,2))</f>
        <v>206.02</v>
      </c>
      <c r="AH4929" s="481">
        <f ca="1">$AG4929*$A4929</f>
        <v>206.02</v>
      </c>
      <c r="AI4929" s="525">
        <f ca="1">$E4929-$AG4929</f>
        <v>390.30000000000007</v>
      </c>
      <c r="AJ4929" s="525">
        <f ca="1">$A4929*$AI4929</f>
        <v>390.30000000000007</v>
      </c>
      <c r="AK4929" s="526">
        <f ca="1">ROUND(($AG4929+$AI4929)*$A4929,2)</f>
        <v>596.32000000000005</v>
      </c>
      <c r="AM4929" s="527">
        <f ca="1">ROUND(R4935,2)</f>
        <v>167.31</v>
      </c>
      <c r="AN4929" s="528">
        <f ca="1">ROUND(T4935,2)</f>
        <v>11.54</v>
      </c>
      <c r="AO4929" s="529">
        <f ca="1">ROUND(AM4929+AN4929,2)*A4929</f>
        <v>178.85</v>
      </c>
      <c r="AR4929" s="747">
        <v>1</v>
      </c>
      <c r="AS4929" s="751">
        <v>640</v>
      </c>
    </row>
    <row r="4930" spans="1:45" s="520" customFormat="1" ht="13.2">
      <c r="A4930" s="748"/>
      <c r="B4930"/>
      <c r="C4930" s="748"/>
      <c r="D4930" s="749" t="s">
        <v>860</v>
      </c>
      <c r="F4930" s="753"/>
      <c r="G4930" s="3"/>
      <c r="H4930" s="753"/>
      <c r="I4930" s="754"/>
      <c r="J4930" s="753"/>
      <c r="K4930" s="753" t="s">
        <v>144</v>
      </c>
      <c r="L4930" s="753"/>
      <c r="M4930" s="753"/>
      <c r="N4930" s="753"/>
      <c r="O4930" s="753"/>
      <c r="P4930" s="753"/>
      <c r="Q4930" s="51"/>
      <c r="R4930" s="530"/>
      <c r="S4930" s="757"/>
      <c r="T4930" s="753"/>
      <c r="AR4930" s="748"/>
      <c r="AS4930" s="753"/>
    </row>
    <row r="4931" spans="1:45" s="886" customFormat="1" ht="13.2">
      <c r="A4931"/>
      <c r="B4931" s="910"/>
      <c r="C4931" s="910" t="s">
        <v>2597</v>
      </c>
      <c r="D4931" s="910" t="str">
        <f ca="1">CELL("Address",Elec_Rates!D$19)</f>
        <v>[E25_0062_Quintano_Foods_Elec_ELV_As_Awarded.xlsx]Elec_Rates!$D$19</v>
      </c>
      <c r="E4931" s="911"/>
      <c r="F4931" s="911"/>
      <c r="G4931" s="912" t="s">
        <v>2598</v>
      </c>
      <c r="H4931" s="912"/>
      <c r="I4931" s="912"/>
      <c r="J4931" s="912"/>
      <c r="K4931" s="913"/>
      <c r="L4931" s="911"/>
      <c r="M4931" s="911"/>
      <c r="N4931" s="911"/>
      <c r="O4931" s="914"/>
      <c r="P4931" s="911"/>
      <c r="Q4931" s="915"/>
      <c r="R4931" s="916"/>
      <c r="S4931" s="915"/>
      <c r="T4931" s="917"/>
      <c r="U4931" s="918"/>
      <c r="AR4931"/>
      <c r="AS4931" s="911"/>
    </row>
    <row r="4932" spans="1:45" s="886" customFormat="1" ht="11.4">
      <c r="A4932" s="919">
        <v>1</v>
      </c>
      <c r="B4932" s="920">
        <f>8.5</f>
        <v>8.5</v>
      </c>
      <c r="C4932" s="920">
        <f>$A4932*$B4932</f>
        <v>8.5</v>
      </c>
      <c r="D4932" s="921" t="str">
        <f>Elec_Rates!$D$19</f>
        <v>001# Light Point Rate (LSZH Conduit)</v>
      </c>
      <c r="E4932" s="921" t="s">
        <v>3042</v>
      </c>
      <c r="F4932" s="918"/>
      <c r="G4932" s="922" t="s">
        <v>2878</v>
      </c>
      <c r="H4932" s="922"/>
      <c r="I4932" s="922"/>
      <c r="J4932" s="922"/>
      <c r="K4932" s="923"/>
      <c r="L4932" s="918"/>
      <c r="M4932" s="918"/>
      <c r="N4932" s="918"/>
      <c r="O4932" s="924"/>
      <c r="P4932" s="921"/>
      <c r="Q4932" s="925">
        <f ca="1">$B4932*Elec_Rates!$R$19</f>
        <v>157.08000000000001</v>
      </c>
      <c r="R4932" s="916">
        <f ca="1">$A4932*Q4932</f>
        <v>157.08000000000001</v>
      </c>
      <c r="S4932" s="925">
        <f ca="1">$B4932*Elec_Rates!$T$19</f>
        <v>11.39</v>
      </c>
      <c r="T4932" s="917">
        <f ca="1">$A4932*S4932</f>
        <v>11.39</v>
      </c>
      <c r="U4932" s="926"/>
      <c r="AR4932" s="919">
        <v>1</v>
      </c>
      <c r="AS4932" s="918"/>
    </row>
    <row r="4933" spans="1:45" s="901" customFormat="1" ht="13.2">
      <c r="A4933">
        <v>1</v>
      </c>
      <c r="B4933" s="901" t="s">
        <v>141</v>
      </c>
      <c r="D4933" s="901" t="s">
        <v>2880</v>
      </c>
      <c r="E4933" s="901" t="s">
        <v>3424</v>
      </c>
      <c r="F4933" s="1054" t="s">
        <v>3430</v>
      </c>
      <c r="G4933" s="941" t="s">
        <v>2881</v>
      </c>
      <c r="H4933" s="942">
        <v>705</v>
      </c>
      <c r="I4933" s="901" t="s">
        <v>2607</v>
      </c>
      <c r="O4933" s="943">
        <v>3</v>
      </c>
      <c r="P4933" s="944"/>
      <c r="Q4933" s="945">
        <v>10.23</v>
      </c>
      <c r="R4933" s="946">
        <f>$A4933*Q4933</f>
        <v>10.23</v>
      </c>
      <c r="S4933" s="945">
        <v>0.17</v>
      </c>
      <c r="T4933" s="947">
        <f>$A4933*S4933*$T$1</f>
        <v>0.15300000000000002</v>
      </c>
      <c r="AR4933">
        <v>1</v>
      </c>
      <c r="AS4933" s="1054" t="s">
        <v>3430</v>
      </c>
    </row>
    <row r="4934" spans="1:45" s="520" customFormat="1" ht="12">
      <c r="A4934" s="758"/>
      <c r="B4934" s="758"/>
      <c r="C4934" s="758"/>
      <c r="D4934" s="758"/>
      <c r="E4934" s="758"/>
      <c r="F4934" s="753"/>
      <c r="G4934" s="758"/>
      <c r="H4934" s="758"/>
      <c r="I4934" s="519"/>
      <c r="J4934" s="758"/>
      <c r="K4934" s="758"/>
      <c r="L4934" s="758"/>
      <c r="M4934" s="758"/>
      <c r="N4934" s="758"/>
      <c r="O4934" s="758"/>
      <c r="P4934" s="758"/>
      <c r="Q4934" s="519"/>
      <c r="R4934" s="759">
        <f>$A4934*Q4934</f>
        <v>0</v>
      </c>
      <c r="S4934" s="519"/>
      <c r="T4934" s="760">
        <f>$A4934*S4934*$T$1</f>
        <v>0</v>
      </c>
      <c r="AR4934" s="758"/>
      <c r="AS4934" s="753"/>
    </row>
    <row r="4935" spans="1:45" s="520" customFormat="1" ht="12.6" thickBot="1">
      <c r="A4935" s="761" t="s">
        <v>145</v>
      </c>
      <c r="B4935" s="762">
        <f>(R4934+T4934)</f>
        <v>0</v>
      </c>
      <c r="C4935" s="763"/>
      <c r="D4935" s="763"/>
      <c r="E4935" s="763"/>
      <c r="F4935" s="764"/>
      <c r="G4935" s="763" t="s">
        <v>146</v>
      </c>
      <c r="H4935" s="763"/>
      <c r="I4935" s="765"/>
      <c r="J4935" s="763"/>
      <c r="K4935" s="763" t="s">
        <v>3</v>
      </c>
      <c r="L4935" s="766" t="s">
        <v>143</v>
      </c>
      <c r="M4935" s="766"/>
      <c r="N4935" s="766"/>
      <c r="O4935" s="766"/>
      <c r="P4935" s="766"/>
      <c r="Q4935" s="767"/>
      <c r="R4935" s="768">
        <f ca="1">SUM(R4930:R4934)</f>
        <v>167.31</v>
      </c>
      <c r="S4935" s="763"/>
      <c r="T4935" s="768">
        <f ca="1">SUM(T4930:T4934)</f>
        <v>11.543000000000001</v>
      </c>
      <c r="U4935" s="531"/>
      <c r="V4935" s="531"/>
      <c r="W4935" s="531"/>
      <c r="X4935" s="531"/>
      <c r="Y4935" s="531"/>
      <c r="Z4935" s="531"/>
      <c r="AA4935" s="531"/>
      <c r="AB4935" s="531"/>
      <c r="AC4935" s="531"/>
      <c r="AD4935" s="531"/>
      <c r="AE4935" s="531"/>
      <c r="AF4935" s="531"/>
      <c r="AG4935" s="531"/>
      <c r="AH4935" s="531"/>
      <c r="AI4935" s="531"/>
      <c r="AJ4935" s="531"/>
      <c r="AK4935" s="531"/>
      <c r="AL4935" s="531"/>
      <c r="AM4935" s="531"/>
      <c r="AN4935" s="531"/>
      <c r="AO4935" s="531"/>
      <c r="AR4935" s="761" t="s">
        <v>145</v>
      </c>
      <c r="AS4935" s="764"/>
    </row>
    <row r="4936" spans="1:45" s="520" customFormat="1" thickTop="1">
      <c r="A4936" s="51"/>
      <c r="B4936" s="51"/>
      <c r="C4936" s="3"/>
      <c r="D4936" s="3"/>
      <c r="E4936" s="51"/>
      <c r="F4936" s="51"/>
      <c r="G4936" s="51"/>
      <c r="H4936" s="51"/>
      <c r="I4936" s="51"/>
      <c r="J4936" s="51"/>
      <c r="K4936" s="51" t="s">
        <v>134</v>
      </c>
      <c r="L4936" s="51"/>
      <c r="M4936" s="51"/>
      <c r="N4936" s="51"/>
      <c r="O4936" s="52"/>
      <c r="P4936" s="51"/>
      <c r="Q4936" s="51"/>
      <c r="R4936" s="51"/>
      <c r="S4936" s="51"/>
      <c r="T4936" s="51"/>
      <c r="AR4936" s="51"/>
      <c r="AS4936" s="51"/>
    </row>
    <row r="4937" spans="1:45" s="520" customFormat="1" ht="12">
      <c r="A4937" s="51"/>
      <c r="B4937" s="51"/>
      <c r="C4937" s="51" t="s">
        <v>135</v>
      </c>
      <c r="D4937" s="37"/>
      <c r="E4937" s="51"/>
      <c r="F4937" s="51"/>
      <c r="G4937" s="51"/>
      <c r="H4937" s="51"/>
      <c r="I4937" s="51"/>
      <c r="J4937" s="51"/>
      <c r="K4937" s="51"/>
      <c r="L4937" s="51"/>
      <c r="M4937" s="51"/>
      <c r="N4937" s="51"/>
      <c r="O4937" s="52"/>
      <c r="P4937" s="51"/>
      <c r="Q4937" s="51"/>
      <c r="R4937" s="51"/>
      <c r="S4937" s="51"/>
      <c r="T4937" s="51"/>
      <c r="AR4937" s="51"/>
      <c r="AS4937" s="51"/>
    </row>
    <row r="4938" spans="1:45" s="520" customFormat="1" ht="12">
      <c r="A4938" s="51"/>
      <c r="B4938" s="51"/>
      <c r="C4938" s="51"/>
      <c r="D4938" s="37" t="s">
        <v>379</v>
      </c>
      <c r="E4938" s="51"/>
      <c r="F4938" s="51"/>
      <c r="G4938" s="51"/>
      <c r="H4938" s="51"/>
      <c r="I4938" s="51"/>
      <c r="J4938" s="51"/>
      <c r="K4938" s="51"/>
      <c r="L4938" s="51"/>
      <c r="M4938" s="51"/>
      <c r="N4938" s="51"/>
      <c r="O4938" s="52"/>
      <c r="P4938" s="51"/>
      <c r="Q4938" s="51"/>
      <c r="R4938" s="51"/>
      <c r="S4938" s="38"/>
      <c r="T4938" s="38"/>
      <c r="AR4938" s="51"/>
      <c r="AS4938" s="51"/>
    </row>
    <row r="4939" spans="1:45" s="3" customFormat="1" thickBot="1">
      <c r="A4939" s="531"/>
      <c r="O4939" s="107"/>
      <c r="AR4939" s="531"/>
    </row>
    <row r="4940" spans="1:45" s="520" customFormat="1" ht="12" thickTop="1">
      <c r="A4940" s="51"/>
      <c r="B4940" s="41"/>
      <c r="C4940" s="51"/>
      <c r="E4940" s="42" t="s">
        <v>138</v>
      </c>
      <c r="F4940" s="42" t="s">
        <v>139</v>
      </c>
      <c r="G4940" s="51"/>
      <c r="H4940" s="51"/>
      <c r="I4940" s="51"/>
      <c r="J4940" s="51"/>
      <c r="K4940" s="51" t="s">
        <v>140</v>
      </c>
      <c r="L4940" s="51"/>
      <c r="M4940" s="51"/>
      <c r="N4940" s="51"/>
      <c r="O4940" s="52"/>
      <c r="P4940" s="51"/>
      <c r="Q4940" s="51"/>
      <c r="R4940" s="51"/>
      <c r="S4940" s="51"/>
      <c r="T4940" s="41"/>
      <c r="AG4940" s="521" t="s">
        <v>268</v>
      </c>
      <c r="AH4940" s="521" t="s">
        <v>269</v>
      </c>
      <c r="AI4940" s="521" t="s">
        <v>270</v>
      </c>
      <c r="AJ4940" s="521" t="s">
        <v>271</v>
      </c>
      <c r="AK4940" s="521" t="s">
        <v>272</v>
      </c>
      <c r="AM4940" s="745" t="s">
        <v>281</v>
      </c>
      <c r="AN4940" s="746" t="s">
        <v>282</v>
      </c>
      <c r="AO4940" s="522" t="s">
        <v>278</v>
      </c>
      <c r="AR4940" s="51"/>
      <c r="AS4940" s="42" t="s">
        <v>139</v>
      </c>
    </row>
    <row r="4941" spans="1:45" s="520" customFormat="1" ht="12" customHeight="1">
      <c r="A4941" s="747">
        <v>1</v>
      </c>
      <c r="B4941" s="523" t="s">
        <v>299</v>
      </c>
      <c r="C4941" s="748"/>
      <c r="D4941" s="749" t="s">
        <v>1830</v>
      </c>
      <c r="E4941" s="750">
        <f>IF(AND($A4941=0,$A$1="DIF"),0, ROUND(ROUND(($R4945*$S$2+($T4945*$T$2))/A4941,2)*$C$2,2))</f>
        <v>0</v>
      </c>
      <c r="F4941" s="751">
        <f>ROUND($A4941*$E4941,2)</f>
        <v>0</v>
      </c>
      <c r="G4941" s="752" t="s">
        <v>142</v>
      </c>
      <c r="H4941" s="753"/>
      <c r="I4941" s="754"/>
      <c r="J4941" s="753"/>
      <c r="K4941" s="753" t="s">
        <v>3</v>
      </c>
      <c r="L4941" s="755" t="s">
        <v>143</v>
      </c>
      <c r="M4941" s="755"/>
      <c r="N4941" s="755"/>
      <c r="O4941" s="755"/>
      <c r="P4941" s="755"/>
      <c r="Q4941" s="53" t="s">
        <v>2895</v>
      </c>
      <c r="T4941" s="756" t="str">
        <f>IF(AND($R4945=0,$T4945=0),"0.00","mu :" &amp; ROUND($F4941/$C$2/($R4945+$T4945*$D$9),2))</f>
        <v>0.00</v>
      </c>
      <c r="W4941" s="524"/>
      <c r="AG4941" s="481">
        <f>IF($E4941=0,0,ROUND($R4945*$S$2*$C$2/$A4941,2))</f>
        <v>0</v>
      </c>
      <c r="AH4941" s="481">
        <f>$AG4941*$A4941</f>
        <v>0</v>
      </c>
      <c r="AI4941" s="525">
        <f>$E4941-$AG4941</f>
        <v>0</v>
      </c>
      <c r="AJ4941" s="525">
        <f>$A4941*$AI4941</f>
        <v>0</v>
      </c>
      <c r="AK4941" s="526">
        <f>ROUND(($AG4941+$AI4941)*$A4941,2)</f>
        <v>0</v>
      </c>
      <c r="AM4941" s="527">
        <f>ROUND(R4945,2)</f>
        <v>0</v>
      </c>
      <c r="AN4941" s="528">
        <f>ROUND(T4945,2)</f>
        <v>0</v>
      </c>
      <c r="AO4941" s="529">
        <f>ROUND(AM4941+AN4941,2)*A4941</f>
        <v>0</v>
      </c>
      <c r="AR4941" s="747">
        <v>1</v>
      </c>
      <c r="AS4941" s="751">
        <v>0</v>
      </c>
    </row>
    <row r="4942" spans="1:45" s="520" customFormat="1" ht="13.2">
      <c r="A4942" s="748"/>
      <c r="B4942"/>
      <c r="C4942" s="748"/>
      <c r="D4942" s="749" t="s">
        <v>861</v>
      </c>
      <c r="F4942" s="753"/>
      <c r="G4942" s="3"/>
      <c r="H4942" s="753"/>
      <c r="I4942" s="754"/>
      <c r="J4942" s="753"/>
      <c r="K4942" s="753" t="s">
        <v>144</v>
      </c>
      <c r="L4942" s="753"/>
      <c r="M4942" s="753"/>
      <c r="N4942" s="753"/>
      <c r="O4942" s="753"/>
      <c r="P4942" s="753"/>
      <c r="Q4942" s="51"/>
      <c r="R4942" s="530"/>
      <c r="S4942" s="757"/>
      <c r="T4942" s="753"/>
      <c r="AR4942" s="748"/>
      <c r="AS4942" s="753"/>
    </row>
    <row r="4943" spans="1:45" s="520" customFormat="1" ht="12">
      <c r="A4943" s="51"/>
      <c r="B4943" s="758"/>
      <c r="C4943" s="758"/>
      <c r="D4943" s="1061" t="s">
        <v>3253</v>
      </c>
      <c r="E4943" s="758"/>
      <c r="F4943" s="753"/>
      <c r="G4943" s="758"/>
      <c r="H4943" s="758"/>
      <c r="I4943" s="519"/>
      <c r="J4943" s="758"/>
      <c r="K4943" s="758"/>
      <c r="L4943" s="758"/>
      <c r="M4943" s="758"/>
      <c r="N4943" s="758"/>
      <c r="O4943" s="758"/>
      <c r="P4943" s="758"/>
      <c r="Q4943" s="519"/>
      <c r="R4943" s="759">
        <f t="shared" ref="R4943:R4944" si="132">$A4943*Q4943</f>
        <v>0</v>
      </c>
      <c r="S4943" s="519"/>
      <c r="T4943" s="760">
        <f t="shared" ref="T4943:T4944" si="133">$A4943*S4943*$T$1</f>
        <v>0</v>
      </c>
      <c r="AR4943" s="51"/>
      <c r="AS4943" s="753"/>
    </row>
    <row r="4944" spans="1:45" s="520" customFormat="1" ht="12">
      <c r="A4944" s="758"/>
      <c r="B4944" s="758"/>
      <c r="C4944" s="758"/>
      <c r="D4944" s="758"/>
      <c r="E4944" s="758"/>
      <c r="F4944" s="753"/>
      <c r="G4944" s="758"/>
      <c r="H4944" s="758"/>
      <c r="I4944" s="519"/>
      <c r="J4944" s="758"/>
      <c r="K4944" s="758"/>
      <c r="L4944" s="758"/>
      <c r="M4944" s="758"/>
      <c r="N4944" s="758"/>
      <c r="O4944" s="758"/>
      <c r="P4944" s="758"/>
      <c r="Q4944" s="519"/>
      <c r="R4944" s="759">
        <f t="shared" si="132"/>
        <v>0</v>
      </c>
      <c r="S4944" s="519"/>
      <c r="T4944" s="760">
        <f t="shared" si="133"/>
        <v>0</v>
      </c>
      <c r="AR4944" s="758"/>
      <c r="AS4944" s="753"/>
    </row>
    <row r="4945" spans="1:45" s="520" customFormat="1" ht="12.6" thickBot="1">
      <c r="A4945" s="761" t="s">
        <v>145</v>
      </c>
      <c r="B4945" s="762">
        <f>(R4944+T4944)</f>
        <v>0</v>
      </c>
      <c r="C4945" s="763"/>
      <c r="D4945" s="763"/>
      <c r="E4945" s="763"/>
      <c r="F4945" s="764"/>
      <c r="G4945" s="763" t="s">
        <v>146</v>
      </c>
      <c r="H4945" s="763"/>
      <c r="I4945" s="765"/>
      <c r="J4945" s="763"/>
      <c r="K4945" s="763" t="s">
        <v>3</v>
      </c>
      <c r="L4945" s="766" t="s">
        <v>143</v>
      </c>
      <c r="M4945" s="766"/>
      <c r="N4945" s="766"/>
      <c r="O4945" s="766"/>
      <c r="P4945" s="766"/>
      <c r="Q4945" s="767"/>
      <c r="R4945" s="768">
        <f>SUM(R4942:R4944)</f>
        <v>0</v>
      </c>
      <c r="S4945" s="763"/>
      <c r="T4945" s="768">
        <f>SUM(T4942:T4944)</f>
        <v>0</v>
      </c>
      <c r="U4945" s="531"/>
      <c r="V4945" s="531"/>
      <c r="W4945" s="531"/>
      <c r="X4945" s="531"/>
      <c r="Y4945" s="531"/>
      <c r="Z4945" s="531"/>
      <c r="AA4945" s="531"/>
      <c r="AB4945" s="531"/>
      <c r="AC4945" s="531"/>
      <c r="AD4945" s="531"/>
      <c r="AE4945" s="531"/>
      <c r="AF4945" s="531"/>
      <c r="AG4945" s="531"/>
      <c r="AH4945" s="531"/>
      <c r="AI4945" s="531"/>
      <c r="AJ4945" s="531"/>
      <c r="AK4945" s="531"/>
      <c r="AL4945" s="531"/>
      <c r="AM4945" s="531"/>
      <c r="AN4945" s="531"/>
      <c r="AO4945" s="531"/>
      <c r="AR4945" s="761" t="s">
        <v>145</v>
      </c>
      <c r="AS4945" s="764"/>
    </row>
    <row r="4946" spans="1:45" s="520" customFormat="1" ht="12" thickTop="1">
      <c r="A4946" s="51"/>
      <c r="B4946" s="41"/>
      <c r="C4946" s="51"/>
      <c r="E4946" s="42" t="s">
        <v>138</v>
      </c>
      <c r="F4946" s="42" t="s">
        <v>139</v>
      </c>
      <c r="G4946" s="51"/>
      <c r="H4946" s="51"/>
      <c r="I4946" s="51"/>
      <c r="J4946" s="51"/>
      <c r="K4946" s="51" t="s">
        <v>140</v>
      </c>
      <c r="L4946" s="51"/>
      <c r="M4946" s="51"/>
      <c r="N4946" s="51"/>
      <c r="O4946" s="52"/>
      <c r="P4946" s="51"/>
      <c r="Q4946" s="51"/>
      <c r="R4946" s="51"/>
      <c r="S4946" s="51"/>
      <c r="T4946" s="41"/>
      <c r="AG4946" s="521" t="s">
        <v>268</v>
      </c>
      <c r="AH4946" s="521" t="s">
        <v>269</v>
      </c>
      <c r="AI4946" s="521" t="s">
        <v>270</v>
      </c>
      <c r="AJ4946" s="521" t="s">
        <v>271</v>
      </c>
      <c r="AK4946" s="521" t="s">
        <v>272</v>
      </c>
      <c r="AM4946" s="745" t="s">
        <v>281</v>
      </c>
      <c r="AN4946" s="746" t="s">
        <v>282</v>
      </c>
      <c r="AO4946" s="522" t="s">
        <v>278</v>
      </c>
      <c r="AR4946" s="51"/>
      <c r="AS4946" s="42" t="s">
        <v>139</v>
      </c>
    </row>
    <row r="4947" spans="1:45" s="520" customFormat="1" ht="12" customHeight="1">
      <c r="A4947" s="747">
        <v>1</v>
      </c>
      <c r="B4947" s="523" t="s">
        <v>863</v>
      </c>
      <c r="C4947" s="748"/>
      <c r="D4947" s="749" t="s">
        <v>1831</v>
      </c>
      <c r="E4947" s="750">
        <f>IF(AND($A4947=0,$A$1="DIF"),0, ROUND(ROUND(($R4973*$S$2+($T4973*$T$2))/A4947,2)*$C$2,2))</f>
        <v>4828.54</v>
      </c>
      <c r="F4947" s="751">
        <f>ROUND($A4947*$E4947,2)</f>
        <v>4828.54</v>
      </c>
      <c r="G4947" s="752" t="s">
        <v>142</v>
      </c>
      <c r="H4947" s="753"/>
      <c r="I4947" s="754"/>
      <c r="J4947" s="753"/>
      <c r="K4947" s="753" t="s">
        <v>3</v>
      </c>
      <c r="L4947" s="755" t="s">
        <v>143</v>
      </c>
      <c r="M4947" s="755"/>
      <c r="N4947" s="755"/>
      <c r="O4947" s="755"/>
      <c r="P4947" s="755"/>
      <c r="Q4947" s="51"/>
      <c r="T4947" s="756" t="str">
        <f>IF(AND($R4973=0,$T4973=0),"0.00","mu :" &amp; ROUND($F4947/$C$2/($R4973+$T4973*$D$9),2))</f>
        <v>mu :1.23</v>
      </c>
      <c r="W4947" s="524"/>
      <c r="AG4947" s="481">
        <f>IF($E4947=0,0,ROUND($R4973*$S$2*$C$2/$A4947,2))</f>
        <v>4056.19</v>
      </c>
      <c r="AH4947" s="481">
        <f>$AG4947*$A4947</f>
        <v>4056.19</v>
      </c>
      <c r="AI4947" s="525">
        <f>$E4947-$AG4947</f>
        <v>772.34999999999991</v>
      </c>
      <c r="AJ4947" s="525">
        <f>$A4947*$AI4947</f>
        <v>772.34999999999991</v>
      </c>
      <c r="AK4947" s="526">
        <f>ROUND(($AG4947+$AI4947)*$A4947,2)</f>
        <v>4828.54</v>
      </c>
      <c r="AM4947" s="527">
        <f>ROUND(R4973,2)</f>
        <v>3294.12</v>
      </c>
      <c r="AN4947" s="528">
        <f>ROUND(T4973,2)</f>
        <v>22.84</v>
      </c>
      <c r="AO4947" s="529">
        <f>ROUND(AM4947+AN4947,2)*A4947</f>
        <v>3316.96</v>
      </c>
      <c r="AR4947" s="747">
        <v>1</v>
      </c>
      <c r="AS4947" s="751">
        <v>4914.3599999999997</v>
      </c>
    </row>
    <row r="4948" spans="1:45" s="520" customFormat="1" ht="13.2">
      <c r="A4948" s="748"/>
      <c r="B4948"/>
      <c r="C4948" s="748"/>
      <c r="D4948" s="749" t="s">
        <v>862</v>
      </c>
      <c r="F4948" s="753"/>
      <c r="G4948" s="3"/>
      <c r="H4948" s="753"/>
      <c r="I4948" s="754"/>
      <c r="J4948" s="753"/>
      <c r="K4948" s="753" t="s">
        <v>144</v>
      </c>
      <c r="L4948" s="753"/>
      <c r="M4948" s="753"/>
      <c r="N4948" s="753"/>
      <c r="O4948" s="753"/>
      <c r="P4948" s="753"/>
      <c r="Q4948" s="51"/>
      <c r="R4948" s="530"/>
      <c r="S4948" s="757"/>
      <c r="T4948" s="753"/>
      <c r="AR4948" s="748"/>
      <c r="AS4948" s="753"/>
    </row>
    <row r="4949" spans="1:45" s="520" customFormat="1" ht="13.2">
      <c r="A4949" s="748"/>
      <c r="B4949"/>
      <c r="C4949" s="748"/>
      <c r="D4949" s="1062" t="s">
        <v>3043</v>
      </c>
      <c r="F4949" s="753"/>
      <c r="G4949" s="3"/>
      <c r="H4949" s="753"/>
      <c r="I4949" s="754"/>
      <c r="J4949" s="753"/>
      <c r="K4949" s="753"/>
      <c r="L4949" s="753"/>
      <c r="M4949" s="753"/>
      <c r="N4949" s="753"/>
      <c r="O4949" s="753"/>
      <c r="P4949" s="753"/>
      <c r="Q4949" s="51"/>
      <c r="R4949" s="946">
        <f t="shared" ref="R4949:R4958" si="134">$A4949*Q4949</f>
        <v>0</v>
      </c>
      <c r="S4949" s="945"/>
      <c r="T4949" s="947">
        <f t="shared" ref="T4949:T4958" si="135">$A4949*S4949*$T$1</f>
        <v>0</v>
      </c>
      <c r="AR4949" s="748"/>
      <c r="AS4949" s="753"/>
    </row>
    <row r="4950" spans="1:45" s="901" customFormat="1" ht="13.2">
      <c r="A4950" s="116">
        <v>1</v>
      </c>
      <c r="B4950" s="901" t="s">
        <v>141</v>
      </c>
      <c r="D4950" s="901" t="s">
        <v>3044</v>
      </c>
      <c r="G4950" s="941" t="s">
        <v>3045</v>
      </c>
      <c r="H4950" s="942">
        <v>810</v>
      </c>
      <c r="I4950" s="901" t="s">
        <v>2607</v>
      </c>
      <c r="O4950" s="943">
        <v>2</v>
      </c>
      <c r="P4950" s="944"/>
      <c r="Q4950" s="945">
        <v>200</v>
      </c>
      <c r="R4950" s="946">
        <f t="shared" si="134"/>
        <v>200</v>
      </c>
      <c r="S4950" s="945">
        <v>2</v>
      </c>
      <c r="T4950" s="947">
        <f t="shared" si="135"/>
        <v>1.8</v>
      </c>
      <c r="AR4950" s="116">
        <v>1</v>
      </c>
    </row>
    <row r="4951" spans="1:45" s="901" customFormat="1" ht="13.2">
      <c r="A4951" s="116">
        <v>10</v>
      </c>
      <c r="B4951" s="901" t="s">
        <v>141</v>
      </c>
      <c r="D4951" s="901" t="s">
        <v>2785</v>
      </c>
      <c r="G4951" s="941" t="s">
        <v>2786</v>
      </c>
      <c r="H4951" s="942">
        <v>875</v>
      </c>
      <c r="I4951" s="901" t="s">
        <v>2607</v>
      </c>
      <c r="K4951" s="901" t="s">
        <v>2787</v>
      </c>
      <c r="O4951" s="943">
        <v>1</v>
      </c>
      <c r="P4951" s="944">
        <v>34669</v>
      </c>
      <c r="Q4951" s="945">
        <v>0.57999999999999996</v>
      </c>
      <c r="R4951" s="946">
        <f t="shared" si="134"/>
        <v>5.8</v>
      </c>
      <c r="S4951" s="945"/>
      <c r="T4951" s="947">
        <f t="shared" si="135"/>
        <v>0</v>
      </c>
      <c r="AR4951" s="116">
        <v>10</v>
      </c>
    </row>
    <row r="4952" spans="1:45" s="901" customFormat="1" ht="13.2">
      <c r="A4952" s="116">
        <v>1</v>
      </c>
      <c r="B4952" s="901" t="s">
        <v>141</v>
      </c>
      <c r="D4952" s="901" t="s">
        <v>2780</v>
      </c>
      <c r="G4952" s="941" t="s">
        <v>2781</v>
      </c>
      <c r="H4952" s="942">
        <v>875</v>
      </c>
      <c r="I4952" s="901" t="s">
        <v>2607</v>
      </c>
      <c r="K4952" s="901" t="s">
        <v>3046</v>
      </c>
      <c r="O4952" s="943">
        <v>3</v>
      </c>
      <c r="P4952" s="944">
        <v>34820</v>
      </c>
      <c r="Q4952" s="945">
        <v>20</v>
      </c>
      <c r="R4952" s="946">
        <f t="shared" si="134"/>
        <v>20</v>
      </c>
      <c r="S4952" s="945">
        <v>0.05</v>
      </c>
      <c r="T4952" s="947">
        <f t="shared" si="135"/>
        <v>4.5000000000000005E-2</v>
      </c>
      <c r="AR4952" s="116">
        <v>1</v>
      </c>
    </row>
    <row r="4953" spans="1:45" s="520" customFormat="1" ht="13.2">
      <c r="A4953" s="748"/>
      <c r="B4953"/>
      <c r="C4953" s="748"/>
      <c r="D4953" s="1062" t="s">
        <v>3056</v>
      </c>
      <c r="F4953" s="753"/>
      <c r="G4953" s="3"/>
      <c r="H4953" s="753"/>
      <c r="I4953" s="754"/>
      <c r="J4953" s="753"/>
      <c r="K4953" s="753"/>
      <c r="L4953" s="753"/>
      <c r="M4953" s="753"/>
      <c r="N4953" s="753"/>
      <c r="O4953" s="753"/>
      <c r="P4953" s="753"/>
      <c r="Q4953" s="51"/>
      <c r="R4953" s="946">
        <f t="shared" si="134"/>
        <v>0</v>
      </c>
      <c r="S4953" s="945"/>
      <c r="T4953" s="947">
        <f t="shared" si="135"/>
        <v>0</v>
      </c>
      <c r="AR4953" s="748"/>
      <c r="AS4953" s="753"/>
    </row>
    <row r="4954" spans="1:45" s="901" customFormat="1" ht="13.2">
      <c r="A4954" s="116">
        <v>5</v>
      </c>
      <c r="B4954" s="901" t="s">
        <v>320</v>
      </c>
      <c r="D4954" s="901" t="s">
        <v>2861</v>
      </c>
      <c r="F4954" s="901" t="s">
        <v>3299</v>
      </c>
      <c r="G4954" s="941" t="s">
        <v>2862</v>
      </c>
      <c r="H4954" s="942">
        <v>615</v>
      </c>
      <c r="I4954" s="901" t="s">
        <v>2272</v>
      </c>
      <c r="K4954" s="901" t="s">
        <v>2863</v>
      </c>
      <c r="O4954" s="943">
        <v>2</v>
      </c>
      <c r="P4954" s="944">
        <v>38988</v>
      </c>
      <c r="Q4954" s="1194">
        <f>28*0.96</f>
        <v>26.88</v>
      </c>
      <c r="R4954" s="946">
        <f t="shared" si="134"/>
        <v>134.4</v>
      </c>
      <c r="S4954" s="945">
        <v>0.14000000000000001</v>
      </c>
      <c r="T4954" s="947">
        <f t="shared" si="135"/>
        <v>0.63000000000000012</v>
      </c>
      <c r="AR4954" s="116">
        <v>5</v>
      </c>
      <c r="AS4954" s="901" t="s">
        <v>3299</v>
      </c>
    </row>
    <row r="4955" spans="1:45" s="901" customFormat="1" ht="13.2">
      <c r="A4955" s="116">
        <v>15</v>
      </c>
      <c r="B4955" s="901" t="s">
        <v>141</v>
      </c>
      <c r="D4955" s="901" t="s">
        <v>3047</v>
      </c>
      <c r="G4955" s="941" t="s">
        <v>3048</v>
      </c>
      <c r="H4955" s="942">
        <v>875</v>
      </c>
      <c r="I4955" s="901" t="s">
        <v>2607</v>
      </c>
      <c r="K4955" s="901" t="s">
        <v>2761</v>
      </c>
      <c r="O4955" s="943">
        <v>1</v>
      </c>
      <c r="P4955" s="944">
        <v>34669</v>
      </c>
      <c r="Q4955" s="945">
        <v>0.5</v>
      </c>
      <c r="R4955" s="946">
        <f t="shared" si="134"/>
        <v>7.5</v>
      </c>
      <c r="S4955" s="945">
        <v>0.05</v>
      </c>
      <c r="T4955" s="947">
        <f t="shared" si="135"/>
        <v>0.67500000000000004</v>
      </c>
      <c r="AR4955" s="116">
        <v>15</v>
      </c>
    </row>
    <row r="4956" spans="1:45" s="901" customFormat="1" ht="13.2">
      <c r="A4956">
        <v>2</v>
      </c>
      <c r="B4956" s="901" t="s">
        <v>141</v>
      </c>
      <c r="D4956" s="901" t="s">
        <v>2612</v>
      </c>
      <c r="G4956" s="941" t="s">
        <v>2613</v>
      </c>
      <c r="H4956" s="942">
        <v>620</v>
      </c>
      <c r="I4956" s="901" t="s">
        <v>2614</v>
      </c>
      <c r="O4956" s="943">
        <v>2</v>
      </c>
      <c r="P4956" s="944">
        <v>34669</v>
      </c>
      <c r="Q4956" s="945">
        <v>2.0699999999999998</v>
      </c>
      <c r="R4956" s="946">
        <f t="shared" si="134"/>
        <v>4.1399999999999997</v>
      </c>
      <c r="S4956" s="945">
        <v>0.2</v>
      </c>
      <c r="T4956" s="947">
        <f t="shared" si="135"/>
        <v>0.36000000000000004</v>
      </c>
      <c r="AR4956">
        <v>2</v>
      </c>
    </row>
    <row r="4957" spans="1:45" s="901" customFormat="1" ht="13.2">
      <c r="A4957">
        <v>2</v>
      </c>
      <c r="B4957" s="901" t="s">
        <v>320</v>
      </c>
      <c r="D4957" s="901" t="s">
        <v>2653</v>
      </c>
      <c r="G4957" s="941" t="s">
        <v>2654</v>
      </c>
      <c r="H4957" s="942">
        <v>620</v>
      </c>
      <c r="I4957" s="901" t="s">
        <v>2607</v>
      </c>
      <c r="O4957" s="943">
        <v>2</v>
      </c>
      <c r="P4957" s="944">
        <v>38148</v>
      </c>
      <c r="Q4957" s="945">
        <v>1.5</v>
      </c>
      <c r="R4957" s="946">
        <f t="shared" si="134"/>
        <v>3</v>
      </c>
      <c r="S4957" s="945">
        <v>0.08</v>
      </c>
      <c r="T4957" s="947">
        <f t="shared" si="135"/>
        <v>0.14400000000000002</v>
      </c>
      <c r="AR4957">
        <v>2</v>
      </c>
    </row>
    <row r="4958" spans="1:45" s="901" customFormat="1" ht="13.2">
      <c r="A4958" s="116">
        <v>1</v>
      </c>
      <c r="B4958" s="901" t="s">
        <v>141</v>
      </c>
      <c r="D4958" s="901" t="s">
        <v>3049</v>
      </c>
      <c r="G4958" s="941" t="s">
        <v>3050</v>
      </c>
      <c r="H4958" s="942">
        <v>900</v>
      </c>
      <c r="I4958" s="901" t="s">
        <v>2596</v>
      </c>
      <c r="O4958" s="943">
        <v>3</v>
      </c>
      <c r="P4958" s="944">
        <v>34790</v>
      </c>
      <c r="Q4958" s="1063"/>
      <c r="R4958" s="946">
        <f t="shared" si="134"/>
        <v>0</v>
      </c>
      <c r="S4958" s="945">
        <v>1</v>
      </c>
      <c r="T4958" s="947">
        <f t="shared" si="135"/>
        <v>0.9</v>
      </c>
      <c r="U4958" s="901" t="s">
        <v>2764</v>
      </c>
      <c r="AR4958" s="116">
        <v>1</v>
      </c>
    </row>
    <row r="4959" spans="1:45" s="901" customFormat="1" ht="13.2">
      <c r="A4959"/>
      <c r="D4959" s="1062" t="s">
        <v>3051</v>
      </c>
      <c r="G4959" s="941"/>
      <c r="H4959" s="942"/>
      <c r="O4959" s="943"/>
      <c r="P4959" s="944"/>
      <c r="Q4959" s="945"/>
      <c r="R4959" s="946"/>
      <c r="S4959" s="945"/>
      <c r="T4959" s="947"/>
      <c r="AR4959"/>
    </row>
    <row r="4960" spans="1:45" s="901" customFormat="1" ht="13.2">
      <c r="A4960" s="116">
        <v>2</v>
      </c>
      <c r="B4960" s="901" t="s">
        <v>141</v>
      </c>
      <c r="D4960" s="901" t="s">
        <v>3055</v>
      </c>
      <c r="F4960" s="901" t="s">
        <v>3650</v>
      </c>
      <c r="G4960" s="941" t="s">
        <v>3052</v>
      </c>
      <c r="H4960" s="942">
        <v>810</v>
      </c>
      <c r="I4960" s="901" t="s">
        <v>2607</v>
      </c>
      <c r="O4960" s="943">
        <v>2</v>
      </c>
      <c r="P4960" s="944"/>
      <c r="Q4960" s="945">
        <v>725</v>
      </c>
      <c r="R4960" s="946">
        <f t="shared" ref="R4960:R4965" si="136">$A4960*Q4960</f>
        <v>1450</v>
      </c>
      <c r="S4960" s="945">
        <v>1</v>
      </c>
      <c r="T4960" s="947">
        <f t="shared" ref="T4960:T4965" si="137">$A4960*S4960*$T$1</f>
        <v>1.8</v>
      </c>
      <c r="AR4960" s="116">
        <v>2</v>
      </c>
      <c r="AS4960" s="901" t="s">
        <v>3650</v>
      </c>
    </row>
    <row r="4961" spans="1:45" s="901" customFormat="1" ht="13.2">
      <c r="A4961" s="116">
        <v>10</v>
      </c>
      <c r="B4961" s="901" t="s">
        <v>320</v>
      </c>
      <c r="D4961" s="901" t="s">
        <v>2858</v>
      </c>
      <c r="F4961" s="901" t="s">
        <v>3299</v>
      </c>
      <c r="G4961" s="941" t="s">
        <v>2859</v>
      </c>
      <c r="H4961" s="942">
        <v>615</v>
      </c>
      <c r="I4961" s="901" t="s">
        <v>2272</v>
      </c>
      <c r="K4961" s="901" t="s">
        <v>2860</v>
      </c>
      <c r="O4961" s="943">
        <v>2</v>
      </c>
      <c r="P4961" s="944"/>
      <c r="Q4961" s="1194">
        <f>36*0.96</f>
        <v>34.56</v>
      </c>
      <c r="R4961" s="946">
        <f t="shared" si="136"/>
        <v>345.6</v>
      </c>
      <c r="S4961" s="945">
        <v>0.16</v>
      </c>
      <c r="T4961" s="947">
        <f t="shared" si="137"/>
        <v>1.4400000000000002</v>
      </c>
      <c r="AR4961" s="116">
        <v>10</v>
      </c>
      <c r="AS4961" s="901" t="s">
        <v>3299</v>
      </c>
    </row>
    <row r="4962" spans="1:45" s="901" customFormat="1" ht="13.2">
      <c r="A4962" s="116">
        <v>30</v>
      </c>
      <c r="B4962" s="901" t="s">
        <v>141</v>
      </c>
      <c r="D4962" s="901" t="s">
        <v>3053</v>
      </c>
      <c r="G4962" s="941" t="s">
        <v>3048</v>
      </c>
      <c r="H4962" s="942">
        <v>875</v>
      </c>
      <c r="I4962" s="901" t="s">
        <v>2607</v>
      </c>
      <c r="K4962" s="901" t="s">
        <v>2761</v>
      </c>
      <c r="O4962" s="943">
        <v>1</v>
      </c>
      <c r="P4962" s="944">
        <v>34669</v>
      </c>
      <c r="Q4962" s="945">
        <v>0.5</v>
      </c>
      <c r="R4962" s="946">
        <f t="shared" si="136"/>
        <v>15</v>
      </c>
      <c r="S4962" s="945">
        <v>0.05</v>
      </c>
      <c r="T4962" s="947">
        <f t="shared" si="137"/>
        <v>1.35</v>
      </c>
      <c r="AR4962" s="116">
        <v>30</v>
      </c>
    </row>
    <row r="4963" spans="1:45" s="901" customFormat="1" ht="13.2">
      <c r="A4963">
        <v>4</v>
      </c>
      <c r="B4963" s="901" t="s">
        <v>141</v>
      </c>
      <c r="D4963" s="901" t="s">
        <v>2619</v>
      </c>
      <c r="G4963" s="941" t="s">
        <v>2620</v>
      </c>
      <c r="H4963" s="942">
        <v>620</v>
      </c>
      <c r="I4963" s="901" t="s">
        <v>2614</v>
      </c>
      <c r="O4963" s="943">
        <v>2</v>
      </c>
      <c r="P4963" s="944">
        <v>34669</v>
      </c>
      <c r="Q4963" s="945">
        <v>2.98</v>
      </c>
      <c r="R4963" s="946">
        <f t="shared" si="136"/>
        <v>11.92</v>
      </c>
      <c r="S4963" s="945">
        <v>0.24</v>
      </c>
      <c r="T4963" s="947">
        <f t="shared" si="137"/>
        <v>0.86399999999999999</v>
      </c>
      <c r="AR4963">
        <v>4</v>
      </c>
    </row>
    <row r="4964" spans="1:45" s="901" customFormat="1" ht="13.2">
      <c r="A4964">
        <v>4</v>
      </c>
      <c r="B4964" s="901" t="s">
        <v>320</v>
      </c>
      <c r="D4964" s="901" t="s">
        <v>2653</v>
      </c>
      <c r="G4964" s="941" t="s">
        <v>2654</v>
      </c>
      <c r="H4964" s="942">
        <v>620</v>
      </c>
      <c r="I4964" s="901" t="s">
        <v>2607</v>
      </c>
      <c r="O4964" s="943">
        <v>2</v>
      </c>
      <c r="P4964" s="944">
        <v>38148</v>
      </c>
      <c r="Q4964" s="945">
        <v>1.5</v>
      </c>
      <c r="R4964" s="946">
        <f t="shared" si="136"/>
        <v>6</v>
      </c>
      <c r="S4964" s="945">
        <v>0.08</v>
      </c>
      <c r="T4964" s="947">
        <f t="shared" si="137"/>
        <v>0.28800000000000003</v>
      </c>
      <c r="AR4964">
        <v>4</v>
      </c>
    </row>
    <row r="4965" spans="1:45" s="901" customFormat="1" ht="13.2">
      <c r="A4965" s="116">
        <v>2</v>
      </c>
      <c r="B4965" s="901" t="s">
        <v>141</v>
      </c>
      <c r="D4965" s="901" t="s">
        <v>3049</v>
      </c>
      <c r="G4965" s="941" t="s">
        <v>3050</v>
      </c>
      <c r="H4965" s="942">
        <v>900</v>
      </c>
      <c r="I4965" s="901" t="s">
        <v>2596</v>
      </c>
      <c r="O4965" s="943">
        <v>3</v>
      </c>
      <c r="P4965" s="944">
        <v>34790</v>
      </c>
      <c r="Q4965" s="1063"/>
      <c r="R4965" s="946">
        <f t="shared" si="136"/>
        <v>0</v>
      </c>
      <c r="S4965" s="945">
        <v>1</v>
      </c>
      <c r="T4965" s="947">
        <f t="shared" si="137"/>
        <v>1.8</v>
      </c>
      <c r="U4965" s="901" t="s">
        <v>2764</v>
      </c>
      <c r="AR4965" s="116">
        <v>2</v>
      </c>
    </row>
    <row r="4966" spans="1:45" s="901" customFormat="1" ht="13.2">
      <c r="A4966" s="116"/>
      <c r="D4966" s="1062" t="s">
        <v>3054</v>
      </c>
      <c r="G4966" s="941"/>
      <c r="H4966" s="942"/>
      <c r="O4966" s="943"/>
      <c r="P4966" s="944"/>
      <c r="Q4966" s="945"/>
      <c r="R4966" s="946"/>
      <c r="S4966" s="945"/>
      <c r="T4966" s="947"/>
      <c r="AR4966" s="116"/>
    </row>
    <row r="4967" spans="1:45" s="901" customFormat="1" ht="13.2">
      <c r="A4967" s="116">
        <v>30</v>
      </c>
      <c r="B4967" s="901" t="s">
        <v>320</v>
      </c>
      <c r="D4967" s="901" t="s">
        <v>2858</v>
      </c>
      <c r="F4967" s="901" t="s">
        <v>3299</v>
      </c>
      <c r="G4967" s="941" t="s">
        <v>2859</v>
      </c>
      <c r="H4967" s="942">
        <v>615</v>
      </c>
      <c r="I4967" s="901" t="s">
        <v>2272</v>
      </c>
      <c r="K4967" s="901" t="s">
        <v>2860</v>
      </c>
      <c r="O4967" s="943">
        <v>2</v>
      </c>
      <c r="P4967" s="944"/>
      <c r="Q4967" s="1194">
        <f>36*0.96</f>
        <v>34.56</v>
      </c>
      <c r="R4967" s="946">
        <f>$A4967*Q4967</f>
        <v>1036.8000000000002</v>
      </c>
      <c r="S4967" s="945">
        <v>0.16</v>
      </c>
      <c r="T4967" s="947">
        <f>$A4967*S4967*$T$1</f>
        <v>4.32</v>
      </c>
      <c r="AR4967" s="116">
        <v>30</v>
      </c>
      <c r="AS4967" s="901" t="s">
        <v>3299</v>
      </c>
    </row>
    <row r="4968" spans="1:45" s="901" customFormat="1" ht="13.2">
      <c r="A4968" s="116">
        <v>90</v>
      </c>
      <c r="B4968" s="901" t="s">
        <v>141</v>
      </c>
      <c r="D4968" s="901" t="s">
        <v>3053</v>
      </c>
      <c r="G4968" s="941" t="s">
        <v>3048</v>
      </c>
      <c r="H4968" s="942">
        <v>875</v>
      </c>
      <c r="I4968" s="901" t="s">
        <v>2607</v>
      </c>
      <c r="K4968" s="901" t="s">
        <v>2761</v>
      </c>
      <c r="O4968" s="943">
        <v>1</v>
      </c>
      <c r="P4968" s="944">
        <v>34669</v>
      </c>
      <c r="Q4968" s="945">
        <v>0.5</v>
      </c>
      <c r="R4968" s="946">
        <f>$A4968*Q4968</f>
        <v>45</v>
      </c>
      <c r="S4968" s="945">
        <v>0.05</v>
      </c>
      <c r="T4968" s="947">
        <f>$A4968*S4968*$T$1</f>
        <v>4.05</v>
      </c>
      <c r="AR4968" s="116">
        <v>90</v>
      </c>
    </row>
    <row r="4969" spans="1:45" s="901" customFormat="1" ht="13.2">
      <c r="A4969">
        <v>2</v>
      </c>
      <c r="B4969" s="901" t="s">
        <v>141</v>
      </c>
      <c r="D4969" s="901" t="s">
        <v>2619</v>
      </c>
      <c r="G4969" s="941" t="s">
        <v>2620</v>
      </c>
      <c r="H4969" s="942">
        <v>620</v>
      </c>
      <c r="I4969" s="901" t="s">
        <v>2614</v>
      </c>
      <c r="O4969" s="943">
        <v>2</v>
      </c>
      <c r="P4969" s="944">
        <v>34669</v>
      </c>
      <c r="Q4969" s="945">
        <v>2.98</v>
      </c>
      <c r="R4969" s="946">
        <f>$A4969*Q4969</f>
        <v>5.96</v>
      </c>
      <c r="S4969" s="945">
        <v>0.24</v>
      </c>
      <c r="T4969" s="947">
        <f>$A4969*S4969*$T$1</f>
        <v>0.432</v>
      </c>
      <c r="AR4969">
        <v>2</v>
      </c>
    </row>
    <row r="4970" spans="1:45" s="901" customFormat="1" ht="13.2">
      <c r="A4970">
        <v>2</v>
      </c>
      <c r="B4970" s="901" t="s">
        <v>320</v>
      </c>
      <c r="D4970" s="901" t="s">
        <v>2653</v>
      </c>
      <c r="G4970" s="941" t="s">
        <v>2654</v>
      </c>
      <c r="H4970" s="942">
        <v>620</v>
      </c>
      <c r="I4970" s="901" t="s">
        <v>2607</v>
      </c>
      <c r="O4970" s="943">
        <v>2</v>
      </c>
      <c r="P4970" s="944">
        <v>38148</v>
      </c>
      <c r="Q4970" s="945">
        <v>1.5</v>
      </c>
      <c r="R4970" s="946">
        <f>$A4970*Q4970</f>
        <v>3</v>
      </c>
      <c r="S4970" s="945">
        <v>0.08</v>
      </c>
      <c r="T4970" s="947">
        <f>$A4970*S4970*$T$1</f>
        <v>0.14400000000000002</v>
      </c>
      <c r="AR4970">
        <v>2</v>
      </c>
    </row>
    <row r="4971" spans="1:45" s="901" customFormat="1" ht="13.2">
      <c r="A4971" s="116">
        <v>1</v>
      </c>
      <c r="B4971" s="901" t="s">
        <v>141</v>
      </c>
      <c r="D4971" s="901" t="s">
        <v>3049</v>
      </c>
      <c r="G4971" s="941" t="s">
        <v>3050</v>
      </c>
      <c r="H4971" s="942">
        <v>900</v>
      </c>
      <c r="I4971" s="901" t="s">
        <v>2596</v>
      </c>
      <c r="O4971" s="943">
        <v>3</v>
      </c>
      <c r="P4971" s="944">
        <v>34790</v>
      </c>
      <c r="Q4971" s="1063"/>
      <c r="R4971" s="946">
        <f>$A4971*Q4971</f>
        <v>0</v>
      </c>
      <c r="S4971" s="945">
        <v>2</v>
      </c>
      <c r="T4971" s="947">
        <f>$A4971*S4971*$T$1</f>
        <v>1.8</v>
      </c>
      <c r="U4971" s="901" t="s">
        <v>2764</v>
      </c>
      <c r="AR4971" s="116">
        <v>1</v>
      </c>
    </row>
    <row r="4972" spans="1:45" s="520" customFormat="1" ht="12">
      <c r="A4972" s="758"/>
      <c r="B4972" s="758"/>
      <c r="C4972" s="758"/>
      <c r="D4972" s="758"/>
      <c r="E4972" s="758"/>
      <c r="F4972" s="753"/>
      <c r="G4972" s="758"/>
      <c r="H4972" s="758"/>
      <c r="I4972" s="519"/>
      <c r="J4972" s="758"/>
      <c r="K4972" s="758"/>
      <c r="L4972" s="758"/>
      <c r="M4972" s="758"/>
      <c r="N4972" s="758"/>
      <c r="O4972" s="758"/>
      <c r="P4972" s="758"/>
      <c r="Q4972" s="519"/>
      <c r="R4972" s="759">
        <f t="shared" ref="R4972" si="138">$A4972*Q4972</f>
        <v>0</v>
      </c>
      <c r="S4972" s="519"/>
      <c r="T4972" s="760">
        <f t="shared" ref="T4972" si="139">$A4972*S4972*$T$1</f>
        <v>0</v>
      </c>
      <c r="AR4972" s="758"/>
      <c r="AS4972" s="753"/>
    </row>
    <row r="4973" spans="1:45" s="520" customFormat="1" ht="12.6" thickBot="1">
      <c r="A4973" s="761" t="s">
        <v>145</v>
      </c>
      <c r="B4973" s="762">
        <f>(R4972+T4972)</f>
        <v>0</v>
      </c>
      <c r="C4973" s="763"/>
      <c r="D4973" s="763"/>
      <c r="E4973" s="763"/>
      <c r="F4973" s="764"/>
      <c r="G4973" s="763" t="s">
        <v>146</v>
      </c>
      <c r="H4973" s="763"/>
      <c r="I4973" s="765"/>
      <c r="J4973" s="763"/>
      <c r="K4973" s="763" t="s">
        <v>3</v>
      </c>
      <c r="L4973" s="766" t="s">
        <v>143</v>
      </c>
      <c r="M4973" s="766"/>
      <c r="N4973" s="766"/>
      <c r="O4973" s="766"/>
      <c r="P4973" s="766"/>
      <c r="Q4973" s="767"/>
      <c r="R4973" s="768">
        <f>SUM(R4948:R4972)</f>
        <v>3294.1200000000003</v>
      </c>
      <c r="S4973" s="763"/>
      <c r="T4973" s="768">
        <f>SUM(T4948:T4972)</f>
        <v>22.842000000000002</v>
      </c>
      <c r="U4973" s="531"/>
      <c r="V4973" s="531"/>
      <c r="W4973" s="531"/>
      <c r="X4973" s="531"/>
      <c r="Y4973" s="531"/>
      <c r="Z4973" s="531"/>
      <c r="AA4973" s="531"/>
      <c r="AB4973" s="531"/>
      <c r="AC4973" s="531"/>
      <c r="AD4973" s="531"/>
      <c r="AE4973" s="531"/>
      <c r="AF4973" s="531"/>
      <c r="AG4973" s="531"/>
      <c r="AH4973" s="531"/>
      <c r="AI4973" s="531"/>
      <c r="AJ4973" s="531"/>
      <c r="AK4973" s="531"/>
      <c r="AL4973" s="531"/>
      <c r="AM4973" s="531"/>
      <c r="AN4973" s="531"/>
      <c r="AO4973" s="531"/>
      <c r="AR4973" s="761" t="s">
        <v>145</v>
      </c>
      <c r="AS4973" s="764"/>
    </row>
    <row r="4974" spans="1:45" s="520" customFormat="1" ht="12" thickTop="1">
      <c r="A4974" s="51"/>
      <c r="B4974" s="41"/>
      <c r="C4974" s="51"/>
      <c r="E4974" s="42" t="s">
        <v>138</v>
      </c>
      <c r="F4974" s="42" t="s">
        <v>139</v>
      </c>
      <c r="G4974" s="51"/>
      <c r="H4974" s="51"/>
      <c r="I4974" s="51"/>
      <c r="J4974" s="51"/>
      <c r="K4974" s="51" t="s">
        <v>140</v>
      </c>
      <c r="L4974" s="51"/>
      <c r="M4974" s="51"/>
      <c r="N4974" s="51"/>
      <c r="O4974" s="52"/>
      <c r="P4974" s="51"/>
      <c r="Q4974" s="51"/>
      <c r="R4974" s="51"/>
      <c r="S4974" s="51"/>
      <c r="T4974" s="41"/>
      <c r="AG4974" s="521" t="s">
        <v>268</v>
      </c>
      <c r="AH4974" s="521" t="s">
        <v>269</v>
      </c>
      <c r="AI4974" s="521" t="s">
        <v>270</v>
      </c>
      <c r="AJ4974" s="521" t="s">
        <v>271</v>
      </c>
      <c r="AK4974" s="521" t="s">
        <v>272</v>
      </c>
      <c r="AM4974" s="745" t="s">
        <v>281</v>
      </c>
      <c r="AN4974" s="746" t="s">
        <v>282</v>
      </c>
      <c r="AO4974" s="522" t="s">
        <v>278</v>
      </c>
      <c r="AR4974" s="51"/>
      <c r="AS4974" s="42" t="s">
        <v>139</v>
      </c>
    </row>
    <row r="4975" spans="1:45" s="520" customFormat="1" ht="12" customHeight="1">
      <c r="A4975" s="747">
        <v>1</v>
      </c>
      <c r="B4975" s="523" t="s">
        <v>299</v>
      </c>
      <c r="C4975" s="748"/>
      <c r="D4975" s="749" t="s">
        <v>1832</v>
      </c>
      <c r="E4975" s="1179">
        <f>IF(AND($A4975=0,$A$1="DIF"),0, ROUND(ROUND(($R4983*$S$6+($T4983*$T$6))/$A4975,2)*$C$6,2))</f>
        <v>8855.61</v>
      </c>
      <c r="F4975" s="1180">
        <f>ROUND($A4975*$E4975,2)</f>
        <v>8855.61</v>
      </c>
      <c r="G4975" s="752" t="s">
        <v>142</v>
      </c>
      <c r="H4975" s="753"/>
      <c r="I4975" s="754"/>
      <c r="J4975" s="753"/>
      <c r="K4975" s="753" t="s">
        <v>11</v>
      </c>
      <c r="L4975" s="755" t="s">
        <v>143</v>
      </c>
      <c r="M4975" s="755"/>
      <c r="N4975" s="755"/>
      <c r="O4975" s="755"/>
      <c r="P4975" s="755"/>
      <c r="Q4975" s="51"/>
      <c r="T4975" s="1184" t="str">
        <f>IF(AND($R4983=0,$T4983=0),"0.00","mu: "&amp; ROUND(F4975/$C$6/($R4983+$T4983*$D$9),2))</f>
        <v>mu: 2.37</v>
      </c>
      <c r="W4975" s="524"/>
      <c r="AG4975" s="1181">
        <f>IF($E4975=0,0,ROUND($R4983*$S$6*$C$6/$A4975,2))</f>
        <v>0</v>
      </c>
      <c r="AH4975" s="1181">
        <f>$AG4975*$A4975</f>
        <v>0</v>
      </c>
      <c r="AI4975" s="1182">
        <f>$E4975-$AG4975</f>
        <v>8855.61</v>
      </c>
      <c r="AJ4975" s="1182">
        <f>$A4975*$AI4975</f>
        <v>8855.61</v>
      </c>
      <c r="AK4975" s="1183">
        <f>ROUND(($AG4975+$AI4975)*$A4975,2)</f>
        <v>8855.61</v>
      </c>
      <c r="AM4975" s="527">
        <f>ROUND(R4983,2)</f>
        <v>0</v>
      </c>
      <c r="AN4975" s="528">
        <f>ROUND(T4983,2)</f>
        <v>135.9</v>
      </c>
      <c r="AO4975" s="529">
        <f>ROUND(AM4975+AN4975,2)*A4975</f>
        <v>135.9</v>
      </c>
      <c r="AR4975" s="747">
        <v>1</v>
      </c>
      <c r="AS4975" s="1180">
        <v>9839.57</v>
      </c>
    </row>
    <row r="4976" spans="1:45" s="520" customFormat="1" ht="13.2">
      <c r="A4976" s="748"/>
      <c r="B4976"/>
      <c r="C4976" s="748"/>
      <c r="D4976" s="749" t="s">
        <v>381</v>
      </c>
      <c r="F4976" s="753"/>
      <c r="G4976" s="3"/>
      <c r="H4976" s="753"/>
      <c r="I4976" s="754"/>
      <c r="J4976" s="753"/>
      <c r="K4976" s="753" t="s">
        <v>144</v>
      </c>
      <c r="L4976" s="753"/>
      <c r="M4976" s="753"/>
      <c r="N4976" s="753"/>
      <c r="O4976" s="753"/>
      <c r="P4976" s="753"/>
      <c r="Q4976" s="51"/>
      <c r="R4976" s="530"/>
      <c r="S4976" s="757"/>
      <c r="T4976" s="753"/>
      <c r="AR4976" s="748"/>
      <c r="AS4976" s="753"/>
    </row>
    <row r="4977" spans="1:45" s="901" customFormat="1" ht="13.2">
      <c r="A4977" s="116">
        <v>2</v>
      </c>
      <c r="B4977" s="901" t="s">
        <v>863</v>
      </c>
      <c r="D4977" s="901" t="s">
        <v>2762</v>
      </c>
      <c r="F4977" s="901" t="s">
        <v>2756</v>
      </c>
      <c r="G4977" s="941" t="s">
        <v>2763</v>
      </c>
      <c r="H4977" s="942">
        <v>902</v>
      </c>
      <c r="I4977" s="901" t="s">
        <v>2596</v>
      </c>
      <c r="O4977" s="943">
        <v>3</v>
      </c>
      <c r="P4977" s="944">
        <v>38317</v>
      </c>
      <c r="Q4977" s="1063"/>
      <c r="R4977" s="946">
        <f t="shared" ref="R4977" si="140">$A4977*Q4977</f>
        <v>0</v>
      </c>
      <c r="S4977" s="945">
        <v>8</v>
      </c>
      <c r="T4977" s="947">
        <f t="shared" ref="T4977" si="141">$A4977*S4977*$T$1</f>
        <v>14.4</v>
      </c>
      <c r="U4977" s="520" t="s">
        <v>2764</v>
      </c>
      <c r="AR4977" s="116">
        <v>2</v>
      </c>
      <c r="AS4977" s="901" t="s">
        <v>2756</v>
      </c>
    </row>
    <row r="4978" spans="1:45" s="901" customFormat="1" ht="13.2">
      <c r="A4978" s="116">
        <v>3</v>
      </c>
      <c r="B4978" s="901" t="s">
        <v>863</v>
      </c>
      <c r="D4978" s="901" t="s">
        <v>2762</v>
      </c>
      <c r="F4978" s="901" t="s">
        <v>3057</v>
      </c>
      <c r="G4978" s="941" t="s">
        <v>2763</v>
      </c>
      <c r="H4978" s="942">
        <v>902</v>
      </c>
      <c r="I4978" s="901" t="s">
        <v>2596</v>
      </c>
      <c r="O4978" s="943">
        <v>3</v>
      </c>
      <c r="P4978" s="944">
        <v>38317</v>
      </c>
      <c r="Q4978" s="1063"/>
      <c r="R4978" s="946">
        <f t="shared" ref="R4978" si="142">$A4978*Q4978</f>
        <v>0</v>
      </c>
      <c r="S4978" s="945">
        <v>8</v>
      </c>
      <c r="T4978" s="947">
        <f t="shared" ref="T4978" si="143">$A4978*S4978*$T$1</f>
        <v>21.6</v>
      </c>
      <c r="U4978" s="520" t="s">
        <v>2764</v>
      </c>
      <c r="AR4978" s="116">
        <v>3</v>
      </c>
      <c r="AS4978" s="901" t="s">
        <v>3057</v>
      </c>
    </row>
    <row r="4979" spans="1:45" s="901" customFormat="1" ht="13.2">
      <c r="A4979" s="116">
        <v>22</v>
      </c>
      <c r="B4979" s="901" t="s">
        <v>863</v>
      </c>
      <c r="D4979" s="901" t="s">
        <v>2762</v>
      </c>
      <c r="F4979" s="901" t="s">
        <v>3058</v>
      </c>
      <c r="G4979" s="941" t="s">
        <v>2763</v>
      </c>
      <c r="H4979" s="942">
        <v>902</v>
      </c>
      <c r="I4979" s="901" t="s">
        <v>2596</v>
      </c>
      <c r="O4979" s="943">
        <v>3</v>
      </c>
      <c r="P4979" s="944">
        <v>38317</v>
      </c>
      <c r="Q4979" s="1063"/>
      <c r="R4979" s="946">
        <f t="shared" ref="R4979" si="144">$A4979*Q4979</f>
        <v>0</v>
      </c>
      <c r="S4979" s="945">
        <v>4</v>
      </c>
      <c r="T4979" s="947">
        <f t="shared" ref="T4979" si="145">$A4979*S4979*$T$1</f>
        <v>79.2</v>
      </c>
      <c r="U4979" s="520" t="s">
        <v>2764</v>
      </c>
      <c r="AR4979" s="116">
        <v>22</v>
      </c>
      <c r="AS4979" s="901" t="s">
        <v>3058</v>
      </c>
    </row>
    <row r="4980" spans="1:45" s="901" customFormat="1" ht="13.2">
      <c r="A4980" s="116">
        <v>9</v>
      </c>
      <c r="B4980" s="901" t="s">
        <v>863</v>
      </c>
      <c r="D4980" s="901" t="s">
        <v>2762</v>
      </c>
      <c r="F4980" s="901" t="s">
        <v>3059</v>
      </c>
      <c r="G4980" s="941" t="s">
        <v>2763</v>
      </c>
      <c r="H4980" s="942">
        <v>902</v>
      </c>
      <c r="I4980" s="901" t="s">
        <v>2596</v>
      </c>
      <c r="O4980" s="943">
        <v>3</v>
      </c>
      <c r="P4980" s="944">
        <v>38317</v>
      </c>
      <c r="Q4980" s="1063"/>
      <c r="R4980" s="946">
        <f t="shared" ref="R4980" si="146">$A4980*Q4980</f>
        <v>0</v>
      </c>
      <c r="S4980" s="945">
        <v>2</v>
      </c>
      <c r="T4980" s="947">
        <f t="shared" ref="T4980" si="147">$A4980*S4980*$T$1</f>
        <v>16.2</v>
      </c>
      <c r="U4980" s="520" t="s">
        <v>2764</v>
      </c>
      <c r="AR4980" s="116">
        <v>9</v>
      </c>
      <c r="AS4980" s="901" t="s">
        <v>3059</v>
      </c>
    </row>
    <row r="4981" spans="1:45" s="901" customFormat="1" ht="13.2">
      <c r="A4981" s="116">
        <v>5</v>
      </c>
      <c r="B4981" s="901" t="s">
        <v>863</v>
      </c>
      <c r="D4981" s="901" t="s">
        <v>2762</v>
      </c>
      <c r="F4981" s="901" t="s">
        <v>3060</v>
      </c>
      <c r="G4981" s="941" t="s">
        <v>2763</v>
      </c>
      <c r="H4981" s="942">
        <v>902</v>
      </c>
      <c r="I4981" s="901" t="s">
        <v>2596</v>
      </c>
      <c r="O4981" s="943">
        <v>3</v>
      </c>
      <c r="P4981" s="944">
        <v>38317</v>
      </c>
      <c r="Q4981" s="1063"/>
      <c r="R4981" s="946">
        <f t="shared" ref="R4981" si="148">$A4981*Q4981</f>
        <v>0</v>
      </c>
      <c r="S4981" s="945">
        <v>1</v>
      </c>
      <c r="T4981" s="947">
        <f t="shared" ref="T4981" si="149">$A4981*S4981*$T$1</f>
        <v>4.5</v>
      </c>
      <c r="U4981" s="520" t="s">
        <v>2764</v>
      </c>
      <c r="AR4981" s="116">
        <v>5</v>
      </c>
      <c r="AS4981" s="901" t="s">
        <v>3060</v>
      </c>
    </row>
    <row r="4982" spans="1:45" s="520" customFormat="1" ht="12">
      <c r="A4982" s="758"/>
      <c r="B4982" s="758"/>
      <c r="C4982" s="758"/>
      <c r="D4982" s="758"/>
      <c r="E4982" s="758"/>
      <c r="F4982" s="753"/>
      <c r="G4982" s="758"/>
      <c r="H4982" s="758"/>
      <c r="I4982" s="519"/>
      <c r="J4982" s="758"/>
      <c r="K4982" s="758"/>
      <c r="L4982" s="758"/>
      <c r="M4982" s="758"/>
      <c r="N4982" s="758"/>
      <c r="O4982" s="758"/>
      <c r="P4982" s="758"/>
      <c r="Q4982" s="519"/>
      <c r="R4982" s="759">
        <f t="shared" ref="R4982" si="150">$A4982*Q4982</f>
        <v>0</v>
      </c>
      <c r="S4982" s="519"/>
      <c r="T4982" s="760">
        <f t="shared" ref="T4982" si="151">$A4982*S4982*$T$1</f>
        <v>0</v>
      </c>
      <c r="AR4982" s="758"/>
      <c r="AS4982" s="753"/>
    </row>
    <row r="4983" spans="1:45" s="520" customFormat="1" ht="12.6" thickBot="1">
      <c r="A4983" s="761" t="s">
        <v>145</v>
      </c>
      <c r="B4983" s="762">
        <f>(R4982+T4982)</f>
        <v>0</v>
      </c>
      <c r="C4983" s="763"/>
      <c r="D4983" s="763"/>
      <c r="E4983" s="763"/>
      <c r="F4983" s="764"/>
      <c r="G4983" s="763" t="s">
        <v>146</v>
      </c>
      <c r="H4983" s="763"/>
      <c r="I4983" s="765"/>
      <c r="J4983" s="763"/>
      <c r="K4983" s="763" t="s">
        <v>11</v>
      </c>
      <c r="L4983" s="766" t="s">
        <v>143</v>
      </c>
      <c r="M4983" s="766"/>
      <c r="N4983" s="766"/>
      <c r="O4983" s="766"/>
      <c r="P4983" s="766"/>
      <c r="Q4983" s="767"/>
      <c r="R4983" s="768">
        <f>SUM(R4976:R4982)</f>
        <v>0</v>
      </c>
      <c r="S4983" s="763"/>
      <c r="T4983" s="768">
        <f>SUM(T4976:T4982)</f>
        <v>135.9</v>
      </c>
      <c r="U4983" s="531"/>
      <c r="V4983" s="531"/>
      <c r="W4983" s="531"/>
      <c r="X4983" s="531"/>
      <c r="Y4983" s="531"/>
      <c r="Z4983" s="531"/>
      <c r="AA4983" s="531"/>
      <c r="AB4983" s="531"/>
      <c r="AC4983" s="531"/>
      <c r="AD4983" s="531"/>
      <c r="AE4983" s="531"/>
      <c r="AF4983" s="531"/>
      <c r="AG4983" s="531"/>
      <c r="AH4983" s="531"/>
      <c r="AI4983" s="531"/>
      <c r="AJ4983" s="531"/>
      <c r="AK4983" s="531"/>
      <c r="AL4983" s="531"/>
      <c r="AM4983" s="531"/>
      <c r="AN4983" s="531"/>
      <c r="AO4983" s="531"/>
      <c r="AR4983" s="761" t="s">
        <v>145</v>
      </c>
      <c r="AS4983" s="764"/>
    </row>
    <row r="4984" spans="1:45" s="520" customFormat="1" ht="12" thickTop="1">
      <c r="A4984" s="51"/>
      <c r="B4984" s="41"/>
      <c r="C4984" s="51"/>
      <c r="E4984" s="42" t="s">
        <v>138</v>
      </c>
      <c r="F4984" s="42" t="s">
        <v>139</v>
      </c>
      <c r="G4984" s="51"/>
      <c r="H4984" s="51"/>
      <c r="I4984" s="51"/>
      <c r="J4984" s="51"/>
      <c r="K4984" s="51" t="s">
        <v>140</v>
      </c>
      <c r="L4984" s="51"/>
      <c r="M4984" s="51"/>
      <c r="N4984" s="51"/>
      <c r="O4984" s="52"/>
      <c r="P4984" s="51"/>
      <c r="Q4984" s="51"/>
      <c r="R4984" s="51"/>
      <c r="S4984" s="51"/>
      <c r="T4984" s="41"/>
      <c r="AG4984" s="521" t="s">
        <v>268</v>
      </c>
      <c r="AH4984" s="521" t="s">
        <v>269</v>
      </c>
      <c r="AI4984" s="521" t="s">
        <v>270</v>
      </c>
      <c r="AJ4984" s="521" t="s">
        <v>271</v>
      </c>
      <c r="AK4984" s="521" t="s">
        <v>272</v>
      </c>
      <c r="AM4984" s="745" t="s">
        <v>281</v>
      </c>
      <c r="AN4984" s="746" t="s">
        <v>282</v>
      </c>
      <c r="AO4984" s="522" t="s">
        <v>278</v>
      </c>
      <c r="AR4984" s="51"/>
      <c r="AS4984" s="42" t="s">
        <v>139</v>
      </c>
    </row>
    <row r="4985" spans="1:45" s="520" customFormat="1" ht="12" customHeight="1">
      <c r="A4985" s="747">
        <v>1</v>
      </c>
      <c r="B4985" s="523" t="s">
        <v>383</v>
      </c>
      <c r="C4985" s="748"/>
      <c r="D4985" s="749" t="s">
        <v>1833</v>
      </c>
      <c r="E4985" s="750">
        <f>IF(AND($A4985=0,$A$1="DIF"),0, ROUND(ROUND(($R4991*$S$2+($T4991*$T$2))/A4985,2)*$C$2,2))</f>
        <v>1314.28</v>
      </c>
      <c r="F4985" s="751">
        <f>ROUND($A4985*$E4985,2)</f>
        <v>1314.28</v>
      </c>
      <c r="G4985" s="752" t="s">
        <v>142</v>
      </c>
      <c r="H4985" s="753"/>
      <c r="I4985" s="754"/>
      <c r="J4985" s="753"/>
      <c r="K4985" s="753" t="s">
        <v>3</v>
      </c>
      <c r="L4985" s="755" t="s">
        <v>143</v>
      </c>
      <c r="M4985" s="755"/>
      <c r="N4985" s="755"/>
      <c r="O4985" s="755"/>
      <c r="P4985" s="755"/>
      <c r="Q4985" s="51"/>
      <c r="T4985" s="756" t="str">
        <f>IF(AND($R4991=0,$T4991=0),"0.00","mu :" &amp; ROUND($F4985/$C$2/($R4991+$T4991*$D$9),2))</f>
        <v>mu :1.23</v>
      </c>
      <c r="W4985" s="524"/>
      <c r="AG4985" s="481">
        <f>IF($E4985=0,0,ROUND($R4991*$S$2*$C$2/$A4985,2))</f>
        <v>660</v>
      </c>
      <c r="AH4985" s="481">
        <f>$AG4985*$A4985</f>
        <v>660</v>
      </c>
      <c r="AI4985" s="525">
        <f>$E4985-$AG4985</f>
        <v>654.28</v>
      </c>
      <c r="AJ4985" s="525">
        <f>$A4985*$AI4985</f>
        <v>654.28</v>
      </c>
      <c r="AK4985" s="526">
        <f>ROUND(($AG4985+$AI4985)*$A4985,2)</f>
        <v>1314.28</v>
      </c>
      <c r="AM4985" s="527">
        <f>ROUND(R4991,2)</f>
        <v>536</v>
      </c>
      <c r="AN4985" s="528">
        <f>ROUND(T4991,2)</f>
        <v>19.350000000000001</v>
      </c>
      <c r="AO4985" s="529">
        <f>ROUND(AM4985+AN4985,2)*A4985</f>
        <v>555.35</v>
      </c>
      <c r="AR4985" s="747">
        <v>1</v>
      </c>
      <c r="AS4985" s="751">
        <v>1386.97</v>
      </c>
    </row>
    <row r="4986" spans="1:45" s="520" customFormat="1" ht="13.2">
      <c r="A4986" s="748"/>
      <c r="B4986"/>
      <c r="C4986" s="748"/>
      <c r="D4986" s="1451" t="s">
        <v>382</v>
      </c>
      <c r="E4986" s="1452"/>
      <c r="F4986" s="1452"/>
      <c r="G4986" s="1452"/>
      <c r="H4986" s="1452"/>
      <c r="I4986" s="1452"/>
      <c r="J4986" s="1452"/>
      <c r="K4986" s="1452"/>
      <c r="L4986" s="1452"/>
      <c r="M4986" s="1452"/>
      <c r="N4986" s="1452"/>
      <c r="O4986" s="1452"/>
      <c r="P4986" s="1452"/>
      <c r="Q4986" s="1452"/>
      <c r="R4986" s="1452"/>
      <c r="S4986" s="1452"/>
      <c r="T4986" s="1452"/>
      <c r="AR4986" s="748"/>
    </row>
    <row r="4987" spans="1:45" s="901" customFormat="1" ht="13.2">
      <c r="A4987" s="116">
        <v>52</v>
      </c>
      <c r="B4987" s="901" t="s">
        <v>141</v>
      </c>
      <c r="D4987" s="901" t="s">
        <v>3698</v>
      </c>
      <c r="G4987" s="941" t="s">
        <v>3061</v>
      </c>
      <c r="H4987" s="942">
        <v>880</v>
      </c>
      <c r="I4987" s="901" t="s">
        <v>2607</v>
      </c>
      <c r="O4987" s="943">
        <v>3</v>
      </c>
      <c r="P4987" s="944">
        <v>36220</v>
      </c>
      <c r="Q4987" s="945">
        <v>8</v>
      </c>
      <c r="R4987" s="946">
        <f>$A4987*Q4987</f>
        <v>416</v>
      </c>
      <c r="S4987" s="945">
        <v>0.25</v>
      </c>
      <c r="T4987" s="947">
        <f>$A4987*S4987*$T$1</f>
        <v>11.700000000000001</v>
      </c>
      <c r="AR4987" s="116">
        <v>52</v>
      </c>
    </row>
    <row r="4988" spans="1:45" s="901" customFormat="1" ht="13.2">
      <c r="A4988" s="116">
        <v>2</v>
      </c>
      <c r="B4988" s="901" t="s">
        <v>141</v>
      </c>
      <c r="D4988" s="901" t="s">
        <v>3063</v>
      </c>
      <c r="G4988" s="941" t="s">
        <v>3062</v>
      </c>
      <c r="H4988" s="942">
        <v>880</v>
      </c>
      <c r="I4988" s="901" t="s">
        <v>2607</v>
      </c>
      <c r="O4988" s="943">
        <v>3</v>
      </c>
      <c r="P4988" s="944"/>
      <c r="Q4988" s="945">
        <v>10</v>
      </c>
      <c r="R4988" s="946">
        <f>$A4988*Q4988</f>
        <v>20</v>
      </c>
      <c r="S4988" s="945">
        <v>0.25</v>
      </c>
      <c r="T4988" s="947">
        <f>$A4988*S4988*$T$1</f>
        <v>0.45</v>
      </c>
      <c r="AR4988" s="116">
        <v>2</v>
      </c>
    </row>
    <row r="4989" spans="1:45" s="901" customFormat="1" ht="13.2">
      <c r="A4989" s="116">
        <v>1</v>
      </c>
      <c r="B4989" s="901" t="s">
        <v>141</v>
      </c>
      <c r="D4989" s="901" t="s">
        <v>3064</v>
      </c>
      <c r="G4989" s="941" t="s">
        <v>3065</v>
      </c>
      <c r="H4989" s="942">
        <v>880</v>
      </c>
      <c r="I4989" s="901" t="s">
        <v>2607</v>
      </c>
      <c r="O4989" s="943">
        <v>3</v>
      </c>
      <c r="P4989" s="944"/>
      <c r="Q4989" s="945">
        <v>100</v>
      </c>
      <c r="R4989" s="946">
        <f>$A4989*Q4989</f>
        <v>100</v>
      </c>
      <c r="S4989" s="945">
        <v>8</v>
      </c>
      <c r="T4989" s="947">
        <f>$A4989*S4989*$T$1</f>
        <v>7.2</v>
      </c>
      <c r="AR4989" s="116">
        <v>1</v>
      </c>
    </row>
    <row r="4990" spans="1:45" s="520" customFormat="1" ht="12">
      <c r="A4990" s="758"/>
      <c r="B4990" s="758"/>
      <c r="C4990" s="758"/>
      <c r="D4990" s="758"/>
      <c r="E4990" s="758"/>
      <c r="F4990" s="753"/>
      <c r="G4990" s="758"/>
      <c r="H4990" s="758"/>
      <c r="I4990" s="519"/>
      <c r="J4990" s="758"/>
      <c r="K4990" s="758"/>
      <c r="L4990" s="758"/>
      <c r="M4990" s="758"/>
      <c r="N4990" s="758"/>
      <c r="O4990" s="758"/>
      <c r="P4990" s="758"/>
      <c r="Q4990" s="519"/>
      <c r="R4990" s="759">
        <f t="shared" ref="R4990" si="152">$A4990*Q4990</f>
        <v>0</v>
      </c>
      <c r="S4990" s="519"/>
      <c r="T4990" s="760">
        <f t="shared" ref="T4990" si="153">$A4990*S4990*$T$1</f>
        <v>0</v>
      </c>
      <c r="AR4990" s="758"/>
      <c r="AS4990" s="753"/>
    </row>
    <row r="4991" spans="1:45" s="520" customFormat="1" ht="12.6" thickBot="1">
      <c r="A4991" s="761" t="s">
        <v>145</v>
      </c>
      <c r="B4991" s="762">
        <f>(R4990+T4990)</f>
        <v>0</v>
      </c>
      <c r="C4991" s="763"/>
      <c r="D4991" s="763"/>
      <c r="E4991" s="763"/>
      <c r="F4991" s="764"/>
      <c r="G4991" s="763" t="s">
        <v>146</v>
      </c>
      <c r="H4991" s="763"/>
      <c r="I4991" s="765"/>
      <c r="J4991" s="763"/>
      <c r="K4991" s="763" t="s">
        <v>3</v>
      </c>
      <c r="L4991" s="766" t="s">
        <v>143</v>
      </c>
      <c r="M4991" s="766"/>
      <c r="N4991" s="766"/>
      <c r="O4991" s="766"/>
      <c r="P4991" s="766"/>
      <c r="Q4991" s="767"/>
      <c r="R4991" s="768">
        <f>SUM(R4986:R4990)</f>
        <v>536</v>
      </c>
      <c r="S4991" s="763"/>
      <c r="T4991" s="768">
        <f>SUM(T4986:T4990)</f>
        <v>19.350000000000001</v>
      </c>
      <c r="U4991" s="531"/>
      <c r="V4991" s="531"/>
      <c r="W4991" s="531"/>
      <c r="X4991" s="531"/>
      <c r="Y4991" s="531"/>
      <c r="Z4991" s="531"/>
      <c r="AA4991" s="531"/>
      <c r="AB4991" s="531"/>
      <c r="AC4991" s="531"/>
      <c r="AD4991" s="531"/>
      <c r="AE4991" s="531"/>
      <c r="AF4991" s="531"/>
      <c r="AG4991" s="531"/>
      <c r="AH4991" s="531"/>
      <c r="AI4991" s="531"/>
      <c r="AJ4991" s="531"/>
      <c r="AK4991" s="531"/>
      <c r="AL4991" s="531"/>
      <c r="AM4991" s="531"/>
      <c r="AN4991" s="531"/>
      <c r="AO4991" s="531"/>
      <c r="AR4991" s="761" t="s">
        <v>145</v>
      </c>
      <c r="AS4991" s="764"/>
    </row>
    <row r="4992" spans="1:45" s="520" customFormat="1" ht="12" thickTop="1">
      <c r="A4992" s="48" t="s">
        <v>148</v>
      </c>
      <c r="D4992" s="13"/>
      <c r="E4992" s="42"/>
      <c r="O4992" s="771"/>
      <c r="AR4992" s="48" t="s">
        <v>148</v>
      </c>
    </row>
    <row r="4993" spans="1:45" s="520" customFormat="1" ht="13.2">
      <c r="B4993" s="3"/>
      <c r="O4993" s="771"/>
    </row>
    <row r="4994" spans="1:45" s="520" customFormat="1" ht="12">
      <c r="B4994" s="772">
        <f ca="1">$F4994/$C$2-($R4994*$S$2+$T4994*$T$2)</f>
        <v>4260.4728487502362</v>
      </c>
      <c r="D4994" s="773" t="s">
        <v>3636</v>
      </c>
      <c r="E4994" s="774"/>
      <c r="F4994" s="775">
        <f ca="1">SUMIF($L4737:$L4992,"ITEM",F4737:F4992)</f>
        <v>28443.78</v>
      </c>
      <c r="G4994" s="758"/>
      <c r="H4994" s="758"/>
      <c r="I4994" s="519"/>
      <c r="J4994" s="758"/>
      <c r="K4994" s="758"/>
      <c r="L4994" s="755" t="s">
        <v>157</v>
      </c>
      <c r="M4994" s="755"/>
      <c r="N4994" s="755"/>
      <c r="O4994" s="755"/>
      <c r="P4994" s="755"/>
      <c r="R4994" s="775">
        <f ca="1">SUMIF($L4737:$L4992,"ITEM",R4737:R4992)</f>
        <v>8433.7100000000009</v>
      </c>
      <c r="S4994" s="776"/>
      <c r="T4994" s="775">
        <f ca="1">SUMIF($L4737:$L4992,"ITEM",T4737:T4992)</f>
        <v>408.0865</v>
      </c>
      <c r="AS4994" s="775">
        <v>30455.010000000002</v>
      </c>
    </row>
    <row r="4995" spans="1:45" s="520" customFormat="1" ht="13.2">
      <c r="A4995" s="51"/>
      <c r="B4995" s="49" t="s">
        <v>1064</v>
      </c>
      <c r="C4995" s="51"/>
      <c r="D4995" s="3"/>
      <c r="F4995" s="777" t="s">
        <v>158</v>
      </c>
      <c r="G4995" s="758"/>
      <c r="H4995" s="758"/>
      <c r="I4995" s="519"/>
      <c r="J4995" s="758"/>
      <c r="K4995" s="758"/>
      <c r="L4995" s="758"/>
      <c r="M4995" s="758"/>
      <c r="N4995" s="758"/>
      <c r="O4995" s="758"/>
      <c r="P4995" s="758"/>
      <c r="Q4995" s="778"/>
      <c r="R4995" s="777" t="s">
        <v>159</v>
      </c>
      <c r="S4995" s="38"/>
      <c r="T4995" s="777" t="s">
        <v>160</v>
      </c>
      <c r="AR4995" s="51"/>
      <c r="AS4995" s="777" t="s">
        <v>158</v>
      </c>
    </row>
    <row r="4996" spans="1:45" s="520" customFormat="1" ht="13.2">
      <c r="A4996" s="758"/>
      <c r="B4996" s="3"/>
      <c r="C4996" s="758"/>
      <c r="D4996" s="3"/>
      <c r="E4996" s="3"/>
      <c r="G4996" s="3"/>
      <c r="H4996" s="3"/>
      <c r="I4996" s="3"/>
      <c r="J4996" s="3"/>
      <c r="K4996" s="3"/>
      <c r="L4996" s="3"/>
      <c r="M4996" s="3"/>
      <c r="N4996" s="3"/>
      <c r="O4996" s="107"/>
      <c r="P4996" s="3"/>
      <c r="Q4996" s="3"/>
      <c r="R4996" s="3"/>
      <c r="S4996" s="3"/>
      <c r="T4996" s="3"/>
      <c r="AR4996" s="758"/>
    </row>
    <row r="4997" spans="1:45" s="520" customFormat="1" ht="12" thickBot="1">
      <c r="A4997" s="531"/>
      <c r="B4997" s="763"/>
      <c r="C4997" s="763"/>
      <c r="D4997" s="531"/>
      <c r="E4997" s="39"/>
      <c r="F4997" s="779"/>
      <c r="G4997" s="763"/>
      <c r="H4997" s="763"/>
      <c r="I4997" s="765"/>
      <c r="J4997" s="763"/>
      <c r="K4997" s="763"/>
      <c r="L4997" s="766"/>
      <c r="M4997" s="766"/>
      <c r="N4997" s="766"/>
      <c r="O4997" s="766"/>
      <c r="P4997" s="766"/>
      <c r="Q4997" s="767"/>
      <c r="R4997" s="779"/>
      <c r="S4997" s="780"/>
      <c r="T4997" s="779"/>
      <c r="U4997" s="531"/>
      <c r="V4997" s="531"/>
      <c r="W4997" s="531"/>
      <c r="X4997" s="531"/>
      <c r="Y4997" s="531"/>
      <c r="Z4997" s="531"/>
      <c r="AA4997" s="531"/>
      <c r="AB4997" s="531"/>
      <c r="AC4997" s="531"/>
      <c r="AD4997" s="531"/>
      <c r="AE4997" s="531"/>
      <c r="AF4997" s="531"/>
      <c r="AG4997" s="531"/>
      <c r="AH4997" s="531"/>
      <c r="AI4997" s="531"/>
      <c r="AJ4997" s="531"/>
      <c r="AK4997" s="531"/>
      <c r="AR4997" s="531"/>
      <c r="AS4997" s="779"/>
    </row>
    <row r="4998" spans="1:45" s="520" customFormat="1" thickTop="1">
      <c r="A4998" s="48" t="s">
        <v>148</v>
      </c>
      <c r="B4998" s="3"/>
      <c r="C4998" s="51"/>
      <c r="D4998" s="51"/>
      <c r="E4998" s="51"/>
      <c r="F4998" s="51"/>
      <c r="G4998" s="51"/>
      <c r="H4998" s="51"/>
      <c r="I4998" s="51"/>
      <c r="J4998" s="51"/>
      <c r="K4998" s="51"/>
      <c r="L4998" s="51"/>
      <c r="M4998" s="51"/>
      <c r="N4998" s="51"/>
      <c r="O4998" s="52"/>
      <c r="P4998" s="51"/>
      <c r="Q4998" s="51"/>
      <c r="R4998" s="51"/>
      <c r="S4998" s="51"/>
      <c r="T4998" s="51"/>
      <c r="AR4998" s="48" t="s">
        <v>148</v>
      </c>
      <c r="AS4998" s="51"/>
    </row>
    <row r="4999" spans="1:45" s="520" customFormat="1" ht="13.2">
      <c r="A4999" s="51"/>
      <c r="B4999" s="3"/>
      <c r="C4999" s="3"/>
      <c r="E4999" s="3"/>
      <c r="F4999" s="3"/>
      <c r="G4999" s="3"/>
      <c r="H4999" s="3"/>
      <c r="I4999" s="3"/>
      <c r="J4999" s="3"/>
      <c r="K4999" s="3"/>
      <c r="L4999" s="3"/>
      <c r="M4999" s="3"/>
      <c r="N4999" s="3"/>
      <c r="O4999" s="107"/>
      <c r="P4999" s="3"/>
      <c r="Q4999" s="3"/>
      <c r="R4999" s="3"/>
      <c r="S4999" s="3"/>
      <c r="T4999" s="3"/>
      <c r="AR4999" s="51"/>
      <c r="AS4999" s="3"/>
    </row>
    <row r="5000" spans="1:45" s="520" customFormat="1" ht="12">
      <c r="A5000" s="51"/>
      <c r="B5000" s="772">
        <f ca="1">$F5000/$C$2-($R5000*$S$2+$T5000*$T$2)</f>
        <v>-28056.490091603016</v>
      </c>
      <c r="C5000" s="51"/>
      <c r="D5000" s="121" t="s">
        <v>865</v>
      </c>
      <c r="E5000" s="774"/>
      <c r="F5000" s="782">
        <f ca="1">SUMIF($L129:$L4998,"PAGE",F129:F4998)</f>
        <v>1090901.1800000002</v>
      </c>
      <c r="G5000" s="758"/>
      <c r="H5000" s="758"/>
      <c r="I5000" s="519"/>
      <c r="J5000" s="758"/>
      <c r="K5000" s="758"/>
      <c r="L5000" s="121" t="s">
        <v>1075</v>
      </c>
      <c r="M5000" s="121"/>
      <c r="N5000" s="121"/>
      <c r="O5000" s="122"/>
      <c r="P5000" s="121"/>
      <c r="Q5000" s="51"/>
      <c r="R5000" s="782">
        <f ca="1">SUMIF($L129:$L4998,"PAGE",R129:R4998)</f>
        <v>771324.14922222227</v>
      </c>
      <c r="S5000" s="51"/>
      <c r="T5000" s="782">
        <f ca="1">SUMIF($L129:$L4998,"PAGE",T129:T4998)</f>
        <v>5003.8085000000001</v>
      </c>
      <c r="AR5000" s="51"/>
      <c r="AS5000" s="782">
        <v>1409244.28</v>
      </c>
    </row>
    <row r="5001" spans="1:45" s="520" customFormat="1" ht="12">
      <c r="A5001" s="51"/>
      <c r="B5001" s="49" t="s">
        <v>1064</v>
      </c>
      <c r="C5001" s="51"/>
      <c r="D5001" s="781"/>
      <c r="F5001" s="783" t="s">
        <v>1076</v>
      </c>
      <c r="G5001" s="758"/>
      <c r="H5001" s="758"/>
      <c r="I5001" s="519"/>
      <c r="J5001" s="758"/>
      <c r="K5001" s="758"/>
      <c r="L5001" s="51"/>
      <c r="M5001" s="51"/>
      <c r="N5001" s="51"/>
      <c r="O5001" s="52"/>
      <c r="P5001" s="51"/>
      <c r="Q5001" s="51"/>
      <c r="R5001" s="783" t="s">
        <v>1077</v>
      </c>
      <c r="S5001" s="38"/>
      <c r="T5001" s="783" t="s">
        <v>1078</v>
      </c>
      <c r="AR5001" s="51"/>
      <c r="AS5001" s="783" t="s">
        <v>1076</v>
      </c>
    </row>
    <row r="5002" spans="1:45" s="520" customFormat="1" ht="11.4">
      <c r="O5002" s="771"/>
    </row>
    <row r="5003" spans="1:45" s="520" customFormat="1" ht="12" thickBot="1">
      <c r="A5003" s="763"/>
      <c r="B5003" s="763"/>
      <c r="C5003" s="763"/>
      <c r="D5003" s="763"/>
      <c r="E5003" s="763"/>
      <c r="F5003" s="39"/>
      <c r="G5003" s="531"/>
      <c r="H5003" s="531"/>
      <c r="I5003" s="531"/>
      <c r="J5003" s="531"/>
      <c r="K5003" s="531"/>
      <c r="L5003" s="763"/>
      <c r="M5003" s="763"/>
      <c r="N5003" s="763"/>
      <c r="O5003" s="763"/>
      <c r="P5003" s="763"/>
      <c r="Q5003" s="767"/>
      <c r="R5003" s="39"/>
      <c r="S5003" s="39"/>
      <c r="T5003" s="39"/>
      <c r="U5003" s="531"/>
      <c r="V5003" s="531"/>
      <c r="W5003" s="531"/>
      <c r="X5003" s="531"/>
      <c r="Y5003" s="531"/>
      <c r="Z5003" s="531"/>
      <c r="AA5003" s="531"/>
      <c r="AB5003" s="531"/>
      <c r="AC5003" s="531"/>
      <c r="AD5003" s="531"/>
      <c r="AE5003" s="531"/>
      <c r="AF5003" s="531"/>
      <c r="AG5003" s="531"/>
      <c r="AH5003" s="531"/>
      <c r="AI5003" s="531"/>
      <c r="AJ5003" s="531"/>
      <c r="AK5003" s="531"/>
      <c r="AR5003" s="763"/>
      <c r="AS5003" s="39"/>
    </row>
    <row r="5004" spans="1:45" s="520" customFormat="1" thickTop="1">
      <c r="A5004" s="51"/>
      <c r="B5004" s="51"/>
      <c r="C5004" s="3"/>
      <c r="D5004" s="3"/>
      <c r="E5004" s="51"/>
      <c r="F5004" s="51"/>
      <c r="G5004" s="51"/>
      <c r="H5004" s="51"/>
      <c r="I5004" s="51"/>
      <c r="J5004" s="51"/>
      <c r="K5004" s="51" t="s">
        <v>134</v>
      </c>
      <c r="L5004" s="51"/>
      <c r="M5004" s="51"/>
      <c r="N5004" s="51"/>
      <c r="O5004" s="52"/>
      <c r="P5004" s="51"/>
      <c r="Q5004" s="51"/>
      <c r="R5004" s="51"/>
      <c r="S5004" s="51"/>
      <c r="T5004" s="51"/>
      <c r="AR5004" s="51"/>
      <c r="AS5004" s="51"/>
    </row>
    <row r="5005" spans="1:45" s="520" customFormat="1" ht="12">
      <c r="A5005" s="51"/>
      <c r="B5005" s="51"/>
      <c r="C5005" s="51" t="s">
        <v>135</v>
      </c>
      <c r="D5005" s="37" t="s">
        <v>1834</v>
      </c>
      <c r="E5005" s="51"/>
      <c r="F5005" s="51"/>
      <c r="G5005" s="51"/>
      <c r="H5005" s="51"/>
      <c r="I5005" s="51"/>
      <c r="J5005" s="51"/>
      <c r="K5005" s="51"/>
      <c r="L5005" s="51"/>
      <c r="M5005" s="51"/>
      <c r="N5005" s="51"/>
      <c r="O5005" s="52"/>
      <c r="P5005" s="51"/>
      <c r="Q5005" s="51"/>
      <c r="R5005" s="51"/>
      <c r="S5005" s="51"/>
      <c r="T5005" s="51"/>
      <c r="AR5005" s="51"/>
      <c r="AS5005" s="51"/>
    </row>
    <row r="5006" spans="1:45" s="520" customFormat="1" ht="12">
      <c r="A5006" s="51"/>
      <c r="B5006" s="51"/>
      <c r="C5006" s="51"/>
      <c r="D5006" s="37" t="s">
        <v>866</v>
      </c>
      <c r="E5006" s="51"/>
      <c r="F5006" s="51"/>
      <c r="G5006" s="51"/>
      <c r="H5006" s="51"/>
      <c r="I5006" s="51"/>
      <c r="J5006" s="51"/>
      <c r="K5006" s="51"/>
      <c r="L5006" s="51"/>
      <c r="M5006" s="51"/>
      <c r="N5006" s="51"/>
      <c r="O5006" s="52"/>
      <c r="P5006" s="51"/>
      <c r="Q5006" s="51"/>
      <c r="R5006" s="51"/>
      <c r="S5006" s="38"/>
      <c r="T5006" s="38"/>
      <c r="AR5006" s="51"/>
      <c r="AS5006" s="51"/>
    </row>
    <row r="5007" spans="1:45" s="3" customFormat="1" thickBot="1">
      <c r="A5007" s="531"/>
      <c r="O5007" s="107"/>
      <c r="AR5007" s="531"/>
    </row>
    <row r="5008" spans="1:45" s="520" customFormat="1" thickTop="1">
      <c r="A5008" s="51"/>
      <c r="B5008" s="51"/>
      <c r="C5008" s="3"/>
      <c r="D5008" s="3"/>
      <c r="E5008" s="51"/>
      <c r="F5008" s="51"/>
      <c r="G5008" s="51"/>
      <c r="H5008" s="51"/>
      <c r="I5008" s="51"/>
      <c r="J5008" s="51"/>
      <c r="K5008" s="51" t="s">
        <v>134</v>
      </c>
      <c r="L5008" s="51"/>
      <c r="M5008" s="51"/>
      <c r="N5008" s="51"/>
      <c r="O5008" s="52"/>
      <c r="P5008" s="51"/>
      <c r="Q5008" s="51"/>
      <c r="R5008" s="51"/>
      <c r="S5008" s="51"/>
      <c r="T5008" s="51"/>
      <c r="AR5008" s="51"/>
      <c r="AS5008" s="51"/>
    </row>
    <row r="5009" spans="1:45" s="520" customFormat="1" ht="12">
      <c r="A5009" s="51"/>
      <c r="B5009" s="51"/>
      <c r="C5009" s="51" t="s">
        <v>135</v>
      </c>
      <c r="D5009" s="37"/>
      <c r="E5009" s="51"/>
      <c r="F5009" s="51"/>
      <c r="G5009" s="51"/>
      <c r="H5009" s="51"/>
      <c r="I5009" s="51"/>
      <c r="J5009" s="51"/>
      <c r="K5009" s="51"/>
      <c r="L5009" s="51"/>
      <c r="M5009" s="51"/>
      <c r="N5009" s="51"/>
      <c r="O5009" s="52"/>
      <c r="P5009" s="51"/>
      <c r="Q5009" s="51"/>
      <c r="R5009" s="51"/>
      <c r="S5009" s="51"/>
      <c r="T5009" s="51"/>
      <c r="AR5009" s="51"/>
      <c r="AS5009" s="51"/>
    </row>
    <row r="5010" spans="1:45" s="520" customFormat="1" ht="12">
      <c r="A5010" s="51"/>
      <c r="B5010" s="51"/>
      <c r="C5010" s="51"/>
      <c r="D5010" s="37" t="s">
        <v>867</v>
      </c>
      <c r="E5010" s="51"/>
      <c r="F5010" s="51"/>
      <c r="G5010" s="51"/>
      <c r="H5010" s="51"/>
      <c r="I5010" s="51"/>
      <c r="J5010" s="51"/>
      <c r="K5010" s="51"/>
      <c r="L5010" s="51"/>
      <c r="M5010" s="51"/>
      <c r="N5010" s="51"/>
      <c r="O5010" s="52"/>
      <c r="P5010" s="51"/>
      <c r="Q5010" s="51"/>
      <c r="R5010" s="51"/>
      <c r="S5010" s="38"/>
      <c r="T5010" s="38"/>
      <c r="AR5010" s="51"/>
      <c r="AS5010" s="51"/>
    </row>
    <row r="5011" spans="1:45" s="3" customFormat="1" thickBot="1">
      <c r="A5011" s="531"/>
      <c r="O5011" s="107"/>
      <c r="AR5011" s="531"/>
    </row>
    <row r="5012" spans="1:45" s="520" customFormat="1" thickTop="1">
      <c r="A5012" s="51"/>
      <c r="B5012" s="51"/>
      <c r="C5012" s="3"/>
      <c r="D5012" s="3"/>
      <c r="E5012" s="51"/>
      <c r="F5012" s="51"/>
      <c r="G5012" s="51"/>
      <c r="H5012" s="51"/>
      <c r="I5012" s="51"/>
      <c r="J5012" s="51"/>
      <c r="K5012" s="51" t="s">
        <v>134</v>
      </c>
      <c r="L5012" s="51"/>
      <c r="M5012" s="51"/>
      <c r="N5012" s="51"/>
      <c r="O5012" s="52"/>
      <c r="P5012" s="51"/>
      <c r="Q5012" s="51"/>
      <c r="R5012" s="51"/>
      <c r="S5012" s="51"/>
      <c r="T5012" s="51"/>
      <c r="AR5012" s="51"/>
      <c r="AS5012" s="51"/>
    </row>
    <row r="5013" spans="1:45" s="520" customFormat="1" ht="12">
      <c r="A5013" s="51"/>
      <c r="B5013" s="51"/>
      <c r="C5013" s="51" t="s">
        <v>135</v>
      </c>
      <c r="D5013" s="37"/>
      <c r="E5013" s="51"/>
      <c r="F5013" s="51"/>
      <c r="G5013" s="51"/>
      <c r="H5013" s="51"/>
      <c r="I5013" s="51"/>
      <c r="J5013" s="51"/>
      <c r="K5013" s="51"/>
      <c r="L5013" s="51"/>
      <c r="M5013" s="51"/>
      <c r="N5013" s="51"/>
      <c r="O5013" s="52"/>
      <c r="P5013" s="51"/>
      <c r="Q5013" s="51"/>
      <c r="R5013" s="51"/>
      <c r="S5013" s="51"/>
      <c r="T5013" s="51"/>
      <c r="AR5013" s="51"/>
      <c r="AS5013" s="51"/>
    </row>
    <row r="5014" spans="1:45" s="520" customFormat="1" ht="12">
      <c r="A5014" s="51"/>
      <c r="B5014" s="51"/>
      <c r="C5014" s="51"/>
      <c r="D5014" s="37" t="s">
        <v>343</v>
      </c>
      <c r="E5014" s="51"/>
      <c r="F5014" s="51"/>
      <c r="G5014" s="51"/>
      <c r="H5014" s="51"/>
      <c r="I5014" s="51"/>
      <c r="J5014" s="51"/>
      <c r="K5014" s="51"/>
      <c r="L5014" s="51"/>
      <c r="M5014" s="51"/>
      <c r="N5014" s="51"/>
      <c r="O5014" s="52"/>
      <c r="P5014" s="51"/>
      <c r="Q5014" s="51"/>
      <c r="R5014" s="51"/>
      <c r="S5014" s="38"/>
      <c r="T5014" s="38"/>
      <c r="AR5014" s="51"/>
      <c r="AS5014" s="51"/>
    </row>
    <row r="5015" spans="1:45" s="3" customFormat="1" thickBot="1">
      <c r="A5015" s="531"/>
      <c r="O5015" s="107"/>
      <c r="AR5015" s="531"/>
    </row>
    <row r="5016" spans="1:45" s="520" customFormat="1" ht="12" thickTop="1">
      <c r="A5016" s="51"/>
      <c r="B5016" s="41"/>
      <c r="C5016" s="51"/>
      <c r="E5016" s="42" t="s">
        <v>138</v>
      </c>
      <c r="F5016" s="42" t="s">
        <v>139</v>
      </c>
      <c r="G5016" s="51"/>
      <c r="H5016" s="51"/>
      <c r="I5016" s="51"/>
      <c r="J5016" s="51"/>
      <c r="K5016" s="51" t="s">
        <v>140</v>
      </c>
      <c r="L5016" s="51"/>
      <c r="M5016" s="51"/>
      <c r="N5016" s="51"/>
      <c r="O5016" s="52"/>
      <c r="P5016" s="51"/>
      <c r="Q5016" s="51"/>
      <c r="R5016" s="51"/>
      <c r="S5016" s="51"/>
      <c r="T5016" s="41"/>
      <c r="AG5016" s="521" t="s">
        <v>268</v>
      </c>
      <c r="AH5016" s="521" t="s">
        <v>269</v>
      </c>
      <c r="AI5016" s="521" t="s">
        <v>270</v>
      </c>
      <c r="AJ5016" s="521" t="s">
        <v>271</v>
      </c>
      <c r="AK5016" s="521" t="s">
        <v>272</v>
      </c>
      <c r="AM5016" s="745" t="s">
        <v>281</v>
      </c>
      <c r="AN5016" s="746" t="s">
        <v>282</v>
      </c>
      <c r="AO5016" s="522" t="s">
        <v>278</v>
      </c>
      <c r="AR5016" s="51"/>
      <c r="AS5016" s="42" t="s">
        <v>139</v>
      </c>
    </row>
    <row r="5017" spans="1:45" s="520" customFormat="1" ht="12" customHeight="1">
      <c r="A5017" s="747">
        <v>12</v>
      </c>
      <c r="B5017" s="523" t="s">
        <v>329</v>
      </c>
      <c r="C5017" s="748"/>
      <c r="D5017" s="749" t="s">
        <v>1835</v>
      </c>
      <c r="E5017" s="750">
        <f>IF(AND($A5017=0,$A$1="DIF"),0, ROUND(ROUND(($R5021*$S$2+($T5021*$T$2))/A5017,2)*$C$2,2))</f>
        <v>43.84</v>
      </c>
      <c r="F5017" s="751">
        <f>ROUND($A5017*$E5017,2)</f>
        <v>526.08000000000004</v>
      </c>
      <c r="G5017" s="752" t="s">
        <v>142</v>
      </c>
      <c r="H5017" s="753"/>
      <c r="I5017" s="754"/>
      <c r="J5017" s="753"/>
      <c r="K5017" s="753" t="s">
        <v>3</v>
      </c>
      <c r="L5017" s="755" t="s">
        <v>143</v>
      </c>
      <c r="M5017" s="755"/>
      <c r="N5017" s="755"/>
      <c r="O5017" s="755"/>
      <c r="P5017" s="755"/>
      <c r="Q5017" s="51"/>
      <c r="T5017" s="756" t="str">
        <f>IF(AND($R5021=0,$T5021=0),"0.00","mu :" &amp; ROUND($F5017/$C$2/($R5021+$T5021*$D$9),2))</f>
        <v>mu :1.23</v>
      </c>
      <c r="W5017" s="524"/>
      <c r="AG5017" s="481">
        <f>IF($E5017=0,0,ROUND($R5021*$S$2*$C$2/$A5017,2))</f>
        <v>43.84</v>
      </c>
      <c r="AH5017" s="481">
        <f>$AG5017*$A5017</f>
        <v>526.08000000000004</v>
      </c>
      <c r="AI5017" s="525">
        <f>$E5017-$AG5017</f>
        <v>0</v>
      </c>
      <c r="AJ5017" s="525">
        <f>$A5017*$AI5017</f>
        <v>0</v>
      </c>
      <c r="AK5017" s="526">
        <f>ROUND(($AG5017+$AI5017)*$A5017,2)</f>
        <v>526.08000000000004</v>
      </c>
      <c r="AM5017" s="527">
        <f>ROUND(R5021,2)</f>
        <v>427.2</v>
      </c>
      <c r="AN5017" s="528">
        <f>ROUND(T5021,2)</f>
        <v>0</v>
      </c>
      <c r="AO5017" s="529">
        <f>ROUND(AM5017+AN5017,2)*A5017</f>
        <v>5126.3999999999996</v>
      </c>
      <c r="AR5017" s="747">
        <v>12</v>
      </c>
      <c r="AS5017" s="751">
        <v>526.08000000000004</v>
      </c>
    </row>
    <row r="5018" spans="1:45" s="520" customFormat="1" ht="13.2">
      <c r="A5018" s="748"/>
      <c r="B5018"/>
      <c r="C5018" s="748"/>
      <c r="D5018" s="749" t="s">
        <v>868</v>
      </c>
      <c r="F5018" s="753"/>
      <c r="G5018" s="3"/>
      <c r="H5018" s="753"/>
      <c r="I5018" s="754"/>
      <c r="J5018" s="753"/>
      <c r="K5018" s="753" t="s">
        <v>144</v>
      </c>
      <c r="L5018" s="753"/>
      <c r="M5018" s="753"/>
      <c r="N5018" s="753"/>
      <c r="O5018" s="753"/>
      <c r="P5018" s="753"/>
      <c r="Q5018" s="51"/>
      <c r="R5018" s="530"/>
      <c r="S5018" s="757"/>
      <c r="T5018" s="753"/>
      <c r="AR5018" s="748"/>
      <c r="AS5018" s="753"/>
    </row>
    <row r="5019" spans="1:45" s="901" customFormat="1" ht="13.2">
      <c r="A5019" s="116">
        <v>12</v>
      </c>
      <c r="B5019" s="901" t="s">
        <v>141</v>
      </c>
      <c r="D5019" s="901" t="s">
        <v>3066</v>
      </c>
      <c r="E5019" s="1054" t="s">
        <v>3083</v>
      </c>
      <c r="F5019" s="1054" t="s">
        <v>3082</v>
      </c>
      <c r="G5019" s="941" t="s">
        <v>3067</v>
      </c>
      <c r="H5019" s="942">
        <v>835</v>
      </c>
      <c r="I5019" s="901" t="s">
        <v>2607</v>
      </c>
      <c r="O5019" s="943">
        <v>3</v>
      </c>
      <c r="P5019" s="944"/>
      <c r="Q5019" s="945">
        <v>35.6</v>
      </c>
      <c r="R5019" s="946">
        <f>$A5019*Q5019</f>
        <v>427.20000000000005</v>
      </c>
      <c r="S5019" s="945"/>
      <c r="T5019" s="947">
        <f>$A5019*S5019*$T$1</f>
        <v>0</v>
      </c>
      <c r="AR5019" s="116">
        <v>12</v>
      </c>
      <c r="AS5019" s="1054" t="s">
        <v>3082</v>
      </c>
    </row>
    <row r="5020" spans="1:45" s="520" customFormat="1" ht="12">
      <c r="A5020" s="758"/>
      <c r="B5020" s="758"/>
      <c r="C5020" s="758"/>
      <c r="D5020" s="758"/>
      <c r="E5020" s="758"/>
      <c r="F5020" s="753"/>
      <c r="G5020" s="758"/>
      <c r="H5020" s="758"/>
      <c r="I5020" s="519"/>
      <c r="J5020" s="758"/>
      <c r="K5020" s="758"/>
      <c r="L5020" s="758"/>
      <c r="M5020" s="758"/>
      <c r="N5020" s="758"/>
      <c r="O5020" s="758"/>
      <c r="P5020" s="758"/>
      <c r="Q5020" s="519"/>
      <c r="R5020" s="759">
        <f t="shared" ref="R5020" si="154">$A5020*Q5020</f>
        <v>0</v>
      </c>
      <c r="S5020" s="519"/>
      <c r="T5020" s="760">
        <f t="shared" ref="T5020" si="155">$A5020*S5020*$T$1</f>
        <v>0</v>
      </c>
      <c r="AR5020" s="758"/>
      <c r="AS5020" s="753"/>
    </row>
    <row r="5021" spans="1:45" s="520" customFormat="1" ht="12.6" thickBot="1">
      <c r="A5021" s="761" t="s">
        <v>145</v>
      </c>
      <c r="B5021" s="762">
        <f>(R5020+T5020)</f>
        <v>0</v>
      </c>
      <c r="C5021" s="763"/>
      <c r="D5021" s="763"/>
      <c r="E5021" s="763"/>
      <c r="F5021" s="764"/>
      <c r="G5021" s="763" t="s">
        <v>146</v>
      </c>
      <c r="H5021" s="763"/>
      <c r="I5021" s="765"/>
      <c r="J5021" s="763"/>
      <c r="K5021" s="763" t="s">
        <v>3</v>
      </c>
      <c r="L5021" s="766" t="s">
        <v>143</v>
      </c>
      <c r="M5021" s="766"/>
      <c r="N5021" s="766"/>
      <c r="O5021" s="766"/>
      <c r="P5021" s="766"/>
      <c r="Q5021" s="767"/>
      <c r="R5021" s="768">
        <f>SUM(R5018:R5020)</f>
        <v>427.20000000000005</v>
      </c>
      <c r="S5021" s="763"/>
      <c r="T5021" s="768">
        <f>SUM(T5018:T5020)</f>
        <v>0</v>
      </c>
      <c r="U5021" s="531"/>
      <c r="V5021" s="531"/>
      <c r="W5021" s="531"/>
      <c r="X5021" s="531"/>
      <c r="Y5021" s="531"/>
      <c r="Z5021" s="531"/>
      <c r="AA5021" s="531"/>
      <c r="AB5021" s="531"/>
      <c r="AC5021" s="531"/>
      <c r="AD5021" s="531"/>
      <c r="AE5021" s="531"/>
      <c r="AF5021" s="531"/>
      <c r="AG5021" s="531"/>
      <c r="AH5021" s="531"/>
      <c r="AI5021" s="531"/>
      <c r="AJ5021" s="531"/>
      <c r="AK5021" s="531"/>
      <c r="AL5021" s="531"/>
      <c r="AM5021" s="531"/>
      <c r="AN5021" s="531"/>
      <c r="AO5021" s="531"/>
      <c r="AR5021" s="761" t="s">
        <v>145</v>
      </c>
      <c r="AS5021" s="764"/>
    </row>
    <row r="5022" spans="1:45" s="520" customFormat="1" ht="12" thickTop="1">
      <c r="A5022" s="51"/>
      <c r="B5022" s="41"/>
      <c r="C5022" s="51"/>
      <c r="E5022" s="42" t="s">
        <v>138</v>
      </c>
      <c r="F5022" s="42" t="s">
        <v>139</v>
      </c>
      <c r="G5022" s="51"/>
      <c r="H5022" s="51"/>
      <c r="I5022" s="51"/>
      <c r="J5022" s="51"/>
      <c r="K5022" s="51" t="s">
        <v>140</v>
      </c>
      <c r="L5022" s="51"/>
      <c r="M5022" s="51"/>
      <c r="N5022" s="51"/>
      <c r="O5022" s="52"/>
      <c r="P5022" s="51"/>
      <c r="Q5022" s="51"/>
      <c r="R5022" s="51"/>
      <c r="S5022" s="51"/>
      <c r="T5022" s="41"/>
      <c r="AG5022" s="521" t="s">
        <v>268</v>
      </c>
      <c r="AH5022" s="521" t="s">
        <v>269</v>
      </c>
      <c r="AI5022" s="521" t="s">
        <v>270</v>
      </c>
      <c r="AJ5022" s="521" t="s">
        <v>271</v>
      </c>
      <c r="AK5022" s="521" t="s">
        <v>272</v>
      </c>
      <c r="AM5022" s="745" t="s">
        <v>281</v>
      </c>
      <c r="AN5022" s="746" t="s">
        <v>282</v>
      </c>
      <c r="AO5022" s="522" t="s">
        <v>278</v>
      </c>
      <c r="AR5022" s="51"/>
      <c r="AS5022" s="42" t="s">
        <v>139</v>
      </c>
    </row>
    <row r="5023" spans="1:45" s="520" customFormat="1" ht="13.2">
      <c r="A5023" s="747">
        <v>17</v>
      </c>
      <c r="B5023" s="523" t="s">
        <v>329</v>
      </c>
      <c r="C5023" s="748"/>
      <c r="D5023" s="749" t="s">
        <v>1836</v>
      </c>
      <c r="E5023" s="750">
        <f>IF(AND($A5023=0,$A$1="DIF"),0, ROUND(ROUND(($R5027*$S$2+($T5027*$T$2))/A5023,2)*$C$2,2))</f>
        <v>29.95</v>
      </c>
      <c r="F5023" s="751">
        <f>ROUND($A5023*$E5023,2)</f>
        <v>509.15</v>
      </c>
      <c r="G5023" s="752" t="s">
        <v>142</v>
      </c>
      <c r="H5023" s="753"/>
      <c r="I5023" s="754"/>
      <c r="J5023" s="753"/>
      <c r="K5023" s="753" t="s">
        <v>3</v>
      </c>
      <c r="L5023" s="755" t="s">
        <v>143</v>
      </c>
      <c r="M5023" s="755"/>
      <c r="N5023" s="755"/>
      <c r="O5023" s="755"/>
      <c r="P5023" s="755"/>
      <c r="Q5023" s="51"/>
      <c r="T5023" s="756" t="str">
        <f>IF(AND($R5027=0,$T5027=0),"0.00","mu :" &amp; ROUND($F5023/$C$2/($R5027+$T5027*$D$9),2))</f>
        <v>mu :1.23</v>
      </c>
      <c r="W5023" s="524"/>
      <c r="AG5023" s="481">
        <f>IF($E5023=0,0,ROUND($R5027*$S$2*$C$2/$A5023,2))</f>
        <v>29.95</v>
      </c>
      <c r="AH5023" s="481">
        <f>$AG5023*$A5023</f>
        <v>509.15</v>
      </c>
      <c r="AI5023" s="525">
        <f>$E5023-$AG5023</f>
        <v>0</v>
      </c>
      <c r="AJ5023" s="525">
        <f>$A5023*$AI5023</f>
        <v>0</v>
      </c>
      <c r="AK5023" s="526">
        <f>ROUND(($AG5023+$AI5023)*$A5023,2)</f>
        <v>509.15</v>
      </c>
      <c r="AM5023" s="527">
        <f>ROUND(R5027,2)</f>
        <v>413.44</v>
      </c>
      <c r="AN5023" s="528">
        <f>ROUND(T5027,2)</f>
        <v>0</v>
      </c>
      <c r="AO5023" s="529">
        <f>ROUND(AM5023+AN5023,2)*A5023</f>
        <v>7028.48</v>
      </c>
      <c r="AR5023" s="747">
        <v>18</v>
      </c>
      <c r="AS5023" s="751">
        <v>539.1</v>
      </c>
    </row>
    <row r="5024" spans="1:45" s="520" customFormat="1" ht="13.2">
      <c r="A5024" s="748"/>
      <c r="B5024"/>
      <c r="C5024" s="748"/>
      <c r="D5024" s="749" t="s">
        <v>869</v>
      </c>
      <c r="F5024" s="753"/>
      <c r="G5024" s="3"/>
      <c r="H5024" s="753"/>
      <c r="I5024" s="754"/>
      <c r="J5024" s="753"/>
      <c r="K5024" s="753" t="s">
        <v>144</v>
      </c>
      <c r="L5024" s="753"/>
      <c r="M5024" s="753"/>
      <c r="N5024" s="753"/>
      <c r="O5024" s="753"/>
      <c r="P5024" s="753"/>
      <c r="Q5024" s="51"/>
      <c r="R5024" s="530"/>
      <c r="S5024" s="757"/>
      <c r="T5024" s="753"/>
      <c r="AR5024" s="748"/>
      <c r="AS5024" s="753"/>
    </row>
    <row r="5025" spans="1:45" s="901" customFormat="1" ht="13.2">
      <c r="A5025" s="116">
        <v>17</v>
      </c>
      <c r="B5025" s="901" t="s">
        <v>141</v>
      </c>
      <c r="D5025" s="901" t="s">
        <v>3068</v>
      </c>
      <c r="E5025" s="1054" t="s">
        <v>3083</v>
      </c>
      <c r="F5025" s="1054" t="s">
        <v>3084</v>
      </c>
      <c r="G5025" s="941" t="s">
        <v>3069</v>
      </c>
      <c r="H5025" s="942">
        <v>835</v>
      </c>
      <c r="I5025" s="901" t="s">
        <v>2607</v>
      </c>
      <c r="O5025" s="943">
        <v>3</v>
      </c>
      <c r="P5025" s="944"/>
      <c r="Q5025" s="945">
        <v>24.32</v>
      </c>
      <c r="R5025" s="946">
        <f>$A5025*Q5025</f>
        <v>413.44</v>
      </c>
      <c r="S5025" s="945"/>
      <c r="T5025" s="947">
        <f>$A5025*S5025*$T$1</f>
        <v>0</v>
      </c>
      <c r="AR5025" s="116">
        <v>18</v>
      </c>
      <c r="AS5025" s="1054" t="s">
        <v>3084</v>
      </c>
    </row>
    <row r="5026" spans="1:45" s="520" customFormat="1" ht="12">
      <c r="A5026" s="758"/>
      <c r="B5026" s="758"/>
      <c r="C5026" s="758"/>
      <c r="D5026" s="758"/>
      <c r="E5026" s="758"/>
      <c r="F5026" s="753"/>
      <c r="G5026" s="758"/>
      <c r="H5026" s="758"/>
      <c r="I5026" s="519"/>
      <c r="J5026" s="758"/>
      <c r="K5026" s="758"/>
      <c r="L5026" s="758"/>
      <c r="M5026" s="758"/>
      <c r="N5026" s="758"/>
      <c r="O5026" s="758"/>
      <c r="P5026" s="758"/>
      <c r="Q5026" s="519"/>
      <c r="R5026" s="759">
        <f t="shared" ref="R5026" si="156">$A5026*Q5026</f>
        <v>0</v>
      </c>
      <c r="S5026" s="519"/>
      <c r="T5026" s="760">
        <f t="shared" ref="T5026" si="157">$A5026*S5026*$T$1</f>
        <v>0</v>
      </c>
      <c r="AR5026" s="758"/>
      <c r="AS5026" s="753"/>
    </row>
    <row r="5027" spans="1:45" s="520" customFormat="1" ht="12.6" thickBot="1">
      <c r="A5027" s="761" t="s">
        <v>145</v>
      </c>
      <c r="B5027" s="762">
        <f>(R5026+T5026)</f>
        <v>0</v>
      </c>
      <c r="C5027" s="763"/>
      <c r="D5027" s="763"/>
      <c r="E5027" s="763"/>
      <c r="F5027" s="764"/>
      <c r="G5027" s="763" t="s">
        <v>146</v>
      </c>
      <c r="H5027" s="763"/>
      <c r="I5027" s="765"/>
      <c r="J5027" s="763"/>
      <c r="K5027" s="763" t="s">
        <v>3</v>
      </c>
      <c r="L5027" s="766" t="s">
        <v>143</v>
      </c>
      <c r="M5027" s="766"/>
      <c r="N5027" s="766"/>
      <c r="O5027" s="766"/>
      <c r="P5027" s="766"/>
      <c r="Q5027" s="767"/>
      <c r="R5027" s="768">
        <f>SUM(R5024:R5026)</f>
        <v>413.44</v>
      </c>
      <c r="S5027" s="763"/>
      <c r="T5027" s="768">
        <f>SUM(T5024:T5026)</f>
        <v>0</v>
      </c>
      <c r="U5027" s="531"/>
      <c r="V5027" s="531"/>
      <c r="W5027" s="531"/>
      <c r="X5027" s="531"/>
      <c r="Y5027" s="531"/>
      <c r="Z5027" s="531"/>
      <c r="AA5027" s="531"/>
      <c r="AB5027" s="531"/>
      <c r="AC5027" s="531"/>
      <c r="AD5027" s="531"/>
      <c r="AE5027" s="531"/>
      <c r="AF5027" s="531"/>
      <c r="AG5027" s="531"/>
      <c r="AH5027" s="531"/>
      <c r="AI5027" s="531"/>
      <c r="AJ5027" s="531"/>
      <c r="AK5027" s="531"/>
      <c r="AL5027" s="531"/>
      <c r="AM5027" s="531"/>
      <c r="AN5027" s="531"/>
      <c r="AO5027" s="531"/>
      <c r="AR5027" s="761" t="s">
        <v>145</v>
      </c>
      <c r="AS5027" s="764"/>
    </row>
    <row r="5028" spans="1:45" s="520" customFormat="1" ht="12" thickTop="1">
      <c r="A5028" s="51"/>
      <c r="B5028" s="41"/>
      <c r="C5028" s="51"/>
      <c r="E5028" s="42" t="s">
        <v>138</v>
      </c>
      <c r="F5028" s="42" t="s">
        <v>139</v>
      </c>
      <c r="G5028" s="51"/>
      <c r="H5028" s="51"/>
      <c r="I5028" s="51"/>
      <c r="J5028" s="51"/>
      <c r="K5028" s="51" t="s">
        <v>140</v>
      </c>
      <c r="L5028" s="51"/>
      <c r="M5028" s="51"/>
      <c r="N5028" s="51"/>
      <c r="O5028" s="52"/>
      <c r="P5028" s="51"/>
      <c r="Q5028" s="51"/>
      <c r="R5028" s="51"/>
      <c r="S5028" s="51"/>
      <c r="T5028" s="41"/>
      <c r="AG5028" s="521" t="s">
        <v>268</v>
      </c>
      <c r="AH5028" s="521" t="s">
        <v>269</v>
      </c>
      <c r="AI5028" s="521" t="s">
        <v>270</v>
      </c>
      <c r="AJ5028" s="521" t="s">
        <v>271</v>
      </c>
      <c r="AK5028" s="521" t="s">
        <v>272</v>
      </c>
      <c r="AM5028" s="745" t="s">
        <v>281</v>
      </c>
      <c r="AN5028" s="746" t="s">
        <v>282</v>
      </c>
      <c r="AO5028" s="522" t="s">
        <v>278</v>
      </c>
      <c r="AR5028" s="51"/>
      <c r="AS5028" s="42" t="s">
        <v>139</v>
      </c>
    </row>
    <row r="5029" spans="1:45" s="520" customFormat="1" ht="12" customHeight="1">
      <c r="A5029" s="747">
        <v>6</v>
      </c>
      <c r="B5029" s="523" t="s">
        <v>329</v>
      </c>
      <c r="C5029" s="748"/>
      <c r="D5029" s="749" t="s">
        <v>1837</v>
      </c>
      <c r="E5029" s="750">
        <f>IF(AND($A5029=0,$A$1="DIF"),0, ROUND(ROUND(($R5033*$S$2+($T5033*$T$2))/A5029,2)*$C$2,2))</f>
        <v>49.45</v>
      </c>
      <c r="F5029" s="751">
        <f>ROUND($A5029*$E5029,2)</f>
        <v>296.7</v>
      </c>
      <c r="G5029" s="752" t="s">
        <v>142</v>
      </c>
      <c r="H5029" s="753"/>
      <c r="I5029" s="754"/>
      <c r="J5029" s="753"/>
      <c r="K5029" s="753" t="s">
        <v>3</v>
      </c>
      <c r="L5029" s="755" t="s">
        <v>143</v>
      </c>
      <c r="M5029" s="755"/>
      <c r="N5029" s="755"/>
      <c r="O5029" s="755"/>
      <c r="P5029" s="755"/>
      <c r="Q5029" s="51"/>
      <c r="T5029" s="756" t="str">
        <f>IF(AND($R5033=0,$T5033=0),"0.00","mu :" &amp; ROUND($F5029/$C$2/($R5033+$T5033*$D$9),2))</f>
        <v>mu :1.23</v>
      </c>
      <c r="W5029" s="524"/>
      <c r="AG5029" s="481">
        <f>IF($E5029=0,0,ROUND($R5033*$S$2*$C$2/$A5029,2))</f>
        <v>49.45</v>
      </c>
      <c r="AH5029" s="481">
        <f>$AG5029*$A5029</f>
        <v>296.70000000000005</v>
      </c>
      <c r="AI5029" s="525">
        <f>$E5029-$AG5029</f>
        <v>0</v>
      </c>
      <c r="AJ5029" s="525">
        <f>$A5029*$AI5029</f>
        <v>0</v>
      </c>
      <c r="AK5029" s="526">
        <f>ROUND(($AG5029+$AI5029)*$A5029,2)</f>
        <v>296.7</v>
      </c>
      <c r="AM5029" s="527">
        <f>ROUND(R5033,2)</f>
        <v>240.96</v>
      </c>
      <c r="AN5029" s="528">
        <f>ROUND(T5033,2)</f>
        <v>0</v>
      </c>
      <c r="AO5029" s="529">
        <f>ROUND(AM5029+AN5029,2)*A5029</f>
        <v>1445.76</v>
      </c>
      <c r="AR5029" s="747">
        <v>7</v>
      </c>
      <c r="AS5029" s="751">
        <v>346.15</v>
      </c>
    </row>
    <row r="5030" spans="1:45" s="520" customFormat="1" ht="13.2">
      <c r="A5030" s="748"/>
      <c r="B5030"/>
      <c r="C5030" s="748"/>
      <c r="D5030" s="749" t="s">
        <v>870</v>
      </c>
      <c r="F5030" s="753"/>
      <c r="G5030" s="3"/>
      <c r="H5030" s="753"/>
      <c r="I5030" s="754"/>
      <c r="J5030" s="753"/>
      <c r="K5030" s="753" t="s">
        <v>144</v>
      </c>
      <c r="L5030" s="753"/>
      <c r="M5030" s="753"/>
      <c r="N5030" s="753"/>
      <c r="O5030" s="753"/>
      <c r="P5030" s="753"/>
      <c r="Q5030" s="51"/>
      <c r="R5030" s="530"/>
      <c r="S5030" s="757"/>
      <c r="T5030" s="753"/>
      <c r="AR5030" s="748"/>
      <c r="AS5030" s="753"/>
    </row>
    <row r="5031" spans="1:45" s="901" customFormat="1" ht="13.2">
      <c r="A5031" s="116">
        <v>6</v>
      </c>
      <c r="B5031" s="901" t="s">
        <v>141</v>
      </c>
      <c r="D5031" s="901" t="s">
        <v>3070</v>
      </c>
      <c r="E5031" s="1054" t="s">
        <v>3083</v>
      </c>
      <c r="F5031" s="1054" t="s">
        <v>3085</v>
      </c>
      <c r="G5031" s="941" t="s">
        <v>3071</v>
      </c>
      <c r="H5031" s="942">
        <v>835</v>
      </c>
      <c r="I5031" s="901" t="s">
        <v>2607</v>
      </c>
      <c r="O5031" s="943">
        <v>3</v>
      </c>
      <c r="P5031" s="944"/>
      <c r="Q5031" s="945">
        <v>40.159999999999997</v>
      </c>
      <c r="R5031" s="946">
        <f>$A5031*Q5031</f>
        <v>240.95999999999998</v>
      </c>
      <c r="S5031" s="945"/>
      <c r="T5031" s="947">
        <f>$A5031*S5031*$T$1</f>
        <v>0</v>
      </c>
      <c r="AR5031" s="116">
        <v>7</v>
      </c>
      <c r="AS5031" s="1054" t="s">
        <v>3085</v>
      </c>
    </row>
    <row r="5032" spans="1:45" s="520" customFormat="1" ht="12">
      <c r="A5032" s="758"/>
      <c r="B5032" s="758"/>
      <c r="C5032" s="758"/>
      <c r="D5032" s="758"/>
      <c r="E5032" s="758"/>
      <c r="F5032" s="753"/>
      <c r="G5032" s="758"/>
      <c r="H5032" s="758"/>
      <c r="I5032" s="519"/>
      <c r="J5032" s="758"/>
      <c r="K5032" s="758"/>
      <c r="L5032" s="758"/>
      <c r="M5032" s="758"/>
      <c r="N5032" s="758"/>
      <c r="O5032" s="758"/>
      <c r="P5032" s="758"/>
      <c r="Q5032" s="519"/>
      <c r="R5032" s="759">
        <f t="shared" ref="R5032" si="158">$A5032*Q5032</f>
        <v>0</v>
      </c>
      <c r="S5032" s="519"/>
      <c r="T5032" s="760">
        <f t="shared" ref="T5032" si="159">$A5032*S5032*$T$1</f>
        <v>0</v>
      </c>
      <c r="AR5032" s="758"/>
      <c r="AS5032" s="753"/>
    </row>
    <row r="5033" spans="1:45" s="520" customFormat="1" ht="12.6" thickBot="1">
      <c r="A5033" s="761" t="s">
        <v>145</v>
      </c>
      <c r="B5033" s="762">
        <f>(R5032+T5032)</f>
        <v>0</v>
      </c>
      <c r="C5033" s="763"/>
      <c r="D5033" s="763"/>
      <c r="E5033" s="763"/>
      <c r="F5033" s="764"/>
      <c r="G5033" s="763" t="s">
        <v>146</v>
      </c>
      <c r="H5033" s="763"/>
      <c r="I5033" s="765"/>
      <c r="J5033" s="763"/>
      <c r="K5033" s="763" t="s">
        <v>3</v>
      </c>
      <c r="L5033" s="766" t="s">
        <v>143</v>
      </c>
      <c r="M5033" s="766"/>
      <c r="N5033" s="766"/>
      <c r="O5033" s="766"/>
      <c r="P5033" s="766"/>
      <c r="Q5033" s="767"/>
      <c r="R5033" s="768">
        <f>SUM(R5030:R5032)</f>
        <v>240.95999999999998</v>
      </c>
      <c r="S5033" s="763"/>
      <c r="T5033" s="768">
        <f>SUM(T5030:T5032)</f>
        <v>0</v>
      </c>
      <c r="U5033" s="531"/>
      <c r="V5033" s="531"/>
      <c r="W5033" s="531"/>
      <c r="X5033" s="531"/>
      <c r="Y5033" s="531"/>
      <c r="Z5033" s="531"/>
      <c r="AA5033" s="531"/>
      <c r="AB5033" s="531"/>
      <c r="AC5033" s="531"/>
      <c r="AD5033" s="531"/>
      <c r="AE5033" s="531"/>
      <c r="AF5033" s="531"/>
      <c r="AG5033" s="531"/>
      <c r="AH5033" s="531"/>
      <c r="AI5033" s="531"/>
      <c r="AJ5033" s="531"/>
      <c r="AK5033" s="531"/>
      <c r="AL5033" s="531"/>
      <c r="AM5033" s="531"/>
      <c r="AN5033" s="531"/>
      <c r="AO5033" s="531"/>
      <c r="AR5033" s="761" t="s">
        <v>145</v>
      </c>
      <c r="AS5033" s="764"/>
    </row>
    <row r="5034" spans="1:45" s="520" customFormat="1" ht="12" thickTop="1">
      <c r="A5034" s="51"/>
      <c r="B5034" s="41"/>
      <c r="C5034" s="51"/>
      <c r="E5034" s="42" t="s">
        <v>138</v>
      </c>
      <c r="F5034" s="42" t="s">
        <v>139</v>
      </c>
      <c r="G5034" s="51"/>
      <c r="H5034" s="51"/>
      <c r="I5034" s="51"/>
      <c r="J5034" s="51"/>
      <c r="K5034" s="51" t="s">
        <v>140</v>
      </c>
      <c r="L5034" s="51"/>
      <c r="M5034" s="51"/>
      <c r="N5034" s="51"/>
      <c r="O5034" s="52"/>
      <c r="P5034" s="51"/>
      <c r="Q5034" s="51"/>
      <c r="R5034" s="51"/>
      <c r="S5034" s="51"/>
      <c r="T5034" s="41"/>
      <c r="AG5034" s="521" t="s">
        <v>268</v>
      </c>
      <c r="AH5034" s="521" t="s">
        <v>269</v>
      </c>
      <c r="AI5034" s="521" t="s">
        <v>270</v>
      </c>
      <c r="AJ5034" s="521" t="s">
        <v>271</v>
      </c>
      <c r="AK5034" s="521" t="s">
        <v>272</v>
      </c>
      <c r="AM5034" s="745" t="s">
        <v>281</v>
      </c>
      <c r="AN5034" s="746" t="s">
        <v>282</v>
      </c>
      <c r="AO5034" s="522" t="s">
        <v>278</v>
      </c>
      <c r="AR5034" s="51"/>
      <c r="AS5034" s="42" t="s">
        <v>139</v>
      </c>
    </row>
    <row r="5035" spans="1:45" s="520" customFormat="1" ht="12" customHeight="1">
      <c r="A5035" s="747">
        <v>25</v>
      </c>
      <c r="B5035" s="523" t="s">
        <v>329</v>
      </c>
      <c r="C5035" s="748"/>
      <c r="D5035" s="749" t="s">
        <v>1838</v>
      </c>
      <c r="E5035" s="750">
        <f>IF(AND($A5035=0,$A$1="DIF"),0, ROUND(ROUND(($R5039*$S$2+($T5039*$T$2))/A5035,2)*$C$2,2))</f>
        <v>40.14</v>
      </c>
      <c r="F5035" s="751">
        <f>ROUND($A5035*$E5035,2)</f>
        <v>1003.5</v>
      </c>
      <c r="G5035" s="752" t="s">
        <v>142</v>
      </c>
      <c r="H5035" s="753"/>
      <c r="I5035" s="754"/>
      <c r="J5035" s="753"/>
      <c r="K5035" s="753" t="s">
        <v>3</v>
      </c>
      <c r="L5035" s="755" t="s">
        <v>143</v>
      </c>
      <c r="M5035" s="755"/>
      <c r="N5035" s="755"/>
      <c r="O5035" s="755"/>
      <c r="P5035" s="755"/>
      <c r="Q5035" s="51"/>
      <c r="T5035" s="756" t="str">
        <f>IF(AND($R5039=0,$T5039=0),"0.00","mu :" &amp; ROUND($F5035/$C$2/($R5039+$T5039*$D$9),2))</f>
        <v>mu :1.23</v>
      </c>
      <c r="W5035" s="524"/>
      <c r="AG5035" s="481">
        <f>IF($E5035=0,0,ROUND($R5039*$S$2*$C$2/$A5035,2))</f>
        <v>40.14</v>
      </c>
      <c r="AH5035" s="481">
        <f>$AG5035*$A5035</f>
        <v>1003.5</v>
      </c>
      <c r="AI5035" s="525">
        <f>$E5035-$AG5035</f>
        <v>0</v>
      </c>
      <c r="AJ5035" s="525">
        <f>$A5035*$AI5035</f>
        <v>0</v>
      </c>
      <c r="AK5035" s="526">
        <f>ROUND(($AG5035+$AI5035)*$A5035,2)</f>
        <v>1003.5</v>
      </c>
      <c r="AM5035" s="527">
        <f>ROUND(R5039,2)</f>
        <v>815</v>
      </c>
      <c r="AN5035" s="528">
        <f>ROUND(T5039,2)</f>
        <v>0</v>
      </c>
      <c r="AO5035" s="529">
        <f>ROUND(AM5035+AN5035,2)*A5035</f>
        <v>20375</v>
      </c>
      <c r="AR5035" s="747">
        <v>23</v>
      </c>
      <c r="AS5035" s="751">
        <v>923.22</v>
      </c>
    </row>
    <row r="5036" spans="1:45" s="520" customFormat="1" ht="13.2">
      <c r="A5036" s="748"/>
      <c r="B5036"/>
      <c r="C5036" s="748"/>
      <c r="D5036" s="749" t="s">
        <v>871</v>
      </c>
      <c r="F5036" s="753"/>
      <c r="G5036" s="3"/>
      <c r="H5036" s="753"/>
      <c r="I5036" s="754"/>
      <c r="J5036" s="753"/>
      <c r="K5036" s="753" t="s">
        <v>144</v>
      </c>
      <c r="L5036" s="753"/>
      <c r="M5036" s="753"/>
      <c r="N5036" s="753"/>
      <c r="O5036" s="753"/>
      <c r="P5036" s="753"/>
      <c r="Q5036" s="51"/>
      <c r="R5036" s="530"/>
      <c r="S5036" s="757"/>
      <c r="T5036" s="753"/>
      <c r="AR5036" s="748"/>
      <c r="AS5036" s="753"/>
    </row>
    <row r="5037" spans="1:45" s="901" customFormat="1" ht="13.2">
      <c r="A5037" s="116">
        <v>25</v>
      </c>
      <c r="B5037" s="901" t="s">
        <v>141</v>
      </c>
      <c r="D5037" s="901" t="s">
        <v>3072</v>
      </c>
      <c r="E5037" s="1054" t="s">
        <v>3083</v>
      </c>
      <c r="F5037" s="1054" t="s">
        <v>3086</v>
      </c>
      <c r="G5037" s="941" t="s">
        <v>3073</v>
      </c>
      <c r="H5037" s="942">
        <v>835</v>
      </c>
      <c r="I5037" s="901" t="s">
        <v>2607</v>
      </c>
      <c r="O5037" s="943">
        <v>3</v>
      </c>
      <c r="P5037" s="944"/>
      <c r="Q5037" s="945">
        <v>32.6</v>
      </c>
      <c r="R5037" s="946">
        <f>$A5037*Q5037</f>
        <v>815</v>
      </c>
      <c r="S5037" s="945"/>
      <c r="T5037" s="947">
        <f>$A5037*S5037*$T$1</f>
        <v>0</v>
      </c>
      <c r="AR5037" s="116">
        <v>23</v>
      </c>
      <c r="AS5037" s="1054" t="s">
        <v>3086</v>
      </c>
    </row>
    <row r="5038" spans="1:45" s="520" customFormat="1" ht="12">
      <c r="A5038" s="758"/>
      <c r="B5038" s="758"/>
      <c r="C5038" s="758"/>
      <c r="D5038" s="758"/>
      <c r="E5038" s="758"/>
      <c r="F5038" s="753"/>
      <c r="G5038" s="758"/>
      <c r="H5038" s="758"/>
      <c r="I5038" s="519"/>
      <c r="J5038" s="758"/>
      <c r="K5038" s="758"/>
      <c r="L5038" s="758"/>
      <c r="M5038" s="758"/>
      <c r="N5038" s="758"/>
      <c r="O5038" s="758"/>
      <c r="P5038" s="758"/>
      <c r="Q5038" s="519"/>
      <c r="R5038" s="759">
        <f t="shared" ref="R5038" si="160">$A5038*Q5038</f>
        <v>0</v>
      </c>
      <c r="S5038" s="519"/>
      <c r="T5038" s="760">
        <f t="shared" ref="T5038" si="161">$A5038*S5038*$T$1</f>
        <v>0</v>
      </c>
      <c r="AR5038" s="758"/>
      <c r="AS5038" s="753"/>
    </row>
    <row r="5039" spans="1:45" s="520" customFormat="1" ht="12.6" thickBot="1">
      <c r="A5039" s="761" t="s">
        <v>145</v>
      </c>
      <c r="B5039" s="762">
        <f>(R5038+T5038)</f>
        <v>0</v>
      </c>
      <c r="C5039" s="763"/>
      <c r="D5039" s="763"/>
      <c r="E5039" s="763"/>
      <c r="F5039" s="764"/>
      <c r="G5039" s="763" t="s">
        <v>146</v>
      </c>
      <c r="H5039" s="763"/>
      <c r="I5039" s="765"/>
      <c r="J5039" s="763"/>
      <c r="K5039" s="763" t="s">
        <v>3</v>
      </c>
      <c r="L5039" s="766" t="s">
        <v>143</v>
      </c>
      <c r="M5039" s="766"/>
      <c r="N5039" s="766"/>
      <c r="O5039" s="766"/>
      <c r="P5039" s="766"/>
      <c r="Q5039" s="767"/>
      <c r="R5039" s="768">
        <f>SUM(R5036:R5038)</f>
        <v>815</v>
      </c>
      <c r="S5039" s="763"/>
      <c r="T5039" s="768">
        <f>SUM(T5036:T5038)</f>
        <v>0</v>
      </c>
      <c r="U5039" s="531"/>
      <c r="V5039" s="531"/>
      <c r="W5039" s="531"/>
      <c r="X5039" s="531"/>
      <c r="Y5039" s="531"/>
      <c r="Z5039" s="531"/>
      <c r="AA5039" s="531"/>
      <c r="AB5039" s="531"/>
      <c r="AC5039" s="531"/>
      <c r="AD5039" s="531"/>
      <c r="AE5039" s="531"/>
      <c r="AF5039" s="531"/>
      <c r="AG5039" s="531"/>
      <c r="AH5039" s="531"/>
      <c r="AI5039" s="531"/>
      <c r="AJ5039" s="531"/>
      <c r="AK5039" s="531"/>
      <c r="AL5039" s="531"/>
      <c r="AM5039" s="531"/>
      <c r="AN5039" s="531"/>
      <c r="AO5039" s="531"/>
      <c r="AR5039" s="761" t="s">
        <v>145</v>
      </c>
      <c r="AS5039" s="764"/>
    </row>
    <row r="5040" spans="1:45" s="520" customFormat="1" ht="12" thickTop="1">
      <c r="A5040" s="51"/>
      <c r="B5040" s="41"/>
      <c r="C5040" s="51"/>
      <c r="E5040" s="42" t="s">
        <v>138</v>
      </c>
      <c r="F5040" s="42" t="s">
        <v>139</v>
      </c>
      <c r="G5040" s="51"/>
      <c r="H5040" s="51"/>
      <c r="I5040" s="51"/>
      <c r="J5040" s="51"/>
      <c r="K5040" s="51" t="s">
        <v>140</v>
      </c>
      <c r="L5040" s="51"/>
      <c r="M5040" s="51"/>
      <c r="N5040" s="51"/>
      <c r="O5040" s="52"/>
      <c r="P5040" s="51"/>
      <c r="Q5040" s="51"/>
      <c r="R5040" s="51"/>
      <c r="S5040" s="51"/>
      <c r="T5040" s="41"/>
      <c r="AG5040" s="521" t="s">
        <v>268</v>
      </c>
      <c r="AH5040" s="521" t="s">
        <v>269</v>
      </c>
      <c r="AI5040" s="521" t="s">
        <v>270</v>
      </c>
      <c r="AJ5040" s="521" t="s">
        <v>271</v>
      </c>
      <c r="AK5040" s="521" t="s">
        <v>272</v>
      </c>
      <c r="AM5040" s="745" t="s">
        <v>281</v>
      </c>
      <c r="AN5040" s="746" t="s">
        <v>282</v>
      </c>
      <c r="AO5040" s="522" t="s">
        <v>278</v>
      </c>
      <c r="AR5040" s="51"/>
      <c r="AS5040" s="42" t="s">
        <v>139</v>
      </c>
    </row>
    <row r="5041" spans="1:45" s="520" customFormat="1" ht="12" customHeight="1">
      <c r="A5041" s="747">
        <v>9</v>
      </c>
      <c r="B5041" s="523" t="s">
        <v>329</v>
      </c>
      <c r="C5041" s="748"/>
      <c r="D5041" s="749" t="s">
        <v>1839</v>
      </c>
      <c r="E5041" s="750">
        <f>IF(AND($A5041=0,$A$1="DIF"),0, ROUND(ROUND(($R5045*$S$2+($T5045*$T$2))/A5041,2)*$C$2,2))</f>
        <v>67.38</v>
      </c>
      <c r="F5041" s="751">
        <f>ROUND($A5041*$E5041,2)</f>
        <v>606.41999999999996</v>
      </c>
      <c r="G5041" s="752" t="s">
        <v>142</v>
      </c>
      <c r="H5041" s="753"/>
      <c r="I5041" s="754"/>
      <c r="J5041" s="753"/>
      <c r="K5041" s="753" t="s">
        <v>3</v>
      </c>
      <c r="L5041" s="755" t="s">
        <v>143</v>
      </c>
      <c r="M5041" s="755"/>
      <c r="N5041" s="755"/>
      <c r="O5041" s="755"/>
      <c r="P5041" s="755"/>
      <c r="Q5041" s="51"/>
      <c r="T5041" s="756" t="str">
        <f>IF(AND($R5045=0,$T5045=0),"0.00","mu :" &amp; ROUND($F5041/$C$2/($R5045+$T5045*$D$9),2))</f>
        <v>mu :1.23</v>
      </c>
      <c r="W5041" s="524"/>
      <c r="AG5041" s="481">
        <f>IF($E5041=0,0,ROUND($R5045*$S$2*$C$2/$A5041,2))</f>
        <v>67.38</v>
      </c>
      <c r="AH5041" s="481">
        <f>$AG5041*$A5041</f>
        <v>606.41999999999996</v>
      </c>
      <c r="AI5041" s="525">
        <f>$E5041-$AG5041</f>
        <v>0</v>
      </c>
      <c r="AJ5041" s="525">
        <f>$A5041*$AI5041</f>
        <v>0</v>
      </c>
      <c r="AK5041" s="526">
        <f>ROUND(($AG5041+$AI5041)*$A5041,2)</f>
        <v>606.41999999999996</v>
      </c>
      <c r="AM5041" s="527">
        <f>ROUND(R5045,2)</f>
        <v>492.48</v>
      </c>
      <c r="AN5041" s="528">
        <f>ROUND(T5045,2)</f>
        <v>0</v>
      </c>
      <c r="AO5041" s="529">
        <f>ROUND(AM5041+AN5041,2)*A5041</f>
        <v>4432.32</v>
      </c>
      <c r="AR5041" s="747">
        <v>7</v>
      </c>
      <c r="AS5041" s="751">
        <v>471.66</v>
      </c>
    </row>
    <row r="5042" spans="1:45" s="520" customFormat="1" ht="13.2">
      <c r="A5042" s="748"/>
      <c r="B5042"/>
      <c r="C5042" s="748"/>
      <c r="D5042" s="749" t="s">
        <v>872</v>
      </c>
      <c r="F5042" s="753"/>
      <c r="G5042" s="3"/>
      <c r="H5042" s="753"/>
      <c r="I5042" s="754"/>
      <c r="J5042" s="753"/>
      <c r="K5042" s="753" t="s">
        <v>144</v>
      </c>
      <c r="L5042" s="753"/>
      <c r="M5042" s="753"/>
      <c r="N5042" s="753"/>
      <c r="O5042" s="753"/>
      <c r="P5042" s="753"/>
      <c r="Q5042" s="51"/>
      <c r="R5042" s="530"/>
      <c r="S5042" s="757"/>
      <c r="T5042" s="753"/>
      <c r="AR5042" s="748"/>
      <c r="AS5042" s="753"/>
    </row>
    <row r="5043" spans="1:45" s="901" customFormat="1" ht="13.2">
      <c r="A5043" s="116">
        <v>9</v>
      </c>
      <c r="B5043" s="901" t="s">
        <v>141</v>
      </c>
      <c r="D5043" s="901" t="s">
        <v>3074</v>
      </c>
      <c r="E5043" s="1054" t="s">
        <v>3083</v>
      </c>
      <c r="F5043" s="1054" t="s">
        <v>3087</v>
      </c>
      <c r="G5043" s="941" t="s">
        <v>3075</v>
      </c>
      <c r="H5043" s="942">
        <v>835</v>
      </c>
      <c r="I5043" s="901" t="s">
        <v>2607</v>
      </c>
      <c r="O5043" s="943">
        <v>3</v>
      </c>
      <c r="P5043" s="944"/>
      <c r="Q5043" s="945">
        <v>54.72</v>
      </c>
      <c r="R5043" s="946">
        <f>$A5043*Q5043</f>
        <v>492.48</v>
      </c>
      <c r="S5043" s="945"/>
      <c r="T5043" s="947">
        <f>$A5043*S5043*$T$1</f>
        <v>0</v>
      </c>
      <c r="AR5043" s="116">
        <v>7</v>
      </c>
      <c r="AS5043" s="1054" t="s">
        <v>3087</v>
      </c>
    </row>
    <row r="5044" spans="1:45" s="520" customFormat="1" ht="12">
      <c r="A5044" s="758"/>
      <c r="B5044" s="758"/>
      <c r="C5044" s="758"/>
      <c r="D5044" s="758"/>
      <c r="E5044" s="758"/>
      <c r="F5044" s="753"/>
      <c r="G5044" s="758"/>
      <c r="H5044" s="758"/>
      <c r="I5044" s="519"/>
      <c r="J5044" s="758"/>
      <c r="K5044" s="758"/>
      <c r="L5044" s="758"/>
      <c r="M5044" s="758"/>
      <c r="N5044" s="758"/>
      <c r="O5044" s="758"/>
      <c r="P5044" s="758"/>
      <c r="Q5044" s="519"/>
      <c r="R5044" s="759">
        <f t="shared" ref="R5044" si="162">$A5044*Q5044</f>
        <v>0</v>
      </c>
      <c r="S5044" s="519"/>
      <c r="T5044" s="760">
        <f t="shared" ref="T5044" si="163">$A5044*S5044*$T$1</f>
        <v>0</v>
      </c>
      <c r="AR5044" s="758"/>
      <c r="AS5044" s="753"/>
    </row>
    <row r="5045" spans="1:45" s="520" customFormat="1" ht="12.6" thickBot="1">
      <c r="A5045" s="761" t="s">
        <v>145</v>
      </c>
      <c r="B5045" s="762">
        <f>(R5044+T5044)</f>
        <v>0</v>
      </c>
      <c r="C5045" s="763"/>
      <c r="D5045" s="763"/>
      <c r="E5045" s="763"/>
      <c r="F5045" s="764"/>
      <c r="G5045" s="763" t="s">
        <v>146</v>
      </c>
      <c r="H5045" s="763"/>
      <c r="I5045" s="765"/>
      <c r="J5045" s="763"/>
      <c r="K5045" s="763" t="s">
        <v>3</v>
      </c>
      <c r="L5045" s="766" t="s">
        <v>143</v>
      </c>
      <c r="M5045" s="766"/>
      <c r="N5045" s="766"/>
      <c r="O5045" s="766"/>
      <c r="P5045" s="766"/>
      <c r="Q5045" s="767"/>
      <c r="R5045" s="768">
        <f>SUM(R5042:R5044)</f>
        <v>492.48</v>
      </c>
      <c r="S5045" s="763"/>
      <c r="T5045" s="768">
        <f>SUM(T5042:T5044)</f>
        <v>0</v>
      </c>
      <c r="U5045" s="531"/>
      <c r="V5045" s="531"/>
      <c r="W5045" s="531"/>
      <c r="X5045" s="531"/>
      <c r="Y5045" s="531"/>
      <c r="Z5045" s="531"/>
      <c r="AA5045" s="531"/>
      <c r="AB5045" s="531"/>
      <c r="AC5045" s="531"/>
      <c r="AD5045" s="531"/>
      <c r="AE5045" s="531"/>
      <c r="AF5045" s="531"/>
      <c r="AG5045" s="531"/>
      <c r="AH5045" s="531"/>
      <c r="AI5045" s="531"/>
      <c r="AJ5045" s="531"/>
      <c r="AK5045" s="531"/>
      <c r="AL5045" s="531"/>
      <c r="AM5045" s="531"/>
      <c r="AN5045" s="531"/>
      <c r="AO5045" s="531"/>
      <c r="AR5045" s="761" t="s">
        <v>145</v>
      </c>
      <c r="AS5045" s="764"/>
    </row>
    <row r="5046" spans="1:45" s="520" customFormat="1" ht="12" thickTop="1">
      <c r="A5046" s="51"/>
      <c r="B5046" s="41"/>
      <c r="C5046" s="51"/>
      <c r="E5046" s="42" t="s">
        <v>138</v>
      </c>
      <c r="F5046" s="42" t="s">
        <v>139</v>
      </c>
      <c r="G5046" s="51"/>
      <c r="H5046" s="51"/>
      <c r="I5046" s="51"/>
      <c r="J5046" s="51"/>
      <c r="K5046" s="51" t="s">
        <v>140</v>
      </c>
      <c r="L5046" s="51"/>
      <c r="M5046" s="51"/>
      <c r="N5046" s="51"/>
      <c r="O5046" s="52"/>
      <c r="P5046" s="51"/>
      <c r="Q5046" s="51"/>
      <c r="R5046" s="51"/>
      <c r="S5046" s="51"/>
      <c r="T5046" s="41"/>
      <c r="AG5046" s="521" t="s">
        <v>268</v>
      </c>
      <c r="AH5046" s="521" t="s">
        <v>269</v>
      </c>
      <c r="AI5046" s="521" t="s">
        <v>270</v>
      </c>
      <c r="AJ5046" s="521" t="s">
        <v>271</v>
      </c>
      <c r="AK5046" s="521" t="s">
        <v>272</v>
      </c>
      <c r="AM5046" s="745" t="s">
        <v>281</v>
      </c>
      <c r="AN5046" s="746" t="s">
        <v>282</v>
      </c>
      <c r="AO5046" s="522" t="s">
        <v>278</v>
      </c>
      <c r="AR5046" s="51"/>
      <c r="AS5046" s="42" t="s">
        <v>139</v>
      </c>
    </row>
    <row r="5047" spans="1:45" s="520" customFormat="1" ht="12" customHeight="1">
      <c r="A5047" s="747">
        <v>97</v>
      </c>
      <c r="B5047" s="523" t="s">
        <v>329</v>
      </c>
      <c r="C5047" s="748"/>
      <c r="D5047" s="749" t="s">
        <v>1840</v>
      </c>
      <c r="E5047" s="750">
        <f>IF(AND($A5047=0,$A$1="DIF"),0, ROUND(ROUND(($R5051*$S$2+($T5051*$T$2))/A5047,2)*$C$2,2))</f>
        <v>40.14</v>
      </c>
      <c r="F5047" s="751">
        <f>ROUND($A5047*$E5047,2)</f>
        <v>3893.58</v>
      </c>
      <c r="G5047" s="752" t="s">
        <v>142</v>
      </c>
      <c r="H5047" s="753"/>
      <c r="I5047" s="754"/>
      <c r="J5047" s="753"/>
      <c r="K5047" s="753" t="s">
        <v>3</v>
      </c>
      <c r="L5047" s="755" t="s">
        <v>143</v>
      </c>
      <c r="M5047" s="755"/>
      <c r="N5047" s="755"/>
      <c r="O5047" s="755"/>
      <c r="P5047" s="755"/>
      <c r="Q5047" s="51"/>
      <c r="T5047" s="756" t="str">
        <f>IF(AND($R5051=0,$T5051=0),"0.00","mu :" &amp; ROUND($F5047/$C$2/($R5051+$T5051*$D$9),2))</f>
        <v>mu :1.23</v>
      </c>
      <c r="W5047" s="524"/>
      <c r="AG5047" s="481">
        <f>IF($E5047=0,0,ROUND($R5051*$S$2*$C$2/$A5047,2))</f>
        <v>40.14</v>
      </c>
      <c r="AH5047" s="481">
        <f>$AG5047*$A5047</f>
        <v>3893.58</v>
      </c>
      <c r="AI5047" s="525">
        <f>$E5047-$AG5047</f>
        <v>0</v>
      </c>
      <c r="AJ5047" s="525">
        <f>$A5047*$AI5047</f>
        <v>0</v>
      </c>
      <c r="AK5047" s="526">
        <f>ROUND(($AG5047+$AI5047)*$A5047,2)</f>
        <v>3893.58</v>
      </c>
      <c r="AM5047" s="527">
        <f>ROUND(R5051,2)</f>
        <v>3162.2</v>
      </c>
      <c r="AN5047" s="528">
        <f>ROUND(T5051,2)</f>
        <v>0</v>
      </c>
      <c r="AO5047" s="529">
        <f>ROUND(AM5047+AN5047,2)*A5047</f>
        <v>306733.39999999997</v>
      </c>
      <c r="AR5047" s="747">
        <v>97</v>
      </c>
      <c r="AS5047" s="751">
        <v>3893.58</v>
      </c>
    </row>
    <row r="5048" spans="1:45" s="520" customFormat="1" ht="13.2">
      <c r="A5048" s="748"/>
      <c r="B5048"/>
      <c r="C5048" s="748"/>
      <c r="D5048" s="749" t="s">
        <v>873</v>
      </c>
      <c r="F5048" s="753"/>
      <c r="G5048" s="3"/>
      <c r="H5048" s="753"/>
      <c r="I5048" s="754"/>
      <c r="J5048" s="753"/>
      <c r="K5048" s="753" t="s">
        <v>144</v>
      </c>
      <c r="L5048" s="753"/>
      <c r="M5048" s="753"/>
      <c r="N5048" s="753"/>
      <c r="O5048" s="753"/>
      <c r="P5048" s="753"/>
      <c r="Q5048" s="51"/>
      <c r="R5048" s="530"/>
      <c r="S5048" s="757"/>
      <c r="T5048" s="753"/>
      <c r="AR5048" s="748"/>
      <c r="AS5048" s="753"/>
    </row>
    <row r="5049" spans="1:45" s="901" customFormat="1" ht="13.2">
      <c r="A5049" s="116">
        <v>97</v>
      </c>
      <c r="B5049" s="901" t="s">
        <v>141</v>
      </c>
      <c r="D5049" s="901" t="s">
        <v>3076</v>
      </c>
      <c r="E5049" s="1054" t="s">
        <v>3083</v>
      </c>
      <c r="F5049" s="1054" t="s">
        <v>3088</v>
      </c>
      <c r="G5049" s="941" t="s">
        <v>3077</v>
      </c>
      <c r="H5049" s="942">
        <v>835</v>
      </c>
      <c r="I5049" s="901" t="s">
        <v>2607</v>
      </c>
      <c r="O5049" s="943">
        <v>3</v>
      </c>
      <c r="P5049" s="944"/>
      <c r="Q5049" s="945">
        <v>32.6</v>
      </c>
      <c r="R5049" s="946">
        <f>$A5049*Q5049</f>
        <v>3162.2000000000003</v>
      </c>
      <c r="S5049" s="945"/>
      <c r="T5049" s="947">
        <f>$A5049*S5049*$T$1</f>
        <v>0</v>
      </c>
      <c r="AR5049" s="116">
        <v>97</v>
      </c>
      <c r="AS5049" s="1054" t="s">
        <v>3088</v>
      </c>
    </row>
    <row r="5050" spans="1:45" s="520" customFormat="1" ht="12">
      <c r="A5050" s="758"/>
      <c r="B5050" s="758"/>
      <c r="C5050" s="758"/>
      <c r="D5050" s="758"/>
      <c r="E5050" s="758"/>
      <c r="F5050" s="753"/>
      <c r="G5050" s="758"/>
      <c r="H5050" s="758"/>
      <c r="I5050" s="519"/>
      <c r="J5050" s="758"/>
      <c r="K5050" s="758"/>
      <c r="L5050" s="758"/>
      <c r="M5050" s="758"/>
      <c r="N5050" s="758"/>
      <c r="O5050" s="758"/>
      <c r="P5050" s="758"/>
      <c r="Q5050" s="519"/>
      <c r="R5050" s="759">
        <f t="shared" ref="R5050" si="164">$A5050*Q5050</f>
        <v>0</v>
      </c>
      <c r="S5050" s="519"/>
      <c r="T5050" s="760">
        <f t="shared" ref="T5050" si="165">$A5050*S5050*$T$1</f>
        <v>0</v>
      </c>
      <c r="AR5050" s="758"/>
      <c r="AS5050" s="753"/>
    </row>
    <row r="5051" spans="1:45" s="520" customFormat="1" ht="12.6" thickBot="1">
      <c r="A5051" s="761" t="s">
        <v>145</v>
      </c>
      <c r="B5051" s="762">
        <f>(R5050+T5050)</f>
        <v>0</v>
      </c>
      <c r="C5051" s="763"/>
      <c r="D5051" s="763"/>
      <c r="E5051" s="763"/>
      <c r="F5051" s="764"/>
      <c r="G5051" s="763" t="s">
        <v>146</v>
      </c>
      <c r="H5051" s="763"/>
      <c r="I5051" s="765"/>
      <c r="J5051" s="763"/>
      <c r="K5051" s="763" t="s">
        <v>3</v>
      </c>
      <c r="L5051" s="766" t="s">
        <v>143</v>
      </c>
      <c r="M5051" s="766"/>
      <c r="N5051" s="766"/>
      <c r="O5051" s="766"/>
      <c r="P5051" s="766"/>
      <c r="Q5051" s="767"/>
      <c r="R5051" s="768">
        <f>SUM(R5048:R5050)</f>
        <v>3162.2000000000003</v>
      </c>
      <c r="S5051" s="763"/>
      <c r="T5051" s="768">
        <f>SUM(T5048:T5050)</f>
        <v>0</v>
      </c>
      <c r="U5051" s="531"/>
      <c r="V5051" s="531"/>
      <c r="W5051" s="531"/>
      <c r="X5051" s="531"/>
      <c r="Y5051" s="531"/>
      <c r="Z5051" s="531"/>
      <c r="AA5051" s="531"/>
      <c r="AB5051" s="531"/>
      <c r="AC5051" s="531"/>
      <c r="AD5051" s="531"/>
      <c r="AE5051" s="531"/>
      <c r="AF5051" s="531"/>
      <c r="AG5051" s="531"/>
      <c r="AH5051" s="531"/>
      <c r="AI5051" s="531"/>
      <c r="AJ5051" s="531"/>
      <c r="AK5051" s="531"/>
      <c r="AL5051" s="531"/>
      <c r="AM5051" s="531"/>
      <c r="AN5051" s="531"/>
      <c r="AO5051" s="531"/>
      <c r="AR5051" s="761" t="s">
        <v>145</v>
      </c>
      <c r="AS5051" s="764"/>
    </row>
    <row r="5052" spans="1:45" s="520" customFormat="1" ht="12" thickTop="1">
      <c r="A5052" s="51"/>
      <c r="B5052" s="41"/>
      <c r="C5052" s="51"/>
      <c r="E5052" s="42" t="s">
        <v>138</v>
      </c>
      <c r="F5052" s="42" t="s">
        <v>139</v>
      </c>
      <c r="G5052" s="51"/>
      <c r="H5052" s="51"/>
      <c r="I5052" s="51"/>
      <c r="J5052" s="51"/>
      <c r="K5052" s="51" t="s">
        <v>140</v>
      </c>
      <c r="L5052" s="51"/>
      <c r="M5052" s="51"/>
      <c r="N5052" s="51"/>
      <c r="O5052" s="52"/>
      <c r="P5052" s="51"/>
      <c r="Q5052" s="51"/>
      <c r="R5052" s="51"/>
      <c r="S5052" s="51"/>
      <c r="T5052" s="41"/>
      <c r="AG5052" s="521" t="s">
        <v>268</v>
      </c>
      <c r="AH5052" s="521" t="s">
        <v>269</v>
      </c>
      <c r="AI5052" s="521" t="s">
        <v>270</v>
      </c>
      <c r="AJ5052" s="521" t="s">
        <v>271</v>
      </c>
      <c r="AK5052" s="521" t="s">
        <v>272</v>
      </c>
      <c r="AM5052" s="745" t="s">
        <v>281</v>
      </c>
      <c r="AN5052" s="746" t="s">
        <v>282</v>
      </c>
      <c r="AO5052" s="522" t="s">
        <v>278</v>
      </c>
      <c r="AR5052" s="51"/>
      <c r="AS5052" s="42" t="s">
        <v>139</v>
      </c>
    </row>
    <row r="5053" spans="1:45" s="520" customFormat="1" ht="12" customHeight="1">
      <c r="A5053" s="747">
        <v>14</v>
      </c>
      <c r="B5053" s="523" t="s">
        <v>329</v>
      </c>
      <c r="C5053" s="748"/>
      <c r="D5053" s="749" t="s">
        <v>1841</v>
      </c>
      <c r="E5053" s="750">
        <f>IF(AND($A5053=0,$A$1="DIF"),0, ROUND(ROUND(($R5057*$S$2+($T5057*$T$2))/A5053,2)*$C$2,2))</f>
        <v>67.38</v>
      </c>
      <c r="F5053" s="751">
        <f>ROUND($A5053*$E5053,2)</f>
        <v>943.32</v>
      </c>
      <c r="G5053" s="752" t="s">
        <v>142</v>
      </c>
      <c r="H5053" s="753"/>
      <c r="I5053" s="754"/>
      <c r="J5053" s="753"/>
      <c r="K5053" s="753" t="s">
        <v>3</v>
      </c>
      <c r="L5053" s="755" t="s">
        <v>143</v>
      </c>
      <c r="M5053" s="755"/>
      <c r="N5053" s="755"/>
      <c r="O5053" s="755"/>
      <c r="P5053" s="755"/>
      <c r="Q5053" s="51"/>
      <c r="T5053" s="756" t="str">
        <f>IF(AND($R5057=0,$T5057=0),"0.00","mu :" &amp; ROUND($F5053/$C$2/($R5057+$T5057*$D$9),2))</f>
        <v>mu :1.23</v>
      </c>
      <c r="W5053" s="524"/>
      <c r="AG5053" s="481">
        <f>IF($E5053=0,0,ROUND($R5057*$S$2*$C$2/$A5053,2))</f>
        <v>67.38</v>
      </c>
      <c r="AH5053" s="481">
        <f>$AG5053*$A5053</f>
        <v>943.31999999999994</v>
      </c>
      <c r="AI5053" s="525">
        <f>$E5053-$AG5053</f>
        <v>0</v>
      </c>
      <c r="AJ5053" s="525">
        <f>$A5053*$AI5053</f>
        <v>0</v>
      </c>
      <c r="AK5053" s="526">
        <f>ROUND(($AG5053+$AI5053)*$A5053,2)</f>
        <v>943.32</v>
      </c>
      <c r="AM5053" s="527">
        <f>ROUND(R5057,2)</f>
        <v>766.08</v>
      </c>
      <c r="AN5053" s="528">
        <f>ROUND(T5057,2)</f>
        <v>0</v>
      </c>
      <c r="AO5053" s="529">
        <f>ROUND(AM5053+AN5053,2)*A5053</f>
        <v>10725.12</v>
      </c>
      <c r="AR5053" s="747">
        <v>14</v>
      </c>
      <c r="AS5053" s="751">
        <v>943.32</v>
      </c>
    </row>
    <row r="5054" spans="1:45" s="520" customFormat="1" ht="13.2">
      <c r="A5054" s="748"/>
      <c r="B5054"/>
      <c r="C5054" s="748"/>
      <c r="D5054" s="749" t="s">
        <v>874</v>
      </c>
      <c r="F5054" s="753"/>
      <c r="G5054" s="3"/>
      <c r="H5054" s="753"/>
      <c r="I5054" s="754"/>
      <c r="J5054" s="753"/>
      <c r="K5054" s="753" t="s">
        <v>144</v>
      </c>
      <c r="L5054" s="753"/>
      <c r="M5054" s="753"/>
      <c r="N5054" s="753"/>
      <c r="O5054" s="753"/>
      <c r="P5054" s="753"/>
      <c r="Q5054" s="51"/>
      <c r="R5054" s="530"/>
      <c r="S5054" s="757"/>
      <c r="T5054" s="753"/>
      <c r="AR5054" s="748"/>
      <c r="AS5054" s="753"/>
    </row>
    <row r="5055" spans="1:45" s="901" customFormat="1" ht="13.2">
      <c r="A5055" s="116">
        <v>14</v>
      </c>
      <c r="B5055" s="901" t="s">
        <v>141</v>
      </c>
      <c r="D5055" s="901" t="s">
        <v>3078</v>
      </c>
      <c r="E5055" s="1054" t="s">
        <v>3083</v>
      </c>
      <c r="F5055" s="1054" t="s">
        <v>3089</v>
      </c>
      <c r="G5055" s="941" t="s">
        <v>3079</v>
      </c>
      <c r="H5055" s="942">
        <v>835</v>
      </c>
      <c r="I5055" s="901" t="s">
        <v>2607</v>
      </c>
      <c r="O5055" s="943">
        <v>3</v>
      </c>
      <c r="P5055" s="944"/>
      <c r="Q5055" s="945">
        <v>54.72</v>
      </c>
      <c r="R5055" s="946">
        <f>$A5055*Q5055</f>
        <v>766.07999999999993</v>
      </c>
      <c r="S5055" s="945"/>
      <c r="T5055" s="947">
        <f>$A5055*S5055*$T$1</f>
        <v>0</v>
      </c>
      <c r="AR5055" s="116">
        <v>14</v>
      </c>
      <c r="AS5055" s="1054" t="s">
        <v>3089</v>
      </c>
    </row>
    <row r="5056" spans="1:45" s="520" customFormat="1" ht="12">
      <c r="A5056" s="758"/>
      <c r="B5056" s="758"/>
      <c r="C5056" s="758"/>
      <c r="D5056" s="758"/>
      <c r="E5056" s="758"/>
      <c r="F5056" s="753"/>
      <c r="G5056" s="758"/>
      <c r="H5056" s="758"/>
      <c r="I5056" s="519"/>
      <c r="J5056" s="758"/>
      <c r="K5056" s="758"/>
      <c r="L5056" s="758"/>
      <c r="M5056" s="758"/>
      <c r="N5056" s="758"/>
      <c r="O5056" s="758"/>
      <c r="P5056" s="758"/>
      <c r="Q5056" s="519"/>
      <c r="R5056" s="759">
        <f t="shared" ref="R5056" si="166">$A5056*Q5056</f>
        <v>0</v>
      </c>
      <c r="S5056" s="519"/>
      <c r="T5056" s="760">
        <f t="shared" ref="T5056" si="167">$A5056*S5056*$T$1</f>
        <v>0</v>
      </c>
      <c r="AR5056" s="758"/>
      <c r="AS5056" s="753"/>
    </row>
    <row r="5057" spans="1:45" s="520" customFormat="1" ht="12.6" thickBot="1">
      <c r="A5057" s="761" t="s">
        <v>145</v>
      </c>
      <c r="B5057" s="762">
        <f>(R5056+T5056)</f>
        <v>0</v>
      </c>
      <c r="C5057" s="763"/>
      <c r="D5057" s="763"/>
      <c r="E5057" s="763"/>
      <c r="F5057" s="764"/>
      <c r="G5057" s="763" t="s">
        <v>146</v>
      </c>
      <c r="H5057" s="763"/>
      <c r="I5057" s="765"/>
      <c r="J5057" s="763"/>
      <c r="K5057" s="763" t="s">
        <v>3</v>
      </c>
      <c r="L5057" s="766" t="s">
        <v>143</v>
      </c>
      <c r="M5057" s="766"/>
      <c r="N5057" s="766"/>
      <c r="O5057" s="766"/>
      <c r="P5057" s="766"/>
      <c r="Q5057" s="767"/>
      <c r="R5057" s="768">
        <f>SUM(R5054:R5056)</f>
        <v>766.07999999999993</v>
      </c>
      <c r="S5057" s="763"/>
      <c r="T5057" s="768">
        <f>SUM(T5054:T5056)</f>
        <v>0</v>
      </c>
      <c r="U5057" s="531"/>
      <c r="V5057" s="531"/>
      <c r="W5057" s="531"/>
      <c r="X5057" s="531"/>
      <c r="Y5057" s="531"/>
      <c r="Z5057" s="531"/>
      <c r="AA5057" s="531"/>
      <c r="AB5057" s="531"/>
      <c r="AC5057" s="531"/>
      <c r="AD5057" s="531"/>
      <c r="AE5057" s="531"/>
      <c r="AF5057" s="531"/>
      <c r="AG5057" s="531"/>
      <c r="AH5057" s="531"/>
      <c r="AI5057" s="531"/>
      <c r="AJ5057" s="531"/>
      <c r="AK5057" s="531"/>
      <c r="AL5057" s="531"/>
      <c r="AM5057" s="531"/>
      <c r="AN5057" s="531"/>
      <c r="AO5057" s="531"/>
      <c r="AR5057" s="761" t="s">
        <v>145</v>
      </c>
      <c r="AS5057" s="764"/>
    </row>
    <row r="5058" spans="1:45" s="520" customFormat="1" ht="12" thickTop="1">
      <c r="A5058" s="51"/>
      <c r="B5058" s="41"/>
      <c r="C5058" s="51"/>
      <c r="E5058" s="42" t="s">
        <v>138</v>
      </c>
      <c r="F5058" s="42" t="s">
        <v>139</v>
      </c>
      <c r="G5058" s="51"/>
      <c r="H5058" s="51"/>
      <c r="I5058" s="51"/>
      <c r="J5058" s="51"/>
      <c r="K5058" s="51" t="s">
        <v>140</v>
      </c>
      <c r="L5058" s="51"/>
      <c r="M5058" s="51"/>
      <c r="N5058" s="51"/>
      <c r="O5058" s="52"/>
      <c r="P5058" s="51"/>
      <c r="Q5058" s="51"/>
      <c r="R5058" s="51"/>
      <c r="S5058" s="51"/>
      <c r="T5058" s="41"/>
      <c r="AG5058" s="521" t="s">
        <v>268</v>
      </c>
      <c r="AH5058" s="521" t="s">
        <v>269</v>
      </c>
      <c r="AI5058" s="521" t="s">
        <v>270</v>
      </c>
      <c r="AJ5058" s="521" t="s">
        <v>271</v>
      </c>
      <c r="AK5058" s="521" t="s">
        <v>272</v>
      </c>
      <c r="AM5058" s="745" t="s">
        <v>281</v>
      </c>
      <c r="AN5058" s="746" t="s">
        <v>282</v>
      </c>
      <c r="AO5058" s="522" t="s">
        <v>278</v>
      </c>
      <c r="AR5058" s="51"/>
      <c r="AS5058" s="42" t="s">
        <v>139</v>
      </c>
    </row>
    <row r="5059" spans="1:45" s="520" customFormat="1" ht="12" customHeight="1">
      <c r="A5059" s="747">
        <v>31</v>
      </c>
      <c r="B5059" s="523" t="s">
        <v>329</v>
      </c>
      <c r="C5059" s="748"/>
      <c r="D5059" s="749" t="s">
        <v>1842</v>
      </c>
      <c r="E5059" s="750">
        <f>IF(AND($A5059=0,$A$1="DIF"),0, ROUND(ROUND(($R5063*$S$2+($T5063*$T$2))/A5059,2)*$C$2,2))</f>
        <v>51.46</v>
      </c>
      <c r="F5059" s="751">
        <f>ROUND($A5059*$E5059,2)</f>
        <v>1595.26</v>
      </c>
      <c r="G5059" s="752" t="s">
        <v>142</v>
      </c>
      <c r="H5059" s="753"/>
      <c r="I5059" s="754"/>
      <c r="J5059" s="753"/>
      <c r="K5059" s="753" t="s">
        <v>3</v>
      </c>
      <c r="L5059" s="755" t="s">
        <v>143</v>
      </c>
      <c r="M5059" s="755"/>
      <c r="N5059" s="755"/>
      <c r="O5059" s="755"/>
      <c r="P5059" s="755"/>
      <c r="Q5059" s="51"/>
      <c r="T5059" s="756" t="str">
        <f>IF(AND($R5063=0,$T5063=0),"0.00","mu :" &amp; ROUND($F5059/$C$2/($R5063+$T5063*$D$9),2))</f>
        <v>mu :1.23</v>
      </c>
      <c r="W5059" s="524"/>
      <c r="AG5059" s="481">
        <f>IF($E5059=0,0,ROUND($R5063*$S$2*$C$2/$A5059,2))</f>
        <v>51.46</v>
      </c>
      <c r="AH5059" s="481">
        <f>$AG5059*$A5059</f>
        <v>1595.26</v>
      </c>
      <c r="AI5059" s="525">
        <f>$E5059-$AG5059</f>
        <v>0</v>
      </c>
      <c r="AJ5059" s="525">
        <f>$A5059*$AI5059</f>
        <v>0</v>
      </c>
      <c r="AK5059" s="526">
        <f>ROUND(($AG5059+$AI5059)*$A5059,2)</f>
        <v>1595.26</v>
      </c>
      <c r="AM5059" s="527">
        <f>ROUND(R5063,2)</f>
        <v>1295.49</v>
      </c>
      <c r="AN5059" s="528">
        <f>ROUND(T5063,2)</f>
        <v>0</v>
      </c>
      <c r="AO5059" s="529">
        <f>ROUND(AM5059+AN5059,2)*A5059</f>
        <v>40160.19</v>
      </c>
      <c r="AR5059" s="747">
        <v>32</v>
      </c>
      <c r="AS5059" s="751">
        <v>1646.72</v>
      </c>
    </row>
    <row r="5060" spans="1:45" s="520" customFormat="1" ht="13.2">
      <c r="A5060" s="748"/>
      <c r="B5060"/>
      <c r="C5060" s="748"/>
      <c r="D5060" s="749" t="s">
        <v>875</v>
      </c>
      <c r="F5060" s="753"/>
      <c r="G5060" s="3"/>
      <c r="H5060" s="753"/>
      <c r="I5060" s="754"/>
      <c r="J5060" s="753"/>
      <c r="K5060" s="753" t="s">
        <v>144</v>
      </c>
      <c r="L5060" s="753"/>
      <c r="M5060" s="753"/>
      <c r="N5060" s="753"/>
      <c r="O5060" s="753"/>
      <c r="P5060" s="753"/>
      <c r="Q5060" s="51"/>
      <c r="R5060" s="530"/>
      <c r="S5060" s="757"/>
      <c r="T5060" s="753"/>
      <c r="AR5060" s="748"/>
      <c r="AS5060" s="753"/>
    </row>
    <row r="5061" spans="1:45" s="901" customFormat="1" ht="13.2">
      <c r="A5061" s="116">
        <v>31</v>
      </c>
      <c r="B5061" s="901" t="s">
        <v>141</v>
      </c>
      <c r="D5061" s="901" t="s">
        <v>3080</v>
      </c>
      <c r="E5061" s="1054" t="s">
        <v>3083</v>
      </c>
      <c r="F5061" s="1054" t="s">
        <v>3090</v>
      </c>
      <c r="G5061" s="941" t="s">
        <v>3081</v>
      </c>
      <c r="H5061" s="942">
        <v>835</v>
      </c>
      <c r="I5061" s="901" t="s">
        <v>2607</v>
      </c>
      <c r="O5061" s="943">
        <v>3</v>
      </c>
      <c r="P5061" s="944"/>
      <c r="Q5061" s="945">
        <v>41.79</v>
      </c>
      <c r="R5061" s="946">
        <f>$A5061*Q5061</f>
        <v>1295.49</v>
      </c>
      <c r="S5061" s="945"/>
      <c r="T5061" s="947">
        <f>$A5061*S5061*$T$1</f>
        <v>0</v>
      </c>
      <c r="AR5061" s="116">
        <v>32</v>
      </c>
      <c r="AS5061" s="1054" t="s">
        <v>3090</v>
      </c>
    </row>
    <row r="5062" spans="1:45" s="520" customFormat="1" ht="12">
      <c r="A5062" s="758"/>
      <c r="B5062" s="758"/>
      <c r="C5062" s="758"/>
      <c r="D5062" s="758"/>
      <c r="E5062" s="758"/>
      <c r="F5062" s="753"/>
      <c r="G5062" s="758"/>
      <c r="H5062" s="758"/>
      <c r="I5062" s="519"/>
      <c r="J5062" s="758"/>
      <c r="K5062" s="758"/>
      <c r="L5062" s="758"/>
      <c r="M5062" s="758"/>
      <c r="N5062" s="758"/>
      <c r="O5062" s="758"/>
      <c r="P5062" s="758"/>
      <c r="Q5062" s="519"/>
      <c r="R5062" s="759">
        <f t="shared" ref="R5062" si="168">$A5062*Q5062</f>
        <v>0</v>
      </c>
      <c r="S5062" s="519"/>
      <c r="T5062" s="760">
        <f t="shared" ref="T5062" si="169">$A5062*S5062*$T$1</f>
        <v>0</v>
      </c>
      <c r="AR5062" s="758"/>
      <c r="AS5062" s="753"/>
    </row>
    <row r="5063" spans="1:45" s="520" customFormat="1" ht="12.6" thickBot="1">
      <c r="A5063" s="761" t="s">
        <v>145</v>
      </c>
      <c r="B5063" s="762">
        <f>(R5062+T5062)</f>
        <v>0</v>
      </c>
      <c r="C5063" s="763"/>
      <c r="D5063" s="763"/>
      <c r="E5063" s="763"/>
      <c r="F5063" s="764"/>
      <c r="G5063" s="763" t="s">
        <v>146</v>
      </c>
      <c r="H5063" s="763"/>
      <c r="I5063" s="765"/>
      <c r="J5063" s="763"/>
      <c r="K5063" s="763" t="s">
        <v>3</v>
      </c>
      <c r="L5063" s="766" t="s">
        <v>143</v>
      </c>
      <c r="M5063" s="766"/>
      <c r="N5063" s="766"/>
      <c r="O5063" s="766"/>
      <c r="P5063" s="766"/>
      <c r="Q5063" s="767"/>
      <c r="R5063" s="768">
        <f>SUM(R5060:R5062)</f>
        <v>1295.49</v>
      </c>
      <c r="S5063" s="763"/>
      <c r="T5063" s="768">
        <f>SUM(T5060:T5062)</f>
        <v>0</v>
      </c>
      <c r="U5063" s="531"/>
      <c r="V5063" s="531"/>
      <c r="W5063" s="531"/>
      <c r="X5063" s="531"/>
      <c r="Y5063" s="531"/>
      <c r="Z5063" s="531"/>
      <c r="AA5063" s="531"/>
      <c r="AB5063" s="531"/>
      <c r="AC5063" s="531"/>
      <c r="AD5063" s="531"/>
      <c r="AE5063" s="531"/>
      <c r="AF5063" s="531"/>
      <c r="AG5063" s="531"/>
      <c r="AH5063" s="531"/>
      <c r="AI5063" s="531"/>
      <c r="AJ5063" s="531"/>
      <c r="AK5063" s="531"/>
      <c r="AL5063" s="531"/>
      <c r="AM5063" s="531"/>
      <c r="AN5063" s="531"/>
      <c r="AO5063" s="531"/>
      <c r="AR5063" s="761" t="s">
        <v>145</v>
      </c>
      <c r="AS5063" s="764"/>
    </row>
    <row r="5064" spans="1:45" s="520" customFormat="1" thickTop="1">
      <c r="A5064" s="51"/>
      <c r="B5064" s="51"/>
      <c r="C5064" s="3"/>
      <c r="D5064" s="3"/>
      <c r="E5064" s="51"/>
      <c r="F5064" s="51"/>
      <c r="G5064" s="51"/>
      <c r="H5064" s="51"/>
      <c r="I5064" s="51"/>
      <c r="J5064" s="51"/>
      <c r="K5064" s="51" t="s">
        <v>134</v>
      </c>
      <c r="L5064" s="51"/>
      <c r="M5064" s="51"/>
      <c r="N5064" s="51"/>
      <c r="O5064" s="52"/>
      <c r="P5064" s="51"/>
      <c r="Q5064" s="51"/>
      <c r="R5064" s="51"/>
      <c r="S5064" s="51"/>
      <c r="T5064" s="51"/>
      <c r="AR5064" s="51"/>
      <c r="AS5064" s="51"/>
    </row>
    <row r="5065" spans="1:45" s="520" customFormat="1" ht="12">
      <c r="A5065" s="51"/>
      <c r="B5065" s="51"/>
      <c r="C5065" s="51" t="s">
        <v>135</v>
      </c>
      <c r="D5065" s="37"/>
      <c r="E5065" s="51"/>
      <c r="F5065" s="51"/>
      <c r="G5065" s="51"/>
      <c r="H5065" s="51"/>
      <c r="I5065" s="51"/>
      <c r="J5065" s="51"/>
      <c r="K5065" s="51"/>
      <c r="L5065" s="51"/>
      <c r="M5065" s="51"/>
      <c r="N5065" s="51"/>
      <c r="O5065" s="52"/>
      <c r="P5065" s="51"/>
      <c r="Q5065" s="51"/>
      <c r="R5065" s="51"/>
      <c r="S5065" s="51"/>
      <c r="T5065" s="51"/>
      <c r="AR5065" s="51"/>
      <c r="AS5065" s="51"/>
    </row>
    <row r="5066" spans="1:45" s="520" customFormat="1" ht="12">
      <c r="A5066" s="51"/>
      <c r="B5066" s="51"/>
      <c r="C5066" s="51"/>
      <c r="D5066" s="37" t="s">
        <v>347</v>
      </c>
      <c r="E5066" s="51"/>
      <c r="F5066" s="51"/>
      <c r="G5066" s="51"/>
      <c r="H5066" s="51"/>
      <c r="I5066" s="51"/>
      <c r="J5066" s="51"/>
      <c r="K5066" s="51"/>
      <c r="L5066" s="51"/>
      <c r="M5066" s="51"/>
      <c r="N5066" s="51"/>
      <c r="O5066" s="52"/>
      <c r="P5066" s="51"/>
      <c r="Q5066" s="51"/>
      <c r="R5066" s="51"/>
      <c r="S5066" s="38"/>
      <c r="T5066" s="38"/>
      <c r="AR5066" s="51"/>
      <c r="AS5066" s="51"/>
    </row>
    <row r="5067" spans="1:45" s="3" customFormat="1" thickBot="1">
      <c r="A5067" s="531"/>
      <c r="O5067" s="107"/>
      <c r="AR5067" s="531"/>
    </row>
    <row r="5068" spans="1:45" s="520" customFormat="1" ht="12" thickTop="1">
      <c r="A5068" s="51"/>
      <c r="B5068" s="41"/>
      <c r="C5068" s="51"/>
      <c r="E5068" s="42" t="s">
        <v>138</v>
      </c>
      <c r="F5068" s="42" t="s">
        <v>139</v>
      </c>
      <c r="G5068" s="51"/>
      <c r="H5068" s="51"/>
      <c r="I5068" s="51"/>
      <c r="J5068" s="51"/>
      <c r="K5068" s="51" t="s">
        <v>140</v>
      </c>
      <c r="L5068" s="51"/>
      <c r="M5068" s="51"/>
      <c r="N5068" s="51"/>
      <c r="O5068" s="52"/>
      <c r="P5068" s="51"/>
      <c r="Q5068" s="51"/>
      <c r="R5068" s="51"/>
      <c r="S5068" s="51"/>
      <c r="T5068" s="41"/>
      <c r="AG5068" s="521" t="s">
        <v>268</v>
      </c>
      <c r="AH5068" s="521" t="s">
        <v>269</v>
      </c>
      <c r="AI5068" s="521" t="s">
        <v>270</v>
      </c>
      <c r="AJ5068" s="521" t="s">
        <v>271</v>
      </c>
      <c r="AK5068" s="521" t="s">
        <v>272</v>
      </c>
      <c r="AM5068" s="745" t="s">
        <v>281</v>
      </c>
      <c r="AN5068" s="746" t="s">
        <v>282</v>
      </c>
      <c r="AO5068" s="522" t="s">
        <v>278</v>
      </c>
      <c r="AR5068" s="51"/>
      <c r="AS5068" s="42" t="s">
        <v>139</v>
      </c>
    </row>
    <row r="5069" spans="1:45" s="520" customFormat="1" ht="12" customHeight="1">
      <c r="A5069" s="747">
        <v>21</v>
      </c>
      <c r="B5069" s="523" t="s">
        <v>329</v>
      </c>
      <c r="C5069" s="748"/>
      <c r="D5069" s="749" t="s">
        <v>1843</v>
      </c>
      <c r="E5069" s="750">
        <f>IF(AND($A5069=0,$A$1="DIF"),0, ROUND(ROUND(($R5073*$S$2+($T5073*$T$2))/A5069,2)*$C$2,2))</f>
        <v>43.84</v>
      </c>
      <c r="F5069" s="751">
        <f>ROUND($A5069*$E5069,2)</f>
        <v>920.64</v>
      </c>
      <c r="G5069" s="752" t="s">
        <v>142</v>
      </c>
      <c r="H5069" s="753"/>
      <c r="I5069" s="754"/>
      <c r="J5069" s="753"/>
      <c r="K5069" s="753" t="s">
        <v>3</v>
      </c>
      <c r="L5069" s="755" t="s">
        <v>143</v>
      </c>
      <c r="M5069" s="755"/>
      <c r="N5069" s="755"/>
      <c r="O5069" s="755"/>
      <c r="P5069" s="755"/>
      <c r="Q5069" s="51"/>
      <c r="T5069" s="756" t="str">
        <f>IF(AND($R5073=0,$T5073=0),"0.00","mu :" &amp; ROUND($F5069/$C$2/($R5073+$T5073*$D$9),2))</f>
        <v>mu :1.23</v>
      </c>
      <c r="W5069" s="524"/>
      <c r="AG5069" s="481">
        <f>IF($E5069=0,0,ROUND($R5073*$S$2*$C$2/$A5069,2))</f>
        <v>43.84</v>
      </c>
      <c r="AH5069" s="481">
        <f>$AG5069*$A5069</f>
        <v>920.6400000000001</v>
      </c>
      <c r="AI5069" s="525">
        <f>$E5069-$AG5069</f>
        <v>0</v>
      </c>
      <c r="AJ5069" s="525">
        <f>$A5069*$AI5069</f>
        <v>0</v>
      </c>
      <c r="AK5069" s="526">
        <f>ROUND(($AG5069+$AI5069)*$A5069,2)</f>
        <v>920.64</v>
      </c>
      <c r="AM5069" s="527">
        <f>ROUND(R5073,2)</f>
        <v>747.6</v>
      </c>
      <c r="AN5069" s="528">
        <f>ROUND(T5073,2)</f>
        <v>0</v>
      </c>
      <c r="AO5069" s="529">
        <f>ROUND(AM5069+AN5069,2)*A5069</f>
        <v>15699.6</v>
      </c>
      <c r="AR5069" s="747">
        <v>21</v>
      </c>
      <c r="AS5069" s="751">
        <v>920.64</v>
      </c>
    </row>
    <row r="5070" spans="1:45" s="520" customFormat="1" ht="13.2">
      <c r="A5070" s="748"/>
      <c r="B5070"/>
      <c r="C5070" s="748"/>
      <c r="D5070" s="749" t="s">
        <v>868</v>
      </c>
      <c r="F5070" s="753"/>
      <c r="G5070" s="3"/>
      <c r="H5070" s="753"/>
      <c r="I5070" s="754"/>
      <c r="J5070" s="753"/>
      <c r="K5070" s="753" t="s">
        <v>144</v>
      </c>
      <c r="L5070" s="753"/>
      <c r="M5070" s="753"/>
      <c r="N5070" s="753"/>
      <c r="O5070" s="753"/>
      <c r="P5070" s="753"/>
      <c r="Q5070" s="51"/>
      <c r="R5070" s="530"/>
      <c r="S5070" s="757"/>
      <c r="T5070" s="753"/>
      <c r="AR5070" s="748"/>
      <c r="AS5070" s="753"/>
    </row>
    <row r="5071" spans="1:45" s="901" customFormat="1" ht="13.2">
      <c r="A5071" s="116">
        <v>21</v>
      </c>
      <c r="B5071" s="901" t="s">
        <v>141</v>
      </c>
      <c r="D5071" s="901" t="s">
        <v>3066</v>
      </c>
      <c r="E5071" s="1054" t="s">
        <v>3083</v>
      </c>
      <c r="F5071" s="1054" t="s">
        <v>3082</v>
      </c>
      <c r="G5071" s="941" t="s">
        <v>3067</v>
      </c>
      <c r="H5071" s="942">
        <v>835</v>
      </c>
      <c r="I5071" s="901" t="s">
        <v>2607</v>
      </c>
      <c r="O5071" s="943">
        <v>3</v>
      </c>
      <c r="P5071" s="944"/>
      <c r="Q5071" s="945">
        <v>35.6</v>
      </c>
      <c r="R5071" s="946">
        <f>$A5071*Q5071</f>
        <v>747.6</v>
      </c>
      <c r="S5071" s="945"/>
      <c r="T5071" s="947">
        <f>$A5071*S5071*$T$1</f>
        <v>0</v>
      </c>
      <c r="AR5071" s="116">
        <v>21</v>
      </c>
      <c r="AS5071" s="1054" t="s">
        <v>3082</v>
      </c>
    </row>
    <row r="5072" spans="1:45" s="520" customFormat="1" ht="12">
      <c r="A5072" s="758"/>
      <c r="B5072" s="758"/>
      <c r="C5072" s="758"/>
      <c r="D5072" s="758"/>
      <c r="E5072" s="758"/>
      <c r="F5072" s="753"/>
      <c r="G5072" s="758"/>
      <c r="H5072" s="758"/>
      <c r="I5072" s="519"/>
      <c r="J5072" s="758"/>
      <c r="K5072" s="758"/>
      <c r="L5072" s="758"/>
      <c r="M5072" s="758"/>
      <c r="N5072" s="758"/>
      <c r="O5072" s="758"/>
      <c r="P5072" s="758"/>
      <c r="Q5072" s="519"/>
      <c r="R5072" s="759">
        <f t="shared" ref="R5072" si="170">$A5072*Q5072</f>
        <v>0</v>
      </c>
      <c r="S5072" s="519"/>
      <c r="T5072" s="760">
        <f t="shared" ref="T5072" si="171">$A5072*S5072*$T$1</f>
        <v>0</v>
      </c>
      <c r="AR5072" s="758"/>
      <c r="AS5072" s="753"/>
    </row>
    <row r="5073" spans="1:45" s="520" customFormat="1" ht="12.6" thickBot="1">
      <c r="A5073" s="761" t="s">
        <v>145</v>
      </c>
      <c r="B5073" s="762">
        <f>(R5072+T5072)</f>
        <v>0</v>
      </c>
      <c r="C5073" s="763"/>
      <c r="D5073" s="763"/>
      <c r="E5073" s="763"/>
      <c r="F5073" s="764"/>
      <c r="G5073" s="763" t="s">
        <v>146</v>
      </c>
      <c r="H5073" s="763"/>
      <c r="I5073" s="765"/>
      <c r="J5073" s="763"/>
      <c r="K5073" s="763" t="s">
        <v>3</v>
      </c>
      <c r="L5073" s="766" t="s">
        <v>143</v>
      </c>
      <c r="M5073" s="766"/>
      <c r="N5073" s="766"/>
      <c r="O5073" s="766"/>
      <c r="P5073" s="766"/>
      <c r="Q5073" s="767"/>
      <c r="R5073" s="768">
        <f>SUM(R5070:R5072)</f>
        <v>747.6</v>
      </c>
      <c r="S5073" s="763"/>
      <c r="T5073" s="768">
        <f>SUM(T5070:T5072)</f>
        <v>0</v>
      </c>
      <c r="U5073" s="531"/>
      <c r="V5073" s="531"/>
      <c r="W5073" s="531"/>
      <c r="X5073" s="531"/>
      <c r="Y5073" s="531"/>
      <c r="Z5073" s="531"/>
      <c r="AA5073" s="531"/>
      <c r="AB5073" s="531"/>
      <c r="AC5073" s="531"/>
      <c r="AD5073" s="531"/>
      <c r="AE5073" s="531"/>
      <c r="AF5073" s="531"/>
      <c r="AG5073" s="531"/>
      <c r="AH5073" s="531"/>
      <c r="AI5073" s="531"/>
      <c r="AJ5073" s="531"/>
      <c r="AK5073" s="531"/>
      <c r="AL5073" s="531"/>
      <c r="AM5073" s="531"/>
      <c r="AN5073" s="531"/>
      <c r="AO5073" s="531"/>
      <c r="AR5073" s="761" t="s">
        <v>145</v>
      </c>
      <c r="AS5073" s="764"/>
    </row>
    <row r="5074" spans="1:45" s="520" customFormat="1" ht="12" thickTop="1">
      <c r="A5074" s="51"/>
      <c r="B5074" s="41"/>
      <c r="C5074" s="51"/>
      <c r="E5074" s="42" t="s">
        <v>138</v>
      </c>
      <c r="F5074" s="42" t="s">
        <v>139</v>
      </c>
      <c r="G5074" s="51"/>
      <c r="H5074" s="51"/>
      <c r="I5074" s="51"/>
      <c r="J5074" s="51"/>
      <c r="K5074" s="51" t="s">
        <v>140</v>
      </c>
      <c r="L5074" s="51"/>
      <c r="M5074" s="51"/>
      <c r="N5074" s="51"/>
      <c r="O5074" s="52"/>
      <c r="P5074" s="51"/>
      <c r="Q5074" s="51"/>
      <c r="R5074" s="51"/>
      <c r="S5074" s="51"/>
      <c r="T5074" s="41"/>
      <c r="AG5074" s="521" t="s">
        <v>268</v>
      </c>
      <c r="AH5074" s="521" t="s">
        <v>269</v>
      </c>
      <c r="AI5074" s="521" t="s">
        <v>270</v>
      </c>
      <c r="AJ5074" s="521" t="s">
        <v>271</v>
      </c>
      <c r="AK5074" s="521" t="s">
        <v>272</v>
      </c>
      <c r="AM5074" s="745" t="s">
        <v>281</v>
      </c>
      <c r="AN5074" s="746" t="s">
        <v>282</v>
      </c>
      <c r="AO5074" s="522" t="s">
        <v>278</v>
      </c>
      <c r="AR5074" s="51"/>
      <c r="AS5074" s="42" t="s">
        <v>139</v>
      </c>
    </row>
    <row r="5075" spans="1:45" s="520" customFormat="1" ht="12" customHeight="1">
      <c r="A5075" s="747">
        <v>1</v>
      </c>
      <c r="B5075" s="523" t="s">
        <v>329</v>
      </c>
      <c r="C5075" s="748"/>
      <c r="D5075" s="749" t="s">
        <v>1844</v>
      </c>
      <c r="E5075" s="750">
        <f>IF(AND($A5075=0,$A$1="DIF"),0, ROUND(ROUND(($R5079*$S$2+($T5079*$T$2))/A5075,2)*$C$2,2))</f>
        <v>24.63</v>
      </c>
      <c r="F5075" s="751">
        <f>ROUND($A5075*$E5075,2)</f>
        <v>24.63</v>
      </c>
      <c r="G5075" s="752" t="s">
        <v>142</v>
      </c>
      <c r="H5075" s="753"/>
      <c r="I5075" s="754"/>
      <c r="J5075" s="753"/>
      <c r="K5075" s="753" t="s">
        <v>3</v>
      </c>
      <c r="L5075" s="755" t="s">
        <v>143</v>
      </c>
      <c r="M5075" s="755"/>
      <c r="N5075" s="755"/>
      <c r="O5075" s="755"/>
      <c r="P5075" s="755"/>
      <c r="Q5075" s="51"/>
      <c r="T5075" s="756" t="str">
        <f>IF(AND($R5079=0,$T5079=0),"0.00","mu :" &amp; ROUND($F5075/$C$2/($R5079+$T5079*$D$9),2))</f>
        <v>mu :1.23</v>
      </c>
      <c r="W5075" s="524"/>
      <c r="AG5075" s="481">
        <f>IF($E5075=0,0,ROUND($R5079*$S$2*$C$2/$A5075,2))</f>
        <v>24.63</v>
      </c>
      <c r="AH5075" s="481">
        <f>$AG5075*$A5075</f>
        <v>24.63</v>
      </c>
      <c r="AI5075" s="525">
        <f>$E5075-$AG5075</f>
        <v>0</v>
      </c>
      <c r="AJ5075" s="525">
        <f>$A5075*$AI5075</f>
        <v>0</v>
      </c>
      <c r="AK5075" s="526">
        <f>ROUND(($AG5075+$AI5075)*$A5075,2)</f>
        <v>24.63</v>
      </c>
      <c r="AM5075" s="527">
        <f>ROUND(R5079,2)</f>
        <v>20</v>
      </c>
      <c r="AN5075" s="528">
        <f>ROUND(T5079,2)</f>
        <v>0</v>
      </c>
      <c r="AO5075" s="529">
        <f>ROUND(AM5075+AN5075,2)*A5075</f>
        <v>20</v>
      </c>
      <c r="AR5075" s="747">
        <v>1</v>
      </c>
      <c r="AS5075" s="751">
        <v>24.63</v>
      </c>
    </row>
    <row r="5076" spans="1:45" s="520" customFormat="1" ht="13.2">
      <c r="A5076" s="748"/>
      <c r="B5076"/>
      <c r="C5076" s="748"/>
      <c r="D5076" s="749" t="s">
        <v>876</v>
      </c>
      <c r="F5076" s="753"/>
      <c r="G5076" s="3"/>
      <c r="H5076" s="753"/>
      <c r="I5076" s="754"/>
      <c r="J5076" s="753"/>
      <c r="K5076" s="753" t="s">
        <v>144</v>
      </c>
      <c r="L5076" s="753"/>
      <c r="M5076" s="753"/>
      <c r="N5076" s="753"/>
      <c r="O5076" s="753"/>
      <c r="P5076" s="753"/>
      <c r="Q5076" s="51"/>
      <c r="R5076" s="530"/>
      <c r="S5076" s="757"/>
      <c r="T5076" s="753"/>
      <c r="AR5076" s="748"/>
      <c r="AS5076" s="753"/>
    </row>
    <row r="5077" spans="1:45" s="901" customFormat="1" ht="13.2">
      <c r="A5077" s="116">
        <v>1</v>
      </c>
      <c r="B5077" s="901" t="s">
        <v>141</v>
      </c>
      <c r="D5077" s="901" t="s">
        <v>3066</v>
      </c>
      <c r="E5077" s="1054" t="s">
        <v>3083</v>
      </c>
      <c r="F5077" s="1054" t="s">
        <v>3091</v>
      </c>
      <c r="G5077" s="941" t="s">
        <v>3067</v>
      </c>
      <c r="H5077" s="942">
        <v>835</v>
      </c>
      <c r="I5077" s="901" t="s">
        <v>2607</v>
      </c>
      <c r="O5077" s="943">
        <v>3</v>
      </c>
      <c r="P5077" s="944"/>
      <c r="Q5077" s="945">
        <v>20</v>
      </c>
      <c r="R5077" s="946">
        <f>$A5077*Q5077</f>
        <v>20</v>
      </c>
      <c r="S5077" s="945"/>
      <c r="T5077" s="947">
        <f>$A5077*S5077*$T$1</f>
        <v>0</v>
      </c>
      <c r="AR5077" s="116">
        <v>1</v>
      </c>
      <c r="AS5077" s="1054" t="s">
        <v>3091</v>
      </c>
    </row>
    <row r="5078" spans="1:45" s="520" customFormat="1" ht="12">
      <c r="A5078" s="758"/>
      <c r="B5078" s="758"/>
      <c r="C5078" s="758"/>
      <c r="D5078" s="758"/>
      <c r="E5078" s="758"/>
      <c r="F5078" s="753"/>
      <c r="G5078" s="758"/>
      <c r="H5078" s="758"/>
      <c r="I5078" s="519"/>
      <c r="J5078" s="758"/>
      <c r="K5078" s="758"/>
      <c r="L5078" s="758"/>
      <c r="M5078" s="758"/>
      <c r="N5078" s="758"/>
      <c r="O5078" s="758"/>
      <c r="P5078" s="758"/>
      <c r="Q5078" s="519"/>
      <c r="R5078" s="759">
        <f t="shared" ref="R5078" si="172">$A5078*Q5078</f>
        <v>0</v>
      </c>
      <c r="S5078" s="519"/>
      <c r="T5078" s="760">
        <f t="shared" ref="T5078" si="173">$A5078*S5078*$T$1</f>
        <v>0</v>
      </c>
      <c r="AR5078" s="758"/>
      <c r="AS5078" s="753"/>
    </row>
    <row r="5079" spans="1:45" s="520" customFormat="1" ht="12.6" thickBot="1">
      <c r="A5079" s="761" t="s">
        <v>145</v>
      </c>
      <c r="B5079" s="762">
        <f>(R5078+T5078)</f>
        <v>0</v>
      </c>
      <c r="C5079" s="763"/>
      <c r="D5079" s="763"/>
      <c r="E5079" s="763"/>
      <c r="F5079" s="764"/>
      <c r="G5079" s="763" t="s">
        <v>146</v>
      </c>
      <c r="H5079" s="763"/>
      <c r="I5079" s="765"/>
      <c r="J5079" s="763"/>
      <c r="K5079" s="763" t="s">
        <v>3</v>
      </c>
      <c r="L5079" s="766" t="s">
        <v>143</v>
      </c>
      <c r="M5079" s="766"/>
      <c r="N5079" s="766"/>
      <c r="O5079" s="766"/>
      <c r="P5079" s="766"/>
      <c r="Q5079" s="767"/>
      <c r="R5079" s="768">
        <f>SUM(R5076:R5078)</f>
        <v>20</v>
      </c>
      <c r="S5079" s="763"/>
      <c r="T5079" s="768">
        <f>SUM(T5076:T5078)</f>
        <v>0</v>
      </c>
      <c r="U5079" s="531"/>
      <c r="V5079" s="531"/>
      <c r="W5079" s="531"/>
      <c r="X5079" s="531"/>
      <c r="Y5079" s="531"/>
      <c r="Z5079" s="531"/>
      <c r="AA5079" s="531"/>
      <c r="AB5079" s="531"/>
      <c r="AC5079" s="531"/>
      <c r="AD5079" s="531"/>
      <c r="AE5079" s="531"/>
      <c r="AF5079" s="531"/>
      <c r="AG5079" s="531"/>
      <c r="AH5079" s="531"/>
      <c r="AI5079" s="531"/>
      <c r="AJ5079" s="531"/>
      <c r="AK5079" s="531"/>
      <c r="AL5079" s="531"/>
      <c r="AM5079" s="531"/>
      <c r="AN5079" s="531"/>
      <c r="AO5079" s="531"/>
      <c r="AR5079" s="761" t="s">
        <v>145</v>
      </c>
      <c r="AS5079" s="764"/>
    </row>
    <row r="5080" spans="1:45" s="520" customFormat="1" ht="12" thickTop="1">
      <c r="A5080" s="51"/>
      <c r="B5080" s="41"/>
      <c r="C5080" s="51"/>
      <c r="E5080" s="42" t="s">
        <v>138</v>
      </c>
      <c r="F5080" s="42" t="s">
        <v>139</v>
      </c>
      <c r="G5080" s="51"/>
      <c r="H5080" s="51"/>
      <c r="I5080" s="51"/>
      <c r="J5080" s="51"/>
      <c r="K5080" s="51" t="s">
        <v>140</v>
      </c>
      <c r="L5080" s="51"/>
      <c r="M5080" s="51"/>
      <c r="N5080" s="51"/>
      <c r="O5080" s="52"/>
      <c r="P5080" s="51"/>
      <c r="Q5080" s="51"/>
      <c r="R5080" s="51"/>
      <c r="S5080" s="51"/>
      <c r="T5080" s="41"/>
      <c r="AG5080" s="521" t="s">
        <v>268</v>
      </c>
      <c r="AH5080" s="521" t="s">
        <v>269</v>
      </c>
      <c r="AI5080" s="521" t="s">
        <v>270</v>
      </c>
      <c r="AJ5080" s="521" t="s">
        <v>271</v>
      </c>
      <c r="AK5080" s="521" t="s">
        <v>272</v>
      </c>
      <c r="AM5080" s="745" t="s">
        <v>281</v>
      </c>
      <c r="AN5080" s="746" t="s">
        <v>282</v>
      </c>
      <c r="AO5080" s="522" t="s">
        <v>278</v>
      </c>
      <c r="AR5080" s="51"/>
      <c r="AS5080" s="42" t="s">
        <v>139</v>
      </c>
    </row>
    <row r="5081" spans="1:45" s="520" customFormat="1" ht="12" customHeight="1">
      <c r="A5081" s="747">
        <v>19</v>
      </c>
      <c r="B5081" s="523" t="s">
        <v>329</v>
      </c>
      <c r="C5081" s="748"/>
      <c r="D5081" s="749" t="s">
        <v>1845</v>
      </c>
      <c r="E5081" s="750">
        <f>IF(AND($A5081=0,$A$1="DIF"),0, ROUND(ROUND(($R5085*$S$2+($T5085*$T$2))/A5081,2)*$C$2,2))</f>
        <v>40.14</v>
      </c>
      <c r="F5081" s="751">
        <f>ROUND($A5081*$E5081,2)</f>
        <v>762.66</v>
      </c>
      <c r="G5081" s="752" t="s">
        <v>142</v>
      </c>
      <c r="H5081" s="753"/>
      <c r="I5081" s="754"/>
      <c r="J5081" s="753"/>
      <c r="K5081" s="753" t="s">
        <v>3</v>
      </c>
      <c r="L5081" s="755" t="s">
        <v>143</v>
      </c>
      <c r="M5081" s="755"/>
      <c r="N5081" s="755"/>
      <c r="O5081" s="755"/>
      <c r="P5081" s="755"/>
      <c r="Q5081" s="51"/>
      <c r="T5081" s="756" t="str">
        <f>IF(AND($R5085=0,$T5085=0),"0.00","mu :" &amp; ROUND($F5081/$C$2/($R5085+$T5085*$D$9),2))</f>
        <v>mu :1.23</v>
      </c>
      <c r="W5081" s="524"/>
      <c r="AG5081" s="481">
        <f>IF($E5081=0,0,ROUND($R5085*$S$2*$C$2/$A5081,2))</f>
        <v>40.14</v>
      </c>
      <c r="AH5081" s="481">
        <f>$AG5081*$A5081</f>
        <v>762.66</v>
      </c>
      <c r="AI5081" s="525">
        <f>$E5081-$AG5081</f>
        <v>0</v>
      </c>
      <c r="AJ5081" s="525">
        <f>$A5081*$AI5081</f>
        <v>0</v>
      </c>
      <c r="AK5081" s="526">
        <f>ROUND(($AG5081+$AI5081)*$A5081,2)</f>
        <v>762.66</v>
      </c>
      <c r="AM5081" s="527">
        <f>ROUND(R5085,2)</f>
        <v>619.4</v>
      </c>
      <c r="AN5081" s="528">
        <f>ROUND(T5085,2)</f>
        <v>0</v>
      </c>
      <c r="AO5081" s="529">
        <f>ROUND(AM5081+AN5081,2)*A5081</f>
        <v>11768.6</v>
      </c>
      <c r="AR5081" s="747">
        <v>19</v>
      </c>
      <c r="AS5081" s="751">
        <v>762.66</v>
      </c>
    </row>
    <row r="5082" spans="1:45" s="520" customFormat="1" ht="13.2">
      <c r="A5082" s="748"/>
      <c r="B5082"/>
      <c r="C5082" s="748"/>
      <c r="D5082" s="749" t="s">
        <v>871</v>
      </c>
      <c r="F5082" s="753"/>
      <c r="G5082" s="3"/>
      <c r="H5082" s="753"/>
      <c r="I5082" s="754"/>
      <c r="J5082" s="753"/>
      <c r="K5082" s="753" t="s">
        <v>144</v>
      </c>
      <c r="L5082" s="753"/>
      <c r="M5082" s="753"/>
      <c r="N5082" s="753"/>
      <c r="O5082" s="753"/>
      <c r="P5082" s="753"/>
      <c r="Q5082" s="51"/>
      <c r="R5082" s="530"/>
      <c r="S5082" s="757"/>
      <c r="T5082" s="753"/>
      <c r="AR5082" s="748"/>
      <c r="AS5082" s="753"/>
    </row>
    <row r="5083" spans="1:45" s="901" customFormat="1" ht="13.2">
      <c r="A5083" s="116">
        <v>19</v>
      </c>
      <c r="B5083" s="901" t="s">
        <v>141</v>
      </c>
      <c r="D5083" s="901" t="s">
        <v>3072</v>
      </c>
      <c r="E5083" s="1054" t="s">
        <v>3083</v>
      </c>
      <c r="F5083" s="1054" t="s">
        <v>3086</v>
      </c>
      <c r="G5083" s="941" t="s">
        <v>3073</v>
      </c>
      <c r="H5083" s="942">
        <v>835</v>
      </c>
      <c r="I5083" s="901" t="s">
        <v>2607</v>
      </c>
      <c r="O5083" s="943">
        <v>3</v>
      </c>
      <c r="P5083" s="944"/>
      <c r="Q5083" s="945">
        <v>32.6</v>
      </c>
      <c r="R5083" s="946">
        <f>$A5083*Q5083</f>
        <v>619.4</v>
      </c>
      <c r="S5083" s="945"/>
      <c r="T5083" s="947">
        <f>$A5083*S5083*$T$1</f>
        <v>0</v>
      </c>
      <c r="AR5083" s="116">
        <v>19</v>
      </c>
      <c r="AS5083" s="1054" t="s">
        <v>3086</v>
      </c>
    </row>
    <row r="5084" spans="1:45" s="520" customFormat="1" ht="12">
      <c r="A5084" s="758"/>
      <c r="B5084" s="758"/>
      <c r="C5084" s="758"/>
      <c r="D5084" s="758"/>
      <c r="E5084" s="758"/>
      <c r="F5084" s="753"/>
      <c r="G5084" s="758"/>
      <c r="H5084" s="758"/>
      <c r="I5084" s="519"/>
      <c r="J5084" s="758"/>
      <c r="K5084" s="758"/>
      <c r="L5084" s="758"/>
      <c r="M5084" s="758"/>
      <c r="N5084" s="758"/>
      <c r="O5084" s="758"/>
      <c r="P5084" s="758"/>
      <c r="Q5084" s="519"/>
      <c r="R5084" s="759">
        <f t="shared" ref="R5084" si="174">$A5084*Q5084</f>
        <v>0</v>
      </c>
      <c r="S5084" s="519"/>
      <c r="T5084" s="760">
        <f t="shared" ref="T5084" si="175">$A5084*S5084*$T$1</f>
        <v>0</v>
      </c>
      <c r="AR5084" s="758"/>
      <c r="AS5084" s="753"/>
    </row>
    <row r="5085" spans="1:45" s="520" customFormat="1" ht="12.6" thickBot="1">
      <c r="A5085" s="761" t="s">
        <v>145</v>
      </c>
      <c r="B5085" s="762">
        <f>(R5084+T5084)</f>
        <v>0</v>
      </c>
      <c r="C5085" s="763"/>
      <c r="D5085" s="763"/>
      <c r="E5085" s="763"/>
      <c r="F5085" s="764"/>
      <c r="G5085" s="763" t="s">
        <v>146</v>
      </c>
      <c r="H5085" s="763"/>
      <c r="I5085" s="765"/>
      <c r="J5085" s="763"/>
      <c r="K5085" s="763" t="s">
        <v>3</v>
      </c>
      <c r="L5085" s="766" t="s">
        <v>143</v>
      </c>
      <c r="M5085" s="766"/>
      <c r="N5085" s="766"/>
      <c r="O5085" s="766"/>
      <c r="P5085" s="766"/>
      <c r="Q5085" s="767"/>
      <c r="R5085" s="768">
        <f>SUM(R5082:R5084)</f>
        <v>619.4</v>
      </c>
      <c r="S5085" s="763"/>
      <c r="T5085" s="768">
        <f>SUM(T5082:T5084)</f>
        <v>0</v>
      </c>
      <c r="U5085" s="531"/>
      <c r="V5085" s="531"/>
      <c r="W5085" s="531"/>
      <c r="X5085" s="531"/>
      <c r="Y5085" s="531"/>
      <c r="Z5085" s="531"/>
      <c r="AA5085" s="531"/>
      <c r="AB5085" s="531"/>
      <c r="AC5085" s="531"/>
      <c r="AD5085" s="531"/>
      <c r="AE5085" s="531"/>
      <c r="AF5085" s="531"/>
      <c r="AG5085" s="531"/>
      <c r="AH5085" s="531"/>
      <c r="AI5085" s="531"/>
      <c r="AJ5085" s="531"/>
      <c r="AK5085" s="531"/>
      <c r="AL5085" s="531"/>
      <c r="AM5085" s="531"/>
      <c r="AN5085" s="531"/>
      <c r="AO5085" s="531"/>
      <c r="AR5085" s="761" t="s">
        <v>145</v>
      </c>
      <c r="AS5085" s="764"/>
    </row>
    <row r="5086" spans="1:45" s="520" customFormat="1" ht="12" thickTop="1">
      <c r="A5086" s="51"/>
      <c r="B5086" s="41"/>
      <c r="C5086" s="51"/>
      <c r="E5086" s="42" t="s">
        <v>138</v>
      </c>
      <c r="F5086" s="42" t="s">
        <v>139</v>
      </c>
      <c r="G5086" s="51"/>
      <c r="H5086" s="51"/>
      <c r="I5086" s="51"/>
      <c r="J5086" s="51"/>
      <c r="K5086" s="51" t="s">
        <v>140</v>
      </c>
      <c r="L5086" s="51"/>
      <c r="M5086" s="51"/>
      <c r="N5086" s="51"/>
      <c r="O5086" s="52"/>
      <c r="P5086" s="51"/>
      <c r="Q5086" s="51"/>
      <c r="R5086" s="51"/>
      <c r="S5086" s="51"/>
      <c r="T5086" s="41"/>
      <c r="AG5086" s="521" t="s">
        <v>268</v>
      </c>
      <c r="AH5086" s="521" t="s">
        <v>269</v>
      </c>
      <c r="AI5086" s="521" t="s">
        <v>270</v>
      </c>
      <c r="AJ5086" s="521" t="s">
        <v>271</v>
      </c>
      <c r="AK5086" s="521" t="s">
        <v>272</v>
      </c>
      <c r="AM5086" s="745" t="s">
        <v>281</v>
      </c>
      <c r="AN5086" s="746" t="s">
        <v>282</v>
      </c>
      <c r="AO5086" s="522" t="s">
        <v>278</v>
      </c>
      <c r="AR5086" s="51"/>
      <c r="AS5086" s="42" t="s">
        <v>139</v>
      </c>
    </row>
    <row r="5087" spans="1:45" s="520" customFormat="1" ht="12" customHeight="1">
      <c r="A5087" s="747">
        <v>13</v>
      </c>
      <c r="B5087" s="523" t="s">
        <v>329</v>
      </c>
      <c r="C5087" s="748"/>
      <c r="D5087" s="749" t="s">
        <v>1846</v>
      </c>
      <c r="E5087" s="750">
        <f>IF(AND($A5087=0,$A$1="DIF"),0, ROUND(ROUND(($R5091*$S$2+($T5091*$T$2))/A5087,2)*$C$2,2))</f>
        <v>67.38</v>
      </c>
      <c r="F5087" s="751">
        <f>ROUND($A5087*$E5087,2)</f>
        <v>875.94</v>
      </c>
      <c r="G5087" s="752" t="s">
        <v>142</v>
      </c>
      <c r="H5087" s="753"/>
      <c r="I5087" s="754"/>
      <c r="J5087" s="753"/>
      <c r="K5087" s="753" t="s">
        <v>3</v>
      </c>
      <c r="L5087" s="755" t="s">
        <v>143</v>
      </c>
      <c r="M5087" s="755"/>
      <c r="N5087" s="755"/>
      <c r="O5087" s="755"/>
      <c r="P5087" s="755"/>
      <c r="Q5087" s="51"/>
      <c r="T5087" s="756" t="str">
        <f>IF(AND($R5091=0,$T5091=0),"0.00","mu :" &amp; ROUND($F5087/$C$2/($R5091+$T5091*$D$9),2))</f>
        <v>mu :1.23</v>
      </c>
      <c r="W5087" s="524"/>
      <c r="AG5087" s="481">
        <f>IF($E5087=0,0,ROUND($R5091*$S$2*$C$2/$A5087,2))</f>
        <v>67.38</v>
      </c>
      <c r="AH5087" s="481">
        <f>$AG5087*$A5087</f>
        <v>875.93999999999994</v>
      </c>
      <c r="AI5087" s="525">
        <f>$E5087-$AG5087</f>
        <v>0</v>
      </c>
      <c r="AJ5087" s="525">
        <f>$A5087*$AI5087</f>
        <v>0</v>
      </c>
      <c r="AK5087" s="526">
        <f>ROUND(($AG5087+$AI5087)*$A5087,2)</f>
        <v>875.94</v>
      </c>
      <c r="AM5087" s="527">
        <f>ROUND(R5091,2)</f>
        <v>711.36</v>
      </c>
      <c r="AN5087" s="528">
        <f>ROUND(T5091,2)</f>
        <v>0</v>
      </c>
      <c r="AO5087" s="529">
        <f>ROUND(AM5087+AN5087,2)*A5087</f>
        <v>9247.68</v>
      </c>
      <c r="AR5087" s="747">
        <v>13</v>
      </c>
      <c r="AS5087" s="751">
        <v>875.94</v>
      </c>
    </row>
    <row r="5088" spans="1:45" s="520" customFormat="1" ht="13.2">
      <c r="A5088" s="748"/>
      <c r="B5088"/>
      <c r="C5088" s="748"/>
      <c r="D5088" s="749" t="s">
        <v>872</v>
      </c>
      <c r="F5088" s="753"/>
      <c r="G5088" s="3"/>
      <c r="H5088" s="753"/>
      <c r="I5088" s="754"/>
      <c r="J5088" s="753"/>
      <c r="K5088" s="753" t="s">
        <v>144</v>
      </c>
      <c r="L5088" s="753"/>
      <c r="M5088" s="753"/>
      <c r="N5088" s="753"/>
      <c r="O5088" s="753"/>
      <c r="P5088" s="753"/>
      <c r="Q5088" s="51"/>
      <c r="R5088" s="530"/>
      <c r="S5088" s="757"/>
      <c r="T5088" s="753"/>
      <c r="AR5088" s="748"/>
      <c r="AS5088" s="753"/>
    </row>
    <row r="5089" spans="1:45" s="901" customFormat="1" ht="13.2">
      <c r="A5089" s="116">
        <v>13</v>
      </c>
      <c r="B5089" s="901" t="s">
        <v>141</v>
      </c>
      <c r="D5089" s="901" t="s">
        <v>3074</v>
      </c>
      <c r="E5089" s="1054" t="s">
        <v>3083</v>
      </c>
      <c r="F5089" s="1054" t="s">
        <v>3087</v>
      </c>
      <c r="G5089" s="941" t="s">
        <v>3075</v>
      </c>
      <c r="H5089" s="942">
        <v>835</v>
      </c>
      <c r="I5089" s="901" t="s">
        <v>2607</v>
      </c>
      <c r="O5089" s="943">
        <v>3</v>
      </c>
      <c r="P5089" s="944"/>
      <c r="Q5089" s="945">
        <v>54.72</v>
      </c>
      <c r="R5089" s="946">
        <f>$A5089*Q5089</f>
        <v>711.36</v>
      </c>
      <c r="S5089" s="945"/>
      <c r="T5089" s="947">
        <f>$A5089*S5089*$T$1</f>
        <v>0</v>
      </c>
      <c r="AR5089" s="116">
        <v>13</v>
      </c>
      <c r="AS5089" s="1054" t="s">
        <v>3087</v>
      </c>
    </row>
    <row r="5090" spans="1:45" s="520" customFormat="1" ht="12">
      <c r="A5090" s="758"/>
      <c r="B5090" s="758"/>
      <c r="C5090" s="758"/>
      <c r="D5090" s="758"/>
      <c r="E5090" s="758"/>
      <c r="F5090" s="753"/>
      <c r="G5090" s="758"/>
      <c r="H5090" s="758"/>
      <c r="I5090" s="519"/>
      <c r="J5090" s="758"/>
      <c r="K5090" s="758"/>
      <c r="L5090" s="758"/>
      <c r="M5090" s="758"/>
      <c r="N5090" s="758"/>
      <c r="O5090" s="758"/>
      <c r="P5090" s="758"/>
      <c r="Q5090" s="519"/>
      <c r="R5090" s="759">
        <f t="shared" ref="R5090" si="176">$A5090*Q5090</f>
        <v>0</v>
      </c>
      <c r="S5090" s="519"/>
      <c r="T5090" s="760">
        <f t="shared" ref="T5090" si="177">$A5090*S5090*$T$1</f>
        <v>0</v>
      </c>
      <c r="AR5090" s="758"/>
      <c r="AS5090" s="753"/>
    </row>
    <row r="5091" spans="1:45" s="520" customFormat="1" ht="12.6" thickBot="1">
      <c r="A5091" s="761" t="s">
        <v>145</v>
      </c>
      <c r="B5091" s="762">
        <f>(R5090+T5090)</f>
        <v>0</v>
      </c>
      <c r="C5091" s="763"/>
      <c r="D5091" s="763"/>
      <c r="E5091" s="763"/>
      <c r="F5091" s="764"/>
      <c r="G5091" s="763" t="s">
        <v>146</v>
      </c>
      <c r="H5091" s="763"/>
      <c r="I5091" s="765"/>
      <c r="J5091" s="763"/>
      <c r="K5091" s="763" t="s">
        <v>3</v>
      </c>
      <c r="L5091" s="766" t="s">
        <v>143</v>
      </c>
      <c r="M5091" s="766"/>
      <c r="N5091" s="766"/>
      <c r="O5091" s="766"/>
      <c r="P5091" s="766"/>
      <c r="Q5091" s="767"/>
      <c r="R5091" s="768">
        <f>SUM(R5088:R5090)</f>
        <v>711.36</v>
      </c>
      <c r="S5091" s="763"/>
      <c r="T5091" s="768">
        <f>SUM(T5088:T5090)</f>
        <v>0</v>
      </c>
      <c r="U5091" s="531"/>
      <c r="V5091" s="531"/>
      <c r="W5091" s="531"/>
      <c r="X5091" s="531"/>
      <c r="Y5091" s="531"/>
      <c r="Z5091" s="531"/>
      <c r="AA5091" s="531"/>
      <c r="AB5091" s="531"/>
      <c r="AC5091" s="531"/>
      <c r="AD5091" s="531"/>
      <c r="AE5091" s="531"/>
      <c r="AF5091" s="531"/>
      <c r="AG5091" s="531"/>
      <c r="AH5091" s="531"/>
      <c r="AI5091" s="531"/>
      <c r="AJ5091" s="531"/>
      <c r="AK5091" s="531"/>
      <c r="AL5091" s="531"/>
      <c r="AM5091" s="531"/>
      <c r="AN5091" s="531"/>
      <c r="AO5091" s="531"/>
      <c r="AR5091" s="761" t="s">
        <v>145</v>
      </c>
      <c r="AS5091" s="764"/>
    </row>
    <row r="5092" spans="1:45" s="520" customFormat="1" ht="12" thickTop="1">
      <c r="A5092" s="51"/>
      <c r="B5092" s="41"/>
      <c r="C5092" s="51"/>
      <c r="E5092" s="42" t="s">
        <v>138</v>
      </c>
      <c r="F5092" s="42" t="s">
        <v>139</v>
      </c>
      <c r="G5092" s="51"/>
      <c r="H5092" s="51"/>
      <c r="I5092" s="51"/>
      <c r="J5092" s="51"/>
      <c r="K5092" s="51" t="s">
        <v>140</v>
      </c>
      <c r="L5092" s="51"/>
      <c r="M5092" s="51"/>
      <c r="N5092" s="51"/>
      <c r="O5092" s="52"/>
      <c r="P5092" s="51"/>
      <c r="Q5092" s="51"/>
      <c r="R5092" s="51"/>
      <c r="S5092" s="51"/>
      <c r="T5092" s="41"/>
      <c r="AG5092" s="521" t="s">
        <v>268</v>
      </c>
      <c r="AH5092" s="521" t="s">
        <v>269</v>
      </c>
      <c r="AI5092" s="521" t="s">
        <v>270</v>
      </c>
      <c r="AJ5092" s="521" t="s">
        <v>271</v>
      </c>
      <c r="AK5092" s="521" t="s">
        <v>272</v>
      </c>
      <c r="AM5092" s="745" t="s">
        <v>281</v>
      </c>
      <c r="AN5092" s="746" t="s">
        <v>282</v>
      </c>
      <c r="AO5092" s="522" t="s">
        <v>278</v>
      </c>
      <c r="AR5092" s="51"/>
      <c r="AS5092" s="42" t="s">
        <v>139</v>
      </c>
    </row>
    <row r="5093" spans="1:45" s="520" customFormat="1" ht="12" customHeight="1">
      <c r="A5093" s="747">
        <v>20</v>
      </c>
      <c r="B5093" s="523" t="s">
        <v>329</v>
      </c>
      <c r="C5093" s="748"/>
      <c r="D5093" s="749" t="s">
        <v>1847</v>
      </c>
      <c r="E5093" s="750">
        <f>IF(AND($A5093=0,$A$1="DIF"),0, ROUND(ROUND(($R5097*$S$2+($T5097*$T$2))/A5093,2)*$C$2,2))</f>
        <v>47.97</v>
      </c>
      <c r="F5093" s="751">
        <f>ROUND($A5093*$E5093,2)</f>
        <v>959.4</v>
      </c>
      <c r="G5093" s="752" t="s">
        <v>142</v>
      </c>
      <c r="H5093" s="753"/>
      <c r="I5093" s="754"/>
      <c r="J5093" s="753"/>
      <c r="K5093" s="753" t="s">
        <v>3</v>
      </c>
      <c r="L5093" s="755" t="s">
        <v>143</v>
      </c>
      <c r="M5093" s="755"/>
      <c r="N5093" s="755"/>
      <c r="O5093" s="755"/>
      <c r="P5093" s="755"/>
      <c r="Q5093" s="51"/>
      <c r="T5093" s="756" t="str">
        <f>IF(AND($R5097=0,$T5097=0),"0.00","mu :" &amp; ROUND($F5093/$C$2/($R5097+$T5097*$D$9),2))</f>
        <v>mu :1.23</v>
      </c>
      <c r="W5093" s="524"/>
      <c r="AG5093" s="481">
        <f>IF($E5093=0,0,ROUND($R5097*$S$2*$C$2/$A5093,2))</f>
        <v>47.97</v>
      </c>
      <c r="AH5093" s="481">
        <f>$AG5093*$A5093</f>
        <v>959.4</v>
      </c>
      <c r="AI5093" s="525">
        <f>$E5093-$AG5093</f>
        <v>0</v>
      </c>
      <c r="AJ5093" s="525">
        <f>$A5093*$AI5093</f>
        <v>0</v>
      </c>
      <c r="AK5093" s="526">
        <f>ROUND(($AG5093+$AI5093)*$A5093,2)</f>
        <v>959.4</v>
      </c>
      <c r="AM5093" s="527">
        <f>ROUND(R5097,2)</f>
        <v>779.2</v>
      </c>
      <c r="AN5093" s="528">
        <f>ROUND(T5097,2)</f>
        <v>0</v>
      </c>
      <c r="AO5093" s="529">
        <f>ROUND(AM5093+AN5093,2)*A5093</f>
        <v>15584</v>
      </c>
      <c r="AR5093" s="747">
        <v>20</v>
      </c>
      <c r="AS5093" s="751">
        <v>959.4</v>
      </c>
    </row>
    <row r="5094" spans="1:45" s="520" customFormat="1" ht="13.2">
      <c r="A5094" s="748"/>
      <c r="B5094"/>
      <c r="C5094" s="748"/>
      <c r="D5094" s="749" t="s">
        <v>877</v>
      </c>
      <c r="F5094" s="753"/>
      <c r="G5094" s="3"/>
      <c r="H5094" s="753"/>
      <c r="I5094" s="754"/>
      <c r="J5094" s="753"/>
      <c r="K5094" s="753" t="s">
        <v>144</v>
      </c>
      <c r="L5094" s="753"/>
      <c r="M5094" s="753"/>
      <c r="N5094" s="753"/>
      <c r="O5094" s="753"/>
      <c r="P5094" s="753"/>
      <c r="Q5094" s="51"/>
      <c r="R5094" s="530"/>
      <c r="S5094" s="757"/>
      <c r="T5094" s="753"/>
      <c r="AR5094" s="748"/>
      <c r="AS5094" s="753"/>
    </row>
    <row r="5095" spans="1:45" s="901" customFormat="1" ht="13.2">
      <c r="A5095" s="116">
        <v>20</v>
      </c>
      <c r="B5095" s="901" t="s">
        <v>141</v>
      </c>
      <c r="D5095" s="901" t="s">
        <v>3074</v>
      </c>
      <c r="E5095" s="1054" t="s">
        <v>3083</v>
      </c>
      <c r="F5095" s="1054" t="s">
        <v>3092</v>
      </c>
      <c r="G5095" s="941" t="s">
        <v>3075</v>
      </c>
      <c r="H5095" s="942">
        <v>835</v>
      </c>
      <c r="I5095" s="901" t="s">
        <v>2607</v>
      </c>
      <c r="O5095" s="943">
        <v>3</v>
      </c>
      <c r="P5095" s="944"/>
      <c r="Q5095" s="945">
        <v>38.96</v>
      </c>
      <c r="R5095" s="946">
        <f>$A5095*Q5095</f>
        <v>779.2</v>
      </c>
      <c r="S5095" s="945"/>
      <c r="T5095" s="947">
        <f>$A5095*S5095*$T$1</f>
        <v>0</v>
      </c>
      <c r="AR5095" s="116">
        <v>20</v>
      </c>
      <c r="AS5095" s="1054" t="s">
        <v>3092</v>
      </c>
    </row>
    <row r="5096" spans="1:45" s="520" customFormat="1" ht="12">
      <c r="A5096" s="758"/>
      <c r="B5096" s="758"/>
      <c r="C5096" s="758"/>
      <c r="D5096" s="758"/>
      <c r="E5096" s="758"/>
      <c r="F5096" s="753"/>
      <c r="G5096" s="758"/>
      <c r="H5096" s="758"/>
      <c r="I5096" s="519"/>
      <c r="J5096" s="758"/>
      <c r="K5096" s="758"/>
      <c r="L5096" s="758"/>
      <c r="M5096" s="758"/>
      <c r="N5096" s="758"/>
      <c r="O5096" s="758"/>
      <c r="P5096" s="758"/>
      <c r="Q5096" s="519"/>
      <c r="R5096" s="759">
        <f t="shared" ref="R5096" si="178">$A5096*Q5096</f>
        <v>0</v>
      </c>
      <c r="S5096" s="519"/>
      <c r="T5096" s="760">
        <f t="shared" ref="T5096" si="179">$A5096*S5096*$T$1</f>
        <v>0</v>
      </c>
      <c r="AR5096" s="758"/>
      <c r="AS5096" s="753"/>
    </row>
    <row r="5097" spans="1:45" s="520" customFormat="1" ht="12.6" thickBot="1">
      <c r="A5097" s="761" t="s">
        <v>145</v>
      </c>
      <c r="B5097" s="762">
        <f>(R5096+T5096)</f>
        <v>0</v>
      </c>
      <c r="C5097" s="763"/>
      <c r="D5097" s="763"/>
      <c r="E5097" s="763"/>
      <c r="F5097" s="764"/>
      <c r="G5097" s="763" t="s">
        <v>146</v>
      </c>
      <c r="H5097" s="763"/>
      <c r="I5097" s="765"/>
      <c r="J5097" s="763"/>
      <c r="K5097" s="763" t="s">
        <v>3</v>
      </c>
      <c r="L5097" s="766" t="s">
        <v>143</v>
      </c>
      <c r="M5097" s="766"/>
      <c r="N5097" s="766"/>
      <c r="O5097" s="766"/>
      <c r="P5097" s="766"/>
      <c r="Q5097" s="767"/>
      <c r="R5097" s="768">
        <f>SUM(R5094:R5096)</f>
        <v>779.2</v>
      </c>
      <c r="S5097" s="763"/>
      <c r="T5097" s="768">
        <f>SUM(T5094:T5096)</f>
        <v>0</v>
      </c>
      <c r="U5097" s="531"/>
      <c r="V5097" s="531"/>
      <c r="W5097" s="531"/>
      <c r="X5097" s="531"/>
      <c r="Y5097" s="531"/>
      <c r="Z5097" s="531"/>
      <c r="AA5097" s="531"/>
      <c r="AB5097" s="531"/>
      <c r="AC5097" s="531"/>
      <c r="AD5097" s="531"/>
      <c r="AE5097" s="531"/>
      <c r="AF5097" s="531"/>
      <c r="AG5097" s="531"/>
      <c r="AH5097" s="531"/>
      <c r="AI5097" s="531"/>
      <c r="AJ5097" s="531"/>
      <c r="AK5097" s="531"/>
      <c r="AL5097" s="531"/>
      <c r="AM5097" s="531"/>
      <c r="AN5097" s="531"/>
      <c r="AO5097" s="531"/>
      <c r="AR5097" s="761" t="s">
        <v>145</v>
      </c>
      <c r="AS5097" s="764"/>
    </row>
    <row r="5098" spans="1:45" s="520" customFormat="1" ht="12" thickTop="1">
      <c r="A5098" s="51"/>
      <c r="B5098" s="41"/>
      <c r="C5098" s="51"/>
      <c r="E5098" s="42" t="s">
        <v>138</v>
      </c>
      <c r="F5098" s="42" t="s">
        <v>139</v>
      </c>
      <c r="G5098" s="51"/>
      <c r="H5098" s="51"/>
      <c r="I5098" s="51"/>
      <c r="J5098" s="51"/>
      <c r="K5098" s="51" t="s">
        <v>140</v>
      </c>
      <c r="L5098" s="51"/>
      <c r="M5098" s="51"/>
      <c r="N5098" s="51"/>
      <c r="O5098" s="52"/>
      <c r="P5098" s="51"/>
      <c r="Q5098" s="51"/>
      <c r="R5098" s="51"/>
      <c r="S5098" s="51"/>
      <c r="T5098" s="41"/>
      <c r="AG5098" s="521" t="s">
        <v>268</v>
      </c>
      <c r="AH5098" s="521" t="s">
        <v>269</v>
      </c>
      <c r="AI5098" s="521" t="s">
        <v>270</v>
      </c>
      <c r="AJ5098" s="521" t="s">
        <v>271</v>
      </c>
      <c r="AK5098" s="521" t="s">
        <v>272</v>
      </c>
      <c r="AM5098" s="745" t="s">
        <v>281</v>
      </c>
      <c r="AN5098" s="746" t="s">
        <v>282</v>
      </c>
      <c r="AO5098" s="522" t="s">
        <v>278</v>
      </c>
      <c r="AR5098" s="51"/>
      <c r="AS5098" s="42" t="s">
        <v>139</v>
      </c>
    </row>
    <row r="5099" spans="1:45" s="520" customFormat="1" ht="12" customHeight="1">
      <c r="A5099" s="747">
        <v>108</v>
      </c>
      <c r="B5099" s="523" t="s">
        <v>329</v>
      </c>
      <c r="C5099" s="748"/>
      <c r="D5099" s="749" t="s">
        <v>1848</v>
      </c>
      <c r="E5099" s="750">
        <f>IF(AND($A5099=0,$A$1="DIF"),0, ROUND(ROUND(($R5103*$S$2+($T5103*$T$2))/A5099,2)*$C$2,2))</f>
        <v>281.23</v>
      </c>
      <c r="F5099" s="751">
        <f>ROUND($A5099*$E5099,2)</f>
        <v>30372.84</v>
      </c>
      <c r="G5099" s="752" t="s">
        <v>142</v>
      </c>
      <c r="H5099" s="753"/>
      <c r="I5099" s="754"/>
      <c r="J5099" s="753"/>
      <c r="K5099" s="753" t="s">
        <v>3</v>
      </c>
      <c r="L5099" s="755" t="s">
        <v>143</v>
      </c>
      <c r="M5099" s="755"/>
      <c r="N5099" s="755"/>
      <c r="O5099" s="755"/>
      <c r="P5099" s="755"/>
      <c r="Q5099" s="51"/>
      <c r="T5099" s="756" t="str">
        <f>IF(AND($R5103=0,$T5103=0),"0.00","mu :" &amp; ROUND($F5099/$C$2/($R5103+$T5103*$D$9),2))</f>
        <v>mu :1.23</v>
      </c>
      <c r="W5099" s="524"/>
      <c r="AG5099" s="481">
        <f>IF($E5099=0,0,ROUND($R5103*$S$2*$C$2/$A5099,2))</f>
        <v>281.23</v>
      </c>
      <c r="AH5099" s="481">
        <f>$AG5099*$A5099</f>
        <v>30372.840000000004</v>
      </c>
      <c r="AI5099" s="525">
        <f>$E5099-$AG5099</f>
        <v>0</v>
      </c>
      <c r="AJ5099" s="525">
        <f>$A5099*$AI5099</f>
        <v>0</v>
      </c>
      <c r="AK5099" s="526">
        <f>ROUND(($AG5099+$AI5099)*$A5099,2)</f>
        <v>30372.84</v>
      </c>
      <c r="AM5099" s="527">
        <f>ROUND(R5103,2)</f>
        <v>24666.21</v>
      </c>
      <c r="AN5099" s="528">
        <f>ROUND(T5103,2)</f>
        <v>0</v>
      </c>
      <c r="AO5099" s="529">
        <f>ROUND(AM5099+AN5099,2)*A5099</f>
        <v>2663950.6799999997</v>
      </c>
      <c r="AR5099" s="747">
        <v>108</v>
      </c>
      <c r="AS5099" s="751">
        <v>9960.84</v>
      </c>
    </row>
    <row r="5100" spans="1:45" s="520" customFormat="1" ht="13.2">
      <c r="A5100" s="748"/>
      <c r="B5100"/>
      <c r="C5100" s="748"/>
      <c r="D5100" s="749" t="s">
        <v>878</v>
      </c>
      <c r="F5100" s="1061" t="s">
        <v>4119</v>
      </c>
      <c r="G5100" s="3"/>
      <c r="H5100" s="753"/>
      <c r="I5100" s="754"/>
      <c r="J5100" s="753"/>
      <c r="K5100" s="753" t="s">
        <v>144</v>
      </c>
      <c r="L5100" s="753"/>
      <c r="M5100" s="753"/>
      <c r="N5100" s="753"/>
      <c r="O5100" s="753"/>
      <c r="P5100" s="753"/>
      <c r="Q5100" s="51"/>
      <c r="R5100" s="530"/>
      <c r="S5100" s="757"/>
      <c r="T5100" s="753"/>
      <c r="AR5100" s="748"/>
      <c r="AS5100" s="753"/>
    </row>
    <row r="5101" spans="1:45" s="901" customFormat="1" ht="13.2">
      <c r="A5101" s="116">
        <v>108</v>
      </c>
      <c r="B5101" s="901" t="s">
        <v>141</v>
      </c>
      <c r="D5101" s="901" t="s">
        <v>3074</v>
      </c>
      <c r="E5101" s="1054" t="s">
        <v>3083</v>
      </c>
      <c r="F5101" s="1054" t="s">
        <v>3093</v>
      </c>
      <c r="G5101" s="941" t="s">
        <v>3075</v>
      </c>
      <c r="H5101" s="942">
        <v>835</v>
      </c>
      <c r="I5101" s="901" t="s">
        <v>2607</v>
      </c>
      <c r="O5101" s="943">
        <v>3</v>
      </c>
      <c r="P5101" s="944"/>
      <c r="Q5101" s="1226">
        <f>189/1.231344+74.9</f>
        <v>228.39081978715942</v>
      </c>
      <c r="R5101" s="946">
        <f>$A5101*Q5101</f>
        <v>24666.208537013215</v>
      </c>
      <c r="S5101" s="945"/>
      <c r="T5101" s="947">
        <f>$A5101*S5101*$T$1</f>
        <v>0</v>
      </c>
      <c r="AR5101" s="116">
        <v>108</v>
      </c>
      <c r="AS5101" s="1054" t="s">
        <v>3093</v>
      </c>
    </row>
    <row r="5102" spans="1:45" s="520" customFormat="1" ht="12">
      <c r="A5102" s="758"/>
      <c r="B5102" s="758"/>
      <c r="C5102" s="758"/>
      <c r="D5102" s="758"/>
      <c r="E5102" s="758"/>
      <c r="F5102" s="753"/>
      <c r="G5102" s="758"/>
      <c r="H5102" s="758"/>
      <c r="I5102" s="519"/>
      <c r="J5102" s="758"/>
      <c r="K5102" s="758"/>
      <c r="L5102" s="758"/>
      <c r="M5102" s="758"/>
      <c r="N5102" s="758"/>
      <c r="O5102" s="758"/>
      <c r="P5102" s="758"/>
      <c r="Q5102" s="519"/>
      <c r="R5102" s="759">
        <f t="shared" ref="R5102" si="180">$A5102*Q5102</f>
        <v>0</v>
      </c>
      <c r="S5102" s="519"/>
      <c r="T5102" s="760">
        <f t="shared" ref="T5102" si="181">$A5102*S5102*$T$1</f>
        <v>0</v>
      </c>
      <c r="AR5102" s="758"/>
      <c r="AS5102" s="753"/>
    </row>
    <row r="5103" spans="1:45" s="520" customFormat="1" ht="12.6" thickBot="1">
      <c r="A5103" s="761" t="s">
        <v>145</v>
      </c>
      <c r="B5103" s="762">
        <f>(R5102+T5102)</f>
        <v>0</v>
      </c>
      <c r="C5103" s="763"/>
      <c r="D5103" s="763"/>
      <c r="E5103" s="763"/>
      <c r="F5103" s="764"/>
      <c r="G5103" s="763" t="s">
        <v>146</v>
      </c>
      <c r="H5103" s="763"/>
      <c r="I5103" s="765"/>
      <c r="J5103" s="763"/>
      <c r="K5103" s="763" t="s">
        <v>3</v>
      </c>
      <c r="L5103" s="766" t="s">
        <v>143</v>
      </c>
      <c r="M5103" s="766"/>
      <c r="N5103" s="766"/>
      <c r="O5103" s="766"/>
      <c r="P5103" s="766"/>
      <c r="Q5103" s="767"/>
      <c r="R5103" s="768">
        <f>SUM(R5100:R5102)</f>
        <v>24666.208537013215</v>
      </c>
      <c r="S5103" s="763"/>
      <c r="T5103" s="768">
        <f>SUM(T5100:T5102)</f>
        <v>0</v>
      </c>
      <c r="U5103" s="531"/>
      <c r="V5103" s="531"/>
      <c r="W5103" s="531"/>
      <c r="X5103" s="531"/>
      <c r="Y5103" s="531"/>
      <c r="Z5103" s="531"/>
      <c r="AA5103" s="531"/>
      <c r="AB5103" s="531"/>
      <c r="AC5103" s="531"/>
      <c r="AD5103" s="531"/>
      <c r="AE5103" s="531"/>
      <c r="AF5103" s="531"/>
      <c r="AG5103" s="531"/>
      <c r="AH5103" s="531"/>
      <c r="AI5103" s="531"/>
      <c r="AJ5103" s="531"/>
      <c r="AK5103" s="531"/>
      <c r="AL5103" s="531"/>
      <c r="AM5103" s="531"/>
      <c r="AN5103" s="531"/>
      <c r="AO5103" s="531"/>
      <c r="AR5103" s="761" t="s">
        <v>145</v>
      </c>
      <c r="AS5103" s="764"/>
    </row>
    <row r="5104" spans="1:45" s="520" customFormat="1" ht="12" thickTop="1">
      <c r="A5104" s="51"/>
      <c r="B5104" s="41"/>
      <c r="C5104" s="51"/>
      <c r="E5104" s="42" t="s">
        <v>138</v>
      </c>
      <c r="F5104" s="42" t="s">
        <v>139</v>
      </c>
      <c r="G5104" s="51"/>
      <c r="H5104" s="51"/>
      <c r="I5104" s="51"/>
      <c r="J5104" s="51"/>
      <c r="K5104" s="51" t="s">
        <v>140</v>
      </c>
      <c r="L5104" s="51"/>
      <c r="M5104" s="51"/>
      <c r="N5104" s="51"/>
      <c r="O5104" s="52"/>
      <c r="P5104" s="51"/>
      <c r="Q5104" s="51"/>
      <c r="R5104" s="51"/>
      <c r="S5104" s="51"/>
      <c r="T5104" s="41"/>
      <c r="AG5104" s="521" t="s">
        <v>268</v>
      </c>
      <c r="AH5104" s="521" t="s">
        <v>269</v>
      </c>
      <c r="AI5104" s="521" t="s">
        <v>270</v>
      </c>
      <c r="AJ5104" s="521" t="s">
        <v>271</v>
      </c>
      <c r="AK5104" s="521" t="s">
        <v>272</v>
      </c>
      <c r="AM5104" s="745" t="s">
        <v>281</v>
      </c>
      <c r="AN5104" s="746" t="s">
        <v>282</v>
      </c>
      <c r="AO5104" s="522" t="s">
        <v>278</v>
      </c>
      <c r="AR5104" s="51"/>
      <c r="AS5104" s="42" t="s">
        <v>139</v>
      </c>
    </row>
    <row r="5105" spans="1:45" s="520" customFormat="1" ht="12" customHeight="1">
      <c r="A5105" s="747">
        <v>40</v>
      </c>
      <c r="B5105" s="523" t="s">
        <v>329</v>
      </c>
      <c r="C5105" s="748"/>
      <c r="D5105" s="749" t="s">
        <v>1849</v>
      </c>
      <c r="E5105" s="750">
        <f>IF(AND($A5105=0,$A$1="DIF"),0, ROUND(ROUND(($R5109*$S$2+($T5109*$T$2))/A5105,2)*$C$2,2))</f>
        <v>133.79</v>
      </c>
      <c r="F5105" s="751">
        <f>ROUND($A5105*$E5105,2)</f>
        <v>5351.6</v>
      </c>
      <c r="G5105" s="752" t="s">
        <v>142</v>
      </c>
      <c r="H5105" s="753"/>
      <c r="I5105" s="754"/>
      <c r="J5105" s="753"/>
      <c r="K5105" s="753" t="s">
        <v>3</v>
      </c>
      <c r="L5105" s="755" t="s">
        <v>143</v>
      </c>
      <c r="M5105" s="755"/>
      <c r="N5105" s="755"/>
      <c r="O5105" s="755"/>
      <c r="P5105" s="755"/>
      <c r="Q5105" s="51"/>
      <c r="T5105" s="756" t="str">
        <f>IF(AND($R5109=0,$T5109=0),"0.00","mu :" &amp; ROUND($F5105/$C$2/($R5109+$T5109*$D$9),2))</f>
        <v>mu :1.23</v>
      </c>
      <c r="W5105" s="524"/>
      <c r="AG5105" s="481">
        <f>IF($E5105=0,0,ROUND($R5109*$S$2*$C$2/$A5105,2))</f>
        <v>133.79</v>
      </c>
      <c r="AH5105" s="481">
        <f>$AG5105*$A5105</f>
        <v>5351.5999999999995</v>
      </c>
      <c r="AI5105" s="525">
        <f>$E5105-$AG5105</f>
        <v>0</v>
      </c>
      <c r="AJ5105" s="525">
        <f>$A5105*$AI5105</f>
        <v>0</v>
      </c>
      <c r="AK5105" s="526">
        <f>ROUND(($AG5105+$AI5105)*$A5105,2)</f>
        <v>5351.6</v>
      </c>
      <c r="AM5105" s="527">
        <f>ROUND(R5109,2)</f>
        <v>4346</v>
      </c>
      <c r="AN5105" s="528">
        <f>ROUND(T5109,2)</f>
        <v>0</v>
      </c>
      <c r="AO5105" s="529">
        <f>ROUND(AM5105+AN5105,2)*A5105</f>
        <v>173840</v>
      </c>
      <c r="AR5105" s="747">
        <v>40</v>
      </c>
      <c r="AS5105" s="751">
        <v>5351.6</v>
      </c>
    </row>
    <row r="5106" spans="1:45" s="520" customFormat="1" ht="13.2">
      <c r="A5106" s="748"/>
      <c r="B5106"/>
      <c r="C5106" s="748"/>
      <c r="D5106" s="749" t="s">
        <v>879</v>
      </c>
      <c r="F5106" s="753"/>
      <c r="G5106" s="3"/>
      <c r="H5106" s="753"/>
      <c r="I5106" s="754"/>
      <c r="J5106" s="753"/>
      <c r="K5106" s="753" t="s">
        <v>144</v>
      </c>
      <c r="L5106" s="753"/>
      <c r="M5106" s="753"/>
      <c r="N5106" s="753"/>
      <c r="O5106" s="753"/>
      <c r="P5106" s="753"/>
      <c r="Q5106" s="51"/>
      <c r="R5106" s="530"/>
      <c r="S5106" s="757"/>
      <c r="T5106" s="753"/>
      <c r="AR5106" s="748"/>
      <c r="AS5106" s="753"/>
    </row>
    <row r="5107" spans="1:45" s="901" customFormat="1" ht="13.2">
      <c r="A5107" s="116">
        <v>40</v>
      </c>
      <c r="B5107" s="901" t="s">
        <v>141</v>
      </c>
      <c r="D5107" s="901" t="s">
        <v>3074</v>
      </c>
      <c r="E5107" s="1054" t="s">
        <v>3083</v>
      </c>
      <c r="F5107" s="1054" t="s">
        <v>3094</v>
      </c>
      <c r="G5107" s="941" t="s">
        <v>3075</v>
      </c>
      <c r="H5107" s="942">
        <v>835</v>
      </c>
      <c r="I5107" s="901" t="s">
        <v>2607</v>
      </c>
      <c r="O5107" s="943">
        <v>3</v>
      </c>
      <c r="P5107" s="944"/>
      <c r="Q5107" s="945">
        <v>108.65</v>
      </c>
      <c r="R5107" s="946">
        <f>$A5107*Q5107</f>
        <v>4346</v>
      </c>
      <c r="S5107" s="945"/>
      <c r="T5107" s="947">
        <f>$A5107*S5107*$T$1</f>
        <v>0</v>
      </c>
      <c r="AR5107" s="116">
        <v>40</v>
      </c>
      <c r="AS5107" s="1054" t="s">
        <v>3094</v>
      </c>
    </row>
    <row r="5108" spans="1:45" s="520" customFormat="1" ht="12">
      <c r="A5108" s="758"/>
      <c r="B5108" s="758"/>
      <c r="C5108" s="758"/>
      <c r="D5108" s="758"/>
      <c r="E5108" s="758"/>
      <c r="F5108" s="753"/>
      <c r="G5108" s="758"/>
      <c r="H5108" s="758"/>
      <c r="I5108" s="519"/>
      <c r="J5108" s="758"/>
      <c r="K5108" s="758"/>
      <c r="L5108" s="758"/>
      <c r="M5108" s="758"/>
      <c r="N5108" s="758"/>
      <c r="O5108" s="758"/>
      <c r="P5108" s="758"/>
      <c r="Q5108" s="519"/>
      <c r="R5108" s="759">
        <f t="shared" ref="R5108" si="182">$A5108*Q5108</f>
        <v>0</v>
      </c>
      <c r="S5108" s="519"/>
      <c r="T5108" s="760">
        <f t="shared" ref="T5108" si="183">$A5108*S5108*$T$1</f>
        <v>0</v>
      </c>
      <c r="AR5108" s="758"/>
      <c r="AS5108" s="753"/>
    </row>
    <row r="5109" spans="1:45" s="520" customFormat="1" ht="12.6" thickBot="1">
      <c r="A5109" s="761" t="s">
        <v>145</v>
      </c>
      <c r="B5109" s="762">
        <f>(R5108+T5108)</f>
        <v>0</v>
      </c>
      <c r="C5109" s="763"/>
      <c r="D5109" s="763"/>
      <c r="E5109" s="763"/>
      <c r="F5109" s="764"/>
      <c r="G5109" s="763" t="s">
        <v>146</v>
      </c>
      <c r="H5109" s="763"/>
      <c r="I5109" s="765"/>
      <c r="J5109" s="763"/>
      <c r="K5109" s="763" t="s">
        <v>3</v>
      </c>
      <c r="L5109" s="766" t="s">
        <v>143</v>
      </c>
      <c r="M5109" s="766"/>
      <c r="N5109" s="766"/>
      <c r="O5109" s="766"/>
      <c r="P5109" s="766"/>
      <c r="Q5109" s="767"/>
      <c r="R5109" s="768">
        <f>SUM(R5106:R5108)</f>
        <v>4346</v>
      </c>
      <c r="S5109" s="763"/>
      <c r="T5109" s="768">
        <f>SUM(T5106:T5108)</f>
        <v>0</v>
      </c>
      <c r="U5109" s="531"/>
      <c r="V5109" s="531"/>
      <c r="W5109" s="531"/>
      <c r="X5109" s="531"/>
      <c r="Y5109" s="531"/>
      <c r="Z5109" s="531"/>
      <c r="AA5109" s="531"/>
      <c r="AB5109" s="531"/>
      <c r="AC5109" s="531"/>
      <c r="AD5109" s="531"/>
      <c r="AE5109" s="531"/>
      <c r="AF5109" s="531"/>
      <c r="AG5109" s="531"/>
      <c r="AH5109" s="531"/>
      <c r="AI5109" s="531"/>
      <c r="AJ5109" s="531"/>
      <c r="AK5109" s="531"/>
      <c r="AL5109" s="531"/>
      <c r="AM5109" s="531"/>
      <c r="AN5109" s="531"/>
      <c r="AO5109" s="531"/>
      <c r="AR5109" s="761" t="s">
        <v>145</v>
      </c>
      <c r="AS5109" s="764"/>
    </row>
    <row r="5110" spans="1:45" s="520" customFormat="1" ht="12" thickTop="1">
      <c r="A5110" s="51"/>
      <c r="B5110" s="41"/>
      <c r="C5110" s="51"/>
      <c r="E5110" s="42" t="s">
        <v>138</v>
      </c>
      <c r="F5110" s="42" t="s">
        <v>139</v>
      </c>
      <c r="G5110" s="51"/>
      <c r="H5110" s="51"/>
      <c r="I5110" s="51"/>
      <c r="J5110" s="51"/>
      <c r="K5110" s="51" t="s">
        <v>140</v>
      </c>
      <c r="L5110" s="51"/>
      <c r="M5110" s="51"/>
      <c r="N5110" s="51"/>
      <c r="O5110" s="52"/>
      <c r="P5110" s="51"/>
      <c r="Q5110" s="51"/>
      <c r="R5110" s="51"/>
      <c r="S5110" s="51"/>
      <c r="T5110" s="41"/>
      <c r="AG5110" s="521" t="s">
        <v>268</v>
      </c>
      <c r="AH5110" s="521" t="s">
        <v>269</v>
      </c>
      <c r="AI5110" s="521" t="s">
        <v>270</v>
      </c>
      <c r="AJ5110" s="521" t="s">
        <v>271</v>
      </c>
      <c r="AK5110" s="521" t="s">
        <v>272</v>
      </c>
      <c r="AM5110" s="745" t="s">
        <v>281</v>
      </c>
      <c r="AN5110" s="746" t="s">
        <v>282</v>
      </c>
      <c r="AO5110" s="522" t="s">
        <v>278</v>
      </c>
      <c r="AR5110" s="51"/>
      <c r="AS5110" s="42" t="s">
        <v>139</v>
      </c>
    </row>
    <row r="5111" spans="1:45" s="520" customFormat="1" ht="12" customHeight="1">
      <c r="A5111" s="747">
        <v>35</v>
      </c>
      <c r="B5111" s="523" t="s">
        <v>329</v>
      </c>
      <c r="C5111" s="748"/>
      <c r="D5111" s="749" t="s">
        <v>1850</v>
      </c>
      <c r="E5111" s="750">
        <f>IF(AND($A5111=0,$A$1="DIF"),0, ROUND(ROUND(($R5115*$S$2+($T5115*$T$2))/A5111,2)*$C$2,2))</f>
        <v>186.48</v>
      </c>
      <c r="F5111" s="751">
        <f>ROUND($A5111*$E5111,2)</f>
        <v>6526.8</v>
      </c>
      <c r="G5111" s="752" t="s">
        <v>142</v>
      </c>
      <c r="H5111" s="753"/>
      <c r="I5111" s="754"/>
      <c r="J5111" s="753"/>
      <c r="K5111" s="753" t="s">
        <v>3</v>
      </c>
      <c r="L5111" s="755" t="s">
        <v>143</v>
      </c>
      <c r="M5111" s="755"/>
      <c r="N5111" s="755"/>
      <c r="O5111" s="755"/>
      <c r="P5111" s="755"/>
      <c r="Q5111" s="51"/>
      <c r="T5111" s="756" t="str">
        <f>IF(AND($R5115=0,$T5115=0),"0.00","mu :" &amp; ROUND($F5111/$C$2/($R5115+$T5115*$D$9),2))</f>
        <v>mu :1.23</v>
      </c>
      <c r="W5111" s="524"/>
      <c r="AG5111" s="481">
        <f>IF($E5111=0,0,ROUND($R5115*$S$2*$C$2/$A5111,2))</f>
        <v>186.48</v>
      </c>
      <c r="AH5111" s="481">
        <f>$AG5111*$A5111</f>
        <v>6526.7999999999993</v>
      </c>
      <c r="AI5111" s="525">
        <f>$E5111-$AG5111</f>
        <v>0</v>
      </c>
      <c r="AJ5111" s="525">
        <f>$A5111*$AI5111</f>
        <v>0</v>
      </c>
      <c r="AK5111" s="526">
        <f>ROUND(($AG5111+$AI5111)*$A5111,2)</f>
        <v>6526.8</v>
      </c>
      <c r="AM5111" s="527">
        <f>ROUND(R5115,2)</f>
        <v>5300.54</v>
      </c>
      <c r="AN5111" s="528">
        <f>ROUND(T5115,2)</f>
        <v>0</v>
      </c>
      <c r="AO5111" s="529">
        <f>ROUND(AM5111+AN5111,2)*A5111</f>
        <v>185518.9</v>
      </c>
      <c r="AR5111" s="747">
        <v>35</v>
      </c>
      <c r="AS5111" s="751">
        <v>1346.8</v>
      </c>
    </row>
    <row r="5112" spans="1:45" s="520" customFormat="1" ht="13.2">
      <c r="A5112" s="748"/>
      <c r="B5112"/>
      <c r="C5112" s="748"/>
      <c r="D5112" s="749" t="s">
        <v>880</v>
      </c>
      <c r="F5112" s="1061" t="s">
        <v>4119</v>
      </c>
      <c r="G5112" s="3"/>
      <c r="H5112" s="753"/>
      <c r="I5112" s="754"/>
      <c r="J5112" s="753"/>
      <c r="K5112" s="753" t="s">
        <v>144</v>
      </c>
      <c r="L5112" s="753"/>
      <c r="M5112" s="753"/>
      <c r="N5112" s="753"/>
      <c r="O5112" s="753"/>
      <c r="P5112" s="753"/>
      <c r="Q5112" s="51"/>
      <c r="R5112" s="530"/>
      <c r="S5112" s="757"/>
      <c r="T5112" s="753"/>
      <c r="AR5112" s="748"/>
      <c r="AS5112" s="753"/>
    </row>
    <row r="5113" spans="1:45" s="901" customFormat="1" ht="13.2">
      <c r="A5113" s="116">
        <v>35</v>
      </c>
      <c r="B5113" s="901" t="s">
        <v>141</v>
      </c>
      <c r="D5113" s="901" t="s">
        <v>3074</v>
      </c>
      <c r="E5113" s="1054" t="s">
        <v>3083</v>
      </c>
      <c r="F5113" s="1054" t="s">
        <v>3095</v>
      </c>
      <c r="G5113" s="941" t="s">
        <v>3075</v>
      </c>
      <c r="H5113" s="942">
        <v>835</v>
      </c>
      <c r="I5113" s="901" t="s">
        <v>2607</v>
      </c>
      <c r="O5113" s="943">
        <v>3</v>
      </c>
      <c r="P5113" s="944"/>
      <c r="Q5113" s="1226">
        <f>148/1.231344+31.25</f>
        <v>151.44386946296078</v>
      </c>
      <c r="R5113" s="946">
        <f>$A5113*Q5113</f>
        <v>5300.535431203627</v>
      </c>
      <c r="S5113" s="945"/>
      <c r="T5113" s="947">
        <f>$A5113*S5113*$T$1</f>
        <v>0</v>
      </c>
      <c r="AR5113" s="116">
        <v>35</v>
      </c>
      <c r="AS5113" s="1054" t="s">
        <v>3095</v>
      </c>
    </row>
    <row r="5114" spans="1:45" s="520" customFormat="1" ht="12">
      <c r="A5114" s="758"/>
      <c r="B5114" s="758"/>
      <c r="C5114" s="758"/>
      <c r="D5114" s="758"/>
      <c r="E5114" s="758"/>
      <c r="F5114" s="753"/>
      <c r="G5114" s="758"/>
      <c r="H5114" s="758"/>
      <c r="I5114" s="519"/>
      <c r="J5114" s="758"/>
      <c r="K5114" s="758"/>
      <c r="L5114" s="758"/>
      <c r="M5114" s="758"/>
      <c r="N5114" s="758"/>
      <c r="O5114" s="758"/>
      <c r="P5114" s="758"/>
      <c r="Q5114" s="519"/>
      <c r="R5114" s="759">
        <f t="shared" ref="R5114" si="184">$A5114*Q5114</f>
        <v>0</v>
      </c>
      <c r="S5114" s="519"/>
      <c r="T5114" s="760">
        <f t="shared" ref="T5114" si="185">$A5114*S5114*$T$1</f>
        <v>0</v>
      </c>
      <c r="AR5114" s="758"/>
      <c r="AS5114" s="753"/>
    </row>
    <row r="5115" spans="1:45" s="520" customFormat="1" ht="12.6" thickBot="1">
      <c r="A5115" s="761" t="s">
        <v>145</v>
      </c>
      <c r="B5115" s="762">
        <f>(R5114+T5114)</f>
        <v>0</v>
      </c>
      <c r="C5115" s="763"/>
      <c r="D5115" s="763"/>
      <c r="E5115" s="763"/>
      <c r="F5115" s="764"/>
      <c r="G5115" s="763" t="s">
        <v>146</v>
      </c>
      <c r="H5115" s="763"/>
      <c r="I5115" s="765"/>
      <c r="J5115" s="763"/>
      <c r="K5115" s="763" t="s">
        <v>3</v>
      </c>
      <c r="L5115" s="766" t="s">
        <v>143</v>
      </c>
      <c r="M5115" s="766"/>
      <c r="N5115" s="766"/>
      <c r="O5115" s="766"/>
      <c r="P5115" s="766"/>
      <c r="Q5115" s="767"/>
      <c r="R5115" s="768">
        <f>SUM(R5112:R5114)</f>
        <v>5300.535431203627</v>
      </c>
      <c r="S5115" s="763"/>
      <c r="T5115" s="768">
        <f>SUM(T5112:T5114)</f>
        <v>0</v>
      </c>
      <c r="U5115" s="531"/>
      <c r="V5115" s="531"/>
      <c r="W5115" s="531"/>
      <c r="X5115" s="531"/>
      <c r="Y5115" s="531"/>
      <c r="Z5115" s="531"/>
      <c r="AA5115" s="531"/>
      <c r="AB5115" s="531"/>
      <c r="AC5115" s="531"/>
      <c r="AD5115" s="531"/>
      <c r="AE5115" s="531"/>
      <c r="AF5115" s="531"/>
      <c r="AG5115" s="531"/>
      <c r="AH5115" s="531"/>
      <c r="AI5115" s="531"/>
      <c r="AJ5115" s="531"/>
      <c r="AK5115" s="531"/>
      <c r="AL5115" s="531"/>
      <c r="AM5115" s="531"/>
      <c r="AN5115" s="531"/>
      <c r="AO5115" s="531"/>
      <c r="AR5115" s="761" t="s">
        <v>145</v>
      </c>
      <c r="AS5115" s="764"/>
    </row>
    <row r="5116" spans="1:45" s="520" customFormat="1" thickTop="1">
      <c r="A5116" s="51"/>
      <c r="B5116" s="51"/>
      <c r="C5116" s="3"/>
      <c r="D5116" s="3"/>
      <c r="E5116" s="51"/>
      <c r="F5116" s="51"/>
      <c r="G5116" s="51"/>
      <c r="H5116" s="51"/>
      <c r="I5116" s="51"/>
      <c r="J5116" s="51"/>
      <c r="K5116" s="51" t="s">
        <v>134</v>
      </c>
      <c r="L5116" s="51"/>
      <c r="M5116" s="51"/>
      <c r="N5116" s="51"/>
      <c r="O5116" s="52"/>
      <c r="P5116" s="51"/>
      <c r="Q5116" s="51"/>
      <c r="R5116" s="51"/>
      <c r="S5116" s="51"/>
      <c r="T5116" s="51"/>
      <c r="AR5116" s="51"/>
      <c r="AS5116" s="51"/>
    </row>
    <row r="5117" spans="1:45" s="520" customFormat="1" ht="12">
      <c r="A5117" s="51"/>
      <c r="B5117" s="51"/>
      <c r="C5117" s="51" t="s">
        <v>135</v>
      </c>
      <c r="D5117" s="37"/>
      <c r="E5117" s="51"/>
      <c r="F5117" s="51"/>
      <c r="G5117" s="51"/>
      <c r="H5117" s="51"/>
      <c r="I5117" s="51"/>
      <c r="J5117" s="51"/>
      <c r="K5117" s="51"/>
      <c r="L5117" s="51"/>
      <c r="M5117" s="51"/>
      <c r="N5117" s="51"/>
      <c r="O5117" s="52"/>
      <c r="P5117" s="51"/>
      <c r="Q5117" s="51"/>
      <c r="R5117" s="51"/>
      <c r="S5117" s="51"/>
      <c r="T5117" s="51"/>
      <c r="AR5117" s="51"/>
      <c r="AS5117" s="51"/>
    </row>
    <row r="5118" spans="1:45" s="520" customFormat="1" ht="12">
      <c r="A5118" s="51"/>
      <c r="B5118" s="51"/>
      <c r="C5118" s="51"/>
      <c r="D5118" s="37" t="s">
        <v>362</v>
      </c>
      <c r="E5118" s="51"/>
      <c r="F5118" s="51"/>
      <c r="G5118" s="51"/>
      <c r="H5118" s="51"/>
      <c r="I5118" s="51"/>
      <c r="J5118" s="51"/>
      <c r="K5118" s="51"/>
      <c r="L5118" s="51"/>
      <c r="M5118" s="51"/>
      <c r="N5118" s="51"/>
      <c r="O5118" s="52"/>
      <c r="P5118" s="51"/>
      <c r="Q5118" s="51"/>
      <c r="R5118" s="51"/>
      <c r="S5118" s="38"/>
      <c r="T5118" s="38"/>
      <c r="AR5118" s="51"/>
      <c r="AS5118" s="51"/>
    </row>
    <row r="5119" spans="1:45" s="3" customFormat="1" thickBot="1">
      <c r="A5119" s="531"/>
      <c r="O5119" s="107"/>
      <c r="AR5119" s="531"/>
    </row>
    <row r="5120" spans="1:45" s="520" customFormat="1" ht="12" thickTop="1">
      <c r="A5120" s="51"/>
      <c r="B5120" s="41"/>
      <c r="C5120" s="51"/>
      <c r="E5120" s="42" t="s">
        <v>138</v>
      </c>
      <c r="F5120" s="42" t="s">
        <v>139</v>
      </c>
      <c r="G5120" s="51"/>
      <c r="H5120" s="51"/>
      <c r="I5120" s="51"/>
      <c r="J5120" s="51"/>
      <c r="K5120" s="51" t="s">
        <v>140</v>
      </c>
      <c r="L5120" s="51"/>
      <c r="M5120" s="51"/>
      <c r="N5120" s="51"/>
      <c r="O5120" s="52"/>
      <c r="P5120" s="51"/>
      <c r="Q5120" s="51"/>
      <c r="R5120" s="51"/>
      <c r="S5120" s="51"/>
      <c r="T5120" s="41"/>
      <c r="AG5120" s="521" t="s">
        <v>268</v>
      </c>
      <c r="AH5120" s="521" t="s">
        <v>269</v>
      </c>
      <c r="AI5120" s="521" t="s">
        <v>270</v>
      </c>
      <c r="AJ5120" s="521" t="s">
        <v>271</v>
      </c>
      <c r="AK5120" s="521" t="s">
        <v>272</v>
      </c>
      <c r="AM5120" s="745" t="s">
        <v>281</v>
      </c>
      <c r="AN5120" s="746" t="s">
        <v>282</v>
      </c>
      <c r="AO5120" s="522" t="s">
        <v>278</v>
      </c>
      <c r="AR5120" s="51"/>
      <c r="AS5120" s="42" t="s">
        <v>139</v>
      </c>
    </row>
    <row r="5121" spans="1:45" s="520" customFormat="1" ht="12" customHeight="1">
      <c r="A5121" s="747">
        <v>4</v>
      </c>
      <c r="B5121" s="523" t="s">
        <v>329</v>
      </c>
      <c r="C5121" s="748"/>
      <c r="D5121" s="749" t="s">
        <v>1111</v>
      </c>
      <c r="E5121" s="750">
        <f>IF(AND($A5121=0,$A$1="DIF"),0, ROUND(ROUND(($R5125*$S$2+($T5125*$T$2))/A5121,2)*$C$2,2))</f>
        <v>43.84</v>
      </c>
      <c r="F5121" s="751">
        <f>ROUND($A5121*$E5121,2)</f>
        <v>175.36</v>
      </c>
      <c r="G5121" s="752" t="s">
        <v>142</v>
      </c>
      <c r="H5121" s="753"/>
      <c r="I5121" s="754"/>
      <c r="J5121" s="753"/>
      <c r="K5121" s="753" t="s">
        <v>3</v>
      </c>
      <c r="L5121" s="755" t="s">
        <v>143</v>
      </c>
      <c r="M5121" s="755"/>
      <c r="N5121" s="755"/>
      <c r="O5121" s="755"/>
      <c r="P5121" s="755"/>
      <c r="Q5121" s="51"/>
      <c r="T5121" s="756" t="str">
        <f>IF(AND($R5125=0,$T5125=0),"0.00","mu :" &amp; ROUND($F5121/$C$2/($R5125+$T5125*$D$9),2))</f>
        <v>mu :1.23</v>
      </c>
      <c r="W5121" s="524"/>
      <c r="AG5121" s="481">
        <f>IF($E5121=0,0,ROUND($R5125*$S$2*$C$2/$A5121,2))</f>
        <v>43.84</v>
      </c>
      <c r="AH5121" s="481">
        <f>$AG5121*$A5121</f>
        <v>175.36</v>
      </c>
      <c r="AI5121" s="525">
        <f>$E5121-$AG5121</f>
        <v>0</v>
      </c>
      <c r="AJ5121" s="525">
        <f>$A5121*$AI5121</f>
        <v>0</v>
      </c>
      <c r="AK5121" s="526">
        <f>ROUND(($AG5121+$AI5121)*$A5121,2)</f>
        <v>175.36</v>
      </c>
      <c r="AM5121" s="527">
        <f>ROUND(R5125,2)</f>
        <v>142.4</v>
      </c>
      <c r="AN5121" s="528">
        <f>ROUND(T5125,2)</f>
        <v>0</v>
      </c>
      <c r="AO5121" s="529">
        <f>ROUND(AM5121+AN5121,2)*A5121</f>
        <v>569.6</v>
      </c>
      <c r="AR5121" s="747">
        <v>4</v>
      </c>
      <c r="AS5121" s="751">
        <v>175.36</v>
      </c>
    </row>
    <row r="5122" spans="1:45" s="520" customFormat="1" ht="13.2">
      <c r="A5122" s="748"/>
      <c r="B5122"/>
      <c r="C5122" s="748"/>
      <c r="D5122" s="749" t="s">
        <v>868</v>
      </c>
      <c r="F5122" s="753"/>
      <c r="G5122" s="3"/>
      <c r="H5122" s="753"/>
      <c r="I5122" s="754"/>
      <c r="J5122" s="753"/>
      <c r="K5122" s="753" t="s">
        <v>144</v>
      </c>
      <c r="L5122" s="753"/>
      <c r="M5122" s="753"/>
      <c r="N5122" s="753"/>
      <c r="O5122" s="753"/>
      <c r="P5122" s="753"/>
      <c r="Q5122" s="51"/>
      <c r="R5122" s="530"/>
      <c r="S5122" s="757"/>
      <c r="T5122" s="753"/>
      <c r="AR5122" s="748"/>
      <c r="AS5122" s="753"/>
    </row>
    <row r="5123" spans="1:45" s="901" customFormat="1" ht="13.2">
      <c r="A5123" s="116">
        <v>4</v>
      </c>
      <c r="B5123" s="901" t="s">
        <v>141</v>
      </c>
      <c r="D5123" s="901" t="s">
        <v>3066</v>
      </c>
      <c r="E5123" s="1054" t="s">
        <v>3083</v>
      </c>
      <c r="F5123" s="1054" t="s">
        <v>3082</v>
      </c>
      <c r="G5123" s="941" t="s">
        <v>3067</v>
      </c>
      <c r="H5123" s="942">
        <v>835</v>
      </c>
      <c r="I5123" s="901" t="s">
        <v>2607</v>
      </c>
      <c r="O5123" s="943">
        <v>3</v>
      </c>
      <c r="P5123" s="944"/>
      <c r="Q5123" s="945">
        <v>35.6</v>
      </c>
      <c r="R5123" s="946">
        <f>$A5123*Q5123</f>
        <v>142.4</v>
      </c>
      <c r="S5123" s="945"/>
      <c r="T5123" s="947">
        <f>$A5123*S5123*$T$1</f>
        <v>0</v>
      </c>
      <c r="AR5123" s="116">
        <v>4</v>
      </c>
      <c r="AS5123" s="1054" t="s">
        <v>3082</v>
      </c>
    </row>
    <row r="5124" spans="1:45" s="520" customFormat="1" ht="12">
      <c r="A5124" s="758"/>
      <c r="B5124" s="758"/>
      <c r="C5124" s="758"/>
      <c r="D5124" s="758"/>
      <c r="E5124" s="758"/>
      <c r="F5124" s="753"/>
      <c r="G5124" s="758"/>
      <c r="H5124" s="758"/>
      <c r="I5124" s="519"/>
      <c r="J5124" s="758"/>
      <c r="K5124" s="758"/>
      <c r="L5124" s="758"/>
      <c r="M5124" s="758"/>
      <c r="N5124" s="758"/>
      <c r="O5124" s="758"/>
      <c r="P5124" s="758"/>
      <c r="Q5124" s="519"/>
      <c r="R5124" s="759">
        <f t="shared" ref="R5124" si="186">$A5124*Q5124</f>
        <v>0</v>
      </c>
      <c r="S5124" s="519"/>
      <c r="T5124" s="760">
        <f t="shared" ref="T5124" si="187">$A5124*S5124*$T$1</f>
        <v>0</v>
      </c>
      <c r="AR5124" s="758"/>
      <c r="AS5124" s="753"/>
    </row>
    <row r="5125" spans="1:45" s="520" customFormat="1" ht="12.6" thickBot="1">
      <c r="A5125" s="761" t="s">
        <v>145</v>
      </c>
      <c r="B5125" s="762">
        <f>(R5124+T5124)</f>
        <v>0</v>
      </c>
      <c r="C5125" s="763"/>
      <c r="D5125" s="763"/>
      <c r="E5125" s="763"/>
      <c r="F5125" s="764"/>
      <c r="G5125" s="763" t="s">
        <v>146</v>
      </c>
      <c r="H5125" s="763"/>
      <c r="I5125" s="765"/>
      <c r="J5125" s="763"/>
      <c r="K5125" s="763" t="s">
        <v>3</v>
      </c>
      <c r="L5125" s="766" t="s">
        <v>143</v>
      </c>
      <c r="M5125" s="766"/>
      <c r="N5125" s="766"/>
      <c r="O5125" s="766"/>
      <c r="P5125" s="766"/>
      <c r="Q5125" s="767"/>
      <c r="R5125" s="768">
        <f>SUM(R5122:R5124)</f>
        <v>142.4</v>
      </c>
      <c r="S5125" s="763"/>
      <c r="T5125" s="768">
        <f>SUM(T5122:T5124)</f>
        <v>0</v>
      </c>
      <c r="U5125" s="531"/>
      <c r="V5125" s="531"/>
      <c r="W5125" s="531"/>
      <c r="X5125" s="531"/>
      <c r="Y5125" s="531"/>
      <c r="Z5125" s="531"/>
      <c r="AA5125" s="531"/>
      <c r="AB5125" s="531"/>
      <c r="AC5125" s="531"/>
      <c r="AD5125" s="531"/>
      <c r="AE5125" s="531"/>
      <c r="AF5125" s="531"/>
      <c r="AG5125" s="531"/>
      <c r="AH5125" s="531"/>
      <c r="AI5125" s="531"/>
      <c r="AJ5125" s="531"/>
      <c r="AK5125" s="531"/>
      <c r="AL5125" s="531"/>
      <c r="AM5125" s="531"/>
      <c r="AN5125" s="531"/>
      <c r="AO5125" s="531"/>
      <c r="AR5125" s="761" t="s">
        <v>145</v>
      </c>
      <c r="AS5125" s="764"/>
    </row>
    <row r="5126" spans="1:45" s="520" customFormat="1" thickTop="1">
      <c r="A5126" s="51"/>
      <c r="B5126" s="51"/>
      <c r="C5126" s="3"/>
      <c r="D5126" s="3"/>
      <c r="E5126" s="51"/>
      <c r="F5126" s="51"/>
      <c r="G5126" s="51"/>
      <c r="H5126" s="51"/>
      <c r="I5126" s="51"/>
      <c r="J5126" s="51"/>
      <c r="K5126" s="51" t="s">
        <v>134</v>
      </c>
      <c r="L5126" s="51"/>
      <c r="M5126" s="51"/>
      <c r="N5126" s="51"/>
      <c r="O5126" s="52"/>
      <c r="P5126" s="51"/>
      <c r="Q5126" s="51"/>
      <c r="R5126" s="51"/>
      <c r="S5126" s="51"/>
      <c r="T5126" s="51"/>
      <c r="AR5126" s="51"/>
      <c r="AS5126" s="51"/>
    </row>
    <row r="5127" spans="1:45" s="520" customFormat="1" ht="12">
      <c r="A5127" s="51"/>
      <c r="B5127" s="51"/>
      <c r="C5127" s="51" t="s">
        <v>135</v>
      </c>
      <c r="D5127" s="37"/>
      <c r="E5127" s="51"/>
      <c r="F5127" s="51"/>
      <c r="G5127" s="51"/>
      <c r="H5127" s="51"/>
      <c r="I5127" s="51"/>
      <c r="J5127" s="51"/>
      <c r="K5127" s="51"/>
      <c r="L5127" s="51"/>
      <c r="M5127" s="51"/>
      <c r="N5127" s="51"/>
      <c r="O5127" s="52"/>
      <c r="P5127" s="51"/>
      <c r="Q5127" s="51"/>
      <c r="R5127" s="51"/>
      <c r="S5127" s="51"/>
      <c r="T5127" s="51"/>
      <c r="AR5127" s="51"/>
      <c r="AS5127" s="51"/>
    </row>
    <row r="5128" spans="1:45" s="520" customFormat="1" ht="12">
      <c r="A5128" s="51"/>
      <c r="B5128" s="51"/>
      <c r="C5128" s="51"/>
      <c r="D5128" s="37" t="s">
        <v>368</v>
      </c>
      <c r="E5128" s="51"/>
      <c r="F5128" s="51"/>
      <c r="G5128" s="51"/>
      <c r="H5128" s="51"/>
      <c r="I5128" s="51"/>
      <c r="J5128" s="51"/>
      <c r="K5128" s="51"/>
      <c r="L5128" s="51"/>
      <c r="M5128" s="51"/>
      <c r="N5128" s="51"/>
      <c r="O5128" s="52"/>
      <c r="P5128" s="51"/>
      <c r="Q5128" s="51"/>
      <c r="R5128" s="51"/>
      <c r="S5128" s="38"/>
      <c r="T5128" s="38"/>
      <c r="AR5128" s="51"/>
      <c r="AS5128" s="51"/>
    </row>
    <row r="5129" spans="1:45" s="3" customFormat="1" thickBot="1">
      <c r="A5129" s="531"/>
      <c r="O5129" s="107"/>
      <c r="AR5129" s="531"/>
    </row>
    <row r="5130" spans="1:45" s="520" customFormat="1" ht="12" thickTop="1">
      <c r="A5130" s="51"/>
      <c r="B5130" s="41"/>
      <c r="C5130" s="51"/>
      <c r="E5130" s="42" t="s">
        <v>138</v>
      </c>
      <c r="F5130" s="42" t="s">
        <v>139</v>
      </c>
      <c r="G5130" s="51"/>
      <c r="H5130" s="51"/>
      <c r="I5130" s="51"/>
      <c r="J5130" s="51"/>
      <c r="K5130" s="51" t="s">
        <v>140</v>
      </c>
      <c r="L5130" s="51"/>
      <c r="M5130" s="51"/>
      <c r="N5130" s="51"/>
      <c r="O5130" s="52"/>
      <c r="P5130" s="51"/>
      <c r="Q5130" s="51"/>
      <c r="R5130" s="51"/>
      <c r="S5130" s="51"/>
      <c r="T5130" s="41"/>
      <c r="AG5130" s="521" t="s">
        <v>268</v>
      </c>
      <c r="AH5130" s="521" t="s">
        <v>269</v>
      </c>
      <c r="AI5130" s="521" t="s">
        <v>270</v>
      </c>
      <c r="AJ5130" s="521" t="s">
        <v>271</v>
      </c>
      <c r="AK5130" s="521" t="s">
        <v>272</v>
      </c>
      <c r="AM5130" s="745" t="s">
        <v>281</v>
      </c>
      <c r="AN5130" s="746" t="s">
        <v>282</v>
      </c>
      <c r="AO5130" s="522" t="s">
        <v>278</v>
      </c>
      <c r="AR5130" s="51"/>
      <c r="AS5130" s="42" t="s">
        <v>139</v>
      </c>
    </row>
    <row r="5131" spans="1:45" s="520" customFormat="1" ht="12" customHeight="1">
      <c r="A5131" s="747">
        <v>7</v>
      </c>
      <c r="B5131" s="523" t="s">
        <v>329</v>
      </c>
      <c r="C5131" s="748"/>
      <c r="D5131" s="749" t="s">
        <v>1113</v>
      </c>
      <c r="E5131" s="750">
        <f>IF(AND($A5131=0,$A$1="DIF"),0, ROUND(ROUND(($R5135*$S$2+($T5135*$T$2))/A5131,2)*$C$2,2))</f>
        <v>43.84</v>
      </c>
      <c r="F5131" s="751">
        <f>ROUND($A5131*$E5131,2)</f>
        <v>306.88</v>
      </c>
      <c r="G5131" s="752" t="s">
        <v>142</v>
      </c>
      <c r="H5131" s="753"/>
      <c r="I5131" s="754"/>
      <c r="J5131" s="753"/>
      <c r="K5131" s="753" t="s">
        <v>3</v>
      </c>
      <c r="L5131" s="755" t="s">
        <v>143</v>
      </c>
      <c r="M5131" s="755"/>
      <c r="N5131" s="755"/>
      <c r="O5131" s="755"/>
      <c r="P5131" s="755"/>
      <c r="Q5131" s="51"/>
      <c r="T5131" s="756" t="str">
        <f>IF(AND($R5135=0,$T5135=0),"0.00","mu :" &amp; ROUND($F5131/$C$2/($R5135+$T5135*$D$9),2))</f>
        <v>mu :1.23</v>
      </c>
      <c r="W5131" s="524"/>
      <c r="AG5131" s="481">
        <f>IF($E5131=0,0,ROUND($R5135*$S$2*$C$2/$A5131,2))</f>
        <v>43.84</v>
      </c>
      <c r="AH5131" s="481">
        <f>$AG5131*$A5131</f>
        <v>306.88</v>
      </c>
      <c r="AI5131" s="525">
        <f>$E5131-$AG5131</f>
        <v>0</v>
      </c>
      <c r="AJ5131" s="525">
        <f>$A5131*$AI5131</f>
        <v>0</v>
      </c>
      <c r="AK5131" s="526">
        <f>ROUND(($AG5131+$AI5131)*$A5131,2)</f>
        <v>306.88</v>
      </c>
      <c r="AM5131" s="527">
        <f>ROUND(R5135,2)</f>
        <v>249.2</v>
      </c>
      <c r="AN5131" s="528">
        <f>ROUND(T5135,2)</f>
        <v>0</v>
      </c>
      <c r="AO5131" s="529">
        <f>ROUND(AM5131+AN5131,2)*A5131</f>
        <v>1744.3999999999999</v>
      </c>
      <c r="AR5131" s="747">
        <v>7</v>
      </c>
      <c r="AS5131" s="751">
        <v>306.88</v>
      </c>
    </row>
    <row r="5132" spans="1:45" s="520" customFormat="1" ht="13.2">
      <c r="A5132" s="748"/>
      <c r="B5132"/>
      <c r="C5132" s="748"/>
      <c r="D5132" s="749" t="s">
        <v>868</v>
      </c>
      <c r="F5132" s="753"/>
      <c r="G5132" s="3"/>
      <c r="H5132" s="753"/>
      <c r="I5132" s="754"/>
      <c r="J5132" s="753"/>
      <c r="K5132" s="753" t="s">
        <v>144</v>
      </c>
      <c r="L5132" s="753"/>
      <c r="M5132" s="753"/>
      <c r="N5132" s="753"/>
      <c r="O5132" s="753"/>
      <c r="P5132" s="753"/>
      <c r="Q5132" s="51"/>
      <c r="R5132" s="530"/>
      <c r="S5132" s="757"/>
      <c r="T5132" s="753"/>
      <c r="AR5132" s="748"/>
      <c r="AS5132" s="753"/>
    </row>
    <row r="5133" spans="1:45" s="901" customFormat="1" ht="13.2">
      <c r="A5133" s="116">
        <v>7</v>
      </c>
      <c r="B5133" s="901" t="s">
        <v>141</v>
      </c>
      <c r="D5133" s="901" t="s">
        <v>3066</v>
      </c>
      <c r="E5133" s="1054" t="s">
        <v>3083</v>
      </c>
      <c r="F5133" s="1054" t="s">
        <v>3082</v>
      </c>
      <c r="G5133" s="941" t="s">
        <v>3067</v>
      </c>
      <c r="H5133" s="942">
        <v>835</v>
      </c>
      <c r="I5133" s="901" t="s">
        <v>2607</v>
      </c>
      <c r="O5133" s="943">
        <v>3</v>
      </c>
      <c r="P5133" s="944"/>
      <c r="Q5133" s="945">
        <v>35.6</v>
      </c>
      <c r="R5133" s="946">
        <f>$A5133*Q5133</f>
        <v>249.20000000000002</v>
      </c>
      <c r="S5133" s="945"/>
      <c r="T5133" s="947">
        <f>$A5133*S5133*$T$1</f>
        <v>0</v>
      </c>
      <c r="AR5133" s="116">
        <v>7</v>
      </c>
      <c r="AS5133" s="1054" t="s">
        <v>3082</v>
      </c>
    </row>
    <row r="5134" spans="1:45" s="520" customFormat="1" ht="12">
      <c r="A5134" s="758"/>
      <c r="B5134" s="758"/>
      <c r="C5134" s="758"/>
      <c r="D5134" s="758"/>
      <c r="E5134" s="758"/>
      <c r="F5134" s="753"/>
      <c r="G5134" s="758"/>
      <c r="H5134" s="758"/>
      <c r="I5134" s="519"/>
      <c r="J5134" s="758"/>
      <c r="K5134" s="758"/>
      <c r="L5134" s="758"/>
      <c r="M5134" s="758"/>
      <c r="N5134" s="758"/>
      <c r="O5134" s="758"/>
      <c r="P5134" s="758"/>
      <c r="Q5134" s="519"/>
      <c r="R5134" s="759">
        <f t="shared" ref="R5134" si="188">$A5134*Q5134</f>
        <v>0</v>
      </c>
      <c r="S5134" s="519"/>
      <c r="T5134" s="760">
        <f t="shared" ref="T5134" si="189">$A5134*S5134*$T$1</f>
        <v>0</v>
      </c>
      <c r="AR5134" s="758"/>
      <c r="AS5134" s="753"/>
    </row>
    <row r="5135" spans="1:45" s="520" customFormat="1" ht="12.6" thickBot="1">
      <c r="A5135" s="761" t="s">
        <v>145</v>
      </c>
      <c r="B5135" s="762">
        <f>(R5134+T5134)</f>
        <v>0</v>
      </c>
      <c r="C5135" s="763"/>
      <c r="D5135" s="763"/>
      <c r="E5135" s="763"/>
      <c r="F5135" s="764"/>
      <c r="G5135" s="763" t="s">
        <v>146</v>
      </c>
      <c r="H5135" s="763"/>
      <c r="I5135" s="765"/>
      <c r="J5135" s="763"/>
      <c r="K5135" s="763" t="s">
        <v>3</v>
      </c>
      <c r="L5135" s="766" t="s">
        <v>143</v>
      </c>
      <c r="M5135" s="766"/>
      <c r="N5135" s="766"/>
      <c r="O5135" s="766"/>
      <c r="P5135" s="766"/>
      <c r="Q5135" s="767"/>
      <c r="R5135" s="768">
        <f>SUM(R5132:R5134)</f>
        <v>249.20000000000002</v>
      </c>
      <c r="S5135" s="763"/>
      <c r="T5135" s="768">
        <f>SUM(T5132:T5134)</f>
        <v>0</v>
      </c>
      <c r="U5135" s="531"/>
      <c r="V5135" s="531"/>
      <c r="W5135" s="531"/>
      <c r="X5135" s="531"/>
      <c r="Y5135" s="531"/>
      <c r="Z5135" s="531"/>
      <c r="AA5135" s="531"/>
      <c r="AB5135" s="531"/>
      <c r="AC5135" s="531"/>
      <c r="AD5135" s="531"/>
      <c r="AE5135" s="531"/>
      <c r="AF5135" s="531"/>
      <c r="AG5135" s="531"/>
      <c r="AH5135" s="531"/>
      <c r="AI5135" s="531"/>
      <c r="AJ5135" s="531"/>
      <c r="AK5135" s="531"/>
      <c r="AL5135" s="531"/>
      <c r="AM5135" s="531"/>
      <c r="AN5135" s="531"/>
      <c r="AO5135" s="531"/>
      <c r="AR5135" s="761" t="s">
        <v>145</v>
      </c>
      <c r="AS5135" s="764"/>
    </row>
    <row r="5136" spans="1:45" s="520" customFormat="1" ht="12" thickTop="1">
      <c r="A5136" s="51"/>
      <c r="B5136" s="41"/>
      <c r="C5136" s="51"/>
      <c r="E5136" s="42" t="s">
        <v>138</v>
      </c>
      <c r="F5136" s="42" t="s">
        <v>139</v>
      </c>
      <c r="G5136" s="51"/>
      <c r="H5136" s="51"/>
      <c r="I5136" s="51"/>
      <c r="J5136" s="51"/>
      <c r="K5136" s="51" t="s">
        <v>140</v>
      </c>
      <c r="L5136" s="51"/>
      <c r="M5136" s="51"/>
      <c r="N5136" s="51"/>
      <c r="O5136" s="52"/>
      <c r="P5136" s="51"/>
      <c r="Q5136" s="51"/>
      <c r="R5136" s="51"/>
      <c r="S5136" s="51"/>
      <c r="T5136" s="41"/>
      <c r="AG5136" s="521" t="s">
        <v>268</v>
      </c>
      <c r="AH5136" s="521" t="s">
        <v>269</v>
      </c>
      <c r="AI5136" s="521" t="s">
        <v>270</v>
      </c>
      <c r="AJ5136" s="521" t="s">
        <v>271</v>
      </c>
      <c r="AK5136" s="521" t="s">
        <v>272</v>
      </c>
      <c r="AM5136" s="745" t="s">
        <v>281</v>
      </c>
      <c r="AN5136" s="746" t="s">
        <v>282</v>
      </c>
      <c r="AO5136" s="522" t="s">
        <v>278</v>
      </c>
      <c r="AR5136" s="51"/>
      <c r="AS5136" s="42" t="s">
        <v>139</v>
      </c>
    </row>
    <row r="5137" spans="1:45" s="520" customFormat="1" ht="12" customHeight="1">
      <c r="A5137" s="747">
        <v>3</v>
      </c>
      <c r="B5137" s="523" t="s">
        <v>329</v>
      </c>
      <c r="C5137" s="748"/>
      <c r="D5137" s="749" t="s">
        <v>1115</v>
      </c>
      <c r="E5137" s="750">
        <f>IF(AND($A5137=0,$A$1="DIF"),0, ROUND(ROUND(($R5141*$S$2+($T5141*$T$2))/A5137,2)*$C$2,2))</f>
        <v>133.79</v>
      </c>
      <c r="F5137" s="751">
        <f>ROUND($A5137*$E5137,2)</f>
        <v>401.37</v>
      </c>
      <c r="G5137" s="752" t="s">
        <v>142</v>
      </c>
      <c r="H5137" s="753"/>
      <c r="I5137" s="754"/>
      <c r="J5137" s="753"/>
      <c r="K5137" s="753" t="s">
        <v>3</v>
      </c>
      <c r="L5137" s="755" t="s">
        <v>143</v>
      </c>
      <c r="M5137" s="755"/>
      <c r="N5137" s="755"/>
      <c r="O5137" s="755"/>
      <c r="P5137" s="755"/>
      <c r="Q5137" s="51"/>
      <c r="T5137" s="756" t="str">
        <f>IF(AND($R5141=0,$T5141=0),"0.00","mu :" &amp; ROUND($F5137/$C$2/($R5141+$T5141*$D$9),2))</f>
        <v>mu :1.23</v>
      </c>
      <c r="W5137" s="524"/>
      <c r="AG5137" s="481">
        <f>IF($E5137=0,0,ROUND($R5141*$S$2*$C$2/$A5137,2))</f>
        <v>133.79</v>
      </c>
      <c r="AH5137" s="481">
        <f>$AG5137*$A5137</f>
        <v>401.37</v>
      </c>
      <c r="AI5137" s="525">
        <f>$E5137-$AG5137</f>
        <v>0</v>
      </c>
      <c r="AJ5137" s="525">
        <f>$A5137*$AI5137</f>
        <v>0</v>
      </c>
      <c r="AK5137" s="526">
        <f>ROUND(($AG5137+$AI5137)*$A5137,2)</f>
        <v>401.37</v>
      </c>
      <c r="AM5137" s="527">
        <f>ROUND(R5141,2)</f>
        <v>325.95</v>
      </c>
      <c r="AN5137" s="528">
        <f>ROUND(T5141,2)</f>
        <v>0</v>
      </c>
      <c r="AO5137" s="529">
        <f>ROUND(AM5137+AN5137,2)*A5137</f>
        <v>977.84999999999991</v>
      </c>
      <c r="AR5137" s="747">
        <v>3</v>
      </c>
      <c r="AS5137" s="751">
        <v>401.37</v>
      </c>
    </row>
    <row r="5138" spans="1:45" s="520" customFormat="1" ht="13.2">
      <c r="A5138" s="748"/>
      <c r="B5138"/>
      <c r="C5138" s="748"/>
      <c r="D5138" s="749" t="s">
        <v>879</v>
      </c>
      <c r="F5138" s="753"/>
      <c r="G5138" s="3"/>
      <c r="H5138" s="753"/>
      <c r="I5138" s="754"/>
      <c r="J5138" s="753"/>
      <c r="K5138" s="753" t="s">
        <v>144</v>
      </c>
      <c r="L5138" s="753"/>
      <c r="M5138" s="753"/>
      <c r="N5138" s="753"/>
      <c r="O5138" s="753"/>
      <c r="P5138" s="753"/>
      <c r="Q5138" s="51"/>
      <c r="R5138" s="530"/>
      <c r="S5138" s="757"/>
      <c r="T5138" s="753"/>
      <c r="AR5138" s="748"/>
      <c r="AS5138" s="753"/>
    </row>
    <row r="5139" spans="1:45" s="901" customFormat="1" ht="13.2">
      <c r="A5139" s="116">
        <v>3</v>
      </c>
      <c r="B5139" s="901" t="s">
        <v>141</v>
      </c>
      <c r="D5139" s="901" t="s">
        <v>3074</v>
      </c>
      <c r="E5139" s="1054" t="s">
        <v>3083</v>
      </c>
      <c r="F5139" s="1054" t="s">
        <v>3094</v>
      </c>
      <c r="G5139" s="941" t="s">
        <v>3075</v>
      </c>
      <c r="H5139" s="942">
        <v>835</v>
      </c>
      <c r="I5139" s="901" t="s">
        <v>2607</v>
      </c>
      <c r="O5139" s="943">
        <v>3</v>
      </c>
      <c r="P5139" s="944"/>
      <c r="Q5139" s="945">
        <v>108.65</v>
      </c>
      <c r="R5139" s="946">
        <f>$A5139*Q5139</f>
        <v>325.95000000000005</v>
      </c>
      <c r="S5139" s="945"/>
      <c r="T5139" s="947">
        <f>$A5139*S5139*$T$1</f>
        <v>0</v>
      </c>
      <c r="AR5139" s="116">
        <v>3</v>
      </c>
      <c r="AS5139" s="1054" t="s">
        <v>3094</v>
      </c>
    </row>
    <row r="5140" spans="1:45" s="520" customFormat="1" ht="12">
      <c r="A5140" s="758"/>
      <c r="B5140" s="758"/>
      <c r="C5140" s="758"/>
      <c r="D5140" s="758"/>
      <c r="E5140" s="758"/>
      <c r="F5140" s="753"/>
      <c r="G5140" s="758"/>
      <c r="H5140" s="758"/>
      <c r="I5140" s="519"/>
      <c r="J5140" s="758"/>
      <c r="K5140" s="758"/>
      <c r="L5140" s="758"/>
      <c r="M5140" s="758"/>
      <c r="N5140" s="758"/>
      <c r="O5140" s="758"/>
      <c r="P5140" s="758"/>
      <c r="Q5140" s="519"/>
      <c r="R5140" s="759">
        <f t="shared" ref="R5140" si="190">$A5140*Q5140</f>
        <v>0</v>
      </c>
      <c r="S5140" s="519"/>
      <c r="T5140" s="760">
        <f t="shared" ref="T5140" si="191">$A5140*S5140*$T$1</f>
        <v>0</v>
      </c>
      <c r="AR5140" s="758"/>
      <c r="AS5140" s="753"/>
    </row>
    <row r="5141" spans="1:45" s="520" customFormat="1" ht="12.6" thickBot="1">
      <c r="A5141" s="761" t="s">
        <v>145</v>
      </c>
      <c r="B5141" s="762">
        <f>(R5140+T5140)</f>
        <v>0</v>
      </c>
      <c r="C5141" s="763"/>
      <c r="D5141" s="763"/>
      <c r="E5141" s="763"/>
      <c r="F5141" s="764"/>
      <c r="G5141" s="763" t="s">
        <v>146</v>
      </c>
      <c r="H5141" s="763"/>
      <c r="I5141" s="765"/>
      <c r="J5141" s="763"/>
      <c r="K5141" s="763" t="s">
        <v>3</v>
      </c>
      <c r="L5141" s="766" t="s">
        <v>143</v>
      </c>
      <c r="M5141" s="766"/>
      <c r="N5141" s="766"/>
      <c r="O5141" s="766"/>
      <c r="P5141" s="766"/>
      <c r="Q5141" s="767"/>
      <c r="R5141" s="768">
        <f>SUM(R5138:R5140)</f>
        <v>325.95000000000005</v>
      </c>
      <c r="S5141" s="763"/>
      <c r="T5141" s="768">
        <f>SUM(T5138:T5140)</f>
        <v>0</v>
      </c>
      <c r="U5141" s="531"/>
      <c r="V5141" s="531"/>
      <c r="W5141" s="531"/>
      <c r="X5141" s="531"/>
      <c r="Y5141" s="531"/>
      <c r="Z5141" s="531"/>
      <c r="AA5141" s="531"/>
      <c r="AB5141" s="531"/>
      <c r="AC5141" s="531"/>
      <c r="AD5141" s="531"/>
      <c r="AE5141" s="531"/>
      <c r="AF5141" s="531"/>
      <c r="AG5141" s="531"/>
      <c r="AH5141" s="531"/>
      <c r="AI5141" s="531"/>
      <c r="AJ5141" s="531"/>
      <c r="AK5141" s="531"/>
      <c r="AL5141" s="531"/>
      <c r="AM5141" s="531"/>
      <c r="AN5141" s="531"/>
      <c r="AO5141" s="531"/>
      <c r="AR5141" s="761" t="s">
        <v>145</v>
      </c>
      <c r="AS5141" s="764"/>
    </row>
    <row r="5142" spans="1:45" s="520" customFormat="1" thickTop="1">
      <c r="A5142" s="51"/>
      <c r="B5142" s="51"/>
      <c r="C5142" s="3"/>
      <c r="D5142" s="3"/>
      <c r="E5142" s="51"/>
      <c r="F5142" s="51"/>
      <c r="G5142" s="51"/>
      <c r="H5142" s="51"/>
      <c r="I5142" s="51"/>
      <c r="J5142" s="51"/>
      <c r="K5142" s="51" t="s">
        <v>134</v>
      </c>
      <c r="L5142" s="51"/>
      <c r="M5142" s="51"/>
      <c r="N5142" s="51"/>
      <c r="O5142" s="52"/>
      <c r="P5142" s="51"/>
      <c r="Q5142" s="51"/>
      <c r="R5142" s="51"/>
      <c r="S5142" s="51"/>
      <c r="T5142" s="51"/>
      <c r="AR5142" s="51"/>
      <c r="AS5142" s="51"/>
    </row>
    <row r="5143" spans="1:45" s="520" customFormat="1" ht="12">
      <c r="A5143" s="51"/>
      <c r="B5143" s="51"/>
      <c r="C5143" s="51" t="s">
        <v>135</v>
      </c>
      <c r="D5143" s="37"/>
      <c r="E5143" s="51"/>
      <c r="F5143" s="51"/>
      <c r="G5143" s="51"/>
      <c r="H5143" s="51"/>
      <c r="I5143" s="51"/>
      <c r="J5143" s="51"/>
      <c r="K5143" s="51"/>
      <c r="L5143" s="51"/>
      <c r="M5143" s="51"/>
      <c r="N5143" s="51"/>
      <c r="O5143" s="52"/>
      <c r="P5143" s="51"/>
      <c r="Q5143" s="51"/>
      <c r="R5143" s="51"/>
      <c r="S5143" s="51"/>
      <c r="T5143" s="51"/>
      <c r="AR5143" s="51"/>
      <c r="AS5143" s="51"/>
    </row>
    <row r="5144" spans="1:45" s="520" customFormat="1" ht="12">
      <c r="A5144" s="51"/>
      <c r="B5144" s="51"/>
      <c r="C5144" s="51"/>
      <c r="D5144" s="37" t="s">
        <v>371</v>
      </c>
      <c r="E5144" s="51"/>
      <c r="F5144" s="51"/>
      <c r="G5144" s="51"/>
      <c r="H5144" s="51"/>
      <c r="I5144" s="51"/>
      <c r="J5144" s="51"/>
      <c r="K5144" s="51"/>
      <c r="L5144" s="51"/>
      <c r="M5144" s="51"/>
      <c r="N5144" s="51"/>
      <c r="O5144" s="52"/>
      <c r="P5144" s="51"/>
      <c r="Q5144" s="51"/>
      <c r="R5144" s="51"/>
      <c r="S5144" s="38"/>
      <c r="T5144" s="38"/>
      <c r="AR5144" s="51"/>
      <c r="AS5144" s="51"/>
    </row>
    <row r="5145" spans="1:45" s="3" customFormat="1" thickBot="1">
      <c r="A5145" s="531"/>
      <c r="O5145" s="107"/>
      <c r="AR5145" s="531"/>
    </row>
    <row r="5146" spans="1:45" s="520" customFormat="1" ht="12" thickTop="1">
      <c r="A5146" s="51"/>
      <c r="B5146" s="41"/>
      <c r="C5146" s="51"/>
      <c r="E5146" s="42" t="s">
        <v>138</v>
      </c>
      <c r="F5146" s="42" t="s">
        <v>139</v>
      </c>
      <c r="G5146" s="51"/>
      <c r="H5146" s="51"/>
      <c r="I5146" s="51"/>
      <c r="J5146" s="51"/>
      <c r="K5146" s="51" t="s">
        <v>140</v>
      </c>
      <c r="L5146" s="51"/>
      <c r="M5146" s="51"/>
      <c r="N5146" s="51"/>
      <c r="O5146" s="52"/>
      <c r="P5146" s="51"/>
      <c r="Q5146" s="51"/>
      <c r="R5146" s="51"/>
      <c r="S5146" s="51"/>
      <c r="T5146" s="41"/>
      <c r="AG5146" s="521" t="s">
        <v>268</v>
      </c>
      <c r="AH5146" s="521" t="s">
        <v>269</v>
      </c>
      <c r="AI5146" s="521" t="s">
        <v>270</v>
      </c>
      <c r="AJ5146" s="521" t="s">
        <v>271</v>
      </c>
      <c r="AK5146" s="521" t="s">
        <v>272</v>
      </c>
      <c r="AM5146" s="745" t="s">
        <v>281</v>
      </c>
      <c r="AN5146" s="746" t="s">
        <v>282</v>
      </c>
      <c r="AO5146" s="522" t="s">
        <v>278</v>
      </c>
      <c r="AR5146" s="51"/>
      <c r="AS5146" s="42" t="s">
        <v>139</v>
      </c>
    </row>
    <row r="5147" spans="1:45" s="520" customFormat="1" ht="12" customHeight="1">
      <c r="A5147" s="747">
        <v>7</v>
      </c>
      <c r="B5147" s="523" t="s">
        <v>329</v>
      </c>
      <c r="C5147" s="748"/>
      <c r="D5147" s="749" t="s">
        <v>1117</v>
      </c>
      <c r="E5147" s="750">
        <f>IF(AND($A5147=0,$A$1="DIF"),0, ROUND(ROUND(($R5151*$S$2+($T5151*$T$2))/A5147,2)*$C$2,2))</f>
        <v>43.84</v>
      </c>
      <c r="F5147" s="751">
        <f>ROUND($A5147*$E5147,2)</f>
        <v>306.88</v>
      </c>
      <c r="G5147" s="752" t="s">
        <v>142</v>
      </c>
      <c r="H5147" s="753"/>
      <c r="I5147" s="754"/>
      <c r="J5147" s="753"/>
      <c r="K5147" s="753" t="s">
        <v>3</v>
      </c>
      <c r="L5147" s="755" t="s">
        <v>143</v>
      </c>
      <c r="M5147" s="755"/>
      <c r="N5147" s="755"/>
      <c r="O5147" s="755"/>
      <c r="P5147" s="755"/>
      <c r="Q5147" s="51"/>
      <c r="T5147" s="756" t="str">
        <f>IF(AND($R5151=0,$T5151=0),"0.00","mu :" &amp; ROUND($F5147/$C$2/($R5151+$T5151*$D$9),2))</f>
        <v>mu :1.23</v>
      </c>
      <c r="W5147" s="524"/>
      <c r="AG5147" s="481">
        <f>IF($E5147=0,0,ROUND($R5151*$S$2*$C$2/$A5147,2))</f>
        <v>43.84</v>
      </c>
      <c r="AH5147" s="481">
        <f>$AG5147*$A5147</f>
        <v>306.88</v>
      </c>
      <c r="AI5147" s="525">
        <f>$E5147-$AG5147</f>
        <v>0</v>
      </c>
      <c r="AJ5147" s="525">
        <f>$A5147*$AI5147</f>
        <v>0</v>
      </c>
      <c r="AK5147" s="526">
        <f>ROUND(($AG5147+$AI5147)*$A5147,2)</f>
        <v>306.88</v>
      </c>
      <c r="AM5147" s="527">
        <f>ROUND(R5151,2)</f>
        <v>249.2</v>
      </c>
      <c r="AN5147" s="528">
        <f>ROUND(T5151,2)</f>
        <v>0</v>
      </c>
      <c r="AO5147" s="529">
        <f>ROUND(AM5147+AN5147,2)*A5147</f>
        <v>1744.3999999999999</v>
      </c>
      <c r="AR5147" s="747">
        <v>7</v>
      </c>
      <c r="AS5147" s="751">
        <v>306.88</v>
      </c>
    </row>
    <row r="5148" spans="1:45" s="520" customFormat="1" ht="13.2">
      <c r="A5148" s="748"/>
      <c r="B5148"/>
      <c r="C5148" s="748"/>
      <c r="D5148" s="749" t="s">
        <v>868</v>
      </c>
      <c r="F5148" s="753"/>
      <c r="G5148" s="3"/>
      <c r="H5148" s="753"/>
      <c r="I5148" s="754"/>
      <c r="J5148" s="753"/>
      <c r="K5148" s="753" t="s">
        <v>144</v>
      </c>
      <c r="L5148" s="753"/>
      <c r="M5148" s="753"/>
      <c r="N5148" s="753"/>
      <c r="O5148" s="753"/>
      <c r="P5148" s="753"/>
      <c r="Q5148" s="51"/>
      <c r="R5148" s="530"/>
      <c r="S5148" s="757"/>
      <c r="T5148" s="753"/>
      <c r="AR5148" s="748"/>
      <c r="AS5148" s="753"/>
    </row>
    <row r="5149" spans="1:45" s="901" customFormat="1" ht="13.2">
      <c r="A5149" s="116">
        <v>7</v>
      </c>
      <c r="B5149" s="901" t="s">
        <v>141</v>
      </c>
      <c r="D5149" s="901" t="s">
        <v>3066</v>
      </c>
      <c r="E5149" s="1054" t="s">
        <v>3083</v>
      </c>
      <c r="F5149" s="1054" t="s">
        <v>3082</v>
      </c>
      <c r="G5149" s="941" t="s">
        <v>3067</v>
      </c>
      <c r="H5149" s="942">
        <v>835</v>
      </c>
      <c r="I5149" s="901" t="s">
        <v>2607</v>
      </c>
      <c r="O5149" s="943">
        <v>3</v>
      </c>
      <c r="P5149" s="944"/>
      <c r="Q5149" s="945">
        <v>35.6</v>
      </c>
      <c r="R5149" s="946">
        <f>$A5149*Q5149</f>
        <v>249.20000000000002</v>
      </c>
      <c r="S5149" s="945"/>
      <c r="T5149" s="947">
        <f>$A5149*S5149*$T$1</f>
        <v>0</v>
      </c>
      <c r="AR5149" s="116">
        <v>7</v>
      </c>
      <c r="AS5149" s="1054" t="s">
        <v>3082</v>
      </c>
    </row>
    <row r="5150" spans="1:45" s="520" customFormat="1" ht="12">
      <c r="A5150" s="758"/>
      <c r="B5150" s="758"/>
      <c r="C5150" s="758"/>
      <c r="D5150" s="758"/>
      <c r="E5150" s="758"/>
      <c r="F5150" s="753"/>
      <c r="G5150" s="758"/>
      <c r="H5150" s="758"/>
      <c r="I5150" s="519"/>
      <c r="J5150" s="758"/>
      <c r="K5150" s="758"/>
      <c r="L5150" s="758"/>
      <c r="M5150" s="758"/>
      <c r="N5150" s="758"/>
      <c r="O5150" s="758"/>
      <c r="P5150" s="758"/>
      <c r="Q5150" s="519"/>
      <c r="R5150" s="759">
        <f t="shared" ref="R5150" si="192">$A5150*Q5150</f>
        <v>0</v>
      </c>
      <c r="S5150" s="519"/>
      <c r="T5150" s="760">
        <f t="shared" ref="T5150" si="193">$A5150*S5150*$T$1</f>
        <v>0</v>
      </c>
      <c r="AR5150" s="758"/>
      <c r="AS5150" s="753"/>
    </row>
    <row r="5151" spans="1:45" s="520" customFormat="1" ht="12.6" thickBot="1">
      <c r="A5151" s="761" t="s">
        <v>145</v>
      </c>
      <c r="B5151" s="762">
        <f>(R5150+T5150)</f>
        <v>0</v>
      </c>
      <c r="C5151" s="763"/>
      <c r="D5151" s="763"/>
      <c r="E5151" s="763"/>
      <c r="F5151" s="764"/>
      <c r="G5151" s="763" t="s">
        <v>146</v>
      </c>
      <c r="H5151" s="763"/>
      <c r="I5151" s="765"/>
      <c r="J5151" s="763"/>
      <c r="K5151" s="763" t="s">
        <v>3</v>
      </c>
      <c r="L5151" s="766" t="s">
        <v>143</v>
      </c>
      <c r="M5151" s="766"/>
      <c r="N5151" s="766"/>
      <c r="O5151" s="766"/>
      <c r="P5151" s="766"/>
      <c r="Q5151" s="767"/>
      <c r="R5151" s="768">
        <f>SUM(R5148:R5150)</f>
        <v>249.20000000000002</v>
      </c>
      <c r="S5151" s="763"/>
      <c r="T5151" s="768">
        <f>SUM(T5148:T5150)</f>
        <v>0</v>
      </c>
      <c r="U5151" s="531"/>
      <c r="V5151" s="531"/>
      <c r="W5151" s="531"/>
      <c r="X5151" s="531"/>
      <c r="Y5151" s="531"/>
      <c r="Z5151" s="531"/>
      <c r="AA5151" s="531"/>
      <c r="AB5151" s="531"/>
      <c r="AC5151" s="531"/>
      <c r="AD5151" s="531"/>
      <c r="AE5151" s="531"/>
      <c r="AF5151" s="531"/>
      <c r="AG5151" s="531"/>
      <c r="AH5151" s="531"/>
      <c r="AI5151" s="531"/>
      <c r="AJ5151" s="531"/>
      <c r="AK5151" s="531"/>
      <c r="AL5151" s="531"/>
      <c r="AM5151" s="531"/>
      <c r="AN5151" s="531"/>
      <c r="AO5151" s="531"/>
      <c r="AR5151" s="761" t="s">
        <v>145</v>
      </c>
      <c r="AS5151" s="764"/>
    </row>
    <row r="5152" spans="1:45" s="520" customFormat="1" ht="12" thickTop="1">
      <c r="A5152" s="48" t="s">
        <v>148</v>
      </c>
      <c r="D5152" s="13"/>
      <c r="E5152" s="42"/>
      <c r="O5152" s="771"/>
      <c r="AR5152" s="48" t="s">
        <v>148</v>
      </c>
    </row>
    <row r="5153" spans="1:45" s="520" customFormat="1" ht="13.2">
      <c r="B5153" s="3"/>
      <c r="O5153" s="771"/>
    </row>
    <row r="5154" spans="1:45" s="520" customFormat="1" ht="12">
      <c r="B5154" s="772">
        <f>$F5154/$C$2-($R5154*$S$2+$T5154*$T$2)</f>
        <v>0.51336816000548424</v>
      </c>
      <c r="D5154" s="773" t="s">
        <v>3637</v>
      </c>
      <c r="E5154" s="774"/>
      <c r="F5154" s="775">
        <f>SUMIF($L4998:$L5152,"ITEM",F4998:F5152)</f>
        <v>56359.009999999995</v>
      </c>
      <c r="G5154" s="758"/>
      <c r="H5154" s="758"/>
      <c r="I5154" s="519"/>
      <c r="J5154" s="758"/>
      <c r="K5154" s="758"/>
      <c r="L5154" s="755" t="s">
        <v>157</v>
      </c>
      <c r="M5154" s="755"/>
      <c r="N5154" s="755"/>
      <c r="O5154" s="755"/>
      <c r="P5154" s="755"/>
      <c r="R5154" s="775">
        <f>SUMIF($L4998:$L5152,"ITEM",R4998:R5152)</f>
        <v>45769.903968216837</v>
      </c>
      <c r="S5154" s="776"/>
      <c r="T5154" s="775">
        <f>SUMIF($L4998:$L5152,"ITEM",T4998:T5152)</f>
        <v>0</v>
      </c>
      <c r="AS5154" s="775">
        <v>30682.83</v>
      </c>
    </row>
    <row r="5155" spans="1:45" s="520" customFormat="1" ht="13.2">
      <c r="A5155" s="51"/>
      <c r="B5155" s="49" t="s">
        <v>1064</v>
      </c>
      <c r="C5155" s="51"/>
      <c r="D5155" s="3"/>
      <c r="F5155" s="777" t="s">
        <v>158</v>
      </c>
      <c r="G5155" s="758"/>
      <c r="H5155" s="758"/>
      <c r="I5155" s="519"/>
      <c r="J5155" s="758"/>
      <c r="K5155" s="758"/>
      <c r="L5155" s="758"/>
      <c r="M5155" s="758"/>
      <c r="N5155" s="758"/>
      <c r="O5155" s="758"/>
      <c r="P5155" s="758"/>
      <c r="Q5155" s="778"/>
      <c r="R5155" s="777" t="s">
        <v>159</v>
      </c>
      <c r="S5155" s="38"/>
      <c r="T5155" s="777" t="s">
        <v>160</v>
      </c>
      <c r="AR5155" s="51"/>
      <c r="AS5155" s="777" t="s">
        <v>158</v>
      </c>
    </row>
    <row r="5156" spans="1:45" s="520" customFormat="1" ht="13.2">
      <c r="A5156" s="758"/>
      <c r="B5156" s="3"/>
      <c r="C5156" s="758"/>
      <c r="D5156" s="3"/>
      <c r="E5156" s="3"/>
      <c r="G5156" s="3"/>
      <c r="H5156" s="3"/>
      <c r="I5156" s="3"/>
      <c r="J5156" s="3"/>
      <c r="K5156" s="3"/>
      <c r="L5156" s="3"/>
      <c r="M5156" s="3"/>
      <c r="N5156" s="3"/>
      <c r="O5156" s="107"/>
      <c r="P5156" s="3"/>
      <c r="Q5156" s="3"/>
      <c r="R5156" s="3"/>
      <c r="S5156" s="3"/>
      <c r="T5156" s="3"/>
      <c r="AR5156" s="758"/>
    </row>
    <row r="5157" spans="1:45" s="520" customFormat="1" ht="12" thickBot="1">
      <c r="A5157" s="531"/>
      <c r="B5157" s="763"/>
      <c r="C5157" s="763"/>
      <c r="D5157" s="531"/>
      <c r="E5157" s="39"/>
      <c r="F5157" s="779"/>
      <c r="G5157" s="763"/>
      <c r="H5157" s="763"/>
      <c r="I5157" s="765"/>
      <c r="J5157" s="763"/>
      <c r="K5157" s="763"/>
      <c r="L5157" s="766"/>
      <c r="M5157" s="766"/>
      <c r="N5157" s="766"/>
      <c r="O5157" s="766"/>
      <c r="P5157" s="766"/>
      <c r="Q5157" s="767"/>
      <c r="R5157" s="779"/>
      <c r="S5157" s="780"/>
      <c r="T5157" s="779"/>
      <c r="U5157" s="531"/>
      <c r="V5157" s="531"/>
      <c r="W5157" s="531"/>
      <c r="X5157" s="531"/>
      <c r="Y5157" s="531"/>
      <c r="Z5157" s="531"/>
      <c r="AA5157" s="531"/>
      <c r="AB5157" s="531"/>
      <c r="AC5157" s="531"/>
      <c r="AD5157" s="531"/>
      <c r="AE5157" s="531"/>
      <c r="AF5157" s="531"/>
      <c r="AG5157" s="531"/>
      <c r="AH5157" s="531"/>
      <c r="AI5157" s="531"/>
      <c r="AJ5157" s="531"/>
      <c r="AK5157" s="531"/>
      <c r="AR5157" s="531"/>
      <c r="AS5157" s="779"/>
    </row>
    <row r="5158" spans="1:45" s="520" customFormat="1" thickTop="1">
      <c r="A5158" s="48" t="s">
        <v>148</v>
      </c>
      <c r="B5158" s="3"/>
      <c r="C5158" s="51"/>
      <c r="D5158" s="51"/>
      <c r="E5158" s="51"/>
      <c r="F5158" s="51"/>
      <c r="G5158" s="51"/>
      <c r="H5158" s="51"/>
      <c r="I5158" s="51"/>
      <c r="J5158" s="51"/>
      <c r="K5158" s="51"/>
      <c r="L5158" s="51"/>
      <c r="M5158" s="51"/>
      <c r="N5158" s="51"/>
      <c r="O5158" s="52"/>
      <c r="P5158" s="51"/>
      <c r="Q5158" s="51"/>
      <c r="R5158" s="51"/>
      <c r="S5158" s="51"/>
      <c r="T5158" s="51"/>
      <c r="AR5158" s="48" t="s">
        <v>148</v>
      </c>
      <c r="AS5158" s="51"/>
    </row>
    <row r="5159" spans="1:45" s="520" customFormat="1" ht="13.2">
      <c r="A5159" s="51"/>
      <c r="B5159" s="3"/>
      <c r="C5159" s="3"/>
      <c r="E5159" s="3"/>
      <c r="F5159" s="3"/>
      <c r="G5159" s="3"/>
      <c r="H5159" s="3"/>
      <c r="I5159" s="3"/>
      <c r="J5159" s="3"/>
      <c r="K5159" s="3"/>
      <c r="L5159" s="3"/>
      <c r="M5159" s="3"/>
      <c r="N5159" s="3"/>
      <c r="O5159" s="107"/>
      <c r="P5159" s="3"/>
      <c r="Q5159" s="3"/>
      <c r="R5159" s="3"/>
      <c r="S5159" s="3"/>
      <c r="T5159" s="3"/>
      <c r="AR5159" s="51"/>
      <c r="AS5159" s="3"/>
    </row>
    <row r="5160" spans="1:45" s="520" customFormat="1" ht="12">
      <c r="A5160" s="51"/>
      <c r="B5160" s="772">
        <f>$F5160/$C$2-($R5160*$S$2+$T5160*$T$2)</f>
        <v>0.51336816000548424</v>
      </c>
      <c r="C5160" s="51"/>
      <c r="D5160" s="121" t="s">
        <v>882</v>
      </c>
      <c r="E5160" s="774"/>
      <c r="F5160" s="782">
        <f>SUMIF($L5004:$L5158,"PAGE",F5004:F5158)</f>
        <v>56359.009999999995</v>
      </c>
      <c r="G5160" s="758"/>
      <c r="H5160" s="758"/>
      <c r="I5160" s="519"/>
      <c r="J5160" s="758"/>
      <c r="K5160" s="758"/>
      <c r="L5160" s="121" t="s">
        <v>1075</v>
      </c>
      <c r="M5160" s="121"/>
      <c r="N5160" s="121"/>
      <c r="O5160" s="122"/>
      <c r="P5160" s="121"/>
      <c r="Q5160" s="51"/>
      <c r="R5160" s="782">
        <f>SUMIF($L5004:$L5158,"PAGE",R5004:R5158)</f>
        <v>45769.903968216837</v>
      </c>
      <c r="S5160" s="51"/>
      <c r="T5160" s="782">
        <f>SUMIF($L5004:$L5158,"PAGE",T5004:T5158)</f>
        <v>0</v>
      </c>
      <c r="AR5160" s="51"/>
      <c r="AS5160" s="782">
        <v>30682.83</v>
      </c>
    </row>
    <row r="5161" spans="1:45" s="520" customFormat="1" ht="12">
      <c r="A5161" s="51"/>
      <c r="B5161" s="49" t="s">
        <v>1064</v>
      </c>
      <c r="C5161" s="51"/>
      <c r="D5161" s="781"/>
      <c r="F5161" s="783" t="s">
        <v>1076</v>
      </c>
      <c r="G5161" s="758"/>
      <c r="H5161" s="758"/>
      <c r="I5161" s="519"/>
      <c r="J5161" s="758"/>
      <c r="K5161" s="758"/>
      <c r="L5161" s="51"/>
      <c r="M5161" s="51"/>
      <c r="N5161" s="51"/>
      <c r="O5161" s="52"/>
      <c r="P5161" s="51"/>
      <c r="Q5161" s="51"/>
      <c r="R5161" s="783" t="s">
        <v>1077</v>
      </c>
      <c r="S5161" s="38"/>
      <c r="T5161" s="783" t="s">
        <v>1078</v>
      </c>
      <c r="AR5161" s="51"/>
      <c r="AS5161" s="783" t="s">
        <v>1076</v>
      </c>
    </row>
    <row r="5162" spans="1:45" s="520" customFormat="1" ht="11.4">
      <c r="O5162" s="771"/>
    </row>
    <row r="5163" spans="1:45" s="520" customFormat="1" ht="12" thickBot="1">
      <c r="A5163" s="763"/>
      <c r="B5163" s="763"/>
      <c r="C5163" s="763"/>
      <c r="D5163" s="763"/>
      <c r="E5163" s="763"/>
      <c r="F5163" s="39"/>
      <c r="G5163" s="531"/>
      <c r="H5163" s="531"/>
      <c r="I5163" s="531"/>
      <c r="J5163" s="531"/>
      <c r="K5163" s="531"/>
      <c r="L5163" s="763"/>
      <c r="M5163" s="763"/>
      <c r="N5163" s="763"/>
      <c r="O5163" s="763"/>
      <c r="P5163" s="763"/>
      <c r="Q5163" s="767"/>
      <c r="R5163" s="39"/>
      <c r="S5163" s="39"/>
      <c r="T5163" s="39"/>
      <c r="U5163" s="531"/>
      <c r="V5163" s="531"/>
      <c r="W5163" s="531"/>
      <c r="X5163" s="531"/>
      <c r="Y5163" s="531"/>
      <c r="Z5163" s="531"/>
      <c r="AA5163" s="531"/>
      <c r="AB5163" s="531"/>
      <c r="AC5163" s="531"/>
      <c r="AD5163" s="531"/>
      <c r="AE5163" s="531"/>
      <c r="AF5163" s="531"/>
      <c r="AG5163" s="531"/>
      <c r="AH5163" s="531"/>
      <c r="AI5163" s="531"/>
      <c r="AJ5163" s="531"/>
      <c r="AK5163" s="531"/>
      <c r="AR5163" s="763"/>
      <c r="AS5163" s="39"/>
    </row>
    <row r="5164" spans="1:45" s="520" customFormat="1" thickTop="1">
      <c r="A5164" s="51"/>
      <c r="B5164" s="51"/>
      <c r="C5164" s="3"/>
      <c r="D5164" s="3"/>
      <c r="E5164" s="51"/>
      <c r="F5164" s="51"/>
      <c r="G5164" s="51"/>
      <c r="H5164" s="51"/>
      <c r="I5164" s="51"/>
      <c r="J5164" s="51"/>
      <c r="K5164" s="51" t="s">
        <v>134</v>
      </c>
      <c r="L5164" s="51"/>
      <c r="M5164" s="51"/>
      <c r="N5164" s="51"/>
      <c r="O5164" s="52"/>
      <c r="P5164" s="51"/>
      <c r="Q5164" s="51"/>
      <c r="R5164" s="51"/>
      <c r="S5164" s="51"/>
      <c r="T5164" s="51"/>
      <c r="AR5164" s="51"/>
      <c r="AS5164" s="51"/>
    </row>
    <row r="5165" spans="1:45" s="520" customFormat="1" ht="12">
      <c r="A5165" s="51"/>
      <c r="B5165" s="51"/>
      <c r="C5165" s="51" t="s">
        <v>135</v>
      </c>
      <c r="D5165" s="37" t="s">
        <v>1860</v>
      </c>
      <c r="E5165" s="51"/>
      <c r="F5165" s="51"/>
      <c r="G5165" s="51"/>
      <c r="H5165" s="51"/>
      <c r="I5165" s="51"/>
      <c r="J5165" s="51"/>
      <c r="K5165" s="51"/>
      <c r="L5165" s="51"/>
      <c r="M5165" s="51"/>
      <c r="N5165" s="51"/>
      <c r="O5165" s="52"/>
      <c r="P5165" s="51"/>
      <c r="Q5165" s="51"/>
      <c r="R5165" s="51"/>
      <c r="S5165" s="51"/>
      <c r="T5165" s="51"/>
      <c r="AR5165" s="51"/>
      <c r="AS5165" s="51"/>
    </row>
    <row r="5166" spans="1:45" s="520" customFormat="1" ht="12">
      <c r="A5166" s="51"/>
      <c r="B5166" s="51"/>
      <c r="C5166" s="51"/>
      <c r="D5166" s="37" t="s">
        <v>883</v>
      </c>
      <c r="E5166" s="51"/>
      <c r="F5166" s="51"/>
      <c r="G5166" s="51"/>
      <c r="H5166" s="51"/>
      <c r="I5166" s="51"/>
      <c r="J5166" s="51"/>
      <c r="K5166" s="51"/>
      <c r="L5166" s="51"/>
      <c r="M5166" s="51"/>
      <c r="N5166" s="51"/>
      <c r="O5166" s="52"/>
      <c r="P5166" s="51"/>
      <c r="Q5166" s="51"/>
      <c r="R5166" s="51"/>
      <c r="S5166" s="38"/>
      <c r="T5166" s="38"/>
      <c r="AR5166" s="51"/>
      <c r="AS5166" s="51"/>
    </row>
    <row r="5167" spans="1:45" s="3" customFormat="1" thickBot="1">
      <c r="A5167" s="531"/>
      <c r="O5167" s="107"/>
      <c r="AR5167" s="531"/>
    </row>
    <row r="5168" spans="1:45" s="520" customFormat="1" thickTop="1">
      <c r="A5168" s="51"/>
      <c r="B5168" s="51"/>
      <c r="C5168" s="3"/>
      <c r="D5168" s="3"/>
      <c r="E5168" s="51"/>
      <c r="F5168" s="51"/>
      <c r="G5168" s="51"/>
      <c r="H5168" s="51"/>
      <c r="I5168" s="51"/>
      <c r="J5168" s="51"/>
      <c r="K5168" s="51" t="s">
        <v>134</v>
      </c>
      <c r="L5168" s="51"/>
      <c r="M5168" s="51"/>
      <c r="N5168" s="51"/>
      <c r="O5168" s="52"/>
      <c r="P5168" s="51"/>
      <c r="Q5168" s="51"/>
      <c r="R5168" s="51"/>
      <c r="S5168" s="51"/>
      <c r="T5168" s="51"/>
      <c r="AR5168" s="51"/>
      <c r="AS5168" s="51"/>
    </row>
    <row r="5169" spans="1:45" s="520" customFormat="1" ht="12">
      <c r="A5169" s="51"/>
      <c r="B5169" s="51"/>
      <c r="C5169" s="51" t="s">
        <v>135</v>
      </c>
      <c r="D5169" s="37"/>
      <c r="E5169" s="51"/>
      <c r="F5169" s="51"/>
      <c r="G5169" s="51"/>
      <c r="H5169" s="51"/>
      <c r="I5169" s="51"/>
      <c r="J5169" s="51"/>
      <c r="K5169" s="51"/>
      <c r="L5169" s="51"/>
      <c r="M5169" s="51"/>
      <c r="N5169" s="51"/>
      <c r="O5169" s="52"/>
      <c r="P5169" s="51"/>
      <c r="Q5169" s="51"/>
      <c r="R5169" s="51"/>
      <c r="S5169" s="51"/>
      <c r="T5169" s="51"/>
      <c r="AR5169" s="51"/>
      <c r="AS5169" s="51"/>
    </row>
    <row r="5170" spans="1:45" s="520" customFormat="1" ht="12">
      <c r="A5170" s="51"/>
      <c r="B5170" s="51"/>
      <c r="C5170" s="51"/>
      <c r="D5170" s="37" t="s">
        <v>884</v>
      </c>
      <c r="E5170" s="51"/>
      <c r="F5170" s="51"/>
      <c r="G5170" s="51"/>
      <c r="H5170" s="51"/>
      <c r="I5170" s="51"/>
      <c r="J5170" s="51"/>
      <c r="K5170" s="51"/>
      <c r="L5170" s="51"/>
      <c r="M5170" s="51"/>
      <c r="N5170" s="51"/>
      <c r="O5170" s="52"/>
      <c r="P5170" s="51"/>
      <c r="Q5170" s="51"/>
      <c r="R5170" s="51"/>
      <c r="S5170" s="38"/>
      <c r="T5170" s="38"/>
      <c r="AR5170" s="51"/>
      <c r="AS5170" s="51"/>
    </row>
    <row r="5171" spans="1:45" s="3" customFormat="1" thickBot="1">
      <c r="A5171" s="531"/>
      <c r="O5171" s="107"/>
      <c r="AR5171" s="531"/>
    </row>
    <row r="5172" spans="1:45" s="520" customFormat="1" thickTop="1">
      <c r="A5172" s="51"/>
      <c r="B5172" s="51"/>
      <c r="C5172" s="3"/>
      <c r="D5172" s="3"/>
      <c r="E5172" s="51"/>
      <c r="F5172" s="51"/>
      <c r="G5172" s="51"/>
      <c r="H5172" s="51"/>
      <c r="I5172" s="51"/>
      <c r="J5172" s="51"/>
      <c r="K5172" s="51" t="s">
        <v>134</v>
      </c>
      <c r="L5172" s="51"/>
      <c r="M5172" s="51"/>
      <c r="N5172" s="51"/>
      <c r="O5172" s="52"/>
      <c r="P5172" s="51"/>
      <c r="Q5172" s="51"/>
      <c r="R5172" s="51"/>
      <c r="S5172" s="51"/>
      <c r="T5172" s="51"/>
      <c r="AR5172" s="51"/>
      <c r="AS5172" s="51"/>
    </row>
    <row r="5173" spans="1:45" s="520" customFormat="1" ht="12">
      <c r="A5173" s="51"/>
      <c r="B5173" s="51"/>
      <c r="C5173" s="51" t="s">
        <v>135</v>
      </c>
      <c r="D5173" s="37"/>
      <c r="E5173" s="51"/>
      <c r="F5173" s="51"/>
      <c r="G5173" s="51"/>
      <c r="H5173" s="51"/>
      <c r="I5173" s="51"/>
      <c r="J5173" s="51"/>
      <c r="K5173" s="51"/>
      <c r="L5173" s="51"/>
      <c r="M5173" s="51"/>
      <c r="N5173" s="51"/>
      <c r="O5173" s="52"/>
      <c r="P5173" s="51"/>
      <c r="Q5173" s="51"/>
      <c r="R5173" s="51"/>
      <c r="S5173" s="51"/>
      <c r="T5173" s="51"/>
      <c r="AR5173" s="51"/>
      <c r="AS5173" s="51"/>
    </row>
    <row r="5174" spans="1:45" s="520" customFormat="1" ht="12">
      <c r="A5174" s="51"/>
      <c r="B5174" s="51"/>
      <c r="C5174" s="51"/>
      <c r="D5174" s="37" t="s">
        <v>343</v>
      </c>
      <c r="E5174" s="51"/>
      <c r="F5174" s="51"/>
      <c r="G5174" s="51"/>
      <c r="H5174" s="51"/>
      <c r="I5174" s="51"/>
      <c r="J5174" s="51"/>
      <c r="K5174" s="51"/>
      <c r="L5174" s="51"/>
      <c r="M5174" s="51"/>
      <c r="N5174" s="51"/>
      <c r="O5174" s="52"/>
      <c r="P5174" s="51"/>
      <c r="Q5174" s="51"/>
      <c r="R5174" s="51"/>
      <c r="S5174" s="38"/>
      <c r="T5174" s="38"/>
      <c r="AR5174" s="51"/>
      <c r="AS5174" s="51"/>
    </row>
    <row r="5175" spans="1:45" s="3" customFormat="1" thickBot="1">
      <c r="A5175" s="531"/>
      <c r="O5175" s="107"/>
      <c r="AR5175" s="531"/>
    </row>
    <row r="5176" spans="1:45" s="520" customFormat="1" ht="12" thickTop="1">
      <c r="A5176" s="51"/>
      <c r="B5176" s="41"/>
      <c r="C5176" s="51"/>
      <c r="E5176" s="42" t="s">
        <v>138</v>
      </c>
      <c r="F5176" s="42" t="s">
        <v>139</v>
      </c>
      <c r="G5176" s="51"/>
      <c r="H5176" s="51"/>
      <c r="I5176" s="51"/>
      <c r="J5176" s="51"/>
      <c r="K5176" s="51" t="s">
        <v>140</v>
      </c>
      <c r="L5176" s="51"/>
      <c r="M5176" s="51"/>
      <c r="N5176" s="51"/>
      <c r="O5176" s="52"/>
      <c r="P5176" s="51"/>
      <c r="Q5176" s="51"/>
      <c r="R5176" s="51"/>
      <c r="S5176" s="51"/>
      <c r="T5176" s="41"/>
      <c r="AG5176" s="521" t="s">
        <v>268</v>
      </c>
      <c r="AH5176" s="521" t="s">
        <v>269</v>
      </c>
      <c r="AI5176" s="521" t="s">
        <v>270</v>
      </c>
      <c r="AJ5176" s="521" t="s">
        <v>271</v>
      </c>
      <c r="AK5176" s="521" t="s">
        <v>272</v>
      </c>
      <c r="AM5176" s="745" t="s">
        <v>281</v>
      </c>
      <c r="AN5176" s="746" t="s">
        <v>282</v>
      </c>
      <c r="AO5176" s="522" t="s">
        <v>278</v>
      </c>
      <c r="AR5176" s="51"/>
      <c r="AS5176" s="42" t="s">
        <v>139</v>
      </c>
    </row>
    <row r="5177" spans="1:45" s="520" customFormat="1" ht="12" customHeight="1">
      <c r="A5177" s="747">
        <v>17</v>
      </c>
      <c r="B5177" s="523" t="s">
        <v>329</v>
      </c>
      <c r="C5177" s="748"/>
      <c r="D5177" s="749" t="s">
        <v>1861</v>
      </c>
      <c r="E5177" s="750">
        <f ca="1">IF(AND($A5177=0,$A$1="DIF"),0, ROUND(ROUND(($R5182*$S$2+($T5182*$T$2))/A5177,2)*$C$2,2))</f>
        <v>17.34</v>
      </c>
      <c r="F5177" s="751">
        <f ca="1">ROUND($A5177*$E5177,2)</f>
        <v>294.77999999999997</v>
      </c>
      <c r="G5177" s="752" t="s">
        <v>142</v>
      </c>
      <c r="H5177" s="753"/>
      <c r="I5177" s="754"/>
      <c r="J5177" s="753"/>
      <c r="K5177" s="753" t="s">
        <v>3</v>
      </c>
      <c r="L5177" s="755" t="s">
        <v>143</v>
      </c>
      <c r="M5177" s="755"/>
      <c r="N5177" s="755"/>
      <c r="O5177" s="755"/>
      <c r="P5177" s="755"/>
      <c r="Q5177" s="51"/>
      <c r="T5177" s="756" t="str">
        <f ca="1">IF(AND($R5182=0,$T5182=0),"0.00","mu :" &amp; ROUND($F5177/$C$2/($R5182+$T5182*$D$9),2))</f>
        <v>mu :1.23</v>
      </c>
      <c r="W5177" s="524"/>
      <c r="AG5177" s="481">
        <f ca="1">IF($E5177=0,0,ROUND($R5182*$S$2*$C$2/$A5177,2))</f>
        <v>1.45</v>
      </c>
      <c r="AH5177" s="481">
        <f ca="1">$AG5177*$A5177</f>
        <v>24.65</v>
      </c>
      <c r="AI5177" s="525">
        <f ca="1">$E5177-$AG5177</f>
        <v>15.89</v>
      </c>
      <c r="AJ5177" s="525">
        <f ca="1">$A5177*$AI5177</f>
        <v>270.13</v>
      </c>
      <c r="AK5177" s="526">
        <f ca="1">ROUND(($AG5177+$AI5177)*$A5177,2)</f>
        <v>294.77999999999997</v>
      </c>
      <c r="AM5177" s="527">
        <f ca="1">ROUND(R5182,2)</f>
        <v>20.059999999999999</v>
      </c>
      <c r="AN5177" s="528">
        <f ca="1">ROUND(T5182,2)</f>
        <v>7.99</v>
      </c>
      <c r="AO5177" s="529">
        <f ca="1">ROUND(AM5177+AN5177,2)*A5177</f>
        <v>476.85</v>
      </c>
      <c r="AR5177" s="747">
        <v>17</v>
      </c>
      <c r="AS5177" s="751">
        <v>329.29</v>
      </c>
    </row>
    <row r="5178" spans="1:45" s="520" customFormat="1" ht="13.2">
      <c r="A5178" s="748"/>
      <c r="B5178"/>
      <c r="C5178" s="748"/>
      <c r="D5178" s="749" t="s">
        <v>885</v>
      </c>
      <c r="F5178" s="753"/>
      <c r="G5178" s="3"/>
      <c r="H5178" s="753"/>
      <c r="I5178" s="754"/>
      <c r="J5178" s="753"/>
      <c r="K5178" s="753" t="s">
        <v>144</v>
      </c>
      <c r="L5178" s="753"/>
      <c r="M5178" s="753"/>
      <c r="N5178" s="753"/>
      <c r="O5178" s="753"/>
      <c r="P5178" s="753"/>
      <c r="Q5178" s="51"/>
      <c r="R5178" s="530"/>
      <c r="S5178" s="757"/>
      <c r="T5178" s="753"/>
      <c r="AR5178" s="748"/>
      <c r="AS5178" s="753"/>
    </row>
    <row r="5179" spans="1:45" s="886" customFormat="1" ht="13.2">
      <c r="A5179"/>
      <c r="B5179" s="910"/>
      <c r="C5179" s="910" t="s">
        <v>2597</v>
      </c>
      <c r="D5179" s="910" t="str">
        <f ca="1">CELL("Address",Elec_Rates!D$559)</f>
        <v>[E25_0062_Quintano_Foods_Elec_ELV_As_Awarded.xlsx]Elec_Rates!$D$559</v>
      </c>
      <c r="E5179" s="911"/>
      <c r="F5179" s="911"/>
      <c r="G5179" s="912" t="s">
        <v>2598</v>
      </c>
      <c r="H5179" s="912"/>
      <c r="I5179" s="912"/>
      <c r="J5179" s="912"/>
      <c r="K5179" s="913"/>
      <c r="L5179" s="911"/>
      <c r="M5179" s="911"/>
      <c r="N5179" s="911"/>
      <c r="O5179" s="914"/>
      <c r="P5179" s="911"/>
      <c r="Q5179" s="915"/>
      <c r="R5179" s="916"/>
      <c r="S5179" s="915"/>
      <c r="T5179" s="917"/>
      <c r="U5179" s="918"/>
      <c r="AR5179"/>
      <c r="AS5179" s="911"/>
    </row>
    <row r="5180" spans="1:45" s="886" customFormat="1" ht="11.4">
      <c r="A5180" s="919">
        <v>17</v>
      </c>
      <c r="B5180" s="920">
        <v>1</v>
      </c>
      <c r="C5180" s="920">
        <f>$A5180*$B5180</f>
        <v>17</v>
      </c>
      <c r="D5180" s="921" t="str">
        <f>Elec_Rates!$D$559</f>
        <v>052# Install only Light fitting Type B1</v>
      </c>
      <c r="E5180" s="921"/>
      <c r="F5180" s="921" t="s">
        <v>2599</v>
      </c>
      <c r="G5180" s="922" t="s">
        <v>2601</v>
      </c>
      <c r="H5180" s="922"/>
      <c r="I5180" s="922"/>
      <c r="J5180" s="922"/>
      <c r="K5180" s="923"/>
      <c r="L5180" s="918"/>
      <c r="M5180" s="918"/>
      <c r="N5180" s="918"/>
      <c r="O5180" s="924"/>
      <c r="P5180" s="921"/>
      <c r="Q5180" s="925">
        <f ca="1">$B5180*Elec_Rates!$R$559</f>
        <v>1.18</v>
      </c>
      <c r="R5180" s="916">
        <f ca="1">$A5180*Q5180</f>
        <v>20.059999999999999</v>
      </c>
      <c r="S5180" s="925">
        <f ca="1">$B5180*Elec_Rates!$T$559</f>
        <v>0.47</v>
      </c>
      <c r="T5180" s="917">
        <f ca="1">$A5180*S5180</f>
        <v>7.9899999999999993</v>
      </c>
      <c r="U5180" s="926"/>
      <c r="AR5180" s="919">
        <v>17</v>
      </c>
      <c r="AS5180" s="921" t="s">
        <v>2599</v>
      </c>
    </row>
    <row r="5181" spans="1:45" s="520" customFormat="1" ht="12">
      <c r="A5181" s="758"/>
      <c r="B5181" s="758"/>
      <c r="C5181" s="758"/>
      <c r="D5181" s="758"/>
      <c r="E5181" s="758"/>
      <c r="F5181" s="753"/>
      <c r="G5181" s="758"/>
      <c r="H5181" s="758"/>
      <c r="I5181" s="519"/>
      <c r="J5181" s="758"/>
      <c r="K5181" s="758"/>
      <c r="L5181" s="758"/>
      <c r="M5181" s="758"/>
      <c r="N5181" s="758"/>
      <c r="O5181" s="758"/>
      <c r="P5181" s="758"/>
      <c r="Q5181" s="519"/>
      <c r="R5181" s="759">
        <f t="shared" ref="R5181" si="194">$A5181*Q5181</f>
        <v>0</v>
      </c>
      <c r="S5181" s="519"/>
      <c r="T5181" s="760">
        <f t="shared" ref="T5181" si="195">$A5181*S5181*$T$1</f>
        <v>0</v>
      </c>
      <c r="AR5181" s="758"/>
      <c r="AS5181" s="753"/>
    </row>
    <row r="5182" spans="1:45" s="520" customFormat="1" ht="12.6" thickBot="1">
      <c r="A5182" s="761" t="s">
        <v>145</v>
      </c>
      <c r="B5182" s="762">
        <f>(R5181+T5181)</f>
        <v>0</v>
      </c>
      <c r="C5182" s="763"/>
      <c r="D5182" s="763"/>
      <c r="E5182" s="763"/>
      <c r="F5182" s="764"/>
      <c r="G5182" s="763" t="s">
        <v>146</v>
      </c>
      <c r="H5182" s="763"/>
      <c r="I5182" s="765"/>
      <c r="J5182" s="763"/>
      <c r="K5182" s="763" t="s">
        <v>3</v>
      </c>
      <c r="L5182" s="766" t="s">
        <v>143</v>
      </c>
      <c r="M5182" s="766"/>
      <c r="N5182" s="766"/>
      <c r="O5182" s="766"/>
      <c r="P5182" s="766"/>
      <c r="Q5182" s="767"/>
      <c r="R5182" s="768">
        <f ca="1">SUM(R5178:R5181)</f>
        <v>20.059999999999999</v>
      </c>
      <c r="S5182" s="763"/>
      <c r="T5182" s="768">
        <f ca="1">SUM(T5178:T5181)</f>
        <v>7.9899999999999993</v>
      </c>
      <c r="U5182" s="531"/>
      <c r="V5182" s="531"/>
      <c r="W5182" s="531"/>
      <c r="X5182" s="531"/>
      <c r="Y5182" s="531"/>
      <c r="Z5182" s="531"/>
      <c r="AA5182" s="531"/>
      <c r="AB5182" s="531"/>
      <c r="AC5182" s="531"/>
      <c r="AD5182" s="531"/>
      <c r="AE5182" s="531"/>
      <c r="AF5182" s="531"/>
      <c r="AG5182" s="531"/>
      <c r="AH5182" s="531"/>
      <c r="AI5182" s="531"/>
      <c r="AJ5182" s="531"/>
      <c r="AK5182" s="531"/>
      <c r="AL5182" s="531"/>
      <c r="AM5182" s="531"/>
      <c r="AN5182" s="531"/>
      <c r="AO5182" s="531"/>
      <c r="AR5182" s="761" t="s">
        <v>145</v>
      </c>
      <c r="AS5182" s="764"/>
    </row>
    <row r="5183" spans="1:45" s="520" customFormat="1" ht="12" thickTop="1">
      <c r="A5183" s="51"/>
      <c r="B5183" s="41"/>
      <c r="C5183" s="51"/>
      <c r="E5183" s="42" t="s">
        <v>138</v>
      </c>
      <c r="F5183" s="42" t="s">
        <v>139</v>
      </c>
      <c r="G5183" s="51"/>
      <c r="H5183" s="51"/>
      <c r="I5183" s="51"/>
      <c r="J5183" s="51"/>
      <c r="K5183" s="51" t="s">
        <v>140</v>
      </c>
      <c r="L5183" s="51"/>
      <c r="M5183" s="51"/>
      <c r="N5183" s="51"/>
      <c r="O5183" s="52"/>
      <c r="P5183" s="51"/>
      <c r="Q5183" s="51"/>
      <c r="R5183" s="51"/>
      <c r="S5183" s="51"/>
      <c r="T5183" s="41"/>
      <c r="AG5183" s="521" t="s">
        <v>268</v>
      </c>
      <c r="AH5183" s="521" t="s">
        <v>269</v>
      </c>
      <c r="AI5183" s="521" t="s">
        <v>270</v>
      </c>
      <c r="AJ5183" s="521" t="s">
        <v>271</v>
      </c>
      <c r="AK5183" s="521" t="s">
        <v>272</v>
      </c>
      <c r="AM5183" s="745" t="s">
        <v>281</v>
      </c>
      <c r="AN5183" s="746" t="s">
        <v>282</v>
      </c>
      <c r="AO5183" s="522" t="s">
        <v>278</v>
      </c>
      <c r="AR5183" s="51"/>
      <c r="AS5183" s="42" t="s">
        <v>139</v>
      </c>
    </row>
    <row r="5184" spans="1:45" s="520" customFormat="1" ht="12" customHeight="1">
      <c r="A5184" s="747">
        <v>15</v>
      </c>
      <c r="B5184" s="523" t="s">
        <v>329</v>
      </c>
      <c r="C5184" s="748"/>
      <c r="D5184" s="749" t="s">
        <v>1862</v>
      </c>
      <c r="E5184" s="750">
        <f ca="1">IF(AND($A5184=0,$A$1="DIF"),0, ROUND(ROUND(($R5189*$S$2+($T5189*$T$2))/A5184,2)*$C$2,2))</f>
        <v>17.84</v>
      </c>
      <c r="F5184" s="751">
        <f ca="1">ROUND($A5184*$E5184,2)</f>
        <v>267.60000000000002</v>
      </c>
      <c r="G5184" s="752" t="s">
        <v>142</v>
      </c>
      <c r="H5184" s="753"/>
      <c r="I5184" s="754"/>
      <c r="J5184" s="753"/>
      <c r="K5184" s="753" t="s">
        <v>3</v>
      </c>
      <c r="L5184" s="755" t="s">
        <v>143</v>
      </c>
      <c r="M5184" s="755"/>
      <c r="N5184" s="755"/>
      <c r="O5184" s="755"/>
      <c r="P5184" s="755"/>
      <c r="Q5184" s="51"/>
      <c r="T5184" s="756" t="str">
        <f ca="1">IF(AND($R5189=0,$T5189=0),"0.00","mu :" &amp; ROUND($F5184/$C$2/($R5189+$T5189*$D$9),2))</f>
        <v>mu :1.23</v>
      </c>
      <c r="W5184" s="524"/>
      <c r="AG5184" s="481">
        <f ca="1">IF($E5184=0,0,ROUND($R5189*$S$2*$C$2/$A5184,2))</f>
        <v>1.95</v>
      </c>
      <c r="AH5184" s="481">
        <f ca="1">$AG5184*$A5184</f>
        <v>29.25</v>
      </c>
      <c r="AI5184" s="525">
        <f ca="1">$E5184-$AG5184</f>
        <v>15.89</v>
      </c>
      <c r="AJ5184" s="525">
        <f ca="1">$A5184*$AI5184</f>
        <v>238.35000000000002</v>
      </c>
      <c r="AK5184" s="526">
        <f ca="1">ROUND(($AG5184+$AI5184)*$A5184,2)</f>
        <v>267.60000000000002</v>
      </c>
      <c r="AM5184" s="527">
        <f ca="1">ROUND(R5189,2)</f>
        <v>23.7</v>
      </c>
      <c r="AN5184" s="528">
        <f ca="1">ROUND(T5189,2)</f>
        <v>7.05</v>
      </c>
      <c r="AO5184" s="529">
        <f ca="1">ROUND(AM5184+AN5184,2)*A5184</f>
        <v>461.25</v>
      </c>
      <c r="AR5184" s="747">
        <v>15</v>
      </c>
      <c r="AS5184" s="751">
        <v>298.05</v>
      </c>
    </row>
    <row r="5185" spans="1:45" s="520" customFormat="1" ht="13.2">
      <c r="A5185" s="748"/>
      <c r="B5185"/>
      <c r="C5185" s="748"/>
      <c r="D5185" s="749" t="s">
        <v>886</v>
      </c>
      <c r="F5185" s="753"/>
      <c r="G5185" s="3"/>
      <c r="H5185" s="753"/>
      <c r="I5185" s="754"/>
      <c r="J5185" s="753"/>
      <c r="K5185" s="753" t="s">
        <v>144</v>
      </c>
      <c r="L5185" s="753"/>
      <c r="M5185" s="753"/>
      <c r="N5185" s="753"/>
      <c r="O5185" s="753"/>
      <c r="P5185" s="753"/>
      <c r="Q5185" s="51"/>
      <c r="R5185" s="530"/>
      <c r="S5185" s="757"/>
      <c r="T5185" s="753"/>
      <c r="AR5185" s="748"/>
      <c r="AS5185" s="753"/>
    </row>
    <row r="5186" spans="1:45" s="886" customFormat="1" ht="13.2">
      <c r="A5186"/>
      <c r="B5186" s="910"/>
      <c r="C5186" s="910" t="s">
        <v>2597</v>
      </c>
      <c r="D5186" s="910" t="str">
        <f ca="1">CELL("Address",Elec_Rates!D$568)</f>
        <v>[E25_0062_Quintano_Foods_Elec_ELV_As_Awarded.xlsx]Elec_Rates!$D$568</v>
      </c>
      <c r="E5186" s="911"/>
      <c r="F5186" s="911"/>
      <c r="G5186" s="912" t="s">
        <v>2598</v>
      </c>
      <c r="H5186" s="912"/>
      <c r="I5186" s="912"/>
      <c r="J5186" s="912"/>
      <c r="K5186" s="913"/>
      <c r="L5186" s="911"/>
      <c r="M5186" s="911"/>
      <c r="N5186" s="911"/>
      <c r="O5186" s="914"/>
      <c r="P5186" s="911"/>
      <c r="Q5186" s="915"/>
      <c r="R5186" s="916"/>
      <c r="S5186" s="915"/>
      <c r="T5186" s="917"/>
      <c r="U5186" s="918"/>
      <c r="AR5186"/>
      <c r="AS5186" s="911"/>
    </row>
    <row r="5187" spans="1:45" s="886" customFormat="1" ht="11.4">
      <c r="A5187" s="919">
        <v>15</v>
      </c>
      <c r="B5187" s="920">
        <v>1</v>
      </c>
      <c r="C5187" s="920">
        <f>$A5187*$B5187</f>
        <v>15</v>
      </c>
      <c r="D5187" s="921" t="str">
        <f>Elec_Rates!$D$568</f>
        <v>053# Install only Light fitting Type B2</v>
      </c>
      <c r="E5187" s="921"/>
      <c r="F5187" s="921" t="s">
        <v>2599</v>
      </c>
      <c r="G5187" s="922" t="s">
        <v>2600</v>
      </c>
      <c r="H5187" s="922"/>
      <c r="I5187" s="922"/>
      <c r="J5187" s="922"/>
      <c r="K5187" s="923"/>
      <c r="L5187" s="918"/>
      <c r="M5187" s="918"/>
      <c r="N5187" s="918"/>
      <c r="O5187" s="924"/>
      <c r="P5187" s="921"/>
      <c r="Q5187" s="925">
        <f ca="1">$B5187*Elec_Rates!$R$568</f>
        <v>1.58</v>
      </c>
      <c r="R5187" s="916">
        <f ca="1">$A5187*Q5187</f>
        <v>23.700000000000003</v>
      </c>
      <c r="S5187" s="925">
        <f ca="1">$B5187*Elec_Rates!$T$568</f>
        <v>0.47</v>
      </c>
      <c r="T5187" s="917">
        <f ca="1">$A5187*S5187</f>
        <v>7.05</v>
      </c>
      <c r="U5187" s="926"/>
      <c r="AR5187" s="919">
        <v>15</v>
      </c>
      <c r="AS5187" s="921" t="s">
        <v>2599</v>
      </c>
    </row>
    <row r="5188" spans="1:45" s="520" customFormat="1" ht="12">
      <c r="A5188" s="758"/>
      <c r="B5188" s="758"/>
      <c r="C5188" s="758"/>
      <c r="D5188" s="758"/>
      <c r="E5188" s="758"/>
      <c r="F5188" s="753"/>
      <c r="G5188" s="758"/>
      <c r="H5188" s="758"/>
      <c r="I5188" s="519"/>
      <c r="J5188" s="758"/>
      <c r="K5188" s="758"/>
      <c r="L5188" s="758"/>
      <c r="M5188" s="758"/>
      <c r="N5188" s="758"/>
      <c r="O5188" s="758"/>
      <c r="P5188" s="758"/>
      <c r="Q5188" s="519"/>
      <c r="R5188" s="759">
        <f t="shared" ref="R5188" si="196">$A5188*Q5188</f>
        <v>0</v>
      </c>
      <c r="S5188" s="519"/>
      <c r="T5188" s="760">
        <f t="shared" ref="T5188" si="197">$A5188*S5188*$T$1</f>
        <v>0</v>
      </c>
      <c r="AR5188" s="758"/>
      <c r="AS5188" s="753"/>
    </row>
    <row r="5189" spans="1:45" s="520" customFormat="1" ht="12.6" thickBot="1">
      <c r="A5189" s="761" t="s">
        <v>145</v>
      </c>
      <c r="B5189" s="762">
        <f>(R5188+T5188)</f>
        <v>0</v>
      </c>
      <c r="C5189" s="763"/>
      <c r="D5189" s="763"/>
      <c r="E5189" s="763"/>
      <c r="F5189" s="764"/>
      <c r="G5189" s="763" t="s">
        <v>146</v>
      </c>
      <c r="H5189" s="763"/>
      <c r="I5189" s="765"/>
      <c r="J5189" s="763"/>
      <c r="K5189" s="763" t="s">
        <v>3</v>
      </c>
      <c r="L5189" s="766" t="s">
        <v>143</v>
      </c>
      <c r="M5189" s="766"/>
      <c r="N5189" s="766"/>
      <c r="O5189" s="766"/>
      <c r="P5189" s="766"/>
      <c r="Q5189" s="767"/>
      <c r="R5189" s="768">
        <f ca="1">SUM(R5185:R5188)</f>
        <v>23.700000000000003</v>
      </c>
      <c r="S5189" s="763"/>
      <c r="T5189" s="768">
        <f ca="1">SUM(T5185:T5188)</f>
        <v>7.05</v>
      </c>
      <c r="U5189" s="531"/>
      <c r="V5189" s="531"/>
      <c r="W5189" s="531"/>
      <c r="X5189" s="531"/>
      <c r="Y5189" s="531"/>
      <c r="Z5189" s="531"/>
      <c r="AA5189" s="531"/>
      <c r="AB5189" s="531"/>
      <c r="AC5189" s="531"/>
      <c r="AD5189" s="531"/>
      <c r="AE5189" s="531"/>
      <c r="AF5189" s="531"/>
      <c r="AG5189" s="531"/>
      <c r="AH5189" s="531"/>
      <c r="AI5189" s="531"/>
      <c r="AJ5189" s="531"/>
      <c r="AK5189" s="531"/>
      <c r="AL5189" s="531"/>
      <c r="AM5189" s="531"/>
      <c r="AN5189" s="531"/>
      <c r="AO5189" s="531"/>
      <c r="AR5189" s="761" t="s">
        <v>145</v>
      </c>
      <c r="AS5189" s="764"/>
    </row>
    <row r="5190" spans="1:45" s="520" customFormat="1" ht="12" thickTop="1">
      <c r="A5190" s="51"/>
      <c r="B5190" s="41"/>
      <c r="C5190" s="51"/>
      <c r="E5190" s="42" t="s">
        <v>138</v>
      </c>
      <c r="F5190" s="42" t="s">
        <v>139</v>
      </c>
      <c r="G5190" s="51"/>
      <c r="H5190" s="51"/>
      <c r="I5190" s="51"/>
      <c r="J5190" s="51"/>
      <c r="K5190" s="51" t="s">
        <v>140</v>
      </c>
      <c r="L5190" s="51"/>
      <c r="M5190" s="51"/>
      <c r="N5190" s="51"/>
      <c r="O5190" s="52"/>
      <c r="P5190" s="51"/>
      <c r="Q5190" s="51"/>
      <c r="R5190" s="51"/>
      <c r="S5190" s="51"/>
      <c r="T5190" s="41"/>
      <c r="AG5190" s="521" t="s">
        <v>268</v>
      </c>
      <c r="AH5190" s="521" t="s">
        <v>269</v>
      </c>
      <c r="AI5190" s="521" t="s">
        <v>270</v>
      </c>
      <c r="AJ5190" s="521" t="s">
        <v>271</v>
      </c>
      <c r="AK5190" s="521" t="s">
        <v>272</v>
      </c>
      <c r="AM5190" s="745" t="s">
        <v>281</v>
      </c>
      <c r="AN5190" s="746" t="s">
        <v>282</v>
      </c>
      <c r="AO5190" s="522" t="s">
        <v>278</v>
      </c>
      <c r="AR5190" s="51"/>
      <c r="AS5190" s="42" t="s">
        <v>139</v>
      </c>
    </row>
    <row r="5191" spans="1:45" s="520" customFormat="1" ht="12" customHeight="1">
      <c r="A5191" s="747">
        <v>2</v>
      </c>
      <c r="B5191" s="523" t="s">
        <v>329</v>
      </c>
      <c r="C5191" s="748"/>
      <c r="D5191" s="749" t="s">
        <v>1863</v>
      </c>
      <c r="E5191" s="750">
        <f ca="1">IF(AND($A5191=0,$A$1="DIF"),0, ROUND(ROUND(($R5196*$S$2+($T5196*$T$2))/A5191,2)*$C$2,2))</f>
        <v>17.84</v>
      </c>
      <c r="F5191" s="751">
        <f ca="1">ROUND($A5191*$E5191,2)</f>
        <v>35.68</v>
      </c>
      <c r="G5191" s="752" t="s">
        <v>142</v>
      </c>
      <c r="H5191" s="753"/>
      <c r="I5191" s="754"/>
      <c r="J5191" s="753"/>
      <c r="K5191" s="753" t="s">
        <v>3</v>
      </c>
      <c r="L5191" s="755" t="s">
        <v>143</v>
      </c>
      <c r="M5191" s="755"/>
      <c r="N5191" s="755"/>
      <c r="O5191" s="755"/>
      <c r="P5191" s="755"/>
      <c r="Q5191" s="51"/>
      <c r="T5191" s="756" t="str">
        <f ca="1">IF(AND($R5196=0,$T5196=0),"0.00","mu :" &amp; ROUND($F5191/$C$2/($R5196+$T5196*$D$9),2))</f>
        <v>mu :1.23</v>
      </c>
      <c r="W5191" s="524"/>
      <c r="AG5191" s="481">
        <f ca="1">IF($E5191=0,0,ROUND($R5196*$S$2*$C$2/$A5191,2))</f>
        <v>1.95</v>
      </c>
      <c r="AH5191" s="481">
        <f ca="1">$AG5191*$A5191</f>
        <v>3.9</v>
      </c>
      <c r="AI5191" s="525">
        <f ca="1">$E5191-$AG5191</f>
        <v>15.89</v>
      </c>
      <c r="AJ5191" s="525">
        <f ca="1">$A5191*$AI5191</f>
        <v>31.78</v>
      </c>
      <c r="AK5191" s="526">
        <f ca="1">ROUND(($AG5191+$AI5191)*$A5191,2)</f>
        <v>35.68</v>
      </c>
      <c r="AM5191" s="527">
        <f ca="1">ROUND(R5196,2)</f>
        <v>3.16</v>
      </c>
      <c r="AN5191" s="528">
        <f ca="1">ROUND(T5196,2)</f>
        <v>0.94</v>
      </c>
      <c r="AO5191" s="529">
        <f ca="1">ROUND(AM5191+AN5191,2)*A5191</f>
        <v>8.1999999999999993</v>
      </c>
      <c r="AR5191" s="747">
        <v>2</v>
      </c>
      <c r="AS5191" s="751">
        <v>39.74</v>
      </c>
    </row>
    <row r="5192" spans="1:45" s="520" customFormat="1" ht="13.2">
      <c r="A5192" s="748"/>
      <c r="B5192"/>
      <c r="C5192" s="748"/>
      <c r="D5192" s="749" t="s">
        <v>887</v>
      </c>
      <c r="F5192" s="753"/>
      <c r="G5192" s="3"/>
      <c r="H5192" s="753"/>
      <c r="I5192" s="754"/>
      <c r="J5192" s="753"/>
      <c r="K5192" s="753" t="s">
        <v>144</v>
      </c>
      <c r="L5192" s="753"/>
      <c r="M5192" s="753"/>
      <c r="N5192" s="753"/>
      <c r="O5192" s="753"/>
      <c r="P5192" s="753"/>
      <c r="Q5192" s="51"/>
      <c r="R5192" s="530"/>
      <c r="S5192" s="757"/>
      <c r="T5192" s="753"/>
      <c r="AR5192" s="748"/>
      <c r="AS5192" s="753"/>
    </row>
    <row r="5193" spans="1:45" s="886" customFormat="1" ht="13.2">
      <c r="A5193"/>
      <c r="B5193" s="910"/>
      <c r="C5193" s="910" t="s">
        <v>2597</v>
      </c>
      <c r="D5193" s="910" t="str">
        <f ca="1">CELL("Address",Elec_Rates!D$577)</f>
        <v>[E25_0062_Quintano_Foods_Elec_ELV_As_Awarded.xlsx]Elec_Rates!$D$577</v>
      </c>
      <c r="E5193" s="911"/>
      <c r="F5193" s="911"/>
      <c r="G5193" s="912" t="s">
        <v>2598</v>
      </c>
      <c r="H5193" s="912"/>
      <c r="I5193" s="912"/>
      <c r="J5193" s="912"/>
      <c r="K5193" s="913"/>
      <c r="L5193" s="911"/>
      <c r="M5193" s="911"/>
      <c r="N5193" s="911"/>
      <c r="O5193" s="914"/>
      <c r="P5193" s="911"/>
      <c r="Q5193" s="915"/>
      <c r="R5193" s="916"/>
      <c r="S5193" s="915"/>
      <c r="T5193" s="917"/>
      <c r="U5193" s="918"/>
      <c r="AR5193"/>
      <c r="AS5193" s="911"/>
    </row>
    <row r="5194" spans="1:45" s="886" customFormat="1" ht="11.4">
      <c r="A5194" s="919">
        <v>2</v>
      </c>
      <c r="B5194" s="920">
        <v>1</v>
      </c>
      <c r="C5194" s="920">
        <f>$A5194*$B5194</f>
        <v>2</v>
      </c>
      <c r="D5194" s="921" t="str">
        <f>Elec_Rates!$D$577</f>
        <v>054# Install only Light fitting Type C2</v>
      </c>
      <c r="E5194" s="921"/>
      <c r="F5194" s="921" t="s">
        <v>2599</v>
      </c>
      <c r="G5194" s="922" t="s">
        <v>2600</v>
      </c>
      <c r="H5194" s="922"/>
      <c r="I5194" s="922"/>
      <c r="J5194" s="922"/>
      <c r="K5194" s="923"/>
      <c r="L5194" s="918"/>
      <c r="M5194" s="918"/>
      <c r="N5194" s="918"/>
      <c r="O5194" s="924"/>
      <c r="P5194" s="921"/>
      <c r="Q5194" s="925">
        <f ca="1">$B5194*Elec_Rates!$R$577</f>
        <v>1.58</v>
      </c>
      <c r="R5194" s="916">
        <f ca="1">$A5194*Q5194</f>
        <v>3.16</v>
      </c>
      <c r="S5194" s="925">
        <f ca="1">$B5194*Elec_Rates!$T$577</f>
        <v>0.47</v>
      </c>
      <c r="T5194" s="917">
        <f ca="1">$A5194*S5194</f>
        <v>0.94</v>
      </c>
      <c r="U5194" s="926"/>
      <c r="AR5194" s="919">
        <v>2</v>
      </c>
      <c r="AS5194" s="921" t="s">
        <v>2599</v>
      </c>
    </row>
    <row r="5195" spans="1:45" s="520" customFormat="1" ht="12">
      <c r="A5195" s="758"/>
      <c r="B5195" s="758"/>
      <c r="C5195" s="758"/>
      <c r="D5195" s="758"/>
      <c r="E5195" s="758"/>
      <c r="F5195" s="753"/>
      <c r="G5195" s="758"/>
      <c r="H5195" s="758"/>
      <c r="I5195" s="519"/>
      <c r="J5195" s="758"/>
      <c r="K5195" s="758"/>
      <c r="L5195" s="758"/>
      <c r="M5195" s="758"/>
      <c r="N5195" s="758"/>
      <c r="O5195" s="758"/>
      <c r="P5195" s="758"/>
      <c r="Q5195" s="519"/>
      <c r="R5195" s="759">
        <f t="shared" ref="R5195" si="198">$A5195*Q5195</f>
        <v>0</v>
      </c>
      <c r="S5195" s="519"/>
      <c r="T5195" s="760">
        <f t="shared" ref="T5195" si="199">$A5195*S5195*$T$1</f>
        <v>0</v>
      </c>
      <c r="AR5195" s="758"/>
      <c r="AS5195" s="753"/>
    </row>
    <row r="5196" spans="1:45" s="520" customFormat="1" ht="12.6" thickBot="1">
      <c r="A5196" s="761" t="s">
        <v>145</v>
      </c>
      <c r="B5196" s="762">
        <f>(R5195+T5195)</f>
        <v>0</v>
      </c>
      <c r="C5196" s="763"/>
      <c r="D5196" s="763"/>
      <c r="E5196" s="763"/>
      <c r="F5196" s="764"/>
      <c r="G5196" s="763" t="s">
        <v>146</v>
      </c>
      <c r="H5196" s="763"/>
      <c r="I5196" s="765"/>
      <c r="J5196" s="763"/>
      <c r="K5196" s="763" t="s">
        <v>3</v>
      </c>
      <c r="L5196" s="766" t="s">
        <v>143</v>
      </c>
      <c r="M5196" s="766"/>
      <c r="N5196" s="766"/>
      <c r="O5196" s="766"/>
      <c r="P5196" s="766"/>
      <c r="Q5196" s="767"/>
      <c r="R5196" s="768">
        <f ca="1">SUM(R5192:R5195)</f>
        <v>3.16</v>
      </c>
      <c r="S5196" s="763"/>
      <c r="T5196" s="768">
        <f ca="1">SUM(T5192:T5195)</f>
        <v>0.94</v>
      </c>
      <c r="U5196" s="531"/>
      <c r="V5196" s="531"/>
      <c r="W5196" s="531"/>
      <c r="X5196" s="531"/>
      <c r="Y5196" s="531"/>
      <c r="Z5196" s="531"/>
      <c r="AA5196" s="531"/>
      <c r="AB5196" s="531"/>
      <c r="AC5196" s="531"/>
      <c r="AD5196" s="531"/>
      <c r="AE5196" s="531"/>
      <c r="AF5196" s="531"/>
      <c r="AG5196" s="531"/>
      <c r="AH5196" s="531"/>
      <c r="AI5196" s="531"/>
      <c r="AJ5196" s="531"/>
      <c r="AK5196" s="531"/>
      <c r="AL5196" s="531"/>
      <c r="AM5196" s="531"/>
      <c r="AN5196" s="531"/>
      <c r="AO5196" s="531"/>
      <c r="AR5196" s="761" t="s">
        <v>145</v>
      </c>
      <c r="AS5196" s="764"/>
    </row>
    <row r="5197" spans="1:45" s="520" customFormat="1" ht="12" thickTop="1">
      <c r="A5197" s="51"/>
      <c r="B5197" s="41"/>
      <c r="C5197" s="51"/>
      <c r="E5197" s="42" t="s">
        <v>138</v>
      </c>
      <c r="F5197" s="42" t="s">
        <v>139</v>
      </c>
      <c r="G5197" s="51"/>
      <c r="H5197" s="51"/>
      <c r="I5197" s="51"/>
      <c r="J5197" s="51"/>
      <c r="K5197" s="51" t="s">
        <v>140</v>
      </c>
      <c r="L5197" s="51"/>
      <c r="M5197" s="51"/>
      <c r="N5197" s="51"/>
      <c r="O5197" s="52"/>
      <c r="P5197" s="51"/>
      <c r="Q5197" s="51"/>
      <c r="R5197" s="51"/>
      <c r="S5197" s="51"/>
      <c r="T5197" s="41"/>
      <c r="AG5197" s="521" t="s">
        <v>268</v>
      </c>
      <c r="AH5197" s="521" t="s">
        <v>269</v>
      </c>
      <c r="AI5197" s="521" t="s">
        <v>270</v>
      </c>
      <c r="AJ5197" s="521" t="s">
        <v>271</v>
      </c>
      <c r="AK5197" s="521" t="s">
        <v>272</v>
      </c>
      <c r="AM5197" s="745" t="s">
        <v>281</v>
      </c>
      <c r="AN5197" s="746" t="s">
        <v>282</v>
      </c>
      <c r="AO5197" s="522" t="s">
        <v>278</v>
      </c>
      <c r="AR5197" s="51"/>
      <c r="AS5197" s="42" t="s">
        <v>139</v>
      </c>
    </row>
    <row r="5198" spans="1:45" s="520" customFormat="1" ht="12" customHeight="1">
      <c r="A5198" s="747">
        <v>12</v>
      </c>
      <c r="B5198" s="523" t="s">
        <v>329</v>
      </c>
      <c r="C5198" s="748"/>
      <c r="D5198" s="749" t="s">
        <v>1864</v>
      </c>
      <c r="E5198" s="750">
        <f ca="1">IF(AND($A5198=0,$A$1="DIF"),0, ROUND(ROUND(($R5203*$S$2+($T5203*$T$2))/A5198,2)*$C$2,2))</f>
        <v>17.34</v>
      </c>
      <c r="F5198" s="751">
        <f ca="1">ROUND($A5198*$E5198,2)</f>
        <v>208.08</v>
      </c>
      <c r="G5198" s="752" t="s">
        <v>142</v>
      </c>
      <c r="H5198" s="753"/>
      <c r="I5198" s="754"/>
      <c r="J5198" s="753"/>
      <c r="K5198" s="753" t="s">
        <v>3</v>
      </c>
      <c r="L5198" s="755" t="s">
        <v>143</v>
      </c>
      <c r="M5198" s="755"/>
      <c r="N5198" s="755"/>
      <c r="O5198" s="755"/>
      <c r="P5198" s="755"/>
      <c r="Q5198" s="51"/>
      <c r="T5198" s="756" t="str">
        <f ca="1">IF(AND($R5203=0,$T5203=0),"0.00","mu :" &amp; ROUND($F5198/$C$2/($R5203+$T5203*$D$9),2))</f>
        <v>mu :1.23</v>
      </c>
      <c r="W5198" s="524"/>
      <c r="AG5198" s="481">
        <f ca="1">IF($E5198=0,0,ROUND($R5203*$S$2*$C$2/$A5198,2))</f>
        <v>1.45</v>
      </c>
      <c r="AH5198" s="481">
        <f ca="1">$AG5198*$A5198</f>
        <v>17.399999999999999</v>
      </c>
      <c r="AI5198" s="525">
        <f ca="1">$E5198-$AG5198</f>
        <v>15.89</v>
      </c>
      <c r="AJ5198" s="525">
        <f ca="1">$A5198*$AI5198</f>
        <v>190.68</v>
      </c>
      <c r="AK5198" s="526">
        <f ca="1">ROUND(($AG5198+$AI5198)*$A5198,2)</f>
        <v>208.08</v>
      </c>
      <c r="AM5198" s="527">
        <f ca="1">ROUND(R5203,2)</f>
        <v>14.16</v>
      </c>
      <c r="AN5198" s="528">
        <f ca="1">ROUND(T5203,2)</f>
        <v>5.64</v>
      </c>
      <c r="AO5198" s="529">
        <f ca="1">ROUND(AM5198+AN5198,2)*A5198</f>
        <v>237.60000000000002</v>
      </c>
      <c r="AR5198" s="747">
        <v>12</v>
      </c>
      <c r="AS5198" s="751">
        <v>232.44</v>
      </c>
    </row>
    <row r="5199" spans="1:45" s="520" customFormat="1" ht="13.2">
      <c r="A5199" s="748"/>
      <c r="B5199"/>
      <c r="C5199" s="748"/>
      <c r="D5199" s="749" t="s">
        <v>888</v>
      </c>
      <c r="F5199" s="753"/>
      <c r="G5199" s="3"/>
      <c r="H5199" s="753"/>
      <c r="I5199" s="754"/>
      <c r="J5199" s="753"/>
      <c r="K5199" s="753" t="s">
        <v>144</v>
      </c>
      <c r="L5199" s="753"/>
      <c r="M5199" s="753"/>
      <c r="N5199" s="753"/>
      <c r="O5199" s="753"/>
      <c r="P5199" s="753"/>
      <c r="Q5199" s="51"/>
      <c r="R5199" s="530"/>
      <c r="S5199" s="757"/>
      <c r="T5199" s="753"/>
      <c r="AR5199" s="748"/>
      <c r="AS5199" s="753"/>
    </row>
    <row r="5200" spans="1:45" s="886" customFormat="1" ht="13.2">
      <c r="A5200"/>
      <c r="B5200" s="910"/>
      <c r="C5200" s="910" t="s">
        <v>2597</v>
      </c>
      <c r="D5200" s="910" t="str">
        <f ca="1">CELL("Address",Elec_Rates!D$595)</f>
        <v>[E25_0062_Quintano_Foods_Elec_ELV_As_Awarded.xlsx]Elec_Rates!$D$595</v>
      </c>
      <c r="E5200" s="911"/>
      <c r="F5200" s="911"/>
      <c r="G5200" s="912" t="s">
        <v>2598</v>
      </c>
      <c r="H5200" s="912"/>
      <c r="I5200" s="912"/>
      <c r="J5200" s="912"/>
      <c r="K5200" s="913"/>
      <c r="L5200" s="911"/>
      <c r="M5200" s="911"/>
      <c r="N5200" s="911"/>
      <c r="O5200" s="914"/>
      <c r="P5200" s="911"/>
      <c r="Q5200" s="915"/>
      <c r="R5200" s="916"/>
      <c r="S5200" s="915"/>
      <c r="T5200" s="917"/>
      <c r="U5200" s="918"/>
      <c r="AR5200"/>
      <c r="AS5200" s="911"/>
    </row>
    <row r="5201" spans="1:45" s="886" customFormat="1" ht="11.4">
      <c r="A5201" s="919">
        <v>12</v>
      </c>
      <c r="B5201" s="920">
        <v>1</v>
      </c>
      <c r="C5201" s="920">
        <f>$A5201*$B5201</f>
        <v>12</v>
      </c>
      <c r="D5201" s="921" t="str">
        <f>Elec_Rates!$D$595</f>
        <v>056# Install only Light fitting Type E1</v>
      </c>
      <c r="E5201" s="921"/>
      <c r="F5201" s="921" t="s">
        <v>2599</v>
      </c>
      <c r="G5201" s="922" t="s">
        <v>2601</v>
      </c>
      <c r="H5201" s="922"/>
      <c r="I5201" s="922"/>
      <c r="J5201" s="922"/>
      <c r="K5201" s="923"/>
      <c r="L5201" s="918"/>
      <c r="M5201" s="918"/>
      <c r="N5201" s="918"/>
      <c r="O5201" s="924"/>
      <c r="P5201" s="921"/>
      <c r="Q5201" s="925">
        <f ca="1">$B5201*Elec_Rates!$R$595</f>
        <v>1.18</v>
      </c>
      <c r="R5201" s="916">
        <f ca="1">$A5201*Q5201</f>
        <v>14.16</v>
      </c>
      <c r="S5201" s="925">
        <f ca="1">$B5201*Elec_Rates!$T$595</f>
        <v>0.47</v>
      </c>
      <c r="T5201" s="917">
        <f ca="1">$A5201*S5201</f>
        <v>5.64</v>
      </c>
      <c r="U5201" s="926"/>
      <c r="AR5201" s="919">
        <v>12</v>
      </c>
      <c r="AS5201" s="921" t="s">
        <v>2599</v>
      </c>
    </row>
    <row r="5202" spans="1:45" s="520" customFormat="1" ht="12">
      <c r="A5202" s="758"/>
      <c r="B5202" s="758"/>
      <c r="C5202" s="758"/>
      <c r="D5202" s="758"/>
      <c r="E5202" s="758"/>
      <c r="F5202" s="753"/>
      <c r="G5202" s="758"/>
      <c r="H5202" s="758"/>
      <c r="I5202" s="519"/>
      <c r="J5202" s="758"/>
      <c r="K5202" s="758"/>
      <c r="L5202" s="758"/>
      <c r="M5202" s="758"/>
      <c r="N5202" s="758"/>
      <c r="O5202" s="758"/>
      <c r="P5202" s="758"/>
      <c r="Q5202" s="519"/>
      <c r="R5202" s="759">
        <f t="shared" ref="R5202" si="200">$A5202*Q5202</f>
        <v>0</v>
      </c>
      <c r="S5202" s="519"/>
      <c r="T5202" s="760">
        <f t="shared" ref="T5202" si="201">$A5202*S5202*$T$1</f>
        <v>0</v>
      </c>
      <c r="AR5202" s="758"/>
      <c r="AS5202" s="753"/>
    </row>
    <row r="5203" spans="1:45" s="520" customFormat="1" ht="12.6" thickBot="1">
      <c r="A5203" s="761" t="s">
        <v>145</v>
      </c>
      <c r="B5203" s="762">
        <f>(R5202+T5202)</f>
        <v>0</v>
      </c>
      <c r="C5203" s="763"/>
      <c r="D5203" s="763"/>
      <c r="E5203" s="763"/>
      <c r="F5203" s="764"/>
      <c r="G5203" s="763" t="s">
        <v>146</v>
      </c>
      <c r="H5203" s="763"/>
      <c r="I5203" s="765"/>
      <c r="J5203" s="763"/>
      <c r="K5203" s="763" t="s">
        <v>3</v>
      </c>
      <c r="L5203" s="766" t="s">
        <v>143</v>
      </c>
      <c r="M5203" s="766"/>
      <c r="N5203" s="766"/>
      <c r="O5203" s="766"/>
      <c r="P5203" s="766"/>
      <c r="Q5203" s="767"/>
      <c r="R5203" s="768">
        <f ca="1">SUM(R5199:R5202)</f>
        <v>14.16</v>
      </c>
      <c r="S5203" s="763"/>
      <c r="T5203" s="768">
        <f ca="1">SUM(T5199:T5202)</f>
        <v>5.64</v>
      </c>
      <c r="U5203" s="531"/>
      <c r="V5203" s="531"/>
      <c r="W5203" s="531"/>
      <c r="X5203" s="531"/>
      <c r="Y5203" s="531"/>
      <c r="Z5203" s="531"/>
      <c r="AA5203" s="531"/>
      <c r="AB5203" s="531"/>
      <c r="AC5203" s="531"/>
      <c r="AD5203" s="531"/>
      <c r="AE5203" s="531"/>
      <c r="AF5203" s="531"/>
      <c r="AG5203" s="531"/>
      <c r="AH5203" s="531"/>
      <c r="AI5203" s="531"/>
      <c r="AJ5203" s="531"/>
      <c r="AK5203" s="531"/>
      <c r="AL5203" s="531"/>
      <c r="AM5203" s="531"/>
      <c r="AN5203" s="531"/>
      <c r="AO5203" s="531"/>
      <c r="AR5203" s="761" t="s">
        <v>145</v>
      </c>
      <c r="AS5203" s="764"/>
    </row>
    <row r="5204" spans="1:45" s="520" customFormat="1" ht="12" thickTop="1">
      <c r="A5204" s="51"/>
      <c r="B5204" s="41"/>
      <c r="C5204" s="51"/>
      <c r="E5204" s="42" t="s">
        <v>138</v>
      </c>
      <c r="F5204" s="42" t="s">
        <v>139</v>
      </c>
      <c r="G5204" s="51"/>
      <c r="H5204" s="51"/>
      <c r="I5204" s="51"/>
      <c r="J5204" s="51"/>
      <c r="K5204" s="51" t="s">
        <v>140</v>
      </c>
      <c r="L5204" s="51"/>
      <c r="M5204" s="51"/>
      <c r="N5204" s="51"/>
      <c r="O5204" s="52"/>
      <c r="P5204" s="51"/>
      <c r="Q5204" s="51"/>
      <c r="R5204" s="51"/>
      <c r="S5204" s="51"/>
      <c r="T5204" s="41"/>
      <c r="AG5204" s="521" t="s">
        <v>268</v>
      </c>
      <c r="AH5204" s="521" t="s">
        <v>269</v>
      </c>
      <c r="AI5204" s="521" t="s">
        <v>270</v>
      </c>
      <c r="AJ5204" s="521" t="s">
        <v>271</v>
      </c>
      <c r="AK5204" s="521" t="s">
        <v>272</v>
      </c>
      <c r="AM5204" s="745" t="s">
        <v>281</v>
      </c>
      <c r="AN5204" s="746" t="s">
        <v>282</v>
      </c>
      <c r="AO5204" s="522" t="s">
        <v>278</v>
      </c>
      <c r="AR5204" s="51"/>
      <c r="AS5204" s="42" t="s">
        <v>139</v>
      </c>
    </row>
    <row r="5205" spans="1:45" s="520" customFormat="1" ht="12" customHeight="1">
      <c r="A5205" s="747">
        <v>2</v>
      </c>
      <c r="B5205" s="523" t="s">
        <v>329</v>
      </c>
      <c r="C5205" s="748"/>
      <c r="D5205" s="749" t="s">
        <v>1865</v>
      </c>
      <c r="E5205" s="750">
        <f ca="1">IF(AND($A5205=0,$A$1="DIF"),0, ROUND(ROUND(($R5210*$S$2+($T5210*$T$2))/A5205,2)*$C$2,2))</f>
        <v>17.84</v>
      </c>
      <c r="F5205" s="751">
        <f ca="1">ROUND($A5205*$E5205,2)</f>
        <v>35.68</v>
      </c>
      <c r="G5205" s="752" t="s">
        <v>142</v>
      </c>
      <c r="H5205" s="753"/>
      <c r="I5205" s="754"/>
      <c r="J5205" s="753"/>
      <c r="K5205" s="753" t="s">
        <v>3</v>
      </c>
      <c r="L5205" s="755" t="s">
        <v>143</v>
      </c>
      <c r="M5205" s="755"/>
      <c r="N5205" s="755"/>
      <c r="O5205" s="755"/>
      <c r="P5205" s="755"/>
      <c r="Q5205" s="51"/>
      <c r="T5205" s="756" t="str">
        <f ca="1">IF(AND($R5210=0,$T5210=0),"0.00","mu :" &amp; ROUND($F5205/$C$2/($R5210+$T5210*$D$9),2))</f>
        <v>mu :1.23</v>
      </c>
      <c r="W5205" s="524"/>
      <c r="AG5205" s="481">
        <f ca="1">IF($E5205=0,0,ROUND($R5210*$S$2*$C$2/$A5205,2))</f>
        <v>1.95</v>
      </c>
      <c r="AH5205" s="481">
        <f ca="1">$AG5205*$A5205</f>
        <v>3.9</v>
      </c>
      <c r="AI5205" s="525">
        <f ca="1">$E5205-$AG5205</f>
        <v>15.89</v>
      </c>
      <c r="AJ5205" s="525">
        <f ca="1">$A5205*$AI5205</f>
        <v>31.78</v>
      </c>
      <c r="AK5205" s="526">
        <f ca="1">ROUND(($AG5205+$AI5205)*$A5205,2)</f>
        <v>35.68</v>
      </c>
      <c r="AM5205" s="527">
        <f ca="1">ROUND(R5210,2)</f>
        <v>3.16</v>
      </c>
      <c r="AN5205" s="528">
        <f ca="1">ROUND(T5210,2)</f>
        <v>0.94</v>
      </c>
      <c r="AO5205" s="529">
        <f ca="1">ROUND(AM5205+AN5205,2)*A5205</f>
        <v>8.1999999999999993</v>
      </c>
      <c r="AR5205" s="747">
        <v>2</v>
      </c>
      <c r="AS5205" s="751">
        <v>39.74</v>
      </c>
    </row>
    <row r="5206" spans="1:45" s="520" customFormat="1" ht="13.2">
      <c r="A5206" s="748"/>
      <c r="B5206"/>
      <c r="C5206" s="748"/>
      <c r="D5206" s="749" t="s">
        <v>889</v>
      </c>
      <c r="F5206" s="753"/>
      <c r="G5206" s="3"/>
      <c r="H5206" s="753"/>
      <c r="I5206" s="754"/>
      <c r="J5206" s="753"/>
      <c r="K5206" s="753" t="s">
        <v>144</v>
      </c>
      <c r="L5206" s="753"/>
      <c r="M5206" s="753"/>
      <c r="N5206" s="753"/>
      <c r="O5206" s="753"/>
      <c r="P5206" s="753"/>
      <c r="Q5206" s="51"/>
      <c r="R5206" s="530"/>
      <c r="S5206" s="757"/>
      <c r="T5206" s="753"/>
      <c r="AR5206" s="748"/>
      <c r="AS5206" s="753"/>
    </row>
    <row r="5207" spans="1:45" s="886" customFormat="1" ht="13.2">
      <c r="A5207"/>
      <c r="B5207" s="910"/>
      <c r="C5207" s="910" t="s">
        <v>2597</v>
      </c>
      <c r="D5207" s="910" t="str">
        <f ca="1">CELL("Address",Elec_Rates!D$622)</f>
        <v>[E25_0062_Quintano_Foods_Elec_ELV_As_Awarded.xlsx]Elec_Rates!$D$622</v>
      </c>
      <c r="E5207" s="911"/>
      <c r="F5207" s="911"/>
      <c r="G5207" s="912" t="s">
        <v>2598</v>
      </c>
      <c r="H5207" s="912"/>
      <c r="I5207" s="912"/>
      <c r="J5207" s="912"/>
      <c r="K5207" s="913"/>
      <c r="L5207" s="911"/>
      <c r="M5207" s="911"/>
      <c r="N5207" s="911"/>
      <c r="O5207" s="914"/>
      <c r="P5207" s="911"/>
      <c r="Q5207" s="915"/>
      <c r="R5207" s="916"/>
      <c r="S5207" s="915"/>
      <c r="T5207" s="917"/>
      <c r="U5207" s="918"/>
      <c r="AR5207"/>
      <c r="AS5207" s="911"/>
    </row>
    <row r="5208" spans="1:45" s="886" customFormat="1" ht="11.4">
      <c r="A5208" s="919">
        <v>2</v>
      </c>
      <c r="B5208" s="920">
        <v>1</v>
      </c>
      <c r="C5208" s="920">
        <f>$A5208*$B5208</f>
        <v>2</v>
      </c>
      <c r="D5208" s="921" t="str">
        <f>Elec_Rates!$D$622</f>
        <v>059# Install only Light fitting Type F2</v>
      </c>
      <c r="E5208" s="921"/>
      <c r="F5208" s="921" t="s">
        <v>2599</v>
      </c>
      <c r="G5208" s="922" t="s">
        <v>2600</v>
      </c>
      <c r="H5208" s="922"/>
      <c r="I5208" s="922"/>
      <c r="J5208" s="922"/>
      <c r="K5208" s="923"/>
      <c r="L5208" s="918"/>
      <c r="M5208" s="918"/>
      <c r="N5208" s="918"/>
      <c r="O5208" s="924"/>
      <c r="P5208" s="921"/>
      <c r="Q5208" s="925">
        <f ca="1">$B5208*Elec_Rates!$R$622</f>
        <v>1.58</v>
      </c>
      <c r="R5208" s="916">
        <f ca="1">$A5208*Q5208</f>
        <v>3.16</v>
      </c>
      <c r="S5208" s="925">
        <f ca="1">$B5208*Elec_Rates!$T$622</f>
        <v>0.47</v>
      </c>
      <c r="T5208" s="917">
        <f ca="1">$A5208*S5208</f>
        <v>0.94</v>
      </c>
      <c r="U5208" s="926"/>
      <c r="AR5208" s="919">
        <v>2</v>
      </c>
      <c r="AS5208" s="921" t="s">
        <v>2599</v>
      </c>
    </row>
    <row r="5209" spans="1:45" s="520" customFormat="1" ht="12">
      <c r="A5209" s="758"/>
      <c r="B5209" s="758"/>
      <c r="C5209" s="758"/>
      <c r="D5209" s="758"/>
      <c r="E5209" s="758"/>
      <c r="F5209" s="753"/>
      <c r="G5209" s="758"/>
      <c r="H5209" s="758"/>
      <c r="I5209" s="519"/>
      <c r="J5209" s="758"/>
      <c r="K5209" s="758"/>
      <c r="L5209" s="758"/>
      <c r="M5209" s="758"/>
      <c r="N5209" s="758"/>
      <c r="O5209" s="758"/>
      <c r="P5209" s="758"/>
      <c r="Q5209" s="519"/>
      <c r="R5209" s="759">
        <f t="shared" ref="R5209" si="202">$A5209*Q5209</f>
        <v>0</v>
      </c>
      <c r="S5209" s="519"/>
      <c r="T5209" s="760">
        <f t="shared" ref="T5209" si="203">$A5209*S5209*$T$1</f>
        <v>0</v>
      </c>
      <c r="AR5209" s="758"/>
      <c r="AS5209" s="753"/>
    </row>
    <row r="5210" spans="1:45" s="520" customFormat="1" ht="12.6" thickBot="1">
      <c r="A5210" s="761" t="s">
        <v>145</v>
      </c>
      <c r="B5210" s="762">
        <f>(R5209+T5209)</f>
        <v>0</v>
      </c>
      <c r="C5210" s="763"/>
      <c r="D5210" s="763"/>
      <c r="E5210" s="763"/>
      <c r="F5210" s="764"/>
      <c r="G5210" s="763" t="s">
        <v>146</v>
      </c>
      <c r="H5210" s="763"/>
      <c r="I5210" s="765"/>
      <c r="J5210" s="763"/>
      <c r="K5210" s="763" t="s">
        <v>3</v>
      </c>
      <c r="L5210" s="766" t="s">
        <v>143</v>
      </c>
      <c r="M5210" s="766"/>
      <c r="N5210" s="766"/>
      <c r="O5210" s="766"/>
      <c r="P5210" s="766"/>
      <c r="Q5210" s="767"/>
      <c r="R5210" s="768">
        <f ca="1">SUM(R5206:R5209)</f>
        <v>3.16</v>
      </c>
      <c r="S5210" s="763"/>
      <c r="T5210" s="768">
        <f ca="1">SUM(T5206:T5209)</f>
        <v>0.94</v>
      </c>
      <c r="U5210" s="531"/>
      <c r="V5210" s="531"/>
      <c r="W5210" s="531"/>
      <c r="X5210" s="531"/>
      <c r="Y5210" s="531"/>
      <c r="Z5210" s="531"/>
      <c r="AA5210" s="531"/>
      <c r="AB5210" s="531"/>
      <c r="AC5210" s="531"/>
      <c r="AD5210" s="531"/>
      <c r="AE5210" s="531"/>
      <c r="AF5210" s="531"/>
      <c r="AG5210" s="531"/>
      <c r="AH5210" s="531"/>
      <c r="AI5210" s="531"/>
      <c r="AJ5210" s="531"/>
      <c r="AK5210" s="531"/>
      <c r="AL5210" s="531"/>
      <c r="AM5210" s="531"/>
      <c r="AN5210" s="531"/>
      <c r="AO5210" s="531"/>
      <c r="AR5210" s="761" t="s">
        <v>145</v>
      </c>
      <c r="AS5210" s="764"/>
    </row>
    <row r="5211" spans="1:45" s="520" customFormat="1" ht="12" thickTop="1">
      <c r="A5211" s="51"/>
      <c r="B5211" s="41"/>
      <c r="C5211" s="51"/>
      <c r="E5211" s="42" t="s">
        <v>138</v>
      </c>
      <c r="F5211" s="42" t="s">
        <v>139</v>
      </c>
      <c r="G5211" s="51"/>
      <c r="H5211" s="51"/>
      <c r="I5211" s="51"/>
      <c r="J5211" s="51"/>
      <c r="K5211" s="51" t="s">
        <v>140</v>
      </c>
      <c r="L5211" s="51"/>
      <c r="M5211" s="51"/>
      <c r="N5211" s="51"/>
      <c r="O5211" s="52"/>
      <c r="P5211" s="51"/>
      <c r="Q5211" s="51"/>
      <c r="R5211" s="51"/>
      <c r="S5211" s="51"/>
      <c r="T5211" s="41"/>
      <c r="AG5211" s="521" t="s">
        <v>268</v>
      </c>
      <c r="AH5211" s="521" t="s">
        <v>269</v>
      </c>
      <c r="AI5211" s="521" t="s">
        <v>270</v>
      </c>
      <c r="AJ5211" s="521" t="s">
        <v>271</v>
      </c>
      <c r="AK5211" s="521" t="s">
        <v>272</v>
      </c>
      <c r="AM5211" s="745" t="s">
        <v>281</v>
      </c>
      <c r="AN5211" s="746" t="s">
        <v>282</v>
      </c>
      <c r="AO5211" s="522" t="s">
        <v>278</v>
      </c>
      <c r="AR5211" s="51"/>
      <c r="AS5211" s="42" t="s">
        <v>139</v>
      </c>
    </row>
    <row r="5212" spans="1:45" s="520" customFormat="1" ht="12" customHeight="1">
      <c r="A5212" s="747">
        <v>17</v>
      </c>
      <c r="B5212" s="523" t="s">
        <v>329</v>
      </c>
      <c r="C5212" s="748"/>
      <c r="D5212" s="749" t="s">
        <v>1866</v>
      </c>
      <c r="E5212" s="750">
        <f ca="1">IF(AND($A5212=0,$A$1="DIF"),0, ROUND(ROUND(($R5217*$S$2+($T5217*$T$2))/A5212,2)*$C$2,2))</f>
        <v>19.91</v>
      </c>
      <c r="F5212" s="751">
        <f ca="1">ROUND($A5212*$E5212,2)</f>
        <v>338.47</v>
      </c>
      <c r="G5212" s="752" t="s">
        <v>142</v>
      </c>
      <c r="H5212" s="753"/>
      <c r="I5212" s="754"/>
      <c r="J5212" s="753"/>
      <c r="K5212" s="753" t="s">
        <v>3</v>
      </c>
      <c r="L5212" s="755" t="s">
        <v>143</v>
      </c>
      <c r="M5212" s="755"/>
      <c r="N5212" s="755"/>
      <c r="O5212" s="755"/>
      <c r="P5212" s="755"/>
      <c r="Q5212" s="51"/>
      <c r="T5212" s="756" t="str">
        <f ca="1">IF(AND($R5217=0,$T5217=0),"0.00","mu :" &amp; ROUND($F5212/$C$2/($R5217+$T5217*$D$9),2))</f>
        <v>mu :1.23</v>
      </c>
      <c r="W5212" s="524"/>
      <c r="AG5212" s="481">
        <f ca="1">IF($E5212=0,0,ROUND($R5217*$S$2*$C$2/$A5212,2))</f>
        <v>4.01</v>
      </c>
      <c r="AH5212" s="481">
        <f ca="1">$AG5212*$A5212</f>
        <v>68.17</v>
      </c>
      <c r="AI5212" s="525">
        <f ca="1">$E5212-$AG5212</f>
        <v>15.9</v>
      </c>
      <c r="AJ5212" s="525">
        <f ca="1">$A5212*$AI5212</f>
        <v>270.3</v>
      </c>
      <c r="AK5212" s="526">
        <f ca="1">ROUND(($AG5212+$AI5212)*$A5212,2)</f>
        <v>338.47</v>
      </c>
      <c r="AM5212" s="527">
        <f ca="1">ROUND(R5217,2)</f>
        <v>55.42</v>
      </c>
      <c r="AN5212" s="528">
        <f ca="1">ROUND(T5217,2)</f>
        <v>7.99</v>
      </c>
      <c r="AO5212" s="529">
        <f ca="1">ROUND(AM5212+AN5212,2)*A5212</f>
        <v>1077.97</v>
      </c>
      <c r="AR5212" s="747">
        <v>18</v>
      </c>
      <c r="AS5212" s="751">
        <v>394.74</v>
      </c>
    </row>
    <row r="5213" spans="1:45" s="520" customFormat="1" ht="13.2">
      <c r="A5213" s="748"/>
      <c r="B5213"/>
      <c r="C5213" s="748"/>
      <c r="D5213" s="749" t="s">
        <v>890</v>
      </c>
      <c r="F5213" s="753"/>
      <c r="G5213" s="3"/>
      <c r="H5213" s="753"/>
      <c r="I5213" s="754"/>
      <c r="J5213" s="753"/>
      <c r="K5213" s="753" t="s">
        <v>144</v>
      </c>
      <c r="L5213" s="753"/>
      <c r="M5213" s="753"/>
      <c r="N5213" s="753"/>
      <c r="O5213" s="753"/>
      <c r="P5213" s="753"/>
      <c r="Q5213" s="51"/>
      <c r="R5213" s="530"/>
      <c r="S5213" s="757"/>
      <c r="T5213" s="753"/>
      <c r="AR5213" s="748"/>
      <c r="AS5213" s="753"/>
    </row>
    <row r="5214" spans="1:45" s="886" customFormat="1" ht="13.2">
      <c r="A5214"/>
      <c r="B5214" s="910"/>
      <c r="C5214" s="910" t="s">
        <v>2597</v>
      </c>
      <c r="D5214" s="910" t="str">
        <f ca="1">CELL("Address",Elec_Rates!D$631)</f>
        <v>[E25_0062_Quintano_Foods_Elec_ELV_As_Awarded.xlsx]Elec_Rates!$D$631</v>
      </c>
      <c r="E5214" s="911"/>
      <c r="F5214" s="911"/>
      <c r="G5214" s="912" t="s">
        <v>2598</v>
      </c>
      <c r="H5214" s="912"/>
      <c r="I5214" s="912"/>
      <c r="J5214" s="912"/>
      <c r="K5214" s="913"/>
      <c r="L5214" s="911"/>
      <c r="M5214" s="911"/>
      <c r="N5214" s="911"/>
      <c r="O5214" s="914"/>
      <c r="P5214" s="911"/>
      <c r="Q5214" s="915"/>
      <c r="R5214" s="916"/>
      <c r="S5214" s="915"/>
      <c r="T5214" s="917"/>
      <c r="U5214" s="918"/>
      <c r="AR5214"/>
      <c r="AS5214" s="911"/>
    </row>
    <row r="5215" spans="1:45" s="886" customFormat="1" ht="11.4">
      <c r="A5215" s="919">
        <v>17</v>
      </c>
      <c r="B5215" s="920">
        <v>1</v>
      </c>
      <c r="C5215" s="920">
        <f>$A5215*$B5215</f>
        <v>17</v>
      </c>
      <c r="D5215" s="921" t="str">
        <f>Elec_Rates!$D$631</f>
        <v>060# Install only Light fitting Type G1</v>
      </c>
      <c r="E5215" s="921"/>
      <c r="F5215" s="921" t="s">
        <v>2599</v>
      </c>
      <c r="G5215" s="922" t="s">
        <v>2601</v>
      </c>
      <c r="H5215" s="922"/>
      <c r="I5215" s="922"/>
      <c r="J5215" s="922"/>
      <c r="K5215" s="923"/>
      <c r="L5215" s="918"/>
      <c r="M5215" s="918"/>
      <c r="N5215" s="918"/>
      <c r="O5215" s="924"/>
      <c r="P5215" s="921"/>
      <c r="Q5215" s="925">
        <f ca="1">$B5215*Elec_Rates!$R$631</f>
        <v>3.26</v>
      </c>
      <c r="R5215" s="916">
        <f ca="1">$A5215*Q5215</f>
        <v>55.419999999999995</v>
      </c>
      <c r="S5215" s="925">
        <f ca="1">$B5215*Elec_Rates!$T$631</f>
        <v>0.47</v>
      </c>
      <c r="T5215" s="917">
        <f ca="1">$A5215*S5215</f>
        <v>7.9899999999999993</v>
      </c>
      <c r="U5215" s="926"/>
      <c r="AR5215" s="919">
        <v>18</v>
      </c>
      <c r="AS5215" s="921" t="s">
        <v>2599</v>
      </c>
    </row>
    <row r="5216" spans="1:45" s="520" customFormat="1" ht="12">
      <c r="A5216" s="758"/>
      <c r="B5216" s="758"/>
      <c r="C5216" s="758"/>
      <c r="D5216" s="758"/>
      <c r="E5216" s="758"/>
      <c r="F5216" s="753"/>
      <c r="G5216" s="758"/>
      <c r="H5216" s="758"/>
      <c r="I5216" s="519"/>
      <c r="J5216" s="758"/>
      <c r="K5216" s="758"/>
      <c r="L5216" s="758"/>
      <c r="M5216" s="758"/>
      <c r="N5216" s="758"/>
      <c r="O5216" s="758"/>
      <c r="P5216" s="758"/>
      <c r="Q5216" s="519"/>
      <c r="R5216" s="759">
        <f t="shared" ref="R5216" si="204">$A5216*Q5216</f>
        <v>0</v>
      </c>
      <c r="S5216" s="519"/>
      <c r="T5216" s="760">
        <f t="shared" ref="T5216" si="205">$A5216*S5216*$T$1</f>
        <v>0</v>
      </c>
      <c r="AR5216" s="758"/>
      <c r="AS5216" s="753"/>
    </row>
    <row r="5217" spans="1:45" s="520" customFormat="1" ht="12.6" thickBot="1">
      <c r="A5217" s="761" t="s">
        <v>145</v>
      </c>
      <c r="B5217" s="762">
        <f>(R5216+T5216)</f>
        <v>0</v>
      </c>
      <c r="C5217" s="763"/>
      <c r="D5217" s="763"/>
      <c r="E5217" s="763"/>
      <c r="F5217" s="764"/>
      <c r="G5217" s="763" t="s">
        <v>146</v>
      </c>
      <c r="H5217" s="763"/>
      <c r="I5217" s="765"/>
      <c r="J5217" s="763"/>
      <c r="K5217" s="763" t="s">
        <v>3</v>
      </c>
      <c r="L5217" s="766" t="s">
        <v>143</v>
      </c>
      <c r="M5217" s="766"/>
      <c r="N5217" s="766"/>
      <c r="O5217" s="766"/>
      <c r="P5217" s="766"/>
      <c r="Q5217" s="767"/>
      <c r="R5217" s="768">
        <f ca="1">SUM(R5213:R5216)</f>
        <v>55.419999999999995</v>
      </c>
      <c r="S5217" s="763"/>
      <c r="T5217" s="768">
        <f ca="1">SUM(T5213:T5216)</f>
        <v>7.9899999999999993</v>
      </c>
      <c r="U5217" s="531"/>
      <c r="V5217" s="531"/>
      <c r="W5217" s="531"/>
      <c r="X5217" s="531"/>
      <c r="Y5217" s="531"/>
      <c r="Z5217" s="531"/>
      <c r="AA5217" s="531"/>
      <c r="AB5217" s="531"/>
      <c r="AC5217" s="531"/>
      <c r="AD5217" s="531"/>
      <c r="AE5217" s="531"/>
      <c r="AF5217" s="531"/>
      <c r="AG5217" s="531"/>
      <c r="AH5217" s="531"/>
      <c r="AI5217" s="531"/>
      <c r="AJ5217" s="531"/>
      <c r="AK5217" s="531"/>
      <c r="AL5217" s="531"/>
      <c r="AM5217" s="531"/>
      <c r="AN5217" s="531"/>
      <c r="AO5217" s="531"/>
      <c r="AR5217" s="761" t="s">
        <v>145</v>
      </c>
      <c r="AS5217" s="764"/>
    </row>
    <row r="5218" spans="1:45" s="520" customFormat="1" ht="12" thickTop="1">
      <c r="A5218" s="51"/>
      <c r="B5218" s="41"/>
      <c r="C5218" s="51"/>
      <c r="E5218" s="42" t="s">
        <v>138</v>
      </c>
      <c r="F5218" s="42" t="s">
        <v>139</v>
      </c>
      <c r="G5218" s="51"/>
      <c r="H5218" s="51"/>
      <c r="I5218" s="51"/>
      <c r="J5218" s="51"/>
      <c r="K5218" s="51" t="s">
        <v>140</v>
      </c>
      <c r="L5218" s="51"/>
      <c r="M5218" s="51"/>
      <c r="N5218" s="51"/>
      <c r="O5218" s="52"/>
      <c r="P5218" s="51"/>
      <c r="Q5218" s="51"/>
      <c r="R5218" s="51"/>
      <c r="S5218" s="51"/>
      <c r="T5218" s="41"/>
      <c r="AG5218" s="521" t="s">
        <v>268</v>
      </c>
      <c r="AH5218" s="521" t="s">
        <v>269</v>
      </c>
      <c r="AI5218" s="521" t="s">
        <v>270</v>
      </c>
      <c r="AJ5218" s="521" t="s">
        <v>271</v>
      </c>
      <c r="AK5218" s="521" t="s">
        <v>272</v>
      </c>
      <c r="AM5218" s="745" t="s">
        <v>281</v>
      </c>
      <c r="AN5218" s="746" t="s">
        <v>282</v>
      </c>
      <c r="AO5218" s="522" t="s">
        <v>278</v>
      </c>
      <c r="AR5218" s="51"/>
      <c r="AS5218" s="42" t="s">
        <v>139</v>
      </c>
    </row>
    <row r="5219" spans="1:45" s="520" customFormat="1" ht="12" customHeight="1">
      <c r="A5219" s="747">
        <v>6</v>
      </c>
      <c r="B5219" s="523" t="s">
        <v>329</v>
      </c>
      <c r="C5219" s="748"/>
      <c r="D5219" s="749" t="s">
        <v>1867</v>
      </c>
      <c r="E5219" s="750">
        <f ca="1">IF(AND($A5219=0,$A$1="DIF"),0, ROUND(ROUND(($R5224*$S$2+($T5224*$T$2))/A5219,2)*$C$2,2))</f>
        <v>19.91</v>
      </c>
      <c r="F5219" s="751">
        <f ca="1">ROUND($A5219*$E5219,2)</f>
        <v>119.46</v>
      </c>
      <c r="G5219" s="752" t="s">
        <v>142</v>
      </c>
      <c r="H5219" s="753"/>
      <c r="I5219" s="754"/>
      <c r="J5219" s="753"/>
      <c r="K5219" s="753" t="s">
        <v>3</v>
      </c>
      <c r="L5219" s="755" t="s">
        <v>143</v>
      </c>
      <c r="M5219" s="755"/>
      <c r="N5219" s="755"/>
      <c r="O5219" s="755"/>
      <c r="P5219" s="755"/>
      <c r="Q5219" s="51"/>
      <c r="T5219" s="756" t="str">
        <f ca="1">IF(AND($R5224=0,$T5224=0),"0.00","mu :" &amp; ROUND($F5219/$C$2/($R5224+$T5224*$D$9),2))</f>
        <v>mu :1.23</v>
      </c>
      <c r="W5219" s="524"/>
      <c r="AG5219" s="481">
        <f ca="1">IF($E5219=0,0,ROUND($R5224*$S$2*$C$2/$A5219,2))</f>
        <v>4.01</v>
      </c>
      <c r="AH5219" s="481">
        <f ca="1">$AG5219*$A5219</f>
        <v>24.06</v>
      </c>
      <c r="AI5219" s="525">
        <f ca="1">$E5219-$AG5219</f>
        <v>15.9</v>
      </c>
      <c r="AJ5219" s="525">
        <f ca="1">$A5219*$AI5219</f>
        <v>95.4</v>
      </c>
      <c r="AK5219" s="526">
        <f ca="1">ROUND(($AG5219+$AI5219)*$A5219,2)</f>
        <v>119.46</v>
      </c>
      <c r="AM5219" s="527">
        <f ca="1">ROUND(R5224,2)</f>
        <v>19.559999999999999</v>
      </c>
      <c r="AN5219" s="528">
        <f ca="1">ROUND(T5224,2)</f>
        <v>2.82</v>
      </c>
      <c r="AO5219" s="529">
        <f ca="1">ROUND(AM5219+AN5219,2)*A5219</f>
        <v>134.28</v>
      </c>
      <c r="AR5219" s="747">
        <v>7</v>
      </c>
      <c r="AS5219" s="751">
        <v>153.51</v>
      </c>
    </row>
    <row r="5220" spans="1:45" s="520" customFormat="1" ht="13.2">
      <c r="A5220" s="748"/>
      <c r="B5220"/>
      <c r="C5220" s="748"/>
      <c r="D5220" s="749" t="s">
        <v>891</v>
      </c>
      <c r="F5220" s="753"/>
      <c r="G5220" s="3"/>
      <c r="H5220" s="753"/>
      <c r="I5220" s="754"/>
      <c r="J5220" s="753"/>
      <c r="K5220" s="753" t="s">
        <v>144</v>
      </c>
      <c r="L5220" s="753"/>
      <c r="M5220" s="753"/>
      <c r="N5220" s="753"/>
      <c r="O5220" s="753"/>
      <c r="P5220" s="753"/>
      <c r="Q5220" s="51"/>
      <c r="R5220" s="530"/>
      <c r="S5220" s="757"/>
      <c r="T5220" s="753"/>
      <c r="AR5220" s="748"/>
      <c r="AS5220" s="753"/>
    </row>
    <row r="5221" spans="1:45" s="886" customFormat="1" ht="13.2">
      <c r="A5221"/>
      <c r="B5221" s="910"/>
      <c r="C5221" s="910" t="s">
        <v>2597</v>
      </c>
      <c r="D5221" s="910" t="str">
        <f ca="1">CELL("Address",Elec_Rates!D$640)</f>
        <v>[E25_0062_Quintano_Foods_Elec_ELV_As_Awarded.xlsx]Elec_Rates!$D$640</v>
      </c>
      <c r="E5221" s="911"/>
      <c r="F5221" s="911"/>
      <c r="G5221" s="912" t="s">
        <v>2598</v>
      </c>
      <c r="H5221" s="912"/>
      <c r="I5221" s="912"/>
      <c r="J5221" s="912"/>
      <c r="K5221" s="913"/>
      <c r="L5221" s="911"/>
      <c r="M5221" s="911"/>
      <c r="N5221" s="911"/>
      <c r="O5221" s="914"/>
      <c r="P5221" s="911"/>
      <c r="Q5221" s="915"/>
      <c r="R5221" s="916"/>
      <c r="S5221" s="915"/>
      <c r="T5221" s="917"/>
      <c r="U5221" s="918"/>
      <c r="AR5221"/>
      <c r="AS5221" s="911"/>
    </row>
    <row r="5222" spans="1:45" s="886" customFormat="1" ht="11.4">
      <c r="A5222" s="919">
        <v>6</v>
      </c>
      <c r="B5222" s="920">
        <v>1</v>
      </c>
      <c r="C5222" s="920">
        <f>$A5222*$B5222</f>
        <v>6</v>
      </c>
      <c r="D5222" s="921" t="str">
        <f>Elec_Rates!$D$640</f>
        <v>061# Install only Light fitting Type G2</v>
      </c>
      <c r="E5222" s="921"/>
      <c r="F5222" s="921" t="s">
        <v>2599</v>
      </c>
      <c r="G5222" s="922" t="s">
        <v>2600</v>
      </c>
      <c r="H5222" s="922"/>
      <c r="I5222" s="922"/>
      <c r="J5222" s="922"/>
      <c r="K5222" s="923"/>
      <c r="L5222" s="918"/>
      <c r="M5222" s="918"/>
      <c r="N5222" s="918"/>
      <c r="O5222" s="924"/>
      <c r="P5222" s="921"/>
      <c r="Q5222" s="925">
        <f ca="1">$B5222*Elec_Rates!$R$640</f>
        <v>3.26</v>
      </c>
      <c r="R5222" s="916">
        <f ca="1">$A5222*Q5222</f>
        <v>19.559999999999999</v>
      </c>
      <c r="S5222" s="925">
        <f ca="1">$B5222*Elec_Rates!$T$640</f>
        <v>0.47</v>
      </c>
      <c r="T5222" s="917">
        <f ca="1">$A5222*S5222</f>
        <v>2.82</v>
      </c>
      <c r="U5222" s="926"/>
      <c r="AR5222" s="919">
        <v>7</v>
      </c>
      <c r="AS5222" s="921" t="s">
        <v>2599</v>
      </c>
    </row>
    <row r="5223" spans="1:45" s="520" customFormat="1" ht="12">
      <c r="A5223" s="758"/>
      <c r="B5223" s="758"/>
      <c r="C5223" s="758"/>
      <c r="D5223" s="758"/>
      <c r="E5223" s="758"/>
      <c r="F5223" s="753"/>
      <c r="G5223" s="758"/>
      <c r="H5223" s="758"/>
      <c r="I5223" s="519"/>
      <c r="J5223" s="758"/>
      <c r="K5223" s="758"/>
      <c r="L5223" s="758"/>
      <c r="M5223" s="758"/>
      <c r="N5223" s="758"/>
      <c r="O5223" s="758"/>
      <c r="P5223" s="758"/>
      <c r="Q5223" s="519"/>
      <c r="R5223" s="759">
        <f t="shared" ref="R5223" si="206">$A5223*Q5223</f>
        <v>0</v>
      </c>
      <c r="S5223" s="519"/>
      <c r="T5223" s="760">
        <f t="shared" ref="T5223" si="207">$A5223*S5223*$T$1</f>
        <v>0</v>
      </c>
      <c r="AR5223" s="758"/>
      <c r="AS5223" s="753"/>
    </row>
    <row r="5224" spans="1:45" s="520" customFormat="1" ht="12.6" thickBot="1">
      <c r="A5224" s="761" t="s">
        <v>145</v>
      </c>
      <c r="B5224" s="762">
        <f>(R5223+T5223)</f>
        <v>0</v>
      </c>
      <c r="C5224" s="763"/>
      <c r="D5224" s="763"/>
      <c r="E5224" s="763"/>
      <c r="F5224" s="764"/>
      <c r="G5224" s="763" t="s">
        <v>146</v>
      </c>
      <c r="H5224" s="763"/>
      <c r="I5224" s="765"/>
      <c r="J5224" s="763"/>
      <c r="K5224" s="763" t="s">
        <v>3</v>
      </c>
      <c r="L5224" s="766" t="s">
        <v>143</v>
      </c>
      <c r="M5224" s="766"/>
      <c r="N5224" s="766"/>
      <c r="O5224" s="766"/>
      <c r="P5224" s="766"/>
      <c r="Q5224" s="767"/>
      <c r="R5224" s="768">
        <f ca="1">SUM(R5220:R5223)</f>
        <v>19.559999999999999</v>
      </c>
      <c r="S5224" s="763"/>
      <c r="T5224" s="768">
        <f ca="1">SUM(T5220:T5223)</f>
        <v>2.82</v>
      </c>
      <c r="U5224" s="531"/>
      <c r="V5224" s="531"/>
      <c r="W5224" s="531"/>
      <c r="X5224" s="531"/>
      <c r="Y5224" s="531"/>
      <c r="Z5224" s="531"/>
      <c r="AA5224" s="531"/>
      <c r="AB5224" s="531"/>
      <c r="AC5224" s="531"/>
      <c r="AD5224" s="531"/>
      <c r="AE5224" s="531"/>
      <c r="AF5224" s="531"/>
      <c r="AG5224" s="531"/>
      <c r="AH5224" s="531"/>
      <c r="AI5224" s="531"/>
      <c r="AJ5224" s="531"/>
      <c r="AK5224" s="531"/>
      <c r="AL5224" s="531"/>
      <c r="AM5224" s="531"/>
      <c r="AN5224" s="531"/>
      <c r="AO5224" s="531"/>
      <c r="AR5224" s="761" t="s">
        <v>145</v>
      </c>
      <c r="AS5224" s="764"/>
    </row>
    <row r="5225" spans="1:45" s="520" customFormat="1" ht="12" thickTop="1">
      <c r="A5225" s="51"/>
      <c r="B5225" s="41"/>
      <c r="C5225" s="51"/>
      <c r="E5225" s="42" t="s">
        <v>138</v>
      </c>
      <c r="F5225" s="42" t="s">
        <v>139</v>
      </c>
      <c r="G5225" s="51"/>
      <c r="H5225" s="51"/>
      <c r="I5225" s="51"/>
      <c r="J5225" s="51"/>
      <c r="K5225" s="51" t="s">
        <v>140</v>
      </c>
      <c r="L5225" s="51"/>
      <c r="M5225" s="51"/>
      <c r="N5225" s="51"/>
      <c r="O5225" s="52"/>
      <c r="P5225" s="51"/>
      <c r="Q5225" s="51"/>
      <c r="R5225" s="51"/>
      <c r="S5225" s="51"/>
      <c r="T5225" s="41"/>
      <c r="AG5225" s="521" t="s">
        <v>268</v>
      </c>
      <c r="AH5225" s="521" t="s">
        <v>269</v>
      </c>
      <c r="AI5225" s="521" t="s">
        <v>270</v>
      </c>
      <c r="AJ5225" s="521" t="s">
        <v>271</v>
      </c>
      <c r="AK5225" s="521" t="s">
        <v>272</v>
      </c>
      <c r="AM5225" s="745" t="s">
        <v>281</v>
      </c>
      <c r="AN5225" s="746" t="s">
        <v>282</v>
      </c>
      <c r="AO5225" s="522" t="s">
        <v>278</v>
      </c>
      <c r="AR5225" s="51"/>
      <c r="AS5225" s="42" t="s">
        <v>139</v>
      </c>
    </row>
    <row r="5226" spans="1:45" s="520" customFormat="1" ht="12" customHeight="1">
      <c r="A5226" s="747">
        <v>25</v>
      </c>
      <c r="B5226" s="523" t="s">
        <v>329</v>
      </c>
      <c r="C5226" s="748"/>
      <c r="D5226" s="749" t="s">
        <v>1868</v>
      </c>
      <c r="E5226" s="750">
        <f ca="1">IF(AND($A5226=0,$A$1="DIF"),0, ROUND(ROUND(($R5231*$S$2+($T5231*$T$2))/A5226,2)*$C$2,2))</f>
        <v>19.91</v>
      </c>
      <c r="F5226" s="751">
        <f ca="1">ROUND($A5226*$E5226,2)</f>
        <v>497.75</v>
      </c>
      <c r="G5226" s="752" t="s">
        <v>142</v>
      </c>
      <c r="H5226" s="753"/>
      <c r="I5226" s="754"/>
      <c r="J5226" s="753"/>
      <c r="K5226" s="753" t="s">
        <v>3</v>
      </c>
      <c r="L5226" s="755" t="s">
        <v>143</v>
      </c>
      <c r="M5226" s="755"/>
      <c r="N5226" s="755"/>
      <c r="O5226" s="755"/>
      <c r="P5226" s="755"/>
      <c r="Q5226" s="51"/>
      <c r="T5226" s="756" t="str">
        <f ca="1">IF(AND($R5231=0,$T5231=0),"0.00","mu :" &amp; ROUND($F5226/$C$2/($R5231+$T5231*$D$9),2))</f>
        <v>mu :1.23</v>
      </c>
      <c r="W5226" s="524"/>
      <c r="AG5226" s="481">
        <f ca="1">IF($E5226=0,0,ROUND($R5231*$S$2*$C$2/$A5226,2))</f>
        <v>4.01</v>
      </c>
      <c r="AH5226" s="481">
        <f ca="1">$AG5226*$A5226</f>
        <v>100.25</v>
      </c>
      <c r="AI5226" s="525">
        <f ca="1">$E5226-$AG5226</f>
        <v>15.9</v>
      </c>
      <c r="AJ5226" s="525">
        <f ca="1">$A5226*$AI5226</f>
        <v>397.5</v>
      </c>
      <c r="AK5226" s="526">
        <f ca="1">ROUND(($AG5226+$AI5226)*$A5226,2)</f>
        <v>497.75</v>
      </c>
      <c r="AM5226" s="527">
        <f ca="1">ROUND(R5231,2)</f>
        <v>81.5</v>
      </c>
      <c r="AN5226" s="528">
        <f ca="1">ROUND(T5231,2)</f>
        <v>11.75</v>
      </c>
      <c r="AO5226" s="529">
        <f ca="1">ROUND(AM5226+AN5226,2)*A5226</f>
        <v>2331.25</v>
      </c>
      <c r="AR5226" s="747">
        <v>23</v>
      </c>
      <c r="AS5226" s="751">
        <v>504.39</v>
      </c>
    </row>
    <row r="5227" spans="1:45" s="520" customFormat="1" ht="13.2">
      <c r="A5227" s="748"/>
      <c r="B5227"/>
      <c r="C5227" s="748"/>
      <c r="D5227" s="749" t="s">
        <v>892</v>
      </c>
      <c r="F5227" s="753"/>
      <c r="G5227" s="3"/>
      <c r="H5227" s="753"/>
      <c r="I5227" s="754"/>
      <c r="J5227" s="753"/>
      <c r="K5227" s="753" t="s">
        <v>144</v>
      </c>
      <c r="L5227" s="753"/>
      <c r="M5227" s="753"/>
      <c r="N5227" s="753"/>
      <c r="O5227" s="753"/>
      <c r="P5227" s="753"/>
      <c r="Q5227" s="51"/>
      <c r="R5227" s="530"/>
      <c r="S5227" s="757"/>
      <c r="T5227" s="753"/>
      <c r="AR5227" s="748"/>
      <c r="AS5227" s="753"/>
    </row>
    <row r="5228" spans="1:45" s="886" customFormat="1" ht="13.2">
      <c r="A5228"/>
      <c r="B5228" s="910"/>
      <c r="C5228" s="910" t="s">
        <v>2597</v>
      </c>
      <c r="D5228" s="910" t="str">
        <f ca="1">CELL("Address",Elec_Rates!D$649)</f>
        <v>[E25_0062_Quintano_Foods_Elec_ELV_As_Awarded.xlsx]Elec_Rates!$D$649</v>
      </c>
      <c r="E5228" s="911"/>
      <c r="F5228" s="911"/>
      <c r="G5228" s="912" t="s">
        <v>2598</v>
      </c>
      <c r="H5228" s="912"/>
      <c r="I5228" s="912"/>
      <c r="J5228" s="912"/>
      <c r="K5228" s="913"/>
      <c r="L5228" s="911"/>
      <c r="M5228" s="911"/>
      <c r="N5228" s="911"/>
      <c r="O5228" s="914"/>
      <c r="P5228" s="911"/>
      <c r="Q5228" s="915"/>
      <c r="R5228" s="916"/>
      <c r="S5228" s="915"/>
      <c r="T5228" s="917"/>
      <c r="U5228" s="918"/>
      <c r="AR5228"/>
      <c r="AS5228" s="911"/>
    </row>
    <row r="5229" spans="1:45" s="886" customFormat="1" ht="11.4">
      <c r="A5229" s="919">
        <v>25</v>
      </c>
      <c r="B5229" s="920">
        <v>1</v>
      </c>
      <c r="C5229" s="920">
        <f>$A5229*$B5229</f>
        <v>25</v>
      </c>
      <c r="D5229" s="921" t="str">
        <f>Elec_Rates!$D$649</f>
        <v>062# Install only Light fitting Type G3</v>
      </c>
      <c r="E5229" s="921"/>
      <c r="F5229" s="921" t="s">
        <v>2599</v>
      </c>
      <c r="G5229" s="922" t="s">
        <v>2601</v>
      </c>
      <c r="H5229" s="922"/>
      <c r="I5229" s="922"/>
      <c r="J5229" s="922"/>
      <c r="K5229" s="923"/>
      <c r="L5229" s="918"/>
      <c r="M5229" s="918"/>
      <c r="N5229" s="918"/>
      <c r="O5229" s="924"/>
      <c r="P5229" s="921"/>
      <c r="Q5229" s="925">
        <f ca="1">$B5229*Elec_Rates!$R$649</f>
        <v>3.26</v>
      </c>
      <c r="R5229" s="916">
        <f ca="1">$A5229*Q5229</f>
        <v>81.5</v>
      </c>
      <c r="S5229" s="925">
        <f ca="1">$B5229*Elec_Rates!$T$649</f>
        <v>0.47</v>
      </c>
      <c r="T5229" s="917">
        <f ca="1">$A5229*S5229</f>
        <v>11.75</v>
      </c>
      <c r="U5229" s="926"/>
      <c r="AR5229" s="919">
        <v>23</v>
      </c>
      <c r="AS5229" s="921" t="s">
        <v>2599</v>
      </c>
    </row>
    <row r="5230" spans="1:45" s="520" customFormat="1" ht="12">
      <c r="A5230" s="758"/>
      <c r="B5230" s="758"/>
      <c r="C5230" s="758"/>
      <c r="D5230" s="758"/>
      <c r="E5230" s="758"/>
      <c r="F5230" s="753"/>
      <c r="G5230" s="758"/>
      <c r="H5230" s="758"/>
      <c r="I5230" s="519"/>
      <c r="J5230" s="758"/>
      <c r="K5230" s="758"/>
      <c r="L5230" s="758"/>
      <c r="M5230" s="758"/>
      <c r="N5230" s="758"/>
      <c r="O5230" s="758"/>
      <c r="P5230" s="758"/>
      <c r="Q5230" s="519"/>
      <c r="R5230" s="759">
        <f t="shared" ref="R5230" si="208">$A5230*Q5230</f>
        <v>0</v>
      </c>
      <c r="S5230" s="519"/>
      <c r="T5230" s="760">
        <f t="shared" ref="T5230" si="209">$A5230*S5230*$T$1</f>
        <v>0</v>
      </c>
      <c r="AR5230" s="758"/>
      <c r="AS5230" s="753"/>
    </row>
    <row r="5231" spans="1:45" s="520" customFormat="1" ht="12.6" thickBot="1">
      <c r="A5231" s="761" t="s">
        <v>145</v>
      </c>
      <c r="B5231" s="762">
        <f>(R5230+T5230)</f>
        <v>0</v>
      </c>
      <c r="C5231" s="763"/>
      <c r="D5231" s="763"/>
      <c r="E5231" s="763"/>
      <c r="F5231" s="764"/>
      <c r="G5231" s="763" t="s">
        <v>146</v>
      </c>
      <c r="H5231" s="763"/>
      <c r="I5231" s="765"/>
      <c r="J5231" s="763"/>
      <c r="K5231" s="763" t="s">
        <v>3</v>
      </c>
      <c r="L5231" s="766" t="s">
        <v>143</v>
      </c>
      <c r="M5231" s="766"/>
      <c r="N5231" s="766"/>
      <c r="O5231" s="766"/>
      <c r="P5231" s="766"/>
      <c r="Q5231" s="767"/>
      <c r="R5231" s="768">
        <f ca="1">SUM(R5227:R5230)</f>
        <v>81.5</v>
      </c>
      <c r="S5231" s="763"/>
      <c r="T5231" s="768">
        <f ca="1">SUM(T5227:T5230)</f>
        <v>11.75</v>
      </c>
      <c r="U5231" s="531"/>
      <c r="V5231" s="531"/>
      <c r="W5231" s="531"/>
      <c r="X5231" s="531"/>
      <c r="Y5231" s="531"/>
      <c r="Z5231" s="531"/>
      <c r="AA5231" s="531"/>
      <c r="AB5231" s="531"/>
      <c r="AC5231" s="531"/>
      <c r="AD5231" s="531"/>
      <c r="AE5231" s="531"/>
      <c r="AF5231" s="531"/>
      <c r="AG5231" s="531"/>
      <c r="AH5231" s="531"/>
      <c r="AI5231" s="531"/>
      <c r="AJ5231" s="531"/>
      <c r="AK5231" s="531"/>
      <c r="AL5231" s="531"/>
      <c r="AM5231" s="531"/>
      <c r="AN5231" s="531"/>
      <c r="AO5231" s="531"/>
      <c r="AR5231" s="761" t="s">
        <v>145</v>
      </c>
      <c r="AS5231" s="764"/>
    </row>
    <row r="5232" spans="1:45" s="520" customFormat="1" ht="12" thickTop="1">
      <c r="A5232" s="51"/>
      <c r="B5232" s="41"/>
      <c r="C5232" s="51"/>
      <c r="E5232" s="42" t="s">
        <v>138</v>
      </c>
      <c r="F5232" s="42" t="s">
        <v>139</v>
      </c>
      <c r="G5232" s="51"/>
      <c r="H5232" s="51"/>
      <c r="I5232" s="51"/>
      <c r="J5232" s="51"/>
      <c r="K5232" s="51" t="s">
        <v>140</v>
      </c>
      <c r="L5232" s="51"/>
      <c r="M5232" s="51"/>
      <c r="N5232" s="51"/>
      <c r="O5232" s="52"/>
      <c r="P5232" s="51"/>
      <c r="Q5232" s="51"/>
      <c r="R5232" s="51"/>
      <c r="S5232" s="51"/>
      <c r="T5232" s="41"/>
      <c r="AG5232" s="521" t="s">
        <v>268</v>
      </c>
      <c r="AH5232" s="521" t="s">
        <v>269</v>
      </c>
      <c r="AI5232" s="521" t="s">
        <v>270</v>
      </c>
      <c r="AJ5232" s="521" t="s">
        <v>271</v>
      </c>
      <c r="AK5232" s="521" t="s">
        <v>272</v>
      </c>
      <c r="AM5232" s="745" t="s">
        <v>281</v>
      </c>
      <c r="AN5232" s="746" t="s">
        <v>282</v>
      </c>
      <c r="AO5232" s="522" t="s">
        <v>278</v>
      </c>
      <c r="AR5232" s="51"/>
      <c r="AS5232" s="42" t="s">
        <v>139</v>
      </c>
    </row>
    <row r="5233" spans="1:45" s="520" customFormat="1" ht="12" customHeight="1">
      <c r="A5233" s="747">
        <v>9</v>
      </c>
      <c r="B5233" s="523" t="s">
        <v>329</v>
      </c>
      <c r="C5233" s="748"/>
      <c r="D5233" s="749" t="s">
        <v>1869</v>
      </c>
      <c r="E5233" s="750">
        <f ca="1">IF(AND($A5233=0,$A$1="DIF"),0, ROUND(ROUND(($R5238*$S$2+($T5238*$T$2))/A5233,2)*$C$2,2))</f>
        <v>19.91</v>
      </c>
      <c r="F5233" s="751">
        <f ca="1">ROUND($A5233*$E5233,2)</f>
        <v>179.19</v>
      </c>
      <c r="G5233" s="752" t="s">
        <v>142</v>
      </c>
      <c r="H5233" s="753"/>
      <c r="I5233" s="754"/>
      <c r="J5233" s="753"/>
      <c r="K5233" s="753" t="s">
        <v>3</v>
      </c>
      <c r="L5233" s="755" t="s">
        <v>143</v>
      </c>
      <c r="M5233" s="755"/>
      <c r="N5233" s="755"/>
      <c r="O5233" s="755"/>
      <c r="P5233" s="755"/>
      <c r="Q5233" s="51"/>
      <c r="T5233" s="756" t="str">
        <f ca="1">IF(AND($R5238=0,$T5238=0),"0.00","mu :" &amp; ROUND($F5233/$C$2/($R5238+$T5238*$D$9),2))</f>
        <v>mu :1.23</v>
      </c>
      <c r="W5233" s="524"/>
      <c r="AG5233" s="481">
        <f ca="1">IF($E5233=0,0,ROUND($R5238*$S$2*$C$2/$A5233,2))</f>
        <v>4.01</v>
      </c>
      <c r="AH5233" s="481">
        <f ca="1">$AG5233*$A5233</f>
        <v>36.089999999999996</v>
      </c>
      <c r="AI5233" s="525">
        <f ca="1">$E5233-$AG5233</f>
        <v>15.9</v>
      </c>
      <c r="AJ5233" s="525">
        <f ca="1">$A5233*$AI5233</f>
        <v>143.1</v>
      </c>
      <c r="AK5233" s="526">
        <f ca="1">ROUND(($AG5233+$AI5233)*$A5233,2)</f>
        <v>179.19</v>
      </c>
      <c r="AM5233" s="527">
        <f ca="1">ROUND(R5238,2)</f>
        <v>29.34</v>
      </c>
      <c r="AN5233" s="528">
        <f ca="1">ROUND(T5238,2)</f>
        <v>4.2300000000000004</v>
      </c>
      <c r="AO5233" s="529">
        <f ca="1">ROUND(AM5233+AN5233,2)*A5233</f>
        <v>302.13</v>
      </c>
      <c r="AR5233" s="747">
        <v>7</v>
      </c>
      <c r="AS5233" s="751">
        <v>153.51</v>
      </c>
    </row>
    <row r="5234" spans="1:45" s="520" customFormat="1" ht="13.2">
      <c r="A5234" s="748"/>
      <c r="B5234"/>
      <c r="C5234" s="748"/>
      <c r="D5234" s="749" t="s">
        <v>893</v>
      </c>
      <c r="F5234" s="753"/>
      <c r="G5234" s="3"/>
      <c r="H5234" s="753"/>
      <c r="I5234" s="754"/>
      <c r="J5234" s="753"/>
      <c r="K5234" s="753" t="s">
        <v>144</v>
      </c>
      <c r="L5234" s="753"/>
      <c r="M5234" s="753"/>
      <c r="N5234" s="753"/>
      <c r="O5234" s="753"/>
      <c r="P5234" s="753"/>
      <c r="Q5234" s="51"/>
      <c r="R5234" s="530"/>
      <c r="S5234" s="757"/>
      <c r="T5234" s="753"/>
      <c r="AR5234" s="748"/>
      <c r="AS5234" s="753"/>
    </row>
    <row r="5235" spans="1:45" s="886" customFormat="1" ht="13.2">
      <c r="A5235"/>
      <c r="B5235" s="910"/>
      <c r="C5235" s="910" t="s">
        <v>2597</v>
      </c>
      <c r="D5235" s="910" t="str">
        <f ca="1">CELL("Address",Elec_Rates!D$658)</f>
        <v>[E25_0062_Quintano_Foods_Elec_ELV_As_Awarded.xlsx]Elec_Rates!$D$658</v>
      </c>
      <c r="E5235" s="911"/>
      <c r="F5235" s="911"/>
      <c r="G5235" s="912" t="s">
        <v>2598</v>
      </c>
      <c r="H5235" s="912"/>
      <c r="I5235" s="912"/>
      <c r="J5235" s="912"/>
      <c r="K5235" s="913"/>
      <c r="L5235" s="911"/>
      <c r="M5235" s="911"/>
      <c r="N5235" s="911"/>
      <c r="O5235" s="914"/>
      <c r="P5235" s="911"/>
      <c r="Q5235" s="915"/>
      <c r="R5235" s="916"/>
      <c r="S5235" s="915"/>
      <c r="T5235" s="917"/>
      <c r="U5235" s="918"/>
      <c r="AR5235"/>
      <c r="AS5235" s="911"/>
    </row>
    <row r="5236" spans="1:45" s="886" customFormat="1" ht="11.4">
      <c r="A5236" s="919">
        <v>9</v>
      </c>
      <c r="B5236" s="920">
        <v>1</v>
      </c>
      <c r="C5236" s="920">
        <f>$A5236*$B5236</f>
        <v>9</v>
      </c>
      <c r="D5236" s="921" t="str">
        <f>Elec_Rates!$D$658</f>
        <v>063# Install only Light fitting Type G4</v>
      </c>
      <c r="E5236" s="921"/>
      <c r="F5236" s="921" t="s">
        <v>2599</v>
      </c>
      <c r="G5236" s="922" t="s">
        <v>2600</v>
      </c>
      <c r="H5236" s="922"/>
      <c r="I5236" s="922"/>
      <c r="J5236" s="922"/>
      <c r="K5236" s="923"/>
      <c r="L5236" s="918"/>
      <c r="M5236" s="918"/>
      <c r="N5236" s="918"/>
      <c r="O5236" s="924"/>
      <c r="P5236" s="921"/>
      <c r="Q5236" s="925">
        <f ca="1">$B5236*Elec_Rates!$R$658</f>
        <v>3.26</v>
      </c>
      <c r="R5236" s="916">
        <f ca="1">$A5236*Q5236</f>
        <v>29.339999999999996</v>
      </c>
      <c r="S5236" s="925">
        <f ca="1">$B5236*Elec_Rates!$T$658</f>
        <v>0.47</v>
      </c>
      <c r="T5236" s="917">
        <f ca="1">$A5236*S5236</f>
        <v>4.2299999999999995</v>
      </c>
      <c r="U5236" s="926"/>
      <c r="AR5236" s="919">
        <v>7</v>
      </c>
      <c r="AS5236" s="921" t="s">
        <v>2599</v>
      </c>
    </row>
    <row r="5237" spans="1:45" s="520" customFormat="1" ht="12">
      <c r="A5237" s="758"/>
      <c r="B5237" s="758"/>
      <c r="C5237" s="758"/>
      <c r="D5237" s="758"/>
      <c r="E5237" s="758"/>
      <c r="F5237" s="753"/>
      <c r="G5237" s="758"/>
      <c r="H5237" s="758"/>
      <c r="I5237" s="519"/>
      <c r="J5237" s="758"/>
      <c r="K5237" s="758"/>
      <c r="L5237" s="758"/>
      <c r="M5237" s="758"/>
      <c r="N5237" s="758"/>
      <c r="O5237" s="758"/>
      <c r="P5237" s="758"/>
      <c r="Q5237" s="519"/>
      <c r="R5237" s="759">
        <f t="shared" ref="R5237" si="210">$A5237*Q5237</f>
        <v>0</v>
      </c>
      <c r="S5237" s="519"/>
      <c r="T5237" s="760">
        <f t="shared" ref="T5237" si="211">$A5237*S5237*$T$1</f>
        <v>0</v>
      </c>
      <c r="AR5237" s="758"/>
      <c r="AS5237" s="753"/>
    </row>
    <row r="5238" spans="1:45" s="520" customFormat="1" ht="12.6" thickBot="1">
      <c r="A5238" s="761" t="s">
        <v>145</v>
      </c>
      <c r="B5238" s="762">
        <f>(R5237+T5237)</f>
        <v>0</v>
      </c>
      <c r="C5238" s="763"/>
      <c r="D5238" s="763"/>
      <c r="E5238" s="763"/>
      <c r="F5238" s="764"/>
      <c r="G5238" s="763" t="s">
        <v>146</v>
      </c>
      <c r="H5238" s="763"/>
      <c r="I5238" s="765"/>
      <c r="J5238" s="763"/>
      <c r="K5238" s="763" t="s">
        <v>3</v>
      </c>
      <c r="L5238" s="766" t="s">
        <v>143</v>
      </c>
      <c r="M5238" s="766"/>
      <c r="N5238" s="766"/>
      <c r="O5238" s="766"/>
      <c r="P5238" s="766"/>
      <c r="Q5238" s="767"/>
      <c r="R5238" s="768">
        <f ca="1">SUM(R5234:R5237)</f>
        <v>29.339999999999996</v>
      </c>
      <c r="S5238" s="763"/>
      <c r="T5238" s="768">
        <f ca="1">SUM(T5234:T5237)</f>
        <v>4.2299999999999995</v>
      </c>
      <c r="U5238" s="531"/>
      <c r="V5238" s="531"/>
      <c r="W5238" s="531"/>
      <c r="X5238" s="531"/>
      <c r="Y5238" s="531"/>
      <c r="Z5238" s="531"/>
      <c r="AA5238" s="531"/>
      <c r="AB5238" s="531"/>
      <c r="AC5238" s="531"/>
      <c r="AD5238" s="531"/>
      <c r="AE5238" s="531"/>
      <c r="AF5238" s="531"/>
      <c r="AG5238" s="531"/>
      <c r="AH5238" s="531"/>
      <c r="AI5238" s="531"/>
      <c r="AJ5238" s="531"/>
      <c r="AK5238" s="531"/>
      <c r="AL5238" s="531"/>
      <c r="AM5238" s="531"/>
      <c r="AN5238" s="531"/>
      <c r="AO5238" s="531"/>
      <c r="AR5238" s="761" t="s">
        <v>145</v>
      </c>
      <c r="AS5238" s="764"/>
    </row>
    <row r="5239" spans="1:45" s="520" customFormat="1" ht="12" thickTop="1">
      <c r="A5239" s="51"/>
      <c r="B5239" s="41"/>
      <c r="C5239" s="51"/>
      <c r="E5239" s="42" t="s">
        <v>138</v>
      </c>
      <c r="F5239" s="42" t="s">
        <v>139</v>
      </c>
      <c r="G5239" s="51"/>
      <c r="H5239" s="51"/>
      <c r="I5239" s="51"/>
      <c r="J5239" s="51"/>
      <c r="K5239" s="51" t="s">
        <v>140</v>
      </c>
      <c r="L5239" s="51"/>
      <c r="M5239" s="51"/>
      <c r="N5239" s="51"/>
      <c r="O5239" s="52"/>
      <c r="P5239" s="51"/>
      <c r="Q5239" s="51"/>
      <c r="R5239" s="51"/>
      <c r="S5239" s="51"/>
      <c r="T5239" s="41"/>
      <c r="AG5239" s="521" t="s">
        <v>268</v>
      </c>
      <c r="AH5239" s="521" t="s">
        <v>269</v>
      </c>
      <c r="AI5239" s="521" t="s">
        <v>270</v>
      </c>
      <c r="AJ5239" s="521" t="s">
        <v>271</v>
      </c>
      <c r="AK5239" s="521" t="s">
        <v>272</v>
      </c>
      <c r="AM5239" s="745" t="s">
        <v>281</v>
      </c>
      <c r="AN5239" s="746" t="s">
        <v>282</v>
      </c>
      <c r="AO5239" s="522" t="s">
        <v>278</v>
      </c>
      <c r="AR5239" s="51"/>
      <c r="AS5239" s="42" t="s">
        <v>139</v>
      </c>
    </row>
    <row r="5240" spans="1:45" s="520" customFormat="1" ht="12" customHeight="1">
      <c r="A5240" s="747">
        <v>97</v>
      </c>
      <c r="B5240" s="523" t="s">
        <v>329</v>
      </c>
      <c r="C5240" s="748"/>
      <c r="D5240" s="749" t="s">
        <v>1870</v>
      </c>
      <c r="E5240" s="750">
        <f ca="1">IF(AND($A5240=0,$A$1="DIF"),0, ROUND(ROUND(($R5245*$S$2+($T5245*$T$2))/A5240,2)*$C$2,2))</f>
        <v>19.39</v>
      </c>
      <c r="F5240" s="751">
        <f ca="1">ROUND($A5240*$E5240,2)</f>
        <v>1880.83</v>
      </c>
      <c r="G5240" s="752" t="s">
        <v>142</v>
      </c>
      <c r="H5240" s="753"/>
      <c r="I5240" s="754"/>
      <c r="J5240" s="753"/>
      <c r="K5240" s="753" t="s">
        <v>3</v>
      </c>
      <c r="L5240" s="755" t="s">
        <v>143</v>
      </c>
      <c r="M5240" s="755"/>
      <c r="N5240" s="755"/>
      <c r="O5240" s="755"/>
      <c r="P5240" s="755"/>
      <c r="Q5240" s="51"/>
      <c r="T5240" s="756" t="str">
        <f ca="1">IF(AND($R5245=0,$T5245=0),"0.00","mu :" &amp; ROUND($F5240/$C$2/($R5245+$T5245*$D$9),2))</f>
        <v>mu :1.23</v>
      </c>
      <c r="W5240" s="524"/>
      <c r="AG5240" s="481">
        <f ca="1">IF($E5240=0,0,ROUND($R5245*$S$2*$C$2/$A5240,2))</f>
        <v>3.5</v>
      </c>
      <c r="AH5240" s="481">
        <f ca="1">$AG5240*$A5240</f>
        <v>339.5</v>
      </c>
      <c r="AI5240" s="525">
        <f ca="1">$E5240-$AG5240</f>
        <v>15.89</v>
      </c>
      <c r="AJ5240" s="525">
        <f ca="1">$A5240*$AI5240</f>
        <v>1541.3300000000002</v>
      </c>
      <c r="AK5240" s="526">
        <f ca="1">ROUND(($AG5240+$AI5240)*$A5240,2)</f>
        <v>1880.83</v>
      </c>
      <c r="AM5240" s="527">
        <f ca="1">ROUND(R5245,2)</f>
        <v>275.48</v>
      </c>
      <c r="AN5240" s="528">
        <f ca="1">ROUND(T5245,2)</f>
        <v>45.59</v>
      </c>
      <c r="AO5240" s="529">
        <f ca="1">ROUND(AM5240+AN5240,2)*A5240</f>
        <v>31143.79</v>
      </c>
      <c r="AR5240" s="747">
        <v>97</v>
      </c>
      <c r="AS5240" s="751">
        <v>2077.7399999999998</v>
      </c>
    </row>
    <row r="5241" spans="1:45" s="520" customFormat="1" ht="13.2">
      <c r="A5241" s="748"/>
      <c r="B5241"/>
      <c r="C5241" s="748"/>
      <c r="D5241" s="749" t="s">
        <v>894</v>
      </c>
      <c r="F5241" s="753"/>
      <c r="G5241" s="3"/>
      <c r="H5241" s="753"/>
      <c r="I5241" s="754"/>
      <c r="J5241" s="753"/>
      <c r="K5241" s="753" t="s">
        <v>144</v>
      </c>
      <c r="L5241" s="753"/>
      <c r="M5241" s="753"/>
      <c r="N5241" s="753"/>
      <c r="O5241" s="753"/>
      <c r="P5241" s="753"/>
      <c r="Q5241" s="51"/>
      <c r="R5241" s="530"/>
      <c r="S5241" s="757"/>
      <c r="T5241" s="753"/>
      <c r="AR5241" s="748"/>
      <c r="AS5241" s="753"/>
    </row>
    <row r="5242" spans="1:45" s="886" customFormat="1" ht="13.2">
      <c r="A5242"/>
      <c r="B5242" s="910"/>
      <c r="C5242" s="910" t="s">
        <v>2597</v>
      </c>
      <c r="D5242" s="910" t="str">
        <f ca="1">CELL("Address",Elec_Rates!D$688)</f>
        <v>[E25_0062_Quintano_Foods_Elec_ELV_As_Awarded.xlsx]Elec_Rates!$D$688</v>
      </c>
      <c r="E5242" s="911"/>
      <c r="F5242" s="911"/>
      <c r="G5242" s="912" t="s">
        <v>2598</v>
      </c>
      <c r="H5242" s="912"/>
      <c r="I5242" s="912"/>
      <c r="J5242" s="912"/>
      <c r="K5242" s="913"/>
      <c r="L5242" s="911"/>
      <c r="M5242" s="911"/>
      <c r="N5242" s="911"/>
      <c r="O5242" s="914"/>
      <c r="P5242" s="911"/>
      <c r="Q5242" s="915"/>
      <c r="R5242" s="916"/>
      <c r="S5242" s="915"/>
      <c r="T5242" s="917"/>
      <c r="U5242" s="918"/>
      <c r="AR5242"/>
      <c r="AS5242" s="911"/>
    </row>
    <row r="5243" spans="1:45" s="886" customFormat="1" ht="11.4">
      <c r="A5243" s="919">
        <v>97</v>
      </c>
      <c r="B5243" s="920">
        <v>1</v>
      </c>
      <c r="C5243" s="920">
        <f>$A5243*$B5243</f>
        <v>97</v>
      </c>
      <c r="D5243" s="921" t="str">
        <f>Elec_Rates!$D$688</f>
        <v>066# Install only Light fitting Type J1</v>
      </c>
      <c r="E5243" s="921"/>
      <c r="F5243" s="921" t="s">
        <v>2599</v>
      </c>
      <c r="G5243" s="922" t="s">
        <v>2601</v>
      </c>
      <c r="H5243" s="922"/>
      <c r="I5243" s="922"/>
      <c r="J5243" s="922"/>
      <c r="K5243" s="923"/>
      <c r="L5243" s="918"/>
      <c r="M5243" s="918"/>
      <c r="N5243" s="918"/>
      <c r="O5243" s="924"/>
      <c r="P5243" s="921"/>
      <c r="Q5243" s="925">
        <f ca="1">$B5243*Elec_Rates!$R$688</f>
        <v>2.84</v>
      </c>
      <c r="R5243" s="916">
        <f ca="1">$A5243*Q5243</f>
        <v>275.47999999999996</v>
      </c>
      <c r="S5243" s="925">
        <f ca="1">$B5243*Elec_Rates!$T$688</f>
        <v>0.47</v>
      </c>
      <c r="T5243" s="917">
        <f ca="1">$A5243*S5243</f>
        <v>45.589999999999996</v>
      </c>
      <c r="U5243" s="926"/>
      <c r="AR5243" s="919">
        <v>97</v>
      </c>
      <c r="AS5243" s="921" t="s">
        <v>2599</v>
      </c>
    </row>
    <row r="5244" spans="1:45" s="520" customFormat="1" ht="12">
      <c r="A5244" s="758"/>
      <c r="B5244" s="758"/>
      <c r="C5244" s="758"/>
      <c r="D5244" s="758"/>
      <c r="E5244" s="758"/>
      <c r="F5244" s="753"/>
      <c r="G5244" s="758"/>
      <c r="H5244" s="758"/>
      <c r="I5244" s="519"/>
      <c r="J5244" s="758"/>
      <c r="K5244" s="758"/>
      <c r="L5244" s="758"/>
      <c r="M5244" s="758"/>
      <c r="N5244" s="758"/>
      <c r="O5244" s="758"/>
      <c r="P5244" s="758"/>
      <c r="Q5244" s="519"/>
      <c r="R5244" s="759">
        <f t="shared" ref="R5244" si="212">$A5244*Q5244</f>
        <v>0</v>
      </c>
      <c r="S5244" s="519"/>
      <c r="T5244" s="760">
        <f t="shared" ref="T5244" si="213">$A5244*S5244*$T$1</f>
        <v>0</v>
      </c>
      <c r="AR5244" s="758"/>
      <c r="AS5244" s="753"/>
    </row>
    <row r="5245" spans="1:45" s="520" customFormat="1" ht="12.6" thickBot="1">
      <c r="A5245" s="761" t="s">
        <v>145</v>
      </c>
      <c r="B5245" s="762">
        <f>(R5244+T5244)</f>
        <v>0</v>
      </c>
      <c r="C5245" s="763"/>
      <c r="D5245" s="763"/>
      <c r="E5245" s="763"/>
      <c r="F5245" s="764"/>
      <c r="G5245" s="763" t="s">
        <v>146</v>
      </c>
      <c r="H5245" s="763"/>
      <c r="I5245" s="765"/>
      <c r="J5245" s="763"/>
      <c r="K5245" s="763" t="s">
        <v>3</v>
      </c>
      <c r="L5245" s="766" t="s">
        <v>143</v>
      </c>
      <c r="M5245" s="766"/>
      <c r="N5245" s="766"/>
      <c r="O5245" s="766"/>
      <c r="P5245" s="766"/>
      <c r="Q5245" s="767"/>
      <c r="R5245" s="768">
        <f ca="1">SUM(R5241:R5244)</f>
        <v>275.47999999999996</v>
      </c>
      <c r="S5245" s="763"/>
      <c r="T5245" s="768">
        <f ca="1">SUM(T5241:T5244)</f>
        <v>45.589999999999996</v>
      </c>
      <c r="U5245" s="531"/>
      <c r="V5245" s="531"/>
      <c r="W5245" s="531"/>
      <c r="X5245" s="531"/>
      <c r="Y5245" s="531"/>
      <c r="Z5245" s="531"/>
      <c r="AA5245" s="531"/>
      <c r="AB5245" s="531"/>
      <c r="AC5245" s="531"/>
      <c r="AD5245" s="531"/>
      <c r="AE5245" s="531"/>
      <c r="AF5245" s="531"/>
      <c r="AG5245" s="531"/>
      <c r="AH5245" s="531"/>
      <c r="AI5245" s="531"/>
      <c r="AJ5245" s="531"/>
      <c r="AK5245" s="531"/>
      <c r="AL5245" s="531"/>
      <c r="AM5245" s="531"/>
      <c r="AN5245" s="531"/>
      <c r="AO5245" s="531"/>
      <c r="AR5245" s="761" t="s">
        <v>145</v>
      </c>
      <c r="AS5245" s="764"/>
    </row>
    <row r="5246" spans="1:45" s="520" customFormat="1" ht="12" thickTop="1">
      <c r="A5246" s="51"/>
      <c r="B5246" s="41"/>
      <c r="C5246" s="51"/>
      <c r="E5246" s="42" t="s">
        <v>138</v>
      </c>
      <c r="F5246" s="42" t="s">
        <v>139</v>
      </c>
      <c r="G5246" s="51"/>
      <c r="H5246" s="51"/>
      <c r="I5246" s="51"/>
      <c r="J5246" s="51"/>
      <c r="K5246" s="51" t="s">
        <v>140</v>
      </c>
      <c r="L5246" s="51"/>
      <c r="M5246" s="51"/>
      <c r="N5246" s="51"/>
      <c r="O5246" s="52"/>
      <c r="P5246" s="51"/>
      <c r="Q5246" s="51"/>
      <c r="R5246" s="51"/>
      <c r="S5246" s="51"/>
      <c r="T5246" s="41"/>
      <c r="AG5246" s="521" t="s">
        <v>268</v>
      </c>
      <c r="AH5246" s="521" t="s">
        <v>269</v>
      </c>
      <c r="AI5246" s="521" t="s">
        <v>270</v>
      </c>
      <c r="AJ5246" s="521" t="s">
        <v>271</v>
      </c>
      <c r="AK5246" s="521" t="s">
        <v>272</v>
      </c>
      <c r="AM5246" s="745" t="s">
        <v>281</v>
      </c>
      <c r="AN5246" s="746" t="s">
        <v>282</v>
      </c>
      <c r="AO5246" s="522" t="s">
        <v>278</v>
      </c>
      <c r="AR5246" s="51"/>
      <c r="AS5246" s="42" t="s">
        <v>139</v>
      </c>
    </row>
    <row r="5247" spans="1:45" s="520" customFormat="1" ht="12" customHeight="1">
      <c r="A5247" s="747">
        <v>14</v>
      </c>
      <c r="B5247" s="523" t="s">
        <v>329</v>
      </c>
      <c r="C5247" s="748"/>
      <c r="D5247" s="749" t="s">
        <v>1871</v>
      </c>
      <c r="E5247" s="750">
        <f ca="1">IF(AND($A5247=0,$A$1="DIF"),0, ROUND(ROUND(($R5252*$S$2+($T5252*$T$2))/A5247,2)*$C$2,2))</f>
        <v>19.91</v>
      </c>
      <c r="F5247" s="751">
        <f ca="1">ROUND($A5247*$E5247,2)</f>
        <v>278.74</v>
      </c>
      <c r="G5247" s="752" t="s">
        <v>142</v>
      </c>
      <c r="H5247" s="753"/>
      <c r="I5247" s="754"/>
      <c r="J5247" s="753"/>
      <c r="K5247" s="753" t="s">
        <v>3</v>
      </c>
      <c r="L5247" s="755" t="s">
        <v>143</v>
      </c>
      <c r="M5247" s="755"/>
      <c r="N5247" s="755"/>
      <c r="O5247" s="755"/>
      <c r="P5247" s="755"/>
      <c r="Q5247" s="51"/>
      <c r="T5247" s="756" t="str">
        <f ca="1">IF(AND($R5252=0,$T5252=0),"0.00","mu :" &amp; ROUND($F5247/$C$2/($R5252+$T5252*$D$9),2))</f>
        <v>mu :1.23</v>
      </c>
      <c r="W5247" s="524"/>
      <c r="AG5247" s="481">
        <f ca="1">IF($E5247=0,0,ROUND($R5252*$S$2*$C$2/$A5247,2))</f>
        <v>4.01</v>
      </c>
      <c r="AH5247" s="481">
        <f ca="1">$AG5247*$A5247</f>
        <v>56.14</v>
      </c>
      <c r="AI5247" s="525">
        <f ca="1">$E5247-$AG5247</f>
        <v>15.9</v>
      </c>
      <c r="AJ5247" s="525">
        <f ca="1">$A5247*$AI5247</f>
        <v>222.6</v>
      </c>
      <c r="AK5247" s="526">
        <f ca="1">ROUND(($AG5247+$AI5247)*$A5247,2)</f>
        <v>278.74</v>
      </c>
      <c r="AM5247" s="527">
        <f ca="1">ROUND(R5252,2)</f>
        <v>45.64</v>
      </c>
      <c r="AN5247" s="528">
        <f ca="1">ROUND(T5252,2)</f>
        <v>6.58</v>
      </c>
      <c r="AO5247" s="529">
        <f ca="1">ROUND(AM5247+AN5247,2)*A5247</f>
        <v>731.07999999999993</v>
      </c>
      <c r="AR5247" s="747">
        <v>14</v>
      </c>
      <c r="AS5247" s="751">
        <v>307.02</v>
      </c>
    </row>
    <row r="5248" spans="1:45" s="520" customFormat="1" ht="36">
      <c r="A5248" s="748"/>
      <c r="B5248"/>
      <c r="C5248" s="748"/>
      <c r="D5248" s="769" t="s">
        <v>895</v>
      </c>
      <c r="F5248" s="753"/>
      <c r="G5248" s="3"/>
      <c r="H5248" s="753"/>
      <c r="I5248" s="754"/>
      <c r="J5248" s="753"/>
      <c r="K5248" s="753" t="s">
        <v>144</v>
      </c>
      <c r="L5248" s="753"/>
      <c r="M5248" s="753"/>
      <c r="N5248" s="753"/>
      <c r="O5248" s="753"/>
      <c r="P5248" s="753"/>
      <c r="Q5248" s="51"/>
      <c r="R5248" s="530"/>
      <c r="S5248" s="757"/>
      <c r="T5248" s="753"/>
      <c r="AR5248" s="748"/>
      <c r="AS5248" s="753"/>
    </row>
    <row r="5249" spans="1:45" s="886" customFormat="1" ht="13.2">
      <c r="A5249"/>
      <c r="B5249" s="910"/>
      <c r="C5249" s="910" t="s">
        <v>2597</v>
      </c>
      <c r="D5249" s="910" t="str">
        <f ca="1">CELL("Address",Elec_Rates!D$697)</f>
        <v>[E25_0062_Quintano_Foods_Elec_ELV_As_Awarded.xlsx]Elec_Rates!$D$697</v>
      </c>
      <c r="E5249" s="911"/>
      <c r="F5249" s="911"/>
      <c r="G5249" s="912" t="s">
        <v>2598</v>
      </c>
      <c r="H5249" s="912"/>
      <c r="I5249" s="912"/>
      <c r="J5249" s="912"/>
      <c r="K5249" s="913"/>
      <c r="L5249" s="911"/>
      <c r="M5249" s="911"/>
      <c r="N5249" s="911"/>
      <c r="O5249" s="914"/>
      <c r="P5249" s="911"/>
      <c r="Q5249" s="915"/>
      <c r="R5249" s="916"/>
      <c r="S5249" s="915"/>
      <c r="T5249" s="917"/>
      <c r="U5249" s="918"/>
      <c r="AR5249"/>
      <c r="AS5249" s="911"/>
    </row>
    <row r="5250" spans="1:45" s="886" customFormat="1" ht="11.4">
      <c r="A5250" s="919">
        <v>14</v>
      </c>
      <c r="B5250" s="920">
        <v>1</v>
      </c>
      <c r="C5250" s="920">
        <f>$A5250*$B5250</f>
        <v>14</v>
      </c>
      <c r="D5250" s="921" t="str">
        <f>Elec_Rates!$D$697</f>
        <v>067# Install only Light fitting Type J2</v>
      </c>
      <c r="E5250" s="921"/>
      <c r="F5250" s="921" t="s">
        <v>2599</v>
      </c>
      <c r="G5250" s="922" t="s">
        <v>2600</v>
      </c>
      <c r="H5250" s="922"/>
      <c r="I5250" s="922"/>
      <c r="J5250" s="922"/>
      <c r="K5250" s="923"/>
      <c r="L5250" s="918"/>
      <c r="M5250" s="918"/>
      <c r="N5250" s="918"/>
      <c r="O5250" s="924"/>
      <c r="P5250" s="921"/>
      <c r="Q5250" s="925">
        <f ca="1">$B5250*Elec_Rates!$R$697</f>
        <v>3.26</v>
      </c>
      <c r="R5250" s="916">
        <f ca="1">$A5250*Q5250</f>
        <v>45.64</v>
      </c>
      <c r="S5250" s="925">
        <f ca="1">$B5250*Elec_Rates!$T$697</f>
        <v>0.47</v>
      </c>
      <c r="T5250" s="917">
        <f ca="1">$A5250*S5250</f>
        <v>6.58</v>
      </c>
      <c r="U5250" s="926"/>
      <c r="AR5250" s="919">
        <v>14</v>
      </c>
      <c r="AS5250" s="921" t="s">
        <v>2599</v>
      </c>
    </row>
    <row r="5251" spans="1:45" s="520" customFormat="1" ht="12">
      <c r="A5251" s="758"/>
      <c r="B5251" s="758"/>
      <c r="C5251" s="758"/>
      <c r="D5251" s="758"/>
      <c r="E5251" s="758"/>
      <c r="F5251" s="753"/>
      <c r="G5251" s="758"/>
      <c r="H5251" s="758"/>
      <c r="I5251" s="519"/>
      <c r="J5251" s="758"/>
      <c r="K5251" s="758"/>
      <c r="L5251" s="758"/>
      <c r="M5251" s="758"/>
      <c r="N5251" s="758"/>
      <c r="O5251" s="758"/>
      <c r="P5251" s="758"/>
      <c r="Q5251" s="519"/>
      <c r="R5251" s="759">
        <f t="shared" ref="R5251" si="214">$A5251*Q5251</f>
        <v>0</v>
      </c>
      <c r="S5251" s="519"/>
      <c r="T5251" s="760">
        <f t="shared" ref="T5251" si="215">$A5251*S5251*$T$1</f>
        <v>0</v>
      </c>
      <c r="AR5251" s="758"/>
      <c r="AS5251" s="753"/>
    </row>
    <row r="5252" spans="1:45" s="520" customFormat="1" ht="12.6" thickBot="1">
      <c r="A5252" s="761" t="s">
        <v>145</v>
      </c>
      <c r="B5252" s="762">
        <f>(R5251+T5251)</f>
        <v>0</v>
      </c>
      <c r="C5252" s="763"/>
      <c r="D5252" s="763"/>
      <c r="E5252" s="763"/>
      <c r="F5252" s="764"/>
      <c r="G5252" s="763" t="s">
        <v>146</v>
      </c>
      <c r="H5252" s="763"/>
      <c r="I5252" s="765"/>
      <c r="J5252" s="763"/>
      <c r="K5252" s="763" t="s">
        <v>3</v>
      </c>
      <c r="L5252" s="766" t="s">
        <v>143</v>
      </c>
      <c r="M5252" s="766"/>
      <c r="N5252" s="766"/>
      <c r="O5252" s="766"/>
      <c r="P5252" s="766"/>
      <c r="Q5252" s="767"/>
      <c r="R5252" s="768">
        <f ca="1">SUM(R5248:R5251)</f>
        <v>45.64</v>
      </c>
      <c r="S5252" s="763"/>
      <c r="T5252" s="768">
        <f ca="1">SUM(T5248:T5251)</f>
        <v>6.58</v>
      </c>
      <c r="U5252" s="531"/>
      <c r="V5252" s="531"/>
      <c r="W5252" s="531"/>
      <c r="X5252" s="531"/>
      <c r="Y5252" s="531"/>
      <c r="Z5252" s="531"/>
      <c r="AA5252" s="531"/>
      <c r="AB5252" s="531"/>
      <c r="AC5252" s="531"/>
      <c r="AD5252" s="531"/>
      <c r="AE5252" s="531"/>
      <c r="AF5252" s="531"/>
      <c r="AG5252" s="531"/>
      <c r="AH5252" s="531"/>
      <c r="AI5252" s="531"/>
      <c r="AJ5252" s="531"/>
      <c r="AK5252" s="531"/>
      <c r="AL5252" s="531"/>
      <c r="AM5252" s="531"/>
      <c r="AN5252" s="531"/>
      <c r="AO5252" s="531"/>
      <c r="AR5252" s="761" t="s">
        <v>145</v>
      </c>
      <c r="AS5252" s="764"/>
    </row>
    <row r="5253" spans="1:45" s="520" customFormat="1" ht="12" thickTop="1">
      <c r="A5253" s="51"/>
      <c r="B5253" s="41"/>
      <c r="C5253" s="51"/>
      <c r="E5253" s="42" t="s">
        <v>138</v>
      </c>
      <c r="F5253" s="42" t="s">
        <v>139</v>
      </c>
      <c r="G5253" s="51"/>
      <c r="H5253" s="51"/>
      <c r="I5253" s="51"/>
      <c r="J5253" s="51"/>
      <c r="K5253" s="51" t="s">
        <v>140</v>
      </c>
      <c r="L5253" s="51"/>
      <c r="M5253" s="51"/>
      <c r="N5253" s="51"/>
      <c r="O5253" s="52"/>
      <c r="P5253" s="51"/>
      <c r="Q5253" s="51"/>
      <c r="R5253" s="51"/>
      <c r="S5253" s="51"/>
      <c r="T5253" s="41"/>
      <c r="AG5253" s="521" t="s">
        <v>268</v>
      </c>
      <c r="AH5253" s="521" t="s">
        <v>269</v>
      </c>
      <c r="AI5253" s="521" t="s">
        <v>270</v>
      </c>
      <c r="AJ5253" s="521" t="s">
        <v>271</v>
      </c>
      <c r="AK5253" s="521" t="s">
        <v>272</v>
      </c>
      <c r="AM5253" s="745" t="s">
        <v>281</v>
      </c>
      <c r="AN5253" s="746" t="s">
        <v>282</v>
      </c>
      <c r="AO5253" s="522" t="s">
        <v>278</v>
      </c>
      <c r="AR5253" s="51"/>
      <c r="AS5253" s="42" t="s">
        <v>139</v>
      </c>
    </row>
    <row r="5254" spans="1:45" s="520" customFormat="1" ht="12" customHeight="1">
      <c r="A5254" s="747">
        <v>31</v>
      </c>
      <c r="B5254" s="523" t="s">
        <v>329</v>
      </c>
      <c r="C5254" s="748"/>
      <c r="D5254" s="749" t="s">
        <v>1872</v>
      </c>
      <c r="E5254" s="750">
        <f ca="1">IF(AND($A5254=0,$A$1="DIF"),0, ROUND(ROUND(($R5259*$S$2+($T5259*$T$2))/A5254,2)*$C$2,2))</f>
        <v>19.91</v>
      </c>
      <c r="F5254" s="751">
        <f ca="1">ROUND($A5254*$E5254,2)</f>
        <v>617.21</v>
      </c>
      <c r="G5254" s="752" t="s">
        <v>142</v>
      </c>
      <c r="H5254" s="753"/>
      <c r="I5254" s="754"/>
      <c r="J5254" s="753"/>
      <c r="K5254" s="753" t="s">
        <v>3</v>
      </c>
      <c r="L5254" s="755" t="s">
        <v>143</v>
      </c>
      <c r="M5254" s="755"/>
      <c r="N5254" s="755"/>
      <c r="O5254" s="755"/>
      <c r="P5254" s="755"/>
      <c r="Q5254" s="51"/>
      <c r="T5254" s="756" t="str">
        <f ca="1">IF(AND($R5259=0,$T5259=0),"0.00","mu :" &amp; ROUND($F5254/$C$2/($R5259+$T5259*$D$9),2))</f>
        <v>mu :1.23</v>
      </c>
      <c r="W5254" s="524"/>
      <c r="AG5254" s="481">
        <f ca="1">IF($E5254=0,0,ROUND($R5259*$S$2*$C$2/$A5254,2))</f>
        <v>4.01</v>
      </c>
      <c r="AH5254" s="481">
        <f ca="1">$AG5254*$A5254</f>
        <v>124.30999999999999</v>
      </c>
      <c r="AI5254" s="525">
        <f ca="1">$E5254-$AG5254</f>
        <v>15.9</v>
      </c>
      <c r="AJ5254" s="525">
        <f ca="1">$A5254*$AI5254</f>
        <v>492.90000000000003</v>
      </c>
      <c r="AK5254" s="526">
        <f ca="1">ROUND(($AG5254+$AI5254)*$A5254,2)</f>
        <v>617.21</v>
      </c>
      <c r="AM5254" s="527">
        <f ca="1">ROUND(R5259,2)</f>
        <v>101.06</v>
      </c>
      <c r="AN5254" s="528">
        <f ca="1">ROUND(T5259,2)</f>
        <v>14.57</v>
      </c>
      <c r="AO5254" s="529">
        <f ca="1">ROUND(AM5254+AN5254,2)*A5254</f>
        <v>3584.5299999999997</v>
      </c>
      <c r="AR5254" s="747">
        <v>32</v>
      </c>
      <c r="AS5254" s="751">
        <v>701.76</v>
      </c>
    </row>
    <row r="5255" spans="1:45" s="520" customFormat="1" ht="13.2">
      <c r="A5255" s="748"/>
      <c r="B5255"/>
      <c r="C5255" s="748"/>
      <c r="D5255" s="749" t="s">
        <v>896</v>
      </c>
      <c r="F5255" s="753"/>
      <c r="G5255" s="3"/>
      <c r="H5255" s="753"/>
      <c r="I5255" s="754"/>
      <c r="J5255" s="753"/>
      <c r="K5255" s="753" t="s">
        <v>144</v>
      </c>
      <c r="L5255" s="753"/>
      <c r="M5255" s="753"/>
      <c r="N5255" s="753"/>
      <c r="O5255" s="753"/>
      <c r="P5255" s="753"/>
      <c r="Q5255" s="51"/>
      <c r="R5255" s="530"/>
      <c r="S5255" s="757"/>
      <c r="T5255" s="753"/>
      <c r="AR5255" s="748"/>
      <c r="AS5255" s="753"/>
    </row>
    <row r="5256" spans="1:45" s="886" customFormat="1" ht="13.2">
      <c r="A5256"/>
      <c r="B5256" s="910"/>
      <c r="C5256" s="910" t="s">
        <v>2597</v>
      </c>
      <c r="D5256" s="910" t="str">
        <f ca="1">CELL("Address",Elec_Rates!D$706)</f>
        <v>[E25_0062_Quintano_Foods_Elec_ELV_As_Awarded.xlsx]Elec_Rates!$D$706</v>
      </c>
      <c r="E5256" s="911"/>
      <c r="F5256" s="911"/>
      <c r="G5256" s="912" t="s">
        <v>2598</v>
      </c>
      <c r="H5256" s="912"/>
      <c r="I5256" s="912"/>
      <c r="J5256" s="912"/>
      <c r="K5256" s="913"/>
      <c r="L5256" s="911"/>
      <c r="M5256" s="911"/>
      <c r="N5256" s="911"/>
      <c r="O5256" s="914"/>
      <c r="P5256" s="911"/>
      <c r="Q5256" s="915"/>
      <c r="R5256" s="916"/>
      <c r="S5256" s="915"/>
      <c r="T5256" s="917"/>
      <c r="U5256" s="918"/>
      <c r="AR5256"/>
      <c r="AS5256" s="911"/>
    </row>
    <row r="5257" spans="1:45" s="886" customFormat="1" ht="11.4">
      <c r="A5257" s="919">
        <v>31</v>
      </c>
      <c r="B5257" s="920">
        <v>1</v>
      </c>
      <c r="C5257" s="920">
        <f>$A5257*$B5257</f>
        <v>31</v>
      </c>
      <c r="D5257" s="921" t="str">
        <f>Elec_Rates!$D$706</f>
        <v>068# Install only Light fitting Type J3</v>
      </c>
      <c r="E5257" s="921"/>
      <c r="F5257" s="921" t="s">
        <v>2599</v>
      </c>
      <c r="G5257" s="922" t="s">
        <v>2601</v>
      </c>
      <c r="H5257" s="922"/>
      <c r="I5257" s="922"/>
      <c r="J5257" s="922"/>
      <c r="K5257" s="923"/>
      <c r="L5257" s="918"/>
      <c r="M5257" s="918"/>
      <c r="N5257" s="918"/>
      <c r="O5257" s="924"/>
      <c r="P5257" s="921"/>
      <c r="Q5257" s="925">
        <f ca="1">$B5257*Elec_Rates!$R$706</f>
        <v>3.26</v>
      </c>
      <c r="R5257" s="916">
        <f ca="1">$A5257*Q5257</f>
        <v>101.05999999999999</v>
      </c>
      <c r="S5257" s="925">
        <f ca="1">$B5257*Elec_Rates!$T$706</f>
        <v>0.47</v>
      </c>
      <c r="T5257" s="917">
        <f ca="1">$A5257*S5257</f>
        <v>14.569999999999999</v>
      </c>
      <c r="U5257" s="926"/>
      <c r="AR5257" s="919">
        <v>32</v>
      </c>
      <c r="AS5257" s="921" t="s">
        <v>2599</v>
      </c>
    </row>
    <row r="5258" spans="1:45" s="520" customFormat="1" ht="12">
      <c r="A5258" s="758"/>
      <c r="B5258" s="758"/>
      <c r="C5258" s="758"/>
      <c r="D5258" s="758"/>
      <c r="E5258" s="758"/>
      <c r="F5258" s="753"/>
      <c r="G5258" s="758"/>
      <c r="H5258" s="758"/>
      <c r="I5258" s="519"/>
      <c r="J5258" s="758"/>
      <c r="K5258" s="758"/>
      <c r="L5258" s="758"/>
      <c r="M5258" s="758"/>
      <c r="N5258" s="758"/>
      <c r="O5258" s="758"/>
      <c r="P5258" s="758"/>
      <c r="Q5258" s="519"/>
      <c r="R5258" s="759">
        <f t="shared" ref="R5258" si="216">$A5258*Q5258</f>
        <v>0</v>
      </c>
      <c r="S5258" s="519"/>
      <c r="T5258" s="760">
        <f t="shared" ref="T5258" si="217">$A5258*S5258*$T$1</f>
        <v>0</v>
      </c>
      <c r="AR5258" s="758"/>
      <c r="AS5258" s="753"/>
    </row>
    <row r="5259" spans="1:45" s="520" customFormat="1" ht="12.6" thickBot="1">
      <c r="A5259" s="761" t="s">
        <v>145</v>
      </c>
      <c r="B5259" s="762">
        <f>(R5258+T5258)</f>
        <v>0</v>
      </c>
      <c r="C5259" s="763"/>
      <c r="D5259" s="763"/>
      <c r="E5259" s="763"/>
      <c r="F5259" s="764"/>
      <c r="G5259" s="763" t="s">
        <v>146</v>
      </c>
      <c r="H5259" s="763"/>
      <c r="I5259" s="765"/>
      <c r="J5259" s="763"/>
      <c r="K5259" s="763" t="s">
        <v>3</v>
      </c>
      <c r="L5259" s="766" t="s">
        <v>143</v>
      </c>
      <c r="M5259" s="766"/>
      <c r="N5259" s="766"/>
      <c r="O5259" s="766"/>
      <c r="P5259" s="766"/>
      <c r="Q5259" s="767"/>
      <c r="R5259" s="768">
        <f ca="1">SUM(R5255:R5258)</f>
        <v>101.05999999999999</v>
      </c>
      <c r="S5259" s="763"/>
      <c r="T5259" s="768">
        <f ca="1">SUM(T5255:T5258)</f>
        <v>14.569999999999999</v>
      </c>
      <c r="U5259" s="531"/>
      <c r="V5259" s="531"/>
      <c r="W5259" s="531"/>
      <c r="X5259" s="531"/>
      <c r="Y5259" s="531"/>
      <c r="Z5259" s="531"/>
      <c r="AA5259" s="531"/>
      <c r="AB5259" s="531"/>
      <c r="AC5259" s="531"/>
      <c r="AD5259" s="531"/>
      <c r="AE5259" s="531"/>
      <c r="AF5259" s="531"/>
      <c r="AG5259" s="531"/>
      <c r="AH5259" s="531"/>
      <c r="AI5259" s="531"/>
      <c r="AJ5259" s="531"/>
      <c r="AK5259" s="531"/>
      <c r="AL5259" s="531"/>
      <c r="AM5259" s="531"/>
      <c r="AN5259" s="531"/>
      <c r="AO5259" s="531"/>
      <c r="AR5259" s="761" t="s">
        <v>145</v>
      </c>
      <c r="AS5259" s="764"/>
    </row>
    <row r="5260" spans="1:45" s="520" customFormat="1" thickTop="1">
      <c r="A5260" s="51"/>
      <c r="B5260" s="51"/>
      <c r="C5260" s="3"/>
      <c r="D5260" s="3"/>
      <c r="E5260" s="51"/>
      <c r="F5260" s="51"/>
      <c r="G5260" s="51"/>
      <c r="H5260" s="51"/>
      <c r="I5260" s="51"/>
      <c r="J5260" s="51"/>
      <c r="K5260" s="51" t="s">
        <v>134</v>
      </c>
      <c r="L5260" s="51"/>
      <c r="M5260" s="51"/>
      <c r="N5260" s="51"/>
      <c r="O5260" s="52"/>
      <c r="P5260" s="51"/>
      <c r="Q5260" s="51"/>
      <c r="R5260" s="51"/>
      <c r="S5260" s="51"/>
      <c r="T5260" s="51"/>
      <c r="AR5260" s="51"/>
      <c r="AS5260" s="51"/>
    </row>
    <row r="5261" spans="1:45" s="520" customFormat="1" ht="12">
      <c r="A5261" s="51"/>
      <c r="B5261" s="51"/>
      <c r="C5261" s="51" t="s">
        <v>135</v>
      </c>
      <c r="D5261" s="37"/>
      <c r="E5261" s="51"/>
      <c r="F5261" s="51"/>
      <c r="G5261" s="51"/>
      <c r="H5261" s="51"/>
      <c r="I5261" s="51"/>
      <c r="J5261" s="51"/>
      <c r="K5261" s="51"/>
      <c r="L5261" s="51"/>
      <c r="M5261" s="51"/>
      <c r="N5261" s="51"/>
      <c r="O5261" s="52"/>
      <c r="P5261" s="51"/>
      <c r="Q5261" s="51"/>
      <c r="R5261" s="51"/>
      <c r="S5261" s="51"/>
      <c r="T5261" s="51"/>
      <c r="AR5261" s="51"/>
      <c r="AS5261" s="51"/>
    </row>
    <row r="5262" spans="1:45" s="520" customFormat="1" ht="12">
      <c r="A5262" s="51"/>
      <c r="B5262" s="51"/>
      <c r="C5262" s="51"/>
      <c r="D5262" s="37" t="s">
        <v>347</v>
      </c>
      <c r="E5262" s="51"/>
      <c r="F5262" s="51"/>
      <c r="G5262" s="51"/>
      <c r="H5262" s="51"/>
      <c r="I5262" s="51"/>
      <c r="J5262" s="51"/>
      <c r="K5262" s="51"/>
      <c r="L5262" s="51"/>
      <c r="M5262" s="51"/>
      <c r="N5262" s="51"/>
      <c r="O5262" s="52"/>
      <c r="P5262" s="51"/>
      <c r="Q5262" s="51"/>
      <c r="R5262" s="51"/>
      <c r="S5262" s="38"/>
      <c r="T5262" s="38"/>
      <c r="AR5262" s="51"/>
      <c r="AS5262" s="51"/>
    </row>
    <row r="5263" spans="1:45" s="3" customFormat="1" thickBot="1">
      <c r="A5263" s="531"/>
      <c r="O5263" s="107"/>
      <c r="AR5263" s="531"/>
    </row>
    <row r="5264" spans="1:45" s="520" customFormat="1" ht="12" thickTop="1">
      <c r="A5264" s="51"/>
      <c r="B5264" s="41"/>
      <c r="C5264" s="51"/>
      <c r="E5264" s="42" t="s">
        <v>138</v>
      </c>
      <c r="F5264" s="42" t="s">
        <v>139</v>
      </c>
      <c r="G5264" s="51"/>
      <c r="H5264" s="51"/>
      <c r="I5264" s="51"/>
      <c r="J5264" s="51"/>
      <c r="K5264" s="51" t="s">
        <v>140</v>
      </c>
      <c r="L5264" s="51"/>
      <c r="M5264" s="51"/>
      <c r="N5264" s="51"/>
      <c r="O5264" s="52"/>
      <c r="P5264" s="51"/>
      <c r="Q5264" s="51"/>
      <c r="R5264" s="51"/>
      <c r="S5264" s="51"/>
      <c r="T5264" s="41"/>
      <c r="AG5264" s="521" t="s">
        <v>268</v>
      </c>
      <c r="AH5264" s="521" t="s">
        <v>269</v>
      </c>
      <c r="AI5264" s="521" t="s">
        <v>270</v>
      </c>
      <c r="AJ5264" s="521" t="s">
        <v>271</v>
      </c>
      <c r="AK5264" s="521" t="s">
        <v>272</v>
      </c>
      <c r="AM5264" s="745" t="s">
        <v>281</v>
      </c>
      <c r="AN5264" s="746" t="s">
        <v>282</v>
      </c>
      <c r="AO5264" s="522" t="s">
        <v>278</v>
      </c>
      <c r="AR5264" s="51"/>
      <c r="AS5264" s="42" t="s">
        <v>139</v>
      </c>
    </row>
    <row r="5265" spans="1:45" s="520" customFormat="1" ht="12" customHeight="1">
      <c r="A5265" s="747">
        <v>13</v>
      </c>
      <c r="B5265" s="523" t="s">
        <v>329</v>
      </c>
      <c r="C5265" s="748"/>
      <c r="D5265" s="749" t="s">
        <v>1873</v>
      </c>
      <c r="E5265" s="750">
        <f ca="1">IF(AND($A5265=0,$A$1="DIF"),0, ROUND(ROUND(($R5270*$S$2+($T5270*$T$2))/A5265,2)*$C$2,2))</f>
        <v>17.25</v>
      </c>
      <c r="F5265" s="751">
        <f ca="1">ROUND($A5265*$E5265,2)</f>
        <v>224.25</v>
      </c>
      <c r="G5265" s="752" t="s">
        <v>142</v>
      </c>
      <c r="H5265" s="753"/>
      <c r="I5265" s="754"/>
      <c r="J5265" s="753"/>
      <c r="K5265" s="753" t="s">
        <v>3</v>
      </c>
      <c r="L5265" s="755" t="s">
        <v>143</v>
      </c>
      <c r="M5265" s="755"/>
      <c r="N5265" s="755"/>
      <c r="O5265" s="755"/>
      <c r="P5265" s="755"/>
      <c r="Q5265" s="51"/>
      <c r="T5265" s="756" t="str">
        <f ca="1">IF(AND($R5270=0,$T5270=0),"0.00","mu :" &amp; ROUND($F5265/$C$2/($R5270+$T5270*$D$9),2))</f>
        <v>mu :1.23</v>
      </c>
      <c r="W5265" s="524"/>
      <c r="AG5265" s="481">
        <f ca="1">IF($E5265=0,0,ROUND($R5270*$S$2*$C$2/$A5265,2))</f>
        <v>1.35</v>
      </c>
      <c r="AH5265" s="481">
        <f ca="1">$AG5265*$A5265</f>
        <v>17.55</v>
      </c>
      <c r="AI5265" s="525">
        <f ca="1">$E5265-$AG5265</f>
        <v>15.9</v>
      </c>
      <c r="AJ5265" s="525">
        <f ca="1">$A5265*$AI5265</f>
        <v>206.70000000000002</v>
      </c>
      <c r="AK5265" s="526">
        <f ca="1">ROUND(($AG5265+$AI5265)*$A5265,2)</f>
        <v>224.25</v>
      </c>
      <c r="AM5265" s="527">
        <f ca="1">ROUND(R5270,2)</f>
        <v>14.3</v>
      </c>
      <c r="AN5265" s="528">
        <f ca="1">ROUND(T5270,2)</f>
        <v>6.11</v>
      </c>
      <c r="AO5265" s="529">
        <f ca="1">ROUND(AM5265+AN5265,2)*A5265</f>
        <v>265.33</v>
      </c>
      <c r="AR5265" s="747">
        <v>13</v>
      </c>
      <c r="AS5265" s="751">
        <v>250.64</v>
      </c>
    </row>
    <row r="5266" spans="1:45" s="520" customFormat="1" ht="13.2">
      <c r="A5266" s="748"/>
      <c r="B5266"/>
      <c r="C5266" s="748"/>
      <c r="D5266" s="749" t="s">
        <v>897</v>
      </c>
      <c r="F5266" s="753"/>
      <c r="G5266" s="3"/>
      <c r="H5266" s="753"/>
      <c r="I5266" s="754"/>
      <c r="J5266" s="753"/>
      <c r="K5266" s="753" t="s">
        <v>144</v>
      </c>
      <c r="L5266" s="753"/>
      <c r="M5266" s="753"/>
      <c r="N5266" s="753"/>
      <c r="O5266" s="753"/>
      <c r="P5266" s="753"/>
      <c r="Q5266" s="51"/>
      <c r="R5266" s="530"/>
      <c r="S5266" s="757"/>
      <c r="T5266" s="753"/>
      <c r="AR5266" s="748"/>
      <c r="AS5266" s="753"/>
    </row>
    <row r="5267" spans="1:45" s="886" customFormat="1" ht="13.2">
      <c r="A5267"/>
      <c r="B5267" s="910"/>
      <c r="C5267" s="910" t="s">
        <v>2597</v>
      </c>
      <c r="D5267" s="910" t="str">
        <f ca="1">CELL("Address",Elec_Rates!D$545)</f>
        <v>[E25_0062_Quintano_Foods_Elec_ELV_As_Awarded.xlsx]Elec_Rates!$D$545</v>
      </c>
      <c r="E5267" s="911"/>
      <c r="F5267" s="911"/>
      <c r="G5267" s="912" t="s">
        <v>2598</v>
      </c>
      <c r="H5267" s="912"/>
      <c r="I5267" s="912"/>
      <c r="J5267" s="912"/>
      <c r="K5267" s="913"/>
      <c r="L5267" s="911"/>
      <c r="M5267" s="911"/>
      <c r="N5267" s="911"/>
      <c r="O5267" s="914"/>
      <c r="P5267" s="911"/>
      <c r="Q5267" s="915"/>
      <c r="R5267" s="916"/>
      <c r="S5267" s="915"/>
      <c r="T5267" s="917"/>
      <c r="U5267" s="918"/>
      <c r="AR5267"/>
      <c r="AS5267" s="911"/>
    </row>
    <row r="5268" spans="1:45" s="886" customFormat="1" ht="11.4">
      <c r="A5268" s="919">
        <v>13</v>
      </c>
      <c r="B5268" s="920">
        <v>1</v>
      </c>
      <c r="C5268" s="920">
        <f>$A5268*$B5268</f>
        <v>13</v>
      </c>
      <c r="D5268" s="921" t="str">
        <f>Elec_Rates!$D$545</f>
        <v>050# Install only Light fitting Type A1</v>
      </c>
      <c r="E5268" s="921"/>
      <c r="F5268" s="921" t="s">
        <v>2599</v>
      </c>
      <c r="G5268" s="922" t="s">
        <v>2600</v>
      </c>
      <c r="H5268" s="922"/>
      <c r="I5268" s="922"/>
      <c r="J5268" s="922"/>
      <c r="K5268" s="923"/>
      <c r="L5268" s="918"/>
      <c r="M5268" s="918"/>
      <c r="N5268" s="918"/>
      <c r="O5268" s="924"/>
      <c r="P5268" s="921"/>
      <c r="Q5268" s="925">
        <f ca="1">$B5268*Elec_Rates!$R$545</f>
        <v>1.1000000000000001</v>
      </c>
      <c r="R5268" s="916">
        <f ca="1">$A5268*Q5268</f>
        <v>14.3</v>
      </c>
      <c r="S5268" s="925">
        <f ca="1">$B5268*Elec_Rates!$T$545</f>
        <v>0.47</v>
      </c>
      <c r="T5268" s="917">
        <f ca="1">$A5268*S5268</f>
        <v>6.1099999999999994</v>
      </c>
      <c r="U5268" s="926"/>
      <c r="AR5268" s="919">
        <v>13</v>
      </c>
      <c r="AS5268" s="921" t="s">
        <v>2599</v>
      </c>
    </row>
    <row r="5269" spans="1:45" s="520" customFormat="1" ht="12">
      <c r="A5269" s="758"/>
      <c r="B5269" s="758"/>
      <c r="C5269" s="758"/>
      <c r="D5269" s="758"/>
      <c r="E5269" s="758"/>
      <c r="F5269" s="753"/>
      <c r="G5269" s="758"/>
      <c r="H5269" s="758"/>
      <c r="I5269" s="519"/>
      <c r="J5269" s="758"/>
      <c r="K5269" s="758"/>
      <c r="L5269" s="758"/>
      <c r="M5269" s="758"/>
      <c r="N5269" s="758"/>
      <c r="O5269" s="758"/>
      <c r="P5269" s="758"/>
      <c r="Q5269" s="519"/>
      <c r="R5269" s="759">
        <f t="shared" ref="R5269" si="218">$A5269*Q5269</f>
        <v>0</v>
      </c>
      <c r="S5269" s="519"/>
      <c r="T5269" s="760">
        <f t="shared" ref="T5269" si="219">$A5269*S5269*$T$1</f>
        <v>0</v>
      </c>
      <c r="AR5269" s="758"/>
      <c r="AS5269" s="753"/>
    </row>
    <row r="5270" spans="1:45" s="520" customFormat="1" ht="12.6" thickBot="1">
      <c r="A5270" s="761" t="s">
        <v>145</v>
      </c>
      <c r="B5270" s="762">
        <f>(R5269+T5269)</f>
        <v>0</v>
      </c>
      <c r="C5270" s="763"/>
      <c r="D5270" s="763"/>
      <c r="E5270" s="763"/>
      <c r="F5270" s="764"/>
      <c r="G5270" s="763" t="s">
        <v>146</v>
      </c>
      <c r="H5270" s="763"/>
      <c r="I5270" s="765"/>
      <c r="J5270" s="763"/>
      <c r="K5270" s="763" t="s">
        <v>3</v>
      </c>
      <c r="L5270" s="766" t="s">
        <v>143</v>
      </c>
      <c r="M5270" s="766"/>
      <c r="N5270" s="766"/>
      <c r="O5270" s="766"/>
      <c r="P5270" s="766"/>
      <c r="Q5270" s="767"/>
      <c r="R5270" s="768">
        <f ca="1">SUM(R5266:R5269)</f>
        <v>14.3</v>
      </c>
      <c r="S5270" s="763"/>
      <c r="T5270" s="768">
        <f ca="1">SUM(T5266:T5269)</f>
        <v>6.1099999999999994</v>
      </c>
      <c r="U5270" s="531"/>
      <c r="V5270" s="531"/>
      <c r="W5270" s="531"/>
      <c r="X5270" s="531"/>
      <c r="Y5270" s="531"/>
      <c r="Z5270" s="531"/>
      <c r="AA5270" s="531"/>
      <c r="AB5270" s="531"/>
      <c r="AC5270" s="531"/>
      <c r="AD5270" s="531"/>
      <c r="AE5270" s="531"/>
      <c r="AF5270" s="531"/>
      <c r="AG5270" s="531"/>
      <c r="AH5270" s="531"/>
      <c r="AI5270" s="531"/>
      <c r="AJ5270" s="531"/>
      <c r="AK5270" s="531"/>
      <c r="AL5270" s="531"/>
      <c r="AM5270" s="531"/>
      <c r="AN5270" s="531"/>
      <c r="AO5270" s="531"/>
      <c r="AR5270" s="761" t="s">
        <v>145</v>
      </c>
      <c r="AS5270" s="764"/>
    </row>
    <row r="5271" spans="1:45" s="520" customFormat="1" ht="12" thickTop="1">
      <c r="A5271" s="51"/>
      <c r="B5271" s="41"/>
      <c r="C5271" s="51"/>
      <c r="E5271" s="42" t="s">
        <v>138</v>
      </c>
      <c r="F5271" s="42" t="s">
        <v>139</v>
      </c>
      <c r="G5271" s="51"/>
      <c r="H5271" s="51"/>
      <c r="I5271" s="51"/>
      <c r="J5271" s="51"/>
      <c r="K5271" s="51" t="s">
        <v>140</v>
      </c>
      <c r="L5271" s="51"/>
      <c r="M5271" s="51"/>
      <c r="N5271" s="51"/>
      <c r="O5271" s="52"/>
      <c r="P5271" s="51"/>
      <c r="Q5271" s="51"/>
      <c r="R5271" s="51"/>
      <c r="S5271" s="51"/>
      <c r="T5271" s="41"/>
      <c r="AG5271" s="521" t="s">
        <v>268</v>
      </c>
      <c r="AH5271" s="521" t="s">
        <v>269</v>
      </c>
      <c r="AI5271" s="521" t="s">
        <v>270</v>
      </c>
      <c r="AJ5271" s="521" t="s">
        <v>271</v>
      </c>
      <c r="AK5271" s="521" t="s">
        <v>272</v>
      </c>
      <c r="AM5271" s="745" t="s">
        <v>281</v>
      </c>
      <c r="AN5271" s="746" t="s">
        <v>282</v>
      </c>
      <c r="AO5271" s="522" t="s">
        <v>278</v>
      </c>
      <c r="AR5271" s="51"/>
      <c r="AS5271" s="42" t="s">
        <v>139</v>
      </c>
    </row>
    <row r="5272" spans="1:45" s="520" customFormat="1" ht="12" customHeight="1">
      <c r="A5272" s="747">
        <v>5</v>
      </c>
      <c r="B5272" s="523" t="s">
        <v>329</v>
      </c>
      <c r="C5272" s="748"/>
      <c r="D5272" s="749" t="s">
        <v>1874</v>
      </c>
      <c r="E5272" s="750">
        <f ca="1">IF(AND($A5272=0,$A$1="DIF"),0, ROUND(ROUND(($R5277*$S$2+($T5277*$T$2))/A5272,2)*$C$2,2))</f>
        <v>17.739999999999998</v>
      </c>
      <c r="F5272" s="751">
        <f ca="1">ROUND($A5272*$E5272,2)</f>
        <v>88.7</v>
      </c>
      <c r="G5272" s="752" t="s">
        <v>142</v>
      </c>
      <c r="H5272" s="753"/>
      <c r="I5272" s="754"/>
      <c r="J5272" s="753"/>
      <c r="K5272" s="753" t="s">
        <v>3</v>
      </c>
      <c r="L5272" s="755" t="s">
        <v>143</v>
      </c>
      <c r="M5272" s="755"/>
      <c r="N5272" s="755"/>
      <c r="O5272" s="755"/>
      <c r="P5272" s="755"/>
      <c r="Q5272" s="51"/>
      <c r="T5272" s="756" t="str">
        <f ca="1">IF(AND($R5277=0,$T5277=0),"0.00","mu :" &amp; ROUND($F5272/$C$2/($R5277+$T5277*$D$9),2))</f>
        <v>mu :1.23</v>
      </c>
      <c r="W5272" s="524"/>
      <c r="AG5272" s="481">
        <f ca="1">IF($E5272=0,0,ROUND($R5277*$S$2*$C$2/$A5272,2))</f>
        <v>1.85</v>
      </c>
      <c r="AH5272" s="481">
        <f ca="1">$AG5272*$A5272</f>
        <v>9.25</v>
      </c>
      <c r="AI5272" s="525">
        <f ca="1">$E5272-$AG5272</f>
        <v>15.889999999999999</v>
      </c>
      <c r="AJ5272" s="525">
        <f ca="1">$A5272*$AI5272</f>
        <v>79.449999999999989</v>
      </c>
      <c r="AK5272" s="526">
        <f ca="1">ROUND(($AG5272+$AI5272)*$A5272,2)</f>
        <v>88.7</v>
      </c>
      <c r="AM5272" s="527">
        <f ca="1">ROUND(R5277,2)</f>
        <v>7.5</v>
      </c>
      <c r="AN5272" s="528">
        <f ca="1">ROUND(T5277,2)</f>
        <v>2.35</v>
      </c>
      <c r="AO5272" s="529">
        <f ca="1">ROUND(AM5272+AN5272,2)*A5272</f>
        <v>49.25</v>
      </c>
      <c r="AR5272" s="747">
        <v>5</v>
      </c>
      <c r="AS5272" s="751">
        <v>98.85</v>
      </c>
    </row>
    <row r="5273" spans="1:45" s="520" customFormat="1" ht="13.2">
      <c r="A5273" s="748"/>
      <c r="B5273"/>
      <c r="C5273" s="748"/>
      <c r="D5273" s="749" t="s">
        <v>898</v>
      </c>
      <c r="F5273" s="753"/>
      <c r="G5273" s="3"/>
      <c r="H5273" s="753"/>
      <c r="I5273" s="754"/>
      <c r="J5273" s="753"/>
      <c r="K5273" s="753" t="s">
        <v>144</v>
      </c>
      <c r="L5273" s="753"/>
      <c r="M5273" s="753"/>
      <c r="N5273" s="753"/>
      <c r="O5273" s="753"/>
      <c r="P5273" s="753"/>
      <c r="Q5273" s="51"/>
      <c r="R5273" s="530"/>
      <c r="S5273" s="757"/>
      <c r="T5273" s="753"/>
      <c r="AR5273" s="748"/>
      <c r="AS5273" s="753"/>
    </row>
    <row r="5274" spans="1:45" s="886" customFormat="1" ht="13.2">
      <c r="A5274"/>
      <c r="B5274" s="910"/>
      <c r="C5274" s="910" t="s">
        <v>2597</v>
      </c>
      <c r="D5274" s="910" t="str">
        <f ca="1">CELL("Address",Elec_Rates!D$552)</f>
        <v>[E25_0062_Quintano_Foods_Elec_ELV_As_Awarded.xlsx]Elec_Rates!$D$552</v>
      </c>
      <c r="E5274" s="911"/>
      <c r="F5274" s="911"/>
      <c r="G5274" s="912" t="s">
        <v>2598</v>
      </c>
      <c r="H5274" s="912"/>
      <c r="I5274" s="912"/>
      <c r="J5274" s="912"/>
      <c r="K5274" s="913"/>
      <c r="L5274" s="911"/>
      <c r="M5274" s="911"/>
      <c r="N5274" s="911"/>
      <c r="O5274" s="914"/>
      <c r="P5274" s="911"/>
      <c r="Q5274" s="915"/>
      <c r="R5274" s="916"/>
      <c r="S5274" s="915"/>
      <c r="T5274" s="917"/>
      <c r="U5274" s="918"/>
      <c r="AR5274"/>
      <c r="AS5274" s="911"/>
    </row>
    <row r="5275" spans="1:45" s="886" customFormat="1" ht="11.4">
      <c r="A5275" s="919">
        <v>5</v>
      </c>
      <c r="B5275" s="920">
        <v>1</v>
      </c>
      <c r="C5275" s="920">
        <f>$A5275*$B5275</f>
        <v>5</v>
      </c>
      <c r="D5275" s="921" t="str">
        <f>Elec_Rates!$D$552</f>
        <v>051# Install only Light fitting Type A2</v>
      </c>
      <c r="E5275" s="921"/>
      <c r="F5275" s="921" t="s">
        <v>2599</v>
      </c>
      <c r="G5275" s="922" t="s">
        <v>2601</v>
      </c>
      <c r="H5275" s="922"/>
      <c r="I5275" s="922"/>
      <c r="J5275" s="922"/>
      <c r="K5275" s="923"/>
      <c r="L5275" s="918"/>
      <c r="M5275" s="918"/>
      <c r="N5275" s="918"/>
      <c r="O5275" s="924"/>
      <c r="P5275" s="921"/>
      <c r="Q5275" s="925">
        <f ca="1">$B5275*Elec_Rates!$R$552</f>
        <v>1.5</v>
      </c>
      <c r="R5275" s="916">
        <f ca="1">$A5275*Q5275</f>
        <v>7.5</v>
      </c>
      <c r="S5275" s="925">
        <f ca="1">$B5275*Elec_Rates!$T$552</f>
        <v>0.47</v>
      </c>
      <c r="T5275" s="917">
        <f ca="1">$A5275*S5275</f>
        <v>2.3499999999999996</v>
      </c>
      <c r="U5275" s="926"/>
      <c r="AR5275" s="919">
        <v>5</v>
      </c>
      <c r="AS5275" s="921" t="s">
        <v>2599</v>
      </c>
    </row>
    <row r="5276" spans="1:45" s="520" customFormat="1" ht="12">
      <c r="A5276" s="758"/>
      <c r="B5276" s="758"/>
      <c r="C5276" s="758"/>
      <c r="D5276" s="758"/>
      <c r="E5276" s="758"/>
      <c r="F5276" s="753"/>
      <c r="G5276" s="758"/>
      <c r="H5276" s="758"/>
      <c r="I5276" s="519"/>
      <c r="J5276" s="758"/>
      <c r="K5276" s="758"/>
      <c r="L5276" s="758"/>
      <c r="M5276" s="758"/>
      <c r="N5276" s="758"/>
      <c r="O5276" s="758"/>
      <c r="P5276" s="758"/>
      <c r="Q5276" s="519"/>
      <c r="R5276" s="759">
        <f t="shared" ref="R5276" si="220">$A5276*Q5276</f>
        <v>0</v>
      </c>
      <c r="S5276" s="519"/>
      <c r="T5276" s="760">
        <f t="shared" ref="T5276" si="221">$A5276*S5276*$T$1</f>
        <v>0</v>
      </c>
      <c r="AR5276" s="758"/>
      <c r="AS5276" s="753"/>
    </row>
    <row r="5277" spans="1:45" s="520" customFormat="1" ht="12.6" thickBot="1">
      <c r="A5277" s="761" t="s">
        <v>145</v>
      </c>
      <c r="B5277" s="762">
        <f>(R5276+T5276)</f>
        <v>0</v>
      </c>
      <c r="C5277" s="763"/>
      <c r="D5277" s="763"/>
      <c r="E5277" s="763"/>
      <c r="F5277" s="764"/>
      <c r="G5277" s="763" t="s">
        <v>146</v>
      </c>
      <c r="H5277" s="763"/>
      <c r="I5277" s="765"/>
      <c r="J5277" s="763"/>
      <c r="K5277" s="763" t="s">
        <v>3</v>
      </c>
      <c r="L5277" s="766" t="s">
        <v>143</v>
      </c>
      <c r="M5277" s="766"/>
      <c r="N5277" s="766"/>
      <c r="O5277" s="766"/>
      <c r="P5277" s="766"/>
      <c r="Q5277" s="767"/>
      <c r="R5277" s="768">
        <f ca="1">SUM(R5273:R5276)</f>
        <v>7.5</v>
      </c>
      <c r="S5277" s="763"/>
      <c r="T5277" s="768">
        <f ca="1">SUM(T5273:T5276)</f>
        <v>2.3499999999999996</v>
      </c>
      <c r="U5277" s="531"/>
      <c r="V5277" s="531"/>
      <c r="W5277" s="531"/>
      <c r="X5277" s="531"/>
      <c r="Y5277" s="531"/>
      <c r="Z5277" s="531"/>
      <c r="AA5277" s="531"/>
      <c r="AB5277" s="531"/>
      <c r="AC5277" s="531"/>
      <c r="AD5277" s="531"/>
      <c r="AE5277" s="531"/>
      <c r="AF5277" s="531"/>
      <c r="AG5277" s="531"/>
      <c r="AH5277" s="531"/>
      <c r="AI5277" s="531"/>
      <c r="AJ5277" s="531"/>
      <c r="AK5277" s="531"/>
      <c r="AL5277" s="531"/>
      <c r="AM5277" s="531"/>
      <c r="AN5277" s="531"/>
      <c r="AO5277" s="531"/>
      <c r="AR5277" s="761" t="s">
        <v>145</v>
      </c>
      <c r="AS5277" s="764"/>
    </row>
    <row r="5278" spans="1:45" s="520" customFormat="1" ht="12" thickTop="1">
      <c r="A5278" s="51"/>
      <c r="B5278" s="41"/>
      <c r="C5278" s="51"/>
      <c r="E5278" s="42" t="s">
        <v>138</v>
      </c>
      <c r="F5278" s="42" t="s">
        <v>139</v>
      </c>
      <c r="G5278" s="51"/>
      <c r="H5278" s="51"/>
      <c r="I5278" s="51"/>
      <c r="J5278" s="51"/>
      <c r="K5278" s="51" t="s">
        <v>140</v>
      </c>
      <c r="L5278" s="51"/>
      <c r="M5278" s="51"/>
      <c r="N5278" s="51"/>
      <c r="O5278" s="52"/>
      <c r="P5278" s="51"/>
      <c r="Q5278" s="51"/>
      <c r="R5278" s="51"/>
      <c r="S5278" s="51"/>
      <c r="T5278" s="41"/>
      <c r="AG5278" s="521" t="s">
        <v>268</v>
      </c>
      <c r="AH5278" s="521" t="s">
        <v>269</v>
      </c>
      <c r="AI5278" s="521" t="s">
        <v>270</v>
      </c>
      <c r="AJ5278" s="521" t="s">
        <v>271</v>
      </c>
      <c r="AK5278" s="521" t="s">
        <v>272</v>
      </c>
      <c r="AM5278" s="745" t="s">
        <v>281</v>
      </c>
      <c r="AN5278" s="746" t="s">
        <v>282</v>
      </c>
      <c r="AO5278" s="522" t="s">
        <v>278</v>
      </c>
      <c r="AR5278" s="51"/>
      <c r="AS5278" s="42" t="s">
        <v>139</v>
      </c>
    </row>
    <row r="5279" spans="1:45" s="520" customFormat="1" ht="12" customHeight="1">
      <c r="A5279" s="747">
        <v>22</v>
      </c>
      <c r="B5279" s="523" t="s">
        <v>329</v>
      </c>
      <c r="C5279" s="748"/>
      <c r="D5279" s="749" t="s">
        <v>1875</v>
      </c>
      <c r="E5279" s="750">
        <f ca="1">IF(AND($A5279=0,$A$1="DIF"),0, ROUND(ROUND(($R5284*$S$2+($T5284*$T$2))/A5279,2)*$C$2,2))</f>
        <v>17.34</v>
      </c>
      <c r="F5279" s="751">
        <f ca="1">ROUND($A5279*$E5279,2)</f>
        <v>381.48</v>
      </c>
      <c r="G5279" s="752" t="s">
        <v>142</v>
      </c>
      <c r="H5279" s="753"/>
      <c r="I5279" s="754"/>
      <c r="J5279" s="753"/>
      <c r="K5279" s="753" t="s">
        <v>3</v>
      </c>
      <c r="L5279" s="755" t="s">
        <v>143</v>
      </c>
      <c r="M5279" s="755"/>
      <c r="N5279" s="755"/>
      <c r="O5279" s="755"/>
      <c r="P5279" s="755"/>
      <c r="Q5279" s="51"/>
      <c r="T5279" s="756" t="str">
        <f ca="1">IF(AND($R5284=0,$T5284=0),"0.00","mu :" &amp; ROUND($F5279/$C$2/($R5284+$T5284*$D$9),2))</f>
        <v>mu :1.23</v>
      </c>
      <c r="W5279" s="524"/>
      <c r="AG5279" s="481">
        <f ca="1">IF($E5279=0,0,ROUND($R5284*$S$2*$C$2/$A5279,2))</f>
        <v>1.45</v>
      </c>
      <c r="AH5279" s="481">
        <f ca="1">$AG5279*$A5279</f>
        <v>31.9</v>
      </c>
      <c r="AI5279" s="525">
        <f ca="1">$E5279-$AG5279</f>
        <v>15.89</v>
      </c>
      <c r="AJ5279" s="525">
        <f ca="1">$A5279*$AI5279</f>
        <v>349.58000000000004</v>
      </c>
      <c r="AK5279" s="526">
        <f ca="1">ROUND(($AG5279+$AI5279)*$A5279,2)</f>
        <v>381.48</v>
      </c>
      <c r="AM5279" s="527">
        <f ca="1">ROUND(R5284,2)</f>
        <v>25.96</v>
      </c>
      <c r="AN5279" s="528">
        <f ca="1">ROUND(T5284,2)</f>
        <v>10.34</v>
      </c>
      <c r="AO5279" s="529">
        <f ca="1">ROUND(AM5279+AN5279,2)*A5279</f>
        <v>798.59999999999991</v>
      </c>
      <c r="AR5279" s="747">
        <v>22</v>
      </c>
      <c r="AS5279" s="751">
        <v>426.14</v>
      </c>
    </row>
    <row r="5280" spans="1:45" s="520" customFormat="1" ht="13.2">
      <c r="A5280" s="748"/>
      <c r="B5280"/>
      <c r="C5280" s="748"/>
      <c r="D5280" s="749" t="s">
        <v>885</v>
      </c>
      <c r="F5280" s="753"/>
      <c r="G5280" s="3"/>
      <c r="H5280" s="753"/>
      <c r="I5280" s="754"/>
      <c r="J5280" s="753"/>
      <c r="K5280" s="753" t="s">
        <v>144</v>
      </c>
      <c r="L5280" s="753"/>
      <c r="M5280" s="753"/>
      <c r="N5280" s="753"/>
      <c r="O5280" s="753"/>
      <c r="P5280" s="753"/>
      <c r="Q5280" s="51"/>
      <c r="R5280" s="530"/>
      <c r="S5280" s="757"/>
      <c r="T5280" s="753"/>
      <c r="AR5280" s="748"/>
      <c r="AS5280" s="753"/>
    </row>
    <row r="5281" spans="1:45" s="886" customFormat="1" ht="13.2">
      <c r="A5281"/>
      <c r="B5281" s="910"/>
      <c r="C5281" s="910" t="s">
        <v>2597</v>
      </c>
      <c r="D5281" s="910" t="str">
        <f ca="1">CELL("Address",Elec_Rates!D$559)</f>
        <v>[E25_0062_Quintano_Foods_Elec_ELV_As_Awarded.xlsx]Elec_Rates!$D$559</v>
      </c>
      <c r="E5281" s="911"/>
      <c r="F5281" s="911"/>
      <c r="G5281" s="912" t="s">
        <v>2598</v>
      </c>
      <c r="H5281" s="912"/>
      <c r="I5281" s="912"/>
      <c r="J5281" s="912"/>
      <c r="K5281" s="913"/>
      <c r="L5281" s="911"/>
      <c r="M5281" s="911"/>
      <c r="N5281" s="911"/>
      <c r="O5281" s="914"/>
      <c r="P5281" s="911"/>
      <c r="Q5281" s="915"/>
      <c r="R5281" s="916"/>
      <c r="S5281" s="915"/>
      <c r="T5281" s="917"/>
      <c r="U5281" s="918"/>
      <c r="AR5281"/>
      <c r="AS5281" s="911"/>
    </row>
    <row r="5282" spans="1:45" s="886" customFormat="1" ht="11.4">
      <c r="A5282" s="919">
        <v>22</v>
      </c>
      <c r="B5282" s="920">
        <v>1</v>
      </c>
      <c r="C5282" s="920">
        <f>$A5282*$B5282</f>
        <v>22</v>
      </c>
      <c r="D5282" s="921" t="str">
        <f>Elec_Rates!$D$559</f>
        <v>052# Install only Light fitting Type B1</v>
      </c>
      <c r="E5282" s="921"/>
      <c r="F5282" s="921" t="s">
        <v>2599</v>
      </c>
      <c r="G5282" s="922" t="s">
        <v>2601</v>
      </c>
      <c r="H5282" s="922"/>
      <c r="I5282" s="922"/>
      <c r="J5282" s="922"/>
      <c r="K5282" s="923"/>
      <c r="L5282" s="918"/>
      <c r="M5282" s="918"/>
      <c r="N5282" s="918"/>
      <c r="O5282" s="924"/>
      <c r="P5282" s="921"/>
      <c r="Q5282" s="925">
        <f ca="1">$B5282*Elec_Rates!$R$559</f>
        <v>1.18</v>
      </c>
      <c r="R5282" s="916">
        <f ca="1">$A5282*Q5282</f>
        <v>25.959999999999997</v>
      </c>
      <c r="S5282" s="925">
        <f ca="1">$B5282*Elec_Rates!$T$559</f>
        <v>0.47</v>
      </c>
      <c r="T5282" s="917">
        <f ca="1">$A5282*S5282</f>
        <v>10.34</v>
      </c>
      <c r="U5282" s="926"/>
      <c r="AR5282" s="919">
        <v>22</v>
      </c>
      <c r="AS5282" s="921" t="s">
        <v>2599</v>
      </c>
    </row>
    <row r="5283" spans="1:45" s="520" customFormat="1" ht="12">
      <c r="A5283" s="758"/>
      <c r="B5283" s="758"/>
      <c r="C5283" s="758"/>
      <c r="D5283" s="758"/>
      <c r="E5283" s="758"/>
      <c r="F5283" s="753"/>
      <c r="G5283" s="758"/>
      <c r="H5283" s="758"/>
      <c r="I5283" s="519"/>
      <c r="J5283" s="758"/>
      <c r="K5283" s="758"/>
      <c r="L5283" s="758"/>
      <c r="M5283" s="758"/>
      <c r="N5283" s="758"/>
      <c r="O5283" s="758"/>
      <c r="P5283" s="758"/>
      <c r="Q5283" s="519"/>
      <c r="R5283" s="759">
        <f t="shared" ref="R5283" si="222">$A5283*Q5283</f>
        <v>0</v>
      </c>
      <c r="S5283" s="519"/>
      <c r="T5283" s="760">
        <f t="shared" ref="T5283" si="223">$A5283*S5283*$T$1</f>
        <v>0</v>
      </c>
      <c r="AR5283" s="758"/>
      <c r="AS5283" s="753"/>
    </row>
    <row r="5284" spans="1:45" s="520" customFormat="1" ht="12.6" thickBot="1">
      <c r="A5284" s="761" t="s">
        <v>145</v>
      </c>
      <c r="B5284" s="762">
        <f>(R5283+T5283)</f>
        <v>0</v>
      </c>
      <c r="C5284" s="763"/>
      <c r="D5284" s="763"/>
      <c r="E5284" s="763"/>
      <c r="F5284" s="764"/>
      <c r="G5284" s="763" t="s">
        <v>146</v>
      </c>
      <c r="H5284" s="763"/>
      <c r="I5284" s="765"/>
      <c r="J5284" s="763"/>
      <c r="K5284" s="763" t="s">
        <v>3</v>
      </c>
      <c r="L5284" s="766" t="s">
        <v>143</v>
      </c>
      <c r="M5284" s="766"/>
      <c r="N5284" s="766"/>
      <c r="O5284" s="766"/>
      <c r="P5284" s="766"/>
      <c r="Q5284" s="767"/>
      <c r="R5284" s="768">
        <f ca="1">SUM(R5280:R5283)</f>
        <v>25.959999999999997</v>
      </c>
      <c r="S5284" s="763"/>
      <c r="T5284" s="768">
        <f ca="1">SUM(T5280:T5283)</f>
        <v>10.34</v>
      </c>
      <c r="U5284" s="531"/>
      <c r="V5284" s="531"/>
      <c r="W5284" s="531"/>
      <c r="X5284" s="531"/>
      <c r="Y5284" s="531"/>
      <c r="Z5284" s="531"/>
      <c r="AA5284" s="531"/>
      <c r="AB5284" s="531"/>
      <c r="AC5284" s="531"/>
      <c r="AD5284" s="531"/>
      <c r="AE5284" s="531"/>
      <c r="AF5284" s="531"/>
      <c r="AG5284" s="531"/>
      <c r="AH5284" s="531"/>
      <c r="AI5284" s="531"/>
      <c r="AJ5284" s="531"/>
      <c r="AK5284" s="531"/>
      <c r="AL5284" s="531"/>
      <c r="AM5284" s="531"/>
      <c r="AN5284" s="531"/>
      <c r="AO5284" s="531"/>
      <c r="AR5284" s="761" t="s">
        <v>145</v>
      </c>
      <c r="AS5284" s="764"/>
    </row>
    <row r="5285" spans="1:45" s="520" customFormat="1" ht="12" thickTop="1">
      <c r="A5285" s="51"/>
      <c r="B5285" s="41"/>
      <c r="C5285" s="51"/>
      <c r="E5285" s="42" t="s">
        <v>138</v>
      </c>
      <c r="F5285" s="42" t="s">
        <v>139</v>
      </c>
      <c r="G5285" s="51"/>
      <c r="H5285" s="51"/>
      <c r="I5285" s="51"/>
      <c r="J5285" s="51"/>
      <c r="K5285" s="51" t="s">
        <v>140</v>
      </c>
      <c r="L5285" s="51"/>
      <c r="M5285" s="51"/>
      <c r="N5285" s="51"/>
      <c r="O5285" s="52"/>
      <c r="P5285" s="51"/>
      <c r="Q5285" s="51"/>
      <c r="R5285" s="51"/>
      <c r="S5285" s="51"/>
      <c r="T5285" s="41"/>
      <c r="AG5285" s="521" t="s">
        <v>268</v>
      </c>
      <c r="AH5285" s="521" t="s">
        <v>269</v>
      </c>
      <c r="AI5285" s="521" t="s">
        <v>270</v>
      </c>
      <c r="AJ5285" s="521" t="s">
        <v>271</v>
      </c>
      <c r="AK5285" s="521" t="s">
        <v>272</v>
      </c>
      <c r="AM5285" s="745" t="s">
        <v>281</v>
      </c>
      <c r="AN5285" s="746" t="s">
        <v>282</v>
      </c>
      <c r="AO5285" s="522" t="s">
        <v>278</v>
      </c>
      <c r="AR5285" s="51"/>
      <c r="AS5285" s="42" t="s">
        <v>139</v>
      </c>
    </row>
    <row r="5286" spans="1:45" s="520" customFormat="1" ht="12" customHeight="1">
      <c r="A5286" s="747">
        <v>17</v>
      </c>
      <c r="B5286" s="523" t="s">
        <v>329</v>
      </c>
      <c r="C5286" s="748"/>
      <c r="D5286" s="749" t="s">
        <v>1876</v>
      </c>
      <c r="E5286" s="750">
        <f ca="1">IF(AND($A5286=0,$A$1="DIF"),0, ROUND(ROUND(($R5291*$S$2+($T5291*$T$2))/A5286,2)*$C$2,2))</f>
        <v>17.84</v>
      </c>
      <c r="F5286" s="751">
        <f ca="1">ROUND($A5286*$E5286,2)</f>
        <v>303.27999999999997</v>
      </c>
      <c r="G5286" s="752" t="s">
        <v>142</v>
      </c>
      <c r="H5286" s="753"/>
      <c r="I5286" s="754"/>
      <c r="J5286" s="753"/>
      <c r="K5286" s="753" t="s">
        <v>3</v>
      </c>
      <c r="L5286" s="755" t="s">
        <v>143</v>
      </c>
      <c r="M5286" s="755"/>
      <c r="N5286" s="755"/>
      <c r="O5286" s="755"/>
      <c r="P5286" s="755"/>
      <c r="Q5286" s="51"/>
      <c r="T5286" s="756" t="str">
        <f ca="1">IF(AND($R5291=0,$T5291=0),"0.00","mu :" &amp; ROUND($F5286/$C$2/($R5291+$T5291*$D$9),2))</f>
        <v>mu :1.23</v>
      </c>
      <c r="W5286" s="524"/>
      <c r="AG5286" s="481">
        <f ca="1">IF($E5286=0,0,ROUND($R5291*$S$2*$C$2/$A5286,2))</f>
        <v>1.95</v>
      </c>
      <c r="AH5286" s="481">
        <f ca="1">$AG5286*$A5286</f>
        <v>33.15</v>
      </c>
      <c r="AI5286" s="525">
        <f ca="1">$E5286-$AG5286</f>
        <v>15.89</v>
      </c>
      <c r="AJ5286" s="525">
        <f ca="1">$A5286*$AI5286</f>
        <v>270.13</v>
      </c>
      <c r="AK5286" s="526">
        <f ca="1">ROUND(($AG5286+$AI5286)*$A5286,2)</f>
        <v>303.27999999999997</v>
      </c>
      <c r="AM5286" s="527">
        <f ca="1">ROUND(R5291,2)</f>
        <v>26.86</v>
      </c>
      <c r="AN5286" s="528">
        <f ca="1">ROUND(T5291,2)</f>
        <v>7.99</v>
      </c>
      <c r="AO5286" s="529">
        <f ca="1">ROUND(AM5286+AN5286,2)*A5286</f>
        <v>592.45000000000005</v>
      </c>
      <c r="AR5286" s="747">
        <v>17</v>
      </c>
      <c r="AS5286" s="751">
        <v>337.79</v>
      </c>
    </row>
    <row r="5287" spans="1:45" s="520" customFormat="1" ht="13.2">
      <c r="A5287" s="748"/>
      <c r="B5287"/>
      <c r="C5287" s="748"/>
      <c r="D5287" s="749" t="s">
        <v>886</v>
      </c>
      <c r="F5287" s="753"/>
      <c r="G5287" s="3"/>
      <c r="H5287" s="753"/>
      <c r="I5287" s="754"/>
      <c r="J5287" s="753"/>
      <c r="K5287" s="753" t="s">
        <v>144</v>
      </c>
      <c r="L5287" s="753"/>
      <c r="M5287" s="753"/>
      <c r="N5287" s="753"/>
      <c r="O5287" s="753"/>
      <c r="P5287" s="753"/>
      <c r="Q5287" s="51"/>
      <c r="R5287" s="530"/>
      <c r="S5287" s="757"/>
      <c r="T5287" s="753"/>
      <c r="AR5287" s="748"/>
      <c r="AS5287" s="753"/>
    </row>
    <row r="5288" spans="1:45" s="886" customFormat="1" ht="13.2">
      <c r="A5288"/>
      <c r="B5288" s="910"/>
      <c r="C5288" s="910" t="s">
        <v>2597</v>
      </c>
      <c r="D5288" s="910" t="str">
        <f ca="1">CELL("Address",Elec_Rates!D$568)</f>
        <v>[E25_0062_Quintano_Foods_Elec_ELV_As_Awarded.xlsx]Elec_Rates!$D$568</v>
      </c>
      <c r="E5288" s="911"/>
      <c r="F5288" s="911"/>
      <c r="G5288" s="912" t="s">
        <v>2598</v>
      </c>
      <c r="H5288" s="912"/>
      <c r="I5288" s="912"/>
      <c r="J5288" s="912"/>
      <c r="K5288" s="913"/>
      <c r="L5288" s="911"/>
      <c r="M5288" s="911"/>
      <c r="N5288" s="911"/>
      <c r="O5288" s="914"/>
      <c r="P5288" s="911"/>
      <c r="Q5288" s="915"/>
      <c r="R5288" s="916"/>
      <c r="S5288" s="915"/>
      <c r="T5288" s="917"/>
      <c r="U5288" s="918"/>
      <c r="AR5288"/>
      <c r="AS5288" s="911"/>
    </row>
    <row r="5289" spans="1:45" s="886" customFormat="1" ht="11.4">
      <c r="A5289" s="919">
        <v>17</v>
      </c>
      <c r="B5289" s="920">
        <v>1</v>
      </c>
      <c r="C5289" s="920">
        <f>$A5289*$B5289</f>
        <v>17</v>
      </c>
      <c r="D5289" s="921" t="str">
        <f>Elec_Rates!$D$568</f>
        <v>053# Install only Light fitting Type B2</v>
      </c>
      <c r="E5289" s="921"/>
      <c r="F5289" s="921" t="s">
        <v>2599</v>
      </c>
      <c r="G5289" s="922" t="s">
        <v>2600</v>
      </c>
      <c r="H5289" s="922"/>
      <c r="I5289" s="922"/>
      <c r="J5289" s="922"/>
      <c r="K5289" s="923"/>
      <c r="L5289" s="918"/>
      <c r="M5289" s="918"/>
      <c r="N5289" s="918"/>
      <c r="O5289" s="924"/>
      <c r="P5289" s="921"/>
      <c r="Q5289" s="925">
        <f ca="1">$B5289*Elec_Rates!$R$568</f>
        <v>1.58</v>
      </c>
      <c r="R5289" s="916">
        <f ca="1">$A5289*Q5289</f>
        <v>26.86</v>
      </c>
      <c r="S5289" s="925">
        <f ca="1">$B5289*Elec_Rates!$T$568</f>
        <v>0.47</v>
      </c>
      <c r="T5289" s="917">
        <f ca="1">$A5289*S5289</f>
        <v>7.9899999999999993</v>
      </c>
      <c r="U5289" s="926"/>
      <c r="AR5289" s="919">
        <v>17</v>
      </c>
      <c r="AS5289" s="921" t="s">
        <v>2599</v>
      </c>
    </row>
    <row r="5290" spans="1:45" s="520" customFormat="1" ht="12">
      <c r="A5290" s="758"/>
      <c r="B5290" s="758"/>
      <c r="C5290" s="758"/>
      <c r="D5290" s="758"/>
      <c r="E5290" s="758"/>
      <c r="F5290" s="753"/>
      <c r="G5290" s="758"/>
      <c r="H5290" s="758"/>
      <c r="I5290" s="519"/>
      <c r="J5290" s="758"/>
      <c r="K5290" s="758"/>
      <c r="L5290" s="758"/>
      <c r="M5290" s="758"/>
      <c r="N5290" s="758"/>
      <c r="O5290" s="758"/>
      <c r="P5290" s="758"/>
      <c r="Q5290" s="519"/>
      <c r="R5290" s="759">
        <f t="shared" ref="R5290" si="224">$A5290*Q5290</f>
        <v>0</v>
      </c>
      <c r="S5290" s="519"/>
      <c r="T5290" s="760">
        <f t="shared" ref="T5290" si="225">$A5290*S5290*$T$1</f>
        <v>0</v>
      </c>
      <c r="AR5290" s="758"/>
      <c r="AS5290" s="753"/>
    </row>
    <row r="5291" spans="1:45" s="520" customFormat="1" ht="12.6" thickBot="1">
      <c r="A5291" s="761" t="s">
        <v>145</v>
      </c>
      <c r="B5291" s="762">
        <f>(R5290+T5290)</f>
        <v>0</v>
      </c>
      <c r="C5291" s="763"/>
      <c r="D5291" s="763"/>
      <c r="E5291" s="763"/>
      <c r="F5291" s="764"/>
      <c r="G5291" s="763" t="s">
        <v>146</v>
      </c>
      <c r="H5291" s="763"/>
      <c r="I5291" s="765"/>
      <c r="J5291" s="763"/>
      <c r="K5291" s="763" t="s">
        <v>3</v>
      </c>
      <c r="L5291" s="766" t="s">
        <v>143</v>
      </c>
      <c r="M5291" s="766"/>
      <c r="N5291" s="766"/>
      <c r="O5291" s="766"/>
      <c r="P5291" s="766"/>
      <c r="Q5291" s="767"/>
      <c r="R5291" s="768">
        <f ca="1">SUM(R5287:R5290)</f>
        <v>26.86</v>
      </c>
      <c r="S5291" s="763"/>
      <c r="T5291" s="768">
        <f ca="1">SUM(T5287:T5290)</f>
        <v>7.9899999999999993</v>
      </c>
      <c r="U5291" s="531"/>
      <c r="V5291" s="531"/>
      <c r="W5291" s="531"/>
      <c r="X5291" s="531"/>
      <c r="Y5291" s="531"/>
      <c r="Z5291" s="531"/>
      <c r="AA5291" s="531"/>
      <c r="AB5291" s="531"/>
      <c r="AC5291" s="531"/>
      <c r="AD5291" s="531"/>
      <c r="AE5291" s="531"/>
      <c r="AF5291" s="531"/>
      <c r="AG5291" s="531"/>
      <c r="AH5291" s="531"/>
      <c r="AI5291" s="531"/>
      <c r="AJ5291" s="531"/>
      <c r="AK5291" s="531"/>
      <c r="AL5291" s="531"/>
      <c r="AM5291" s="531"/>
      <c r="AN5291" s="531"/>
      <c r="AO5291" s="531"/>
      <c r="AR5291" s="761" t="s">
        <v>145</v>
      </c>
      <c r="AS5291" s="764"/>
    </row>
    <row r="5292" spans="1:45" s="520" customFormat="1" ht="12" thickTop="1">
      <c r="A5292" s="51"/>
      <c r="B5292" s="41"/>
      <c r="C5292" s="51"/>
      <c r="E5292" s="42" t="s">
        <v>138</v>
      </c>
      <c r="F5292" s="42" t="s">
        <v>139</v>
      </c>
      <c r="G5292" s="51"/>
      <c r="H5292" s="51"/>
      <c r="I5292" s="51"/>
      <c r="J5292" s="51"/>
      <c r="K5292" s="51" t="s">
        <v>140</v>
      </c>
      <c r="L5292" s="51"/>
      <c r="M5292" s="51"/>
      <c r="N5292" s="51"/>
      <c r="O5292" s="52"/>
      <c r="P5292" s="51"/>
      <c r="Q5292" s="51"/>
      <c r="R5292" s="51"/>
      <c r="S5292" s="51"/>
      <c r="T5292" s="41"/>
      <c r="AG5292" s="521" t="s">
        <v>268</v>
      </c>
      <c r="AH5292" s="521" t="s">
        <v>269</v>
      </c>
      <c r="AI5292" s="521" t="s">
        <v>270</v>
      </c>
      <c r="AJ5292" s="521" t="s">
        <v>271</v>
      </c>
      <c r="AK5292" s="521" t="s">
        <v>272</v>
      </c>
      <c r="AM5292" s="745" t="s">
        <v>281</v>
      </c>
      <c r="AN5292" s="746" t="s">
        <v>282</v>
      </c>
      <c r="AO5292" s="522" t="s">
        <v>278</v>
      </c>
      <c r="AR5292" s="51"/>
      <c r="AS5292" s="42" t="s">
        <v>139</v>
      </c>
    </row>
    <row r="5293" spans="1:45" s="520" customFormat="1" ht="12" customHeight="1">
      <c r="A5293" s="747">
        <v>1</v>
      </c>
      <c r="B5293" s="523" t="s">
        <v>329</v>
      </c>
      <c r="C5293" s="748"/>
      <c r="D5293" s="749" t="s">
        <v>1877</v>
      </c>
      <c r="E5293" s="750">
        <f ca="1">IF(AND($A5293=0,$A$1="DIF"),0, ROUND(ROUND(($R5298*$S$2+($T5298*$T$2))/A5293,2)*$C$2,2))</f>
        <v>17.84</v>
      </c>
      <c r="F5293" s="751">
        <f ca="1">ROUND($A5293*$E5293,2)</f>
        <v>17.84</v>
      </c>
      <c r="G5293" s="752" t="s">
        <v>142</v>
      </c>
      <c r="H5293" s="753"/>
      <c r="I5293" s="754"/>
      <c r="J5293" s="753"/>
      <c r="K5293" s="753" t="s">
        <v>3</v>
      </c>
      <c r="L5293" s="755" t="s">
        <v>143</v>
      </c>
      <c r="M5293" s="755"/>
      <c r="N5293" s="755"/>
      <c r="O5293" s="755"/>
      <c r="P5293" s="755"/>
      <c r="Q5293" s="51"/>
      <c r="T5293" s="756" t="str">
        <f ca="1">IF(AND($R5298=0,$T5298=0),"0.00","mu :" &amp; ROUND($F5293/$C$2/($R5298+$T5298*$D$9),2))</f>
        <v>mu :1.23</v>
      </c>
      <c r="W5293" s="524"/>
      <c r="AG5293" s="481">
        <f ca="1">IF($E5293=0,0,ROUND($R5298*$S$2*$C$2/$A5293,2))</f>
        <v>1.95</v>
      </c>
      <c r="AH5293" s="481">
        <f ca="1">$AG5293*$A5293</f>
        <v>1.95</v>
      </c>
      <c r="AI5293" s="525">
        <f ca="1">$E5293-$AG5293</f>
        <v>15.89</v>
      </c>
      <c r="AJ5293" s="525">
        <f ca="1">$A5293*$AI5293</f>
        <v>15.89</v>
      </c>
      <c r="AK5293" s="526">
        <f ca="1">ROUND(($AG5293+$AI5293)*$A5293,2)</f>
        <v>17.84</v>
      </c>
      <c r="AM5293" s="527">
        <f ca="1">ROUND(R5298,2)</f>
        <v>1.58</v>
      </c>
      <c r="AN5293" s="528">
        <f ca="1">ROUND(T5298,2)</f>
        <v>0.47</v>
      </c>
      <c r="AO5293" s="529">
        <f ca="1">ROUND(AM5293+AN5293,2)*A5293</f>
        <v>2.0499999999999998</v>
      </c>
      <c r="AR5293" s="747">
        <v>1</v>
      </c>
      <c r="AS5293" s="751">
        <v>19.87</v>
      </c>
    </row>
    <row r="5294" spans="1:45" s="520" customFormat="1" ht="13.2">
      <c r="A5294" s="748"/>
      <c r="B5294"/>
      <c r="C5294" s="748"/>
      <c r="D5294" s="749" t="s">
        <v>887</v>
      </c>
      <c r="F5294" s="753"/>
      <c r="G5294" s="3"/>
      <c r="H5294" s="753"/>
      <c r="I5294" s="754"/>
      <c r="J5294" s="753"/>
      <c r="K5294" s="753" t="s">
        <v>144</v>
      </c>
      <c r="L5294" s="753"/>
      <c r="M5294" s="753"/>
      <c r="N5294" s="753"/>
      <c r="O5294" s="753"/>
      <c r="P5294" s="753"/>
      <c r="Q5294" s="51"/>
      <c r="R5294" s="530"/>
      <c r="S5294" s="757"/>
      <c r="T5294" s="753"/>
      <c r="AR5294" s="748"/>
      <c r="AS5294" s="753"/>
    </row>
    <row r="5295" spans="1:45" s="886" customFormat="1" ht="13.2">
      <c r="A5295"/>
      <c r="B5295" s="910"/>
      <c r="C5295" s="910" t="s">
        <v>2597</v>
      </c>
      <c r="D5295" s="910" t="str">
        <f ca="1">CELL("Address",Elec_Rates!D$577)</f>
        <v>[E25_0062_Quintano_Foods_Elec_ELV_As_Awarded.xlsx]Elec_Rates!$D$577</v>
      </c>
      <c r="E5295" s="911"/>
      <c r="F5295" s="911"/>
      <c r="G5295" s="912" t="s">
        <v>2598</v>
      </c>
      <c r="H5295" s="912"/>
      <c r="I5295" s="912"/>
      <c r="J5295" s="912"/>
      <c r="K5295" s="913"/>
      <c r="L5295" s="911"/>
      <c r="M5295" s="911"/>
      <c r="N5295" s="911"/>
      <c r="O5295" s="914"/>
      <c r="P5295" s="911"/>
      <c r="Q5295" s="915"/>
      <c r="R5295" s="916"/>
      <c r="S5295" s="915"/>
      <c r="T5295" s="917"/>
      <c r="U5295" s="918"/>
      <c r="AR5295"/>
      <c r="AS5295" s="911"/>
    </row>
    <row r="5296" spans="1:45" s="886" customFormat="1" ht="11.4">
      <c r="A5296" s="919">
        <v>1</v>
      </c>
      <c r="B5296" s="920">
        <v>1</v>
      </c>
      <c r="C5296" s="920">
        <f>$A5296*$B5296</f>
        <v>1</v>
      </c>
      <c r="D5296" s="921" t="str">
        <f>Elec_Rates!$D$577</f>
        <v>054# Install only Light fitting Type C2</v>
      </c>
      <c r="E5296" s="921"/>
      <c r="F5296" s="921" t="s">
        <v>2599</v>
      </c>
      <c r="G5296" s="922" t="s">
        <v>2600</v>
      </c>
      <c r="H5296" s="922"/>
      <c r="I5296" s="922"/>
      <c r="J5296" s="922"/>
      <c r="K5296" s="923"/>
      <c r="L5296" s="918"/>
      <c r="M5296" s="918"/>
      <c r="N5296" s="918"/>
      <c r="O5296" s="924"/>
      <c r="P5296" s="921"/>
      <c r="Q5296" s="925">
        <f ca="1">$B5296*Elec_Rates!$R$577</f>
        <v>1.58</v>
      </c>
      <c r="R5296" s="916">
        <f ca="1">$A5296*Q5296</f>
        <v>1.58</v>
      </c>
      <c r="S5296" s="925">
        <f ca="1">$B5296*Elec_Rates!$T$577</f>
        <v>0.47</v>
      </c>
      <c r="T5296" s="917">
        <f ca="1">$A5296*S5296</f>
        <v>0.47</v>
      </c>
      <c r="U5296" s="926"/>
      <c r="AR5296" s="919">
        <v>1</v>
      </c>
      <c r="AS5296" s="921" t="s">
        <v>2599</v>
      </c>
    </row>
    <row r="5297" spans="1:45" s="520" customFormat="1" ht="12">
      <c r="A5297" s="758"/>
      <c r="B5297" s="758"/>
      <c r="C5297" s="758"/>
      <c r="D5297" s="758"/>
      <c r="E5297" s="758"/>
      <c r="F5297" s="753"/>
      <c r="G5297" s="758"/>
      <c r="H5297" s="758"/>
      <c r="I5297" s="519"/>
      <c r="J5297" s="758"/>
      <c r="K5297" s="758"/>
      <c r="L5297" s="758"/>
      <c r="M5297" s="758"/>
      <c r="N5297" s="758"/>
      <c r="O5297" s="758"/>
      <c r="P5297" s="758"/>
      <c r="Q5297" s="519"/>
      <c r="R5297" s="759">
        <f t="shared" ref="R5297" si="226">$A5297*Q5297</f>
        <v>0</v>
      </c>
      <c r="S5297" s="519"/>
      <c r="T5297" s="760">
        <f t="shared" ref="T5297" si="227">$A5297*S5297*$T$1</f>
        <v>0</v>
      </c>
      <c r="AR5297" s="758"/>
      <c r="AS5297" s="753"/>
    </row>
    <row r="5298" spans="1:45" s="520" customFormat="1" ht="12.6" thickBot="1">
      <c r="A5298" s="761" t="s">
        <v>145</v>
      </c>
      <c r="B5298" s="762">
        <f>(R5297+T5297)</f>
        <v>0</v>
      </c>
      <c r="C5298" s="763"/>
      <c r="D5298" s="763"/>
      <c r="E5298" s="763"/>
      <c r="F5298" s="764"/>
      <c r="G5298" s="763" t="s">
        <v>146</v>
      </c>
      <c r="H5298" s="763"/>
      <c r="I5298" s="765"/>
      <c r="J5298" s="763"/>
      <c r="K5298" s="763" t="s">
        <v>3</v>
      </c>
      <c r="L5298" s="766" t="s">
        <v>143</v>
      </c>
      <c r="M5298" s="766"/>
      <c r="N5298" s="766"/>
      <c r="O5298" s="766"/>
      <c r="P5298" s="766"/>
      <c r="Q5298" s="767"/>
      <c r="R5298" s="768">
        <f ca="1">SUM(R5294:R5297)</f>
        <v>1.58</v>
      </c>
      <c r="S5298" s="763"/>
      <c r="T5298" s="768">
        <f ca="1">SUM(T5294:T5297)</f>
        <v>0.47</v>
      </c>
      <c r="U5298" s="531"/>
      <c r="V5298" s="531"/>
      <c r="W5298" s="531"/>
      <c r="X5298" s="531"/>
      <c r="Y5298" s="531"/>
      <c r="Z5298" s="531"/>
      <c r="AA5298" s="531"/>
      <c r="AB5298" s="531"/>
      <c r="AC5298" s="531"/>
      <c r="AD5298" s="531"/>
      <c r="AE5298" s="531"/>
      <c r="AF5298" s="531"/>
      <c r="AG5298" s="531"/>
      <c r="AH5298" s="531"/>
      <c r="AI5298" s="531"/>
      <c r="AJ5298" s="531"/>
      <c r="AK5298" s="531"/>
      <c r="AL5298" s="531"/>
      <c r="AM5298" s="531"/>
      <c r="AN5298" s="531"/>
      <c r="AO5298" s="531"/>
      <c r="AR5298" s="761" t="s">
        <v>145</v>
      </c>
      <c r="AS5298" s="764"/>
    </row>
    <row r="5299" spans="1:45" s="520" customFormat="1" ht="12" thickTop="1">
      <c r="A5299" s="51"/>
      <c r="B5299" s="41"/>
      <c r="C5299" s="51"/>
      <c r="E5299" s="42" t="s">
        <v>138</v>
      </c>
      <c r="F5299" s="42" t="s">
        <v>139</v>
      </c>
      <c r="G5299" s="51"/>
      <c r="H5299" s="51"/>
      <c r="I5299" s="51"/>
      <c r="J5299" s="51"/>
      <c r="K5299" s="51" t="s">
        <v>140</v>
      </c>
      <c r="L5299" s="51"/>
      <c r="M5299" s="51"/>
      <c r="N5299" s="51"/>
      <c r="O5299" s="52"/>
      <c r="P5299" s="51"/>
      <c r="Q5299" s="51"/>
      <c r="R5299" s="51"/>
      <c r="S5299" s="51"/>
      <c r="T5299" s="41"/>
      <c r="AG5299" s="521" t="s">
        <v>268</v>
      </c>
      <c r="AH5299" s="521" t="s">
        <v>269</v>
      </c>
      <c r="AI5299" s="521" t="s">
        <v>270</v>
      </c>
      <c r="AJ5299" s="521" t="s">
        <v>271</v>
      </c>
      <c r="AK5299" s="521" t="s">
        <v>272</v>
      </c>
      <c r="AM5299" s="745" t="s">
        <v>281</v>
      </c>
      <c r="AN5299" s="746" t="s">
        <v>282</v>
      </c>
      <c r="AO5299" s="522" t="s">
        <v>278</v>
      </c>
      <c r="AR5299" s="51"/>
      <c r="AS5299" s="42" t="s">
        <v>139</v>
      </c>
    </row>
    <row r="5300" spans="1:45" s="520" customFormat="1" ht="12" customHeight="1">
      <c r="A5300" s="747">
        <v>18</v>
      </c>
      <c r="B5300" s="523" t="s">
        <v>329</v>
      </c>
      <c r="C5300" s="748"/>
      <c r="D5300" s="749" t="s">
        <v>1878</v>
      </c>
      <c r="E5300" s="750">
        <f ca="1">IF(AND($A5300=0,$A$1="DIF"),0, ROUND(ROUND(($R5305*$S$2+($T5305*$T$2))/A5300,2)*$C$2,2))</f>
        <v>17.34</v>
      </c>
      <c r="F5300" s="751">
        <f ca="1">ROUND($A5300*$E5300,2)</f>
        <v>312.12</v>
      </c>
      <c r="G5300" s="752" t="s">
        <v>142</v>
      </c>
      <c r="H5300" s="753"/>
      <c r="I5300" s="754"/>
      <c r="J5300" s="753"/>
      <c r="K5300" s="753" t="s">
        <v>3</v>
      </c>
      <c r="L5300" s="755" t="s">
        <v>143</v>
      </c>
      <c r="M5300" s="755"/>
      <c r="N5300" s="755"/>
      <c r="O5300" s="755"/>
      <c r="P5300" s="755"/>
      <c r="Q5300" s="51"/>
      <c r="T5300" s="756" t="str">
        <f ca="1">IF(AND($R5305=0,$T5305=0),"0.00","mu :" &amp; ROUND($F5300/$C$2/($R5305+$T5305*$D$9),2))</f>
        <v>mu :1.23</v>
      </c>
      <c r="W5300" s="524"/>
      <c r="AG5300" s="481">
        <f ca="1">IF($E5300=0,0,ROUND($R5305*$S$2*$C$2/$A5300,2))</f>
        <v>1.45</v>
      </c>
      <c r="AH5300" s="481">
        <f ca="1">$AG5300*$A5300</f>
        <v>26.099999999999998</v>
      </c>
      <c r="AI5300" s="525">
        <f ca="1">$E5300-$AG5300</f>
        <v>15.89</v>
      </c>
      <c r="AJ5300" s="525">
        <f ca="1">$A5300*$AI5300</f>
        <v>286.02</v>
      </c>
      <c r="AK5300" s="526">
        <f ca="1">ROUND(($AG5300+$AI5300)*$A5300,2)</f>
        <v>312.12</v>
      </c>
      <c r="AM5300" s="527">
        <f ca="1">ROUND(R5305,2)</f>
        <v>21.24</v>
      </c>
      <c r="AN5300" s="528">
        <f ca="1">ROUND(T5305,2)</f>
        <v>8.4600000000000009</v>
      </c>
      <c r="AO5300" s="529">
        <f ca="1">ROUND(AM5300+AN5300,2)*A5300</f>
        <v>534.6</v>
      </c>
      <c r="AR5300" s="747">
        <v>18</v>
      </c>
      <c r="AS5300" s="751">
        <v>348.66</v>
      </c>
    </row>
    <row r="5301" spans="1:45" s="520" customFormat="1" ht="13.2">
      <c r="A5301" s="748"/>
      <c r="B5301"/>
      <c r="C5301" s="748"/>
      <c r="D5301" s="749" t="s">
        <v>899</v>
      </c>
      <c r="F5301" s="753"/>
      <c r="G5301" s="3"/>
      <c r="H5301" s="753"/>
      <c r="I5301" s="754"/>
      <c r="J5301" s="753"/>
      <c r="K5301" s="753" t="s">
        <v>144</v>
      </c>
      <c r="L5301" s="753"/>
      <c r="M5301" s="753"/>
      <c r="N5301" s="753"/>
      <c r="O5301" s="753"/>
      <c r="P5301" s="753"/>
      <c r="Q5301" s="51"/>
      <c r="R5301" s="530"/>
      <c r="S5301" s="757"/>
      <c r="T5301" s="753"/>
      <c r="AR5301" s="748"/>
      <c r="AS5301" s="753"/>
    </row>
    <row r="5302" spans="1:45" s="886" customFormat="1" ht="13.2">
      <c r="A5302"/>
      <c r="B5302" s="910"/>
      <c r="C5302" s="910" t="s">
        <v>2597</v>
      </c>
      <c r="D5302" s="910" t="str">
        <f ca="1">CELL("Address",Elec_Rates!D$586)</f>
        <v>[E25_0062_Quintano_Foods_Elec_ELV_As_Awarded.xlsx]Elec_Rates!$D$586</v>
      </c>
      <c r="E5302" s="911"/>
      <c r="F5302" s="911"/>
      <c r="G5302" s="912" t="s">
        <v>2598</v>
      </c>
      <c r="H5302" s="912"/>
      <c r="I5302" s="912"/>
      <c r="J5302" s="912"/>
      <c r="K5302" s="913"/>
      <c r="L5302" s="911"/>
      <c r="M5302" s="911"/>
      <c r="N5302" s="911"/>
      <c r="O5302" s="914"/>
      <c r="P5302" s="911"/>
      <c r="Q5302" s="915"/>
      <c r="R5302" s="916"/>
      <c r="S5302" s="915"/>
      <c r="T5302" s="917"/>
      <c r="U5302" s="918"/>
      <c r="AR5302"/>
      <c r="AS5302" s="911"/>
    </row>
    <row r="5303" spans="1:45" s="886" customFormat="1" ht="11.4">
      <c r="A5303" s="919">
        <v>18</v>
      </c>
      <c r="B5303" s="920">
        <v>1</v>
      </c>
      <c r="C5303" s="920">
        <f>$A5303*$B5303</f>
        <v>18</v>
      </c>
      <c r="D5303" s="921" t="str">
        <f>Elec_Rates!$D$586</f>
        <v>055# Install only Light fitting Type D1</v>
      </c>
      <c r="E5303" s="921"/>
      <c r="F5303" s="921" t="s">
        <v>2599</v>
      </c>
      <c r="G5303" s="922" t="s">
        <v>2600</v>
      </c>
      <c r="H5303" s="922"/>
      <c r="I5303" s="922"/>
      <c r="J5303" s="922"/>
      <c r="K5303" s="923"/>
      <c r="L5303" s="918"/>
      <c r="M5303" s="918"/>
      <c r="N5303" s="918"/>
      <c r="O5303" s="924"/>
      <c r="P5303" s="921"/>
      <c r="Q5303" s="925">
        <f ca="1">$B5303*Elec_Rates!$R$586</f>
        <v>1.18</v>
      </c>
      <c r="R5303" s="916">
        <f ca="1">$A5303*Q5303</f>
        <v>21.24</v>
      </c>
      <c r="S5303" s="925">
        <f ca="1">$B5303*Elec_Rates!$T$586</f>
        <v>0.47</v>
      </c>
      <c r="T5303" s="917">
        <f ca="1">$A5303*S5303</f>
        <v>8.4599999999999991</v>
      </c>
      <c r="U5303" s="926"/>
      <c r="AR5303" s="919">
        <v>18</v>
      </c>
      <c r="AS5303" s="921" t="s">
        <v>2599</v>
      </c>
    </row>
    <row r="5304" spans="1:45" s="520" customFormat="1" ht="12">
      <c r="A5304" s="758"/>
      <c r="B5304" s="758"/>
      <c r="C5304" s="758"/>
      <c r="D5304" s="758"/>
      <c r="E5304" s="758"/>
      <c r="F5304" s="753"/>
      <c r="G5304" s="758"/>
      <c r="H5304" s="758"/>
      <c r="I5304" s="519"/>
      <c r="J5304" s="758"/>
      <c r="K5304" s="758"/>
      <c r="L5304" s="758"/>
      <c r="M5304" s="758"/>
      <c r="N5304" s="758"/>
      <c r="O5304" s="758"/>
      <c r="P5304" s="758"/>
      <c r="Q5304" s="519"/>
      <c r="R5304" s="759">
        <f t="shared" ref="R5304" si="228">$A5304*Q5304</f>
        <v>0</v>
      </c>
      <c r="S5304" s="519"/>
      <c r="T5304" s="760">
        <f t="shared" ref="T5304" si="229">$A5304*S5304*$T$1</f>
        <v>0</v>
      </c>
      <c r="AR5304" s="758"/>
      <c r="AS5304" s="753"/>
    </row>
    <row r="5305" spans="1:45" s="520" customFormat="1" ht="12.6" thickBot="1">
      <c r="A5305" s="761" t="s">
        <v>145</v>
      </c>
      <c r="B5305" s="762">
        <f>(R5304+T5304)</f>
        <v>0</v>
      </c>
      <c r="C5305" s="763"/>
      <c r="D5305" s="763"/>
      <c r="E5305" s="763"/>
      <c r="F5305" s="764"/>
      <c r="G5305" s="763" t="s">
        <v>146</v>
      </c>
      <c r="H5305" s="763"/>
      <c r="I5305" s="765"/>
      <c r="J5305" s="763"/>
      <c r="K5305" s="763" t="s">
        <v>3</v>
      </c>
      <c r="L5305" s="766" t="s">
        <v>143</v>
      </c>
      <c r="M5305" s="766"/>
      <c r="N5305" s="766"/>
      <c r="O5305" s="766"/>
      <c r="P5305" s="766"/>
      <c r="Q5305" s="767"/>
      <c r="R5305" s="768">
        <f ca="1">SUM(R5301:R5304)</f>
        <v>21.24</v>
      </c>
      <c r="S5305" s="763"/>
      <c r="T5305" s="768">
        <f ca="1">SUM(T5301:T5304)</f>
        <v>8.4599999999999991</v>
      </c>
      <c r="U5305" s="531"/>
      <c r="V5305" s="531"/>
      <c r="W5305" s="531"/>
      <c r="X5305" s="531"/>
      <c r="Y5305" s="531"/>
      <c r="Z5305" s="531"/>
      <c r="AA5305" s="531"/>
      <c r="AB5305" s="531"/>
      <c r="AC5305" s="531"/>
      <c r="AD5305" s="531"/>
      <c r="AE5305" s="531"/>
      <c r="AF5305" s="531"/>
      <c r="AG5305" s="531"/>
      <c r="AH5305" s="531"/>
      <c r="AI5305" s="531"/>
      <c r="AJ5305" s="531"/>
      <c r="AK5305" s="531"/>
      <c r="AL5305" s="531"/>
      <c r="AM5305" s="531"/>
      <c r="AN5305" s="531"/>
      <c r="AO5305" s="531"/>
      <c r="AR5305" s="761" t="s">
        <v>145</v>
      </c>
      <c r="AS5305" s="764"/>
    </row>
    <row r="5306" spans="1:45" s="520" customFormat="1" ht="12" thickTop="1">
      <c r="A5306" s="51"/>
      <c r="B5306" s="41"/>
      <c r="C5306" s="51"/>
      <c r="E5306" s="42" t="s">
        <v>138</v>
      </c>
      <c r="F5306" s="42" t="s">
        <v>139</v>
      </c>
      <c r="G5306" s="51"/>
      <c r="H5306" s="51"/>
      <c r="I5306" s="51"/>
      <c r="J5306" s="51"/>
      <c r="K5306" s="51" t="s">
        <v>140</v>
      </c>
      <c r="L5306" s="51"/>
      <c r="M5306" s="51"/>
      <c r="N5306" s="51"/>
      <c r="O5306" s="52"/>
      <c r="P5306" s="51"/>
      <c r="Q5306" s="51"/>
      <c r="R5306" s="51"/>
      <c r="S5306" s="51"/>
      <c r="T5306" s="41"/>
      <c r="AG5306" s="521" t="s">
        <v>268</v>
      </c>
      <c r="AH5306" s="521" t="s">
        <v>269</v>
      </c>
      <c r="AI5306" s="521" t="s">
        <v>270</v>
      </c>
      <c r="AJ5306" s="521" t="s">
        <v>271</v>
      </c>
      <c r="AK5306" s="521" t="s">
        <v>272</v>
      </c>
      <c r="AM5306" s="745" t="s">
        <v>281</v>
      </c>
      <c r="AN5306" s="746" t="s">
        <v>282</v>
      </c>
      <c r="AO5306" s="522" t="s">
        <v>278</v>
      </c>
      <c r="AR5306" s="51"/>
      <c r="AS5306" s="42" t="s">
        <v>139</v>
      </c>
    </row>
    <row r="5307" spans="1:45" s="520" customFormat="1" ht="12" customHeight="1">
      <c r="A5307" s="747">
        <v>21</v>
      </c>
      <c r="B5307" s="523" t="s">
        <v>329</v>
      </c>
      <c r="C5307" s="748"/>
      <c r="D5307" s="749" t="s">
        <v>1879</v>
      </c>
      <c r="E5307" s="750">
        <f ca="1">IF(AND($A5307=0,$A$1="DIF"),0, ROUND(ROUND(($R5312*$S$2+($T5312*$T$2))/A5307,2)*$C$2,2))</f>
        <v>17.34</v>
      </c>
      <c r="F5307" s="751">
        <f ca="1">ROUND($A5307*$E5307,2)</f>
        <v>364.14</v>
      </c>
      <c r="G5307" s="752" t="s">
        <v>142</v>
      </c>
      <c r="H5307" s="753"/>
      <c r="I5307" s="754"/>
      <c r="J5307" s="753"/>
      <c r="K5307" s="753" t="s">
        <v>3</v>
      </c>
      <c r="L5307" s="755" t="s">
        <v>143</v>
      </c>
      <c r="M5307" s="755"/>
      <c r="N5307" s="755"/>
      <c r="O5307" s="755"/>
      <c r="P5307" s="755"/>
      <c r="Q5307" s="51"/>
      <c r="T5307" s="756" t="str">
        <f ca="1">IF(AND($R5312=0,$T5312=0),"0.00","mu :" &amp; ROUND($F5307/$C$2/($R5312+$T5312*$D$9),2))</f>
        <v>mu :1.23</v>
      </c>
      <c r="W5307" s="524"/>
      <c r="AG5307" s="481">
        <f ca="1">IF($E5307=0,0,ROUND($R5312*$S$2*$C$2/$A5307,2))</f>
        <v>1.45</v>
      </c>
      <c r="AH5307" s="481">
        <f ca="1">$AG5307*$A5307</f>
        <v>30.45</v>
      </c>
      <c r="AI5307" s="525">
        <f ca="1">$E5307-$AG5307</f>
        <v>15.89</v>
      </c>
      <c r="AJ5307" s="525">
        <f ca="1">$A5307*$AI5307</f>
        <v>333.69</v>
      </c>
      <c r="AK5307" s="526">
        <f ca="1">ROUND(($AG5307+$AI5307)*$A5307,2)</f>
        <v>364.14</v>
      </c>
      <c r="AM5307" s="527">
        <f ca="1">ROUND(R5312,2)</f>
        <v>24.78</v>
      </c>
      <c r="AN5307" s="528">
        <f ca="1">ROUND(T5312,2)</f>
        <v>9.8699999999999992</v>
      </c>
      <c r="AO5307" s="529">
        <f ca="1">ROUND(AM5307+AN5307,2)*A5307</f>
        <v>727.65</v>
      </c>
      <c r="AR5307" s="747">
        <v>21</v>
      </c>
      <c r="AS5307" s="751">
        <v>406.77</v>
      </c>
    </row>
    <row r="5308" spans="1:45" s="520" customFormat="1" ht="13.2">
      <c r="A5308" s="748"/>
      <c r="B5308"/>
      <c r="C5308" s="748"/>
      <c r="D5308" s="749" t="s">
        <v>888</v>
      </c>
      <c r="F5308" s="753"/>
      <c r="G5308" s="3"/>
      <c r="H5308" s="753"/>
      <c r="I5308" s="754"/>
      <c r="J5308" s="753"/>
      <c r="K5308" s="753" t="s">
        <v>144</v>
      </c>
      <c r="L5308" s="753"/>
      <c r="M5308" s="753"/>
      <c r="N5308" s="753"/>
      <c r="O5308" s="753"/>
      <c r="P5308" s="753"/>
      <c r="Q5308" s="51"/>
      <c r="R5308" s="530"/>
      <c r="S5308" s="757"/>
      <c r="T5308" s="753"/>
      <c r="AR5308" s="748"/>
      <c r="AS5308" s="753"/>
    </row>
    <row r="5309" spans="1:45" s="886" customFormat="1" ht="13.2">
      <c r="A5309"/>
      <c r="B5309" s="910"/>
      <c r="C5309" s="910" t="s">
        <v>2597</v>
      </c>
      <c r="D5309" s="910" t="str">
        <f ca="1">CELL("Address",Elec_Rates!D$595)</f>
        <v>[E25_0062_Quintano_Foods_Elec_ELV_As_Awarded.xlsx]Elec_Rates!$D$595</v>
      </c>
      <c r="E5309" s="911"/>
      <c r="F5309" s="911"/>
      <c r="G5309" s="912" t="s">
        <v>2598</v>
      </c>
      <c r="H5309" s="912"/>
      <c r="I5309" s="912"/>
      <c r="J5309" s="912"/>
      <c r="K5309" s="913"/>
      <c r="L5309" s="911"/>
      <c r="M5309" s="911"/>
      <c r="N5309" s="911"/>
      <c r="O5309" s="914"/>
      <c r="P5309" s="911"/>
      <c r="Q5309" s="915"/>
      <c r="R5309" s="916"/>
      <c r="S5309" s="915"/>
      <c r="T5309" s="917"/>
      <c r="U5309" s="918"/>
      <c r="AR5309"/>
      <c r="AS5309" s="911"/>
    </row>
    <row r="5310" spans="1:45" s="886" customFormat="1" ht="11.4">
      <c r="A5310" s="919">
        <v>21</v>
      </c>
      <c r="B5310" s="920">
        <v>1</v>
      </c>
      <c r="C5310" s="920">
        <f>$A5310*$B5310</f>
        <v>21</v>
      </c>
      <c r="D5310" s="921" t="str">
        <f>Elec_Rates!$D$595</f>
        <v>056# Install only Light fitting Type E1</v>
      </c>
      <c r="E5310" s="921"/>
      <c r="F5310" s="921" t="s">
        <v>2599</v>
      </c>
      <c r="G5310" s="922" t="s">
        <v>2601</v>
      </c>
      <c r="H5310" s="922"/>
      <c r="I5310" s="922"/>
      <c r="J5310" s="922"/>
      <c r="K5310" s="923"/>
      <c r="L5310" s="918"/>
      <c r="M5310" s="918"/>
      <c r="N5310" s="918"/>
      <c r="O5310" s="924"/>
      <c r="P5310" s="921"/>
      <c r="Q5310" s="925">
        <f ca="1">$B5310*Elec_Rates!$R$595</f>
        <v>1.18</v>
      </c>
      <c r="R5310" s="916">
        <f ca="1">$A5310*Q5310</f>
        <v>24.779999999999998</v>
      </c>
      <c r="S5310" s="925">
        <f ca="1">$B5310*Elec_Rates!$T$595</f>
        <v>0.47</v>
      </c>
      <c r="T5310" s="917">
        <f ca="1">$A5310*S5310</f>
        <v>9.8699999999999992</v>
      </c>
      <c r="U5310" s="926"/>
      <c r="AR5310" s="919">
        <v>21</v>
      </c>
      <c r="AS5310" s="921" t="s">
        <v>2599</v>
      </c>
    </row>
    <row r="5311" spans="1:45" s="520" customFormat="1" ht="12">
      <c r="A5311" s="758"/>
      <c r="B5311" s="758"/>
      <c r="C5311" s="758"/>
      <c r="D5311" s="758"/>
      <c r="E5311" s="758"/>
      <c r="F5311" s="753"/>
      <c r="G5311" s="758"/>
      <c r="H5311" s="758"/>
      <c r="I5311" s="519"/>
      <c r="J5311" s="758"/>
      <c r="K5311" s="758"/>
      <c r="L5311" s="758"/>
      <c r="M5311" s="758"/>
      <c r="N5311" s="758"/>
      <c r="O5311" s="758"/>
      <c r="P5311" s="758"/>
      <c r="Q5311" s="519"/>
      <c r="R5311" s="759">
        <f t="shared" ref="R5311" si="230">$A5311*Q5311</f>
        <v>0</v>
      </c>
      <c r="S5311" s="519"/>
      <c r="T5311" s="760">
        <f t="shared" ref="T5311" si="231">$A5311*S5311*$T$1</f>
        <v>0</v>
      </c>
      <c r="AR5311" s="758"/>
      <c r="AS5311" s="753"/>
    </row>
    <row r="5312" spans="1:45" s="520" customFormat="1" ht="12.6" thickBot="1">
      <c r="A5312" s="761" t="s">
        <v>145</v>
      </c>
      <c r="B5312" s="762">
        <f>(R5311+T5311)</f>
        <v>0</v>
      </c>
      <c r="C5312" s="763"/>
      <c r="D5312" s="763"/>
      <c r="E5312" s="763"/>
      <c r="F5312" s="764"/>
      <c r="G5312" s="763" t="s">
        <v>146</v>
      </c>
      <c r="H5312" s="763"/>
      <c r="I5312" s="765"/>
      <c r="J5312" s="763"/>
      <c r="K5312" s="763" t="s">
        <v>3</v>
      </c>
      <c r="L5312" s="766" t="s">
        <v>143</v>
      </c>
      <c r="M5312" s="766"/>
      <c r="N5312" s="766"/>
      <c r="O5312" s="766"/>
      <c r="P5312" s="766"/>
      <c r="Q5312" s="767"/>
      <c r="R5312" s="768">
        <f ca="1">SUM(R5308:R5311)</f>
        <v>24.779999999999998</v>
      </c>
      <c r="S5312" s="763"/>
      <c r="T5312" s="768">
        <f ca="1">SUM(T5308:T5311)</f>
        <v>9.8699999999999992</v>
      </c>
      <c r="U5312" s="531"/>
      <c r="V5312" s="531"/>
      <c r="W5312" s="531"/>
      <c r="X5312" s="531"/>
      <c r="Y5312" s="531"/>
      <c r="Z5312" s="531"/>
      <c r="AA5312" s="531"/>
      <c r="AB5312" s="531"/>
      <c r="AC5312" s="531"/>
      <c r="AD5312" s="531"/>
      <c r="AE5312" s="531"/>
      <c r="AF5312" s="531"/>
      <c r="AG5312" s="531"/>
      <c r="AH5312" s="531"/>
      <c r="AI5312" s="531"/>
      <c r="AJ5312" s="531"/>
      <c r="AK5312" s="531"/>
      <c r="AL5312" s="531"/>
      <c r="AM5312" s="531"/>
      <c r="AN5312" s="531"/>
      <c r="AO5312" s="531"/>
      <c r="AR5312" s="761" t="s">
        <v>145</v>
      </c>
      <c r="AS5312" s="764"/>
    </row>
    <row r="5313" spans="1:45" s="520" customFormat="1" ht="12" thickTop="1">
      <c r="A5313" s="51"/>
      <c r="B5313" s="41"/>
      <c r="C5313" s="51"/>
      <c r="E5313" s="42" t="s">
        <v>138</v>
      </c>
      <c r="F5313" s="42" t="s">
        <v>139</v>
      </c>
      <c r="G5313" s="51"/>
      <c r="H5313" s="51"/>
      <c r="I5313" s="51"/>
      <c r="J5313" s="51"/>
      <c r="K5313" s="51" t="s">
        <v>140</v>
      </c>
      <c r="L5313" s="51"/>
      <c r="M5313" s="51"/>
      <c r="N5313" s="51"/>
      <c r="O5313" s="52"/>
      <c r="P5313" s="51"/>
      <c r="Q5313" s="51"/>
      <c r="R5313" s="51"/>
      <c r="S5313" s="51"/>
      <c r="T5313" s="41"/>
      <c r="AG5313" s="521" t="s">
        <v>268</v>
      </c>
      <c r="AH5313" s="521" t="s">
        <v>269</v>
      </c>
      <c r="AI5313" s="521" t="s">
        <v>270</v>
      </c>
      <c r="AJ5313" s="521" t="s">
        <v>271</v>
      </c>
      <c r="AK5313" s="521" t="s">
        <v>272</v>
      </c>
      <c r="AM5313" s="745" t="s">
        <v>281</v>
      </c>
      <c r="AN5313" s="746" t="s">
        <v>282</v>
      </c>
      <c r="AO5313" s="522" t="s">
        <v>278</v>
      </c>
      <c r="AR5313" s="51"/>
      <c r="AS5313" s="42" t="s">
        <v>139</v>
      </c>
    </row>
    <row r="5314" spans="1:45" s="520" customFormat="1" ht="12" customHeight="1">
      <c r="A5314" s="747">
        <v>1</v>
      </c>
      <c r="B5314" s="523" t="s">
        <v>329</v>
      </c>
      <c r="C5314" s="748"/>
      <c r="D5314" s="749" t="s">
        <v>1880</v>
      </c>
      <c r="E5314" s="750">
        <f ca="1">IF(AND($A5314=0,$A$1="DIF"),0, ROUND(ROUND(($R5319*$S$2+($T5319*$T$2))/A5314,2)*$C$2,2))</f>
        <v>17.34</v>
      </c>
      <c r="F5314" s="751">
        <f ca="1">ROUND($A5314*$E5314,2)</f>
        <v>17.34</v>
      </c>
      <c r="G5314" s="752" t="s">
        <v>142</v>
      </c>
      <c r="H5314" s="753"/>
      <c r="I5314" s="754"/>
      <c r="J5314" s="753"/>
      <c r="K5314" s="753" t="s">
        <v>3</v>
      </c>
      <c r="L5314" s="755" t="s">
        <v>143</v>
      </c>
      <c r="M5314" s="755"/>
      <c r="N5314" s="755"/>
      <c r="O5314" s="755"/>
      <c r="P5314" s="755"/>
      <c r="Q5314" s="51"/>
      <c r="T5314" s="756" t="str">
        <f ca="1">IF(AND($R5319=0,$T5319=0),"0.00","mu :" &amp; ROUND($F5314/$C$2/($R5319+$T5319*$D$9),2))</f>
        <v>mu :1.23</v>
      </c>
      <c r="W5314" s="524"/>
      <c r="AG5314" s="481">
        <f ca="1">IF($E5314=0,0,ROUND($R5319*$S$2*$C$2/$A5314,2))</f>
        <v>1.45</v>
      </c>
      <c r="AH5314" s="481">
        <f ca="1">$AG5314*$A5314</f>
        <v>1.45</v>
      </c>
      <c r="AI5314" s="525">
        <f ca="1">$E5314-$AG5314</f>
        <v>15.89</v>
      </c>
      <c r="AJ5314" s="525">
        <f ca="1">$A5314*$AI5314</f>
        <v>15.89</v>
      </c>
      <c r="AK5314" s="526">
        <f ca="1">ROUND(($AG5314+$AI5314)*$A5314,2)</f>
        <v>17.34</v>
      </c>
      <c r="AM5314" s="527">
        <f ca="1">ROUND(R5319,2)</f>
        <v>1.18</v>
      </c>
      <c r="AN5314" s="528">
        <f ca="1">ROUND(T5319,2)</f>
        <v>0.47</v>
      </c>
      <c r="AO5314" s="529">
        <f ca="1">ROUND(AM5314+AN5314,2)*A5314</f>
        <v>1.65</v>
      </c>
      <c r="AR5314" s="747">
        <v>1</v>
      </c>
      <c r="AS5314" s="751">
        <v>19.37</v>
      </c>
    </row>
    <row r="5315" spans="1:45" s="520" customFormat="1" ht="13.2">
      <c r="A5315" s="748"/>
      <c r="B5315"/>
      <c r="C5315" s="748"/>
      <c r="D5315" s="749" t="s">
        <v>900</v>
      </c>
      <c r="F5315" s="753"/>
      <c r="G5315" s="3"/>
      <c r="H5315" s="753"/>
      <c r="I5315" s="754"/>
      <c r="J5315" s="753"/>
      <c r="K5315" s="753" t="s">
        <v>144</v>
      </c>
      <c r="L5315" s="753"/>
      <c r="M5315" s="753"/>
      <c r="N5315" s="753"/>
      <c r="O5315" s="753"/>
      <c r="P5315" s="753"/>
      <c r="Q5315" s="51"/>
      <c r="R5315" s="530"/>
      <c r="S5315" s="757"/>
      <c r="T5315" s="753"/>
      <c r="AR5315" s="748"/>
      <c r="AS5315" s="753"/>
    </row>
    <row r="5316" spans="1:45" s="886" customFormat="1" ht="13.2">
      <c r="A5316"/>
      <c r="B5316" s="910"/>
      <c r="C5316" s="910" t="s">
        <v>2597</v>
      </c>
      <c r="D5316" s="910" t="str">
        <f ca="1">CELL("Address",Elec_Rates!D$604)</f>
        <v>[E25_0062_Quintano_Foods_Elec_ELV_As_Awarded.xlsx]Elec_Rates!$D$604</v>
      </c>
      <c r="E5316" s="911"/>
      <c r="F5316" s="911"/>
      <c r="G5316" s="912" t="s">
        <v>2598</v>
      </c>
      <c r="H5316" s="912"/>
      <c r="I5316" s="912"/>
      <c r="J5316" s="912"/>
      <c r="K5316" s="913"/>
      <c r="L5316" s="911"/>
      <c r="M5316" s="911"/>
      <c r="N5316" s="911"/>
      <c r="O5316" s="914"/>
      <c r="P5316" s="911"/>
      <c r="Q5316" s="915"/>
      <c r="R5316" s="916"/>
      <c r="S5316" s="915"/>
      <c r="T5316" s="917"/>
      <c r="U5316" s="918"/>
      <c r="AR5316"/>
      <c r="AS5316" s="911"/>
    </row>
    <row r="5317" spans="1:45" s="886" customFormat="1" ht="11.4">
      <c r="A5317" s="919">
        <v>1</v>
      </c>
      <c r="B5317" s="920">
        <v>1</v>
      </c>
      <c r="C5317" s="920">
        <f>$A5317*$B5317</f>
        <v>1</v>
      </c>
      <c r="D5317" s="921" t="str">
        <f>Elec_Rates!$D$604</f>
        <v>057# Install only Light fitting Type E2</v>
      </c>
      <c r="E5317" s="921"/>
      <c r="F5317" s="921" t="s">
        <v>2599</v>
      </c>
      <c r="G5317" s="922" t="s">
        <v>2601</v>
      </c>
      <c r="H5317" s="922"/>
      <c r="I5317" s="922"/>
      <c r="J5317" s="922"/>
      <c r="K5317" s="923"/>
      <c r="L5317" s="918"/>
      <c r="M5317" s="918"/>
      <c r="N5317" s="918"/>
      <c r="O5317" s="924"/>
      <c r="P5317" s="921"/>
      <c r="Q5317" s="925">
        <f ca="1">$B5317*Elec_Rates!$R$604</f>
        <v>1.18</v>
      </c>
      <c r="R5317" s="916">
        <f ca="1">$A5317*Q5317</f>
        <v>1.18</v>
      </c>
      <c r="S5317" s="925">
        <f ca="1">$B5317*Elec_Rates!$T$604</f>
        <v>0.47</v>
      </c>
      <c r="T5317" s="917">
        <f ca="1">$A5317*S5317</f>
        <v>0.47</v>
      </c>
      <c r="U5317" s="926"/>
      <c r="AR5317" s="919">
        <v>1</v>
      </c>
      <c r="AS5317" s="921" t="s">
        <v>2599</v>
      </c>
    </row>
    <row r="5318" spans="1:45" s="520" customFormat="1" ht="12">
      <c r="A5318" s="758"/>
      <c r="B5318" s="758"/>
      <c r="C5318" s="758"/>
      <c r="D5318" s="758"/>
      <c r="E5318" s="758"/>
      <c r="F5318" s="753"/>
      <c r="G5318" s="758"/>
      <c r="H5318" s="758"/>
      <c r="I5318" s="519"/>
      <c r="J5318" s="758"/>
      <c r="K5318" s="758"/>
      <c r="L5318" s="758"/>
      <c r="M5318" s="758"/>
      <c r="N5318" s="758"/>
      <c r="O5318" s="758"/>
      <c r="P5318" s="758"/>
      <c r="Q5318" s="519"/>
      <c r="R5318" s="759">
        <f t="shared" ref="R5318" si="232">$A5318*Q5318</f>
        <v>0</v>
      </c>
      <c r="S5318" s="519"/>
      <c r="T5318" s="760">
        <f t="shared" ref="T5318" si="233">$A5318*S5318*$T$1</f>
        <v>0</v>
      </c>
      <c r="AR5318" s="758"/>
      <c r="AS5318" s="753"/>
    </row>
    <row r="5319" spans="1:45" s="520" customFormat="1" ht="12.6" thickBot="1">
      <c r="A5319" s="761" t="s">
        <v>145</v>
      </c>
      <c r="B5319" s="762">
        <f>(R5318+T5318)</f>
        <v>0</v>
      </c>
      <c r="C5319" s="763"/>
      <c r="D5319" s="763"/>
      <c r="E5319" s="763"/>
      <c r="F5319" s="764"/>
      <c r="G5319" s="763" t="s">
        <v>146</v>
      </c>
      <c r="H5319" s="763"/>
      <c r="I5319" s="765"/>
      <c r="J5319" s="763"/>
      <c r="K5319" s="763" t="s">
        <v>3</v>
      </c>
      <c r="L5319" s="766" t="s">
        <v>143</v>
      </c>
      <c r="M5319" s="766"/>
      <c r="N5319" s="766"/>
      <c r="O5319" s="766"/>
      <c r="P5319" s="766"/>
      <c r="Q5319" s="767"/>
      <c r="R5319" s="768">
        <f ca="1">SUM(R5315:R5318)</f>
        <v>1.18</v>
      </c>
      <c r="S5319" s="763"/>
      <c r="T5319" s="768">
        <f ca="1">SUM(T5315:T5318)</f>
        <v>0.47</v>
      </c>
      <c r="U5319" s="531"/>
      <c r="V5319" s="531"/>
      <c r="W5319" s="531"/>
      <c r="X5319" s="531"/>
      <c r="Y5319" s="531"/>
      <c r="Z5319" s="531"/>
      <c r="AA5319" s="531"/>
      <c r="AB5319" s="531"/>
      <c r="AC5319" s="531"/>
      <c r="AD5319" s="531"/>
      <c r="AE5319" s="531"/>
      <c r="AF5319" s="531"/>
      <c r="AG5319" s="531"/>
      <c r="AH5319" s="531"/>
      <c r="AI5319" s="531"/>
      <c r="AJ5319" s="531"/>
      <c r="AK5319" s="531"/>
      <c r="AL5319" s="531"/>
      <c r="AM5319" s="531"/>
      <c r="AN5319" s="531"/>
      <c r="AO5319" s="531"/>
      <c r="AR5319" s="761" t="s">
        <v>145</v>
      </c>
      <c r="AS5319" s="764"/>
    </row>
    <row r="5320" spans="1:45" s="520" customFormat="1" ht="12" thickTop="1">
      <c r="A5320" s="51"/>
      <c r="B5320" s="41"/>
      <c r="C5320" s="51"/>
      <c r="E5320" s="42" t="s">
        <v>138</v>
      </c>
      <c r="F5320" s="42" t="s">
        <v>139</v>
      </c>
      <c r="G5320" s="51"/>
      <c r="H5320" s="51"/>
      <c r="I5320" s="51"/>
      <c r="J5320" s="51"/>
      <c r="K5320" s="51" t="s">
        <v>140</v>
      </c>
      <c r="L5320" s="51"/>
      <c r="M5320" s="51"/>
      <c r="N5320" s="51"/>
      <c r="O5320" s="52"/>
      <c r="P5320" s="51"/>
      <c r="Q5320" s="51"/>
      <c r="R5320" s="51"/>
      <c r="S5320" s="51"/>
      <c r="T5320" s="41"/>
      <c r="AG5320" s="521" t="s">
        <v>268</v>
      </c>
      <c r="AH5320" s="521" t="s">
        <v>269</v>
      </c>
      <c r="AI5320" s="521" t="s">
        <v>270</v>
      </c>
      <c r="AJ5320" s="521" t="s">
        <v>271</v>
      </c>
      <c r="AK5320" s="521" t="s">
        <v>272</v>
      </c>
      <c r="AM5320" s="745" t="s">
        <v>281</v>
      </c>
      <c r="AN5320" s="746" t="s">
        <v>282</v>
      </c>
      <c r="AO5320" s="522" t="s">
        <v>278</v>
      </c>
      <c r="AR5320" s="51"/>
      <c r="AS5320" s="42" t="s">
        <v>139</v>
      </c>
    </row>
    <row r="5321" spans="1:45" s="520" customFormat="1" ht="12" customHeight="1">
      <c r="A5321" s="747">
        <v>4</v>
      </c>
      <c r="B5321" s="523" t="s">
        <v>329</v>
      </c>
      <c r="C5321" s="748"/>
      <c r="D5321" s="749" t="s">
        <v>1881</v>
      </c>
      <c r="E5321" s="750">
        <f ca="1">IF(AND($A5321=0,$A$1="DIF"),0, ROUND(ROUND(($R5326*$S$2+($T5326*$T$2))/A5321,2)*$C$2,2))</f>
        <v>17.84</v>
      </c>
      <c r="F5321" s="751">
        <f ca="1">ROUND($A5321*$E5321,2)</f>
        <v>71.36</v>
      </c>
      <c r="G5321" s="752" t="s">
        <v>142</v>
      </c>
      <c r="H5321" s="753"/>
      <c r="I5321" s="754"/>
      <c r="J5321" s="753"/>
      <c r="K5321" s="753" t="s">
        <v>3</v>
      </c>
      <c r="L5321" s="755" t="s">
        <v>143</v>
      </c>
      <c r="M5321" s="755"/>
      <c r="N5321" s="755"/>
      <c r="O5321" s="755"/>
      <c r="P5321" s="755"/>
      <c r="Q5321" s="51"/>
      <c r="T5321" s="756" t="str">
        <f ca="1">IF(AND($R5326=0,$T5326=0),"0.00","mu :" &amp; ROUND($F5321/$C$2/($R5326+$T5326*$D$9),2))</f>
        <v>mu :1.23</v>
      </c>
      <c r="W5321" s="524"/>
      <c r="AG5321" s="481">
        <f ca="1">IF($E5321=0,0,ROUND($R5326*$S$2*$C$2/$A5321,2))</f>
        <v>1.95</v>
      </c>
      <c r="AH5321" s="481">
        <f ca="1">$AG5321*$A5321</f>
        <v>7.8</v>
      </c>
      <c r="AI5321" s="525">
        <f ca="1">$E5321-$AG5321</f>
        <v>15.89</v>
      </c>
      <c r="AJ5321" s="525">
        <f ca="1">$A5321*$AI5321</f>
        <v>63.56</v>
      </c>
      <c r="AK5321" s="526">
        <f ca="1">ROUND(($AG5321+$AI5321)*$A5321,2)</f>
        <v>71.36</v>
      </c>
      <c r="AM5321" s="527">
        <f ca="1">ROUND(R5326,2)</f>
        <v>6.32</v>
      </c>
      <c r="AN5321" s="528">
        <f ca="1">ROUND(T5326,2)</f>
        <v>1.88</v>
      </c>
      <c r="AO5321" s="529">
        <f ca="1">ROUND(AM5321+AN5321,2)*A5321</f>
        <v>32.799999999999997</v>
      </c>
      <c r="AR5321" s="747">
        <v>4</v>
      </c>
      <c r="AS5321" s="751">
        <v>79.48</v>
      </c>
    </row>
    <row r="5322" spans="1:45" s="520" customFormat="1" ht="13.2">
      <c r="A5322" s="748"/>
      <c r="B5322"/>
      <c r="C5322" s="748"/>
      <c r="D5322" s="749" t="s">
        <v>889</v>
      </c>
      <c r="F5322" s="753"/>
      <c r="G5322" s="3"/>
      <c r="H5322" s="753"/>
      <c r="I5322" s="754"/>
      <c r="J5322" s="753"/>
      <c r="K5322" s="753" t="s">
        <v>144</v>
      </c>
      <c r="L5322" s="753"/>
      <c r="M5322" s="753"/>
      <c r="N5322" s="753"/>
      <c r="O5322" s="753"/>
      <c r="P5322" s="753"/>
      <c r="Q5322" s="51"/>
      <c r="R5322" s="530"/>
      <c r="S5322" s="757"/>
      <c r="T5322" s="753"/>
      <c r="AR5322" s="748"/>
      <c r="AS5322" s="753"/>
    </row>
    <row r="5323" spans="1:45" s="886" customFormat="1" ht="13.2">
      <c r="A5323"/>
      <c r="B5323" s="910"/>
      <c r="C5323" s="910" t="s">
        <v>2597</v>
      </c>
      <c r="D5323" s="910" t="str">
        <f ca="1">CELL("Address",Elec_Rates!D$622)</f>
        <v>[E25_0062_Quintano_Foods_Elec_ELV_As_Awarded.xlsx]Elec_Rates!$D$622</v>
      </c>
      <c r="E5323" s="911"/>
      <c r="F5323" s="911"/>
      <c r="G5323" s="912" t="s">
        <v>2598</v>
      </c>
      <c r="H5323" s="912"/>
      <c r="I5323" s="912"/>
      <c r="J5323" s="912"/>
      <c r="K5323" s="913"/>
      <c r="L5323" s="911"/>
      <c r="M5323" s="911"/>
      <c r="N5323" s="911"/>
      <c r="O5323" s="914"/>
      <c r="P5323" s="911"/>
      <c r="Q5323" s="915"/>
      <c r="R5323" s="916"/>
      <c r="S5323" s="915"/>
      <c r="T5323" s="917"/>
      <c r="U5323" s="918"/>
      <c r="AR5323"/>
      <c r="AS5323" s="911"/>
    </row>
    <row r="5324" spans="1:45" s="886" customFormat="1" ht="11.4">
      <c r="A5324" s="919">
        <v>4</v>
      </c>
      <c r="B5324" s="920">
        <v>1</v>
      </c>
      <c r="C5324" s="920">
        <f>$A5324*$B5324</f>
        <v>4</v>
      </c>
      <c r="D5324" s="921" t="str">
        <f>Elec_Rates!$D$622</f>
        <v>059# Install only Light fitting Type F2</v>
      </c>
      <c r="E5324" s="921"/>
      <c r="F5324" s="921" t="s">
        <v>2599</v>
      </c>
      <c r="G5324" s="922" t="s">
        <v>2600</v>
      </c>
      <c r="H5324" s="922"/>
      <c r="I5324" s="922"/>
      <c r="J5324" s="922"/>
      <c r="K5324" s="923"/>
      <c r="L5324" s="918"/>
      <c r="M5324" s="918"/>
      <c r="N5324" s="918"/>
      <c r="O5324" s="924"/>
      <c r="P5324" s="921"/>
      <c r="Q5324" s="925">
        <f ca="1">$B5324*Elec_Rates!$R$622</f>
        <v>1.58</v>
      </c>
      <c r="R5324" s="916">
        <f ca="1">$A5324*Q5324</f>
        <v>6.32</v>
      </c>
      <c r="S5324" s="925">
        <f ca="1">$B5324*Elec_Rates!$T$622</f>
        <v>0.47</v>
      </c>
      <c r="T5324" s="917">
        <f ca="1">$A5324*S5324</f>
        <v>1.88</v>
      </c>
      <c r="U5324" s="926"/>
      <c r="AR5324" s="919">
        <v>4</v>
      </c>
      <c r="AS5324" s="921" t="s">
        <v>2599</v>
      </c>
    </row>
    <row r="5325" spans="1:45" s="520" customFormat="1" ht="12">
      <c r="A5325" s="758"/>
      <c r="B5325" s="758"/>
      <c r="C5325" s="758"/>
      <c r="D5325" s="758"/>
      <c r="E5325" s="758"/>
      <c r="F5325" s="753"/>
      <c r="G5325" s="758"/>
      <c r="H5325" s="758"/>
      <c r="I5325" s="519"/>
      <c r="J5325" s="758"/>
      <c r="K5325" s="758"/>
      <c r="L5325" s="758"/>
      <c r="M5325" s="758"/>
      <c r="N5325" s="758"/>
      <c r="O5325" s="758"/>
      <c r="P5325" s="758"/>
      <c r="Q5325" s="519"/>
      <c r="R5325" s="759">
        <f t="shared" ref="R5325" si="234">$A5325*Q5325</f>
        <v>0</v>
      </c>
      <c r="S5325" s="519"/>
      <c r="T5325" s="760">
        <f t="shared" ref="T5325" si="235">$A5325*S5325*$T$1</f>
        <v>0</v>
      </c>
      <c r="AR5325" s="758"/>
      <c r="AS5325" s="753"/>
    </row>
    <row r="5326" spans="1:45" s="520" customFormat="1" ht="12.6" thickBot="1">
      <c r="A5326" s="761" t="s">
        <v>145</v>
      </c>
      <c r="B5326" s="762">
        <f>(R5325+T5325)</f>
        <v>0</v>
      </c>
      <c r="C5326" s="763"/>
      <c r="D5326" s="763"/>
      <c r="E5326" s="763"/>
      <c r="F5326" s="764"/>
      <c r="G5326" s="763" t="s">
        <v>146</v>
      </c>
      <c r="H5326" s="763"/>
      <c r="I5326" s="765"/>
      <c r="J5326" s="763"/>
      <c r="K5326" s="763" t="s">
        <v>3</v>
      </c>
      <c r="L5326" s="766" t="s">
        <v>143</v>
      </c>
      <c r="M5326" s="766"/>
      <c r="N5326" s="766"/>
      <c r="O5326" s="766"/>
      <c r="P5326" s="766"/>
      <c r="Q5326" s="767"/>
      <c r="R5326" s="768">
        <f ca="1">SUM(R5322:R5325)</f>
        <v>6.32</v>
      </c>
      <c r="S5326" s="763"/>
      <c r="T5326" s="768">
        <f ca="1">SUM(T5322:T5325)</f>
        <v>1.88</v>
      </c>
      <c r="U5326" s="531"/>
      <c r="V5326" s="531"/>
      <c r="W5326" s="531"/>
      <c r="X5326" s="531"/>
      <c r="Y5326" s="531"/>
      <c r="Z5326" s="531"/>
      <c r="AA5326" s="531"/>
      <c r="AB5326" s="531"/>
      <c r="AC5326" s="531"/>
      <c r="AD5326" s="531"/>
      <c r="AE5326" s="531"/>
      <c r="AF5326" s="531"/>
      <c r="AG5326" s="531"/>
      <c r="AH5326" s="531"/>
      <c r="AI5326" s="531"/>
      <c r="AJ5326" s="531"/>
      <c r="AK5326" s="531"/>
      <c r="AL5326" s="531"/>
      <c r="AM5326" s="531"/>
      <c r="AN5326" s="531"/>
      <c r="AO5326" s="531"/>
      <c r="AR5326" s="761" t="s">
        <v>145</v>
      </c>
      <c r="AS5326" s="764"/>
    </row>
    <row r="5327" spans="1:45" s="520" customFormat="1" ht="12" thickTop="1">
      <c r="A5327" s="51"/>
      <c r="B5327" s="41"/>
      <c r="C5327" s="51"/>
      <c r="E5327" s="42" t="s">
        <v>138</v>
      </c>
      <c r="F5327" s="42" t="s">
        <v>139</v>
      </c>
      <c r="G5327" s="51"/>
      <c r="H5327" s="51"/>
      <c r="I5327" s="51"/>
      <c r="J5327" s="51"/>
      <c r="K5327" s="51" t="s">
        <v>140</v>
      </c>
      <c r="L5327" s="51"/>
      <c r="M5327" s="51"/>
      <c r="N5327" s="51"/>
      <c r="O5327" s="52"/>
      <c r="P5327" s="51"/>
      <c r="Q5327" s="51"/>
      <c r="R5327" s="51"/>
      <c r="S5327" s="51"/>
      <c r="T5327" s="41"/>
      <c r="AG5327" s="521" t="s">
        <v>268</v>
      </c>
      <c r="AH5327" s="521" t="s">
        <v>269</v>
      </c>
      <c r="AI5327" s="521" t="s">
        <v>270</v>
      </c>
      <c r="AJ5327" s="521" t="s">
        <v>271</v>
      </c>
      <c r="AK5327" s="521" t="s">
        <v>272</v>
      </c>
      <c r="AM5327" s="745" t="s">
        <v>281</v>
      </c>
      <c r="AN5327" s="746" t="s">
        <v>282</v>
      </c>
      <c r="AO5327" s="522" t="s">
        <v>278</v>
      </c>
      <c r="AR5327" s="51"/>
      <c r="AS5327" s="42" t="s">
        <v>139</v>
      </c>
    </row>
    <row r="5328" spans="1:45" s="520" customFormat="1" ht="12" customHeight="1">
      <c r="A5328" s="747">
        <v>19</v>
      </c>
      <c r="B5328" s="523" t="s">
        <v>329</v>
      </c>
      <c r="C5328" s="748"/>
      <c r="D5328" s="749" t="s">
        <v>1882</v>
      </c>
      <c r="E5328" s="750">
        <f ca="1">IF(AND($A5328=0,$A$1="DIF"),0, ROUND(ROUND(($R5333*$S$2+($T5333*$T$2))/A5328,2)*$C$2,2))</f>
        <v>19.91</v>
      </c>
      <c r="F5328" s="751">
        <f ca="1">ROUND($A5328*$E5328,2)</f>
        <v>378.29</v>
      </c>
      <c r="G5328" s="752" t="s">
        <v>142</v>
      </c>
      <c r="H5328" s="753"/>
      <c r="I5328" s="754"/>
      <c r="J5328" s="753"/>
      <c r="K5328" s="753" t="s">
        <v>3</v>
      </c>
      <c r="L5328" s="755" t="s">
        <v>143</v>
      </c>
      <c r="M5328" s="755"/>
      <c r="N5328" s="755"/>
      <c r="O5328" s="755"/>
      <c r="P5328" s="755"/>
      <c r="Q5328" s="51"/>
      <c r="T5328" s="756" t="str">
        <f ca="1">IF(AND($R5333=0,$T5333=0),"0.00","mu :" &amp; ROUND($F5328/$C$2/($R5333+$T5333*$D$9),2))</f>
        <v>mu :1.23</v>
      </c>
      <c r="W5328" s="524"/>
      <c r="AG5328" s="481">
        <f ca="1">IF($E5328=0,0,ROUND($R5333*$S$2*$C$2/$A5328,2))</f>
        <v>4.01</v>
      </c>
      <c r="AH5328" s="481">
        <f ca="1">$AG5328*$A5328</f>
        <v>76.19</v>
      </c>
      <c r="AI5328" s="525">
        <f ca="1">$E5328-$AG5328</f>
        <v>15.9</v>
      </c>
      <c r="AJ5328" s="525">
        <f ca="1">$A5328*$AI5328</f>
        <v>302.10000000000002</v>
      </c>
      <c r="AK5328" s="526">
        <f ca="1">ROUND(($AG5328+$AI5328)*$A5328,2)</f>
        <v>378.29</v>
      </c>
      <c r="AM5328" s="527">
        <f ca="1">ROUND(R5333,2)</f>
        <v>61.94</v>
      </c>
      <c r="AN5328" s="528">
        <f ca="1">ROUND(T5333,2)</f>
        <v>8.93</v>
      </c>
      <c r="AO5328" s="529">
        <f ca="1">ROUND(AM5328+AN5328,2)*A5328</f>
        <v>1346.5300000000002</v>
      </c>
      <c r="AR5328" s="747">
        <v>19</v>
      </c>
      <c r="AS5328" s="751">
        <v>416.67</v>
      </c>
    </row>
    <row r="5329" spans="1:45" s="520" customFormat="1" ht="13.2">
      <c r="A5329" s="748"/>
      <c r="B5329"/>
      <c r="C5329" s="748"/>
      <c r="D5329" s="749" t="s">
        <v>892</v>
      </c>
      <c r="F5329" s="753"/>
      <c r="G5329" s="3"/>
      <c r="H5329" s="753"/>
      <c r="I5329" s="754"/>
      <c r="J5329" s="753"/>
      <c r="K5329" s="753" t="s">
        <v>144</v>
      </c>
      <c r="L5329" s="753"/>
      <c r="M5329" s="753"/>
      <c r="N5329" s="753"/>
      <c r="O5329" s="753"/>
      <c r="P5329" s="753"/>
      <c r="Q5329" s="51"/>
      <c r="R5329" s="530"/>
      <c r="S5329" s="757"/>
      <c r="T5329" s="753"/>
      <c r="AR5329" s="748"/>
      <c r="AS5329" s="753"/>
    </row>
    <row r="5330" spans="1:45" s="886" customFormat="1" ht="13.2">
      <c r="A5330"/>
      <c r="B5330" s="910"/>
      <c r="C5330" s="910" t="s">
        <v>2597</v>
      </c>
      <c r="D5330" s="910" t="str">
        <f ca="1">CELL("Address",Elec_Rates!D$649)</f>
        <v>[E25_0062_Quintano_Foods_Elec_ELV_As_Awarded.xlsx]Elec_Rates!$D$649</v>
      </c>
      <c r="E5330" s="911"/>
      <c r="F5330" s="911"/>
      <c r="G5330" s="912" t="s">
        <v>2598</v>
      </c>
      <c r="H5330" s="912"/>
      <c r="I5330" s="912"/>
      <c r="J5330" s="912"/>
      <c r="K5330" s="913"/>
      <c r="L5330" s="911"/>
      <c r="M5330" s="911"/>
      <c r="N5330" s="911"/>
      <c r="O5330" s="914"/>
      <c r="P5330" s="911"/>
      <c r="Q5330" s="915"/>
      <c r="R5330" s="916"/>
      <c r="S5330" s="915"/>
      <c r="T5330" s="917"/>
      <c r="U5330" s="918"/>
      <c r="AR5330"/>
      <c r="AS5330" s="911"/>
    </row>
    <row r="5331" spans="1:45" s="886" customFormat="1" ht="11.4">
      <c r="A5331" s="919">
        <v>19</v>
      </c>
      <c r="B5331" s="920">
        <v>1</v>
      </c>
      <c r="C5331" s="920">
        <f>$A5331*$B5331</f>
        <v>19</v>
      </c>
      <c r="D5331" s="921" t="str">
        <f>Elec_Rates!$D$649</f>
        <v>062# Install only Light fitting Type G3</v>
      </c>
      <c r="E5331" s="921"/>
      <c r="F5331" s="921" t="s">
        <v>2599</v>
      </c>
      <c r="G5331" s="922" t="s">
        <v>2601</v>
      </c>
      <c r="H5331" s="922"/>
      <c r="I5331" s="922"/>
      <c r="J5331" s="922"/>
      <c r="K5331" s="923"/>
      <c r="L5331" s="918"/>
      <c r="M5331" s="918"/>
      <c r="N5331" s="918"/>
      <c r="O5331" s="924"/>
      <c r="P5331" s="921"/>
      <c r="Q5331" s="925">
        <f ca="1">$B5331*Elec_Rates!$R$649</f>
        <v>3.26</v>
      </c>
      <c r="R5331" s="916">
        <f ca="1">$A5331*Q5331</f>
        <v>61.94</v>
      </c>
      <c r="S5331" s="925">
        <f ca="1">$B5331*Elec_Rates!$T$649</f>
        <v>0.47</v>
      </c>
      <c r="T5331" s="917">
        <f ca="1">$A5331*S5331</f>
        <v>8.93</v>
      </c>
      <c r="U5331" s="926"/>
      <c r="AR5331" s="919">
        <v>19</v>
      </c>
      <c r="AS5331" s="921" t="s">
        <v>2599</v>
      </c>
    </row>
    <row r="5332" spans="1:45" s="520" customFormat="1" ht="12">
      <c r="A5332" s="758"/>
      <c r="B5332" s="758"/>
      <c r="C5332" s="758"/>
      <c r="D5332" s="758"/>
      <c r="E5332" s="758"/>
      <c r="F5332" s="753"/>
      <c r="G5332" s="758"/>
      <c r="H5332" s="758"/>
      <c r="I5332" s="519"/>
      <c r="J5332" s="758"/>
      <c r="K5332" s="758"/>
      <c r="L5332" s="758"/>
      <c r="M5332" s="758"/>
      <c r="N5332" s="758"/>
      <c r="O5332" s="758"/>
      <c r="P5332" s="758"/>
      <c r="Q5332" s="519"/>
      <c r="R5332" s="759">
        <f t="shared" ref="R5332" si="236">$A5332*Q5332</f>
        <v>0</v>
      </c>
      <c r="S5332" s="519"/>
      <c r="T5332" s="760">
        <f t="shared" ref="T5332" si="237">$A5332*S5332*$T$1</f>
        <v>0</v>
      </c>
      <c r="AR5332" s="758"/>
      <c r="AS5332" s="753"/>
    </row>
    <row r="5333" spans="1:45" s="520" customFormat="1" ht="12.6" thickBot="1">
      <c r="A5333" s="761" t="s">
        <v>145</v>
      </c>
      <c r="B5333" s="762">
        <f>(R5332+T5332)</f>
        <v>0</v>
      </c>
      <c r="C5333" s="763"/>
      <c r="D5333" s="763"/>
      <c r="E5333" s="763"/>
      <c r="F5333" s="764"/>
      <c r="G5333" s="763" t="s">
        <v>146</v>
      </c>
      <c r="H5333" s="763"/>
      <c r="I5333" s="765"/>
      <c r="J5333" s="763"/>
      <c r="K5333" s="763" t="s">
        <v>3</v>
      </c>
      <c r="L5333" s="766" t="s">
        <v>143</v>
      </c>
      <c r="M5333" s="766"/>
      <c r="N5333" s="766"/>
      <c r="O5333" s="766"/>
      <c r="P5333" s="766"/>
      <c r="Q5333" s="767"/>
      <c r="R5333" s="768">
        <f ca="1">SUM(R5329:R5332)</f>
        <v>61.94</v>
      </c>
      <c r="S5333" s="763"/>
      <c r="T5333" s="768">
        <f ca="1">SUM(T5329:T5332)</f>
        <v>8.93</v>
      </c>
      <c r="U5333" s="531"/>
      <c r="V5333" s="531"/>
      <c r="W5333" s="531"/>
      <c r="X5333" s="531"/>
      <c r="Y5333" s="531"/>
      <c r="Z5333" s="531"/>
      <c r="AA5333" s="531"/>
      <c r="AB5333" s="531"/>
      <c r="AC5333" s="531"/>
      <c r="AD5333" s="531"/>
      <c r="AE5333" s="531"/>
      <c r="AF5333" s="531"/>
      <c r="AG5333" s="531"/>
      <c r="AH5333" s="531"/>
      <c r="AI5333" s="531"/>
      <c r="AJ5333" s="531"/>
      <c r="AK5333" s="531"/>
      <c r="AL5333" s="531"/>
      <c r="AM5333" s="531"/>
      <c r="AN5333" s="531"/>
      <c r="AO5333" s="531"/>
      <c r="AR5333" s="761" t="s">
        <v>145</v>
      </c>
      <c r="AS5333" s="764"/>
    </row>
    <row r="5334" spans="1:45" s="520" customFormat="1" ht="12" thickTop="1">
      <c r="A5334" s="51"/>
      <c r="B5334" s="41"/>
      <c r="C5334" s="51"/>
      <c r="E5334" s="42" t="s">
        <v>138</v>
      </c>
      <c r="F5334" s="42" t="s">
        <v>139</v>
      </c>
      <c r="G5334" s="51"/>
      <c r="H5334" s="51"/>
      <c r="I5334" s="51"/>
      <c r="J5334" s="51"/>
      <c r="K5334" s="51" t="s">
        <v>140</v>
      </c>
      <c r="L5334" s="51"/>
      <c r="M5334" s="51"/>
      <c r="N5334" s="51"/>
      <c r="O5334" s="52"/>
      <c r="P5334" s="51"/>
      <c r="Q5334" s="51"/>
      <c r="R5334" s="51"/>
      <c r="S5334" s="51"/>
      <c r="T5334" s="41"/>
      <c r="AG5334" s="521" t="s">
        <v>268</v>
      </c>
      <c r="AH5334" s="521" t="s">
        <v>269</v>
      </c>
      <c r="AI5334" s="521" t="s">
        <v>270</v>
      </c>
      <c r="AJ5334" s="521" t="s">
        <v>271</v>
      </c>
      <c r="AK5334" s="521" t="s">
        <v>272</v>
      </c>
      <c r="AM5334" s="745" t="s">
        <v>281</v>
      </c>
      <c r="AN5334" s="746" t="s">
        <v>282</v>
      </c>
      <c r="AO5334" s="522" t="s">
        <v>278</v>
      </c>
      <c r="AR5334" s="51"/>
      <c r="AS5334" s="42" t="s">
        <v>139</v>
      </c>
    </row>
    <row r="5335" spans="1:45" s="520" customFormat="1" ht="12" customHeight="1">
      <c r="A5335" s="747">
        <v>13</v>
      </c>
      <c r="B5335" s="523" t="s">
        <v>329</v>
      </c>
      <c r="C5335" s="748"/>
      <c r="D5335" s="749" t="s">
        <v>1883</v>
      </c>
      <c r="E5335" s="750">
        <f ca="1">IF(AND($A5335=0,$A$1="DIF"),0, ROUND(ROUND(($R5340*$S$2+($T5340*$T$2))/A5335,2)*$C$2,2))</f>
        <v>19.91</v>
      </c>
      <c r="F5335" s="751">
        <f ca="1">ROUND($A5335*$E5335,2)</f>
        <v>258.83</v>
      </c>
      <c r="G5335" s="752" t="s">
        <v>142</v>
      </c>
      <c r="H5335" s="753"/>
      <c r="I5335" s="754"/>
      <c r="J5335" s="753"/>
      <c r="K5335" s="753" t="s">
        <v>3</v>
      </c>
      <c r="L5335" s="755" t="s">
        <v>143</v>
      </c>
      <c r="M5335" s="755"/>
      <c r="N5335" s="755"/>
      <c r="O5335" s="755"/>
      <c r="P5335" s="755"/>
      <c r="Q5335" s="51"/>
      <c r="T5335" s="756" t="str">
        <f ca="1">IF(AND($R5340=0,$T5340=0),"0.00","mu :" &amp; ROUND($F5335/$C$2/($R5340+$T5340*$D$9),2))</f>
        <v>mu :1.23</v>
      </c>
      <c r="W5335" s="524"/>
      <c r="AG5335" s="481">
        <f ca="1">IF($E5335=0,0,ROUND($R5340*$S$2*$C$2/$A5335,2))</f>
        <v>4.01</v>
      </c>
      <c r="AH5335" s="481">
        <f ca="1">$AG5335*$A5335</f>
        <v>52.129999999999995</v>
      </c>
      <c r="AI5335" s="525">
        <f ca="1">$E5335-$AG5335</f>
        <v>15.9</v>
      </c>
      <c r="AJ5335" s="525">
        <f ca="1">$A5335*$AI5335</f>
        <v>206.70000000000002</v>
      </c>
      <c r="AK5335" s="526">
        <f ca="1">ROUND(($AG5335+$AI5335)*$A5335,2)</f>
        <v>258.83</v>
      </c>
      <c r="AM5335" s="527">
        <f ca="1">ROUND(R5340,2)</f>
        <v>42.38</v>
      </c>
      <c r="AN5335" s="528">
        <f ca="1">ROUND(T5340,2)</f>
        <v>6.11</v>
      </c>
      <c r="AO5335" s="529">
        <f ca="1">ROUND(AM5335+AN5335,2)*A5335</f>
        <v>630.37</v>
      </c>
      <c r="AR5335" s="747">
        <v>13</v>
      </c>
      <c r="AS5335" s="751">
        <v>285.08999999999997</v>
      </c>
    </row>
    <row r="5336" spans="1:45" s="520" customFormat="1" ht="13.2">
      <c r="A5336" s="748"/>
      <c r="B5336"/>
      <c r="C5336" s="748"/>
      <c r="D5336" s="749" t="s">
        <v>893</v>
      </c>
      <c r="F5336" s="753"/>
      <c r="G5336" s="3"/>
      <c r="H5336" s="753"/>
      <c r="I5336" s="754"/>
      <c r="J5336" s="753"/>
      <c r="K5336" s="753" t="s">
        <v>144</v>
      </c>
      <c r="L5336" s="753"/>
      <c r="M5336" s="753"/>
      <c r="N5336" s="753"/>
      <c r="O5336" s="753"/>
      <c r="P5336" s="753"/>
      <c r="Q5336" s="51"/>
      <c r="R5336" s="530"/>
      <c r="S5336" s="757"/>
      <c r="T5336" s="753"/>
      <c r="AR5336" s="748"/>
      <c r="AS5336" s="753"/>
    </row>
    <row r="5337" spans="1:45" s="886" customFormat="1" ht="13.2">
      <c r="A5337"/>
      <c r="B5337" s="910"/>
      <c r="C5337" s="910" t="s">
        <v>2597</v>
      </c>
      <c r="D5337" s="910" t="str">
        <f ca="1">CELL("Address",Elec_Rates!D$658)</f>
        <v>[E25_0062_Quintano_Foods_Elec_ELV_As_Awarded.xlsx]Elec_Rates!$D$658</v>
      </c>
      <c r="E5337" s="911"/>
      <c r="F5337" s="911"/>
      <c r="G5337" s="912" t="s">
        <v>2598</v>
      </c>
      <c r="H5337" s="912"/>
      <c r="I5337" s="912"/>
      <c r="J5337" s="912"/>
      <c r="K5337" s="913"/>
      <c r="L5337" s="911"/>
      <c r="M5337" s="911"/>
      <c r="N5337" s="911"/>
      <c r="O5337" s="914"/>
      <c r="P5337" s="911"/>
      <c r="Q5337" s="915"/>
      <c r="R5337" s="916"/>
      <c r="S5337" s="915"/>
      <c r="T5337" s="917"/>
      <c r="U5337" s="918"/>
      <c r="AR5337"/>
      <c r="AS5337" s="911"/>
    </row>
    <row r="5338" spans="1:45" s="886" customFormat="1" ht="11.4">
      <c r="A5338" s="919">
        <v>13</v>
      </c>
      <c r="B5338" s="920">
        <v>1</v>
      </c>
      <c r="C5338" s="920">
        <f>$A5338*$B5338</f>
        <v>13</v>
      </c>
      <c r="D5338" s="921" t="str">
        <f>Elec_Rates!$D$658</f>
        <v>063# Install only Light fitting Type G4</v>
      </c>
      <c r="E5338" s="921"/>
      <c r="F5338" s="921" t="s">
        <v>2599</v>
      </c>
      <c r="G5338" s="922" t="s">
        <v>2600</v>
      </c>
      <c r="H5338" s="922"/>
      <c r="I5338" s="922"/>
      <c r="J5338" s="922"/>
      <c r="K5338" s="923"/>
      <c r="L5338" s="918"/>
      <c r="M5338" s="918"/>
      <c r="N5338" s="918"/>
      <c r="O5338" s="924"/>
      <c r="P5338" s="921"/>
      <c r="Q5338" s="925">
        <f ca="1">$B5338*Elec_Rates!$R$658</f>
        <v>3.26</v>
      </c>
      <c r="R5338" s="916">
        <f ca="1">$A5338*Q5338</f>
        <v>42.379999999999995</v>
      </c>
      <c r="S5338" s="925">
        <f ca="1">$B5338*Elec_Rates!$T$658</f>
        <v>0.47</v>
      </c>
      <c r="T5338" s="917">
        <f ca="1">$A5338*S5338</f>
        <v>6.1099999999999994</v>
      </c>
      <c r="U5338" s="926"/>
      <c r="AR5338" s="919">
        <v>13</v>
      </c>
      <c r="AS5338" s="921" t="s">
        <v>2599</v>
      </c>
    </row>
    <row r="5339" spans="1:45" s="520" customFormat="1" ht="12">
      <c r="A5339" s="758"/>
      <c r="B5339" s="758"/>
      <c r="C5339" s="758"/>
      <c r="D5339" s="758"/>
      <c r="E5339" s="758"/>
      <c r="F5339" s="753"/>
      <c r="G5339" s="758"/>
      <c r="H5339" s="758"/>
      <c r="I5339" s="519"/>
      <c r="J5339" s="758"/>
      <c r="K5339" s="758"/>
      <c r="L5339" s="758"/>
      <c r="M5339" s="758"/>
      <c r="N5339" s="758"/>
      <c r="O5339" s="758"/>
      <c r="P5339" s="758"/>
      <c r="Q5339" s="519"/>
      <c r="R5339" s="759">
        <f t="shared" ref="R5339" si="238">$A5339*Q5339</f>
        <v>0</v>
      </c>
      <c r="S5339" s="519"/>
      <c r="T5339" s="760">
        <f t="shared" ref="T5339" si="239">$A5339*S5339*$T$1</f>
        <v>0</v>
      </c>
      <c r="AR5339" s="758"/>
      <c r="AS5339" s="753"/>
    </row>
    <row r="5340" spans="1:45" s="520" customFormat="1" ht="12.6" thickBot="1">
      <c r="A5340" s="761" t="s">
        <v>145</v>
      </c>
      <c r="B5340" s="762">
        <f>(R5339+T5339)</f>
        <v>0</v>
      </c>
      <c r="C5340" s="763"/>
      <c r="D5340" s="763"/>
      <c r="E5340" s="763"/>
      <c r="F5340" s="764"/>
      <c r="G5340" s="763" t="s">
        <v>146</v>
      </c>
      <c r="H5340" s="763"/>
      <c r="I5340" s="765"/>
      <c r="J5340" s="763"/>
      <c r="K5340" s="763" t="s">
        <v>3</v>
      </c>
      <c r="L5340" s="766" t="s">
        <v>143</v>
      </c>
      <c r="M5340" s="766"/>
      <c r="N5340" s="766"/>
      <c r="O5340" s="766"/>
      <c r="P5340" s="766"/>
      <c r="Q5340" s="767"/>
      <c r="R5340" s="768">
        <f ca="1">SUM(R5336:R5339)</f>
        <v>42.379999999999995</v>
      </c>
      <c r="S5340" s="763"/>
      <c r="T5340" s="768">
        <f ca="1">SUM(T5336:T5339)</f>
        <v>6.1099999999999994</v>
      </c>
      <c r="U5340" s="531"/>
      <c r="V5340" s="531"/>
      <c r="W5340" s="531"/>
      <c r="X5340" s="531"/>
      <c r="Y5340" s="531"/>
      <c r="Z5340" s="531"/>
      <c r="AA5340" s="531"/>
      <c r="AB5340" s="531"/>
      <c r="AC5340" s="531"/>
      <c r="AD5340" s="531"/>
      <c r="AE5340" s="531"/>
      <c r="AF5340" s="531"/>
      <c r="AG5340" s="531"/>
      <c r="AH5340" s="531"/>
      <c r="AI5340" s="531"/>
      <c r="AJ5340" s="531"/>
      <c r="AK5340" s="531"/>
      <c r="AL5340" s="531"/>
      <c r="AM5340" s="531"/>
      <c r="AN5340" s="531"/>
      <c r="AO5340" s="531"/>
      <c r="AR5340" s="761" t="s">
        <v>145</v>
      </c>
      <c r="AS5340" s="764"/>
    </row>
    <row r="5341" spans="1:45" s="520" customFormat="1" ht="12" thickTop="1">
      <c r="A5341" s="51"/>
      <c r="B5341" s="41"/>
      <c r="C5341" s="51"/>
      <c r="E5341" s="42" t="s">
        <v>138</v>
      </c>
      <c r="F5341" s="42" t="s">
        <v>139</v>
      </c>
      <c r="G5341" s="51"/>
      <c r="H5341" s="51"/>
      <c r="I5341" s="51"/>
      <c r="J5341" s="51"/>
      <c r="K5341" s="51" t="s">
        <v>140</v>
      </c>
      <c r="L5341" s="51"/>
      <c r="M5341" s="51"/>
      <c r="N5341" s="51"/>
      <c r="O5341" s="52"/>
      <c r="P5341" s="51"/>
      <c r="Q5341" s="51"/>
      <c r="R5341" s="51"/>
      <c r="S5341" s="51"/>
      <c r="T5341" s="41"/>
      <c r="AG5341" s="521" t="s">
        <v>268</v>
      </c>
      <c r="AH5341" s="521" t="s">
        <v>269</v>
      </c>
      <c r="AI5341" s="521" t="s">
        <v>270</v>
      </c>
      <c r="AJ5341" s="521" t="s">
        <v>271</v>
      </c>
      <c r="AK5341" s="521" t="s">
        <v>272</v>
      </c>
      <c r="AM5341" s="745" t="s">
        <v>281</v>
      </c>
      <c r="AN5341" s="746" t="s">
        <v>282</v>
      </c>
      <c r="AO5341" s="522" t="s">
        <v>278</v>
      </c>
      <c r="AR5341" s="51"/>
      <c r="AS5341" s="42" t="s">
        <v>139</v>
      </c>
    </row>
    <row r="5342" spans="1:45" s="520" customFormat="1" ht="12" customHeight="1">
      <c r="A5342" s="747">
        <v>20</v>
      </c>
      <c r="B5342" s="523" t="s">
        <v>329</v>
      </c>
      <c r="C5342" s="748"/>
      <c r="D5342" s="749" t="s">
        <v>1884</v>
      </c>
      <c r="E5342" s="750">
        <f ca="1">IF(AND($A5342=0,$A$1="DIF"),0, ROUND(ROUND(($R5347*$S$2+($T5347*$T$2))/A5342,2)*$C$2,2))</f>
        <v>21.41</v>
      </c>
      <c r="F5342" s="751">
        <f ca="1">ROUND($A5342*$E5342,2)</f>
        <v>428.2</v>
      </c>
      <c r="G5342" s="752" t="s">
        <v>142</v>
      </c>
      <c r="H5342" s="753"/>
      <c r="I5342" s="754"/>
      <c r="J5342" s="753"/>
      <c r="K5342" s="753" t="s">
        <v>3</v>
      </c>
      <c r="L5342" s="755" t="s">
        <v>143</v>
      </c>
      <c r="M5342" s="755"/>
      <c r="N5342" s="755"/>
      <c r="O5342" s="755"/>
      <c r="P5342" s="755"/>
      <c r="Q5342" s="51"/>
      <c r="T5342" s="756" t="str">
        <f ca="1">IF(AND($R5347=0,$T5347=0),"0.00","mu :" &amp; ROUND($F5342/$C$2/($R5347+$T5347*$D$9),2))</f>
        <v>mu :1.23</v>
      </c>
      <c r="W5342" s="524"/>
      <c r="AG5342" s="481">
        <f ca="1">IF($E5342=0,0,ROUND($R5347*$S$2*$C$2/$A5342,2))</f>
        <v>5.52</v>
      </c>
      <c r="AH5342" s="481">
        <f ca="1">$AG5342*$A5342</f>
        <v>110.39999999999999</v>
      </c>
      <c r="AI5342" s="525">
        <f ca="1">$E5342-$AG5342</f>
        <v>15.89</v>
      </c>
      <c r="AJ5342" s="525">
        <f ca="1">$A5342*$AI5342</f>
        <v>317.8</v>
      </c>
      <c r="AK5342" s="526">
        <f ca="1">ROUND(($AG5342+$AI5342)*$A5342,2)</f>
        <v>428.2</v>
      </c>
      <c r="AM5342" s="527">
        <f ca="1">ROUND(R5347,2)</f>
        <v>89.6</v>
      </c>
      <c r="AN5342" s="528">
        <f ca="1">ROUND(T5347,2)</f>
        <v>9.4</v>
      </c>
      <c r="AO5342" s="529">
        <f ca="1">ROUND(AM5342+AN5342,2)*A5342</f>
        <v>1980</v>
      </c>
      <c r="AR5342" s="747">
        <v>20</v>
      </c>
      <c r="AS5342" s="751">
        <v>468.8</v>
      </c>
    </row>
    <row r="5343" spans="1:45" s="520" customFormat="1" ht="13.2">
      <c r="A5343" s="748"/>
      <c r="B5343"/>
      <c r="C5343" s="748"/>
      <c r="D5343" s="749" t="s">
        <v>901</v>
      </c>
      <c r="F5343" s="753"/>
      <c r="G5343" s="3"/>
      <c r="H5343" s="753"/>
      <c r="I5343" s="754"/>
      <c r="J5343" s="753"/>
      <c r="K5343" s="753" t="s">
        <v>144</v>
      </c>
      <c r="L5343" s="753"/>
      <c r="M5343" s="753"/>
      <c r="N5343" s="753"/>
      <c r="O5343" s="753"/>
      <c r="P5343" s="753"/>
      <c r="Q5343" s="51"/>
      <c r="R5343" s="530"/>
      <c r="S5343" s="757"/>
      <c r="T5343" s="753"/>
      <c r="AR5343" s="748"/>
      <c r="AS5343" s="753"/>
    </row>
    <row r="5344" spans="1:45" s="886" customFormat="1" ht="13.2">
      <c r="A5344"/>
      <c r="B5344" s="910"/>
      <c r="C5344" s="910" t="s">
        <v>2597</v>
      </c>
      <c r="D5344" s="910" t="str">
        <f ca="1">CELL("Address",Elec_Rates!D$667)</f>
        <v>[E25_0062_Quintano_Foods_Elec_ELV_As_Awarded.xlsx]Elec_Rates!$D$667</v>
      </c>
      <c r="E5344" s="911"/>
      <c r="F5344" s="911"/>
      <c r="G5344" s="912" t="s">
        <v>2598</v>
      </c>
      <c r="H5344" s="912"/>
      <c r="I5344" s="912"/>
      <c r="J5344" s="912"/>
      <c r="K5344" s="913"/>
      <c r="L5344" s="911"/>
      <c r="M5344" s="911"/>
      <c r="N5344" s="911"/>
      <c r="O5344" s="914"/>
      <c r="P5344" s="911"/>
      <c r="Q5344" s="915"/>
      <c r="R5344" s="916"/>
      <c r="S5344" s="915"/>
      <c r="T5344" s="917"/>
      <c r="U5344" s="918"/>
      <c r="AR5344"/>
      <c r="AS5344" s="911"/>
    </row>
    <row r="5345" spans="1:45" s="886" customFormat="1" ht="11.4">
      <c r="A5345" s="919">
        <v>20</v>
      </c>
      <c r="B5345" s="920">
        <v>1</v>
      </c>
      <c r="C5345" s="920">
        <f>$A5345*$B5345</f>
        <v>20</v>
      </c>
      <c r="D5345" s="921" t="str">
        <f>Elec_Rates!$D$667</f>
        <v>064# Install only Light fitting Type H1</v>
      </c>
      <c r="E5345" s="921"/>
      <c r="F5345" s="921" t="s">
        <v>2599</v>
      </c>
      <c r="G5345" s="922" t="s">
        <v>2600</v>
      </c>
      <c r="H5345" s="922"/>
      <c r="I5345" s="922"/>
      <c r="J5345" s="922"/>
      <c r="K5345" s="923"/>
      <c r="L5345" s="918"/>
      <c r="M5345" s="918"/>
      <c r="N5345" s="918"/>
      <c r="O5345" s="924"/>
      <c r="P5345" s="921"/>
      <c r="Q5345" s="925">
        <f ca="1">$B5345*Elec_Rates!$R$667</f>
        <v>4.4800000000000004</v>
      </c>
      <c r="R5345" s="916">
        <f ca="1">$A5345*Q5345</f>
        <v>89.600000000000009</v>
      </c>
      <c r="S5345" s="925">
        <f ca="1">$B5345*Elec_Rates!$T$667</f>
        <v>0.47</v>
      </c>
      <c r="T5345" s="917">
        <f ca="1">$A5345*S5345</f>
        <v>9.3999999999999986</v>
      </c>
      <c r="U5345" s="926"/>
      <c r="AR5345" s="919">
        <v>20</v>
      </c>
      <c r="AS5345" s="921" t="s">
        <v>2599</v>
      </c>
    </row>
    <row r="5346" spans="1:45" s="520" customFormat="1" ht="12">
      <c r="A5346" s="758"/>
      <c r="B5346" s="758"/>
      <c r="C5346" s="758"/>
      <c r="D5346" s="758"/>
      <c r="E5346" s="758"/>
      <c r="F5346" s="753"/>
      <c r="G5346" s="758"/>
      <c r="H5346" s="758"/>
      <c r="I5346" s="519"/>
      <c r="J5346" s="758"/>
      <c r="K5346" s="758"/>
      <c r="L5346" s="758"/>
      <c r="M5346" s="758"/>
      <c r="N5346" s="758"/>
      <c r="O5346" s="758"/>
      <c r="P5346" s="758"/>
      <c r="Q5346" s="519"/>
      <c r="R5346" s="759">
        <f t="shared" ref="R5346" si="240">$A5346*Q5346</f>
        <v>0</v>
      </c>
      <c r="S5346" s="519"/>
      <c r="T5346" s="760">
        <f t="shared" ref="T5346" si="241">$A5346*S5346*$T$1</f>
        <v>0</v>
      </c>
      <c r="AR5346" s="758"/>
      <c r="AS5346" s="753"/>
    </row>
    <row r="5347" spans="1:45" s="520" customFormat="1" ht="12.6" thickBot="1">
      <c r="A5347" s="761" t="s">
        <v>145</v>
      </c>
      <c r="B5347" s="762">
        <f>(R5346+T5346)</f>
        <v>0</v>
      </c>
      <c r="C5347" s="763"/>
      <c r="D5347" s="763"/>
      <c r="E5347" s="763"/>
      <c r="F5347" s="764"/>
      <c r="G5347" s="763" t="s">
        <v>146</v>
      </c>
      <c r="H5347" s="763"/>
      <c r="I5347" s="765"/>
      <c r="J5347" s="763"/>
      <c r="K5347" s="763" t="s">
        <v>3</v>
      </c>
      <c r="L5347" s="766" t="s">
        <v>143</v>
      </c>
      <c r="M5347" s="766"/>
      <c r="N5347" s="766"/>
      <c r="O5347" s="766"/>
      <c r="P5347" s="766"/>
      <c r="Q5347" s="767"/>
      <c r="R5347" s="768">
        <f ca="1">SUM(R5343:R5346)</f>
        <v>89.600000000000009</v>
      </c>
      <c r="S5347" s="763"/>
      <c r="T5347" s="768">
        <f ca="1">SUM(T5343:T5346)</f>
        <v>9.3999999999999986</v>
      </c>
      <c r="U5347" s="531"/>
      <c r="V5347" s="531"/>
      <c r="W5347" s="531"/>
      <c r="X5347" s="531"/>
      <c r="Y5347" s="531"/>
      <c r="Z5347" s="531"/>
      <c r="AA5347" s="531"/>
      <c r="AB5347" s="531"/>
      <c r="AC5347" s="531"/>
      <c r="AD5347" s="531"/>
      <c r="AE5347" s="531"/>
      <c r="AF5347" s="531"/>
      <c r="AG5347" s="531"/>
      <c r="AH5347" s="531"/>
      <c r="AI5347" s="531"/>
      <c r="AJ5347" s="531"/>
      <c r="AK5347" s="531"/>
      <c r="AL5347" s="531"/>
      <c r="AM5347" s="531"/>
      <c r="AN5347" s="531"/>
      <c r="AO5347" s="531"/>
      <c r="AR5347" s="761" t="s">
        <v>145</v>
      </c>
      <c r="AS5347" s="764"/>
    </row>
    <row r="5348" spans="1:45" s="520" customFormat="1" ht="12" thickTop="1">
      <c r="A5348" s="51"/>
      <c r="B5348" s="41"/>
      <c r="C5348" s="51"/>
      <c r="E5348" s="42" t="s">
        <v>138</v>
      </c>
      <c r="F5348" s="42" t="s">
        <v>139</v>
      </c>
      <c r="G5348" s="51"/>
      <c r="H5348" s="51"/>
      <c r="I5348" s="51"/>
      <c r="J5348" s="51"/>
      <c r="K5348" s="51" t="s">
        <v>140</v>
      </c>
      <c r="L5348" s="51"/>
      <c r="M5348" s="51"/>
      <c r="N5348" s="51"/>
      <c r="O5348" s="52"/>
      <c r="P5348" s="51"/>
      <c r="Q5348" s="51"/>
      <c r="R5348" s="51"/>
      <c r="S5348" s="51"/>
      <c r="T5348" s="41"/>
      <c r="AG5348" s="521" t="s">
        <v>268</v>
      </c>
      <c r="AH5348" s="521" t="s">
        <v>269</v>
      </c>
      <c r="AI5348" s="521" t="s">
        <v>270</v>
      </c>
      <c r="AJ5348" s="521" t="s">
        <v>271</v>
      </c>
      <c r="AK5348" s="521" t="s">
        <v>272</v>
      </c>
      <c r="AM5348" s="745" t="s">
        <v>281</v>
      </c>
      <c r="AN5348" s="746" t="s">
        <v>282</v>
      </c>
      <c r="AO5348" s="522" t="s">
        <v>278</v>
      </c>
      <c r="AR5348" s="51"/>
      <c r="AS5348" s="42" t="s">
        <v>139</v>
      </c>
    </row>
    <row r="5349" spans="1:45" s="520" customFormat="1" ht="12" customHeight="1">
      <c r="A5349" s="747">
        <v>108</v>
      </c>
      <c r="B5349" s="523" t="s">
        <v>329</v>
      </c>
      <c r="C5349" s="748"/>
      <c r="D5349" s="749" t="s">
        <v>1885</v>
      </c>
      <c r="E5349" s="750">
        <f ca="1">IF(AND($A5349=0,$A$1="DIF"),0, ROUND(ROUND(($R5354*$S$2+($T5354*$T$2))/A5349,2)*$C$2,2))</f>
        <v>34.28</v>
      </c>
      <c r="F5349" s="751">
        <f ca="1">ROUND($A5349*$E5349,2)</f>
        <v>3702.24</v>
      </c>
      <c r="G5349" s="752" t="s">
        <v>142</v>
      </c>
      <c r="H5349" s="753"/>
      <c r="I5349" s="754"/>
      <c r="J5349" s="753"/>
      <c r="K5349" s="753" t="s">
        <v>3</v>
      </c>
      <c r="L5349" s="755" t="s">
        <v>143</v>
      </c>
      <c r="M5349" s="755"/>
      <c r="N5349" s="755"/>
      <c r="O5349" s="755"/>
      <c r="P5349" s="755"/>
      <c r="Q5349" s="51"/>
      <c r="T5349" s="756" t="str">
        <f ca="1">IF(AND($R5354=0,$T5354=0),"0.00","mu :" &amp; ROUND($F5349/$C$2/($R5354+$T5354*$D$9),2))</f>
        <v>mu :1.23</v>
      </c>
      <c r="W5349" s="524"/>
      <c r="AG5349" s="481">
        <f ca="1">IF($E5349=0,0,ROUND($R5354*$S$2*$C$2/$A5349,2))</f>
        <v>16.02</v>
      </c>
      <c r="AH5349" s="481">
        <f ca="1">$AG5349*$A5349</f>
        <v>1730.1599999999999</v>
      </c>
      <c r="AI5349" s="525">
        <f ca="1">$E5349-$AG5349</f>
        <v>18.260000000000002</v>
      </c>
      <c r="AJ5349" s="525">
        <f ca="1">$A5349*$AI5349</f>
        <v>1972.0800000000002</v>
      </c>
      <c r="AK5349" s="526">
        <f ca="1">ROUND(($AG5349+$AI5349)*$A5349,2)</f>
        <v>3702.24</v>
      </c>
      <c r="AM5349" s="527">
        <f ca="1">ROUND(R5354,2)</f>
        <v>1405.08</v>
      </c>
      <c r="AN5349" s="528">
        <f ca="1">ROUND(T5354,2)</f>
        <v>58.32</v>
      </c>
      <c r="AO5349" s="529">
        <f ca="1">ROUND(AM5349+AN5349,2)*A5349</f>
        <v>158047.20000000001</v>
      </c>
      <c r="AR5349" s="747">
        <v>108</v>
      </c>
      <c r="AS5349" s="751">
        <v>3921.48</v>
      </c>
    </row>
    <row r="5350" spans="1:45" s="520" customFormat="1" ht="13.2">
      <c r="A5350" s="748"/>
      <c r="B5350"/>
      <c r="C5350" s="748"/>
      <c r="D5350" s="749" t="s">
        <v>902</v>
      </c>
      <c r="F5350" s="753"/>
      <c r="G5350" s="3"/>
      <c r="H5350" s="753"/>
      <c r="I5350" s="754"/>
      <c r="J5350" s="753"/>
      <c r="K5350" s="753" t="s">
        <v>144</v>
      </c>
      <c r="L5350" s="753"/>
      <c r="M5350" s="753"/>
      <c r="N5350" s="753"/>
      <c r="O5350" s="753"/>
      <c r="P5350" s="753"/>
      <c r="Q5350" s="51"/>
      <c r="R5350" s="530"/>
      <c r="S5350" s="757"/>
      <c r="T5350" s="753"/>
      <c r="AR5350" s="748"/>
      <c r="AS5350" s="753"/>
    </row>
    <row r="5351" spans="1:45" s="886" customFormat="1" ht="13.2">
      <c r="A5351"/>
      <c r="B5351" s="910"/>
      <c r="C5351" s="910" t="s">
        <v>2597</v>
      </c>
      <c r="D5351" s="910" t="str">
        <f ca="1">CELL("Address",Elec_Rates!D$676)</f>
        <v>[E25_0062_Quintano_Foods_Elec_ELV_As_Awarded.xlsx]Elec_Rates!$D$676</v>
      </c>
      <c r="E5351" s="911"/>
      <c r="F5351" s="911"/>
      <c r="G5351" s="912" t="s">
        <v>2598</v>
      </c>
      <c r="H5351" s="912"/>
      <c r="I5351" s="912"/>
      <c r="J5351" s="912"/>
      <c r="K5351" s="913"/>
      <c r="L5351" s="911"/>
      <c r="M5351" s="911"/>
      <c r="N5351" s="911"/>
      <c r="O5351" s="914"/>
      <c r="P5351" s="911"/>
      <c r="Q5351" s="915"/>
      <c r="R5351" s="916"/>
      <c r="S5351" s="915"/>
      <c r="T5351" s="917"/>
      <c r="U5351" s="918"/>
      <c r="AR5351"/>
      <c r="AS5351" s="911"/>
    </row>
    <row r="5352" spans="1:45" s="886" customFormat="1" ht="11.4">
      <c r="A5352" s="919">
        <v>108</v>
      </c>
      <c r="B5352" s="920">
        <v>1</v>
      </c>
      <c r="C5352" s="920">
        <f>$A5352*$B5352</f>
        <v>108</v>
      </c>
      <c r="D5352" s="921" t="str">
        <f>Elec_Rates!$D$676</f>
        <v>065# Install only Light fitting Type I1</v>
      </c>
      <c r="E5352" s="921"/>
      <c r="F5352" s="921" t="s">
        <v>2599</v>
      </c>
      <c r="G5352" s="922" t="s">
        <v>2601</v>
      </c>
      <c r="H5352" s="922"/>
      <c r="I5352" s="922"/>
      <c r="J5352" s="922"/>
      <c r="K5352" s="923"/>
      <c r="L5352" s="918"/>
      <c r="M5352" s="918"/>
      <c r="N5352" s="918"/>
      <c r="O5352" s="924"/>
      <c r="P5352" s="921"/>
      <c r="Q5352" s="925">
        <f ca="1">$B5352*Elec_Rates!$R$676</f>
        <v>13.01</v>
      </c>
      <c r="R5352" s="916">
        <f ca="1">$A5352*Q5352</f>
        <v>1405.08</v>
      </c>
      <c r="S5352" s="925">
        <f ca="1">$B5352*Elec_Rates!$T$676</f>
        <v>0.54</v>
      </c>
      <c r="T5352" s="917">
        <f ca="1">$A5352*S5352</f>
        <v>58.320000000000007</v>
      </c>
      <c r="U5352" s="926"/>
      <c r="AR5352" s="919">
        <v>108</v>
      </c>
      <c r="AS5352" s="921" t="s">
        <v>2599</v>
      </c>
    </row>
    <row r="5353" spans="1:45" s="520" customFormat="1" ht="12">
      <c r="A5353" s="758"/>
      <c r="B5353" s="758"/>
      <c r="C5353" s="758"/>
      <c r="D5353" s="758"/>
      <c r="E5353" s="758"/>
      <c r="F5353" s="753"/>
      <c r="G5353" s="758"/>
      <c r="H5353" s="758"/>
      <c r="I5353" s="519"/>
      <c r="J5353" s="758"/>
      <c r="K5353" s="758"/>
      <c r="L5353" s="758"/>
      <c r="M5353" s="758"/>
      <c r="N5353" s="758"/>
      <c r="O5353" s="758"/>
      <c r="P5353" s="758"/>
      <c r="Q5353" s="519"/>
      <c r="R5353" s="759">
        <f t="shared" ref="R5353" si="242">$A5353*Q5353</f>
        <v>0</v>
      </c>
      <c r="S5353" s="519"/>
      <c r="T5353" s="760">
        <f t="shared" ref="T5353" si="243">$A5353*S5353*$T$1</f>
        <v>0</v>
      </c>
      <c r="AR5353" s="758"/>
      <c r="AS5353" s="753"/>
    </row>
    <row r="5354" spans="1:45" s="520" customFormat="1" ht="12.6" thickBot="1">
      <c r="A5354" s="761" t="s">
        <v>145</v>
      </c>
      <c r="B5354" s="762">
        <f>(R5353+T5353)</f>
        <v>0</v>
      </c>
      <c r="C5354" s="763"/>
      <c r="D5354" s="763"/>
      <c r="E5354" s="763"/>
      <c r="F5354" s="764"/>
      <c r="G5354" s="763" t="s">
        <v>146</v>
      </c>
      <c r="H5354" s="763"/>
      <c r="I5354" s="765"/>
      <c r="J5354" s="763"/>
      <c r="K5354" s="763" t="s">
        <v>3</v>
      </c>
      <c r="L5354" s="766" t="s">
        <v>143</v>
      </c>
      <c r="M5354" s="766"/>
      <c r="N5354" s="766"/>
      <c r="O5354" s="766"/>
      <c r="P5354" s="766"/>
      <c r="Q5354" s="767"/>
      <c r="R5354" s="768">
        <f ca="1">SUM(R5350:R5353)</f>
        <v>1405.08</v>
      </c>
      <c r="S5354" s="763"/>
      <c r="T5354" s="768">
        <f ca="1">SUM(T5350:T5353)</f>
        <v>58.320000000000007</v>
      </c>
      <c r="U5354" s="531"/>
      <c r="V5354" s="531"/>
      <c r="W5354" s="531"/>
      <c r="X5354" s="531"/>
      <c r="Y5354" s="531"/>
      <c r="Z5354" s="531"/>
      <c r="AA5354" s="531"/>
      <c r="AB5354" s="531"/>
      <c r="AC5354" s="531"/>
      <c r="AD5354" s="531"/>
      <c r="AE5354" s="531"/>
      <c r="AF5354" s="531"/>
      <c r="AG5354" s="531"/>
      <c r="AH5354" s="531"/>
      <c r="AI5354" s="531"/>
      <c r="AJ5354" s="531"/>
      <c r="AK5354" s="531"/>
      <c r="AL5354" s="531"/>
      <c r="AM5354" s="531"/>
      <c r="AN5354" s="531"/>
      <c r="AO5354" s="531"/>
      <c r="AR5354" s="761" t="s">
        <v>145</v>
      </c>
      <c r="AS5354" s="764"/>
    </row>
    <row r="5355" spans="1:45" s="520" customFormat="1" ht="12" thickTop="1">
      <c r="A5355" s="51"/>
      <c r="B5355" s="41"/>
      <c r="C5355" s="51"/>
      <c r="E5355" s="42" t="s">
        <v>138</v>
      </c>
      <c r="F5355" s="42" t="s">
        <v>139</v>
      </c>
      <c r="G5355" s="51"/>
      <c r="H5355" s="51"/>
      <c r="I5355" s="51"/>
      <c r="J5355" s="51"/>
      <c r="K5355" s="51" t="s">
        <v>140</v>
      </c>
      <c r="L5355" s="51"/>
      <c r="M5355" s="51"/>
      <c r="N5355" s="51"/>
      <c r="O5355" s="52"/>
      <c r="P5355" s="51"/>
      <c r="Q5355" s="51"/>
      <c r="R5355" s="51"/>
      <c r="S5355" s="51"/>
      <c r="T5355" s="41"/>
      <c r="AG5355" s="521" t="s">
        <v>268</v>
      </c>
      <c r="AH5355" s="521" t="s">
        <v>269</v>
      </c>
      <c r="AI5355" s="521" t="s">
        <v>270</v>
      </c>
      <c r="AJ5355" s="521" t="s">
        <v>271</v>
      </c>
      <c r="AK5355" s="521" t="s">
        <v>272</v>
      </c>
      <c r="AM5355" s="745" t="s">
        <v>281</v>
      </c>
      <c r="AN5355" s="746" t="s">
        <v>282</v>
      </c>
      <c r="AO5355" s="522" t="s">
        <v>278</v>
      </c>
      <c r="AR5355" s="51"/>
      <c r="AS5355" s="42" t="s">
        <v>139</v>
      </c>
    </row>
    <row r="5356" spans="1:45" s="520" customFormat="1" ht="12" customHeight="1">
      <c r="A5356" s="747">
        <v>40</v>
      </c>
      <c r="B5356" s="523" t="s">
        <v>329</v>
      </c>
      <c r="C5356" s="748"/>
      <c r="D5356" s="749" t="s">
        <v>1886</v>
      </c>
      <c r="E5356" s="750">
        <f ca="1">IF(AND($A5356=0,$A$1="DIF"),0, ROUND(ROUND(($R5361*$S$2+($T5361*$T$2))/A5356,2)*$C$2,2))</f>
        <v>22.17</v>
      </c>
      <c r="F5356" s="751">
        <f ca="1">ROUND($A5356*$E5356,2)</f>
        <v>886.8</v>
      </c>
      <c r="G5356" s="752" t="s">
        <v>142</v>
      </c>
      <c r="H5356" s="753"/>
      <c r="I5356" s="754"/>
      <c r="J5356" s="753"/>
      <c r="K5356" s="753" t="s">
        <v>3</v>
      </c>
      <c r="L5356" s="755" t="s">
        <v>143</v>
      </c>
      <c r="M5356" s="755"/>
      <c r="N5356" s="755"/>
      <c r="O5356" s="755"/>
      <c r="P5356" s="755"/>
      <c r="Q5356" s="51"/>
      <c r="T5356" s="756" t="str">
        <f ca="1">IF(AND($R5361=0,$T5361=0),"0.00","mu :" &amp; ROUND($F5356/$C$2/($R5361+$T5361*$D$9),2))</f>
        <v>mu :1.23</v>
      </c>
      <c r="W5356" s="524"/>
      <c r="AG5356" s="481">
        <f ca="1">IF($E5356=0,0,ROUND($R5361*$S$2*$C$2/$A5356,2))</f>
        <v>6.28</v>
      </c>
      <c r="AH5356" s="481">
        <f ca="1">$AG5356*$A5356</f>
        <v>251.20000000000002</v>
      </c>
      <c r="AI5356" s="525">
        <f ca="1">$E5356-$AG5356</f>
        <v>15.89</v>
      </c>
      <c r="AJ5356" s="525">
        <f ca="1">$A5356*$AI5356</f>
        <v>635.6</v>
      </c>
      <c r="AK5356" s="526">
        <f ca="1">ROUND(($AG5356+$AI5356)*$A5356,2)</f>
        <v>886.8</v>
      </c>
      <c r="AM5356" s="527">
        <f ca="1">ROUND(R5361,2)</f>
        <v>204</v>
      </c>
      <c r="AN5356" s="528">
        <f ca="1">ROUND(T5361,2)</f>
        <v>18.8</v>
      </c>
      <c r="AO5356" s="529">
        <f ca="1">ROUND(AM5356+AN5356,2)*A5356</f>
        <v>8912</v>
      </c>
      <c r="AR5356" s="747">
        <v>40</v>
      </c>
      <c r="AS5356" s="751">
        <v>968</v>
      </c>
    </row>
    <row r="5357" spans="1:45" s="520" customFormat="1" ht="13.2">
      <c r="A5357" s="748"/>
      <c r="B5357"/>
      <c r="C5357" s="748"/>
      <c r="D5357" s="749" t="s">
        <v>903</v>
      </c>
      <c r="F5357" s="753"/>
      <c r="G5357" s="3"/>
      <c r="H5357" s="753"/>
      <c r="I5357" s="754"/>
      <c r="J5357" s="753"/>
      <c r="K5357" s="753" t="s">
        <v>144</v>
      </c>
      <c r="L5357" s="753"/>
      <c r="M5357" s="753"/>
      <c r="N5357" s="753"/>
      <c r="O5357" s="753"/>
      <c r="P5357" s="753"/>
      <c r="Q5357" s="51"/>
      <c r="R5357" s="530"/>
      <c r="S5357" s="757"/>
      <c r="T5357" s="753"/>
      <c r="AR5357" s="748"/>
      <c r="AS5357" s="753"/>
    </row>
    <row r="5358" spans="1:45" s="886" customFormat="1" ht="13.2">
      <c r="A5358"/>
      <c r="B5358" s="910"/>
      <c r="C5358" s="910" t="s">
        <v>2597</v>
      </c>
      <c r="D5358" s="910" t="str">
        <f ca="1">CELL("Address",Elec_Rates!D$715)</f>
        <v>[E25_0062_Quintano_Foods_Elec_ELV_As_Awarded.xlsx]Elec_Rates!$D$715</v>
      </c>
      <c r="E5358" s="911"/>
      <c r="F5358" s="911"/>
      <c r="G5358" s="912" t="s">
        <v>2598</v>
      </c>
      <c r="H5358" s="912"/>
      <c r="I5358" s="912"/>
      <c r="J5358" s="912"/>
      <c r="K5358" s="913"/>
      <c r="L5358" s="911"/>
      <c r="M5358" s="911"/>
      <c r="N5358" s="911"/>
      <c r="O5358" s="914"/>
      <c r="P5358" s="911"/>
      <c r="Q5358" s="915"/>
      <c r="R5358" s="916"/>
      <c r="S5358" s="915"/>
      <c r="T5358" s="917"/>
      <c r="U5358" s="918"/>
      <c r="AR5358"/>
      <c r="AS5358" s="911"/>
    </row>
    <row r="5359" spans="1:45" s="886" customFormat="1" ht="11.4">
      <c r="A5359" s="919">
        <v>40</v>
      </c>
      <c r="B5359" s="920">
        <v>1</v>
      </c>
      <c r="C5359" s="920">
        <f>$A5359*$B5359</f>
        <v>40</v>
      </c>
      <c r="D5359" s="921" t="str">
        <f>Elec_Rates!$D$715</f>
        <v>069# Install only Light fitting Type L1</v>
      </c>
      <c r="E5359" s="921"/>
      <c r="F5359" s="921" t="s">
        <v>2599</v>
      </c>
      <c r="G5359" s="922" t="s">
        <v>2600</v>
      </c>
      <c r="H5359" s="922"/>
      <c r="I5359" s="922"/>
      <c r="J5359" s="922"/>
      <c r="K5359" s="923"/>
      <c r="L5359" s="918"/>
      <c r="M5359" s="918"/>
      <c r="N5359" s="918"/>
      <c r="O5359" s="924"/>
      <c r="P5359" s="921"/>
      <c r="Q5359" s="925">
        <f ca="1">$B5359*Elec_Rates!$R$715</f>
        <v>5.0999999999999996</v>
      </c>
      <c r="R5359" s="916">
        <f ca="1">$A5359*Q5359</f>
        <v>204</v>
      </c>
      <c r="S5359" s="925">
        <f ca="1">$B5359*Elec_Rates!$T$715</f>
        <v>0.47</v>
      </c>
      <c r="T5359" s="917">
        <f ca="1">$A5359*S5359</f>
        <v>18.799999999999997</v>
      </c>
      <c r="U5359" s="926"/>
      <c r="AR5359" s="919">
        <v>40</v>
      </c>
      <c r="AS5359" s="921" t="s">
        <v>2599</v>
      </c>
    </row>
    <row r="5360" spans="1:45" s="520" customFormat="1" ht="12">
      <c r="A5360" s="758"/>
      <c r="B5360" s="758"/>
      <c r="C5360" s="758"/>
      <c r="D5360" s="758"/>
      <c r="E5360" s="758"/>
      <c r="F5360" s="753"/>
      <c r="G5360" s="758"/>
      <c r="H5360" s="758"/>
      <c r="I5360" s="519"/>
      <c r="J5360" s="758"/>
      <c r="K5360" s="758"/>
      <c r="L5360" s="758"/>
      <c r="M5360" s="758"/>
      <c r="N5360" s="758"/>
      <c r="O5360" s="758"/>
      <c r="P5360" s="758"/>
      <c r="Q5360" s="519"/>
      <c r="R5360" s="759">
        <f t="shared" ref="R5360" si="244">$A5360*Q5360</f>
        <v>0</v>
      </c>
      <c r="S5360" s="519"/>
      <c r="T5360" s="760">
        <f t="shared" ref="T5360" si="245">$A5360*S5360*$T$1</f>
        <v>0</v>
      </c>
      <c r="AR5360" s="758"/>
      <c r="AS5360" s="753"/>
    </row>
    <row r="5361" spans="1:45" s="520" customFormat="1" ht="12.6" thickBot="1">
      <c r="A5361" s="761" t="s">
        <v>145</v>
      </c>
      <c r="B5361" s="762">
        <f>(R5360+T5360)</f>
        <v>0</v>
      </c>
      <c r="C5361" s="763"/>
      <c r="D5361" s="763"/>
      <c r="E5361" s="763"/>
      <c r="F5361" s="764"/>
      <c r="G5361" s="763" t="s">
        <v>146</v>
      </c>
      <c r="H5361" s="763"/>
      <c r="I5361" s="765"/>
      <c r="J5361" s="763"/>
      <c r="K5361" s="763" t="s">
        <v>3</v>
      </c>
      <c r="L5361" s="766" t="s">
        <v>143</v>
      </c>
      <c r="M5361" s="766"/>
      <c r="N5361" s="766"/>
      <c r="O5361" s="766"/>
      <c r="P5361" s="766"/>
      <c r="Q5361" s="767"/>
      <c r="R5361" s="768">
        <f ca="1">SUM(R5357:R5360)</f>
        <v>204</v>
      </c>
      <c r="S5361" s="763"/>
      <c r="T5361" s="768">
        <f ca="1">SUM(T5357:T5360)</f>
        <v>18.799999999999997</v>
      </c>
      <c r="U5361" s="531"/>
      <c r="V5361" s="531"/>
      <c r="W5361" s="531"/>
      <c r="X5361" s="531"/>
      <c r="Y5361" s="531"/>
      <c r="Z5361" s="531"/>
      <c r="AA5361" s="531"/>
      <c r="AB5361" s="531"/>
      <c r="AC5361" s="531"/>
      <c r="AD5361" s="531"/>
      <c r="AE5361" s="531"/>
      <c r="AF5361" s="531"/>
      <c r="AG5361" s="531"/>
      <c r="AH5361" s="531"/>
      <c r="AI5361" s="531"/>
      <c r="AJ5361" s="531"/>
      <c r="AK5361" s="531"/>
      <c r="AL5361" s="531"/>
      <c r="AM5361" s="531"/>
      <c r="AN5361" s="531"/>
      <c r="AO5361" s="531"/>
      <c r="AR5361" s="761" t="s">
        <v>145</v>
      </c>
      <c r="AS5361" s="764"/>
    </row>
    <row r="5362" spans="1:45" s="520" customFormat="1" ht="12" thickTop="1">
      <c r="A5362" s="51"/>
      <c r="B5362" s="41"/>
      <c r="C5362" s="51"/>
      <c r="E5362" s="42" t="s">
        <v>138</v>
      </c>
      <c r="F5362" s="42" t="s">
        <v>139</v>
      </c>
      <c r="G5362" s="51"/>
      <c r="H5362" s="51"/>
      <c r="I5362" s="51"/>
      <c r="J5362" s="51"/>
      <c r="K5362" s="51" t="s">
        <v>140</v>
      </c>
      <c r="L5362" s="51"/>
      <c r="M5362" s="51"/>
      <c r="N5362" s="51"/>
      <c r="O5362" s="52"/>
      <c r="P5362" s="51"/>
      <c r="Q5362" s="51"/>
      <c r="R5362" s="51"/>
      <c r="S5362" s="51"/>
      <c r="T5362" s="41"/>
      <c r="AG5362" s="521" t="s">
        <v>268</v>
      </c>
      <c r="AH5362" s="521" t="s">
        <v>269</v>
      </c>
      <c r="AI5362" s="521" t="s">
        <v>270</v>
      </c>
      <c r="AJ5362" s="521" t="s">
        <v>271</v>
      </c>
      <c r="AK5362" s="521" t="s">
        <v>272</v>
      </c>
      <c r="AM5362" s="745" t="s">
        <v>281</v>
      </c>
      <c r="AN5362" s="746" t="s">
        <v>282</v>
      </c>
      <c r="AO5362" s="522" t="s">
        <v>278</v>
      </c>
      <c r="AR5362" s="51"/>
      <c r="AS5362" s="42" t="s">
        <v>139</v>
      </c>
    </row>
    <row r="5363" spans="1:45" s="520" customFormat="1" ht="12" customHeight="1">
      <c r="A5363" s="747">
        <v>35</v>
      </c>
      <c r="B5363" s="523" t="s">
        <v>329</v>
      </c>
      <c r="C5363" s="748"/>
      <c r="D5363" s="749" t="s">
        <v>1887</v>
      </c>
      <c r="E5363" s="750">
        <f ca="1">IF(AND($A5363=0,$A$1="DIF"),0, ROUND(ROUND(($R5368*$S$2+($T5368*$T$2))/A5363,2)*$C$2,2))</f>
        <v>33.07</v>
      </c>
      <c r="F5363" s="751">
        <f ca="1">ROUND($A5363*$E5363,2)</f>
        <v>1157.45</v>
      </c>
      <c r="G5363" s="752" t="s">
        <v>142</v>
      </c>
      <c r="H5363" s="753"/>
      <c r="I5363" s="754"/>
      <c r="J5363" s="753"/>
      <c r="K5363" s="753" t="s">
        <v>3</v>
      </c>
      <c r="L5363" s="755" t="s">
        <v>143</v>
      </c>
      <c r="M5363" s="755"/>
      <c r="N5363" s="755"/>
      <c r="O5363" s="755"/>
      <c r="P5363" s="755"/>
      <c r="Q5363" s="51"/>
      <c r="T5363" s="756" t="str">
        <f ca="1">IF(AND($R5368=0,$T5368=0),"0.00","mu :" &amp; ROUND($F5363/$C$2/($R5368+$T5368*$D$9),2))</f>
        <v>mu :1.23</v>
      </c>
      <c r="W5363" s="524"/>
      <c r="AG5363" s="481">
        <f ca="1">IF($E5363=0,0,ROUND($R5368*$S$2*$C$2/$A5363,2))</f>
        <v>16.170000000000002</v>
      </c>
      <c r="AH5363" s="481">
        <f ca="1">$AG5363*$A5363</f>
        <v>565.95000000000005</v>
      </c>
      <c r="AI5363" s="525">
        <f ca="1">$E5363-$AG5363</f>
        <v>16.899999999999999</v>
      </c>
      <c r="AJ5363" s="525">
        <f ca="1">$A5363*$AI5363</f>
        <v>591.5</v>
      </c>
      <c r="AK5363" s="526">
        <f ca="1">ROUND(($AG5363+$AI5363)*$A5363,2)</f>
        <v>1157.45</v>
      </c>
      <c r="AM5363" s="527">
        <f ca="1">ROUND(R5368,2)</f>
        <v>459.55</v>
      </c>
      <c r="AN5363" s="528">
        <f ca="1">ROUND(T5368,2)</f>
        <v>17.5</v>
      </c>
      <c r="AO5363" s="529">
        <f ca="1">ROUND(AM5363+AN5363,2)*A5363</f>
        <v>16696.75</v>
      </c>
      <c r="AR5363" s="747">
        <v>35</v>
      </c>
      <c r="AS5363" s="751">
        <v>1216.5999999999999</v>
      </c>
    </row>
    <row r="5364" spans="1:45" s="520" customFormat="1" ht="13.2">
      <c r="A5364" s="748"/>
      <c r="B5364"/>
      <c r="C5364" s="748"/>
      <c r="D5364" s="749" t="s">
        <v>904</v>
      </c>
      <c r="F5364" s="753"/>
      <c r="G5364" s="3"/>
      <c r="H5364" s="753"/>
      <c r="I5364" s="754"/>
      <c r="J5364" s="753"/>
      <c r="K5364" s="753" t="s">
        <v>144</v>
      </c>
      <c r="L5364" s="753"/>
      <c r="M5364" s="753"/>
      <c r="N5364" s="753"/>
      <c r="O5364" s="753"/>
      <c r="P5364" s="753"/>
      <c r="Q5364" s="51"/>
      <c r="R5364" s="530"/>
      <c r="S5364" s="757"/>
      <c r="T5364" s="753"/>
      <c r="AR5364" s="748"/>
      <c r="AS5364" s="753"/>
    </row>
    <row r="5365" spans="1:45" s="886" customFormat="1" ht="13.2">
      <c r="A5365"/>
      <c r="B5365" s="910"/>
      <c r="C5365" s="910" t="s">
        <v>2597</v>
      </c>
      <c r="D5365" s="910" t="str">
        <f ca="1">CELL("Address",Elec_Rates!D$723)</f>
        <v>[E25_0062_Quintano_Foods_Elec_ELV_As_Awarded.xlsx]Elec_Rates!$D$723</v>
      </c>
      <c r="E5365" s="911"/>
      <c r="F5365" s="911"/>
      <c r="G5365" s="912" t="s">
        <v>2598</v>
      </c>
      <c r="H5365" s="912"/>
      <c r="I5365" s="912"/>
      <c r="J5365" s="912"/>
      <c r="K5365" s="913"/>
      <c r="L5365" s="911"/>
      <c r="M5365" s="911"/>
      <c r="N5365" s="911"/>
      <c r="O5365" s="914"/>
      <c r="P5365" s="911"/>
      <c r="Q5365" s="915"/>
      <c r="R5365" s="916"/>
      <c r="S5365" s="915"/>
      <c r="T5365" s="917"/>
      <c r="U5365" s="918"/>
      <c r="AR5365"/>
      <c r="AS5365" s="911"/>
    </row>
    <row r="5366" spans="1:45" s="886" customFormat="1" ht="11.4">
      <c r="A5366" s="919">
        <v>35</v>
      </c>
      <c r="B5366" s="920">
        <v>1</v>
      </c>
      <c r="C5366" s="920">
        <f>$A5366*$B5366</f>
        <v>35</v>
      </c>
      <c r="D5366" s="921" t="str">
        <f>Elec_Rates!$D$723</f>
        <v>070# Install only Light fitting Type M1</v>
      </c>
      <c r="E5366" s="921"/>
      <c r="F5366" s="921" t="s">
        <v>2599</v>
      </c>
      <c r="G5366" s="922" t="s">
        <v>2601</v>
      </c>
      <c r="H5366" s="922"/>
      <c r="I5366" s="922"/>
      <c r="J5366" s="922"/>
      <c r="K5366" s="923"/>
      <c r="L5366" s="918"/>
      <c r="M5366" s="918"/>
      <c r="N5366" s="918"/>
      <c r="O5366" s="924"/>
      <c r="P5366" s="921"/>
      <c r="Q5366" s="925">
        <f ca="1">$B5366*Elec_Rates!$R$723</f>
        <v>13.13</v>
      </c>
      <c r="R5366" s="916">
        <f ca="1">$A5366*Q5366</f>
        <v>459.55</v>
      </c>
      <c r="S5366" s="925">
        <f ca="1">$B5366*Elec_Rates!$T$723</f>
        <v>0.5</v>
      </c>
      <c r="T5366" s="917">
        <f ca="1">$A5366*S5366</f>
        <v>17.5</v>
      </c>
      <c r="U5366" s="926"/>
      <c r="AR5366" s="919">
        <v>35</v>
      </c>
      <c r="AS5366" s="921" t="s">
        <v>2599</v>
      </c>
    </row>
    <row r="5367" spans="1:45" s="520" customFormat="1" ht="12">
      <c r="A5367" s="758"/>
      <c r="B5367" s="758"/>
      <c r="C5367" s="758"/>
      <c r="D5367" s="758"/>
      <c r="E5367" s="758"/>
      <c r="F5367" s="753"/>
      <c r="G5367" s="758"/>
      <c r="H5367" s="758"/>
      <c r="I5367" s="519"/>
      <c r="J5367" s="758"/>
      <c r="K5367" s="758"/>
      <c r="L5367" s="758"/>
      <c r="M5367" s="758"/>
      <c r="N5367" s="758"/>
      <c r="O5367" s="758"/>
      <c r="P5367" s="758"/>
      <c r="Q5367" s="519"/>
      <c r="R5367" s="759">
        <f t="shared" ref="R5367" si="246">$A5367*Q5367</f>
        <v>0</v>
      </c>
      <c r="S5367" s="519"/>
      <c r="T5367" s="760">
        <f t="shared" ref="T5367" si="247">$A5367*S5367*$T$1</f>
        <v>0</v>
      </c>
      <c r="AR5367" s="758"/>
      <c r="AS5367" s="753"/>
    </row>
    <row r="5368" spans="1:45" s="520" customFormat="1" ht="12.6" thickBot="1">
      <c r="A5368" s="761" t="s">
        <v>145</v>
      </c>
      <c r="B5368" s="762">
        <f>(R5367+T5367)</f>
        <v>0</v>
      </c>
      <c r="C5368" s="763"/>
      <c r="D5368" s="763"/>
      <c r="E5368" s="763"/>
      <c r="F5368" s="764"/>
      <c r="G5368" s="763" t="s">
        <v>146</v>
      </c>
      <c r="H5368" s="763"/>
      <c r="I5368" s="765"/>
      <c r="J5368" s="763"/>
      <c r="K5368" s="763" t="s">
        <v>3</v>
      </c>
      <c r="L5368" s="766" t="s">
        <v>143</v>
      </c>
      <c r="M5368" s="766"/>
      <c r="N5368" s="766"/>
      <c r="O5368" s="766"/>
      <c r="P5368" s="766"/>
      <c r="Q5368" s="767"/>
      <c r="R5368" s="768">
        <f ca="1">SUM(R5364:R5367)</f>
        <v>459.55</v>
      </c>
      <c r="S5368" s="763"/>
      <c r="T5368" s="768">
        <f ca="1">SUM(T5364:T5367)</f>
        <v>17.5</v>
      </c>
      <c r="U5368" s="531"/>
      <c r="V5368" s="531"/>
      <c r="W5368" s="531"/>
      <c r="X5368" s="531"/>
      <c r="Y5368" s="531"/>
      <c r="Z5368" s="531"/>
      <c r="AA5368" s="531"/>
      <c r="AB5368" s="531"/>
      <c r="AC5368" s="531"/>
      <c r="AD5368" s="531"/>
      <c r="AE5368" s="531"/>
      <c r="AF5368" s="531"/>
      <c r="AG5368" s="531"/>
      <c r="AH5368" s="531"/>
      <c r="AI5368" s="531"/>
      <c r="AJ5368" s="531"/>
      <c r="AK5368" s="531"/>
      <c r="AL5368" s="531"/>
      <c r="AM5368" s="531"/>
      <c r="AN5368" s="531"/>
      <c r="AO5368" s="531"/>
      <c r="AR5368" s="761" t="s">
        <v>145</v>
      </c>
      <c r="AS5368" s="764"/>
    </row>
    <row r="5369" spans="1:45" s="520" customFormat="1" thickTop="1">
      <c r="A5369" s="51"/>
      <c r="B5369" s="51"/>
      <c r="C5369" s="3"/>
      <c r="D5369" s="3"/>
      <c r="E5369" s="51"/>
      <c r="F5369" s="51"/>
      <c r="G5369" s="51"/>
      <c r="H5369" s="51"/>
      <c r="I5369" s="51"/>
      <c r="J5369" s="51"/>
      <c r="K5369" s="51" t="s">
        <v>134</v>
      </c>
      <c r="L5369" s="51"/>
      <c r="M5369" s="51"/>
      <c r="N5369" s="51"/>
      <c r="O5369" s="52"/>
      <c r="P5369" s="51"/>
      <c r="Q5369" s="51"/>
      <c r="R5369" s="51"/>
      <c r="S5369" s="51"/>
      <c r="T5369" s="51"/>
      <c r="AR5369" s="51"/>
      <c r="AS5369" s="51"/>
    </row>
    <row r="5370" spans="1:45" s="520" customFormat="1" ht="12">
      <c r="A5370" s="51"/>
      <c r="B5370" s="51"/>
      <c r="C5370" s="51" t="s">
        <v>135</v>
      </c>
      <c r="D5370" s="37"/>
      <c r="E5370" s="51"/>
      <c r="F5370" s="51"/>
      <c r="G5370" s="51"/>
      <c r="H5370" s="51"/>
      <c r="I5370" s="51"/>
      <c r="J5370" s="51"/>
      <c r="K5370" s="51"/>
      <c r="L5370" s="51"/>
      <c r="M5370" s="51"/>
      <c r="N5370" s="51"/>
      <c r="O5370" s="52"/>
      <c r="P5370" s="51"/>
      <c r="Q5370" s="51"/>
      <c r="R5370" s="51"/>
      <c r="S5370" s="51"/>
      <c r="T5370" s="51"/>
      <c r="AR5370" s="51"/>
      <c r="AS5370" s="51"/>
    </row>
    <row r="5371" spans="1:45" s="520" customFormat="1" ht="12">
      <c r="A5371" s="51"/>
      <c r="B5371" s="51"/>
      <c r="C5371" s="51"/>
      <c r="D5371" s="37" t="s">
        <v>362</v>
      </c>
      <c r="E5371" s="51"/>
      <c r="F5371" s="51"/>
      <c r="G5371" s="51"/>
      <c r="H5371" s="51"/>
      <c r="I5371" s="51"/>
      <c r="J5371" s="51"/>
      <c r="K5371" s="51"/>
      <c r="L5371" s="51"/>
      <c r="M5371" s="51"/>
      <c r="N5371" s="51"/>
      <c r="O5371" s="52"/>
      <c r="P5371" s="51"/>
      <c r="Q5371" s="51"/>
      <c r="R5371" s="51"/>
      <c r="S5371" s="38"/>
      <c r="T5371" s="38"/>
      <c r="AR5371" s="51"/>
      <c r="AS5371" s="51"/>
    </row>
    <row r="5372" spans="1:45" s="3" customFormat="1" thickBot="1">
      <c r="A5372" s="531"/>
      <c r="O5372" s="107"/>
      <c r="AR5372" s="531"/>
    </row>
    <row r="5373" spans="1:45" s="520" customFormat="1" ht="12" thickTop="1">
      <c r="A5373" s="51"/>
      <c r="B5373" s="41"/>
      <c r="C5373" s="51"/>
      <c r="E5373" s="42" t="s">
        <v>138</v>
      </c>
      <c r="F5373" s="42" t="s">
        <v>139</v>
      </c>
      <c r="G5373" s="51"/>
      <c r="H5373" s="51"/>
      <c r="I5373" s="51"/>
      <c r="J5373" s="51"/>
      <c r="K5373" s="51" t="s">
        <v>140</v>
      </c>
      <c r="L5373" s="51"/>
      <c r="M5373" s="51"/>
      <c r="N5373" s="51"/>
      <c r="O5373" s="52"/>
      <c r="P5373" s="51"/>
      <c r="Q5373" s="51"/>
      <c r="R5373" s="51"/>
      <c r="S5373" s="51"/>
      <c r="T5373" s="41"/>
      <c r="AG5373" s="521" t="s">
        <v>268</v>
      </c>
      <c r="AH5373" s="521" t="s">
        <v>269</v>
      </c>
      <c r="AI5373" s="521" t="s">
        <v>270</v>
      </c>
      <c r="AJ5373" s="521" t="s">
        <v>271</v>
      </c>
      <c r="AK5373" s="521" t="s">
        <v>272</v>
      </c>
      <c r="AM5373" s="745" t="s">
        <v>281</v>
      </c>
      <c r="AN5373" s="746" t="s">
        <v>282</v>
      </c>
      <c r="AO5373" s="522" t="s">
        <v>278</v>
      </c>
      <c r="AR5373" s="51"/>
      <c r="AS5373" s="42" t="s">
        <v>139</v>
      </c>
    </row>
    <row r="5374" spans="1:45" s="520" customFormat="1" ht="12" customHeight="1">
      <c r="A5374" s="747">
        <v>8</v>
      </c>
      <c r="B5374" s="523" t="s">
        <v>329</v>
      </c>
      <c r="C5374" s="748"/>
      <c r="D5374" s="749" t="s">
        <v>1888</v>
      </c>
      <c r="E5374" s="750">
        <f ca="1">IF(AND($A5374=0,$A$1="DIF"),0, ROUND(ROUND(($R5379*$S$2+($T5379*$T$2))/A5374,2)*$C$2,2))</f>
        <v>17.25</v>
      </c>
      <c r="F5374" s="751">
        <f ca="1">ROUND($A5374*$E5374,2)</f>
        <v>138</v>
      </c>
      <c r="G5374" s="752" t="s">
        <v>142</v>
      </c>
      <c r="H5374" s="753"/>
      <c r="I5374" s="754"/>
      <c r="J5374" s="753"/>
      <c r="K5374" s="753" t="s">
        <v>3</v>
      </c>
      <c r="L5374" s="755" t="s">
        <v>143</v>
      </c>
      <c r="M5374" s="755"/>
      <c r="N5374" s="755"/>
      <c r="O5374" s="755"/>
      <c r="P5374" s="755"/>
      <c r="Q5374" s="51"/>
      <c r="T5374" s="756" t="str">
        <f ca="1">IF(AND($R5379=0,$T5379=0),"0.00","mu :" &amp; ROUND($F5374/$C$2/($R5379+$T5379*$D$9),2))</f>
        <v>mu :1.23</v>
      </c>
      <c r="W5374" s="524"/>
      <c r="AG5374" s="481">
        <f ca="1">IF($E5374=0,0,ROUND($R5379*$S$2*$C$2/$A5374,2))</f>
        <v>1.35</v>
      </c>
      <c r="AH5374" s="481">
        <f ca="1">$AG5374*$A5374</f>
        <v>10.8</v>
      </c>
      <c r="AI5374" s="525">
        <f ca="1">$E5374-$AG5374</f>
        <v>15.9</v>
      </c>
      <c r="AJ5374" s="525">
        <f ca="1">$A5374*$AI5374</f>
        <v>127.2</v>
      </c>
      <c r="AK5374" s="526">
        <f ca="1">ROUND(($AG5374+$AI5374)*$A5374,2)</f>
        <v>138</v>
      </c>
      <c r="AM5374" s="527">
        <f ca="1">ROUND(R5379,2)</f>
        <v>8.8000000000000007</v>
      </c>
      <c r="AN5374" s="528">
        <f ca="1">ROUND(T5379,2)</f>
        <v>3.76</v>
      </c>
      <c r="AO5374" s="529">
        <f ca="1">ROUND(AM5374+AN5374,2)*A5374</f>
        <v>100.48</v>
      </c>
      <c r="AR5374" s="747">
        <v>8</v>
      </c>
      <c r="AS5374" s="751">
        <v>154.24</v>
      </c>
    </row>
    <row r="5375" spans="1:45" s="520" customFormat="1" ht="13.2">
      <c r="A5375" s="748"/>
      <c r="B5375"/>
      <c r="C5375" s="748"/>
      <c r="D5375" s="749" t="s">
        <v>897</v>
      </c>
      <c r="F5375" s="753"/>
      <c r="G5375" s="3"/>
      <c r="H5375" s="753"/>
      <c r="I5375" s="754"/>
      <c r="J5375" s="753"/>
      <c r="K5375" s="753" t="s">
        <v>144</v>
      </c>
      <c r="L5375" s="753"/>
      <c r="M5375" s="753"/>
      <c r="N5375" s="753"/>
      <c r="O5375" s="753"/>
      <c r="P5375" s="753"/>
      <c r="Q5375" s="51"/>
      <c r="R5375" s="530"/>
      <c r="S5375" s="757"/>
      <c r="T5375" s="753"/>
      <c r="AR5375" s="748"/>
      <c r="AS5375" s="753"/>
    </row>
    <row r="5376" spans="1:45" s="886" customFormat="1" ht="13.2">
      <c r="A5376"/>
      <c r="B5376" s="910"/>
      <c r="C5376" s="910" t="s">
        <v>2597</v>
      </c>
      <c r="D5376" s="910" t="str">
        <f ca="1">CELL("Address",Elec_Rates!D$545)</f>
        <v>[E25_0062_Quintano_Foods_Elec_ELV_As_Awarded.xlsx]Elec_Rates!$D$545</v>
      </c>
      <c r="E5376" s="911"/>
      <c r="F5376" s="911"/>
      <c r="G5376" s="912" t="s">
        <v>2598</v>
      </c>
      <c r="H5376" s="912"/>
      <c r="I5376" s="912"/>
      <c r="J5376" s="912"/>
      <c r="K5376" s="913"/>
      <c r="L5376" s="911"/>
      <c r="M5376" s="911"/>
      <c r="N5376" s="911"/>
      <c r="O5376" s="914"/>
      <c r="P5376" s="911"/>
      <c r="Q5376" s="915"/>
      <c r="R5376" s="916"/>
      <c r="S5376" s="915"/>
      <c r="T5376" s="917"/>
      <c r="U5376" s="918"/>
      <c r="AR5376"/>
      <c r="AS5376" s="911"/>
    </row>
    <row r="5377" spans="1:45" s="886" customFormat="1" ht="11.4">
      <c r="A5377" s="919">
        <v>8</v>
      </c>
      <c r="B5377" s="920">
        <v>1</v>
      </c>
      <c r="C5377" s="920">
        <f>$A5377*$B5377</f>
        <v>8</v>
      </c>
      <c r="D5377" s="921" t="str">
        <f>Elec_Rates!$D$545</f>
        <v>050# Install only Light fitting Type A1</v>
      </c>
      <c r="E5377" s="921"/>
      <c r="F5377" s="921" t="s">
        <v>2599</v>
      </c>
      <c r="G5377" s="922" t="s">
        <v>2600</v>
      </c>
      <c r="H5377" s="922"/>
      <c r="I5377" s="922"/>
      <c r="J5377" s="922"/>
      <c r="K5377" s="923"/>
      <c r="L5377" s="918"/>
      <c r="M5377" s="918"/>
      <c r="N5377" s="918"/>
      <c r="O5377" s="924"/>
      <c r="P5377" s="921"/>
      <c r="Q5377" s="925">
        <f ca="1">$B5377*Elec_Rates!$R$545</f>
        <v>1.1000000000000001</v>
      </c>
      <c r="R5377" s="916">
        <f ca="1">$A5377*Q5377</f>
        <v>8.8000000000000007</v>
      </c>
      <c r="S5377" s="925">
        <f ca="1">$B5377*Elec_Rates!$T$545</f>
        <v>0.47</v>
      </c>
      <c r="T5377" s="917">
        <f ca="1">$A5377*S5377</f>
        <v>3.76</v>
      </c>
      <c r="U5377" s="926"/>
      <c r="AR5377" s="919">
        <v>8</v>
      </c>
      <c r="AS5377" s="921" t="s">
        <v>2599</v>
      </c>
    </row>
    <row r="5378" spans="1:45" s="520" customFormat="1" ht="12">
      <c r="A5378" s="758"/>
      <c r="B5378" s="758"/>
      <c r="C5378" s="758"/>
      <c r="D5378" s="758"/>
      <c r="E5378" s="758"/>
      <c r="F5378" s="753"/>
      <c r="G5378" s="758"/>
      <c r="H5378" s="758"/>
      <c r="I5378" s="519"/>
      <c r="J5378" s="758"/>
      <c r="K5378" s="758"/>
      <c r="L5378" s="758"/>
      <c r="M5378" s="758"/>
      <c r="N5378" s="758"/>
      <c r="O5378" s="758"/>
      <c r="P5378" s="758"/>
      <c r="Q5378" s="519"/>
      <c r="R5378" s="759">
        <f t="shared" ref="R5378" si="248">$A5378*Q5378</f>
        <v>0</v>
      </c>
      <c r="S5378" s="519"/>
      <c r="T5378" s="760">
        <f t="shared" ref="T5378" si="249">$A5378*S5378*$T$1</f>
        <v>0</v>
      </c>
      <c r="AR5378" s="758"/>
      <c r="AS5378" s="753"/>
    </row>
    <row r="5379" spans="1:45" s="520" customFormat="1" ht="12.6" thickBot="1">
      <c r="A5379" s="761" t="s">
        <v>145</v>
      </c>
      <c r="B5379" s="762">
        <f>(R5378+T5378)</f>
        <v>0</v>
      </c>
      <c r="C5379" s="763"/>
      <c r="D5379" s="763"/>
      <c r="E5379" s="763"/>
      <c r="F5379" s="764"/>
      <c r="G5379" s="763" t="s">
        <v>146</v>
      </c>
      <c r="H5379" s="763"/>
      <c r="I5379" s="765"/>
      <c r="J5379" s="763"/>
      <c r="K5379" s="763" t="s">
        <v>3</v>
      </c>
      <c r="L5379" s="766" t="s">
        <v>143</v>
      </c>
      <c r="M5379" s="766"/>
      <c r="N5379" s="766"/>
      <c r="O5379" s="766"/>
      <c r="P5379" s="766"/>
      <c r="Q5379" s="767"/>
      <c r="R5379" s="768">
        <f ca="1">SUM(R5375:R5378)</f>
        <v>8.8000000000000007</v>
      </c>
      <c r="S5379" s="763"/>
      <c r="T5379" s="768">
        <f ca="1">SUM(T5375:T5378)</f>
        <v>3.76</v>
      </c>
      <c r="U5379" s="531"/>
      <c r="V5379" s="531"/>
      <c r="W5379" s="531"/>
      <c r="X5379" s="531"/>
      <c r="Y5379" s="531"/>
      <c r="Z5379" s="531"/>
      <c r="AA5379" s="531"/>
      <c r="AB5379" s="531"/>
      <c r="AC5379" s="531"/>
      <c r="AD5379" s="531"/>
      <c r="AE5379" s="531"/>
      <c r="AF5379" s="531"/>
      <c r="AG5379" s="531"/>
      <c r="AH5379" s="531"/>
      <c r="AI5379" s="531"/>
      <c r="AJ5379" s="531"/>
      <c r="AK5379" s="531"/>
      <c r="AL5379" s="531"/>
      <c r="AM5379" s="531"/>
      <c r="AN5379" s="531"/>
      <c r="AO5379" s="531"/>
      <c r="AR5379" s="761" t="s">
        <v>145</v>
      </c>
      <c r="AS5379" s="764"/>
    </row>
    <row r="5380" spans="1:45" s="520" customFormat="1" ht="12" thickTop="1">
      <c r="A5380" s="51"/>
      <c r="B5380" s="41"/>
      <c r="C5380" s="51"/>
      <c r="E5380" s="42" t="s">
        <v>138</v>
      </c>
      <c r="F5380" s="42" t="s">
        <v>139</v>
      </c>
      <c r="G5380" s="51"/>
      <c r="H5380" s="51"/>
      <c r="I5380" s="51"/>
      <c r="J5380" s="51"/>
      <c r="K5380" s="51" t="s">
        <v>140</v>
      </c>
      <c r="L5380" s="51"/>
      <c r="M5380" s="51"/>
      <c r="N5380" s="51"/>
      <c r="O5380" s="52"/>
      <c r="P5380" s="51"/>
      <c r="Q5380" s="51"/>
      <c r="R5380" s="51"/>
      <c r="S5380" s="51"/>
      <c r="T5380" s="41"/>
      <c r="AG5380" s="521" t="s">
        <v>268</v>
      </c>
      <c r="AH5380" s="521" t="s">
        <v>269</v>
      </c>
      <c r="AI5380" s="521" t="s">
        <v>270</v>
      </c>
      <c r="AJ5380" s="521" t="s">
        <v>271</v>
      </c>
      <c r="AK5380" s="521" t="s">
        <v>272</v>
      </c>
      <c r="AM5380" s="745" t="s">
        <v>281</v>
      </c>
      <c r="AN5380" s="746" t="s">
        <v>282</v>
      </c>
      <c r="AO5380" s="522" t="s">
        <v>278</v>
      </c>
      <c r="AR5380" s="51"/>
      <c r="AS5380" s="42" t="s">
        <v>139</v>
      </c>
    </row>
    <row r="5381" spans="1:45" s="520" customFormat="1" ht="12" customHeight="1">
      <c r="A5381" s="747">
        <v>4</v>
      </c>
      <c r="B5381" s="523" t="s">
        <v>329</v>
      </c>
      <c r="C5381" s="748"/>
      <c r="D5381" s="749" t="s">
        <v>1889</v>
      </c>
      <c r="E5381" s="750">
        <f ca="1">IF(AND($A5381=0,$A$1="DIF"),0, ROUND(ROUND(($R5386*$S$2+($T5386*$T$2))/A5381,2)*$C$2,2))</f>
        <v>17.739999999999998</v>
      </c>
      <c r="F5381" s="751">
        <f ca="1">ROUND($A5381*$E5381,2)</f>
        <v>70.959999999999994</v>
      </c>
      <c r="G5381" s="752" t="s">
        <v>142</v>
      </c>
      <c r="H5381" s="753"/>
      <c r="I5381" s="754"/>
      <c r="J5381" s="753"/>
      <c r="K5381" s="753" t="s">
        <v>3</v>
      </c>
      <c r="L5381" s="755" t="s">
        <v>143</v>
      </c>
      <c r="M5381" s="755"/>
      <c r="N5381" s="755"/>
      <c r="O5381" s="755"/>
      <c r="P5381" s="755"/>
      <c r="Q5381" s="51"/>
      <c r="T5381" s="756" t="str">
        <f ca="1">IF(AND($R5386=0,$T5386=0),"0.00","mu :" &amp; ROUND($F5381/$C$2/($R5386+$T5386*$D$9),2))</f>
        <v>mu :1.23</v>
      </c>
      <c r="W5381" s="524"/>
      <c r="AG5381" s="481">
        <f ca="1">IF($E5381=0,0,ROUND($R5386*$S$2*$C$2/$A5381,2))</f>
        <v>1.85</v>
      </c>
      <c r="AH5381" s="481">
        <f ca="1">$AG5381*$A5381</f>
        <v>7.4</v>
      </c>
      <c r="AI5381" s="525">
        <f ca="1">$E5381-$AG5381</f>
        <v>15.889999999999999</v>
      </c>
      <c r="AJ5381" s="525">
        <f ca="1">$A5381*$AI5381</f>
        <v>63.559999999999995</v>
      </c>
      <c r="AK5381" s="526">
        <f ca="1">ROUND(($AG5381+$AI5381)*$A5381,2)</f>
        <v>70.959999999999994</v>
      </c>
      <c r="AM5381" s="527">
        <f ca="1">ROUND(R5386,2)</f>
        <v>6</v>
      </c>
      <c r="AN5381" s="528">
        <f ca="1">ROUND(T5386,2)</f>
        <v>1.88</v>
      </c>
      <c r="AO5381" s="529">
        <f ca="1">ROUND(AM5381+AN5381,2)*A5381</f>
        <v>31.52</v>
      </c>
      <c r="AR5381" s="747">
        <v>4</v>
      </c>
      <c r="AS5381" s="751">
        <v>79.08</v>
      </c>
    </row>
    <row r="5382" spans="1:45" s="520" customFormat="1" ht="13.2">
      <c r="A5382" s="748"/>
      <c r="B5382"/>
      <c r="C5382" s="748"/>
      <c r="D5382" s="749" t="s">
        <v>898</v>
      </c>
      <c r="F5382" s="753"/>
      <c r="G5382" s="3"/>
      <c r="H5382" s="753"/>
      <c r="I5382" s="754"/>
      <c r="J5382" s="753"/>
      <c r="K5382" s="753" t="s">
        <v>144</v>
      </c>
      <c r="L5382" s="753"/>
      <c r="M5382" s="753"/>
      <c r="N5382" s="753"/>
      <c r="O5382" s="753"/>
      <c r="P5382" s="753"/>
      <c r="Q5382" s="51"/>
      <c r="R5382" s="530"/>
      <c r="S5382" s="757"/>
      <c r="T5382" s="753"/>
      <c r="AR5382" s="748"/>
      <c r="AS5382" s="753"/>
    </row>
    <row r="5383" spans="1:45" s="886" customFormat="1" ht="13.2">
      <c r="A5383"/>
      <c r="B5383" s="910"/>
      <c r="C5383" s="910" t="s">
        <v>2597</v>
      </c>
      <c r="D5383" s="910" t="str">
        <f ca="1">CELL("Address",Elec_Rates!D$552)</f>
        <v>[E25_0062_Quintano_Foods_Elec_ELV_As_Awarded.xlsx]Elec_Rates!$D$552</v>
      </c>
      <c r="E5383" s="911"/>
      <c r="F5383" s="911"/>
      <c r="G5383" s="912" t="s">
        <v>2598</v>
      </c>
      <c r="H5383" s="912"/>
      <c r="I5383" s="912"/>
      <c r="J5383" s="912"/>
      <c r="K5383" s="913"/>
      <c r="L5383" s="911"/>
      <c r="M5383" s="911"/>
      <c r="N5383" s="911"/>
      <c r="O5383" s="914"/>
      <c r="P5383" s="911"/>
      <c r="Q5383" s="915"/>
      <c r="R5383" s="916"/>
      <c r="S5383" s="915"/>
      <c r="T5383" s="917"/>
      <c r="U5383" s="918"/>
      <c r="AR5383"/>
      <c r="AS5383" s="911"/>
    </row>
    <row r="5384" spans="1:45" s="886" customFormat="1" ht="11.4">
      <c r="A5384" s="919">
        <v>4</v>
      </c>
      <c r="B5384" s="920">
        <v>1</v>
      </c>
      <c r="C5384" s="920">
        <f>$A5384*$B5384</f>
        <v>4</v>
      </c>
      <c r="D5384" s="921" t="str">
        <f>Elec_Rates!$D$552</f>
        <v>051# Install only Light fitting Type A2</v>
      </c>
      <c r="E5384" s="921"/>
      <c r="F5384" s="921" t="s">
        <v>2599</v>
      </c>
      <c r="G5384" s="922" t="s">
        <v>2601</v>
      </c>
      <c r="H5384" s="922"/>
      <c r="I5384" s="922"/>
      <c r="J5384" s="922"/>
      <c r="K5384" s="923"/>
      <c r="L5384" s="918"/>
      <c r="M5384" s="918"/>
      <c r="N5384" s="918"/>
      <c r="O5384" s="924"/>
      <c r="P5384" s="921"/>
      <c r="Q5384" s="925">
        <f ca="1">$B5384*Elec_Rates!$R$552</f>
        <v>1.5</v>
      </c>
      <c r="R5384" s="916">
        <f ca="1">$A5384*Q5384</f>
        <v>6</v>
      </c>
      <c r="S5384" s="925">
        <f ca="1">$B5384*Elec_Rates!$T$552</f>
        <v>0.47</v>
      </c>
      <c r="T5384" s="917">
        <f ca="1">$A5384*S5384</f>
        <v>1.88</v>
      </c>
      <c r="U5384" s="926"/>
      <c r="AR5384" s="919">
        <v>4</v>
      </c>
      <c r="AS5384" s="921" t="s">
        <v>2599</v>
      </c>
    </row>
    <row r="5385" spans="1:45" s="520" customFormat="1" ht="12">
      <c r="A5385" s="758"/>
      <c r="B5385" s="758"/>
      <c r="C5385" s="758"/>
      <c r="D5385" s="758"/>
      <c r="E5385" s="758"/>
      <c r="F5385" s="753"/>
      <c r="G5385" s="758"/>
      <c r="H5385" s="758"/>
      <c r="I5385" s="519"/>
      <c r="J5385" s="758"/>
      <c r="K5385" s="758"/>
      <c r="L5385" s="758"/>
      <c r="M5385" s="758"/>
      <c r="N5385" s="758"/>
      <c r="O5385" s="758"/>
      <c r="P5385" s="758"/>
      <c r="Q5385" s="519"/>
      <c r="R5385" s="759">
        <f t="shared" ref="R5385" si="250">$A5385*Q5385</f>
        <v>0</v>
      </c>
      <c r="S5385" s="519"/>
      <c r="T5385" s="760">
        <f t="shared" ref="T5385" si="251">$A5385*S5385*$T$1</f>
        <v>0</v>
      </c>
      <c r="AR5385" s="758"/>
      <c r="AS5385" s="753"/>
    </row>
    <row r="5386" spans="1:45" s="520" customFormat="1" ht="12.6" thickBot="1">
      <c r="A5386" s="761" t="s">
        <v>145</v>
      </c>
      <c r="B5386" s="762">
        <f>(R5385+T5385)</f>
        <v>0</v>
      </c>
      <c r="C5386" s="763"/>
      <c r="D5386" s="763"/>
      <c r="E5386" s="763"/>
      <c r="F5386" s="764"/>
      <c r="G5386" s="763" t="s">
        <v>146</v>
      </c>
      <c r="H5386" s="763"/>
      <c r="I5386" s="765"/>
      <c r="J5386" s="763"/>
      <c r="K5386" s="763" t="s">
        <v>3</v>
      </c>
      <c r="L5386" s="766" t="s">
        <v>143</v>
      </c>
      <c r="M5386" s="766"/>
      <c r="N5386" s="766"/>
      <c r="O5386" s="766"/>
      <c r="P5386" s="766"/>
      <c r="Q5386" s="767"/>
      <c r="R5386" s="768">
        <f ca="1">SUM(R5382:R5385)</f>
        <v>6</v>
      </c>
      <c r="S5386" s="763"/>
      <c r="T5386" s="768">
        <f ca="1">SUM(T5382:T5385)</f>
        <v>1.88</v>
      </c>
      <c r="U5386" s="531"/>
      <c r="V5386" s="531"/>
      <c r="W5386" s="531"/>
      <c r="X5386" s="531"/>
      <c r="Y5386" s="531"/>
      <c r="Z5386" s="531"/>
      <c r="AA5386" s="531"/>
      <c r="AB5386" s="531"/>
      <c r="AC5386" s="531"/>
      <c r="AD5386" s="531"/>
      <c r="AE5386" s="531"/>
      <c r="AF5386" s="531"/>
      <c r="AG5386" s="531"/>
      <c r="AH5386" s="531"/>
      <c r="AI5386" s="531"/>
      <c r="AJ5386" s="531"/>
      <c r="AK5386" s="531"/>
      <c r="AL5386" s="531"/>
      <c r="AM5386" s="531"/>
      <c r="AN5386" s="531"/>
      <c r="AO5386" s="531"/>
      <c r="AR5386" s="761" t="s">
        <v>145</v>
      </c>
      <c r="AS5386" s="764"/>
    </row>
    <row r="5387" spans="1:45" s="520" customFormat="1" ht="12" thickTop="1">
      <c r="A5387" s="51"/>
      <c r="B5387" s="41"/>
      <c r="C5387" s="51"/>
      <c r="E5387" s="42" t="s">
        <v>138</v>
      </c>
      <c r="F5387" s="42" t="s">
        <v>139</v>
      </c>
      <c r="G5387" s="51"/>
      <c r="H5387" s="51"/>
      <c r="I5387" s="51"/>
      <c r="J5387" s="51"/>
      <c r="K5387" s="51" t="s">
        <v>140</v>
      </c>
      <c r="L5387" s="51"/>
      <c r="M5387" s="51"/>
      <c r="N5387" s="51"/>
      <c r="O5387" s="52"/>
      <c r="P5387" s="51"/>
      <c r="Q5387" s="51"/>
      <c r="R5387" s="51"/>
      <c r="S5387" s="51"/>
      <c r="T5387" s="41"/>
      <c r="AG5387" s="521" t="s">
        <v>268</v>
      </c>
      <c r="AH5387" s="521" t="s">
        <v>269</v>
      </c>
      <c r="AI5387" s="521" t="s">
        <v>270</v>
      </c>
      <c r="AJ5387" s="521" t="s">
        <v>271</v>
      </c>
      <c r="AK5387" s="521" t="s">
        <v>272</v>
      </c>
      <c r="AM5387" s="745" t="s">
        <v>281</v>
      </c>
      <c r="AN5387" s="746" t="s">
        <v>282</v>
      </c>
      <c r="AO5387" s="522" t="s">
        <v>278</v>
      </c>
      <c r="AR5387" s="51"/>
      <c r="AS5387" s="42" t="s">
        <v>139</v>
      </c>
    </row>
    <row r="5388" spans="1:45" s="520" customFormat="1" ht="12" customHeight="1">
      <c r="A5388" s="747">
        <v>32</v>
      </c>
      <c r="B5388" s="523" t="s">
        <v>329</v>
      </c>
      <c r="C5388" s="748"/>
      <c r="D5388" s="749" t="s">
        <v>1890</v>
      </c>
      <c r="E5388" s="750">
        <f ca="1">IF(AND($A5388=0,$A$1="DIF"),0, ROUND(ROUND(($R5393*$S$2+($T5393*$T$2))/A5388,2)*$C$2,2))</f>
        <v>17.34</v>
      </c>
      <c r="F5388" s="751">
        <f ca="1">ROUND($A5388*$E5388,2)</f>
        <v>554.88</v>
      </c>
      <c r="G5388" s="752" t="s">
        <v>142</v>
      </c>
      <c r="H5388" s="753"/>
      <c r="I5388" s="754"/>
      <c r="J5388" s="753"/>
      <c r="K5388" s="753" t="s">
        <v>3</v>
      </c>
      <c r="L5388" s="755" t="s">
        <v>143</v>
      </c>
      <c r="M5388" s="755"/>
      <c r="N5388" s="755"/>
      <c r="O5388" s="755"/>
      <c r="P5388" s="755"/>
      <c r="Q5388" s="51"/>
      <c r="T5388" s="756" t="str">
        <f ca="1">IF(AND($R5393=0,$T5393=0),"0.00","mu :" &amp; ROUND($F5388/$C$2/($R5393+$T5393*$D$9),2))</f>
        <v>mu :1.23</v>
      </c>
      <c r="W5388" s="524"/>
      <c r="AG5388" s="481">
        <f ca="1">IF($E5388=0,0,ROUND($R5393*$S$2*$C$2/$A5388,2))</f>
        <v>1.45</v>
      </c>
      <c r="AH5388" s="481">
        <f ca="1">$AG5388*$A5388</f>
        <v>46.4</v>
      </c>
      <c r="AI5388" s="525">
        <f ca="1">$E5388-$AG5388</f>
        <v>15.89</v>
      </c>
      <c r="AJ5388" s="525">
        <f ca="1">$A5388*$AI5388</f>
        <v>508.48</v>
      </c>
      <c r="AK5388" s="526">
        <f ca="1">ROUND(($AG5388+$AI5388)*$A5388,2)</f>
        <v>554.88</v>
      </c>
      <c r="AM5388" s="527">
        <f ca="1">ROUND(R5393,2)</f>
        <v>37.76</v>
      </c>
      <c r="AN5388" s="528">
        <f ca="1">ROUND(T5393,2)</f>
        <v>15.04</v>
      </c>
      <c r="AO5388" s="529">
        <f ca="1">ROUND(AM5388+AN5388,2)*A5388</f>
        <v>1689.6</v>
      </c>
      <c r="AR5388" s="747">
        <v>32</v>
      </c>
      <c r="AS5388" s="751">
        <v>619.84</v>
      </c>
    </row>
    <row r="5389" spans="1:45" s="520" customFormat="1" ht="13.2">
      <c r="A5389" s="748"/>
      <c r="B5389"/>
      <c r="C5389" s="748"/>
      <c r="D5389" s="749" t="s">
        <v>885</v>
      </c>
      <c r="F5389" s="753"/>
      <c r="G5389" s="3"/>
      <c r="H5389" s="753"/>
      <c r="I5389" s="754"/>
      <c r="J5389" s="753"/>
      <c r="K5389" s="753" t="s">
        <v>144</v>
      </c>
      <c r="L5389" s="753"/>
      <c r="M5389" s="753"/>
      <c r="N5389" s="753"/>
      <c r="O5389" s="753"/>
      <c r="P5389" s="753"/>
      <c r="Q5389" s="51"/>
      <c r="R5389" s="530"/>
      <c r="S5389" s="757"/>
      <c r="T5389" s="753"/>
      <c r="AR5389" s="748"/>
      <c r="AS5389" s="753"/>
    </row>
    <row r="5390" spans="1:45" s="886" customFormat="1" ht="13.2">
      <c r="A5390"/>
      <c r="B5390" s="910"/>
      <c r="C5390" s="910" t="s">
        <v>2597</v>
      </c>
      <c r="D5390" s="910" t="str">
        <f ca="1">CELL("Address",Elec_Rates!D$559)</f>
        <v>[E25_0062_Quintano_Foods_Elec_ELV_As_Awarded.xlsx]Elec_Rates!$D$559</v>
      </c>
      <c r="E5390" s="911"/>
      <c r="F5390" s="911"/>
      <c r="G5390" s="912" t="s">
        <v>2598</v>
      </c>
      <c r="H5390" s="912"/>
      <c r="I5390" s="912"/>
      <c r="J5390" s="912"/>
      <c r="K5390" s="913"/>
      <c r="L5390" s="911"/>
      <c r="M5390" s="911"/>
      <c r="N5390" s="911"/>
      <c r="O5390" s="914"/>
      <c r="P5390" s="911"/>
      <c r="Q5390" s="915"/>
      <c r="R5390" s="916"/>
      <c r="S5390" s="915"/>
      <c r="T5390" s="917"/>
      <c r="U5390" s="918"/>
      <c r="AR5390"/>
      <c r="AS5390" s="911"/>
    </row>
    <row r="5391" spans="1:45" s="886" customFormat="1" ht="11.4">
      <c r="A5391" s="919">
        <v>32</v>
      </c>
      <c r="B5391" s="920">
        <v>1</v>
      </c>
      <c r="C5391" s="920">
        <f>$A5391*$B5391</f>
        <v>32</v>
      </c>
      <c r="D5391" s="921" t="str">
        <f>Elec_Rates!$D$559</f>
        <v>052# Install only Light fitting Type B1</v>
      </c>
      <c r="E5391" s="921"/>
      <c r="F5391" s="921" t="s">
        <v>2599</v>
      </c>
      <c r="G5391" s="922" t="s">
        <v>2601</v>
      </c>
      <c r="H5391" s="922"/>
      <c r="I5391" s="922"/>
      <c r="J5391" s="922"/>
      <c r="K5391" s="923"/>
      <c r="L5391" s="918"/>
      <c r="M5391" s="918"/>
      <c r="N5391" s="918"/>
      <c r="O5391" s="924"/>
      <c r="P5391" s="921"/>
      <c r="Q5391" s="925">
        <f ca="1">$B5391*Elec_Rates!$R$559</f>
        <v>1.18</v>
      </c>
      <c r="R5391" s="916">
        <f ca="1">$A5391*Q5391</f>
        <v>37.76</v>
      </c>
      <c r="S5391" s="925">
        <f ca="1">$B5391*Elec_Rates!$T$559</f>
        <v>0.47</v>
      </c>
      <c r="T5391" s="917">
        <f ca="1">$A5391*S5391</f>
        <v>15.04</v>
      </c>
      <c r="U5391" s="926"/>
      <c r="AR5391" s="919">
        <v>32</v>
      </c>
      <c r="AS5391" s="921" t="s">
        <v>2599</v>
      </c>
    </row>
    <row r="5392" spans="1:45" s="520" customFormat="1" ht="12">
      <c r="A5392" s="758"/>
      <c r="B5392" s="758"/>
      <c r="C5392" s="758"/>
      <c r="D5392" s="758"/>
      <c r="E5392" s="758"/>
      <c r="F5392" s="753"/>
      <c r="G5392" s="758"/>
      <c r="H5392" s="758"/>
      <c r="I5392" s="519"/>
      <c r="J5392" s="758"/>
      <c r="K5392" s="758"/>
      <c r="L5392" s="758"/>
      <c r="M5392" s="758"/>
      <c r="N5392" s="758"/>
      <c r="O5392" s="758"/>
      <c r="P5392" s="758"/>
      <c r="Q5392" s="519"/>
      <c r="R5392" s="759">
        <f t="shared" ref="R5392" si="252">$A5392*Q5392</f>
        <v>0</v>
      </c>
      <c r="S5392" s="519"/>
      <c r="T5392" s="760">
        <f t="shared" ref="T5392" si="253">$A5392*S5392*$T$1</f>
        <v>0</v>
      </c>
      <c r="AR5392" s="758"/>
      <c r="AS5392" s="753"/>
    </row>
    <row r="5393" spans="1:45" s="520" customFormat="1" ht="12.6" thickBot="1">
      <c r="A5393" s="761" t="s">
        <v>145</v>
      </c>
      <c r="B5393" s="762">
        <f>(R5392+T5392)</f>
        <v>0</v>
      </c>
      <c r="C5393" s="763"/>
      <c r="D5393" s="763"/>
      <c r="E5393" s="763"/>
      <c r="F5393" s="764"/>
      <c r="G5393" s="763" t="s">
        <v>146</v>
      </c>
      <c r="H5393" s="763"/>
      <c r="I5393" s="765"/>
      <c r="J5393" s="763"/>
      <c r="K5393" s="763" t="s">
        <v>3</v>
      </c>
      <c r="L5393" s="766" t="s">
        <v>143</v>
      </c>
      <c r="M5393" s="766"/>
      <c r="N5393" s="766"/>
      <c r="O5393" s="766"/>
      <c r="P5393" s="766"/>
      <c r="Q5393" s="767"/>
      <c r="R5393" s="768">
        <f ca="1">SUM(R5389:R5392)</f>
        <v>37.76</v>
      </c>
      <c r="S5393" s="763"/>
      <c r="T5393" s="768">
        <f ca="1">SUM(T5389:T5392)</f>
        <v>15.04</v>
      </c>
      <c r="U5393" s="531"/>
      <c r="V5393" s="531"/>
      <c r="W5393" s="531"/>
      <c r="X5393" s="531"/>
      <c r="Y5393" s="531"/>
      <c r="Z5393" s="531"/>
      <c r="AA5393" s="531"/>
      <c r="AB5393" s="531"/>
      <c r="AC5393" s="531"/>
      <c r="AD5393" s="531"/>
      <c r="AE5393" s="531"/>
      <c r="AF5393" s="531"/>
      <c r="AG5393" s="531"/>
      <c r="AH5393" s="531"/>
      <c r="AI5393" s="531"/>
      <c r="AJ5393" s="531"/>
      <c r="AK5393" s="531"/>
      <c r="AL5393" s="531"/>
      <c r="AM5393" s="531"/>
      <c r="AN5393" s="531"/>
      <c r="AO5393" s="531"/>
      <c r="AR5393" s="761" t="s">
        <v>145</v>
      </c>
      <c r="AS5393" s="764"/>
    </row>
    <row r="5394" spans="1:45" s="520" customFormat="1" ht="12" thickTop="1">
      <c r="A5394" s="51"/>
      <c r="B5394" s="41"/>
      <c r="C5394" s="51"/>
      <c r="E5394" s="42" t="s">
        <v>138</v>
      </c>
      <c r="F5394" s="42" t="s">
        <v>139</v>
      </c>
      <c r="G5394" s="51"/>
      <c r="H5394" s="51"/>
      <c r="I5394" s="51"/>
      <c r="J5394" s="51"/>
      <c r="K5394" s="51" t="s">
        <v>140</v>
      </c>
      <c r="L5394" s="51"/>
      <c r="M5394" s="51"/>
      <c r="N5394" s="51"/>
      <c r="O5394" s="52"/>
      <c r="P5394" s="51"/>
      <c r="Q5394" s="51"/>
      <c r="R5394" s="51"/>
      <c r="S5394" s="51"/>
      <c r="T5394" s="41"/>
      <c r="AG5394" s="521" t="s">
        <v>268</v>
      </c>
      <c r="AH5394" s="521" t="s">
        <v>269</v>
      </c>
      <c r="AI5394" s="521" t="s">
        <v>270</v>
      </c>
      <c r="AJ5394" s="521" t="s">
        <v>271</v>
      </c>
      <c r="AK5394" s="521" t="s">
        <v>272</v>
      </c>
      <c r="AM5394" s="745" t="s">
        <v>281</v>
      </c>
      <c r="AN5394" s="746" t="s">
        <v>282</v>
      </c>
      <c r="AO5394" s="522" t="s">
        <v>278</v>
      </c>
      <c r="AR5394" s="51"/>
      <c r="AS5394" s="42" t="s">
        <v>139</v>
      </c>
    </row>
    <row r="5395" spans="1:45" s="520" customFormat="1" ht="12" customHeight="1">
      <c r="A5395" s="747">
        <v>16</v>
      </c>
      <c r="B5395" s="523" t="s">
        <v>329</v>
      </c>
      <c r="C5395" s="748"/>
      <c r="D5395" s="749" t="s">
        <v>1891</v>
      </c>
      <c r="E5395" s="750">
        <f ca="1">IF(AND($A5395=0,$A$1="DIF"),0, ROUND(ROUND(($R5400*$S$2+($T5400*$T$2))/A5395,2)*$C$2,2))</f>
        <v>17.84</v>
      </c>
      <c r="F5395" s="751">
        <f ca="1">ROUND($A5395*$E5395,2)</f>
        <v>285.44</v>
      </c>
      <c r="G5395" s="752" t="s">
        <v>142</v>
      </c>
      <c r="H5395" s="753"/>
      <c r="I5395" s="754"/>
      <c r="J5395" s="753"/>
      <c r="K5395" s="753" t="s">
        <v>3</v>
      </c>
      <c r="L5395" s="755" t="s">
        <v>143</v>
      </c>
      <c r="M5395" s="755"/>
      <c r="N5395" s="755"/>
      <c r="O5395" s="755"/>
      <c r="P5395" s="755"/>
      <c r="Q5395" s="51"/>
      <c r="T5395" s="756" t="str">
        <f ca="1">IF(AND($R5400=0,$T5400=0),"0.00","mu :" &amp; ROUND($F5395/$C$2/($R5400+$T5400*$D$9),2))</f>
        <v>mu :1.23</v>
      </c>
      <c r="W5395" s="524"/>
      <c r="AG5395" s="481">
        <f ca="1">IF($E5395=0,0,ROUND($R5400*$S$2*$C$2/$A5395,2))</f>
        <v>1.95</v>
      </c>
      <c r="AH5395" s="481">
        <f ca="1">$AG5395*$A5395</f>
        <v>31.2</v>
      </c>
      <c r="AI5395" s="525">
        <f ca="1">$E5395-$AG5395</f>
        <v>15.89</v>
      </c>
      <c r="AJ5395" s="525">
        <f ca="1">$A5395*$AI5395</f>
        <v>254.24</v>
      </c>
      <c r="AK5395" s="526">
        <f ca="1">ROUND(($AG5395+$AI5395)*$A5395,2)</f>
        <v>285.44</v>
      </c>
      <c r="AM5395" s="527">
        <f ca="1">ROUND(R5400,2)</f>
        <v>25.28</v>
      </c>
      <c r="AN5395" s="528">
        <f ca="1">ROUND(T5400,2)</f>
        <v>7.52</v>
      </c>
      <c r="AO5395" s="529">
        <f ca="1">ROUND(AM5395+AN5395,2)*A5395</f>
        <v>524.79999999999995</v>
      </c>
      <c r="AR5395" s="747">
        <v>16</v>
      </c>
      <c r="AS5395" s="751">
        <v>317.92</v>
      </c>
    </row>
    <row r="5396" spans="1:45" s="520" customFormat="1" ht="13.2">
      <c r="A5396" s="748"/>
      <c r="B5396"/>
      <c r="C5396" s="748"/>
      <c r="D5396" s="749" t="s">
        <v>886</v>
      </c>
      <c r="F5396" s="753"/>
      <c r="G5396" s="3"/>
      <c r="H5396" s="753"/>
      <c r="I5396" s="754"/>
      <c r="J5396" s="753"/>
      <c r="K5396" s="753" t="s">
        <v>144</v>
      </c>
      <c r="L5396" s="753"/>
      <c r="M5396" s="753"/>
      <c r="N5396" s="753"/>
      <c r="O5396" s="753"/>
      <c r="P5396" s="753"/>
      <c r="Q5396" s="51"/>
      <c r="R5396" s="530"/>
      <c r="S5396" s="757"/>
      <c r="T5396" s="753"/>
      <c r="AR5396" s="748"/>
      <c r="AS5396" s="753"/>
    </row>
    <row r="5397" spans="1:45" s="886" customFormat="1" ht="13.2">
      <c r="A5397"/>
      <c r="B5397" s="910"/>
      <c r="C5397" s="910" t="s">
        <v>2597</v>
      </c>
      <c r="D5397" s="910" t="str">
        <f ca="1">CELL("Address",Elec_Rates!D$568)</f>
        <v>[E25_0062_Quintano_Foods_Elec_ELV_As_Awarded.xlsx]Elec_Rates!$D$568</v>
      </c>
      <c r="E5397" s="911"/>
      <c r="F5397" s="911"/>
      <c r="G5397" s="912" t="s">
        <v>2598</v>
      </c>
      <c r="H5397" s="912"/>
      <c r="I5397" s="912"/>
      <c r="J5397" s="912"/>
      <c r="K5397" s="913"/>
      <c r="L5397" s="911"/>
      <c r="M5397" s="911"/>
      <c r="N5397" s="911"/>
      <c r="O5397" s="914"/>
      <c r="P5397" s="911"/>
      <c r="Q5397" s="915"/>
      <c r="R5397" s="916"/>
      <c r="S5397" s="915"/>
      <c r="T5397" s="917"/>
      <c r="U5397" s="918"/>
      <c r="AR5397"/>
      <c r="AS5397" s="911"/>
    </row>
    <row r="5398" spans="1:45" s="886" customFormat="1" ht="11.4">
      <c r="A5398" s="919">
        <v>16</v>
      </c>
      <c r="B5398" s="920">
        <v>1</v>
      </c>
      <c r="C5398" s="920">
        <f>$A5398*$B5398</f>
        <v>16</v>
      </c>
      <c r="D5398" s="921" t="str">
        <f>Elec_Rates!$D$568</f>
        <v>053# Install only Light fitting Type B2</v>
      </c>
      <c r="E5398" s="921"/>
      <c r="F5398" s="921" t="s">
        <v>2599</v>
      </c>
      <c r="G5398" s="922" t="s">
        <v>2600</v>
      </c>
      <c r="H5398" s="922"/>
      <c r="I5398" s="922"/>
      <c r="J5398" s="922"/>
      <c r="K5398" s="923"/>
      <c r="L5398" s="918"/>
      <c r="M5398" s="918"/>
      <c r="N5398" s="918"/>
      <c r="O5398" s="924"/>
      <c r="P5398" s="921"/>
      <c r="Q5398" s="925">
        <f ca="1">$B5398*Elec_Rates!$R$568</f>
        <v>1.58</v>
      </c>
      <c r="R5398" s="916">
        <f ca="1">$A5398*Q5398</f>
        <v>25.28</v>
      </c>
      <c r="S5398" s="925">
        <f ca="1">$B5398*Elec_Rates!$T$568</f>
        <v>0.47</v>
      </c>
      <c r="T5398" s="917">
        <f ca="1">$A5398*S5398</f>
        <v>7.52</v>
      </c>
      <c r="U5398" s="926"/>
      <c r="AR5398" s="919">
        <v>16</v>
      </c>
      <c r="AS5398" s="921" t="s">
        <v>2599</v>
      </c>
    </row>
    <row r="5399" spans="1:45" s="520" customFormat="1" ht="12">
      <c r="A5399" s="758"/>
      <c r="B5399" s="758"/>
      <c r="C5399" s="758"/>
      <c r="D5399" s="758"/>
      <c r="E5399" s="758"/>
      <c r="F5399" s="753"/>
      <c r="G5399" s="758"/>
      <c r="H5399" s="758"/>
      <c r="I5399" s="519"/>
      <c r="J5399" s="758"/>
      <c r="K5399" s="758"/>
      <c r="L5399" s="758"/>
      <c r="M5399" s="758"/>
      <c r="N5399" s="758"/>
      <c r="O5399" s="758"/>
      <c r="P5399" s="758"/>
      <c r="Q5399" s="519"/>
      <c r="R5399" s="759">
        <f t="shared" ref="R5399" si="254">$A5399*Q5399</f>
        <v>0</v>
      </c>
      <c r="S5399" s="519"/>
      <c r="T5399" s="760">
        <f t="shared" ref="T5399" si="255">$A5399*S5399*$T$1</f>
        <v>0</v>
      </c>
      <c r="AR5399" s="758"/>
      <c r="AS5399" s="753"/>
    </row>
    <row r="5400" spans="1:45" s="520" customFormat="1" ht="12.6" thickBot="1">
      <c r="A5400" s="761" t="s">
        <v>145</v>
      </c>
      <c r="B5400" s="762">
        <f>(R5399+T5399)</f>
        <v>0</v>
      </c>
      <c r="C5400" s="763"/>
      <c r="D5400" s="763"/>
      <c r="E5400" s="763"/>
      <c r="F5400" s="764"/>
      <c r="G5400" s="763" t="s">
        <v>146</v>
      </c>
      <c r="H5400" s="763"/>
      <c r="I5400" s="765"/>
      <c r="J5400" s="763"/>
      <c r="K5400" s="763" t="s">
        <v>3</v>
      </c>
      <c r="L5400" s="766" t="s">
        <v>143</v>
      </c>
      <c r="M5400" s="766"/>
      <c r="N5400" s="766"/>
      <c r="O5400" s="766"/>
      <c r="P5400" s="766"/>
      <c r="Q5400" s="767"/>
      <c r="R5400" s="768">
        <f ca="1">SUM(R5396:R5399)</f>
        <v>25.28</v>
      </c>
      <c r="S5400" s="763"/>
      <c r="T5400" s="768">
        <f ca="1">SUM(T5396:T5399)</f>
        <v>7.52</v>
      </c>
      <c r="U5400" s="531"/>
      <c r="V5400" s="531"/>
      <c r="W5400" s="531"/>
      <c r="X5400" s="531"/>
      <c r="Y5400" s="531"/>
      <c r="Z5400" s="531"/>
      <c r="AA5400" s="531"/>
      <c r="AB5400" s="531"/>
      <c r="AC5400" s="531"/>
      <c r="AD5400" s="531"/>
      <c r="AE5400" s="531"/>
      <c r="AF5400" s="531"/>
      <c r="AG5400" s="531"/>
      <c r="AH5400" s="531"/>
      <c r="AI5400" s="531"/>
      <c r="AJ5400" s="531"/>
      <c r="AK5400" s="531"/>
      <c r="AL5400" s="531"/>
      <c r="AM5400" s="531"/>
      <c r="AN5400" s="531"/>
      <c r="AO5400" s="531"/>
      <c r="AR5400" s="761" t="s">
        <v>145</v>
      </c>
      <c r="AS5400" s="764"/>
    </row>
    <row r="5401" spans="1:45" s="520" customFormat="1" ht="12" thickTop="1">
      <c r="A5401" s="51"/>
      <c r="B5401" s="41"/>
      <c r="C5401" s="51"/>
      <c r="E5401" s="42" t="s">
        <v>138</v>
      </c>
      <c r="F5401" s="42" t="s">
        <v>139</v>
      </c>
      <c r="G5401" s="51"/>
      <c r="H5401" s="51"/>
      <c r="I5401" s="51"/>
      <c r="J5401" s="51"/>
      <c r="K5401" s="51" t="s">
        <v>140</v>
      </c>
      <c r="L5401" s="51"/>
      <c r="M5401" s="51"/>
      <c r="N5401" s="51"/>
      <c r="O5401" s="52"/>
      <c r="P5401" s="51"/>
      <c r="Q5401" s="51"/>
      <c r="R5401" s="51"/>
      <c r="S5401" s="51"/>
      <c r="T5401" s="41"/>
      <c r="AG5401" s="521" t="s">
        <v>268</v>
      </c>
      <c r="AH5401" s="521" t="s">
        <v>269</v>
      </c>
      <c r="AI5401" s="521" t="s">
        <v>270</v>
      </c>
      <c r="AJ5401" s="521" t="s">
        <v>271</v>
      </c>
      <c r="AK5401" s="521" t="s">
        <v>272</v>
      </c>
      <c r="AM5401" s="745" t="s">
        <v>281</v>
      </c>
      <c r="AN5401" s="746" t="s">
        <v>282</v>
      </c>
      <c r="AO5401" s="522" t="s">
        <v>278</v>
      </c>
      <c r="AR5401" s="51"/>
      <c r="AS5401" s="42" t="s">
        <v>139</v>
      </c>
    </row>
    <row r="5402" spans="1:45" s="520" customFormat="1" ht="12" customHeight="1">
      <c r="A5402" s="747">
        <v>1</v>
      </c>
      <c r="B5402" s="523" t="s">
        <v>329</v>
      </c>
      <c r="C5402" s="748"/>
      <c r="D5402" s="749" t="s">
        <v>1892</v>
      </c>
      <c r="E5402" s="750">
        <f ca="1">IF(AND($A5402=0,$A$1="DIF"),0, ROUND(ROUND(($R5407*$S$2+($T5407*$T$2))/A5402,2)*$C$2,2))</f>
        <v>17.84</v>
      </c>
      <c r="F5402" s="751">
        <f ca="1">ROUND($A5402*$E5402,2)</f>
        <v>17.84</v>
      </c>
      <c r="G5402" s="752" t="s">
        <v>142</v>
      </c>
      <c r="H5402" s="753"/>
      <c r="I5402" s="754"/>
      <c r="J5402" s="753"/>
      <c r="K5402" s="753" t="s">
        <v>3</v>
      </c>
      <c r="L5402" s="755" t="s">
        <v>143</v>
      </c>
      <c r="M5402" s="755"/>
      <c r="N5402" s="755"/>
      <c r="O5402" s="755"/>
      <c r="P5402" s="755"/>
      <c r="Q5402" s="51"/>
      <c r="T5402" s="756" t="str">
        <f ca="1">IF(AND($R5407=0,$T5407=0),"0.00","mu :" &amp; ROUND($F5402/$C$2/($R5407+$T5407*$D$9),2))</f>
        <v>mu :1.23</v>
      </c>
      <c r="W5402" s="524"/>
      <c r="AG5402" s="481">
        <f ca="1">IF($E5402=0,0,ROUND($R5407*$S$2*$C$2/$A5402,2))</f>
        <v>1.95</v>
      </c>
      <c r="AH5402" s="481">
        <f ca="1">$AG5402*$A5402</f>
        <v>1.95</v>
      </c>
      <c r="AI5402" s="525">
        <f ca="1">$E5402-$AG5402</f>
        <v>15.89</v>
      </c>
      <c r="AJ5402" s="525">
        <f ca="1">$A5402*$AI5402</f>
        <v>15.89</v>
      </c>
      <c r="AK5402" s="526">
        <f ca="1">ROUND(($AG5402+$AI5402)*$A5402,2)</f>
        <v>17.84</v>
      </c>
      <c r="AM5402" s="527">
        <f ca="1">ROUND(R5407,2)</f>
        <v>1.58</v>
      </c>
      <c r="AN5402" s="528">
        <f ca="1">ROUND(T5407,2)</f>
        <v>0.47</v>
      </c>
      <c r="AO5402" s="529">
        <f ca="1">ROUND(AM5402+AN5402,2)*A5402</f>
        <v>2.0499999999999998</v>
      </c>
      <c r="AR5402" s="747">
        <v>1</v>
      </c>
      <c r="AS5402" s="751">
        <v>19.87</v>
      </c>
    </row>
    <row r="5403" spans="1:45" s="520" customFormat="1" ht="13.2">
      <c r="A5403" s="748"/>
      <c r="B5403"/>
      <c r="C5403" s="748"/>
      <c r="D5403" s="749" t="s">
        <v>887</v>
      </c>
      <c r="F5403" s="753"/>
      <c r="G5403" s="3"/>
      <c r="H5403" s="753"/>
      <c r="I5403" s="754"/>
      <c r="J5403" s="753"/>
      <c r="K5403" s="753" t="s">
        <v>144</v>
      </c>
      <c r="L5403" s="753"/>
      <c r="M5403" s="753"/>
      <c r="N5403" s="753"/>
      <c r="O5403" s="753"/>
      <c r="P5403" s="753"/>
      <c r="Q5403" s="51"/>
      <c r="R5403" s="530"/>
      <c r="S5403" s="757"/>
      <c r="T5403" s="753"/>
      <c r="AR5403" s="748"/>
      <c r="AS5403" s="753"/>
    </row>
    <row r="5404" spans="1:45" s="886" customFormat="1" ht="13.2">
      <c r="A5404"/>
      <c r="B5404" s="910"/>
      <c r="C5404" s="910" t="s">
        <v>2597</v>
      </c>
      <c r="D5404" s="910" t="str">
        <f ca="1">CELL("Address",Elec_Rates!D$577)</f>
        <v>[E25_0062_Quintano_Foods_Elec_ELV_As_Awarded.xlsx]Elec_Rates!$D$577</v>
      </c>
      <c r="E5404" s="911"/>
      <c r="F5404" s="911"/>
      <c r="G5404" s="912" t="s">
        <v>2598</v>
      </c>
      <c r="H5404" s="912"/>
      <c r="I5404" s="912"/>
      <c r="J5404" s="912"/>
      <c r="K5404" s="913"/>
      <c r="L5404" s="911"/>
      <c r="M5404" s="911"/>
      <c r="N5404" s="911"/>
      <c r="O5404" s="914"/>
      <c r="P5404" s="911"/>
      <c r="Q5404" s="915"/>
      <c r="R5404" s="916"/>
      <c r="S5404" s="915"/>
      <c r="T5404" s="917"/>
      <c r="U5404" s="918"/>
      <c r="AR5404"/>
      <c r="AS5404" s="911"/>
    </row>
    <row r="5405" spans="1:45" s="886" customFormat="1" ht="11.4">
      <c r="A5405" s="919">
        <v>1</v>
      </c>
      <c r="B5405" s="920">
        <v>1</v>
      </c>
      <c r="C5405" s="920">
        <f>$A5405*$B5405</f>
        <v>1</v>
      </c>
      <c r="D5405" s="921" t="str">
        <f>Elec_Rates!$D$577</f>
        <v>054# Install only Light fitting Type C2</v>
      </c>
      <c r="E5405" s="921"/>
      <c r="F5405" s="921" t="s">
        <v>2599</v>
      </c>
      <c r="G5405" s="922" t="s">
        <v>2600</v>
      </c>
      <c r="H5405" s="922"/>
      <c r="I5405" s="922"/>
      <c r="J5405" s="922"/>
      <c r="K5405" s="923"/>
      <c r="L5405" s="918"/>
      <c r="M5405" s="918"/>
      <c r="N5405" s="918"/>
      <c r="O5405" s="924"/>
      <c r="P5405" s="921"/>
      <c r="Q5405" s="925">
        <f ca="1">$B5405*Elec_Rates!$R$577</f>
        <v>1.58</v>
      </c>
      <c r="R5405" s="916">
        <f ca="1">$A5405*Q5405</f>
        <v>1.58</v>
      </c>
      <c r="S5405" s="925">
        <f ca="1">$B5405*Elec_Rates!$T$577</f>
        <v>0.47</v>
      </c>
      <c r="T5405" s="917">
        <f ca="1">$A5405*S5405</f>
        <v>0.47</v>
      </c>
      <c r="U5405" s="926"/>
      <c r="AR5405" s="919">
        <v>1</v>
      </c>
      <c r="AS5405" s="921" t="s">
        <v>2599</v>
      </c>
    </row>
    <row r="5406" spans="1:45" s="520" customFormat="1" ht="12">
      <c r="A5406" s="758"/>
      <c r="B5406" s="758"/>
      <c r="C5406" s="758"/>
      <c r="D5406" s="758"/>
      <c r="E5406" s="758"/>
      <c r="F5406" s="753"/>
      <c r="G5406" s="758"/>
      <c r="H5406" s="758"/>
      <c r="I5406" s="519"/>
      <c r="J5406" s="758"/>
      <c r="K5406" s="758"/>
      <c r="L5406" s="758"/>
      <c r="M5406" s="758"/>
      <c r="N5406" s="758"/>
      <c r="O5406" s="758"/>
      <c r="P5406" s="758"/>
      <c r="Q5406" s="519"/>
      <c r="R5406" s="759">
        <f t="shared" ref="R5406" si="256">$A5406*Q5406</f>
        <v>0</v>
      </c>
      <c r="S5406" s="519"/>
      <c r="T5406" s="760">
        <f t="shared" ref="T5406" si="257">$A5406*S5406*$T$1</f>
        <v>0</v>
      </c>
      <c r="AR5406" s="758"/>
      <c r="AS5406" s="753"/>
    </row>
    <row r="5407" spans="1:45" s="520" customFormat="1" ht="12.6" thickBot="1">
      <c r="A5407" s="761" t="s">
        <v>145</v>
      </c>
      <c r="B5407" s="762">
        <f>(R5406+T5406)</f>
        <v>0</v>
      </c>
      <c r="C5407" s="763"/>
      <c r="D5407" s="763"/>
      <c r="E5407" s="763"/>
      <c r="F5407" s="764"/>
      <c r="G5407" s="763" t="s">
        <v>146</v>
      </c>
      <c r="H5407" s="763"/>
      <c r="I5407" s="765"/>
      <c r="J5407" s="763"/>
      <c r="K5407" s="763" t="s">
        <v>3</v>
      </c>
      <c r="L5407" s="766" t="s">
        <v>143</v>
      </c>
      <c r="M5407" s="766"/>
      <c r="N5407" s="766"/>
      <c r="O5407" s="766"/>
      <c r="P5407" s="766"/>
      <c r="Q5407" s="767"/>
      <c r="R5407" s="768">
        <f ca="1">SUM(R5403:R5406)</f>
        <v>1.58</v>
      </c>
      <c r="S5407" s="763"/>
      <c r="T5407" s="768">
        <f ca="1">SUM(T5403:T5406)</f>
        <v>0.47</v>
      </c>
      <c r="U5407" s="531"/>
      <c r="V5407" s="531"/>
      <c r="W5407" s="531"/>
      <c r="X5407" s="531"/>
      <c r="Y5407" s="531"/>
      <c r="Z5407" s="531"/>
      <c r="AA5407" s="531"/>
      <c r="AB5407" s="531"/>
      <c r="AC5407" s="531"/>
      <c r="AD5407" s="531"/>
      <c r="AE5407" s="531"/>
      <c r="AF5407" s="531"/>
      <c r="AG5407" s="531"/>
      <c r="AH5407" s="531"/>
      <c r="AI5407" s="531"/>
      <c r="AJ5407" s="531"/>
      <c r="AK5407" s="531"/>
      <c r="AL5407" s="531"/>
      <c r="AM5407" s="531"/>
      <c r="AN5407" s="531"/>
      <c r="AO5407" s="531"/>
      <c r="AR5407" s="761" t="s">
        <v>145</v>
      </c>
      <c r="AS5407" s="764"/>
    </row>
    <row r="5408" spans="1:45" s="520" customFormat="1" ht="12" thickTop="1">
      <c r="A5408" s="51"/>
      <c r="B5408" s="41"/>
      <c r="C5408" s="51"/>
      <c r="E5408" s="42" t="s">
        <v>138</v>
      </c>
      <c r="F5408" s="42" t="s">
        <v>139</v>
      </c>
      <c r="G5408" s="51"/>
      <c r="H5408" s="51"/>
      <c r="I5408" s="51"/>
      <c r="J5408" s="51"/>
      <c r="K5408" s="51" t="s">
        <v>140</v>
      </c>
      <c r="L5408" s="51"/>
      <c r="M5408" s="51"/>
      <c r="N5408" s="51"/>
      <c r="O5408" s="52"/>
      <c r="P5408" s="51"/>
      <c r="Q5408" s="51"/>
      <c r="R5408" s="51"/>
      <c r="S5408" s="51"/>
      <c r="T5408" s="41"/>
      <c r="AG5408" s="521" t="s">
        <v>268</v>
      </c>
      <c r="AH5408" s="521" t="s">
        <v>269</v>
      </c>
      <c r="AI5408" s="521" t="s">
        <v>270</v>
      </c>
      <c r="AJ5408" s="521" t="s">
        <v>271</v>
      </c>
      <c r="AK5408" s="521" t="s">
        <v>272</v>
      </c>
      <c r="AM5408" s="745" t="s">
        <v>281</v>
      </c>
      <c r="AN5408" s="746" t="s">
        <v>282</v>
      </c>
      <c r="AO5408" s="522" t="s">
        <v>278</v>
      </c>
      <c r="AR5408" s="51"/>
      <c r="AS5408" s="42" t="s">
        <v>139</v>
      </c>
    </row>
    <row r="5409" spans="1:45" s="520" customFormat="1" ht="12" customHeight="1">
      <c r="A5409" s="747">
        <v>4</v>
      </c>
      <c r="B5409" s="523" t="s">
        <v>329</v>
      </c>
      <c r="C5409" s="748"/>
      <c r="D5409" s="749" t="s">
        <v>1893</v>
      </c>
      <c r="E5409" s="750">
        <f ca="1">IF(AND($A5409=0,$A$1="DIF"),0, ROUND(ROUND(($R5414*$S$2+($T5414*$T$2))/A5409,2)*$C$2,2))</f>
        <v>17.34</v>
      </c>
      <c r="F5409" s="751">
        <f ca="1">ROUND($A5409*$E5409,2)</f>
        <v>69.36</v>
      </c>
      <c r="G5409" s="752" t="s">
        <v>142</v>
      </c>
      <c r="H5409" s="753"/>
      <c r="I5409" s="754"/>
      <c r="J5409" s="753"/>
      <c r="K5409" s="753" t="s">
        <v>3</v>
      </c>
      <c r="L5409" s="755" t="s">
        <v>143</v>
      </c>
      <c r="M5409" s="755"/>
      <c r="N5409" s="755"/>
      <c r="O5409" s="755"/>
      <c r="P5409" s="755"/>
      <c r="Q5409" s="51"/>
      <c r="T5409" s="756" t="str">
        <f ca="1">IF(AND($R5414=0,$T5414=0),"0.00","mu :" &amp; ROUND($F5409/$C$2/($R5414+$T5414*$D$9),2))</f>
        <v>mu :1.23</v>
      </c>
      <c r="W5409" s="524"/>
      <c r="AG5409" s="481">
        <f ca="1">IF($E5409=0,0,ROUND($R5414*$S$2*$C$2/$A5409,2))</f>
        <v>1.45</v>
      </c>
      <c r="AH5409" s="481">
        <f ca="1">$AG5409*$A5409</f>
        <v>5.8</v>
      </c>
      <c r="AI5409" s="525">
        <f ca="1">$E5409-$AG5409</f>
        <v>15.89</v>
      </c>
      <c r="AJ5409" s="525">
        <f ca="1">$A5409*$AI5409</f>
        <v>63.56</v>
      </c>
      <c r="AK5409" s="526">
        <f ca="1">ROUND(($AG5409+$AI5409)*$A5409,2)</f>
        <v>69.36</v>
      </c>
      <c r="AM5409" s="527">
        <f ca="1">ROUND(R5414,2)</f>
        <v>4.72</v>
      </c>
      <c r="AN5409" s="528">
        <f ca="1">ROUND(T5414,2)</f>
        <v>1.88</v>
      </c>
      <c r="AO5409" s="529">
        <f ca="1">ROUND(AM5409+AN5409,2)*A5409</f>
        <v>26.4</v>
      </c>
      <c r="AR5409" s="747">
        <v>4</v>
      </c>
      <c r="AS5409" s="751">
        <v>77.48</v>
      </c>
    </row>
    <row r="5410" spans="1:45" s="520" customFormat="1" ht="13.2">
      <c r="A5410" s="748"/>
      <c r="B5410"/>
      <c r="C5410" s="748"/>
      <c r="D5410" s="749" t="s">
        <v>888</v>
      </c>
      <c r="F5410" s="753"/>
      <c r="G5410" s="3"/>
      <c r="H5410" s="753"/>
      <c r="I5410" s="754"/>
      <c r="J5410" s="753"/>
      <c r="K5410" s="753" t="s">
        <v>144</v>
      </c>
      <c r="L5410" s="753"/>
      <c r="M5410" s="753"/>
      <c r="N5410" s="753"/>
      <c r="O5410" s="753"/>
      <c r="P5410" s="753"/>
      <c r="Q5410" s="51"/>
      <c r="R5410" s="530"/>
      <c r="S5410" s="757"/>
      <c r="T5410" s="753"/>
      <c r="AR5410" s="748"/>
      <c r="AS5410" s="753"/>
    </row>
    <row r="5411" spans="1:45" s="886" customFormat="1" ht="13.2">
      <c r="A5411"/>
      <c r="B5411" s="910"/>
      <c r="C5411" s="910" t="s">
        <v>2597</v>
      </c>
      <c r="D5411" s="910" t="str">
        <f ca="1">CELL("Address",Elec_Rates!D$595)</f>
        <v>[E25_0062_Quintano_Foods_Elec_ELV_As_Awarded.xlsx]Elec_Rates!$D$595</v>
      </c>
      <c r="E5411" s="911"/>
      <c r="F5411" s="911"/>
      <c r="G5411" s="912" t="s">
        <v>2598</v>
      </c>
      <c r="H5411" s="912"/>
      <c r="I5411" s="912"/>
      <c r="J5411" s="912"/>
      <c r="K5411" s="913"/>
      <c r="L5411" s="911"/>
      <c r="M5411" s="911"/>
      <c r="N5411" s="911"/>
      <c r="O5411" s="914"/>
      <c r="P5411" s="911"/>
      <c r="Q5411" s="915"/>
      <c r="R5411" s="916"/>
      <c r="S5411" s="915"/>
      <c r="T5411" s="917"/>
      <c r="U5411" s="918"/>
      <c r="AR5411"/>
      <c r="AS5411" s="911"/>
    </row>
    <row r="5412" spans="1:45" s="886" customFormat="1" ht="11.4">
      <c r="A5412" s="919">
        <v>4</v>
      </c>
      <c r="B5412" s="920">
        <v>1</v>
      </c>
      <c r="C5412" s="920">
        <f>$A5412*$B5412</f>
        <v>4</v>
      </c>
      <c r="D5412" s="921" t="str">
        <f>Elec_Rates!$D$595</f>
        <v>056# Install only Light fitting Type E1</v>
      </c>
      <c r="E5412" s="921"/>
      <c r="F5412" s="921" t="s">
        <v>2599</v>
      </c>
      <c r="G5412" s="922" t="s">
        <v>2601</v>
      </c>
      <c r="H5412" s="922"/>
      <c r="I5412" s="922"/>
      <c r="J5412" s="922"/>
      <c r="K5412" s="923"/>
      <c r="L5412" s="918"/>
      <c r="M5412" s="918"/>
      <c r="N5412" s="918"/>
      <c r="O5412" s="924"/>
      <c r="P5412" s="921"/>
      <c r="Q5412" s="925">
        <f ca="1">$B5412*Elec_Rates!$R$595</f>
        <v>1.18</v>
      </c>
      <c r="R5412" s="916">
        <f ca="1">$A5412*Q5412</f>
        <v>4.72</v>
      </c>
      <c r="S5412" s="925">
        <f ca="1">$B5412*Elec_Rates!$T$595</f>
        <v>0.47</v>
      </c>
      <c r="T5412" s="917">
        <f ca="1">$A5412*S5412</f>
        <v>1.88</v>
      </c>
      <c r="U5412" s="926"/>
      <c r="AR5412" s="919">
        <v>4</v>
      </c>
      <c r="AS5412" s="921" t="s">
        <v>2599</v>
      </c>
    </row>
    <row r="5413" spans="1:45" s="520" customFormat="1" ht="12">
      <c r="A5413" s="758"/>
      <c r="B5413" s="758"/>
      <c r="C5413" s="758"/>
      <c r="D5413" s="758"/>
      <c r="E5413" s="758"/>
      <c r="F5413" s="753"/>
      <c r="G5413" s="758"/>
      <c r="H5413" s="758"/>
      <c r="I5413" s="519"/>
      <c r="J5413" s="758"/>
      <c r="K5413" s="758"/>
      <c r="L5413" s="758"/>
      <c r="M5413" s="758"/>
      <c r="N5413" s="758"/>
      <c r="O5413" s="758"/>
      <c r="P5413" s="758"/>
      <c r="Q5413" s="519"/>
      <c r="R5413" s="759">
        <f t="shared" ref="R5413" si="258">$A5413*Q5413</f>
        <v>0</v>
      </c>
      <c r="S5413" s="519"/>
      <c r="T5413" s="760">
        <f t="shared" ref="T5413" si="259">$A5413*S5413*$T$1</f>
        <v>0</v>
      </c>
      <c r="AR5413" s="758"/>
      <c r="AS5413" s="753"/>
    </row>
    <row r="5414" spans="1:45" s="520" customFormat="1" ht="12.6" thickBot="1">
      <c r="A5414" s="761" t="s">
        <v>145</v>
      </c>
      <c r="B5414" s="762">
        <f>(R5413+T5413)</f>
        <v>0</v>
      </c>
      <c r="C5414" s="763"/>
      <c r="D5414" s="763"/>
      <c r="E5414" s="763"/>
      <c r="F5414" s="764"/>
      <c r="G5414" s="763" t="s">
        <v>146</v>
      </c>
      <c r="H5414" s="763"/>
      <c r="I5414" s="765"/>
      <c r="J5414" s="763"/>
      <c r="K5414" s="763" t="s">
        <v>3</v>
      </c>
      <c r="L5414" s="766" t="s">
        <v>143</v>
      </c>
      <c r="M5414" s="766"/>
      <c r="N5414" s="766"/>
      <c r="O5414" s="766"/>
      <c r="P5414" s="766"/>
      <c r="Q5414" s="767"/>
      <c r="R5414" s="768">
        <f ca="1">SUM(R5410:R5413)</f>
        <v>4.72</v>
      </c>
      <c r="S5414" s="763"/>
      <c r="T5414" s="768">
        <f ca="1">SUM(T5410:T5413)</f>
        <v>1.88</v>
      </c>
      <c r="U5414" s="531"/>
      <c r="V5414" s="531"/>
      <c r="W5414" s="531"/>
      <c r="X5414" s="531"/>
      <c r="Y5414" s="531"/>
      <c r="Z5414" s="531"/>
      <c r="AA5414" s="531"/>
      <c r="AB5414" s="531"/>
      <c r="AC5414" s="531"/>
      <c r="AD5414" s="531"/>
      <c r="AE5414" s="531"/>
      <c r="AF5414" s="531"/>
      <c r="AG5414" s="531"/>
      <c r="AH5414" s="531"/>
      <c r="AI5414" s="531"/>
      <c r="AJ5414" s="531"/>
      <c r="AK5414" s="531"/>
      <c r="AL5414" s="531"/>
      <c r="AM5414" s="531"/>
      <c r="AN5414" s="531"/>
      <c r="AO5414" s="531"/>
      <c r="AR5414" s="761" t="s">
        <v>145</v>
      </c>
      <c r="AS5414" s="764"/>
    </row>
    <row r="5415" spans="1:45" s="520" customFormat="1" ht="12" thickTop="1">
      <c r="A5415" s="51"/>
      <c r="B5415" s="41"/>
      <c r="C5415" s="51"/>
      <c r="E5415" s="42" t="s">
        <v>138</v>
      </c>
      <c r="F5415" s="42" t="s">
        <v>139</v>
      </c>
      <c r="G5415" s="51"/>
      <c r="H5415" s="51"/>
      <c r="I5415" s="51"/>
      <c r="J5415" s="51"/>
      <c r="K5415" s="51" t="s">
        <v>140</v>
      </c>
      <c r="L5415" s="51"/>
      <c r="M5415" s="51"/>
      <c r="N5415" s="51"/>
      <c r="O5415" s="52"/>
      <c r="P5415" s="51"/>
      <c r="Q5415" s="51"/>
      <c r="R5415" s="51"/>
      <c r="S5415" s="51"/>
      <c r="T5415" s="41"/>
      <c r="AG5415" s="521" t="s">
        <v>268</v>
      </c>
      <c r="AH5415" s="521" t="s">
        <v>269</v>
      </c>
      <c r="AI5415" s="521" t="s">
        <v>270</v>
      </c>
      <c r="AJ5415" s="521" t="s">
        <v>271</v>
      </c>
      <c r="AK5415" s="521" t="s">
        <v>272</v>
      </c>
      <c r="AM5415" s="745" t="s">
        <v>281</v>
      </c>
      <c r="AN5415" s="746" t="s">
        <v>282</v>
      </c>
      <c r="AO5415" s="522" t="s">
        <v>278</v>
      </c>
      <c r="AR5415" s="51"/>
      <c r="AS5415" s="42" t="s">
        <v>139</v>
      </c>
    </row>
    <row r="5416" spans="1:45" s="520" customFormat="1" ht="12" customHeight="1">
      <c r="A5416" s="747">
        <v>2</v>
      </c>
      <c r="B5416" s="523" t="s">
        <v>329</v>
      </c>
      <c r="C5416" s="748"/>
      <c r="D5416" s="749" t="s">
        <v>1894</v>
      </c>
      <c r="E5416" s="750">
        <f ca="1">IF(AND($A5416=0,$A$1="DIF"),0, ROUND(ROUND(($R5421*$S$2+($T5421*$T$2))/A5416,2)*$C$2,2))</f>
        <v>17.84</v>
      </c>
      <c r="F5416" s="751">
        <f ca="1">ROUND($A5416*$E5416,2)</f>
        <v>35.68</v>
      </c>
      <c r="G5416" s="752" t="s">
        <v>142</v>
      </c>
      <c r="H5416" s="753"/>
      <c r="I5416" s="754"/>
      <c r="J5416" s="753"/>
      <c r="K5416" s="753" t="s">
        <v>3</v>
      </c>
      <c r="L5416" s="755" t="s">
        <v>143</v>
      </c>
      <c r="M5416" s="755"/>
      <c r="N5416" s="755"/>
      <c r="O5416" s="755"/>
      <c r="P5416" s="755"/>
      <c r="Q5416" s="51"/>
      <c r="T5416" s="756" t="str">
        <f ca="1">IF(AND($R5421=0,$T5421=0),"0.00","mu :" &amp; ROUND($F5416/$C$2/($R5421+$T5421*$D$9),2))</f>
        <v>mu :1.23</v>
      </c>
      <c r="W5416" s="524"/>
      <c r="AG5416" s="481">
        <f ca="1">IF($E5416=0,0,ROUND($R5421*$S$2*$C$2/$A5416,2))</f>
        <v>1.95</v>
      </c>
      <c r="AH5416" s="481">
        <f ca="1">$AG5416*$A5416</f>
        <v>3.9</v>
      </c>
      <c r="AI5416" s="525">
        <f ca="1">$E5416-$AG5416</f>
        <v>15.89</v>
      </c>
      <c r="AJ5416" s="525">
        <f ca="1">$A5416*$AI5416</f>
        <v>31.78</v>
      </c>
      <c r="AK5416" s="526">
        <f ca="1">ROUND(($AG5416+$AI5416)*$A5416,2)</f>
        <v>35.68</v>
      </c>
      <c r="AM5416" s="527">
        <f ca="1">ROUND(R5421,2)</f>
        <v>3.16</v>
      </c>
      <c r="AN5416" s="528">
        <f ca="1">ROUND(T5421,2)</f>
        <v>0.94</v>
      </c>
      <c r="AO5416" s="529">
        <f ca="1">ROUND(AM5416+AN5416,2)*A5416</f>
        <v>8.1999999999999993</v>
      </c>
      <c r="AR5416" s="747">
        <v>2</v>
      </c>
      <c r="AS5416" s="751">
        <v>39.74</v>
      </c>
    </row>
    <row r="5417" spans="1:45" s="520" customFormat="1" ht="13.2">
      <c r="A5417" s="748"/>
      <c r="B5417"/>
      <c r="C5417" s="748"/>
      <c r="D5417" s="749" t="s">
        <v>889</v>
      </c>
      <c r="F5417" s="753"/>
      <c r="G5417" s="3"/>
      <c r="H5417" s="753"/>
      <c r="I5417" s="754"/>
      <c r="J5417" s="753"/>
      <c r="K5417" s="753" t="s">
        <v>144</v>
      </c>
      <c r="L5417" s="753"/>
      <c r="M5417" s="753"/>
      <c r="N5417" s="753"/>
      <c r="O5417" s="753"/>
      <c r="P5417" s="753"/>
      <c r="Q5417" s="51"/>
      <c r="R5417" s="530"/>
      <c r="S5417" s="757"/>
      <c r="T5417" s="753"/>
      <c r="AR5417" s="748"/>
      <c r="AS5417" s="753"/>
    </row>
    <row r="5418" spans="1:45" s="886" customFormat="1" ht="13.2">
      <c r="A5418"/>
      <c r="B5418" s="910"/>
      <c r="C5418" s="910" t="s">
        <v>2597</v>
      </c>
      <c r="D5418" s="910" t="str">
        <f ca="1">CELL("Address",Elec_Rates!D$622)</f>
        <v>[E25_0062_Quintano_Foods_Elec_ELV_As_Awarded.xlsx]Elec_Rates!$D$622</v>
      </c>
      <c r="E5418" s="911"/>
      <c r="F5418" s="911"/>
      <c r="G5418" s="912" t="s">
        <v>2598</v>
      </c>
      <c r="H5418" s="912"/>
      <c r="I5418" s="912"/>
      <c r="J5418" s="912"/>
      <c r="K5418" s="913"/>
      <c r="L5418" s="911"/>
      <c r="M5418" s="911"/>
      <c r="N5418" s="911"/>
      <c r="O5418" s="914"/>
      <c r="P5418" s="911"/>
      <c r="Q5418" s="915"/>
      <c r="R5418" s="916"/>
      <c r="S5418" s="915"/>
      <c r="T5418" s="917"/>
      <c r="U5418" s="918"/>
      <c r="AR5418"/>
      <c r="AS5418" s="911"/>
    </row>
    <row r="5419" spans="1:45" s="886" customFormat="1" ht="11.4">
      <c r="A5419" s="919">
        <v>2</v>
      </c>
      <c r="B5419" s="920">
        <v>1</v>
      </c>
      <c r="C5419" s="920">
        <f>$A5419*$B5419</f>
        <v>2</v>
      </c>
      <c r="D5419" s="921" t="str">
        <f>Elec_Rates!$D$622</f>
        <v>059# Install only Light fitting Type F2</v>
      </c>
      <c r="E5419" s="921"/>
      <c r="F5419" s="921" t="s">
        <v>2599</v>
      </c>
      <c r="G5419" s="922" t="s">
        <v>2600</v>
      </c>
      <c r="H5419" s="922"/>
      <c r="I5419" s="922"/>
      <c r="J5419" s="922"/>
      <c r="K5419" s="923"/>
      <c r="L5419" s="918"/>
      <c r="M5419" s="918"/>
      <c r="N5419" s="918"/>
      <c r="O5419" s="924"/>
      <c r="P5419" s="921"/>
      <c r="Q5419" s="925">
        <f ca="1">$B5419*Elec_Rates!$R$622</f>
        <v>1.58</v>
      </c>
      <c r="R5419" s="916">
        <f ca="1">$A5419*Q5419</f>
        <v>3.16</v>
      </c>
      <c r="S5419" s="925">
        <f ca="1">$B5419*Elec_Rates!$T$622</f>
        <v>0.47</v>
      </c>
      <c r="T5419" s="917">
        <f ca="1">$A5419*S5419</f>
        <v>0.94</v>
      </c>
      <c r="U5419" s="926"/>
      <c r="AR5419" s="919">
        <v>2</v>
      </c>
      <c r="AS5419" s="921" t="s">
        <v>2599</v>
      </c>
    </row>
    <row r="5420" spans="1:45" s="520" customFormat="1" ht="12">
      <c r="A5420" s="758"/>
      <c r="B5420" s="758"/>
      <c r="C5420" s="758"/>
      <c r="D5420" s="758"/>
      <c r="E5420" s="758"/>
      <c r="F5420" s="753"/>
      <c r="G5420" s="758"/>
      <c r="H5420" s="758"/>
      <c r="I5420" s="519"/>
      <c r="J5420" s="758"/>
      <c r="K5420" s="758"/>
      <c r="L5420" s="758"/>
      <c r="M5420" s="758"/>
      <c r="N5420" s="758"/>
      <c r="O5420" s="758"/>
      <c r="P5420" s="758"/>
      <c r="Q5420" s="519"/>
      <c r="R5420" s="759">
        <f t="shared" ref="R5420" si="260">$A5420*Q5420</f>
        <v>0</v>
      </c>
      <c r="S5420" s="519"/>
      <c r="T5420" s="760">
        <f t="shared" ref="T5420" si="261">$A5420*S5420*$T$1</f>
        <v>0</v>
      </c>
      <c r="AR5420" s="758"/>
      <c r="AS5420" s="753"/>
    </row>
    <row r="5421" spans="1:45" s="520" customFormat="1" ht="12.6" thickBot="1">
      <c r="A5421" s="761" t="s">
        <v>145</v>
      </c>
      <c r="B5421" s="762">
        <f>(R5420+T5420)</f>
        <v>0</v>
      </c>
      <c r="C5421" s="763"/>
      <c r="D5421" s="763"/>
      <c r="E5421" s="763"/>
      <c r="F5421" s="764"/>
      <c r="G5421" s="763" t="s">
        <v>146</v>
      </c>
      <c r="H5421" s="763"/>
      <c r="I5421" s="765"/>
      <c r="J5421" s="763"/>
      <c r="K5421" s="763" t="s">
        <v>3</v>
      </c>
      <c r="L5421" s="766" t="s">
        <v>143</v>
      </c>
      <c r="M5421" s="766"/>
      <c r="N5421" s="766"/>
      <c r="O5421" s="766"/>
      <c r="P5421" s="766"/>
      <c r="Q5421" s="767"/>
      <c r="R5421" s="768">
        <f ca="1">SUM(R5417:R5420)</f>
        <v>3.16</v>
      </c>
      <c r="S5421" s="763"/>
      <c r="T5421" s="768">
        <f ca="1">SUM(T5417:T5420)</f>
        <v>0.94</v>
      </c>
      <c r="U5421" s="531"/>
      <c r="V5421" s="531"/>
      <c r="W5421" s="531"/>
      <c r="X5421" s="531"/>
      <c r="Y5421" s="531"/>
      <c r="Z5421" s="531"/>
      <c r="AA5421" s="531"/>
      <c r="AB5421" s="531"/>
      <c r="AC5421" s="531"/>
      <c r="AD5421" s="531"/>
      <c r="AE5421" s="531"/>
      <c r="AF5421" s="531"/>
      <c r="AG5421" s="531"/>
      <c r="AH5421" s="531"/>
      <c r="AI5421" s="531"/>
      <c r="AJ5421" s="531"/>
      <c r="AK5421" s="531"/>
      <c r="AL5421" s="531"/>
      <c r="AM5421" s="531"/>
      <c r="AN5421" s="531"/>
      <c r="AO5421" s="531"/>
      <c r="AR5421" s="761" t="s">
        <v>145</v>
      </c>
      <c r="AS5421" s="764"/>
    </row>
    <row r="5422" spans="1:45" s="520" customFormat="1" thickTop="1">
      <c r="A5422" s="51"/>
      <c r="B5422" s="51"/>
      <c r="C5422" s="3"/>
      <c r="D5422" s="3"/>
      <c r="E5422" s="51"/>
      <c r="F5422" s="51"/>
      <c r="G5422" s="51"/>
      <c r="H5422" s="51"/>
      <c r="I5422" s="51"/>
      <c r="J5422" s="51"/>
      <c r="K5422" s="51" t="s">
        <v>134</v>
      </c>
      <c r="L5422" s="51"/>
      <c r="M5422" s="51"/>
      <c r="N5422" s="51"/>
      <c r="O5422" s="52"/>
      <c r="P5422" s="51"/>
      <c r="Q5422" s="51"/>
      <c r="R5422" s="51"/>
      <c r="S5422" s="51"/>
      <c r="T5422" s="51"/>
      <c r="AR5422" s="51"/>
      <c r="AS5422" s="51"/>
    </row>
    <row r="5423" spans="1:45" s="520" customFormat="1" ht="12">
      <c r="A5423" s="51"/>
      <c r="B5423" s="51"/>
      <c r="C5423" s="51" t="s">
        <v>135</v>
      </c>
      <c r="D5423" s="37"/>
      <c r="E5423" s="51"/>
      <c r="F5423" s="51"/>
      <c r="G5423" s="51"/>
      <c r="H5423" s="51"/>
      <c r="I5423" s="51"/>
      <c r="J5423" s="51"/>
      <c r="K5423" s="51"/>
      <c r="L5423" s="51"/>
      <c r="M5423" s="51"/>
      <c r="N5423" s="51"/>
      <c r="O5423" s="52"/>
      <c r="P5423" s="51"/>
      <c r="Q5423" s="51"/>
      <c r="R5423" s="51"/>
      <c r="S5423" s="51"/>
      <c r="T5423" s="51"/>
      <c r="AR5423" s="51"/>
      <c r="AS5423" s="51"/>
    </row>
    <row r="5424" spans="1:45" s="520" customFormat="1" ht="12">
      <c r="A5424" s="51"/>
      <c r="B5424" s="51"/>
      <c r="C5424" s="51"/>
      <c r="D5424" s="37" t="s">
        <v>368</v>
      </c>
      <c r="E5424" s="51"/>
      <c r="F5424" s="51"/>
      <c r="G5424" s="51"/>
      <c r="H5424" s="51"/>
      <c r="I5424" s="51"/>
      <c r="J5424" s="51"/>
      <c r="K5424" s="51"/>
      <c r="L5424" s="51"/>
      <c r="M5424" s="51"/>
      <c r="N5424" s="51"/>
      <c r="O5424" s="52"/>
      <c r="P5424" s="51"/>
      <c r="Q5424" s="51"/>
      <c r="R5424" s="51"/>
      <c r="S5424" s="38"/>
      <c r="T5424" s="38"/>
      <c r="AR5424" s="51"/>
      <c r="AS5424" s="51"/>
    </row>
    <row r="5425" spans="1:45" s="3" customFormat="1" thickBot="1">
      <c r="A5425" s="531"/>
      <c r="O5425" s="107"/>
      <c r="AR5425" s="531"/>
    </row>
    <row r="5426" spans="1:45" s="520" customFormat="1" ht="12" thickTop="1">
      <c r="A5426" s="51"/>
      <c r="B5426" s="41"/>
      <c r="C5426" s="51"/>
      <c r="E5426" s="42" t="s">
        <v>138</v>
      </c>
      <c r="F5426" s="42" t="s">
        <v>139</v>
      </c>
      <c r="G5426" s="51"/>
      <c r="H5426" s="51"/>
      <c r="I5426" s="51"/>
      <c r="J5426" s="51"/>
      <c r="K5426" s="51" t="s">
        <v>140</v>
      </c>
      <c r="L5426" s="51"/>
      <c r="M5426" s="51"/>
      <c r="N5426" s="51"/>
      <c r="O5426" s="52"/>
      <c r="P5426" s="51"/>
      <c r="Q5426" s="51"/>
      <c r="R5426" s="51"/>
      <c r="S5426" s="51"/>
      <c r="T5426" s="41"/>
      <c r="AG5426" s="521" t="s">
        <v>268</v>
      </c>
      <c r="AH5426" s="521" t="s">
        <v>269</v>
      </c>
      <c r="AI5426" s="521" t="s">
        <v>270</v>
      </c>
      <c r="AJ5426" s="521" t="s">
        <v>271</v>
      </c>
      <c r="AK5426" s="521" t="s">
        <v>272</v>
      </c>
      <c r="AM5426" s="745" t="s">
        <v>281</v>
      </c>
      <c r="AN5426" s="746" t="s">
        <v>282</v>
      </c>
      <c r="AO5426" s="522" t="s">
        <v>278</v>
      </c>
      <c r="AR5426" s="51"/>
      <c r="AS5426" s="42" t="s">
        <v>139</v>
      </c>
    </row>
    <row r="5427" spans="1:45" s="520" customFormat="1" ht="12" customHeight="1">
      <c r="A5427" s="747">
        <v>11</v>
      </c>
      <c r="B5427" s="523" t="s">
        <v>329</v>
      </c>
      <c r="C5427" s="748"/>
      <c r="D5427" s="749" t="s">
        <v>1895</v>
      </c>
      <c r="E5427" s="750">
        <f ca="1">IF(AND($A5427=0,$A$1="DIF"),0, ROUND(ROUND(($R5432*$S$2+($T5432*$T$2))/A5427,2)*$C$2,2))</f>
        <v>17.25</v>
      </c>
      <c r="F5427" s="751">
        <f ca="1">ROUND($A5427*$E5427,2)</f>
        <v>189.75</v>
      </c>
      <c r="G5427" s="752" t="s">
        <v>142</v>
      </c>
      <c r="H5427" s="753"/>
      <c r="I5427" s="754"/>
      <c r="J5427" s="753"/>
      <c r="K5427" s="753" t="s">
        <v>3</v>
      </c>
      <c r="L5427" s="755" t="s">
        <v>143</v>
      </c>
      <c r="M5427" s="755"/>
      <c r="N5427" s="755"/>
      <c r="O5427" s="755"/>
      <c r="P5427" s="755"/>
      <c r="Q5427" s="51"/>
      <c r="T5427" s="756" t="str">
        <f ca="1">IF(AND($R5432=0,$T5432=0),"0.00","mu :" &amp; ROUND($F5427/$C$2/($R5432+$T5432*$D$9),2))</f>
        <v>mu :1.23</v>
      </c>
      <c r="W5427" s="524"/>
      <c r="AG5427" s="481">
        <f ca="1">IF($E5427=0,0,ROUND($R5432*$S$2*$C$2/$A5427,2))</f>
        <v>1.35</v>
      </c>
      <c r="AH5427" s="481">
        <f ca="1">$AG5427*$A5427</f>
        <v>14.850000000000001</v>
      </c>
      <c r="AI5427" s="525">
        <f ca="1">$E5427-$AG5427</f>
        <v>15.9</v>
      </c>
      <c r="AJ5427" s="525">
        <f ca="1">$A5427*$AI5427</f>
        <v>174.9</v>
      </c>
      <c r="AK5427" s="526">
        <f ca="1">ROUND(($AG5427+$AI5427)*$A5427,2)</f>
        <v>189.75</v>
      </c>
      <c r="AM5427" s="527">
        <f ca="1">ROUND(R5432,2)</f>
        <v>12.1</v>
      </c>
      <c r="AN5427" s="528">
        <f ca="1">ROUND(T5432,2)</f>
        <v>5.17</v>
      </c>
      <c r="AO5427" s="529">
        <f ca="1">ROUND(AM5427+AN5427,2)*A5427</f>
        <v>189.97</v>
      </c>
      <c r="AR5427" s="747">
        <v>11</v>
      </c>
      <c r="AS5427" s="751">
        <v>212.08</v>
      </c>
    </row>
    <row r="5428" spans="1:45" s="520" customFormat="1" ht="13.2">
      <c r="A5428" s="748"/>
      <c r="B5428"/>
      <c r="C5428" s="748"/>
      <c r="D5428" s="749" t="s">
        <v>897</v>
      </c>
      <c r="F5428" s="753"/>
      <c r="G5428" s="3"/>
      <c r="H5428" s="753"/>
      <c r="I5428" s="754"/>
      <c r="J5428" s="753"/>
      <c r="K5428" s="753" t="s">
        <v>144</v>
      </c>
      <c r="L5428" s="753"/>
      <c r="M5428" s="753"/>
      <c r="N5428" s="753"/>
      <c r="O5428" s="753"/>
      <c r="P5428" s="753"/>
      <c r="Q5428" s="51"/>
      <c r="R5428" s="530"/>
      <c r="S5428" s="757"/>
      <c r="T5428" s="753"/>
      <c r="AR5428" s="748"/>
      <c r="AS5428" s="753"/>
    </row>
    <row r="5429" spans="1:45" s="886" customFormat="1" ht="13.2">
      <c r="A5429"/>
      <c r="B5429" s="910"/>
      <c r="C5429" s="910" t="s">
        <v>2597</v>
      </c>
      <c r="D5429" s="910" t="str">
        <f ca="1">CELL("Address",Elec_Rates!D$545)</f>
        <v>[E25_0062_Quintano_Foods_Elec_ELV_As_Awarded.xlsx]Elec_Rates!$D$545</v>
      </c>
      <c r="E5429" s="911"/>
      <c r="F5429" s="911"/>
      <c r="G5429" s="912" t="s">
        <v>2598</v>
      </c>
      <c r="H5429" s="912"/>
      <c r="I5429" s="912"/>
      <c r="J5429" s="912"/>
      <c r="K5429" s="913"/>
      <c r="L5429" s="911"/>
      <c r="M5429" s="911"/>
      <c r="N5429" s="911"/>
      <c r="O5429" s="914"/>
      <c r="P5429" s="911"/>
      <c r="Q5429" s="915"/>
      <c r="R5429" s="916"/>
      <c r="S5429" s="915"/>
      <c r="T5429" s="917"/>
      <c r="U5429" s="918"/>
      <c r="AR5429"/>
      <c r="AS5429" s="911"/>
    </row>
    <row r="5430" spans="1:45" s="886" customFormat="1" ht="11.4">
      <c r="A5430" s="919">
        <v>11</v>
      </c>
      <c r="B5430" s="920">
        <v>1</v>
      </c>
      <c r="C5430" s="920">
        <f>$A5430*$B5430</f>
        <v>11</v>
      </c>
      <c r="D5430" s="921" t="str">
        <f>Elec_Rates!$D$545</f>
        <v>050# Install only Light fitting Type A1</v>
      </c>
      <c r="E5430" s="921"/>
      <c r="F5430" s="921" t="s">
        <v>2599</v>
      </c>
      <c r="G5430" s="922" t="s">
        <v>2600</v>
      </c>
      <c r="H5430" s="922"/>
      <c r="I5430" s="922"/>
      <c r="J5430" s="922"/>
      <c r="K5430" s="923"/>
      <c r="L5430" s="918"/>
      <c r="M5430" s="918"/>
      <c r="N5430" s="918"/>
      <c r="O5430" s="924"/>
      <c r="P5430" s="921"/>
      <c r="Q5430" s="925">
        <f ca="1">$B5430*Elec_Rates!$R$545</f>
        <v>1.1000000000000001</v>
      </c>
      <c r="R5430" s="916">
        <f ca="1">$A5430*Q5430</f>
        <v>12.100000000000001</v>
      </c>
      <c r="S5430" s="925">
        <f ca="1">$B5430*Elec_Rates!$T$545</f>
        <v>0.47</v>
      </c>
      <c r="T5430" s="917">
        <f ca="1">$A5430*S5430</f>
        <v>5.17</v>
      </c>
      <c r="U5430" s="926"/>
      <c r="AR5430" s="919">
        <v>11</v>
      </c>
      <c r="AS5430" s="921" t="s">
        <v>2599</v>
      </c>
    </row>
    <row r="5431" spans="1:45" s="520" customFormat="1" ht="12">
      <c r="A5431" s="758"/>
      <c r="B5431" s="758"/>
      <c r="C5431" s="758"/>
      <c r="D5431" s="758"/>
      <c r="E5431" s="758"/>
      <c r="F5431" s="753"/>
      <c r="G5431" s="758"/>
      <c r="H5431" s="758"/>
      <c r="I5431" s="519"/>
      <c r="J5431" s="758"/>
      <c r="K5431" s="758"/>
      <c r="L5431" s="758"/>
      <c r="M5431" s="758"/>
      <c r="N5431" s="758"/>
      <c r="O5431" s="758"/>
      <c r="P5431" s="758"/>
      <c r="Q5431" s="519"/>
      <c r="R5431" s="759">
        <f t="shared" ref="R5431" si="262">$A5431*Q5431</f>
        <v>0</v>
      </c>
      <c r="S5431" s="519"/>
      <c r="T5431" s="760">
        <f t="shared" ref="T5431" si="263">$A5431*S5431*$T$1</f>
        <v>0</v>
      </c>
      <c r="AR5431" s="758"/>
      <c r="AS5431" s="753"/>
    </row>
    <row r="5432" spans="1:45" s="520" customFormat="1" ht="12.6" thickBot="1">
      <c r="A5432" s="761" t="s">
        <v>145</v>
      </c>
      <c r="B5432" s="762">
        <f>(R5431+T5431)</f>
        <v>0</v>
      </c>
      <c r="C5432" s="763"/>
      <c r="D5432" s="763"/>
      <c r="E5432" s="763"/>
      <c r="F5432" s="764"/>
      <c r="G5432" s="763" t="s">
        <v>146</v>
      </c>
      <c r="H5432" s="763"/>
      <c r="I5432" s="765"/>
      <c r="J5432" s="763"/>
      <c r="K5432" s="763" t="s">
        <v>3</v>
      </c>
      <c r="L5432" s="766" t="s">
        <v>143</v>
      </c>
      <c r="M5432" s="766"/>
      <c r="N5432" s="766"/>
      <c r="O5432" s="766"/>
      <c r="P5432" s="766"/>
      <c r="Q5432" s="767"/>
      <c r="R5432" s="768">
        <f ca="1">SUM(R5428:R5431)</f>
        <v>12.100000000000001</v>
      </c>
      <c r="S5432" s="763"/>
      <c r="T5432" s="768">
        <f ca="1">SUM(T5428:T5431)</f>
        <v>5.17</v>
      </c>
      <c r="U5432" s="531"/>
      <c r="V5432" s="531"/>
      <c r="W5432" s="531"/>
      <c r="X5432" s="531"/>
      <c r="Y5432" s="531"/>
      <c r="Z5432" s="531"/>
      <c r="AA5432" s="531"/>
      <c r="AB5432" s="531"/>
      <c r="AC5432" s="531"/>
      <c r="AD5432" s="531"/>
      <c r="AE5432" s="531"/>
      <c r="AF5432" s="531"/>
      <c r="AG5432" s="531"/>
      <c r="AH5432" s="531"/>
      <c r="AI5432" s="531"/>
      <c r="AJ5432" s="531"/>
      <c r="AK5432" s="531"/>
      <c r="AL5432" s="531"/>
      <c r="AM5432" s="531"/>
      <c r="AN5432" s="531"/>
      <c r="AO5432" s="531"/>
      <c r="AR5432" s="761" t="s">
        <v>145</v>
      </c>
      <c r="AS5432" s="764"/>
    </row>
    <row r="5433" spans="1:45" s="520" customFormat="1" ht="12" thickTop="1">
      <c r="A5433" s="51"/>
      <c r="B5433" s="41"/>
      <c r="C5433" s="51"/>
      <c r="E5433" s="42" t="s">
        <v>138</v>
      </c>
      <c r="F5433" s="42" t="s">
        <v>139</v>
      </c>
      <c r="G5433" s="51"/>
      <c r="H5433" s="51"/>
      <c r="I5433" s="51"/>
      <c r="J5433" s="51"/>
      <c r="K5433" s="51" t="s">
        <v>140</v>
      </c>
      <c r="L5433" s="51"/>
      <c r="M5433" s="51"/>
      <c r="N5433" s="51"/>
      <c r="O5433" s="52"/>
      <c r="P5433" s="51"/>
      <c r="Q5433" s="51"/>
      <c r="R5433" s="51"/>
      <c r="S5433" s="51"/>
      <c r="T5433" s="41"/>
      <c r="AG5433" s="521" t="s">
        <v>268</v>
      </c>
      <c r="AH5433" s="521" t="s">
        <v>269</v>
      </c>
      <c r="AI5433" s="521" t="s">
        <v>270</v>
      </c>
      <c r="AJ5433" s="521" t="s">
        <v>271</v>
      </c>
      <c r="AK5433" s="521" t="s">
        <v>272</v>
      </c>
      <c r="AM5433" s="745" t="s">
        <v>281</v>
      </c>
      <c r="AN5433" s="746" t="s">
        <v>282</v>
      </c>
      <c r="AO5433" s="522" t="s">
        <v>278</v>
      </c>
      <c r="AR5433" s="51"/>
      <c r="AS5433" s="42" t="s">
        <v>139</v>
      </c>
    </row>
    <row r="5434" spans="1:45" s="520" customFormat="1" ht="12" customHeight="1">
      <c r="A5434" s="747">
        <v>5</v>
      </c>
      <c r="B5434" s="523" t="s">
        <v>329</v>
      </c>
      <c r="C5434" s="748"/>
      <c r="D5434" s="749" t="s">
        <v>1896</v>
      </c>
      <c r="E5434" s="750">
        <f ca="1">IF(AND($A5434=0,$A$1="DIF"),0, ROUND(ROUND(($R5439*$S$2+($T5439*$T$2))/A5434,2)*$C$2,2))</f>
        <v>17.739999999999998</v>
      </c>
      <c r="F5434" s="751">
        <f ca="1">ROUND($A5434*$E5434,2)</f>
        <v>88.7</v>
      </c>
      <c r="G5434" s="752" t="s">
        <v>142</v>
      </c>
      <c r="H5434" s="753"/>
      <c r="I5434" s="754"/>
      <c r="J5434" s="753"/>
      <c r="K5434" s="753" t="s">
        <v>3</v>
      </c>
      <c r="L5434" s="755" t="s">
        <v>143</v>
      </c>
      <c r="M5434" s="755"/>
      <c r="N5434" s="755"/>
      <c r="O5434" s="755"/>
      <c r="P5434" s="755"/>
      <c r="Q5434" s="51"/>
      <c r="T5434" s="756" t="str">
        <f ca="1">IF(AND($R5439=0,$T5439=0),"0.00","mu :" &amp; ROUND($F5434/$C$2/($R5439+$T5439*$D$9),2))</f>
        <v>mu :1.23</v>
      </c>
      <c r="W5434" s="524"/>
      <c r="AG5434" s="481">
        <f ca="1">IF($E5434=0,0,ROUND($R5439*$S$2*$C$2/$A5434,2))</f>
        <v>1.85</v>
      </c>
      <c r="AH5434" s="481">
        <f ca="1">$AG5434*$A5434</f>
        <v>9.25</v>
      </c>
      <c r="AI5434" s="525">
        <f ca="1">$E5434-$AG5434</f>
        <v>15.889999999999999</v>
      </c>
      <c r="AJ5434" s="525">
        <f ca="1">$A5434*$AI5434</f>
        <v>79.449999999999989</v>
      </c>
      <c r="AK5434" s="526">
        <f ca="1">ROUND(($AG5434+$AI5434)*$A5434,2)</f>
        <v>88.7</v>
      </c>
      <c r="AM5434" s="527">
        <f ca="1">ROUND(R5439,2)</f>
        <v>7.5</v>
      </c>
      <c r="AN5434" s="528">
        <f ca="1">ROUND(T5439,2)</f>
        <v>2.35</v>
      </c>
      <c r="AO5434" s="529">
        <f ca="1">ROUND(AM5434+AN5434,2)*A5434</f>
        <v>49.25</v>
      </c>
      <c r="AR5434" s="747">
        <v>5</v>
      </c>
      <c r="AS5434" s="751">
        <v>98.85</v>
      </c>
    </row>
    <row r="5435" spans="1:45" s="520" customFormat="1" ht="13.2">
      <c r="A5435" s="748"/>
      <c r="B5435"/>
      <c r="C5435" s="748"/>
      <c r="D5435" s="749" t="s">
        <v>898</v>
      </c>
      <c r="F5435" s="753"/>
      <c r="G5435" s="3"/>
      <c r="H5435" s="753"/>
      <c r="I5435" s="754"/>
      <c r="J5435" s="753"/>
      <c r="K5435" s="753" t="s">
        <v>144</v>
      </c>
      <c r="L5435" s="753"/>
      <c r="M5435" s="753"/>
      <c r="N5435" s="753"/>
      <c r="O5435" s="753"/>
      <c r="P5435" s="753"/>
      <c r="Q5435" s="51"/>
      <c r="R5435" s="530"/>
      <c r="S5435" s="757"/>
      <c r="T5435" s="753"/>
      <c r="AR5435" s="748"/>
      <c r="AS5435" s="753"/>
    </row>
    <row r="5436" spans="1:45" s="886" customFormat="1" ht="13.2">
      <c r="A5436"/>
      <c r="B5436" s="910"/>
      <c r="C5436" s="910" t="s">
        <v>2597</v>
      </c>
      <c r="D5436" s="910" t="str">
        <f ca="1">CELL("Address",Elec_Rates!D$552)</f>
        <v>[E25_0062_Quintano_Foods_Elec_ELV_As_Awarded.xlsx]Elec_Rates!$D$552</v>
      </c>
      <c r="E5436" s="911"/>
      <c r="F5436" s="911"/>
      <c r="G5436" s="912" t="s">
        <v>2598</v>
      </c>
      <c r="H5436" s="912"/>
      <c r="I5436" s="912"/>
      <c r="J5436" s="912"/>
      <c r="K5436" s="913"/>
      <c r="L5436" s="911"/>
      <c r="M5436" s="911"/>
      <c r="N5436" s="911"/>
      <c r="O5436" s="914"/>
      <c r="P5436" s="911"/>
      <c r="Q5436" s="915"/>
      <c r="R5436" s="916"/>
      <c r="S5436" s="915"/>
      <c r="T5436" s="917"/>
      <c r="U5436" s="918"/>
      <c r="AR5436"/>
      <c r="AS5436" s="911"/>
    </row>
    <row r="5437" spans="1:45" s="886" customFormat="1" ht="11.4">
      <c r="A5437" s="919">
        <v>5</v>
      </c>
      <c r="B5437" s="920">
        <v>1</v>
      </c>
      <c r="C5437" s="920">
        <f>$A5437*$B5437</f>
        <v>5</v>
      </c>
      <c r="D5437" s="921" t="str">
        <f>Elec_Rates!$D$552</f>
        <v>051# Install only Light fitting Type A2</v>
      </c>
      <c r="E5437" s="921"/>
      <c r="F5437" s="921" t="s">
        <v>2599</v>
      </c>
      <c r="G5437" s="922" t="s">
        <v>2601</v>
      </c>
      <c r="H5437" s="922"/>
      <c r="I5437" s="922"/>
      <c r="J5437" s="922"/>
      <c r="K5437" s="923"/>
      <c r="L5437" s="918"/>
      <c r="M5437" s="918"/>
      <c r="N5437" s="918"/>
      <c r="O5437" s="924"/>
      <c r="P5437" s="921"/>
      <c r="Q5437" s="925">
        <f ca="1">$B5437*Elec_Rates!$R$552</f>
        <v>1.5</v>
      </c>
      <c r="R5437" s="916">
        <f ca="1">$A5437*Q5437</f>
        <v>7.5</v>
      </c>
      <c r="S5437" s="925">
        <f ca="1">$B5437*Elec_Rates!$T$552</f>
        <v>0.47</v>
      </c>
      <c r="T5437" s="917">
        <f ca="1">$A5437*S5437</f>
        <v>2.3499999999999996</v>
      </c>
      <c r="U5437" s="926"/>
      <c r="AR5437" s="919">
        <v>5</v>
      </c>
      <c r="AS5437" s="921" t="s">
        <v>2599</v>
      </c>
    </row>
    <row r="5438" spans="1:45" s="520" customFormat="1" ht="12">
      <c r="A5438" s="758"/>
      <c r="B5438" s="758"/>
      <c r="C5438" s="758"/>
      <c r="D5438" s="758"/>
      <c r="E5438" s="758"/>
      <c r="F5438" s="753"/>
      <c r="G5438" s="758"/>
      <c r="H5438" s="758"/>
      <c r="I5438" s="519"/>
      <c r="J5438" s="758"/>
      <c r="K5438" s="758"/>
      <c r="L5438" s="758"/>
      <c r="M5438" s="758"/>
      <c r="N5438" s="758"/>
      <c r="O5438" s="758"/>
      <c r="P5438" s="758"/>
      <c r="Q5438" s="519"/>
      <c r="R5438" s="759">
        <f t="shared" ref="R5438" si="264">$A5438*Q5438</f>
        <v>0</v>
      </c>
      <c r="S5438" s="519"/>
      <c r="T5438" s="760">
        <f t="shared" ref="T5438" si="265">$A5438*S5438*$T$1</f>
        <v>0</v>
      </c>
      <c r="AR5438" s="758"/>
      <c r="AS5438" s="753"/>
    </row>
    <row r="5439" spans="1:45" s="520" customFormat="1" ht="12.6" thickBot="1">
      <c r="A5439" s="761" t="s">
        <v>145</v>
      </c>
      <c r="B5439" s="762">
        <f>(R5438+T5438)</f>
        <v>0</v>
      </c>
      <c r="C5439" s="763"/>
      <c r="D5439" s="763"/>
      <c r="E5439" s="763"/>
      <c r="F5439" s="764"/>
      <c r="G5439" s="763" t="s">
        <v>146</v>
      </c>
      <c r="H5439" s="763"/>
      <c r="I5439" s="765"/>
      <c r="J5439" s="763"/>
      <c r="K5439" s="763" t="s">
        <v>3</v>
      </c>
      <c r="L5439" s="766" t="s">
        <v>143</v>
      </c>
      <c r="M5439" s="766"/>
      <c r="N5439" s="766"/>
      <c r="O5439" s="766"/>
      <c r="P5439" s="766"/>
      <c r="Q5439" s="767"/>
      <c r="R5439" s="768">
        <f ca="1">SUM(R5435:R5438)</f>
        <v>7.5</v>
      </c>
      <c r="S5439" s="763"/>
      <c r="T5439" s="768">
        <f ca="1">SUM(T5435:T5438)</f>
        <v>2.3499999999999996</v>
      </c>
      <c r="U5439" s="531"/>
      <c r="V5439" s="531"/>
      <c r="W5439" s="531"/>
      <c r="X5439" s="531"/>
      <c r="Y5439" s="531"/>
      <c r="Z5439" s="531"/>
      <c r="AA5439" s="531"/>
      <c r="AB5439" s="531"/>
      <c r="AC5439" s="531"/>
      <c r="AD5439" s="531"/>
      <c r="AE5439" s="531"/>
      <c r="AF5439" s="531"/>
      <c r="AG5439" s="531"/>
      <c r="AH5439" s="531"/>
      <c r="AI5439" s="531"/>
      <c r="AJ5439" s="531"/>
      <c r="AK5439" s="531"/>
      <c r="AL5439" s="531"/>
      <c r="AM5439" s="531"/>
      <c r="AN5439" s="531"/>
      <c r="AO5439" s="531"/>
      <c r="AR5439" s="761" t="s">
        <v>145</v>
      </c>
      <c r="AS5439" s="764"/>
    </row>
    <row r="5440" spans="1:45" s="520" customFormat="1" ht="12" thickTop="1">
      <c r="A5440" s="51"/>
      <c r="B5440" s="41"/>
      <c r="C5440" s="51"/>
      <c r="E5440" s="42" t="s">
        <v>138</v>
      </c>
      <c r="F5440" s="42" t="s">
        <v>139</v>
      </c>
      <c r="G5440" s="51"/>
      <c r="H5440" s="51"/>
      <c r="I5440" s="51"/>
      <c r="J5440" s="51"/>
      <c r="K5440" s="51" t="s">
        <v>140</v>
      </c>
      <c r="L5440" s="51"/>
      <c r="M5440" s="51"/>
      <c r="N5440" s="51"/>
      <c r="O5440" s="52"/>
      <c r="P5440" s="51"/>
      <c r="Q5440" s="51"/>
      <c r="R5440" s="51"/>
      <c r="S5440" s="51"/>
      <c r="T5440" s="41"/>
      <c r="AG5440" s="521" t="s">
        <v>268</v>
      </c>
      <c r="AH5440" s="521" t="s">
        <v>269</v>
      </c>
      <c r="AI5440" s="521" t="s">
        <v>270</v>
      </c>
      <c r="AJ5440" s="521" t="s">
        <v>271</v>
      </c>
      <c r="AK5440" s="521" t="s">
        <v>272</v>
      </c>
      <c r="AM5440" s="745" t="s">
        <v>281</v>
      </c>
      <c r="AN5440" s="746" t="s">
        <v>282</v>
      </c>
      <c r="AO5440" s="522" t="s">
        <v>278</v>
      </c>
      <c r="AR5440" s="51"/>
      <c r="AS5440" s="42" t="s">
        <v>139</v>
      </c>
    </row>
    <row r="5441" spans="1:45" s="520" customFormat="1" ht="12" customHeight="1">
      <c r="A5441" s="747">
        <v>71</v>
      </c>
      <c r="B5441" s="523" t="s">
        <v>329</v>
      </c>
      <c r="C5441" s="748"/>
      <c r="D5441" s="749" t="s">
        <v>1897</v>
      </c>
      <c r="E5441" s="750">
        <f ca="1">IF(AND($A5441=0,$A$1="DIF"),0, ROUND(ROUND(($R5446*$S$2+($T5446*$T$2))/A5441,2)*$C$2,2))</f>
        <v>17.34</v>
      </c>
      <c r="F5441" s="751">
        <f ca="1">ROUND($A5441*$E5441,2)</f>
        <v>1231.1400000000001</v>
      </c>
      <c r="G5441" s="752" t="s">
        <v>142</v>
      </c>
      <c r="H5441" s="753"/>
      <c r="I5441" s="754"/>
      <c r="J5441" s="753"/>
      <c r="K5441" s="753" t="s">
        <v>3</v>
      </c>
      <c r="L5441" s="755" t="s">
        <v>143</v>
      </c>
      <c r="M5441" s="755"/>
      <c r="N5441" s="755"/>
      <c r="O5441" s="755"/>
      <c r="P5441" s="755"/>
      <c r="Q5441" s="51"/>
      <c r="T5441" s="756" t="str">
        <f ca="1">IF(AND($R5446=0,$T5446=0),"0.00","mu :" &amp; ROUND($F5441/$C$2/($R5446+$T5446*$D$9),2))</f>
        <v>mu :1.23</v>
      </c>
      <c r="W5441" s="524"/>
      <c r="AG5441" s="481">
        <f ca="1">IF($E5441=0,0,ROUND($R5446*$S$2*$C$2/$A5441,2))</f>
        <v>1.45</v>
      </c>
      <c r="AH5441" s="481">
        <f ca="1">$AG5441*$A5441</f>
        <v>102.95</v>
      </c>
      <c r="AI5441" s="525">
        <f ca="1">$E5441-$AG5441</f>
        <v>15.89</v>
      </c>
      <c r="AJ5441" s="525">
        <f ca="1">$A5441*$AI5441</f>
        <v>1128.19</v>
      </c>
      <c r="AK5441" s="526">
        <f ca="1">ROUND(($AG5441+$AI5441)*$A5441,2)</f>
        <v>1231.1400000000001</v>
      </c>
      <c r="AM5441" s="527">
        <f ca="1">ROUND(R5446,2)</f>
        <v>83.78</v>
      </c>
      <c r="AN5441" s="528">
        <f ca="1">ROUND(T5446,2)</f>
        <v>33.369999999999997</v>
      </c>
      <c r="AO5441" s="529">
        <f ca="1">ROUND(AM5441+AN5441,2)*A5441</f>
        <v>8317.65</v>
      </c>
      <c r="AR5441" s="747">
        <v>71</v>
      </c>
      <c r="AS5441" s="751">
        <v>1375.27</v>
      </c>
    </row>
    <row r="5442" spans="1:45" s="520" customFormat="1" ht="13.2">
      <c r="A5442" s="748"/>
      <c r="B5442"/>
      <c r="C5442" s="748"/>
      <c r="D5442" s="749" t="s">
        <v>885</v>
      </c>
      <c r="F5442" s="753"/>
      <c r="G5442" s="3"/>
      <c r="H5442" s="753"/>
      <c r="I5442" s="754"/>
      <c r="J5442" s="753"/>
      <c r="K5442" s="753" t="s">
        <v>144</v>
      </c>
      <c r="L5442" s="753"/>
      <c r="M5442" s="753"/>
      <c r="N5442" s="753"/>
      <c r="O5442" s="753"/>
      <c r="P5442" s="753"/>
      <c r="Q5442" s="51"/>
      <c r="R5442" s="530"/>
      <c r="S5442" s="757"/>
      <c r="T5442" s="753"/>
      <c r="AR5442" s="748"/>
      <c r="AS5442" s="753"/>
    </row>
    <row r="5443" spans="1:45" s="886" customFormat="1" ht="13.2">
      <c r="A5443"/>
      <c r="B5443" s="910"/>
      <c r="C5443" s="910" t="s">
        <v>2597</v>
      </c>
      <c r="D5443" s="910" t="str">
        <f ca="1">CELL("Address",Elec_Rates!D$559)</f>
        <v>[E25_0062_Quintano_Foods_Elec_ELV_As_Awarded.xlsx]Elec_Rates!$D$559</v>
      </c>
      <c r="E5443" s="911"/>
      <c r="F5443" s="911"/>
      <c r="G5443" s="912" t="s">
        <v>2598</v>
      </c>
      <c r="H5443" s="912"/>
      <c r="I5443" s="912"/>
      <c r="J5443" s="912"/>
      <c r="K5443" s="913"/>
      <c r="L5443" s="911"/>
      <c r="M5443" s="911"/>
      <c r="N5443" s="911"/>
      <c r="O5443" s="914"/>
      <c r="P5443" s="911"/>
      <c r="Q5443" s="915"/>
      <c r="R5443" s="916"/>
      <c r="S5443" s="915"/>
      <c r="T5443" s="917"/>
      <c r="U5443" s="918"/>
      <c r="AR5443"/>
      <c r="AS5443" s="911"/>
    </row>
    <row r="5444" spans="1:45" s="886" customFormat="1" ht="11.4">
      <c r="A5444" s="919">
        <v>71</v>
      </c>
      <c r="B5444" s="920">
        <v>1</v>
      </c>
      <c r="C5444" s="920">
        <f>$A5444*$B5444</f>
        <v>71</v>
      </c>
      <c r="D5444" s="921" t="str">
        <f>Elec_Rates!$D$559</f>
        <v>052# Install only Light fitting Type B1</v>
      </c>
      <c r="E5444" s="921"/>
      <c r="F5444" s="921" t="s">
        <v>2599</v>
      </c>
      <c r="G5444" s="922" t="s">
        <v>2601</v>
      </c>
      <c r="H5444" s="922"/>
      <c r="I5444" s="922"/>
      <c r="J5444" s="922"/>
      <c r="K5444" s="923"/>
      <c r="L5444" s="918"/>
      <c r="M5444" s="918"/>
      <c r="N5444" s="918"/>
      <c r="O5444" s="924"/>
      <c r="P5444" s="921"/>
      <c r="Q5444" s="925">
        <f ca="1">$B5444*Elec_Rates!$R$559</f>
        <v>1.18</v>
      </c>
      <c r="R5444" s="916">
        <f ca="1">$A5444*Q5444</f>
        <v>83.78</v>
      </c>
      <c r="S5444" s="925">
        <f ca="1">$B5444*Elec_Rates!$T$559</f>
        <v>0.47</v>
      </c>
      <c r="T5444" s="917">
        <f ca="1">$A5444*S5444</f>
        <v>33.369999999999997</v>
      </c>
      <c r="U5444" s="926"/>
      <c r="AR5444" s="919">
        <v>71</v>
      </c>
      <c r="AS5444" s="921" t="s">
        <v>2599</v>
      </c>
    </row>
    <row r="5445" spans="1:45" s="520" customFormat="1" ht="12">
      <c r="A5445" s="758"/>
      <c r="B5445" s="758"/>
      <c r="C5445" s="758"/>
      <c r="D5445" s="758"/>
      <c r="E5445" s="758"/>
      <c r="F5445" s="753"/>
      <c r="G5445" s="758"/>
      <c r="H5445" s="758"/>
      <c r="I5445" s="519"/>
      <c r="J5445" s="758"/>
      <c r="K5445" s="758"/>
      <c r="L5445" s="758"/>
      <c r="M5445" s="758"/>
      <c r="N5445" s="758"/>
      <c r="O5445" s="758"/>
      <c r="P5445" s="758"/>
      <c r="Q5445" s="519"/>
      <c r="R5445" s="759">
        <f t="shared" ref="R5445" si="266">$A5445*Q5445</f>
        <v>0</v>
      </c>
      <c r="S5445" s="519"/>
      <c r="T5445" s="760">
        <f t="shared" ref="T5445" si="267">$A5445*S5445*$T$1</f>
        <v>0</v>
      </c>
      <c r="AR5445" s="758"/>
      <c r="AS5445" s="753"/>
    </row>
    <row r="5446" spans="1:45" s="520" customFormat="1" ht="12.6" thickBot="1">
      <c r="A5446" s="761" t="s">
        <v>145</v>
      </c>
      <c r="B5446" s="762">
        <f>(R5445+T5445)</f>
        <v>0</v>
      </c>
      <c r="C5446" s="763"/>
      <c r="D5446" s="763"/>
      <c r="E5446" s="763"/>
      <c r="F5446" s="764"/>
      <c r="G5446" s="763" t="s">
        <v>146</v>
      </c>
      <c r="H5446" s="763"/>
      <c r="I5446" s="765"/>
      <c r="J5446" s="763"/>
      <c r="K5446" s="763" t="s">
        <v>3</v>
      </c>
      <c r="L5446" s="766" t="s">
        <v>143</v>
      </c>
      <c r="M5446" s="766"/>
      <c r="N5446" s="766"/>
      <c r="O5446" s="766"/>
      <c r="P5446" s="766"/>
      <c r="Q5446" s="767"/>
      <c r="R5446" s="768">
        <f ca="1">SUM(R5442:R5445)</f>
        <v>83.78</v>
      </c>
      <c r="S5446" s="763"/>
      <c r="T5446" s="768">
        <f ca="1">SUM(T5442:T5445)</f>
        <v>33.369999999999997</v>
      </c>
      <c r="U5446" s="531"/>
      <c r="V5446" s="531"/>
      <c r="W5446" s="531"/>
      <c r="X5446" s="531"/>
      <c r="Y5446" s="531"/>
      <c r="Z5446" s="531"/>
      <c r="AA5446" s="531"/>
      <c r="AB5446" s="531"/>
      <c r="AC5446" s="531"/>
      <c r="AD5446" s="531"/>
      <c r="AE5446" s="531"/>
      <c r="AF5446" s="531"/>
      <c r="AG5446" s="531"/>
      <c r="AH5446" s="531"/>
      <c r="AI5446" s="531"/>
      <c r="AJ5446" s="531"/>
      <c r="AK5446" s="531"/>
      <c r="AL5446" s="531"/>
      <c r="AM5446" s="531"/>
      <c r="AN5446" s="531"/>
      <c r="AO5446" s="531"/>
      <c r="AR5446" s="761" t="s">
        <v>145</v>
      </c>
      <c r="AS5446" s="764"/>
    </row>
    <row r="5447" spans="1:45" s="520" customFormat="1" ht="12" thickTop="1">
      <c r="A5447" s="51"/>
      <c r="B5447" s="41"/>
      <c r="C5447" s="51"/>
      <c r="E5447" s="42" t="s">
        <v>138</v>
      </c>
      <c r="F5447" s="42" t="s">
        <v>139</v>
      </c>
      <c r="G5447" s="51"/>
      <c r="H5447" s="51"/>
      <c r="I5447" s="51"/>
      <c r="J5447" s="51"/>
      <c r="K5447" s="51" t="s">
        <v>140</v>
      </c>
      <c r="L5447" s="51"/>
      <c r="M5447" s="51"/>
      <c r="N5447" s="51"/>
      <c r="O5447" s="52"/>
      <c r="P5447" s="51"/>
      <c r="Q5447" s="51"/>
      <c r="R5447" s="51"/>
      <c r="S5447" s="51"/>
      <c r="T5447" s="41"/>
      <c r="AG5447" s="521" t="s">
        <v>268</v>
      </c>
      <c r="AH5447" s="521" t="s">
        <v>269</v>
      </c>
      <c r="AI5447" s="521" t="s">
        <v>270</v>
      </c>
      <c r="AJ5447" s="521" t="s">
        <v>271</v>
      </c>
      <c r="AK5447" s="521" t="s">
        <v>272</v>
      </c>
      <c r="AM5447" s="745" t="s">
        <v>281</v>
      </c>
      <c r="AN5447" s="746" t="s">
        <v>282</v>
      </c>
      <c r="AO5447" s="522" t="s">
        <v>278</v>
      </c>
      <c r="AR5447" s="51"/>
      <c r="AS5447" s="42" t="s">
        <v>139</v>
      </c>
    </row>
    <row r="5448" spans="1:45" s="520" customFormat="1" ht="12" customHeight="1">
      <c r="A5448" s="747">
        <v>37</v>
      </c>
      <c r="B5448" s="523" t="s">
        <v>329</v>
      </c>
      <c r="C5448" s="748"/>
      <c r="D5448" s="749" t="s">
        <v>1898</v>
      </c>
      <c r="E5448" s="750">
        <f ca="1">IF(AND($A5448=0,$A$1="DIF"),0, ROUND(ROUND(($R5453*$S$2+($T5453*$T$2))/A5448,2)*$C$2,2))</f>
        <v>17.84</v>
      </c>
      <c r="F5448" s="751">
        <f ca="1">ROUND($A5448*$E5448,2)</f>
        <v>660.08</v>
      </c>
      <c r="G5448" s="752" t="s">
        <v>142</v>
      </c>
      <c r="H5448" s="753"/>
      <c r="I5448" s="754"/>
      <c r="J5448" s="753"/>
      <c r="K5448" s="753" t="s">
        <v>3</v>
      </c>
      <c r="L5448" s="755" t="s">
        <v>143</v>
      </c>
      <c r="M5448" s="755"/>
      <c r="N5448" s="755"/>
      <c r="O5448" s="755"/>
      <c r="P5448" s="755"/>
      <c r="Q5448" s="51"/>
      <c r="T5448" s="756" t="str">
        <f ca="1">IF(AND($R5453=0,$T5453=0),"0.00","mu :" &amp; ROUND($F5448/$C$2/($R5453+$T5453*$D$9),2))</f>
        <v>mu :1.23</v>
      </c>
      <c r="W5448" s="524"/>
      <c r="AG5448" s="481">
        <f ca="1">IF($E5448=0,0,ROUND($R5453*$S$2*$C$2/$A5448,2))</f>
        <v>1.95</v>
      </c>
      <c r="AH5448" s="481">
        <f ca="1">$AG5448*$A5448</f>
        <v>72.149999999999991</v>
      </c>
      <c r="AI5448" s="525">
        <f ca="1">$E5448-$AG5448</f>
        <v>15.89</v>
      </c>
      <c r="AJ5448" s="525">
        <f ca="1">$A5448*$AI5448</f>
        <v>587.93000000000006</v>
      </c>
      <c r="AK5448" s="526">
        <f ca="1">ROUND(($AG5448+$AI5448)*$A5448,2)</f>
        <v>660.08</v>
      </c>
      <c r="AM5448" s="527">
        <f ca="1">ROUND(R5453,2)</f>
        <v>58.46</v>
      </c>
      <c r="AN5448" s="528">
        <f ca="1">ROUND(T5453,2)</f>
        <v>17.39</v>
      </c>
      <c r="AO5448" s="529">
        <f ca="1">ROUND(AM5448+AN5448,2)*A5448</f>
        <v>2806.45</v>
      </c>
      <c r="AR5448" s="747">
        <v>37</v>
      </c>
      <c r="AS5448" s="751">
        <v>735.19</v>
      </c>
    </row>
    <row r="5449" spans="1:45" s="520" customFormat="1" ht="13.2">
      <c r="A5449" s="748"/>
      <c r="B5449"/>
      <c r="C5449" s="748"/>
      <c r="D5449" s="749" t="s">
        <v>886</v>
      </c>
      <c r="F5449" s="753"/>
      <c r="G5449" s="3"/>
      <c r="H5449" s="753"/>
      <c r="I5449" s="754"/>
      <c r="J5449" s="753"/>
      <c r="K5449" s="753" t="s">
        <v>144</v>
      </c>
      <c r="L5449" s="753"/>
      <c r="M5449" s="753"/>
      <c r="N5449" s="753"/>
      <c r="O5449" s="753"/>
      <c r="P5449" s="753"/>
      <c r="Q5449" s="51"/>
      <c r="R5449" s="530"/>
      <c r="S5449" s="757"/>
      <c r="T5449" s="753"/>
      <c r="AR5449" s="748"/>
      <c r="AS5449" s="753"/>
    </row>
    <row r="5450" spans="1:45" s="886" customFormat="1" ht="13.2">
      <c r="A5450"/>
      <c r="B5450" s="910"/>
      <c r="C5450" s="910" t="s">
        <v>2597</v>
      </c>
      <c r="D5450" s="910" t="str">
        <f ca="1">CELL("Address",Elec_Rates!D$568)</f>
        <v>[E25_0062_Quintano_Foods_Elec_ELV_As_Awarded.xlsx]Elec_Rates!$D$568</v>
      </c>
      <c r="E5450" s="911"/>
      <c r="F5450" s="911"/>
      <c r="G5450" s="912" t="s">
        <v>2598</v>
      </c>
      <c r="H5450" s="912"/>
      <c r="I5450" s="912"/>
      <c r="J5450" s="912"/>
      <c r="K5450" s="913"/>
      <c r="L5450" s="911"/>
      <c r="M5450" s="911"/>
      <c r="N5450" s="911"/>
      <c r="O5450" s="914"/>
      <c r="P5450" s="911"/>
      <c r="Q5450" s="915"/>
      <c r="R5450" s="916"/>
      <c r="S5450" s="915"/>
      <c r="T5450" s="917"/>
      <c r="U5450" s="918"/>
      <c r="AR5450"/>
      <c r="AS5450" s="911"/>
    </row>
    <row r="5451" spans="1:45" s="886" customFormat="1" ht="11.4">
      <c r="A5451" s="919">
        <v>37</v>
      </c>
      <c r="B5451" s="920">
        <v>1</v>
      </c>
      <c r="C5451" s="920">
        <f>$A5451*$B5451</f>
        <v>37</v>
      </c>
      <c r="D5451" s="921" t="str">
        <f>Elec_Rates!$D$568</f>
        <v>053# Install only Light fitting Type B2</v>
      </c>
      <c r="E5451" s="921"/>
      <c r="F5451" s="921" t="s">
        <v>2599</v>
      </c>
      <c r="G5451" s="922" t="s">
        <v>2600</v>
      </c>
      <c r="H5451" s="922"/>
      <c r="I5451" s="922"/>
      <c r="J5451" s="922"/>
      <c r="K5451" s="923"/>
      <c r="L5451" s="918"/>
      <c r="M5451" s="918"/>
      <c r="N5451" s="918"/>
      <c r="O5451" s="924"/>
      <c r="P5451" s="921"/>
      <c r="Q5451" s="925">
        <f ca="1">$B5451*Elec_Rates!$R$568</f>
        <v>1.58</v>
      </c>
      <c r="R5451" s="916">
        <f ca="1">$A5451*Q5451</f>
        <v>58.46</v>
      </c>
      <c r="S5451" s="925">
        <f ca="1">$B5451*Elec_Rates!$T$568</f>
        <v>0.47</v>
      </c>
      <c r="T5451" s="917">
        <f ca="1">$A5451*S5451</f>
        <v>17.39</v>
      </c>
      <c r="U5451" s="926"/>
      <c r="AR5451" s="919">
        <v>37</v>
      </c>
      <c r="AS5451" s="921" t="s">
        <v>2599</v>
      </c>
    </row>
    <row r="5452" spans="1:45" s="520" customFormat="1" ht="12">
      <c r="A5452" s="758"/>
      <c r="B5452" s="758"/>
      <c r="C5452" s="758"/>
      <c r="D5452" s="758"/>
      <c r="E5452" s="758"/>
      <c r="F5452" s="753"/>
      <c r="G5452" s="758"/>
      <c r="H5452" s="758"/>
      <c r="I5452" s="519"/>
      <c r="J5452" s="758"/>
      <c r="K5452" s="758"/>
      <c r="L5452" s="758"/>
      <c r="M5452" s="758"/>
      <c r="N5452" s="758"/>
      <c r="O5452" s="758"/>
      <c r="P5452" s="758"/>
      <c r="Q5452" s="519"/>
      <c r="R5452" s="759">
        <f t="shared" ref="R5452" si="268">$A5452*Q5452</f>
        <v>0</v>
      </c>
      <c r="S5452" s="519"/>
      <c r="T5452" s="760">
        <f t="shared" ref="T5452" si="269">$A5452*S5452*$T$1</f>
        <v>0</v>
      </c>
      <c r="AR5452" s="758"/>
      <c r="AS5452" s="753"/>
    </row>
    <row r="5453" spans="1:45" s="520" customFormat="1" ht="12.6" thickBot="1">
      <c r="A5453" s="761" t="s">
        <v>145</v>
      </c>
      <c r="B5453" s="762">
        <f>(R5452+T5452)</f>
        <v>0</v>
      </c>
      <c r="C5453" s="763"/>
      <c r="D5453" s="763"/>
      <c r="E5453" s="763"/>
      <c r="F5453" s="764"/>
      <c r="G5453" s="763" t="s">
        <v>146</v>
      </c>
      <c r="H5453" s="763"/>
      <c r="I5453" s="765"/>
      <c r="J5453" s="763"/>
      <c r="K5453" s="763" t="s">
        <v>3</v>
      </c>
      <c r="L5453" s="766" t="s">
        <v>143</v>
      </c>
      <c r="M5453" s="766"/>
      <c r="N5453" s="766"/>
      <c r="O5453" s="766"/>
      <c r="P5453" s="766"/>
      <c r="Q5453" s="767"/>
      <c r="R5453" s="768">
        <f ca="1">SUM(R5449:R5452)</f>
        <v>58.46</v>
      </c>
      <c r="S5453" s="763"/>
      <c r="T5453" s="768">
        <f ca="1">SUM(T5449:T5452)</f>
        <v>17.39</v>
      </c>
      <c r="U5453" s="531"/>
      <c r="V5453" s="531"/>
      <c r="W5453" s="531"/>
      <c r="X5453" s="531"/>
      <c r="Y5453" s="531"/>
      <c r="Z5453" s="531"/>
      <c r="AA5453" s="531"/>
      <c r="AB5453" s="531"/>
      <c r="AC5453" s="531"/>
      <c r="AD5453" s="531"/>
      <c r="AE5453" s="531"/>
      <c r="AF5453" s="531"/>
      <c r="AG5453" s="531"/>
      <c r="AH5453" s="531"/>
      <c r="AI5453" s="531"/>
      <c r="AJ5453" s="531"/>
      <c r="AK5453" s="531"/>
      <c r="AL5453" s="531"/>
      <c r="AM5453" s="531"/>
      <c r="AN5453" s="531"/>
      <c r="AO5453" s="531"/>
      <c r="AR5453" s="761" t="s">
        <v>145</v>
      </c>
      <c r="AS5453" s="764"/>
    </row>
    <row r="5454" spans="1:45" s="520" customFormat="1" ht="12" thickTop="1">
      <c r="A5454" s="51"/>
      <c r="B5454" s="41"/>
      <c r="C5454" s="51"/>
      <c r="E5454" s="42" t="s">
        <v>138</v>
      </c>
      <c r="F5454" s="42" t="s">
        <v>139</v>
      </c>
      <c r="G5454" s="51"/>
      <c r="H5454" s="51"/>
      <c r="I5454" s="51"/>
      <c r="J5454" s="51"/>
      <c r="K5454" s="51" t="s">
        <v>140</v>
      </c>
      <c r="L5454" s="51"/>
      <c r="M5454" s="51"/>
      <c r="N5454" s="51"/>
      <c r="O5454" s="52"/>
      <c r="P5454" s="51"/>
      <c r="Q5454" s="51"/>
      <c r="R5454" s="51"/>
      <c r="S5454" s="51"/>
      <c r="T5454" s="41"/>
      <c r="AG5454" s="521" t="s">
        <v>268</v>
      </c>
      <c r="AH5454" s="521" t="s">
        <v>269</v>
      </c>
      <c r="AI5454" s="521" t="s">
        <v>270</v>
      </c>
      <c r="AJ5454" s="521" t="s">
        <v>271</v>
      </c>
      <c r="AK5454" s="521" t="s">
        <v>272</v>
      </c>
      <c r="AM5454" s="745" t="s">
        <v>281</v>
      </c>
      <c r="AN5454" s="746" t="s">
        <v>282</v>
      </c>
      <c r="AO5454" s="522" t="s">
        <v>278</v>
      </c>
      <c r="AR5454" s="51"/>
      <c r="AS5454" s="42" t="s">
        <v>139</v>
      </c>
    </row>
    <row r="5455" spans="1:45" s="520" customFormat="1" ht="12" customHeight="1">
      <c r="A5455" s="747">
        <v>1</v>
      </c>
      <c r="B5455" s="523" t="s">
        <v>329</v>
      </c>
      <c r="C5455" s="748"/>
      <c r="D5455" s="749" t="s">
        <v>1899</v>
      </c>
      <c r="E5455" s="750">
        <f ca="1">IF(AND($A5455=0,$A$1="DIF"),0, ROUND(ROUND(($R5460*$S$2+($T5460*$T$2))/A5455,2)*$C$2,2))</f>
        <v>17.84</v>
      </c>
      <c r="F5455" s="751">
        <f ca="1">ROUND($A5455*$E5455,2)</f>
        <v>17.84</v>
      </c>
      <c r="G5455" s="752" t="s">
        <v>142</v>
      </c>
      <c r="H5455" s="753"/>
      <c r="I5455" s="754"/>
      <c r="J5455" s="753"/>
      <c r="K5455" s="753" t="s">
        <v>3</v>
      </c>
      <c r="L5455" s="755" t="s">
        <v>143</v>
      </c>
      <c r="M5455" s="755"/>
      <c r="N5455" s="755"/>
      <c r="O5455" s="755"/>
      <c r="P5455" s="755"/>
      <c r="Q5455" s="51"/>
      <c r="T5455" s="756" t="str">
        <f ca="1">IF(AND($R5460=0,$T5460=0),"0.00","mu :" &amp; ROUND($F5455/$C$2/($R5460+$T5460*$D$9),2))</f>
        <v>mu :1.23</v>
      </c>
      <c r="W5455" s="524"/>
      <c r="AG5455" s="481">
        <f ca="1">IF($E5455=0,0,ROUND($R5460*$S$2*$C$2/$A5455,2))</f>
        <v>1.95</v>
      </c>
      <c r="AH5455" s="481">
        <f ca="1">$AG5455*$A5455</f>
        <v>1.95</v>
      </c>
      <c r="AI5455" s="525">
        <f ca="1">$E5455-$AG5455</f>
        <v>15.89</v>
      </c>
      <c r="AJ5455" s="525">
        <f ca="1">$A5455*$AI5455</f>
        <v>15.89</v>
      </c>
      <c r="AK5455" s="526">
        <f ca="1">ROUND(($AG5455+$AI5455)*$A5455,2)</f>
        <v>17.84</v>
      </c>
      <c r="AM5455" s="527">
        <f ca="1">ROUND(R5460,2)</f>
        <v>1.58</v>
      </c>
      <c r="AN5455" s="528">
        <f ca="1">ROUND(T5460,2)</f>
        <v>0.47</v>
      </c>
      <c r="AO5455" s="529">
        <f ca="1">ROUND(AM5455+AN5455,2)*A5455</f>
        <v>2.0499999999999998</v>
      </c>
      <c r="AR5455" s="747">
        <v>1</v>
      </c>
      <c r="AS5455" s="751">
        <v>19.87</v>
      </c>
    </row>
    <row r="5456" spans="1:45" s="520" customFormat="1" ht="13.2">
      <c r="A5456" s="748"/>
      <c r="B5456"/>
      <c r="C5456" s="748"/>
      <c r="D5456" s="749" t="s">
        <v>887</v>
      </c>
      <c r="F5456" s="753"/>
      <c r="G5456" s="3"/>
      <c r="H5456" s="753"/>
      <c r="I5456" s="754"/>
      <c r="J5456" s="753"/>
      <c r="K5456" s="753" t="s">
        <v>144</v>
      </c>
      <c r="L5456" s="753"/>
      <c r="M5456" s="753"/>
      <c r="N5456" s="753"/>
      <c r="O5456" s="753"/>
      <c r="P5456" s="753"/>
      <c r="Q5456" s="51"/>
      <c r="R5456" s="530"/>
      <c r="S5456" s="757"/>
      <c r="T5456" s="753"/>
      <c r="AR5456" s="748"/>
      <c r="AS5456" s="753"/>
    </row>
    <row r="5457" spans="1:45" s="886" customFormat="1" ht="13.2">
      <c r="A5457"/>
      <c r="B5457" s="910"/>
      <c r="C5457" s="910" t="s">
        <v>2597</v>
      </c>
      <c r="D5457" s="910" t="str">
        <f ca="1">CELL("Address",Elec_Rates!D$577)</f>
        <v>[E25_0062_Quintano_Foods_Elec_ELV_As_Awarded.xlsx]Elec_Rates!$D$577</v>
      </c>
      <c r="E5457" s="911"/>
      <c r="F5457" s="911"/>
      <c r="G5457" s="912" t="s">
        <v>2598</v>
      </c>
      <c r="H5457" s="912"/>
      <c r="I5457" s="912"/>
      <c r="J5457" s="912"/>
      <c r="K5457" s="913"/>
      <c r="L5457" s="911"/>
      <c r="M5457" s="911"/>
      <c r="N5457" s="911"/>
      <c r="O5457" s="914"/>
      <c r="P5457" s="911"/>
      <c r="Q5457" s="915"/>
      <c r="R5457" s="916"/>
      <c r="S5457" s="915"/>
      <c r="T5457" s="917"/>
      <c r="U5457" s="918"/>
      <c r="AR5457"/>
      <c r="AS5457" s="911"/>
    </row>
    <row r="5458" spans="1:45" s="886" customFormat="1" ht="11.4">
      <c r="A5458" s="919">
        <v>1</v>
      </c>
      <c r="B5458" s="920">
        <v>1</v>
      </c>
      <c r="C5458" s="920">
        <f>$A5458*$B5458</f>
        <v>1</v>
      </c>
      <c r="D5458" s="921" t="str">
        <f>Elec_Rates!$D$577</f>
        <v>054# Install only Light fitting Type C2</v>
      </c>
      <c r="E5458" s="921"/>
      <c r="F5458" s="921" t="s">
        <v>2599</v>
      </c>
      <c r="G5458" s="922" t="s">
        <v>2600</v>
      </c>
      <c r="H5458" s="922"/>
      <c r="I5458" s="922"/>
      <c r="J5458" s="922"/>
      <c r="K5458" s="923"/>
      <c r="L5458" s="918"/>
      <c r="M5458" s="918"/>
      <c r="N5458" s="918"/>
      <c r="O5458" s="924"/>
      <c r="P5458" s="921"/>
      <c r="Q5458" s="925">
        <f ca="1">$B5458*Elec_Rates!$R$577</f>
        <v>1.58</v>
      </c>
      <c r="R5458" s="916">
        <f ca="1">$A5458*Q5458</f>
        <v>1.58</v>
      </c>
      <c r="S5458" s="925">
        <f ca="1">$B5458*Elec_Rates!$T$577</f>
        <v>0.47</v>
      </c>
      <c r="T5458" s="917">
        <f ca="1">$A5458*S5458</f>
        <v>0.47</v>
      </c>
      <c r="U5458" s="926"/>
      <c r="AR5458" s="919">
        <v>1</v>
      </c>
      <c r="AS5458" s="921" t="s">
        <v>2599</v>
      </c>
    </row>
    <row r="5459" spans="1:45" s="520" customFormat="1" ht="12">
      <c r="A5459" s="758"/>
      <c r="B5459" s="758"/>
      <c r="C5459" s="758"/>
      <c r="D5459" s="758"/>
      <c r="E5459" s="758"/>
      <c r="F5459" s="753"/>
      <c r="G5459" s="758"/>
      <c r="H5459" s="758"/>
      <c r="I5459" s="519"/>
      <c r="J5459" s="758"/>
      <c r="K5459" s="758"/>
      <c r="L5459" s="758"/>
      <c r="M5459" s="758"/>
      <c r="N5459" s="758"/>
      <c r="O5459" s="758"/>
      <c r="P5459" s="758"/>
      <c r="Q5459" s="519"/>
      <c r="R5459" s="759">
        <f t="shared" ref="R5459" si="270">$A5459*Q5459</f>
        <v>0</v>
      </c>
      <c r="S5459" s="519"/>
      <c r="T5459" s="760">
        <f t="shared" ref="T5459" si="271">$A5459*S5459*$T$1</f>
        <v>0</v>
      </c>
      <c r="AR5459" s="758"/>
      <c r="AS5459" s="753"/>
    </row>
    <row r="5460" spans="1:45" s="520" customFormat="1" ht="12.6" thickBot="1">
      <c r="A5460" s="761" t="s">
        <v>145</v>
      </c>
      <c r="B5460" s="762">
        <f>(R5459+T5459)</f>
        <v>0</v>
      </c>
      <c r="C5460" s="763"/>
      <c r="D5460" s="763"/>
      <c r="E5460" s="763"/>
      <c r="F5460" s="764"/>
      <c r="G5460" s="763" t="s">
        <v>146</v>
      </c>
      <c r="H5460" s="763"/>
      <c r="I5460" s="765"/>
      <c r="J5460" s="763"/>
      <c r="K5460" s="763" t="s">
        <v>3</v>
      </c>
      <c r="L5460" s="766" t="s">
        <v>143</v>
      </c>
      <c r="M5460" s="766"/>
      <c r="N5460" s="766"/>
      <c r="O5460" s="766"/>
      <c r="P5460" s="766"/>
      <c r="Q5460" s="767"/>
      <c r="R5460" s="768">
        <f ca="1">SUM(R5456:R5459)</f>
        <v>1.58</v>
      </c>
      <c r="S5460" s="763"/>
      <c r="T5460" s="768">
        <f ca="1">SUM(T5456:T5459)</f>
        <v>0.47</v>
      </c>
      <c r="U5460" s="531"/>
      <c r="V5460" s="531"/>
      <c r="W5460" s="531"/>
      <c r="X5460" s="531"/>
      <c r="Y5460" s="531"/>
      <c r="Z5460" s="531"/>
      <c r="AA5460" s="531"/>
      <c r="AB5460" s="531"/>
      <c r="AC5460" s="531"/>
      <c r="AD5460" s="531"/>
      <c r="AE5460" s="531"/>
      <c r="AF5460" s="531"/>
      <c r="AG5460" s="531"/>
      <c r="AH5460" s="531"/>
      <c r="AI5460" s="531"/>
      <c r="AJ5460" s="531"/>
      <c r="AK5460" s="531"/>
      <c r="AL5460" s="531"/>
      <c r="AM5460" s="531"/>
      <c r="AN5460" s="531"/>
      <c r="AO5460" s="531"/>
      <c r="AR5460" s="761" t="s">
        <v>145</v>
      </c>
      <c r="AS5460" s="764"/>
    </row>
    <row r="5461" spans="1:45" s="520" customFormat="1" ht="12" thickTop="1">
      <c r="A5461" s="51"/>
      <c r="B5461" s="41"/>
      <c r="C5461" s="51"/>
      <c r="E5461" s="42" t="s">
        <v>138</v>
      </c>
      <c r="F5461" s="42" t="s">
        <v>139</v>
      </c>
      <c r="G5461" s="51"/>
      <c r="H5461" s="51"/>
      <c r="I5461" s="51"/>
      <c r="J5461" s="51"/>
      <c r="K5461" s="51" t="s">
        <v>140</v>
      </c>
      <c r="L5461" s="51"/>
      <c r="M5461" s="51"/>
      <c r="N5461" s="51"/>
      <c r="O5461" s="52"/>
      <c r="P5461" s="51"/>
      <c r="Q5461" s="51"/>
      <c r="R5461" s="51"/>
      <c r="S5461" s="51"/>
      <c r="T5461" s="41"/>
      <c r="AG5461" s="521" t="s">
        <v>268</v>
      </c>
      <c r="AH5461" s="521" t="s">
        <v>269</v>
      </c>
      <c r="AI5461" s="521" t="s">
        <v>270</v>
      </c>
      <c r="AJ5461" s="521" t="s">
        <v>271</v>
      </c>
      <c r="AK5461" s="521" t="s">
        <v>272</v>
      </c>
      <c r="AM5461" s="745" t="s">
        <v>281</v>
      </c>
      <c r="AN5461" s="746" t="s">
        <v>282</v>
      </c>
      <c r="AO5461" s="522" t="s">
        <v>278</v>
      </c>
      <c r="AR5461" s="51"/>
      <c r="AS5461" s="42" t="s">
        <v>139</v>
      </c>
    </row>
    <row r="5462" spans="1:45" s="520" customFormat="1" ht="12" customHeight="1">
      <c r="A5462" s="747">
        <v>7</v>
      </c>
      <c r="B5462" s="523" t="s">
        <v>329</v>
      </c>
      <c r="C5462" s="748"/>
      <c r="D5462" s="749" t="s">
        <v>1900</v>
      </c>
      <c r="E5462" s="750">
        <f ca="1">IF(AND($A5462=0,$A$1="DIF"),0, ROUND(ROUND(($R5467*$S$2+($T5467*$T$2))/A5462,2)*$C$2,2))</f>
        <v>17.34</v>
      </c>
      <c r="F5462" s="751">
        <f ca="1">ROUND($A5462*$E5462,2)</f>
        <v>121.38</v>
      </c>
      <c r="G5462" s="752" t="s">
        <v>142</v>
      </c>
      <c r="H5462" s="753"/>
      <c r="I5462" s="754"/>
      <c r="J5462" s="753"/>
      <c r="K5462" s="753" t="s">
        <v>3</v>
      </c>
      <c r="L5462" s="755" t="s">
        <v>143</v>
      </c>
      <c r="M5462" s="755"/>
      <c r="N5462" s="755"/>
      <c r="O5462" s="755"/>
      <c r="P5462" s="755"/>
      <c r="Q5462" s="51"/>
      <c r="T5462" s="756" t="str">
        <f ca="1">IF(AND($R5467=0,$T5467=0),"0.00","mu :" &amp; ROUND($F5462/$C$2/($R5467+$T5467*$D$9),2))</f>
        <v>mu :1.23</v>
      </c>
      <c r="W5462" s="524"/>
      <c r="AG5462" s="481">
        <f ca="1">IF($E5462=0,0,ROUND($R5467*$S$2*$C$2/$A5462,2))</f>
        <v>1.45</v>
      </c>
      <c r="AH5462" s="481">
        <f ca="1">$AG5462*$A5462</f>
        <v>10.15</v>
      </c>
      <c r="AI5462" s="525">
        <f ca="1">$E5462-$AG5462</f>
        <v>15.89</v>
      </c>
      <c r="AJ5462" s="525">
        <f ca="1">$A5462*$AI5462</f>
        <v>111.23</v>
      </c>
      <c r="AK5462" s="526">
        <f ca="1">ROUND(($AG5462+$AI5462)*$A5462,2)</f>
        <v>121.38</v>
      </c>
      <c r="AM5462" s="527">
        <f ca="1">ROUND(R5467,2)</f>
        <v>8.26</v>
      </c>
      <c r="AN5462" s="528">
        <f ca="1">ROUND(T5467,2)</f>
        <v>3.29</v>
      </c>
      <c r="AO5462" s="529">
        <f ca="1">ROUND(AM5462+AN5462,2)*A5462</f>
        <v>80.850000000000009</v>
      </c>
      <c r="AR5462" s="747">
        <v>7</v>
      </c>
      <c r="AS5462" s="751">
        <v>135.59</v>
      </c>
    </row>
    <row r="5463" spans="1:45" s="520" customFormat="1" ht="13.2">
      <c r="A5463" s="748"/>
      <c r="B5463"/>
      <c r="C5463" s="748"/>
      <c r="D5463" s="749" t="s">
        <v>899</v>
      </c>
      <c r="F5463" s="753"/>
      <c r="G5463" s="3"/>
      <c r="H5463" s="753"/>
      <c r="I5463" s="754"/>
      <c r="J5463" s="753"/>
      <c r="K5463" s="753" t="s">
        <v>144</v>
      </c>
      <c r="L5463" s="753"/>
      <c r="M5463" s="753"/>
      <c r="N5463" s="753"/>
      <c r="O5463" s="753"/>
      <c r="P5463" s="753"/>
      <c r="Q5463" s="51"/>
      <c r="R5463" s="530"/>
      <c r="S5463" s="757"/>
      <c r="T5463" s="753"/>
      <c r="AR5463" s="748"/>
      <c r="AS5463" s="753"/>
    </row>
    <row r="5464" spans="1:45" s="886" customFormat="1" ht="13.2">
      <c r="A5464"/>
      <c r="B5464" s="910"/>
      <c r="C5464" s="910" t="s">
        <v>2597</v>
      </c>
      <c r="D5464" s="910" t="str">
        <f ca="1">CELL("Address",Elec_Rates!D$586)</f>
        <v>[E25_0062_Quintano_Foods_Elec_ELV_As_Awarded.xlsx]Elec_Rates!$D$586</v>
      </c>
      <c r="E5464" s="911"/>
      <c r="F5464" s="911"/>
      <c r="G5464" s="912" t="s">
        <v>2598</v>
      </c>
      <c r="H5464" s="912"/>
      <c r="I5464" s="912"/>
      <c r="J5464" s="912"/>
      <c r="K5464" s="913"/>
      <c r="L5464" s="911"/>
      <c r="M5464" s="911"/>
      <c r="N5464" s="911"/>
      <c r="O5464" s="914"/>
      <c r="P5464" s="911"/>
      <c r="Q5464" s="915"/>
      <c r="R5464" s="916"/>
      <c r="S5464" s="915"/>
      <c r="T5464" s="917"/>
      <c r="U5464" s="918"/>
      <c r="AR5464"/>
      <c r="AS5464" s="911"/>
    </row>
    <row r="5465" spans="1:45" s="886" customFormat="1" ht="11.4">
      <c r="A5465" s="919">
        <v>7</v>
      </c>
      <c r="B5465" s="920">
        <v>1</v>
      </c>
      <c r="C5465" s="920">
        <f>$A5465*$B5465</f>
        <v>7</v>
      </c>
      <c r="D5465" s="921" t="str">
        <f>Elec_Rates!$D$586</f>
        <v>055# Install only Light fitting Type D1</v>
      </c>
      <c r="E5465" s="921"/>
      <c r="F5465" s="921" t="s">
        <v>2599</v>
      </c>
      <c r="G5465" s="922" t="s">
        <v>2600</v>
      </c>
      <c r="H5465" s="922"/>
      <c r="I5465" s="922"/>
      <c r="J5465" s="922"/>
      <c r="K5465" s="923"/>
      <c r="L5465" s="918"/>
      <c r="M5465" s="918"/>
      <c r="N5465" s="918"/>
      <c r="O5465" s="924"/>
      <c r="P5465" s="921"/>
      <c r="Q5465" s="925">
        <f ca="1">$B5465*Elec_Rates!$R$586</f>
        <v>1.18</v>
      </c>
      <c r="R5465" s="916">
        <f ca="1">$A5465*Q5465</f>
        <v>8.26</v>
      </c>
      <c r="S5465" s="925">
        <f ca="1">$B5465*Elec_Rates!$T$586</f>
        <v>0.47</v>
      </c>
      <c r="T5465" s="917">
        <f ca="1">$A5465*S5465</f>
        <v>3.29</v>
      </c>
      <c r="U5465" s="926"/>
      <c r="AR5465" s="919">
        <v>7</v>
      </c>
      <c r="AS5465" s="921" t="s">
        <v>2599</v>
      </c>
    </row>
    <row r="5466" spans="1:45" s="520" customFormat="1" ht="12">
      <c r="A5466" s="758"/>
      <c r="B5466" s="758"/>
      <c r="C5466" s="758"/>
      <c r="D5466" s="758"/>
      <c r="E5466" s="758"/>
      <c r="F5466" s="753"/>
      <c r="G5466" s="758"/>
      <c r="H5466" s="758"/>
      <c r="I5466" s="519"/>
      <c r="J5466" s="758"/>
      <c r="K5466" s="758"/>
      <c r="L5466" s="758"/>
      <c r="M5466" s="758"/>
      <c r="N5466" s="758"/>
      <c r="O5466" s="758"/>
      <c r="P5466" s="758"/>
      <c r="Q5466" s="519"/>
      <c r="R5466" s="759">
        <f t="shared" ref="R5466" si="272">$A5466*Q5466</f>
        <v>0</v>
      </c>
      <c r="S5466" s="519"/>
      <c r="T5466" s="760">
        <f t="shared" ref="T5466" si="273">$A5466*S5466*$T$1</f>
        <v>0</v>
      </c>
      <c r="AR5466" s="758"/>
      <c r="AS5466" s="753"/>
    </row>
    <row r="5467" spans="1:45" s="520" customFormat="1" ht="12.6" thickBot="1">
      <c r="A5467" s="761" t="s">
        <v>145</v>
      </c>
      <c r="B5467" s="762">
        <f>(R5466+T5466)</f>
        <v>0</v>
      </c>
      <c r="C5467" s="763"/>
      <c r="D5467" s="763"/>
      <c r="E5467" s="763"/>
      <c r="F5467" s="764"/>
      <c r="G5467" s="763" t="s">
        <v>146</v>
      </c>
      <c r="H5467" s="763"/>
      <c r="I5467" s="765"/>
      <c r="J5467" s="763"/>
      <c r="K5467" s="763" t="s">
        <v>3</v>
      </c>
      <c r="L5467" s="766" t="s">
        <v>143</v>
      </c>
      <c r="M5467" s="766"/>
      <c r="N5467" s="766"/>
      <c r="O5467" s="766"/>
      <c r="P5467" s="766"/>
      <c r="Q5467" s="767"/>
      <c r="R5467" s="768">
        <f ca="1">SUM(R5463:R5466)</f>
        <v>8.26</v>
      </c>
      <c r="S5467" s="763"/>
      <c r="T5467" s="768">
        <f ca="1">SUM(T5463:T5466)</f>
        <v>3.29</v>
      </c>
      <c r="U5467" s="531"/>
      <c r="V5467" s="531"/>
      <c r="W5467" s="531"/>
      <c r="X5467" s="531"/>
      <c r="Y5467" s="531"/>
      <c r="Z5467" s="531"/>
      <c r="AA5467" s="531"/>
      <c r="AB5467" s="531"/>
      <c r="AC5467" s="531"/>
      <c r="AD5467" s="531"/>
      <c r="AE5467" s="531"/>
      <c r="AF5467" s="531"/>
      <c r="AG5467" s="531"/>
      <c r="AH5467" s="531"/>
      <c r="AI5467" s="531"/>
      <c r="AJ5467" s="531"/>
      <c r="AK5467" s="531"/>
      <c r="AL5467" s="531"/>
      <c r="AM5467" s="531"/>
      <c r="AN5467" s="531"/>
      <c r="AO5467" s="531"/>
      <c r="AR5467" s="761" t="s">
        <v>145</v>
      </c>
      <c r="AS5467" s="764"/>
    </row>
    <row r="5468" spans="1:45" s="520" customFormat="1" ht="12" thickTop="1">
      <c r="A5468" s="51"/>
      <c r="B5468" s="41"/>
      <c r="C5468" s="51"/>
      <c r="E5468" s="42" t="s">
        <v>138</v>
      </c>
      <c r="F5468" s="42" t="s">
        <v>139</v>
      </c>
      <c r="G5468" s="51"/>
      <c r="H5468" s="51"/>
      <c r="I5468" s="51"/>
      <c r="J5468" s="51"/>
      <c r="K5468" s="51" t="s">
        <v>140</v>
      </c>
      <c r="L5468" s="51"/>
      <c r="M5468" s="51"/>
      <c r="N5468" s="51"/>
      <c r="O5468" s="52"/>
      <c r="P5468" s="51"/>
      <c r="Q5468" s="51"/>
      <c r="R5468" s="51"/>
      <c r="S5468" s="51"/>
      <c r="T5468" s="41"/>
      <c r="AG5468" s="521" t="s">
        <v>268</v>
      </c>
      <c r="AH5468" s="521" t="s">
        <v>269</v>
      </c>
      <c r="AI5468" s="521" t="s">
        <v>270</v>
      </c>
      <c r="AJ5468" s="521" t="s">
        <v>271</v>
      </c>
      <c r="AK5468" s="521" t="s">
        <v>272</v>
      </c>
      <c r="AM5468" s="745" t="s">
        <v>281</v>
      </c>
      <c r="AN5468" s="746" t="s">
        <v>282</v>
      </c>
      <c r="AO5468" s="522" t="s">
        <v>278</v>
      </c>
      <c r="AR5468" s="51"/>
      <c r="AS5468" s="42" t="s">
        <v>139</v>
      </c>
    </row>
    <row r="5469" spans="1:45" s="520" customFormat="1" ht="12" customHeight="1">
      <c r="A5469" s="747">
        <v>7</v>
      </c>
      <c r="B5469" s="523" t="s">
        <v>329</v>
      </c>
      <c r="C5469" s="748"/>
      <c r="D5469" s="749" t="s">
        <v>1901</v>
      </c>
      <c r="E5469" s="750">
        <f ca="1">IF(AND($A5469=0,$A$1="DIF"),0, ROUND(ROUND(($R5474*$S$2+($T5474*$T$2))/A5469,2)*$C$2,2))</f>
        <v>17.34</v>
      </c>
      <c r="F5469" s="751">
        <f ca="1">ROUND($A5469*$E5469,2)</f>
        <v>121.38</v>
      </c>
      <c r="G5469" s="752" t="s">
        <v>142</v>
      </c>
      <c r="H5469" s="753"/>
      <c r="I5469" s="754"/>
      <c r="J5469" s="753"/>
      <c r="K5469" s="753" t="s">
        <v>3</v>
      </c>
      <c r="L5469" s="755" t="s">
        <v>143</v>
      </c>
      <c r="M5469" s="755"/>
      <c r="N5469" s="755"/>
      <c r="O5469" s="755"/>
      <c r="P5469" s="755"/>
      <c r="Q5469" s="51"/>
      <c r="T5469" s="756" t="str">
        <f ca="1">IF(AND($R5474=0,$T5474=0),"0.00","mu :" &amp; ROUND($F5469/$C$2/($R5474+$T5474*$D$9),2))</f>
        <v>mu :1.23</v>
      </c>
      <c r="W5469" s="524"/>
      <c r="AG5469" s="481">
        <f ca="1">IF($E5469=0,0,ROUND($R5474*$S$2*$C$2/$A5469,2))</f>
        <v>1.45</v>
      </c>
      <c r="AH5469" s="481">
        <f ca="1">$AG5469*$A5469</f>
        <v>10.15</v>
      </c>
      <c r="AI5469" s="525">
        <f ca="1">$E5469-$AG5469</f>
        <v>15.89</v>
      </c>
      <c r="AJ5469" s="525">
        <f ca="1">$A5469*$AI5469</f>
        <v>111.23</v>
      </c>
      <c r="AK5469" s="526">
        <f ca="1">ROUND(($AG5469+$AI5469)*$A5469,2)</f>
        <v>121.38</v>
      </c>
      <c r="AM5469" s="527">
        <f ca="1">ROUND(R5474,2)</f>
        <v>8.26</v>
      </c>
      <c r="AN5469" s="528">
        <f ca="1">ROUND(T5474,2)</f>
        <v>3.29</v>
      </c>
      <c r="AO5469" s="529">
        <f ca="1">ROUND(AM5469+AN5469,2)*A5469</f>
        <v>80.850000000000009</v>
      </c>
      <c r="AR5469" s="747">
        <v>7</v>
      </c>
      <c r="AS5469" s="751">
        <v>135.59</v>
      </c>
    </row>
    <row r="5470" spans="1:45" s="520" customFormat="1" ht="13.2">
      <c r="A5470" s="748"/>
      <c r="B5470"/>
      <c r="C5470" s="748"/>
      <c r="D5470" s="749" t="s">
        <v>888</v>
      </c>
      <c r="F5470" s="753"/>
      <c r="G5470" s="3"/>
      <c r="H5470" s="753"/>
      <c r="I5470" s="754"/>
      <c r="J5470" s="753"/>
      <c r="K5470" s="753" t="s">
        <v>144</v>
      </c>
      <c r="L5470" s="753"/>
      <c r="M5470" s="753"/>
      <c r="N5470" s="753"/>
      <c r="O5470" s="753"/>
      <c r="P5470" s="753"/>
      <c r="Q5470" s="51"/>
      <c r="R5470" s="530"/>
      <c r="S5470" s="757"/>
      <c r="T5470" s="753"/>
      <c r="AR5470" s="748"/>
      <c r="AS5470" s="753"/>
    </row>
    <row r="5471" spans="1:45" s="886" customFormat="1" ht="13.2">
      <c r="A5471"/>
      <c r="B5471" s="910"/>
      <c r="C5471" s="910" t="s">
        <v>2597</v>
      </c>
      <c r="D5471" s="910" t="str">
        <f ca="1">CELL("Address",Elec_Rates!D$595)</f>
        <v>[E25_0062_Quintano_Foods_Elec_ELV_As_Awarded.xlsx]Elec_Rates!$D$595</v>
      </c>
      <c r="E5471" s="911"/>
      <c r="F5471" s="911"/>
      <c r="G5471" s="912" t="s">
        <v>2598</v>
      </c>
      <c r="H5471" s="912"/>
      <c r="I5471" s="912"/>
      <c r="J5471" s="912"/>
      <c r="K5471" s="913"/>
      <c r="L5471" s="911"/>
      <c r="M5471" s="911"/>
      <c r="N5471" s="911"/>
      <c r="O5471" s="914"/>
      <c r="P5471" s="911"/>
      <c r="Q5471" s="915"/>
      <c r="R5471" s="916"/>
      <c r="S5471" s="915"/>
      <c r="T5471" s="917"/>
      <c r="U5471" s="918"/>
      <c r="AR5471"/>
      <c r="AS5471" s="911"/>
    </row>
    <row r="5472" spans="1:45" s="886" customFormat="1" ht="11.4">
      <c r="A5472" s="919">
        <v>7</v>
      </c>
      <c r="B5472" s="920">
        <v>1</v>
      </c>
      <c r="C5472" s="920">
        <f>$A5472*$B5472</f>
        <v>7</v>
      </c>
      <c r="D5472" s="921" t="str">
        <f>Elec_Rates!$D$595</f>
        <v>056# Install only Light fitting Type E1</v>
      </c>
      <c r="E5472" s="921"/>
      <c r="F5472" s="921" t="s">
        <v>2599</v>
      </c>
      <c r="G5472" s="922" t="s">
        <v>2601</v>
      </c>
      <c r="H5472" s="922"/>
      <c r="I5472" s="922"/>
      <c r="J5472" s="922"/>
      <c r="K5472" s="923"/>
      <c r="L5472" s="918"/>
      <c r="M5472" s="918"/>
      <c r="N5472" s="918"/>
      <c r="O5472" s="924"/>
      <c r="P5472" s="921"/>
      <c r="Q5472" s="925">
        <f ca="1">$B5472*Elec_Rates!$R$595</f>
        <v>1.18</v>
      </c>
      <c r="R5472" s="916">
        <f ca="1">$A5472*Q5472</f>
        <v>8.26</v>
      </c>
      <c r="S5472" s="925">
        <f ca="1">$B5472*Elec_Rates!$T$595</f>
        <v>0.47</v>
      </c>
      <c r="T5472" s="917">
        <f ca="1">$A5472*S5472</f>
        <v>3.29</v>
      </c>
      <c r="U5472" s="926"/>
      <c r="AR5472" s="919">
        <v>7</v>
      </c>
      <c r="AS5472" s="921" t="s">
        <v>2599</v>
      </c>
    </row>
    <row r="5473" spans="1:45" s="520" customFormat="1" ht="12">
      <c r="A5473" s="758"/>
      <c r="B5473" s="758"/>
      <c r="C5473" s="758"/>
      <c r="D5473" s="758"/>
      <c r="E5473" s="758"/>
      <c r="F5473" s="753"/>
      <c r="G5473" s="758"/>
      <c r="H5473" s="758"/>
      <c r="I5473" s="519"/>
      <c r="J5473" s="758"/>
      <c r="K5473" s="758"/>
      <c r="L5473" s="758"/>
      <c r="M5473" s="758"/>
      <c r="N5473" s="758"/>
      <c r="O5473" s="758"/>
      <c r="P5473" s="758"/>
      <c r="Q5473" s="519"/>
      <c r="R5473" s="759">
        <f t="shared" ref="R5473" si="274">$A5473*Q5473</f>
        <v>0</v>
      </c>
      <c r="S5473" s="519"/>
      <c r="T5473" s="760">
        <f t="shared" ref="T5473" si="275">$A5473*S5473*$T$1</f>
        <v>0</v>
      </c>
      <c r="AR5473" s="758"/>
      <c r="AS5473" s="753"/>
    </row>
    <row r="5474" spans="1:45" s="520" customFormat="1" ht="12.6" thickBot="1">
      <c r="A5474" s="761" t="s">
        <v>145</v>
      </c>
      <c r="B5474" s="762">
        <f>(R5473+T5473)</f>
        <v>0</v>
      </c>
      <c r="C5474" s="763"/>
      <c r="D5474" s="763"/>
      <c r="E5474" s="763"/>
      <c r="F5474" s="764"/>
      <c r="G5474" s="763" t="s">
        <v>146</v>
      </c>
      <c r="H5474" s="763"/>
      <c r="I5474" s="765"/>
      <c r="J5474" s="763"/>
      <c r="K5474" s="763" t="s">
        <v>3</v>
      </c>
      <c r="L5474" s="766" t="s">
        <v>143</v>
      </c>
      <c r="M5474" s="766"/>
      <c r="N5474" s="766"/>
      <c r="O5474" s="766"/>
      <c r="P5474" s="766"/>
      <c r="Q5474" s="767"/>
      <c r="R5474" s="768">
        <f ca="1">SUM(R5470:R5473)</f>
        <v>8.26</v>
      </c>
      <c r="S5474" s="763"/>
      <c r="T5474" s="768">
        <f ca="1">SUM(T5470:T5473)</f>
        <v>3.29</v>
      </c>
      <c r="U5474" s="531"/>
      <c r="V5474" s="531"/>
      <c r="W5474" s="531"/>
      <c r="X5474" s="531"/>
      <c r="Y5474" s="531"/>
      <c r="Z5474" s="531"/>
      <c r="AA5474" s="531"/>
      <c r="AB5474" s="531"/>
      <c r="AC5474" s="531"/>
      <c r="AD5474" s="531"/>
      <c r="AE5474" s="531"/>
      <c r="AF5474" s="531"/>
      <c r="AG5474" s="531"/>
      <c r="AH5474" s="531"/>
      <c r="AI5474" s="531"/>
      <c r="AJ5474" s="531"/>
      <c r="AK5474" s="531"/>
      <c r="AL5474" s="531"/>
      <c r="AM5474" s="531"/>
      <c r="AN5474" s="531"/>
      <c r="AO5474" s="531"/>
      <c r="AR5474" s="761" t="s">
        <v>145</v>
      </c>
      <c r="AS5474" s="764"/>
    </row>
    <row r="5475" spans="1:45" s="520" customFormat="1" ht="12" thickTop="1">
      <c r="A5475" s="51"/>
      <c r="B5475" s="41"/>
      <c r="C5475" s="51"/>
      <c r="E5475" s="42" t="s">
        <v>138</v>
      </c>
      <c r="F5475" s="42" t="s">
        <v>139</v>
      </c>
      <c r="G5475" s="51"/>
      <c r="H5475" s="51"/>
      <c r="I5475" s="51"/>
      <c r="J5475" s="51"/>
      <c r="K5475" s="51" t="s">
        <v>140</v>
      </c>
      <c r="L5475" s="51"/>
      <c r="M5475" s="51"/>
      <c r="N5475" s="51"/>
      <c r="O5475" s="52"/>
      <c r="P5475" s="51"/>
      <c r="Q5475" s="51"/>
      <c r="R5475" s="51"/>
      <c r="S5475" s="51"/>
      <c r="T5475" s="41"/>
      <c r="AG5475" s="521" t="s">
        <v>268</v>
      </c>
      <c r="AH5475" s="521" t="s">
        <v>269</v>
      </c>
      <c r="AI5475" s="521" t="s">
        <v>270</v>
      </c>
      <c r="AJ5475" s="521" t="s">
        <v>271</v>
      </c>
      <c r="AK5475" s="521" t="s">
        <v>272</v>
      </c>
      <c r="AM5475" s="745" t="s">
        <v>281</v>
      </c>
      <c r="AN5475" s="746" t="s">
        <v>282</v>
      </c>
      <c r="AO5475" s="522" t="s">
        <v>278</v>
      </c>
      <c r="AR5475" s="51"/>
      <c r="AS5475" s="42" t="s">
        <v>139</v>
      </c>
    </row>
    <row r="5476" spans="1:45" s="520" customFormat="1" ht="12" customHeight="1">
      <c r="A5476" s="747">
        <v>2</v>
      </c>
      <c r="B5476" s="523" t="s">
        <v>329</v>
      </c>
      <c r="C5476" s="748"/>
      <c r="D5476" s="749" t="s">
        <v>1902</v>
      </c>
      <c r="E5476" s="750">
        <f ca="1">IF(AND($A5476=0,$A$1="DIF"),0, ROUND(ROUND(($R5481*$S$2+($T5481*$T$2))/A5476,2)*$C$2,2))</f>
        <v>17.34</v>
      </c>
      <c r="F5476" s="751">
        <f ca="1">ROUND($A5476*$E5476,2)</f>
        <v>34.68</v>
      </c>
      <c r="G5476" s="752" t="s">
        <v>142</v>
      </c>
      <c r="H5476" s="753"/>
      <c r="I5476" s="754"/>
      <c r="J5476" s="753"/>
      <c r="K5476" s="753" t="s">
        <v>3</v>
      </c>
      <c r="L5476" s="755" t="s">
        <v>143</v>
      </c>
      <c r="M5476" s="755"/>
      <c r="N5476" s="755"/>
      <c r="O5476" s="755"/>
      <c r="P5476" s="755"/>
      <c r="Q5476" s="51"/>
      <c r="T5476" s="756" t="str">
        <f ca="1">IF(AND($R5481=0,$T5481=0),"0.00","mu :" &amp; ROUND($F5476/$C$2/($R5481+$T5481*$D$9),2))</f>
        <v>mu :1.23</v>
      </c>
      <c r="W5476" s="524"/>
      <c r="AG5476" s="481">
        <f ca="1">IF($E5476=0,0,ROUND($R5481*$S$2*$C$2/$A5476,2))</f>
        <v>1.45</v>
      </c>
      <c r="AH5476" s="481">
        <f ca="1">$AG5476*$A5476</f>
        <v>2.9</v>
      </c>
      <c r="AI5476" s="525">
        <f ca="1">$E5476-$AG5476</f>
        <v>15.89</v>
      </c>
      <c r="AJ5476" s="525">
        <f ca="1">$A5476*$AI5476</f>
        <v>31.78</v>
      </c>
      <c r="AK5476" s="526">
        <f ca="1">ROUND(($AG5476+$AI5476)*$A5476,2)</f>
        <v>34.68</v>
      </c>
      <c r="AM5476" s="527">
        <f ca="1">ROUND(R5481,2)</f>
        <v>2.36</v>
      </c>
      <c r="AN5476" s="528">
        <f ca="1">ROUND(T5481,2)</f>
        <v>0.94</v>
      </c>
      <c r="AO5476" s="529">
        <f ca="1">ROUND(AM5476+AN5476,2)*A5476</f>
        <v>6.6</v>
      </c>
      <c r="AR5476" s="747">
        <v>2</v>
      </c>
      <c r="AS5476" s="751">
        <v>38.74</v>
      </c>
    </row>
    <row r="5477" spans="1:45" s="520" customFormat="1" ht="13.2">
      <c r="A5477" s="748"/>
      <c r="B5477"/>
      <c r="C5477" s="748"/>
      <c r="D5477" s="749" t="s">
        <v>905</v>
      </c>
      <c r="F5477" s="753"/>
      <c r="G5477" s="3"/>
      <c r="H5477" s="753"/>
      <c r="I5477" s="754"/>
      <c r="J5477" s="753"/>
      <c r="K5477" s="753" t="s">
        <v>144</v>
      </c>
      <c r="L5477" s="753"/>
      <c r="M5477" s="753"/>
      <c r="N5477" s="753"/>
      <c r="O5477" s="753"/>
      <c r="P5477" s="753"/>
      <c r="Q5477" s="51"/>
      <c r="R5477" s="530"/>
      <c r="S5477" s="757"/>
      <c r="T5477" s="753"/>
      <c r="AR5477" s="748"/>
      <c r="AS5477" s="753"/>
    </row>
    <row r="5478" spans="1:45" s="886" customFormat="1" ht="13.2">
      <c r="A5478"/>
      <c r="B5478" s="910"/>
      <c r="C5478" s="910" t="s">
        <v>2597</v>
      </c>
      <c r="D5478" s="910" t="str">
        <f ca="1">CELL("Address",Elec_Rates!D$613)</f>
        <v>[E25_0062_Quintano_Foods_Elec_ELV_As_Awarded.xlsx]Elec_Rates!$D$613</v>
      </c>
      <c r="E5478" s="911"/>
      <c r="F5478" s="911"/>
      <c r="G5478" s="912" t="s">
        <v>2598</v>
      </c>
      <c r="H5478" s="912"/>
      <c r="I5478" s="912"/>
      <c r="J5478" s="912"/>
      <c r="K5478" s="913"/>
      <c r="L5478" s="911"/>
      <c r="M5478" s="911"/>
      <c r="N5478" s="911"/>
      <c r="O5478" s="914"/>
      <c r="P5478" s="911"/>
      <c r="Q5478" s="915"/>
      <c r="R5478" s="916"/>
      <c r="S5478" s="915"/>
      <c r="T5478" s="917"/>
      <c r="U5478" s="918"/>
      <c r="AR5478"/>
      <c r="AS5478" s="911"/>
    </row>
    <row r="5479" spans="1:45" s="886" customFormat="1" ht="11.4">
      <c r="A5479" s="919">
        <v>2</v>
      </c>
      <c r="B5479" s="920">
        <v>1</v>
      </c>
      <c r="C5479" s="920">
        <f>$A5479*$B5479</f>
        <v>2</v>
      </c>
      <c r="D5479" s="921" t="str">
        <f>Elec_Rates!$D$613</f>
        <v>058# Install only Light fitting Type F1</v>
      </c>
      <c r="E5479" s="921"/>
      <c r="F5479" s="921" t="s">
        <v>2599</v>
      </c>
      <c r="G5479" s="922" t="s">
        <v>2600</v>
      </c>
      <c r="H5479" s="922"/>
      <c r="I5479" s="922"/>
      <c r="J5479" s="922"/>
      <c r="K5479" s="923"/>
      <c r="L5479" s="918"/>
      <c r="M5479" s="918"/>
      <c r="N5479" s="918"/>
      <c r="O5479" s="924"/>
      <c r="P5479" s="921"/>
      <c r="Q5479" s="925">
        <f ca="1">$B5479*Elec_Rates!$R$613</f>
        <v>1.18</v>
      </c>
      <c r="R5479" s="916">
        <f ca="1">$A5479*Q5479</f>
        <v>2.36</v>
      </c>
      <c r="S5479" s="925">
        <f ca="1">$B5479*Elec_Rates!$T$613</f>
        <v>0.47</v>
      </c>
      <c r="T5479" s="917">
        <f ca="1">$A5479*S5479</f>
        <v>0.94</v>
      </c>
      <c r="U5479" s="926"/>
      <c r="AR5479" s="919">
        <v>2</v>
      </c>
      <c r="AS5479" s="921" t="s">
        <v>2599</v>
      </c>
    </row>
    <row r="5480" spans="1:45" s="520" customFormat="1" ht="12">
      <c r="A5480" s="758"/>
      <c r="B5480" s="758"/>
      <c r="C5480" s="758"/>
      <c r="D5480" s="758"/>
      <c r="E5480" s="758"/>
      <c r="F5480" s="753"/>
      <c r="G5480" s="758"/>
      <c r="H5480" s="758"/>
      <c r="I5480" s="519"/>
      <c r="J5480" s="758"/>
      <c r="K5480" s="758"/>
      <c r="L5480" s="758"/>
      <c r="M5480" s="758"/>
      <c r="N5480" s="758"/>
      <c r="O5480" s="758"/>
      <c r="P5480" s="758"/>
      <c r="Q5480" s="519"/>
      <c r="R5480" s="759">
        <f t="shared" ref="R5480" si="276">$A5480*Q5480</f>
        <v>0</v>
      </c>
      <c r="S5480" s="519"/>
      <c r="T5480" s="760">
        <f t="shared" ref="T5480" si="277">$A5480*S5480*$T$1</f>
        <v>0</v>
      </c>
      <c r="AR5480" s="758"/>
      <c r="AS5480" s="753"/>
    </row>
    <row r="5481" spans="1:45" s="520" customFormat="1" ht="12.6" thickBot="1">
      <c r="A5481" s="761" t="s">
        <v>145</v>
      </c>
      <c r="B5481" s="762">
        <f>(R5480+T5480)</f>
        <v>0</v>
      </c>
      <c r="C5481" s="763"/>
      <c r="D5481" s="763"/>
      <c r="E5481" s="763"/>
      <c r="F5481" s="764"/>
      <c r="G5481" s="763" t="s">
        <v>146</v>
      </c>
      <c r="H5481" s="763"/>
      <c r="I5481" s="765"/>
      <c r="J5481" s="763"/>
      <c r="K5481" s="763" t="s">
        <v>3</v>
      </c>
      <c r="L5481" s="766" t="s">
        <v>143</v>
      </c>
      <c r="M5481" s="766"/>
      <c r="N5481" s="766"/>
      <c r="O5481" s="766"/>
      <c r="P5481" s="766"/>
      <c r="Q5481" s="767"/>
      <c r="R5481" s="768">
        <f ca="1">SUM(R5477:R5480)</f>
        <v>2.36</v>
      </c>
      <c r="S5481" s="763"/>
      <c r="T5481" s="768">
        <f ca="1">SUM(T5477:T5480)</f>
        <v>0.94</v>
      </c>
      <c r="U5481" s="531"/>
      <c r="V5481" s="531"/>
      <c r="W5481" s="531"/>
      <c r="X5481" s="531"/>
      <c r="Y5481" s="531"/>
      <c r="Z5481" s="531"/>
      <c r="AA5481" s="531"/>
      <c r="AB5481" s="531"/>
      <c r="AC5481" s="531"/>
      <c r="AD5481" s="531"/>
      <c r="AE5481" s="531"/>
      <c r="AF5481" s="531"/>
      <c r="AG5481" s="531"/>
      <c r="AH5481" s="531"/>
      <c r="AI5481" s="531"/>
      <c r="AJ5481" s="531"/>
      <c r="AK5481" s="531"/>
      <c r="AL5481" s="531"/>
      <c r="AM5481" s="531"/>
      <c r="AN5481" s="531"/>
      <c r="AO5481" s="531"/>
      <c r="AR5481" s="761" t="s">
        <v>145</v>
      </c>
      <c r="AS5481" s="764"/>
    </row>
    <row r="5482" spans="1:45" s="520" customFormat="1" ht="12" thickTop="1">
      <c r="A5482" s="51"/>
      <c r="B5482" s="41"/>
      <c r="C5482" s="51"/>
      <c r="E5482" s="42" t="s">
        <v>138</v>
      </c>
      <c r="F5482" s="42" t="s">
        <v>139</v>
      </c>
      <c r="G5482" s="51"/>
      <c r="H5482" s="51"/>
      <c r="I5482" s="51"/>
      <c r="J5482" s="51"/>
      <c r="K5482" s="51" t="s">
        <v>140</v>
      </c>
      <c r="L5482" s="51"/>
      <c r="M5482" s="51"/>
      <c r="N5482" s="51"/>
      <c r="O5482" s="52"/>
      <c r="P5482" s="51"/>
      <c r="Q5482" s="51"/>
      <c r="R5482" s="51"/>
      <c r="S5482" s="51"/>
      <c r="T5482" s="41"/>
      <c r="AG5482" s="521" t="s">
        <v>268</v>
      </c>
      <c r="AH5482" s="521" t="s">
        <v>269</v>
      </c>
      <c r="AI5482" s="521" t="s">
        <v>270</v>
      </c>
      <c r="AJ5482" s="521" t="s">
        <v>271</v>
      </c>
      <c r="AK5482" s="521" t="s">
        <v>272</v>
      </c>
      <c r="AM5482" s="745" t="s">
        <v>281</v>
      </c>
      <c r="AN5482" s="746" t="s">
        <v>282</v>
      </c>
      <c r="AO5482" s="522" t="s">
        <v>278</v>
      </c>
      <c r="AR5482" s="51"/>
      <c r="AS5482" s="42" t="s">
        <v>139</v>
      </c>
    </row>
    <row r="5483" spans="1:45" s="520" customFormat="1" ht="12" customHeight="1">
      <c r="A5483" s="747">
        <v>2</v>
      </c>
      <c r="B5483" s="523" t="s">
        <v>329</v>
      </c>
      <c r="C5483" s="748"/>
      <c r="D5483" s="749" t="s">
        <v>1903</v>
      </c>
      <c r="E5483" s="750">
        <f ca="1">IF(AND($A5483=0,$A$1="DIF"),0, ROUND(ROUND(($R5488*$S$2+($T5488*$T$2))/A5483,2)*$C$2,2))</f>
        <v>17.84</v>
      </c>
      <c r="F5483" s="751">
        <f ca="1">ROUND($A5483*$E5483,2)</f>
        <v>35.68</v>
      </c>
      <c r="G5483" s="752" t="s">
        <v>142</v>
      </c>
      <c r="H5483" s="753"/>
      <c r="I5483" s="754"/>
      <c r="J5483" s="753"/>
      <c r="K5483" s="753" t="s">
        <v>3</v>
      </c>
      <c r="L5483" s="755" t="s">
        <v>143</v>
      </c>
      <c r="M5483" s="755"/>
      <c r="N5483" s="755"/>
      <c r="O5483" s="755"/>
      <c r="P5483" s="755"/>
      <c r="Q5483" s="51"/>
      <c r="T5483" s="756" t="str">
        <f ca="1">IF(AND($R5488=0,$T5488=0),"0.00","mu :" &amp; ROUND($F5483/$C$2/($R5488+$T5488*$D$9),2))</f>
        <v>mu :1.23</v>
      </c>
      <c r="W5483" s="524"/>
      <c r="AG5483" s="481">
        <f ca="1">IF($E5483=0,0,ROUND($R5488*$S$2*$C$2/$A5483,2))</f>
        <v>1.95</v>
      </c>
      <c r="AH5483" s="481">
        <f ca="1">$AG5483*$A5483</f>
        <v>3.9</v>
      </c>
      <c r="AI5483" s="525">
        <f ca="1">$E5483-$AG5483</f>
        <v>15.89</v>
      </c>
      <c r="AJ5483" s="525">
        <f ca="1">$A5483*$AI5483</f>
        <v>31.78</v>
      </c>
      <c r="AK5483" s="526">
        <f ca="1">ROUND(($AG5483+$AI5483)*$A5483,2)</f>
        <v>35.68</v>
      </c>
      <c r="AM5483" s="527">
        <f ca="1">ROUND(R5488,2)</f>
        <v>3.16</v>
      </c>
      <c r="AN5483" s="528">
        <f ca="1">ROUND(T5488,2)</f>
        <v>0.94</v>
      </c>
      <c r="AO5483" s="529">
        <f ca="1">ROUND(AM5483+AN5483,2)*A5483</f>
        <v>8.1999999999999993</v>
      </c>
      <c r="AR5483" s="747">
        <v>2</v>
      </c>
      <c r="AS5483" s="751">
        <v>39.74</v>
      </c>
    </row>
    <row r="5484" spans="1:45" s="520" customFormat="1" ht="13.2">
      <c r="A5484" s="748"/>
      <c r="B5484"/>
      <c r="C5484" s="748"/>
      <c r="D5484" s="749" t="s">
        <v>889</v>
      </c>
      <c r="F5484" s="753"/>
      <c r="G5484" s="3"/>
      <c r="H5484" s="753"/>
      <c r="I5484" s="754"/>
      <c r="J5484" s="753"/>
      <c r="K5484" s="753" t="s">
        <v>144</v>
      </c>
      <c r="L5484" s="753"/>
      <c r="M5484" s="753"/>
      <c r="N5484" s="753"/>
      <c r="O5484" s="753"/>
      <c r="P5484" s="753"/>
      <c r="Q5484" s="51"/>
      <c r="R5484" s="530"/>
      <c r="S5484" s="757"/>
      <c r="T5484" s="753"/>
      <c r="AR5484" s="748"/>
      <c r="AS5484" s="753"/>
    </row>
    <row r="5485" spans="1:45" s="886" customFormat="1" ht="13.2">
      <c r="A5485"/>
      <c r="B5485" s="910"/>
      <c r="C5485" s="910" t="s">
        <v>2597</v>
      </c>
      <c r="D5485" s="910" t="str">
        <f ca="1">CELL("Address",Elec_Rates!D$622)</f>
        <v>[E25_0062_Quintano_Foods_Elec_ELV_As_Awarded.xlsx]Elec_Rates!$D$622</v>
      </c>
      <c r="E5485" s="911"/>
      <c r="F5485" s="911"/>
      <c r="G5485" s="912" t="s">
        <v>2598</v>
      </c>
      <c r="H5485" s="912"/>
      <c r="I5485" s="912"/>
      <c r="J5485" s="912"/>
      <c r="K5485" s="913"/>
      <c r="L5485" s="911"/>
      <c r="M5485" s="911"/>
      <c r="N5485" s="911"/>
      <c r="O5485" s="914"/>
      <c r="P5485" s="911"/>
      <c r="Q5485" s="915"/>
      <c r="R5485" s="916"/>
      <c r="S5485" s="915"/>
      <c r="T5485" s="917"/>
      <c r="U5485" s="918"/>
      <c r="AR5485"/>
      <c r="AS5485" s="911"/>
    </row>
    <row r="5486" spans="1:45" s="886" customFormat="1" ht="11.4">
      <c r="A5486" s="919">
        <v>2</v>
      </c>
      <c r="B5486" s="920">
        <v>1</v>
      </c>
      <c r="C5486" s="920">
        <f>$A5486*$B5486</f>
        <v>2</v>
      </c>
      <c r="D5486" s="921" t="str">
        <f>Elec_Rates!$D$622</f>
        <v>059# Install only Light fitting Type F2</v>
      </c>
      <c r="E5486" s="921"/>
      <c r="F5486" s="921" t="s">
        <v>2599</v>
      </c>
      <c r="G5486" s="922" t="s">
        <v>2600</v>
      </c>
      <c r="H5486" s="922"/>
      <c r="I5486" s="922"/>
      <c r="J5486" s="922"/>
      <c r="K5486" s="923"/>
      <c r="L5486" s="918"/>
      <c r="M5486" s="918"/>
      <c r="N5486" s="918"/>
      <c r="O5486" s="924"/>
      <c r="P5486" s="921"/>
      <c r="Q5486" s="925">
        <f ca="1">$B5486*Elec_Rates!$R$622</f>
        <v>1.58</v>
      </c>
      <c r="R5486" s="916">
        <f ca="1">$A5486*Q5486</f>
        <v>3.16</v>
      </c>
      <c r="S5486" s="925">
        <f ca="1">$B5486*Elec_Rates!$T$622</f>
        <v>0.47</v>
      </c>
      <c r="T5486" s="917">
        <f ca="1">$A5486*S5486</f>
        <v>0.94</v>
      </c>
      <c r="U5486" s="926"/>
      <c r="AR5486" s="919">
        <v>2</v>
      </c>
      <c r="AS5486" s="921" t="s">
        <v>2599</v>
      </c>
    </row>
    <row r="5487" spans="1:45" s="520" customFormat="1" ht="12">
      <c r="A5487" s="758"/>
      <c r="B5487" s="758"/>
      <c r="C5487" s="758"/>
      <c r="D5487" s="758"/>
      <c r="E5487" s="758"/>
      <c r="F5487" s="753"/>
      <c r="G5487" s="758"/>
      <c r="H5487" s="758"/>
      <c r="I5487" s="519"/>
      <c r="J5487" s="758"/>
      <c r="K5487" s="758"/>
      <c r="L5487" s="758"/>
      <c r="M5487" s="758"/>
      <c r="N5487" s="758"/>
      <c r="O5487" s="758"/>
      <c r="P5487" s="758"/>
      <c r="Q5487" s="519"/>
      <c r="R5487" s="759">
        <f t="shared" ref="R5487" si="278">$A5487*Q5487</f>
        <v>0</v>
      </c>
      <c r="S5487" s="519"/>
      <c r="T5487" s="760">
        <f t="shared" ref="T5487" si="279">$A5487*S5487*$T$1</f>
        <v>0</v>
      </c>
      <c r="AR5487" s="758"/>
      <c r="AS5487" s="753"/>
    </row>
    <row r="5488" spans="1:45" s="520" customFormat="1" ht="12.6" thickBot="1">
      <c r="A5488" s="761" t="s">
        <v>145</v>
      </c>
      <c r="B5488" s="762">
        <f>(R5487+T5487)</f>
        <v>0</v>
      </c>
      <c r="C5488" s="763"/>
      <c r="D5488" s="763"/>
      <c r="E5488" s="763"/>
      <c r="F5488" s="764"/>
      <c r="G5488" s="763" t="s">
        <v>146</v>
      </c>
      <c r="H5488" s="763"/>
      <c r="I5488" s="765"/>
      <c r="J5488" s="763"/>
      <c r="K5488" s="763" t="s">
        <v>3</v>
      </c>
      <c r="L5488" s="766" t="s">
        <v>143</v>
      </c>
      <c r="M5488" s="766"/>
      <c r="N5488" s="766"/>
      <c r="O5488" s="766"/>
      <c r="P5488" s="766"/>
      <c r="Q5488" s="767"/>
      <c r="R5488" s="768">
        <f ca="1">SUM(R5484:R5487)</f>
        <v>3.16</v>
      </c>
      <c r="S5488" s="763"/>
      <c r="T5488" s="768">
        <f ca="1">SUM(T5484:T5487)</f>
        <v>0.94</v>
      </c>
      <c r="U5488" s="531"/>
      <c r="V5488" s="531"/>
      <c r="W5488" s="531"/>
      <c r="X5488" s="531"/>
      <c r="Y5488" s="531"/>
      <c r="Z5488" s="531"/>
      <c r="AA5488" s="531"/>
      <c r="AB5488" s="531"/>
      <c r="AC5488" s="531"/>
      <c r="AD5488" s="531"/>
      <c r="AE5488" s="531"/>
      <c r="AF5488" s="531"/>
      <c r="AG5488" s="531"/>
      <c r="AH5488" s="531"/>
      <c r="AI5488" s="531"/>
      <c r="AJ5488" s="531"/>
      <c r="AK5488" s="531"/>
      <c r="AL5488" s="531"/>
      <c r="AM5488" s="531"/>
      <c r="AN5488" s="531"/>
      <c r="AO5488" s="531"/>
      <c r="AR5488" s="761" t="s">
        <v>145</v>
      </c>
      <c r="AS5488" s="764"/>
    </row>
    <row r="5489" spans="1:45" s="520" customFormat="1" ht="12" thickTop="1">
      <c r="A5489" s="51"/>
      <c r="B5489" s="41"/>
      <c r="C5489" s="51"/>
      <c r="E5489" s="42" t="s">
        <v>138</v>
      </c>
      <c r="F5489" s="42" t="s">
        <v>139</v>
      </c>
      <c r="G5489" s="51"/>
      <c r="H5489" s="51"/>
      <c r="I5489" s="51"/>
      <c r="J5489" s="51"/>
      <c r="K5489" s="51" t="s">
        <v>140</v>
      </c>
      <c r="L5489" s="51"/>
      <c r="M5489" s="51"/>
      <c r="N5489" s="51"/>
      <c r="O5489" s="52"/>
      <c r="P5489" s="51"/>
      <c r="Q5489" s="51"/>
      <c r="R5489" s="51"/>
      <c r="S5489" s="51"/>
      <c r="T5489" s="41"/>
      <c r="AG5489" s="521" t="s">
        <v>268</v>
      </c>
      <c r="AH5489" s="521" t="s">
        <v>269</v>
      </c>
      <c r="AI5489" s="521" t="s">
        <v>270</v>
      </c>
      <c r="AJ5489" s="521" t="s">
        <v>271</v>
      </c>
      <c r="AK5489" s="521" t="s">
        <v>272</v>
      </c>
      <c r="AM5489" s="745" t="s">
        <v>281</v>
      </c>
      <c r="AN5489" s="746" t="s">
        <v>282</v>
      </c>
      <c r="AO5489" s="522" t="s">
        <v>278</v>
      </c>
      <c r="AR5489" s="51"/>
      <c r="AS5489" s="42" t="s">
        <v>139</v>
      </c>
    </row>
    <row r="5490" spans="1:45" s="520" customFormat="1" ht="12" customHeight="1">
      <c r="A5490" s="747">
        <v>3</v>
      </c>
      <c r="B5490" s="523" t="s">
        <v>329</v>
      </c>
      <c r="C5490" s="748"/>
      <c r="D5490" s="749" t="s">
        <v>1904</v>
      </c>
      <c r="E5490" s="750">
        <f ca="1">IF(AND($A5490=0,$A$1="DIF"),0, ROUND(ROUND(($R5495*$S$2+($T5495*$T$2))/A5490,2)*$C$2,2))</f>
        <v>22.17</v>
      </c>
      <c r="F5490" s="751">
        <f ca="1">ROUND($A5490*$E5490,2)</f>
        <v>66.510000000000005</v>
      </c>
      <c r="G5490" s="752" t="s">
        <v>142</v>
      </c>
      <c r="H5490" s="753"/>
      <c r="I5490" s="754"/>
      <c r="J5490" s="753"/>
      <c r="K5490" s="753" t="s">
        <v>3</v>
      </c>
      <c r="L5490" s="755" t="s">
        <v>143</v>
      </c>
      <c r="M5490" s="755"/>
      <c r="N5490" s="755"/>
      <c r="O5490" s="755"/>
      <c r="P5490" s="755"/>
      <c r="Q5490" s="51"/>
      <c r="T5490" s="756" t="str">
        <f ca="1">IF(AND($R5495=0,$T5495=0),"0.00","mu :" &amp; ROUND($F5490/$C$2/($R5495+$T5495*$D$9),2))</f>
        <v>mu :1.23</v>
      </c>
      <c r="W5490" s="524"/>
      <c r="AG5490" s="481">
        <f ca="1">IF($E5490=0,0,ROUND($R5495*$S$2*$C$2/$A5490,2))</f>
        <v>6.28</v>
      </c>
      <c r="AH5490" s="481">
        <f ca="1">$AG5490*$A5490</f>
        <v>18.84</v>
      </c>
      <c r="AI5490" s="525">
        <f ca="1">$E5490-$AG5490</f>
        <v>15.89</v>
      </c>
      <c r="AJ5490" s="525">
        <f ca="1">$A5490*$AI5490</f>
        <v>47.67</v>
      </c>
      <c r="AK5490" s="526">
        <f ca="1">ROUND(($AG5490+$AI5490)*$A5490,2)</f>
        <v>66.510000000000005</v>
      </c>
      <c r="AM5490" s="527">
        <f ca="1">ROUND(R5495,2)</f>
        <v>15.3</v>
      </c>
      <c r="AN5490" s="528">
        <f ca="1">ROUND(T5495,2)</f>
        <v>1.41</v>
      </c>
      <c r="AO5490" s="529">
        <f ca="1">ROUND(AM5490+AN5490,2)*A5490</f>
        <v>50.13</v>
      </c>
      <c r="AR5490" s="747">
        <v>3</v>
      </c>
      <c r="AS5490" s="751">
        <v>72.599999999999994</v>
      </c>
    </row>
    <row r="5491" spans="1:45" s="520" customFormat="1" ht="13.2">
      <c r="A5491" s="748"/>
      <c r="B5491"/>
      <c r="C5491" s="748"/>
      <c r="D5491" s="749" t="s">
        <v>903</v>
      </c>
      <c r="F5491" s="753"/>
      <c r="G5491" s="3"/>
      <c r="H5491" s="753"/>
      <c r="I5491" s="754"/>
      <c r="J5491" s="753"/>
      <c r="K5491" s="753" t="s">
        <v>144</v>
      </c>
      <c r="L5491" s="753"/>
      <c r="M5491" s="753"/>
      <c r="N5491" s="753"/>
      <c r="O5491" s="753"/>
      <c r="P5491" s="753"/>
      <c r="Q5491" s="51"/>
      <c r="R5491" s="530"/>
      <c r="S5491" s="757"/>
      <c r="T5491" s="753"/>
      <c r="AR5491" s="748"/>
      <c r="AS5491" s="753"/>
    </row>
    <row r="5492" spans="1:45" s="886" customFormat="1" ht="13.2">
      <c r="A5492"/>
      <c r="B5492" s="910"/>
      <c r="C5492" s="910" t="s">
        <v>2597</v>
      </c>
      <c r="D5492" s="910" t="str">
        <f ca="1">CELL("Address",Elec_Rates!D$715)</f>
        <v>[E25_0062_Quintano_Foods_Elec_ELV_As_Awarded.xlsx]Elec_Rates!$D$715</v>
      </c>
      <c r="E5492" s="911"/>
      <c r="F5492" s="911"/>
      <c r="G5492" s="912" t="s">
        <v>2598</v>
      </c>
      <c r="H5492" s="912"/>
      <c r="I5492" s="912"/>
      <c r="J5492" s="912"/>
      <c r="K5492" s="913"/>
      <c r="L5492" s="911"/>
      <c r="M5492" s="911"/>
      <c r="N5492" s="911"/>
      <c r="O5492" s="914"/>
      <c r="P5492" s="911"/>
      <c r="Q5492" s="915"/>
      <c r="R5492" s="916"/>
      <c r="S5492" s="915"/>
      <c r="T5492" s="917"/>
      <c r="U5492" s="918"/>
      <c r="AR5492"/>
      <c r="AS5492" s="911"/>
    </row>
    <row r="5493" spans="1:45" s="886" customFormat="1" ht="11.4">
      <c r="A5493" s="919">
        <v>3</v>
      </c>
      <c r="B5493" s="920">
        <v>1</v>
      </c>
      <c r="C5493" s="920">
        <f>$A5493*$B5493</f>
        <v>3</v>
      </c>
      <c r="D5493" s="921" t="str">
        <f>Elec_Rates!$D$715</f>
        <v>069# Install only Light fitting Type L1</v>
      </c>
      <c r="E5493" s="921"/>
      <c r="F5493" s="921" t="s">
        <v>2599</v>
      </c>
      <c r="G5493" s="922" t="s">
        <v>2600</v>
      </c>
      <c r="H5493" s="922"/>
      <c r="I5493" s="922"/>
      <c r="J5493" s="922"/>
      <c r="K5493" s="923"/>
      <c r="L5493" s="918"/>
      <c r="M5493" s="918"/>
      <c r="N5493" s="918"/>
      <c r="O5493" s="924"/>
      <c r="P5493" s="921"/>
      <c r="Q5493" s="925">
        <f ca="1">$B5493*Elec_Rates!$R$715</f>
        <v>5.0999999999999996</v>
      </c>
      <c r="R5493" s="916">
        <f ca="1">$A5493*Q5493</f>
        <v>15.299999999999999</v>
      </c>
      <c r="S5493" s="925">
        <f ca="1">$B5493*Elec_Rates!$T$715</f>
        <v>0.47</v>
      </c>
      <c r="T5493" s="917">
        <f ca="1">$A5493*S5493</f>
        <v>1.41</v>
      </c>
      <c r="U5493" s="926"/>
      <c r="AR5493" s="919">
        <v>3</v>
      </c>
      <c r="AS5493" s="921" t="s">
        <v>2599</v>
      </c>
    </row>
    <row r="5494" spans="1:45" s="520" customFormat="1" ht="12">
      <c r="A5494" s="758"/>
      <c r="B5494" s="758"/>
      <c r="C5494" s="758"/>
      <c r="D5494" s="758"/>
      <c r="E5494" s="758"/>
      <c r="F5494" s="753"/>
      <c r="G5494" s="758"/>
      <c r="H5494" s="758"/>
      <c r="I5494" s="519"/>
      <c r="J5494" s="758"/>
      <c r="K5494" s="758"/>
      <c r="L5494" s="758"/>
      <c r="M5494" s="758"/>
      <c r="N5494" s="758"/>
      <c r="O5494" s="758"/>
      <c r="P5494" s="758"/>
      <c r="Q5494" s="519"/>
      <c r="R5494" s="759">
        <f t="shared" ref="R5494" si="280">$A5494*Q5494</f>
        <v>0</v>
      </c>
      <c r="S5494" s="519"/>
      <c r="T5494" s="760">
        <f t="shared" ref="T5494" si="281">$A5494*S5494*$T$1</f>
        <v>0</v>
      </c>
      <c r="AR5494" s="758"/>
      <c r="AS5494" s="753"/>
    </row>
    <row r="5495" spans="1:45" s="520" customFormat="1" ht="12.6" thickBot="1">
      <c r="A5495" s="761" t="s">
        <v>145</v>
      </c>
      <c r="B5495" s="762">
        <f>(R5494+T5494)</f>
        <v>0</v>
      </c>
      <c r="C5495" s="763"/>
      <c r="D5495" s="763"/>
      <c r="E5495" s="763"/>
      <c r="F5495" s="764"/>
      <c r="G5495" s="763" t="s">
        <v>146</v>
      </c>
      <c r="H5495" s="763"/>
      <c r="I5495" s="765"/>
      <c r="J5495" s="763"/>
      <c r="K5495" s="763" t="s">
        <v>3</v>
      </c>
      <c r="L5495" s="766" t="s">
        <v>143</v>
      </c>
      <c r="M5495" s="766"/>
      <c r="N5495" s="766"/>
      <c r="O5495" s="766"/>
      <c r="P5495" s="766"/>
      <c r="Q5495" s="767"/>
      <c r="R5495" s="768">
        <f ca="1">SUM(R5491:R5494)</f>
        <v>15.299999999999999</v>
      </c>
      <c r="S5495" s="763"/>
      <c r="T5495" s="768">
        <f ca="1">SUM(T5491:T5494)</f>
        <v>1.41</v>
      </c>
      <c r="U5495" s="531"/>
      <c r="V5495" s="531"/>
      <c r="W5495" s="531"/>
      <c r="X5495" s="531"/>
      <c r="Y5495" s="531"/>
      <c r="Z5495" s="531"/>
      <c r="AA5495" s="531"/>
      <c r="AB5495" s="531"/>
      <c r="AC5495" s="531"/>
      <c r="AD5495" s="531"/>
      <c r="AE5495" s="531"/>
      <c r="AF5495" s="531"/>
      <c r="AG5495" s="531"/>
      <c r="AH5495" s="531"/>
      <c r="AI5495" s="531"/>
      <c r="AJ5495" s="531"/>
      <c r="AK5495" s="531"/>
      <c r="AL5495" s="531"/>
      <c r="AM5495" s="531"/>
      <c r="AN5495" s="531"/>
      <c r="AO5495" s="531"/>
      <c r="AR5495" s="761" t="s">
        <v>145</v>
      </c>
      <c r="AS5495" s="764"/>
    </row>
    <row r="5496" spans="1:45" s="520" customFormat="1" thickTop="1">
      <c r="A5496" s="51"/>
      <c r="B5496" s="51"/>
      <c r="C5496" s="3"/>
      <c r="D5496" s="3"/>
      <c r="E5496" s="51"/>
      <c r="F5496" s="51"/>
      <c r="G5496" s="51"/>
      <c r="H5496" s="51"/>
      <c r="I5496" s="51"/>
      <c r="J5496" s="51"/>
      <c r="K5496" s="51" t="s">
        <v>134</v>
      </c>
      <c r="L5496" s="51"/>
      <c r="M5496" s="51"/>
      <c r="N5496" s="51"/>
      <c r="O5496" s="52"/>
      <c r="P5496" s="51"/>
      <c r="Q5496" s="51"/>
      <c r="R5496" s="51"/>
      <c r="S5496" s="51"/>
      <c r="T5496" s="51"/>
      <c r="AR5496" s="51"/>
      <c r="AS5496" s="51"/>
    </row>
    <row r="5497" spans="1:45" s="520" customFormat="1" ht="12">
      <c r="A5497" s="51"/>
      <c r="B5497" s="51"/>
      <c r="C5497" s="51" t="s">
        <v>135</v>
      </c>
      <c r="D5497" s="37"/>
      <c r="E5497" s="51"/>
      <c r="F5497" s="51"/>
      <c r="G5497" s="51"/>
      <c r="H5497" s="51"/>
      <c r="I5497" s="51"/>
      <c r="J5497" s="51"/>
      <c r="K5497" s="51"/>
      <c r="L5497" s="51"/>
      <c r="M5497" s="51"/>
      <c r="N5497" s="51"/>
      <c r="O5497" s="52"/>
      <c r="P5497" s="51"/>
      <c r="Q5497" s="51"/>
      <c r="R5497" s="51"/>
      <c r="S5497" s="51"/>
      <c r="T5497" s="51"/>
      <c r="AR5497" s="51"/>
      <c r="AS5497" s="51"/>
    </row>
    <row r="5498" spans="1:45" s="520" customFormat="1" ht="12">
      <c r="A5498" s="51"/>
      <c r="B5498" s="51"/>
      <c r="C5498" s="51"/>
      <c r="D5498" s="37" t="s">
        <v>371</v>
      </c>
      <c r="E5498" s="51"/>
      <c r="F5498" s="51"/>
      <c r="G5498" s="51"/>
      <c r="H5498" s="51"/>
      <c r="I5498" s="51"/>
      <c r="J5498" s="51"/>
      <c r="K5498" s="51"/>
      <c r="L5498" s="51"/>
      <c r="M5498" s="51"/>
      <c r="N5498" s="51"/>
      <c r="O5498" s="52"/>
      <c r="P5498" s="51"/>
      <c r="Q5498" s="51"/>
      <c r="R5498" s="51"/>
      <c r="S5498" s="38"/>
      <c r="T5498" s="38"/>
      <c r="AR5498" s="51"/>
      <c r="AS5498" s="51"/>
    </row>
    <row r="5499" spans="1:45" s="3" customFormat="1" thickBot="1">
      <c r="A5499" s="531"/>
      <c r="O5499" s="107"/>
      <c r="AR5499" s="531"/>
    </row>
    <row r="5500" spans="1:45" s="520" customFormat="1" ht="12" thickTop="1">
      <c r="A5500" s="51"/>
      <c r="B5500" s="41"/>
      <c r="C5500" s="51"/>
      <c r="E5500" s="42" t="s">
        <v>138</v>
      </c>
      <c r="F5500" s="42" t="s">
        <v>139</v>
      </c>
      <c r="G5500" s="51"/>
      <c r="H5500" s="51"/>
      <c r="I5500" s="51"/>
      <c r="J5500" s="51"/>
      <c r="K5500" s="51" t="s">
        <v>140</v>
      </c>
      <c r="L5500" s="51"/>
      <c r="M5500" s="51"/>
      <c r="N5500" s="51"/>
      <c r="O5500" s="52"/>
      <c r="P5500" s="51"/>
      <c r="Q5500" s="51"/>
      <c r="R5500" s="51"/>
      <c r="S5500" s="51"/>
      <c r="T5500" s="41"/>
      <c r="AG5500" s="521" t="s">
        <v>268</v>
      </c>
      <c r="AH5500" s="521" t="s">
        <v>269</v>
      </c>
      <c r="AI5500" s="521" t="s">
        <v>270</v>
      </c>
      <c r="AJ5500" s="521" t="s">
        <v>271</v>
      </c>
      <c r="AK5500" s="521" t="s">
        <v>272</v>
      </c>
      <c r="AM5500" s="745" t="s">
        <v>281</v>
      </c>
      <c r="AN5500" s="746" t="s">
        <v>282</v>
      </c>
      <c r="AO5500" s="522" t="s">
        <v>278</v>
      </c>
      <c r="AR5500" s="51"/>
      <c r="AS5500" s="42" t="s">
        <v>139</v>
      </c>
    </row>
    <row r="5501" spans="1:45" s="520" customFormat="1" ht="12" customHeight="1">
      <c r="A5501" s="747">
        <v>28</v>
      </c>
      <c r="B5501" s="523" t="s">
        <v>329</v>
      </c>
      <c r="C5501" s="748"/>
      <c r="D5501" s="749" t="s">
        <v>1905</v>
      </c>
      <c r="E5501" s="750">
        <f ca="1">IF(AND($A5501=0,$A$1="DIF"),0, ROUND(ROUND(($R5506*$S$2+($T5506*$T$2))/A5501,2)*$C$2,2))</f>
        <v>17.25</v>
      </c>
      <c r="F5501" s="751">
        <f ca="1">ROUND($A5501*$E5501,2)</f>
        <v>483</v>
      </c>
      <c r="G5501" s="752" t="s">
        <v>142</v>
      </c>
      <c r="H5501" s="753"/>
      <c r="I5501" s="754"/>
      <c r="J5501" s="753"/>
      <c r="K5501" s="753" t="s">
        <v>3</v>
      </c>
      <c r="L5501" s="755" t="s">
        <v>143</v>
      </c>
      <c r="M5501" s="755"/>
      <c r="N5501" s="755"/>
      <c r="O5501" s="755"/>
      <c r="P5501" s="755"/>
      <c r="Q5501" s="51"/>
      <c r="T5501" s="756" t="str">
        <f ca="1">IF(AND($R5506=0,$T5506=0),"0.00","mu :" &amp; ROUND($F5501/$C$2/($R5506+$T5506*$D$9),2))</f>
        <v>mu :1.23</v>
      </c>
      <c r="W5501" s="524"/>
      <c r="AG5501" s="481">
        <f ca="1">IF($E5501=0,0,ROUND($R5506*$S$2*$C$2/$A5501,2))</f>
        <v>1.35</v>
      </c>
      <c r="AH5501" s="481">
        <f ca="1">$AG5501*$A5501</f>
        <v>37.800000000000004</v>
      </c>
      <c r="AI5501" s="525">
        <f ca="1">$E5501-$AG5501</f>
        <v>15.9</v>
      </c>
      <c r="AJ5501" s="525">
        <f ca="1">$A5501*$AI5501</f>
        <v>445.2</v>
      </c>
      <c r="AK5501" s="526">
        <f ca="1">ROUND(($AG5501+$AI5501)*$A5501,2)</f>
        <v>483</v>
      </c>
      <c r="AM5501" s="527">
        <f ca="1">ROUND(R5506,2)</f>
        <v>30.8</v>
      </c>
      <c r="AN5501" s="528">
        <f ca="1">ROUND(T5506,2)</f>
        <v>13.16</v>
      </c>
      <c r="AO5501" s="529">
        <f ca="1">ROUND(AM5501+AN5501,2)*A5501</f>
        <v>1230.8800000000001</v>
      </c>
      <c r="AR5501" s="747">
        <v>28</v>
      </c>
      <c r="AS5501" s="751">
        <v>539.84</v>
      </c>
    </row>
    <row r="5502" spans="1:45" s="520" customFormat="1" ht="13.2">
      <c r="A5502" s="748"/>
      <c r="B5502"/>
      <c r="C5502" s="748"/>
      <c r="D5502" s="749" t="s">
        <v>897</v>
      </c>
      <c r="F5502" s="753"/>
      <c r="G5502" s="3"/>
      <c r="H5502" s="753"/>
      <c r="I5502" s="754"/>
      <c r="J5502" s="753"/>
      <c r="K5502" s="753" t="s">
        <v>144</v>
      </c>
      <c r="L5502" s="753"/>
      <c r="M5502" s="753"/>
      <c r="N5502" s="753"/>
      <c r="O5502" s="753"/>
      <c r="P5502" s="753"/>
      <c r="Q5502" s="51"/>
      <c r="R5502" s="530"/>
      <c r="S5502" s="757"/>
      <c r="T5502" s="753"/>
      <c r="AR5502" s="748"/>
      <c r="AS5502" s="753"/>
    </row>
    <row r="5503" spans="1:45" s="886" customFormat="1" ht="13.2">
      <c r="A5503"/>
      <c r="B5503" s="910"/>
      <c r="C5503" s="910" t="s">
        <v>2597</v>
      </c>
      <c r="D5503" s="910" t="str">
        <f ca="1">CELL("Address",Elec_Rates!D$545)</f>
        <v>[E25_0062_Quintano_Foods_Elec_ELV_As_Awarded.xlsx]Elec_Rates!$D$545</v>
      </c>
      <c r="E5503" s="911"/>
      <c r="F5503" s="911"/>
      <c r="G5503" s="912" t="s">
        <v>2598</v>
      </c>
      <c r="H5503" s="912"/>
      <c r="I5503" s="912"/>
      <c r="J5503" s="912"/>
      <c r="K5503" s="913"/>
      <c r="L5503" s="911"/>
      <c r="M5503" s="911"/>
      <c r="N5503" s="911"/>
      <c r="O5503" s="914"/>
      <c r="P5503" s="911"/>
      <c r="Q5503" s="915"/>
      <c r="R5503" s="916"/>
      <c r="S5503" s="915"/>
      <c r="T5503" s="917"/>
      <c r="U5503" s="918"/>
      <c r="AR5503"/>
      <c r="AS5503" s="911"/>
    </row>
    <row r="5504" spans="1:45" s="886" customFormat="1" ht="11.4">
      <c r="A5504" s="919">
        <v>28</v>
      </c>
      <c r="B5504" s="920">
        <v>1</v>
      </c>
      <c r="C5504" s="920">
        <f>$A5504*$B5504</f>
        <v>28</v>
      </c>
      <c r="D5504" s="921" t="str">
        <f>Elec_Rates!$D$545</f>
        <v>050# Install only Light fitting Type A1</v>
      </c>
      <c r="E5504" s="921"/>
      <c r="F5504" s="921" t="s">
        <v>2599</v>
      </c>
      <c r="G5504" s="922" t="s">
        <v>2600</v>
      </c>
      <c r="H5504" s="922"/>
      <c r="I5504" s="922"/>
      <c r="J5504" s="922"/>
      <c r="K5504" s="923"/>
      <c r="L5504" s="918"/>
      <c r="M5504" s="918"/>
      <c r="N5504" s="918"/>
      <c r="O5504" s="924"/>
      <c r="P5504" s="921"/>
      <c r="Q5504" s="925">
        <f ca="1">$B5504*Elec_Rates!$R$545</f>
        <v>1.1000000000000001</v>
      </c>
      <c r="R5504" s="916">
        <f ca="1">$A5504*Q5504</f>
        <v>30.800000000000004</v>
      </c>
      <c r="S5504" s="925">
        <f ca="1">$B5504*Elec_Rates!$T$545</f>
        <v>0.47</v>
      </c>
      <c r="T5504" s="917">
        <f ca="1">$A5504*S5504</f>
        <v>13.16</v>
      </c>
      <c r="U5504" s="926"/>
      <c r="AR5504" s="919">
        <v>28</v>
      </c>
      <c r="AS5504" s="921" t="s">
        <v>2599</v>
      </c>
    </row>
    <row r="5505" spans="1:45" s="520" customFormat="1" ht="12">
      <c r="A5505" s="758"/>
      <c r="B5505" s="758"/>
      <c r="C5505" s="758"/>
      <c r="D5505" s="758"/>
      <c r="E5505" s="758"/>
      <c r="F5505" s="753"/>
      <c r="G5505" s="758"/>
      <c r="H5505" s="758"/>
      <c r="I5505" s="519"/>
      <c r="J5505" s="758"/>
      <c r="K5505" s="758"/>
      <c r="L5505" s="758"/>
      <c r="M5505" s="758"/>
      <c r="N5505" s="758"/>
      <c r="O5505" s="758"/>
      <c r="P5505" s="758"/>
      <c r="Q5505" s="519"/>
      <c r="R5505" s="759">
        <f t="shared" ref="R5505" si="282">$A5505*Q5505</f>
        <v>0</v>
      </c>
      <c r="S5505" s="519"/>
      <c r="T5505" s="760">
        <f t="shared" ref="T5505" si="283">$A5505*S5505*$T$1</f>
        <v>0</v>
      </c>
      <c r="AR5505" s="758"/>
      <c r="AS5505" s="753"/>
    </row>
    <row r="5506" spans="1:45" s="520" customFormat="1" ht="12.6" thickBot="1">
      <c r="A5506" s="761" t="s">
        <v>145</v>
      </c>
      <c r="B5506" s="762">
        <f>(R5505+T5505)</f>
        <v>0</v>
      </c>
      <c r="C5506" s="763"/>
      <c r="D5506" s="763"/>
      <c r="E5506" s="763"/>
      <c r="F5506" s="764"/>
      <c r="G5506" s="763" t="s">
        <v>146</v>
      </c>
      <c r="H5506" s="763"/>
      <c r="I5506" s="765"/>
      <c r="J5506" s="763"/>
      <c r="K5506" s="763" t="s">
        <v>3</v>
      </c>
      <c r="L5506" s="766" t="s">
        <v>143</v>
      </c>
      <c r="M5506" s="766"/>
      <c r="N5506" s="766"/>
      <c r="O5506" s="766"/>
      <c r="P5506" s="766"/>
      <c r="Q5506" s="767"/>
      <c r="R5506" s="768">
        <f ca="1">SUM(R5502:R5505)</f>
        <v>30.800000000000004</v>
      </c>
      <c r="S5506" s="763"/>
      <c r="T5506" s="768">
        <f ca="1">SUM(T5502:T5505)</f>
        <v>13.16</v>
      </c>
      <c r="U5506" s="531"/>
      <c r="V5506" s="531"/>
      <c r="W5506" s="531"/>
      <c r="X5506" s="531"/>
      <c r="Y5506" s="531"/>
      <c r="Z5506" s="531"/>
      <c r="AA5506" s="531"/>
      <c r="AB5506" s="531"/>
      <c r="AC5506" s="531"/>
      <c r="AD5506" s="531"/>
      <c r="AE5506" s="531"/>
      <c r="AF5506" s="531"/>
      <c r="AG5506" s="531"/>
      <c r="AH5506" s="531"/>
      <c r="AI5506" s="531"/>
      <c r="AJ5506" s="531"/>
      <c r="AK5506" s="531"/>
      <c r="AL5506" s="531"/>
      <c r="AM5506" s="531"/>
      <c r="AN5506" s="531"/>
      <c r="AO5506" s="531"/>
      <c r="AR5506" s="761" t="s">
        <v>145</v>
      </c>
      <c r="AS5506" s="764"/>
    </row>
    <row r="5507" spans="1:45" s="520" customFormat="1" ht="12" thickTop="1">
      <c r="A5507" s="51"/>
      <c r="B5507" s="41"/>
      <c r="C5507" s="51"/>
      <c r="E5507" s="42" t="s">
        <v>138</v>
      </c>
      <c r="F5507" s="42" t="s">
        <v>139</v>
      </c>
      <c r="G5507" s="51"/>
      <c r="H5507" s="51"/>
      <c r="I5507" s="51"/>
      <c r="J5507" s="51"/>
      <c r="K5507" s="51" t="s">
        <v>140</v>
      </c>
      <c r="L5507" s="51"/>
      <c r="M5507" s="51"/>
      <c r="N5507" s="51"/>
      <c r="O5507" s="52"/>
      <c r="P5507" s="51"/>
      <c r="Q5507" s="51"/>
      <c r="R5507" s="51"/>
      <c r="S5507" s="51"/>
      <c r="T5507" s="41"/>
      <c r="AG5507" s="521" t="s">
        <v>268</v>
      </c>
      <c r="AH5507" s="521" t="s">
        <v>269</v>
      </c>
      <c r="AI5507" s="521" t="s">
        <v>270</v>
      </c>
      <c r="AJ5507" s="521" t="s">
        <v>271</v>
      </c>
      <c r="AK5507" s="521" t="s">
        <v>272</v>
      </c>
      <c r="AM5507" s="745" t="s">
        <v>281</v>
      </c>
      <c r="AN5507" s="746" t="s">
        <v>282</v>
      </c>
      <c r="AO5507" s="522" t="s">
        <v>278</v>
      </c>
      <c r="AR5507" s="51"/>
      <c r="AS5507" s="42" t="s">
        <v>139</v>
      </c>
    </row>
    <row r="5508" spans="1:45" s="520" customFormat="1" ht="12" customHeight="1">
      <c r="A5508" s="747">
        <v>11</v>
      </c>
      <c r="B5508" s="523" t="s">
        <v>329</v>
      </c>
      <c r="C5508" s="748"/>
      <c r="D5508" s="749" t="s">
        <v>1906</v>
      </c>
      <c r="E5508" s="750">
        <f ca="1">IF(AND($A5508=0,$A$1="DIF"),0, ROUND(ROUND(($R5513*$S$2+($T5513*$T$2))/A5508,2)*$C$2,2))</f>
        <v>17.739999999999998</v>
      </c>
      <c r="F5508" s="751">
        <f ca="1">ROUND($A5508*$E5508,2)</f>
        <v>195.14</v>
      </c>
      <c r="G5508" s="752" t="s">
        <v>142</v>
      </c>
      <c r="H5508" s="753"/>
      <c r="I5508" s="754"/>
      <c r="J5508" s="753"/>
      <c r="K5508" s="753" t="s">
        <v>3</v>
      </c>
      <c r="L5508" s="755" t="s">
        <v>143</v>
      </c>
      <c r="M5508" s="755"/>
      <c r="N5508" s="755"/>
      <c r="O5508" s="755"/>
      <c r="P5508" s="755"/>
      <c r="Q5508" s="51"/>
      <c r="T5508" s="756" t="str">
        <f ca="1">IF(AND($R5513=0,$T5513=0),"0.00","mu :" &amp; ROUND($F5508/$C$2/($R5513+$T5513*$D$9),2))</f>
        <v>mu :1.23</v>
      </c>
      <c r="W5508" s="524"/>
      <c r="AG5508" s="481">
        <f ca="1">IF($E5508=0,0,ROUND($R5513*$S$2*$C$2/$A5508,2))</f>
        <v>1.85</v>
      </c>
      <c r="AH5508" s="481">
        <f ca="1">$AG5508*$A5508</f>
        <v>20.350000000000001</v>
      </c>
      <c r="AI5508" s="525">
        <f ca="1">$E5508-$AG5508</f>
        <v>15.889999999999999</v>
      </c>
      <c r="AJ5508" s="525">
        <f ca="1">$A5508*$AI5508</f>
        <v>174.79</v>
      </c>
      <c r="AK5508" s="526">
        <f ca="1">ROUND(($AG5508+$AI5508)*$A5508,2)</f>
        <v>195.14</v>
      </c>
      <c r="AM5508" s="527">
        <f ca="1">ROUND(R5513,2)</f>
        <v>16.5</v>
      </c>
      <c r="AN5508" s="528">
        <f ca="1">ROUND(T5513,2)</f>
        <v>5.17</v>
      </c>
      <c r="AO5508" s="529">
        <f ca="1">ROUND(AM5508+AN5508,2)*A5508</f>
        <v>238.37</v>
      </c>
      <c r="AR5508" s="747">
        <v>11</v>
      </c>
      <c r="AS5508" s="751">
        <v>217.47</v>
      </c>
    </row>
    <row r="5509" spans="1:45" s="520" customFormat="1" ht="13.2">
      <c r="A5509" s="748"/>
      <c r="B5509"/>
      <c r="C5509" s="748"/>
      <c r="D5509" s="749" t="s">
        <v>898</v>
      </c>
      <c r="F5509" s="753"/>
      <c r="G5509" s="3"/>
      <c r="H5509" s="753"/>
      <c r="I5509" s="754"/>
      <c r="J5509" s="753"/>
      <c r="K5509" s="753" t="s">
        <v>144</v>
      </c>
      <c r="L5509" s="753"/>
      <c r="M5509" s="753"/>
      <c r="N5509" s="753"/>
      <c r="O5509" s="753"/>
      <c r="P5509" s="753"/>
      <c r="Q5509" s="51"/>
      <c r="R5509" s="530"/>
      <c r="S5509" s="757"/>
      <c r="T5509" s="753"/>
      <c r="AR5509" s="748"/>
      <c r="AS5509" s="753"/>
    </row>
    <row r="5510" spans="1:45" s="886" customFormat="1" ht="13.2">
      <c r="A5510"/>
      <c r="B5510" s="910"/>
      <c r="C5510" s="910" t="s">
        <v>2597</v>
      </c>
      <c r="D5510" s="910" t="str">
        <f ca="1">CELL("Address",Elec_Rates!D$552)</f>
        <v>[E25_0062_Quintano_Foods_Elec_ELV_As_Awarded.xlsx]Elec_Rates!$D$552</v>
      </c>
      <c r="E5510" s="911"/>
      <c r="F5510" s="911"/>
      <c r="G5510" s="912" t="s">
        <v>2598</v>
      </c>
      <c r="H5510" s="912"/>
      <c r="I5510" s="912"/>
      <c r="J5510" s="912"/>
      <c r="K5510" s="913"/>
      <c r="L5510" s="911"/>
      <c r="M5510" s="911"/>
      <c r="N5510" s="911"/>
      <c r="O5510" s="914"/>
      <c r="P5510" s="911"/>
      <c r="Q5510" s="915"/>
      <c r="R5510" s="916"/>
      <c r="S5510" s="915"/>
      <c r="T5510" s="917"/>
      <c r="U5510" s="918"/>
      <c r="AR5510"/>
      <c r="AS5510" s="911"/>
    </row>
    <row r="5511" spans="1:45" s="886" customFormat="1" ht="11.4">
      <c r="A5511" s="919">
        <v>11</v>
      </c>
      <c r="B5511" s="920">
        <v>1</v>
      </c>
      <c r="C5511" s="920">
        <f>$A5511*$B5511</f>
        <v>11</v>
      </c>
      <c r="D5511" s="921" t="str">
        <f>Elec_Rates!$D$552</f>
        <v>051# Install only Light fitting Type A2</v>
      </c>
      <c r="E5511" s="921"/>
      <c r="F5511" s="921" t="s">
        <v>2599</v>
      </c>
      <c r="G5511" s="922" t="s">
        <v>2601</v>
      </c>
      <c r="H5511" s="922"/>
      <c r="I5511" s="922"/>
      <c r="J5511" s="922"/>
      <c r="K5511" s="923"/>
      <c r="L5511" s="918"/>
      <c r="M5511" s="918"/>
      <c r="N5511" s="918"/>
      <c r="O5511" s="924"/>
      <c r="P5511" s="921"/>
      <c r="Q5511" s="925">
        <f ca="1">$B5511*Elec_Rates!$R$552</f>
        <v>1.5</v>
      </c>
      <c r="R5511" s="916">
        <f ca="1">$A5511*Q5511</f>
        <v>16.5</v>
      </c>
      <c r="S5511" s="925">
        <f ca="1">$B5511*Elec_Rates!$T$552</f>
        <v>0.47</v>
      </c>
      <c r="T5511" s="917">
        <f ca="1">$A5511*S5511</f>
        <v>5.17</v>
      </c>
      <c r="U5511" s="926"/>
      <c r="AR5511" s="919">
        <v>11</v>
      </c>
      <c r="AS5511" s="921" t="s">
        <v>2599</v>
      </c>
    </row>
    <row r="5512" spans="1:45" s="520" customFormat="1" ht="12">
      <c r="A5512" s="758"/>
      <c r="B5512" s="758"/>
      <c r="C5512" s="758"/>
      <c r="D5512" s="758"/>
      <c r="E5512" s="758"/>
      <c r="F5512" s="753"/>
      <c r="G5512" s="758"/>
      <c r="H5512" s="758"/>
      <c r="I5512" s="519"/>
      <c r="J5512" s="758"/>
      <c r="K5512" s="758"/>
      <c r="L5512" s="758"/>
      <c r="M5512" s="758"/>
      <c r="N5512" s="758"/>
      <c r="O5512" s="758"/>
      <c r="P5512" s="758"/>
      <c r="Q5512" s="519"/>
      <c r="R5512" s="759">
        <f t="shared" ref="R5512" si="284">$A5512*Q5512</f>
        <v>0</v>
      </c>
      <c r="S5512" s="519"/>
      <c r="T5512" s="760">
        <f t="shared" ref="T5512" si="285">$A5512*S5512*$T$1</f>
        <v>0</v>
      </c>
      <c r="AR5512" s="758"/>
      <c r="AS5512" s="753"/>
    </row>
    <row r="5513" spans="1:45" s="520" customFormat="1" ht="12.6" thickBot="1">
      <c r="A5513" s="761" t="s">
        <v>145</v>
      </c>
      <c r="B5513" s="762">
        <f>(R5512+T5512)</f>
        <v>0</v>
      </c>
      <c r="C5513" s="763"/>
      <c r="D5513" s="763"/>
      <c r="E5513" s="763"/>
      <c r="F5513" s="764"/>
      <c r="G5513" s="763" t="s">
        <v>146</v>
      </c>
      <c r="H5513" s="763"/>
      <c r="I5513" s="765"/>
      <c r="J5513" s="763"/>
      <c r="K5513" s="763" t="s">
        <v>3</v>
      </c>
      <c r="L5513" s="766" t="s">
        <v>143</v>
      </c>
      <c r="M5513" s="766"/>
      <c r="N5513" s="766"/>
      <c r="O5513" s="766"/>
      <c r="P5513" s="766"/>
      <c r="Q5513" s="767"/>
      <c r="R5513" s="768">
        <f ca="1">SUM(R5509:R5512)</f>
        <v>16.5</v>
      </c>
      <c r="S5513" s="763"/>
      <c r="T5513" s="768">
        <f ca="1">SUM(T5509:T5512)</f>
        <v>5.17</v>
      </c>
      <c r="U5513" s="531"/>
      <c r="V5513" s="531"/>
      <c r="W5513" s="531"/>
      <c r="X5513" s="531"/>
      <c r="Y5513" s="531"/>
      <c r="Z5513" s="531"/>
      <c r="AA5513" s="531"/>
      <c r="AB5513" s="531"/>
      <c r="AC5513" s="531"/>
      <c r="AD5513" s="531"/>
      <c r="AE5513" s="531"/>
      <c r="AF5513" s="531"/>
      <c r="AG5513" s="531"/>
      <c r="AH5513" s="531"/>
      <c r="AI5513" s="531"/>
      <c r="AJ5513" s="531"/>
      <c r="AK5513" s="531"/>
      <c r="AL5513" s="531"/>
      <c r="AM5513" s="531"/>
      <c r="AN5513" s="531"/>
      <c r="AO5513" s="531"/>
      <c r="AR5513" s="761" t="s">
        <v>145</v>
      </c>
      <c r="AS5513" s="764"/>
    </row>
    <row r="5514" spans="1:45" s="520" customFormat="1" ht="12" thickTop="1">
      <c r="A5514" s="51"/>
      <c r="B5514" s="41"/>
      <c r="C5514" s="51"/>
      <c r="E5514" s="42" t="s">
        <v>138</v>
      </c>
      <c r="F5514" s="42" t="s">
        <v>139</v>
      </c>
      <c r="G5514" s="51"/>
      <c r="H5514" s="51"/>
      <c r="I5514" s="51"/>
      <c r="J5514" s="51"/>
      <c r="K5514" s="51" t="s">
        <v>140</v>
      </c>
      <c r="L5514" s="51"/>
      <c r="M5514" s="51"/>
      <c r="N5514" s="51"/>
      <c r="O5514" s="52"/>
      <c r="P5514" s="51"/>
      <c r="Q5514" s="51"/>
      <c r="R5514" s="51"/>
      <c r="S5514" s="51"/>
      <c r="T5514" s="41"/>
      <c r="AG5514" s="521" t="s">
        <v>268</v>
      </c>
      <c r="AH5514" s="521" t="s">
        <v>269</v>
      </c>
      <c r="AI5514" s="521" t="s">
        <v>270</v>
      </c>
      <c r="AJ5514" s="521" t="s">
        <v>271</v>
      </c>
      <c r="AK5514" s="521" t="s">
        <v>272</v>
      </c>
      <c r="AM5514" s="745" t="s">
        <v>281</v>
      </c>
      <c r="AN5514" s="746" t="s">
        <v>282</v>
      </c>
      <c r="AO5514" s="522" t="s">
        <v>278</v>
      </c>
      <c r="AR5514" s="51"/>
      <c r="AS5514" s="42" t="s">
        <v>139</v>
      </c>
    </row>
    <row r="5515" spans="1:45" s="520" customFormat="1" ht="12" customHeight="1">
      <c r="A5515" s="747">
        <v>27</v>
      </c>
      <c r="B5515" s="523" t="s">
        <v>329</v>
      </c>
      <c r="C5515" s="748"/>
      <c r="D5515" s="749" t="s">
        <v>1907</v>
      </c>
      <c r="E5515" s="750">
        <f ca="1">IF(AND($A5515=0,$A$1="DIF"),0, ROUND(ROUND(($R5520*$S$2+($T5520*$T$2))/A5515,2)*$C$2,2))</f>
        <v>17.34</v>
      </c>
      <c r="F5515" s="751">
        <f ca="1">ROUND($A5515*$E5515,2)</f>
        <v>468.18</v>
      </c>
      <c r="G5515" s="752" t="s">
        <v>142</v>
      </c>
      <c r="H5515" s="753"/>
      <c r="I5515" s="754"/>
      <c r="J5515" s="753"/>
      <c r="K5515" s="753" t="s">
        <v>3</v>
      </c>
      <c r="L5515" s="755" t="s">
        <v>143</v>
      </c>
      <c r="M5515" s="755"/>
      <c r="N5515" s="755"/>
      <c r="O5515" s="755"/>
      <c r="P5515" s="755"/>
      <c r="Q5515" s="51"/>
      <c r="T5515" s="756" t="str">
        <f ca="1">IF(AND($R5520=0,$T5520=0),"0.00","mu :" &amp; ROUND($F5515/$C$2/($R5520+$T5520*$D$9),2))</f>
        <v>mu :1.23</v>
      </c>
      <c r="W5515" s="524"/>
      <c r="AG5515" s="481">
        <f ca="1">IF($E5515=0,0,ROUND($R5520*$S$2*$C$2/$A5515,2))</f>
        <v>1.45</v>
      </c>
      <c r="AH5515" s="481">
        <f ca="1">$AG5515*$A5515</f>
        <v>39.15</v>
      </c>
      <c r="AI5515" s="525">
        <f ca="1">$E5515-$AG5515</f>
        <v>15.89</v>
      </c>
      <c r="AJ5515" s="525">
        <f ca="1">$A5515*$AI5515</f>
        <v>429.03000000000003</v>
      </c>
      <c r="AK5515" s="526">
        <f ca="1">ROUND(($AG5515+$AI5515)*$A5515,2)</f>
        <v>468.18</v>
      </c>
      <c r="AM5515" s="527">
        <f ca="1">ROUND(R5520,2)</f>
        <v>31.86</v>
      </c>
      <c r="AN5515" s="528">
        <f ca="1">ROUND(T5520,2)</f>
        <v>12.69</v>
      </c>
      <c r="AO5515" s="529">
        <f ca="1">ROUND(AM5515+AN5515,2)*A5515</f>
        <v>1202.8499999999999</v>
      </c>
      <c r="AR5515" s="747">
        <v>27</v>
      </c>
      <c r="AS5515" s="751">
        <v>522.99</v>
      </c>
    </row>
    <row r="5516" spans="1:45" s="520" customFormat="1" ht="13.2">
      <c r="A5516" s="748"/>
      <c r="B5516"/>
      <c r="C5516" s="748"/>
      <c r="D5516" s="749" t="s">
        <v>885</v>
      </c>
      <c r="F5516" s="753"/>
      <c r="G5516" s="3"/>
      <c r="H5516" s="753"/>
      <c r="I5516" s="754"/>
      <c r="J5516" s="753"/>
      <c r="K5516" s="753" t="s">
        <v>144</v>
      </c>
      <c r="L5516" s="753"/>
      <c r="M5516" s="753"/>
      <c r="N5516" s="753"/>
      <c r="O5516" s="753"/>
      <c r="P5516" s="753"/>
      <c r="Q5516" s="51"/>
      <c r="R5516" s="530"/>
      <c r="S5516" s="757"/>
      <c r="T5516" s="753"/>
      <c r="AR5516" s="748"/>
      <c r="AS5516" s="753"/>
    </row>
    <row r="5517" spans="1:45" s="886" customFormat="1" ht="13.2">
      <c r="A5517"/>
      <c r="B5517" s="910"/>
      <c r="C5517" s="910" t="s">
        <v>2597</v>
      </c>
      <c r="D5517" s="910" t="str">
        <f ca="1">CELL("Address",Elec_Rates!D$559)</f>
        <v>[E25_0062_Quintano_Foods_Elec_ELV_As_Awarded.xlsx]Elec_Rates!$D$559</v>
      </c>
      <c r="E5517" s="911"/>
      <c r="F5517" s="911"/>
      <c r="G5517" s="912" t="s">
        <v>2598</v>
      </c>
      <c r="H5517" s="912"/>
      <c r="I5517" s="912"/>
      <c r="J5517" s="912"/>
      <c r="K5517" s="913"/>
      <c r="L5517" s="911"/>
      <c r="M5517" s="911"/>
      <c r="N5517" s="911"/>
      <c r="O5517" s="914"/>
      <c r="P5517" s="911"/>
      <c r="Q5517" s="915"/>
      <c r="R5517" s="916"/>
      <c r="S5517" s="915"/>
      <c r="T5517" s="917"/>
      <c r="U5517" s="918"/>
      <c r="AR5517"/>
      <c r="AS5517" s="911"/>
    </row>
    <row r="5518" spans="1:45" s="886" customFormat="1" ht="11.4">
      <c r="A5518" s="919">
        <v>27</v>
      </c>
      <c r="B5518" s="920">
        <v>1</v>
      </c>
      <c r="C5518" s="920">
        <f>$A5518*$B5518</f>
        <v>27</v>
      </c>
      <c r="D5518" s="921" t="str">
        <f>Elec_Rates!$D$559</f>
        <v>052# Install only Light fitting Type B1</v>
      </c>
      <c r="E5518" s="921"/>
      <c r="F5518" s="921" t="s">
        <v>2599</v>
      </c>
      <c r="G5518" s="922" t="s">
        <v>2601</v>
      </c>
      <c r="H5518" s="922"/>
      <c r="I5518" s="922"/>
      <c r="J5518" s="922"/>
      <c r="K5518" s="923"/>
      <c r="L5518" s="918"/>
      <c r="M5518" s="918"/>
      <c r="N5518" s="918"/>
      <c r="O5518" s="924"/>
      <c r="P5518" s="921"/>
      <c r="Q5518" s="925">
        <f ca="1">$B5518*Elec_Rates!$R$559</f>
        <v>1.18</v>
      </c>
      <c r="R5518" s="916">
        <f ca="1">$A5518*Q5518</f>
        <v>31.86</v>
      </c>
      <c r="S5518" s="925">
        <f ca="1">$B5518*Elec_Rates!$T$559</f>
        <v>0.47</v>
      </c>
      <c r="T5518" s="917">
        <f ca="1">$A5518*S5518</f>
        <v>12.69</v>
      </c>
      <c r="U5518" s="926"/>
      <c r="AR5518" s="919">
        <v>27</v>
      </c>
      <c r="AS5518" s="921" t="s">
        <v>2599</v>
      </c>
    </row>
    <row r="5519" spans="1:45" s="520" customFormat="1" ht="12">
      <c r="A5519" s="758"/>
      <c r="B5519" s="758"/>
      <c r="C5519" s="758"/>
      <c r="D5519" s="758"/>
      <c r="E5519" s="758"/>
      <c r="F5519" s="753"/>
      <c r="G5519" s="758"/>
      <c r="H5519" s="758"/>
      <c r="I5519" s="519"/>
      <c r="J5519" s="758"/>
      <c r="K5519" s="758"/>
      <c r="L5519" s="758"/>
      <c r="M5519" s="758"/>
      <c r="N5519" s="758"/>
      <c r="O5519" s="758"/>
      <c r="P5519" s="758"/>
      <c r="Q5519" s="519"/>
      <c r="R5519" s="759">
        <f t="shared" ref="R5519" si="286">$A5519*Q5519</f>
        <v>0</v>
      </c>
      <c r="S5519" s="519"/>
      <c r="T5519" s="760">
        <f t="shared" ref="T5519" si="287">$A5519*S5519*$T$1</f>
        <v>0</v>
      </c>
      <c r="AR5519" s="758"/>
      <c r="AS5519" s="753"/>
    </row>
    <row r="5520" spans="1:45" s="520" customFormat="1" ht="12.6" thickBot="1">
      <c r="A5520" s="761" t="s">
        <v>145</v>
      </c>
      <c r="B5520" s="762">
        <f>(R5519+T5519)</f>
        <v>0</v>
      </c>
      <c r="C5520" s="763"/>
      <c r="D5520" s="763"/>
      <c r="E5520" s="763"/>
      <c r="F5520" s="764"/>
      <c r="G5520" s="763" t="s">
        <v>146</v>
      </c>
      <c r="H5520" s="763"/>
      <c r="I5520" s="765"/>
      <c r="J5520" s="763"/>
      <c r="K5520" s="763" t="s">
        <v>3</v>
      </c>
      <c r="L5520" s="766" t="s">
        <v>143</v>
      </c>
      <c r="M5520" s="766"/>
      <c r="N5520" s="766"/>
      <c r="O5520" s="766"/>
      <c r="P5520" s="766"/>
      <c r="Q5520" s="767"/>
      <c r="R5520" s="768">
        <f ca="1">SUM(R5516:R5519)</f>
        <v>31.86</v>
      </c>
      <c r="S5520" s="763"/>
      <c r="T5520" s="768">
        <f ca="1">SUM(T5516:T5519)</f>
        <v>12.69</v>
      </c>
      <c r="U5520" s="531"/>
      <c r="V5520" s="531"/>
      <c r="W5520" s="531"/>
      <c r="X5520" s="531"/>
      <c r="Y5520" s="531"/>
      <c r="Z5520" s="531"/>
      <c r="AA5520" s="531"/>
      <c r="AB5520" s="531"/>
      <c r="AC5520" s="531"/>
      <c r="AD5520" s="531"/>
      <c r="AE5520" s="531"/>
      <c r="AF5520" s="531"/>
      <c r="AG5520" s="531"/>
      <c r="AH5520" s="531"/>
      <c r="AI5520" s="531"/>
      <c r="AJ5520" s="531"/>
      <c r="AK5520" s="531"/>
      <c r="AL5520" s="531"/>
      <c r="AM5520" s="531"/>
      <c r="AN5520" s="531"/>
      <c r="AO5520" s="531"/>
      <c r="AR5520" s="761" t="s">
        <v>145</v>
      </c>
      <c r="AS5520" s="764"/>
    </row>
    <row r="5521" spans="1:45" s="520" customFormat="1" ht="12" thickTop="1">
      <c r="A5521" s="51"/>
      <c r="B5521" s="41"/>
      <c r="C5521" s="51"/>
      <c r="E5521" s="42" t="s">
        <v>138</v>
      </c>
      <c r="F5521" s="42" t="s">
        <v>139</v>
      </c>
      <c r="G5521" s="51"/>
      <c r="H5521" s="51"/>
      <c r="I5521" s="51"/>
      <c r="J5521" s="51"/>
      <c r="K5521" s="51" t="s">
        <v>140</v>
      </c>
      <c r="L5521" s="51"/>
      <c r="M5521" s="51"/>
      <c r="N5521" s="51"/>
      <c r="O5521" s="52"/>
      <c r="P5521" s="51"/>
      <c r="Q5521" s="51"/>
      <c r="R5521" s="51"/>
      <c r="S5521" s="51"/>
      <c r="T5521" s="41"/>
      <c r="AG5521" s="521" t="s">
        <v>268</v>
      </c>
      <c r="AH5521" s="521" t="s">
        <v>269</v>
      </c>
      <c r="AI5521" s="521" t="s">
        <v>270</v>
      </c>
      <c r="AJ5521" s="521" t="s">
        <v>271</v>
      </c>
      <c r="AK5521" s="521" t="s">
        <v>272</v>
      </c>
      <c r="AM5521" s="745" t="s">
        <v>281</v>
      </c>
      <c r="AN5521" s="746" t="s">
        <v>282</v>
      </c>
      <c r="AO5521" s="522" t="s">
        <v>278</v>
      </c>
      <c r="AR5521" s="51"/>
      <c r="AS5521" s="42" t="s">
        <v>139</v>
      </c>
    </row>
    <row r="5522" spans="1:45" s="520" customFormat="1" ht="12" customHeight="1">
      <c r="A5522" s="747">
        <v>18</v>
      </c>
      <c r="B5522" s="523" t="s">
        <v>329</v>
      </c>
      <c r="C5522" s="748"/>
      <c r="D5522" s="749" t="s">
        <v>1908</v>
      </c>
      <c r="E5522" s="750">
        <f ca="1">IF(AND($A5522=0,$A$1="DIF"),0, ROUND(ROUND(($R5527*$S$2+($T5527*$T$2))/A5522,2)*$C$2,2))</f>
        <v>17.84</v>
      </c>
      <c r="F5522" s="751">
        <f ca="1">ROUND($A5522*$E5522,2)</f>
        <v>321.12</v>
      </c>
      <c r="G5522" s="752" t="s">
        <v>142</v>
      </c>
      <c r="H5522" s="753"/>
      <c r="I5522" s="754"/>
      <c r="J5522" s="753"/>
      <c r="K5522" s="753" t="s">
        <v>3</v>
      </c>
      <c r="L5522" s="755" t="s">
        <v>143</v>
      </c>
      <c r="M5522" s="755"/>
      <c r="N5522" s="755"/>
      <c r="O5522" s="755"/>
      <c r="P5522" s="755"/>
      <c r="Q5522" s="51"/>
      <c r="T5522" s="756" t="str">
        <f ca="1">IF(AND($R5527=0,$T5527=0),"0.00","mu :" &amp; ROUND($F5522/$C$2/($R5527+$T5527*$D$9),2))</f>
        <v>mu :1.23</v>
      </c>
      <c r="W5522" s="524"/>
      <c r="AG5522" s="481">
        <f ca="1">IF($E5522=0,0,ROUND($R5527*$S$2*$C$2/$A5522,2))</f>
        <v>1.95</v>
      </c>
      <c r="AH5522" s="481">
        <f ca="1">$AG5522*$A5522</f>
        <v>35.1</v>
      </c>
      <c r="AI5522" s="525">
        <f ca="1">$E5522-$AG5522</f>
        <v>15.89</v>
      </c>
      <c r="AJ5522" s="525">
        <f ca="1">$A5522*$AI5522</f>
        <v>286.02</v>
      </c>
      <c r="AK5522" s="526">
        <f ca="1">ROUND(($AG5522+$AI5522)*$A5522,2)</f>
        <v>321.12</v>
      </c>
      <c r="AM5522" s="527">
        <f ca="1">ROUND(R5527,2)</f>
        <v>28.44</v>
      </c>
      <c r="AN5522" s="528">
        <f ca="1">ROUND(T5527,2)</f>
        <v>8.4600000000000009</v>
      </c>
      <c r="AO5522" s="529">
        <f ca="1">ROUND(AM5522+AN5522,2)*A5522</f>
        <v>664.19999999999993</v>
      </c>
      <c r="AR5522" s="747">
        <v>18</v>
      </c>
      <c r="AS5522" s="751">
        <v>357.66</v>
      </c>
    </row>
    <row r="5523" spans="1:45" s="520" customFormat="1" ht="13.2">
      <c r="A5523" s="748"/>
      <c r="B5523"/>
      <c r="C5523" s="748"/>
      <c r="D5523" s="749" t="s">
        <v>886</v>
      </c>
      <c r="F5523" s="753"/>
      <c r="G5523" s="3"/>
      <c r="H5523" s="753"/>
      <c r="I5523" s="754"/>
      <c r="J5523" s="753"/>
      <c r="K5523" s="753" t="s">
        <v>144</v>
      </c>
      <c r="L5523" s="753"/>
      <c r="M5523" s="753"/>
      <c r="N5523" s="753"/>
      <c r="O5523" s="753"/>
      <c r="P5523" s="753"/>
      <c r="Q5523" s="51"/>
      <c r="R5523" s="530"/>
      <c r="S5523" s="757"/>
      <c r="T5523" s="753"/>
      <c r="AR5523" s="748"/>
      <c r="AS5523" s="753"/>
    </row>
    <row r="5524" spans="1:45" s="886" customFormat="1" ht="13.2">
      <c r="A5524"/>
      <c r="B5524" s="910"/>
      <c r="C5524" s="910" t="s">
        <v>2597</v>
      </c>
      <c r="D5524" s="910" t="str">
        <f ca="1">CELL("Address",Elec_Rates!D$568)</f>
        <v>[E25_0062_Quintano_Foods_Elec_ELV_As_Awarded.xlsx]Elec_Rates!$D$568</v>
      </c>
      <c r="E5524" s="911"/>
      <c r="F5524" s="911"/>
      <c r="G5524" s="912" t="s">
        <v>2598</v>
      </c>
      <c r="H5524" s="912"/>
      <c r="I5524" s="912"/>
      <c r="J5524" s="912"/>
      <c r="K5524" s="913"/>
      <c r="L5524" s="911"/>
      <c r="M5524" s="911"/>
      <c r="N5524" s="911"/>
      <c r="O5524" s="914"/>
      <c r="P5524" s="911"/>
      <c r="Q5524" s="915"/>
      <c r="R5524" s="916"/>
      <c r="S5524" s="915"/>
      <c r="T5524" s="917"/>
      <c r="U5524" s="918"/>
      <c r="AR5524"/>
      <c r="AS5524" s="911"/>
    </row>
    <row r="5525" spans="1:45" s="886" customFormat="1" ht="11.4">
      <c r="A5525" s="919">
        <v>18</v>
      </c>
      <c r="B5525" s="920">
        <v>1</v>
      </c>
      <c r="C5525" s="920">
        <f>$A5525*$B5525</f>
        <v>18</v>
      </c>
      <c r="D5525" s="921" t="str">
        <f>Elec_Rates!$D$568</f>
        <v>053# Install only Light fitting Type B2</v>
      </c>
      <c r="E5525" s="921"/>
      <c r="F5525" s="921" t="s">
        <v>2599</v>
      </c>
      <c r="G5525" s="922" t="s">
        <v>2600</v>
      </c>
      <c r="H5525" s="922"/>
      <c r="I5525" s="922"/>
      <c r="J5525" s="922"/>
      <c r="K5525" s="923"/>
      <c r="L5525" s="918"/>
      <c r="M5525" s="918"/>
      <c r="N5525" s="918"/>
      <c r="O5525" s="924"/>
      <c r="P5525" s="921"/>
      <c r="Q5525" s="925">
        <f ca="1">$B5525*Elec_Rates!$R$568</f>
        <v>1.58</v>
      </c>
      <c r="R5525" s="916">
        <f ca="1">$A5525*Q5525</f>
        <v>28.44</v>
      </c>
      <c r="S5525" s="925">
        <f ca="1">$B5525*Elec_Rates!$T$568</f>
        <v>0.47</v>
      </c>
      <c r="T5525" s="917">
        <f ca="1">$A5525*S5525</f>
        <v>8.4599999999999991</v>
      </c>
      <c r="U5525" s="926"/>
      <c r="AR5525" s="919">
        <v>18</v>
      </c>
      <c r="AS5525" s="921" t="s">
        <v>2599</v>
      </c>
    </row>
    <row r="5526" spans="1:45" s="520" customFormat="1" ht="12">
      <c r="A5526" s="758"/>
      <c r="B5526" s="758"/>
      <c r="C5526" s="758"/>
      <c r="D5526" s="758"/>
      <c r="E5526" s="758"/>
      <c r="F5526" s="753"/>
      <c r="G5526" s="758"/>
      <c r="H5526" s="758"/>
      <c r="I5526" s="519"/>
      <c r="J5526" s="758"/>
      <c r="K5526" s="758"/>
      <c r="L5526" s="758"/>
      <c r="M5526" s="758"/>
      <c r="N5526" s="758"/>
      <c r="O5526" s="758"/>
      <c r="P5526" s="758"/>
      <c r="Q5526" s="519"/>
      <c r="R5526" s="759">
        <f t="shared" ref="R5526" si="288">$A5526*Q5526</f>
        <v>0</v>
      </c>
      <c r="S5526" s="519"/>
      <c r="T5526" s="760">
        <f t="shared" ref="T5526" si="289">$A5526*S5526*$T$1</f>
        <v>0</v>
      </c>
      <c r="AR5526" s="758"/>
      <c r="AS5526" s="753"/>
    </row>
    <row r="5527" spans="1:45" s="520" customFormat="1" ht="12.6" thickBot="1">
      <c r="A5527" s="761" t="s">
        <v>145</v>
      </c>
      <c r="B5527" s="762">
        <f>(R5526+T5526)</f>
        <v>0</v>
      </c>
      <c r="C5527" s="763"/>
      <c r="D5527" s="763"/>
      <c r="E5527" s="763"/>
      <c r="F5527" s="764"/>
      <c r="G5527" s="763" t="s">
        <v>146</v>
      </c>
      <c r="H5527" s="763"/>
      <c r="I5527" s="765"/>
      <c r="J5527" s="763"/>
      <c r="K5527" s="763" t="s">
        <v>3</v>
      </c>
      <c r="L5527" s="766" t="s">
        <v>143</v>
      </c>
      <c r="M5527" s="766"/>
      <c r="N5527" s="766"/>
      <c r="O5527" s="766"/>
      <c r="P5527" s="766"/>
      <c r="Q5527" s="767"/>
      <c r="R5527" s="768">
        <f ca="1">SUM(R5523:R5526)</f>
        <v>28.44</v>
      </c>
      <c r="S5527" s="763"/>
      <c r="T5527" s="768">
        <f ca="1">SUM(T5523:T5526)</f>
        <v>8.4599999999999991</v>
      </c>
      <c r="U5527" s="531"/>
      <c r="V5527" s="531"/>
      <c r="W5527" s="531"/>
      <c r="X5527" s="531"/>
      <c r="Y5527" s="531"/>
      <c r="Z5527" s="531"/>
      <c r="AA5527" s="531"/>
      <c r="AB5527" s="531"/>
      <c r="AC5527" s="531"/>
      <c r="AD5527" s="531"/>
      <c r="AE5527" s="531"/>
      <c r="AF5527" s="531"/>
      <c r="AG5527" s="531"/>
      <c r="AH5527" s="531"/>
      <c r="AI5527" s="531"/>
      <c r="AJ5527" s="531"/>
      <c r="AK5527" s="531"/>
      <c r="AL5527" s="531"/>
      <c r="AM5527" s="531"/>
      <c r="AN5527" s="531"/>
      <c r="AO5527" s="531"/>
      <c r="AR5527" s="761" t="s">
        <v>145</v>
      </c>
      <c r="AS5527" s="764"/>
    </row>
    <row r="5528" spans="1:45" s="520" customFormat="1" ht="12" thickTop="1">
      <c r="A5528" s="51"/>
      <c r="B5528" s="41"/>
      <c r="C5528" s="51"/>
      <c r="E5528" s="42" t="s">
        <v>138</v>
      </c>
      <c r="F5528" s="42" t="s">
        <v>139</v>
      </c>
      <c r="G5528" s="51"/>
      <c r="H5528" s="51"/>
      <c r="I5528" s="51"/>
      <c r="J5528" s="51"/>
      <c r="K5528" s="51" t="s">
        <v>140</v>
      </c>
      <c r="L5528" s="51"/>
      <c r="M5528" s="51"/>
      <c r="N5528" s="51"/>
      <c r="O5528" s="52"/>
      <c r="P5528" s="51"/>
      <c r="Q5528" s="51"/>
      <c r="R5528" s="51"/>
      <c r="S5528" s="51"/>
      <c r="T5528" s="41"/>
      <c r="AG5528" s="521" t="s">
        <v>268</v>
      </c>
      <c r="AH5528" s="521" t="s">
        <v>269</v>
      </c>
      <c r="AI5528" s="521" t="s">
        <v>270</v>
      </c>
      <c r="AJ5528" s="521" t="s">
        <v>271</v>
      </c>
      <c r="AK5528" s="521" t="s">
        <v>272</v>
      </c>
      <c r="AM5528" s="745" t="s">
        <v>281</v>
      </c>
      <c r="AN5528" s="746" t="s">
        <v>282</v>
      </c>
      <c r="AO5528" s="522" t="s">
        <v>278</v>
      </c>
      <c r="AR5528" s="51"/>
      <c r="AS5528" s="42" t="s">
        <v>139</v>
      </c>
    </row>
    <row r="5529" spans="1:45" s="520" customFormat="1" ht="12" customHeight="1">
      <c r="A5529" s="747">
        <v>1</v>
      </c>
      <c r="B5529" s="523" t="s">
        <v>329</v>
      </c>
      <c r="C5529" s="748"/>
      <c r="D5529" s="749" t="s">
        <v>1909</v>
      </c>
      <c r="E5529" s="750">
        <f ca="1">IF(AND($A5529=0,$A$1="DIF"),0, ROUND(ROUND(($R5534*$S$2+($T5534*$T$2))/A5529,2)*$C$2,2))</f>
        <v>17.84</v>
      </c>
      <c r="F5529" s="751">
        <f ca="1">ROUND($A5529*$E5529,2)</f>
        <v>17.84</v>
      </c>
      <c r="G5529" s="752" t="s">
        <v>142</v>
      </c>
      <c r="H5529" s="753"/>
      <c r="I5529" s="754"/>
      <c r="J5529" s="753"/>
      <c r="K5529" s="753" t="s">
        <v>3</v>
      </c>
      <c r="L5529" s="755" t="s">
        <v>143</v>
      </c>
      <c r="M5529" s="755"/>
      <c r="N5529" s="755"/>
      <c r="O5529" s="755"/>
      <c r="P5529" s="755"/>
      <c r="Q5529" s="51"/>
      <c r="T5529" s="756" t="str">
        <f ca="1">IF(AND($R5534=0,$T5534=0),"0.00","mu :" &amp; ROUND($F5529/$C$2/($R5534+$T5534*$D$9),2))</f>
        <v>mu :1.23</v>
      </c>
      <c r="W5529" s="524"/>
      <c r="AG5529" s="481">
        <f ca="1">IF($E5529=0,0,ROUND($R5534*$S$2*$C$2/$A5529,2))</f>
        <v>1.95</v>
      </c>
      <c r="AH5529" s="481">
        <f ca="1">$AG5529*$A5529</f>
        <v>1.95</v>
      </c>
      <c r="AI5529" s="525">
        <f ca="1">$E5529-$AG5529</f>
        <v>15.89</v>
      </c>
      <c r="AJ5529" s="525">
        <f ca="1">$A5529*$AI5529</f>
        <v>15.89</v>
      </c>
      <c r="AK5529" s="526">
        <f ca="1">ROUND(($AG5529+$AI5529)*$A5529,2)</f>
        <v>17.84</v>
      </c>
      <c r="AM5529" s="527">
        <f ca="1">ROUND(R5534,2)</f>
        <v>1.58</v>
      </c>
      <c r="AN5529" s="528">
        <f ca="1">ROUND(T5534,2)</f>
        <v>0.47</v>
      </c>
      <c r="AO5529" s="529">
        <f ca="1">ROUND(AM5529+AN5529,2)*A5529</f>
        <v>2.0499999999999998</v>
      </c>
      <c r="AR5529" s="747">
        <v>1</v>
      </c>
      <c r="AS5529" s="751">
        <v>19.87</v>
      </c>
    </row>
    <row r="5530" spans="1:45" s="520" customFormat="1" ht="13.2">
      <c r="A5530" s="748"/>
      <c r="B5530"/>
      <c r="C5530" s="748"/>
      <c r="D5530" s="749" t="s">
        <v>887</v>
      </c>
      <c r="F5530" s="753"/>
      <c r="G5530" s="3"/>
      <c r="H5530" s="753"/>
      <c r="I5530" s="754"/>
      <c r="J5530" s="753"/>
      <c r="K5530" s="753" t="s">
        <v>144</v>
      </c>
      <c r="L5530" s="753"/>
      <c r="M5530" s="753"/>
      <c r="N5530" s="753"/>
      <c r="O5530" s="753"/>
      <c r="P5530" s="753"/>
      <c r="Q5530" s="51"/>
      <c r="R5530" s="530"/>
      <c r="S5530" s="757"/>
      <c r="T5530" s="753"/>
      <c r="AR5530" s="748"/>
      <c r="AS5530" s="753"/>
    </row>
    <row r="5531" spans="1:45" s="886" customFormat="1" ht="13.2">
      <c r="A5531"/>
      <c r="B5531" s="910"/>
      <c r="C5531" s="910" t="s">
        <v>2597</v>
      </c>
      <c r="D5531" s="910" t="str">
        <f ca="1">CELL("Address",Elec_Rates!D$577)</f>
        <v>[E25_0062_Quintano_Foods_Elec_ELV_As_Awarded.xlsx]Elec_Rates!$D$577</v>
      </c>
      <c r="E5531" s="911"/>
      <c r="F5531" s="911"/>
      <c r="G5531" s="912" t="s">
        <v>2598</v>
      </c>
      <c r="H5531" s="912"/>
      <c r="I5531" s="912"/>
      <c r="J5531" s="912"/>
      <c r="K5531" s="913"/>
      <c r="L5531" s="911"/>
      <c r="M5531" s="911"/>
      <c r="N5531" s="911"/>
      <c r="O5531" s="914"/>
      <c r="P5531" s="911"/>
      <c r="Q5531" s="915"/>
      <c r="R5531" s="916"/>
      <c r="S5531" s="915"/>
      <c r="T5531" s="917"/>
      <c r="U5531" s="918"/>
      <c r="AR5531"/>
      <c r="AS5531" s="911"/>
    </row>
    <row r="5532" spans="1:45" s="886" customFormat="1" ht="11.4">
      <c r="A5532" s="919">
        <v>1</v>
      </c>
      <c r="B5532" s="920">
        <v>1</v>
      </c>
      <c r="C5532" s="920">
        <f>$A5532*$B5532</f>
        <v>1</v>
      </c>
      <c r="D5532" s="921" t="str">
        <f>Elec_Rates!$D$577</f>
        <v>054# Install only Light fitting Type C2</v>
      </c>
      <c r="E5532" s="921"/>
      <c r="F5532" s="921" t="s">
        <v>2599</v>
      </c>
      <c r="G5532" s="922" t="s">
        <v>2600</v>
      </c>
      <c r="H5532" s="922"/>
      <c r="I5532" s="922"/>
      <c r="J5532" s="922"/>
      <c r="K5532" s="923"/>
      <c r="L5532" s="918"/>
      <c r="M5532" s="918"/>
      <c r="N5532" s="918"/>
      <c r="O5532" s="924"/>
      <c r="P5532" s="921"/>
      <c r="Q5532" s="925">
        <f ca="1">$B5532*Elec_Rates!$R$577</f>
        <v>1.58</v>
      </c>
      <c r="R5532" s="916">
        <f ca="1">$A5532*Q5532</f>
        <v>1.58</v>
      </c>
      <c r="S5532" s="925">
        <f ca="1">$B5532*Elec_Rates!$T$577</f>
        <v>0.47</v>
      </c>
      <c r="T5532" s="917">
        <f ca="1">$A5532*S5532</f>
        <v>0.47</v>
      </c>
      <c r="U5532" s="926"/>
      <c r="AR5532" s="919">
        <v>1</v>
      </c>
      <c r="AS5532" s="921" t="s">
        <v>2599</v>
      </c>
    </row>
    <row r="5533" spans="1:45" s="520" customFormat="1" ht="12">
      <c r="A5533" s="758"/>
      <c r="B5533" s="758"/>
      <c r="C5533" s="758"/>
      <c r="D5533" s="758"/>
      <c r="E5533" s="758"/>
      <c r="F5533" s="753"/>
      <c r="G5533" s="758"/>
      <c r="H5533" s="758"/>
      <c r="I5533" s="519"/>
      <c r="J5533" s="758"/>
      <c r="K5533" s="758"/>
      <c r="L5533" s="758"/>
      <c r="M5533" s="758"/>
      <c r="N5533" s="758"/>
      <c r="O5533" s="758"/>
      <c r="P5533" s="758"/>
      <c r="Q5533" s="519"/>
      <c r="R5533" s="759">
        <f t="shared" ref="R5533" si="290">$A5533*Q5533</f>
        <v>0</v>
      </c>
      <c r="S5533" s="519"/>
      <c r="T5533" s="760">
        <f t="shared" ref="T5533" si="291">$A5533*S5533*$T$1</f>
        <v>0</v>
      </c>
      <c r="AR5533" s="758"/>
      <c r="AS5533" s="753"/>
    </row>
    <row r="5534" spans="1:45" s="520" customFormat="1" ht="12.6" thickBot="1">
      <c r="A5534" s="761" t="s">
        <v>145</v>
      </c>
      <c r="B5534" s="762">
        <f>(R5533+T5533)</f>
        <v>0</v>
      </c>
      <c r="C5534" s="763"/>
      <c r="D5534" s="763"/>
      <c r="E5534" s="763"/>
      <c r="F5534" s="764"/>
      <c r="G5534" s="763" t="s">
        <v>146</v>
      </c>
      <c r="H5534" s="763"/>
      <c r="I5534" s="765"/>
      <c r="J5534" s="763"/>
      <c r="K5534" s="763" t="s">
        <v>3</v>
      </c>
      <c r="L5534" s="766" t="s">
        <v>143</v>
      </c>
      <c r="M5534" s="766"/>
      <c r="N5534" s="766"/>
      <c r="O5534" s="766"/>
      <c r="P5534" s="766"/>
      <c r="Q5534" s="767"/>
      <c r="R5534" s="768">
        <f ca="1">SUM(R5530:R5533)</f>
        <v>1.58</v>
      </c>
      <c r="S5534" s="763"/>
      <c r="T5534" s="768">
        <f ca="1">SUM(T5530:T5533)</f>
        <v>0.47</v>
      </c>
      <c r="U5534" s="531"/>
      <c r="V5534" s="531"/>
      <c r="W5534" s="531"/>
      <c r="X5534" s="531"/>
      <c r="Y5534" s="531"/>
      <c r="Z5534" s="531"/>
      <c r="AA5534" s="531"/>
      <c r="AB5534" s="531"/>
      <c r="AC5534" s="531"/>
      <c r="AD5534" s="531"/>
      <c r="AE5534" s="531"/>
      <c r="AF5534" s="531"/>
      <c r="AG5534" s="531"/>
      <c r="AH5534" s="531"/>
      <c r="AI5534" s="531"/>
      <c r="AJ5534" s="531"/>
      <c r="AK5534" s="531"/>
      <c r="AL5534" s="531"/>
      <c r="AM5534" s="531"/>
      <c r="AN5534" s="531"/>
      <c r="AO5534" s="531"/>
      <c r="AR5534" s="761" t="s">
        <v>145</v>
      </c>
      <c r="AS5534" s="764"/>
    </row>
    <row r="5535" spans="1:45" s="520" customFormat="1" ht="12" thickTop="1">
      <c r="A5535" s="51"/>
      <c r="B5535" s="41"/>
      <c r="C5535" s="51"/>
      <c r="E5535" s="42" t="s">
        <v>138</v>
      </c>
      <c r="F5535" s="42" t="s">
        <v>139</v>
      </c>
      <c r="G5535" s="51"/>
      <c r="H5535" s="51"/>
      <c r="I5535" s="51"/>
      <c r="J5535" s="51"/>
      <c r="K5535" s="51" t="s">
        <v>140</v>
      </c>
      <c r="L5535" s="51"/>
      <c r="M5535" s="51"/>
      <c r="N5535" s="51"/>
      <c r="O5535" s="52"/>
      <c r="P5535" s="51"/>
      <c r="Q5535" s="51"/>
      <c r="R5535" s="51"/>
      <c r="S5535" s="51"/>
      <c r="T5535" s="41"/>
      <c r="AG5535" s="521" t="s">
        <v>268</v>
      </c>
      <c r="AH5535" s="521" t="s">
        <v>269</v>
      </c>
      <c r="AI5535" s="521" t="s">
        <v>270</v>
      </c>
      <c r="AJ5535" s="521" t="s">
        <v>271</v>
      </c>
      <c r="AK5535" s="521" t="s">
        <v>272</v>
      </c>
      <c r="AM5535" s="745" t="s">
        <v>281</v>
      </c>
      <c r="AN5535" s="746" t="s">
        <v>282</v>
      </c>
      <c r="AO5535" s="522" t="s">
        <v>278</v>
      </c>
      <c r="AR5535" s="51"/>
      <c r="AS5535" s="42" t="s">
        <v>139</v>
      </c>
    </row>
    <row r="5536" spans="1:45" s="520" customFormat="1" ht="12" customHeight="1">
      <c r="A5536" s="747">
        <v>9</v>
      </c>
      <c r="B5536" s="523" t="s">
        <v>329</v>
      </c>
      <c r="C5536" s="748"/>
      <c r="D5536" s="749" t="s">
        <v>1910</v>
      </c>
      <c r="E5536" s="750">
        <f ca="1">IF(AND($A5536=0,$A$1="DIF"),0, ROUND(ROUND(($R5541*$S$2+($T5541*$T$2))/A5536,2)*$C$2,2))</f>
        <v>17.34</v>
      </c>
      <c r="F5536" s="751">
        <f ca="1">ROUND($A5536*$E5536,2)</f>
        <v>156.06</v>
      </c>
      <c r="G5536" s="752" t="s">
        <v>142</v>
      </c>
      <c r="H5536" s="753"/>
      <c r="I5536" s="754"/>
      <c r="J5536" s="753"/>
      <c r="K5536" s="753" t="s">
        <v>3</v>
      </c>
      <c r="L5536" s="755" t="s">
        <v>143</v>
      </c>
      <c r="M5536" s="755"/>
      <c r="N5536" s="755"/>
      <c r="O5536" s="755"/>
      <c r="P5536" s="755"/>
      <c r="Q5536" s="51"/>
      <c r="T5536" s="756" t="str">
        <f ca="1">IF(AND($R5541=0,$T5541=0),"0.00","mu :" &amp; ROUND($F5536/$C$2/($R5541+$T5541*$D$9),2))</f>
        <v>mu :1.23</v>
      </c>
      <c r="W5536" s="524"/>
      <c r="AG5536" s="481">
        <f ca="1">IF($E5536=0,0,ROUND($R5541*$S$2*$C$2/$A5536,2))</f>
        <v>1.45</v>
      </c>
      <c r="AH5536" s="481">
        <f ca="1">$AG5536*$A5536</f>
        <v>13.049999999999999</v>
      </c>
      <c r="AI5536" s="525">
        <f ca="1">$E5536-$AG5536</f>
        <v>15.89</v>
      </c>
      <c r="AJ5536" s="525">
        <f ca="1">$A5536*$AI5536</f>
        <v>143.01</v>
      </c>
      <c r="AK5536" s="526">
        <f ca="1">ROUND(($AG5536+$AI5536)*$A5536,2)</f>
        <v>156.06</v>
      </c>
      <c r="AM5536" s="527">
        <f ca="1">ROUND(R5541,2)</f>
        <v>10.62</v>
      </c>
      <c r="AN5536" s="528">
        <f ca="1">ROUND(T5541,2)</f>
        <v>4.2300000000000004</v>
      </c>
      <c r="AO5536" s="529">
        <f ca="1">ROUND(AM5536+AN5536,2)*A5536</f>
        <v>133.65</v>
      </c>
      <c r="AR5536" s="747">
        <v>9</v>
      </c>
      <c r="AS5536" s="751">
        <v>174.33</v>
      </c>
    </row>
    <row r="5537" spans="1:45" s="520" customFormat="1" ht="13.2">
      <c r="A5537" s="748"/>
      <c r="B5537"/>
      <c r="C5537" s="748"/>
      <c r="D5537" s="749" t="s">
        <v>899</v>
      </c>
      <c r="F5537" s="753"/>
      <c r="G5537" s="3"/>
      <c r="H5537" s="753"/>
      <c r="I5537" s="754"/>
      <c r="J5537" s="753"/>
      <c r="K5537" s="753" t="s">
        <v>144</v>
      </c>
      <c r="L5537" s="753"/>
      <c r="M5537" s="753"/>
      <c r="N5537" s="753"/>
      <c r="O5537" s="753"/>
      <c r="P5537" s="753"/>
      <c r="Q5537" s="51"/>
      <c r="R5537" s="530"/>
      <c r="S5537" s="757"/>
      <c r="T5537" s="753"/>
      <c r="AR5537" s="748"/>
      <c r="AS5537" s="753"/>
    </row>
    <row r="5538" spans="1:45" s="886" customFormat="1" ht="13.2">
      <c r="A5538"/>
      <c r="B5538" s="910"/>
      <c r="C5538" s="910" t="s">
        <v>2597</v>
      </c>
      <c r="D5538" s="910" t="str">
        <f ca="1">CELL("Address",Elec_Rates!D$586)</f>
        <v>[E25_0062_Quintano_Foods_Elec_ELV_As_Awarded.xlsx]Elec_Rates!$D$586</v>
      </c>
      <c r="E5538" s="911"/>
      <c r="F5538" s="911"/>
      <c r="G5538" s="912" t="s">
        <v>2598</v>
      </c>
      <c r="H5538" s="912"/>
      <c r="I5538" s="912"/>
      <c r="J5538" s="912"/>
      <c r="K5538" s="913"/>
      <c r="L5538" s="911"/>
      <c r="M5538" s="911"/>
      <c r="N5538" s="911"/>
      <c r="O5538" s="914"/>
      <c r="P5538" s="911"/>
      <c r="Q5538" s="915"/>
      <c r="R5538" s="916"/>
      <c r="S5538" s="915"/>
      <c r="T5538" s="917"/>
      <c r="U5538" s="918"/>
      <c r="AR5538"/>
      <c r="AS5538" s="911"/>
    </row>
    <row r="5539" spans="1:45" s="886" customFormat="1" ht="11.4">
      <c r="A5539" s="919">
        <v>9</v>
      </c>
      <c r="B5539" s="920">
        <v>1</v>
      </c>
      <c r="C5539" s="920">
        <f>$A5539*$B5539</f>
        <v>9</v>
      </c>
      <c r="D5539" s="921" t="str">
        <f>Elec_Rates!$D$586</f>
        <v>055# Install only Light fitting Type D1</v>
      </c>
      <c r="E5539" s="921"/>
      <c r="F5539" s="921" t="s">
        <v>2599</v>
      </c>
      <c r="G5539" s="922" t="s">
        <v>2600</v>
      </c>
      <c r="H5539" s="922"/>
      <c r="I5539" s="922"/>
      <c r="J5539" s="922"/>
      <c r="K5539" s="923"/>
      <c r="L5539" s="918"/>
      <c r="M5539" s="918"/>
      <c r="N5539" s="918"/>
      <c r="O5539" s="924"/>
      <c r="P5539" s="921"/>
      <c r="Q5539" s="925">
        <f ca="1">$B5539*Elec_Rates!$R$586</f>
        <v>1.18</v>
      </c>
      <c r="R5539" s="916">
        <f ca="1">$A5539*Q5539</f>
        <v>10.62</v>
      </c>
      <c r="S5539" s="925">
        <f ca="1">$B5539*Elec_Rates!$T$586</f>
        <v>0.47</v>
      </c>
      <c r="T5539" s="917">
        <f ca="1">$A5539*S5539</f>
        <v>4.2299999999999995</v>
      </c>
      <c r="U5539" s="926"/>
      <c r="AR5539" s="919">
        <v>9</v>
      </c>
      <c r="AS5539" s="921" t="s">
        <v>2599</v>
      </c>
    </row>
    <row r="5540" spans="1:45" s="520" customFormat="1" ht="12">
      <c r="A5540" s="758"/>
      <c r="B5540" s="758"/>
      <c r="C5540" s="758"/>
      <c r="D5540" s="758"/>
      <c r="E5540" s="758"/>
      <c r="F5540" s="753"/>
      <c r="G5540" s="758"/>
      <c r="H5540" s="758"/>
      <c r="I5540" s="519"/>
      <c r="J5540" s="758"/>
      <c r="K5540" s="758"/>
      <c r="L5540" s="758"/>
      <c r="M5540" s="758"/>
      <c r="N5540" s="758"/>
      <c r="O5540" s="758"/>
      <c r="P5540" s="758"/>
      <c r="Q5540" s="519"/>
      <c r="R5540" s="759">
        <f t="shared" ref="R5540" si="292">$A5540*Q5540</f>
        <v>0</v>
      </c>
      <c r="S5540" s="519"/>
      <c r="T5540" s="760">
        <f t="shared" ref="T5540" si="293">$A5540*S5540*$T$1</f>
        <v>0</v>
      </c>
      <c r="AR5540" s="758"/>
      <c r="AS5540" s="753"/>
    </row>
    <row r="5541" spans="1:45" s="520" customFormat="1" ht="12.6" thickBot="1">
      <c r="A5541" s="761" t="s">
        <v>145</v>
      </c>
      <c r="B5541" s="762">
        <f>(R5540+T5540)</f>
        <v>0</v>
      </c>
      <c r="C5541" s="763"/>
      <c r="D5541" s="763"/>
      <c r="E5541" s="763"/>
      <c r="F5541" s="764"/>
      <c r="G5541" s="763" t="s">
        <v>146</v>
      </c>
      <c r="H5541" s="763"/>
      <c r="I5541" s="765"/>
      <c r="J5541" s="763"/>
      <c r="K5541" s="763" t="s">
        <v>3</v>
      </c>
      <c r="L5541" s="766" t="s">
        <v>143</v>
      </c>
      <c r="M5541" s="766"/>
      <c r="N5541" s="766"/>
      <c r="O5541" s="766"/>
      <c r="P5541" s="766"/>
      <c r="Q5541" s="767"/>
      <c r="R5541" s="768">
        <f ca="1">SUM(R5537:R5540)</f>
        <v>10.62</v>
      </c>
      <c r="S5541" s="763"/>
      <c r="T5541" s="768">
        <f ca="1">SUM(T5537:T5540)</f>
        <v>4.2299999999999995</v>
      </c>
      <c r="U5541" s="531"/>
      <c r="V5541" s="531"/>
      <c r="W5541" s="531"/>
      <c r="X5541" s="531"/>
      <c r="Y5541" s="531"/>
      <c r="Z5541" s="531"/>
      <c r="AA5541" s="531"/>
      <c r="AB5541" s="531"/>
      <c r="AC5541" s="531"/>
      <c r="AD5541" s="531"/>
      <c r="AE5541" s="531"/>
      <c r="AF5541" s="531"/>
      <c r="AG5541" s="531"/>
      <c r="AH5541" s="531"/>
      <c r="AI5541" s="531"/>
      <c r="AJ5541" s="531"/>
      <c r="AK5541" s="531"/>
      <c r="AL5541" s="531"/>
      <c r="AM5541" s="531"/>
      <c r="AN5541" s="531"/>
      <c r="AO5541" s="531"/>
      <c r="AR5541" s="761" t="s">
        <v>145</v>
      </c>
      <c r="AS5541" s="764"/>
    </row>
    <row r="5542" spans="1:45" s="520" customFormat="1" ht="12" thickTop="1">
      <c r="A5542" s="51"/>
      <c r="B5542" s="41"/>
      <c r="C5542" s="51"/>
      <c r="E5542" s="42" t="s">
        <v>138</v>
      </c>
      <c r="F5542" s="42" t="s">
        <v>139</v>
      </c>
      <c r="G5542" s="51"/>
      <c r="H5542" s="51"/>
      <c r="I5542" s="51"/>
      <c r="J5542" s="51"/>
      <c r="K5542" s="51" t="s">
        <v>140</v>
      </c>
      <c r="L5542" s="51"/>
      <c r="M5542" s="51"/>
      <c r="N5542" s="51"/>
      <c r="O5542" s="52"/>
      <c r="P5542" s="51"/>
      <c r="Q5542" s="51"/>
      <c r="R5542" s="51"/>
      <c r="S5542" s="51"/>
      <c r="T5542" s="41"/>
      <c r="AG5542" s="521" t="s">
        <v>268</v>
      </c>
      <c r="AH5542" s="521" t="s">
        <v>269</v>
      </c>
      <c r="AI5542" s="521" t="s">
        <v>270</v>
      </c>
      <c r="AJ5542" s="521" t="s">
        <v>271</v>
      </c>
      <c r="AK5542" s="521" t="s">
        <v>272</v>
      </c>
      <c r="AM5542" s="745" t="s">
        <v>281</v>
      </c>
      <c r="AN5542" s="746" t="s">
        <v>282</v>
      </c>
      <c r="AO5542" s="522" t="s">
        <v>278</v>
      </c>
      <c r="AR5542" s="51"/>
      <c r="AS5542" s="42" t="s">
        <v>139</v>
      </c>
    </row>
    <row r="5543" spans="1:45" s="520" customFormat="1" ht="12" customHeight="1">
      <c r="A5543" s="747">
        <v>7</v>
      </c>
      <c r="B5543" s="523" t="s">
        <v>329</v>
      </c>
      <c r="C5543" s="748"/>
      <c r="D5543" s="749" t="s">
        <v>1911</v>
      </c>
      <c r="E5543" s="750">
        <f ca="1">IF(AND($A5543=0,$A$1="DIF"),0, ROUND(ROUND(($R5548*$S$2+($T5548*$T$2))/A5543,2)*$C$2,2))</f>
        <v>17.34</v>
      </c>
      <c r="F5543" s="751">
        <f ca="1">ROUND($A5543*$E5543,2)</f>
        <v>121.38</v>
      </c>
      <c r="G5543" s="752" t="s">
        <v>142</v>
      </c>
      <c r="H5543" s="753"/>
      <c r="I5543" s="754"/>
      <c r="J5543" s="753"/>
      <c r="K5543" s="753" t="s">
        <v>3</v>
      </c>
      <c r="L5543" s="755" t="s">
        <v>143</v>
      </c>
      <c r="M5543" s="755"/>
      <c r="N5543" s="755"/>
      <c r="O5543" s="755"/>
      <c r="P5543" s="755"/>
      <c r="Q5543" s="51"/>
      <c r="T5543" s="756" t="str">
        <f ca="1">IF(AND($R5548=0,$T5548=0),"0.00","mu :" &amp; ROUND($F5543/$C$2/($R5548+$T5548*$D$9),2))</f>
        <v>mu :1.23</v>
      </c>
      <c r="W5543" s="524"/>
      <c r="AG5543" s="481">
        <f ca="1">IF($E5543=0,0,ROUND($R5548*$S$2*$C$2/$A5543,2))</f>
        <v>1.45</v>
      </c>
      <c r="AH5543" s="481">
        <f ca="1">$AG5543*$A5543</f>
        <v>10.15</v>
      </c>
      <c r="AI5543" s="525">
        <f ca="1">$E5543-$AG5543</f>
        <v>15.89</v>
      </c>
      <c r="AJ5543" s="525">
        <f ca="1">$A5543*$AI5543</f>
        <v>111.23</v>
      </c>
      <c r="AK5543" s="526">
        <f ca="1">ROUND(($AG5543+$AI5543)*$A5543,2)</f>
        <v>121.38</v>
      </c>
      <c r="AM5543" s="527">
        <f ca="1">ROUND(R5548,2)</f>
        <v>8.26</v>
      </c>
      <c r="AN5543" s="528">
        <f ca="1">ROUND(T5548,2)</f>
        <v>3.29</v>
      </c>
      <c r="AO5543" s="529">
        <f ca="1">ROUND(AM5543+AN5543,2)*A5543</f>
        <v>80.850000000000009</v>
      </c>
      <c r="AR5543" s="747">
        <v>7</v>
      </c>
      <c r="AS5543" s="751">
        <v>135.59</v>
      </c>
    </row>
    <row r="5544" spans="1:45" s="520" customFormat="1" ht="13.2">
      <c r="A5544" s="748"/>
      <c r="B5544"/>
      <c r="C5544" s="748"/>
      <c r="D5544" s="749" t="s">
        <v>888</v>
      </c>
      <c r="F5544" s="753"/>
      <c r="G5544" s="3"/>
      <c r="H5544" s="753"/>
      <c r="I5544" s="754"/>
      <c r="J5544" s="753"/>
      <c r="K5544" s="753" t="s">
        <v>144</v>
      </c>
      <c r="L5544" s="753"/>
      <c r="M5544" s="753"/>
      <c r="N5544" s="753"/>
      <c r="O5544" s="753"/>
      <c r="P5544" s="753"/>
      <c r="Q5544" s="51"/>
      <c r="R5544" s="530"/>
      <c r="S5544" s="757"/>
      <c r="T5544" s="753"/>
      <c r="AR5544" s="748"/>
      <c r="AS5544" s="753"/>
    </row>
    <row r="5545" spans="1:45" s="886" customFormat="1" ht="13.2">
      <c r="A5545"/>
      <c r="B5545" s="910"/>
      <c r="C5545" s="910" t="s">
        <v>2597</v>
      </c>
      <c r="D5545" s="910" t="str">
        <f ca="1">CELL("Address",Elec_Rates!D$595)</f>
        <v>[E25_0062_Quintano_Foods_Elec_ELV_As_Awarded.xlsx]Elec_Rates!$D$595</v>
      </c>
      <c r="E5545" s="911"/>
      <c r="F5545" s="911"/>
      <c r="G5545" s="912" t="s">
        <v>2598</v>
      </c>
      <c r="H5545" s="912"/>
      <c r="I5545" s="912"/>
      <c r="J5545" s="912"/>
      <c r="K5545" s="913"/>
      <c r="L5545" s="911"/>
      <c r="M5545" s="911"/>
      <c r="N5545" s="911"/>
      <c r="O5545" s="914"/>
      <c r="P5545" s="911"/>
      <c r="Q5545" s="915"/>
      <c r="R5545" s="916"/>
      <c r="S5545" s="915"/>
      <c r="T5545" s="917"/>
      <c r="U5545" s="918"/>
      <c r="AR5545"/>
      <c r="AS5545" s="911"/>
    </row>
    <row r="5546" spans="1:45" s="886" customFormat="1" ht="11.4">
      <c r="A5546" s="919">
        <v>7</v>
      </c>
      <c r="B5546" s="920">
        <v>1</v>
      </c>
      <c r="C5546" s="920">
        <f>$A5546*$B5546</f>
        <v>7</v>
      </c>
      <c r="D5546" s="921" t="str">
        <f>Elec_Rates!$D$595</f>
        <v>056# Install only Light fitting Type E1</v>
      </c>
      <c r="E5546" s="921"/>
      <c r="F5546" s="921" t="s">
        <v>2599</v>
      </c>
      <c r="G5546" s="922" t="s">
        <v>2601</v>
      </c>
      <c r="H5546" s="922"/>
      <c r="I5546" s="922"/>
      <c r="J5546" s="922"/>
      <c r="K5546" s="923"/>
      <c r="L5546" s="918"/>
      <c r="M5546" s="918"/>
      <c r="N5546" s="918"/>
      <c r="O5546" s="924"/>
      <c r="P5546" s="921"/>
      <c r="Q5546" s="925">
        <f ca="1">$B5546*Elec_Rates!$R$595</f>
        <v>1.18</v>
      </c>
      <c r="R5546" s="916">
        <f ca="1">$A5546*Q5546</f>
        <v>8.26</v>
      </c>
      <c r="S5546" s="925">
        <f ca="1">$B5546*Elec_Rates!$T$595</f>
        <v>0.47</v>
      </c>
      <c r="T5546" s="917">
        <f ca="1">$A5546*S5546</f>
        <v>3.29</v>
      </c>
      <c r="U5546" s="926"/>
      <c r="AR5546" s="919">
        <v>7</v>
      </c>
      <c r="AS5546" s="921" t="s">
        <v>2599</v>
      </c>
    </row>
    <row r="5547" spans="1:45" s="520" customFormat="1" ht="12">
      <c r="A5547" s="758"/>
      <c r="B5547" s="758"/>
      <c r="C5547" s="758"/>
      <c r="D5547" s="758"/>
      <c r="E5547" s="758"/>
      <c r="F5547" s="753"/>
      <c r="G5547" s="758"/>
      <c r="H5547" s="758"/>
      <c r="I5547" s="519"/>
      <c r="J5547" s="758"/>
      <c r="K5547" s="758"/>
      <c r="L5547" s="758"/>
      <c r="M5547" s="758"/>
      <c r="N5547" s="758"/>
      <c r="O5547" s="758"/>
      <c r="P5547" s="758"/>
      <c r="Q5547" s="519"/>
      <c r="R5547" s="759">
        <f t="shared" ref="R5547" si="294">$A5547*Q5547</f>
        <v>0</v>
      </c>
      <c r="S5547" s="519"/>
      <c r="T5547" s="760">
        <f t="shared" ref="T5547" si="295">$A5547*S5547*$T$1</f>
        <v>0</v>
      </c>
      <c r="AR5547" s="758"/>
      <c r="AS5547" s="753"/>
    </row>
    <row r="5548" spans="1:45" s="520" customFormat="1" ht="12.6" thickBot="1">
      <c r="A5548" s="761" t="s">
        <v>145</v>
      </c>
      <c r="B5548" s="762">
        <f>(R5547+T5547)</f>
        <v>0</v>
      </c>
      <c r="C5548" s="763"/>
      <c r="D5548" s="763"/>
      <c r="E5548" s="763"/>
      <c r="F5548" s="764"/>
      <c r="G5548" s="763" t="s">
        <v>146</v>
      </c>
      <c r="H5548" s="763"/>
      <c r="I5548" s="765"/>
      <c r="J5548" s="763"/>
      <c r="K5548" s="763" t="s">
        <v>3</v>
      </c>
      <c r="L5548" s="766" t="s">
        <v>143</v>
      </c>
      <c r="M5548" s="766"/>
      <c r="N5548" s="766"/>
      <c r="O5548" s="766"/>
      <c r="P5548" s="766"/>
      <c r="Q5548" s="767"/>
      <c r="R5548" s="768">
        <f ca="1">SUM(R5544:R5547)</f>
        <v>8.26</v>
      </c>
      <c r="S5548" s="763"/>
      <c r="T5548" s="768">
        <f ca="1">SUM(T5544:T5547)</f>
        <v>3.29</v>
      </c>
      <c r="U5548" s="531"/>
      <c r="V5548" s="531"/>
      <c r="W5548" s="531"/>
      <c r="X5548" s="531"/>
      <c r="Y5548" s="531"/>
      <c r="Z5548" s="531"/>
      <c r="AA5548" s="531"/>
      <c r="AB5548" s="531"/>
      <c r="AC5548" s="531"/>
      <c r="AD5548" s="531"/>
      <c r="AE5548" s="531"/>
      <c r="AF5548" s="531"/>
      <c r="AG5548" s="531"/>
      <c r="AH5548" s="531"/>
      <c r="AI5548" s="531"/>
      <c r="AJ5548" s="531"/>
      <c r="AK5548" s="531"/>
      <c r="AL5548" s="531"/>
      <c r="AM5548" s="531"/>
      <c r="AN5548" s="531"/>
      <c r="AO5548" s="531"/>
      <c r="AR5548" s="761" t="s">
        <v>145</v>
      </c>
      <c r="AS5548" s="764"/>
    </row>
    <row r="5549" spans="1:45" s="520" customFormat="1" ht="12" thickTop="1">
      <c r="A5549" s="51"/>
      <c r="B5549" s="41"/>
      <c r="C5549" s="51"/>
      <c r="E5549" s="42" t="s">
        <v>138</v>
      </c>
      <c r="F5549" s="42" t="s">
        <v>139</v>
      </c>
      <c r="G5549" s="51"/>
      <c r="H5549" s="51"/>
      <c r="I5549" s="51"/>
      <c r="J5549" s="51"/>
      <c r="K5549" s="51" t="s">
        <v>140</v>
      </c>
      <c r="L5549" s="51"/>
      <c r="M5549" s="51"/>
      <c r="N5549" s="51"/>
      <c r="O5549" s="52"/>
      <c r="P5549" s="51"/>
      <c r="Q5549" s="51"/>
      <c r="R5549" s="51"/>
      <c r="S5549" s="51"/>
      <c r="T5549" s="41"/>
      <c r="AG5549" s="521" t="s">
        <v>268</v>
      </c>
      <c r="AH5549" s="521" t="s">
        <v>269</v>
      </c>
      <c r="AI5549" s="521" t="s">
        <v>270</v>
      </c>
      <c r="AJ5549" s="521" t="s">
        <v>271</v>
      </c>
      <c r="AK5549" s="521" t="s">
        <v>272</v>
      </c>
      <c r="AM5549" s="745" t="s">
        <v>281</v>
      </c>
      <c r="AN5549" s="746" t="s">
        <v>282</v>
      </c>
      <c r="AO5549" s="522" t="s">
        <v>278</v>
      </c>
      <c r="AR5549" s="51"/>
      <c r="AS5549" s="42" t="s">
        <v>139</v>
      </c>
    </row>
    <row r="5550" spans="1:45" s="520" customFormat="1" ht="12" customHeight="1">
      <c r="A5550" s="747">
        <v>2</v>
      </c>
      <c r="B5550" s="523" t="s">
        <v>329</v>
      </c>
      <c r="C5550" s="748"/>
      <c r="D5550" s="749" t="s">
        <v>1912</v>
      </c>
      <c r="E5550" s="750">
        <f ca="1">IF(AND($A5550=0,$A$1="DIF"),0, ROUND(ROUND(($R5555*$S$2+($T5555*$T$2))/A5550,2)*$C$2,2))</f>
        <v>17.84</v>
      </c>
      <c r="F5550" s="751">
        <f ca="1">ROUND($A5550*$E5550,2)</f>
        <v>35.68</v>
      </c>
      <c r="G5550" s="752" t="s">
        <v>142</v>
      </c>
      <c r="H5550" s="753"/>
      <c r="I5550" s="754"/>
      <c r="J5550" s="753"/>
      <c r="K5550" s="753" t="s">
        <v>3</v>
      </c>
      <c r="L5550" s="755" t="s">
        <v>143</v>
      </c>
      <c r="M5550" s="755"/>
      <c r="N5550" s="755"/>
      <c r="O5550" s="755"/>
      <c r="P5550" s="755"/>
      <c r="Q5550" s="51"/>
      <c r="T5550" s="756" t="str">
        <f ca="1">IF(AND($R5555=0,$T5555=0),"0.00","mu :" &amp; ROUND($F5550/$C$2/($R5555+$T5555*$D$9),2))</f>
        <v>mu :1.23</v>
      </c>
      <c r="W5550" s="524"/>
      <c r="AG5550" s="481">
        <f ca="1">IF($E5550=0,0,ROUND($R5555*$S$2*$C$2/$A5550,2))</f>
        <v>1.95</v>
      </c>
      <c r="AH5550" s="481">
        <f ca="1">$AG5550*$A5550</f>
        <v>3.9</v>
      </c>
      <c r="AI5550" s="525">
        <f ca="1">$E5550-$AG5550</f>
        <v>15.89</v>
      </c>
      <c r="AJ5550" s="525">
        <f ca="1">$A5550*$AI5550</f>
        <v>31.78</v>
      </c>
      <c r="AK5550" s="526">
        <f ca="1">ROUND(($AG5550+$AI5550)*$A5550,2)</f>
        <v>35.68</v>
      </c>
      <c r="AM5550" s="527">
        <f ca="1">ROUND(R5555,2)</f>
        <v>3.16</v>
      </c>
      <c r="AN5550" s="528">
        <f ca="1">ROUND(T5555,2)</f>
        <v>0.94</v>
      </c>
      <c r="AO5550" s="529">
        <f ca="1">ROUND(AM5550+AN5550,2)*A5550</f>
        <v>8.1999999999999993</v>
      </c>
      <c r="AR5550" s="747">
        <v>2</v>
      </c>
      <c r="AS5550" s="751">
        <v>39.74</v>
      </c>
    </row>
    <row r="5551" spans="1:45" s="520" customFormat="1" ht="13.2">
      <c r="A5551" s="748"/>
      <c r="B5551"/>
      <c r="C5551" s="748"/>
      <c r="D5551" s="749" t="s">
        <v>889</v>
      </c>
      <c r="F5551" s="753"/>
      <c r="G5551" s="3"/>
      <c r="H5551" s="753"/>
      <c r="I5551" s="754"/>
      <c r="J5551" s="753"/>
      <c r="K5551" s="753" t="s">
        <v>144</v>
      </c>
      <c r="L5551" s="753"/>
      <c r="M5551" s="753"/>
      <c r="N5551" s="753"/>
      <c r="O5551" s="753"/>
      <c r="P5551" s="753"/>
      <c r="Q5551" s="51"/>
      <c r="R5551" s="530"/>
      <c r="S5551" s="757"/>
      <c r="T5551" s="753"/>
      <c r="AR5551" s="748"/>
      <c r="AS5551" s="753"/>
    </row>
    <row r="5552" spans="1:45" s="886" customFormat="1" ht="13.2">
      <c r="A5552"/>
      <c r="B5552" s="910"/>
      <c r="C5552" s="910" t="s">
        <v>2597</v>
      </c>
      <c r="D5552" s="910" t="str">
        <f ca="1">CELL("Address",Elec_Rates!D$622)</f>
        <v>[E25_0062_Quintano_Foods_Elec_ELV_As_Awarded.xlsx]Elec_Rates!$D$622</v>
      </c>
      <c r="E5552" s="911"/>
      <c r="F5552" s="911"/>
      <c r="G5552" s="912" t="s">
        <v>2598</v>
      </c>
      <c r="H5552" s="912"/>
      <c r="I5552" s="912"/>
      <c r="J5552" s="912"/>
      <c r="K5552" s="913"/>
      <c r="L5552" s="911"/>
      <c r="M5552" s="911"/>
      <c r="N5552" s="911"/>
      <c r="O5552" s="914"/>
      <c r="P5552" s="911"/>
      <c r="Q5552" s="915"/>
      <c r="R5552" s="916"/>
      <c r="S5552" s="915"/>
      <c r="T5552" s="917"/>
      <c r="U5552" s="918"/>
      <c r="AR5552"/>
      <c r="AS5552" s="911"/>
    </row>
    <row r="5553" spans="1:45" s="886" customFormat="1" ht="11.4">
      <c r="A5553" s="919">
        <v>2</v>
      </c>
      <c r="B5553" s="920">
        <v>1</v>
      </c>
      <c r="C5553" s="920">
        <f>$A5553*$B5553</f>
        <v>2</v>
      </c>
      <c r="D5553" s="921" t="str">
        <f>Elec_Rates!$D$622</f>
        <v>059# Install only Light fitting Type F2</v>
      </c>
      <c r="E5553" s="921"/>
      <c r="F5553" s="921" t="s">
        <v>2599</v>
      </c>
      <c r="G5553" s="922" t="s">
        <v>2600</v>
      </c>
      <c r="H5553" s="922"/>
      <c r="I5553" s="922"/>
      <c r="J5553" s="922"/>
      <c r="K5553" s="923"/>
      <c r="L5553" s="918"/>
      <c r="M5553" s="918"/>
      <c r="N5553" s="918"/>
      <c r="O5553" s="924"/>
      <c r="P5553" s="921"/>
      <c r="Q5553" s="925">
        <f ca="1">$B5553*Elec_Rates!$R$622</f>
        <v>1.58</v>
      </c>
      <c r="R5553" s="916">
        <f ca="1">$A5553*Q5553</f>
        <v>3.16</v>
      </c>
      <c r="S5553" s="925">
        <f ca="1">$B5553*Elec_Rates!$T$622</f>
        <v>0.47</v>
      </c>
      <c r="T5553" s="917">
        <f ca="1">$A5553*S5553</f>
        <v>0.94</v>
      </c>
      <c r="U5553" s="926"/>
      <c r="AR5553" s="919">
        <v>2</v>
      </c>
      <c r="AS5553" s="921" t="s">
        <v>2599</v>
      </c>
    </row>
    <row r="5554" spans="1:45" s="520" customFormat="1" ht="12">
      <c r="A5554" s="758"/>
      <c r="B5554" s="758"/>
      <c r="C5554" s="758"/>
      <c r="D5554" s="758"/>
      <c r="E5554" s="758"/>
      <c r="F5554" s="753"/>
      <c r="G5554" s="758"/>
      <c r="H5554" s="758"/>
      <c r="I5554" s="519"/>
      <c r="J5554" s="758"/>
      <c r="K5554" s="758"/>
      <c r="L5554" s="758"/>
      <c r="M5554" s="758"/>
      <c r="N5554" s="758"/>
      <c r="O5554" s="758"/>
      <c r="P5554" s="758"/>
      <c r="Q5554" s="519"/>
      <c r="R5554" s="759">
        <f t="shared" ref="R5554" si="296">$A5554*Q5554</f>
        <v>0</v>
      </c>
      <c r="S5554" s="519"/>
      <c r="T5554" s="760">
        <f t="shared" ref="T5554" si="297">$A5554*S5554*$T$1</f>
        <v>0</v>
      </c>
      <c r="AR5554" s="758"/>
      <c r="AS5554" s="753"/>
    </row>
    <row r="5555" spans="1:45" s="520" customFormat="1" ht="12.6" thickBot="1">
      <c r="A5555" s="761" t="s">
        <v>145</v>
      </c>
      <c r="B5555" s="762">
        <f>(R5554+T5554)</f>
        <v>0</v>
      </c>
      <c r="C5555" s="763"/>
      <c r="D5555" s="763"/>
      <c r="E5555" s="763"/>
      <c r="F5555" s="764"/>
      <c r="G5555" s="763" t="s">
        <v>146</v>
      </c>
      <c r="H5555" s="763"/>
      <c r="I5555" s="765"/>
      <c r="J5555" s="763"/>
      <c r="K5555" s="763" t="s">
        <v>3</v>
      </c>
      <c r="L5555" s="766" t="s">
        <v>143</v>
      </c>
      <c r="M5555" s="766"/>
      <c r="N5555" s="766"/>
      <c r="O5555" s="766"/>
      <c r="P5555" s="766"/>
      <c r="Q5555" s="767"/>
      <c r="R5555" s="768">
        <f ca="1">SUM(R5551:R5554)</f>
        <v>3.16</v>
      </c>
      <c r="S5555" s="763"/>
      <c r="T5555" s="768">
        <f ca="1">SUM(T5551:T5554)</f>
        <v>0.94</v>
      </c>
      <c r="U5555" s="531"/>
      <c r="V5555" s="531"/>
      <c r="W5555" s="531"/>
      <c r="X5555" s="531"/>
      <c r="Y5555" s="531"/>
      <c r="Z5555" s="531"/>
      <c r="AA5555" s="531"/>
      <c r="AB5555" s="531"/>
      <c r="AC5555" s="531"/>
      <c r="AD5555" s="531"/>
      <c r="AE5555" s="531"/>
      <c r="AF5555" s="531"/>
      <c r="AG5555" s="531"/>
      <c r="AH5555" s="531"/>
      <c r="AI5555" s="531"/>
      <c r="AJ5555" s="531"/>
      <c r="AK5555" s="531"/>
      <c r="AL5555" s="531"/>
      <c r="AM5555" s="531"/>
      <c r="AN5555" s="531"/>
      <c r="AO5555" s="531"/>
      <c r="AR5555" s="761" t="s">
        <v>145</v>
      </c>
      <c r="AS5555" s="764"/>
    </row>
    <row r="5556" spans="1:45" s="520" customFormat="1" thickTop="1">
      <c r="A5556" s="51"/>
      <c r="B5556" s="51"/>
      <c r="C5556" s="3"/>
      <c r="D5556" s="3"/>
      <c r="E5556" s="51"/>
      <c r="F5556" s="51"/>
      <c r="G5556" s="51"/>
      <c r="H5556" s="51"/>
      <c r="I5556" s="51"/>
      <c r="J5556" s="51"/>
      <c r="K5556" s="51" t="s">
        <v>134</v>
      </c>
      <c r="L5556" s="51"/>
      <c r="M5556" s="51"/>
      <c r="N5556" s="51"/>
      <c r="O5556" s="52"/>
      <c r="P5556" s="51"/>
      <c r="Q5556" s="51"/>
      <c r="R5556" s="51"/>
      <c r="S5556" s="51"/>
      <c r="T5556" s="51"/>
      <c r="AR5556" s="51"/>
      <c r="AS5556" s="51"/>
    </row>
    <row r="5557" spans="1:45" s="520" customFormat="1" ht="12">
      <c r="A5557" s="51"/>
      <c r="B5557" s="51"/>
      <c r="C5557" s="51" t="s">
        <v>135</v>
      </c>
      <c r="D5557" s="37"/>
      <c r="E5557" s="51"/>
      <c r="F5557" s="51"/>
      <c r="G5557" s="51"/>
      <c r="H5557" s="51"/>
      <c r="I5557" s="51"/>
      <c r="J5557" s="51"/>
      <c r="K5557" s="51"/>
      <c r="L5557" s="51"/>
      <c r="M5557" s="51"/>
      <c r="N5557" s="51"/>
      <c r="O5557" s="52"/>
      <c r="P5557" s="51"/>
      <c r="Q5557" s="51"/>
      <c r="R5557" s="51"/>
      <c r="S5557" s="51"/>
      <c r="T5557" s="51"/>
      <c r="AR5557" s="51"/>
      <c r="AS5557" s="51"/>
    </row>
    <row r="5558" spans="1:45" s="520" customFormat="1" ht="12">
      <c r="A5558" s="51"/>
      <c r="B5558" s="51"/>
      <c r="C5558" s="51"/>
      <c r="D5558" s="37" t="s">
        <v>442</v>
      </c>
      <c r="E5558" s="51"/>
      <c r="F5558" s="51"/>
      <c r="G5558" s="51"/>
      <c r="H5558" s="51"/>
      <c r="I5558" s="51"/>
      <c r="J5558" s="51"/>
      <c r="K5558" s="51"/>
      <c r="L5558" s="51"/>
      <c r="M5558" s="51"/>
      <c r="N5558" s="51"/>
      <c r="O5558" s="52"/>
      <c r="P5558" s="51"/>
      <c r="Q5558" s="51"/>
      <c r="R5558" s="51"/>
      <c r="S5558" s="38"/>
      <c r="T5558" s="38"/>
      <c r="AR5558" s="51"/>
      <c r="AS5558" s="51"/>
    </row>
    <row r="5559" spans="1:45" s="3" customFormat="1" thickBot="1">
      <c r="A5559" s="531"/>
      <c r="O5559" s="107"/>
      <c r="AR5559" s="531"/>
    </row>
    <row r="5560" spans="1:45" s="520" customFormat="1" ht="12" thickTop="1">
      <c r="A5560" s="51"/>
      <c r="B5560" s="41"/>
      <c r="C5560" s="51"/>
      <c r="E5560" s="42" t="s">
        <v>138</v>
      </c>
      <c r="F5560" s="42" t="s">
        <v>139</v>
      </c>
      <c r="G5560" s="51"/>
      <c r="H5560" s="51"/>
      <c r="I5560" s="51"/>
      <c r="J5560" s="51"/>
      <c r="K5560" s="51" t="s">
        <v>140</v>
      </c>
      <c r="L5560" s="51"/>
      <c r="M5560" s="51"/>
      <c r="N5560" s="51"/>
      <c r="O5560" s="52"/>
      <c r="P5560" s="51"/>
      <c r="Q5560" s="51"/>
      <c r="R5560" s="51"/>
      <c r="S5560" s="51"/>
      <c r="T5560" s="41"/>
      <c r="AG5560" s="521" t="s">
        <v>268</v>
      </c>
      <c r="AH5560" s="521" t="s">
        <v>269</v>
      </c>
      <c r="AI5560" s="521" t="s">
        <v>270</v>
      </c>
      <c r="AJ5560" s="521" t="s">
        <v>271</v>
      </c>
      <c r="AK5560" s="521" t="s">
        <v>272</v>
      </c>
      <c r="AM5560" s="745" t="s">
        <v>281</v>
      </c>
      <c r="AN5560" s="746" t="s">
        <v>282</v>
      </c>
      <c r="AO5560" s="522" t="s">
        <v>278</v>
      </c>
      <c r="AR5560" s="51"/>
      <c r="AS5560" s="42" t="s">
        <v>139</v>
      </c>
    </row>
    <row r="5561" spans="1:45" s="520" customFormat="1" ht="12" customHeight="1">
      <c r="A5561" s="747">
        <v>16</v>
      </c>
      <c r="B5561" s="523" t="s">
        <v>329</v>
      </c>
      <c r="C5561" s="748"/>
      <c r="D5561" s="749" t="s">
        <v>1913</v>
      </c>
      <c r="E5561" s="750">
        <f ca="1">IF(AND($A5561=0,$A$1="DIF"),0, ROUND(ROUND(($R5566*$S$2+($T5566*$T$2))/A5561,2)*$C$2,2))</f>
        <v>17.34</v>
      </c>
      <c r="F5561" s="751">
        <f ca="1">ROUND($A5561*$E5561,2)</f>
        <v>277.44</v>
      </c>
      <c r="G5561" s="752" t="s">
        <v>142</v>
      </c>
      <c r="H5561" s="753"/>
      <c r="I5561" s="754"/>
      <c r="J5561" s="753"/>
      <c r="K5561" s="753" t="s">
        <v>3</v>
      </c>
      <c r="L5561" s="755" t="s">
        <v>143</v>
      </c>
      <c r="M5561" s="755"/>
      <c r="N5561" s="755"/>
      <c r="O5561" s="755"/>
      <c r="P5561" s="755"/>
      <c r="Q5561" s="51"/>
      <c r="T5561" s="756" t="str">
        <f ca="1">IF(AND($R5566=0,$T5566=0),"0.00","mu :" &amp; ROUND($F5561/$C$2/($R5566+$T5566*$D$9),2))</f>
        <v>mu :1.23</v>
      </c>
      <c r="W5561" s="524"/>
      <c r="AG5561" s="481">
        <f ca="1">IF($E5561=0,0,ROUND($R5566*$S$2*$C$2/$A5561,2))</f>
        <v>1.45</v>
      </c>
      <c r="AH5561" s="481">
        <f ca="1">$AG5561*$A5561</f>
        <v>23.2</v>
      </c>
      <c r="AI5561" s="525">
        <f ca="1">$E5561-$AG5561</f>
        <v>15.89</v>
      </c>
      <c r="AJ5561" s="525">
        <f ca="1">$A5561*$AI5561</f>
        <v>254.24</v>
      </c>
      <c r="AK5561" s="526">
        <f ca="1">ROUND(($AG5561+$AI5561)*$A5561,2)</f>
        <v>277.44</v>
      </c>
      <c r="AM5561" s="527">
        <f ca="1">ROUND(R5566,2)</f>
        <v>18.88</v>
      </c>
      <c r="AN5561" s="528">
        <f ca="1">ROUND(T5566,2)</f>
        <v>7.52</v>
      </c>
      <c r="AO5561" s="529">
        <f ca="1">ROUND(AM5561+AN5561,2)*A5561</f>
        <v>422.4</v>
      </c>
      <c r="AR5561" s="747">
        <v>16</v>
      </c>
      <c r="AS5561" s="751">
        <v>309.92</v>
      </c>
    </row>
    <row r="5562" spans="1:45" s="520" customFormat="1" ht="13.2">
      <c r="A5562" s="748"/>
      <c r="B5562"/>
      <c r="C5562" s="748"/>
      <c r="D5562" s="749" t="s">
        <v>899</v>
      </c>
      <c r="F5562" s="753"/>
      <c r="G5562" s="3"/>
      <c r="H5562" s="753"/>
      <c r="I5562" s="754"/>
      <c r="J5562" s="753"/>
      <c r="K5562" s="753" t="s">
        <v>144</v>
      </c>
      <c r="L5562" s="753"/>
      <c r="M5562" s="753"/>
      <c r="N5562" s="753"/>
      <c r="O5562" s="753"/>
      <c r="P5562" s="753"/>
      <c r="Q5562" s="51"/>
      <c r="R5562" s="530"/>
      <c r="S5562" s="757"/>
      <c r="T5562" s="753"/>
      <c r="AR5562" s="748"/>
      <c r="AS5562" s="753"/>
    </row>
    <row r="5563" spans="1:45" s="886" customFormat="1" ht="13.2">
      <c r="A5563"/>
      <c r="B5563" s="910"/>
      <c r="C5563" s="910" t="s">
        <v>2597</v>
      </c>
      <c r="D5563" s="910" t="str">
        <f ca="1">CELL("Address",Elec_Rates!D$586)</f>
        <v>[E25_0062_Quintano_Foods_Elec_ELV_As_Awarded.xlsx]Elec_Rates!$D$586</v>
      </c>
      <c r="E5563" s="911"/>
      <c r="F5563" s="911"/>
      <c r="G5563" s="912" t="s">
        <v>2598</v>
      </c>
      <c r="H5563" s="912"/>
      <c r="I5563" s="912"/>
      <c r="J5563" s="912"/>
      <c r="K5563" s="913"/>
      <c r="L5563" s="911"/>
      <c r="M5563" s="911"/>
      <c r="N5563" s="911"/>
      <c r="O5563" s="914"/>
      <c r="P5563" s="911"/>
      <c r="Q5563" s="915"/>
      <c r="R5563" s="916"/>
      <c r="S5563" s="915"/>
      <c r="T5563" s="917"/>
      <c r="U5563" s="918"/>
      <c r="AR5563"/>
      <c r="AS5563" s="911"/>
    </row>
    <row r="5564" spans="1:45" s="886" customFormat="1" ht="11.4">
      <c r="A5564" s="919">
        <v>16</v>
      </c>
      <c r="B5564" s="920">
        <v>1</v>
      </c>
      <c r="C5564" s="920">
        <f>$A5564*$B5564</f>
        <v>16</v>
      </c>
      <c r="D5564" s="921" t="str">
        <f>Elec_Rates!$D$586</f>
        <v>055# Install only Light fitting Type D1</v>
      </c>
      <c r="E5564" s="921"/>
      <c r="F5564" s="921" t="s">
        <v>2599</v>
      </c>
      <c r="G5564" s="922" t="s">
        <v>2600</v>
      </c>
      <c r="H5564" s="922"/>
      <c r="I5564" s="922"/>
      <c r="J5564" s="922"/>
      <c r="K5564" s="923"/>
      <c r="L5564" s="918"/>
      <c r="M5564" s="918"/>
      <c r="N5564" s="918"/>
      <c r="O5564" s="924"/>
      <c r="P5564" s="921"/>
      <c r="Q5564" s="925">
        <f ca="1">$B5564*Elec_Rates!$R$586</f>
        <v>1.18</v>
      </c>
      <c r="R5564" s="916">
        <f ca="1">$A5564*Q5564</f>
        <v>18.88</v>
      </c>
      <c r="S5564" s="925">
        <f ca="1">$B5564*Elec_Rates!$T$586</f>
        <v>0.47</v>
      </c>
      <c r="T5564" s="917">
        <f ca="1">$A5564*S5564</f>
        <v>7.52</v>
      </c>
      <c r="U5564" s="926"/>
      <c r="AR5564" s="919">
        <v>16</v>
      </c>
      <c r="AS5564" s="921" t="s">
        <v>2599</v>
      </c>
    </row>
    <row r="5565" spans="1:45" s="520" customFormat="1" ht="12">
      <c r="A5565" s="758"/>
      <c r="B5565" s="758"/>
      <c r="C5565" s="758"/>
      <c r="D5565" s="758"/>
      <c r="E5565" s="758"/>
      <c r="F5565" s="753"/>
      <c r="G5565" s="758"/>
      <c r="H5565" s="758"/>
      <c r="I5565" s="519"/>
      <c r="J5565" s="758"/>
      <c r="K5565" s="758"/>
      <c r="L5565" s="758"/>
      <c r="M5565" s="758"/>
      <c r="N5565" s="758"/>
      <c r="O5565" s="758"/>
      <c r="P5565" s="758"/>
      <c r="Q5565" s="519"/>
      <c r="R5565" s="759">
        <f t="shared" ref="R5565" si="298">$A5565*Q5565</f>
        <v>0</v>
      </c>
      <c r="S5565" s="519"/>
      <c r="T5565" s="760">
        <f t="shared" ref="T5565" si="299">$A5565*S5565*$T$1</f>
        <v>0</v>
      </c>
      <c r="AR5565" s="758"/>
      <c r="AS5565" s="753"/>
    </row>
    <row r="5566" spans="1:45" s="520" customFormat="1" ht="12.6" thickBot="1">
      <c r="A5566" s="761" t="s">
        <v>145</v>
      </c>
      <c r="B5566" s="762">
        <f>(R5565+T5565)</f>
        <v>0</v>
      </c>
      <c r="C5566" s="763"/>
      <c r="D5566" s="763"/>
      <c r="E5566" s="763"/>
      <c r="F5566" s="764"/>
      <c r="G5566" s="763" t="s">
        <v>146</v>
      </c>
      <c r="H5566" s="763"/>
      <c r="I5566" s="765"/>
      <c r="J5566" s="763"/>
      <c r="K5566" s="763" t="s">
        <v>3</v>
      </c>
      <c r="L5566" s="766" t="s">
        <v>143</v>
      </c>
      <c r="M5566" s="766"/>
      <c r="N5566" s="766"/>
      <c r="O5566" s="766"/>
      <c r="P5566" s="766"/>
      <c r="Q5566" s="767"/>
      <c r="R5566" s="768">
        <f ca="1">SUM(R5562:R5565)</f>
        <v>18.88</v>
      </c>
      <c r="S5566" s="763"/>
      <c r="T5566" s="768">
        <f ca="1">SUM(T5562:T5565)</f>
        <v>7.52</v>
      </c>
      <c r="U5566" s="531"/>
      <c r="V5566" s="531"/>
      <c r="W5566" s="531"/>
      <c r="X5566" s="531"/>
      <c r="Y5566" s="531"/>
      <c r="Z5566" s="531"/>
      <c r="AA5566" s="531"/>
      <c r="AB5566" s="531"/>
      <c r="AC5566" s="531"/>
      <c r="AD5566" s="531"/>
      <c r="AE5566" s="531"/>
      <c r="AF5566" s="531"/>
      <c r="AG5566" s="531"/>
      <c r="AH5566" s="531"/>
      <c r="AI5566" s="531"/>
      <c r="AJ5566" s="531"/>
      <c r="AK5566" s="531"/>
      <c r="AL5566" s="531"/>
      <c r="AM5566" s="531"/>
      <c r="AN5566" s="531"/>
      <c r="AO5566" s="531"/>
      <c r="AR5566" s="761" t="s">
        <v>145</v>
      </c>
      <c r="AS5566" s="764"/>
    </row>
    <row r="5567" spans="1:45" s="520" customFormat="1" ht="12" thickTop="1">
      <c r="A5567" s="48" t="s">
        <v>148</v>
      </c>
      <c r="D5567" s="13"/>
      <c r="E5567" s="42"/>
      <c r="O5567" s="771"/>
      <c r="AR5567" s="48" t="s">
        <v>148</v>
      </c>
    </row>
    <row r="5568" spans="1:45" s="520" customFormat="1" ht="13.2">
      <c r="B5568" s="3"/>
      <c r="O5568" s="771"/>
    </row>
    <row r="5569" spans="1:45" s="520" customFormat="1" ht="12">
      <c r="B5569" s="772">
        <f ca="1">$F5569/$C$2-($R5569*$S$2+$T5569*$T$2)</f>
        <v>-0.23537965121067828</v>
      </c>
      <c r="D5569" s="773" t="s">
        <v>3638</v>
      </c>
      <c r="E5569" s="774"/>
      <c r="F5569" s="775">
        <f ca="1">SUMIF($L5158:$L5567,"ITEM",F5158:F5567)</f>
        <v>19160.93</v>
      </c>
      <c r="G5569" s="758"/>
      <c r="H5569" s="758"/>
      <c r="I5569" s="519"/>
      <c r="J5569" s="758"/>
      <c r="K5569" s="758"/>
      <c r="L5569" s="755" t="s">
        <v>157</v>
      </c>
      <c r="M5569" s="755"/>
      <c r="N5569" s="755"/>
      <c r="O5569" s="755"/>
      <c r="P5569" s="755"/>
      <c r="R5569" s="775">
        <f ca="1">SUMIF($L5158:$L5567,"ITEM",R5158:R5567)</f>
        <v>3502.6700000000014</v>
      </c>
      <c r="S5569" s="776"/>
      <c r="T5569" s="775">
        <f ca="1">SUMIF($L5158:$L5567,"ITEM",T5158:T5567)</f>
        <v>439.13000000000022</v>
      </c>
      <c r="AS5569" s="775">
        <v>20985.240000000005</v>
      </c>
    </row>
    <row r="5570" spans="1:45" s="520" customFormat="1" ht="13.2">
      <c r="A5570" s="51"/>
      <c r="B5570" s="49" t="s">
        <v>1064</v>
      </c>
      <c r="C5570" s="51"/>
      <c r="D5570" s="3"/>
      <c r="F5570" s="777" t="s">
        <v>158</v>
      </c>
      <c r="G5570" s="758"/>
      <c r="H5570" s="758"/>
      <c r="I5570" s="519"/>
      <c r="J5570" s="758"/>
      <c r="K5570" s="758"/>
      <c r="L5570" s="758"/>
      <c r="M5570" s="758"/>
      <c r="N5570" s="758"/>
      <c r="O5570" s="758"/>
      <c r="P5570" s="758"/>
      <c r="Q5570" s="778"/>
      <c r="R5570" s="777" t="s">
        <v>159</v>
      </c>
      <c r="S5570" s="38"/>
      <c r="T5570" s="777" t="s">
        <v>160</v>
      </c>
      <c r="AR5570" s="51"/>
      <c r="AS5570" s="777" t="s">
        <v>158</v>
      </c>
    </row>
    <row r="5571" spans="1:45" s="520" customFormat="1" ht="13.2">
      <c r="A5571" s="758"/>
      <c r="B5571" s="3"/>
      <c r="C5571" s="758"/>
      <c r="D5571" s="3"/>
      <c r="E5571" s="3"/>
      <c r="G5571" s="3"/>
      <c r="H5571" s="3"/>
      <c r="I5571" s="3"/>
      <c r="J5571" s="3"/>
      <c r="K5571" s="3"/>
      <c r="L5571" s="3"/>
      <c r="M5571" s="3"/>
      <c r="N5571" s="3"/>
      <c r="O5571" s="107"/>
      <c r="P5571" s="3"/>
      <c r="Q5571" s="3"/>
      <c r="R5571" s="3"/>
      <c r="S5571" s="3"/>
      <c r="T5571" s="3"/>
      <c r="AR5571" s="758"/>
    </row>
    <row r="5572" spans="1:45" s="520" customFormat="1" ht="12" thickBot="1">
      <c r="A5572" s="531"/>
      <c r="B5572" s="763"/>
      <c r="C5572" s="763"/>
      <c r="D5572" s="531"/>
      <c r="E5572" s="39"/>
      <c r="F5572" s="779"/>
      <c r="G5572" s="763"/>
      <c r="H5572" s="763"/>
      <c r="I5572" s="765"/>
      <c r="J5572" s="763"/>
      <c r="K5572" s="763"/>
      <c r="L5572" s="766"/>
      <c r="M5572" s="766"/>
      <c r="N5572" s="766"/>
      <c r="O5572" s="766"/>
      <c r="P5572" s="766"/>
      <c r="Q5572" s="767"/>
      <c r="R5572" s="779"/>
      <c r="S5572" s="780"/>
      <c r="T5572" s="779"/>
      <c r="U5572" s="531"/>
      <c r="V5572" s="531"/>
      <c r="W5572" s="531"/>
      <c r="X5572" s="531"/>
      <c r="Y5572" s="531"/>
      <c r="Z5572" s="531"/>
      <c r="AA5572" s="531"/>
      <c r="AB5572" s="531"/>
      <c r="AC5572" s="531"/>
      <c r="AD5572" s="531"/>
      <c r="AE5572" s="531"/>
      <c r="AF5572" s="531"/>
      <c r="AG5572" s="531"/>
      <c r="AH5572" s="531"/>
      <c r="AI5572" s="531"/>
      <c r="AJ5572" s="531"/>
      <c r="AK5572" s="531"/>
      <c r="AR5572" s="531"/>
      <c r="AS5572" s="779"/>
    </row>
    <row r="5573" spans="1:45" s="520" customFormat="1" thickTop="1">
      <c r="A5573" s="48" t="s">
        <v>148</v>
      </c>
      <c r="B5573" s="3"/>
      <c r="C5573" s="51"/>
      <c r="D5573" s="51"/>
      <c r="E5573" s="51"/>
      <c r="F5573" s="51"/>
      <c r="G5573" s="51"/>
      <c r="H5573" s="51"/>
      <c r="I5573" s="51"/>
      <c r="J5573" s="51"/>
      <c r="K5573" s="51"/>
      <c r="L5573" s="51"/>
      <c r="M5573" s="51"/>
      <c r="N5573" s="51"/>
      <c r="O5573" s="52"/>
      <c r="P5573" s="51"/>
      <c r="Q5573" s="51"/>
      <c r="R5573" s="51"/>
      <c r="S5573" s="51"/>
      <c r="T5573" s="51"/>
      <c r="AR5573" s="48" t="s">
        <v>148</v>
      </c>
      <c r="AS5573" s="51"/>
    </row>
    <row r="5574" spans="1:45" s="520" customFormat="1" ht="13.2">
      <c r="A5574" s="51"/>
      <c r="B5574" s="3"/>
      <c r="C5574" s="3"/>
      <c r="E5574" s="3"/>
      <c r="F5574" s="3"/>
      <c r="G5574" s="3"/>
      <c r="H5574" s="3"/>
      <c r="I5574" s="3"/>
      <c r="J5574" s="3"/>
      <c r="K5574" s="3"/>
      <c r="L5574" s="3"/>
      <c r="M5574" s="3"/>
      <c r="N5574" s="3"/>
      <c r="O5574" s="107"/>
      <c r="P5574" s="3"/>
      <c r="Q5574" s="3"/>
      <c r="R5574" s="3"/>
      <c r="S5574" s="3"/>
      <c r="T5574" s="3"/>
      <c r="AR5574" s="51"/>
      <c r="AS5574" s="3"/>
    </row>
    <row r="5575" spans="1:45" s="520" customFormat="1" ht="12">
      <c r="A5575" s="51"/>
      <c r="B5575" s="772">
        <f ca="1">$F5575/$C$2-($R5575*$S$2+$T5575*$T$2)</f>
        <v>-0.23537965121067828</v>
      </c>
      <c r="C5575" s="51"/>
      <c r="D5575" s="121" t="s">
        <v>4062</v>
      </c>
      <c r="E5575" s="774"/>
      <c r="F5575" s="782">
        <f ca="1">SUMIF($L5164:$L5573,"PAGE",F5164:F5573)</f>
        <v>19160.93</v>
      </c>
      <c r="G5575" s="758"/>
      <c r="H5575" s="758"/>
      <c r="I5575" s="519"/>
      <c r="J5575" s="758"/>
      <c r="K5575" s="758"/>
      <c r="L5575" s="121" t="s">
        <v>1075</v>
      </c>
      <c r="M5575" s="121"/>
      <c r="N5575" s="121"/>
      <c r="O5575" s="122"/>
      <c r="P5575" s="121"/>
      <c r="Q5575" s="51"/>
      <c r="R5575" s="782">
        <f ca="1">SUMIF($L5164:$L5573,"PAGE",R5164:R5573)</f>
        <v>3502.6700000000014</v>
      </c>
      <c r="S5575" s="51"/>
      <c r="T5575" s="782">
        <f ca="1">SUMIF($L5164:$L5573,"PAGE",T5164:T5573)</f>
        <v>439.13000000000022</v>
      </c>
      <c r="AR5575" s="51"/>
      <c r="AS5575" s="782">
        <v>20985.240000000005</v>
      </c>
    </row>
    <row r="5576" spans="1:45" s="520" customFormat="1" ht="12">
      <c r="A5576" s="51"/>
      <c r="B5576" s="49" t="s">
        <v>1064</v>
      </c>
      <c r="C5576" s="51"/>
      <c r="D5576" s="781"/>
      <c r="F5576" s="783" t="s">
        <v>1076</v>
      </c>
      <c r="G5576" s="758"/>
      <c r="H5576" s="758"/>
      <c r="I5576" s="519"/>
      <c r="J5576" s="758"/>
      <c r="K5576" s="758"/>
      <c r="L5576" s="51"/>
      <c r="M5576" s="51"/>
      <c r="N5576" s="51"/>
      <c r="O5576" s="52"/>
      <c r="P5576" s="51"/>
      <c r="Q5576" s="51"/>
      <c r="R5576" s="783" t="s">
        <v>1077</v>
      </c>
      <c r="S5576" s="38"/>
      <c r="T5576" s="783" t="s">
        <v>1078</v>
      </c>
      <c r="AR5576" s="51"/>
      <c r="AS5576" s="783" t="s">
        <v>1076</v>
      </c>
    </row>
    <row r="5577" spans="1:45" s="520" customFormat="1" ht="11.4">
      <c r="O5577" s="771"/>
    </row>
    <row r="5578" spans="1:45" s="520" customFormat="1" ht="12" thickBot="1">
      <c r="A5578" s="763"/>
      <c r="B5578" s="763"/>
      <c r="C5578" s="763"/>
      <c r="D5578" s="763"/>
      <c r="E5578" s="763"/>
      <c r="F5578" s="39"/>
      <c r="G5578" s="531"/>
      <c r="H5578" s="531"/>
      <c r="I5578" s="531"/>
      <c r="J5578" s="531"/>
      <c r="K5578" s="531"/>
      <c r="L5578" s="763"/>
      <c r="M5578" s="763"/>
      <c r="N5578" s="763"/>
      <c r="O5578" s="763"/>
      <c r="P5578" s="763"/>
      <c r="Q5578" s="767"/>
      <c r="R5578" s="39"/>
      <c r="S5578" s="39"/>
      <c r="T5578" s="39"/>
      <c r="U5578" s="531"/>
      <c r="V5578" s="531"/>
      <c r="W5578" s="531"/>
      <c r="X5578" s="531"/>
      <c r="Y5578" s="531"/>
      <c r="Z5578" s="531"/>
      <c r="AA5578" s="531"/>
      <c r="AB5578" s="531"/>
      <c r="AC5578" s="531"/>
      <c r="AD5578" s="531"/>
      <c r="AE5578" s="531"/>
      <c r="AF5578" s="531"/>
      <c r="AG5578" s="531"/>
      <c r="AH5578" s="531"/>
      <c r="AI5578" s="531"/>
      <c r="AJ5578" s="531"/>
      <c r="AK5578" s="531"/>
      <c r="AR5578" s="763"/>
      <c r="AS5578" s="39"/>
    </row>
    <row r="5579" spans="1:45" s="520" customFormat="1" thickTop="1">
      <c r="A5579" s="51"/>
      <c r="B5579" s="51"/>
      <c r="C5579" s="3"/>
      <c r="D5579" s="3"/>
      <c r="E5579" s="51"/>
      <c r="F5579" s="51"/>
      <c r="G5579" s="51"/>
      <c r="H5579" s="51"/>
      <c r="I5579" s="51"/>
      <c r="J5579" s="51"/>
      <c r="K5579" s="51" t="s">
        <v>134</v>
      </c>
      <c r="L5579" s="51"/>
      <c r="M5579" s="51"/>
      <c r="N5579" s="51"/>
      <c r="O5579" s="52"/>
      <c r="P5579" s="51"/>
      <c r="Q5579" s="51"/>
      <c r="R5579" s="51"/>
      <c r="S5579" s="51"/>
      <c r="T5579" s="51"/>
      <c r="AR5579" s="51"/>
      <c r="AS5579" s="51"/>
    </row>
    <row r="5580" spans="1:45" s="520" customFormat="1" ht="12">
      <c r="A5580" s="51"/>
      <c r="B5580" s="51"/>
      <c r="C5580" s="51" t="s">
        <v>135</v>
      </c>
      <c r="D5580" s="37" t="s">
        <v>1915</v>
      </c>
      <c r="E5580" s="51"/>
      <c r="F5580" s="51"/>
      <c r="G5580" s="51"/>
      <c r="H5580" s="51"/>
      <c r="I5580" s="51"/>
      <c r="J5580" s="51"/>
      <c r="K5580" s="51"/>
      <c r="L5580" s="51"/>
      <c r="M5580" s="51"/>
      <c r="N5580" s="51"/>
      <c r="O5580" s="52"/>
      <c r="P5580" s="51"/>
      <c r="Q5580" s="51"/>
      <c r="R5580" s="51"/>
      <c r="S5580" s="51"/>
      <c r="T5580" s="51"/>
      <c r="AR5580" s="51"/>
      <c r="AS5580" s="51"/>
    </row>
    <row r="5581" spans="1:45" s="520" customFormat="1" ht="12">
      <c r="A5581" s="51"/>
      <c r="B5581" s="51"/>
      <c r="C5581" s="51"/>
      <c r="D5581" s="37" t="s">
        <v>908</v>
      </c>
      <c r="E5581" s="51"/>
      <c r="F5581" s="51"/>
      <c r="G5581" s="51"/>
      <c r="H5581" s="51"/>
      <c r="I5581" s="51"/>
      <c r="J5581" s="51"/>
      <c r="K5581" s="51"/>
      <c r="L5581" s="51"/>
      <c r="M5581" s="51"/>
      <c r="N5581" s="51"/>
      <c r="O5581" s="52"/>
      <c r="P5581" s="51"/>
      <c r="Q5581" s="51"/>
      <c r="R5581" s="51"/>
      <c r="S5581" s="38"/>
      <c r="T5581" s="38"/>
      <c r="AR5581" s="51"/>
      <c r="AS5581" s="51"/>
    </row>
    <row r="5582" spans="1:45" s="3" customFormat="1" thickBot="1">
      <c r="A5582" s="531"/>
      <c r="O5582" s="107"/>
      <c r="AR5582" s="531"/>
    </row>
    <row r="5583" spans="1:45" s="520" customFormat="1" thickTop="1">
      <c r="A5583" s="51"/>
      <c r="B5583" s="51"/>
      <c r="C5583" s="3"/>
      <c r="D5583" s="3"/>
      <c r="E5583" s="51"/>
      <c r="F5583" s="51"/>
      <c r="G5583" s="51"/>
      <c r="H5583" s="51"/>
      <c r="I5583" s="51"/>
      <c r="J5583" s="51"/>
      <c r="K5583" s="51" t="s">
        <v>134</v>
      </c>
      <c r="L5583" s="51"/>
      <c r="M5583" s="51"/>
      <c r="N5583" s="51"/>
      <c r="O5583" s="52"/>
      <c r="P5583" s="51"/>
      <c r="Q5583" s="51"/>
      <c r="R5583" s="51"/>
      <c r="S5583" s="51"/>
      <c r="T5583" s="51"/>
      <c r="AR5583" s="51"/>
      <c r="AS5583" s="51"/>
    </row>
    <row r="5584" spans="1:45" s="520" customFormat="1" ht="12">
      <c r="A5584" s="51"/>
      <c r="B5584" s="51"/>
      <c r="C5584" s="51" t="s">
        <v>135</v>
      </c>
      <c r="D5584" s="37"/>
      <c r="E5584" s="51"/>
      <c r="F5584" s="51"/>
      <c r="G5584" s="51"/>
      <c r="H5584" s="51"/>
      <c r="I5584" s="51"/>
      <c r="J5584" s="51"/>
      <c r="K5584" s="51"/>
      <c r="L5584" s="51"/>
      <c r="M5584" s="51"/>
      <c r="N5584" s="51"/>
      <c r="O5584" s="52"/>
      <c r="P5584" s="51"/>
      <c r="Q5584" s="51"/>
      <c r="R5584" s="51"/>
      <c r="S5584" s="51"/>
      <c r="T5584" s="51"/>
      <c r="AR5584" s="51"/>
      <c r="AS5584" s="51"/>
    </row>
    <row r="5585" spans="1:45" s="520" customFormat="1" ht="39.9" customHeight="1">
      <c r="A5585" s="51"/>
      <c r="B5585" s="51"/>
      <c r="C5585" s="51"/>
      <c r="D5585" s="1453" t="s">
        <v>909</v>
      </c>
      <c r="E5585" s="1452"/>
      <c r="F5585" s="1452"/>
      <c r="G5585" s="1452"/>
      <c r="H5585" s="1452"/>
      <c r="I5585" s="1452"/>
      <c r="J5585" s="1452"/>
      <c r="K5585" s="1452"/>
      <c r="L5585" s="1452"/>
      <c r="M5585" s="1452"/>
      <c r="N5585" s="1452"/>
      <c r="O5585" s="1452"/>
      <c r="P5585" s="1452"/>
      <c r="Q5585" s="1452"/>
      <c r="R5585" s="1452"/>
      <c r="S5585" s="1452"/>
      <c r="T5585" s="1452"/>
      <c r="AR5585" s="51"/>
    </row>
    <row r="5586" spans="1:45" s="3" customFormat="1" thickBot="1">
      <c r="A5586" s="531"/>
      <c r="O5586" s="107"/>
      <c r="AR5586" s="531"/>
    </row>
    <row r="5587" spans="1:45" s="520" customFormat="1" thickTop="1">
      <c r="A5587" s="51"/>
      <c r="B5587" s="51"/>
      <c r="C5587" s="3"/>
      <c r="D5587" s="3"/>
      <c r="E5587" s="51"/>
      <c r="F5587" s="51"/>
      <c r="G5587" s="51"/>
      <c r="H5587" s="51"/>
      <c r="I5587" s="51"/>
      <c r="J5587" s="51"/>
      <c r="K5587" s="51" t="s">
        <v>134</v>
      </c>
      <c r="L5587" s="51"/>
      <c r="M5587" s="51"/>
      <c r="N5587" s="51"/>
      <c r="O5587" s="52"/>
      <c r="P5587" s="51"/>
      <c r="Q5587" s="51"/>
      <c r="R5587" s="51"/>
      <c r="S5587" s="51"/>
      <c r="T5587" s="51"/>
      <c r="AR5587" s="51"/>
      <c r="AS5587" s="51"/>
    </row>
    <row r="5588" spans="1:45" s="520" customFormat="1" ht="12">
      <c r="A5588" s="51"/>
      <c r="B5588" s="51"/>
      <c r="C5588" s="51" t="s">
        <v>135</v>
      </c>
      <c r="D5588" s="37"/>
      <c r="E5588" s="51"/>
      <c r="F5588" s="51"/>
      <c r="G5588" s="51"/>
      <c r="H5588" s="51"/>
      <c r="I5588" s="51"/>
      <c r="J5588" s="51"/>
      <c r="K5588" s="51"/>
      <c r="L5588" s="51"/>
      <c r="M5588" s="51"/>
      <c r="N5588" s="51"/>
      <c r="O5588" s="52"/>
      <c r="P5588" s="51"/>
      <c r="Q5588" s="51"/>
      <c r="R5588" s="51"/>
      <c r="S5588" s="51"/>
      <c r="T5588" s="51"/>
      <c r="AR5588" s="51"/>
      <c r="AS5588" s="51"/>
    </row>
    <row r="5589" spans="1:45" s="520" customFormat="1" ht="12">
      <c r="A5589" s="51"/>
      <c r="B5589" s="51"/>
      <c r="C5589" s="51"/>
      <c r="D5589" s="37" t="s">
        <v>343</v>
      </c>
      <c r="E5589" s="51"/>
      <c r="F5589" s="51"/>
      <c r="G5589" s="51"/>
      <c r="H5589" s="51"/>
      <c r="I5589" s="51"/>
      <c r="J5589" s="51"/>
      <c r="K5589" s="51"/>
      <c r="L5589" s="51"/>
      <c r="M5589" s="51"/>
      <c r="N5589" s="51"/>
      <c r="O5589" s="52"/>
      <c r="P5589" s="51"/>
      <c r="Q5589" s="51"/>
      <c r="R5589" s="51"/>
      <c r="S5589" s="38"/>
      <c r="T5589" s="38"/>
      <c r="AR5589" s="51"/>
      <c r="AS5589" s="51"/>
    </row>
    <row r="5590" spans="1:45" s="3" customFormat="1" thickBot="1">
      <c r="A5590" s="531"/>
      <c r="O5590" s="107"/>
      <c r="AR5590" s="531"/>
    </row>
    <row r="5591" spans="1:45" s="520" customFormat="1" thickTop="1">
      <c r="A5591" s="51"/>
      <c r="B5591" s="51"/>
      <c r="C5591" s="3"/>
      <c r="D5591" s="3"/>
      <c r="E5591" s="51"/>
      <c r="F5591" s="51"/>
      <c r="G5591" s="51"/>
      <c r="H5591" s="51"/>
      <c r="I5591" s="51"/>
      <c r="J5591" s="51"/>
      <c r="K5591" s="51" t="s">
        <v>134</v>
      </c>
      <c r="L5591" s="51"/>
      <c r="M5591" s="51"/>
      <c r="N5591" s="51"/>
      <c r="O5591" s="52"/>
      <c r="P5591" s="51"/>
      <c r="Q5591" s="51"/>
      <c r="R5591" s="51"/>
      <c r="S5591" s="51"/>
      <c r="T5591" s="51"/>
      <c r="AR5591" s="51"/>
      <c r="AS5591" s="51"/>
    </row>
    <row r="5592" spans="1:45" s="520" customFormat="1" ht="12">
      <c r="A5592" s="51"/>
      <c r="B5592" s="51"/>
      <c r="C5592" s="51" t="s">
        <v>135</v>
      </c>
      <c r="D5592" s="37"/>
      <c r="E5592" s="51"/>
      <c r="F5592" s="51"/>
      <c r="G5592" s="51"/>
      <c r="H5592" s="51"/>
      <c r="I5592" s="51"/>
      <c r="J5592" s="51"/>
      <c r="K5592" s="51"/>
      <c r="L5592" s="51"/>
      <c r="M5592" s="51"/>
      <c r="N5592" s="51"/>
      <c r="O5592" s="52"/>
      <c r="P5592" s="51"/>
      <c r="Q5592" s="51"/>
      <c r="R5592" s="51"/>
      <c r="S5592" s="51"/>
      <c r="T5592" s="51"/>
      <c r="AR5592" s="51"/>
      <c r="AS5592" s="51"/>
    </row>
    <row r="5593" spans="1:45" s="520" customFormat="1" ht="12">
      <c r="A5593" s="51"/>
      <c r="B5593" s="51"/>
      <c r="C5593" s="51"/>
      <c r="D5593" s="37" t="s">
        <v>910</v>
      </c>
      <c r="E5593" s="51"/>
      <c r="F5593" s="51"/>
      <c r="G5593" s="51"/>
      <c r="H5593" s="51"/>
      <c r="I5593" s="51"/>
      <c r="J5593" s="51"/>
      <c r="K5593" s="51"/>
      <c r="L5593" s="51"/>
      <c r="M5593" s="51"/>
      <c r="N5593" s="51"/>
      <c r="O5593" s="52"/>
      <c r="P5593" s="51"/>
      <c r="Q5593" s="51"/>
      <c r="R5593" s="51"/>
      <c r="S5593" s="38"/>
      <c r="T5593" s="38"/>
      <c r="AR5593" s="51"/>
      <c r="AS5593" s="51"/>
    </row>
    <row r="5594" spans="1:45" s="3" customFormat="1" thickBot="1">
      <c r="A5594" s="531"/>
      <c r="O5594" s="107"/>
      <c r="AR5594" s="531"/>
    </row>
    <row r="5595" spans="1:45" s="520" customFormat="1" ht="12" thickTop="1">
      <c r="A5595" s="51"/>
      <c r="B5595" s="41"/>
      <c r="C5595" s="51"/>
      <c r="E5595" s="42" t="s">
        <v>138</v>
      </c>
      <c r="F5595" s="42" t="s">
        <v>139</v>
      </c>
      <c r="G5595" s="51"/>
      <c r="H5595" s="51"/>
      <c r="I5595" s="51"/>
      <c r="J5595" s="51"/>
      <c r="K5595" s="51" t="s">
        <v>140</v>
      </c>
      <c r="L5595" s="51"/>
      <c r="M5595" s="51"/>
      <c r="N5595" s="51"/>
      <c r="O5595" s="52"/>
      <c r="P5595" s="51"/>
      <c r="Q5595" s="51"/>
      <c r="R5595" s="51"/>
      <c r="S5595" s="51"/>
      <c r="T5595" s="41"/>
      <c r="AG5595" s="521" t="s">
        <v>268</v>
      </c>
      <c r="AH5595" s="521" t="s">
        <v>269</v>
      </c>
      <c r="AI5595" s="521" t="s">
        <v>270</v>
      </c>
      <c r="AJ5595" s="521" t="s">
        <v>271</v>
      </c>
      <c r="AK5595" s="521" t="s">
        <v>272</v>
      </c>
      <c r="AM5595" s="745" t="s">
        <v>281</v>
      </c>
      <c r="AN5595" s="746" t="s">
        <v>282</v>
      </c>
      <c r="AO5595" s="522" t="s">
        <v>278</v>
      </c>
      <c r="AR5595" s="51"/>
      <c r="AS5595" s="42" t="s">
        <v>139</v>
      </c>
    </row>
    <row r="5596" spans="1:45" s="520" customFormat="1" ht="12" customHeight="1">
      <c r="A5596" s="747">
        <v>20</v>
      </c>
      <c r="B5596" s="523" t="s">
        <v>320</v>
      </c>
      <c r="C5596" s="748"/>
      <c r="D5596" s="749" t="s">
        <v>1917</v>
      </c>
      <c r="E5596" s="750">
        <f ca="1">IF(AND($A5596=0,$A$1="DIF"),0, ROUND(ROUND(($R5603*$S$2+($T5603*$T$2))/A5596,2)*$C$2,2))</f>
        <v>15.48</v>
      </c>
      <c r="F5596" s="751">
        <f ca="1">ROUND($A5596*$E5596,2)</f>
        <v>309.60000000000002</v>
      </c>
      <c r="G5596" s="752" t="s">
        <v>142</v>
      </c>
      <c r="H5596" s="753"/>
      <c r="I5596" s="754"/>
      <c r="J5596" s="753"/>
      <c r="K5596" s="753" t="s">
        <v>3</v>
      </c>
      <c r="L5596" s="755" t="s">
        <v>143</v>
      </c>
      <c r="M5596" s="755"/>
      <c r="N5596" s="755"/>
      <c r="O5596" s="755"/>
      <c r="P5596" s="755"/>
      <c r="Q5596" s="51"/>
      <c r="T5596" s="756" t="str">
        <f ca="1">IF(AND($R5603=0,$T5603=0),"0.00","mu :" &amp; ROUND($F5596/$C$2/($R5603+$T5603*$D$9),2))</f>
        <v>mu :1.23</v>
      </c>
      <c r="W5596" s="524"/>
      <c r="AG5596" s="481">
        <f ca="1">IF($E5596=0,0,ROUND($R5603*$S$2*$C$2/$A5596,2))</f>
        <v>7.03</v>
      </c>
      <c r="AH5596" s="481">
        <f ca="1">$AG5596*$A5596</f>
        <v>140.6</v>
      </c>
      <c r="AI5596" s="525">
        <f ca="1">$E5596-$AG5596</f>
        <v>8.4499999999999993</v>
      </c>
      <c r="AJ5596" s="525">
        <f ca="1">$A5596*$AI5596</f>
        <v>169</v>
      </c>
      <c r="AK5596" s="526">
        <f ca="1">ROUND(($AG5596+$AI5596)*$A5596,2)</f>
        <v>309.60000000000002</v>
      </c>
      <c r="AM5596" s="527">
        <f ca="1">ROUND(R5603,2)</f>
        <v>114.2</v>
      </c>
      <c r="AN5596" s="528">
        <f ca="1">ROUND(T5603,2)</f>
        <v>5</v>
      </c>
      <c r="AO5596" s="529">
        <f ca="1">ROUND(AM5596+AN5596,2)*A5596</f>
        <v>2384</v>
      </c>
      <c r="AR5596" s="747">
        <v>20</v>
      </c>
      <c r="AS5596" s="751">
        <v>330</v>
      </c>
    </row>
    <row r="5597" spans="1:45" s="520" customFormat="1" ht="13.2">
      <c r="A5597" s="748"/>
      <c r="B5597"/>
      <c r="C5597" s="748"/>
      <c r="D5597" s="749" t="s">
        <v>911</v>
      </c>
      <c r="F5597" s="753"/>
      <c r="G5597" s="3"/>
      <c r="H5597" s="753"/>
      <c r="I5597" s="754"/>
      <c r="J5597" s="753"/>
      <c r="K5597" s="753" t="s">
        <v>144</v>
      </c>
      <c r="L5597" s="753"/>
      <c r="M5597" s="753"/>
      <c r="N5597" s="753"/>
      <c r="O5597" s="753"/>
      <c r="P5597" s="753"/>
      <c r="Q5597" s="51"/>
      <c r="R5597" s="530"/>
      <c r="S5597" s="757"/>
      <c r="T5597" s="753"/>
      <c r="AR5597" s="748"/>
      <c r="AS5597" s="753"/>
    </row>
    <row r="5598" spans="1:45" s="886" customFormat="1" ht="13.2">
      <c r="A5598"/>
      <c r="B5598" s="910"/>
      <c r="C5598" s="910" t="s">
        <v>2597</v>
      </c>
      <c r="D5598" s="910" t="str">
        <f ca="1">CELL("Address",Elec_Rates!D$797)</f>
        <v>[E25_0062_Quintano_Foods_Elec_ELV_As_Awarded.xlsx]Elec_Rates!$D$797</v>
      </c>
      <c r="E5598" s="911"/>
      <c r="F5598" s="911"/>
      <c r="G5598" s="912" t="s">
        <v>2598</v>
      </c>
      <c r="H5598" s="912"/>
      <c r="I5598" s="912"/>
      <c r="J5598" s="912"/>
      <c r="K5598" s="913"/>
      <c r="L5598" s="911"/>
      <c r="M5598" s="911"/>
      <c r="N5598" s="911"/>
      <c r="O5598" s="914"/>
      <c r="P5598" s="911"/>
      <c r="Q5598" s="915"/>
      <c r="R5598" s="916"/>
      <c r="S5598" s="915"/>
      <c r="T5598" s="917"/>
      <c r="U5598" s="918"/>
      <c r="AR5598"/>
      <c r="AS5598" s="911"/>
    </row>
    <row r="5599" spans="1:45" s="886" customFormat="1" ht="11.4">
      <c r="A5599" s="919">
        <v>20</v>
      </c>
      <c r="B5599" s="920">
        <v>1</v>
      </c>
      <c r="C5599" s="920">
        <f>$A5599*$B5599</f>
        <v>20</v>
      </c>
      <c r="D5599" s="921" t="str">
        <f>Elec_Rates!$D$797</f>
        <v>076# 50mm Galvanised Steel Cable tray</v>
      </c>
      <c r="E5599" s="921"/>
      <c r="F5599" s="921" t="s">
        <v>2599</v>
      </c>
      <c r="G5599" s="922" t="s">
        <v>2601</v>
      </c>
      <c r="H5599" s="922"/>
      <c r="I5599" s="922"/>
      <c r="J5599" s="922"/>
      <c r="K5599" s="923"/>
      <c r="L5599" s="918"/>
      <c r="M5599" s="918"/>
      <c r="N5599" s="918"/>
      <c r="O5599" s="924"/>
      <c r="P5599" s="921"/>
      <c r="Q5599" s="925">
        <f ca="1">$B5599*Elec_Rates!$R$797</f>
        <v>3.34</v>
      </c>
      <c r="R5599" s="916">
        <f ca="1">$A5599*Q5599</f>
        <v>66.8</v>
      </c>
      <c r="S5599" s="925">
        <f ca="1">$B5599*Elec_Rates!$T$797</f>
        <v>0.16</v>
      </c>
      <c r="T5599" s="917">
        <f ca="1">$A5599*S5599</f>
        <v>3.2</v>
      </c>
      <c r="U5599" s="926"/>
      <c r="AR5599" s="919">
        <v>20</v>
      </c>
      <c r="AS5599" s="921" t="s">
        <v>2599</v>
      </c>
    </row>
    <row r="5600" spans="1:45" s="886" customFormat="1" ht="13.2">
      <c r="A5600"/>
      <c r="B5600" s="910"/>
      <c r="C5600" s="910" t="s">
        <v>2597</v>
      </c>
      <c r="D5600" s="910" t="str">
        <f ca="1">CELL("Address",Elec_Rates!D$907)</f>
        <v>[E25_0062_Quintano_Foods_Elec_ELV_As_Awarded.xlsx]Elec_Rates!$D$907</v>
      </c>
      <c r="E5600" s="911"/>
      <c r="F5600" s="911"/>
      <c r="G5600" s="912" t="s">
        <v>2598</v>
      </c>
      <c r="H5600" s="912"/>
      <c r="I5600" s="912"/>
      <c r="J5600" s="912"/>
      <c r="K5600" s="913"/>
      <c r="L5600" s="911"/>
      <c r="M5600" s="911"/>
      <c r="N5600" s="911"/>
      <c r="O5600" s="914"/>
      <c r="P5600" s="911"/>
      <c r="Q5600" s="915"/>
      <c r="R5600" s="916"/>
      <c r="S5600" s="915"/>
      <c r="T5600" s="917"/>
      <c r="U5600" s="918"/>
      <c r="AR5600"/>
      <c r="AS5600" s="911"/>
    </row>
    <row r="5601" spans="1:45" s="886" customFormat="1" ht="11.4">
      <c r="A5601" s="919">
        <v>20</v>
      </c>
      <c r="B5601" s="920">
        <v>1</v>
      </c>
      <c r="C5601" s="920">
        <f>$A5601*$B5601</f>
        <v>20</v>
      </c>
      <c r="D5601" s="921" t="str">
        <f>Elec_Rates!$D$907</f>
        <v>084# Bracket for 50-150mm cable tray/basket/trunking</v>
      </c>
      <c r="E5601" s="921"/>
      <c r="F5601" s="921" t="s">
        <v>2599</v>
      </c>
      <c r="G5601" s="922" t="s">
        <v>2600</v>
      </c>
      <c r="H5601" s="922"/>
      <c r="I5601" s="922"/>
      <c r="J5601" s="922"/>
      <c r="K5601" s="923"/>
      <c r="L5601" s="918"/>
      <c r="M5601" s="918"/>
      <c r="N5601" s="918"/>
      <c r="O5601" s="924"/>
      <c r="P5601" s="921"/>
      <c r="Q5601" s="925">
        <f ca="1">$B5601*Elec_Rates!$R$907</f>
        <v>2.37</v>
      </c>
      <c r="R5601" s="916">
        <f ca="1">$A5601*Q5601</f>
        <v>47.400000000000006</v>
      </c>
      <c r="S5601" s="925">
        <f ca="1">$B5601*Elec_Rates!$T$907</f>
        <v>0.09</v>
      </c>
      <c r="T5601" s="917">
        <f ca="1">$A5601*S5601</f>
        <v>1.7999999999999998</v>
      </c>
      <c r="U5601" s="926"/>
      <c r="AR5601" s="919">
        <v>20</v>
      </c>
      <c r="AS5601" s="921" t="s">
        <v>2599</v>
      </c>
    </row>
    <row r="5602" spans="1:45" s="520" customFormat="1" ht="12">
      <c r="A5602" s="758"/>
      <c r="B5602" s="758"/>
      <c r="C5602" s="758"/>
      <c r="D5602" s="758"/>
      <c r="E5602" s="758"/>
      <c r="F5602" s="753"/>
      <c r="G5602" s="758"/>
      <c r="H5602" s="758"/>
      <c r="I5602" s="519"/>
      <c r="J5602" s="758"/>
      <c r="K5602" s="758"/>
      <c r="L5602" s="758"/>
      <c r="M5602" s="758"/>
      <c r="N5602" s="758"/>
      <c r="O5602" s="758"/>
      <c r="P5602" s="758"/>
      <c r="Q5602" s="519"/>
      <c r="R5602" s="759">
        <f t="shared" ref="R5602" si="300">$A5602*Q5602</f>
        <v>0</v>
      </c>
      <c r="S5602" s="519"/>
      <c r="T5602" s="760">
        <f t="shared" ref="T5602" si="301">$A5602*S5602*$T$1</f>
        <v>0</v>
      </c>
      <c r="AR5602" s="758"/>
      <c r="AS5602" s="753"/>
    </row>
    <row r="5603" spans="1:45" s="520" customFormat="1" ht="12.6" thickBot="1">
      <c r="A5603" s="761" t="s">
        <v>145</v>
      </c>
      <c r="B5603" s="762">
        <f>(R5602+T5602)</f>
        <v>0</v>
      </c>
      <c r="C5603" s="763"/>
      <c r="D5603" s="763"/>
      <c r="E5603" s="763"/>
      <c r="F5603" s="764"/>
      <c r="G5603" s="763" t="s">
        <v>146</v>
      </c>
      <c r="H5603" s="763"/>
      <c r="I5603" s="765"/>
      <c r="J5603" s="763"/>
      <c r="K5603" s="763" t="s">
        <v>3</v>
      </c>
      <c r="L5603" s="766" t="s">
        <v>143</v>
      </c>
      <c r="M5603" s="766"/>
      <c r="N5603" s="766"/>
      <c r="O5603" s="766"/>
      <c r="P5603" s="766"/>
      <c r="Q5603" s="767"/>
      <c r="R5603" s="768">
        <f ca="1">SUM(R5597:R5602)</f>
        <v>114.2</v>
      </c>
      <c r="S5603" s="763"/>
      <c r="T5603" s="768">
        <f ca="1">SUM(T5597:T5602)</f>
        <v>5</v>
      </c>
      <c r="U5603" s="531"/>
      <c r="V5603" s="531"/>
      <c r="W5603" s="531"/>
      <c r="X5603" s="531"/>
      <c r="Y5603" s="531"/>
      <c r="Z5603" s="531"/>
      <c r="AA5603" s="531"/>
      <c r="AB5603" s="531"/>
      <c r="AC5603" s="531"/>
      <c r="AD5603" s="531"/>
      <c r="AE5603" s="531"/>
      <c r="AF5603" s="531"/>
      <c r="AG5603" s="531"/>
      <c r="AH5603" s="531"/>
      <c r="AI5603" s="531"/>
      <c r="AJ5603" s="531"/>
      <c r="AK5603" s="531"/>
      <c r="AL5603" s="531"/>
      <c r="AM5603" s="531"/>
      <c r="AN5603" s="531"/>
      <c r="AO5603" s="531"/>
      <c r="AR5603" s="761" t="s">
        <v>145</v>
      </c>
      <c r="AS5603" s="764"/>
    </row>
    <row r="5604" spans="1:45" s="520" customFormat="1" ht="12" thickTop="1">
      <c r="A5604" s="51"/>
      <c r="B5604" s="41"/>
      <c r="C5604" s="51"/>
      <c r="E5604" s="42" t="s">
        <v>138</v>
      </c>
      <c r="F5604" s="42" t="s">
        <v>139</v>
      </c>
      <c r="G5604" s="51"/>
      <c r="H5604" s="51"/>
      <c r="I5604" s="51"/>
      <c r="J5604" s="51"/>
      <c r="K5604" s="51" t="s">
        <v>140</v>
      </c>
      <c r="L5604" s="51"/>
      <c r="M5604" s="51"/>
      <c r="N5604" s="51"/>
      <c r="O5604" s="52"/>
      <c r="P5604" s="51"/>
      <c r="Q5604" s="51"/>
      <c r="R5604" s="51"/>
      <c r="S5604" s="51"/>
      <c r="T5604" s="41"/>
      <c r="AG5604" s="521" t="s">
        <v>268</v>
      </c>
      <c r="AH5604" s="521" t="s">
        <v>269</v>
      </c>
      <c r="AI5604" s="521" t="s">
        <v>270</v>
      </c>
      <c r="AJ5604" s="521" t="s">
        <v>271</v>
      </c>
      <c r="AK5604" s="521" t="s">
        <v>272</v>
      </c>
      <c r="AM5604" s="745" t="s">
        <v>281</v>
      </c>
      <c r="AN5604" s="746" t="s">
        <v>282</v>
      </c>
      <c r="AO5604" s="522" t="s">
        <v>278</v>
      </c>
      <c r="AR5604" s="51"/>
      <c r="AS5604" s="42" t="s">
        <v>139</v>
      </c>
    </row>
    <row r="5605" spans="1:45" s="520" customFormat="1" ht="12" customHeight="1">
      <c r="A5605" s="747">
        <v>30</v>
      </c>
      <c r="B5605" s="523" t="s">
        <v>320</v>
      </c>
      <c r="C5605" s="748"/>
      <c r="D5605" s="749" t="s">
        <v>1918</v>
      </c>
      <c r="E5605" s="750">
        <f ca="1">IF(AND($A5605=0,$A$1="DIF"),0, ROUND(ROUND(($R5612*$S$2+($T5612*$T$2))/A5605,2)*$C$2,2))</f>
        <v>11.25</v>
      </c>
      <c r="F5605" s="751">
        <f ca="1">ROUND($A5605*$E5605,2)</f>
        <v>337.5</v>
      </c>
      <c r="G5605" s="752" t="s">
        <v>142</v>
      </c>
      <c r="H5605" s="753"/>
      <c r="I5605" s="754"/>
      <c r="J5605" s="753"/>
      <c r="K5605" s="753" t="s">
        <v>3</v>
      </c>
      <c r="L5605" s="755" t="s">
        <v>143</v>
      </c>
      <c r="M5605" s="755"/>
      <c r="N5605" s="755"/>
      <c r="O5605" s="755"/>
      <c r="P5605" s="755"/>
      <c r="Q5605" s="51"/>
      <c r="T5605" s="756" t="str">
        <f ca="1">IF(AND($R5612=0,$T5612=0),"0.00","mu :" &amp; ROUND($F5605/$C$2/($R5612+$T5612*$D$9),2))</f>
        <v>mu :1.23</v>
      </c>
      <c r="W5605" s="524"/>
      <c r="AG5605" s="481">
        <f ca="1">IF($E5605=0,0,ROUND($R5612*$S$2*$C$2/$A5605,2))</f>
        <v>5.16</v>
      </c>
      <c r="AH5605" s="481">
        <f ca="1">$AG5605*$A5605</f>
        <v>154.80000000000001</v>
      </c>
      <c r="AI5605" s="525">
        <f ca="1">$E5605-$AG5605</f>
        <v>6.09</v>
      </c>
      <c r="AJ5605" s="525">
        <f ca="1">$A5605*$AI5605</f>
        <v>182.7</v>
      </c>
      <c r="AK5605" s="526">
        <f ca="1">ROUND(($AG5605+$AI5605)*$A5605,2)</f>
        <v>337.5</v>
      </c>
      <c r="AM5605" s="527">
        <f ca="1">ROUND(R5612,2)</f>
        <v>125.8</v>
      </c>
      <c r="AN5605" s="528">
        <f ca="1">ROUND(T5612,2)</f>
        <v>5.4</v>
      </c>
      <c r="AO5605" s="529">
        <f ca="1">ROUND(AM5605+AN5605,2)*A5605</f>
        <v>3935.9999999999995</v>
      </c>
      <c r="AR5605" s="747">
        <v>30</v>
      </c>
      <c r="AS5605" s="751">
        <v>357.9</v>
      </c>
    </row>
    <row r="5606" spans="1:45" s="520" customFormat="1" ht="13.2">
      <c r="A5606" s="748"/>
      <c r="B5606"/>
      <c r="C5606" s="748"/>
      <c r="D5606" s="749" t="s">
        <v>912</v>
      </c>
      <c r="F5606" s="753"/>
      <c r="G5606" s="3"/>
      <c r="H5606" s="753"/>
      <c r="I5606" s="754"/>
      <c r="J5606" s="753"/>
      <c r="K5606" s="753" t="s">
        <v>144</v>
      </c>
      <c r="L5606" s="753"/>
      <c r="M5606" s="753"/>
      <c r="N5606" s="753"/>
      <c r="O5606" s="753"/>
      <c r="P5606" s="753"/>
      <c r="Q5606" s="51"/>
      <c r="R5606" s="530"/>
      <c r="S5606" s="757"/>
      <c r="T5606" s="753"/>
      <c r="AR5606" s="748"/>
      <c r="AS5606" s="753"/>
    </row>
    <row r="5607" spans="1:45" s="886" customFormat="1" ht="13.2">
      <c r="A5607"/>
      <c r="B5607" s="910"/>
      <c r="C5607" s="910" t="s">
        <v>2597</v>
      </c>
      <c r="D5607" s="910" t="str">
        <f ca="1">CELL("Address",Elec_Rates!D$785)</f>
        <v>[E25_0062_Quintano_Foods_Elec_ELV_As_Awarded.xlsx]Elec_Rates!$D$785</v>
      </c>
      <c r="E5607" s="911"/>
      <c r="F5607" s="911"/>
      <c r="G5607" s="912" t="s">
        <v>2598</v>
      </c>
      <c r="H5607" s="912"/>
      <c r="I5607" s="912"/>
      <c r="J5607" s="912"/>
      <c r="K5607" s="913"/>
      <c r="L5607" s="911"/>
      <c r="M5607" s="911"/>
      <c r="N5607" s="911"/>
      <c r="O5607" s="914"/>
      <c r="P5607" s="911"/>
      <c r="Q5607" s="915"/>
      <c r="R5607" s="916"/>
      <c r="S5607" s="915"/>
      <c r="T5607" s="917"/>
      <c r="U5607" s="918"/>
      <c r="AR5607"/>
      <c r="AS5607" s="911"/>
    </row>
    <row r="5608" spans="1:45" s="886" customFormat="1" ht="11.4">
      <c r="A5608" s="919">
        <v>20</v>
      </c>
      <c r="B5608" s="920">
        <v>1</v>
      </c>
      <c r="C5608" s="920">
        <f>$A5608*$B5608</f>
        <v>20</v>
      </c>
      <c r="D5608" s="921" t="str">
        <f>Elec_Rates!$D$785</f>
        <v>075# 100mm cable Tray</v>
      </c>
      <c r="E5608" s="921"/>
      <c r="F5608" s="921" t="s">
        <v>2599</v>
      </c>
      <c r="G5608" s="922" t="s">
        <v>2601</v>
      </c>
      <c r="H5608" s="922"/>
      <c r="I5608" s="922"/>
      <c r="J5608" s="922"/>
      <c r="K5608" s="923"/>
      <c r="L5608" s="918"/>
      <c r="M5608" s="918"/>
      <c r="N5608" s="918"/>
      <c r="O5608" s="924"/>
      <c r="P5608" s="921"/>
      <c r="Q5608" s="925">
        <f ca="1">$B5608*Elec_Rates!$R$785</f>
        <v>3.92</v>
      </c>
      <c r="R5608" s="916">
        <f ca="1">$A5608*Q5608</f>
        <v>78.400000000000006</v>
      </c>
      <c r="S5608" s="925">
        <f ca="1">$B5608*Elec_Rates!$T$785</f>
        <v>0.18</v>
      </c>
      <c r="T5608" s="917">
        <f ca="1">$A5608*S5608</f>
        <v>3.5999999999999996</v>
      </c>
      <c r="U5608" s="926"/>
      <c r="AR5608" s="919">
        <v>20</v>
      </c>
      <c r="AS5608" s="921" t="s">
        <v>2599</v>
      </c>
    </row>
    <row r="5609" spans="1:45" s="886" customFormat="1" ht="13.2">
      <c r="A5609"/>
      <c r="B5609" s="910"/>
      <c r="C5609" s="910" t="s">
        <v>2597</v>
      </c>
      <c r="D5609" s="910" t="str">
        <f ca="1">CELL("Address",Elec_Rates!D$907)</f>
        <v>[E25_0062_Quintano_Foods_Elec_ELV_As_Awarded.xlsx]Elec_Rates!$D$907</v>
      </c>
      <c r="E5609" s="911"/>
      <c r="F5609" s="911"/>
      <c r="G5609" s="912" t="s">
        <v>2598</v>
      </c>
      <c r="H5609" s="912"/>
      <c r="I5609" s="912"/>
      <c r="J5609" s="912"/>
      <c r="K5609" s="913"/>
      <c r="L5609" s="911"/>
      <c r="M5609" s="911"/>
      <c r="N5609" s="911"/>
      <c r="O5609" s="914"/>
      <c r="P5609" s="911"/>
      <c r="Q5609" s="915"/>
      <c r="R5609" s="916"/>
      <c r="S5609" s="915"/>
      <c r="T5609" s="917"/>
      <c r="U5609" s="918"/>
      <c r="AR5609"/>
      <c r="AS5609" s="911"/>
    </row>
    <row r="5610" spans="1:45" s="886" customFormat="1" ht="11.4">
      <c r="A5610" s="919">
        <v>20</v>
      </c>
      <c r="B5610" s="920">
        <v>1</v>
      </c>
      <c r="C5610" s="920">
        <f>$A5610*$B5610</f>
        <v>20</v>
      </c>
      <c r="D5610" s="921" t="str">
        <f>Elec_Rates!$D$907</f>
        <v>084# Bracket for 50-150mm cable tray/basket/trunking</v>
      </c>
      <c r="E5610" s="921"/>
      <c r="F5610" s="921" t="s">
        <v>2599</v>
      </c>
      <c r="G5610" s="922" t="s">
        <v>2600</v>
      </c>
      <c r="H5610" s="922"/>
      <c r="I5610" s="922"/>
      <c r="J5610" s="922"/>
      <c r="K5610" s="923"/>
      <c r="L5610" s="918"/>
      <c r="M5610" s="918"/>
      <c r="N5610" s="918"/>
      <c r="O5610" s="924"/>
      <c r="P5610" s="921"/>
      <c r="Q5610" s="925">
        <f ca="1">$B5610*Elec_Rates!$R$907</f>
        <v>2.37</v>
      </c>
      <c r="R5610" s="916">
        <f ca="1">$A5610*Q5610</f>
        <v>47.400000000000006</v>
      </c>
      <c r="S5610" s="925">
        <f ca="1">$B5610*Elec_Rates!$T$907</f>
        <v>0.09</v>
      </c>
      <c r="T5610" s="917">
        <f ca="1">$A5610*S5610</f>
        <v>1.7999999999999998</v>
      </c>
      <c r="U5610" s="926"/>
      <c r="AR5610" s="919">
        <v>20</v>
      </c>
      <c r="AS5610" s="921" t="s">
        <v>2599</v>
      </c>
    </row>
    <row r="5611" spans="1:45" s="520" customFormat="1" ht="12">
      <c r="A5611" s="758"/>
      <c r="B5611" s="758"/>
      <c r="C5611" s="758"/>
      <c r="D5611" s="758"/>
      <c r="E5611" s="758"/>
      <c r="F5611" s="753"/>
      <c r="G5611" s="758"/>
      <c r="H5611" s="758"/>
      <c r="I5611" s="519"/>
      <c r="J5611" s="758"/>
      <c r="K5611" s="758"/>
      <c r="L5611" s="758"/>
      <c r="M5611" s="758"/>
      <c r="N5611" s="758"/>
      <c r="O5611" s="758"/>
      <c r="P5611" s="758"/>
      <c r="Q5611" s="519"/>
      <c r="R5611" s="759">
        <f t="shared" ref="R5611" si="302">$A5611*Q5611</f>
        <v>0</v>
      </c>
      <c r="S5611" s="519"/>
      <c r="T5611" s="760">
        <f t="shared" ref="T5611" si="303">$A5611*S5611*$T$1</f>
        <v>0</v>
      </c>
      <c r="AR5611" s="758"/>
      <c r="AS5611" s="753"/>
    </row>
    <row r="5612" spans="1:45" s="520" customFormat="1" ht="12.6" thickBot="1">
      <c r="A5612" s="761" t="s">
        <v>145</v>
      </c>
      <c r="B5612" s="762">
        <f>(R5611+T5611)</f>
        <v>0</v>
      </c>
      <c r="C5612" s="763"/>
      <c r="D5612" s="763"/>
      <c r="E5612" s="763"/>
      <c r="F5612" s="764"/>
      <c r="G5612" s="763" t="s">
        <v>146</v>
      </c>
      <c r="H5612" s="763"/>
      <c r="I5612" s="765"/>
      <c r="J5612" s="763"/>
      <c r="K5612" s="763" t="s">
        <v>3</v>
      </c>
      <c r="L5612" s="766" t="s">
        <v>143</v>
      </c>
      <c r="M5612" s="766"/>
      <c r="N5612" s="766"/>
      <c r="O5612" s="766"/>
      <c r="P5612" s="766"/>
      <c r="Q5612" s="767"/>
      <c r="R5612" s="768">
        <f ca="1">SUM(R5606:R5611)</f>
        <v>125.80000000000001</v>
      </c>
      <c r="S5612" s="763"/>
      <c r="T5612" s="768">
        <f ca="1">SUM(T5606:T5611)</f>
        <v>5.3999999999999995</v>
      </c>
      <c r="U5612" s="531"/>
      <c r="V5612" s="531"/>
      <c r="W5612" s="531"/>
      <c r="X5612" s="531"/>
      <c r="Y5612" s="531"/>
      <c r="Z5612" s="531"/>
      <c r="AA5612" s="531"/>
      <c r="AB5612" s="531"/>
      <c r="AC5612" s="531"/>
      <c r="AD5612" s="531"/>
      <c r="AE5612" s="531"/>
      <c r="AF5612" s="531"/>
      <c r="AG5612" s="531"/>
      <c r="AH5612" s="531"/>
      <c r="AI5612" s="531"/>
      <c r="AJ5612" s="531"/>
      <c r="AK5612" s="531"/>
      <c r="AL5612" s="531"/>
      <c r="AM5612" s="531"/>
      <c r="AN5612" s="531"/>
      <c r="AO5612" s="531"/>
      <c r="AR5612" s="761" t="s">
        <v>145</v>
      </c>
      <c r="AS5612" s="764"/>
    </row>
    <row r="5613" spans="1:45" s="520" customFormat="1" ht="12" thickTop="1">
      <c r="A5613" s="51"/>
      <c r="B5613" s="41"/>
      <c r="C5613" s="51"/>
      <c r="E5613" s="42" t="s">
        <v>138</v>
      </c>
      <c r="F5613" s="42" t="s">
        <v>139</v>
      </c>
      <c r="G5613" s="51"/>
      <c r="H5613" s="51"/>
      <c r="I5613" s="51"/>
      <c r="J5613" s="51"/>
      <c r="K5613" s="51" t="s">
        <v>140</v>
      </c>
      <c r="L5613" s="51"/>
      <c r="M5613" s="51"/>
      <c r="N5613" s="51"/>
      <c r="O5613" s="52"/>
      <c r="P5613" s="51"/>
      <c r="Q5613" s="51"/>
      <c r="R5613" s="51"/>
      <c r="S5613" s="51"/>
      <c r="T5613" s="41"/>
      <c r="AG5613" s="521" t="s">
        <v>268</v>
      </c>
      <c r="AH5613" s="521" t="s">
        <v>269</v>
      </c>
      <c r="AI5613" s="521" t="s">
        <v>270</v>
      </c>
      <c r="AJ5613" s="521" t="s">
        <v>271</v>
      </c>
      <c r="AK5613" s="521" t="s">
        <v>272</v>
      </c>
      <c r="AM5613" s="745" t="s">
        <v>281</v>
      </c>
      <c r="AN5613" s="746" t="s">
        <v>282</v>
      </c>
      <c r="AO5613" s="522" t="s">
        <v>278</v>
      </c>
      <c r="AR5613" s="51"/>
      <c r="AS5613" s="42" t="s">
        <v>139</v>
      </c>
    </row>
    <row r="5614" spans="1:45" s="520" customFormat="1" ht="12" customHeight="1">
      <c r="A5614" s="747">
        <v>20</v>
      </c>
      <c r="B5614" s="523" t="s">
        <v>320</v>
      </c>
      <c r="C5614" s="748"/>
      <c r="D5614" s="749" t="s">
        <v>1919</v>
      </c>
      <c r="E5614" s="750">
        <f ca="1">IF(AND($A5614=0,$A$1="DIF"),0, ROUND(ROUND(($R5621*$S$2+($T5621*$T$2))/A5614,2)*$C$2,2))</f>
        <v>21.6</v>
      </c>
      <c r="F5614" s="751">
        <f ca="1">ROUND($A5614*$E5614,2)</f>
        <v>432</v>
      </c>
      <c r="G5614" s="752" t="s">
        <v>142</v>
      </c>
      <c r="H5614" s="753"/>
      <c r="I5614" s="754"/>
      <c r="J5614" s="753"/>
      <c r="K5614" s="753" t="s">
        <v>3</v>
      </c>
      <c r="L5614" s="755" t="s">
        <v>143</v>
      </c>
      <c r="M5614" s="755"/>
      <c r="N5614" s="755"/>
      <c r="O5614" s="755"/>
      <c r="P5614" s="755"/>
      <c r="Q5614" s="51"/>
      <c r="T5614" s="756" t="str">
        <f ca="1">IF(AND($R5621=0,$T5621=0),"0.00","mu :" &amp; ROUND($F5614/$C$2/($R5621+$T5621*$D$9),2))</f>
        <v>mu :1.23</v>
      </c>
      <c r="W5614" s="524"/>
      <c r="AG5614" s="481">
        <f ca="1">IF($E5614=0,0,ROUND($R5621*$S$2*$C$2/$A5614,2))</f>
        <v>9.43</v>
      </c>
      <c r="AH5614" s="481">
        <f ca="1">$AG5614*$A5614</f>
        <v>188.6</v>
      </c>
      <c r="AI5614" s="525">
        <f ca="1">$E5614-$AG5614</f>
        <v>12.170000000000002</v>
      </c>
      <c r="AJ5614" s="525">
        <f ca="1">$A5614*$AI5614</f>
        <v>243.40000000000003</v>
      </c>
      <c r="AK5614" s="526">
        <f ca="1">ROUND(($AG5614+$AI5614)*$A5614,2)</f>
        <v>432</v>
      </c>
      <c r="AM5614" s="527">
        <f ca="1">ROUND(R5621,2)</f>
        <v>153.19999999999999</v>
      </c>
      <c r="AN5614" s="528">
        <f ca="1">ROUND(T5621,2)</f>
        <v>7.2</v>
      </c>
      <c r="AO5614" s="529">
        <f ca="1">ROUND(AM5614+AN5614,2)*A5614</f>
        <v>3208</v>
      </c>
      <c r="AR5614" s="747">
        <v>20</v>
      </c>
      <c r="AS5614" s="751">
        <v>459.2</v>
      </c>
    </row>
    <row r="5615" spans="1:45" s="520" customFormat="1" ht="13.2">
      <c r="A5615" s="748"/>
      <c r="B5615"/>
      <c r="C5615" s="748"/>
      <c r="D5615" s="749" t="s">
        <v>913</v>
      </c>
      <c r="F5615" s="753"/>
      <c r="G5615" s="3"/>
      <c r="H5615" s="753"/>
      <c r="I5615" s="754"/>
      <c r="J5615" s="753"/>
      <c r="K5615" s="753" t="s">
        <v>144</v>
      </c>
      <c r="L5615" s="753"/>
      <c r="M5615" s="753"/>
      <c r="N5615" s="753"/>
      <c r="O5615" s="753"/>
      <c r="P5615" s="753"/>
      <c r="Q5615" s="51"/>
      <c r="R5615" s="530"/>
      <c r="S5615" s="757"/>
      <c r="T5615" s="753"/>
      <c r="AR5615" s="748"/>
      <c r="AS5615" s="753"/>
    </row>
    <row r="5616" spans="1:45" s="886" customFormat="1" ht="13.2">
      <c r="A5616"/>
      <c r="B5616" s="910"/>
      <c r="C5616" s="910" t="s">
        <v>2597</v>
      </c>
      <c r="D5616" s="910" t="str">
        <f ca="1">CELL("Address",Elec_Rates!D$774)</f>
        <v>[E25_0062_Quintano_Foods_Elec_ELV_As_Awarded.xlsx]Elec_Rates!$D$774</v>
      </c>
      <c r="E5616" s="911"/>
      <c r="F5616" s="911"/>
      <c r="G5616" s="912" t="s">
        <v>2598</v>
      </c>
      <c r="H5616" s="912"/>
      <c r="I5616" s="912"/>
      <c r="J5616" s="912"/>
      <c r="K5616" s="913"/>
      <c r="L5616" s="911"/>
      <c r="M5616" s="911"/>
      <c r="N5616" s="911"/>
      <c r="O5616" s="914"/>
      <c r="P5616" s="911"/>
      <c r="Q5616" s="915"/>
      <c r="R5616" s="916"/>
      <c r="S5616" s="915"/>
      <c r="T5616" s="917"/>
      <c r="U5616" s="918"/>
      <c r="AR5616"/>
      <c r="AS5616" s="911"/>
    </row>
    <row r="5617" spans="1:45" s="886" customFormat="1" ht="11.4">
      <c r="A5617" s="919">
        <v>20</v>
      </c>
      <c r="B5617" s="920">
        <v>1</v>
      </c>
      <c r="C5617" s="920">
        <f>$A5617*$B5617</f>
        <v>20</v>
      </c>
      <c r="D5617" s="921" t="str">
        <f>Elec_Rates!$D$774</f>
        <v>074# 200mm cable Tray</v>
      </c>
      <c r="E5617" s="921"/>
      <c r="F5617" s="921" t="s">
        <v>2599</v>
      </c>
      <c r="G5617" s="922" t="s">
        <v>2600</v>
      </c>
      <c r="H5617" s="922"/>
      <c r="I5617" s="922"/>
      <c r="J5617" s="922"/>
      <c r="K5617" s="923"/>
      <c r="L5617" s="918"/>
      <c r="M5617" s="918"/>
      <c r="N5617" s="918"/>
      <c r="O5617" s="924"/>
      <c r="P5617" s="921"/>
      <c r="Q5617" s="925">
        <f ca="1">$B5617*Elec_Rates!$R$774</f>
        <v>5.18</v>
      </c>
      <c r="R5617" s="916">
        <f ca="1">$A5617*Q5617</f>
        <v>103.6</v>
      </c>
      <c r="S5617" s="925">
        <f ca="1">$B5617*Elec_Rates!$T$774</f>
        <v>0.27</v>
      </c>
      <c r="T5617" s="917">
        <f ca="1">$A5617*S5617</f>
        <v>5.4</v>
      </c>
      <c r="U5617" s="926"/>
      <c r="AR5617" s="919">
        <v>20</v>
      </c>
      <c r="AS5617" s="921" t="s">
        <v>2599</v>
      </c>
    </row>
    <row r="5618" spans="1:45" s="886" customFormat="1" ht="13.2">
      <c r="A5618"/>
      <c r="B5618" s="910"/>
      <c r="C5618" s="910" t="s">
        <v>2597</v>
      </c>
      <c r="D5618" s="910" t="str">
        <f ca="1">CELL("Address",Elec_Rates!D$920)</f>
        <v>[E25_0062_Quintano_Foods_Elec_ELV_As_Awarded.xlsx]Elec_Rates!$D$920</v>
      </c>
      <c r="E5618" s="911"/>
      <c r="F5618" s="911"/>
      <c r="G5618" s="912" t="s">
        <v>2598</v>
      </c>
      <c r="H5618" s="912"/>
      <c r="I5618" s="912"/>
      <c r="J5618" s="912"/>
      <c r="K5618" s="913"/>
      <c r="L5618" s="911"/>
      <c r="M5618" s="911"/>
      <c r="N5618" s="911"/>
      <c r="O5618" s="914"/>
      <c r="P5618" s="911"/>
      <c r="Q5618" s="915"/>
      <c r="R5618" s="916"/>
      <c r="S5618" s="915"/>
      <c r="T5618" s="917"/>
      <c r="U5618" s="918"/>
      <c r="AR5618"/>
      <c r="AS5618" s="911"/>
    </row>
    <row r="5619" spans="1:45" s="886" customFormat="1" ht="11.4">
      <c r="A5619" s="919">
        <v>20</v>
      </c>
      <c r="B5619" s="920">
        <v>1</v>
      </c>
      <c r="C5619" s="920">
        <f>$A5619*$B5619</f>
        <v>20</v>
      </c>
      <c r="D5619" s="921" t="str">
        <f>Elec_Rates!$D$920</f>
        <v>085# Bracket for 200-300mm cable tray/basket</v>
      </c>
      <c r="E5619" s="921"/>
      <c r="F5619" s="921" t="s">
        <v>2599</v>
      </c>
      <c r="G5619" s="922" t="s">
        <v>2601</v>
      </c>
      <c r="H5619" s="922"/>
      <c r="I5619" s="922"/>
      <c r="J5619" s="922"/>
      <c r="K5619" s="923"/>
      <c r="L5619" s="918"/>
      <c r="M5619" s="918"/>
      <c r="N5619" s="918"/>
      <c r="O5619" s="924"/>
      <c r="P5619" s="921"/>
      <c r="Q5619" s="925">
        <f ca="1">$B5619*Elec_Rates!$R$920</f>
        <v>2.48</v>
      </c>
      <c r="R5619" s="916">
        <f ca="1">$A5619*Q5619</f>
        <v>49.6</v>
      </c>
      <c r="S5619" s="925">
        <f ca="1">$B5619*Elec_Rates!$T$920</f>
        <v>0.09</v>
      </c>
      <c r="T5619" s="917">
        <f ca="1">$A5619*S5619</f>
        <v>1.7999999999999998</v>
      </c>
      <c r="U5619" s="926"/>
      <c r="AR5619" s="919">
        <v>20</v>
      </c>
      <c r="AS5619" s="921" t="s">
        <v>2599</v>
      </c>
    </row>
    <row r="5620" spans="1:45" s="520" customFormat="1" ht="12">
      <c r="A5620" s="758"/>
      <c r="B5620" s="758"/>
      <c r="C5620" s="758"/>
      <c r="D5620" s="758"/>
      <c r="E5620" s="758"/>
      <c r="F5620" s="753"/>
      <c r="G5620" s="758"/>
      <c r="H5620" s="758"/>
      <c r="I5620" s="519"/>
      <c r="J5620" s="758"/>
      <c r="K5620" s="758"/>
      <c r="L5620" s="758"/>
      <c r="M5620" s="758"/>
      <c r="N5620" s="758"/>
      <c r="O5620" s="758"/>
      <c r="P5620" s="758"/>
      <c r="Q5620" s="519"/>
      <c r="R5620" s="759">
        <f t="shared" ref="R5620" si="304">$A5620*Q5620</f>
        <v>0</v>
      </c>
      <c r="S5620" s="519"/>
      <c r="T5620" s="760">
        <f t="shared" ref="T5620" si="305">$A5620*S5620*$T$1</f>
        <v>0</v>
      </c>
      <c r="AR5620" s="758"/>
      <c r="AS5620" s="753"/>
    </row>
    <row r="5621" spans="1:45" s="520" customFormat="1" ht="12.6" thickBot="1">
      <c r="A5621" s="761" t="s">
        <v>145</v>
      </c>
      <c r="B5621" s="762">
        <f>(R5620+T5620)</f>
        <v>0</v>
      </c>
      <c r="C5621" s="763"/>
      <c r="D5621" s="763"/>
      <c r="E5621" s="763"/>
      <c r="F5621" s="764"/>
      <c r="G5621" s="763" t="s">
        <v>146</v>
      </c>
      <c r="H5621" s="763"/>
      <c r="I5621" s="765"/>
      <c r="J5621" s="763"/>
      <c r="K5621" s="763" t="s">
        <v>3</v>
      </c>
      <c r="L5621" s="766" t="s">
        <v>143</v>
      </c>
      <c r="M5621" s="766"/>
      <c r="N5621" s="766"/>
      <c r="O5621" s="766"/>
      <c r="P5621" s="766"/>
      <c r="Q5621" s="767"/>
      <c r="R5621" s="768">
        <f ca="1">SUM(R5615:R5620)</f>
        <v>153.19999999999999</v>
      </c>
      <c r="S5621" s="763"/>
      <c r="T5621" s="768">
        <f ca="1">SUM(T5615:T5620)</f>
        <v>7.2</v>
      </c>
      <c r="U5621" s="531"/>
      <c r="V5621" s="531"/>
      <c r="W5621" s="531"/>
      <c r="X5621" s="531"/>
      <c r="Y5621" s="531"/>
      <c r="Z5621" s="531"/>
      <c r="AA5621" s="531"/>
      <c r="AB5621" s="531"/>
      <c r="AC5621" s="531"/>
      <c r="AD5621" s="531"/>
      <c r="AE5621" s="531"/>
      <c r="AF5621" s="531"/>
      <c r="AG5621" s="531"/>
      <c r="AH5621" s="531"/>
      <c r="AI5621" s="531"/>
      <c r="AJ5621" s="531"/>
      <c r="AK5621" s="531"/>
      <c r="AL5621" s="531"/>
      <c r="AM5621" s="531"/>
      <c r="AN5621" s="531"/>
      <c r="AO5621" s="531"/>
      <c r="AR5621" s="761" t="s">
        <v>145</v>
      </c>
      <c r="AS5621" s="764"/>
    </row>
    <row r="5622" spans="1:45" s="520" customFormat="1" ht="12" thickTop="1">
      <c r="A5622" s="51"/>
      <c r="B5622" s="41"/>
      <c r="C5622" s="51"/>
      <c r="E5622" s="42" t="s">
        <v>138</v>
      </c>
      <c r="F5622" s="42" t="s">
        <v>139</v>
      </c>
      <c r="G5622" s="51"/>
      <c r="H5622" s="51"/>
      <c r="I5622" s="51"/>
      <c r="J5622" s="51"/>
      <c r="K5622" s="51" t="s">
        <v>140</v>
      </c>
      <c r="L5622" s="51"/>
      <c r="M5622" s="51"/>
      <c r="N5622" s="51"/>
      <c r="O5622" s="52"/>
      <c r="P5622" s="51"/>
      <c r="Q5622" s="51"/>
      <c r="R5622" s="51"/>
      <c r="S5622" s="51"/>
      <c r="T5622" s="41"/>
      <c r="AG5622" s="521" t="s">
        <v>268</v>
      </c>
      <c r="AH5622" s="521" t="s">
        <v>269</v>
      </c>
      <c r="AI5622" s="521" t="s">
        <v>270</v>
      </c>
      <c r="AJ5622" s="521" t="s">
        <v>271</v>
      </c>
      <c r="AK5622" s="521" t="s">
        <v>272</v>
      </c>
      <c r="AM5622" s="745" t="s">
        <v>281</v>
      </c>
      <c r="AN5622" s="746" t="s">
        <v>282</v>
      </c>
      <c r="AO5622" s="522" t="s">
        <v>278</v>
      </c>
      <c r="AR5622" s="51"/>
      <c r="AS5622" s="42" t="s">
        <v>139</v>
      </c>
    </row>
    <row r="5623" spans="1:45" s="520" customFormat="1" ht="12" customHeight="1">
      <c r="A5623" s="747">
        <v>30</v>
      </c>
      <c r="B5623" s="523" t="s">
        <v>320</v>
      </c>
      <c r="C5623" s="748"/>
      <c r="D5623" s="749" t="s">
        <v>1920</v>
      </c>
      <c r="E5623" s="750">
        <f ca="1">IF(AND($A5623=0,$A$1="DIF"),0, ROUND(ROUND(($R5630*$S$2+($T5630*$T$2))/A5623,2)*$C$2,2))</f>
        <v>26.03</v>
      </c>
      <c r="F5623" s="751">
        <f ca="1">ROUND($A5623*$E5623,2)</f>
        <v>780.9</v>
      </c>
      <c r="G5623" s="752" t="s">
        <v>142</v>
      </c>
      <c r="H5623" s="753"/>
      <c r="I5623" s="754"/>
      <c r="J5623" s="753"/>
      <c r="K5623" s="753" t="s">
        <v>3</v>
      </c>
      <c r="L5623" s="755" t="s">
        <v>143</v>
      </c>
      <c r="M5623" s="755"/>
      <c r="N5623" s="755"/>
      <c r="O5623" s="755"/>
      <c r="P5623" s="755"/>
      <c r="Q5623" s="51"/>
      <c r="T5623" s="756" t="str">
        <f ca="1">IF(AND($R5630=0,$T5630=0),"0.00","mu :" &amp; ROUND($F5623/$C$2/($R5630+$T5630*$D$9),2))</f>
        <v>mu :1.23</v>
      </c>
      <c r="W5623" s="524"/>
      <c r="AG5623" s="481">
        <f ca="1">IF($E5623=0,0,ROUND($R5630*$S$2*$C$2/$A5623,2))</f>
        <v>12.17</v>
      </c>
      <c r="AH5623" s="481">
        <f ca="1">$AG5623*$A5623</f>
        <v>365.1</v>
      </c>
      <c r="AI5623" s="525">
        <f ca="1">$E5623-$AG5623</f>
        <v>13.860000000000001</v>
      </c>
      <c r="AJ5623" s="525">
        <f ca="1">$A5623*$AI5623</f>
        <v>415.8</v>
      </c>
      <c r="AK5623" s="526">
        <f ca="1">ROUND(($AG5623+$AI5623)*$A5623,2)</f>
        <v>780.9</v>
      </c>
      <c r="AM5623" s="527">
        <f ca="1">ROUND(R5630,2)</f>
        <v>296.39999999999998</v>
      </c>
      <c r="AN5623" s="528">
        <f ca="1">ROUND(T5630,2)</f>
        <v>12.3</v>
      </c>
      <c r="AO5623" s="529">
        <f ca="1">ROUND(AM5623+AN5623,2)*A5623</f>
        <v>9261</v>
      </c>
      <c r="AR5623" s="747">
        <v>30</v>
      </c>
      <c r="AS5623" s="751">
        <v>821.4</v>
      </c>
    </row>
    <row r="5624" spans="1:45" s="520" customFormat="1" ht="13.2">
      <c r="A5624" s="748"/>
      <c r="B5624"/>
      <c r="C5624" s="748"/>
      <c r="D5624" s="749" t="s">
        <v>914</v>
      </c>
      <c r="F5624" s="753"/>
      <c r="G5624" s="3"/>
      <c r="H5624" s="753"/>
      <c r="I5624" s="754"/>
      <c r="J5624" s="753"/>
      <c r="K5624" s="753" t="s">
        <v>144</v>
      </c>
      <c r="L5624" s="753"/>
      <c r="M5624" s="753"/>
      <c r="N5624" s="753"/>
      <c r="O5624" s="753"/>
      <c r="P5624" s="753"/>
      <c r="Q5624" s="51"/>
      <c r="R5624" s="530"/>
      <c r="S5624" s="757"/>
      <c r="T5624" s="753"/>
      <c r="AR5624" s="748"/>
      <c r="AS5624" s="753"/>
    </row>
    <row r="5625" spans="1:45" s="886" customFormat="1" ht="13.2">
      <c r="A5625"/>
      <c r="B5625" s="910"/>
      <c r="C5625" s="910" t="s">
        <v>2597</v>
      </c>
      <c r="D5625" s="910" t="str">
        <f ca="1">CELL("Address",Elec_Rates!D$762)</f>
        <v>[E25_0062_Quintano_Foods_Elec_ELV_As_Awarded.xlsx]Elec_Rates!$D$762</v>
      </c>
      <c r="E5625" s="911"/>
      <c r="F5625" s="911"/>
      <c r="G5625" s="912" t="s">
        <v>2598</v>
      </c>
      <c r="H5625" s="912"/>
      <c r="I5625" s="912"/>
      <c r="J5625" s="912"/>
      <c r="K5625" s="913"/>
      <c r="L5625" s="911"/>
      <c r="M5625" s="911"/>
      <c r="N5625" s="911"/>
      <c r="O5625" s="914"/>
      <c r="P5625" s="911"/>
      <c r="Q5625" s="915"/>
      <c r="R5625" s="916"/>
      <c r="S5625" s="915"/>
      <c r="T5625" s="917"/>
      <c r="U5625" s="918"/>
      <c r="AR5625"/>
      <c r="AS5625" s="911"/>
    </row>
    <row r="5626" spans="1:45" s="886" customFormat="1" ht="11.4">
      <c r="A5626" s="919">
        <v>30</v>
      </c>
      <c r="B5626" s="920">
        <v>1</v>
      </c>
      <c r="C5626" s="920">
        <f>$A5626*$B5626</f>
        <v>30</v>
      </c>
      <c r="D5626" s="921" t="str">
        <f>Elec_Rates!$D$762</f>
        <v>073# 300mm cable Tray</v>
      </c>
      <c r="E5626" s="921"/>
      <c r="F5626" s="921" t="s">
        <v>2599</v>
      </c>
      <c r="G5626" s="922" t="s">
        <v>2600</v>
      </c>
      <c r="H5626" s="922"/>
      <c r="I5626" s="922"/>
      <c r="J5626" s="922"/>
      <c r="K5626" s="923"/>
      <c r="L5626" s="918"/>
      <c r="M5626" s="918"/>
      <c r="N5626" s="918"/>
      <c r="O5626" s="924"/>
      <c r="P5626" s="921"/>
      <c r="Q5626" s="925">
        <f ca="1">$B5626*Elec_Rates!$R$762</f>
        <v>7.4</v>
      </c>
      <c r="R5626" s="916">
        <f ca="1">$A5626*Q5626</f>
        <v>222</v>
      </c>
      <c r="S5626" s="925">
        <f ca="1">$B5626*Elec_Rates!$T$762</f>
        <v>0.32</v>
      </c>
      <c r="T5626" s="917">
        <f ca="1">$A5626*S5626</f>
        <v>9.6</v>
      </c>
      <c r="U5626" s="926"/>
      <c r="AR5626" s="919">
        <v>30</v>
      </c>
      <c r="AS5626" s="921" t="s">
        <v>2599</v>
      </c>
    </row>
    <row r="5627" spans="1:45" s="886" customFormat="1" ht="13.2">
      <c r="A5627"/>
      <c r="B5627" s="910"/>
      <c r="C5627" s="910" t="s">
        <v>2597</v>
      </c>
      <c r="D5627" s="910" t="str">
        <f ca="1">CELL("Address",Elec_Rates!D$920)</f>
        <v>[E25_0062_Quintano_Foods_Elec_ELV_As_Awarded.xlsx]Elec_Rates!$D$920</v>
      </c>
      <c r="E5627" s="911"/>
      <c r="F5627" s="911"/>
      <c r="G5627" s="912" t="s">
        <v>2598</v>
      </c>
      <c r="H5627" s="912"/>
      <c r="I5627" s="912"/>
      <c r="J5627" s="912"/>
      <c r="K5627" s="913"/>
      <c r="L5627" s="911"/>
      <c r="M5627" s="911"/>
      <c r="N5627" s="911"/>
      <c r="O5627" s="914"/>
      <c r="P5627" s="911"/>
      <c r="Q5627" s="915"/>
      <c r="R5627" s="916"/>
      <c r="S5627" s="915"/>
      <c r="T5627" s="917"/>
      <c r="U5627" s="918"/>
      <c r="AR5627"/>
      <c r="AS5627" s="911"/>
    </row>
    <row r="5628" spans="1:45" s="886" customFormat="1" ht="11.4">
      <c r="A5628" s="919">
        <v>30</v>
      </c>
      <c r="B5628" s="920">
        <v>1</v>
      </c>
      <c r="C5628" s="920">
        <f>$A5628*$B5628</f>
        <v>30</v>
      </c>
      <c r="D5628" s="921" t="str">
        <f>Elec_Rates!$D$920</f>
        <v>085# Bracket for 200-300mm cable tray/basket</v>
      </c>
      <c r="E5628" s="921"/>
      <c r="F5628" s="921" t="s">
        <v>2599</v>
      </c>
      <c r="G5628" s="922" t="s">
        <v>2601</v>
      </c>
      <c r="H5628" s="922"/>
      <c r="I5628" s="922"/>
      <c r="J5628" s="922"/>
      <c r="K5628" s="923"/>
      <c r="L5628" s="918"/>
      <c r="M5628" s="918"/>
      <c r="N5628" s="918"/>
      <c r="O5628" s="924"/>
      <c r="P5628" s="921"/>
      <c r="Q5628" s="925">
        <f ca="1">$B5628*Elec_Rates!$R$920</f>
        <v>2.48</v>
      </c>
      <c r="R5628" s="916">
        <f ca="1">$A5628*Q5628</f>
        <v>74.400000000000006</v>
      </c>
      <c r="S5628" s="925">
        <f ca="1">$B5628*Elec_Rates!$T$920</f>
        <v>0.09</v>
      </c>
      <c r="T5628" s="917">
        <f ca="1">$A5628*S5628</f>
        <v>2.6999999999999997</v>
      </c>
      <c r="U5628" s="926"/>
      <c r="AR5628" s="919">
        <v>30</v>
      </c>
      <c r="AS5628" s="921" t="s">
        <v>2599</v>
      </c>
    </row>
    <row r="5629" spans="1:45" s="520" customFormat="1" ht="12">
      <c r="A5629" s="758"/>
      <c r="B5629" s="758"/>
      <c r="C5629" s="758"/>
      <c r="D5629" s="758"/>
      <c r="E5629" s="758"/>
      <c r="F5629" s="753"/>
      <c r="G5629" s="758"/>
      <c r="H5629" s="758"/>
      <c r="I5629" s="519"/>
      <c r="J5629" s="758"/>
      <c r="K5629" s="758"/>
      <c r="L5629" s="758"/>
      <c r="M5629" s="758"/>
      <c r="N5629" s="758"/>
      <c r="O5629" s="758"/>
      <c r="P5629" s="758"/>
      <c r="Q5629" s="519"/>
      <c r="R5629" s="759">
        <f t="shared" ref="R5629" si="306">$A5629*Q5629</f>
        <v>0</v>
      </c>
      <c r="S5629" s="519"/>
      <c r="T5629" s="760">
        <f t="shared" ref="T5629" si="307">$A5629*S5629*$T$1</f>
        <v>0</v>
      </c>
      <c r="AR5629" s="758"/>
      <c r="AS5629" s="753"/>
    </row>
    <row r="5630" spans="1:45" s="520" customFormat="1" ht="12.6" thickBot="1">
      <c r="A5630" s="761" t="s">
        <v>145</v>
      </c>
      <c r="B5630" s="762">
        <f>(R5629+T5629)</f>
        <v>0</v>
      </c>
      <c r="C5630" s="763"/>
      <c r="D5630" s="763"/>
      <c r="E5630" s="763"/>
      <c r="F5630" s="764"/>
      <c r="G5630" s="763" t="s">
        <v>146</v>
      </c>
      <c r="H5630" s="763"/>
      <c r="I5630" s="765"/>
      <c r="J5630" s="763"/>
      <c r="K5630" s="763" t="s">
        <v>3</v>
      </c>
      <c r="L5630" s="766" t="s">
        <v>143</v>
      </c>
      <c r="M5630" s="766"/>
      <c r="N5630" s="766"/>
      <c r="O5630" s="766"/>
      <c r="P5630" s="766"/>
      <c r="Q5630" s="767"/>
      <c r="R5630" s="768">
        <f ca="1">SUM(R5624:R5629)</f>
        <v>296.39999999999998</v>
      </c>
      <c r="S5630" s="763"/>
      <c r="T5630" s="768">
        <f ca="1">SUM(T5624:T5629)</f>
        <v>12.299999999999999</v>
      </c>
      <c r="U5630" s="531"/>
      <c r="V5630" s="531"/>
      <c r="W5630" s="531"/>
      <c r="X5630" s="531"/>
      <c r="Y5630" s="531"/>
      <c r="Z5630" s="531"/>
      <c r="AA5630" s="531"/>
      <c r="AB5630" s="531"/>
      <c r="AC5630" s="531"/>
      <c r="AD5630" s="531"/>
      <c r="AE5630" s="531"/>
      <c r="AF5630" s="531"/>
      <c r="AG5630" s="531"/>
      <c r="AH5630" s="531"/>
      <c r="AI5630" s="531"/>
      <c r="AJ5630" s="531"/>
      <c r="AK5630" s="531"/>
      <c r="AL5630" s="531"/>
      <c r="AM5630" s="531"/>
      <c r="AN5630" s="531"/>
      <c r="AO5630" s="531"/>
      <c r="AR5630" s="761" t="s">
        <v>145</v>
      </c>
      <c r="AS5630" s="764"/>
    </row>
    <row r="5631" spans="1:45" s="520" customFormat="1" ht="12" thickTop="1">
      <c r="A5631" s="51"/>
      <c r="B5631" s="41"/>
      <c r="C5631" s="51"/>
      <c r="E5631" s="42" t="s">
        <v>138</v>
      </c>
      <c r="F5631" s="42" t="s">
        <v>139</v>
      </c>
      <c r="G5631" s="51"/>
      <c r="H5631" s="51"/>
      <c r="I5631" s="51"/>
      <c r="J5631" s="51"/>
      <c r="K5631" s="51" t="s">
        <v>140</v>
      </c>
      <c r="L5631" s="51"/>
      <c r="M5631" s="51"/>
      <c r="N5631" s="51"/>
      <c r="O5631" s="52"/>
      <c r="P5631" s="51"/>
      <c r="Q5631" s="51"/>
      <c r="R5631" s="51"/>
      <c r="S5631" s="51"/>
      <c r="T5631" s="41"/>
      <c r="AG5631" s="521" t="s">
        <v>268</v>
      </c>
      <c r="AH5631" s="521" t="s">
        <v>269</v>
      </c>
      <c r="AI5631" s="521" t="s">
        <v>270</v>
      </c>
      <c r="AJ5631" s="521" t="s">
        <v>271</v>
      </c>
      <c r="AK5631" s="521" t="s">
        <v>272</v>
      </c>
      <c r="AM5631" s="745" t="s">
        <v>281</v>
      </c>
      <c r="AN5631" s="746" t="s">
        <v>282</v>
      </c>
      <c r="AO5631" s="522" t="s">
        <v>278</v>
      </c>
      <c r="AR5631" s="51"/>
      <c r="AS5631" s="42" t="s">
        <v>139</v>
      </c>
    </row>
    <row r="5632" spans="1:45" s="520" customFormat="1" ht="12" customHeight="1">
      <c r="A5632" s="747">
        <v>90</v>
      </c>
      <c r="B5632" s="523" t="s">
        <v>320</v>
      </c>
      <c r="C5632" s="748"/>
      <c r="D5632" s="749" t="s">
        <v>1921</v>
      </c>
      <c r="E5632" s="750">
        <f ca="1">IF(AND($A5632=0,$A$1="DIF"),0, ROUND(ROUND(($R5639*$S$2+($T5639*$T$2))/A5632,2)*$C$2,2))</f>
        <v>26.03</v>
      </c>
      <c r="F5632" s="751">
        <f ca="1">ROUND($A5632*$E5632,2)</f>
        <v>2342.6999999999998</v>
      </c>
      <c r="G5632" s="752" t="s">
        <v>142</v>
      </c>
      <c r="H5632" s="753"/>
      <c r="I5632" s="754"/>
      <c r="J5632" s="753"/>
      <c r="K5632" s="753" t="s">
        <v>3</v>
      </c>
      <c r="L5632" s="755" t="s">
        <v>143</v>
      </c>
      <c r="M5632" s="755"/>
      <c r="N5632" s="755"/>
      <c r="O5632" s="755"/>
      <c r="P5632" s="755"/>
      <c r="Q5632" s="51"/>
      <c r="T5632" s="756" t="str">
        <f ca="1">IF(AND($R5639=0,$T5639=0),"0.00","mu :" &amp; ROUND($F5632/$C$2/($R5639+$T5639*$D$9),2))</f>
        <v>mu :1.23</v>
      </c>
      <c r="W5632" s="524"/>
      <c r="AG5632" s="481">
        <f ca="1">IF($E5632=0,0,ROUND($R5639*$S$2*$C$2/$A5632,2))</f>
        <v>12.17</v>
      </c>
      <c r="AH5632" s="481">
        <f ca="1">$AG5632*$A5632</f>
        <v>1095.3</v>
      </c>
      <c r="AI5632" s="525">
        <f ca="1">$E5632-$AG5632</f>
        <v>13.860000000000001</v>
      </c>
      <c r="AJ5632" s="525">
        <f ca="1">$A5632*$AI5632</f>
        <v>1247.4000000000001</v>
      </c>
      <c r="AK5632" s="526">
        <f ca="1">ROUND(($AG5632+$AI5632)*$A5632,2)</f>
        <v>2342.6999999999998</v>
      </c>
      <c r="AM5632" s="527">
        <f ca="1">ROUND(R5639,2)</f>
        <v>889.2</v>
      </c>
      <c r="AN5632" s="528">
        <f ca="1">ROUND(T5639,2)</f>
        <v>36.9</v>
      </c>
      <c r="AO5632" s="529">
        <f ca="1">ROUND(AM5632+AN5632,2)*A5632</f>
        <v>83349</v>
      </c>
      <c r="AR5632" s="747">
        <v>90</v>
      </c>
      <c r="AS5632" s="751">
        <v>2464.1999999999998</v>
      </c>
    </row>
    <row r="5633" spans="1:45" s="520" customFormat="1" ht="13.2">
      <c r="A5633" s="748"/>
      <c r="B5633"/>
      <c r="C5633" s="748"/>
      <c r="D5633" s="749" t="s">
        <v>915</v>
      </c>
      <c r="F5633" s="753"/>
      <c r="G5633" s="3"/>
      <c r="H5633" s="753"/>
      <c r="I5633" s="754"/>
      <c r="J5633" s="753"/>
      <c r="K5633" s="753" t="s">
        <v>144</v>
      </c>
      <c r="L5633" s="753"/>
      <c r="M5633" s="753"/>
      <c r="N5633" s="753"/>
      <c r="O5633" s="753"/>
      <c r="P5633" s="753"/>
      <c r="Q5633" s="51"/>
      <c r="R5633" s="530"/>
      <c r="S5633" s="757"/>
      <c r="T5633" s="753"/>
      <c r="AR5633" s="748"/>
      <c r="AS5633" s="753"/>
    </row>
    <row r="5634" spans="1:45" s="886" customFormat="1" ht="13.2">
      <c r="A5634"/>
      <c r="B5634" s="910"/>
      <c r="C5634" s="910" t="s">
        <v>2597</v>
      </c>
      <c r="D5634" s="910" t="str">
        <f ca="1">CELL("Address",Elec_Rates!D$762)</f>
        <v>[E25_0062_Quintano_Foods_Elec_ELV_As_Awarded.xlsx]Elec_Rates!$D$762</v>
      </c>
      <c r="E5634" s="911"/>
      <c r="F5634" s="911"/>
      <c r="G5634" s="912" t="s">
        <v>2598</v>
      </c>
      <c r="H5634" s="912"/>
      <c r="I5634" s="912"/>
      <c r="J5634" s="912"/>
      <c r="K5634" s="913"/>
      <c r="L5634" s="911"/>
      <c r="M5634" s="911"/>
      <c r="N5634" s="911"/>
      <c r="O5634" s="914"/>
      <c r="P5634" s="911"/>
      <c r="Q5634" s="915"/>
      <c r="R5634" s="916"/>
      <c r="S5634" s="915"/>
      <c r="T5634" s="917"/>
      <c r="U5634" s="918"/>
      <c r="AR5634"/>
      <c r="AS5634" s="911"/>
    </row>
    <row r="5635" spans="1:45" s="886" customFormat="1" ht="11.4">
      <c r="A5635" s="919">
        <v>90</v>
      </c>
      <c r="B5635" s="920">
        <v>1</v>
      </c>
      <c r="C5635" s="920">
        <f>$A5635*$B5635</f>
        <v>90</v>
      </c>
      <c r="D5635" s="921" t="str">
        <f>Elec_Rates!$D$762</f>
        <v>073# 300mm cable Tray</v>
      </c>
      <c r="E5635" s="921"/>
      <c r="F5635" s="921" t="s">
        <v>2599</v>
      </c>
      <c r="G5635" s="922" t="s">
        <v>2600</v>
      </c>
      <c r="H5635" s="922"/>
      <c r="I5635" s="922"/>
      <c r="J5635" s="922"/>
      <c r="K5635" s="923"/>
      <c r="L5635" s="918"/>
      <c r="M5635" s="918"/>
      <c r="N5635" s="918"/>
      <c r="O5635" s="924"/>
      <c r="P5635" s="921"/>
      <c r="Q5635" s="925">
        <f ca="1">$B5635*Elec_Rates!$R$762</f>
        <v>7.4</v>
      </c>
      <c r="R5635" s="916">
        <f ca="1">$A5635*Q5635</f>
        <v>666</v>
      </c>
      <c r="S5635" s="925">
        <f ca="1">$B5635*Elec_Rates!$T$762</f>
        <v>0.32</v>
      </c>
      <c r="T5635" s="917">
        <f ca="1">$A5635*S5635</f>
        <v>28.8</v>
      </c>
      <c r="U5635" s="926"/>
      <c r="AR5635" s="919">
        <v>90</v>
      </c>
      <c r="AS5635" s="921" t="s">
        <v>2599</v>
      </c>
    </row>
    <row r="5636" spans="1:45" s="886" customFormat="1" ht="13.2">
      <c r="A5636"/>
      <c r="B5636" s="910"/>
      <c r="C5636" s="910" t="s">
        <v>2597</v>
      </c>
      <c r="D5636" s="910" t="str">
        <f ca="1">CELL("Address",Elec_Rates!D$920)</f>
        <v>[E25_0062_Quintano_Foods_Elec_ELV_As_Awarded.xlsx]Elec_Rates!$D$920</v>
      </c>
      <c r="E5636" s="911"/>
      <c r="F5636" s="911"/>
      <c r="G5636" s="912" t="s">
        <v>2598</v>
      </c>
      <c r="H5636" s="912"/>
      <c r="I5636" s="912"/>
      <c r="J5636" s="912"/>
      <c r="K5636" s="913"/>
      <c r="L5636" s="911"/>
      <c r="M5636" s="911"/>
      <c r="N5636" s="911"/>
      <c r="O5636" s="914"/>
      <c r="P5636" s="911"/>
      <c r="Q5636" s="915"/>
      <c r="R5636" s="916"/>
      <c r="S5636" s="915"/>
      <c r="T5636" s="917"/>
      <c r="U5636" s="918"/>
      <c r="AR5636"/>
      <c r="AS5636" s="911"/>
    </row>
    <row r="5637" spans="1:45" s="886" customFormat="1" ht="11.4">
      <c r="A5637" s="919">
        <v>90</v>
      </c>
      <c r="B5637" s="920">
        <v>1</v>
      </c>
      <c r="C5637" s="920">
        <f>$A5637*$B5637</f>
        <v>90</v>
      </c>
      <c r="D5637" s="921" t="str">
        <f>Elec_Rates!$D$920</f>
        <v>085# Bracket for 200-300mm cable tray/basket</v>
      </c>
      <c r="E5637" s="921"/>
      <c r="F5637" s="921" t="s">
        <v>2599</v>
      </c>
      <c r="G5637" s="922" t="s">
        <v>2601</v>
      </c>
      <c r="H5637" s="922"/>
      <c r="I5637" s="922"/>
      <c r="J5637" s="922"/>
      <c r="K5637" s="923"/>
      <c r="L5637" s="918"/>
      <c r="M5637" s="918"/>
      <c r="N5637" s="918"/>
      <c r="O5637" s="924"/>
      <c r="P5637" s="921"/>
      <c r="Q5637" s="925">
        <f ca="1">$B5637*Elec_Rates!$R$920</f>
        <v>2.48</v>
      </c>
      <c r="R5637" s="916">
        <f ca="1">$A5637*Q5637</f>
        <v>223.2</v>
      </c>
      <c r="S5637" s="925">
        <f ca="1">$B5637*Elec_Rates!$T$920</f>
        <v>0.09</v>
      </c>
      <c r="T5637" s="917">
        <f ca="1">$A5637*S5637</f>
        <v>8.1</v>
      </c>
      <c r="U5637" s="926"/>
      <c r="AR5637" s="919">
        <v>90</v>
      </c>
      <c r="AS5637" s="921" t="s">
        <v>2599</v>
      </c>
    </row>
    <row r="5638" spans="1:45" s="520" customFormat="1" ht="12">
      <c r="A5638" s="758"/>
      <c r="B5638" s="758"/>
      <c r="C5638" s="758"/>
      <c r="D5638" s="758"/>
      <c r="E5638" s="758"/>
      <c r="F5638" s="753"/>
      <c r="G5638" s="758"/>
      <c r="H5638" s="758"/>
      <c r="I5638" s="519"/>
      <c r="J5638" s="758"/>
      <c r="K5638" s="758"/>
      <c r="L5638" s="758"/>
      <c r="M5638" s="758"/>
      <c r="N5638" s="758"/>
      <c r="O5638" s="758"/>
      <c r="P5638" s="758"/>
      <c r="Q5638" s="519"/>
      <c r="R5638" s="759">
        <f t="shared" ref="R5638" si="308">$A5638*Q5638</f>
        <v>0</v>
      </c>
      <c r="S5638" s="519"/>
      <c r="T5638" s="760">
        <f t="shared" ref="T5638" si="309">$A5638*S5638*$T$1</f>
        <v>0</v>
      </c>
      <c r="AR5638" s="758"/>
      <c r="AS5638" s="753"/>
    </row>
    <row r="5639" spans="1:45" s="520" customFormat="1" ht="12.6" thickBot="1">
      <c r="A5639" s="761" t="s">
        <v>145</v>
      </c>
      <c r="B5639" s="762">
        <f>(R5638+T5638)</f>
        <v>0</v>
      </c>
      <c r="C5639" s="763"/>
      <c r="D5639" s="763"/>
      <c r="E5639" s="763"/>
      <c r="F5639" s="764"/>
      <c r="G5639" s="763" t="s">
        <v>146</v>
      </c>
      <c r="H5639" s="763"/>
      <c r="I5639" s="765"/>
      <c r="J5639" s="763"/>
      <c r="K5639" s="763" t="s">
        <v>3</v>
      </c>
      <c r="L5639" s="766" t="s">
        <v>143</v>
      </c>
      <c r="M5639" s="766"/>
      <c r="N5639" s="766"/>
      <c r="O5639" s="766"/>
      <c r="P5639" s="766"/>
      <c r="Q5639" s="767"/>
      <c r="R5639" s="768">
        <f ca="1">SUM(R5633:R5638)</f>
        <v>889.2</v>
      </c>
      <c r="S5639" s="763"/>
      <c r="T5639" s="768">
        <f ca="1">SUM(T5633:T5638)</f>
        <v>36.9</v>
      </c>
      <c r="U5639" s="531"/>
      <c r="V5639" s="531"/>
      <c r="W5639" s="531"/>
      <c r="X5639" s="531"/>
      <c r="Y5639" s="531"/>
      <c r="Z5639" s="531"/>
      <c r="AA5639" s="531"/>
      <c r="AB5639" s="531"/>
      <c r="AC5639" s="531"/>
      <c r="AD5639" s="531"/>
      <c r="AE5639" s="531"/>
      <c r="AF5639" s="531"/>
      <c r="AG5639" s="531"/>
      <c r="AH5639" s="531"/>
      <c r="AI5639" s="531"/>
      <c r="AJ5639" s="531"/>
      <c r="AK5639" s="531"/>
      <c r="AL5639" s="531"/>
      <c r="AM5639" s="531"/>
      <c r="AN5639" s="531"/>
      <c r="AO5639" s="531"/>
      <c r="AR5639" s="761" t="s">
        <v>145</v>
      </c>
      <c r="AS5639" s="764"/>
    </row>
    <row r="5640" spans="1:45" s="520" customFormat="1" ht="12" thickTop="1">
      <c r="A5640" s="51"/>
      <c r="B5640" s="41"/>
      <c r="C5640" s="51"/>
      <c r="E5640" s="42" t="s">
        <v>138</v>
      </c>
      <c r="F5640" s="42" t="s">
        <v>139</v>
      </c>
      <c r="G5640" s="51"/>
      <c r="H5640" s="51"/>
      <c r="I5640" s="51"/>
      <c r="J5640" s="51"/>
      <c r="K5640" s="51" t="s">
        <v>140</v>
      </c>
      <c r="L5640" s="51"/>
      <c r="M5640" s="51"/>
      <c r="N5640" s="51"/>
      <c r="O5640" s="52"/>
      <c r="P5640" s="51"/>
      <c r="Q5640" s="51"/>
      <c r="R5640" s="51"/>
      <c r="S5640" s="51"/>
      <c r="T5640" s="41"/>
      <c r="AG5640" s="521" t="s">
        <v>268</v>
      </c>
      <c r="AH5640" s="521" t="s">
        <v>269</v>
      </c>
      <c r="AI5640" s="521" t="s">
        <v>270</v>
      </c>
      <c r="AJ5640" s="521" t="s">
        <v>271</v>
      </c>
      <c r="AK5640" s="521" t="s">
        <v>272</v>
      </c>
      <c r="AM5640" s="745" t="s">
        <v>281</v>
      </c>
      <c r="AN5640" s="746" t="s">
        <v>282</v>
      </c>
      <c r="AO5640" s="522" t="s">
        <v>278</v>
      </c>
      <c r="AR5640" s="51"/>
      <c r="AS5640" s="42" t="s">
        <v>139</v>
      </c>
    </row>
    <row r="5641" spans="1:45" s="520" customFormat="1" ht="12" customHeight="1">
      <c r="A5641" s="747">
        <v>90</v>
      </c>
      <c r="B5641" s="523" t="s">
        <v>320</v>
      </c>
      <c r="C5641" s="748"/>
      <c r="D5641" s="749" t="s">
        <v>1923</v>
      </c>
      <c r="E5641" s="750">
        <f ca="1">IF(AND($A5641=0,$A$1="DIF"),0, ROUND(ROUND(($R5648*$S$2+($T5648*$T$2))/A5641,2)*$C$2,2))</f>
        <v>50.49</v>
      </c>
      <c r="F5641" s="751">
        <f ca="1">ROUND($A5641*$E5641,2)</f>
        <v>4544.1000000000004</v>
      </c>
      <c r="G5641" s="752" t="s">
        <v>142</v>
      </c>
      <c r="H5641" s="753"/>
      <c r="I5641" s="754"/>
      <c r="J5641" s="753"/>
      <c r="K5641" s="753" t="s">
        <v>3</v>
      </c>
      <c r="L5641" s="755" t="s">
        <v>143</v>
      </c>
      <c r="M5641" s="755"/>
      <c r="N5641" s="755"/>
      <c r="O5641" s="755"/>
      <c r="P5641" s="755"/>
      <c r="Q5641" s="51"/>
      <c r="T5641" s="756" t="str">
        <f ca="1">IF(AND($R5648=0,$T5648=0),"0.00","mu :" &amp; ROUND($F5641/$C$2/($R5648+$T5648*$D$9),2))</f>
        <v>mu :1.23</v>
      </c>
      <c r="W5641" s="524"/>
      <c r="AG5641" s="481">
        <f ca="1">IF($E5641=0,0,ROUND($R5648*$S$2*$C$2/$A5641,2))</f>
        <v>33.25</v>
      </c>
      <c r="AH5641" s="481">
        <f ca="1">$AG5641*$A5641</f>
        <v>2992.5</v>
      </c>
      <c r="AI5641" s="525">
        <f ca="1">$E5641-$AG5641</f>
        <v>17.240000000000002</v>
      </c>
      <c r="AJ5641" s="525">
        <f ca="1">$A5641*$AI5641</f>
        <v>1551.6000000000001</v>
      </c>
      <c r="AK5641" s="526">
        <f ca="1">ROUND(($AG5641+$AI5641)*$A5641,2)</f>
        <v>4544.1000000000004</v>
      </c>
      <c r="AM5641" s="527">
        <f ca="1">ROUND(R5648,2)</f>
        <v>2430</v>
      </c>
      <c r="AN5641" s="528">
        <f ca="1">ROUND(T5648,2)</f>
        <v>45.9</v>
      </c>
      <c r="AO5641" s="529">
        <f ca="1">ROUND(AM5641+AN5641,2)*A5641</f>
        <v>222831</v>
      </c>
      <c r="AR5641" s="747">
        <v>90</v>
      </c>
      <c r="AS5641" s="751">
        <v>4726.8</v>
      </c>
    </row>
    <row r="5642" spans="1:45" s="520" customFormat="1" ht="13.2">
      <c r="A5642" s="748"/>
      <c r="B5642"/>
      <c r="C5642" s="748"/>
      <c r="D5642" s="749" t="s">
        <v>916</v>
      </c>
      <c r="F5642" s="753"/>
      <c r="G5642" s="3"/>
      <c r="H5642" s="753"/>
      <c r="I5642" s="754"/>
      <c r="J5642" s="753"/>
      <c r="K5642" s="753" t="s">
        <v>144</v>
      </c>
      <c r="L5642" s="753"/>
      <c r="M5642" s="753"/>
      <c r="N5642" s="753"/>
      <c r="O5642" s="753"/>
      <c r="P5642" s="753"/>
      <c r="Q5642" s="51"/>
      <c r="R5642" s="530"/>
      <c r="S5642" s="757"/>
      <c r="T5642" s="753"/>
      <c r="AR5642" s="748"/>
      <c r="AS5642" s="753"/>
    </row>
    <row r="5643" spans="1:45" s="886" customFormat="1" ht="13.2">
      <c r="A5643"/>
      <c r="B5643" s="910"/>
      <c r="C5643" s="910" t="s">
        <v>2597</v>
      </c>
      <c r="D5643" s="910" t="str">
        <f ca="1">CELL("Address",Elec_Rates!D$751)</f>
        <v>[E25_0062_Quintano_Foods_Elec_ELV_As_Awarded.xlsx]Elec_Rates!$D$751</v>
      </c>
      <c r="E5643" s="911"/>
      <c r="F5643" s="911"/>
      <c r="G5643" s="912" t="s">
        <v>2598</v>
      </c>
      <c r="H5643" s="912"/>
      <c r="I5643" s="912"/>
      <c r="J5643" s="912"/>
      <c r="K5643" s="913"/>
      <c r="L5643" s="911"/>
      <c r="M5643" s="911"/>
      <c r="N5643" s="911"/>
      <c r="O5643" s="914"/>
      <c r="P5643" s="911"/>
      <c r="Q5643" s="915"/>
      <c r="R5643" s="916"/>
      <c r="S5643" s="915"/>
      <c r="T5643" s="917"/>
      <c r="U5643" s="918"/>
      <c r="AR5643"/>
      <c r="AS5643" s="911"/>
    </row>
    <row r="5644" spans="1:45" s="886" customFormat="1" ht="11.4">
      <c r="A5644" s="919">
        <v>90</v>
      </c>
      <c r="B5644" s="920">
        <v>1</v>
      </c>
      <c r="C5644" s="920">
        <f>$A5644*$B5644</f>
        <v>90</v>
      </c>
      <c r="D5644" s="921" t="str">
        <f>Elec_Rates!$D$751</f>
        <v>072# 400mm cable Tray</v>
      </c>
      <c r="E5644" s="921"/>
      <c r="F5644" s="921" t="s">
        <v>2599</v>
      </c>
      <c r="G5644" s="922" t="s">
        <v>2601</v>
      </c>
      <c r="H5644" s="922"/>
      <c r="I5644" s="922"/>
      <c r="J5644" s="922"/>
      <c r="K5644" s="923"/>
      <c r="L5644" s="918"/>
      <c r="M5644" s="918"/>
      <c r="N5644" s="918"/>
      <c r="O5644" s="924"/>
      <c r="P5644" s="921"/>
      <c r="Q5644" s="925">
        <f ca="1">$B5644*Elec_Rates!$R$751</f>
        <v>10.63</v>
      </c>
      <c r="R5644" s="916">
        <f ca="1">$A5644*Q5644</f>
        <v>956.7</v>
      </c>
      <c r="S5644" s="925">
        <f ca="1">$B5644*Elec_Rates!$T$751</f>
        <v>0.36</v>
      </c>
      <c r="T5644" s="917">
        <f ca="1">$A5644*S5644</f>
        <v>32.4</v>
      </c>
      <c r="U5644" s="926"/>
      <c r="AR5644" s="919">
        <v>90</v>
      </c>
      <c r="AS5644" s="921" t="s">
        <v>2599</v>
      </c>
    </row>
    <row r="5645" spans="1:45" s="886" customFormat="1" ht="13.2">
      <c r="A5645"/>
      <c r="B5645" s="910"/>
      <c r="C5645" s="910" t="s">
        <v>2597</v>
      </c>
      <c r="D5645" s="910" t="str">
        <f ca="1">CELL("Address",Elec_Rates!D$933)</f>
        <v>[E25_0062_Quintano_Foods_Elec_ELV_As_Awarded.xlsx]Elec_Rates!$D$933</v>
      </c>
      <c r="E5645" s="911"/>
      <c r="F5645" s="911"/>
      <c r="G5645" s="912" t="s">
        <v>2598</v>
      </c>
      <c r="H5645" s="912"/>
      <c r="I5645" s="912"/>
      <c r="J5645" s="912"/>
      <c r="K5645" s="913"/>
      <c r="L5645" s="911"/>
      <c r="M5645" s="911"/>
      <c r="N5645" s="911"/>
      <c r="O5645" s="914"/>
      <c r="P5645" s="911"/>
      <c r="Q5645" s="915"/>
      <c r="R5645" s="916"/>
      <c r="S5645" s="915"/>
      <c r="T5645" s="917"/>
      <c r="U5645" s="918"/>
      <c r="AR5645"/>
      <c r="AS5645" s="911"/>
    </row>
    <row r="5646" spans="1:45" s="886" customFormat="1" ht="11.4">
      <c r="A5646" s="919">
        <v>90</v>
      </c>
      <c r="B5646" s="920">
        <v>1</v>
      </c>
      <c r="C5646" s="920">
        <f>$A5646*$B5646</f>
        <v>90</v>
      </c>
      <c r="D5646" s="921" t="str">
        <f>Elec_Rates!$D$933</f>
        <v>086# Bracket for 400-600mm cable tray/basket</v>
      </c>
      <c r="E5646" s="921"/>
      <c r="F5646" s="921" t="s">
        <v>2599</v>
      </c>
      <c r="G5646" s="922" t="s">
        <v>2600</v>
      </c>
      <c r="H5646" s="922"/>
      <c r="I5646" s="922"/>
      <c r="J5646" s="922"/>
      <c r="K5646" s="923"/>
      <c r="L5646" s="918"/>
      <c r="M5646" s="918"/>
      <c r="N5646" s="918"/>
      <c r="O5646" s="924"/>
      <c r="P5646" s="921"/>
      <c r="Q5646" s="925">
        <f ca="1">$B5646*Elec_Rates!$R$933</f>
        <v>16.37</v>
      </c>
      <c r="R5646" s="916">
        <f ca="1">$A5646*Q5646</f>
        <v>1473.3000000000002</v>
      </c>
      <c r="S5646" s="925">
        <f ca="1">$B5646*Elec_Rates!$T$933</f>
        <v>0.15</v>
      </c>
      <c r="T5646" s="917">
        <f ca="1">$A5646*S5646</f>
        <v>13.5</v>
      </c>
      <c r="U5646" s="926"/>
      <c r="AR5646" s="919">
        <v>90</v>
      </c>
      <c r="AS5646" s="921" t="s">
        <v>2599</v>
      </c>
    </row>
    <row r="5647" spans="1:45" s="520" customFormat="1" ht="12">
      <c r="A5647" s="758"/>
      <c r="B5647" s="758"/>
      <c r="C5647" s="758"/>
      <c r="D5647" s="758"/>
      <c r="E5647" s="758"/>
      <c r="F5647" s="753"/>
      <c r="G5647" s="758"/>
      <c r="H5647" s="758"/>
      <c r="I5647" s="519"/>
      <c r="J5647" s="758"/>
      <c r="K5647" s="758"/>
      <c r="L5647" s="758"/>
      <c r="M5647" s="758"/>
      <c r="N5647" s="758"/>
      <c r="O5647" s="758"/>
      <c r="P5647" s="758"/>
      <c r="Q5647" s="519"/>
      <c r="R5647" s="759">
        <f t="shared" ref="R5647" si="310">$A5647*Q5647</f>
        <v>0</v>
      </c>
      <c r="S5647" s="519"/>
      <c r="T5647" s="760">
        <f t="shared" ref="T5647" si="311">$A5647*S5647*$T$1</f>
        <v>0</v>
      </c>
      <c r="AR5647" s="758"/>
      <c r="AS5647" s="753"/>
    </row>
    <row r="5648" spans="1:45" s="520" customFormat="1" ht="12.6" thickBot="1">
      <c r="A5648" s="761" t="s">
        <v>145</v>
      </c>
      <c r="B5648" s="762">
        <f>(R5647+T5647)</f>
        <v>0</v>
      </c>
      <c r="C5648" s="763"/>
      <c r="D5648" s="763"/>
      <c r="E5648" s="763"/>
      <c r="F5648" s="764"/>
      <c r="G5648" s="763" t="s">
        <v>146</v>
      </c>
      <c r="H5648" s="763"/>
      <c r="I5648" s="765"/>
      <c r="J5648" s="763"/>
      <c r="K5648" s="763" t="s">
        <v>3</v>
      </c>
      <c r="L5648" s="766" t="s">
        <v>143</v>
      </c>
      <c r="M5648" s="766"/>
      <c r="N5648" s="766"/>
      <c r="O5648" s="766"/>
      <c r="P5648" s="766"/>
      <c r="Q5648" s="767"/>
      <c r="R5648" s="768">
        <f ca="1">SUM(R5642:R5647)</f>
        <v>2430</v>
      </c>
      <c r="S5648" s="763"/>
      <c r="T5648" s="768">
        <f ca="1">SUM(T5642:T5647)</f>
        <v>45.9</v>
      </c>
      <c r="U5648" s="531"/>
      <c r="V5648" s="531"/>
      <c r="W5648" s="531"/>
      <c r="X5648" s="531"/>
      <c r="Y5648" s="531"/>
      <c r="Z5648" s="531"/>
      <c r="AA5648" s="531"/>
      <c r="AB5648" s="531"/>
      <c r="AC5648" s="531"/>
      <c r="AD5648" s="531"/>
      <c r="AE5648" s="531"/>
      <c r="AF5648" s="531"/>
      <c r="AG5648" s="531"/>
      <c r="AH5648" s="531"/>
      <c r="AI5648" s="531"/>
      <c r="AJ5648" s="531"/>
      <c r="AK5648" s="531"/>
      <c r="AL5648" s="531"/>
      <c r="AM5648" s="531"/>
      <c r="AN5648" s="531"/>
      <c r="AO5648" s="531"/>
      <c r="AR5648" s="761" t="s">
        <v>145</v>
      </c>
      <c r="AS5648" s="764"/>
    </row>
    <row r="5649" spans="1:45" s="520" customFormat="1" ht="12" thickTop="1">
      <c r="A5649" s="51"/>
      <c r="B5649" s="41"/>
      <c r="C5649" s="51"/>
      <c r="E5649" s="42" t="s">
        <v>138</v>
      </c>
      <c r="F5649" s="42" t="s">
        <v>139</v>
      </c>
      <c r="G5649" s="51"/>
      <c r="H5649" s="51"/>
      <c r="I5649" s="51"/>
      <c r="J5649" s="51"/>
      <c r="K5649" s="51" t="s">
        <v>140</v>
      </c>
      <c r="L5649" s="51"/>
      <c r="M5649" s="51"/>
      <c r="N5649" s="51"/>
      <c r="O5649" s="52"/>
      <c r="P5649" s="51"/>
      <c r="Q5649" s="51"/>
      <c r="R5649" s="51"/>
      <c r="S5649" s="51"/>
      <c r="T5649" s="41"/>
      <c r="AG5649" s="521" t="s">
        <v>268</v>
      </c>
      <c r="AH5649" s="521" t="s">
        <v>269</v>
      </c>
      <c r="AI5649" s="521" t="s">
        <v>270</v>
      </c>
      <c r="AJ5649" s="521" t="s">
        <v>271</v>
      </c>
      <c r="AK5649" s="521" t="s">
        <v>272</v>
      </c>
      <c r="AM5649" s="745" t="s">
        <v>281</v>
      </c>
      <c r="AN5649" s="746" t="s">
        <v>282</v>
      </c>
      <c r="AO5649" s="522" t="s">
        <v>278</v>
      </c>
      <c r="AR5649" s="51"/>
      <c r="AS5649" s="42" t="s">
        <v>139</v>
      </c>
    </row>
    <row r="5650" spans="1:45" s="520" customFormat="1" ht="12" customHeight="1">
      <c r="A5650" s="747">
        <v>230</v>
      </c>
      <c r="B5650" s="523" t="s">
        <v>320</v>
      </c>
      <c r="C5650" s="748"/>
      <c r="D5650" s="749" t="s">
        <v>1925</v>
      </c>
      <c r="E5650" s="750">
        <f ca="1">IF(AND($A5650=0,$A$1="DIF"),0, ROUND(ROUND(($R5657*$S$2+($T5657*$T$2))/A5650,2)*$C$2,2))</f>
        <v>55.26</v>
      </c>
      <c r="F5650" s="751">
        <f ca="1">ROUND($A5650*$E5650,2)</f>
        <v>12709.8</v>
      </c>
      <c r="G5650" s="752" t="s">
        <v>142</v>
      </c>
      <c r="H5650" s="753"/>
      <c r="I5650" s="754"/>
      <c r="J5650" s="753"/>
      <c r="K5650" s="753" t="s">
        <v>3</v>
      </c>
      <c r="L5650" s="755" t="s">
        <v>143</v>
      </c>
      <c r="M5650" s="755"/>
      <c r="N5650" s="755"/>
      <c r="O5650" s="755"/>
      <c r="P5650" s="755"/>
      <c r="Q5650" s="51"/>
      <c r="T5650" s="756" t="str">
        <f ca="1">IF(AND($R5657=0,$T5657=0),"0.00","mu :" &amp; ROUND($F5650/$C$2/($R5657+$T5657*$D$9),2))</f>
        <v>mu :1.23</v>
      </c>
      <c r="W5650" s="524"/>
      <c r="AG5650" s="481">
        <f ca="1">IF($E5650=0,0,ROUND($R5657*$S$2*$C$2/$A5650,2))</f>
        <v>36.32</v>
      </c>
      <c r="AH5650" s="481">
        <f ca="1">$AG5650*$A5650</f>
        <v>8353.6</v>
      </c>
      <c r="AI5650" s="525">
        <f ca="1">$E5650-$AG5650</f>
        <v>18.939999999999998</v>
      </c>
      <c r="AJ5650" s="525">
        <f ca="1">$A5650*$AI5650</f>
        <v>4356.2</v>
      </c>
      <c r="AK5650" s="526">
        <f ca="1">ROUND(($AG5650+$AI5650)*$A5650,2)</f>
        <v>12709.8</v>
      </c>
      <c r="AM5650" s="527">
        <f ca="1">ROUND(R5657,2)</f>
        <v>6785</v>
      </c>
      <c r="AN5650" s="528">
        <f ca="1">ROUND(T5657,2)</f>
        <v>128.80000000000001</v>
      </c>
      <c r="AO5650" s="529">
        <f ca="1">ROUND(AM5650+AN5650,2)*A5650</f>
        <v>1590174</v>
      </c>
      <c r="AR5650" s="747">
        <v>230</v>
      </c>
      <c r="AS5650" s="751">
        <v>13176.7</v>
      </c>
    </row>
    <row r="5651" spans="1:45" s="520" customFormat="1" ht="13.2">
      <c r="A5651" s="748"/>
      <c r="B5651"/>
      <c r="C5651" s="748"/>
      <c r="D5651" s="749" t="s">
        <v>917</v>
      </c>
      <c r="F5651" s="753"/>
      <c r="G5651" s="3"/>
      <c r="H5651" s="753"/>
      <c r="I5651" s="754"/>
      <c r="J5651" s="753"/>
      <c r="K5651" s="753" t="s">
        <v>144</v>
      </c>
      <c r="L5651" s="753"/>
      <c r="M5651" s="753"/>
      <c r="N5651" s="753"/>
      <c r="O5651" s="753"/>
      <c r="P5651" s="753"/>
      <c r="Q5651" s="51"/>
      <c r="R5651" s="530"/>
      <c r="S5651" s="757"/>
      <c r="T5651" s="753"/>
      <c r="AR5651" s="748"/>
      <c r="AS5651" s="753"/>
    </row>
    <row r="5652" spans="1:45" s="886" customFormat="1" ht="13.2">
      <c r="A5652"/>
      <c r="B5652" s="910"/>
      <c r="C5652" s="910" t="s">
        <v>2597</v>
      </c>
      <c r="D5652" s="910" t="str">
        <f ca="1">CELL("Address",Elec_Rates!D$739)</f>
        <v>[E25_0062_Quintano_Foods_Elec_ELV_As_Awarded.xlsx]Elec_Rates!$D$739</v>
      </c>
      <c r="E5652" s="911"/>
      <c r="F5652" s="911"/>
      <c r="G5652" s="912" t="s">
        <v>2598</v>
      </c>
      <c r="H5652" s="912"/>
      <c r="I5652" s="912"/>
      <c r="J5652" s="912"/>
      <c r="K5652" s="913"/>
      <c r="L5652" s="911"/>
      <c r="M5652" s="911"/>
      <c r="N5652" s="911"/>
      <c r="O5652" s="914"/>
      <c r="P5652" s="911"/>
      <c r="Q5652" s="915"/>
      <c r="R5652" s="916"/>
      <c r="S5652" s="915"/>
      <c r="T5652" s="917"/>
      <c r="U5652" s="918"/>
      <c r="AR5652"/>
      <c r="AS5652" s="911"/>
    </row>
    <row r="5653" spans="1:45" s="886" customFormat="1" ht="11.4">
      <c r="A5653" s="919">
        <v>230</v>
      </c>
      <c r="B5653" s="920">
        <v>1</v>
      </c>
      <c r="C5653" s="920">
        <f>$A5653*$B5653</f>
        <v>230</v>
      </c>
      <c r="D5653" s="921" t="str">
        <f>Elec_Rates!$D$739</f>
        <v>071# 500mm cable Tray</v>
      </c>
      <c r="E5653" s="921"/>
      <c r="F5653" s="921" t="s">
        <v>2599</v>
      </c>
      <c r="G5653" s="922" t="s">
        <v>2601</v>
      </c>
      <c r="H5653" s="922"/>
      <c r="I5653" s="922"/>
      <c r="J5653" s="922"/>
      <c r="K5653" s="923"/>
      <c r="L5653" s="918"/>
      <c r="M5653" s="918"/>
      <c r="N5653" s="918"/>
      <c r="O5653" s="924"/>
      <c r="P5653" s="921"/>
      <c r="Q5653" s="925">
        <f ca="1">$B5653*Elec_Rates!$R$739</f>
        <v>13.13</v>
      </c>
      <c r="R5653" s="916">
        <f ca="1">$A5653*Q5653</f>
        <v>3019.9</v>
      </c>
      <c r="S5653" s="925">
        <f ca="1">$B5653*Elec_Rates!$T$739</f>
        <v>0.41</v>
      </c>
      <c r="T5653" s="917">
        <f ca="1">$A5653*S5653</f>
        <v>94.3</v>
      </c>
      <c r="U5653" s="926"/>
      <c r="AR5653" s="919">
        <v>230</v>
      </c>
      <c r="AS5653" s="921" t="s">
        <v>2599</v>
      </c>
    </row>
    <row r="5654" spans="1:45" s="886" customFormat="1" ht="13.2">
      <c r="A5654"/>
      <c r="B5654" s="910"/>
      <c r="C5654" s="910" t="s">
        <v>2597</v>
      </c>
      <c r="D5654" s="910" t="str">
        <f ca="1">CELL("Address",Elec_Rates!D$933)</f>
        <v>[E25_0062_Quintano_Foods_Elec_ELV_As_Awarded.xlsx]Elec_Rates!$D$933</v>
      </c>
      <c r="E5654" s="911"/>
      <c r="F5654" s="911"/>
      <c r="G5654" s="912" t="s">
        <v>2598</v>
      </c>
      <c r="H5654" s="912"/>
      <c r="I5654" s="912"/>
      <c r="J5654" s="912"/>
      <c r="K5654" s="913"/>
      <c r="L5654" s="911"/>
      <c r="M5654" s="911"/>
      <c r="N5654" s="911"/>
      <c r="O5654" s="914"/>
      <c r="P5654" s="911"/>
      <c r="Q5654" s="915"/>
      <c r="R5654" s="916"/>
      <c r="S5654" s="915"/>
      <c r="T5654" s="917"/>
      <c r="U5654" s="918"/>
      <c r="AR5654"/>
      <c r="AS5654" s="911"/>
    </row>
    <row r="5655" spans="1:45" s="886" customFormat="1" ht="11.4">
      <c r="A5655" s="919">
        <v>230</v>
      </c>
      <c r="B5655" s="920">
        <v>1</v>
      </c>
      <c r="C5655" s="920">
        <f>$A5655*$B5655</f>
        <v>230</v>
      </c>
      <c r="D5655" s="921" t="str">
        <f>Elec_Rates!$D$933</f>
        <v>086# Bracket for 400-600mm cable tray/basket</v>
      </c>
      <c r="E5655" s="921"/>
      <c r="F5655" s="921" t="s">
        <v>2599</v>
      </c>
      <c r="G5655" s="922" t="s">
        <v>2600</v>
      </c>
      <c r="H5655" s="922"/>
      <c r="I5655" s="922"/>
      <c r="J5655" s="922"/>
      <c r="K5655" s="923"/>
      <c r="L5655" s="918"/>
      <c r="M5655" s="918"/>
      <c r="N5655" s="918"/>
      <c r="O5655" s="924"/>
      <c r="P5655" s="921"/>
      <c r="Q5655" s="925">
        <f ca="1">$B5655*Elec_Rates!$R$933</f>
        <v>16.37</v>
      </c>
      <c r="R5655" s="916">
        <f ca="1">$A5655*Q5655</f>
        <v>3765.1000000000004</v>
      </c>
      <c r="S5655" s="925">
        <f ca="1">$B5655*Elec_Rates!$T$933</f>
        <v>0.15</v>
      </c>
      <c r="T5655" s="917">
        <f ca="1">$A5655*S5655</f>
        <v>34.5</v>
      </c>
      <c r="U5655" s="926"/>
      <c r="AR5655" s="919">
        <v>230</v>
      </c>
      <c r="AS5655" s="921" t="s">
        <v>2599</v>
      </c>
    </row>
    <row r="5656" spans="1:45" s="520" customFormat="1" ht="12">
      <c r="A5656" s="758"/>
      <c r="B5656" s="758"/>
      <c r="C5656" s="758"/>
      <c r="D5656" s="758"/>
      <c r="E5656" s="758"/>
      <c r="F5656" s="753"/>
      <c r="G5656" s="758"/>
      <c r="H5656" s="758"/>
      <c r="I5656" s="519"/>
      <c r="J5656" s="758"/>
      <c r="K5656" s="758"/>
      <c r="L5656" s="758"/>
      <c r="M5656" s="758"/>
      <c r="N5656" s="758"/>
      <c r="O5656" s="758"/>
      <c r="P5656" s="758"/>
      <c r="Q5656" s="519"/>
      <c r="R5656" s="759">
        <f t="shared" ref="R5656" si="312">$A5656*Q5656</f>
        <v>0</v>
      </c>
      <c r="S5656" s="519"/>
      <c r="T5656" s="760">
        <f t="shared" ref="T5656" si="313">$A5656*S5656*$T$1</f>
        <v>0</v>
      </c>
      <c r="AR5656" s="758"/>
      <c r="AS5656" s="753"/>
    </row>
    <row r="5657" spans="1:45" s="520" customFormat="1" ht="12.6" thickBot="1">
      <c r="A5657" s="761" t="s">
        <v>145</v>
      </c>
      <c r="B5657" s="762">
        <f>(R5656+T5656)</f>
        <v>0</v>
      </c>
      <c r="C5657" s="763"/>
      <c r="D5657" s="763"/>
      <c r="E5657" s="763"/>
      <c r="F5657" s="764"/>
      <c r="G5657" s="763" t="s">
        <v>146</v>
      </c>
      <c r="H5657" s="763"/>
      <c r="I5657" s="765"/>
      <c r="J5657" s="763"/>
      <c r="K5657" s="763" t="s">
        <v>3</v>
      </c>
      <c r="L5657" s="766" t="s">
        <v>143</v>
      </c>
      <c r="M5657" s="766"/>
      <c r="N5657" s="766"/>
      <c r="O5657" s="766"/>
      <c r="P5657" s="766"/>
      <c r="Q5657" s="767"/>
      <c r="R5657" s="768">
        <f ca="1">SUM(R5651:R5656)</f>
        <v>6785</v>
      </c>
      <c r="S5657" s="763"/>
      <c r="T5657" s="768">
        <f ca="1">SUM(T5651:T5656)</f>
        <v>128.80000000000001</v>
      </c>
      <c r="U5657" s="531"/>
      <c r="V5657" s="531"/>
      <c r="W5657" s="531"/>
      <c r="X5657" s="531"/>
      <c r="Y5657" s="531"/>
      <c r="Z5657" s="531"/>
      <c r="AA5657" s="531"/>
      <c r="AB5657" s="531"/>
      <c r="AC5657" s="531"/>
      <c r="AD5657" s="531"/>
      <c r="AE5657" s="531"/>
      <c r="AF5657" s="531"/>
      <c r="AG5657" s="531"/>
      <c r="AH5657" s="531"/>
      <c r="AI5657" s="531"/>
      <c r="AJ5657" s="531"/>
      <c r="AK5657" s="531"/>
      <c r="AL5657" s="531"/>
      <c r="AM5657" s="531"/>
      <c r="AN5657" s="531"/>
      <c r="AO5657" s="531"/>
      <c r="AR5657" s="761" t="s">
        <v>145</v>
      </c>
      <c r="AS5657" s="764"/>
    </row>
    <row r="5658" spans="1:45" s="520" customFormat="1" thickTop="1">
      <c r="A5658" s="51"/>
      <c r="B5658" s="51"/>
      <c r="C5658" s="3"/>
      <c r="D5658" s="3"/>
      <c r="E5658" s="51"/>
      <c r="F5658" s="51"/>
      <c r="G5658" s="51"/>
      <c r="H5658" s="51"/>
      <c r="I5658" s="51"/>
      <c r="J5658" s="51"/>
      <c r="K5658" s="51" t="s">
        <v>134</v>
      </c>
      <c r="L5658" s="51"/>
      <c r="M5658" s="51"/>
      <c r="N5658" s="51"/>
      <c r="O5658" s="52"/>
      <c r="P5658" s="51"/>
      <c r="Q5658" s="51"/>
      <c r="R5658" s="51"/>
      <c r="S5658" s="51"/>
      <c r="T5658" s="51"/>
      <c r="AR5658" s="51"/>
      <c r="AS5658" s="51"/>
    </row>
    <row r="5659" spans="1:45" s="520" customFormat="1" ht="12">
      <c r="A5659" s="51"/>
      <c r="B5659" s="51"/>
      <c r="C5659" s="51" t="s">
        <v>135</v>
      </c>
      <c r="D5659" s="37"/>
      <c r="E5659" s="51"/>
      <c r="F5659" s="51"/>
      <c r="G5659" s="51"/>
      <c r="H5659" s="51"/>
      <c r="I5659" s="51"/>
      <c r="J5659" s="51"/>
      <c r="K5659" s="51"/>
      <c r="L5659" s="51"/>
      <c r="M5659" s="51"/>
      <c r="N5659" s="51"/>
      <c r="O5659" s="52"/>
      <c r="P5659" s="51"/>
      <c r="Q5659" s="51"/>
      <c r="R5659" s="51"/>
      <c r="S5659" s="51"/>
      <c r="T5659" s="51"/>
      <c r="AR5659" s="51"/>
      <c r="AS5659" s="51"/>
    </row>
    <row r="5660" spans="1:45" s="520" customFormat="1" ht="12">
      <c r="A5660" s="51"/>
      <c r="B5660" s="51"/>
      <c r="C5660" s="51"/>
      <c r="D5660" s="37" t="s">
        <v>918</v>
      </c>
      <c r="E5660" s="51"/>
      <c r="F5660" s="51"/>
      <c r="G5660" s="51"/>
      <c r="H5660" s="51"/>
      <c r="I5660" s="51"/>
      <c r="J5660" s="51"/>
      <c r="K5660" s="51"/>
      <c r="L5660" s="51"/>
      <c r="M5660" s="51"/>
      <c r="N5660" s="51"/>
      <c r="O5660" s="52"/>
      <c r="P5660" s="51"/>
      <c r="Q5660" s="51"/>
      <c r="R5660" s="51"/>
      <c r="S5660" s="38"/>
      <c r="T5660" s="38"/>
      <c r="AR5660" s="51"/>
      <c r="AS5660" s="51"/>
    </row>
    <row r="5661" spans="1:45" s="3" customFormat="1" thickBot="1">
      <c r="A5661" s="531"/>
      <c r="O5661" s="107"/>
      <c r="AR5661" s="531"/>
    </row>
    <row r="5662" spans="1:45" s="520" customFormat="1" ht="12" thickTop="1">
      <c r="A5662" s="51"/>
      <c r="B5662" s="41"/>
      <c r="C5662" s="51"/>
      <c r="E5662" s="42" t="s">
        <v>138</v>
      </c>
      <c r="F5662" s="42" t="s">
        <v>139</v>
      </c>
      <c r="G5662" s="51"/>
      <c r="H5662" s="51"/>
      <c r="I5662" s="51"/>
      <c r="J5662" s="51"/>
      <c r="K5662" s="51" t="s">
        <v>140</v>
      </c>
      <c r="L5662" s="51"/>
      <c r="M5662" s="51"/>
      <c r="N5662" s="51"/>
      <c r="O5662" s="52"/>
      <c r="P5662" s="51"/>
      <c r="Q5662" s="51"/>
      <c r="R5662" s="51"/>
      <c r="S5662" s="51"/>
      <c r="T5662" s="41"/>
      <c r="AG5662" s="521" t="s">
        <v>268</v>
      </c>
      <c r="AH5662" s="521" t="s">
        <v>269</v>
      </c>
      <c r="AI5662" s="521" t="s">
        <v>270</v>
      </c>
      <c r="AJ5662" s="521" t="s">
        <v>271</v>
      </c>
      <c r="AK5662" s="521" t="s">
        <v>272</v>
      </c>
      <c r="AM5662" s="745" t="s">
        <v>281</v>
      </c>
      <c r="AN5662" s="746" t="s">
        <v>282</v>
      </c>
      <c r="AO5662" s="522" t="s">
        <v>278</v>
      </c>
      <c r="AR5662" s="51"/>
      <c r="AS5662" s="42" t="s">
        <v>139</v>
      </c>
    </row>
    <row r="5663" spans="1:45" s="520" customFormat="1" ht="12" customHeight="1">
      <c r="A5663" s="747">
        <v>60</v>
      </c>
      <c r="B5663" s="523" t="s">
        <v>320</v>
      </c>
      <c r="C5663" s="748"/>
      <c r="D5663" s="749" t="s">
        <v>1927</v>
      </c>
      <c r="E5663" s="750">
        <f ca="1">IF(AND($A5663=0,$A$1="DIF"),0, ROUND(ROUND(($R5670*$S$2+($T5670*$T$2))/A5663,2)*$C$2,2))</f>
        <v>16.87</v>
      </c>
      <c r="F5663" s="751">
        <f ca="1">ROUND($A5663*$E5663,2)</f>
        <v>1012.2</v>
      </c>
      <c r="G5663" s="752" t="s">
        <v>142</v>
      </c>
      <c r="H5663" s="753"/>
      <c r="I5663" s="754"/>
      <c r="J5663" s="753"/>
      <c r="K5663" s="753" t="s">
        <v>3</v>
      </c>
      <c r="L5663" s="755" t="s">
        <v>143</v>
      </c>
      <c r="M5663" s="755"/>
      <c r="N5663" s="755"/>
      <c r="O5663" s="755"/>
      <c r="P5663" s="755"/>
      <c r="Q5663" s="51"/>
      <c r="T5663" s="756" t="str">
        <f ca="1">IF(AND($R5670=0,$T5670=0),"0.00","mu :" &amp; ROUND($F5663/$C$2/($R5670+$T5670*$D$9),2))</f>
        <v>mu :1.23</v>
      </c>
      <c r="W5663" s="524"/>
      <c r="AG5663" s="481">
        <f ca="1">IF($E5663=0,0,ROUND($R5670*$S$2*$C$2/$A5663,2))</f>
        <v>7.75</v>
      </c>
      <c r="AH5663" s="481">
        <f ca="1">$AG5663*$A5663</f>
        <v>465</v>
      </c>
      <c r="AI5663" s="525">
        <f ca="1">$E5663-$AG5663</f>
        <v>9.120000000000001</v>
      </c>
      <c r="AJ5663" s="525">
        <f ca="1">$A5663*$AI5663</f>
        <v>547.20000000000005</v>
      </c>
      <c r="AK5663" s="526">
        <f ca="1">ROUND(($AG5663+$AI5663)*$A5663,2)</f>
        <v>1012.2</v>
      </c>
      <c r="AM5663" s="527">
        <f ca="1">ROUND(R5670,2)</f>
        <v>377.4</v>
      </c>
      <c r="AN5663" s="528">
        <f ca="1">ROUND(T5670,2)</f>
        <v>16.2</v>
      </c>
      <c r="AO5663" s="529">
        <f ca="1">ROUND(AM5663+AN5663,2)*A5663</f>
        <v>23616</v>
      </c>
      <c r="AR5663" s="747">
        <v>20</v>
      </c>
      <c r="AS5663" s="751">
        <v>357.8</v>
      </c>
    </row>
    <row r="5664" spans="1:45" s="520" customFormat="1" ht="13.2">
      <c r="A5664" s="748"/>
      <c r="B5664"/>
      <c r="C5664" s="748"/>
      <c r="D5664" s="749" t="s">
        <v>912</v>
      </c>
      <c r="F5664" s="753"/>
      <c r="G5664" s="3"/>
      <c r="H5664" s="753"/>
      <c r="I5664" s="754"/>
      <c r="J5664" s="753"/>
      <c r="K5664" s="753" t="s">
        <v>144</v>
      </c>
      <c r="L5664" s="753"/>
      <c r="M5664" s="753"/>
      <c r="N5664" s="753"/>
      <c r="O5664" s="753"/>
      <c r="P5664" s="753"/>
      <c r="Q5664" s="51"/>
      <c r="R5664" s="530"/>
      <c r="S5664" s="757"/>
      <c r="T5664" s="753"/>
      <c r="AR5664" s="748"/>
      <c r="AS5664" s="753"/>
    </row>
    <row r="5665" spans="1:45" s="886" customFormat="1" ht="13.2">
      <c r="A5665"/>
      <c r="B5665" s="910"/>
      <c r="C5665" s="910" t="s">
        <v>2597</v>
      </c>
      <c r="D5665" s="910" t="str">
        <f ca="1">CELL("Address",Elec_Rates!D$785)</f>
        <v>[E25_0062_Quintano_Foods_Elec_ELV_As_Awarded.xlsx]Elec_Rates!$D$785</v>
      </c>
      <c r="E5665" s="911"/>
      <c r="F5665" s="911"/>
      <c r="G5665" s="912" t="s">
        <v>2598</v>
      </c>
      <c r="H5665" s="912"/>
      <c r="I5665" s="912"/>
      <c r="J5665" s="912"/>
      <c r="K5665" s="913"/>
      <c r="L5665" s="911"/>
      <c r="M5665" s="911"/>
      <c r="N5665" s="911"/>
      <c r="O5665" s="914"/>
      <c r="P5665" s="911"/>
      <c r="Q5665" s="915"/>
      <c r="R5665" s="916"/>
      <c r="S5665" s="915"/>
      <c r="T5665" s="917"/>
      <c r="U5665" s="918"/>
      <c r="AR5665"/>
      <c r="AS5665" s="911"/>
    </row>
    <row r="5666" spans="1:45" s="886" customFormat="1" ht="11.4">
      <c r="A5666" s="919">
        <v>60</v>
      </c>
      <c r="B5666" s="920">
        <v>1</v>
      </c>
      <c r="C5666" s="920">
        <f>$A5666*$B5666</f>
        <v>60</v>
      </c>
      <c r="D5666" s="921" t="str">
        <f>Elec_Rates!$D$785</f>
        <v>075# 100mm cable Tray</v>
      </c>
      <c r="E5666" s="921"/>
      <c r="F5666" s="921" t="s">
        <v>2599</v>
      </c>
      <c r="G5666" s="922" t="s">
        <v>2601</v>
      </c>
      <c r="H5666" s="922"/>
      <c r="I5666" s="922"/>
      <c r="J5666" s="922"/>
      <c r="K5666" s="923"/>
      <c r="L5666" s="918"/>
      <c r="M5666" s="918"/>
      <c r="N5666" s="918"/>
      <c r="O5666" s="924"/>
      <c r="P5666" s="921"/>
      <c r="Q5666" s="925">
        <f ca="1">$B5666*Elec_Rates!$R$785</f>
        <v>3.92</v>
      </c>
      <c r="R5666" s="916">
        <f ca="1">$A5666*Q5666</f>
        <v>235.2</v>
      </c>
      <c r="S5666" s="925">
        <f ca="1">$B5666*Elec_Rates!$T$785</f>
        <v>0.18</v>
      </c>
      <c r="T5666" s="917">
        <f ca="1">$A5666*S5666</f>
        <v>10.799999999999999</v>
      </c>
      <c r="U5666" s="926"/>
      <c r="AR5666" s="919">
        <v>20</v>
      </c>
      <c r="AS5666" s="921" t="s">
        <v>2599</v>
      </c>
    </row>
    <row r="5667" spans="1:45" s="886" customFormat="1" ht="13.2">
      <c r="A5667"/>
      <c r="B5667" s="910"/>
      <c r="C5667" s="910" t="s">
        <v>2597</v>
      </c>
      <c r="D5667" s="910" t="str">
        <f ca="1">CELL("Address",Elec_Rates!D$907)</f>
        <v>[E25_0062_Quintano_Foods_Elec_ELV_As_Awarded.xlsx]Elec_Rates!$D$907</v>
      </c>
      <c r="E5667" s="911"/>
      <c r="F5667" s="911"/>
      <c r="G5667" s="912" t="s">
        <v>2598</v>
      </c>
      <c r="H5667" s="912"/>
      <c r="I5667" s="912"/>
      <c r="J5667" s="912"/>
      <c r="K5667" s="913"/>
      <c r="L5667" s="911"/>
      <c r="M5667" s="911"/>
      <c r="N5667" s="911"/>
      <c r="O5667" s="914"/>
      <c r="P5667" s="911"/>
      <c r="Q5667" s="915"/>
      <c r="R5667" s="916"/>
      <c r="S5667" s="915"/>
      <c r="T5667" s="917"/>
      <c r="U5667" s="918"/>
      <c r="AR5667"/>
      <c r="AS5667" s="911"/>
    </row>
    <row r="5668" spans="1:45" s="886" customFormat="1" ht="11.4">
      <c r="A5668" s="919">
        <v>60</v>
      </c>
      <c r="B5668" s="920">
        <v>1</v>
      </c>
      <c r="C5668" s="920">
        <f>$A5668*$B5668</f>
        <v>60</v>
      </c>
      <c r="D5668" s="921" t="str">
        <f>Elec_Rates!$D$907</f>
        <v>084# Bracket for 50-150mm cable tray/basket/trunking</v>
      </c>
      <c r="E5668" s="921"/>
      <c r="F5668" s="921" t="s">
        <v>2599</v>
      </c>
      <c r="G5668" s="922" t="s">
        <v>2600</v>
      </c>
      <c r="H5668" s="922"/>
      <c r="I5668" s="922"/>
      <c r="J5668" s="922"/>
      <c r="K5668" s="923"/>
      <c r="L5668" s="918"/>
      <c r="M5668" s="918"/>
      <c r="N5668" s="918"/>
      <c r="O5668" s="924"/>
      <c r="P5668" s="921"/>
      <c r="Q5668" s="925">
        <f ca="1">$B5668*Elec_Rates!$R$907</f>
        <v>2.37</v>
      </c>
      <c r="R5668" s="916">
        <f ca="1">$A5668*Q5668</f>
        <v>142.20000000000002</v>
      </c>
      <c r="S5668" s="925">
        <f ca="1">$B5668*Elec_Rates!$T$907</f>
        <v>0.09</v>
      </c>
      <c r="T5668" s="917">
        <f ca="1">$A5668*S5668</f>
        <v>5.3999999999999995</v>
      </c>
      <c r="U5668" s="926"/>
      <c r="AR5668" s="919">
        <v>20</v>
      </c>
      <c r="AS5668" s="921" t="s">
        <v>2599</v>
      </c>
    </row>
    <row r="5669" spans="1:45" s="520" customFormat="1" ht="12">
      <c r="A5669" s="758"/>
      <c r="B5669" s="758"/>
      <c r="C5669" s="758"/>
      <c r="D5669" s="758"/>
      <c r="E5669" s="758"/>
      <c r="F5669" s="753"/>
      <c r="G5669" s="758"/>
      <c r="H5669" s="758"/>
      <c r="I5669" s="519"/>
      <c r="J5669" s="758"/>
      <c r="K5669" s="758"/>
      <c r="L5669" s="758"/>
      <c r="M5669" s="758"/>
      <c r="N5669" s="758"/>
      <c r="O5669" s="758"/>
      <c r="P5669" s="758"/>
      <c r="Q5669" s="519"/>
      <c r="R5669" s="759">
        <f t="shared" ref="R5669" si="314">$A5669*Q5669</f>
        <v>0</v>
      </c>
      <c r="S5669" s="519"/>
      <c r="T5669" s="760">
        <f t="shared" ref="T5669" si="315">$A5669*S5669*$T$1</f>
        <v>0</v>
      </c>
      <c r="AR5669" s="758"/>
      <c r="AS5669" s="753"/>
    </row>
    <row r="5670" spans="1:45" s="520" customFormat="1" ht="12.6" thickBot="1">
      <c r="A5670" s="761" t="s">
        <v>145</v>
      </c>
      <c r="B5670" s="762">
        <f>(R5669+T5669)</f>
        <v>0</v>
      </c>
      <c r="C5670" s="763"/>
      <c r="D5670" s="763"/>
      <c r="E5670" s="763"/>
      <c r="F5670" s="764"/>
      <c r="G5670" s="763" t="s">
        <v>146</v>
      </c>
      <c r="H5670" s="763"/>
      <c r="I5670" s="765"/>
      <c r="J5670" s="763"/>
      <c r="K5670" s="763" t="s">
        <v>3</v>
      </c>
      <c r="L5670" s="766" t="s">
        <v>143</v>
      </c>
      <c r="M5670" s="766"/>
      <c r="N5670" s="766"/>
      <c r="O5670" s="766"/>
      <c r="P5670" s="766"/>
      <c r="Q5670" s="767"/>
      <c r="R5670" s="768">
        <f ca="1">SUM(R5664:R5669)</f>
        <v>377.4</v>
      </c>
      <c r="S5670" s="763"/>
      <c r="T5670" s="768">
        <f ca="1">SUM(T5664:T5669)</f>
        <v>16.2</v>
      </c>
      <c r="U5670" s="531"/>
      <c r="V5670" s="531"/>
      <c r="W5670" s="531"/>
      <c r="X5670" s="531"/>
      <c r="Y5670" s="531"/>
      <c r="Z5670" s="531"/>
      <c r="AA5670" s="531"/>
      <c r="AB5670" s="531"/>
      <c r="AC5670" s="531"/>
      <c r="AD5670" s="531"/>
      <c r="AE5670" s="531"/>
      <c r="AF5670" s="531"/>
      <c r="AG5670" s="531"/>
      <c r="AH5670" s="531"/>
      <c r="AI5670" s="531"/>
      <c r="AJ5670" s="531"/>
      <c r="AK5670" s="531"/>
      <c r="AL5670" s="531"/>
      <c r="AM5670" s="531"/>
      <c r="AN5670" s="531"/>
      <c r="AO5670" s="531"/>
      <c r="AR5670" s="761" t="s">
        <v>145</v>
      </c>
      <c r="AS5670" s="764"/>
    </row>
    <row r="5671" spans="1:45" s="520" customFormat="1" ht="12" thickTop="1">
      <c r="A5671" s="51"/>
      <c r="B5671" s="41"/>
      <c r="C5671" s="51"/>
      <c r="E5671" s="42" t="s">
        <v>138</v>
      </c>
      <c r="F5671" s="42" t="s">
        <v>139</v>
      </c>
      <c r="G5671" s="51"/>
      <c r="H5671" s="51"/>
      <c r="I5671" s="51"/>
      <c r="J5671" s="51"/>
      <c r="K5671" s="51" t="s">
        <v>140</v>
      </c>
      <c r="L5671" s="51"/>
      <c r="M5671" s="51"/>
      <c r="N5671" s="51"/>
      <c r="O5671" s="52"/>
      <c r="P5671" s="51"/>
      <c r="Q5671" s="51"/>
      <c r="R5671" s="51"/>
      <c r="S5671" s="51"/>
      <c r="T5671" s="41"/>
      <c r="AG5671" s="521" t="s">
        <v>268</v>
      </c>
      <c r="AH5671" s="521" t="s">
        <v>269</v>
      </c>
      <c r="AI5671" s="521" t="s">
        <v>270</v>
      </c>
      <c r="AJ5671" s="521" t="s">
        <v>271</v>
      </c>
      <c r="AK5671" s="521" t="s">
        <v>272</v>
      </c>
      <c r="AM5671" s="745" t="s">
        <v>281</v>
      </c>
      <c r="AN5671" s="746" t="s">
        <v>282</v>
      </c>
      <c r="AO5671" s="522" t="s">
        <v>278</v>
      </c>
      <c r="AR5671" s="51"/>
      <c r="AS5671" s="42" t="s">
        <v>139</v>
      </c>
    </row>
    <row r="5672" spans="1:45" s="520" customFormat="1" ht="12" customHeight="1">
      <c r="A5672" s="747">
        <v>10</v>
      </c>
      <c r="B5672" s="523" t="s">
        <v>320</v>
      </c>
      <c r="C5672" s="748"/>
      <c r="D5672" s="749" t="s">
        <v>1929</v>
      </c>
      <c r="E5672" s="750">
        <f ca="1">IF(AND($A5672=0,$A$1="DIF"),0, ROUND(ROUND(($R5679*$S$2+($T5679*$T$2))/A5672,2)*$C$2,2))</f>
        <v>21.6</v>
      </c>
      <c r="F5672" s="751">
        <f ca="1">ROUND($A5672*$E5672,2)</f>
        <v>216</v>
      </c>
      <c r="G5672" s="752" t="s">
        <v>142</v>
      </c>
      <c r="H5672" s="753"/>
      <c r="I5672" s="754"/>
      <c r="J5672" s="753"/>
      <c r="K5672" s="753" t="s">
        <v>3</v>
      </c>
      <c r="L5672" s="755" t="s">
        <v>143</v>
      </c>
      <c r="M5672" s="755"/>
      <c r="N5672" s="755"/>
      <c r="O5672" s="755"/>
      <c r="P5672" s="755"/>
      <c r="Q5672" s="51"/>
      <c r="T5672" s="756" t="str">
        <f ca="1">IF(AND($R5679=0,$T5679=0),"0.00","mu :" &amp; ROUND($F5672/$C$2/($R5679+$T5679*$D$9),2))</f>
        <v>mu :1.23</v>
      </c>
      <c r="W5672" s="524"/>
      <c r="AG5672" s="481">
        <f ca="1">IF($E5672=0,0,ROUND($R5679*$S$2*$C$2/$A5672,2))</f>
        <v>9.43</v>
      </c>
      <c r="AH5672" s="481">
        <f ca="1">$AG5672*$A5672</f>
        <v>94.3</v>
      </c>
      <c r="AI5672" s="525">
        <f ca="1">$E5672-$AG5672</f>
        <v>12.170000000000002</v>
      </c>
      <c r="AJ5672" s="525">
        <f ca="1">$A5672*$AI5672</f>
        <v>121.70000000000002</v>
      </c>
      <c r="AK5672" s="526">
        <f ca="1">ROUND(($AG5672+$AI5672)*$A5672,2)</f>
        <v>216</v>
      </c>
      <c r="AM5672" s="527">
        <f ca="1">ROUND(R5679,2)</f>
        <v>76.599999999999994</v>
      </c>
      <c r="AN5672" s="528">
        <f ca="1">ROUND(T5679,2)</f>
        <v>3.6</v>
      </c>
      <c r="AO5672" s="529">
        <f ca="1">ROUND(AM5672+AN5672,2)*A5672</f>
        <v>802</v>
      </c>
      <c r="AR5672" s="747">
        <v>110</v>
      </c>
      <c r="AS5672" s="751">
        <v>2525.6</v>
      </c>
    </row>
    <row r="5673" spans="1:45" s="520" customFormat="1" ht="13.2">
      <c r="A5673" s="748"/>
      <c r="B5673"/>
      <c r="C5673" s="748"/>
      <c r="D5673" s="749" t="s">
        <v>913</v>
      </c>
      <c r="F5673" s="753"/>
      <c r="G5673" s="3"/>
      <c r="H5673" s="753"/>
      <c r="I5673" s="754"/>
      <c r="J5673" s="753"/>
      <c r="K5673" s="753" t="s">
        <v>144</v>
      </c>
      <c r="L5673" s="753"/>
      <c r="M5673" s="753"/>
      <c r="N5673" s="753"/>
      <c r="O5673" s="753"/>
      <c r="P5673" s="753"/>
      <c r="Q5673" s="51"/>
      <c r="R5673" s="530"/>
      <c r="S5673" s="757"/>
      <c r="T5673" s="753"/>
      <c r="AR5673" s="748"/>
      <c r="AS5673" s="753"/>
    </row>
    <row r="5674" spans="1:45" s="886" customFormat="1" ht="13.2">
      <c r="A5674"/>
      <c r="B5674" s="910"/>
      <c r="C5674" s="910" t="s">
        <v>2597</v>
      </c>
      <c r="D5674" s="910" t="str">
        <f ca="1">CELL("Address",Elec_Rates!D$774)</f>
        <v>[E25_0062_Quintano_Foods_Elec_ELV_As_Awarded.xlsx]Elec_Rates!$D$774</v>
      </c>
      <c r="E5674" s="911"/>
      <c r="F5674" s="911"/>
      <c r="G5674" s="912" t="s">
        <v>2598</v>
      </c>
      <c r="H5674" s="912"/>
      <c r="I5674" s="912"/>
      <c r="J5674" s="912"/>
      <c r="K5674" s="913"/>
      <c r="L5674" s="911"/>
      <c r="M5674" s="911"/>
      <c r="N5674" s="911"/>
      <c r="O5674" s="914"/>
      <c r="P5674" s="911"/>
      <c r="Q5674" s="915"/>
      <c r="R5674" s="916"/>
      <c r="S5674" s="915"/>
      <c r="T5674" s="917"/>
      <c r="U5674" s="918"/>
      <c r="AR5674"/>
      <c r="AS5674" s="911"/>
    </row>
    <row r="5675" spans="1:45" s="886" customFormat="1" ht="11.4">
      <c r="A5675" s="919">
        <v>10</v>
      </c>
      <c r="B5675" s="920">
        <v>1</v>
      </c>
      <c r="C5675" s="920">
        <f>$A5675*$B5675</f>
        <v>10</v>
      </c>
      <c r="D5675" s="921" t="str">
        <f>Elec_Rates!$D$774</f>
        <v>074# 200mm cable Tray</v>
      </c>
      <c r="E5675" s="921"/>
      <c r="F5675" s="921" t="s">
        <v>2599</v>
      </c>
      <c r="G5675" s="922" t="s">
        <v>2600</v>
      </c>
      <c r="H5675" s="922"/>
      <c r="I5675" s="922"/>
      <c r="J5675" s="922"/>
      <c r="K5675" s="923"/>
      <c r="L5675" s="918"/>
      <c r="M5675" s="918"/>
      <c r="N5675" s="918"/>
      <c r="O5675" s="924"/>
      <c r="P5675" s="921"/>
      <c r="Q5675" s="925">
        <f ca="1">$B5675*Elec_Rates!$R$774</f>
        <v>5.18</v>
      </c>
      <c r="R5675" s="916">
        <f ca="1">$A5675*Q5675</f>
        <v>51.8</v>
      </c>
      <c r="S5675" s="925">
        <f ca="1">$B5675*Elec_Rates!$T$774</f>
        <v>0.27</v>
      </c>
      <c r="T5675" s="917">
        <f ca="1">$A5675*S5675</f>
        <v>2.7</v>
      </c>
      <c r="U5675" s="926"/>
      <c r="AR5675" s="919">
        <v>110</v>
      </c>
      <c r="AS5675" s="921" t="s">
        <v>2599</v>
      </c>
    </row>
    <row r="5676" spans="1:45" s="886" customFormat="1" ht="13.2">
      <c r="A5676"/>
      <c r="B5676" s="910"/>
      <c r="C5676" s="910" t="s">
        <v>2597</v>
      </c>
      <c r="D5676" s="910" t="str">
        <f ca="1">CELL("Address",Elec_Rates!D$920)</f>
        <v>[E25_0062_Quintano_Foods_Elec_ELV_As_Awarded.xlsx]Elec_Rates!$D$920</v>
      </c>
      <c r="E5676" s="911"/>
      <c r="F5676" s="911"/>
      <c r="G5676" s="912" t="s">
        <v>2598</v>
      </c>
      <c r="H5676" s="912"/>
      <c r="I5676" s="912"/>
      <c r="J5676" s="912"/>
      <c r="K5676" s="913"/>
      <c r="L5676" s="911"/>
      <c r="M5676" s="911"/>
      <c r="N5676" s="911"/>
      <c r="O5676" s="914"/>
      <c r="P5676" s="911"/>
      <c r="Q5676" s="915"/>
      <c r="R5676" s="916"/>
      <c r="S5676" s="915"/>
      <c r="T5676" s="917"/>
      <c r="U5676" s="918"/>
      <c r="AR5676"/>
      <c r="AS5676" s="911"/>
    </row>
    <row r="5677" spans="1:45" s="886" customFormat="1" ht="11.4">
      <c r="A5677" s="919">
        <v>10</v>
      </c>
      <c r="B5677" s="920">
        <v>1</v>
      </c>
      <c r="C5677" s="920">
        <f>$A5677*$B5677</f>
        <v>10</v>
      </c>
      <c r="D5677" s="921" t="str">
        <f>Elec_Rates!$D$920</f>
        <v>085# Bracket for 200-300mm cable tray/basket</v>
      </c>
      <c r="E5677" s="921"/>
      <c r="F5677" s="921" t="s">
        <v>2599</v>
      </c>
      <c r="G5677" s="922" t="s">
        <v>2601</v>
      </c>
      <c r="H5677" s="922"/>
      <c r="I5677" s="922"/>
      <c r="J5677" s="922"/>
      <c r="K5677" s="923"/>
      <c r="L5677" s="918"/>
      <c r="M5677" s="918"/>
      <c r="N5677" s="918"/>
      <c r="O5677" s="924"/>
      <c r="P5677" s="921"/>
      <c r="Q5677" s="925">
        <f ca="1">$B5677*Elec_Rates!$R$920</f>
        <v>2.48</v>
      </c>
      <c r="R5677" s="916">
        <f ca="1">$A5677*Q5677</f>
        <v>24.8</v>
      </c>
      <c r="S5677" s="925">
        <f ca="1">$B5677*Elec_Rates!$T$920</f>
        <v>0.09</v>
      </c>
      <c r="T5677" s="917">
        <f ca="1">$A5677*S5677</f>
        <v>0.89999999999999991</v>
      </c>
      <c r="U5677" s="926"/>
      <c r="AR5677" s="919">
        <v>110</v>
      </c>
      <c r="AS5677" s="921" t="s">
        <v>2599</v>
      </c>
    </row>
    <row r="5678" spans="1:45" s="520" customFormat="1" ht="12">
      <c r="A5678" s="758"/>
      <c r="B5678" s="758"/>
      <c r="C5678" s="758"/>
      <c r="D5678" s="758"/>
      <c r="E5678" s="758"/>
      <c r="F5678" s="753"/>
      <c r="G5678" s="758"/>
      <c r="H5678" s="758"/>
      <c r="I5678" s="519"/>
      <c r="J5678" s="758"/>
      <c r="K5678" s="758"/>
      <c r="L5678" s="758"/>
      <c r="M5678" s="758"/>
      <c r="N5678" s="758"/>
      <c r="O5678" s="758"/>
      <c r="P5678" s="758"/>
      <c r="Q5678" s="519"/>
      <c r="R5678" s="759">
        <f t="shared" ref="R5678" si="316">$A5678*Q5678</f>
        <v>0</v>
      </c>
      <c r="S5678" s="519"/>
      <c r="T5678" s="760">
        <f t="shared" ref="T5678" si="317">$A5678*S5678*$T$1</f>
        <v>0</v>
      </c>
      <c r="AR5678" s="758"/>
      <c r="AS5678" s="753"/>
    </row>
    <row r="5679" spans="1:45" s="520" customFormat="1" ht="12.6" thickBot="1">
      <c r="A5679" s="761" t="s">
        <v>145</v>
      </c>
      <c r="B5679" s="762">
        <f>(R5678+T5678)</f>
        <v>0</v>
      </c>
      <c r="C5679" s="763"/>
      <c r="D5679" s="763"/>
      <c r="E5679" s="763"/>
      <c r="F5679" s="764"/>
      <c r="G5679" s="763" t="s">
        <v>146</v>
      </c>
      <c r="H5679" s="763"/>
      <c r="I5679" s="765"/>
      <c r="J5679" s="763"/>
      <c r="K5679" s="763" t="s">
        <v>3</v>
      </c>
      <c r="L5679" s="766" t="s">
        <v>143</v>
      </c>
      <c r="M5679" s="766"/>
      <c r="N5679" s="766"/>
      <c r="O5679" s="766"/>
      <c r="P5679" s="766"/>
      <c r="Q5679" s="767"/>
      <c r="R5679" s="768">
        <f ca="1">SUM(R5673:R5678)</f>
        <v>76.599999999999994</v>
      </c>
      <c r="S5679" s="763"/>
      <c r="T5679" s="768">
        <f ca="1">SUM(T5673:T5678)</f>
        <v>3.6</v>
      </c>
      <c r="U5679" s="531"/>
      <c r="V5679" s="531"/>
      <c r="W5679" s="531"/>
      <c r="X5679" s="531"/>
      <c r="Y5679" s="531"/>
      <c r="Z5679" s="531"/>
      <c r="AA5679" s="531"/>
      <c r="AB5679" s="531"/>
      <c r="AC5679" s="531"/>
      <c r="AD5679" s="531"/>
      <c r="AE5679" s="531"/>
      <c r="AF5679" s="531"/>
      <c r="AG5679" s="531"/>
      <c r="AH5679" s="531"/>
      <c r="AI5679" s="531"/>
      <c r="AJ5679" s="531"/>
      <c r="AK5679" s="531"/>
      <c r="AL5679" s="531"/>
      <c r="AM5679" s="531"/>
      <c r="AN5679" s="531"/>
      <c r="AO5679" s="531"/>
      <c r="AR5679" s="761" t="s">
        <v>145</v>
      </c>
      <c r="AS5679" s="764"/>
    </row>
    <row r="5680" spans="1:45" s="520" customFormat="1" ht="12" thickTop="1">
      <c r="A5680" s="51"/>
      <c r="B5680" s="41"/>
      <c r="C5680" s="51"/>
      <c r="E5680" s="42" t="s">
        <v>138</v>
      </c>
      <c r="F5680" s="42" t="s">
        <v>139</v>
      </c>
      <c r="G5680" s="51"/>
      <c r="H5680" s="51"/>
      <c r="I5680" s="51"/>
      <c r="J5680" s="51"/>
      <c r="K5680" s="51" t="s">
        <v>140</v>
      </c>
      <c r="L5680" s="51"/>
      <c r="M5680" s="51"/>
      <c r="N5680" s="51"/>
      <c r="O5680" s="52"/>
      <c r="P5680" s="51"/>
      <c r="Q5680" s="51"/>
      <c r="R5680" s="51"/>
      <c r="S5680" s="51"/>
      <c r="T5680" s="41"/>
      <c r="AG5680" s="521" t="s">
        <v>268</v>
      </c>
      <c r="AH5680" s="521" t="s">
        <v>269</v>
      </c>
      <c r="AI5680" s="521" t="s">
        <v>270</v>
      </c>
      <c r="AJ5680" s="521" t="s">
        <v>271</v>
      </c>
      <c r="AK5680" s="521" t="s">
        <v>272</v>
      </c>
      <c r="AM5680" s="745" t="s">
        <v>281</v>
      </c>
      <c r="AN5680" s="746" t="s">
        <v>282</v>
      </c>
      <c r="AO5680" s="522" t="s">
        <v>278</v>
      </c>
      <c r="AR5680" s="51"/>
      <c r="AS5680" s="42" t="s">
        <v>139</v>
      </c>
    </row>
    <row r="5681" spans="1:45" s="520" customFormat="1" ht="12" customHeight="1">
      <c r="A5681" s="747">
        <v>15</v>
      </c>
      <c r="B5681" s="523" t="s">
        <v>320</v>
      </c>
      <c r="C5681" s="748"/>
      <c r="D5681" s="749" t="s">
        <v>1930</v>
      </c>
      <c r="E5681" s="750">
        <f ca="1">IF(AND($A5681=0,$A$1="DIF"),0, ROUND(ROUND(($R5688*$S$2+($T5688*$T$2))/A5681,2)*$C$2,2))</f>
        <v>26.03</v>
      </c>
      <c r="F5681" s="751">
        <f ca="1">ROUND($A5681*$E5681,2)</f>
        <v>390.45</v>
      </c>
      <c r="G5681" s="752" t="s">
        <v>142</v>
      </c>
      <c r="H5681" s="753"/>
      <c r="I5681" s="754"/>
      <c r="J5681" s="753"/>
      <c r="K5681" s="753" t="s">
        <v>3</v>
      </c>
      <c r="L5681" s="755" t="s">
        <v>143</v>
      </c>
      <c r="M5681" s="755"/>
      <c r="N5681" s="755"/>
      <c r="O5681" s="755"/>
      <c r="P5681" s="755"/>
      <c r="Q5681" s="51"/>
      <c r="T5681" s="756" t="str">
        <f ca="1">IF(AND($R5688=0,$T5688=0),"0.00","mu :" &amp; ROUND($F5681/$C$2/($R5688+$T5688*$D$9),2))</f>
        <v>mu :1.23</v>
      </c>
      <c r="W5681" s="524"/>
      <c r="AG5681" s="481">
        <f ca="1">IF($E5681=0,0,ROUND($R5688*$S$2*$C$2/$A5681,2))</f>
        <v>12.17</v>
      </c>
      <c r="AH5681" s="481">
        <f ca="1">$AG5681*$A5681</f>
        <v>182.55</v>
      </c>
      <c r="AI5681" s="525">
        <f ca="1">$E5681-$AG5681</f>
        <v>13.860000000000001</v>
      </c>
      <c r="AJ5681" s="525">
        <f ca="1">$A5681*$AI5681</f>
        <v>207.9</v>
      </c>
      <c r="AK5681" s="526">
        <f ca="1">ROUND(($AG5681+$AI5681)*$A5681,2)</f>
        <v>390.45</v>
      </c>
      <c r="AM5681" s="527">
        <f ca="1">ROUND(R5688,2)</f>
        <v>148.19999999999999</v>
      </c>
      <c r="AN5681" s="528">
        <f ca="1">ROUND(T5688,2)</f>
        <v>6.15</v>
      </c>
      <c r="AO5681" s="529">
        <f ca="1">ROUND(AM5681+AN5681,2)*A5681</f>
        <v>2315.25</v>
      </c>
      <c r="AR5681" s="747">
        <v>15</v>
      </c>
      <c r="AS5681" s="751">
        <v>410.7</v>
      </c>
    </row>
    <row r="5682" spans="1:45" s="520" customFormat="1" ht="13.2">
      <c r="A5682" s="748"/>
      <c r="B5682"/>
      <c r="C5682" s="748"/>
      <c r="D5682" s="749" t="s">
        <v>915</v>
      </c>
      <c r="F5682" s="753"/>
      <c r="G5682" s="3"/>
      <c r="H5682" s="753"/>
      <c r="I5682" s="754"/>
      <c r="J5682" s="753"/>
      <c r="K5682" s="753" t="s">
        <v>144</v>
      </c>
      <c r="L5682" s="753"/>
      <c r="M5682" s="753"/>
      <c r="N5682" s="753"/>
      <c r="O5682" s="753"/>
      <c r="P5682" s="753"/>
      <c r="Q5682" s="51"/>
      <c r="R5682" s="530"/>
      <c r="S5682" s="757"/>
      <c r="T5682" s="753"/>
      <c r="AR5682" s="748"/>
      <c r="AS5682" s="753"/>
    </row>
    <row r="5683" spans="1:45" s="886" customFormat="1" ht="13.2">
      <c r="A5683"/>
      <c r="B5683" s="910"/>
      <c r="C5683" s="910" t="s">
        <v>2597</v>
      </c>
      <c r="D5683" s="910" t="str">
        <f ca="1">CELL("Address",Elec_Rates!D$762)</f>
        <v>[E25_0062_Quintano_Foods_Elec_ELV_As_Awarded.xlsx]Elec_Rates!$D$762</v>
      </c>
      <c r="E5683" s="911"/>
      <c r="F5683" s="911"/>
      <c r="G5683" s="912" t="s">
        <v>2598</v>
      </c>
      <c r="H5683" s="912"/>
      <c r="I5683" s="912"/>
      <c r="J5683" s="912"/>
      <c r="K5683" s="913"/>
      <c r="L5683" s="911"/>
      <c r="M5683" s="911"/>
      <c r="N5683" s="911"/>
      <c r="O5683" s="914"/>
      <c r="P5683" s="911"/>
      <c r="Q5683" s="915"/>
      <c r="R5683" s="916"/>
      <c r="S5683" s="915"/>
      <c r="T5683" s="917"/>
      <c r="U5683" s="918"/>
      <c r="AR5683"/>
      <c r="AS5683" s="911"/>
    </row>
    <row r="5684" spans="1:45" s="886" customFormat="1" ht="11.4">
      <c r="A5684" s="919">
        <v>15</v>
      </c>
      <c r="B5684" s="920">
        <v>1</v>
      </c>
      <c r="C5684" s="920">
        <f>$A5684*$B5684</f>
        <v>15</v>
      </c>
      <c r="D5684" s="921" t="str">
        <f>Elec_Rates!$D$762</f>
        <v>073# 300mm cable Tray</v>
      </c>
      <c r="E5684" s="921"/>
      <c r="F5684" s="921" t="s">
        <v>2599</v>
      </c>
      <c r="G5684" s="922" t="s">
        <v>2600</v>
      </c>
      <c r="H5684" s="922"/>
      <c r="I5684" s="922"/>
      <c r="J5684" s="922"/>
      <c r="K5684" s="923"/>
      <c r="L5684" s="918"/>
      <c r="M5684" s="918"/>
      <c r="N5684" s="918"/>
      <c r="O5684" s="924"/>
      <c r="P5684" s="921"/>
      <c r="Q5684" s="925">
        <f ca="1">$B5684*Elec_Rates!$R$762</f>
        <v>7.4</v>
      </c>
      <c r="R5684" s="916">
        <f ca="1">$A5684*Q5684</f>
        <v>111</v>
      </c>
      <c r="S5684" s="925">
        <f ca="1">$B5684*Elec_Rates!$T$762</f>
        <v>0.32</v>
      </c>
      <c r="T5684" s="917">
        <f ca="1">$A5684*S5684</f>
        <v>4.8</v>
      </c>
      <c r="U5684" s="926"/>
      <c r="AR5684" s="919">
        <v>15</v>
      </c>
      <c r="AS5684" s="921" t="s">
        <v>2599</v>
      </c>
    </row>
    <row r="5685" spans="1:45" s="886" customFormat="1" ht="13.2">
      <c r="A5685"/>
      <c r="B5685" s="910"/>
      <c r="C5685" s="910" t="s">
        <v>2597</v>
      </c>
      <c r="D5685" s="910" t="str">
        <f ca="1">CELL("Address",Elec_Rates!D$920)</f>
        <v>[E25_0062_Quintano_Foods_Elec_ELV_As_Awarded.xlsx]Elec_Rates!$D$920</v>
      </c>
      <c r="E5685" s="911"/>
      <c r="F5685" s="911"/>
      <c r="G5685" s="912" t="s">
        <v>2598</v>
      </c>
      <c r="H5685" s="912"/>
      <c r="I5685" s="912"/>
      <c r="J5685" s="912"/>
      <c r="K5685" s="913"/>
      <c r="L5685" s="911"/>
      <c r="M5685" s="911"/>
      <c r="N5685" s="911"/>
      <c r="O5685" s="914"/>
      <c r="P5685" s="911"/>
      <c r="Q5685" s="915"/>
      <c r="R5685" s="916"/>
      <c r="S5685" s="915"/>
      <c r="T5685" s="917"/>
      <c r="U5685" s="918"/>
      <c r="AR5685"/>
      <c r="AS5685" s="911"/>
    </row>
    <row r="5686" spans="1:45" s="886" customFormat="1" ht="11.4">
      <c r="A5686" s="919">
        <v>15</v>
      </c>
      <c r="B5686" s="920">
        <v>1</v>
      </c>
      <c r="C5686" s="920">
        <f>$A5686*$B5686</f>
        <v>15</v>
      </c>
      <c r="D5686" s="921" t="str">
        <f>Elec_Rates!$D$920</f>
        <v>085# Bracket for 200-300mm cable tray/basket</v>
      </c>
      <c r="E5686" s="921"/>
      <c r="F5686" s="921" t="s">
        <v>2599</v>
      </c>
      <c r="G5686" s="922" t="s">
        <v>2601</v>
      </c>
      <c r="H5686" s="922"/>
      <c r="I5686" s="922"/>
      <c r="J5686" s="922"/>
      <c r="K5686" s="923"/>
      <c r="L5686" s="918"/>
      <c r="M5686" s="918"/>
      <c r="N5686" s="918"/>
      <c r="O5686" s="924"/>
      <c r="P5686" s="921"/>
      <c r="Q5686" s="925">
        <f ca="1">$B5686*Elec_Rates!$R$920</f>
        <v>2.48</v>
      </c>
      <c r="R5686" s="916">
        <f ca="1">$A5686*Q5686</f>
        <v>37.200000000000003</v>
      </c>
      <c r="S5686" s="925">
        <f ca="1">$B5686*Elec_Rates!$T$920</f>
        <v>0.09</v>
      </c>
      <c r="T5686" s="917">
        <f ca="1">$A5686*S5686</f>
        <v>1.3499999999999999</v>
      </c>
      <c r="U5686" s="926"/>
      <c r="AR5686" s="919">
        <v>15</v>
      </c>
      <c r="AS5686" s="921" t="s">
        <v>2599</v>
      </c>
    </row>
    <row r="5687" spans="1:45" s="520" customFormat="1" ht="12">
      <c r="A5687" s="758"/>
      <c r="B5687" s="758"/>
      <c r="C5687" s="758"/>
      <c r="D5687" s="758"/>
      <c r="E5687" s="758"/>
      <c r="F5687" s="753"/>
      <c r="G5687" s="758"/>
      <c r="H5687" s="758"/>
      <c r="I5687" s="519"/>
      <c r="J5687" s="758"/>
      <c r="K5687" s="758"/>
      <c r="L5687" s="758"/>
      <c r="M5687" s="758"/>
      <c r="N5687" s="758"/>
      <c r="O5687" s="758"/>
      <c r="P5687" s="758"/>
      <c r="Q5687" s="519"/>
      <c r="R5687" s="759">
        <f t="shared" ref="R5687" si="318">$A5687*Q5687</f>
        <v>0</v>
      </c>
      <c r="S5687" s="519"/>
      <c r="T5687" s="760">
        <f t="shared" ref="T5687" si="319">$A5687*S5687*$T$1</f>
        <v>0</v>
      </c>
      <c r="AR5687" s="758"/>
      <c r="AS5687" s="753"/>
    </row>
    <row r="5688" spans="1:45" s="520" customFormat="1" ht="12.6" thickBot="1">
      <c r="A5688" s="761" t="s">
        <v>145</v>
      </c>
      <c r="B5688" s="762">
        <f>(R5687+T5687)</f>
        <v>0</v>
      </c>
      <c r="C5688" s="763"/>
      <c r="D5688" s="763"/>
      <c r="E5688" s="763"/>
      <c r="F5688" s="764"/>
      <c r="G5688" s="763" t="s">
        <v>146</v>
      </c>
      <c r="H5688" s="763"/>
      <c r="I5688" s="765"/>
      <c r="J5688" s="763"/>
      <c r="K5688" s="763" t="s">
        <v>3</v>
      </c>
      <c r="L5688" s="766" t="s">
        <v>143</v>
      </c>
      <c r="M5688" s="766"/>
      <c r="N5688" s="766"/>
      <c r="O5688" s="766"/>
      <c r="P5688" s="766"/>
      <c r="Q5688" s="767"/>
      <c r="R5688" s="768">
        <f ca="1">SUM(R5682:R5687)</f>
        <v>148.19999999999999</v>
      </c>
      <c r="S5688" s="763"/>
      <c r="T5688" s="768">
        <f ca="1">SUM(T5682:T5687)</f>
        <v>6.1499999999999995</v>
      </c>
      <c r="U5688" s="531"/>
      <c r="V5688" s="531"/>
      <c r="W5688" s="531"/>
      <c r="X5688" s="531"/>
      <c r="Y5688" s="531"/>
      <c r="Z5688" s="531"/>
      <c r="AA5688" s="531"/>
      <c r="AB5688" s="531"/>
      <c r="AC5688" s="531"/>
      <c r="AD5688" s="531"/>
      <c r="AE5688" s="531"/>
      <c r="AF5688" s="531"/>
      <c r="AG5688" s="531"/>
      <c r="AH5688" s="531"/>
      <c r="AI5688" s="531"/>
      <c r="AJ5688" s="531"/>
      <c r="AK5688" s="531"/>
      <c r="AL5688" s="531"/>
      <c r="AM5688" s="531"/>
      <c r="AN5688" s="531"/>
      <c r="AO5688" s="531"/>
      <c r="AR5688" s="761" t="s">
        <v>145</v>
      </c>
      <c r="AS5688" s="764"/>
    </row>
    <row r="5689" spans="1:45" s="520" customFormat="1" ht="12" thickTop="1">
      <c r="A5689" s="51"/>
      <c r="B5689" s="41"/>
      <c r="C5689" s="51"/>
      <c r="E5689" s="42" t="s">
        <v>138</v>
      </c>
      <c r="F5689" s="42" t="s">
        <v>139</v>
      </c>
      <c r="G5689" s="51"/>
      <c r="H5689" s="51"/>
      <c r="I5689" s="51"/>
      <c r="J5689" s="51"/>
      <c r="K5689" s="51" t="s">
        <v>140</v>
      </c>
      <c r="L5689" s="51"/>
      <c r="M5689" s="51"/>
      <c r="N5689" s="51"/>
      <c r="O5689" s="52"/>
      <c r="P5689" s="51"/>
      <c r="Q5689" s="51"/>
      <c r="R5689" s="51"/>
      <c r="S5689" s="51"/>
      <c r="T5689" s="41"/>
      <c r="AG5689" s="521" t="s">
        <v>268</v>
      </c>
      <c r="AH5689" s="521" t="s">
        <v>269</v>
      </c>
      <c r="AI5689" s="521" t="s">
        <v>270</v>
      </c>
      <c r="AJ5689" s="521" t="s">
        <v>271</v>
      </c>
      <c r="AK5689" s="521" t="s">
        <v>272</v>
      </c>
      <c r="AM5689" s="745" t="s">
        <v>281</v>
      </c>
      <c r="AN5689" s="746" t="s">
        <v>282</v>
      </c>
      <c r="AO5689" s="522" t="s">
        <v>278</v>
      </c>
      <c r="AR5689" s="51"/>
      <c r="AS5689" s="42" t="s">
        <v>139</v>
      </c>
    </row>
    <row r="5690" spans="1:45" s="520" customFormat="1" ht="12" customHeight="1">
      <c r="A5690" s="747">
        <v>90</v>
      </c>
      <c r="B5690" s="523" t="s">
        <v>320</v>
      </c>
      <c r="C5690" s="748"/>
      <c r="D5690" s="749" t="s">
        <v>1931</v>
      </c>
      <c r="E5690" s="750">
        <f ca="1">IF(AND($A5690=0,$A$1="DIF"),0, ROUND(ROUND(($R5697*$S$2+($T5697*$T$2))/A5690,2)*$C$2,2))</f>
        <v>55.26</v>
      </c>
      <c r="F5690" s="751">
        <f ca="1">ROUND($A5690*$E5690,2)</f>
        <v>4973.3999999999996</v>
      </c>
      <c r="G5690" s="752" t="s">
        <v>142</v>
      </c>
      <c r="H5690" s="753"/>
      <c r="I5690" s="754"/>
      <c r="J5690" s="753"/>
      <c r="K5690" s="753" t="s">
        <v>3</v>
      </c>
      <c r="L5690" s="755" t="s">
        <v>143</v>
      </c>
      <c r="M5690" s="755"/>
      <c r="N5690" s="755"/>
      <c r="O5690" s="755"/>
      <c r="P5690" s="755"/>
      <c r="Q5690" s="51"/>
      <c r="T5690" s="756" t="str">
        <f ca="1">IF(AND($R5697=0,$T5697=0),"0.00","mu :" &amp; ROUND($F5690/$C$2/($R5697+$T5697*$D$9),2))</f>
        <v>mu :1.23</v>
      </c>
      <c r="W5690" s="524"/>
      <c r="AG5690" s="481">
        <f ca="1">IF($E5690=0,0,ROUND($R5697*$S$2*$C$2/$A5690,2))</f>
        <v>36.32</v>
      </c>
      <c r="AH5690" s="481">
        <f ca="1">$AG5690*$A5690</f>
        <v>3268.8</v>
      </c>
      <c r="AI5690" s="525">
        <f ca="1">$E5690-$AG5690</f>
        <v>18.939999999999998</v>
      </c>
      <c r="AJ5690" s="525">
        <f ca="1">$A5690*$AI5690</f>
        <v>1704.6</v>
      </c>
      <c r="AK5690" s="526">
        <f ca="1">ROUND(($AG5690+$AI5690)*$A5690,2)</f>
        <v>4973.3999999999996</v>
      </c>
      <c r="AM5690" s="527">
        <f ca="1">ROUND(R5697,2)</f>
        <v>2655</v>
      </c>
      <c r="AN5690" s="528">
        <f ca="1">ROUND(T5697,2)</f>
        <v>50.4</v>
      </c>
      <c r="AO5690" s="529">
        <f ca="1">ROUND(AM5690+AN5690,2)*A5690</f>
        <v>243486</v>
      </c>
      <c r="AR5690" s="747">
        <v>40</v>
      </c>
      <c r="AS5690" s="751">
        <v>2291.6</v>
      </c>
    </row>
    <row r="5691" spans="1:45" s="520" customFormat="1" ht="13.2">
      <c r="A5691" s="748"/>
      <c r="B5691"/>
      <c r="C5691" s="748"/>
      <c r="D5691" s="749" t="s">
        <v>917</v>
      </c>
      <c r="F5691" s="753"/>
      <c r="G5691" s="3"/>
      <c r="H5691" s="753"/>
      <c r="I5691" s="754"/>
      <c r="J5691" s="753"/>
      <c r="K5691" s="753" t="s">
        <v>144</v>
      </c>
      <c r="L5691" s="753"/>
      <c r="M5691" s="753"/>
      <c r="N5691" s="753"/>
      <c r="O5691" s="753"/>
      <c r="P5691" s="753"/>
      <c r="Q5691" s="51"/>
      <c r="R5691" s="530"/>
      <c r="S5691" s="757"/>
      <c r="T5691" s="753"/>
      <c r="AR5691" s="748"/>
      <c r="AS5691" s="753"/>
    </row>
    <row r="5692" spans="1:45" s="886" customFormat="1" ht="13.2">
      <c r="A5692"/>
      <c r="B5692" s="910"/>
      <c r="C5692" s="910" t="s">
        <v>2597</v>
      </c>
      <c r="D5692" s="910" t="str">
        <f ca="1">CELL("Address",Elec_Rates!D$739)</f>
        <v>[E25_0062_Quintano_Foods_Elec_ELV_As_Awarded.xlsx]Elec_Rates!$D$739</v>
      </c>
      <c r="E5692" s="911"/>
      <c r="F5692" s="911"/>
      <c r="G5692" s="912" t="s">
        <v>2598</v>
      </c>
      <c r="H5692" s="912"/>
      <c r="I5692" s="912"/>
      <c r="J5692" s="912"/>
      <c r="K5692" s="913"/>
      <c r="L5692" s="911"/>
      <c r="M5692" s="911"/>
      <c r="N5692" s="911"/>
      <c r="O5692" s="914"/>
      <c r="P5692" s="911"/>
      <c r="Q5692" s="915"/>
      <c r="R5692" s="916"/>
      <c r="S5692" s="915"/>
      <c r="T5692" s="917"/>
      <c r="U5692" s="918"/>
      <c r="AR5692"/>
      <c r="AS5692" s="911"/>
    </row>
    <row r="5693" spans="1:45" s="886" customFormat="1" ht="11.4">
      <c r="A5693" s="919">
        <v>90</v>
      </c>
      <c r="B5693" s="920">
        <v>1</v>
      </c>
      <c r="C5693" s="920">
        <f>$A5693*$B5693</f>
        <v>90</v>
      </c>
      <c r="D5693" s="921" t="str">
        <f>Elec_Rates!$D$739</f>
        <v>071# 500mm cable Tray</v>
      </c>
      <c r="E5693" s="921"/>
      <c r="F5693" s="921" t="s">
        <v>2599</v>
      </c>
      <c r="G5693" s="922" t="s">
        <v>2601</v>
      </c>
      <c r="H5693" s="922"/>
      <c r="I5693" s="922"/>
      <c r="J5693" s="922"/>
      <c r="K5693" s="923"/>
      <c r="L5693" s="918"/>
      <c r="M5693" s="918"/>
      <c r="N5693" s="918"/>
      <c r="O5693" s="924"/>
      <c r="P5693" s="921"/>
      <c r="Q5693" s="925">
        <f ca="1">$B5693*Elec_Rates!$R$739</f>
        <v>13.13</v>
      </c>
      <c r="R5693" s="916">
        <f ca="1">$A5693*Q5693</f>
        <v>1181.7</v>
      </c>
      <c r="S5693" s="925">
        <f ca="1">$B5693*Elec_Rates!$T$739</f>
        <v>0.41</v>
      </c>
      <c r="T5693" s="917">
        <f ca="1">$A5693*S5693</f>
        <v>36.9</v>
      </c>
      <c r="U5693" s="926"/>
      <c r="AR5693" s="919">
        <v>40</v>
      </c>
      <c r="AS5693" s="921" t="s">
        <v>2599</v>
      </c>
    </row>
    <row r="5694" spans="1:45" s="886" customFormat="1" ht="13.2">
      <c r="A5694"/>
      <c r="B5694" s="910"/>
      <c r="C5694" s="910" t="s">
        <v>2597</v>
      </c>
      <c r="D5694" s="910" t="str">
        <f ca="1">CELL("Address",Elec_Rates!D$933)</f>
        <v>[E25_0062_Quintano_Foods_Elec_ELV_As_Awarded.xlsx]Elec_Rates!$D$933</v>
      </c>
      <c r="E5694" s="911"/>
      <c r="F5694" s="911"/>
      <c r="G5694" s="912" t="s">
        <v>2598</v>
      </c>
      <c r="H5694" s="912"/>
      <c r="I5694" s="912"/>
      <c r="J5694" s="912"/>
      <c r="K5694" s="913"/>
      <c r="L5694" s="911"/>
      <c r="M5694" s="911"/>
      <c r="N5694" s="911"/>
      <c r="O5694" s="914"/>
      <c r="P5694" s="911"/>
      <c r="Q5694" s="915"/>
      <c r="R5694" s="916"/>
      <c r="S5694" s="915"/>
      <c r="T5694" s="917"/>
      <c r="U5694" s="918"/>
      <c r="AR5694"/>
      <c r="AS5694" s="911"/>
    </row>
    <row r="5695" spans="1:45" s="886" customFormat="1" ht="11.4">
      <c r="A5695" s="919">
        <v>90</v>
      </c>
      <c r="B5695" s="920">
        <v>1</v>
      </c>
      <c r="C5695" s="920">
        <f>$A5695*$B5695</f>
        <v>90</v>
      </c>
      <c r="D5695" s="921" t="str">
        <f>Elec_Rates!$D$933</f>
        <v>086# Bracket for 400-600mm cable tray/basket</v>
      </c>
      <c r="E5695" s="921"/>
      <c r="F5695" s="921" t="s">
        <v>2599</v>
      </c>
      <c r="G5695" s="922" t="s">
        <v>2600</v>
      </c>
      <c r="H5695" s="922"/>
      <c r="I5695" s="922"/>
      <c r="J5695" s="922"/>
      <c r="K5695" s="923"/>
      <c r="L5695" s="918"/>
      <c r="M5695" s="918"/>
      <c r="N5695" s="918"/>
      <c r="O5695" s="924"/>
      <c r="P5695" s="921"/>
      <c r="Q5695" s="925">
        <f ca="1">$B5695*Elec_Rates!$R$933</f>
        <v>16.37</v>
      </c>
      <c r="R5695" s="916">
        <f ca="1">$A5695*Q5695</f>
        <v>1473.3000000000002</v>
      </c>
      <c r="S5695" s="925">
        <f ca="1">$B5695*Elec_Rates!$T$933</f>
        <v>0.15</v>
      </c>
      <c r="T5695" s="917">
        <f ca="1">$A5695*S5695</f>
        <v>13.5</v>
      </c>
      <c r="U5695" s="926"/>
      <c r="AR5695" s="919">
        <v>40</v>
      </c>
      <c r="AS5695" s="921" t="s">
        <v>2599</v>
      </c>
    </row>
    <row r="5696" spans="1:45" s="520" customFormat="1" ht="12">
      <c r="A5696" s="758"/>
      <c r="B5696" s="758"/>
      <c r="C5696" s="758"/>
      <c r="D5696" s="758"/>
      <c r="E5696" s="758"/>
      <c r="F5696" s="753"/>
      <c r="G5696" s="758"/>
      <c r="H5696" s="758"/>
      <c r="I5696" s="519"/>
      <c r="J5696" s="758"/>
      <c r="K5696" s="758"/>
      <c r="L5696" s="758"/>
      <c r="M5696" s="758"/>
      <c r="N5696" s="758"/>
      <c r="O5696" s="758"/>
      <c r="P5696" s="758"/>
      <c r="Q5696" s="519"/>
      <c r="R5696" s="759">
        <f t="shared" ref="R5696" si="320">$A5696*Q5696</f>
        <v>0</v>
      </c>
      <c r="S5696" s="519"/>
      <c r="T5696" s="760">
        <f t="shared" ref="T5696" si="321">$A5696*S5696*$T$1</f>
        <v>0</v>
      </c>
      <c r="AR5696" s="758"/>
      <c r="AS5696" s="753"/>
    </row>
    <row r="5697" spans="1:45" s="520" customFormat="1" ht="12.6" thickBot="1">
      <c r="A5697" s="761" t="s">
        <v>145</v>
      </c>
      <c r="B5697" s="762">
        <f>(R5696+T5696)</f>
        <v>0</v>
      </c>
      <c r="C5697" s="763"/>
      <c r="D5697" s="763"/>
      <c r="E5697" s="763"/>
      <c r="F5697" s="764"/>
      <c r="G5697" s="763" t="s">
        <v>146</v>
      </c>
      <c r="H5697" s="763"/>
      <c r="I5697" s="765"/>
      <c r="J5697" s="763"/>
      <c r="K5697" s="763" t="s">
        <v>3</v>
      </c>
      <c r="L5697" s="766" t="s">
        <v>143</v>
      </c>
      <c r="M5697" s="766"/>
      <c r="N5697" s="766"/>
      <c r="O5697" s="766"/>
      <c r="P5697" s="766"/>
      <c r="Q5697" s="767"/>
      <c r="R5697" s="768">
        <f ca="1">SUM(R5691:R5696)</f>
        <v>2655</v>
      </c>
      <c r="S5697" s="763"/>
      <c r="T5697" s="768">
        <f ca="1">SUM(T5691:T5696)</f>
        <v>50.4</v>
      </c>
      <c r="U5697" s="531"/>
      <c r="V5697" s="531"/>
      <c r="W5697" s="531"/>
      <c r="X5697" s="531"/>
      <c r="Y5697" s="531"/>
      <c r="Z5697" s="531"/>
      <c r="AA5697" s="531"/>
      <c r="AB5697" s="531"/>
      <c r="AC5697" s="531"/>
      <c r="AD5697" s="531"/>
      <c r="AE5697" s="531"/>
      <c r="AF5697" s="531"/>
      <c r="AG5697" s="531"/>
      <c r="AH5697" s="531"/>
      <c r="AI5697" s="531"/>
      <c r="AJ5697" s="531"/>
      <c r="AK5697" s="531"/>
      <c r="AL5697" s="531"/>
      <c r="AM5697" s="531"/>
      <c r="AN5697" s="531"/>
      <c r="AO5697" s="531"/>
      <c r="AR5697" s="761" t="s">
        <v>145</v>
      </c>
      <c r="AS5697" s="764"/>
    </row>
    <row r="5698" spans="1:45" s="520" customFormat="1" thickTop="1">
      <c r="A5698" s="51"/>
      <c r="B5698" s="51"/>
      <c r="C5698" s="3"/>
      <c r="D5698" s="3"/>
      <c r="E5698" s="51"/>
      <c r="F5698" s="51"/>
      <c r="G5698" s="51"/>
      <c r="H5698" s="51"/>
      <c r="I5698" s="51"/>
      <c r="J5698" s="51"/>
      <c r="K5698" s="51" t="s">
        <v>134</v>
      </c>
      <c r="L5698" s="51"/>
      <c r="M5698" s="51"/>
      <c r="N5698" s="51"/>
      <c r="O5698" s="52"/>
      <c r="P5698" s="51"/>
      <c r="Q5698" s="51"/>
      <c r="R5698" s="51"/>
      <c r="S5698" s="51"/>
      <c r="T5698" s="51"/>
      <c r="AR5698" s="51"/>
      <c r="AS5698" s="51"/>
    </row>
    <row r="5699" spans="1:45" s="520" customFormat="1" ht="12">
      <c r="A5699" s="51"/>
      <c r="B5699" s="51"/>
      <c r="C5699" s="51" t="s">
        <v>135</v>
      </c>
      <c r="D5699" s="37"/>
      <c r="E5699" s="51"/>
      <c r="F5699" s="51"/>
      <c r="G5699" s="51"/>
      <c r="H5699" s="51"/>
      <c r="I5699" s="51"/>
      <c r="J5699" s="51"/>
      <c r="K5699" s="51"/>
      <c r="L5699" s="51"/>
      <c r="M5699" s="51"/>
      <c r="N5699" s="51"/>
      <c r="O5699" s="52"/>
      <c r="P5699" s="51"/>
      <c r="Q5699" s="51"/>
      <c r="R5699" s="51"/>
      <c r="S5699" s="51"/>
      <c r="T5699" s="51"/>
      <c r="AR5699" s="51"/>
      <c r="AS5699" s="51"/>
    </row>
    <row r="5700" spans="1:45" s="520" customFormat="1" ht="12">
      <c r="A5700" s="51"/>
      <c r="B5700" s="51"/>
      <c r="C5700" s="51"/>
      <c r="D5700" s="37" t="s">
        <v>919</v>
      </c>
      <c r="E5700" s="51"/>
      <c r="F5700" s="51"/>
      <c r="G5700" s="51"/>
      <c r="H5700" s="51"/>
      <c r="I5700" s="51"/>
      <c r="J5700" s="51"/>
      <c r="K5700" s="51"/>
      <c r="L5700" s="51"/>
      <c r="M5700" s="51"/>
      <c r="N5700" s="51"/>
      <c r="O5700" s="52"/>
      <c r="P5700" s="51"/>
      <c r="Q5700" s="51"/>
      <c r="R5700" s="51"/>
      <c r="S5700" s="38"/>
      <c r="T5700" s="38"/>
      <c r="AR5700" s="51"/>
      <c r="AS5700" s="51"/>
    </row>
    <row r="5701" spans="1:45" s="3" customFormat="1" thickBot="1">
      <c r="A5701" s="531"/>
      <c r="O5701" s="107"/>
      <c r="AR5701" s="531"/>
    </row>
    <row r="5702" spans="1:45" s="520" customFormat="1" ht="12" thickTop="1">
      <c r="A5702" s="51"/>
      <c r="B5702" s="41"/>
      <c r="C5702" s="51"/>
      <c r="E5702" s="42" t="s">
        <v>138</v>
      </c>
      <c r="F5702" s="42" t="s">
        <v>139</v>
      </c>
      <c r="G5702" s="51"/>
      <c r="H5702" s="51"/>
      <c r="I5702" s="51"/>
      <c r="J5702" s="51"/>
      <c r="K5702" s="51" t="s">
        <v>140</v>
      </c>
      <c r="L5702" s="51"/>
      <c r="M5702" s="51"/>
      <c r="N5702" s="51"/>
      <c r="O5702" s="52"/>
      <c r="P5702" s="51"/>
      <c r="Q5702" s="51"/>
      <c r="R5702" s="51"/>
      <c r="S5702" s="51"/>
      <c r="T5702" s="41"/>
      <c r="AG5702" s="521" t="s">
        <v>268</v>
      </c>
      <c r="AH5702" s="521" t="s">
        <v>269</v>
      </c>
      <c r="AI5702" s="521" t="s">
        <v>270</v>
      </c>
      <c r="AJ5702" s="521" t="s">
        <v>271</v>
      </c>
      <c r="AK5702" s="521" t="s">
        <v>272</v>
      </c>
      <c r="AM5702" s="745" t="s">
        <v>281</v>
      </c>
      <c r="AN5702" s="746" t="s">
        <v>282</v>
      </c>
      <c r="AO5702" s="522" t="s">
        <v>278</v>
      </c>
      <c r="AR5702" s="51"/>
      <c r="AS5702" s="42" t="s">
        <v>139</v>
      </c>
    </row>
    <row r="5703" spans="1:45" s="520" customFormat="1" ht="12" customHeight="1">
      <c r="A5703" s="747">
        <v>5</v>
      </c>
      <c r="B5703" s="523" t="s">
        <v>320</v>
      </c>
      <c r="C5703" s="748"/>
      <c r="D5703" s="749" t="s">
        <v>1932</v>
      </c>
      <c r="E5703" s="750">
        <f ca="1">IF(AND($A5703=0,$A$1="DIF"),0, ROUND(ROUND(($R5710*$S$2+($T5710*$T$2))/A5703,2)*$C$2,2))</f>
        <v>22.31</v>
      </c>
      <c r="F5703" s="751">
        <f ca="1">ROUND($A5703*$E5703,2)</f>
        <v>111.55</v>
      </c>
      <c r="G5703" s="752" t="s">
        <v>142</v>
      </c>
      <c r="H5703" s="753"/>
      <c r="I5703" s="754"/>
      <c r="J5703" s="753"/>
      <c r="K5703" s="753" t="s">
        <v>3</v>
      </c>
      <c r="L5703" s="755" t="s">
        <v>143</v>
      </c>
      <c r="M5703" s="755"/>
      <c r="N5703" s="755"/>
      <c r="O5703" s="755"/>
      <c r="P5703" s="755"/>
      <c r="Q5703" s="51"/>
      <c r="T5703" s="756" t="str">
        <f ca="1">IF(AND($R5710=0,$T5710=0),"0.00","mu :" &amp; ROUND($F5703/$C$2/($R5710+$T5710*$D$9),2))</f>
        <v>mu :1.23</v>
      </c>
      <c r="W5703" s="524"/>
      <c r="AG5703" s="481">
        <f ca="1">IF($E5703=0,0,ROUND($R5710*$S$2*$C$2/$A5703,2))</f>
        <v>10.130000000000001</v>
      </c>
      <c r="AH5703" s="481">
        <f ca="1">$AG5703*$A5703</f>
        <v>50.650000000000006</v>
      </c>
      <c r="AI5703" s="525">
        <f ca="1">$E5703-$AG5703</f>
        <v>12.179999999999998</v>
      </c>
      <c r="AJ5703" s="525">
        <f ca="1">$A5703*$AI5703</f>
        <v>60.899999999999991</v>
      </c>
      <c r="AK5703" s="526">
        <f ca="1">ROUND(($AG5703+$AI5703)*$A5703,2)</f>
        <v>111.55</v>
      </c>
      <c r="AM5703" s="527">
        <f ca="1">ROUND(R5710,2)</f>
        <v>41.15</v>
      </c>
      <c r="AN5703" s="528">
        <f ca="1">ROUND(T5710,2)</f>
        <v>1.8</v>
      </c>
      <c r="AO5703" s="529">
        <f ca="1">ROUND(AM5703+AN5703,2)*A5703</f>
        <v>214.75</v>
      </c>
      <c r="AR5703" s="747">
        <v>5</v>
      </c>
      <c r="AS5703" s="751">
        <v>118.3</v>
      </c>
    </row>
    <row r="5704" spans="1:45" s="520" customFormat="1" ht="13.2">
      <c r="A5704" s="748"/>
      <c r="B5704"/>
      <c r="C5704" s="748"/>
      <c r="D5704" s="749" t="s">
        <v>920</v>
      </c>
      <c r="F5704" s="753"/>
      <c r="G5704" s="3"/>
      <c r="H5704" s="753"/>
      <c r="I5704" s="754"/>
      <c r="J5704" s="753"/>
      <c r="K5704" s="753" t="s">
        <v>144</v>
      </c>
      <c r="L5704" s="753"/>
      <c r="M5704" s="753"/>
      <c r="N5704" s="753"/>
      <c r="O5704" s="753"/>
      <c r="P5704" s="753"/>
      <c r="Q5704" s="51"/>
      <c r="R5704" s="530"/>
      <c r="S5704" s="757"/>
      <c r="T5704" s="753"/>
      <c r="AR5704" s="748"/>
      <c r="AS5704" s="753"/>
    </row>
    <row r="5705" spans="1:45" s="886" customFormat="1" ht="13.2">
      <c r="A5705"/>
      <c r="B5705" s="910"/>
      <c r="C5705" s="910" t="s">
        <v>2597</v>
      </c>
      <c r="D5705" s="910" t="str">
        <f ca="1">CELL("Address",Elec_Rates!D$808)</f>
        <v>[E25_0062_Quintano_Foods_Elec_ELV_As_Awarded.xlsx]Elec_Rates!$D$808</v>
      </c>
      <c r="E5705" s="911"/>
      <c r="F5705" s="911"/>
      <c r="G5705" s="912" t="s">
        <v>2598</v>
      </c>
      <c r="H5705" s="912"/>
      <c r="I5705" s="912"/>
      <c r="J5705" s="912"/>
      <c r="K5705" s="913"/>
      <c r="L5705" s="911"/>
      <c r="M5705" s="911"/>
      <c r="N5705" s="911"/>
      <c r="O5705" s="914"/>
      <c r="P5705" s="911"/>
      <c r="Q5705" s="915"/>
      <c r="R5705" s="916"/>
      <c r="S5705" s="915"/>
      <c r="T5705" s="917"/>
      <c r="U5705" s="918"/>
      <c r="AR5705"/>
      <c r="AS5705" s="911"/>
    </row>
    <row r="5706" spans="1:45" s="886" customFormat="1" ht="11.4">
      <c r="A5706" s="919">
        <v>5</v>
      </c>
      <c r="B5706" s="920">
        <v>1</v>
      </c>
      <c r="C5706" s="920">
        <f>$A5706*$B5706</f>
        <v>5</v>
      </c>
      <c r="D5706" s="921" t="str">
        <f>Elec_Rates!$D$808</f>
        <v>077# 75x50mm galvanised steel cable trunking</v>
      </c>
      <c r="E5706" s="921"/>
      <c r="F5706" s="921" t="s">
        <v>2599</v>
      </c>
      <c r="G5706" s="922" t="s">
        <v>2600</v>
      </c>
      <c r="H5706" s="922"/>
      <c r="I5706" s="922"/>
      <c r="J5706" s="922"/>
      <c r="K5706" s="923"/>
      <c r="L5706" s="918"/>
      <c r="M5706" s="918"/>
      <c r="N5706" s="918"/>
      <c r="O5706" s="924"/>
      <c r="P5706" s="921"/>
      <c r="Q5706" s="925">
        <f ca="1">$B5706*Elec_Rates!$R$808</f>
        <v>5.86</v>
      </c>
      <c r="R5706" s="916">
        <f ca="1">$A5706*Q5706</f>
        <v>29.3</v>
      </c>
      <c r="S5706" s="925">
        <f ca="1">$B5706*Elec_Rates!$T$808</f>
        <v>0.27</v>
      </c>
      <c r="T5706" s="917">
        <f ca="1">$A5706*S5706</f>
        <v>1.35</v>
      </c>
      <c r="U5706" s="926"/>
      <c r="AR5706" s="919">
        <v>5</v>
      </c>
      <c r="AS5706" s="921" t="s">
        <v>2599</v>
      </c>
    </row>
    <row r="5707" spans="1:45" s="886" customFormat="1" ht="13.2">
      <c r="A5707"/>
      <c r="B5707" s="910"/>
      <c r="C5707" s="910" t="s">
        <v>2597</v>
      </c>
      <c r="D5707" s="910" t="str">
        <f ca="1">CELL("Address",Elec_Rates!D$907)</f>
        <v>[E25_0062_Quintano_Foods_Elec_ELV_As_Awarded.xlsx]Elec_Rates!$D$907</v>
      </c>
      <c r="E5707" s="911"/>
      <c r="F5707" s="911"/>
      <c r="G5707" s="912" t="s">
        <v>2598</v>
      </c>
      <c r="H5707" s="912"/>
      <c r="I5707" s="912"/>
      <c r="J5707" s="912"/>
      <c r="K5707" s="913"/>
      <c r="L5707" s="911"/>
      <c r="M5707" s="911"/>
      <c r="N5707" s="911"/>
      <c r="O5707" s="914"/>
      <c r="P5707" s="911"/>
      <c r="Q5707" s="915"/>
      <c r="R5707" s="916"/>
      <c r="S5707" s="915"/>
      <c r="T5707" s="917"/>
      <c r="U5707" s="918"/>
      <c r="AR5707"/>
      <c r="AS5707" s="911"/>
    </row>
    <row r="5708" spans="1:45" s="886" customFormat="1" ht="11.4">
      <c r="A5708" s="919">
        <v>5</v>
      </c>
      <c r="B5708" s="920">
        <v>1</v>
      </c>
      <c r="C5708" s="920">
        <f>$A5708*$B5708</f>
        <v>5</v>
      </c>
      <c r="D5708" s="921" t="str">
        <f>Elec_Rates!$D$907</f>
        <v>084# Bracket for 50-150mm cable tray/basket/trunking</v>
      </c>
      <c r="E5708" s="921"/>
      <c r="F5708" s="921" t="s">
        <v>2599</v>
      </c>
      <c r="G5708" s="922" t="s">
        <v>2600</v>
      </c>
      <c r="H5708" s="922"/>
      <c r="I5708" s="922"/>
      <c r="J5708" s="922"/>
      <c r="K5708" s="923"/>
      <c r="L5708" s="918"/>
      <c r="M5708" s="918"/>
      <c r="N5708" s="918"/>
      <c r="O5708" s="924"/>
      <c r="P5708" s="921"/>
      <c r="Q5708" s="925">
        <f ca="1">$B5708*Elec_Rates!$R$907</f>
        <v>2.37</v>
      </c>
      <c r="R5708" s="916">
        <f ca="1">$A5708*Q5708</f>
        <v>11.850000000000001</v>
      </c>
      <c r="S5708" s="925">
        <f ca="1">$B5708*Elec_Rates!$T$907</f>
        <v>0.09</v>
      </c>
      <c r="T5708" s="917">
        <f ca="1">$A5708*S5708</f>
        <v>0.44999999999999996</v>
      </c>
      <c r="U5708" s="926"/>
      <c r="AR5708" s="919">
        <v>5</v>
      </c>
      <c r="AS5708" s="921" t="s">
        <v>2599</v>
      </c>
    </row>
    <row r="5709" spans="1:45" s="520" customFormat="1" ht="12">
      <c r="A5709" s="758"/>
      <c r="B5709" s="758"/>
      <c r="C5709" s="758"/>
      <c r="D5709" s="758"/>
      <c r="E5709" s="758"/>
      <c r="F5709" s="753"/>
      <c r="G5709" s="758"/>
      <c r="H5709" s="758"/>
      <c r="I5709" s="519"/>
      <c r="J5709" s="758"/>
      <c r="K5709" s="758"/>
      <c r="L5709" s="758"/>
      <c r="M5709" s="758"/>
      <c r="N5709" s="758"/>
      <c r="O5709" s="758"/>
      <c r="P5709" s="758"/>
      <c r="Q5709" s="519"/>
      <c r="R5709" s="759">
        <f t="shared" ref="R5709" si="322">$A5709*Q5709</f>
        <v>0</v>
      </c>
      <c r="S5709" s="519"/>
      <c r="T5709" s="760">
        <f t="shared" ref="T5709" si="323">$A5709*S5709*$T$1</f>
        <v>0</v>
      </c>
      <c r="AR5709" s="758"/>
      <c r="AS5709" s="753"/>
    </row>
    <row r="5710" spans="1:45" s="520" customFormat="1" ht="12.6" thickBot="1">
      <c r="A5710" s="761" t="s">
        <v>145</v>
      </c>
      <c r="B5710" s="762">
        <f>(R5709+T5709)</f>
        <v>0</v>
      </c>
      <c r="C5710" s="763"/>
      <c r="D5710" s="763"/>
      <c r="E5710" s="763"/>
      <c r="F5710" s="764"/>
      <c r="G5710" s="763" t="s">
        <v>146</v>
      </c>
      <c r="H5710" s="763"/>
      <c r="I5710" s="765"/>
      <c r="J5710" s="763"/>
      <c r="K5710" s="763" t="s">
        <v>3</v>
      </c>
      <c r="L5710" s="766" t="s">
        <v>143</v>
      </c>
      <c r="M5710" s="766"/>
      <c r="N5710" s="766"/>
      <c r="O5710" s="766"/>
      <c r="P5710" s="766"/>
      <c r="Q5710" s="767"/>
      <c r="R5710" s="768">
        <f ca="1">SUM(R5704:R5709)</f>
        <v>41.150000000000006</v>
      </c>
      <c r="S5710" s="763"/>
      <c r="T5710" s="768">
        <f ca="1">SUM(T5704:T5709)</f>
        <v>1.8</v>
      </c>
      <c r="U5710" s="531"/>
      <c r="V5710" s="531"/>
      <c r="W5710" s="531"/>
      <c r="X5710" s="531"/>
      <c r="Y5710" s="531"/>
      <c r="Z5710" s="531"/>
      <c r="AA5710" s="531"/>
      <c r="AB5710" s="531"/>
      <c r="AC5710" s="531"/>
      <c r="AD5710" s="531"/>
      <c r="AE5710" s="531"/>
      <c r="AF5710" s="531"/>
      <c r="AG5710" s="531"/>
      <c r="AH5710" s="531"/>
      <c r="AI5710" s="531"/>
      <c r="AJ5710" s="531"/>
      <c r="AK5710" s="531"/>
      <c r="AL5710" s="531"/>
      <c r="AM5710" s="531"/>
      <c r="AN5710" s="531"/>
      <c r="AO5710" s="531"/>
      <c r="AR5710" s="761" t="s">
        <v>145</v>
      </c>
      <c r="AS5710" s="764"/>
    </row>
    <row r="5711" spans="1:45" s="520" customFormat="1" ht="12" thickTop="1">
      <c r="A5711" s="51"/>
      <c r="B5711" s="41"/>
      <c r="C5711" s="51"/>
      <c r="E5711" s="42" t="s">
        <v>138</v>
      </c>
      <c r="F5711" s="42" t="s">
        <v>139</v>
      </c>
      <c r="G5711" s="51"/>
      <c r="H5711" s="51"/>
      <c r="I5711" s="51"/>
      <c r="J5711" s="51"/>
      <c r="K5711" s="51" t="s">
        <v>140</v>
      </c>
      <c r="L5711" s="51"/>
      <c r="M5711" s="51"/>
      <c r="N5711" s="51"/>
      <c r="O5711" s="52"/>
      <c r="P5711" s="51"/>
      <c r="Q5711" s="51"/>
      <c r="R5711" s="51"/>
      <c r="S5711" s="51"/>
      <c r="T5711" s="41"/>
      <c r="AG5711" s="521" t="s">
        <v>268</v>
      </c>
      <c r="AH5711" s="521" t="s">
        <v>269</v>
      </c>
      <c r="AI5711" s="521" t="s">
        <v>270</v>
      </c>
      <c r="AJ5711" s="521" t="s">
        <v>271</v>
      </c>
      <c r="AK5711" s="521" t="s">
        <v>272</v>
      </c>
      <c r="AM5711" s="745" t="s">
        <v>281</v>
      </c>
      <c r="AN5711" s="746" t="s">
        <v>282</v>
      </c>
      <c r="AO5711" s="522" t="s">
        <v>278</v>
      </c>
      <c r="AR5711" s="51"/>
      <c r="AS5711" s="42" t="s">
        <v>139</v>
      </c>
    </row>
    <row r="5712" spans="1:45" s="520" customFormat="1" ht="12" customHeight="1">
      <c r="A5712" s="747">
        <v>145</v>
      </c>
      <c r="B5712" s="523" t="s">
        <v>320</v>
      </c>
      <c r="C5712" s="748"/>
      <c r="D5712" s="749" t="s">
        <v>1933</v>
      </c>
      <c r="E5712" s="750">
        <f ca="1">IF(AND($A5712=0,$A$1="DIF"),0, ROUND(ROUND(($R5719*$S$2+($T5719*$T$2))/A5712,2)*$C$2,2))</f>
        <v>24.32</v>
      </c>
      <c r="F5712" s="751">
        <f ca="1">ROUND($A5712*$E5712,2)</f>
        <v>3526.4</v>
      </c>
      <c r="G5712" s="752" t="s">
        <v>142</v>
      </c>
      <c r="H5712" s="753"/>
      <c r="I5712" s="754"/>
      <c r="J5712" s="753"/>
      <c r="K5712" s="753" t="s">
        <v>3</v>
      </c>
      <c r="L5712" s="755" t="s">
        <v>143</v>
      </c>
      <c r="M5712" s="755"/>
      <c r="N5712" s="755"/>
      <c r="O5712" s="755"/>
      <c r="P5712" s="755"/>
      <c r="Q5712" s="51"/>
      <c r="T5712" s="756" t="str">
        <f ca="1">IF(AND($R5719=0,$T5719=0),"0.00","mu :" &amp; ROUND($F5712/$C$2/($R5719+$T5719*$D$9),2))</f>
        <v>mu :1.23</v>
      </c>
      <c r="W5712" s="524"/>
      <c r="AG5712" s="481">
        <f ca="1">IF($E5712=0,0,ROUND($R5719*$S$2*$C$2/$A5712,2))</f>
        <v>11.48</v>
      </c>
      <c r="AH5712" s="481">
        <f ca="1">$AG5712*$A5712</f>
        <v>1664.6000000000001</v>
      </c>
      <c r="AI5712" s="525">
        <f ca="1">$E5712-$AG5712</f>
        <v>12.84</v>
      </c>
      <c r="AJ5712" s="525">
        <f ca="1">$A5712*$AI5712</f>
        <v>1861.8</v>
      </c>
      <c r="AK5712" s="526">
        <f ca="1">ROUND(($AG5712+$AI5712)*$A5712,2)</f>
        <v>3526.4</v>
      </c>
      <c r="AM5712" s="527">
        <f ca="1">ROUND(R5719,2)</f>
        <v>1351.4</v>
      </c>
      <c r="AN5712" s="528">
        <f ca="1">ROUND(T5719,2)</f>
        <v>55.1</v>
      </c>
      <c r="AO5712" s="529">
        <f ca="1">ROUND(AM5712+AN5712,2)*A5712</f>
        <v>203942.5</v>
      </c>
      <c r="AR5712" s="747">
        <v>145</v>
      </c>
      <c r="AS5712" s="751">
        <v>3723.6</v>
      </c>
    </row>
    <row r="5713" spans="1:45" s="520" customFormat="1" ht="13.2">
      <c r="A5713" s="748"/>
      <c r="B5713"/>
      <c r="C5713" s="748"/>
      <c r="D5713" s="749" t="s">
        <v>921</v>
      </c>
      <c r="F5713" s="753"/>
      <c r="G5713" s="3"/>
      <c r="H5713" s="753"/>
      <c r="I5713" s="754"/>
      <c r="J5713" s="753"/>
      <c r="K5713" s="753" t="s">
        <v>144</v>
      </c>
      <c r="L5713" s="753"/>
      <c r="M5713" s="753"/>
      <c r="N5713" s="753"/>
      <c r="O5713" s="753"/>
      <c r="P5713" s="753"/>
      <c r="Q5713" s="51"/>
      <c r="R5713" s="530"/>
      <c r="S5713" s="757"/>
      <c r="T5713" s="753"/>
      <c r="AR5713" s="748"/>
      <c r="AS5713" s="753"/>
    </row>
    <row r="5714" spans="1:45" s="886" customFormat="1" ht="13.2">
      <c r="A5714"/>
      <c r="B5714" s="910"/>
      <c r="C5714" s="910" t="s">
        <v>2597</v>
      </c>
      <c r="D5714" s="910" t="str">
        <f ca="1">CELL("Address",Elec_Rates!D$822)</f>
        <v>[E25_0062_Quintano_Foods_Elec_ELV_As_Awarded.xlsx]Elec_Rates!$D$822</v>
      </c>
      <c r="E5714" s="911"/>
      <c r="F5714" s="911"/>
      <c r="G5714" s="912" t="s">
        <v>2598</v>
      </c>
      <c r="H5714" s="912"/>
      <c r="I5714" s="912"/>
      <c r="J5714" s="912"/>
      <c r="K5714" s="913"/>
      <c r="L5714" s="911"/>
      <c r="M5714" s="911"/>
      <c r="N5714" s="911"/>
      <c r="O5714" s="914"/>
      <c r="P5714" s="911"/>
      <c r="Q5714" s="915"/>
      <c r="R5714" s="916"/>
      <c r="S5714" s="915"/>
      <c r="T5714" s="917"/>
      <c r="U5714" s="918"/>
      <c r="AR5714"/>
      <c r="AS5714" s="911"/>
    </row>
    <row r="5715" spans="1:45" s="886" customFormat="1" ht="11.4">
      <c r="A5715" s="919">
        <v>145</v>
      </c>
      <c r="B5715" s="920">
        <v>1</v>
      </c>
      <c r="C5715" s="920">
        <f>$A5715*$B5715</f>
        <v>145</v>
      </c>
      <c r="D5715" s="921" t="str">
        <f>Elec_Rates!$D$822</f>
        <v>078# 75x75mm galvanised steel cable trunking</v>
      </c>
      <c r="E5715" s="921"/>
      <c r="F5715" s="921" t="s">
        <v>2599</v>
      </c>
      <c r="G5715" s="922" t="s">
        <v>2601</v>
      </c>
      <c r="H5715" s="922"/>
      <c r="I5715" s="922"/>
      <c r="J5715" s="922"/>
      <c r="K5715" s="923"/>
      <c r="L5715" s="918"/>
      <c r="M5715" s="918"/>
      <c r="N5715" s="918"/>
      <c r="O5715" s="924"/>
      <c r="P5715" s="921"/>
      <c r="Q5715" s="925">
        <f ca="1">$B5715*Elec_Rates!$R$822</f>
        <v>6.95</v>
      </c>
      <c r="R5715" s="916">
        <f ca="1">$A5715*Q5715</f>
        <v>1007.75</v>
      </c>
      <c r="S5715" s="925">
        <f ca="1">$B5715*Elec_Rates!$T$822</f>
        <v>0.28999999999999998</v>
      </c>
      <c r="T5715" s="917">
        <f ca="1">$A5715*S5715</f>
        <v>42.05</v>
      </c>
      <c r="U5715" s="926"/>
      <c r="AR5715" s="919">
        <v>145</v>
      </c>
      <c r="AS5715" s="921" t="s">
        <v>2599</v>
      </c>
    </row>
    <row r="5716" spans="1:45" s="886" customFormat="1" ht="13.2">
      <c r="A5716"/>
      <c r="B5716" s="910"/>
      <c r="C5716" s="910" t="s">
        <v>2597</v>
      </c>
      <c r="D5716" s="910" t="str">
        <f ca="1">CELL("Address",Elec_Rates!D$907)</f>
        <v>[E25_0062_Quintano_Foods_Elec_ELV_As_Awarded.xlsx]Elec_Rates!$D$907</v>
      </c>
      <c r="E5716" s="911"/>
      <c r="F5716" s="911"/>
      <c r="G5716" s="912" t="s">
        <v>2598</v>
      </c>
      <c r="H5716" s="912"/>
      <c r="I5716" s="912"/>
      <c r="J5716" s="912"/>
      <c r="K5716" s="913"/>
      <c r="L5716" s="911"/>
      <c r="M5716" s="911"/>
      <c r="N5716" s="911"/>
      <c r="O5716" s="914"/>
      <c r="P5716" s="911"/>
      <c r="Q5716" s="915"/>
      <c r="R5716" s="916"/>
      <c r="S5716" s="915"/>
      <c r="T5716" s="917"/>
      <c r="U5716" s="918"/>
      <c r="AR5716"/>
      <c r="AS5716" s="911"/>
    </row>
    <row r="5717" spans="1:45" s="886" customFormat="1" ht="11.4">
      <c r="A5717" s="919">
        <v>145</v>
      </c>
      <c r="B5717" s="920">
        <v>1</v>
      </c>
      <c r="C5717" s="920">
        <f>$A5717*$B5717</f>
        <v>145</v>
      </c>
      <c r="D5717" s="921" t="str">
        <f>Elec_Rates!$D$907</f>
        <v>084# Bracket for 50-150mm cable tray/basket/trunking</v>
      </c>
      <c r="E5717" s="921"/>
      <c r="F5717" s="921" t="s">
        <v>2599</v>
      </c>
      <c r="G5717" s="922" t="s">
        <v>2600</v>
      </c>
      <c r="H5717" s="922"/>
      <c r="I5717" s="922"/>
      <c r="J5717" s="922"/>
      <c r="K5717" s="923"/>
      <c r="L5717" s="918"/>
      <c r="M5717" s="918"/>
      <c r="N5717" s="918"/>
      <c r="O5717" s="924"/>
      <c r="P5717" s="921"/>
      <c r="Q5717" s="925">
        <f ca="1">$B5717*Elec_Rates!$R$907</f>
        <v>2.37</v>
      </c>
      <c r="R5717" s="916">
        <f ca="1">$A5717*Q5717</f>
        <v>343.65000000000003</v>
      </c>
      <c r="S5717" s="925">
        <f ca="1">$B5717*Elec_Rates!$T$907</f>
        <v>0.09</v>
      </c>
      <c r="T5717" s="917">
        <f ca="1">$A5717*S5717</f>
        <v>13.049999999999999</v>
      </c>
      <c r="U5717" s="926"/>
      <c r="AR5717" s="919">
        <v>145</v>
      </c>
      <c r="AS5717" s="921" t="s">
        <v>2599</v>
      </c>
    </row>
    <row r="5718" spans="1:45" s="520" customFormat="1" ht="12">
      <c r="A5718" s="758"/>
      <c r="B5718" s="758"/>
      <c r="C5718" s="758"/>
      <c r="D5718" s="758"/>
      <c r="E5718" s="758"/>
      <c r="F5718" s="753"/>
      <c r="G5718" s="758"/>
      <c r="H5718" s="758"/>
      <c r="I5718" s="519"/>
      <c r="J5718" s="758"/>
      <c r="K5718" s="758"/>
      <c r="L5718" s="758"/>
      <c r="M5718" s="758"/>
      <c r="N5718" s="758"/>
      <c r="O5718" s="758"/>
      <c r="P5718" s="758"/>
      <c r="Q5718" s="519"/>
      <c r="R5718" s="759">
        <f t="shared" ref="R5718" si="324">$A5718*Q5718</f>
        <v>0</v>
      </c>
      <c r="S5718" s="519"/>
      <c r="T5718" s="760">
        <f t="shared" ref="T5718" si="325">$A5718*S5718*$T$1</f>
        <v>0</v>
      </c>
      <c r="AR5718" s="758"/>
      <c r="AS5718" s="753"/>
    </row>
    <row r="5719" spans="1:45" s="520" customFormat="1" ht="12.6" thickBot="1">
      <c r="A5719" s="761" t="s">
        <v>145</v>
      </c>
      <c r="B5719" s="762">
        <f>(R5718+T5718)</f>
        <v>0</v>
      </c>
      <c r="C5719" s="763"/>
      <c r="D5719" s="763"/>
      <c r="E5719" s="763"/>
      <c r="F5719" s="764"/>
      <c r="G5719" s="763" t="s">
        <v>146</v>
      </c>
      <c r="H5719" s="763"/>
      <c r="I5719" s="765"/>
      <c r="J5719" s="763"/>
      <c r="K5719" s="763" t="s">
        <v>3</v>
      </c>
      <c r="L5719" s="766" t="s">
        <v>143</v>
      </c>
      <c r="M5719" s="766"/>
      <c r="N5719" s="766"/>
      <c r="O5719" s="766"/>
      <c r="P5719" s="766"/>
      <c r="Q5719" s="767"/>
      <c r="R5719" s="768">
        <f ca="1">SUM(R5713:R5718)</f>
        <v>1351.4</v>
      </c>
      <c r="S5719" s="763"/>
      <c r="T5719" s="768">
        <f ca="1">SUM(T5713:T5718)</f>
        <v>55.099999999999994</v>
      </c>
      <c r="U5719" s="531"/>
      <c r="V5719" s="531"/>
      <c r="W5719" s="531"/>
      <c r="X5719" s="531"/>
      <c r="Y5719" s="531"/>
      <c r="Z5719" s="531"/>
      <c r="AA5719" s="531"/>
      <c r="AB5719" s="531"/>
      <c r="AC5719" s="531"/>
      <c r="AD5719" s="531"/>
      <c r="AE5719" s="531"/>
      <c r="AF5719" s="531"/>
      <c r="AG5719" s="531"/>
      <c r="AH5719" s="531"/>
      <c r="AI5719" s="531"/>
      <c r="AJ5719" s="531"/>
      <c r="AK5719" s="531"/>
      <c r="AL5719" s="531"/>
      <c r="AM5719" s="531"/>
      <c r="AN5719" s="531"/>
      <c r="AO5719" s="531"/>
      <c r="AR5719" s="761" t="s">
        <v>145</v>
      </c>
      <c r="AS5719" s="764"/>
    </row>
    <row r="5720" spans="1:45" s="520" customFormat="1" ht="12" thickTop="1">
      <c r="A5720" s="51"/>
      <c r="B5720" s="41"/>
      <c r="C5720" s="51"/>
      <c r="E5720" s="42" t="s">
        <v>138</v>
      </c>
      <c r="F5720" s="42" t="s">
        <v>139</v>
      </c>
      <c r="G5720" s="51"/>
      <c r="H5720" s="51"/>
      <c r="I5720" s="51"/>
      <c r="J5720" s="51"/>
      <c r="K5720" s="51" t="s">
        <v>140</v>
      </c>
      <c r="L5720" s="51"/>
      <c r="M5720" s="51"/>
      <c r="N5720" s="51"/>
      <c r="O5720" s="52"/>
      <c r="P5720" s="51"/>
      <c r="Q5720" s="51"/>
      <c r="R5720" s="51"/>
      <c r="S5720" s="51"/>
      <c r="T5720" s="41"/>
      <c r="AG5720" s="521" t="s">
        <v>268</v>
      </c>
      <c r="AH5720" s="521" t="s">
        <v>269</v>
      </c>
      <c r="AI5720" s="521" t="s">
        <v>270</v>
      </c>
      <c r="AJ5720" s="521" t="s">
        <v>271</v>
      </c>
      <c r="AK5720" s="521" t="s">
        <v>272</v>
      </c>
      <c r="AM5720" s="745" t="s">
        <v>281</v>
      </c>
      <c r="AN5720" s="746" t="s">
        <v>282</v>
      </c>
      <c r="AO5720" s="522" t="s">
        <v>278</v>
      </c>
      <c r="AR5720" s="51"/>
      <c r="AS5720" s="42" t="s">
        <v>139</v>
      </c>
    </row>
    <row r="5721" spans="1:45" s="520" customFormat="1" ht="12" customHeight="1">
      <c r="A5721" s="747">
        <v>60</v>
      </c>
      <c r="B5721" s="523" t="s">
        <v>320</v>
      </c>
      <c r="C5721" s="748"/>
      <c r="D5721" s="749" t="s">
        <v>1934</v>
      </c>
      <c r="E5721" s="750">
        <f ca="1">IF(AND($A5721=0,$A$1="DIF"),0, ROUND(ROUND(($R5728*$S$2+($T5728*$T$2))/A5721,2)*$C$2,2))</f>
        <v>26.93</v>
      </c>
      <c r="F5721" s="751">
        <f ca="1">ROUND($A5721*$E5721,2)</f>
        <v>1615.8</v>
      </c>
      <c r="G5721" s="752" t="s">
        <v>142</v>
      </c>
      <c r="H5721" s="753"/>
      <c r="I5721" s="754"/>
      <c r="J5721" s="753"/>
      <c r="K5721" s="753" t="s">
        <v>3</v>
      </c>
      <c r="L5721" s="755" t="s">
        <v>143</v>
      </c>
      <c r="M5721" s="755"/>
      <c r="N5721" s="755"/>
      <c r="O5721" s="755"/>
      <c r="P5721" s="755"/>
      <c r="Q5721" s="51"/>
      <c r="T5721" s="756" t="str">
        <f ca="1">IF(AND($R5728=0,$T5728=0),"0.00","mu :" &amp; ROUND($F5721/$C$2/($R5728+$T5728*$D$9),2))</f>
        <v>mu :1.23</v>
      </c>
      <c r="W5721" s="524"/>
      <c r="AG5721" s="481">
        <f ca="1">IF($E5721=0,0,ROUND($R5728*$S$2*$C$2/$A5721,2))</f>
        <v>12.73</v>
      </c>
      <c r="AH5721" s="481">
        <f ca="1">$AG5721*$A5721</f>
        <v>763.80000000000007</v>
      </c>
      <c r="AI5721" s="525">
        <f ca="1">$E5721-$AG5721</f>
        <v>14.2</v>
      </c>
      <c r="AJ5721" s="525">
        <f ca="1">$A5721*$AI5721</f>
        <v>852</v>
      </c>
      <c r="AK5721" s="526">
        <f ca="1">ROUND(($AG5721+$AI5721)*$A5721,2)</f>
        <v>1615.8</v>
      </c>
      <c r="AM5721" s="527">
        <f ca="1">ROUND(R5728,2)</f>
        <v>620.4</v>
      </c>
      <c r="AN5721" s="528">
        <f ca="1">ROUND(T5728,2)</f>
        <v>25.2</v>
      </c>
      <c r="AO5721" s="529">
        <f ca="1">ROUND(AM5721+AN5721,2)*A5721</f>
        <v>38736</v>
      </c>
      <c r="AR5721" s="747">
        <v>60</v>
      </c>
      <c r="AS5721" s="751">
        <v>1717.2</v>
      </c>
    </row>
    <row r="5722" spans="1:45" s="520" customFormat="1" ht="13.2">
      <c r="A5722" s="748"/>
      <c r="B5722"/>
      <c r="C5722" s="748"/>
      <c r="D5722" s="749" t="s">
        <v>922</v>
      </c>
      <c r="F5722" s="753"/>
      <c r="G5722" s="3"/>
      <c r="H5722" s="753"/>
      <c r="I5722" s="754"/>
      <c r="J5722" s="753"/>
      <c r="K5722" s="753" t="s">
        <v>144</v>
      </c>
      <c r="L5722" s="753"/>
      <c r="M5722" s="753"/>
      <c r="N5722" s="753"/>
      <c r="O5722" s="753"/>
      <c r="P5722" s="753"/>
      <c r="Q5722" s="51"/>
      <c r="R5722" s="530"/>
      <c r="S5722" s="757"/>
      <c r="T5722" s="753"/>
      <c r="AR5722" s="748"/>
      <c r="AS5722" s="753"/>
    </row>
    <row r="5723" spans="1:45" s="886" customFormat="1" ht="13.2">
      <c r="A5723"/>
      <c r="B5723" s="910"/>
      <c r="C5723" s="910" t="s">
        <v>2597</v>
      </c>
      <c r="D5723" s="910" t="str">
        <f ca="1">CELL("Address",Elec_Rates!D$837)</f>
        <v>[E25_0062_Quintano_Foods_Elec_ELV_As_Awarded.xlsx]Elec_Rates!$D$837</v>
      </c>
      <c r="E5723" s="911"/>
      <c r="F5723" s="911"/>
      <c r="G5723" s="912" t="s">
        <v>2598</v>
      </c>
      <c r="H5723" s="912"/>
      <c r="I5723" s="912"/>
      <c r="J5723" s="912"/>
      <c r="K5723" s="913"/>
      <c r="L5723" s="911"/>
      <c r="M5723" s="911"/>
      <c r="N5723" s="911"/>
      <c r="O5723" s="914"/>
      <c r="P5723" s="911"/>
      <c r="Q5723" s="915"/>
      <c r="R5723" s="916"/>
      <c r="S5723" s="915"/>
      <c r="T5723" s="917"/>
      <c r="U5723" s="918"/>
      <c r="AR5723"/>
      <c r="AS5723" s="911"/>
    </row>
    <row r="5724" spans="1:45" s="886" customFormat="1" ht="11.4">
      <c r="A5724" s="919">
        <v>60</v>
      </c>
      <c r="B5724" s="920">
        <v>1</v>
      </c>
      <c r="C5724" s="920">
        <f>$A5724*$B5724</f>
        <v>60</v>
      </c>
      <c r="D5724" s="921" t="str">
        <f>Elec_Rates!$D$837</f>
        <v>079# 100x75mm galvanised steel cable trunking</v>
      </c>
      <c r="E5724" s="921"/>
      <c r="F5724" s="921" t="s">
        <v>2599</v>
      </c>
      <c r="G5724" s="922" t="s">
        <v>2600</v>
      </c>
      <c r="H5724" s="922"/>
      <c r="I5724" s="922"/>
      <c r="J5724" s="922"/>
      <c r="K5724" s="923"/>
      <c r="L5724" s="918"/>
      <c r="M5724" s="918"/>
      <c r="N5724" s="918"/>
      <c r="O5724" s="924"/>
      <c r="P5724" s="921"/>
      <c r="Q5724" s="925">
        <f ca="1">$B5724*Elec_Rates!$R$837</f>
        <v>7.97</v>
      </c>
      <c r="R5724" s="916">
        <f ca="1">$A5724*Q5724</f>
        <v>478.2</v>
      </c>
      <c r="S5724" s="925">
        <f ca="1">$B5724*Elec_Rates!$T$837</f>
        <v>0.33</v>
      </c>
      <c r="T5724" s="917">
        <f ca="1">$A5724*S5724</f>
        <v>19.8</v>
      </c>
      <c r="U5724" s="926"/>
      <c r="AR5724" s="919">
        <v>60</v>
      </c>
      <c r="AS5724" s="921" t="s">
        <v>2599</v>
      </c>
    </row>
    <row r="5725" spans="1:45" s="886" customFormat="1" ht="13.2">
      <c r="A5725"/>
      <c r="B5725" s="910"/>
      <c r="C5725" s="910" t="s">
        <v>2597</v>
      </c>
      <c r="D5725" s="910" t="str">
        <f ca="1">CELL("Address",Elec_Rates!D$907)</f>
        <v>[E25_0062_Quintano_Foods_Elec_ELV_As_Awarded.xlsx]Elec_Rates!$D$907</v>
      </c>
      <c r="E5725" s="911"/>
      <c r="F5725" s="911"/>
      <c r="G5725" s="912" t="s">
        <v>2598</v>
      </c>
      <c r="H5725" s="912"/>
      <c r="I5725" s="912"/>
      <c r="J5725" s="912"/>
      <c r="K5725" s="913"/>
      <c r="L5725" s="911"/>
      <c r="M5725" s="911"/>
      <c r="N5725" s="911"/>
      <c r="O5725" s="914"/>
      <c r="P5725" s="911"/>
      <c r="Q5725" s="915"/>
      <c r="R5725" s="916"/>
      <c r="S5725" s="915"/>
      <c r="T5725" s="917"/>
      <c r="U5725" s="918"/>
      <c r="AR5725"/>
      <c r="AS5725" s="911"/>
    </row>
    <row r="5726" spans="1:45" s="886" customFormat="1" ht="11.4">
      <c r="A5726" s="919">
        <v>60</v>
      </c>
      <c r="B5726" s="920">
        <v>1</v>
      </c>
      <c r="C5726" s="920">
        <f>$A5726*$B5726</f>
        <v>60</v>
      </c>
      <c r="D5726" s="921" t="str">
        <f>Elec_Rates!$D$907</f>
        <v>084# Bracket for 50-150mm cable tray/basket/trunking</v>
      </c>
      <c r="E5726" s="921"/>
      <c r="F5726" s="921" t="s">
        <v>2599</v>
      </c>
      <c r="G5726" s="922" t="s">
        <v>2600</v>
      </c>
      <c r="H5726" s="922"/>
      <c r="I5726" s="922"/>
      <c r="J5726" s="922"/>
      <c r="K5726" s="923"/>
      <c r="L5726" s="918"/>
      <c r="M5726" s="918"/>
      <c r="N5726" s="918"/>
      <c r="O5726" s="924"/>
      <c r="P5726" s="921"/>
      <c r="Q5726" s="925">
        <f ca="1">$B5726*Elec_Rates!$R$907</f>
        <v>2.37</v>
      </c>
      <c r="R5726" s="916">
        <f ca="1">$A5726*Q5726</f>
        <v>142.20000000000002</v>
      </c>
      <c r="S5726" s="925">
        <f ca="1">$B5726*Elec_Rates!$T$907</f>
        <v>0.09</v>
      </c>
      <c r="T5726" s="917">
        <f ca="1">$A5726*S5726</f>
        <v>5.3999999999999995</v>
      </c>
      <c r="U5726" s="926"/>
      <c r="AR5726" s="919">
        <v>60</v>
      </c>
      <c r="AS5726" s="921" t="s">
        <v>2599</v>
      </c>
    </row>
    <row r="5727" spans="1:45" s="520" customFormat="1" ht="12">
      <c r="A5727" s="758"/>
      <c r="B5727" s="758"/>
      <c r="C5727" s="758"/>
      <c r="D5727" s="758"/>
      <c r="E5727" s="758"/>
      <c r="F5727" s="753"/>
      <c r="G5727" s="758"/>
      <c r="H5727" s="758"/>
      <c r="I5727" s="519"/>
      <c r="J5727" s="758"/>
      <c r="K5727" s="758"/>
      <c r="L5727" s="758"/>
      <c r="M5727" s="758"/>
      <c r="N5727" s="758"/>
      <c r="O5727" s="758"/>
      <c r="P5727" s="758"/>
      <c r="Q5727" s="519"/>
      <c r="R5727" s="759">
        <f t="shared" ref="R5727" si="326">$A5727*Q5727</f>
        <v>0</v>
      </c>
      <c r="S5727" s="519"/>
      <c r="T5727" s="760">
        <f t="shared" ref="T5727" si="327">$A5727*S5727*$T$1</f>
        <v>0</v>
      </c>
      <c r="AR5727" s="758"/>
      <c r="AS5727" s="753"/>
    </row>
    <row r="5728" spans="1:45" s="520" customFormat="1" ht="12.6" thickBot="1">
      <c r="A5728" s="761" t="s">
        <v>145</v>
      </c>
      <c r="B5728" s="762">
        <f>(R5727+T5727)</f>
        <v>0</v>
      </c>
      <c r="C5728" s="763"/>
      <c r="D5728" s="763"/>
      <c r="E5728" s="763"/>
      <c r="F5728" s="764"/>
      <c r="G5728" s="763" t="s">
        <v>146</v>
      </c>
      <c r="H5728" s="763"/>
      <c r="I5728" s="765"/>
      <c r="J5728" s="763"/>
      <c r="K5728" s="763" t="s">
        <v>3</v>
      </c>
      <c r="L5728" s="766" t="s">
        <v>143</v>
      </c>
      <c r="M5728" s="766"/>
      <c r="N5728" s="766"/>
      <c r="O5728" s="766"/>
      <c r="P5728" s="766"/>
      <c r="Q5728" s="767"/>
      <c r="R5728" s="768">
        <f ca="1">SUM(R5722:R5727)</f>
        <v>620.4</v>
      </c>
      <c r="S5728" s="763"/>
      <c r="T5728" s="768">
        <f ca="1">SUM(T5722:T5727)</f>
        <v>25.2</v>
      </c>
      <c r="U5728" s="531"/>
      <c r="V5728" s="531"/>
      <c r="W5728" s="531"/>
      <c r="X5728" s="531"/>
      <c r="Y5728" s="531"/>
      <c r="Z5728" s="531"/>
      <c r="AA5728" s="531"/>
      <c r="AB5728" s="531"/>
      <c r="AC5728" s="531"/>
      <c r="AD5728" s="531"/>
      <c r="AE5728" s="531"/>
      <c r="AF5728" s="531"/>
      <c r="AG5728" s="531"/>
      <c r="AH5728" s="531"/>
      <c r="AI5728" s="531"/>
      <c r="AJ5728" s="531"/>
      <c r="AK5728" s="531"/>
      <c r="AL5728" s="531"/>
      <c r="AM5728" s="531"/>
      <c r="AN5728" s="531"/>
      <c r="AO5728" s="531"/>
      <c r="AR5728" s="761" t="s">
        <v>145</v>
      </c>
      <c r="AS5728" s="764"/>
    </row>
    <row r="5729" spans="1:45" s="520" customFormat="1" thickTop="1">
      <c r="A5729" s="51"/>
      <c r="B5729" s="51"/>
      <c r="C5729" s="3"/>
      <c r="D5729" s="3"/>
      <c r="E5729" s="51"/>
      <c r="F5729" s="51"/>
      <c r="G5729" s="51"/>
      <c r="H5729" s="51"/>
      <c r="I5729" s="51"/>
      <c r="J5729" s="51"/>
      <c r="K5729" s="51" t="s">
        <v>134</v>
      </c>
      <c r="L5729" s="51"/>
      <c r="M5729" s="51"/>
      <c r="N5729" s="51"/>
      <c r="O5729" s="52"/>
      <c r="P5729" s="51"/>
      <c r="Q5729" s="51"/>
      <c r="R5729" s="51"/>
      <c r="S5729" s="51"/>
      <c r="T5729" s="51"/>
      <c r="AR5729" s="51"/>
      <c r="AS5729" s="51"/>
    </row>
    <row r="5730" spans="1:45" s="520" customFormat="1" ht="12">
      <c r="A5730" s="51"/>
      <c r="B5730" s="51"/>
      <c r="C5730" s="51" t="s">
        <v>135</v>
      </c>
      <c r="D5730" s="37"/>
      <c r="E5730" s="51"/>
      <c r="F5730" s="51"/>
      <c r="G5730" s="51"/>
      <c r="H5730" s="51"/>
      <c r="I5730" s="51"/>
      <c r="J5730" s="51"/>
      <c r="K5730" s="51"/>
      <c r="L5730" s="51"/>
      <c r="M5730" s="51"/>
      <c r="N5730" s="51"/>
      <c r="O5730" s="52"/>
      <c r="P5730" s="51"/>
      <c r="Q5730" s="51"/>
      <c r="R5730" s="51"/>
      <c r="S5730" s="51"/>
      <c r="T5730" s="51"/>
      <c r="AR5730" s="51"/>
      <c r="AS5730" s="51"/>
    </row>
    <row r="5731" spans="1:45" s="520" customFormat="1" ht="12">
      <c r="A5731" s="51"/>
      <c r="B5731" s="51"/>
      <c r="C5731" s="51"/>
      <c r="D5731" s="37" t="s">
        <v>923</v>
      </c>
      <c r="E5731" s="51"/>
      <c r="F5731" s="51"/>
      <c r="G5731" s="51"/>
      <c r="H5731" s="51"/>
      <c r="I5731" s="51"/>
      <c r="J5731" s="51"/>
      <c r="K5731" s="51"/>
      <c r="L5731" s="51"/>
      <c r="M5731" s="51"/>
      <c r="N5731" s="51"/>
      <c r="O5731" s="52"/>
      <c r="P5731" s="51"/>
      <c r="Q5731" s="51"/>
      <c r="R5731" s="51"/>
      <c r="S5731" s="38"/>
      <c r="T5731" s="38"/>
      <c r="AR5731" s="51"/>
      <c r="AS5731" s="51"/>
    </row>
    <row r="5732" spans="1:45" s="3" customFormat="1" thickBot="1">
      <c r="A5732" s="531"/>
      <c r="O5732" s="107"/>
      <c r="AR5732" s="531"/>
    </row>
    <row r="5733" spans="1:45" s="520" customFormat="1" ht="12" thickTop="1">
      <c r="A5733" s="51"/>
      <c r="B5733" s="41"/>
      <c r="C5733" s="51"/>
      <c r="E5733" s="42" t="s">
        <v>138</v>
      </c>
      <c r="F5733" s="42" t="s">
        <v>139</v>
      </c>
      <c r="G5733" s="51"/>
      <c r="H5733" s="51"/>
      <c r="I5733" s="51"/>
      <c r="J5733" s="51"/>
      <c r="K5733" s="51" t="s">
        <v>140</v>
      </c>
      <c r="L5733" s="51"/>
      <c r="M5733" s="51"/>
      <c r="N5733" s="51"/>
      <c r="O5733" s="52"/>
      <c r="P5733" s="51"/>
      <c r="Q5733" s="51"/>
      <c r="R5733" s="51"/>
      <c r="S5733" s="51"/>
      <c r="T5733" s="41"/>
      <c r="AG5733" s="521" t="s">
        <v>268</v>
      </c>
      <c r="AH5733" s="521" t="s">
        <v>269</v>
      </c>
      <c r="AI5733" s="521" t="s">
        <v>270</v>
      </c>
      <c r="AJ5733" s="521" t="s">
        <v>271</v>
      </c>
      <c r="AK5733" s="521" t="s">
        <v>272</v>
      </c>
      <c r="AM5733" s="745" t="s">
        <v>281</v>
      </c>
      <c r="AN5733" s="746" t="s">
        <v>282</v>
      </c>
      <c r="AO5733" s="522" t="s">
        <v>278</v>
      </c>
      <c r="AR5733" s="51"/>
      <c r="AS5733" s="42" t="s">
        <v>139</v>
      </c>
    </row>
    <row r="5734" spans="1:45" s="520" customFormat="1" ht="12" customHeight="1">
      <c r="A5734" s="747">
        <v>200</v>
      </c>
      <c r="B5734" s="523" t="s">
        <v>320</v>
      </c>
      <c r="C5734" s="748"/>
      <c r="D5734" s="749" t="s">
        <v>1935</v>
      </c>
      <c r="E5734" s="750">
        <f ca="1">IF(AND($A5734=0,$A$1="DIF"),0, ROUND(ROUND(($R5741*$S$2+($T5741*$T$2))/A5734,2)*$C$2,2))</f>
        <v>22.31</v>
      </c>
      <c r="F5734" s="751">
        <f ca="1">ROUND($A5734*$E5734,2)</f>
        <v>4462</v>
      </c>
      <c r="G5734" s="752" t="s">
        <v>142</v>
      </c>
      <c r="H5734" s="753"/>
      <c r="I5734" s="754"/>
      <c r="J5734" s="753"/>
      <c r="K5734" s="753" t="s">
        <v>3</v>
      </c>
      <c r="L5734" s="755" t="s">
        <v>143</v>
      </c>
      <c r="M5734" s="755"/>
      <c r="N5734" s="755"/>
      <c r="O5734" s="755"/>
      <c r="P5734" s="755"/>
      <c r="Q5734" s="51"/>
      <c r="T5734" s="756" t="str">
        <f ca="1">IF(AND($R5741=0,$T5741=0),"0.00","mu :" &amp; ROUND($F5734/$C$2/($R5741+$T5741*$D$9),2))</f>
        <v>mu :1.23</v>
      </c>
      <c r="W5734" s="524"/>
      <c r="AG5734" s="481">
        <f ca="1">IF($E5734=0,0,ROUND($R5741*$S$2*$C$2/$A5734,2))</f>
        <v>10.130000000000001</v>
      </c>
      <c r="AH5734" s="481">
        <f ca="1">$AG5734*$A5734</f>
        <v>2026.0000000000002</v>
      </c>
      <c r="AI5734" s="525">
        <f ca="1">$E5734-$AG5734</f>
        <v>12.179999999999998</v>
      </c>
      <c r="AJ5734" s="525">
        <f ca="1">$A5734*$AI5734</f>
        <v>2435.9999999999995</v>
      </c>
      <c r="AK5734" s="526">
        <f ca="1">ROUND(($AG5734+$AI5734)*$A5734,2)</f>
        <v>4462</v>
      </c>
      <c r="AM5734" s="527">
        <f ca="1">ROUND(R5741,2)</f>
        <v>1646</v>
      </c>
      <c r="AN5734" s="528">
        <f ca="1">ROUND(T5741,2)</f>
        <v>72</v>
      </c>
      <c r="AO5734" s="529">
        <f ca="1">ROUND(AM5734+AN5734,2)*A5734</f>
        <v>343600</v>
      </c>
      <c r="AR5734" s="747">
        <v>200</v>
      </c>
      <c r="AS5734" s="751">
        <v>4732</v>
      </c>
    </row>
    <row r="5735" spans="1:45" s="520" customFormat="1" ht="13.2">
      <c r="A5735" s="748"/>
      <c r="B5735"/>
      <c r="C5735" s="748"/>
      <c r="D5735" s="749" t="s">
        <v>920</v>
      </c>
      <c r="F5735" s="753"/>
      <c r="G5735" s="3"/>
      <c r="H5735" s="753"/>
      <c r="I5735" s="754"/>
      <c r="J5735" s="753"/>
      <c r="K5735" s="753" t="s">
        <v>144</v>
      </c>
      <c r="L5735" s="753"/>
      <c r="M5735" s="753"/>
      <c r="N5735" s="753"/>
      <c r="O5735" s="753"/>
      <c r="P5735" s="753"/>
      <c r="Q5735" s="51"/>
      <c r="R5735" s="530"/>
      <c r="S5735" s="757"/>
      <c r="T5735" s="753"/>
      <c r="AR5735" s="748"/>
      <c r="AS5735" s="753"/>
    </row>
    <row r="5736" spans="1:45" s="886" customFormat="1" ht="13.2">
      <c r="A5736"/>
      <c r="B5736" s="910"/>
      <c r="C5736" s="910" t="s">
        <v>2597</v>
      </c>
      <c r="D5736" s="910" t="str">
        <f ca="1">CELL("Address",Elec_Rates!D$808)</f>
        <v>[E25_0062_Quintano_Foods_Elec_ELV_As_Awarded.xlsx]Elec_Rates!$D$808</v>
      </c>
      <c r="E5736" s="911"/>
      <c r="F5736" s="911"/>
      <c r="G5736" s="912" t="s">
        <v>2598</v>
      </c>
      <c r="H5736" s="912"/>
      <c r="I5736" s="912"/>
      <c r="J5736" s="912"/>
      <c r="K5736" s="913"/>
      <c r="L5736" s="911"/>
      <c r="M5736" s="911"/>
      <c r="N5736" s="911"/>
      <c r="O5736" s="914"/>
      <c r="P5736" s="911"/>
      <c r="Q5736" s="915"/>
      <c r="R5736" s="916"/>
      <c r="S5736" s="915"/>
      <c r="T5736" s="917"/>
      <c r="U5736" s="918"/>
      <c r="AR5736"/>
      <c r="AS5736" s="911"/>
    </row>
    <row r="5737" spans="1:45" s="886" customFormat="1" ht="11.4">
      <c r="A5737" s="919">
        <v>200</v>
      </c>
      <c r="B5737" s="920">
        <v>1</v>
      </c>
      <c r="C5737" s="920">
        <f>$A5737*$B5737</f>
        <v>200</v>
      </c>
      <c r="D5737" s="921" t="str">
        <f>Elec_Rates!$D$808</f>
        <v>077# 75x50mm galvanised steel cable trunking</v>
      </c>
      <c r="E5737" s="921"/>
      <c r="F5737" s="921" t="s">
        <v>2599</v>
      </c>
      <c r="G5737" s="922" t="s">
        <v>2600</v>
      </c>
      <c r="H5737" s="922"/>
      <c r="I5737" s="922"/>
      <c r="J5737" s="922"/>
      <c r="K5737" s="923"/>
      <c r="L5737" s="918"/>
      <c r="M5737" s="918"/>
      <c r="N5737" s="918"/>
      <c r="O5737" s="924"/>
      <c r="P5737" s="921"/>
      <c r="Q5737" s="925">
        <f ca="1">$B5737*Elec_Rates!$R$808</f>
        <v>5.86</v>
      </c>
      <c r="R5737" s="916">
        <f ca="1">$A5737*Q5737</f>
        <v>1172</v>
      </c>
      <c r="S5737" s="925">
        <f ca="1">$B5737*Elec_Rates!$T$808</f>
        <v>0.27</v>
      </c>
      <c r="T5737" s="917">
        <f ca="1">$A5737*S5737</f>
        <v>54</v>
      </c>
      <c r="U5737" s="926"/>
      <c r="AR5737" s="919">
        <v>200</v>
      </c>
      <c r="AS5737" s="921" t="s">
        <v>2599</v>
      </c>
    </row>
    <row r="5738" spans="1:45" s="886" customFormat="1" ht="13.2">
      <c r="A5738"/>
      <c r="B5738" s="910"/>
      <c r="C5738" s="910" t="s">
        <v>2597</v>
      </c>
      <c r="D5738" s="910" t="str">
        <f ca="1">CELL("Address",Elec_Rates!D$907)</f>
        <v>[E25_0062_Quintano_Foods_Elec_ELV_As_Awarded.xlsx]Elec_Rates!$D$907</v>
      </c>
      <c r="E5738" s="911"/>
      <c r="F5738" s="911"/>
      <c r="G5738" s="912" t="s">
        <v>2598</v>
      </c>
      <c r="H5738" s="912"/>
      <c r="I5738" s="912"/>
      <c r="J5738" s="912"/>
      <c r="K5738" s="913"/>
      <c r="L5738" s="911"/>
      <c r="M5738" s="911"/>
      <c r="N5738" s="911"/>
      <c r="O5738" s="914"/>
      <c r="P5738" s="911"/>
      <c r="Q5738" s="915"/>
      <c r="R5738" s="916"/>
      <c r="S5738" s="915"/>
      <c r="T5738" s="917"/>
      <c r="U5738" s="918"/>
      <c r="AR5738"/>
      <c r="AS5738" s="911"/>
    </row>
    <row r="5739" spans="1:45" s="886" customFormat="1" ht="11.4">
      <c r="A5739" s="919">
        <v>200</v>
      </c>
      <c r="B5739" s="920">
        <v>1</v>
      </c>
      <c r="C5739" s="920">
        <f>$A5739*$B5739</f>
        <v>200</v>
      </c>
      <c r="D5739" s="921" t="str">
        <f>Elec_Rates!$D$907</f>
        <v>084# Bracket for 50-150mm cable tray/basket/trunking</v>
      </c>
      <c r="E5739" s="921"/>
      <c r="F5739" s="921" t="s">
        <v>2599</v>
      </c>
      <c r="G5739" s="922" t="s">
        <v>2600</v>
      </c>
      <c r="H5739" s="922"/>
      <c r="I5739" s="922"/>
      <c r="J5739" s="922"/>
      <c r="K5739" s="923"/>
      <c r="L5739" s="918"/>
      <c r="M5739" s="918"/>
      <c r="N5739" s="918"/>
      <c r="O5739" s="924"/>
      <c r="P5739" s="921"/>
      <c r="Q5739" s="925">
        <f ca="1">$B5739*Elec_Rates!$R$907</f>
        <v>2.37</v>
      </c>
      <c r="R5739" s="916">
        <f ca="1">$A5739*Q5739</f>
        <v>474</v>
      </c>
      <c r="S5739" s="925">
        <f ca="1">$B5739*Elec_Rates!$T$907</f>
        <v>0.09</v>
      </c>
      <c r="T5739" s="917">
        <f ca="1">$A5739*S5739</f>
        <v>18</v>
      </c>
      <c r="U5739" s="926"/>
      <c r="AR5739" s="919">
        <v>200</v>
      </c>
      <c r="AS5739" s="921" t="s">
        <v>2599</v>
      </c>
    </row>
    <row r="5740" spans="1:45" s="520" customFormat="1" ht="12">
      <c r="A5740" s="758"/>
      <c r="B5740" s="758"/>
      <c r="C5740" s="758"/>
      <c r="D5740" s="758"/>
      <c r="E5740" s="758"/>
      <c r="F5740" s="753"/>
      <c r="G5740" s="758"/>
      <c r="H5740" s="758"/>
      <c r="I5740" s="519"/>
      <c r="J5740" s="758"/>
      <c r="K5740" s="758"/>
      <c r="L5740" s="758"/>
      <c r="M5740" s="758"/>
      <c r="N5740" s="758"/>
      <c r="O5740" s="758"/>
      <c r="P5740" s="758"/>
      <c r="Q5740" s="519"/>
      <c r="R5740" s="759">
        <f t="shared" ref="R5740" si="328">$A5740*Q5740</f>
        <v>0</v>
      </c>
      <c r="S5740" s="519"/>
      <c r="T5740" s="760">
        <f t="shared" ref="T5740" si="329">$A5740*S5740*$T$1</f>
        <v>0</v>
      </c>
      <c r="AR5740" s="758"/>
      <c r="AS5740" s="753"/>
    </row>
    <row r="5741" spans="1:45" s="520" customFormat="1" ht="12.6" thickBot="1">
      <c r="A5741" s="761" t="s">
        <v>145</v>
      </c>
      <c r="B5741" s="762">
        <f>(R5740+T5740)</f>
        <v>0</v>
      </c>
      <c r="C5741" s="763"/>
      <c r="D5741" s="763"/>
      <c r="E5741" s="763"/>
      <c r="F5741" s="764"/>
      <c r="G5741" s="763" t="s">
        <v>146</v>
      </c>
      <c r="H5741" s="763"/>
      <c r="I5741" s="765"/>
      <c r="J5741" s="763"/>
      <c r="K5741" s="763" t="s">
        <v>3</v>
      </c>
      <c r="L5741" s="766" t="s">
        <v>143</v>
      </c>
      <c r="M5741" s="766"/>
      <c r="N5741" s="766"/>
      <c r="O5741" s="766"/>
      <c r="P5741" s="766"/>
      <c r="Q5741" s="767"/>
      <c r="R5741" s="768">
        <f ca="1">SUM(R5735:R5740)</f>
        <v>1646</v>
      </c>
      <c r="S5741" s="763"/>
      <c r="T5741" s="768">
        <f ca="1">SUM(T5735:T5740)</f>
        <v>72</v>
      </c>
      <c r="U5741" s="531"/>
      <c r="V5741" s="531"/>
      <c r="W5741" s="531"/>
      <c r="X5741" s="531"/>
      <c r="Y5741" s="531"/>
      <c r="Z5741" s="531"/>
      <c r="AA5741" s="531"/>
      <c r="AB5741" s="531"/>
      <c r="AC5741" s="531"/>
      <c r="AD5741" s="531"/>
      <c r="AE5741" s="531"/>
      <c r="AF5741" s="531"/>
      <c r="AG5741" s="531"/>
      <c r="AH5741" s="531"/>
      <c r="AI5741" s="531"/>
      <c r="AJ5741" s="531"/>
      <c r="AK5741" s="531"/>
      <c r="AL5741" s="531"/>
      <c r="AM5741" s="531"/>
      <c r="AN5741" s="531"/>
      <c r="AO5741" s="531"/>
      <c r="AR5741" s="761" t="s">
        <v>145</v>
      </c>
      <c r="AS5741" s="764"/>
    </row>
    <row r="5742" spans="1:45" s="520" customFormat="1" ht="12" thickTop="1">
      <c r="A5742" s="51"/>
      <c r="B5742" s="41"/>
      <c r="C5742" s="51"/>
      <c r="E5742" s="42" t="s">
        <v>138</v>
      </c>
      <c r="F5742" s="42" t="s">
        <v>139</v>
      </c>
      <c r="G5742" s="51"/>
      <c r="H5742" s="51"/>
      <c r="I5742" s="51"/>
      <c r="J5742" s="51"/>
      <c r="K5742" s="51" t="s">
        <v>140</v>
      </c>
      <c r="L5742" s="51"/>
      <c r="M5742" s="51"/>
      <c r="N5742" s="51"/>
      <c r="O5742" s="52"/>
      <c r="P5742" s="51"/>
      <c r="Q5742" s="51"/>
      <c r="R5742" s="51"/>
      <c r="S5742" s="51"/>
      <c r="T5742" s="41"/>
      <c r="AG5742" s="521" t="s">
        <v>268</v>
      </c>
      <c r="AH5742" s="521" t="s">
        <v>269</v>
      </c>
      <c r="AI5742" s="521" t="s">
        <v>270</v>
      </c>
      <c r="AJ5742" s="521" t="s">
        <v>271</v>
      </c>
      <c r="AK5742" s="521" t="s">
        <v>272</v>
      </c>
      <c r="AM5742" s="745" t="s">
        <v>281</v>
      </c>
      <c r="AN5742" s="746" t="s">
        <v>282</v>
      </c>
      <c r="AO5742" s="522" t="s">
        <v>278</v>
      </c>
      <c r="AR5742" s="51"/>
      <c r="AS5742" s="42" t="s">
        <v>139</v>
      </c>
    </row>
    <row r="5743" spans="1:45" s="520" customFormat="1" ht="12" customHeight="1">
      <c r="A5743" s="747">
        <v>10</v>
      </c>
      <c r="B5743" s="523" t="s">
        <v>320</v>
      </c>
      <c r="C5743" s="748"/>
      <c r="D5743" s="749" t="s">
        <v>1937</v>
      </c>
      <c r="E5743" s="750">
        <f ca="1">IF(AND($A5743=0,$A$1="DIF"),0, ROUND(ROUND(($R5750*$S$2+($T5750*$T$2))/A5743,2)*$C$2,2))</f>
        <v>24.32</v>
      </c>
      <c r="F5743" s="751">
        <f ca="1">ROUND($A5743*$E5743,2)</f>
        <v>243.2</v>
      </c>
      <c r="G5743" s="752" t="s">
        <v>142</v>
      </c>
      <c r="H5743" s="753"/>
      <c r="I5743" s="754"/>
      <c r="J5743" s="753"/>
      <c r="K5743" s="753" t="s">
        <v>3</v>
      </c>
      <c r="L5743" s="755" t="s">
        <v>143</v>
      </c>
      <c r="M5743" s="755"/>
      <c r="N5743" s="755"/>
      <c r="O5743" s="755"/>
      <c r="P5743" s="755"/>
      <c r="Q5743" s="51"/>
      <c r="T5743" s="756" t="str">
        <f ca="1">IF(AND($R5750=0,$T5750=0),"0.00","mu :" &amp; ROUND($F5743/$C$2/($R5750+$T5750*$D$9),2))</f>
        <v>mu :1.23</v>
      </c>
      <c r="W5743" s="524"/>
      <c r="AG5743" s="481">
        <f ca="1">IF($E5743=0,0,ROUND($R5750*$S$2*$C$2/$A5743,2))</f>
        <v>11.48</v>
      </c>
      <c r="AH5743" s="481">
        <f ca="1">$AG5743*$A5743</f>
        <v>114.80000000000001</v>
      </c>
      <c r="AI5743" s="525">
        <f ca="1">$E5743-$AG5743</f>
        <v>12.84</v>
      </c>
      <c r="AJ5743" s="525">
        <f ca="1">$A5743*$AI5743</f>
        <v>128.4</v>
      </c>
      <c r="AK5743" s="526">
        <f ca="1">ROUND(($AG5743+$AI5743)*$A5743,2)</f>
        <v>243.2</v>
      </c>
      <c r="AM5743" s="527">
        <f ca="1">ROUND(R5750,2)</f>
        <v>93.2</v>
      </c>
      <c r="AN5743" s="528">
        <f ca="1">ROUND(T5750,2)</f>
        <v>3.8</v>
      </c>
      <c r="AO5743" s="529">
        <f ca="1">ROUND(AM5743+AN5743,2)*A5743</f>
        <v>970</v>
      </c>
      <c r="AR5743" s="747">
        <v>10</v>
      </c>
      <c r="AS5743" s="751">
        <v>256.8</v>
      </c>
    </row>
    <row r="5744" spans="1:45" s="520" customFormat="1" ht="13.2">
      <c r="A5744" s="748"/>
      <c r="B5744"/>
      <c r="C5744" s="748"/>
      <c r="D5744" s="749" t="s">
        <v>921</v>
      </c>
      <c r="F5744" s="753"/>
      <c r="G5744" s="3"/>
      <c r="H5744" s="753"/>
      <c r="I5744" s="754"/>
      <c r="J5744" s="753"/>
      <c r="K5744" s="753" t="s">
        <v>144</v>
      </c>
      <c r="L5744" s="753"/>
      <c r="M5744" s="753"/>
      <c r="N5744" s="753"/>
      <c r="O5744" s="753"/>
      <c r="P5744" s="753"/>
      <c r="Q5744" s="51"/>
      <c r="R5744" s="530"/>
      <c r="S5744" s="757"/>
      <c r="T5744" s="753"/>
      <c r="AR5744" s="748"/>
      <c r="AS5744" s="753"/>
    </row>
    <row r="5745" spans="1:45" s="886" customFormat="1" ht="13.2">
      <c r="A5745"/>
      <c r="B5745" s="910"/>
      <c r="C5745" s="910" t="s">
        <v>2597</v>
      </c>
      <c r="D5745" s="910" t="str">
        <f ca="1">CELL("Address",Elec_Rates!D$822)</f>
        <v>[E25_0062_Quintano_Foods_Elec_ELV_As_Awarded.xlsx]Elec_Rates!$D$822</v>
      </c>
      <c r="E5745" s="911"/>
      <c r="F5745" s="911"/>
      <c r="G5745" s="912" t="s">
        <v>2598</v>
      </c>
      <c r="H5745" s="912"/>
      <c r="I5745" s="912"/>
      <c r="J5745" s="912"/>
      <c r="K5745" s="913"/>
      <c r="L5745" s="911"/>
      <c r="M5745" s="911"/>
      <c r="N5745" s="911"/>
      <c r="O5745" s="914"/>
      <c r="P5745" s="911"/>
      <c r="Q5745" s="915"/>
      <c r="R5745" s="916"/>
      <c r="S5745" s="915"/>
      <c r="T5745" s="917"/>
      <c r="U5745" s="918"/>
      <c r="AR5745"/>
      <c r="AS5745" s="911"/>
    </row>
    <row r="5746" spans="1:45" s="886" customFormat="1" ht="11.4">
      <c r="A5746" s="919">
        <v>10</v>
      </c>
      <c r="B5746" s="920">
        <v>1</v>
      </c>
      <c r="C5746" s="920">
        <f>$A5746*$B5746</f>
        <v>10</v>
      </c>
      <c r="D5746" s="921" t="str">
        <f>Elec_Rates!$D$822</f>
        <v>078# 75x75mm galvanised steel cable trunking</v>
      </c>
      <c r="E5746" s="921"/>
      <c r="F5746" s="921" t="s">
        <v>2599</v>
      </c>
      <c r="G5746" s="922" t="s">
        <v>2601</v>
      </c>
      <c r="H5746" s="922"/>
      <c r="I5746" s="922"/>
      <c r="J5746" s="922"/>
      <c r="K5746" s="923"/>
      <c r="L5746" s="918"/>
      <c r="M5746" s="918"/>
      <c r="N5746" s="918"/>
      <c r="O5746" s="924"/>
      <c r="P5746" s="921"/>
      <c r="Q5746" s="925">
        <f ca="1">$B5746*Elec_Rates!$R$822</f>
        <v>6.95</v>
      </c>
      <c r="R5746" s="916">
        <f ca="1">$A5746*Q5746</f>
        <v>69.5</v>
      </c>
      <c r="S5746" s="925">
        <f ca="1">$B5746*Elec_Rates!$T$822</f>
        <v>0.28999999999999998</v>
      </c>
      <c r="T5746" s="917">
        <f ca="1">$A5746*S5746</f>
        <v>2.9</v>
      </c>
      <c r="U5746" s="926"/>
      <c r="AR5746" s="919">
        <v>10</v>
      </c>
      <c r="AS5746" s="921" t="s">
        <v>2599</v>
      </c>
    </row>
    <row r="5747" spans="1:45" s="886" customFormat="1" ht="13.2">
      <c r="A5747"/>
      <c r="B5747" s="910"/>
      <c r="C5747" s="910" t="s">
        <v>2597</v>
      </c>
      <c r="D5747" s="910" t="str">
        <f ca="1">CELL("Address",Elec_Rates!D$907)</f>
        <v>[E25_0062_Quintano_Foods_Elec_ELV_As_Awarded.xlsx]Elec_Rates!$D$907</v>
      </c>
      <c r="E5747" s="911"/>
      <c r="F5747" s="911"/>
      <c r="G5747" s="912" t="s">
        <v>2598</v>
      </c>
      <c r="H5747" s="912"/>
      <c r="I5747" s="912"/>
      <c r="J5747" s="912"/>
      <c r="K5747" s="913"/>
      <c r="L5747" s="911"/>
      <c r="M5747" s="911"/>
      <c r="N5747" s="911"/>
      <c r="O5747" s="914"/>
      <c r="P5747" s="911"/>
      <c r="Q5747" s="915"/>
      <c r="R5747" s="916"/>
      <c r="S5747" s="915"/>
      <c r="T5747" s="917"/>
      <c r="U5747" s="918"/>
      <c r="AR5747"/>
      <c r="AS5747" s="911"/>
    </row>
    <row r="5748" spans="1:45" s="886" customFormat="1" ht="11.4">
      <c r="A5748" s="919">
        <v>10</v>
      </c>
      <c r="B5748" s="920">
        <v>1</v>
      </c>
      <c r="C5748" s="920">
        <f>$A5748*$B5748</f>
        <v>10</v>
      </c>
      <c r="D5748" s="921" t="str">
        <f>Elec_Rates!$D$907</f>
        <v>084# Bracket for 50-150mm cable tray/basket/trunking</v>
      </c>
      <c r="E5748" s="921"/>
      <c r="F5748" s="921" t="s">
        <v>2599</v>
      </c>
      <c r="G5748" s="922" t="s">
        <v>2600</v>
      </c>
      <c r="H5748" s="922"/>
      <c r="I5748" s="922"/>
      <c r="J5748" s="922"/>
      <c r="K5748" s="923"/>
      <c r="L5748" s="918"/>
      <c r="M5748" s="918"/>
      <c r="N5748" s="918"/>
      <c r="O5748" s="924"/>
      <c r="P5748" s="921"/>
      <c r="Q5748" s="925">
        <f ca="1">$B5748*Elec_Rates!$R$907</f>
        <v>2.37</v>
      </c>
      <c r="R5748" s="916">
        <f ca="1">$A5748*Q5748</f>
        <v>23.700000000000003</v>
      </c>
      <c r="S5748" s="925">
        <f ca="1">$B5748*Elec_Rates!$T$907</f>
        <v>0.09</v>
      </c>
      <c r="T5748" s="917">
        <f ca="1">$A5748*S5748</f>
        <v>0.89999999999999991</v>
      </c>
      <c r="U5748" s="926"/>
      <c r="AR5748" s="919">
        <v>10</v>
      </c>
      <c r="AS5748" s="921" t="s">
        <v>2599</v>
      </c>
    </row>
    <row r="5749" spans="1:45" s="520" customFormat="1" ht="12">
      <c r="A5749" s="758"/>
      <c r="B5749" s="758"/>
      <c r="C5749" s="758"/>
      <c r="D5749" s="758"/>
      <c r="E5749" s="758"/>
      <c r="F5749" s="753"/>
      <c r="G5749" s="758"/>
      <c r="H5749" s="758"/>
      <c r="I5749" s="519"/>
      <c r="J5749" s="758"/>
      <c r="K5749" s="758"/>
      <c r="L5749" s="758"/>
      <c r="M5749" s="758"/>
      <c r="N5749" s="758"/>
      <c r="O5749" s="758"/>
      <c r="P5749" s="758"/>
      <c r="Q5749" s="519"/>
      <c r="R5749" s="759">
        <f t="shared" ref="R5749" si="330">$A5749*Q5749</f>
        <v>0</v>
      </c>
      <c r="S5749" s="519"/>
      <c r="T5749" s="760">
        <f t="shared" ref="T5749" si="331">$A5749*S5749*$T$1</f>
        <v>0</v>
      </c>
      <c r="AR5749" s="758"/>
      <c r="AS5749" s="753"/>
    </row>
    <row r="5750" spans="1:45" s="520" customFormat="1" ht="12.6" thickBot="1">
      <c r="A5750" s="761" t="s">
        <v>145</v>
      </c>
      <c r="B5750" s="762">
        <f>(R5749+T5749)</f>
        <v>0</v>
      </c>
      <c r="C5750" s="763"/>
      <c r="D5750" s="763"/>
      <c r="E5750" s="763"/>
      <c r="F5750" s="764"/>
      <c r="G5750" s="763" t="s">
        <v>146</v>
      </c>
      <c r="H5750" s="763"/>
      <c r="I5750" s="765"/>
      <c r="J5750" s="763"/>
      <c r="K5750" s="763" t="s">
        <v>3</v>
      </c>
      <c r="L5750" s="766" t="s">
        <v>143</v>
      </c>
      <c r="M5750" s="766"/>
      <c r="N5750" s="766"/>
      <c r="O5750" s="766"/>
      <c r="P5750" s="766"/>
      <c r="Q5750" s="767"/>
      <c r="R5750" s="768">
        <f ca="1">SUM(R5744:R5749)</f>
        <v>93.2</v>
      </c>
      <c r="S5750" s="763"/>
      <c r="T5750" s="768">
        <f ca="1">SUM(T5744:T5749)</f>
        <v>3.8</v>
      </c>
      <c r="U5750" s="531"/>
      <c r="V5750" s="531"/>
      <c r="W5750" s="531"/>
      <c r="X5750" s="531"/>
      <c r="Y5750" s="531"/>
      <c r="Z5750" s="531"/>
      <c r="AA5750" s="531"/>
      <c r="AB5750" s="531"/>
      <c r="AC5750" s="531"/>
      <c r="AD5750" s="531"/>
      <c r="AE5750" s="531"/>
      <c r="AF5750" s="531"/>
      <c r="AG5750" s="531"/>
      <c r="AH5750" s="531"/>
      <c r="AI5750" s="531"/>
      <c r="AJ5750" s="531"/>
      <c r="AK5750" s="531"/>
      <c r="AL5750" s="531"/>
      <c r="AM5750" s="531"/>
      <c r="AN5750" s="531"/>
      <c r="AO5750" s="531"/>
      <c r="AR5750" s="761" t="s">
        <v>145</v>
      </c>
      <c r="AS5750" s="764"/>
    </row>
    <row r="5751" spans="1:45" s="520" customFormat="1" thickTop="1">
      <c r="A5751" s="51"/>
      <c r="B5751" s="51"/>
      <c r="C5751" s="3"/>
      <c r="D5751" s="3"/>
      <c r="E5751" s="51"/>
      <c r="F5751" s="51"/>
      <c r="G5751" s="51"/>
      <c r="H5751" s="51"/>
      <c r="I5751" s="51"/>
      <c r="J5751" s="51"/>
      <c r="K5751" s="51" t="s">
        <v>134</v>
      </c>
      <c r="L5751" s="51"/>
      <c r="M5751" s="51"/>
      <c r="N5751" s="51"/>
      <c r="O5751" s="52"/>
      <c r="P5751" s="51"/>
      <c r="Q5751" s="51"/>
      <c r="R5751" s="51"/>
      <c r="S5751" s="51"/>
      <c r="T5751" s="51"/>
      <c r="AR5751" s="51"/>
      <c r="AS5751" s="51"/>
    </row>
    <row r="5752" spans="1:45" s="520" customFormat="1" ht="12">
      <c r="A5752" s="51"/>
      <c r="B5752" s="51"/>
      <c r="C5752" s="51" t="s">
        <v>135</v>
      </c>
      <c r="D5752" s="37"/>
      <c r="E5752" s="51"/>
      <c r="F5752" s="51"/>
      <c r="G5752" s="51"/>
      <c r="H5752" s="51"/>
      <c r="I5752" s="51"/>
      <c r="J5752" s="51"/>
      <c r="K5752" s="51"/>
      <c r="L5752" s="51"/>
      <c r="M5752" s="51"/>
      <c r="N5752" s="51"/>
      <c r="O5752" s="52"/>
      <c r="P5752" s="51"/>
      <c r="Q5752" s="51"/>
      <c r="R5752" s="51"/>
      <c r="S5752" s="51"/>
      <c r="T5752" s="51"/>
      <c r="AR5752" s="51"/>
      <c r="AS5752" s="51"/>
    </row>
    <row r="5753" spans="1:45" s="520" customFormat="1" ht="12">
      <c r="A5753" s="51"/>
      <c r="B5753" s="51"/>
      <c r="C5753" s="51"/>
      <c r="D5753" s="37" t="s">
        <v>924</v>
      </c>
      <c r="E5753" s="51"/>
      <c r="F5753" s="51"/>
      <c r="G5753" s="51"/>
      <c r="H5753" s="51"/>
      <c r="I5753" s="51"/>
      <c r="J5753" s="51"/>
      <c r="K5753" s="51"/>
      <c r="L5753" s="51"/>
      <c r="M5753" s="51"/>
      <c r="N5753" s="51"/>
      <c r="O5753" s="52"/>
      <c r="P5753" s="51"/>
      <c r="Q5753" s="51"/>
      <c r="R5753" s="51"/>
      <c r="S5753" s="38"/>
      <c r="T5753" s="38"/>
      <c r="AR5753" s="51"/>
      <c r="AS5753" s="51"/>
    </row>
    <row r="5754" spans="1:45" s="3" customFormat="1" thickBot="1">
      <c r="A5754" s="531"/>
      <c r="O5754" s="107"/>
      <c r="AR5754" s="531"/>
    </row>
    <row r="5755" spans="1:45" s="520" customFormat="1" ht="12" thickTop="1">
      <c r="A5755" s="51"/>
      <c r="B5755" s="41"/>
      <c r="C5755" s="51"/>
      <c r="E5755" s="42" t="s">
        <v>138</v>
      </c>
      <c r="F5755" s="42" t="s">
        <v>139</v>
      </c>
      <c r="G5755" s="51"/>
      <c r="H5755" s="51"/>
      <c r="I5755" s="51"/>
      <c r="J5755" s="51"/>
      <c r="K5755" s="51" t="s">
        <v>140</v>
      </c>
      <c r="L5755" s="51"/>
      <c r="M5755" s="51"/>
      <c r="N5755" s="51"/>
      <c r="O5755" s="52"/>
      <c r="P5755" s="51"/>
      <c r="Q5755" s="51"/>
      <c r="R5755" s="51"/>
      <c r="S5755" s="51"/>
      <c r="T5755" s="41"/>
      <c r="AG5755" s="521" t="s">
        <v>268</v>
      </c>
      <c r="AH5755" s="521" t="s">
        <v>269</v>
      </c>
      <c r="AI5755" s="521" t="s">
        <v>270</v>
      </c>
      <c r="AJ5755" s="521" t="s">
        <v>271</v>
      </c>
      <c r="AK5755" s="521" t="s">
        <v>272</v>
      </c>
      <c r="AM5755" s="745" t="s">
        <v>281</v>
      </c>
      <c r="AN5755" s="746" t="s">
        <v>282</v>
      </c>
      <c r="AO5755" s="522" t="s">
        <v>278</v>
      </c>
      <c r="AR5755" s="51"/>
      <c r="AS5755" s="42" t="s">
        <v>139</v>
      </c>
    </row>
    <row r="5756" spans="1:45" s="520" customFormat="1" ht="12" customHeight="1">
      <c r="A5756" s="747">
        <v>65</v>
      </c>
      <c r="B5756" s="523" t="s">
        <v>320</v>
      </c>
      <c r="C5756" s="748"/>
      <c r="D5756" s="749" t="s">
        <v>1938</v>
      </c>
      <c r="E5756" s="750">
        <f ca="1">IF(AND($A5756=0,$A$1="DIF"),0, ROUND(ROUND(($R5763*$S$2+($T5763*$T$2))/A5756,2)*$C$2,2))</f>
        <v>22.31</v>
      </c>
      <c r="F5756" s="751">
        <f ca="1">ROUND($A5756*$E5756,2)</f>
        <v>1450.15</v>
      </c>
      <c r="G5756" s="752" t="s">
        <v>142</v>
      </c>
      <c r="H5756" s="753"/>
      <c r="I5756" s="754"/>
      <c r="J5756" s="753"/>
      <c r="K5756" s="753" t="s">
        <v>3</v>
      </c>
      <c r="L5756" s="755" t="s">
        <v>143</v>
      </c>
      <c r="M5756" s="755"/>
      <c r="N5756" s="755"/>
      <c r="O5756" s="755"/>
      <c r="P5756" s="755"/>
      <c r="Q5756" s="51"/>
      <c r="T5756" s="756" t="str">
        <f ca="1">IF(AND($R5763=0,$T5763=0),"0.00","mu :" &amp; ROUND($F5756/$C$2/($R5763+$T5763*$D$9),2))</f>
        <v>mu :1.23</v>
      </c>
      <c r="W5756" s="524"/>
      <c r="AG5756" s="481">
        <f ca="1">IF($E5756=0,0,ROUND($R5763*$S$2*$C$2/$A5756,2))</f>
        <v>10.130000000000001</v>
      </c>
      <c r="AH5756" s="481">
        <f ca="1">$AG5756*$A5756</f>
        <v>658.45</v>
      </c>
      <c r="AI5756" s="525">
        <f ca="1">$E5756-$AG5756</f>
        <v>12.179999999999998</v>
      </c>
      <c r="AJ5756" s="525">
        <f ca="1">$A5756*$AI5756</f>
        <v>791.69999999999982</v>
      </c>
      <c r="AK5756" s="526">
        <f ca="1">ROUND(($AG5756+$AI5756)*$A5756,2)</f>
        <v>1450.15</v>
      </c>
      <c r="AM5756" s="527">
        <f ca="1">ROUND(R5763,2)</f>
        <v>534.95000000000005</v>
      </c>
      <c r="AN5756" s="528">
        <f ca="1">ROUND(T5763,2)</f>
        <v>23.4</v>
      </c>
      <c r="AO5756" s="529">
        <f ca="1">ROUND(AM5756+AN5756,2)*A5756</f>
        <v>36292.75</v>
      </c>
      <c r="AR5756" s="747">
        <v>65</v>
      </c>
      <c r="AS5756" s="751">
        <v>1537.9</v>
      </c>
    </row>
    <row r="5757" spans="1:45" s="520" customFormat="1" ht="13.2">
      <c r="A5757" s="748"/>
      <c r="B5757"/>
      <c r="C5757" s="748"/>
      <c r="D5757" s="749" t="s">
        <v>920</v>
      </c>
      <c r="F5757" s="753"/>
      <c r="G5757" s="3"/>
      <c r="H5757" s="753"/>
      <c r="I5757" s="754"/>
      <c r="J5757" s="753"/>
      <c r="K5757" s="753" t="s">
        <v>144</v>
      </c>
      <c r="L5757" s="753"/>
      <c r="M5757" s="753"/>
      <c r="N5757" s="753"/>
      <c r="O5757" s="753"/>
      <c r="P5757" s="753"/>
      <c r="Q5757" s="51"/>
      <c r="R5757" s="530"/>
      <c r="S5757" s="757"/>
      <c r="T5757" s="753"/>
      <c r="AR5757" s="748"/>
      <c r="AS5757" s="753"/>
    </row>
    <row r="5758" spans="1:45" s="886" customFormat="1" ht="13.2">
      <c r="A5758"/>
      <c r="B5758" s="910"/>
      <c r="C5758" s="910" t="s">
        <v>2597</v>
      </c>
      <c r="D5758" s="910" t="str">
        <f ca="1">CELL("Address",Elec_Rates!D$808)</f>
        <v>[E25_0062_Quintano_Foods_Elec_ELV_As_Awarded.xlsx]Elec_Rates!$D$808</v>
      </c>
      <c r="E5758" s="911"/>
      <c r="F5758" s="911"/>
      <c r="G5758" s="912" t="s">
        <v>2598</v>
      </c>
      <c r="H5758" s="912"/>
      <c r="I5758" s="912"/>
      <c r="J5758" s="912"/>
      <c r="K5758" s="913"/>
      <c r="L5758" s="911"/>
      <c r="M5758" s="911"/>
      <c r="N5758" s="911"/>
      <c r="O5758" s="914"/>
      <c r="P5758" s="911"/>
      <c r="Q5758" s="915"/>
      <c r="R5758" s="916"/>
      <c r="S5758" s="915"/>
      <c r="T5758" s="917"/>
      <c r="U5758" s="918"/>
      <c r="AR5758"/>
      <c r="AS5758" s="911"/>
    </row>
    <row r="5759" spans="1:45" s="886" customFormat="1" ht="11.4">
      <c r="A5759" s="919">
        <v>65</v>
      </c>
      <c r="B5759" s="920">
        <v>1</v>
      </c>
      <c r="C5759" s="920">
        <f>$A5759*$B5759</f>
        <v>65</v>
      </c>
      <c r="D5759" s="921" t="str">
        <f>Elec_Rates!$D$808</f>
        <v>077# 75x50mm galvanised steel cable trunking</v>
      </c>
      <c r="E5759" s="921"/>
      <c r="F5759" s="921" t="s">
        <v>2599</v>
      </c>
      <c r="G5759" s="922" t="s">
        <v>2600</v>
      </c>
      <c r="H5759" s="922"/>
      <c r="I5759" s="922"/>
      <c r="J5759" s="922"/>
      <c r="K5759" s="923"/>
      <c r="L5759" s="918"/>
      <c r="M5759" s="918"/>
      <c r="N5759" s="918"/>
      <c r="O5759" s="924"/>
      <c r="P5759" s="921"/>
      <c r="Q5759" s="925">
        <f ca="1">$B5759*Elec_Rates!$R$808</f>
        <v>5.86</v>
      </c>
      <c r="R5759" s="916">
        <f ca="1">$A5759*Q5759</f>
        <v>380.90000000000003</v>
      </c>
      <c r="S5759" s="925">
        <f ca="1">$B5759*Elec_Rates!$T$808</f>
        <v>0.27</v>
      </c>
      <c r="T5759" s="917">
        <f ca="1">$A5759*S5759</f>
        <v>17.55</v>
      </c>
      <c r="U5759" s="926"/>
      <c r="AR5759" s="919">
        <v>65</v>
      </c>
      <c r="AS5759" s="921" t="s">
        <v>2599</v>
      </c>
    </row>
    <row r="5760" spans="1:45" s="886" customFormat="1" ht="13.2">
      <c r="A5760"/>
      <c r="B5760" s="910"/>
      <c r="C5760" s="910" t="s">
        <v>2597</v>
      </c>
      <c r="D5760" s="910" t="str">
        <f ca="1">CELL("Address",Elec_Rates!D$907)</f>
        <v>[E25_0062_Quintano_Foods_Elec_ELV_As_Awarded.xlsx]Elec_Rates!$D$907</v>
      </c>
      <c r="E5760" s="911"/>
      <c r="F5760" s="911"/>
      <c r="G5760" s="912" t="s">
        <v>2598</v>
      </c>
      <c r="H5760" s="912"/>
      <c r="I5760" s="912"/>
      <c r="J5760" s="912"/>
      <c r="K5760" s="913"/>
      <c r="L5760" s="911"/>
      <c r="M5760" s="911"/>
      <c r="N5760" s="911"/>
      <c r="O5760" s="914"/>
      <c r="P5760" s="911"/>
      <c r="Q5760" s="915"/>
      <c r="R5760" s="916"/>
      <c r="S5760" s="915"/>
      <c r="T5760" s="917"/>
      <c r="U5760" s="918"/>
      <c r="AR5760"/>
      <c r="AS5760" s="911"/>
    </row>
    <row r="5761" spans="1:45" s="886" customFormat="1" ht="11.4">
      <c r="A5761" s="919">
        <v>65</v>
      </c>
      <c r="B5761" s="920">
        <v>1</v>
      </c>
      <c r="C5761" s="920">
        <f>$A5761*$B5761</f>
        <v>65</v>
      </c>
      <c r="D5761" s="921" t="str">
        <f>Elec_Rates!$D$907</f>
        <v>084# Bracket for 50-150mm cable tray/basket/trunking</v>
      </c>
      <c r="E5761" s="921"/>
      <c r="F5761" s="921" t="s">
        <v>2599</v>
      </c>
      <c r="G5761" s="922" t="s">
        <v>2600</v>
      </c>
      <c r="H5761" s="922"/>
      <c r="I5761" s="922"/>
      <c r="J5761" s="922"/>
      <c r="K5761" s="923"/>
      <c r="L5761" s="918"/>
      <c r="M5761" s="918"/>
      <c r="N5761" s="918"/>
      <c r="O5761" s="924"/>
      <c r="P5761" s="921"/>
      <c r="Q5761" s="925">
        <f ca="1">$B5761*Elec_Rates!$R$907</f>
        <v>2.37</v>
      </c>
      <c r="R5761" s="916">
        <f ca="1">$A5761*Q5761</f>
        <v>154.05000000000001</v>
      </c>
      <c r="S5761" s="925">
        <f ca="1">$B5761*Elec_Rates!$T$907</f>
        <v>0.09</v>
      </c>
      <c r="T5761" s="917">
        <f ca="1">$A5761*S5761</f>
        <v>5.85</v>
      </c>
      <c r="U5761" s="926"/>
      <c r="AR5761" s="919">
        <v>65</v>
      </c>
      <c r="AS5761" s="921" t="s">
        <v>2599</v>
      </c>
    </row>
    <row r="5762" spans="1:45" s="520" customFormat="1" ht="12">
      <c r="A5762" s="758"/>
      <c r="B5762" s="758"/>
      <c r="C5762" s="758"/>
      <c r="D5762" s="758"/>
      <c r="E5762" s="758"/>
      <c r="F5762" s="753"/>
      <c r="G5762" s="758"/>
      <c r="H5762" s="758"/>
      <c r="I5762" s="519"/>
      <c r="J5762" s="758"/>
      <c r="K5762" s="758"/>
      <c r="L5762" s="758"/>
      <c r="M5762" s="758"/>
      <c r="N5762" s="758"/>
      <c r="O5762" s="758"/>
      <c r="P5762" s="758"/>
      <c r="Q5762" s="519"/>
      <c r="R5762" s="759">
        <f t="shared" ref="R5762" si="332">$A5762*Q5762</f>
        <v>0</v>
      </c>
      <c r="S5762" s="519"/>
      <c r="T5762" s="760">
        <f t="shared" ref="T5762" si="333">$A5762*S5762*$T$1</f>
        <v>0</v>
      </c>
      <c r="AR5762" s="758"/>
      <c r="AS5762" s="753"/>
    </row>
    <row r="5763" spans="1:45" s="520" customFormat="1" ht="12.6" thickBot="1">
      <c r="A5763" s="761" t="s">
        <v>145</v>
      </c>
      <c r="B5763" s="762">
        <f>(R5762+T5762)</f>
        <v>0</v>
      </c>
      <c r="C5763" s="763"/>
      <c r="D5763" s="763"/>
      <c r="E5763" s="763"/>
      <c r="F5763" s="764"/>
      <c r="G5763" s="763" t="s">
        <v>146</v>
      </c>
      <c r="H5763" s="763"/>
      <c r="I5763" s="765"/>
      <c r="J5763" s="763"/>
      <c r="K5763" s="763" t="s">
        <v>3</v>
      </c>
      <c r="L5763" s="766" t="s">
        <v>143</v>
      </c>
      <c r="M5763" s="766"/>
      <c r="N5763" s="766"/>
      <c r="O5763" s="766"/>
      <c r="P5763" s="766"/>
      <c r="Q5763" s="767"/>
      <c r="R5763" s="768">
        <f ca="1">SUM(R5757:R5762)</f>
        <v>534.95000000000005</v>
      </c>
      <c r="S5763" s="763"/>
      <c r="T5763" s="768">
        <f ca="1">SUM(T5757:T5762)</f>
        <v>23.4</v>
      </c>
      <c r="U5763" s="531"/>
      <c r="V5763" s="531"/>
      <c r="W5763" s="531"/>
      <c r="X5763" s="531"/>
      <c r="Y5763" s="531"/>
      <c r="Z5763" s="531"/>
      <c r="AA5763" s="531"/>
      <c r="AB5763" s="531"/>
      <c r="AC5763" s="531"/>
      <c r="AD5763" s="531"/>
      <c r="AE5763" s="531"/>
      <c r="AF5763" s="531"/>
      <c r="AG5763" s="531"/>
      <c r="AH5763" s="531"/>
      <c r="AI5763" s="531"/>
      <c r="AJ5763" s="531"/>
      <c r="AK5763" s="531"/>
      <c r="AL5763" s="531"/>
      <c r="AM5763" s="531"/>
      <c r="AN5763" s="531"/>
      <c r="AO5763" s="531"/>
      <c r="AR5763" s="761" t="s">
        <v>145</v>
      </c>
      <c r="AS5763" s="764"/>
    </row>
    <row r="5764" spans="1:45" s="520" customFormat="1" ht="12" thickTop="1">
      <c r="A5764" s="51"/>
      <c r="B5764" s="41"/>
      <c r="C5764" s="51"/>
      <c r="E5764" s="42" t="s">
        <v>138</v>
      </c>
      <c r="F5764" s="42" t="s">
        <v>139</v>
      </c>
      <c r="G5764" s="51"/>
      <c r="H5764" s="51"/>
      <c r="I5764" s="51"/>
      <c r="J5764" s="51"/>
      <c r="K5764" s="51" t="s">
        <v>140</v>
      </c>
      <c r="L5764" s="51"/>
      <c r="M5764" s="51"/>
      <c r="N5764" s="51"/>
      <c r="O5764" s="52"/>
      <c r="P5764" s="51"/>
      <c r="Q5764" s="51"/>
      <c r="R5764" s="51"/>
      <c r="S5764" s="51"/>
      <c r="T5764" s="41"/>
      <c r="AG5764" s="521" t="s">
        <v>268</v>
      </c>
      <c r="AH5764" s="521" t="s">
        <v>269</v>
      </c>
      <c r="AI5764" s="521" t="s">
        <v>270</v>
      </c>
      <c r="AJ5764" s="521" t="s">
        <v>271</v>
      </c>
      <c r="AK5764" s="521" t="s">
        <v>272</v>
      </c>
      <c r="AM5764" s="745" t="s">
        <v>281</v>
      </c>
      <c r="AN5764" s="746" t="s">
        <v>282</v>
      </c>
      <c r="AO5764" s="522" t="s">
        <v>278</v>
      </c>
      <c r="AR5764" s="51"/>
      <c r="AS5764" s="42" t="s">
        <v>139</v>
      </c>
    </row>
    <row r="5765" spans="1:45" s="520" customFormat="1" ht="12" customHeight="1">
      <c r="A5765" s="747">
        <v>100</v>
      </c>
      <c r="B5765" s="523" t="s">
        <v>320</v>
      </c>
      <c r="C5765" s="748"/>
      <c r="D5765" s="749" t="s">
        <v>1939</v>
      </c>
      <c r="E5765" s="750">
        <f ca="1">IF(AND($A5765=0,$A$1="DIF"),0, ROUND(ROUND(($R5772*$S$2+($T5772*$T$2))/A5765,2)*$C$2,2))</f>
        <v>24.32</v>
      </c>
      <c r="F5765" s="751">
        <f ca="1">ROUND($A5765*$E5765,2)</f>
        <v>2432</v>
      </c>
      <c r="G5765" s="752" t="s">
        <v>142</v>
      </c>
      <c r="H5765" s="753"/>
      <c r="I5765" s="754"/>
      <c r="J5765" s="753"/>
      <c r="K5765" s="753" t="s">
        <v>3</v>
      </c>
      <c r="L5765" s="755" t="s">
        <v>143</v>
      </c>
      <c r="M5765" s="755"/>
      <c r="N5765" s="755"/>
      <c r="O5765" s="755"/>
      <c r="P5765" s="755"/>
      <c r="Q5765" s="51"/>
      <c r="T5765" s="756" t="str">
        <f ca="1">IF(AND($R5772=0,$T5772=0),"0.00","mu :" &amp; ROUND($F5765/$C$2/($R5772+$T5772*$D$9),2))</f>
        <v>mu :1.23</v>
      </c>
      <c r="W5765" s="524"/>
      <c r="AG5765" s="481">
        <f ca="1">IF($E5765=0,0,ROUND($R5772*$S$2*$C$2/$A5765,2))</f>
        <v>11.48</v>
      </c>
      <c r="AH5765" s="481">
        <f ca="1">$AG5765*$A5765</f>
        <v>1148</v>
      </c>
      <c r="AI5765" s="525">
        <f ca="1">$E5765-$AG5765</f>
        <v>12.84</v>
      </c>
      <c r="AJ5765" s="525">
        <f ca="1">$A5765*$AI5765</f>
        <v>1284</v>
      </c>
      <c r="AK5765" s="526">
        <f ca="1">ROUND(($AG5765+$AI5765)*$A5765,2)</f>
        <v>2432</v>
      </c>
      <c r="AM5765" s="527">
        <f ca="1">ROUND(R5772,2)</f>
        <v>932</v>
      </c>
      <c r="AN5765" s="528">
        <f ca="1">ROUND(T5772,2)</f>
        <v>38</v>
      </c>
      <c r="AO5765" s="529">
        <f ca="1">ROUND(AM5765+AN5765,2)*A5765</f>
        <v>97000</v>
      </c>
      <c r="AR5765" s="747">
        <v>100</v>
      </c>
      <c r="AS5765" s="751">
        <v>2568</v>
      </c>
    </row>
    <row r="5766" spans="1:45" s="520" customFormat="1" ht="13.2">
      <c r="A5766" s="748"/>
      <c r="B5766"/>
      <c r="C5766" s="748"/>
      <c r="D5766" s="749" t="s">
        <v>921</v>
      </c>
      <c r="F5766" s="753"/>
      <c r="G5766" s="3"/>
      <c r="H5766" s="753"/>
      <c r="I5766" s="754"/>
      <c r="J5766" s="753"/>
      <c r="K5766" s="753" t="s">
        <v>144</v>
      </c>
      <c r="L5766" s="753"/>
      <c r="M5766" s="753"/>
      <c r="N5766" s="753"/>
      <c r="O5766" s="753"/>
      <c r="P5766" s="753"/>
      <c r="Q5766" s="51"/>
      <c r="R5766" s="530"/>
      <c r="S5766" s="757"/>
      <c r="T5766" s="753"/>
      <c r="AR5766" s="748"/>
      <c r="AS5766" s="753"/>
    </row>
    <row r="5767" spans="1:45" s="886" customFormat="1" ht="13.2">
      <c r="A5767"/>
      <c r="B5767" s="910"/>
      <c r="C5767" s="910" t="s">
        <v>2597</v>
      </c>
      <c r="D5767" s="910" t="str">
        <f ca="1">CELL("Address",Elec_Rates!D$822)</f>
        <v>[E25_0062_Quintano_Foods_Elec_ELV_As_Awarded.xlsx]Elec_Rates!$D$822</v>
      </c>
      <c r="E5767" s="911"/>
      <c r="F5767" s="911"/>
      <c r="G5767" s="912" t="s">
        <v>2598</v>
      </c>
      <c r="H5767" s="912"/>
      <c r="I5767" s="912"/>
      <c r="J5767" s="912"/>
      <c r="K5767" s="913"/>
      <c r="L5767" s="911"/>
      <c r="M5767" s="911"/>
      <c r="N5767" s="911"/>
      <c r="O5767" s="914"/>
      <c r="P5767" s="911"/>
      <c r="Q5767" s="915"/>
      <c r="R5767" s="916"/>
      <c r="S5767" s="915"/>
      <c r="T5767" s="917"/>
      <c r="U5767" s="918"/>
      <c r="AR5767"/>
      <c r="AS5767" s="911"/>
    </row>
    <row r="5768" spans="1:45" s="886" customFormat="1" ht="11.4">
      <c r="A5768" s="919">
        <v>100</v>
      </c>
      <c r="B5768" s="920">
        <v>1</v>
      </c>
      <c r="C5768" s="920">
        <f>$A5768*$B5768</f>
        <v>100</v>
      </c>
      <c r="D5768" s="921" t="str">
        <f>Elec_Rates!$D$822</f>
        <v>078# 75x75mm galvanised steel cable trunking</v>
      </c>
      <c r="E5768" s="921"/>
      <c r="F5768" s="921" t="s">
        <v>2599</v>
      </c>
      <c r="G5768" s="922" t="s">
        <v>2601</v>
      </c>
      <c r="H5768" s="922"/>
      <c r="I5768" s="922"/>
      <c r="J5768" s="922"/>
      <c r="K5768" s="923"/>
      <c r="L5768" s="918"/>
      <c r="M5768" s="918"/>
      <c r="N5768" s="918"/>
      <c r="O5768" s="924"/>
      <c r="P5768" s="921"/>
      <c r="Q5768" s="925">
        <f ca="1">$B5768*Elec_Rates!$R$822</f>
        <v>6.95</v>
      </c>
      <c r="R5768" s="916">
        <f ca="1">$A5768*Q5768</f>
        <v>695</v>
      </c>
      <c r="S5768" s="925">
        <f ca="1">$B5768*Elec_Rates!$T$822</f>
        <v>0.28999999999999998</v>
      </c>
      <c r="T5768" s="917">
        <f ca="1">$A5768*S5768</f>
        <v>28.999999999999996</v>
      </c>
      <c r="U5768" s="926"/>
      <c r="AR5768" s="919">
        <v>100</v>
      </c>
      <c r="AS5768" s="921" t="s">
        <v>2599</v>
      </c>
    </row>
    <row r="5769" spans="1:45" s="886" customFormat="1" ht="13.2">
      <c r="A5769"/>
      <c r="B5769" s="910"/>
      <c r="C5769" s="910" t="s">
        <v>2597</v>
      </c>
      <c r="D5769" s="910" t="str">
        <f ca="1">CELL("Address",Elec_Rates!D$907)</f>
        <v>[E25_0062_Quintano_Foods_Elec_ELV_As_Awarded.xlsx]Elec_Rates!$D$907</v>
      </c>
      <c r="E5769" s="911"/>
      <c r="F5769" s="911"/>
      <c r="G5769" s="912" t="s">
        <v>2598</v>
      </c>
      <c r="H5769" s="912"/>
      <c r="I5769" s="912"/>
      <c r="J5769" s="912"/>
      <c r="K5769" s="913"/>
      <c r="L5769" s="911"/>
      <c r="M5769" s="911"/>
      <c r="N5769" s="911"/>
      <c r="O5769" s="914"/>
      <c r="P5769" s="911"/>
      <c r="Q5769" s="915"/>
      <c r="R5769" s="916"/>
      <c r="S5769" s="915"/>
      <c r="T5769" s="917"/>
      <c r="U5769" s="918"/>
      <c r="AR5769"/>
      <c r="AS5769" s="911"/>
    </row>
    <row r="5770" spans="1:45" s="886" customFormat="1" ht="11.4">
      <c r="A5770" s="919">
        <v>100</v>
      </c>
      <c r="B5770" s="920">
        <v>1</v>
      </c>
      <c r="C5770" s="920">
        <f>$A5770*$B5770</f>
        <v>100</v>
      </c>
      <c r="D5770" s="921" t="str">
        <f>Elec_Rates!$D$907</f>
        <v>084# Bracket for 50-150mm cable tray/basket/trunking</v>
      </c>
      <c r="E5770" s="921"/>
      <c r="F5770" s="921" t="s">
        <v>2599</v>
      </c>
      <c r="G5770" s="922" t="s">
        <v>2600</v>
      </c>
      <c r="H5770" s="922"/>
      <c r="I5770" s="922"/>
      <c r="J5770" s="922"/>
      <c r="K5770" s="923"/>
      <c r="L5770" s="918"/>
      <c r="M5770" s="918"/>
      <c r="N5770" s="918"/>
      <c r="O5770" s="924"/>
      <c r="P5770" s="921"/>
      <c r="Q5770" s="925">
        <f ca="1">$B5770*Elec_Rates!$R$907</f>
        <v>2.37</v>
      </c>
      <c r="R5770" s="916">
        <f ca="1">$A5770*Q5770</f>
        <v>237</v>
      </c>
      <c r="S5770" s="925">
        <f ca="1">$B5770*Elec_Rates!$T$907</f>
        <v>0.09</v>
      </c>
      <c r="T5770" s="917">
        <f ca="1">$A5770*S5770</f>
        <v>9</v>
      </c>
      <c r="U5770" s="926"/>
      <c r="AR5770" s="919">
        <v>100</v>
      </c>
      <c r="AS5770" s="921" t="s">
        <v>2599</v>
      </c>
    </row>
    <row r="5771" spans="1:45" s="520" customFormat="1" ht="12">
      <c r="A5771" s="758"/>
      <c r="B5771" s="758"/>
      <c r="C5771" s="758"/>
      <c r="D5771" s="758"/>
      <c r="E5771" s="758"/>
      <c r="F5771" s="753"/>
      <c r="G5771" s="758"/>
      <c r="H5771" s="758"/>
      <c r="I5771" s="519"/>
      <c r="J5771" s="758"/>
      <c r="K5771" s="758"/>
      <c r="L5771" s="758"/>
      <c r="M5771" s="758"/>
      <c r="N5771" s="758"/>
      <c r="O5771" s="758"/>
      <c r="P5771" s="758"/>
      <c r="Q5771" s="519"/>
      <c r="R5771" s="759">
        <f t="shared" ref="R5771" si="334">$A5771*Q5771</f>
        <v>0</v>
      </c>
      <c r="S5771" s="519"/>
      <c r="T5771" s="760">
        <f t="shared" ref="T5771" si="335">$A5771*S5771*$T$1</f>
        <v>0</v>
      </c>
      <c r="AR5771" s="758"/>
      <c r="AS5771" s="753"/>
    </row>
    <row r="5772" spans="1:45" s="520" customFormat="1" ht="12.6" thickBot="1">
      <c r="A5772" s="761" t="s">
        <v>145</v>
      </c>
      <c r="B5772" s="762">
        <f>(R5771+T5771)</f>
        <v>0</v>
      </c>
      <c r="C5772" s="763"/>
      <c r="D5772" s="763"/>
      <c r="E5772" s="763"/>
      <c r="F5772" s="764"/>
      <c r="G5772" s="763" t="s">
        <v>146</v>
      </c>
      <c r="H5772" s="763"/>
      <c r="I5772" s="765"/>
      <c r="J5772" s="763"/>
      <c r="K5772" s="763" t="s">
        <v>3</v>
      </c>
      <c r="L5772" s="766" t="s">
        <v>143</v>
      </c>
      <c r="M5772" s="766"/>
      <c r="N5772" s="766"/>
      <c r="O5772" s="766"/>
      <c r="P5772" s="766"/>
      <c r="Q5772" s="767"/>
      <c r="R5772" s="768">
        <f ca="1">SUM(R5766:R5771)</f>
        <v>932</v>
      </c>
      <c r="S5772" s="763"/>
      <c r="T5772" s="768">
        <f ca="1">SUM(T5766:T5771)</f>
        <v>38</v>
      </c>
      <c r="U5772" s="531"/>
      <c r="V5772" s="531"/>
      <c r="W5772" s="531"/>
      <c r="X5772" s="531"/>
      <c r="Y5772" s="531"/>
      <c r="Z5772" s="531"/>
      <c r="AA5772" s="531"/>
      <c r="AB5772" s="531"/>
      <c r="AC5772" s="531"/>
      <c r="AD5772" s="531"/>
      <c r="AE5772" s="531"/>
      <c r="AF5772" s="531"/>
      <c r="AG5772" s="531"/>
      <c r="AH5772" s="531"/>
      <c r="AI5772" s="531"/>
      <c r="AJ5772" s="531"/>
      <c r="AK5772" s="531"/>
      <c r="AL5772" s="531"/>
      <c r="AM5772" s="531"/>
      <c r="AN5772" s="531"/>
      <c r="AO5772" s="531"/>
      <c r="AR5772" s="761" t="s">
        <v>145</v>
      </c>
      <c r="AS5772" s="764"/>
    </row>
    <row r="5773" spans="1:45" s="520" customFormat="1" ht="12" thickTop="1">
      <c r="A5773" s="51"/>
      <c r="B5773" s="41"/>
      <c r="C5773" s="51"/>
      <c r="E5773" s="42" t="s">
        <v>138</v>
      </c>
      <c r="F5773" s="42" t="s">
        <v>139</v>
      </c>
      <c r="G5773" s="51"/>
      <c r="H5773" s="51"/>
      <c r="I5773" s="51"/>
      <c r="J5773" s="51"/>
      <c r="K5773" s="51" t="s">
        <v>140</v>
      </c>
      <c r="L5773" s="51"/>
      <c r="M5773" s="51"/>
      <c r="N5773" s="51"/>
      <c r="O5773" s="52"/>
      <c r="P5773" s="51"/>
      <c r="Q5773" s="51"/>
      <c r="R5773" s="51"/>
      <c r="S5773" s="51"/>
      <c r="T5773" s="41"/>
      <c r="AG5773" s="521" t="s">
        <v>268</v>
      </c>
      <c r="AH5773" s="521" t="s">
        <v>269</v>
      </c>
      <c r="AI5773" s="521" t="s">
        <v>270</v>
      </c>
      <c r="AJ5773" s="521" t="s">
        <v>271</v>
      </c>
      <c r="AK5773" s="521" t="s">
        <v>272</v>
      </c>
      <c r="AM5773" s="745" t="s">
        <v>281</v>
      </c>
      <c r="AN5773" s="746" t="s">
        <v>282</v>
      </c>
      <c r="AO5773" s="522" t="s">
        <v>278</v>
      </c>
      <c r="AR5773" s="51"/>
      <c r="AS5773" s="42" t="s">
        <v>139</v>
      </c>
    </row>
    <row r="5774" spans="1:45" s="520" customFormat="1" ht="12" customHeight="1">
      <c r="A5774" s="747">
        <v>20</v>
      </c>
      <c r="B5774" s="523" t="s">
        <v>320</v>
      </c>
      <c r="C5774" s="748"/>
      <c r="D5774" s="749" t="s">
        <v>1940</v>
      </c>
      <c r="E5774" s="750">
        <f ca="1">IF(AND($A5774=0,$A$1="DIF"),0, ROUND(ROUND(($R5781*$S$2+($T5781*$T$2))/A5774,2)*$C$2,2))</f>
        <v>34.15</v>
      </c>
      <c r="F5774" s="751">
        <f ca="1">ROUND($A5774*$E5774,2)</f>
        <v>683</v>
      </c>
      <c r="G5774" s="752" t="s">
        <v>142</v>
      </c>
      <c r="H5774" s="753"/>
      <c r="I5774" s="754"/>
      <c r="J5774" s="753"/>
      <c r="K5774" s="753" t="s">
        <v>3</v>
      </c>
      <c r="L5774" s="755" t="s">
        <v>143</v>
      </c>
      <c r="M5774" s="755"/>
      <c r="N5774" s="755"/>
      <c r="O5774" s="755"/>
      <c r="P5774" s="755"/>
      <c r="Q5774" s="51"/>
      <c r="T5774" s="756" t="str">
        <f ca="1">IF(AND($R5781=0,$T5781=0),"0.00","mu :" &amp; ROUND($F5774/$C$2/($R5781+$T5781*$D$9),2))</f>
        <v>mu :1.23</v>
      </c>
      <c r="W5774" s="524"/>
      <c r="AG5774" s="481">
        <f ca="1">IF($E5774=0,0,ROUND($R5781*$S$2*$C$2/$A5774,2))</f>
        <v>15.22</v>
      </c>
      <c r="AH5774" s="481">
        <f ca="1">$AG5774*$A5774</f>
        <v>304.40000000000003</v>
      </c>
      <c r="AI5774" s="525">
        <f ca="1">$E5774-$AG5774</f>
        <v>18.93</v>
      </c>
      <c r="AJ5774" s="525">
        <f ca="1">$A5774*$AI5774</f>
        <v>378.6</v>
      </c>
      <c r="AK5774" s="526">
        <f ca="1">ROUND(($AG5774+$AI5774)*$A5774,2)</f>
        <v>683</v>
      </c>
      <c r="AM5774" s="527">
        <f ca="1">ROUND(R5781,2)</f>
        <v>247.2</v>
      </c>
      <c r="AN5774" s="528">
        <f ca="1">ROUND(T5781,2)</f>
        <v>11.2</v>
      </c>
      <c r="AO5774" s="529">
        <f ca="1">ROUND(AM5774+AN5774,2)*A5774</f>
        <v>5168</v>
      </c>
      <c r="AR5774" s="747">
        <v>20</v>
      </c>
      <c r="AS5774" s="751">
        <v>723.6</v>
      </c>
    </row>
    <row r="5775" spans="1:45" s="520" customFormat="1" ht="13.2">
      <c r="A5775" s="748"/>
      <c r="B5775"/>
      <c r="C5775" s="748"/>
      <c r="D5775" s="749" t="s">
        <v>925</v>
      </c>
      <c r="F5775" s="753"/>
      <c r="G5775" s="3"/>
      <c r="H5775" s="753"/>
      <c r="I5775" s="754"/>
      <c r="J5775" s="753"/>
      <c r="K5775" s="753" t="s">
        <v>144</v>
      </c>
      <c r="L5775" s="753"/>
      <c r="M5775" s="753"/>
      <c r="N5775" s="753"/>
      <c r="O5775" s="753"/>
      <c r="P5775" s="753"/>
      <c r="Q5775" s="51"/>
      <c r="R5775" s="530"/>
      <c r="S5775" s="757"/>
      <c r="T5775" s="753"/>
      <c r="AR5775" s="748"/>
      <c r="AS5775" s="753"/>
    </row>
    <row r="5776" spans="1:45" s="886" customFormat="1" ht="13.2">
      <c r="A5776"/>
      <c r="B5776" s="910"/>
      <c r="C5776" s="910" t="s">
        <v>2597</v>
      </c>
      <c r="D5776" s="910" t="str">
        <f ca="1">CELL("Address",Elec_Rates!D$851)</f>
        <v>[E25_0062_Quintano_Foods_Elec_ELV_As_Awarded.xlsx]Elec_Rates!$D$851</v>
      </c>
      <c r="E5776" s="911"/>
      <c r="F5776" s="911"/>
      <c r="G5776" s="912" t="s">
        <v>2598</v>
      </c>
      <c r="H5776" s="912"/>
      <c r="I5776" s="912"/>
      <c r="J5776" s="912"/>
      <c r="K5776" s="913"/>
      <c r="L5776" s="911"/>
      <c r="M5776" s="911"/>
      <c r="N5776" s="911"/>
      <c r="O5776" s="914"/>
      <c r="P5776" s="911"/>
      <c r="Q5776" s="915"/>
      <c r="R5776" s="916"/>
      <c r="S5776" s="915"/>
      <c r="T5776" s="917"/>
      <c r="U5776" s="918"/>
      <c r="AR5776"/>
      <c r="AS5776" s="911"/>
    </row>
    <row r="5777" spans="1:45" s="886" customFormat="1" ht="11.4">
      <c r="A5777" s="919">
        <v>20</v>
      </c>
      <c r="B5777" s="920">
        <v>1</v>
      </c>
      <c r="C5777" s="920">
        <f>$A5777*$B5777</f>
        <v>20</v>
      </c>
      <c r="D5777" s="921" t="str">
        <f>Elec_Rates!$D$851</f>
        <v>080# 150x75mm galvanised steel cable trunking</v>
      </c>
      <c r="E5777" s="921"/>
      <c r="F5777" s="921" t="s">
        <v>2599</v>
      </c>
      <c r="G5777" s="922" t="s">
        <v>2601</v>
      </c>
      <c r="H5777" s="922"/>
      <c r="I5777" s="922"/>
      <c r="J5777" s="922"/>
      <c r="K5777" s="923"/>
      <c r="L5777" s="918"/>
      <c r="M5777" s="918"/>
      <c r="N5777" s="918"/>
      <c r="O5777" s="924"/>
      <c r="P5777" s="921"/>
      <c r="Q5777" s="925">
        <f ca="1">$B5777*Elec_Rates!$R$851</f>
        <v>9.99</v>
      </c>
      <c r="R5777" s="916">
        <f ca="1">$A5777*Q5777</f>
        <v>199.8</v>
      </c>
      <c r="S5777" s="925">
        <f ca="1">$B5777*Elec_Rates!$T$851</f>
        <v>0.47</v>
      </c>
      <c r="T5777" s="917">
        <f ca="1">$A5777*S5777</f>
        <v>9.3999999999999986</v>
      </c>
      <c r="U5777" s="926"/>
      <c r="AR5777" s="919">
        <v>20</v>
      </c>
      <c r="AS5777" s="921" t="s">
        <v>2599</v>
      </c>
    </row>
    <row r="5778" spans="1:45" s="886" customFormat="1" ht="13.2">
      <c r="A5778"/>
      <c r="B5778" s="910"/>
      <c r="C5778" s="910" t="s">
        <v>2597</v>
      </c>
      <c r="D5778" s="910" t="str">
        <f ca="1">CELL("Address",Elec_Rates!D$907)</f>
        <v>[E25_0062_Quintano_Foods_Elec_ELV_As_Awarded.xlsx]Elec_Rates!$D$907</v>
      </c>
      <c r="E5778" s="911"/>
      <c r="F5778" s="911"/>
      <c r="G5778" s="912" t="s">
        <v>2598</v>
      </c>
      <c r="H5778" s="912"/>
      <c r="I5778" s="912"/>
      <c r="J5778" s="912"/>
      <c r="K5778" s="913"/>
      <c r="L5778" s="911"/>
      <c r="M5778" s="911"/>
      <c r="N5778" s="911"/>
      <c r="O5778" s="914"/>
      <c r="P5778" s="911"/>
      <c r="Q5778" s="915"/>
      <c r="R5778" s="916"/>
      <c r="S5778" s="915"/>
      <c r="T5778" s="917"/>
      <c r="U5778" s="918"/>
      <c r="AR5778"/>
      <c r="AS5778" s="911"/>
    </row>
    <row r="5779" spans="1:45" s="886" customFormat="1" ht="11.4">
      <c r="A5779" s="919">
        <v>20</v>
      </c>
      <c r="B5779" s="920">
        <v>1</v>
      </c>
      <c r="C5779" s="920">
        <f>$A5779*$B5779</f>
        <v>20</v>
      </c>
      <c r="D5779" s="921" t="str">
        <f>Elec_Rates!$D$907</f>
        <v>084# Bracket for 50-150mm cable tray/basket/trunking</v>
      </c>
      <c r="E5779" s="921"/>
      <c r="F5779" s="921" t="s">
        <v>2599</v>
      </c>
      <c r="G5779" s="922" t="s">
        <v>2600</v>
      </c>
      <c r="H5779" s="922"/>
      <c r="I5779" s="922"/>
      <c r="J5779" s="922"/>
      <c r="K5779" s="923"/>
      <c r="L5779" s="918"/>
      <c r="M5779" s="918"/>
      <c r="N5779" s="918"/>
      <c r="O5779" s="924"/>
      <c r="P5779" s="921"/>
      <c r="Q5779" s="925">
        <f ca="1">$B5779*Elec_Rates!$R$907</f>
        <v>2.37</v>
      </c>
      <c r="R5779" s="916">
        <f ca="1">$A5779*Q5779</f>
        <v>47.400000000000006</v>
      </c>
      <c r="S5779" s="925">
        <f ca="1">$B5779*Elec_Rates!$T$907</f>
        <v>0.09</v>
      </c>
      <c r="T5779" s="917">
        <f ca="1">$A5779*S5779</f>
        <v>1.7999999999999998</v>
      </c>
      <c r="U5779" s="926"/>
      <c r="AR5779" s="919">
        <v>20</v>
      </c>
      <c r="AS5779" s="921" t="s">
        <v>2599</v>
      </c>
    </row>
    <row r="5780" spans="1:45" s="520" customFormat="1" ht="12">
      <c r="A5780" s="758"/>
      <c r="B5780" s="758"/>
      <c r="C5780" s="758"/>
      <c r="D5780" s="758"/>
      <c r="E5780" s="758"/>
      <c r="F5780" s="753"/>
      <c r="G5780" s="758"/>
      <c r="H5780" s="758"/>
      <c r="I5780" s="519"/>
      <c r="J5780" s="758"/>
      <c r="K5780" s="758"/>
      <c r="L5780" s="758"/>
      <c r="M5780" s="758"/>
      <c r="N5780" s="758"/>
      <c r="O5780" s="758"/>
      <c r="P5780" s="758"/>
      <c r="Q5780" s="519"/>
      <c r="R5780" s="759">
        <f t="shared" ref="R5780" si="336">$A5780*Q5780</f>
        <v>0</v>
      </c>
      <c r="S5780" s="519"/>
      <c r="T5780" s="760">
        <f t="shared" ref="T5780" si="337">$A5780*S5780*$T$1</f>
        <v>0</v>
      </c>
      <c r="AR5780" s="758"/>
      <c r="AS5780" s="753"/>
    </row>
    <row r="5781" spans="1:45" s="520" customFormat="1" ht="12.6" thickBot="1">
      <c r="A5781" s="761" t="s">
        <v>145</v>
      </c>
      <c r="B5781" s="762">
        <f>(R5780+T5780)</f>
        <v>0</v>
      </c>
      <c r="C5781" s="763"/>
      <c r="D5781" s="763"/>
      <c r="E5781" s="763"/>
      <c r="F5781" s="764"/>
      <c r="G5781" s="763" t="s">
        <v>146</v>
      </c>
      <c r="H5781" s="763"/>
      <c r="I5781" s="765"/>
      <c r="J5781" s="763"/>
      <c r="K5781" s="763" t="s">
        <v>3</v>
      </c>
      <c r="L5781" s="766" t="s">
        <v>143</v>
      </c>
      <c r="M5781" s="766"/>
      <c r="N5781" s="766"/>
      <c r="O5781" s="766"/>
      <c r="P5781" s="766"/>
      <c r="Q5781" s="767"/>
      <c r="R5781" s="768">
        <f ca="1">SUM(R5775:R5780)</f>
        <v>247.20000000000002</v>
      </c>
      <c r="S5781" s="763"/>
      <c r="T5781" s="768">
        <f ca="1">SUM(T5775:T5780)</f>
        <v>11.2</v>
      </c>
      <c r="U5781" s="531"/>
      <c r="V5781" s="531"/>
      <c r="W5781" s="531"/>
      <c r="X5781" s="531"/>
      <c r="Y5781" s="531"/>
      <c r="Z5781" s="531"/>
      <c r="AA5781" s="531"/>
      <c r="AB5781" s="531"/>
      <c r="AC5781" s="531"/>
      <c r="AD5781" s="531"/>
      <c r="AE5781" s="531"/>
      <c r="AF5781" s="531"/>
      <c r="AG5781" s="531"/>
      <c r="AH5781" s="531"/>
      <c r="AI5781" s="531"/>
      <c r="AJ5781" s="531"/>
      <c r="AK5781" s="531"/>
      <c r="AL5781" s="531"/>
      <c r="AM5781" s="531"/>
      <c r="AN5781" s="531"/>
      <c r="AO5781" s="531"/>
      <c r="AR5781" s="761" t="s">
        <v>145</v>
      </c>
      <c r="AS5781" s="764"/>
    </row>
    <row r="5782" spans="1:45" s="520" customFormat="1" thickTop="1">
      <c r="A5782" s="51"/>
      <c r="B5782" s="51"/>
      <c r="C5782" s="3"/>
      <c r="D5782" s="3"/>
      <c r="E5782" s="51"/>
      <c r="F5782" s="51"/>
      <c r="G5782" s="51"/>
      <c r="H5782" s="51"/>
      <c r="I5782" s="51"/>
      <c r="J5782" s="51"/>
      <c r="K5782" s="51" t="s">
        <v>134</v>
      </c>
      <c r="L5782" s="51"/>
      <c r="M5782" s="51"/>
      <c r="N5782" s="51"/>
      <c r="O5782" s="52"/>
      <c r="P5782" s="51"/>
      <c r="Q5782" s="51"/>
      <c r="R5782" s="51"/>
      <c r="S5782" s="51"/>
      <c r="T5782" s="51"/>
      <c r="AR5782" s="51"/>
      <c r="AS5782" s="51"/>
    </row>
    <row r="5783" spans="1:45" s="520" customFormat="1" ht="12">
      <c r="A5783" s="51"/>
      <c r="B5783" s="51"/>
      <c r="C5783" s="51" t="s">
        <v>135</v>
      </c>
      <c r="D5783" s="37"/>
      <c r="E5783" s="51"/>
      <c r="F5783" s="51"/>
      <c r="G5783" s="51"/>
      <c r="H5783" s="51"/>
      <c r="I5783" s="51"/>
      <c r="J5783" s="51"/>
      <c r="K5783" s="51"/>
      <c r="L5783" s="51"/>
      <c r="M5783" s="51"/>
      <c r="N5783" s="51"/>
      <c r="O5783" s="52"/>
      <c r="P5783" s="51"/>
      <c r="Q5783" s="51"/>
      <c r="R5783" s="51"/>
      <c r="S5783" s="51"/>
      <c r="T5783" s="51"/>
      <c r="AR5783" s="51"/>
      <c r="AS5783" s="51"/>
    </row>
    <row r="5784" spans="1:45" s="520" customFormat="1" ht="12">
      <c r="A5784" s="51"/>
      <c r="B5784" s="51"/>
      <c r="C5784" s="51"/>
      <c r="D5784" s="37" t="s">
        <v>347</v>
      </c>
      <c r="E5784" s="51"/>
      <c r="F5784" s="51"/>
      <c r="G5784" s="51"/>
      <c r="H5784" s="51"/>
      <c r="I5784" s="51"/>
      <c r="J5784" s="51"/>
      <c r="K5784" s="51"/>
      <c r="L5784" s="51"/>
      <c r="M5784" s="51"/>
      <c r="N5784" s="51"/>
      <c r="O5784" s="52"/>
      <c r="P5784" s="51"/>
      <c r="Q5784" s="51"/>
      <c r="R5784" s="51"/>
      <c r="S5784" s="38"/>
      <c r="T5784" s="38"/>
      <c r="AR5784" s="51"/>
      <c r="AS5784" s="51"/>
    </row>
    <row r="5785" spans="1:45" s="3" customFormat="1" thickBot="1">
      <c r="A5785" s="531"/>
      <c r="O5785" s="107"/>
      <c r="AR5785" s="531"/>
    </row>
    <row r="5786" spans="1:45" s="520" customFormat="1" thickTop="1">
      <c r="A5786" s="51"/>
      <c r="B5786" s="51"/>
      <c r="C5786" s="3"/>
      <c r="D5786" s="3"/>
      <c r="E5786" s="51"/>
      <c r="F5786" s="51"/>
      <c r="G5786" s="51"/>
      <c r="H5786" s="51"/>
      <c r="I5786" s="51"/>
      <c r="J5786" s="51"/>
      <c r="K5786" s="51" t="s">
        <v>134</v>
      </c>
      <c r="L5786" s="51"/>
      <c r="M5786" s="51"/>
      <c r="N5786" s="51"/>
      <c r="O5786" s="52"/>
      <c r="P5786" s="51"/>
      <c r="Q5786" s="51"/>
      <c r="R5786" s="51"/>
      <c r="S5786" s="51"/>
      <c r="T5786" s="51"/>
      <c r="AR5786" s="51"/>
      <c r="AS5786" s="51"/>
    </row>
    <row r="5787" spans="1:45" s="520" customFormat="1" ht="12">
      <c r="A5787" s="51"/>
      <c r="B5787" s="51"/>
      <c r="C5787" s="51" t="s">
        <v>135</v>
      </c>
      <c r="D5787" s="37"/>
      <c r="E5787" s="51"/>
      <c r="F5787" s="51"/>
      <c r="G5787" s="51"/>
      <c r="H5787" s="51"/>
      <c r="I5787" s="51"/>
      <c r="J5787" s="51"/>
      <c r="K5787" s="51"/>
      <c r="L5787" s="51"/>
      <c r="M5787" s="51"/>
      <c r="N5787" s="51"/>
      <c r="O5787" s="52"/>
      <c r="P5787" s="51"/>
      <c r="Q5787" s="51"/>
      <c r="R5787" s="51"/>
      <c r="S5787" s="51"/>
      <c r="T5787" s="51"/>
      <c r="AR5787" s="51"/>
      <c r="AS5787" s="51"/>
    </row>
    <row r="5788" spans="1:45" s="520" customFormat="1" ht="12">
      <c r="A5788" s="51"/>
      <c r="B5788" s="51"/>
      <c r="C5788" s="51"/>
      <c r="D5788" s="37" t="s">
        <v>910</v>
      </c>
      <c r="E5788" s="51"/>
      <c r="F5788" s="51"/>
      <c r="G5788" s="51"/>
      <c r="H5788" s="51"/>
      <c r="I5788" s="51"/>
      <c r="J5788" s="51"/>
      <c r="K5788" s="51"/>
      <c r="L5788" s="51"/>
      <c r="M5788" s="51"/>
      <c r="N5788" s="51"/>
      <c r="O5788" s="52"/>
      <c r="P5788" s="51"/>
      <c r="Q5788" s="51"/>
      <c r="R5788" s="51"/>
      <c r="S5788" s="38"/>
      <c r="T5788" s="38"/>
      <c r="AR5788" s="51"/>
      <c r="AS5788" s="51"/>
    </row>
    <row r="5789" spans="1:45" s="3" customFormat="1" thickBot="1">
      <c r="A5789" s="531"/>
      <c r="O5789" s="107"/>
      <c r="AR5789" s="531"/>
    </row>
    <row r="5790" spans="1:45" s="520" customFormat="1" ht="12" thickTop="1">
      <c r="A5790" s="51"/>
      <c r="B5790" s="41"/>
      <c r="C5790" s="51"/>
      <c r="E5790" s="42" t="s">
        <v>138</v>
      </c>
      <c r="F5790" s="42" t="s">
        <v>139</v>
      </c>
      <c r="G5790" s="51"/>
      <c r="H5790" s="51"/>
      <c r="I5790" s="51"/>
      <c r="J5790" s="51"/>
      <c r="K5790" s="51" t="s">
        <v>140</v>
      </c>
      <c r="L5790" s="51"/>
      <c r="M5790" s="51"/>
      <c r="N5790" s="51"/>
      <c r="O5790" s="52"/>
      <c r="P5790" s="51"/>
      <c r="Q5790" s="51"/>
      <c r="R5790" s="51"/>
      <c r="S5790" s="51"/>
      <c r="T5790" s="41"/>
      <c r="AG5790" s="521" t="s">
        <v>268</v>
      </c>
      <c r="AH5790" s="521" t="s">
        <v>269</v>
      </c>
      <c r="AI5790" s="521" t="s">
        <v>270</v>
      </c>
      <c r="AJ5790" s="521" t="s">
        <v>271</v>
      </c>
      <c r="AK5790" s="521" t="s">
        <v>272</v>
      </c>
      <c r="AM5790" s="745" t="s">
        <v>281</v>
      </c>
      <c r="AN5790" s="746" t="s">
        <v>282</v>
      </c>
      <c r="AO5790" s="522" t="s">
        <v>278</v>
      </c>
      <c r="AR5790" s="51"/>
      <c r="AS5790" s="42" t="s">
        <v>139</v>
      </c>
    </row>
    <row r="5791" spans="1:45" s="520" customFormat="1" ht="12" customHeight="1">
      <c r="A5791" s="747">
        <v>20</v>
      </c>
      <c r="B5791" s="523" t="s">
        <v>320</v>
      </c>
      <c r="C5791" s="748"/>
      <c r="D5791" s="749" t="s">
        <v>1942</v>
      </c>
      <c r="E5791" s="750">
        <f ca="1">IF(AND($A5791=0,$A$1="DIF"),0, ROUND(ROUND(($R5798*$S$2+($T5798*$T$2))/A5791,2)*$C$2,2))</f>
        <v>16.87</v>
      </c>
      <c r="F5791" s="751">
        <f ca="1">ROUND($A5791*$E5791,2)</f>
        <v>337.4</v>
      </c>
      <c r="G5791" s="752" t="s">
        <v>142</v>
      </c>
      <c r="H5791" s="753"/>
      <c r="I5791" s="754"/>
      <c r="J5791" s="753"/>
      <c r="K5791" s="753" t="s">
        <v>3</v>
      </c>
      <c r="L5791" s="755" t="s">
        <v>143</v>
      </c>
      <c r="M5791" s="755"/>
      <c r="N5791" s="755"/>
      <c r="O5791" s="755"/>
      <c r="P5791" s="755"/>
      <c r="Q5791" s="51"/>
      <c r="T5791" s="756" t="str">
        <f ca="1">IF(AND($R5798=0,$T5798=0),"0.00","mu :" &amp; ROUND($F5791/$C$2/($R5798+$T5798*$D$9),2))</f>
        <v>mu :1.23</v>
      </c>
      <c r="W5791" s="524"/>
      <c r="AG5791" s="481">
        <f ca="1">IF($E5791=0,0,ROUND($R5798*$S$2*$C$2/$A5791,2))</f>
        <v>7.75</v>
      </c>
      <c r="AH5791" s="481">
        <f ca="1">$AG5791*$A5791</f>
        <v>155</v>
      </c>
      <c r="AI5791" s="525">
        <f ca="1">$E5791-$AG5791</f>
        <v>9.120000000000001</v>
      </c>
      <c r="AJ5791" s="525">
        <f ca="1">$A5791*$AI5791</f>
        <v>182.40000000000003</v>
      </c>
      <c r="AK5791" s="526">
        <f ca="1">ROUND(($AG5791+$AI5791)*$A5791,2)</f>
        <v>337.4</v>
      </c>
      <c r="AM5791" s="527">
        <f ca="1">ROUND(R5798,2)</f>
        <v>125.8</v>
      </c>
      <c r="AN5791" s="528">
        <f ca="1">ROUND(T5798,2)</f>
        <v>5.4</v>
      </c>
      <c r="AO5791" s="529">
        <f ca="1">ROUND(AM5791+AN5791,2)*A5791</f>
        <v>2624</v>
      </c>
      <c r="AR5791" s="747">
        <v>20</v>
      </c>
      <c r="AS5791" s="751">
        <v>357.8</v>
      </c>
    </row>
    <row r="5792" spans="1:45" s="520" customFormat="1" ht="13.2">
      <c r="A5792" s="748"/>
      <c r="B5792" s="535"/>
      <c r="C5792" s="748"/>
      <c r="D5792" s="749" t="s">
        <v>912</v>
      </c>
      <c r="F5792" s="753"/>
      <c r="G5792" s="3"/>
      <c r="H5792" s="753"/>
      <c r="I5792" s="754"/>
      <c r="J5792" s="753"/>
      <c r="K5792" s="753" t="s">
        <v>144</v>
      </c>
      <c r="L5792" s="753"/>
      <c r="M5792" s="753"/>
      <c r="N5792" s="753"/>
      <c r="O5792" s="753"/>
      <c r="P5792" s="753"/>
      <c r="Q5792" s="51"/>
      <c r="R5792" s="530"/>
      <c r="S5792" s="757"/>
      <c r="T5792" s="753"/>
      <c r="AR5792" s="748"/>
      <c r="AS5792" s="753"/>
    </row>
    <row r="5793" spans="1:45" s="886" customFormat="1" ht="13.2">
      <c r="A5793" s="535"/>
      <c r="B5793" s="910"/>
      <c r="C5793" s="910" t="s">
        <v>2597</v>
      </c>
      <c r="D5793" s="910" t="str">
        <f ca="1">CELL("Address",Elec_Rates!D$785)</f>
        <v>[E25_0062_Quintano_Foods_Elec_ELV_As_Awarded.xlsx]Elec_Rates!$D$785</v>
      </c>
      <c r="E5793" s="911"/>
      <c r="F5793" s="911"/>
      <c r="G5793" s="912" t="s">
        <v>2598</v>
      </c>
      <c r="H5793" s="912"/>
      <c r="I5793" s="912"/>
      <c r="J5793" s="912"/>
      <c r="K5793" s="913"/>
      <c r="L5793" s="911"/>
      <c r="M5793" s="911"/>
      <c r="N5793" s="911"/>
      <c r="O5793" s="914"/>
      <c r="P5793" s="911"/>
      <c r="Q5793" s="915"/>
      <c r="R5793" s="916"/>
      <c r="S5793" s="915"/>
      <c r="T5793" s="917"/>
      <c r="U5793" s="918"/>
      <c r="AR5793" s="535"/>
      <c r="AS5793" s="911"/>
    </row>
    <row r="5794" spans="1:45" s="886" customFormat="1" ht="11.4">
      <c r="A5794" s="919">
        <v>20</v>
      </c>
      <c r="B5794" s="920">
        <v>1</v>
      </c>
      <c r="C5794" s="920">
        <f>$A5794*$B5794</f>
        <v>20</v>
      </c>
      <c r="D5794" s="921" t="str">
        <f>Elec_Rates!$D$785</f>
        <v>075# 100mm cable Tray</v>
      </c>
      <c r="E5794" s="921"/>
      <c r="F5794" s="921" t="s">
        <v>2599</v>
      </c>
      <c r="G5794" s="922" t="s">
        <v>2601</v>
      </c>
      <c r="H5794" s="922"/>
      <c r="I5794" s="922"/>
      <c r="J5794" s="922"/>
      <c r="K5794" s="923"/>
      <c r="L5794" s="918"/>
      <c r="M5794" s="918"/>
      <c r="N5794" s="918"/>
      <c r="O5794" s="924"/>
      <c r="P5794" s="921"/>
      <c r="Q5794" s="925">
        <f ca="1">$B5794*Elec_Rates!$R$785</f>
        <v>3.92</v>
      </c>
      <c r="R5794" s="916">
        <f ca="1">$A5794*Q5794</f>
        <v>78.400000000000006</v>
      </c>
      <c r="S5794" s="925">
        <f ca="1">$B5794*Elec_Rates!$T$785</f>
        <v>0.18</v>
      </c>
      <c r="T5794" s="917">
        <f ca="1">$A5794*S5794</f>
        <v>3.5999999999999996</v>
      </c>
      <c r="U5794" s="926"/>
      <c r="AR5794" s="919">
        <v>20</v>
      </c>
      <c r="AS5794" s="921" t="s">
        <v>2599</v>
      </c>
    </row>
    <row r="5795" spans="1:45" s="886" customFormat="1" ht="13.2">
      <c r="A5795" s="535"/>
      <c r="B5795" s="910"/>
      <c r="C5795" s="910" t="s">
        <v>2597</v>
      </c>
      <c r="D5795" s="910" t="str">
        <f ca="1">CELL("Address",Elec_Rates!D$907)</f>
        <v>[E25_0062_Quintano_Foods_Elec_ELV_As_Awarded.xlsx]Elec_Rates!$D$907</v>
      </c>
      <c r="E5795" s="911"/>
      <c r="F5795" s="911"/>
      <c r="G5795" s="912" t="s">
        <v>2598</v>
      </c>
      <c r="H5795" s="912"/>
      <c r="I5795" s="912"/>
      <c r="J5795" s="912"/>
      <c r="K5795" s="913"/>
      <c r="L5795" s="911"/>
      <c r="M5795" s="911"/>
      <c r="N5795" s="911"/>
      <c r="O5795" s="914"/>
      <c r="P5795" s="911"/>
      <c r="Q5795" s="915"/>
      <c r="R5795" s="916"/>
      <c r="S5795" s="915"/>
      <c r="T5795" s="917"/>
      <c r="U5795" s="918"/>
      <c r="AR5795" s="535"/>
      <c r="AS5795" s="911"/>
    </row>
    <row r="5796" spans="1:45" s="886" customFormat="1" ht="11.4">
      <c r="A5796" s="919">
        <v>20</v>
      </c>
      <c r="B5796" s="920">
        <v>1</v>
      </c>
      <c r="C5796" s="920">
        <f>$A5796*$B5796</f>
        <v>20</v>
      </c>
      <c r="D5796" s="921" t="str">
        <f>Elec_Rates!$D$907</f>
        <v>084# Bracket for 50-150mm cable tray/basket/trunking</v>
      </c>
      <c r="E5796" s="921"/>
      <c r="F5796" s="921" t="s">
        <v>2599</v>
      </c>
      <c r="G5796" s="922" t="s">
        <v>2600</v>
      </c>
      <c r="H5796" s="922"/>
      <c r="I5796" s="922"/>
      <c r="J5796" s="922"/>
      <c r="K5796" s="923"/>
      <c r="L5796" s="918"/>
      <c r="M5796" s="918"/>
      <c r="N5796" s="918"/>
      <c r="O5796" s="924"/>
      <c r="P5796" s="921"/>
      <c r="Q5796" s="925">
        <f ca="1">$B5796*Elec_Rates!$R$907</f>
        <v>2.37</v>
      </c>
      <c r="R5796" s="916">
        <f ca="1">$A5796*Q5796</f>
        <v>47.400000000000006</v>
      </c>
      <c r="S5796" s="925">
        <f ca="1">$B5796*Elec_Rates!$T$907</f>
        <v>0.09</v>
      </c>
      <c r="T5796" s="917">
        <f ca="1">$A5796*S5796</f>
        <v>1.7999999999999998</v>
      </c>
      <c r="U5796" s="926"/>
      <c r="AR5796" s="919">
        <v>20</v>
      </c>
      <c r="AS5796" s="921" t="s">
        <v>2599</v>
      </c>
    </row>
    <row r="5797" spans="1:45" s="520" customFormat="1" ht="12">
      <c r="A5797" s="758"/>
      <c r="B5797" s="758"/>
      <c r="C5797" s="758"/>
      <c r="D5797" s="758"/>
      <c r="E5797" s="758"/>
      <c r="F5797" s="753"/>
      <c r="G5797" s="758"/>
      <c r="H5797" s="758"/>
      <c r="I5797" s="519"/>
      <c r="J5797" s="758"/>
      <c r="K5797" s="758"/>
      <c r="L5797" s="758"/>
      <c r="M5797" s="758"/>
      <c r="N5797" s="758"/>
      <c r="O5797" s="758"/>
      <c r="P5797" s="758"/>
      <c r="Q5797" s="519"/>
      <c r="R5797" s="759">
        <f t="shared" ref="R5797" si="338">$A5797*Q5797</f>
        <v>0</v>
      </c>
      <c r="S5797" s="519"/>
      <c r="T5797" s="760">
        <f t="shared" ref="T5797" si="339">$A5797*S5797*$T$1</f>
        <v>0</v>
      </c>
      <c r="AR5797" s="758"/>
      <c r="AS5797" s="753"/>
    </row>
    <row r="5798" spans="1:45" s="520" customFormat="1" ht="12.6" thickBot="1">
      <c r="A5798" s="761" t="s">
        <v>145</v>
      </c>
      <c r="B5798" s="762">
        <f>(R5797+T5797)</f>
        <v>0</v>
      </c>
      <c r="C5798" s="763"/>
      <c r="D5798" s="763"/>
      <c r="E5798" s="763"/>
      <c r="F5798" s="764"/>
      <c r="G5798" s="763" t="s">
        <v>146</v>
      </c>
      <c r="H5798" s="763"/>
      <c r="I5798" s="765"/>
      <c r="J5798" s="763"/>
      <c r="K5798" s="763" t="s">
        <v>3</v>
      </c>
      <c r="L5798" s="766" t="s">
        <v>143</v>
      </c>
      <c r="M5798" s="766"/>
      <c r="N5798" s="766"/>
      <c r="O5798" s="766"/>
      <c r="P5798" s="766"/>
      <c r="Q5798" s="767"/>
      <c r="R5798" s="768">
        <f ca="1">SUM(R5792:R5797)</f>
        <v>125.80000000000001</v>
      </c>
      <c r="S5798" s="763"/>
      <c r="T5798" s="768">
        <f ca="1">SUM(T5792:T5797)</f>
        <v>5.3999999999999995</v>
      </c>
      <c r="U5798" s="531"/>
      <c r="V5798" s="531"/>
      <c r="W5798" s="531"/>
      <c r="X5798" s="531"/>
      <c r="Y5798" s="531"/>
      <c r="Z5798" s="531"/>
      <c r="AA5798" s="531"/>
      <c r="AB5798" s="531"/>
      <c r="AC5798" s="531"/>
      <c r="AD5798" s="531"/>
      <c r="AE5798" s="531"/>
      <c r="AF5798" s="531"/>
      <c r="AG5798" s="531"/>
      <c r="AH5798" s="531"/>
      <c r="AI5798" s="531"/>
      <c r="AJ5798" s="531"/>
      <c r="AK5798" s="531"/>
      <c r="AL5798" s="531"/>
      <c r="AM5798" s="531"/>
      <c r="AN5798" s="531"/>
      <c r="AO5798" s="531"/>
      <c r="AR5798" s="761" t="s">
        <v>145</v>
      </c>
      <c r="AS5798" s="764"/>
    </row>
    <row r="5799" spans="1:45" s="520" customFormat="1" ht="12" thickTop="1">
      <c r="A5799" s="51"/>
      <c r="B5799" s="41"/>
      <c r="C5799" s="51"/>
      <c r="E5799" s="42" t="s">
        <v>138</v>
      </c>
      <c r="F5799" s="42" t="s">
        <v>139</v>
      </c>
      <c r="G5799" s="51"/>
      <c r="H5799" s="51"/>
      <c r="I5799" s="51"/>
      <c r="J5799" s="51"/>
      <c r="K5799" s="51" t="s">
        <v>140</v>
      </c>
      <c r="L5799" s="51"/>
      <c r="M5799" s="51"/>
      <c r="N5799" s="51"/>
      <c r="O5799" s="52"/>
      <c r="P5799" s="51"/>
      <c r="Q5799" s="51"/>
      <c r="R5799" s="51"/>
      <c r="S5799" s="51"/>
      <c r="T5799" s="41"/>
      <c r="AG5799" s="521" t="s">
        <v>268</v>
      </c>
      <c r="AH5799" s="521" t="s">
        <v>269</v>
      </c>
      <c r="AI5799" s="521" t="s">
        <v>270</v>
      </c>
      <c r="AJ5799" s="521" t="s">
        <v>271</v>
      </c>
      <c r="AK5799" s="521" t="s">
        <v>272</v>
      </c>
      <c r="AM5799" s="745" t="s">
        <v>281</v>
      </c>
      <c r="AN5799" s="746" t="s">
        <v>282</v>
      </c>
      <c r="AO5799" s="522" t="s">
        <v>278</v>
      </c>
      <c r="AR5799" s="51"/>
      <c r="AS5799" s="42" t="s">
        <v>139</v>
      </c>
    </row>
    <row r="5800" spans="1:45" s="520" customFormat="1" ht="12" customHeight="1">
      <c r="A5800" s="747">
        <v>40</v>
      </c>
      <c r="B5800" s="523" t="s">
        <v>320</v>
      </c>
      <c r="C5800" s="748"/>
      <c r="D5800" s="749" t="s">
        <v>1943</v>
      </c>
      <c r="E5800" s="750">
        <f ca="1">IF(AND($A5800=0,$A$1="DIF"),0, ROUND(ROUND(($R5807*$S$2+($T5807*$T$2))/A5800,2)*$C$2,2))</f>
        <v>21.6</v>
      </c>
      <c r="F5800" s="751">
        <f ca="1">ROUND($A5800*$E5800,2)</f>
        <v>864</v>
      </c>
      <c r="G5800" s="752" t="s">
        <v>142</v>
      </c>
      <c r="H5800" s="753"/>
      <c r="I5800" s="754"/>
      <c r="J5800" s="753"/>
      <c r="K5800" s="753" t="s">
        <v>3</v>
      </c>
      <c r="L5800" s="755" t="s">
        <v>143</v>
      </c>
      <c r="M5800" s="755"/>
      <c r="N5800" s="755"/>
      <c r="O5800" s="755"/>
      <c r="P5800" s="755"/>
      <c r="Q5800" s="51"/>
      <c r="T5800" s="756" t="str">
        <f ca="1">IF(AND($R5807=0,$T5807=0),"0.00","mu :" &amp; ROUND($F5800/$C$2/($R5807+$T5807*$D$9),2))</f>
        <v>mu :1.23</v>
      </c>
      <c r="W5800" s="524"/>
      <c r="AG5800" s="481">
        <f ca="1">IF($E5800=0,0,ROUND($R5807*$S$2*$C$2/$A5800,2))</f>
        <v>9.43</v>
      </c>
      <c r="AH5800" s="481">
        <f ca="1">$AG5800*$A5800</f>
        <v>377.2</v>
      </c>
      <c r="AI5800" s="525">
        <f ca="1">$E5800-$AG5800</f>
        <v>12.170000000000002</v>
      </c>
      <c r="AJ5800" s="525">
        <f ca="1">$A5800*$AI5800</f>
        <v>486.80000000000007</v>
      </c>
      <c r="AK5800" s="526">
        <f ca="1">ROUND(($AG5800+$AI5800)*$A5800,2)</f>
        <v>864</v>
      </c>
      <c r="AM5800" s="527">
        <f ca="1">ROUND(R5807,2)</f>
        <v>306.39999999999998</v>
      </c>
      <c r="AN5800" s="528">
        <f ca="1">ROUND(T5807,2)</f>
        <v>14.4</v>
      </c>
      <c r="AO5800" s="529">
        <f ca="1">ROUND(AM5800+AN5800,2)*A5800</f>
        <v>12832</v>
      </c>
      <c r="AR5800" s="747">
        <v>40</v>
      </c>
      <c r="AS5800" s="751">
        <v>918.4</v>
      </c>
    </row>
    <row r="5801" spans="1:45" s="520" customFormat="1" ht="13.2">
      <c r="A5801" s="748"/>
      <c r="B5801" s="535"/>
      <c r="C5801" s="748"/>
      <c r="D5801" s="749" t="s">
        <v>913</v>
      </c>
      <c r="F5801" s="753"/>
      <c r="G5801" s="3"/>
      <c r="H5801" s="753"/>
      <c r="I5801" s="754"/>
      <c r="J5801" s="753"/>
      <c r="K5801" s="753" t="s">
        <v>144</v>
      </c>
      <c r="L5801" s="753"/>
      <c r="M5801" s="753"/>
      <c r="N5801" s="753"/>
      <c r="O5801" s="753"/>
      <c r="P5801" s="753"/>
      <c r="Q5801" s="51"/>
      <c r="R5801" s="530"/>
      <c r="S5801" s="757"/>
      <c r="T5801" s="753"/>
      <c r="AR5801" s="748"/>
      <c r="AS5801" s="753"/>
    </row>
    <row r="5802" spans="1:45" s="886" customFormat="1" ht="13.2">
      <c r="A5802" s="535"/>
      <c r="B5802" s="910"/>
      <c r="C5802" s="910" t="s">
        <v>2597</v>
      </c>
      <c r="D5802" s="910" t="str">
        <f ca="1">CELL("Address",Elec_Rates!D$774)</f>
        <v>[E25_0062_Quintano_Foods_Elec_ELV_As_Awarded.xlsx]Elec_Rates!$D$774</v>
      </c>
      <c r="E5802" s="911"/>
      <c r="F5802" s="911"/>
      <c r="G5802" s="912" t="s">
        <v>2598</v>
      </c>
      <c r="H5802" s="912"/>
      <c r="I5802" s="912"/>
      <c r="J5802" s="912"/>
      <c r="K5802" s="913"/>
      <c r="L5802" s="911"/>
      <c r="M5802" s="911"/>
      <c r="N5802" s="911"/>
      <c r="O5802" s="914"/>
      <c r="P5802" s="911"/>
      <c r="Q5802" s="915"/>
      <c r="R5802" s="916"/>
      <c r="S5802" s="915"/>
      <c r="T5802" s="917"/>
      <c r="U5802" s="918"/>
      <c r="AR5802" s="535"/>
      <c r="AS5802" s="911"/>
    </row>
    <row r="5803" spans="1:45" s="886" customFormat="1" ht="11.4">
      <c r="A5803" s="919">
        <v>40</v>
      </c>
      <c r="B5803" s="920">
        <v>1</v>
      </c>
      <c r="C5803" s="920">
        <f>$A5803*$B5803</f>
        <v>40</v>
      </c>
      <c r="D5803" s="921" t="str">
        <f>Elec_Rates!$D$774</f>
        <v>074# 200mm cable Tray</v>
      </c>
      <c r="E5803" s="921"/>
      <c r="F5803" s="921" t="s">
        <v>2599</v>
      </c>
      <c r="G5803" s="922" t="s">
        <v>2600</v>
      </c>
      <c r="H5803" s="922"/>
      <c r="I5803" s="922"/>
      <c r="J5803" s="922"/>
      <c r="K5803" s="923"/>
      <c r="L5803" s="918"/>
      <c r="M5803" s="918"/>
      <c r="N5803" s="918"/>
      <c r="O5803" s="924"/>
      <c r="P5803" s="921"/>
      <c r="Q5803" s="925">
        <f ca="1">$B5803*Elec_Rates!$R$774</f>
        <v>5.18</v>
      </c>
      <c r="R5803" s="916">
        <f ca="1">$A5803*Q5803</f>
        <v>207.2</v>
      </c>
      <c r="S5803" s="925">
        <f ca="1">$B5803*Elec_Rates!$T$774</f>
        <v>0.27</v>
      </c>
      <c r="T5803" s="917">
        <f ca="1">$A5803*S5803</f>
        <v>10.8</v>
      </c>
      <c r="U5803" s="926"/>
      <c r="AR5803" s="919">
        <v>40</v>
      </c>
      <c r="AS5803" s="921" t="s">
        <v>2599</v>
      </c>
    </row>
    <row r="5804" spans="1:45" s="886" customFormat="1" ht="13.2">
      <c r="A5804" s="535"/>
      <c r="B5804" s="910"/>
      <c r="C5804" s="910" t="s">
        <v>2597</v>
      </c>
      <c r="D5804" s="910" t="str">
        <f ca="1">CELL("Address",Elec_Rates!D$920)</f>
        <v>[E25_0062_Quintano_Foods_Elec_ELV_As_Awarded.xlsx]Elec_Rates!$D$920</v>
      </c>
      <c r="E5804" s="911"/>
      <c r="F5804" s="911"/>
      <c r="G5804" s="912" t="s">
        <v>2598</v>
      </c>
      <c r="H5804" s="912"/>
      <c r="I5804" s="912"/>
      <c r="J5804" s="912"/>
      <c r="K5804" s="913"/>
      <c r="L5804" s="911"/>
      <c r="M5804" s="911"/>
      <c r="N5804" s="911"/>
      <c r="O5804" s="914"/>
      <c r="P5804" s="911"/>
      <c r="Q5804" s="915"/>
      <c r="R5804" s="916"/>
      <c r="S5804" s="915"/>
      <c r="T5804" s="917"/>
      <c r="U5804" s="918"/>
      <c r="AR5804" s="535"/>
      <c r="AS5804" s="911"/>
    </row>
    <row r="5805" spans="1:45" s="886" customFormat="1" ht="11.4">
      <c r="A5805" s="919">
        <v>40</v>
      </c>
      <c r="B5805" s="920">
        <v>1</v>
      </c>
      <c r="C5805" s="920">
        <f>$A5805*$B5805</f>
        <v>40</v>
      </c>
      <c r="D5805" s="921" t="str">
        <f>Elec_Rates!$D$920</f>
        <v>085# Bracket for 200-300mm cable tray/basket</v>
      </c>
      <c r="E5805" s="921"/>
      <c r="F5805" s="921" t="s">
        <v>2599</v>
      </c>
      <c r="G5805" s="922" t="s">
        <v>2601</v>
      </c>
      <c r="H5805" s="922"/>
      <c r="I5805" s="922"/>
      <c r="J5805" s="922"/>
      <c r="K5805" s="923"/>
      <c r="L5805" s="918"/>
      <c r="M5805" s="918"/>
      <c r="N5805" s="918"/>
      <c r="O5805" s="924"/>
      <c r="P5805" s="921"/>
      <c r="Q5805" s="925">
        <f ca="1">$B5805*Elec_Rates!$R$920</f>
        <v>2.48</v>
      </c>
      <c r="R5805" s="916">
        <f ca="1">$A5805*Q5805</f>
        <v>99.2</v>
      </c>
      <c r="S5805" s="925">
        <f ca="1">$B5805*Elec_Rates!$T$920</f>
        <v>0.09</v>
      </c>
      <c r="T5805" s="917">
        <f ca="1">$A5805*S5805</f>
        <v>3.5999999999999996</v>
      </c>
      <c r="U5805" s="926"/>
      <c r="AR5805" s="919">
        <v>40</v>
      </c>
      <c r="AS5805" s="921" t="s">
        <v>2599</v>
      </c>
    </row>
    <row r="5806" spans="1:45" s="520" customFormat="1" ht="12">
      <c r="A5806" s="758"/>
      <c r="B5806" s="758"/>
      <c r="C5806" s="758"/>
      <c r="D5806" s="758"/>
      <c r="E5806" s="758"/>
      <c r="F5806" s="753"/>
      <c r="G5806" s="758"/>
      <c r="H5806" s="758"/>
      <c r="I5806" s="519"/>
      <c r="J5806" s="758"/>
      <c r="K5806" s="758"/>
      <c r="L5806" s="758"/>
      <c r="M5806" s="758"/>
      <c r="N5806" s="758"/>
      <c r="O5806" s="758"/>
      <c r="P5806" s="758"/>
      <c r="Q5806" s="519"/>
      <c r="R5806" s="759">
        <f t="shared" ref="R5806" si="340">$A5806*Q5806</f>
        <v>0</v>
      </c>
      <c r="S5806" s="519"/>
      <c r="T5806" s="760">
        <f t="shared" ref="T5806" si="341">$A5806*S5806*$T$1</f>
        <v>0</v>
      </c>
      <c r="AR5806" s="758"/>
      <c r="AS5806" s="753"/>
    </row>
    <row r="5807" spans="1:45" s="520" customFormat="1" ht="12.6" thickBot="1">
      <c r="A5807" s="761" t="s">
        <v>145</v>
      </c>
      <c r="B5807" s="762">
        <f>(R5806+T5806)</f>
        <v>0</v>
      </c>
      <c r="C5807" s="763"/>
      <c r="D5807" s="763"/>
      <c r="E5807" s="763"/>
      <c r="F5807" s="764"/>
      <c r="G5807" s="763" t="s">
        <v>146</v>
      </c>
      <c r="H5807" s="763"/>
      <c r="I5807" s="765"/>
      <c r="J5807" s="763"/>
      <c r="K5807" s="763" t="s">
        <v>3</v>
      </c>
      <c r="L5807" s="766" t="s">
        <v>143</v>
      </c>
      <c r="M5807" s="766"/>
      <c r="N5807" s="766"/>
      <c r="O5807" s="766"/>
      <c r="P5807" s="766"/>
      <c r="Q5807" s="767"/>
      <c r="R5807" s="768">
        <f ca="1">SUM(R5801:R5806)</f>
        <v>306.39999999999998</v>
      </c>
      <c r="S5807" s="763"/>
      <c r="T5807" s="768">
        <f ca="1">SUM(T5801:T5806)</f>
        <v>14.4</v>
      </c>
      <c r="U5807" s="531"/>
      <c r="V5807" s="531"/>
      <c r="W5807" s="531"/>
      <c r="X5807" s="531"/>
      <c r="Y5807" s="531"/>
      <c r="Z5807" s="531"/>
      <c r="AA5807" s="531"/>
      <c r="AB5807" s="531"/>
      <c r="AC5807" s="531"/>
      <c r="AD5807" s="531"/>
      <c r="AE5807" s="531"/>
      <c r="AF5807" s="531"/>
      <c r="AG5807" s="531"/>
      <c r="AH5807" s="531"/>
      <c r="AI5807" s="531"/>
      <c r="AJ5807" s="531"/>
      <c r="AK5807" s="531"/>
      <c r="AL5807" s="531"/>
      <c r="AM5807" s="531"/>
      <c r="AN5807" s="531"/>
      <c r="AO5807" s="531"/>
      <c r="AR5807" s="761" t="s">
        <v>145</v>
      </c>
      <c r="AS5807" s="764"/>
    </row>
    <row r="5808" spans="1:45" s="520" customFormat="1" ht="12" thickTop="1">
      <c r="A5808" s="51"/>
      <c r="B5808" s="41"/>
      <c r="C5808" s="51"/>
      <c r="E5808" s="42" t="s">
        <v>138</v>
      </c>
      <c r="F5808" s="42" t="s">
        <v>139</v>
      </c>
      <c r="G5808" s="51"/>
      <c r="H5808" s="51"/>
      <c r="I5808" s="51"/>
      <c r="J5808" s="51"/>
      <c r="K5808" s="51" t="s">
        <v>140</v>
      </c>
      <c r="L5808" s="51"/>
      <c r="M5808" s="51"/>
      <c r="N5808" s="51"/>
      <c r="O5808" s="52"/>
      <c r="P5808" s="51"/>
      <c r="Q5808" s="51"/>
      <c r="R5808" s="51"/>
      <c r="S5808" s="51"/>
      <c r="T5808" s="41"/>
      <c r="AG5808" s="521" t="s">
        <v>268</v>
      </c>
      <c r="AH5808" s="521" t="s">
        <v>269</v>
      </c>
      <c r="AI5808" s="521" t="s">
        <v>270</v>
      </c>
      <c r="AJ5808" s="521" t="s">
        <v>271</v>
      </c>
      <c r="AK5808" s="521" t="s">
        <v>272</v>
      </c>
      <c r="AM5808" s="745" t="s">
        <v>281</v>
      </c>
      <c r="AN5808" s="746" t="s">
        <v>282</v>
      </c>
      <c r="AO5808" s="522" t="s">
        <v>278</v>
      </c>
      <c r="AR5808" s="51"/>
      <c r="AS5808" s="42" t="s">
        <v>139</v>
      </c>
    </row>
    <row r="5809" spans="1:45" s="520" customFormat="1" ht="12" customHeight="1">
      <c r="A5809" s="747">
        <v>35</v>
      </c>
      <c r="B5809" s="523" t="s">
        <v>320</v>
      </c>
      <c r="C5809" s="748"/>
      <c r="D5809" s="749" t="s">
        <v>1944</v>
      </c>
      <c r="E5809" s="750">
        <f ca="1">IF(AND($A5809=0,$A$1="DIF"),0, ROUND(ROUND(($R5816*$S$2+($T5816*$T$2))/A5809,2)*$C$2,2))</f>
        <v>26.03</v>
      </c>
      <c r="F5809" s="751">
        <f ca="1">ROUND($A5809*$E5809,2)</f>
        <v>911.05</v>
      </c>
      <c r="G5809" s="752" t="s">
        <v>142</v>
      </c>
      <c r="H5809" s="753"/>
      <c r="I5809" s="754"/>
      <c r="J5809" s="753"/>
      <c r="K5809" s="753" t="s">
        <v>3</v>
      </c>
      <c r="L5809" s="755" t="s">
        <v>143</v>
      </c>
      <c r="M5809" s="755"/>
      <c r="N5809" s="755"/>
      <c r="O5809" s="755"/>
      <c r="P5809" s="755"/>
      <c r="Q5809" s="51"/>
      <c r="T5809" s="756" t="str">
        <f ca="1">IF(AND($R5816=0,$T5816=0),"0.00","mu :" &amp; ROUND($F5809/$C$2/($R5816+$T5816*$D$9),2))</f>
        <v>mu :1.23</v>
      </c>
      <c r="W5809" s="524"/>
      <c r="AG5809" s="481">
        <f ca="1">IF($E5809=0,0,ROUND($R5816*$S$2*$C$2/$A5809,2))</f>
        <v>12.17</v>
      </c>
      <c r="AH5809" s="481">
        <f ca="1">$AG5809*$A5809</f>
        <v>425.95</v>
      </c>
      <c r="AI5809" s="525">
        <f ca="1">$E5809-$AG5809</f>
        <v>13.860000000000001</v>
      </c>
      <c r="AJ5809" s="525">
        <f ca="1">$A5809*$AI5809</f>
        <v>485.1</v>
      </c>
      <c r="AK5809" s="526">
        <f ca="1">ROUND(($AG5809+$AI5809)*$A5809,2)</f>
        <v>911.05</v>
      </c>
      <c r="AM5809" s="527">
        <f ca="1">ROUND(R5816,2)</f>
        <v>345.8</v>
      </c>
      <c r="AN5809" s="528">
        <f ca="1">ROUND(T5816,2)</f>
        <v>14.35</v>
      </c>
      <c r="AO5809" s="529">
        <f ca="1">ROUND(AM5809+AN5809,2)*A5809</f>
        <v>12605.25</v>
      </c>
      <c r="AR5809" s="747">
        <v>35</v>
      </c>
      <c r="AS5809" s="751">
        <v>958.3</v>
      </c>
    </row>
    <row r="5810" spans="1:45" s="520" customFormat="1" ht="13.2">
      <c r="A5810" s="748"/>
      <c r="B5810" s="535"/>
      <c r="C5810" s="748"/>
      <c r="D5810" s="749" t="s">
        <v>915</v>
      </c>
      <c r="F5810" s="753"/>
      <c r="G5810" s="3"/>
      <c r="H5810" s="753"/>
      <c r="I5810" s="754"/>
      <c r="J5810" s="753"/>
      <c r="K5810" s="753" t="s">
        <v>144</v>
      </c>
      <c r="L5810" s="753"/>
      <c r="M5810" s="753"/>
      <c r="N5810" s="753"/>
      <c r="O5810" s="753"/>
      <c r="P5810" s="753"/>
      <c r="Q5810" s="51"/>
      <c r="R5810" s="530"/>
      <c r="S5810" s="757"/>
      <c r="T5810" s="753"/>
      <c r="AR5810" s="748"/>
      <c r="AS5810" s="753"/>
    </row>
    <row r="5811" spans="1:45" s="886" customFormat="1" ht="13.2">
      <c r="A5811" s="535"/>
      <c r="B5811" s="910"/>
      <c r="C5811" s="910" t="s">
        <v>2597</v>
      </c>
      <c r="D5811" s="910" t="str">
        <f ca="1">CELL("Address",Elec_Rates!D$762)</f>
        <v>[E25_0062_Quintano_Foods_Elec_ELV_As_Awarded.xlsx]Elec_Rates!$D$762</v>
      </c>
      <c r="E5811" s="911"/>
      <c r="F5811" s="911"/>
      <c r="G5811" s="912" t="s">
        <v>2598</v>
      </c>
      <c r="H5811" s="912"/>
      <c r="I5811" s="912"/>
      <c r="J5811" s="912"/>
      <c r="K5811" s="913"/>
      <c r="L5811" s="911"/>
      <c r="M5811" s="911"/>
      <c r="N5811" s="911"/>
      <c r="O5811" s="914"/>
      <c r="P5811" s="911"/>
      <c r="Q5811" s="915"/>
      <c r="R5811" s="916"/>
      <c r="S5811" s="915"/>
      <c r="T5811" s="917"/>
      <c r="U5811" s="918"/>
      <c r="AR5811" s="535"/>
      <c r="AS5811" s="911"/>
    </row>
    <row r="5812" spans="1:45" s="886" customFormat="1" ht="11.4">
      <c r="A5812" s="919">
        <v>35</v>
      </c>
      <c r="B5812" s="920">
        <v>1</v>
      </c>
      <c r="C5812" s="920">
        <f>$A5812*$B5812</f>
        <v>35</v>
      </c>
      <c r="D5812" s="921" t="str">
        <f>Elec_Rates!$D$762</f>
        <v>073# 300mm cable Tray</v>
      </c>
      <c r="E5812" s="921"/>
      <c r="F5812" s="921" t="s">
        <v>2599</v>
      </c>
      <c r="G5812" s="922" t="s">
        <v>2600</v>
      </c>
      <c r="H5812" s="922"/>
      <c r="I5812" s="922"/>
      <c r="J5812" s="922"/>
      <c r="K5812" s="923"/>
      <c r="L5812" s="918"/>
      <c r="M5812" s="918"/>
      <c r="N5812" s="918"/>
      <c r="O5812" s="924"/>
      <c r="P5812" s="921"/>
      <c r="Q5812" s="925">
        <f ca="1">$B5812*Elec_Rates!$R$762</f>
        <v>7.4</v>
      </c>
      <c r="R5812" s="916">
        <f ca="1">$A5812*Q5812</f>
        <v>259</v>
      </c>
      <c r="S5812" s="925">
        <f ca="1">$B5812*Elec_Rates!$T$762</f>
        <v>0.32</v>
      </c>
      <c r="T5812" s="917">
        <f ca="1">$A5812*S5812</f>
        <v>11.200000000000001</v>
      </c>
      <c r="U5812" s="926"/>
      <c r="AR5812" s="919">
        <v>35</v>
      </c>
      <c r="AS5812" s="921" t="s">
        <v>2599</v>
      </c>
    </row>
    <row r="5813" spans="1:45" s="886" customFormat="1" ht="13.2">
      <c r="A5813" s="535"/>
      <c r="B5813" s="910"/>
      <c r="C5813" s="910" t="s">
        <v>2597</v>
      </c>
      <c r="D5813" s="910" t="str">
        <f ca="1">CELL("Address",Elec_Rates!D$920)</f>
        <v>[E25_0062_Quintano_Foods_Elec_ELV_As_Awarded.xlsx]Elec_Rates!$D$920</v>
      </c>
      <c r="E5813" s="911"/>
      <c r="F5813" s="911"/>
      <c r="G5813" s="912" t="s">
        <v>2598</v>
      </c>
      <c r="H5813" s="912"/>
      <c r="I5813" s="912"/>
      <c r="J5813" s="912"/>
      <c r="K5813" s="913"/>
      <c r="L5813" s="911"/>
      <c r="M5813" s="911"/>
      <c r="N5813" s="911"/>
      <c r="O5813" s="914"/>
      <c r="P5813" s="911"/>
      <c r="Q5813" s="915"/>
      <c r="R5813" s="916"/>
      <c r="S5813" s="915"/>
      <c r="T5813" s="917"/>
      <c r="U5813" s="918"/>
      <c r="AR5813" s="535"/>
      <c r="AS5813" s="911"/>
    </row>
    <row r="5814" spans="1:45" s="886" customFormat="1" ht="11.4">
      <c r="A5814" s="919">
        <v>35</v>
      </c>
      <c r="B5814" s="920">
        <v>1</v>
      </c>
      <c r="C5814" s="920">
        <f>$A5814*$B5814</f>
        <v>35</v>
      </c>
      <c r="D5814" s="921" t="str">
        <f>Elec_Rates!$D$920</f>
        <v>085# Bracket for 200-300mm cable tray/basket</v>
      </c>
      <c r="E5814" s="921"/>
      <c r="F5814" s="921" t="s">
        <v>2599</v>
      </c>
      <c r="G5814" s="922" t="s">
        <v>2601</v>
      </c>
      <c r="H5814" s="922"/>
      <c r="I5814" s="922"/>
      <c r="J5814" s="922"/>
      <c r="K5814" s="923"/>
      <c r="L5814" s="918"/>
      <c r="M5814" s="918"/>
      <c r="N5814" s="918"/>
      <c r="O5814" s="924"/>
      <c r="P5814" s="921"/>
      <c r="Q5814" s="925">
        <f ca="1">$B5814*Elec_Rates!$R$920</f>
        <v>2.48</v>
      </c>
      <c r="R5814" s="916">
        <f ca="1">$A5814*Q5814</f>
        <v>86.8</v>
      </c>
      <c r="S5814" s="925">
        <f ca="1">$B5814*Elec_Rates!$T$920</f>
        <v>0.09</v>
      </c>
      <c r="T5814" s="917">
        <f ca="1">$A5814*S5814</f>
        <v>3.15</v>
      </c>
      <c r="U5814" s="926"/>
      <c r="AR5814" s="919">
        <v>35</v>
      </c>
      <c r="AS5814" s="921" t="s">
        <v>2599</v>
      </c>
    </row>
    <row r="5815" spans="1:45" s="520" customFormat="1" ht="12">
      <c r="A5815" s="758"/>
      <c r="B5815" s="758"/>
      <c r="C5815" s="758"/>
      <c r="D5815" s="758"/>
      <c r="E5815" s="758"/>
      <c r="F5815" s="753"/>
      <c r="G5815" s="758"/>
      <c r="H5815" s="758"/>
      <c r="I5815" s="519"/>
      <c r="J5815" s="758"/>
      <c r="K5815" s="758"/>
      <c r="L5815" s="758"/>
      <c r="M5815" s="758"/>
      <c r="N5815" s="758"/>
      <c r="O5815" s="758"/>
      <c r="P5815" s="758"/>
      <c r="Q5815" s="519"/>
      <c r="R5815" s="759">
        <f t="shared" ref="R5815" si="342">$A5815*Q5815</f>
        <v>0</v>
      </c>
      <c r="S5815" s="519"/>
      <c r="T5815" s="760">
        <f t="shared" ref="T5815" si="343">$A5815*S5815*$T$1</f>
        <v>0</v>
      </c>
      <c r="AR5815" s="758"/>
      <c r="AS5815" s="753"/>
    </row>
    <row r="5816" spans="1:45" s="520" customFormat="1" ht="12.6" thickBot="1">
      <c r="A5816" s="761" t="s">
        <v>145</v>
      </c>
      <c r="B5816" s="762">
        <f>(R5815+T5815)</f>
        <v>0</v>
      </c>
      <c r="C5816" s="763"/>
      <c r="D5816" s="763"/>
      <c r="E5816" s="763"/>
      <c r="F5816" s="764"/>
      <c r="G5816" s="763" t="s">
        <v>146</v>
      </c>
      <c r="H5816" s="763"/>
      <c r="I5816" s="765"/>
      <c r="J5816" s="763"/>
      <c r="K5816" s="763" t="s">
        <v>3</v>
      </c>
      <c r="L5816" s="766" t="s">
        <v>143</v>
      </c>
      <c r="M5816" s="766"/>
      <c r="N5816" s="766"/>
      <c r="O5816" s="766"/>
      <c r="P5816" s="766"/>
      <c r="Q5816" s="767"/>
      <c r="R5816" s="768">
        <f ca="1">SUM(R5810:R5815)</f>
        <v>345.8</v>
      </c>
      <c r="S5816" s="763"/>
      <c r="T5816" s="768">
        <f ca="1">SUM(T5810:T5815)</f>
        <v>14.350000000000001</v>
      </c>
      <c r="U5816" s="531"/>
      <c r="V5816" s="531"/>
      <c r="W5816" s="531"/>
      <c r="X5816" s="531"/>
      <c r="Y5816" s="531"/>
      <c r="Z5816" s="531"/>
      <c r="AA5816" s="531"/>
      <c r="AB5816" s="531"/>
      <c r="AC5816" s="531"/>
      <c r="AD5816" s="531"/>
      <c r="AE5816" s="531"/>
      <c r="AF5816" s="531"/>
      <c r="AG5816" s="531"/>
      <c r="AH5816" s="531"/>
      <c r="AI5816" s="531"/>
      <c r="AJ5816" s="531"/>
      <c r="AK5816" s="531"/>
      <c r="AL5816" s="531"/>
      <c r="AM5816" s="531"/>
      <c r="AN5816" s="531"/>
      <c r="AO5816" s="531"/>
      <c r="AR5816" s="761" t="s">
        <v>145</v>
      </c>
      <c r="AS5816" s="764"/>
    </row>
    <row r="5817" spans="1:45" s="520" customFormat="1" thickTop="1">
      <c r="A5817" s="51"/>
      <c r="B5817" s="51"/>
      <c r="C5817" s="3"/>
      <c r="D5817" s="3"/>
      <c r="E5817" s="51"/>
      <c r="F5817" s="51"/>
      <c r="G5817" s="51"/>
      <c r="H5817" s="51"/>
      <c r="I5817" s="51"/>
      <c r="J5817" s="51"/>
      <c r="K5817" s="51" t="s">
        <v>134</v>
      </c>
      <c r="L5817" s="51"/>
      <c r="M5817" s="51"/>
      <c r="N5817" s="51"/>
      <c r="O5817" s="52"/>
      <c r="P5817" s="51"/>
      <c r="Q5817" s="51"/>
      <c r="R5817" s="51"/>
      <c r="S5817" s="51"/>
      <c r="T5817" s="51"/>
      <c r="AR5817" s="51"/>
      <c r="AS5817" s="51"/>
    </row>
    <row r="5818" spans="1:45" s="520" customFormat="1" ht="12">
      <c r="A5818" s="51"/>
      <c r="B5818" s="51"/>
      <c r="C5818" s="51" t="s">
        <v>135</v>
      </c>
      <c r="D5818" s="37"/>
      <c r="E5818" s="51"/>
      <c r="F5818" s="51"/>
      <c r="G5818" s="51"/>
      <c r="H5818" s="51"/>
      <c r="I5818" s="51"/>
      <c r="J5818" s="51"/>
      <c r="K5818" s="51"/>
      <c r="L5818" s="51"/>
      <c r="M5818" s="51"/>
      <c r="N5818" s="51"/>
      <c r="O5818" s="52"/>
      <c r="P5818" s="51"/>
      <c r="Q5818" s="51"/>
      <c r="R5818" s="51"/>
      <c r="S5818" s="51"/>
      <c r="T5818" s="51"/>
      <c r="AR5818" s="51"/>
      <c r="AS5818" s="51"/>
    </row>
    <row r="5819" spans="1:45" s="520" customFormat="1" ht="12">
      <c r="A5819" s="51"/>
      <c r="B5819" s="51"/>
      <c r="C5819" s="51"/>
      <c r="D5819" s="37" t="s">
        <v>918</v>
      </c>
      <c r="E5819" s="51"/>
      <c r="F5819" s="51"/>
      <c r="G5819" s="51"/>
      <c r="H5819" s="51"/>
      <c r="I5819" s="51"/>
      <c r="J5819" s="51"/>
      <c r="K5819" s="51"/>
      <c r="L5819" s="51"/>
      <c r="M5819" s="51"/>
      <c r="N5819" s="51"/>
      <c r="O5819" s="52"/>
      <c r="P5819" s="51"/>
      <c r="Q5819" s="51"/>
      <c r="R5819" s="51"/>
      <c r="S5819" s="38"/>
      <c r="T5819" s="38"/>
      <c r="AR5819" s="51"/>
      <c r="AS5819" s="51"/>
    </row>
    <row r="5820" spans="1:45" s="3" customFormat="1" thickBot="1">
      <c r="A5820" s="531"/>
      <c r="O5820" s="107"/>
      <c r="AR5820" s="531"/>
    </row>
    <row r="5821" spans="1:45" s="520" customFormat="1" ht="12" thickTop="1">
      <c r="A5821" s="51"/>
      <c r="B5821" s="41"/>
      <c r="C5821" s="51"/>
      <c r="E5821" s="42" t="s">
        <v>138</v>
      </c>
      <c r="F5821" s="42" t="s">
        <v>139</v>
      </c>
      <c r="G5821" s="51"/>
      <c r="H5821" s="51"/>
      <c r="I5821" s="51"/>
      <c r="J5821" s="51"/>
      <c r="K5821" s="51" t="s">
        <v>140</v>
      </c>
      <c r="L5821" s="51"/>
      <c r="M5821" s="51"/>
      <c r="N5821" s="51"/>
      <c r="O5821" s="52"/>
      <c r="P5821" s="51"/>
      <c r="Q5821" s="51"/>
      <c r="R5821" s="51"/>
      <c r="S5821" s="51"/>
      <c r="T5821" s="41"/>
      <c r="AG5821" s="521" t="s">
        <v>268</v>
      </c>
      <c r="AH5821" s="521" t="s">
        <v>269</v>
      </c>
      <c r="AI5821" s="521" t="s">
        <v>270</v>
      </c>
      <c r="AJ5821" s="521" t="s">
        <v>271</v>
      </c>
      <c r="AK5821" s="521" t="s">
        <v>272</v>
      </c>
      <c r="AM5821" s="745" t="s">
        <v>281</v>
      </c>
      <c r="AN5821" s="746" t="s">
        <v>282</v>
      </c>
      <c r="AO5821" s="522" t="s">
        <v>278</v>
      </c>
      <c r="AR5821" s="51"/>
      <c r="AS5821" s="42" t="s">
        <v>139</v>
      </c>
    </row>
    <row r="5822" spans="1:45" s="520" customFormat="1" ht="12" customHeight="1">
      <c r="A5822" s="747">
        <v>65</v>
      </c>
      <c r="B5822" s="523" t="s">
        <v>320</v>
      </c>
      <c r="C5822" s="748"/>
      <c r="D5822" s="749" t="s">
        <v>1945</v>
      </c>
      <c r="E5822" s="750">
        <f ca="1">IF(AND($A5822=0,$A$1="DIF"),0, ROUND(ROUND(($R5829*$S$2+($T5829*$T$2))/A5822,2)*$C$2,2))</f>
        <v>0</v>
      </c>
      <c r="F5822" s="751">
        <f ca="1">ROUND($A5822*$E5822,2)</f>
        <v>0</v>
      </c>
      <c r="G5822" s="752" t="s">
        <v>142</v>
      </c>
      <c r="H5822" s="753"/>
      <c r="I5822" s="754"/>
      <c r="J5822" s="753"/>
      <c r="K5822" s="753" t="s">
        <v>3</v>
      </c>
      <c r="L5822" s="755" t="s">
        <v>143</v>
      </c>
      <c r="M5822" s="755"/>
      <c r="N5822" s="755"/>
      <c r="O5822" s="755"/>
      <c r="P5822" s="755"/>
      <c r="Q5822" s="1178" t="s">
        <v>3848</v>
      </c>
      <c r="T5822" s="756" t="str">
        <f ca="1">IF(AND($R5829=0,$T5829=0),"0.00","mu :" &amp; ROUND($F5822/$C$2/($R5829+$T5829*$D$9),2))</f>
        <v>0.00</v>
      </c>
      <c r="W5822" s="524"/>
      <c r="AG5822" s="481">
        <f ca="1">IF($E5822=0,0,ROUND($R5829*$S$2*$C$2/$A5822,2))</f>
        <v>0</v>
      </c>
      <c r="AH5822" s="481">
        <f ca="1">$AG5822*$A5822</f>
        <v>0</v>
      </c>
      <c r="AI5822" s="525">
        <f ca="1">$E5822-$AG5822</f>
        <v>0</v>
      </c>
      <c r="AJ5822" s="525">
        <f ca="1">$A5822*$AI5822</f>
        <v>0</v>
      </c>
      <c r="AK5822" s="526">
        <f ca="1">ROUND(($AG5822+$AI5822)*$A5822,2)</f>
        <v>0</v>
      </c>
      <c r="AM5822" s="527">
        <f ca="1">ROUND(R5829,2)</f>
        <v>0</v>
      </c>
      <c r="AN5822" s="528">
        <f ca="1">ROUND(T5829,2)</f>
        <v>0</v>
      </c>
      <c r="AO5822" s="529">
        <f ca="1">ROUND(AM5822+AN5822,2)*A5822</f>
        <v>0</v>
      </c>
      <c r="AR5822" s="747">
        <v>65</v>
      </c>
      <c r="AS5822" s="751">
        <v>1492.4</v>
      </c>
    </row>
    <row r="5823" spans="1:45" s="520" customFormat="1" ht="13.2">
      <c r="A5823" s="748"/>
      <c r="B5823" s="535"/>
      <c r="C5823" s="748"/>
      <c r="D5823" s="749" t="s">
        <v>913</v>
      </c>
      <c r="F5823" s="753"/>
      <c r="G5823" s="3"/>
      <c r="H5823" s="753"/>
      <c r="I5823" s="754"/>
      <c r="J5823" s="753"/>
      <c r="K5823" s="753" t="s">
        <v>144</v>
      </c>
      <c r="L5823" s="753"/>
      <c r="M5823" s="753"/>
      <c r="N5823" s="753"/>
      <c r="O5823" s="753"/>
      <c r="P5823" s="753"/>
      <c r="Q5823" s="51"/>
      <c r="R5823" s="530"/>
      <c r="S5823" s="757"/>
      <c r="T5823" s="753"/>
      <c r="AR5823" s="748"/>
      <c r="AS5823" s="753"/>
    </row>
    <row r="5824" spans="1:45" s="1336" customFormat="1" ht="13.2">
      <c r="A5824" s="1086"/>
      <c r="B5824" s="1328"/>
      <c r="C5824" s="1328" t="s">
        <v>2597</v>
      </c>
      <c r="D5824" s="1328" t="str">
        <f ca="1">CELL("Address",Elec_Rates!D$774)</f>
        <v>[E25_0062_Quintano_Foods_Elec_ELV_As_Awarded.xlsx]Elec_Rates!$D$774</v>
      </c>
      <c r="E5824" s="1060"/>
      <c r="F5824" s="1060"/>
      <c r="G5824" s="1329" t="s">
        <v>2598</v>
      </c>
      <c r="H5824" s="1329"/>
      <c r="I5824" s="1329"/>
      <c r="J5824" s="1329"/>
      <c r="K5824" s="1330"/>
      <c r="L5824" s="1060"/>
      <c r="M5824" s="1060"/>
      <c r="N5824" s="1060"/>
      <c r="O5824" s="1331"/>
      <c r="P5824" s="1060"/>
      <c r="Q5824" s="1332"/>
      <c r="R5824" s="1333"/>
      <c r="S5824" s="1332"/>
      <c r="T5824" s="1334"/>
      <c r="U5824" s="1335"/>
      <c r="AR5824" s="1086"/>
      <c r="AS5824" s="1060"/>
    </row>
    <row r="5825" spans="1:45" s="1336" customFormat="1" ht="11.4">
      <c r="A5825" s="1337">
        <v>0</v>
      </c>
      <c r="B5825" s="1338">
        <v>1</v>
      </c>
      <c r="C5825" s="1338">
        <f>$A5825*$B5825</f>
        <v>0</v>
      </c>
      <c r="D5825" s="1339" t="str">
        <f>Elec_Rates!$D$774</f>
        <v>074# 200mm cable Tray</v>
      </c>
      <c r="E5825" s="1339"/>
      <c r="F5825" s="1339" t="s">
        <v>2599</v>
      </c>
      <c r="G5825" s="1340" t="s">
        <v>2600</v>
      </c>
      <c r="H5825" s="1340"/>
      <c r="I5825" s="1340"/>
      <c r="J5825" s="1340"/>
      <c r="K5825" s="1341"/>
      <c r="L5825" s="1335"/>
      <c r="M5825" s="1335"/>
      <c r="N5825" s="1335"/>
      <c r="O5825" s="1342"/>
      <c r="P5825" s="1339"/>
      <c r="Q5825" s="1343">
        <f ca="1">$B5825*Elec_Rates!$R$774</f>
        <v>5.18</v>
      </c>
      <c r="R5825" s="1333">
        <f ca="1">$A5825*Q5825</f>
        <v>0</v>
      </c>
      <c r="S5825" s="1343">
        <f ca="1">$B5825*Elec_Rates!$T$774</f>
        <v>0.27</v>
      </c>
      <c r="T5825" s="1334">
        <f ca="1">$A5825*S5825</f>
        <v>0</v>
      </c>
      <c r="U5825" s="1344"/>
      <c r="AR5825" s="1337">
        <v>65</v>
      </c>
      <c r="AS5825" s="1339" t="s">
        <v>2599</v>
      </c>
    </row>
    <row r="5826" spans="1:45" s="1336" customFormat="1" ht="13.2">
      <c r="A5826" s="1086"/>
      <c r="B5826" s="1328"/>
      <c r="C5826" s="1328" t="s">
        <v>2597</v>
      </c>
      <c r="D5826" s="1328" t="str">
        <f ca="1">CELL("Address",Elec_Rates!D$920)</f>
        <v>[E25_0062_Quintano_Foods_Elec_ELV_As_Awarded.xlsx]Elec_Rates!$D$920</v>
      </c>
      <c r="E5826" s="1060"/>
      <c r="F5826" s="1060"/>
      <c r="G5826" s="1329" t="s">
        <v>2598</v>
      </c>
      <c r="H5826" s="1329"/>
      <c r="I5826" s="1329"/>
      <c r="J5826" s="1329"/>
      <c r="K5826" s="1330"/>
      <c r="L5826" s="1060"/>
      <c r="M5826" s="1060"/>
      <c r="N5826" s="1060"/>
      <c r="O5826" s="1331"/>
      <c r="P5826" s="1060"/>
      <c r="Q5826" s="1332"/>
      <c r="R5826" s="1333"/>
      <c r="S5826" s="1332"/>
      <c r="T5826" s="1334"/>
      <c r="U5826" s="1335"/>
      <c r="AR5826" s="1086"/>
      <c r="AS5826" s="1060"/>
    </row>
    <row r="5827" spans="1:45" s="1336" customFormat="1" ht="11.4">
      <c r="A5827" s="1337">
        <v>0</v>
      </c>
      <c r="B5827" s="1338">
        <v>1</v>
      </c>
      <c r="C5827" s="1338">
        <f>$A5827*$B5827</f>
        <v>0</v>
      </c>
      <c r="D5827" s="1339" t="str">
        <f>Elec_Rates!$D$920</f>
        <v>085# Bracket for 200-300mm cable tray/basket</v>
      </c>
      <c r="E5827" s="1339"/>
      <c r="F5827" s="1339" t="s">
        <v>2599</v>
      </c>
      <c r="G5827" s="1340" t="s">
        <v>2601</v>
      </c>
      <c r="H5827" s="1340"/>
      <c r="I5827" s="1340"/>
      <c r="J5827" s="1340"/>
      <c r="K5827" s="1341"/>
      <c r="L5827" s="1335"/>
      <c r="M5827" s="1335"/>
      <c r="N5827" s="1335"/>
      <c r="O5827" s="1342"/>
      <c r="P5827" s="1339"/>
      <c r="Q5827" s="1343">
        <f ca="1">$B5827*Elec_Rates!$R$920</f>
        <v>2.48</v>
      </c>
      <c r="R5827" s="1333">
        <f ca="1">$A5827*Q5827</f>
        <v>0</v>
      </c>
      <c r="S5827" s="1343">
        <f ca="1">$B5827*Elec_Rates!$T$920</f>
        <v>0.09</v>
      </c>
      <c r="T5827" s="1334">
        <f ca="1">$A5827*S5827</f>
        <v>0</v>
      </c>
      <c r="U5827" s="1344"/>
      <c r="AR5827" s="1337">
        <v>65</v>
      </c>
      <c r="AS5827" s="1339" t="s">
        <v>2599</v>
      </c>
    </row>
    <row r="5828" spans="1:45" s="520" customFormat="1" ht="12">
      <c r="A5828" s="758"/>
      <c r="B5828" s="758"/>
      <c r="C5828" s="758"/>
      <c r="D5828" s="758"/>
      <c r="E5828" s="758"/>
      <c r="F5828" s="753"/>
      <c r="G5828" s="758"/>
      <c r="H5828" s="758"/>
      <c r="I5828" s="519"/>
      <c r="J5828" s="758"/>
      <c r="K5828" s="758"/>
      <c r="L5828" s="758"/>
      <c r="M5828" s="758"/>
      <c r="N5828" s="758"/>
      <c r="O5828" s="758"/>
      <c r="P5828" s="758"/>
      <c r="Q5828" s="519"/>
      <c r="R5828" s="759">
        <f t="shared" ref="R5828" si="344">$A5828*Q5828</f>
        <v>0</v>
      </c>
      <c r="S5828" s="519"/>
      <c r="T5828" s="760">
        <f t="shared" ref="T5828" si="345">$A5828*S5828*$T$1</f>
        <v>0</v>
      </c>
      <c r="AR5828" s="758"/>
      <c r="AS5828" s="753"/>
    </row>
    <row r="5829" spans="1:45" s="520" customFormat="1" ht="12.6" thickBot="1">
      <c r="A5829" s="761" t="s">
        <v>145</v>
      </c>
      <c r="B5829" s="762">
        <f>(R5828+T5828)</f>
        <v>0</v>
      </c>
      <c r="C5829" s="763"/>
      <c r="D5829" s="763"/>
      <c r="E5829" s="763"/>
      <c r="F5829" s="764"/>
      <c r="G5829" s="763" t="s">
        <v>146</v>
      </c>
      <c r="H5829" s="763"/>
      <c r="I5829" s="765"/>
      <c r="J5829" s="763"/>
      <c r="K5829" s="763" t="s">
        <v>3</v>
      </c>
      <c r="L5829" s="766" t="s">
        <v>143</v>
      </c>
      <c r="M5829" s="766"/>
      <c r="N5829" s="766"/>
      <c r="O5829" s="766"/>
      <c r="P5829" s="766"/>
      <c r="Q5829" s="767"/>
      <c r="R5829" s="768">
        <f ca="1">SUM(R5823:R5828)</f>
        <v>0</v>
      </c>
      <c r="S5829" s="763"/>
      <c r="T5829" s="768">
        <f ca="1">SUM(T5823:T5828)</f>
        <v>0</v>
      </c>
      <c r="U5829" s="531"/>
      <c r="V5829" s="531"/>
      <c r="W5829" s="531"/>
      <c r="X5829" s="531"/>
      <c r="Y5829" s="531"/>
      <c r="Z5829" s="531"/>
      <c r="AA5829" s="531"/>
      <c r="AB5829" s="531"/>
      <c r="AC5829" s="531"/>
      <c r="AD5829" s="531"/>
      <c r="AE5829" s="531"/>
      <c r="AF5829" s="531"/>
      <c r="AG5829" s="531"/>
      <c r="AH5829" s="531"/>
      <c r="AI5829" s="531"/>
      <c r="AJ5829" s="531"/>
      <c r="AK5829" s="531"/>
      <c r="AL5829" s="531"/>
      <c r="AM5829" s="531"/>
      <c r="AN5829" s="531"/>
      <c r="AO5829" s="531"/>
      <c r="AR5829" s="761" t="s">
        <v>145</v>
      </c>
      <c r="AS5829" s="764"/>
    </row>
    <row r="5830" spans="1:45" s="520" customFormat="1" ht="12" thickTop="1">
      <c r="A5830" s="51"/>
      <c r="B5830" s="41"/>
      <c r="C5830" s="51"/>
      <c r="E5830" s="42" t="s">
        <v>138</v>
      </c>
      <c r="F5830" s="42" t="s">
        <v>139</v>
      </c>
      <c r="G5830" s="51"/>
      <c r="H5830" s="51"/>
      <c r="I5830" s="51"/>
      <c r="J5830" s="51"/>
      <c r="K5830" s="51" t="s">
        <v>140</v>
      </c>
      <c r="L5830" s="51"/>
      <c r="M5830" s="51"/>
      <c r="N5830" s="51"/>
      <c r="O5830" s="52"/>
      <c r="P5830" s="51"/>
      <c r="Q5830" s="51"/>
      <c r="R5830" s="51"/>
      <c r="S5830" s="51"/>
      <c r="T5830" s="41"/>
      <c r="AG5830" s="521" t="s">
        <v>268</v>
      </c>
      <c r="AH5830" s="521" t="s">
        <v>269</v>
      </c>
      <c r="AI5830" s="521" t="s">
        <v>270</v>
      </c>
      <c r="AJ5830" s="521" t="s">
        <v>271</v>
      </c>
      <c r="AK5830" s="521" t="s">
        <v>272</v>
      </c>
      <c r="AM5830" s="745" t="s">
        <v>281</v>
      </c>
      <c r="AN5830" s="746" t="s">
        <v>282</v>
      </c>
      <c r="AO5830" s="522" t="s">
        <v>278</v>
      </c>
      <c r="AR5830" s="51"/>
      <c r="AS5830" s="42" t="s">
        <v>139</v>
      </c>
    </row>
    <row r="5831" spans="1:45" s="520" customFormat="1" ht="12" customHeight="1">
      <c r="A5831" s="747">
        <v>65</v>
      </c>
      <c r="B5831" s="523" t="s">
        <v>320</v>
      </c>
      <c r="C5831" s="748"/>
      <c r="D5831" s="749" t="s">
        <v>1946</v>
      </c>
      <c r="E5831" s="750">
        <f ca="1">IF(AND($A5831=0,$A$1="DIF"),0, ROUND(ROUND(($R5838*$S$2+($T5838*$T$2))/A5831,2)*$C$2,2))</f>
        <v>0</v>
      </c>
      <c r="F5831" s="751">
        <f ca="1">ROUND($A5831*$E5831,2)</f>
        <v>0</v>
      </c>
      <c r="G5831" s="752" t="s">
        <v>142</v>
      </c>
      <c r="H5831" s="753"/>
      <c r="I5831" s="754"/>
      <c r="J5831" s="753"/>
      <c r="K5831" s="753" t="s">
        <v>3</v>
      </c>
      <c r="L5831" s="755" t="s">
        <v>143</v>
      </c>
      <c r="M5831" s="755"/>
      <c r="N5831" s="755"/>
      <c r="O5831" s="755"/>
      <c r="P5831" s="755"/>
      <c r="Q5831" s="1178" t="s">
        <v>3848</v>
      </c>
      <c r="T5831" s="756" t="str">
        <f ca="1">IF(AND($R5838=0,$T5838=0),"0.00","mu :" &amp; ROUND($F5831/$C$2/($R5838+$T5838*$D$9),2))</f>
        <v>0.00</v>
      </c>
      <c r="W5831" s="524"/>
      <c r="AG5831" s="481">
        <f ca="1">IF($E5831=0,0,ROUND($R5838*$S$2*$C$2/$A5831,2))</f>
        <v>0</v>
      </c>
      <c r="AH5831" s="481">
        <f ca="1">$AG5831*$A5831</f>
        <v>0</v>
      </c>
      <c r="AI5831" s="525">
        <f ca="1">$E5831-$AG5831</f>
        <v>0</v>
      </c>
      <c r="AJ5831" s="525">
        <f ca="1">$A5831*$AI5831</f>
        <v>0</v>
      </c>
      <c r="AK5831" s="526">
        <f ca="1">ROUND(($AG5831+$AI5831)*$A5831,2)</f>
        <v>0</v>
      </c>
      <c r="AM5831" s="527">
        <f ca="1">ROUND(R5838,2)</f>
        <v>0</v>
      </c>
      <c r="AN5831" s="528">
        <f ca="1">ROUND(T5838,2)</f>
        <v>0</v>
      </c>
      <c r="AO5831" s="529">
        <f ca="1">ROUND(AM5831+AN5831,2)*A5831</f>
        <v>0</v>
      </c>
      <c r="AR5831" s="747">
        <v>65</v>
      </c>
      <c r="AS5831" s="751">
        <v>3723.85</v>
      </c>
    </row>
    <row r="5832" spans="1:45" s="520" customFormat="1" ht="13.2">
      <c r="A5832" s="748"/>
      <c r="B5832" s="535"/>
      <c r="C5832" s="748"/>
      <c r="D5832" s="749" t="s">
        <v>917</v>
      </c>
      <c r="F5832" s="753"/>
      <c r="G5832" s="3"/>
      <c r="H5832" s="753"/>
      <c r="I5832" s="754"/>
      <c r="J5832" s="753"/>
      <c r="K5832" s="753" t="s">
        <v>144</v>
      </c>
      <c r="L5832" s="753"/>
      <c r="M5832" s="753"/>
      <c r="N5832" s="753"/>
      <c r="O5832" s="753"/>
      <c r="P5832" s="753"/>
      <c r="Q5832" s="51"/>
      <c r="R5832" s="530"/>
      <c r="S5832" s="757"/>
      <c r="T5832" s="753"/>
      <c r="AR5832" s="748"/>
      <c r="AS5832" s="753"/>
    </row>
    <row r="5833" spans="1:45" s="1336" customFormat="1" ht="13.2">
      <c r="A5833" s="1086"/>
      <c r="B5833" s="1328"/>
      <c r="C5833" s="1328" t="s">
        <v>2597</v>
      </c>
      <c r="D5833" s="1328" t="str">
        <f ca="1">CELL("Address",Elec_Rates!D$739)</f>
        <v>[E25_0062_Quintano_Foods_Elec_ELV_As_Awarded.xlsx]Elec_Rates!$D$739</v>
      </c>
      <c r="E5833" s="1060"/>
      <c r="F5833" s="1060"/>
      <c r="G5833" s="1329" t="s">
        <v>2598</v>
      </c>
      <c r="H5833" s="1329"/>
      <c r="I5833" s="1329"/>
      <c r="J5833" s="1329"/>
      <c r="K5833" s="1330"/>
      <c r="L5833" s="1060"/>
      <c r="M5833" s="1060"/>
      <c r="N5833" s="1060"/>
      <c r="O5833" s="1331"/>
      <c r="P5833" s="1060"/>
      <c r="Q5833" s="1332"/>
      <c r="R5833" s="1333"/>
      <c r="S5833" s="1332"/>
      <c r="T5833" s="1334"/>
      <c r="U5833" s="1335"/>
      <c r="AR5833" s="1086"/>
      <c r="AS5833" s="1060"/>
    </row>
    <row r="5834" spans="1:45" s="1336" customFormat="1" ht="11.4">
      <c r="A5834" s="1337">
        <v>0</v>
      </c>
      <c r="B5834" s="1338">
        <v>1</v>
      </c>
      <c r="C5834" s="1338">
        <f>$A5834*$B5834</f>
        <v>0</v>
      </c>
      <c r="D5834" s="1339" t="str">
        <f>Elec_Rates!$D$739</f>
        <v>071# 500mm cable Tray</v>
      </c>
      <c r="E5834" s="1339"/>
      <c r="F5834" s="1339" t="s">
        <v>2599</v>
      </c>
      <c r="G5834" s="1340" t="s">
        <v>2601</v>
      </c>
      <c r="H5834" s="1340"/>
      <c r="I5834" s="1340"/>
      <c r="J5834" s="1340"/>
      <c r="K5834" s="1341"/>
      <c r="L5834" s="1335"/>
      <c r="M5834" s="1335"/>
      <c r="N5834" s="1335"/>
      <c r="O5834" s="1342"/>
      <c r="P5834" s="1339"/>
      <c r="Q5834" s="1343">
        <f ca="1">$B5834*Elec_Rates!$R$739</f>
        <v>13.13</v>
      </c>
      <c r="R5834" s="1333">
        <f ca="1">$A5834*Q5834</f>
        <v>0</v>
      </c>
      <c r="S5834" s="1343">
        <f ca="1">$B5834*Elec_Rates!$T$739</f>
        <v>0.41</v>
      </c>
      <c r="T5834" s="1334">
        <f ca="1">$A5834*S5834</f>
        <v>0</v>
      </c>
      <c r="U5834" s="1344"/>
      <c r="AR5834" s="1337">
        <v>65</v>
      </c>
      <c r="AS5834" s="1339" t="s">
        <v>2599</v>
      </c>
    </row>
    <row r="5835" spans="1:45" s="1336" customFormat="1" ht="13.2">
      <c r="A5835" s="1086"/>
      <c r="B5835" s="1328"/>
      <c r="C5835" s="1328" t="s">
        <v>2597</v>
      </c>
      <c r="D5835" s="1328" t="str">
        <f ca="1">CELL("Address",Elec_Rates!D$933)</f>
        <v>[E25_0062_Quintano_Foods_Elec_ELV_As_Awarded.xlsx]Elec_Rates!$D$933</v>
      </c>
      <c r="E5835" s="1060"/>
      <c r="F5835" s="1060"/>
      <c r="G5835" s="1329" t="s">
        <v>2598</v>
      </c>
      <c r="H5835" s="1329"/>
      <c r="I5835" s="1329"/>
      <c r="J5835" s="1329"/>
      <c r="K5835" s="1330"/>
      <c r="L5835" s="1060"/>
      <c r="M5835" s="1060"/>
      <c r="N5835" s="1060"/>
      <c r="O5835" s="1331"/>
      <c r="P5835" s="1060"/>
      <c r="Q5835" s="1332"/>
      <c r="R5835" s="1333"/>
      <c r="S5835" s="1332"/>
      <c r="T5835" s="1334"/>
      <c r="U5835" s="1335"/>
      <c r="AR5835" s="1086"/>
      <c r="AS5835" s="1060"/>
    </row>
    <row r="5836" spans="1:45" s="1336" customFormat="1" ht="11.4">
      <c r="A5836" s="1337">
        <v>0</v>
      </c>
      <c r="B5836" s="1338">
        <v>1</v>
      </c>
      <c r="C5836" s="1338">
        <f>$A5836*$B5836</f>
        <v>0</v>
      </c>
      <c r="D5836" s="1339" t="str">
        <f>Elec_Rates!$D$933</f>
        <v>086# Bracket for 400-600mm cable tray/basket</v>
      </c>
      <c r="E5836" s="1339"/>
      <c r="F5836" s="1339" t="s">
        <v>2599</v>
      </c>
      <c r="G5836" s="1340" t="s">
        <v>2600</v>
      </c>
      <c r="H5836" s="1340"/>
      <c r="I5836" s="1340"/>
      <c r="J5836" s="1340"/>
      <c r="K5836" s="1341"/>
      <c r="L5836" s="1335"/>
      <c r="M5836" s="1335"/>
      <c r="N5836" s="1335"/>
      <c r="O5836" s="1342"/>
      <c r="P5836" s="1339"/>
      <c r="Q5836" s="1343">
        <f ca="1">$B5836*Elec_Rates!$R$933</f>
        <v>16.37</v>
      </c>
      <c r="R5836" s="1333">
        <f ca="1">$A5836*Q5836</f>
        <v>0</v>
      </c>
      <c r="S5836" s="1343">
        <f ca="1">$B5836*Elec_Rates!$T$933</f>
        <v>0.15</v>
      </c>
      <c r="T5836" s="1334">
        <f ca="1">$A5836*S5836</f>
        <v>0</v>
      </c>
      <c r="U5836" s="1344"/>
      <c r="AR5836" s="1337">
        <v>65</v>
      </c>
      <c r="AS5836" s="1339" t="s">
        <v>2599</v>
      </c>
    </row>
    <row r="5837" spans="1:45" s="520" customFormat="1" ht="12">
      <c r="A5837" s="758"/>
      <c r="B5837" s="758"/>
      <c r="C5837" s="758"/>
      <c r="D5837" s="758"/>
      <c r="E5837" s="758"/>
      <c r="F5837" s="753"/>
      <c r="G5837" s="758"/>
      <c r="H5837" s="758"/>
      <c r="I5837" s="519"/>
      <c r="J5837" s="758"/>
      <c r="K5837" s="758"/>
      <c r="L5837" s="758"/>
      <c r="M5837" s="758"/>
      <c r="N5837" s="758"/>
      <c r="O5837" s="758"/>
      <c r="P5837" s="758"/>
      <c r="Q5837" s="519"/>
      <c r="R5837" s="759">
        <f t="shared" ref="R5837" si="346">$A5837*Q5837</f>
        <v>0</v>
      </c>
      <c r="S5837" s="519"/>
      <c r="T5837" s="760">
        <f t="shared" ref="T5837" si="347">$A5837*S5837*$T$1</f>
        <v>0</v>
      </c>
      <c r="AR5837" s="758"/>
      <c r="AS5837" s="753"/>
    </row>
    <row r="5838" spans="1:45" s="520" customFormat="1" ht="12.6" thickBot="1">
      <c r="A5838" s="761" t="s">
        <v>145</v>
      </c>
      <c r="B5838" s="762">
        <f>(R5837+T5837)</f>
        <v>0</v>
      </c>
      <c r="C5838" s="763"/>
      <c r="D5838" s="763"/>
      <c r="E5838" s="763"/>
      <c r="F5838" s="764"/>
      <c r="G5838" s="763" t="s">
        <v>146</v>
      </c>
      <c r="H5838" s="763"/>
      <c r="I5838" s="765"/>
      <c r="J5838" s="763"/>
      <c r="K5838" s="763" t="s">
        <v>3</v>
      </c>
      <c r="L5838" s="766" t="s">
        <v>143</v>
      </c>
      <c r="M5838" s="766"/>
      <c r="N5838" s="766"/>
      <c r="O5838" s="766"/>
      <c r="P5838" s="766"/>
      <c r="Q5838" s="767"/>
      <c r="R5838" s="768">
        <f ca="1">SUM(R5832:R5837)</f>
        <v>0</v>
      </c>
      <c r="S5838" s="763"/>
      <c r="T5838" s="768">
        <f ca="1">SUM(T5832:T5837)</f>
        <v>0</v>
      </c>
      <c r="U5838" s="531"/>
      <c r="V5838" s="531"/>
      <c r="W5838" s="531"/>
      <c r="X5838" s="531"/>
      <c r="Y5838" s="531"/>
      <c r="Z5838" s="531"/>
      <c r="AA5838" s="531"/>
      <c r="AB5838" s="531"/>
      <c r="AC5838" s="531"/>
      <c r="AD5838" s="531"/>
      <c r="AE5838" s="531"/>
      <c r="AF5838" s="531"/>
      <c r="AG5838" s="531"/>
      <c r="AH5838" s="531"/>
      <c r="AI5838" s="531"/>
      <c r="AJ5838" s="531"/>
      <c r="AK5838" s="531"/>
      <c r="AL5838" s="531"/>
      <c r="AM5838" s="531"/>
      <c r="AN5838" s="531"/>
      <c r="AO5838" s="531"/>
      <c r="AR5838" s="761" t="s">
        <v>145</v>
      </c>
      <c r="AS5838" s="764"/>
    </row>
    <row r="5839" spans="1:45" s="520" customFormat="1" thickTop="1">
      <c r="A5839" s="51"/>
      <c r="B5839" s="51"/>
      <c r="C5839" s="3"/>
      <c r="D5839" s="3"/>
      <c r="E5839" s="51"/>
      <c r="F5839" s="51"/>
      <c r="G5839" s="51"/>
      <c r="H5839" s="51"/>
      <c r="I5839" s="51"/>
      <c r="J5839" s="51"/>
      <c r="K5839" s="51" t="s">
        <v>134</v>
      </c>
      <c r="L5839" s="51"/>
      <c r="M5839" s="51"/>
      <c r="N5839" s="51"/>
      <c r="O5839" s="52"/>
      <c r="P5839" s="51"/>
      <c r="Q5839" s="51"/>
      <c r="R5839" s="51"/>
      <c r="S5839" s="51"/>
      <c r="T5839" s="51"/>
      <c r="AR5839" s="51"/>
      <c r="AS5839" s="51"/>
    </row>
    <row r="5840" spans="1:45" s="520" customFormat="1" ht="12">
      <c r="A5840" s="51"/>
      <c r="B5840" s="51"/>
      <c r="C5840" s="51" t="s">
        <v>135</v>
      </c>
      <c r="D5840" s="37"/>
      <c r="E5840" s="51"/>
      <c r="F5840" s="51"/>
      <c r="G5840" s="51"/>
      <c r="H5840" s="51"/>
      <c r="I5840" s="51"/>
      <c r="J5840" s="51"/>
      <c r="K5840" s="51"/>
      <c r="L5840" s="51"/>
      <c r="M5840" s="51"/>
      <c r="N5840" s="51"/>
      <c r="O5840" s="52"/>
      <c r="P5840" s="51"/>
      <c r="Q5840" s="51"/>
      <c r="R5840" s="51"/>
      <c r="S5840" s="51"/>
      <c r="T5840" s="51"/>
      <c r="AR5840" s="51"/>
      <c r="AS5840" s="51"/>
    </row>
    <row r="5841" spans="1:45" s="520" customFormat="1" ht="12">
      <c r="A5841" s="51"/>
      <c r="B5841" s="51"/>
      <c r="C5841" s="51"/>
      <c r="D5841" s="37" t="s">
        <v>919</v>
      </c>
      <c r="E5841" s="51"/>
      <c r="F5841" s="51"/>
      <c r="G5841" s="51"/>
      <c r="H5841" s="51"/>
      <c r="I5841" s="51"/>
      <c r="J5841" s="51"/>
      <c r="K5841" s="51"/>
      <c r="L5841" s="51"/>
      <c r="M5841" s="51"/>
      <c r="N5841" s="51"/>
      <c r="O5841" s="52"/>
      <c r="P5841" s="51"/>
      <c r="Q5841" s="51"/>
      <c r="R5841" s="51"/>
      <c r="S5841" s="38"/>
      <c r="T5841" s="38"/>
      <c r="AR5841" s="51"/>
      <c r="AS5841" s="51"/>
    </row>
    <row r="5842" spans="1:45" s="3" customFormat="1" thickBot="1">
      <c r="A5842" s="531"/>
      <c r="O5842" s="107"/>
      <c r="AR5842" s="531"/>
    </row>
    <row r="5843" spans="1:45" s="520" customFormat="1" ht="12" thickTop="1">
      <c r="A5843" s="51"/>
      <c r="B5843" s="41"/>
      <c r="C5843" s="51"/>
      <c r="E5843" s="42" t="s">
        <v>138</v>
      </c>
      <c r="F5843" s="42" t="s">
        <v>139</v>
      </c>
      <c r="G5843" s="51"/>
      <c r="H5843" s="51"/>
      <c r="I5843" s="51"/>
      <c r="J5843" s="51"/>
      <c r="K5843" s="51" t="s">
        <v>140</v>
      </c>
      <c r="L5843" s="51"/>
      <c r="M5843" s="51"/>
      <c r="N5843" s="51"/>
      <c r="O5843" s="52"/>
      <c r="P5843" s="51"/>
      <c r="Q5843" s="51"/>
      <c r="R5843" s="51"/>
      <c r="S5843" s="51"/>
      <c r="T5843" s="41"/>
      <c r="AG5843" s="521" t="s">
        <v>268</v>
      </c>
      <c r="AH5843" s="521" t="s">
        <v>269</v>
      </c>
      <c r="AI5843" s="521" t="s">
        <v>270</v>
      </c>
      <c r="AJ5843" s="521" t="s">
        <v>271</v>
      </c>
      <c r="AK5843" s="521" t="s">
        <v>272</v>
      </c>
      <c r="AM5843" s="745" t="s">
        <v>281</v>
      </c>
      <c r="AN5843" s="746" t="s">
        <v>282</v>
      </c>
      <c r="AO5843" s="522" t="s">
        <v>278</v>
      </c>
      <c r="AR5843" s="51"/>
      <c r="AS5843" s="42" t="s">
        <v>139</v>
      </c>
    </row>
    <row r="5844" spans="1:45" s="520" customFormat="1" ht="12" customHeight="1">
      <c r="A5844" s="747">
        <v>20</v>
      </c>
      <c r="B5844" s="523" t="s">
        <v>320</v>
      </c>
      <c r="C5844" s="748"/>
      <c r="D5844" s="749" t="s">
        <v>1947</v>
      </c>
      <c r="E5844" s="750">
        <f ca="1">IF(AND($A5844=0,$A$1="DIF"),0, ROUND(ROUND(($R5851*$S$2+($T5851*$T$2))/A5844,2)*$C$2,2))</f>
        <v>24.32</v>
      </c>
      <c r="F5844" s="751">
        <f ca="1">ROUND($A5844*$E5844,2)</f>
        <v>486.4</v>
      </c>
      <c r="G5844" s="752" t="s">
        <v>142</v>
      </c>
      <c r="H5844" s="753"/>
      <c r="I5844" s="754"/>
      <c r="J5844" s="753"/>
      <c r="K5844" s="753" t="s">
        <v>3</v>
      </c>
      <c r="L5844" s="755" t="s">
        <v>143</v>
      </c>
      <c r="M5844" s="755"/>
      <c r="N5844" s="755"/>
      <c r="O5844" s="755"/>
      <c r="P5844" s="755"/>
      <c r="Q5844" s="51"/>
      <c r="T5844" s="756" t="str">
        <f ca="1">IF(AND($R5851=0,$T5851=0),"0.00","mu :" &amp; ROUND($F5844/$C$2/($R5851+$T5851*$D$9),2))</f>
        <v>mu :1.23</v>
      </c>
      <c r="W5844" s="524"/>
      <c r="AG5844" s="481">
        <f ca="1">IF($E5844=0,0,ROUND($R5851*$S$2*$C$2/$A5844,2))</f>
        <v>11.48</v>
      </c>
      <c r="AH5844" s="481">
        <f ca="1">$AG5844*$A5844</f>
        <v>229.60000000000002</v>
      </c>
      <c r="AI5844" s="525">
        <f ca="1">$E5844-$AG5844</f>
        <v>12.84</v>
      </c>
      <c r="AJ5844" s="525">
        <f ca="1">$A5844*$AI5844</f>
        <v>256.8</v>
      </c>
      <c r="AK5844" s="526">
        <f ca="1">ROUND(($AG5844+$AI5844)*$A5844,2)</f>
        <v>486.4</v>
      </c>
      <c r="AM5844" s="527">
        <f ca="1">ROUND(R5851,2)</f>
        <v>186.4</v>
      </c>
      <c r="AN5844" s="528">
        <f ca="1">ROUND(T5851,2)</f>
        <v>7.6</v>
      </c>
      <c r="AO5844" s="529">
        <f ca="1">ROUND(AM5844+AN5844,2)*A5844</f>
        <v>3880</v>
      </c>
      <c r="AR5844" s="747">
        <v>20</v>
      </c>
      <c r="AS5844" s="751">
        <v>513.6</v>
      </c>
    </row>
    <row r="5845" spans="1:45" s="520" customFormat="1" ht="13.2">
      <c r="A5845" s="748"/>
      <c r="B5845" s="535"/>
      <c r="C5845" s="748"/>
      <c r="D5845" s="749" t="s">
        <v>921</v>
      </c>
      <c r="F5845" s="753"/>
      <c r="G5845" s="3"/>
      <c r="H5845" s="753"/>
      <c r="I5845" s="754"/>
      <c r="J5845" s="753"/>
      <c r="K5845" s="753" t="s">
        <v>144</v>
      </c>
      <c r="L5845" s="753"/>
      <c r="M5845" s="753"/>
      <c r="N5845" s="753"/>
      <c r="O5845" s="753"/>
      <c r="P5845" s="753"/>
      <c r="Q5845" s="51"/>
      <c r="R5845" s="530"/>
      <c r="S5845" s="757"/>
      <c r="T5845" s="753"/>
      <c r="AR5845" s="748"/>
      <c r="AS5845" s="753"/>
    </row>
    <row r="5846" spans="1:45" s="886" customFormat="1" ht="13.2">
      <c r="A5846" s="535"/>
      <c r="B5846" s="910"/>
      <c r="C5846" s="910" t="s">
        <v>2597</v>
      </c>
      <c r="D5846" s="910" t="str">
        <f ca="1">CELL("Address",Elec_Rates!D$822)</f>
        <v>[E25_0062_Quintano_Foods_Elec_ELV_As_Awarded.xlsx]Elec_Rates!$D$822</v>
      </c>
      <c r="E5846" s="911"/>
      <c r="F5846" s="911"/>
      <c r="G5846" s="912" t="s">
        <v>2598</v>
      </c>
      <c r="H5846" s="912"/>
      <c r="I5846" s="912"/>
      <c r="J5846" s="912"/>
      <c r="K5846" s="913"/>
      <c r="L5846" s="911"/>
      <c r="M5846" s="911"/>
      <c r="N5846" s="911"/>
      <c r="O5846" s="914"/>
      <c r="P5846" s="911"/>
      <c r="Q5846" s="915"/>
      <c r="R5846" s="916"/>
      <c r="S5846" s="915"/>
      <c r="T5846" s="917"/>
      <c r="U5846" s="918"/>
      <c r="AR5846" s="535"/>
      <c r="AS5846" s="911"/>
    </row>
    <row r="5847" spans="1:45" s="886" customFormat="1" ht="11.4">
      <c r="A5847" s="919">
        <v>20</v>
      </c>
      <c r="B5847" s="920">
        <v>1</v>
      </c>
      <c r="C5847" s="920">
        <f>$A5847*$B5847</f>
        <v>20</v>
      </c>
      <c r="D5847" s="921" t="str">
        <f>Elec_Rates!$D$822</f>
        <v>078# 75x75mm galvanised steel cable trunking</v>
      </c>
      <c r="E5847" s="921"/>
      <c r="F5847" s="921" t="s">
        <v>2599</v>
      </c>
      <c r="G5847" s="922" t="s">
        <v>2601</v>
      </c>
      <c r="H5847" s="922"/>
      <c r="I5847" s="922"/>
      <c r="J5847" s="922"/>
      <c r="K5847" s="923"/>
      <c r="L5847" s="918"/>
      <c r="M5847" s="918"/>
      <c r="N5847" s="918"/>
      <c r="O5847" s="924"/>
      <c r="P5847" s="921"/>
      <c r="Q5847" s="925">
        <f ca="1">$B5847*Elec_Rates!$R$822</f>
        <v>6.95</v>
      </c>
      <c r="R5847" s="916">
        <f ca="1">$A5847*Q5847</f>
        <v>139</v>
      </c>
      <c r="S5847" s="925">
        <f ca="1">$B5847*Elec_Rates!$T$822</f>
        <v>0.28999999999999998</v>
      </c>
      <c r="T5847" s="917">
        <f ca="1">$A5847*S5847</f>
        <v>5.8</v>
      </c>
      <c r="U5847" s="926"/>
      <c r="AR5847" s="919">
        <v>20</v>
      </c>
      <c r="AS5847" s="921" t="s">
        <v>2599</v>
      </c>
    </row>
    <row r="5848" spans="1:45" s="886" customFormat="1" ht="13.2">
      <c r="A5848" s="535"/>
      <c r="B5848" s="910"/>
      <c r="C5848" s="910" t="s">
        <v>2597</v>
      </c>
      <c r="D5848" s="910" t="str">
        <f ca="1">CELL("Address",Elec_Rates!D$907)</f>
        <v>[E25_0062_Quintano_Foods_Elec_ELV_As_Awarded.xlsx]Elec_Rates!$D$907</v>
      </c>
      <c r="E5848" s="911"/>
      <c r="F5848" s="911"/>
      <c r="G5848" s="912" t="s">
        <v>2598</v>
      </c>
      <c r="H5848" s="912"/>
      <c r="I5848" s="912"/>
      <c r="J5848" s="912"/>
      <c r="K5848" s="913"/>
      <c r="L5848" s="911"/>
      <c r="M5848" s="911"/>
      <c r="N5848" s="911"/>
      <c r="O5848" s="914"/>
      <c r="P5848" s="911"/>
      <c r="Q5848" s="915"/>
      <c r="R5848" s="916"/>
      <c r="S5848" s="915"/>
      <c r="T5848" s="917"/>
      <c r="U5848" s="918"/>
      <c r="AR5848" s="535"/>
      <c r="AS5848" s="911"/>
    </row>
    <row r="5849" spans="1:45" s="886" customFormat="1" ht="11.4">
      <c r="A5849" s="919">
        <v>20</v>
      </c>
      <c r="B5849" s="920">
        <v>1</v>
      </c>
      <c r="C5849" s="920">
        <f>$A5849*$B5849</f>
        <v>20</v>
      </c>
      <c r="D5849" s="921" t="str">
        <f>Elec_Rates!$D$907</f>
        <v>084# Bracket for 50-150mm cable tray/basket/trunking</v>
      </c>
      <c r="E5849" s="921"/>
      <c r="F5849" s="921" t="s">
        <v>2599</v>
      </c>
      <c r="G5849" s="922" t="s">
        <v>2600</v>
      </c>
      <c r="H5849" s="922"/>
      <c r="I5849" s="922"/>
      <c r="J5849" s="922"/>
      <c r="K5849" s="923"/>
      <c r="L5849" s="918"/>
      <c r="M5849" s="918"/>
      <c r="N5849" s="918"/>
      <c r="O5849" s="924"/>
      <c r="P5849" s="921"/>
      <c r="Q5849" s="925">
        <f ca="1">$B5849*Elec_Rates!$R$907</f>
        <v>2.37</v>
      </c>
      <c r="R5849" s="916">
        <f ca="1">$A5849*Q5849</f>
        <v>47.400000000000006</v>
      </c>
      <c r="S5849" s="925">
        <f ca="1">$B5849*Elec_Rates!$T$907</f>
        <v>0.09</v>
      </c>
      <c r="T5849" s="917">
        <f ca="1">$A5849*S5849</f>
        <v>1.7999999999999998</v>
      </c>
      <c r="U5849" s="926"/>
      <c r="AR5849" s="919">
        <v>20</v>
      </c>
      <c r="AS5849" s="921" t="s">
        <v>2599</v>
      </c>
    </row>
    <row r="5850" spans="1:45" s="520" customFormat="1" ht="12">
      <c r="A5850" s="758"/>
      <c r="B5850" s="758"/>
      <c r="C5850" s="758"/>
      <c r="D5850" s="758"/>
      <c r="E5850" s="758"/>
      <c r="F5850" s="753"/>
      <c r="G5850" s="758"/>
      <c r="H5850" s="758"/>
      <c r="I5850" s="519"/>
      <c r="J5850" s="758"/>
      <c r="K5850" s="758"/>
      <c r="L5850" s="758"/>
      <c r="M5850" s="758"/>
      <c r="N5850" s="758"/>
      <c r="O5850" s="758"/>
      <c r="P5850" s="758"/>
      <c r="Q5850" s="519"/>
      <c r="R5850" s="759">
        <f t="shared" ref="R5850" si="348">$A5850*Q5850</f>
        <v>0</v>
      </c>
      <c r="S5850" s="519"/>
      <c r="T5850" s="760">
        <f t="shared" ref="T5850" si="349">$A5850*S5850*$T$1</f>
        <v>0</v>
      </c>
      <c r="AR5850" s="758"/>
      <c r="AS5850" s="753"/>
    </row>
    <row r="5851" spans="1:45" s="520" customFormat="1" ht="12.6" thickBot="1">
      <c r="A5851" s="761" t="s">
        <v>145</v>
      </c>
      <c r="B5851" s="762">
        <f>(R5850+T5850)</f>
        <v>0</v>
      </c>
      <c r="C5851" s="763"/>
      <c r="D5851" s="763"/>
      <c r="E5851" s="763"/>
      <c r="F5851" s="764"/>
      <c r="G5851" s="763" t="s">
        <v>146</v>
      </c>
      <c r="H5851" s="763"/>
      <c r="I5851" s="765"/>
      <c r="J5851" s="763"/>
      <c r="K5851" s="763" t="s">
        <v>3</v>
      </c>
      <c r="L5851" s="766" t="s">
        <v>143</v>
      </c>
      <c r="M5851" s="766"/>
      <c r="N5851" s="766"/>
      <c r="O5851" s="766"/>
      <c r="P5851" s="766"/>
      <c r="Q5851" s="767"/>
      <c r="R5851" s="768">
        <f ca="1">SUM(R5845:R5850)</f>
        <v>186.4</v>
      </c>
      <c r="S5851" s="763"/>
      <c r="T5851" s="768">
        <f ca="1">SUM(T5845:T5850)</f>
        <v>7.6</v>
      </c>
      <c r="U5851" s="531"/>
      <c r="V5851" s="531"/>
      <c r="W5851" s="531"/>
      <c r="X5851" s="531"/>
      <c r="Y5851" s="531"/>
      <c r="Z5851" s="531"/>
      <c r="AA5851" s="531"/>
      <c r="AB5851" s="531"/>
      <c r="AC5851" s="531"/>
      <c r="AD5851" s="531"/>
      <c r="AE5851" s="531"/>
      <c r="AF5851" s="531"/>
      <c r="AG5851" s="531"/>
      <c r="AH5851" s="531"/>
      <c r="AI5851" s="531"/>
      <c r="AJ5851" s="531"/>
      <c r="AK5851" s="531"/>
      <c r="AL5851" s="531"/>
      <c r="AM5851" s="531"/>
      <c r="AN5851" s="531"/>
      <c r="AO5851" s="531"/>
      <c r="AR5851" s="761" t="s">
        <v>145</v>
      </c>
      <c r="AS5851" s="764"/>
    </row>
    <row r="5852" spans="1:45" s="520" customFormat="1" thickTop="1">
      <c r="A5852" s="51"/>
      <c r="B5852" s="51"/>
      <c r="C5852" s="3"/>
      <c r="D5852" s="3"/>
      <c r="E5852" s="51"/>
      <c r="F5852" s="51"/>
      <c r="G5852" s="51"/>
      <c r="H5852" s="51"/>
      <c r="I5852" s="51"/>
      <c r="J5852" s="51"/>
      <c r="K5852" s="51" t="s">
        <v>134</v>
      </c>
      <c r="L5852" s="51"/>
      <c r="M5852" s="51"/>
      <c r="N5852" s="51"/>
      <c r="O5852" s="52"/>
      <c r="P5852" s="51"/>
      <c r="Q5852" s="51"/>
      <c r="R5852" s="51"/>
      <c r="S5852" s="51"/>
      <c r="T5852" s="51"/>
      <c r="AR5852" s="51"/>
      <c r="AS5852" s="51"/>
    </row>
    <row r="5853" spans="1:45" s="520" customFormat="1" ht="12">
      <c r="A5853" s="51"/>
      <c r="B5853" s="51"/>
      <c r="C5853" s="51" t="s">
        <v>135</v>
      </c>
      <c r="D5853" s="37"/>
      <c r="E5853" s="51"/>
      <c r="F5853" s="51"/>
      <c r="G5853" s="51"/>
      <c r="H5853" s="51"/>
      <c r="I5853" s="51"/>
      <c r="J5853" s="51"/>
      <c r="K5853" s="51"/>
      <c r="L5853" s="51"/>
      <c r="M5853" s="51"/>
      <c r="N5853" s="51"/>
      <c r="O5853" s="52"/>
      <c r="P5853" s="51"/>
      <c r="Q5853" s="51"/>
      <c r="R5853" s="51"/>
      <c r="S5853" s="51"/>
      <c r="T5853" s="51"/>
      <c r="AR5853" s="51"/>
      <c r="AS5853" s="51"/>
    </row>
    <row r="5854" spans="1:45" s="520" customFormat="1" ht="12">
      <c r="A5854" s="51"/>
      <c r="B5854" s="51"/>
      <c r="C5854" s="51"/>
      <c r="D5854" s="37" t="s">
        <v>923</v>
      </c>
      <c r="E5854" s="51"/>
      <c r="F5854" s="51"/>
      <c r="G5854" s="51"/>
      <c r="H5854" s="51"/>
      <c r="I5854" s="51"/>
      <c r="J5854" s="51"/>
      <c r="K5854" s="51"/>
      <c r="L5854" s="51"/>
      <c r="M5854" s="51"/>
      <c r="N5854" s="51"/>
      <c r="O5854" s="52"/>
      <c r="P5854" s="51"/>
      <c r="Q5854" s="51"/>
      <c r="R5854" s="51"/>
      <c r="S5854" s="38"/>
      <c r="T5854" s="38"/>
      <c r="AR5854" s="51"/>
      <c r="AS5854" s="51"/>
    </row>
    <row r="5855" spans="1:45" s="3" customFormat="1" thickBot="1">
      <c r="A5855" s="531"/>
      <c r="O5855" s="107"/>
      <c r="AR5855" s="531"/>
    </row>
    <row r="5856" spans="1:45" s="520" customFormat="1" ht="12" thickTop="1">
      <c r="A5856" s="51"/>
      <c r="B5856" s="41"/>
      <c r="C5856" s="51"/>
      <c r="E5856" s="42" t="s">
        <v>138</v>
      </c>
      <c r="F5856" s="42" t="s">
        <v>139</v>
      </c>
      <c r="G5856" s="51"/>
      <c r="H5856" s="51"/>
      <c r="I5856" s="51"/>
      <c r="J5856" s="51"/>
      <c r="K5856" s="51" t="s">
        <v>140</v>
      </c>
      <c r="L5856" s="51"/>
      <c r="M5856" s="51"/>
      <c r="N5856" s="51"/>
      <c r="O5856" s="52"/>
      <c r="P5856" s="51"/>
      <c r="Q5856" s="51"/>
      <c r="R5856" s="51"/>
      <c r="S5856" s="51"/>
      <c r="T5856" s="41"/>
      <c r="AG5856" s="521" t="s">
        <v>268</v>
      </c>
      <c r="AH5856" s="521" t="s">
        <v>269</v>
      </c>
      <c r="AI5856" s="521" t="s">
        <v>270</v>
      </c>
      <c r="AJ5856" s="521" t="s">
        <v>271</v>
      </c>
      <c r="AK5856" s="521" t="s">
        <v>272</v>
      </c>
      <c r="AM5856" s="745" t="s">
        <v>281</v>
      </c>
      <c r="AN5856" s="746" t="s">
        <v>282</v>
      </c>
      <c r="AO5856" s="522" t="s">
        <v>278</v>
      </c>
      <c r="AR5856" s="51"/>
      <c r="AS5856" s="42" t="s">
        <v>139</v>
      </c>
    </row>
    <row r="5857" spans="1:45" s="520" customFormat="1" ht="12" customHeight="1">
      <c r="A5857" s="747">
        <v>25</v>
      </c>
      <c r="B5857" s="523" t="s">
        <v>320</v>
      </c>
      <c r="C5857" s="748"/>
      <c r="D5857" s="749" t="s">
        <v>1948</v>
      </c>
      <c r="E5857" s="750">
        <f ca="1">IF(AND($A5857=0,$A$1="DIF"),0, ROUND(ROUND(($R5864*$S$2+($T5864*$T$2))/A5857,2)*$C$2,2))</f>
        <v>24.32</v>
      </c>
      <c r="F5857" s="751">
        <f ca="1">ROUND($A5857*$E5857,2)</f>
        <v>608</v>
      </c>
      <c r="G5857" s="752" t="s">
        <v>142</v>
      </c>
      <c r="H5857" s="753"/>
      <c r="I5857" s="754"/>
      <c r="J5857" s="753"/>
      <c r="K5857" s="753" t="s">
        <v>3</v>
      </c>
      <c r="L5857" s="755" t="s">
        <v>143</v>
      </c>
      <c r="M5857" s="755"/>
      <c r="N5857" s="755"/>
      <c r="O5857" s="755"/>
      <c r="P5857" s="755"/>
      <c r="Q5857" s="51"/>
      <c r="T5857" s="756" t="str">
        <f ca="1">IF(AND($R5864=0,$T5864=0),"0.00","mu :" &amp; ROUND($F5857/$C$2/($R5864+$T5864*$D$9),2))</f>
        <v>mu :1.23</v>
      </c>
      <c r="W5857" s="524"/>
      <c r="AG5857" s="481">
        <f ca="1">IF($E5857=0,0,ROUND($R5864*$S$2*$C$2/$A5857,2))</f>
        <v>11.48</v>
      </c>
      <c r="AH5857" s="481">
        <f ca="1">$AG5857*$A5857</f>
        <v>287</v>
      </c>
      <c r="AI5857" s="525">
        <f ca="1">$E5857-$AG5857</f>
        <v>12.84</v>
      </c>
      <c r="AJ5857" s="525">
        <f ca="1">$A5857*$AI5857</f>
        <v>321</v>
      </c>
      <c r="AK5857" s="526">
        <f ca="1">ROUND(($AG5857+$AI5857)*$A5857,2)</f>
        <v>608</v>
      </c>
      <c r="AM5857" s="527">
        <f ca="1">ROUND(R5864,2)</f>
        <v>233</v>
      </c>
      <c r="AN5857" s="528">
        <f ca="1">ROUND(T5864,2)</f>
        <v>9.5</v>
      </c>
      <c r="AO5857" s="529">
        <f ca="1">ROUND(AM5857+AN5857,2)*A5857</f>
        <v>6062.5</v>
      </c>
      <c r="AR5857" s="747">
        <v>25</v>
      </c>
      <c r="AS5857" s="751">
        <v>642</v>
      </c>
    </row>
    <row r="5858" spans="1:45" s="520" customFormat="1" ht="13.2">
      <c r="A5858" s="748"/>
      <c r="B5858" s="535"/>
      <c r="C5858" s="748"/>
      <c r="D5858" s="749" t="s">
        <v>921</v>
      </c>
      <c r="F5858" s="753"/>
      <c r="G5858" s="3"/>
      <c r="H5858" s="753"/>
      <c r="I5858" s="754"/>
      <c r="J5858" s="753"/>
      <c r="K5858" s="753" t="s">
        <v>144</v>
      </c>
      <c r="L5858" s="753"/>
      <c r="M5858" s="753"/>
      <c r="N5858" s="753"/>
      <c r="O5858" s="753"/>
      <c r="P5858" s="753"/>
      <c r="Q5858" s="51"/>
      <c r="R5858" s="530"/>
      <c r="S5858" s="757"/>
      <c r="T5858" s="753"/>
      <c r="AR5858" s="748"/>
      <c r="AS5858" s="753"/>
    </row>
    <row r="5859" spans="1:45" s="886" customFormat="1" ht="13.2">
      <c r="A5859" s="535"/>
      <c r="B5859" s="910"/>
      <c r="C5859" s="910" t="s">
        <v>2597</v>
      </c>
      <c r="D5859" s="910" t="str">
        <f ca="1">CELL("Address",Elec_Rates!D$822)</f>
        <v>[E25_0062_Quintano_Foods_Elec_ELV_As_Awarded.xlsx]Elec_Rates!$D$822</v>
      </c>
      <c r="E5859" s="911"/>
      <c r="F5859" s="911"/>
      <c r="G5859" s="912" t="s">
        <v>2598</v>
      </c>
      <c r="H5859" s="912"/>
      <c r="I5859" s="912"/>
      <c r="J5859" s="912"/>
      <c r="K5859" s="913"/>
      <c r="L5859" s="911"/>
      <c r="M5859" s="911"/>
      <c r="N5859" s="911"/>
      <c r="O5859" s="914"/>
      <c r="P5859" s="911"/>
      <c r="Q5859" s="915"/>
      <c r="R5859" s="916"/>
      <c r="S5859" s="915"/>
      <c r="T5859" s="917"/>
      <c r="U5859" s="918"/>
      <c r="AR5859" s="535"/>
      <c r="AS5859" s="911"/>
    </row>
    <row r="5860" spans="1:45" s="886" customFormat="1" ht="11.4">
      <c r="A5860" s="919">
        <v>25</v>
      </c>
      <c r="B5860" s="920">
        <v>1</v>
      </c>
      <c r="C5860" s="920">
        <f>$A5860*$B5860</f>
        <v>25</v>
      </c>
      <c r="D5860" s="921" t="str">
        <f>Elec_Rates!$D$822</f>
        <v>078# 75x75mm galvanised steel cable trunking</v>
      </c>
      <c r="E5860" s="921"/>
      <c r="F5860" s="921" t="s">
        <v>2599</v>
      </c>
      <c r="G5860" s="922" t="s">
        <v>2601</v>
      </c>
      <c r="H5860" s="922"/>
      <c r="I5860" s="922"/>
      <c r="J5860" s="922"/>
      <c r="K5860" s="923"/>
      <c r="L5860" s="918"/>
      <c r="M5860" s="918"/>
      <c r="N5860" s="918"/>
      <c r="O5860" s="924"/>
      <c r="P5860" s="921"/>
      <c r="Q5860" s="925">
        <f ca="1">$B5860*Elec_Rates!$R$822</f>
        <v>6.95</v>
      </c>
      <c r="R5860" s="916">
        <f ca="1">$A5860*Q5860</f>
        <v>173.75</v>
      </c>
      <c r="S5860" s="925">
        <f ca="1">$B5860*Elec_Rates!$T$822</f>
        <v>0.28999999999999998</v>
      </c>
      <c r="T5860" s="917">
        <f ca="1">$A5860*S5860</f>
        <v>7.2499999999999991</v>
      </c>
      <c r="U5860" s="926"/>
      <c r="AR5860" s="919">
        <v>25</v>
      </c>
      <c r="AS5860" s="921" t="s">
        <v>2599</v>
      </c>
    </row>
    <row r="5861" spans="1:45" s="886" customFormat="1" ht="13.2">
      <c r="A5861" s="535"/>
      <c r="B5861" s="910"/>
      <c r="C5861" s="910" t="s">
        <v>2597</v>
      </c>
      <c r="D5861" s="910" t="str">
        <f ca="1">CELL("Address",Elec_Rates!D$907)</f>
        <v>[E25_0062_Quintano_Foods_Elec_ELV_As_Awarded.xlsx]Elec_Rates!$D$907</v>
      </c>
      <c r="E5861" s="911"/>
      <c r="F5861" s="911"/>
      <c r="G5861" s="912" t="s">
        <v>2598</v>
      </c>
      <c r="H5861" s="912"/>
      <c r="I5861" s="912"/>
      <c r="J5861" s="912"/>
      <c r="K5861" s="913"/>
      <c r="L5861" s="911"/>
      <c r="M5861" s="911"/>
      <c r="N5861" s="911"/>
      <c r="O5861" s="914"/>
      <c r="P5861" s="911"/>
      <c r="Q5861" s="915"/>
      <c r="R5861" s="916"/>
      <c r="S5861" s="915"/>
      <c r="T5861" s="917"/>
      <c r="U5861" s="918"/>
      <c r="AR5861" s="535"/>
      <c r="AS5861" s="911"/>
    </row>
    <row r="5862" spans="1:45" s="886" customFormat="1" ht="11.4">
      <c r="A5862" s="919">
        <v>25</v>
      </c>
      <c r="B5862" s="920">
        <v>1</v>
      </c>
      <c r="C5862" s="920">
        <f>$A5862*$B5862</f>
        <v>25</v>
      </c>
      <c r="D5862" s="921" t="str">
        <f>Elec_Rates!$D$907</f>
        <v>084# Bracket for 50-150mm cable tray/basket/trunking</v>
      </c>
      <c r="E5862" s="921"/>
      <c r="F5862" s="921" t="s">
        <v>2599</v>
      </c>
      <c r="G5862" s="922" t="s">
        <v>2600</v>
      </c>
      <c r="H5862" s="922"/>
      <c r="I5862" s="922"/>
      <c r="J5862" s="922"/>
      <c r="K5862" s="923"/>
      <c r="L5862" s="918"/>
      <c r="M5862" s="918"/>
      <c r="N5862" s="918"/>
      <c r="O5862" s="924"/>
      <c r="P5862" s="921"/>
      <c r="Q5862" s="925">
        <f ca="1">$B5862*Elec_Rates!$R$907</f>
        <v>2.37</v>
      </c>
      <c r="R5862" s="916">
        <f ca="1">$A5862*Q5862</f>
        <v>59.25</v>
      </c>
      <c r="S5862" s="925">
        <f ca="1">$B5862*Elec_Rates!$T$907</f>
        <v>0.09</v>
      </c>
      <c r="T5862" s="917">
        <f ca="1">$A5862*S5862</f>
        <v>2.25</v>
      </c>
      <c r="U5862" s="926"/>
      <c r="AR5862" s="919">
        <v>25</v>
      </c>
      <c r="AS5862" s="921" t="s">
        <v>2599</v>
      </c>
    </row>
    <row r="5863" spans="1:45" s="520" customFormat="1" ht="12">
      <c r="A5863" s="758"/>
      <c r="B5863" s="758"/>
      <c r="C5863" s="758"/>
      <c r="D5863" s="758"/>
      <c r="E5863" s="758"/>
      <c r="F5863" s="753"/>
      <c r="G5863" s="758"/>
      <c r="H5863" s="758"/>
      <c r="I5863" s="519"/>
      <c r="J5863" s="758"/>
      <c r="K5863" s="758"/>
      <c r="L5863" s="758"/>
      <c r="M5863" s="758"/>
      <c r="N5863" s="758"/>
      <c r="O5863" s="758"/>
      <c r="P5863" s="758"/>
      <c r="Q5863" s="519"/>
      <c r="R5863" s="759">
        <f t="shared" ref="R5863" si="350">$A5863*Q5863</f>
        <v>0</v>
      </c>
      <c r="S5863" s="519"/>
      <c r="T5863" s="760">
        <f t="shared" ref="T5863" si="351">$A5863*S5863*$T$1</f>
        <v>0</v>
      </c>
      <c r="AR5863" s="758"/>
      <c r="AS5863" s="753"/>
    </row>
    <row r="5864" spans="1:45" s="520" customFormat="1" ht="12.6" thickBot="1">
      <c r="A5864" s="761" t="s">
        <v>145</v>
      </c>
      <c r="B5864" s="762">
        <f>(R5863+T5863)</f>
        <v>0</v>
      </c>
      <c r="C5864" s="763"/>
      <c r="D5864" s="763"/>
      <c r="E5864" s="763"/>
      <c r="F5864" s="764"/>
      <c r="G5864" s="763" t="s">
        <v>146</v>
      </c>
      <c r="H5864" s="763"/>
      <c r="I5864" s="765"/>
      <c r="J5864" s="763"/>
      <c r="K5864" s="763" t="s">
        <v>3</v>
      </c>
      <c r="L5864" s="766" t="s">
        <v>143</v>
      </c>
      <c r="M5864" s="766"/>
      <c r="N5864" s="766"/>
      <c r="O5864" s="766"/>
      <c r="P5864" s="766"/>
      <c r="Q5864" s="767"/>
      <c r="R5864" s="768">
        <f ca="1">SUM(R5858:R5863)</f>
        <v>233</v>
      </c>
      <c r="S5864" s="763"/>
      <c r="T5864" s="768">
        <f ca="1">SUM(T5858:T5863)</f>
        <v>9.5</v>
      </c>
      <c r="U5864" s="531"/>
      <c r="V5864" s="531"/>
      <c r="W5864" s="531"/>
      <c r="X5864" s="531"/>
      <c r="Y5864" s="531"/>
      <c r="Z5864" s="531"/>
      <c r="AA5864" s="531"/>
      <c r="AB5864" s="531"/>
      <c r="AC5864" s="531"/>
      <c r="AD5864" s="531"/>
      <c r="AE5864" s="531"/>
      <c r="AF5864" s="531"/>
      <c r="AG5864" s="531"/>
      <c r="AH5864" s="531"/>
      <c r="AI5864" s="531"/>
      <c r="AJ5864" s="531"/>
      <c r="AK5864" s="531"/>
      <c r="AL5864" s="531"/>
      <c r="AM5864" s="531"/>
      <c r="AN5864" s="531"/>
      <c r="AO5864" s="531"/>
      <c r="AR5864" s="761" t="s">
        <v>145</v>
      </c>
      <c r="AS5864" s="764"/>
    </row>
    <row r="5865" spans="1:45" s="520" customFormat="1" thickTop="1">
      <c r="A5865" s="51"/>
      <c r="B5865" s="51"/>
      <c r="C5865" s="3"/>
      <c r="D5865" s="3"/>
      <c r="E5865" s="51"/>
      <c r="F5865" s="51"/>
      <c r="G5865" s="51"/>
      <c r="H5865" s="51"/>
      <c r="I5865" s="51"/>
      <c r="J5865" s="51"/>
      <c r="K5865" s="51" t="s">
        <v>134</v>
      </c>
      <c r="L5865" s="51"/>
      <c r="M5865" s="51"/>
      <c r="N5865" s="51"/>
      <c r="O5865" s="52"/>
      <c r="P5865" s="51"/>
      <c r="Q5865" s="51"/>
      <c r="R5865" s="51"/>
      <c r="S5865" s="51"/>
      <c r="T5865" s="51"/>
      <c r="AR5865" s="51"/>
      <c r="AS5865" s="51"/>
    </row>
    <row r="5866" spans="1:45" s="520" customFormat="1" ht="12">
      <c r="A5866" s="51"/>
      <c r="B5866" s="51"/>
      <c r="C5866" s="51" t="s">
        <v>135</v>
      </c>
      <c r="D5866" s="37"/>
      <c r="E5866" s="51"/>
      <c r="F5866" s="51"/>
      <c r="G5866" s="51"/>
      <c r="H5866" s="51"/>
      <c r="I5866" s="51"/>
      <c r="J5866" s="51"/>
      <c r="K5866" s="51"/>
      <c r="L5866" s="51"/>
      <c r="M5866" s="51"/>
      <c r="N5866" s="51"/>
      <c r="O5866" s="52"/>
      <c r="P5866" s="51"/>
      <c r="Q5866" s="51"/>
      <c r="R5866" s="51"/>
      <c r="S5866" s="51"/>
      <c r="T5866" s="51"/>
      <c r="AR5866" s="51"/>
      <c r="AS5866" s="51"/>
    </row>
    <row r="5867" spans="1:45" s="520" customFormat="1" ht="12">
      <c r="A5867" s="51"/>
      <c r="B5867" s="51"/>
      <c r="C5867" s="51"/>
      <c r="D5867" s="37" t="s">
        <v>924</v>
      </c>
      <c r="E5867" s="51"/>
      <c r="F5867" s="51"/>
      <c r="G5867" s="51"/>
      <c r="H5867" s="51"/>
      <c r="I5867" s="51"/>
      <c r="J5867" s="51"/>
      <c r="K5867" s="51"/>
      <c r="L5867" s="51"/>
      <c r="M5867" s="51"/>
      <c r="N5867" s="51"/>
      <c r="O5867" s="52"/>
      <c r="P5867" s="51"/>
      <c r="Q5867" s="51"/>
      <c r="R5867" s="51"/>
      <c r="S5867" s="38"/>
      <c r="T5867" s="38"/>
      <c r="AR5867" s="51"/>
      <c r="AS5867" s="51"/>
    </row>
    <row r="5868" spans="1:45" s="3" customFormat="1" thickBot="1">
      <c r="A5868" s="531"/>
      <c r="O5868" s="107"/>
      <c r="AR5868" s="531"/>
    </row>
    <row r="5869" spans="1:45" s="520" customFormat="1" ht="12" thickTop="1">
      <c r="A5869" s="51"/>
      <c r="B5869" s="41"/>
      <c r="C5869" s="51"/>
      <c r="E5869" s="42" t="s">
        <v>138</v>
      </c>
      <c r="F5869" s="42" t="s">
        <v>139</v>
      </c>
      <c r="G5869" s="51"/>
      <c r="H5869" s="51"/>
      <c r="I5869" s="51"/>
      <c r="J5869" s="51"/>
      <c r="K5869" s="51" t="s">
        <v>140</v>
      </c>
      <c r="L5869" s="51"/>
      <c r="M5869" s="51"/>
      <c r="N5869" s="51"/>
      <c r="O5869" s="52"/>
      <c r="P5869" s="51"/>
      <c r="Q5869" s="51"/>
      <c r="R5869" s="51"/>
      <c r="S5869" s="51"/>
      <c r="T5869" s="41"/>
      <c r="AG5869" s="521" t="s">
        <v>268</v>
      </c>
      <c r="AH5869" s="521" t="s">
        <v>269</v>
      </c>
      <c r="AI5869" s="521" t="s">
        <v>270</v>
      </c>
      <c r="AJ5869" s="521" t="s">
        <v>271</v>
      </c>
      <c r="AK5869" s="521" t="s">
        <v>272</v>
      </c>
      <c r="AM5869" s="745" t="s">
        <v>281</v>
      </c>
      <c r="AN5869" s="746" t="s">
        <v>282</v>
      </c>
      <c r="AO5869" s="522" t="s">
        <v>278</v>
      </c>
      <c r="AR5869" s="51"/>
      <c r="AS5869" s="42" t="s">
        <v>139</v>
      </c>
    </row>
    <row r="5870" spans="1:45" s="520" customFormat="1" ht="12" customHeight="1">
      <c r="A5870" s="747">
        <v>25</v>
      </c>
      <c r="B5870" s="523" t="s">
        <v>320</v>
      </c>
      <c r="C5870" s="748"/>
      <c r="D5870" s="749" t="s">
        <v>1949</v>
      </c>
      <c r="E5870" s="750">
        <f ca="1">IF(AND($A5870=0,$A$1="DIF"),0, ROUND(ROUND(($R5877*$S$2+($T5877*$T$2))/A5870,2)*$C$2,2))</f>
        <v>24.32</v>
      </c>
      <c r="F5870" s="751">
        <f ca="1">ROUND($A5870*$E5870,2)</f>
        <v>608</v>
      </c>
      <c r="G5870" s="752" t="s">
        <v>142</v>
      </c>
      <c r="H5870" s="753"/>
      <c r="I5870" s="754"/>
      <c r="J5870" s="753"/>
      <c r="K5870" s="753" t="s">
        <v>3</v>
      </c>
      <c r="L5870" s="755" t="s">
        <v>143</v>
      </c>
      <c r="M5870" s="755"/>
      <c r="N5870" s="755"/>
      <c r="O5870" s="755"/>
      <c r="P5870" s="755"/>
      <c r="Q5870" s="51"/>
      <c r="T5870" s="756" t="str">
        <f ca="1">IF(AND($R5877=0,$T5877=0),"0.00","mu :" &amp; ROUND($F5870/$C$2/($R5877+$T5877*$D$9),2))</f>
        <v>mu :1.23</v>
      </c>
      <c r="W5870" s="524"/>
      <c r="AG5870" s="481">
        <f ca="1">IF($E5870=0,0,ROUND($R5877*$S$2*$C$2/$A5870,2))</f>
        <v>11.48</v>
      </c>
      <c r="AH5870" s="481">
        <f ca="1">$AG5870*$A5870</f>
        <v>287</v>
      </c>
      <c r="AI5870" s="525">
        <f ca="1">$E5870-$AG5870</f>
        <v>12.84</v>
      </c>
      <c r="AJ5870" s="525">
        <f ca="1">$A5870*$AI5870</f>
        <v>321</v>
      </c>
      <c r="AK5870" s="526">
        <f ca="1">ROUND(($AG5870+$AI5870)*$A5870,2)</f>
        <v>608</v>
      </c>
      <c r="AM5870" s="527">
        <f ca="1">ROUND(R5877,2)</f>
        <v>233</v>
      </c>
      <c r="AN5870" s="528">
        <f ca="1">ROUND(T5877,2)</f>
        <v>9.5</v>
      </c>
      <c r="AO5870" s="529">
        <f ca="1">ROUND(AM5870+AN5870,2)*A5870</f>
        <v>6062.5</v>
      </c>
      <c r="AR5870" s="747">
        <v>25</v>
      </c>
      <c r="AS5870" s="751">
        <v>642</v>
      </c>
    </row>
    <row r="5871" spans="1:45" s="520" customFormat="1" ht="13.2">
      <c r="A5871" s="748"/>
      <c r="B5871" s="535"/>
      <c r="C5871" s="748"/>
      <c r="D5871" s="749" t="s">
        <v>921</v>
      </c>
      <c r="F5871" s="753"/>
      <c r="G5871" s="3"/>
      <c r="H5871" s="753"/>
      <c r="I5871" s="754"/>
      <c r="J5871" s="753"/>
      <c r="K5871" s="753" t="s">
        <v>144</v>
      </c>
      <c r="L5871" s="753"/>
      <c r="M5871" s="753"/>
      <c r="N5871" s="753"/>
      <c r="O5871" s="753"/>
      <c r="P5871" s="753"/>
      <c r="Q5871" s="51"/>
      <c r="R5871" s="530"/>
      <c r="S5871" s="757"/>
      <c r="T5871" s="753"/>
      <c r="AR5871" s="748"/>
      <c r="AS5871" s="753"/>
    </row>
    <row r="5872" spans="1:45" s="886" customFormat="1" ht="13.2">
      <c r="A5872" s="535"/>
      <c r="B5872" s="910"/>
      <c r="C5872" s="910" t="s">
        <v>2597</v>
      </c>
      <c r="D5872" s="910" t="str">
        <f ca="1">CELL("Address",Elec_Rates!D$822)</f>
        <v>[E25_0062_Quintano_Foods_Elec_ELV_As_Awarded.xlsx]Elec_Rates!$D$822</v>
      </c>
      <c r="E5872" s="911"/>
      <c r="F5872" s="911"/>
      <c r="G5872" s="912" t="s">
        <v>2598</v>
      </c>
      <c r="H5872" s="912"/>
      <c r="I5872" s="912"/>
      <c r="J5872" s="912"/>
      <c r="K5872" s="913"/>
      <c r="L5872" s="911"/>
      <c r="M5872" s="911"/>
      <c r="N5872" s="911"/>
      <c r="O5872" s="914"/>
      <c r="P5872" s="911"/>
      <c r="Q5872" s="915"/>
      <c r="R5872" s="916"/>
      <c r="S5872" s="915"/>
      <c r="T5872" s="917"/>
      <c r="U5872" s="918"/>
      <c r="AR5872" s="535"/>
      <c r="AS5872" s="911"/>
    </row>
    <row r="5873" spans="1:45" s="886" customFormat="1" ht="11.4">
      <c r="A5873" s="919">
        <v>25</v>
      </c>
      <c r="B5873" s="920">
        <v>1</v>
      </c>
      <c r="C5873" s="920">
        <f>$A5873*$B5873</f>
        <v>25</v>
      </c>
      <c r="D5873" s="921" t="str">
        <f>Elec_Rates!$D$822</f>
        <v>078# 75x75mm galvanised steel cable trunking</v>
      </c>
      <c r="E5873" s="921"/>
      <c r="F5873" s="921" t="s">
        <v>2599</v>
      </c>
      <c r="G5873" s="922" t="s">
        <v>2601</v>
      </c>
      <c r="H5873" s="922"/>
      <c r="I5873" s="922"/>
      <c r="J5873" s="922"/>
      <c r="K5873" s="923"/>
      <c r="L5873" s="918"/>
      <c r="M5873" s="918"/>
      <c r="N5873" s="918"/>
      <c r="O5873" s="924"/>
      <c r="P5873" s="921"/>
      <c r="Q5873" s="925">
        <f ca="1">$B5873*Elec_Rates!$R$822</f>
        <v>6.95</v>
      </c>
      <c r="R5873" s="916">
        <f ca="1">$A5873*Q5873</f>
        <v>173.75</v>
      </c>
      <c r="S5873" s="925">
        <f ca="1">$B5873*Elec_Rates!$T$822</f>
        <v>0.28999999999999998</v>
      </c>
      <c r="T5873" s="917">
        <f ca="1">$A5873*S5873</f>
        <v>7.2499999999999991</v>
      </c>
      <c r="U5873" s="926"/>
      <c r="AR5873" s="919">
        <v>25</v>
      </c>
      <c r="AS5873" s="921" t="s">
        <v>2599</v>
      </c>
    </row>
    <row r="5874" spans="1:45" s="886" customFormat="1" ht="13.2">
      <c r="A5874" s="535"/>
      <c r="B5874" s="910"/>
      <c r="C5874" s="910" t="s">
        <v>2597</v>
      </c>
      <c r="D5874" s="910" t="str">
        <f ca="1">CELL("Address",Elec_Rates!D$907)</f>
        <v>[E25_0062_Quintano_Foods_Elec_ELV_As_Awarded.xlsx]Elec_Rates!$D$907</v>
      </c>
      <c r="E5874" s="911"/>
      <c r="F5874" s="911"/>
      <c r="G5874" s="912" t="s">
        <v>2598</v>
      </c>
      <c r="H5874" s="912"/>
      <c r="I5874" s="912"/>
      <c r="J5874" s="912"/>
      <c r="K5874" s="913"/>
      <c r="L5874" s="911"/>
      <c r="M5874" s="911"/>
      <c r="N5874" s="911"/>
      <c r="O5874" s="914"/>
      <c r="P5874" s="911"/>
      <c r="Q5874" s="915"/>
      <c r="R5874" s="916"/>
      <c r="S5874" s="915"/>
      <c r="T5874" s="917"/>
      <c r="U5874" s="918"/>
      <c r="AR5874" s="535"/>
      <c r="AS5874" s="911"/>
    </row>
    <row r="5875" spans="1:45" s="886" customFormat="1" ht="11.4">
      <c r="A5875" s="919">
        <v>25</v>
      </c>
      <c r="B5875" s="920">
        <v>1</v>
      </c>
      <c r="C5875" s="920">
        <f>$A5875*$B5875</f>
        <v>25</v>
      </c>
      <c r="D5875" s="921" t="str">
        <f>Elec_Rates!$D$907</f>
        <v>084# Bracket for 50-150mm cable tray/basket/trunking</v>
      </c>
      <c r="E5875" s="921"/>
      <c r="F5875" s="921" t="s">
        <v>2599</v>
      </c>
      <c r="G5875" s="922" t="s">
        <v>2600</v>
      </c>
      <c r="H5875" s="922"/>
      <c r="I5875" s="922"/>
      <c r="J5875" s="922"/>
      <c r="K5875" s="923"/>
      <c r="L5875" s="918"/>
      <c r="M5875" s="918"/>
      <c r="N5875" s="918"/>
      <c r="O5875" s="924"/>
      <c r="P5875" s="921"/>
      <c r="Q5875" s="925">
        <f ca="1">$B5875*Elec_Rates!$R$907</f>
        <v>2.37</v>
      </c>
      <c r="R5875" s="916">
        <f ca="1">$A5875*Q5875</f>
        <v>59.25</v>
      </c>
      <c r="S5875" s="925">
        <f ca="1">$B5875*Elec_Rates!$T$907</f>
        <v>0.09</v>
      </c>
      <c r="T5875" s="917">
        <f ca="1">$A5875*S5875</f>
        <v>2.25</v>
      </c>
      <c r="U5875" s="926"/>
      <c r="AR5875" s="919">
        <v>25</v>
      </c>
      <c r="AS5875" s="921" t="s">
        <v>2599</v>
      </c>
    </row>
    <row r="5876" spans="1:45" s="520" customFormat="1" ht="12">
      <c r="A5876" s="758"/>
      <c r="B5876" s="758"/>
      <c r="C5876" s="758"/>
      <c r="D5876" s="758"/>
      <c r="E5876" s="758"/>
      <c r="F5876" s="753"/>
      <c r="G5876" s="758"/>
      <c r="H5876" s="758"/>
      <c r="I5876" s="519"/>
      <c r="J5876" s="758"/>
      <c r="K5876" s="758"/>
      <c r="L5876" s="758"/>
      <c r="M5876" s="758"/>
      <c r="N5876" s="758"/>
      <c r="O5876" s="758"/>
      <c r="P5876" s="758"/>
      <c r="Q5876" s="519"/>
      <c r="R5876" s="759">
        <f t="shared" ref="R5876" si="352">$A5876*Q5876</f>
        <v>0</v>
      </c>
      <c r="S5876" s="519"/>
      <c r="T5876" s="760">
        <f t="shared" ref="T5876" si="353">$A5876*S5876*$T$1</f>
        <v>0</v>
      </c>
      <c r="AR5876" s="758"/>
      <c r="AS5876" s="753"/>
    </row>
    <row r="5877" spans="1:45" s="520" customFormat="1" ht="12.6" thickBot="1">
      <c r="A5877" s="761" t="s">
        <v>145</v>
      </c>
      <c r="B5877" s="762">
        <f>(R5876+T5876)</f>
        <v>0</v>
      </c>
      <c r="C5877" s="763"/>
      <c r="D5877" s="763"/>
      <c r="E5877" s="763"/>
      <c r="F5877" s="764"/>
      <c r="G5877" s="763" t="s">
        <v>146</v>
      </c>
      <c r="H5877" s="763"/>
      <c r="I5877" s="765"/>
      <c r="J5877" s="763"/>
      <c r="K5877" s="763" t="s">
        <v>3</v>
      </c>
      <c r="L5877" s="766" t="s">
        <v>143</v>
      </c>
      <c r="M5877" s="766"/>
      <c r="N5877" s="766"/>
      <c r="O5877" s="766"/>
      <c r="P5877" s="766"/>
      <c r="Q5877" s="767"/>
      <c r="R5877" s="768">
        <f ca="1">SUM(R5871:R5876)</f>
        <v>233</v>
      </c>
      <c r="S5877" s="763"/>
      <c r="T5877" s="768">
        <f ca="1">SUM(T5871:T5876)</f>
        <v>9.5</v>
      </c>
      <c r="U5877" s="531"/>
      <c r="V5877" s="531"/>
      <c r="W5877" s="531"/>
      <c r="X5877" s="531"/>
      <c r="Y5877" s="531"/>
      <c r="Z5877" s="531"/>
      <c r="AA5877" s="531"/>
      <c r="AB5877" s="531"/>
      <c r="AC5877" s="531"/>
      <c r="AD5877" s="531"/>
      <c r="AE5877" s="531"/>
      <c r="AF5877" s="531"/>
      <c r="AG5877" s="531"/>
      <c r="AH5877" s="531"/>
      <c r="AI5877" s="531"/>
      <c r="AJ5877" s="531"/>
      <c r="AK5877" s="531"/>
      <c r="AL5877" s="531"/>
      <c r="AM5877" s="531"/>
      <c r="AN5877" s="531"/>
      <c r="AO5877" s="531"/>
      <c r="AR5877" s="761" t="s">
        <v>145</v>
      </c>
      <c r="AS5877" s="764"/>
    </row>
    <row r="5878" spans="1:45" s="520" customFormat="1" thickTop="1">
      <c r="A5878" s="51"/>
      <c r="B5878" s="51"/>
      <c r="C5878" s="3"/>
      <c r="D5878" s="3"/>
      <c r="E5878" s="51"/>
      <c r="F5878" s="51"/>
      <c r="G5878" s="51"/>
      <c r="H5878" s="51"/>
      <c r="I5878" s="51"/>
      <c r="J5878" s="51"/>
      <c r="K5878" s="51" t="s">
        <v>134</v>
      </c>
      <c r="L5878" s="51"/>
      <c r="M5878" s="51"/>
      <c r="N5878" s="51"/>
      <c r="O5878" s="52"/>
      <c r="P5878" s="51"/>
      <c r="Q5878" s="51"/>
      <c r="R5878" s="51"/>
      <c r="S5878" s="51"/>
      <c r="T5878" s="51"/>
      <c r="AR5878" s="51"/>
      <c r="AS5878" s="51"/>
    </row>
    <row r="5879" spans="1:45" s="520" customFormat="1" ht="12">
      <c r="A5879" s="51"/>
      <c r="B5879" s="51"/>
      <c r="C5879" s="51" t="s">
        <v>135</v>
      </c>
      <c r="D5879" s="37"/>
      <c r="E5879" s="51"/>
      <c r="F5879" s="51"/>
      <c r="G5879" s="51"/>
      <c r="H5879" s="51"/>
      <c r="I5879" s="51"/>
      <c r="J5879" s="51"/>
      <c r="K5879" s="51"/>
      <c r="L5879" s="51"/>
      <c r="M5879" s="51"/>
      <c r="N5879" s="51"/>
      <c r="O5879" s="52"/>
      <c r="P5879" s="51"/>
      <c r="Q5879" s="51"/>
      <c r="R5879" s="51"/>
      <c r="S5879" s="51"/>
      <c r="T5879" s="51"/>
      <c r="AR5879" s="51"/>
      <c r="AS5879" s="51"/>
    </row>
    <row r="5880" spans="1:45" s="520" customFormat="1" ht="12">
      <c r="A5880" s="51"/>
      <c r="B5880" s="51"/>
      <c r="C5880" s="51"/>
      <c r="D5880" s="37" t="s">
        <v>926</v>
      </c>
      <c r="E5880" s="51"/>
      <c r="F5880" s="51"/>
      <c r="G5880" s="51"/>
      <c r="H5880" s="51"/>
      <c r="I5880" s="51"/>
      <c r="J5880" s="51"/>
      <c r="K5880" s="51"/>
      <c r="L5880" s="51"/>
      <c r="M5880" s="51"/>
      <c r="N5880" s="51"/>
      <c r="O5880" s="52"/>
      <c r="P5880" s="51"/>
      <c r="Q5880" s="51"/>
      <c r="R5880" s="51"/>
      <c r="S5880" s="38"/>
      <c r="T5880" s="38"/>
      <c r="AR5880" s="51"/>
      <c r="AS5880" s="51"/>
    </row>
    <row r="5881" spans="1:45" s="3" customFormat="1" thickBot="1">
      <c r="A5881" s="531"/>
      <c r="O5881" s="107"/>
      <c r="AR5881" s="531"/>
    </row>
    <row r="5882" spans="1:45" s="520" customFormat="1" ht="12" thickTop="1">
      <c r="A5882" s="51"/>
      <c r="B5882" s="41"/>
      <c r="C5882" s="51"/>
      <c r="E5882" s="42" t="s">
        <v>138</v>
      </c>
      <c r="F5882" s="42" t="s">
        <v>139</v>
      </c>
      <c r="G5882" s="51"/>
      <c r="H5882" s="51"/>
      <c r="I5882" s="51"/>
      <c r="J5882" s="51"/>
      <c r="K5882" s="51" t="s">
        <v>140</v>
      </c>
      <c r="L5882" s="51"/>
      <c r="M5882" s="51"/>
      <c r="N5882" s="51"/>
      <c r="O5882" s="52"/>
      <c r="P5882" s="51"/>
      <c r="Q5882" s="51"/>
      <c r="R5882" s="51"/>
      <c r="S5882" s="51"/>
      <c r="T5882" s="41"/>
      <c r="AG5882" s="521" t="s">
        <v>268</v>
      </c>
      <c r="AH5882" s="521" t="s">
        <v>269</v>
      </c>
      <c r="AI5882" s="521" t="s">
        <v>270</v>
      </c>
      <c r="AJ5882" s="521" t="s">
        <v>271</v>
      </c>
      <c r="AK5882" s="521" t="s">
        <v>272</v>
      </c>
      <c r="AM5882" s="745" t="s">
        <v>281</v>
      </c>
      <c r="AN5882" s="746" t="s">
        <v>282</v>
      </c>
      <c r="AO5882" s="522" t="s">
        <v>278</v>
      </c>
      <c r="AR5882" s="51"/>
      <c r="AS5882" s="42" t="s">
        <v>139</v>
      </c>
    </row>
    <row r="5883" spans="1:45" s="520" customFormat="1" ht="12" customHeight="1">
      <c r="A5883" s="747">
        <v>300</v>
      </c>
      <c r="B5883" s="523" t="s">
        <v>320</v>
      </c>
      <c r="C5883" s="748"/>
      <c r="D5883" s="749" t="s">
        <v>1950</v>
      </c>
      <c r="E5883" s="750">
        <f>IF(AND($A5883=0,$A$1="DIF"),0, ROUND(ROUND(($R5891*$S$2+($T5891*$T$2))/A5883,2)*$C$2,2))</f>
        <v>9.74</v>
      </c>
      <c r="F5883" s="751">
        <f>ROUND($A5883*$E5883,2)</f>
        <v>2922</v>
      </c>
      <c r="G5883" s="752" t="s">
        <v>142</v>
      </c>
      <c r="H5883" s="753"/>
      <c r="I5883" s="754"/>
      <c r="J5883" s="753"/>
      <c r="K5883" s="753" t="s">
        <v>3</v>
      </c>
      <c r="L5883" s="755" t="s">
        <v>143</v>
      </c>
      <c r="M5883" s="755"/>
      <c r="N5883" s="755"/>
      <c r="O5883" s="755"/>
      <c r="P5883" s="755"/>
      <c r="Q5883" s="51"/>
      <c r="T5883" s="756" t="str">
        <f>IF(AND($R5891=0,$T5891=0),"0.00","mu :" &amp; ROUND($F5883/$C$2/($R5891+$T5891*$D$9),2))</f>
        <v>mu :1.23</v>
      </c>
      <c r="W5883" s="524"/>
      <c r="AG5883" s="481">
        <f>IF($E5883=0,0,ROUND($R5891*$S$2*$C$2/$A5883,2))</f>
        <v>4.1100000000000003</v>
      </c>
      <c r="AH5883" s="481">
        <f>$AG5883*$A5883</f>
        <v>1233</v>
      </c>
      <c r="AI5883" s="525">
        <f>$E5883-$AG5883</f>
        <v>5.63</v>
      </c>
      <c r="AJ5883" s="525">
        <f>$A5883*$AI5883</f>
        <v>1689</v>
      </c>
      <c r="AK5883" s="526">
        <f>ROUND(($AG5883+$AI5883)*$A5883,2)</f>
        <v>2922</v>
      </c>
      <c r="AM5883" s="527">
        <f>ROUND(R5891,2)</f>
        <v>1002.5</v>
      </c>
      <c r="AN5883" s="528">
        <f>ROUND(T5891,2)</f>
        <v>49.95</v>
      </c>
      <c r="AO5883" s="529">
        <f>ROUND(AM5883+AN5883,2)*A5883</f>
        <v>315735</v>
      </c>
      <c r="AR5883" s="747">
        <v>300</v>
      </c>
      <c r="AS5883" s="751">
        <v>3111</v>
      </c>
    </row>
    <row r="5884" spans="1:45" s="520" customFormat="1" ht="13.2">
      <c r="A5884" s="748"/>
      <c r="B5884"/>
      <c r="C5884" s="748"/>
      <c r="D5884" s="749" t="s">
        <v>927</v>
      </c>
      <c r="F5884" s="753"/>
      <c r="G5884" s="3"/>
      <c r="H5884" s="753"/>
      <c r="I5884" s="754"/>
      <c r="J5884" s="753"/>
      <c r="K5884" s="753" t="s">
        <v>144</v>
      </c>
      <c r="L5884" s="753"/>
      <c r="M5884" s="753"/>
      <c r="N5884" s="753"/>
      <c r="O5884" s="753"/>
      <c r="P5884" s="753"/>
      <c r="Q5884" s="51"/>
      <c r="R5884" s="530"/>
      <c r="S5884" s="757"/>
      <c r="T5884" s="753"/>
      <c r="AR5884" s="748"/>
      <c r="AS5884" s="753"/>
    </row>
    <row r="5885" spans="1:45" s="901" customFormat="1" ht="13.2">
      <c r="A5885">
        <v>300</v>
      </c>
      <c r="B5885" s="901" t="s">
        <v>320</v>
      </c>
      <c r="D5885" s="901" t="s">
        <v>3189</v>
      </c>
      <c r="E5885" s="901" t="s">
        <v>3238</v>
      </c>
      <c r="G5885" s="941" t="s">
        <v>3190</v>
      </c>
      <c r="H5885" s="942">
        <v>520</v>
      </c>
      <c r="I5885" s="901" t="s">
        <v>2607</v>
      </c>
      <c r="J5885" s="901" t="s">
        <v>3191</v>
      </c>
      <c r="O5885" s="943">
        <v>1</v>
      </c>
      <c r="P5885" s="944">
        <v>38087</v>
      </c>
      <c r="Q5885" s="945">
        <f>6.6/3</f>
        <v>2.1999999999999997</v>
      </c>
      <c r="R5885" s="946">
        <f>$A5885*Q5885</f>
        <v>659.99999999999989</v>
      </c>
      <c r="S5885" s="945">
        <v>0.15</v>
      </c>
      <c r="T5885" s="947">
        <f>$A5885*S5885*$T$1</f>
        <v>40.5</v>
      </c>
      <c r="AR5885">
        <v>300</v>
      </c>
    </row>
    <row r="5886" spans="1:45" s="901" customFormat="1" ht="13.2">
      <c r="A5886">
        <v>20</v>
      </c>
      <c r="B5886" s="901" t="s">
        <v>329</v>
      </c>
      <c r="D5886" s="901" t="s">
        <v>3267</v>
      </c>
      <c r="G5886" s="941" t="s">
        <v>3190</v>
      </c>
      <c r="H5886" s="942">
        <v>520</v>
      </c>
      <c r="I5886" s="901" t="s">
        <v>2607</v>
      </c>
      <c r="J5886" s="901" t="s">
        <v>3191</v>
      </c>
      <c r="O5886" s="943">
        <v>1</v>
      </c>
      <c r="P5886" s="944">
        <v>38087</v>
      </c>
      <c r="Q5886" s="945">
        <v>1.5</v>
      </c>
      <c r="R5886" s="946">
        <f>$A5886*Q5886</f>
        <v>30</v>
      </c>
      <c r="S5886" s="945">
        <v>0.15</v>
      </c>
      <c r="T5886" s="947">
        <f>$A5886*S5886*$T$1</f>
        <v>2.7</v>
      </c>
      <c r="AR5886">
        <v>20</v>
      </c>
    </row>
    <row r="5887" spans="1:45" s="901" customFormat="1" ht="13.2">
      <c r="A5887">
        <v>10</v>
      </c>
      <c r="B5887" s="901" t="s">
        <v>329</v>
      </c>
      <c r="D5887" s="901" t="s">
        <v>3263</v>
      </c>
      <c r="G5887" s="941" t="s">
        <v>3190</v>
      </c>
      <c r="H5887" s="942">
        <v>520</v>
      </c>
      <c r="I5887" s="901" t="s">
        <v>2607</v>
      </c>
      <c r="J5887" s="901" t="s">
        <v>3191</v>
      </c>
      <c r="O5887" s="943">
        <v>1</v>
      </c>
      <c r="P5887" s="944">
        <v>38087</v>
      </c>
      <c r="Q5887" s="945">
        <v>2</v>
      </c>
      <c r="R5887" s="946">
        <f>$A5887*Q5887</f>
        <v>20</v>
      </c>
      <c r="S5887" s="945">
        <v>0.15</v>
      </c>
      <c r="T5887" s="947">
        <f>$A5887*S5887*$T$1</f>
        <v>1.35</v>
      </c>
      <c r="AR5887">
        <v>10</v>
      </c>
    </row>
    <row r="5888" spans="1:45" s="901" customFormat="1" ht="13.2">
      <c r="A5888" s="116">
        <v>45</v>
      </c>
      <c r="B5888" s="901" t="s">
        <v>3192</v>
      </c>
      <c r="D5888" s="901" t="s">
        <v>3193</v>
      </c>
      <c r="G5888" s="941" t="s">
        <v>3194</v>
      </c>
      <c r="H5888" s="942">
        <v>875</v>
      </c>
      <c r="I5888" s="901" t="s">
        <v>2607</v>
      </c>
      <c r="K5888" s="901" t="s">
        <v>3195</v>
      </c>
      <c r="O5888" s="943">
        <v>1</v>
      </c>
      <c r="P5888" s="944">
        <v>38094</v>
      </c>
      <c r="Q5888" s="945">
        <v>6.5</v>
      </c>
      <c r="R5888" s="946">
        <f>$A5888*Q5888</f>
        <v>292.5</v>
      </c>
      <c r="S5888" s="945"/>
      <c r="T5888" s="947">
        <f>$A5888*S5888*$T$1</f>
        <v>0</v>
      </c>
      <c r="AR5888" s="116">
        <v>45</v>
      </c>
    </row>
    <row r="5889" spans="1:45" s="901" customFormat="1" ht="13.2">
      <c r="A5889" s="116">
        <v>1</v>
      </c>
      <c r="B5889" s="901" t="s">
        <v>141</v>
      </c>
      <c r="D5889" s="901" t="s">
        <v>3264</v>
      </c>
      <c r="E5889" s="901" t="s">
        <v>3266</v>
      </c>
      <c r="G5889" s="941" t="s">
        <v>3265</v>
      </c>
      <c r="H5889" s="942">
        <v>900</v>
      </c>
      <c r="I5889" s="901" t="s">
        <v>2596</v>
      </c>
      <c r="O5889" s="943">
        <v>1</v>
      </c>
      <c r="P5889" s="944"/>
      <c r="Q5889" s="1063"/>
      <c r="R5889" s="946">
        <f>$A5889*Q5889</f>
        <v>0</v>
      </c>
      <c r="S5889" s="945">
        <f>12*0.5</f>
        <v>6</v>
      </c>
      <c r="T5889" s="947">
        <f>$A5889*S5889*$T$1</f>
        <v>5.4</v>
      </c>
      <c r="U5889" s="901" t="s">
        <v>2764</v>
      </c>
      <c r="AR5889" s="116">
        <v>1</v>
      </c>
    </row>
    <row r="5890" spans="1:45" s="520" customFormat="1" ht="12">
      <c r="A5890" s="758"/>
      <c r="B5890" s="758"/>
      <c r="C5890" s="758"/>
      <c r="D5890" s="758"/>
      <c r="E5890" s="758"/>
      <c r="F5890" s="753"/>
      <c r="G5890" s="758"/>
      <c r="H5890" s="758"/>
      <c r="I5890" s="519"/>
      <c r="J5890" s="758"/>
      <c r="K5890" s="758"/>
      <c r="L5890" s="758"/>
      <c r="M5890" s="758"/>
      <c r="N5890" s="758"/>
      <c r="O5890" s="758"/>
      <c r="P5890" s="758"/>
      <c r="Q5890" s="519"/>
      <c r="R5890" s="759">
        <f t="shared" ref="R5890" si="354">$A5890*Q5890</f>
        <v>0</v>
      </c>
      <c r="S5890" s="519"/>
      <c r="T5890" s="760">
        <f t="shared" ref="T5890" si="355">$A5890*S5890*$T$1</f>
        <v>0</v>
      </c>
      <c r="AR5890" s="758"/>
      <c r="AS5890" s="753"/>
    </row>
    <row r="5891" spans="1:45" s="520" customFormat="1" ht="12.6" thickBot="1">
      <c r="A5891" s="761" t="s">
        <v>145</v>
      </c>
      <c r="B5891" s="762">
        <f>(R5890+T5890)</f>
        <v>0</v>
      </c>
      <c r="C5891" s="763"/>
      <c r="D5891" s="763"/>
      <c r="E5891" s="763"/>
      <c r="F5891" s="764"/>
      <c r="G5891" s="763" t="s">
        <v>146</v>
      </c>
      <c r="H5891" s="763"/>
      <c r="I5891" s="765"/>
      <c r="J5891" s="763"/>
      <c r="K5891" s="763" t="s">
        <v>3</v>
      </c>
      <c r="L5891" s="766" t="s">
        <v>143</v>
      </c>
      <c r="M5891" s="766"/>
      <c r="N5891" s="766"/>
      <c r="O5891" s="766"/>
      <c r="P5891" s="766"/>
      <c r="Q5891" s="767"/>
      <c r="R5891" s="768">
        <f>SUM(R5884:R5890)</f>
        <v>1002.4999999999999</v>
      </c>
      <c r="S5891" s="763"/>
      <c r="T5891" s="768">
        <f>SUM(T5884:T5890)</f>
        <v>49.95</v>
      </c>
      <c r="U5891" s="531"/>
      <c r="V5891" s="531"/>
      <c r="W5891" s="531"/>
      <c r="X5891" s="531"/>
      <c r="Y5891" s="531"/>
      <c r="Z5891" s="531"/>
      <c r="AA5891" s="531"/>
      <c r="AB5891" s="531"/>
      <c r="AC5891" s="531"/>
      <c r="AD5891" s="531"/>
      <c r="AE5891" s="531"/>
      <c r="AF5891" s="531"/>
      <c r="AG5891" s="531"/>
      <c r="AH5891" s="531"/>
      <c r="AI5891" s="531"/>
      <c r="AJ5891" s="531"/>
      <c r="AK5891" s="531"/>
      <c r="AL5891" s="531"/>
      <c r="AM5891" s="531"/>
      <c r="AN5891" s="531"/>
      <c r="AO5891" s="531"/>
      <c r="AR5891" s="761" t="s">
        <v>145</v>
      </c>
      <c r="AS5891" s="764"/>
    </row>
    <row r="5892" spans="1:45" s="520" customFormat="1" thickTop="1">
      <c r="A5892" s="51"/>
      <c r="B5892" s="51"/>
      <c r="C5892" s="3"/>
      <c r="D5892" s="3"/>
      <c r="E5892" s="51"/>
      <c r="F5892" s="51"/>
      <c r="G5892" s="51"/>
      <c r="H5892" s="51"/>
      <c r="I5892" s="51"/>
      <c r="J5892" s="51"/>
      <c r="K5892" s="51" t="s">
        <v>134</v>
      </c>
      <c r="L5892" s="51"/>
      <c r="M5892" s="51"/>
      <c r="N5892" s="51"/>
      <c r="O5892" s="52"/>
      <c r="P5892" s="51"/>
      <c r="Q5892" s="51"/>
      <c r="R5892" s="51"/>
      <c r="S5892" s="51"/>
      <c r="T5892" s="51"/>
      <c r="AR5892" s="51"/>
      <c r="AS5892" s="51"/>
    </row>
    <row r="5893" spans="1:45" s="520" customFormat="1" ht="12">
      <c r="A5893" s="51"/>
      <c r="B5893" s="51"/>
      <c r="C5893" s="51" t="s">
        <v>135</v>
      </c>
      <c r="D5893" s="37"/>
      <c r="E5893" s="51"/>
      <c r="F5893" s="51"/>
      <c r="G5893" s="51"/>
      <c r="H5893" s="51"/>
      <c r="I5893" s="51"/>
      <c r="J5893" s="51"/>
      <c r="K5893" s="51"/>
      <c r="L5893" s="51"/>
      <c r="M5893" s="51"/>
      <c r="N5893" s="51"/>
      <c r="O5893" s="52"/>
      <c r="P5893" s="51"/>
      <c r="Q5893" s="51"/>
      <c r="R5893" s="51"/>
      <c r="S5893" s="51"/>
      <c r="T5893" s="51"/>
      <c r="AR5893" s="51"/>
      <c r="AS5893" s="51"/>
    </row>
    <row r="5894" spans="1:45" s="520" customFormat="1" ht="12">
      <c r="A5894" s="51"/>
      <c r="B5894" s="51"/>
      <c r="C5894" s="51"/>
      <c r="D5894" s="37" t="s">
        <v>362</v>
      </c>
      <c r="E5894" s="51"/>
      <c r="F5894" s="51"/>
      <c r="G5894" s="51"/>
      <c r="H5894" s="51"/>
      <c r="I5894" s="51"/>
      <c r="J5894" s="51"/>
      <c r="K5894" s="51"/>
      <c r="L5894" s="51"/>
      <c r="M5894" s="51"/>
      <c r="N5894" s="51"/>
      <c r="O5894" s="52"/>
      <c r="P5894" s="51"/>
      <c r="Q5894" s="51"/>
      <c r="R5894" s="51"/>
      <c r="S5894" s="38"/>
      <c r="T5894" s="38"/>
      <c r="AR5894" s="51"/>
      <c r="AS5894" s="51"/>
    </row>
    <row r="5895" spans="1:45" s="3" customFormat="1" thickBot="1">
      <c r="A5895" s="531"/>
      <c r="O5895" s="107"/>
      <c r="AR5895" s="531"/>
    </row>
    <row r="5896" spans="1:45" s="520" customFormat="1" thickTop="1">
      <c r="A5896" s="51"/>
      <c r="B5896" s="51"/>
      <c r="C5896" s="3"/>
      <c r="D5896" s="3"/>
      <c r="E5896" s="51"/>
      <c r="F5896" s="51"/>
      <c r="G5896" s="51"/>
      <c r="H5896" s="51"/>
      <c r="I5896" s="51"/>
      <c r="J5896" s="51"/>
      <c r="K5896" s="51" t="s">
        <v>134</v>
      </c>
      <c r="L5896" s="51"/>
      <c r="M5896" s="51"/>
      <c r="N5896" s="51"/>
      <c r="O5896" s="52"/>
      <c r="P5896" s="51"/>
      <c r="Q5896" s="51"/>
      <c r="R5896" s="51"/>
      <c r="S5896" s="51"/>
      <c r="T5896" s="51"/>
      <c r="AR5896" s="51"/>
      <c r="AS5896" s="51"/>
    </row>
    <row r="5897" spans="1:45" s="520" customFormat="1" ht="12">
      <c r="A5897" s="51"/>
      <c r="B5897" s="51"/>
      <c r="C5897" s="51" t="s">
        <v>135</v>
      </c>
      <c r="D5897" s="37"/>
      <c r="E5897" s="51"/>
      <c r="F5897" s="51"/>
      <c r="G5897" s="51"/>
      <c r="H5897" s="51"/>
      <c r="I5897" s="51"/>
      <c r="J5897" s="51"/>
      <c r="K5897" s="51"/>
      <c r="L5897" s="51"/>
      <c r="M5897" s="51"/>
      <c r="N5897" s="51"/>
      <c r="O5897" s="52"/>
      <c r="P5897" s="51"/>
      <c r="Q5897" s="51"/>
      <c r="R5897" s="51"/>
      <c r="S5897" s="51"/>
      <c r="T5897" s="51"/>
      <c r="AR5897" s="51"/>
      <c r="AS5897" s="51"/>
    </row>
    <row r="5898" spans="1:45" s="520" customFormat="1" ht="12">
      <c r="A5898" s="51"/>
      <c r="B5898" s="51"/>
      <c r="C5898" s="51"/>
      <c r="D5898" s="37" t="s">
        <v>910</v>
      </c>
      <c r="E5898" s="51"/>
      <c r="F5898" s="51"/>
      <c r="G5898" s="51"/>
      <c r="H5898" s="51"/>
      <c r="I5898" s="51"/>
      <c r="J5898" s="51"/>
      <c r="K5898" s="51"/>
      <c r="L5898" s="51"/>
      <c r="M5898" s="51"/>
      <c r="N5898" s="51"/>
      <c r="O5898" s="52"/>
      <c r="P5898" s="51"/>
      <c r="Q5898" s="51"/>
      <c r="R5898" s="51"/>
      <c r="S5898" s="38"/>
      <c r="T5898" s="38"/>
      <c r="AR5898" s="51"/>
      <c r="AS5898" s="51"/>
    </row>
    <row r="5899" spans="1:45" s="3" customFormat="1" thickBot="1">
      <c r="A5899" s="531"/>
      <c r="O5899" s="107"/>
      <c r="AR5899" s="531"/>
    </row>
    <row r="5900" spans="1:45" s="520" customFormat="1" ht="12" thickTop="1">
      <c r="A5900" s="51"/>
      <c r="B5900" s="41"/>
      <c r="C5900" s="51"/>
      <c r="E5900" s="42" t="s">
        <v>138</v>
      </c>
      <c r="F5900" s="42" t="s">
        <v>139</v>
      </c>
      <c r="G5900" s="51"/>
      <c r="H5900" s="51"/>
      <c r="I5900" s="51"/>
      <c r="J5900" s="51"/>
      <c r="K5900" s="51" t="s">
        <v>140</v>
      </c>
      <c r="L5900" s="51"/>
      <c r="M5900" s="51"/>
      <c r="N5900" s="51"/>
      <c r="O5900" s="52"/>
      <c r="P5900" s="51"/>
      <c r="Q5900" s="51"/>
      <c r="R5900" s="51"/>
      <c r="S5900" s="51"/>
      <c r="T5900" s="41"/>
      <c r="AG5900" s="521" t="s">
        <v>268</v>
      </c>
      <c r="AH5900" s="521" t="s">
        <v>269</v>
      </c>
      <c r="AI5900" s="521" t="s">
        <v>270</v>
      </c>
      <c r="AJ5900" s="521" t="s">
        <v>271</v>
      </c>
      <c r="AK5900" s="521" t="s">
        <v>272</v>
      </c>
      <c r="AM5900" s="745" t="s">
        <v>281</v>
      </c>
      <c r="AN5900" s="746" t="s">
        <v>282</v>
      </c>
      <c r="AO5900" s="522" t="s">
        <v>278</v>
      </c>
      <c r="AR5900" s="51"/>
      <c r="AS5900" s="42" t="s">
        <v>139</v>
      </c>
    </row>
    <row r="5901" spans="1:45" s="520" customFormat="1" ht="12" customHeight="1">
      <c r="A5901" s="747">
        <v>25</v>
      </c>
      <c r="B5901" s="523" t="s">
        <v>320</v>
      </c>
      <c r="C5901" s="748"/>
      <c r="D5901" s="749" t="s">
        <v>1951</v>
      </c>
      <c r="E5901" s="750">
        <f ca="1">IF(AND($A5901=0,$A$1="DIF"),0, ROUND(ROUND(($R5908*$S$2+($T5908*$T$2))/A5901,2)*$C$2,2))</f>
        <v>16.87</v>
      </c>
      <c r="F5901" s="751">
        <f ca="1">ROUND($A5901*$E5901,2)</f>
        <v>421.75</v>
      </c>
      <c r="G5901" s="752" t="s">
        <v>142</v>
      </c>
      <c r="H5901" s="753"/>
      <c r="I5901" s="754"/>
      <c r="J5901" s="753"/>
      <c r="K5901" s="753" t="s">
        <v>3</v>
      </c>
      <c r="L5901" s="755" t="s">
        <v>143</v>
      </c>
      <c r="M5901" s="755"/>
      <c r="N5901" s="755"/>
      <c r="O5901" s="755"/>
      <c r="P5901" s="755"/>
      <c r="Q5901" s="51"/>
      <c r="T5901" s="756" t="str">
        <f ca="1">IF(AND($R5908=0,$T5908=0),"0.00","mu :" &amp; ROUND($F5901/$C$2/($R5908+$T5908*$D$9),2))</f>
        <v>mu :1.23</v>
      </c>
      <c r="W5901" s="524"/>
      <c r="AG5901" s="481">
        <f ca="1">IF($E5901=0,0,ROUND($R5908*$S$2*$C$2/$A5901,2))</f>
        <v>7.75</v>
      </c>
      <c r="AH5901" s="481">
        <f ca="1">$AG5901*$A5901</f>
        <v>193.75</v>
      </c>
      <c r="AI5901" s="525">
        <f ca="1">$E5901-$AG5901</f>
        <v>9.120000000000001</v>
      </c>
      <c r="AJ5901" s="525">
        <f ca="1">$A5901*$AI5901</f>
        <v>228.00000000000003</v>
      </c>
      <c r="AK5901" s="526">
        <f ca="1">ROUND(($AG5901+$AI5901)*$A5901,2)</f>
        <v>421.75</v>
      </c>
      <c r="AM5901" s="527">
        <f ca="1">ROUND(R5908,2)</f>
        <v>157.25</v>
      </c>
      <c r="AN5901" s="528">
        <f ca="1">ROUND(T5908,2)</f>
        <v>6.75</v>
      </c>
      <c r="AO5901" s="529">
        <f ca="1">ROUND(AM5901+AN5901,2)*A5901</f>
        <v>4100</v>
      </c>
      <c r="AR5901" s="747">
        <v>25</v>
      </c>
      <c r="AS5901" s="751">
        <v>447.25</v>
      </c>
    </row>
    <row r="5902" spans="1:45" s="520" customFormat="1" ht="13.2">
      <c r="A5902" s="748"/>
      <c r="B5902"/>
      <c r="C5902" s="748"/>
      <c r="D5902" s="749" t="s">
        <v>912</v>
      </c>
      <c r="F5902" s="753"/>
      <c r="G5902" s="3"/>
      <c r="H5902" s="753"/>
      <c r="I5902" s="754"/>
      <c r="J5902" s="753"/>
      <c r="K5902" s="753" t="s">
        <v>144</v>
      </c>
      <c r="L5902" s="753"/>
      <c r="M5902" s="753"/>
      <c r="N5902" s="753"/>
      <c r="O5902" s="753"/>
      <c r="P5902" s="753"/>
      <c r="Q5902" s="51"/>
      <c r="R5902" s="530"/>
      <c r="S5902" s="757"/>
      <c r="T5902" s="753"/>
      <c r="AR5902" s="748"/>
      <c r="AS5902" s="753"/>
    </row>
    <row r="5903" spans="1:45" s="886" customFormat="1" ht="13.2">
      <c r="A5903"/>
      <c r="B5903" s="910"/>
      <c r="C5903" s="910" t="s">
        <v>2597</v>
      </c>
      <c r="D5903" s="910" t="str">
        <f ca="1">CELL("Address",Elec_Rates!D$785)</f>
        <v>[E25_0062_Quintano_Foods_Elec_ELV_As_Awarded.xlsx]Elec_Rates!$D$785</v>
      </c>
      <c r="E5903" s="911"/>
      <c r="F5903" s="911"/>
      <c r="G5903" s="912" t="s">
        <v>2598</v>
      </c>
      <c r="H5903" s="912"/>
      <c r="I5903" s="912"/>
      <c r="J5903" s="912"/>
      <c r="K5903" s="913"/>
      <c r="L5903" s="911"/>
      <c r="M5903" s="911"/>
      <c r="N5903" s="911"/>
      <c r="O5903" s="914"/>
      <c r="P5903" s="911"/>
      <c r="Q5903" s="915"/>
      <c r="R5903" s="916"/>
      <c r="S5903" s="915"/>
      <c r="T5903" s="917"/>
      <c r="U5903" s="918"/>
      <c r="AR5903"/>
      <c r="AS5903" s="911"/>
    </row>
    <row r="5904" spans="1:45" s="886" customFormat="1" ht="11.4">
      <c r="A5904" s="919">
        <v>25</v>
      </c>
      <c r="B5904" s="920">
        <v>1</v>
      </c>
      <c r="C5904" s="920">
        <f>$A5904*$B5904</f>
        <v>25</v>
      </c>
      <c r="D5904" s="921" t="str">
        <f>Elec_Rates!$D$785</f>
        <v>075# 100mm cable Tray</v>
      </c>
      <c r="E5904" s="921"/>
      <c r="F5904" s="921" t="s">
        <v>2599</v>
      </c>
      <c r="G5904" s="922" t="s">
        <v>2601</v>
      </c>
      <c r="H5904" s="922"/>
      <c r="I5904" s="922"/>
      <c r="J5904" s="922"/>
      <c r="K5904" s="923"/>
      <c r="L5904" s="918"/>
      <c r="M5904" s="918"/>
      <c r="N5904" s="918"/>
      <c r="O5904" s="924"/>
      <c r="P5904" s="921"/>
      <c r="Q5904" s="925">
        <f ca="1">$B5904*Elec_Rates!$R$785</f>
        <v>3.92</v>
      </c>
      <c r="R5904" s="916">
        <f ca="1">$A5904*Q5904</f>
        <v>98</v>
      </c>
      <c r="S5904" s="925">
        <f ca="1">$B5904*Elec_Rates!$T$785</f>
        <v>0.18</v>
      </c>
      <c r="T5904" s="917">
        <f ca="1">$A5904*S5904</f>
        <v>4.5</v>
      </c>
      <c r="U5904" s="926"/>
      <c r="AR5904" s="919">
        <v>25</v>
      </c>
      <c r="AS5904" s="921" t="s">
        <v>2599</v>
      </c>
    </row>
    <row r="5905" spans="1:45" s="886" customFormat="1" ht="13.2">
      <c r="A5905"/>
      <c r="B5905" s="910"/>
      <c r="C5905" s="910" t="s">
        <v>2597</v>
      </c>
      <c r="D5905" s="910" t="str">
        <f ca="1">CELL("Address",Elec_Rates!D$907)</f>
        <v>[E25_0062_Quintano_Foods_Elec_ELV_As_Awarded.xlsx]Elec_Rates!$D$907</v>
      </c>
      <c r="E5905" s="911"/>
      <c r="F5905" s="911"/>
      <c r="G5905" s="912" t="s">
        <v>2598</v>
      </c>
      <c r="H5905" s="912"/>
      <c r="I5905" s="912"/>
      <c r="J5905" s="912"/>
      <c r="K5905" s="913"/>
      <c r="L5905" s="911"/>
      <c r="M5905" s="911"/>
      <c r="N5905" s="911"/>
      <c r="O5905" s="914"/>
      <c r="P5905" s="911"/>
      <c r="Q5905" s="915"/>
      <c r="R5905" s="916"/>
      <c r="S5905" s="915"/>
      <c r="T5905" s="917"/>
      <c r="U5905" s="918"/>
      <c r="AR5905"/>
      <c r="AS5905" s="911"/>
    </row>
    <row r="5906" spans="1:45" s="886" customFormat="1" ht="11.4">
      <c r="A5906" s="919">
        <v>25</v>
      </c>
      <c r="B5906" s="920">
        <v>1</v>
      </c>
      <c r="C5906" s="920">
        <f>$A5906*$B5906</f>
        <v>25</v>
      </c>
      <c r="D5906" s="921" t="str">
        <f>Elec_Rates!$D$907</f>
        <v>084# Bracket for 50-150mm cable tray/basket/trunking</v>
      </c>
      <c r="E5906" s="921"/>
      <c r="F5906" s="921" t="s">
        <v>2599</v>
      </c>
      <c r="G5906" s="922" t="s">
        <v>2600</v>
      </c>
      <c r="H5906" s="922"/>
      <c r="I5906" s="922"/>
      <c r="J5906" s="922"/>
      <c r="K5906" s="923"/>
      <c r="L5906" s="918"/>
      <c r="M5906" s="918"/>
      <c r="N5906" s="918"/>
      <c r="O5906" s="924"/>
      <c r="P5906" s="921"/>
      <c r="Q5906" s="925">
        <f ca="1">$B5906*Elec_Rates!$R$907</f>
        <v>2.37</v>
      </c>
      <c r="R5906" s="916">
        <f ca="1">$A5906*Q5906</f>
        <v>59.25</v>
      </c>
      <c r="S5906" s="925">
        <f ca="1">$B5906*Elec_Rates!$T$907</f>
        <v>0.09</v>
      </c>
      <c r="T5906" s="917">
        <f ca="1">$A5906*S5906</f>
        <v>2.25</v>
      </c>
      <c r="U5906" s="926"/>
      <c r="AR5906" s="919">
        <v>25</v>
      </c>
      <c r="AS5906" s="921" t="s">
        <v>2599</v>
      </c>
    </row>
    <row r="5907" spans="1:45" s="520" customFormat="1" ht="12">
      <c r="A5907" s="758"/>
      <c r="B5907" s="758"/>
      <c r="C5907" s="758"/>
      <c r="D5907" s="758"/>
      <c r="E5907" s="758"/>
      <c r="F5907" s="753"/>
      <c r="G5907" s="758"/>
      <c r="H5907" s="758"/>
      <c r="I5907" s="519"/>
      <c r="J5907" s="758"/>
      <c r="K5907" s="758"/>
      <c r="L5907" s="758"/>
      <c r="M5907" s="758"/>
      <c r="N5907" s="758"/>
      <c r="O5907" s="758"/>
      <c r="P5907" s="758"/>
      <c r="Q5907" s="519"/>
      <c r="R5907" s="759">
        <f t="shared" ref="R5907" si="356">$A5907*Q5907</f>
        <v>0</v>
      </c>
      <c r="S5907" s="519"/>
      <c r="T5907" s="760">
        <f t="shared" ref="T5907" si="357">$A5907*S5907*$T$1</f>
        <v>0</v>
      </c>
      <c r="AR5907" s="758"/>
      <c r="AS5907" s="753"/>
    </row>
    <row r="5908" spans="1:45" s="520" customFormat="1" ht="12.6" thickBot="1">
      <c r="A5908" s="761" t="s">
        <v>145</v>
      </c>
      <c r="B5908" s="762">
        <f>(R5907+T5907)</f>
        <v>0</v>
      </c>
      <c r="C5908" s="763"/>
      <c r="D5908" s="763"/>
      <c r="E5908" s="763"/>
      <c r="F5908" s="764"/>
      <c r="G5908" s="763" t="s">
        <v>146</v>
      </c>
      <c r="H5908" s="763"/>
      <c r="I5908" s="765"/>
      <c r="J5908" s="763"/>
      <c r="K5908" s="763" t="s">
        <v>3</v>
      </c>
      <c r="L5908" s="766" t="s">
        <v>143</v>
      </c>
      <c r="M5908" s="766"/>
      <c r="N5908" s="766"/>
      <c r="O5908" s="766"/>
      <c r="P5908" s="766"/>
      <c r="Q5908" s="767"/>
      <c r="R5908" s="768">
        <f ca="1">SUM(R5902:R5907)</f>
        <v>157.25</v>
      </c>
      <c r="S5908" s="763"/>
      <c r="T5908" s="768">
        <f ca="1">SUM(T5902:T5907)</f>
        <v>6.75</v>
      </c>
      <c r="U5908" s="531"/>
      <c r="V5908" s="531"/>
      <c r="W5908" s="531"/>
      <c r="X5908" s="531"/>
      <c r="Y5908" s="531"/>
      <c r="Z5908" s="531"/>
      <c r="AA5908" s="531"/>
      <c r="AB5908" s="531"/>
      <c r="AC5908" s="531"/>
      <c r="AD5908" s="531"/>
      <c r="AE5908" s="531"/>
      <c r="AF5908" s="531"/>
      <c r="AG5908" s="531"/>
      <c r="AH5908" s="531"/>
      <c r="AI5908" s="531"/>
      <c r="AJ5908" s="531"/>
      <c r="AK5908" s="531"/>
      <c r="AL5908" s="531"/>
      <c r="AM5908" s="531"/>
      <c r="AN5908" s="531"/>
      <c r="AO5908" s="531"/>
      <c r="AR5908" s="761" t="s">
        <v>145</v>
      </c>
      <c r="AS5908" s="764"/>
    </row>
    <row r="5909" spans="1:45" s="520" customFormat="1" thickTop="1">
      <c r="A5909" s="51"/>
      <c r="B5909" s="51"/>
      <c r="C5909" s="3"/>
      <c r="D5909" s="3"/>
      <c r="E5909" s="51"/>
      <c r="F5909" s="51"/>
      <c r="G5909" s="51"/>
      <c r="H5909" s="51"/>
      <c r="I5909" s="51"/>
      <c r="J5909" s="51"/>
      <c r="K5909" s="51" t="s">
        <v>134</v>
      </c>
      <c r="L5909" s="51"/>
      <c r="M5909" s="51"/>
      <c r="N5909" s="51"/>
      <c r="O5909" s="52"/>
      <c r="P5909" s="51"/>
      <c r="Q5909" s="51"/>
      <c r="R5909" s="51"/>
      <c r="S5909" s="51"/>
      <c r="T5909" s="51"/>
      <c r="AR5909" s="51"/>
      <c r="AS5909" s="51"/>
    </row>
    <row r="5910" spans="1:45" s="520" customFormat="1" ht="12">
      <c r="A5910" s="51"/>
      <c r="B5910" s="51"/>
      <c r="C5910" s="51" t="s">
        <v>135</v>
      </c>
      <c r="D5910" s="37"/>
      <c r="E5910" s="51"/>
      <c r="F5910" s="51"/>
      <c r="G5910" s="51"/>
      <c r="H5910" s="51"/>
      <c r="I5910" s="51"/>
      <c r="J5910" s="51"/>
      <c r="K5910" s="51"/>
      <c r="L5910" s="51"/>
      <c r="M5910" s="51"/>
      <c r="N5910" s="51"/>
      <c r="O5910" s="52"/>
      <c r="P5910" s="51"/>
      <c r="Q5910" s="51"/>
      <c r="R5910" s="51"/>
      <c r="S5910" s="51"/>
      <c r="T5910" s="51"/>
      <c r="AR5910" s="51"/>
      <c r="AS5910" s="51"/>
    </row>
    <row r="5911" spans="1:45" s="520" customFormat="1" ht="12">
      <c r="A5911" s="51"/>
      <c r="B5911" s="51"/>
      <c r="C5911" s="51"/>
      <c r="D5911" s="37" t="s">
        <v>928</v>
      </c>
      <c r="E5911" s="51"/>
      <c r="F5911" s="51"/>
      <c r="G5911" s="51"/>
      <c r="H5911" s="51"/>
      <c r="I5911" s="51"/>
      <c r="J5911" s="51"/>
      <c r="K5911" s="51"/>
      <c r="L5911" s="51"/>
      <c r="M5911" s="51"/>
      <c r="N5911" s="51"/>
      <c r="O5911" s="52"/>
      <c r="P5911" s="51"/>
      <c r="Q5911" s="51"/>
      <c r="R5911" s="51"/>
      <c r="S5911" s="38"/>
      <c r="T5911" s="38"/>
      <c r="AR5911" s="51"/>
      <c r="AS5911" s="51"/>
    </row>
    <row r="5912" spans="1:45" s="3" customFormat="1" thickBot="1">
      <c r="A5912" s="531"/>
      <c r="O5912" s="107"/>
      <c r="AR5912" s="531"/>
    </row>
    <row r="5913" spans="1:45" s="520" customFormat="1" ht="12" thickTop="1">
      <c r="A5913" s="51"/>
      <c r="B5913" s="41"/>
      <c r="C5913" s="51"/>
      <c r="E5913" s="42" t="s">
        <v>138</v>
      </c>
      <c r="F5913" s="42" t="s">
        <v>139</v>
      </c>
      <c r="G5913" s="51"/>
      <c r="H5913" s="51"/>
      <c r="I5913" s="51"/>
      <c r="J5913" s="51"/>
      <c r="K5913" s="51" t="s">
        <v>140</v>
      </c>
      <c r="L5913" s="51"/>
      <c r="M5913" s="51"/>
      <c r="N5913" s="51"/>
      <c r="O5913" s="52"/>
      <c r="P5913" s="51"/>
      <c r="Q5913" s="51"/>
      <c r="R5913" s="51"/>
      <c r="S5913" s="51"/>
      <c r="T5913" s="41"/>
      <c r="AG5913" s="521" t="s">
        <v>268</v>
      </c>
      <c r="AH5913" s="521" t="s">
        <v>269</v>
      </c>
      <c r="AI5913" s="521" t="s">
        <v>270</v>
      </c>
      <c r="AJ5913" s="521" t="s">
        <v>271</v>
      </c>
      <c r="AK5913" s="521" t="s">
        <v>272</v>
      </c>
      <c r="AM5913" s="745" t="s">
        <v>281</v>
      </c>
      <c r="AN5913" s="746" t="s">
        <v>282</v>
      </c>
      <c r="AO5913" s="522" t="s">
        <v>278</v>
      </c>
      <c r="AR5913" s="51"/>
      <c r="AS5913" s="42" t="s">
        <v>139</v>
      </c>
    </row>
    <row r="5914" spans="1:45" s="520" customFormat="1" ht="12" customHeight="1">
      <c r="A5914" s="747">
        <v>20</v>
      </c>
      <c r="B5914" s="523" t="s">
        <v>320</v>
      </c>
      <c r="C5914" s="748"/>
      <c r="D5914" s="749" t="s">
        <v>1953</v>
      </c>
      <c r="E5914" s="750">
        <f ca="1">IF(AND($A5914=0,$A$1="DIF"),0, ROUND(ROUND(($R5921*$S$2+($T5921*$T$2))/A5914,2)*$C$2,2))</f>
        <v>16.87</v>
      </c>
      <c r="F5914" s="751">
        <f ca="1">ROUND($A5914*$E5914,2)</f>
        <v>337.4</v>
      </c>
      <c r="G5914" s="752" t="s">
        <v>142</v>
      </c>
      <c r="H5914" s="753"/>
      <c r="I5914" s="754"/>
      <c r="J5914" s="753"/>
      <c r="K5914" s="753" t="s">
        <v>3</v>
      </c>
      <c r="L5914" s="755" t="s">
        <v>143</v>
      </c>
      <c r="M5914" s="755"/>
      <c r="N5914" s="755"/>
      <c r="O5914" s="755"/>
      <c r="P5914" s="755"/>
      <c r="Q5914" s="51"/>
      <c r="T5914" s="756" t="str">
        <f ca="1">IF(AND($R5921=0,$T5921=0),"0.00","mu :" &amp; ROUND($F5914/$C$2/($R5921+$T5921*$D$9),2))</f>
        <v>mu :1.23</v>
      </c>
      <c r="W5914" s="524"/>
      <c r="AG5914" s="481">
        <f ca="1">IF($E5914=0,0,ROUND($R5921*$S$2*$C$2/$A5914,2))</f>
        <v>7.75</v>
      </c>
      <c r="AH5914" s="481">
        <f ca="1">$AG5914*$A5914</f>
        <v>155</v>
      </c>
      <c r="AI5914" s="525">
        <f ca="1">$E5914-$AG5914</f>
        <v>9.120000000000001</v>
      </c>
      <c r="AJ5914" s="525">
        <f ca="1">$A5914*$AI5914</f>
        <v>182.40000000000003</v>
      </c>
      <c r="AK5914" s="526">
        <f ca="1">ROUND(($AG5914+$AI5914)*$A5914,2)</f>
        <v>337.4</v>
      </c>
      <c r="AM5914" s="527">
        <f ca="1">ROUND(R5921,2)</f>
        <v>125.8</v>
      </c>
      <c r="AN5914" s="528">
        <f ca="1">ROUND(T5921,2)</f>
        <v>5.4</v>
      </c>
      <c r="AO5914" s="529">
        <f ca="1">ROUND(AM5914+AN5914,2)*A5914</f>
        <v>2624</v>
      </c>
      <c r="AR5914" s="747">
        <v>20</v>
      </c>
      <c r="AS5914" s="751">
        <v>357.8</v>
      </c>
    </row>
    <row r="5915" spans="1:45" s="520" customFormat="1" ht="13.2">
      <c r="A5915" s="748"/>
      <c r="B5915"/>
      <c r="C5915" s="748"/>
      <c r="D5915" s="749" t="s">
        <v>912</v>
      </c>
      <c r="F5915" s="753"/>
      <c r="G5915" s="3"/>
      <c r="H5915" s="753"/>
      <c r="I5915" s="754"/>
      <c r="J5915" s="753"/>
      <c r="K5915" s="753" t="s">
        <v>144</v>
      </c>
      <c r="L5915" s="753"/>
      <c r="M5915" s="753"/>
      <c r="N5915" s="753"/>
      <c r="O5915" s="753"/>
      <c r="P5915" s="753"/>
      <c r="Q5915" s="51"/>
      <c r="R5915" s="530"/>
      <c r="S5915" s="757"/>
      <c r="T5915" s="753"/>
      <c r="AR5915" s="748"/>
      <c r="AS5915" s="753"/>
    </row>
    <row r="5916" spans="1:45" s="886" customFormat="1" ht="13.2">
      <c r="A5916"/>
      <c r="B5916" s="910"/>
      <c r="C5916" s="910" t="s">
        <v>2597</v>
      </c>
      <c r="D5916" s="910" t="str">
        <f ca="1">CELL("Address",Elec_Rates!D$785)</f>
        <v>[E25_0062_Quintano_Foods_Elec_ELV_As_Awarded.xlsx]Elec_Rates!$D$785</v>
      </c>
      <c r="E5916" s="911"/>
      <c r="F5916" s="911"/>
      <c r="G5916" s="912" t="s">
        <v>2598</v>
      </c>
      <c r="H5916" s="912"/>
      <c r="I5916" s="912"/>
      <c r="J5916" s="912"/>
      <c r="K5916" s="913"/>
      <c r="L5916" s="911"/>
      <c r="M5916" s="911"/>
      <c r="N5916" s="911"/>
      <c r="O5916" s="914"/>
      <c r="P5916" s="911"/>
      <c r="Q5916" s="915"/>
      <c r="R5916" s="916"/>
      <c r="S5916" s="915"/>
      <c r="T5916" s="917"/>
      <c r="U5916" s="918"/>
      <c r="AR5916"/>
      <c r="AS5916" s="911"/>
    </row>
    <row r="5917" spans="1:45" s="886" customFormat="1" ht="11.4">
      <c r="A5917" s="919">
        <v>20</v>
      </c>
      <c r="B5917" s="920">
        <v>1</v>
      </c>
      <c r="C5917" s="920">
        <f>$A5917*$B5917</f>
        <v>20</v>
      </c>
      <c r="D5917" s="921" t="str">
        <f>Elec_Rates!$D$785</f>
        <v>075# 100mm cable Tray</v>
      </c>
      <c r="E5917" s="921"/>
      <c r="F5917" s="921" t="s">
        <v>2599</v>
      </c>
      <c r="G5917" s="922" t="s">
        <v>2601</v>
      </c>
      <c r="H5917" s="922"/>
      <c r="I5917" s="922"/>
      <c r="J5917" s="922"/>
      <c r="K5917" s="923"/>
      <c r="L5917" s="918"/>
      <c r="M5917" s="918"/>
      <c r="N5917" s="918"/>
      <c r="O5917" s="924"/>
      <c r="P5917" s="921"/>
      <c r="Q5917" s="925">
        <f ca="1">$B5917*Elec_Rates!$R$785</f>
        <v>3.92</v>
      </c>
      <c r="R5917" s="916">
        <f ca="1">$A5917*Q5917</f>
        <v>78.400000000000006</v>
      </c>
      <c r="S5917" s="925">
        <f ca="1">$B5917*Elec_Rates!$T$785</f>
        <v>0.18</v>
      </c>
      <c r="T5917" s="917">
        <f ca="1">$A5917*S5917</f>
        <v>3.5999999999999996</v>
      </c>
      <c r="U5917" s="926"/>
      <c r="AR5917" s="919">
        <v>20</v>
      </c>
      <c r="AS5917" s="921" t="s">
        <v>2599</v>
      </c>
    </row>
    <row r="5918" spans="1:45" s="886" customFormat="1" ht="13.2">
      <c r="A5918"/>
      <c r="B5918" s="910"/>
      <c r="C5918" s="910" t="s">
        <v>2597</v>
      </c>
      <c r="D5918" s="910" t="str">
        <f ca="1">CELL("Address",Elec_Rates!D$907)</f>
        <v>[E25_0062_Quintano_Foods_Elec_ELV_As_Awarded.xlsx]Elec_Rates!$D$907</v>
      </c>
      <c r="E5918" s="911"/>
      <c r="F5918" s="911"/>
      <c r="G5918" s="912" t="s">
        <v>2598</v>
      </c>
      <c r="H5918" s="912"/>
      <c r="I5918" s="912"/>
      <c r="J5918" s="912"/>
      <c r="K5918" s="913"/>
      <c r="L5918" s="911"/>
      <c r="M5918" s="911"/>
      <c r="N5918" s="911"/>
      <c r="O5918" s="914"/>
      <c r="P5918" s="911"/>
      <c r="Q5918" s="915"/>
      <c r="R5918" s="916"/>
      <c r="S5918" s="915"/>
      <c r="T5918" s="917"/>
      <c r="U5918" s="918"/>
      <c r="AR5918"/>
      <c r="AS5918" s="911"/>
    </row>
    <row r="5919" spans="1:45" s="886" customFormat="1" ht="11.4">
      <c r="A5919" s="919">
        <v>20</v>
      </c>
      <c r="B5919" s="920">
        <v>1</v>
      </c>
      <c r="C5919" s="920">
        <f>$A5919*$B5919</f>
        <v>20</v>
      </c>
      <c r="D5919" s="921" t="str">
        <f>Elec_Rates!$D$907</f>
        <v>084# Bracket for 50-150mm cable tray/basket/trunking</v>
      </c>
      <c r="E5919" s="921"/>
      <c r="F5919" s="921" t="s">
        <v>2599</v>
      </c>
      <c r="G5919" s="922" t="s">
        <v>2600</v>
      </c>
      <c r="H5919" s="922"/>
      <c r="I5919" s="922"/>
      <c r="J5919" s="922"/>
      <c r="K5919" s="923"/>
      <c r="L5919" s="918"/>
      <c r="M5919" s="918"/>
      <c r="N5919" s="918"/>
      <c r="O5919" s="924"/>
      <c r="P5919" s="921"/>
      <c r="Q5919" s="925">
        <f ca="1">$B5919*Elec_Rates!$R$907</f>
        <v>2.37</v>
      </c>
      <c r="R5919" s="916">
        <f ca="1">$A5919*Q5919</f>
        <v>47.400000000000006</v>
      </c>
      <c r="S5919" s="925">
        <f ca="1">$B5919*Elec_Rates!$T$907</f>
        <v>0.09</v>
      </c>
      <c r="T5919" s="917">
        <f ca="1">$A5919*S5919</f>
        <v>1.7999999999999998</v>
      </c>
      <c r="U5919" s="926"/>
      <c r="AR5919" s="919">
        <v>20</v>
      </c>
      <c r="AS5919" s="921" t="s">
        <v>2599</v>
      </c>
    </row>
    <row r="5920" spans="1:45" s="520" customFormat="1" ht="12">
      <c r="A5920" s="758"/>
      <c r="B5920" s="758"/>
      <c r="C5920" s="758"/>
      <c r="D5920" s="758"/>
      <c r="E5920" s="758"/>
      <c r="F5920" s="753"/>
      <c r="G5920" s="758"/>
      <c r="H5920" s="758"/>
      <c r="I5920" s="519"/>
      <c r="J5920" s="758"/>
      <c r="K5920" s="758"/>
      <c r="L5920" s="758"/>
      <c r="M5920" s="758"/>
      <c r="N5920" s="758"/>
      <c r="O5920" s="758"/>
      <c r="P5920" s="758"/>
      <c r="Q5920" s="519"/>
      <c r="R5920" s="759">
        <f t="shared" ref="R5920" si="358">$A5920*Q5920</f>
        <v>0</v>
      </c>
      <c r="S5920" s="519"/>
      <c r="T5920" s="760">
        <f t="shared" ref="T5920" si="359">$A5920*S5920*$T$1</f>
        <v>0</v>
      </c>
      <c r="AR5920" s="758"/>
      <c r="AS5920" s="753"/>
    </row>
    <row r="5921" spans="1:45" s="520" customFormat="1" ht="12.6" thickBot="1">
      <c r="A5921" s="761" t="s">
        <v>145</v>
      </c>
      <c r="B5921" s="762">
        <f>(R5920+T5920)</f>
        <v>0</v>
      </c>
      <c r="C5921" s="763"/>
      <c r="D5921" s="763"/>
      <c r="E5921" s="763"/>
      <c r="F5921" s="764"/>
      <c r="G5921" s="763" t="s">
        <v>146</v>
      </c>
      <c r="H5921" s="763"/>
      <c r="I5921" s="765"/>
      <c r="J5921" s="763"/>
      <c r="K5921" s="763" t="s">
        <v>3</v>
      </c>
      <c r="L5921" s="766" t="s">
        <v>143</v>
      </c>
      <c r="M5921" s="766"/>
      <c r="N5921" s="766"/>
      <c r="O5921" s="766"/>
      <c r="P5921" s="766"/>
      <c r="Q5921" s="767"/>
      <c r="R5921" s="768">
        <f ca="1">SUM(R5915:R5920)</f>
        <v>125.80000000000001</v>
      </c>
      <c r="S5921" s="763"/>
      <c r="T5921" s="768">
        <f ca="1">SUM(T5915:T5920)</f>
        <v>5.3999999999999995</v>
      </c>
      <c r="U5921" s="531"/>
      <c r="V5921" s="531"/>
      <c r="W5921" s="531"/>
      <c r="X5921" s="531"/>
      <c r="Y5921" s="531"/>
      <c r="Z5921" s="531"/>
      <c r="AA5921" s="531"/>
      <c r="AB5921" s="531"/>
      <c r="AC5921" s="531"/>
      <c r="AD5921" s="531"/>
      <c r="AE5921" s="531"/>
      <c r="AF5921" s="531"/>
      <c r="AG5921" s="531"/>
      <c r="AH5921" s="531"/>
      <c r="AI5921" s="531"/>
      <c r="AJ5921" s="531"/>
      <c r="AK5921" s="531"/>
      <c r="AL5921" s="531"/>
      <c r="AM5921" s="531"/>
      <c r="AN5921" s="531"/>
      <c r="AO5921" s="531"/>
      <c r="AR5921" s="761" t="s">
        <v>145</v>
      </c>
      <c r="AS5921" s="764"/>
    </row>
    <row r="5922" spans="1:45" s="520" customFormat="1" thickTop="1">
      <c r="A5922" s="51"/>
      <c r="B5922" s="51"/>
      <c r="C5922" s="3"/>
      <c r="D5922" s="3"/>
      <c r="E5922" s="51"/>
      <c r="F5922" s="51"/>
      <c r="G5922" s="51"/>
      <c r="H5922" s="51"/>
      <c r="I5922" s="51"/>
      <c r="J5922" s="51"/>
      <c r="K5922" s="51" t="s">
        <v>134</v>
      </c>
      <c r="L5922" s="51"/>
      <c r="M5922" s="51"/>
      <c r="N5922" s="51"/>
      <c r="O5922" s="52"/>
      <c r="P5922" s="51"/>
      <c r="Q5922" s="51"/>
      <c r="R5922" s="51"/>
      <c r="S5922" s="51"/>
      <c r="T5922" s="51"/>
      <c r="AR5922" s="51"/>
      <c r="AS5922" s="51"/>
    </row>
    <row r="5923" spans="1:45" s="520" customFormat="1" ht="12">
      <c r="A5923" s="51"/>
      <c r="B5923" s="51"/>
      <c r="C5923" s="51" t="s">
        <v>135</v>
      </c>
      <c r="D5923" s="37"/>
      <c r="E5923" s="51"/>
      <c r="F5923" s="51"/>
      <c r="G5923" s="51"/>
      <c r="H5923" s="51"/>
      <c r="I5923" s="51"/>
      <c r="J5923" s="51"/>
      <c r="K5923" s="51"/>
      <c r="L5923" s="51"/>
      <c r="M5923" s="51"/>
      <c r="N5923" s="51"/>
      <c r="O5923" s="52"/>
      <c r="P5923" s="51"/>
      <c r="Q5923" s="51"/>
      <c r="R5923" s="51"/>
      <c r="S5923" s="51"/>
      <c r="T5923" s="51"/>
      <c r="AR5923" s="51"/>
      <c r="AS5923" s="51"/>
    </row>
    <row r="5924" spans="1:45" s="520" customFormat="1" ht="12">
      <c r="A5924" s="51"/>
      <c r="B5924" s="51"/>
      <c r="C5924" s="51"/>
      <c r="D5924" s="37" t="s">
        <v>919</v>
      </c>
      <c r="E5924" s="51"/>
      <c r="F5924" s="51"/>
      <c r="G5924" s="51"/>
      <c r="H5924" s="51"/>
      <c r="I5924" s="51"/>
      <c r="J5924" s="51"/>
      <c r="K5924" s="51"/>
      <c r="L5924" s="51"/>
      <c r="M5924" s="51"/>
      <c r="N5924" s="51"/>
      <c r="O5924" s="52"/>
      <c r="P5924" s="51"/>
      <c r="Q5924" s="51"/>
      <c r="R5924" s="51"/>
      <c r="S5924" s="38"/>
      <c r="T5924" s="38"/>
      <c r="AR5924" s="51"/>
      <c r="AS5924" s="51"/>
    </row>
    <row r="5925" spans="1:45" s="3" customFormat="1" thickBot="1">
      <c r="A5925" s="531"/>
      <c r="O5925" s="107"/>
      <c r="AR5925" s="531"/>
    </row>
    <row r="5926" spans="1:45" s="520" customFormat="1" ht="12" thickTop="1">
      <c r="A5926" s="51"/>
      <c r="B5926" s="41"/>
      <c r="C5926" s="51"/>
      <c r="E5926" s="42" t="s">
        <v>138</v>
      </c>
      <c r="F5926" s="42" t="s">
        <v>139</v>
      </c>
      <c r="G5926" s="51"/>
      <c r="H5926" s="51"/>
      <c r="I5926" s="51"/>
      <c r="J5926" s="51"/>
      <c r="K5926" s="51" t="s">
        <v>140</v>
      </c>
      <c r="L5926" s="51"/>
      <c r="M5926" s="51"/>
      <c r="N5926" s="51"/>
      <c r="O5926" s="52"/>
      <c r="P5926" s="51"/>
      <c r="Q5926" s="51"/>
      <c r="R5926" s="51"/>
      <c r="S5926" s="51"/>
      <c r="T5926" s="41"/>
      <c r="AG5926" s="521" t="s">
        <v>268</v>
      </c>
      <c r="AH5926" s="521" t="s">
        <v>269</v>
      </c>
      <c r="AI5926" s="521" t="s">
        <v>270</v>
      </c>
      <c r="AJ5926" s="521" t="s">
        <v>271</v>
      </c>
      <c r="AK5926" s="521" t="s">
        <v>272</v>
      </c>
      <c r="AM5926" s="745" t="s">
        <v>281</v>
      </c>
      <c r="AN5926" s="746" t="s">
        <v>282</v>
      </c>
      <c r="AO5926" s="522" t="s">
        <v>278</v>
      </c>
      <c r="AR5926" s="51"/>
      <c r="AS5926" s="42" t="s">
        <v>139</v>
      </c>
    </row>
    <row r="5927" spans="1:45" s="520" customFormat="1" ht="12" customHeight="1">
      <c r="A5927" s="747">
        <v>10</v>
      </c>
      <c r="B5927" s="523" t="s">
        <v>320</v>
      </c>
      <c r="C5927" s="748"/>
      <c r="D5927" s="749" t="s">
        <v>1954</v>
      </c>
      <c r="E5927" s="750">
        <f ca="1">IF(AND($A5927=0,$A$1="DIF"),0, ROUND(ROUND(($R5934*$S$2+($T5934*$T$2))/A5927,2)*$C$2,2))</f>
        <v>22.31</v>
      </c>
      <c r="F5927" s="751">
        <f ca="1">ROUND($A5927*$E5927,2)</f>
        <v>223.1</v>
      </c>
      <c r="G5927" s="752" t="s">
        <v>142</v>
      </c>
      <c r="H5927" s="753"/>
      <c r="I5927" s="754"/>
      <c r="J5927" s="753"/>
      <c r="K5927" s="753" t="s">
        <v>3</v>
      </c>
      <c r="L5927" s="755" t="s">
        <v>143</v>
      </c>
      <c r="M5927" s="755"/>
      <c r="N5927" s="755"/>
      <c r="O5927" s="755"/>
      <c r="P5927" s="755"/>
      <c r="Q5927" s="51"/>
      <c r="T5927" s="756" t="str">
        <f ca="1">IF(AND($R5934=0,$T5934=0),"0.00","mu :" &amp; ROUND($F5927/$C$2/($R5934+$T5934*$D$9),2))</f>
        <v>mu :1.23</v>
      </c>
      <c r="W5927" s="524"/>
      <c r="AG5927" s="481">
        <f ca="1">IF($E5927=0,0,ROUND($R5934*$S$2*$C$2/$A5927,2))</f>
        <v>10.130000000000001</v>
      </c>
      <c r="AH5927" s="481">
        <f ca="1">$AG5927*$A5927</f>
        <v>101.30000000000001</v>
      </c>
      <c r="AI5927" s="525">
        <f ca="1">$E5927-$AG5927</f>
        <v>12.179999999999998</v>
      </c>
      <c r="AJ5927" s="525">
        <f ca="1">$A5927*$AI5927</f>
        <v>121.79999999999998</v>
      </c>
      <c r="AK5927" s="526">
        <f ca="1">ROUND(($AG5927+$AI5927)*$A5927,2)</f>
        <v>223.1</v>
      </c>
      <c r="AM5927" s="527">
        <f ca="1">ROUND(R5934,2)</f>
        <v>82.3</v>
      </c>
      <c r="AN5927" s="528">
        <f ca="1">ROUND(T5934,2)</f>
        <v>3.6</v>
      </c>
      <c r="AO5927" s="529">
        <f ca="1">ROUND(AM5927+AN5927,2)*A5927</f>
        <v>859</v>
      </c>
      <c r="AR5927" s="747">
        <v>10</v>
      </c>
      <c r="AS5927" s="751">
        <v>236.6</v>
      </c>
    </row>
    <row r="5928" spans="1:45" s="520" customFormat="1" ht="13.2">
      <c r="A5928" s="748"/>
      <c r="B5928"/>
      <c r="C5928" s="748"/>
      <c r="D5928" s="749" t="s">
        <v>920</v>
      </c>
      <c r="F5928" s="753"/>
      <c r="G5928" s="3"/>
      <c r="H5928" s="753"/>
      <c r="I5928" s="754"/>
      <c r="J5928" s="753"/>
      <c r="K5928" s="753" t="s">
        <v>144</v>
      </c>
      <c r="L5928" s="753"/>
      <c r="M5928" s="753"/>
      <c r="N5928" s="753"/>
      <c r="O5928" s="753"/>
      <c r="P5928" s="753"/>
      <c r="Q5928" s="51"/>
      <c r="R5928" s="530"/>
      <c r="S5928" s="757"/>
      <c r="T5928" s="753"/>
      <c r="AR5928" s="748"/>
      <c r="AS5928" s="753"/>
    </row>
    <row r="5929" spans="1:45" s="886" customFormat="1" ht="13.2">
      <c r="A5929"/>
      <c r="B5929" s="910"/>
      <c r="C5929" s="910" t="s">
        <v>2597</v>
      </c>
      <c r="D5929" s="910" t="str">
        <f ca="1">CELL("Address",Elec_Rates!D$808)</f>
        <v>[E25_0062_Quintano_Foods_Elec_ELV_As_Awarded.xlsx]Elec_Rates!$D$808</v>
      </c>
      <c r="E5929" s="911"/>
      <c r="F5929" s="911"/>
      <c r="G5929" s="912" t="s">
        <v>2598</v>
      </c>
      <c r="H5929" s="912"/>
      <c r="I5929" s="912"/>
      <c r="J5929" s="912"/>
      <c r="K5929" s="913"/>
      <c r="L5929" s="911"/>
      <c r="M5929" s="911"/>
      <c r="N5929" s="911"/>
      <c r="O5929" s="914"/>
      <c r="P5929" s="911"/>
      <c r="Q5929" s="915"/>
      <c r="R5929" s="916"/>
      <c r="S5929" s="915"/>
      <c r="T5929" s="917"/>
      <c r="U5929" s="918"/>
      <c r="AR5929"/>
      <c r="AS5929" s="911"/>
    </row>
    <row r="5930" spans="1:45" s="886" customFormat="1" ht="11.4">
      <c r="A5930" s="919">
        <v>10</v>
      </c>
      <c r="B5930" s="920">
        <v>1</v>
      </c>
      <c r="C5930" s="920">
        <f>$A5930*$B5930</f>
        <v>10</v>
      </c>
      <c r="D5930" s="921" t="str">
        <f>Elec_Rates!$D$808</f>
        <v>077# 75x50mm galvanised steel cable trunking</v>
      </c>
      <c r="E5930" s="921"/>
      <c r="F5930" s="921" t="s">
        <v>2599</v>
      </c>
      <c r="G5930" s="922" t="s">
        <v>2600</v>
      </c>
      <c r="H5930" s="922"/>
      <c r="I5930" s="922"/>
      <c r="J5930" s="922"/>
      <c r="K5930" s="923"/>
      <c r="L5930" s="918"/>
      <c r="M5930" s="918"/>
      <c r="N5930" s="918"/>
      <c r="O5930" s="924"/>
      <c r="P5930" s="921"/>
      <c r="Q5930" s="925">
        <f ca="1">$B5930*Elec_Rates!$R$808</f>
        <v>5.86</v>
      </c>
      <c r="R5930" s="916">
        <f ca="1">$A5930*Q5930</f>
        <v>58.6</v>
      </c>
      <c r="S5930" s="925">
        <f ca="1">$B5930*Elec_Rates!$T$808</f>
        <v>0.27</v>
      </c>
      <c r="T5930" s="917">
        <f ca="1">$A5930*S5930</f>
        <v>2.7</v>
      </c>
      <c r="U5930" s="926"/>
      <c r="AR5930" s="919">
        <v>10</v>
      </c>
      <c r="AS5930" s="921" t="s">
        <v>2599</v>
      </c>
    </row>
    <row r="5931" spans="1:45" s="886" customFormat="1" ht="13.2">
      <c r="A5931"/>
      <c r="B5931" s="910"/>
      <c r="C5931" s="910" t="s">
        <v>2597</v>
      </c>
      <c r="D5931" s="910" t="str">
        <f ca="1">CELL("Address",Elec_Rates!D$907)</f>
        <v>[E25_0062_Quintano_Foods_Elec_ELV_As_Awarded.xlsx]Elec_Rates!$D$907</v>
      </c>
      <c r="E5931" s="911"/>
      <c r="F5931" s="911"/>
      <c r="G5931" s="912" t="s">
        <v>2598</v>
      </c>
      <c r="H5931" s="912"/>
      <c r="I5931" s="912"/>
      <c r="J5931" s="912"/>
      <c r="K5931" s="913"/>
      <c r="L5931" s="911"/>
      <c r="M5931" s="911"/>
      <c r="N5931" s="911"/>
      <c r="O5931" s="914"/>
      <c r="P5931" s="911"/>
      <c r="Q5931" s="915"/>
      <c r="R5931" s="916"/>
      <c r="S5931" s="915"/>
      <c r="T5931" s="917"/>
      <c r="U5931" s="918"/>
      <c r="AR5931"/>
      <c r="AS5931" s="911"/>
    </row>
    <row r="5932" spans="1:45" s="886" customFormat="1" ht="11.4">
      <c r="A5932" s="919">
        <v>10</v>
      </c>
      <c r="B5932" s="920">
        <v>1</v>
      </c>
      <c r="C5932" s="920">
        <f>$A5932*$B5932</f>
        <v>10</v>
      </c>
      <c r="D5932" s="921" t="str">
        <f>Elec_Rates!$D$907</f>
        <v>084# Bracket for 50-150mm cable tray/basket/trunking</v>
      </c>
      <c r="E5932" s="921"/>
      <c r="F5932" s="921" t="s">
        <v>2599</v>
      </c>
      <c r="G5932" s="922" t="s">
        <v>2600</v>
      </c>
      <c r="H5932" s="922"/>
      <c r="I5932" s="922"/>
      <c r="J5932" s="922"/>
      <c r="K5932" s="923"/>
      <c r="L5932" s="918"/>
      <c r="M5932" s="918"/>
      <c r="N5932" s="918"/>
      <c r="O5932" s="924"/>
      <c r="P5932" s="921"/>
      <c r="Q5932" s="925">
        <f ca="1">$B5932*Elec_Rates!$R$907</f>
        <v>2.37</v>
      </c>
      <c r="R5932" s="916">
        <f ca="1">$A5932*Q5932</f>
        <v>23.700000000000003</v>
      </c>
      <c r="S5932" s="925">
        <f ca="1">$B5932*Elec_Rates!$T$907</f>
        <v>0.09</v>
      </c>
      <c r="T5932" s="917">
        <f ca="1">$A5932*S5932</f>
        <v>0.89999999999999991</v>
      </c>
      <c r="U5932" s="926"/>
      <c r="AR5932" s="919">
        <v>10</v>
      </c>
      <c r="AS5932" s="921" t="s">
        <v>2599</v>
      </c>
    </row>
    <row r="5933" spans="1:45" s="520" customFormat="1" ht="12">
      <c r="A5933" s="758"/>
      <c r="B5933" s="758"/>
      <c r="C5933" s="758"/>
      <c r="D5933" s="758"/>
      <c r="E5933" s="758"/>
      <c r="F5933" s="753"/>
      <c r="G5933" s="758"/>
      <c r="H5933" s="758"/>
      <c r="I5933" s="519"/>
      <c r="J5933" s="758"/>
      <c r="K5933" s="758"/>
      <c r="L5933" s="758"/>
      <c r="M5933" s="758"/>
      <c r="N5933" s="758"/>
      <c r="O5933" s="758"/>
      <c r="P5933" s="758"/>
      <c r="Q5933" s="519"/>
      <c r="R5933" s="759">
        <f t="shared" ref="R5933" si="360">$A5933*Q5933</f>
        <v>0</v>
      </c>
      <c r="S5933" s="519"/>
      <c r="T5933" s="760">
        <f t="shared" ref="T5933" si="361">$A5933*S5933*$T$1</f>
        <v>0</v>
      </c>
      <c r="AR5933" s="758"/>
      <c r="AS5933" s="753"/>
    </row>
    <row r="5934" spans="1:45" s="520" customFormat="1" ht="12.6" thickBot="1">
      <c r="A5934" s="761" t="s">
        <v>145</v>
      </c>
      <c r="B5934" s="762">
        <f>(R5933+T5933)</f>
        <v>0</v>
      </c>
      <c r="C5934" s="763"/>
      <c r="D5934" s="763"/>
      <c r="E5934" s="763"/>
      <c r="F5934" s="764"/>
      <c r="G5934" s="763" t="s">
        <v>146</v>
      </c>
      <c r="H5934" s="763"/>
      <c r="I5934" s="765"/>
      <c r="J5934" s="763"/>
      <c r="K5934" s="763" t="s">
        <v>3</v>
      </c>
      <c r="L5934" s="766" t="s">
        <v>143</v>
      </c>
      <c r="M5934" s="766"/>
      <c r="N5934" s="766"/>
      <c r="O5934" s="766"/>
      <c r="P5934" s="766"/>
      <c r="Q5934" s="767"/>
      <c r="R5934" s="768">
        <f ca="1">SUM(R5928:R5933)</f>
        <v>82.300000000000011</v>
      </c>
      <c r="S5934" s="763"/>
      <c r="T5934" s="768">
        <f ca="1">SUM(T5928:T5933)</f>
        <v>3.6</v>
      </c>
      <c r="U5934" s="531"/>
      <c r="V5934" s="531"/>
      <c r="W5934" s="531"/>
      <c r="X5934" s="531"/>
      <c r="Y5934" s="531"/>
      <c r="Z5934" s="531"/>
      <c r="AA5934" s="531"/>
      <c r="AB5934" s="531"/>
      <c r="AC5934" s="531"/>
      <c r="AD5934" s="531"/>
      <c r="AE5934" s="531"/>
      <c r="AF5934" s="531"/>
      <c r="AG5934" s="531"/>
      <c r="AH5934" s="531"/>
      <c r="AI5934" s="531"/>
      <c r="AJ5934" s="531"/>
      <c r="AK5934" s="531"/>
      <c r="AL5934" s="531"/>
      <c r="AM5934" s="531"/>
      <c r="AN5934" s="531"/>
      <c r="AO5934" s="531"/>
      <c r="AR5934" s="761" t="s">
        <v>145</v>
      </c>
      <c r="AS5934" s="764"/>
    </row>
    <row r="5935" spans="1:45" s="520" customFormat="1" ht="12" thickTop="1">
      <c r="A5935" s="51"/>
      <c r="B5935" s="41"/>
      <c r="C5935" s="51"/>
      <c r="E5935" s="42" t="s">
        <v>138</v>
      </c>
      <c r="F5935" s="42" t="s">
        <v>139</v>
      </c>
      <c r="G5935" s="51"/>
      <c r="H5935" s="51"/>
      <c r="I5935" s="51"/>
      <c r="J5935" s="51"/>
      <c r="K5935" s="51" t="s">
        <v>140</v>
      </c>
      <c r="L5935" s="51"/>
      <c r="M5935" s="51"/>
      <c r="N5935" s="51"/>
      <c r="O5935" s="52"/>
      <c r="P5935" s="51"/>
      <c r="Q5935" s="51"/>
      <c r="R5935" s="51"/>
      <c r="S5935" s="51"/>
      <c r="T5935" s="41"/>
      <c r="AG5935" s="521" t="s">
        <v>268</v>
      </c>
      <c r="AH5935" s="521" t="s">
        <v>269</v>
      </c>
      <c r="AI5935" s="521" t="s">
        <v>270</v>
      </c>
      <c r="AJ5935" s="521" t="s">
        <v>271</v>
      </c>
      <c r="AK5935" s="521" t="s">
        <v>272</v>
      </c>
      <c r="AM5935" s="745" t="s">
        <v>281</v>
      </c>
      <c r="AN5935" s="746" t="s">
        <v>282</v>
      </c>
      <c r="AO5935" s="522" t="s">
        <v>278</v>
      </c>
      <c r="AR5935" s="51"/>
      <c r="AS5935" s="42" t="s">
        <v>139</v>
      </c>
    </row>
    <row r="5936" spans="1:45" s="520" customFormat="1" ht="12" customHeight="1">
      <c r="A5936" s="747">
        <v>20</v>
      </c>
      <c r="B5936" s="523" t="s">
        <v>320</v>
      </c>
      <c r="C5936" s="748"/>
      <c r="D5936" s="749" t="s">
        <v>1955</v>
      </c>
      <c r="E5936" s="750">
        <f ca="1">IF(AND($A5936=0,$A$1="DIF"),0, ROUND(ROUND(($R5943*$S$2+($T5943*$T$2))/A5936,2)*$C$2,2))</f>
        <v>24.32</v>
      </c>
      <c r="F5936" s="751">
        <f ca="1">ROUND($A5936*$E5936,2)</f>
        <v>486.4</v>
      </c>
      <c r="G5936" s="752" t="s">
        <v>142</v>
      </c>
      <c r="H5936" s="753"/>
      <c r="I5936" s="754"/>
      <c r="J5936" s="753"/>
      <c r="K5936" s="753" t="s">
        <v>3</v>
      </c>
      <c r="L5936" s="755" t="s">
        <v>143</v>
      </c>
      <c r="M5936" s="755"/>
      <c r="N5936" s="755"/>
      <c r="O5936" s="755"/>
      <c r="P5936" s="755"/>
      <c r="Q5936" s="51"/>
      <c r="T5936" s="756" t="str">
        <f ca="1">IF(AND($R5943=0,$T5943=0),"0.00","mu :" &amp; ROUND($F5936/$C$2/($R5943+$T5943*$D$9),2))</f>
        <v>mu :1.23</v>
      </c>
      <c r="W5936" s="524"/>
      <c r="AG5936" s="481">
        <f ca="1">IF($E5936=0,0,ROUND($R5943*$S$2*$C$2/$A5936,2))</f>
        <v>11.48</v>
      </c>
      <c r="AH5936" s="481">
        <f ca="1">$AG5936*$A5936</f>
        <v>229.60000000000002</v>
      </c>
      <c r="AI5936" s="525">
        <f ca="1">$E5936-$AG5936</f>
        <v>12.84</v>
      </c>
      <c r="AJ5936" s="525">
        <f ca="1">$A5936*$AI5936</f>
        <v>256.8</v>
      </c>
      <c r="AK5936" s="526">
        <f ca="1">ROUND(($AG5936+$AI5936)*$A5936,2)</f>
        <v>486.4</v>
      </c>
      <c r="AM5936" s="527">
        <f ca="1">ROUND(R5943,2)</f>
        <v>186.4</v>
      </c>
      <c r="AN5936" s="528">
        <f ca="1">ROUND(T5943,2)</f>
        <v>7.6</v>
      </c>
      <c r="AO5936" s="529">
        <f ca="1">ROUND(AM5936+AN5936,2)*A5936</f>
        <v>3880</v>
      </c>
      <c r="AR5936" s="747">
        <v>20</v>
      </c>
      <c r="AS5936" s="751">
        <v>513.6</v>
      </c>
    </row>
    <row r="5937" spans="1:45" s="520" customFormat="1" ht="13.2">
      <c r="A5937" s="748"/>
      <c r="B5937"/>
      <c r="C5937" s="748"/>
      <c r="D5937" s="749" t="s">
        <v>921</v>
      </c>
      <c r="F5937" s="753"/>
      <c r="G5937" s="3"/>
      <c r="H5937" s="753"/>
      <c r="I5937" s="754"/>
      <c r="J5937" s="753"/>
      <c r="K5937" s="753" t="s">
        <v>144</v>
      </c>
      <c r="L5937" s="753"/>
      <c r="M5937" s="753"/>
      <c r="N5937" s="753"/>
      <c r="O5937" s="753"/>
      <c r="P5937" s="753"/>
      <c r="Q5937" s="51"/>
      <c r="R5937" s="530"/>
      <c r="S5937" s="757"/>
      <c r="T5937" s="753"/>
      <c r="AR5937" s="748"/>
      <c r="AS5937" s="753"/>
    </row>
    <row r="5938" spans="1:45" s="886" customFormat="1" ht="13.2">
      <c r="A5938"/>
      <c r="B5938" s="910"/>
      <c r="C5938" s="910" t="s">
        <v>2597</v>
      </c>
      <c r="D5938" s="910" t="str">
        <f ca="1">CELL("Address",Elec_Rates!D$822)</f>
        <v>[E25_0062_Quintano_Foods_Elec_ELV_As_Awarded.xlsx]Elec_Rates!$D$822</v>
      </c>
      <c r="E5938" s="911"/>
      <c r="F5938" s="911"/>
      <c r="G5938" s="912" t="s">
        <v>2598</v>
      </c>
      <c r="H5938" s="912"/>
      <c r="I5938" s="912"/>
      <c r="J5938" s="912"/>
      <c r="K5938" s="913"/>
      <c r="L5938" s="911"/>
      <c r="M5938" s="911"/>
      <c r="N5938" s="911"/>
      <c r="O5938" s="914"/>
      <c r="P5938" s="911"/>
      <c r="Q5938" s="915"/>
      <c r="R5938" s="916"/>
      <c r="S5938" s="915"/>
      <c r="T5938" s="917"/>
      <c r="U5938" s="918"/>
      <c r="AR5938"/>
      <c r="AS5938" s="911"/>
    </row>
    <row r="5939" spans="1:45" s="886" customFormat="1" ht="11.4">
      <c r="A5939" s="919">
        <v>20</v>
      </c>
      <c r="B5939" s="920">
        <v>1</v>
      </c>
      <c r="C5939" s="920">
        <f>$A5939*$B5939</f>
        <v>20</v>
      </c>
      <c r="D5939" s="921" t="str">
        <f>Elec_Rates!$D$822</f>
        <v>078# 75x75mm galvanised steel cable trunking</v>
      </c>
      <c r="E5939" s="921"/>
      <c r="F5939" s="921" t="s">
        <v>2599</v>
      </c>
      <c r="G5939" s="922" t="s">
        <v>2601</v>
      </c>
      <c r="H5939" s="922"/>
      <c r="I5939" s="922"/>
      <c r="J5939" s="922"/>
      <c r="K5939" s="923"/>
      <c r="L5939" s="918"/>
      <c r="M5939" s="918"/>
      <c r="N5939" s="918"/>
      <c r="O5939" s="924"/>
      <c r="P5939" s="921"/>
      <c r="Q5939" s="925">
        <f ca="1">$B5939*Elec_Rates!$R$822</f>
        <v>6.95</v>
      </c>
      <c r="R5939" s="916">
        <f ca="1">$A5939*Q5939</f>
        <v>139</v>
      </c>
      <c r="S5939" s="925">
        <f ca="1">$B5939*Elec_Rates!$T$822</f>
        <v>0.28999999999999998</v>
      </c>
      <c r="T5939" s="917">
        <f ca="1">$A5939*S5939</f>
        <v>5.8</v>
      </c>
      <c r="U5939" s="926"/>
      <c r="AR5939" s="919">
        <v>20</v>
      </c>
      <c r="AS5939" s="921" t="s">
        <v>2599</v>
      </c>
    </row>
    <row r="5940" spans="1:45" s="886" customFormat="1" ht="13.2">
      <c r="A5940"/>
      <c r="B5940" s="910"/>
      <c r="C5940" s="910" t="s">
        <v>2597</v>
      </c>
      <c r="D5940" s="910" t="str">
        <f ca="1">CELL("Address",Elec_Rates!D$907)</f>
        <v>[E25_0062_Quintano_Foods_Elec_ELV_As_Awarded.xlsx]Elec_Rates!$D$907</v>
      </c>
      <c r="E5940" s="911"/>
      <c r="F5940" s="911"/>
      <c r="G5940" s="912" t="s">
        <v>2598</v>
      </c>
      <c r="H5940" s="912"/>
      <c r="I5940" s="912"/>
      <c r="J5940" s="912"/>
      <c r="K5940" s="913"/>
      <c r="L5940" s="911"/>
      <c r="M5940" s="911"/>
      <c r="N5940" s="911"/>
      <c r="O5940" s="914"/>
      <c r="P5940" s="911"/>
      <c r="Q5940" s="915"/>
      <c r="R5940" s="916"/>
      <c r="S5940" s="915"/>
      <c r="T5940" s="917"/>
      <c r="U5940" s="918"/>
      <c r="AR5940"/>
      <c r="AS5940" s="911"/>
    </row>
    <row r="5941" spans="1:45" s="886" customFormat="1" ht="11.4">
      <c r="A5941" s="919">
        <v>20</v>
      </c>
      <c r="B5941" s="920">
        <v>1</v>
      </c>
      <c r="C5941" s="920">
        <f>$A5941*$B5941</f>
        <v>20</v>
      </c>
      <c r="D5941" s="921" t="str">
        <f>Elec_Rates!$D$907</f>
        <v>084# Bracket for 50-150mm cable tray/basket/trunking</v>
      </c>
      <c r="E5941" s="921"/>
      <c r="F5941" s="921" t="s">
        <v>2599</v>
      </c>
      <c r="G5941" s="922" t="s">
        <v>2600</v>
      </c>
      <c r="H5941" s="922"/>
      <c r="I5941" s="922"/>
      <c r="J5941" s="922"/>
      <c r="K5941" s="923"/>
      <c r="L5941" s="918"/>
      <c r="M5941" s="918"/>
      <c r="N5941" s="918"/>
      <c r="O5941" s="924"/>
      <c r="P5941" s="921"/>
      <c r="Q5941" s="925">
        <f ca="1">$B5941*Elec_Rates!$R$907</f>
        <v>2.37</v>
      </c>
      <c r="R5941" s="916">
        <f ca="1">$A5941*Q5941</f>
        <v>47.400000000000006</v>
      </c>
      <c r="S5941" s="925">
        <f ca="1">$B5941*Elec_Rates!$T$907</f>
        <v>0.09</v>
      </c>
      <c r="T5941" s="917">
        <f ca="1">$A5941*S5941</f>
        <v>1.7999999999999998</v>
      </c>
      <c r="U5941" s="926"/>
      <c r="AR5941" s="919">
        <v>20</v>
      </c>
      <c r="AS5941" s="921" t="s">
        <v>2599</v>
      </c>
    </row>
    <row r="5942" spans="1:45" s="520" customFormat="1" ht="12">
      <c r="A5942" s="758"/>
      <c r="B5942" s="758"/>
      <c r="C5942" s="758"/>
      <c r="D5942" s="758"/>
      <c r="E5942" s="758"/>
      <c r="F5942" s="753"/>
      <c r="G5942" s="758"/>
      <c r="H5942" s="758"/>
      <c r="I5942" s="519"/>
      <c r="J5942" s="758"/>
      <c r="K5942" s="758"/>
      <c r="L5942" s="758"/>
      <c r="M5942" s="758"/>
      <c r="N5942" s="758"/>
      <c r="O5942" s="758"/>
      <c r="P5942" s="758"/>
      <c r="Q5942" s="519"/>
      <c r="R5942" s="759">
        <f t="shared" ref="R5942" si="362">$A5942*Q5942</f>
        <v>0</v>
      </c>
      <c r="S5942" s="519"/>
      <c r="T5942" s="760">
        <f t="shared" ref="T5942" si="363">$A5942*S5942*$T$1</f>
        <v>0</v>
      </c>
      <c r="AR5942" s="758"/>
      <c r="AS5942" s="753"/>
    </row>
    <row r="5943" spans="1:45" s="520" customFormat="1" ht="12.6" thickBot="1">
      <c r="A5943" s="761" t="s">
        <v>145</v>
      </c>
      <c r="B5943" s="762">
        <f>(R5942+T5942)</f>
        <v>0</v>
      </c>
      <c r="C5943" s="763"/>
      <c r="D5943" s="763"/>
      <c r="E5943" s="763"/>
      <c r="F5943" s="764"/>
      <c r="G5943" s="763" t="s">
        <v>146</v>
      </c>
      <c r="H5943" s="763"/>
      <c r="I5943" s="765"/>
      <c r="J5943" s="763"/>
      <c r="K5943" s="763" t="s">
        <v>3</v>
      </c>
      <c r="L5943" s="766" t="s">
        <v>143</v>
      </c>
      <c r="M5943" s="766"/>
      <c r="N5943" s="766"/>
      <c r="O5943" s="766"/>
      <c r="P5943" s="766"/>
      <c r="Q5943" s="767"/>
      <c r="R5943" s="768">
        <f ca="1">SUM(R5937:R5942)</f>
        <v>186.4</v>
      </c>
      <c r="S5943" s="763"/>
      <c r="T5943" s="768">
        <f ca="1">SUM(T5937:T5942)</f>
        <v>7.6</v>
      </c>
      <c r="U5943" s="531"/>
      <c r="V5943" s="531"/>
      <c r="W5943" s="531"/>
      <c r="X5943" s="531"/>
      <c r="Y5943" s="531"/>
      <c r="Z5943" s="531"/>
      <c r="AA5943" s="531"/>
      <c r="AB5943" s="531"/>
      <c r="AC5943" s="531"/>
      <c r="AD5943" s="531"/>
      <c r="AE5943" s="531"/>
      <c r="AF5943" s="531"/>
      <c r="AG5943" s="531"/>
      <c r="AH5943" s="531"/>
      <c r="AI5943" s="531"/>
      <c r="AJ5943" s="531"/>
      <c r="AK5943" s="531"/>
      <c r="AL5943" s="531"/>
      <c r="AM5943" s="531"/>
      <c r="AN5943" s="531"/>
      <c r="AO5943" s="531"/>
      <c r="AR5943" s="761" t="s">
        <v>145</v>
      </c>
      <c r="AS5943" s="764"/>
    </row>
    <row r="5944" spans="1:45" s="520" customFormat="1" ht="12" thickTop="1">
      <c r="A5944" s="51"/>
      <c r="B5944" s="41"/>
      <c r="C5944" s="51"/>
      <c r="E5944" s="42" t="s">
        <v>138</v>
      </c>
      <c r="F5944" s="42" t="s">
        <v>139</v>
      </c>
      <c r="G5944" s="51"/>
      <c r="H5944" s="51"/>
      <c r="I5944" s="51"/>
      <c r="J5944" s="51"/>
      <c r="K5944" s="51" t="s">
        <v>140</v>
      </c>
      <c r="L5944" s="51"/>
      <c r="M5944" s="51"/>
      <c r="N5944" s="51"/>
      <c r="O5944" s="52"/>
      <c r="P5944" s="51"/>
      <c r="Q5944" s="51"/>
      <c r="R5944" s="51"/>
      <c r="S5944" s="51"/>
      <c r="T5944" s="41"/>
      <c r="AG5944" s="521" t="s">
        <v>268</v>
      </c>
      <c r="AH5944" s="521" t="s">
        <v>269</v>
      </c>
      <c r="AI5944" s="521" t="s">
        <v>270</v>
      </c>
      <c r="AJ5944" s="521" t="s">
        <v>271</v>
      </c>
      <c r="AK5944" s="521" t="s">
        <v>272</v>
      </c>
      <c r="AM5944" s="745" t="s">
        <v>281</v>
      </c>
      <c r="AN5944" s="746" t="s">
        <v>282</v>
      </c>
      <c r="AO5944" s="522" t="s">
        <v>278</v>
      </c>
      <c r="AR5944" s="51"/>
      <c r="AS5944" s="42" t="s">
        <v>139</v>
      </c>
    </row>
    <row r="5945" spans="1:45" s="520" customFormat="1" ht="12" customHeight="1">
      <c r="A5945" s="747">
        <v>10</v>
      </c>
      <c r="B5945" s="523" t="s">
        <v>320</v>
      </c>
      <c r="C5945" s="748"/>
      <c r="D5945" s="749" t="s">
        <v>1957</v>
      </c>
      <c r="E5945" s="750">
        <f ca="1">IF(AND($A5945=0,$A$1="DIF"),0, ROUND(ROUND(($R5952*$S$2+($T5952*$T$2))/A5945,2)*$C$2,2))</f>
        <v>26.93</v>
      </c>
      <c r="F5945" s="751">
        <f ca="1">ROUND($A5945*$E5945,2)</f>
        <v>269.3</v>
      </c>
      <c r="G5945" s="752" t="s">
        <v>142</v>
      </c>
      <c r="H5945" s="753"/>
      <c r="I5945" s="754"/>
      <c r="J5945" s="753"/>
      <c r="K5945" s="753" t="s">
        <v>3</v>
      </c>
      <c r="L5945" s="755" t="s">
        <v>143</v>
      </c>
      <c r="M5945" s="755"/>
      <c r="N5945" s="755"/>
      <c r="O5945" s="755"/>
      <c r="P5945" s="755"/>
      <c r="Q5945" s="51"/>
      <c r="T5945" s="756" t="str">
        <f ca="1">IF(AND($R5952=0,$T5952=0),"0.00","mu :" &amp; ROUND($F5945/$C$2/($R5952+$T5952*$D$9),2))</f>
        <v>mu :1.23</v>
      </c>
      <c r="W5945" s="524"/>
      <c r="AG5945" s="481">
        <f ca="1">IF($E5945=0,0,ROUND($R5952*$S$2*$C$2/$A5945,2))</f>
        <v>12.73</v>
      </c>
      <c r="AH5945" s="481">
        <f ca="1">$AG5945*$A5945</f>
        <v>127.30000000000001</v>
      </c>
      <c r="AI5945" s="525">
        <f ca="1">$E5945-$AG5945</f>
        <v>14.2</v>
      </c>
      <c r="AJ5945" s="525">
        <f ca="1">$A5945*$AI5945</f>
        <v>142</v>
      </c>
      <c r="AK5945" s="526">
        <f ca="1">ROUND(($AG5945+$AI5945)*$A5945,2)</f>
        <v>269.3</v>
      </c>
      <c r="AM5945" s="527">
        <f ca="1">ROUND(R5952,2)</f>
        <v>103.4</v>
      </c>
      <c r="AN5945" s="528">
        <f ca="1">ROUND(T5952,2)</f>
        <v>4.2</v>
      </c>
      <c r="AO5945" s="529">
        <f ca="1">ROUND(AM5945+AN5945,2)*A5945</f>
        <v>1076</v>
      </c>
      <c r="AR5945" s="747">
        <v>10</v>
      </c>
      <c r="AS5945" s="751">
        <v>286.2</v>
      </c>
    </row>
    <row r="5946" spans="1:45" s="520" customFormat="1" ht="13.2">
      <c r="A5946" s="748"/>
      <c r="B5946"/>
      <c r="C5946" s="748"/>
      <c r="D5946" s="749" t="s">
        <v>922</v>
      </c>
      <c r="F5946" s="753"/>
      <c r="G5946" s="3"/>
      <c r="H5946" s="753"/>
      <c r="I5946" s="754"/>
      <c r="J5946" s="753"/>
      <c r="K5946" s="753" t="s">
        <v>144</v>
      </c>
      <c r="L5946" s="753"/>
      <c r="M5946" s="753"/>
      <c r="N5946" s="753"/>
      <c r="O5946" s="753"/>
      <c r="P5946" s="753"/>
      <c r="Q5946" s="51"/>
      <c r="R5946" s="530"/>
      <c r="S5946" s="757"/>
      <c r="T5946" s="753"/>
      <c r="AR5946" s="748"/>
      <c r="AS5946" s="753"/>
    </row>
    <row r="5947" spans="1:45" s="886" customFormat="1" ht="13.2">
      <c r="A5947"/>
      <c r="B5947" s="910"/>
      <c r="C5947" s="910" t="s">
        <v>2597</v>
      </c>
      <c r="D5947" s="910" t="str">
        <f ca="1">CELL("Address",Elec_Rates!D$837)</f>
        <v>[E25_0062_Quintano_Foods_Elec_ELV_As_Awarded.xlsx]Elec_Rates!$D$837</v>
      </c>
      <c r="E5947" s="911"/>
      <c r="F5947" s="911"/>
      <c r="G5947" s="912" t="s">
        <v>2598</v>
      </c>
      <c r="H5947" s="912"/>
      <c r="I5947" s="912"/>
      <c r="J5947" s="912"/>
      <c r="K5947" s="913"/>
      <c r="L5947" s="911"/>
      <c r="M5947" s="911"/>
      <c r="N5947" s="911"/>
      <c r="O5947" s="914"/>
      <c r="P5947" s="911"/>
      <c r="Q5947" s="915"/>
      <c r="R5947" s="916"/>
      <c r="S5947" s="915"/>
      <c r="T5947" s="917"/>
      <c r="U5947" s="918"/>
      <c r="AR5947"/>
      <c r="AS5947" s="911"/>
    </row>
    <row r="5948" spans="1:45" s="886" customFormat="1" ht="11.4">
      <c r="A5948" s="919">
        <v>10</v>
      </c>
      <c r="B5948" s="920">
        <v>1</v>
      </c>
      <c r="C5948" s="920">
        <f>$A5948*$B5948</f>
        <v>10</v>
      </c>
      <c r="D5948" s="921" t="str">
        <f>Elec_Rates!$D$837</f>
        <v>079# 100x75mm galvanised steel cable trunking</v>
      </c>
      <c r="E5948" s="921"/>
      <c r="F5948" s="921" t="s">
        <v>2599</v>
      </c>
      <c r="G5948" s="922" t="s">
        <v>2600</v>
      </c>
      <c r="H5948" s="922"/>
      <c r="I5948" s="922"/>
      <c r="J5948" s="922"/>
      <c r="K5948" s="923"/>
      <c r="L5948" s="918"/>
      <c r="M5948" s="918"/>
      <c r="N5948" s="918"/>
      <c r="O5948" s="924"/>
      <c r="P5948" s="921"/>
      <c r="Q5948" s="925">
        <f ca="1">$B5948*Elec_Rates!$R$837</f>
        <v>7.97</v>
      </c>
      <c r="R5948" s="916">
        <f ca="1">$A5948*Q5948</f>
        <v>79.7</v>
      </c>
      <c r="S5948" s="925">
        <f ca="1">$B5948*Elec_Rates!$T$837</f>
        <v>0.33</v>
      </c>
      <c r="T5948" s="917">
        <f ca="1">$A5948*S5948</f>
        <v>3.3000000000000003</v>
      </c>
      <c r="U5948" s="926"/>
      <c r="AR5948" s="919">
        <v>10</v>
      </c>
      <c r="AS5948" s="921" t="s">
        <v>2599</v>
      </c>
    </row>
    <row r="5949" spans="1:45" s="886" customFormat="1" ht="13.2">
      <c r="A5949"/>
      <c r="B5949" s="910"/>
      <c r="C5949" s="910" t="s">
        <v>2597</v>
      </c>
      <c r="D5949" s="910" t="str">
        <f ca="1">CELL("Address",Elec_Rates!D$907)</f>
        <v>[E25_0062_Quintano_Foods_Elec_ELV_As_Awarded.xlsx]Elec_Rates!$D$907</v>
      </c>
      <c r="E5949" s="911"/>
      <c r="F5949" s="911"/>
      <c r="G5949" s="912" t="s">
        <v>2598</v>
      </c>
      <c r="H5949" s="912"/>
      <c r="I5949" s="912"/>
      <c r="J5949" s="912"/>
      <c r="K5949" s="913"/>
      <c r="L5949" s="911"/>
      <c r="M5949" s="911"/>
      <c r="N5949" s="911"/>
      <c r="O5949" s="914"/>
      <c r="P5949" s="911"/>
      <c r="Q5949" s="915"/>
      <c r="R5949" s="916"/>
      <c r="S5949" s="915"/>
      <c r="T5949" s="917"/>
      <c r="U5949" s="918"/>
      <c r="AR5949"/>
      <c r="AS5949" s="911"/>
    </row>
    <row r="5950" spans="1:45" s="886" customFormat="1" ht="11.4">
      <c r="A5950" s="919">
        <v>10</v>
      </c>
      <c r="B5950" s="920">
        <v>1</v>
      </c>
      <c r="C5950" s="920">
        <f>$A5950*$B5950</f>
        <v>10</v>
      </c>
      <c r="D5950" s="921" t="str">
        <f>Elec_Rates!$D$907</f>
        <v>084# Bracket for 50-150mm cable tray/basket/trunking</v>
      </c>
      <c r="E5950" s="921"/>
      <c r="F5950" s="921" t="s">
        <v>2599</v>
      </c>
      <c r="G5950" s="922" t="s">
        <v>2600</v>
      </c>
      <c r="H5950" s="922"/>
      <c r="I5950" s="922"/>
      <c r="J5950" s="922"/>
      <c r="K5950" s="923"/>
      <c r="L5950" s="918"/>
      <c r="M5950" s="918"/>
      <c r="N5950" s="918"/>
      <c r="O5950" s="924"/>
      <c r="P5950" s="921"/>
      <c r="Q5950" s="925">
        <f ca="1">$B5950*Elec_Rates!$R$907</f>
        <v>2.37</v>
      </c>
      <c r="R5950" s="916">
        <f ca="1">$A5950*Q5950</f>
        <v>23.700000000000003</v>
      </c>
      <c r="S5950" s="925">
        <f ca="1">$B5950*Elec_Rates!$T$907</f>
        <v>0.09</v>
      </c>
      <c r="T5950" s="917">
        <f ca="1">$A5950*S5950</f>
        <v>0.89999999999999991</v>
      </c>
      <c r="U5950" s="926"/>
      <c r="AR5950" s="919">
        <v>10</v>
      </c>
      <c r="AS5950" s="921" t="s">
        <v>2599</v>
      </c>
    </row>
    <row r="5951" spans="1:45" s="520" customFormat="1" ht="12">
      <c r="A5951" s="758"/>
      <c r="B5951" s="758"/>
      <c r="C5951" s="758"/>
      <c r="D5951" s="758"/>
      <c r="E5951" s="758"/>
      <c r="F5951" s="753"/>
      <c r="G5951" s="758"/>
      <c r="H5951" s="758"/>
      <c r="I5951" s="519"/>
      <c r="J5951" s="758"/>
      <c r="K5951" s="758"/>
      <c r="L5951" s="758"/>
      <c r="M5951" s="758"/>
      <c r="N5951" s="758"/>
      <c r="O5951" s="758"/>
      <c r="P5951" s="758"/>
      <c r="Q5951" s="519"/>
      <c r="R5951" s="759">
        <f t="shared" ref="R5951" si="364">$A5951*Q5951</f>
        <v>0</v>
      </c>
      <c r="S5951" s="519"/>
      <c r="T5951" s="760">
        <f t="shared" ref="T5951" si="365">$A5951*S5951*$T$1</f>
        <v>0</v>
      </c>
      <c r="AR5951" s="758"/>
      <c r="AS5951" s="753"/>
    </row>
    <row r="5952" spans="1:45" s="520" customFormat="1" ht="12.6" thickBot="1">
      <c r="A5952" s="761" t="s">
        <v>145</v>
      </c>
      <c r="B5952" s="762">
        <f>(R5951+T5951)</f>
        <v>0</v>
      </c>
      <c r="C5952" s="763"/>
      <c r="D5952" s="763"/>
      <c r="E5952" s="763"/>
      <c r="F5952" s="764"/>
      <c r="G5952" s="763" t="s">
        <v>146</v>
      </c>
      <c r="H5952" s="763"/>
      <c r="I5952" s="765"/>
      <c r="J5952" s="763"/>
      <c r="K5952" s="763" t="s">
        <v>3</v>
      </c>
      <c r="L5952" s="766" t="s">
        <v>143</v>
      </c>
      <c r="M5952" s="766"/>
      <c r="N5952" s="766"/>
      <c r="O5952" s="766"/>
      <c r="P5952" s="766"/>
      <c r="Q5952" s="767"/>
      <c r="R5952" s="768">
        <f ca="1">SUM(R5946:R5951)</f>
        <v>103.4</v>
      </c>
      <c r="S5952" s="763"/>
      <c r="T5952" s="768">
        <f ca="1">SUM(T5946:T5951)</f>
        <v>4.2</v>
      </c>
      <c r="U5952" s="531"/>
      <c r="V5952" s="531"/>
      <c r="W5952" s="531"/>
      <c r="X5952" s="531"/>
      <c r="Y5952" s="531"/>
      <c r="Z5952" s="531"/>
      <c r="AA5952" s="531"/>
      <c r="AB5952" s="531"/>
      <c r="AC5952" s="531"/>
      <c r="AD5952" s="531"/>
      <c r="AE5952" s="531"/>
      <c r="AF5952" s="531"/>
      <c r="AG5952" s="531"/>
      <c r="AH5952" s="531"/>
      <c r="AI5952" s="531"/>
      <c r="AJ5952" s="531"/>
      <c r="AK5952" s="531"/>
      <c r="AL5952" s="531"/>
      <c r="AM5952" s="531"/>
      <c r="AN5952" s="531"/>
      <c r="AO5952" s="531"/>
      <c r="AR5952" s="761" t="s">
        <v>145</v>
      </c>
      <c r="AS5952" s="764"/>
    </row>
    <row r="5953" spans="1:45" s="520" customFormat="1" thickTop="1">
      <c r="A5953" s="51"/>
      <c r="B5953" s="51"/>
      <c r="C5953" s="3"/>
      <c r="D5953" s="3"/>
      <c r="E5953" s="51"/>
      <c r="F5953" s="51"/>
      <c r="G5953" s="51"/>
      <c r="H5953" s="51"/>
      <c r="I5953" s="51"/>
      <c r="J5953" s="51"/>
      <c r="K5953" s="51" t="s">
        <v>134</v>
      </c>
      <c r="L5953" s="51"/>
      <c r="M5953" s="51"/>
      <c r="N5953" s="51"/>
      <c r="O5953" s="52"/>
      <c r="P5953" s="51"/>
      <c r="Q5953" s="51"/>
      <c r="R5953" s="51"/>
      <c r="S5953" s="51"/>
      <c r="T5953" s="51"/>
      <c r="AR5953" s="51"/>
      <c r="AS5953" s="51"/>
    </row>
    <row r="5954" spans="1:45" s="520" customFormat="1" ht="12">
      <c r="A5954" s="51"/>
      <c r="B5954" s="51"/>
      <c r="C5954" s="51" t="s">
        <v>135</v>
      </c>
      <c r="D5954" s="37"/>
      <c r="E5954" s="51"/>
      <c r="F5954" s="51"/>
      <c r="G5954" s="51"/>
      <c r="H5954" s="51"/>
      <c r="I5954" s="51"/>
      <c r="J5954" s="51"/>
      <c r="K5954" s="51"/>
      <c r="L5954" s="51"/>
      <c r="M5954" s="51"/>
      <c r="N5954" s="51"/>
      <c r="O5954" s="52"/>
      <c r="P5954" s="51"/>
      <c r="Q5954" s="51"/>
      <c r="R5954" s="51"/>
      <c r="S5954" s="51"/>
      <c r="T5954" s="51"/>
      <c r="AR5954" s="51"/>
      <c r="AS5954" s="51"/>
    </row>
    <row r="5955" spans="1:45" s="520" customFormat="1" ht="12">
      <c r="A5955" s="51"/>
      <c r="B5955" s="51"/>
      <c r="C5955" s="51"/>
      <c r="D5955" s="37" t="s">
        <v>923</v>
      </c>
      <c r="E5955" s="51"/>
      <c r="F5955" s="51"/>
      <c r="G5955" s="51"/>
      <c r="H5955" s="51"/>
      <c r="I5955" s="51"/>
      <c r="J5955" s="51"/>
      <c r="K5955" s="51"/>
      <c r="L5955" s="51"/>
      <c r="M5955" s="51"/>
      <c r="N5955" s="51"/>
      <c r="O5955" s="52"/>
      <c r="P5955" s="51"/>
      <c r="Q5955" s="51"/>
      <c r="R5955" s="51"/>
      <c r="S5955" s="38"/>
      <c r="T5955" s="38"/>
      <c r="AR5955" s="51"/>
      <c r="AS5955" s="51"/>
    </row>
    <row r="5956" spans="1:45" s="3" customFormat="1" thickBot="1">
      <c r="A5956" s="531"/>
      <c r="O5956" s="107"/>
      <c r="AR5956" s="531"/>
    </row>
    <row r="5957" spans="1:45" s="520" customFormat="1" ht="12" thickTop="1">
      <c r="A5957" s="51"/>
      <c r="B5957" s="41"/>
      <c r="C5957" s="51"/>
      <c r="E5957" s="42" t="s">
        <v>138</v>
      </c>
      <c r="F5957" s="42" t="s">
        <v>139</v>
      </c>
      <c r="G5957" s="51"/>
      <c r="H5957" s="51"/>
      <c r="I5957" s="51"/>
      <c r="J5957" s="51"/>
      <c r="K5957" s="51" t="s">
        <v>140</v>
      </c>
      <c r="L5957" s="51"/>
      <c r="M5957" s="51"/>
      <c r="N5957" s="51"/>
      <c r="O5957" s="52"/>
      <c r="P5957" s="51"/>
      <c r="Q5957" s="51"/>
      <c r="R5957" s="51"/>
      <c r="S5957" s="51"/>
      <c r="T5957" s="41"/>
      <c r="AG5957" s="521" t="s">
        <v>268</v>
      </c>
      <c r="AH5957" s="521" t="s">
        <v>269</v>
      </c>
      <c r="AI5957" s="521" t="s">
        <v>270</v>
      </c>
      <c r="AJ5957" s="521" t="s">
        <v>271</v>
      </c>
      <c r="AK5957" s="521" t="s">
        <v>272</v>
      </c>
      <c r="AM5957" s="745" t="s">
        <v>281</v>
      </c>
      <c r="AN5957" s="746" t="s">
        <v>282</v>
      </c>
      <c r="AO5957" s="522" t="s">
        <v>278</v>
      </c>
      <c r="AR5957" s="51"/>
      <c r="AS5957" s="42" t="s">
        <v>139</v>
      </c>
    </row>
    <row r="5958" spans="1:45" s="520" customFormat="1" ht="12" customHeight="1">
      <c r="A5958" s="747">
        <v>10</v>
      </c>
      <c r="B5958" s="523" t="s">
        <v>320</v>
      </c>
      <c r="C5958" s="748"/>
      <c r="D5958" s="749" t="s">
        <v>1959</v>
      </c>
      <c r="E5958" s="750">
        <f ca="1">IF(AND($A5958=0,$A$1="DIF"),0, ROUND(ROUND(($R5965*$S$2+($T5965*$T$2))/A5958,2)*$C$2,2))</f>
        <v>24.32</v>
      </c>
      <c r="F5958" s="751">
        <f ca="1">ROUND($A5958*$E5958,2)</f>
        <v>243.2</v>
      </c>
      <c r="G5958" s="752" t="s">
        <v>142</v>
      </c>
      <c r="H5958" s="753"/>
      <c r="I5958" s="754"/>
      <c r="J5958" s="753"/>
      <c r="K5958" s="753" t="s">
        <v>3</v>
      </c>
      <c r="L5958" s="755" t="s">
        <v>143</v>
      </c>
      <c r="M5958" s="755"/>
      <c r="N5958" s="755"/>
      <c r="O5958" s="755"/>
      <c r="P5958" s="755"/>
      <c r="Q5958" s="51"/>
      <c r="T5958" s="756" t="str">
        <f ca="1">IF(AND($R5965=0,$T5965=0),"0.00","mu :" &amp; ROUND($F5958/$C$2/($R5965+$T5965*$D$9),2))</f>
        <v>mu :1.23</v>
      </c>
      <c r="W5958" s="524"/>
      <c r="AG5958" s="481">
        <f ca="1">IF($E5958=0,0,ROUND($R5965*$S$2*$C$2/$A5958,2))</f>
        <v>11.48</v>
      </c>
      <c r="AH5958" s="481">
        <f ca="1">$AG5958*$A5958</f>
        <v>114.80000000000001</v>
      </c>
      <c r="AI5958" s="525">
        <f ca="1">$E5958-$AG5958</f>
        <v>12.84</v>
      </c>
      <c r="AJ5958" s="525">
        <f ca="1">$A5958*$AI5958</f>
        <v>128.4</v>
      </c>
      <c r="AK5958" s="526">
        <f ca="1">ROUND(($AG5958+$AI5958)*$A5958,2)</f>
        <v>243.2</v>
      </c>
      <c r="AM5958" s="527">
        <f ca="1">ROUND(R5965,2)</f>
        <v>93.2</v>
      </c>
      <c r="AN5958" s="528">
        <f ca="1">ROUND(T5965,2)</f>
        <v>3.8</v>
      </c>
      <c r="AO5958" s="529">
        <f ca="1">ROUND(AM5958+AN5958,2)*A5958</f>
        <v>970</v>
      </c>
      <c r="AR5958" s="747">
        <v>10</v>
      </c>
      <c r="AS5958" s="751">
        <v>256.8</v>
      </c>
    </row>
    <row r="5959" spans="1:45" s="520" customFormat="1" ht="13.2">
      <c r="A5959" s="748"/>
      <c r="B5959"/>
      <c r="C5959" s="748"/>
      <c r="D5959" s="749" t="s">
        <v>921</v>
      </c>
      <c r="F5959" s="753"/>
      <c r="G5959" s="3"/>
      <c r="H5959" s="753"/>
      <c r="I5959" s="754"/>
      <c r="J5959" s="753"/>
      <c r="K5959" s="753" t="s">
        <v>144</v>
      </c>
      <c r="L5959" s="753"/>
      <c r="M5959" s="753"/>
      <c r="N5959" s="753"/>
      <c r="O5959" s="753"/>
      <c r="P5959" s="753"/>
      <c r="Q5959" s="51"/>
      <c r="R5959" s="530"/>
      <c r="S5959" s="757"/>
      <c r="T5959" s="753"/>
      <c r="AR5959" s="748"/>
      <c r="AS5959" s="753"/>
    </row>
    <row r="5960" spans="1:45" s="886" customFormat="1" ht="13.2">
      <c r="A5960"/>
      <c r="B5960" s="910"/>
      <c r="C5960" s="910" t="s">
        <v>2597</v>
      </c>
      <c r="D5960" s="910" t="str">
        <f ca="1">CELL("Address",Elec_Rates!D$822)</f>
        <v>[E25_0062_Quintano_Foods_Elec_ELV_As_Awarded.xlsx]Elec_Rates!$D$822</v>
      </c>
      <c r="E5960" s="911"/>
      <c r="F5960" s="911"/>
      <c r="G5960" s="912" t="s">
        <v>2598</v>
      </c>
      <c r="H5960" s="912"/>
      <c r="I5960" s="912"/>
      <c r="J5960" s="912"/>
      <c r="K5960" s="913"/>
      <c r="L5960" s="911"/>
      <c r="M5960" s="911"/>
      <c r="N5960" s="911"/>
      <c r="O5960" s="914"/>
      <c r="P5960" s="911"/>
      <c r="Q5960" s="915"/>
      <c r="R5960" s="916"/>
      <c r="S5960" s="915"/>
      <c r="T5960" s="917"/>
      <c r="U5960" s="918"/>
      <c r="AR5960"/>
      <c r="AS5960" s="911"/>
    </row>
    <row r="5961" spans="1:45" s="886" customFormat="1" ht="11.4">
      <c r="A5961" s="919">
        <v>10</v>
      </c>
      <c r="B5961" s="920">
        <v>1</v>
      </c>
      <c r="C5961" s="920">
        <f>$A5961*$B5961</f>
        <v>10</v>
      </c>
      <c r="D5961" s="921" t="str">
        <f>Elec_Rates!$D$822</f>
        <v>078# 75x75mm galvanised steel cable trunking</v>
      </c>
      <c r="E5961" s="921"/>
      <c r="F5961" s="921" t="s">
        <v>2599</v>
      </c>
      <c r="G5961" s="922" t="s">
        <v>2601</v>
      </c>
      <c r="H5961" s="922"/>
      <c r="I5961" s="922"/>
      <c r="J5961" s="922"/>
      <c r="K5961" s="923"/>
      <c r="L5961" s="918"/>
      <c r="M5961" s="918"/>
      <c r="N5961" s="918"/>
      <c r="O5961" s="924"/>
      <c r="P5961" s="921"/>
      <c r="Q5961" s="925">
        <f ca="1">$B5961*Elec_Rates!$R$822</f>
        <v>6.95</v>
      </c>
      <c r="R5961" s="916">
        <f ca="1">$A5961*Q5961</f>
        <v>69.5</v>
      </c>
      <c r="S5961" s="925">
        <f ca="1">$B5961*Elec_Rates!$T$822</f>
        <v>0.28999999999999998</v>
      </c>
      <c r="T5961" s="917">
        <f ca="1">$A5961*S5961</f>
        <v>2.9</v>
      </c>
      <c r="U5961" s="926"/>
      <c r="AR5961" s="919">
        <v>10</v>
      </c>
      <c r="AS5961" s="921" t="s">
        <v>2599</v>
      </c>
    </row>
    <row r="5962" spans="1:45" s="886" customFormat="1" ht="13.2">
      <c r="A5962"/>
      <c r="B5962" s="910"/>
      <c r="C5962" s="910" t="s">
        <v>2597</v>
      </c>
      <c r="D5962" s="910" t="str">
        <f ca="1">CELL("Address",Elec_Rates!D$907)</f>
        <v>[E25_0062_Quintano_Foods_Elec_ELV_As_Awarded.xlsx]Elec_Rates!$D$907</v>
      </c>
      <c r="E5962" s="911"/>
      <c r="F5962" s="911"/>
      <c r="G5962" s="912" t="s">
        <v>2598</v>
      </c>
      <c r="H5962" s="912"/>
      <c r="I5962" s="912"/>
      <c r="J5962" s="912"/>
      <c r="K5962" s="913"/>
      <c r="L5962" s="911"/>
      <c r="M5962" s="911"/>
      <c r="N5962" s="911"/>
      <c r="O5962" s="914"/>
      <c r="P5962" s="911"/>
      <c r="Q5962" s="915"/>
      <c r="R5962" s="916"/>
      <c r="S5962" s="915"/>
      <c r="T5962" s="917"/>
      <c r="U5962" s="918"/>
      <c r="AR5962"/>
      <c r="AS5962" s="911"/>
    </row>
    <row r="5963" spans="1:45" s="886" customFormat="1" ht="11.4">
      <c r="A5963" s="919">
        <v>10</v>
      </c>
      <c r="B5963" s="920">
        <v>1</v>
      </c>
      <c r="C5963" s="920">
        <f>$A5963*$B5963</f>
        <v>10</v>
      </c>
      <c r="D5963" s="921" t="str">
        <f>Elec_Rates!$D$907</f>
        <v>084# Bracket for 50-150mm cable tray/basket/trunking</v>
      </c>
      <c r="E5963" s="921"/>
      <c r="F5963" s="921" t="s">
        <v>2599</v>
      </c>
      <c r="G5963" s="922" t="s">
        <v>2600</v>
      </c>
      <c r="H5963" s="922"/>
      <c r="I5963" s="922"/>
      <c r="J5963" s="922"/>
      <c r="K5963" s="923"/>
      <c r="L5963" s="918"/>
      <c r="M5963" s="918"/>
      <c r="N5963" s="918"/>
      <c r="O5963" s="924"/>
      <c r="P5963" s="921"/>
      <c r="Q5963" s="925">
        <f ca="1">$B5963*Elec_Rates!$R$907</f>
        <v>2.37</v>
      </c>
      <c r="R5963" s="916">
        <f ca="1">$A5963*Q5963</f>
        <v>23.700000000000003</v>
      </c>
      <c r="S5963" s="925">
        <f ca="1">$B5963*Elec_Rates!$T$907</f>
        <v>0.09</v>
      </c>
      <c r="T5963" s="917">
        <f ca="1">$A5963*S5963</f>
        <v>0.89999999999999991</v>
      </c>
      <c r="U5963" s="926"/>
      <c r="AR5963" s="919">
        <v>10</v>
      </c>
      <c r="AS5963" s="921" t="s">
        <v>2599</v>
      </c>
    </row>
    <row r="5964" spans="1:45" s="520" customFormat="1" ht="12">
      <c r="A5964" s="758"/>
      <c r="B5964" s="758"/>
      <c r="C5964" s="758"/>
      <c r="D5964" s="758"/>
      <c r="E5964" s="758"/>
      <c r="F5964" s="753"/>
      <c r="G5964" s="758"/>
      <c r="H5964" s="758"/>
      <c r="I5964" s="519"/>
      <c r="J5964" s="758"/>
      <c r="K5964" s="758"/>
      <c r="L5964" s="758"/>
      <c r="M5964" s="758"/>
      <c r="N5964" s="758"/>
      <c r="O5964" s="758"/>
      <c r="P5964" s="758"/>
      <c r="Q5964" s="519"/>
      <c r="R5964" s="759">
        <f t="shared" ref="R5964" si="366">$A5964*Q5964</f>
        <v>0</v>
      </c>
      <c r="S5964" s="519"/>
      <c r="T5964" s="760">
        <f t="shared" ref="T5964" si="367">$A5964*S5964*$T$1</f>
        <v>0</v>
      </c>
      <c r="AR5964" s="758"/>
      <c r="AS5964" s="753"/>
    </row>
    <row r="5965" spans="1:45" s="520" customFormat="1" ht="12.6" thickBot="1">
      <c r="A5965" s="761" t="s">
        <v>145</v>
      </c>
      <c r="B5965" s="762">
        <f>(R5964+T5964)</f>
        <v>0</v>
      </c>
      <c r="C5965" s="763"/>
      <c r="D5965" s="763"/>
      <c r="E5965" s="763"/>
      <c r="F5965" s="764"/>
      <c r="G5965" s="763" t="s">
        <v>146</v>
      </c>
      <c r="H5965" s="763"/>
      <c r="I5965" s="765"/>
      <c r="J5965" s="763"/>
      <c r="K5965" s="763" t="s">
        <v>3</v>
      </c>
      <c r="L5965" s="766" t="s">
        <v>143</v>
      </c>
      <c r="M5965" s="766"/>
      <c r="N5965" s="766"/>
      <c r="O5965" s="766"/>
      <c r="P5965" s="766"/>
      <c r="Q5965" s="767"/>
      <c r="R5965" s="768">
        <f ca="1">SUM(R5959:R5964)</f>
        <v>93.2</v>
      </c>
      <c r="S5965" s="763"/>
      <c r="T5965" s="768">
        <f ca="1">SUM(T5959:T5964)</f>
        <v>3.8</v>
      </c>
      <c r="U5965" s="531"/>
      <c r="V5965" s="531"/>
      <c r="W5965" s="531"/>
      <c r="X5965" s="531"/>
      <c r="Y5965" s="531"/>
      <c r="Z5965" s="531"/>
      <c r="AA5965" s="531"/>
      <c r="AB5965" s="531"/>
      <c r="AC5965" s="531"/>
      <c r="AD5965" s="531"/>
      <c r="AE5965" s="531"/>
      <c r="AF5965" s="531"/>
      <c r="AG5965" s="531"/>
      <c r="AH5965" s="531"/>
      <c r="AI5965" s="531"/>
      <c r="AJ5965" s="531"/>
      <c r="AK5965" s="531"/>
      <c r="AL5965" s="531"/>
      <c r="AM5965" s="531"/>
      <c r="AN5965" s="531"/>
      <c r="AO5965" s="531"/>
      <c r="AR5965" s="761" t="s">
        <v>145</v>
      </c>
      <c r="AS5965" s="764"/>
    </row>
    <row r="5966" spans="1:45" s="520" customFormat="1" ht="12" thickTop="1">
      <c r="A5966" s="51"/>
      <c r="B5966" s="41"/>
      <c r="C5966" s="51"/>
      <c r="E5966" s="42" t="s">
        <v>138</v>
      </c>
      <c r="F5966" s="42" t="s">
        <v>139</v>
      </c>
      <c r="G5966" s="51"/>
      <c r="H5966" s="51"/>
      <c r="I5966" s="51"/>
      <c r="J5966" s="51"/>
      <c r="K5966" s="51" t="s">
        <v>140</v>
      </c>
      <c r="L5966" s="51"/>
      <c r="M5966" s="51"/>
      <c r="N5966" s="51"/>
      <c r="O5966" s="52"/>
      <c r="P5966" s="51"/>
      <c r="Q5966" s="51"/>
      <c r="R5966" s="51"/>
      <c r="S5966" s="51"/>
      <c r="T5966" s="41"/>
      <c r="AG5966" s="521" t="s">
        <v>268</v>
      </c>
      <c r="AH5966" s="521" t="s">
        <v>269</v>
      </c>
      <c r="AI5966" s="521" t="s">
        <v>270</v>
      </c>
      <c r="AJ5966" s="521" t="s">
        <v>271</v>
      </c>
      <c r="AK5966" s="521" t="s">
        <v>272</v>
      </c>
      <c r="AM5966" s="745" t="s">
        <v>281</v>
      </c>
      <c r="AN5966" s="746" t="s">
        <v>282</v>
      </c>
      <c r="AO5966" s="522" t="s">
        <v>278</v>
      </c>
      <c r="AR5966" s="51"/>
      <c r="AS5966" s="42" t="s">
        <v>139</v>
      </c>
    </row>
    <row r="5967" spans="1:45" s="520" customFormat="1" ht="12" customHeight="1">
      <c r="A5967" s="747">
        <v>5</v>
      </c>
      <c r="B5967" s="523" t="s">
        <v>320</v>
      </c>
      <c r="C5967" s="748"/>
      <c r="D5967" s="749" t="s">
        <v>1960</v>
      </c>
      <c r="E5967" s="750">
        <f ca="1">IF(AND($A5967=0,$A$1="DIF"),0, ROUND(ROUND(($R5974*$S$2+($T5974*$T$2))/A5967,2)*$C$2,2))</f>
        <v>34.15</v>
      </c>
      <c r="F5967" s="751">
        <f ca="1">ROUND($A5967*$E5967,2)</f>
        <v>170.75</v>
      </c>
      <c r="G5967" s="752" t="s">
        <v>142</v>
      </c>
      <c r="H5967" s="753"/>
      <c r="I5967" s="754"/>
      <c r="J5967" s="753"/>
      <c r="K5967" s="753" t="s">
        <v>3</v>
      </c>
      <c r="L5967" s="755" t="s">
        <v>143</v>
      </c>
      <c r="M5967" s="755"/>
      <c r="N5967" s="755"/>
      <c r="O5967" s="755"/>
      <c r="P5967" s="755"/>
      <c r="Q5967" s="51"/>
      <c r="T5967" s="756" t="str">
        <f ca="1">IF(AND($R5974=0,$T5974=0),"0.00","mu :" &amp; ROUND($F5967/$C$2/($R5974+$T5974*$D$9),2))</f>
        <v>mu :1.23</v>
      </c>
      <c r="W5967" s="524"/>
      <c r="AG5967" s="481">
        <f ca="1">IF($E5967=0,0,ROUND($R5974*$S$2*$C$2/$A5967,2))</f>
        <v>15.22</v>
      </c>
      <c r="AH5967" s="481">
        <f ca="1">$AG5967*$A5967</f>
        <v>76.100000000000009</v>
      </c>
      <c r="AI5967" s="525">
        <f ca="1">$E5967-$AG5967</f>
        <v>18.93</v>
      </c>
      <c r="AJ5967" s="525">
        <f ca="1">$A5967*$AI5967</f>
        <v>94.65</v>
      </c>
      <c r="AK5967" s="526">
        <f ca="1">ROUND(($AG5967+$AI5967)*$A5967,2)</f>
        <v>170.75</v>
      </c>
      <c r="AM5967" s="527">
        <f ca="1">ROUND(R5974,2)</f>
        <v>61.8</v>
      </c>
      <c r="AN5967" s="528">
        <f ca="1">ROUND(T5974,2)</f>
        <v>2.8</v>
      </c>
      <c r="AO5967" s="529">
        <f ca="1">ROUND(AM5967+AN5967,2)*A5967</f>
        <v>323</v>
      </c>
      <c r="AR5967" s="747">
        <v>5</v>
      </c>
      <c r="AS5967" s="751">
        <v>180.9</v>
      </c>
    </row>
    <row r="5968" spans="1:45" s="520" customFormat="1" ht="13.2">
      <c r="A5968" s="748"/>
      <c r="B5968"/>
      <c r="C5968" s="748"/>
      <c r="D5968" s="749" t="s">
        <v>929</v>
      </c>
      <c r="F5968" s="753"/>
      <c r="G5968" s="3"/>
      <c r="H5968" s="753"/>
      <c r="I5968" s="754"/>
      <c r="J5968" s="753"/>
      <c r="K5968" s="753" t="s">
        <v>144</v>
      </c>
      <c r="L5968" s="753"/>
      <c r="M5968" s="753"/>
      <c r="N5968" s="753"/>
      <c r="O5968" s="753"/>
      <c r="P5968" s="753"/>
      <c r="Q5968" s="51"/>
      <c r="R5968" s="530"/>
      <c r="S5968" s="757"/>
      <c r="T5968" s="753"/>
      <c r="AR5968" s="748"/>
      <c r="AS5968" s="753"/>
    </row>
    <row r="5969" spans="1:45" s="886" customFormat="1" ht="13.2">
      <c r="A5969"/>
      <c r="B5969" s="910"/>
      <c r="C5969" s="910" t="s">
        <v>2597</v>
      </c>
      <c r="D5969" s="910" t="str">
        <f ca="1">CELL("Address",Elec_Rates!D$851)</f>
        <v>[E25_0062_Quintano_Foods_Elec_ELV_As_Awarded.xlsx]Elec_Rates!$D$851</v>
      </c>
      <c r="E5969" s="911"/>
      <c r="F5969" s="911"/>
      <c r="G5969" s="912" t="s">
        <v>2598</v>
      </c>
      <c r="H5969" s="912"/>
      <c r="I5969" s="912"/>
      <c r="J5969" s="912"/>
      <c r="K5969" s="913"/>
      <c r="L5969" s="911"/>
      <c r="M5969" s="911"/>
      <c r="N5969" s="911"/>
      <c r="O5969" s="914"/>
      <c r="P5969" s="911"/>
      <c r="Q5969" s="915"/>
      <c r="R5969" s="916"/>
      <c r="S5969" s="915"/>
      <c r="T5969" s="917"/>
      <c r="U5969" s="918"/>
      <c r="AR5969"/>
      <c r="AS5969" s="911"/>
    </row>
    <row r="5970" spans="1:45" s="886" customFormat="1" ht="11.4">
      <c r="A5970" s="919">
        <v>5</v>
      </c>
      <c r="B5970" s="920">
        <v>1</v>
      </c>
      <c r="C5970" s="920">
        <f>$A5970*$B5970</f>
        <v>5</v>
      </c>
      <c r="D5970" s="921" t="str">
        <f>Elec_Rates!$D$851</f>
        <v>080# 150x75mm galvanised steel cable trunking</v>
      </c>
      <c r="E5970" s="921"/>
      <c r="F5970" s="921" t="s">
        <v>2599</v>
      </c>
      <c r="G5970" s="922" t="s">
        <v>2601</v>
      </c>
      <c r="H5970" s="922"/>
      <c r="I5970" s="922"/>
      <c r="J5970" s="922"/>
      <c r="K5970" s="923"/>
      <c r="L5970" s="918"/>
      <c r="M5970" s="918"/>
      <c r="N5970" s="918"/>
      <c r="O5970" s="924"/>
      <c r="P5970" s="921"/>
      <c r="Q5970" s="925">
        <f ca="1">$B5970*Elec_Rates!$R$851</f>
        <v>9.99</v>
      </c>
      <c r="R5970" s="916">
        <f ca="1">$A5970*Q5970</f>
        <v>49.95</v>
      </c>
      <c r="S5970" s="925">
        <f ca="1">$B5970*Elec_Rates!$T$851</f>
        <v>0.47</v>
      </c>
      <c r="T5970" s="917">
        <f ca="1">$A5970*S5970</f>
        <v>2.3499999999999996</v>
      </c>
      <c r="U5970" s="926"/>
      <c r="AR5970" s="919">
        <v>5</v>
      </c>
      <c r="AS5970" s="921" t="s">
        <v>2599</v>
      </c>
    </row>
    <row r="5971" spans="1:45" s="886" customFormat="1" ht="13.2">
      <c r="A5971"/>
      <c r="B5971" s="910"/>
      <c r="C5971" s="910" t="s">
        <v>2597</v>
      </c>
      <c r="D5971" s="910" t="str">
        <f ca="1">CELL("Address",Elec_Rates!D$907)</f>
        <v>[E25_0062_Quintano_Foods_Elec_ELV_As_Awarded.xlsx]Elec_Rates!$D$907</v>
      </c>
      <c r="E5971" s="911"/>
      <c r="F5971" s="911"/>
      <c r="G5971" s="912" t="s">
        <v>2598</v>
      </c>
      <c r="H5971" s="912"/>
      <c r="I5971" s="912"/>
      <c r="J5971" s="912"/>
      <c r="K5971" s="913"/>
      <c r="L5971" s="911"/>
      <c r="M5971" s="911"/>
      <c r="N5971" s="911"/>
      <c r="O5971" s="914"/>
      <c r="P5971" s="911"/>
      <c r="Q5971" s="915"/>
      <c r="R5971" s="916"/>
      <c r="S5971" s="915"/>
      <c r="T5971" s="917"/>
      <c r="U5971" s="918"/>
      <c r="AR5971"/>
      <c r="AS5971" s="911"/>
    </row>
    <row r="5972" spans="1:45" s="886" customFormat="1" ht="11.4">
      <c r="A5972" s="919">
        <v>5</v>
      </c>
      <c r="B5972" s="920">
        <v>1</v>
      </c>
      <c r="C5972" s="920">
        <f>$A5972*$B5972</f>
        <v>5</v>
      </c>
      <c r="D5972" s="921" t="str">
        <f>Elec_Rates!$D$907</f>
        <v>084# Bracket for 50-150mm cable tray/basket/trunking</v>
      </c>
      <c r="E5972" s="921"/>
      <c r="F5972" s="921" t="s">
        <v>2599</v>
      </c>
      <c r="G5972" s="922" t="s">
        <v>2600</v>
      </c>
      <c r="H5972" s="922"/>
      <c r="I5972" s="922"/>
      <c r="J5972" s="922"/>
      <c r="K5972" s="923"/>
      <c r="L5972" s="918"/>
      <c r="M5972" s="918"/>
      <c r="N5972" s="918"/>
      <c r="O5972" s="924"/>
      <c r="P5972" s="921"/>
      <c r="Q5972" s="925">
        <f ca="1">$B5972*Elec_Rates!$R$907</f>
        <v>2.37</v>
      </c>
      <c r="R5972" s="916">
        <f ca="1">$A5972*Q5972</f>
        <v>11.850000000000001</v>
      </c>
      <c r="S5972" s="925">
        <f ca="1">$B5972*Elec_Rates!$T$907</f>
        <v>0.09</v>
      </c>
      <c r="T5972" s="917">
        <f ca="1">$A5972*S5972</f>
        <v>0.44999999999999996</v>
      </c>
      <c r="U5972" s="926"/>
      <c r="AR5972" s="919">
        <v>5</v>
      </c>
      <c r="AS5972" s="921" t="s">
        <v>2599</v>
      </c>
    </row>
    <row r="5973" spans="1:45" s="520" customFormat="1" ht="12">
      <c r="A5973" s="758"/>
      <c r="B5973" s="758"/>
      <c r="C5973" s="758"/>
      <c r="D5973" s="758"/>
      <c r="E5973" s="758"/>
      <c r="F5973" s="753"/>
      <c r="G5973" s="758"/>
      <c r="H5973" s="758"/>
      <c r="I5973" s="519"/>
      <c r="J5973" s="758"/>
      <c r="K5973" s="758"/>
      <c r="L5973" s="758"/>
      <c r="M5973" s="758"/>
      <c r="N5973" s="758"/>
      <c r="O5973" s="758"/>
      <c r="P5973" s="758"/>
      <c r="Q5973" s="519"/>
      <c r="R5973" s="759">
        <f t="shared" ref="R5973" si="368">$A5973*Q5973</f>
        <v>0</v>
      </c>
      <c r="S5973" s="519"/>
      <c r="T5973" s="760">
        <f t="shared" ref="T5973" si="369">$A5973*S5973*$T$1</f>
        <v>0</v>
      </c>
      <c r="AR5973" s="758"/>
      <c r="AS5973" s="753"/>
    </row>
    <row r="5974" spans="1:45" s="520" customFormat="1" ht="12.6" thickBot="1">
      <c r="A5974" s="761" t="s">
        <v>145</v>
      </c>
      <c r="B5974" s="762">
        <f>(R5973+T5973)</f>
        <v>0</v>
      </c>
      <c r="C5974" s="763"/>
      <c r="D5974" s="763"/>
      <c r="E5974" s="763"/>
      <c r="F5974" s="764"/>
      <c r="G5974" s="763" t="s">
        <v>146</v>
      </c>
      <c r="H5974" s="763"/>
      <c r="I5974" s="765"/>
      <c r="J5974" s="763"/>
      <c r="K5974" s="763" t="s">
        <v>3</v>
      </c>
      <c r="L5974" s="766" t="s">
        <v>143</v>
      </c>
      <c r="M5974" s="766"/>
      <c r="N5974" s="766"/>
      <c r="O5974" s="766"/>
      <c r="P5974" s="766"/>
      <c r="Q5974" s="767"/>
      <c r="R5974" s="768">
        <f ca="1">SUM(R5968:R5973)</f>
        <v>61.800000000000004</v>
      </c>
      <c r="S5974" s="763"/>
      <c r="T5974" s="768">
        <f ca="1">SUM(T5968:T5973)</f>
        <v>2.8</v>
      </c>
      <c r="U5974" s="531"/>
      <c r="V5974" s="531"/>
      <c r="W5974" s="531"/>
      <c r="X5974" s="531"/>
      <c r="Y5974" s="531"/>
      <c r="Z5974" s="531"/>
      <c r="AA5974" s="531"/>
      <c r="AB5974" s="531"/>
      <c r="AC5974" s="531"/>
      <c r="AD5974" s="531"/>
      <c r="AE5974" s="531"/>
      <c r="AF5974" s="531"/>
      <c r="AG5974" s="531"/>
      <c r="AH5974" s="531"/>
      <c r="AI5974" s="531"/>
      <c r="AJ5974" s="531"/>
      <c r="AK5974" s="531"/>
      <c r="AL5974" s="531"/>
      <c r="AM5974" s="531"/>
      <c r="AN5974" s="531"/>
      <c r="AO5974" s="531"/>
      <c r="AR5974" s="761" t="s">
        <v>145</v>
      </c>
      <c r="AS5974" s="764"/>
    </row>
    <row r="5975" spans="1:45" s="520" customFormat="1" ht="12" thickTop="1">
      <c r="A5975" s="51"/>
      <c r="B5975" s="41"/>
      <c r="C5975" s="51"/>
      <c r="E5975" s="42" t="s">
        <v>138</v>
      </c>
      <c r="F5975" s="42" t="s">
        <v>139</v>
      </c>
      <c r="G5975" s="51"/>
      <c r="H5975" s="51"/>
      <c r="I5975" s="51"/>
      <c r="J5975" s="51"/>
      <c r="K5975" s="51" t="s">
        <v>140</v>
      </c>
      <c r="L5975" s="51"/>
      <c r="M5975" s="51"/>
      <c r="N5975" s="51"/>
      <c r="O5975" s="52"/>
      <c r="P5975" s="51"/>
      <c r="Q5975" s="51"/>
      <c r="R5975" s="51"/>
      <c r="S5975" s="51"/>
      <c r="T5975" s="41"/>
      <c r="AG5975" s="521" t="s">
        <v>268</v>
      </c>
      <c r="AH5975" s="521" t="s">
        <v>269</v>
      </c>
      <c r="AI5975" s="521" t="s">
        <v>270</v>
      </c>
      <c r="AJ5975" s="521" t="s">
        <v>271</v>
      </c>
      <c r="AK5975" s="521" t="s">
        <v>272</v>
      </c>
      <c r="AM5975" s="745" t="s">
        <v>281</v>
      </c>
      <c r="AN5975" s="746" t="s">
        <v>282</v>
      </c>
      <c r="AO5975" s="522" t="s">
        <v>278</v>
      </c>
      <c r="AR5975" s="51"/>
      <c r="AS5975" s="42" t="s">
        <v>139</v>
      </c>
    </row>
    <row r="5976" spans="1:45" s="520" customFormat="1" ht="12" customHeight="1">
      <c r="A5976" s="747">
        <v>10</v>
      </c>
      <c r="B5976" s="523" t="s">
        <v>320</v>
      </c>
      <c r="C5976" s="748"/>
      <c r="D5976" s="749" t="s">
        <v>1961</v>
      </c>
      <c r="E5976" s="750">
        <f ca="1">IF(AND($A5976=0,$A$1="DIF"),0, ROUND(ROUND(($R5983*$S$2+($T5983*$T$2))/A5976,2)*$C$2,2))</f>
        <v>34.15</v>
      </c>
      <c r="F5976" s="751">
        <f ca="1">ROUND($A5976*$E5976,2)</f>
        <v>341.5</v>
      </c>
      <c r="G5976" s="752" t="s">
        <v>142</v>
      </c>
      <c r="H5976" s="753"/>
      <c r="I5976" s="754"/>
      <c r="J5976" s="753"/>
      <c r="K5976" s="753" t="s">
        <v>3</v>
      </c>
      <c r="L5976" s="755" t="s">
        <v>143</v>
      </c>
      <c r="M5976" s="755"/>
      <c r="N5976" s="755"/>
      <c r="O5976" s="755"/>
      <c r="P5976" s="755"/>
      <c r="Q5976" s="51"/>
      <c r="T5976" s="756" t="str">
        <f ca="1">IF(AND($R5983=0,$T5983=0),"0.00","mu :" &amp; ROUND($F5976/$C$2/($R5983+$T5983*$D$9),2))</f>
        <v>mu :1.23</v>
      </c>
      <c r="W5976" s="524"/>
      <c r="AG5976" s="481">
        <f ca="1">IF($E5976=0,0,ROUND($R5983*$S$2*$C$2/$A5976,2))</f>
        <v>15.22</v>
      </c>
      <c r="AH5976" s="481">
        <f ca="1">$AG5976*$A5976</f>
        <v>152.20000000000002</v>
      </c>
      <c r="AI5976" s="525">
        <f ca="1">$E5976-$AG5976</f>
        <v>18.93</v>
      </c>
      <c r="AJ5976" s="525">
        <f ca="1">$A5976*$AI5976</f>
        <v>189.3</v>
      </c>
      <c r="AK5976" s="526">
        <f ca="1">ROUND(($AG5976+$AI5976)*$A5976,2)</f>
        <v>341.5</v>
      </c>
      <c r="AM5976" s="527">
        <f ca="1">ROUND(R5983,2)</f>
        <v>123.6</v>
      </c>
      <c r="AN5976" s="528">
        <f ca="1">ROUND(T5983,2)</f>
        <v>5.6</v>
      </c>
      <c r="AO5976" s="529">
        <f ca="1">ROUND(AM5976+AN5976,2)*A5976</f>
        <v>1292</v>
      </c>
      <c r="AR5976" s="747">
        <v>10</v>
      </c>
      <c r="AS5976" s="751">
        <v>361.8</v>
      </c>
    </row>
    <row r="5977" spans="1:45" s="520" customFormat="1" ht="13.2">
      <c r="A5977" s="748"/>
      <c r="B5977"/>
      <c r="C5977" s="748"/>
      <c r="D5977" s="749" t="s">
        <v>925</v>
      </c>
      <c r="F5977" s="753"/>
      <c r="G5977" s="3"/>
      <c r="H5977" s="753"/>
      <c r="I5977" s="754"/>
      <c r="J5977" s="753"/>
      <c r="K5977" s="753" t="s">
        <v>144</v>
      </c>
      <c r="L5977" s="753"/>
      <c r="M5977" s="753"/>
      <c r="N5977" s="753"/>
      <c r="O5977" s="753"/>
      <c r="P5977" s="753"/>
      <c r="Q5977" s="51"/>
      <c r="R5977" s="530"/>
      <c r="S5977" s="757"/>
      <c r="T5977" s="753"/>
      <c r="AR5977" s="748"/>
      <c r="AS5977" s="753"/>
    </row>
    <row r="5978" spans="1:45" s="886" customFormat="1" ht="13.2">
      <c r="A5978"/>
      <c r="B5978" s="910"/>
      <c r="C5978" s="910" t="s">
        <v>2597</v>
      </c>
      <c r="D5978" s="910" t="str">
        <f ca="1">CELL("Address",Elec_Rates!D$851)</f>
        <v>[E25_0062_Quintano_Foods_Elec_ELV_As_Awarded.xlsx]Elec_Rates!$D$851</v>
      </c>
      <c r="E5978" s="911"/>
      <c r="F5978" s="911"/>
      <c r="G5978" s="912" t="s">
        <v>2598</v>
      </c>
      <c r="H5978" s="912"/>
      <c r="I5978" s="912"/>
      <c r="J5978" s="912"/>
      <c r="K5978" s="913"/>
      <c r="L5978" s="911"/>
      <c r="M5978" s="911"/>
      <c r="N5978" s="911"/>
      <c r="O5978" s="914"/>
      <c r="P5978" s="911"/>
      <c r="Q5978" s="915"/>
      <c r="R5978" s="916"/>
      <c r="S5978" s="915"/>
      <c r="T5978" s="917"/>
      <c r="U5978" s="918"/>
      <c r="AR5978"/>
      <c r="AS5978" s="911"/>
    </row>
    <row r="5979" spans="1:45" s="886" customFormat="1" ht="11.4">
      <c r="A5979" s="919">
        <v>10</v>
      </c>
      <c r="B5979" s="920">
        <v>1</v>
      </c>
      <c r="C5979" s="920">
        <f>$A5979*$B5979</f>
        <v>10</v>
      </c>
      <c r="D5979" s="921" t="str">
        <f>Elec_Rates!$D$851</f>
        <v>080# 150x75mm galvanised steel cable trunking</v>
      </c>
      <c r="E5979" s="921"/>
      <c r="F5979" s="921" t="s">
        <v>2599</v>
      </c>
      <c r="G5979" s="922" t="s">
        <v>2601</v>
      </c>
      <c r="H5979" s="922"/>
      <c r="I5979" s="922"/>
      <c r="J5979" s="922"/>
      <c r="K5979" s="923"/>
      <c r="L5979" s="918"/>
      <c r="M5979" s="918"/>
      <c r="N5979" s="918"/>
      <c r="O5979" s="924"/>
      <c r="P5979" s="921"/>
      <c r="Q5979" s="925">
        <f ca="1">$B5979*Elec_Rates!$R$851</f>
        <v>9.99</v>
      </c>
      <c r="R5979" s="916">
        <f ca="1">$A5979*Q5979</f>
        <v>99.9</v>
      </c>
      <c r="S5979" s="925">
        <f ca="1">$B5979*Elec_Rates!$T$851</f>
        <v>0.47</v>
      </c>
      <c r="T5979" s="917">
        <f ca="1">$A5979*S5979</f>
        <v>4.6999999999999993</v>
      </c>
      <c r="U5979" s="926"/>
      <c r="AR5979" s="919">
        <v>10</v>
      </c>
      <c r="AS5979" s="921" t="s">
        <v>2599</v>
      </c>
    </row>
    <row r="5980" spans="1:45" s="886" customFormat="1" ht="13.2">
      <c r="A5980"/>
      <c r="B5980" s="910"/>
      <c r="C5980" s="910" t="s">
        <v>2597</v>
      </c>
      <c r="D5980" s="910" t="str">
        <f ca="1">CELL("Address",Elec_Rates!D$907)</f>
        <v>[E25_0062_Quintano_Foods_Elec_ELV_As_Awarded.xlsx]Elec_Rates!$D$907</v>
      </c>
      <c r="E5980" s="911"/>
      <c r="F5980" s="911"/>
      <c r="G5980" s="912" t="s">
        <v>2598</v>
      </c>
      <c r="H5980" s="912"/>
      <c r="I5980" s="912"/>
      <c r="J5980" s="912"/>
      <c r="K5980" s="913"/>
      <c r="L5980" s="911"/>
      <c r="M5980" s="911"/>
      <c r="N5980" s="911"/>
      <c r="O5980" s="914"/>
      <c r="P5980" s="911"/>
      <c r="Q5980" s="915"/>
      <c r="R5980" s="916"/>
      <c r="S5980" s="915"/>
      <c r="T5980" s="917"/>
      <c r="U5980" s="918"/>
      <c r="AR5980"/>
      <c r="AS5980" s="911"/>
    </row>
    <row r="5981" spans="1:45" s="886" customFormat="1" ht="11.4">
      <c r="A5981" s="919">
        <v>10</v>
      </c>
      <c r="B5981" s="920">
        <v>1</v>
      </c>
      <c r="C5981" s="920">
        <f>$A5981*$B5981</f>
        <v>10</v>
      </c>
      <c r="D5981" s="921" t="str">
        <f>Elec_Rates!$D$907</f>
        <v>084# Bracket for 50-150mm cable tray/basket/trunking</v>
      </c>
      <c r="E5981" s="921"/>
      <c r="F5981" s="921" t="s">
        <v>2599</v>
      </c>
      <c r="G5981" s="922" t="s">
        <v>2600</v>
      </c>
      <c r="H5981" s="922"/>
      <c r="I5981" s="922"/>
      <c r="J5981" s="922"/>
      <c r="K5981" s="923"/>
      <c r="L5981" s="918"/>
      <c r="M5981" s="918"/>
      <c r="N5981" s="918"/>
      <c r="O5981" s="924"/>
      <c r="P5981" s="921"/>
      <c r="Q5981" s="925">
        <f ca="1">$B5981*Elec_Rates!$R$907</f>
        <v>2.37</v>
      </c>
      <c r="R5981" s="916">
        <f ca="1">$A5981*Q5981</f>
        <v>23.700000000000003</v>
      </c>
      <c r="S5981" s="925">
        <f ca="1">$B5981*Elec_Rates!$T$907</f>
        <v>0.09</v>
      </c>
      <c r="T5981" s="917">
        <f ca="1">$A5981*S5981</f>
        <v>0.89999999999999991</v>
      </c>
      <c r="U5981" s="926"/>
      <c r="AR5981" s="919">
        <v>10</v>
      </c>
      <c r="AS5981" s="921" t="s">
        <v>2599</v>
      </c>
    </row>
    <row r="5982" spans="1:45" s="520" customFormat="1" ht="12">
      <c r="A5982" s="758"/>
      <c r="B5982" s="758"/>
      <c r="C5982" s="758"/>
      <c r="D5982" s="758"/>
      <c r="E5982" s="758"/>
      <c r="F5982" s="753"/>
      <c r="G5982" s="758"/>
      <c r="H5982" s="758"/>
      <c r="I5982" s="519"/>
      <c r="J5982" s="758"/>
      <c r="K5982" s="758"/>
      <c r="L5982" s="758"/>
      <c r="M5982" s="758"/>
      <c r="N5982" s="758"/>
      <c r="O5982" s="758"/>
      <c r="P5982" s="758"/>
      <c r="Q5982" s="519"/>
      <c r="R5982" s="759">
        <f t="shared" ref="R5982" si="370">$A5982*Q5982</f>
        <v>0</v>
      </c>
      <c r="S5982" s="519"/>
      <c r="T5982" s="760">
        <f t="shared" ref="T5982" si="371">$A5982*S5982*$T$1</f>
        <v>0</v>
      </c>
      <c r="AR5982" s="758"/>
      <c r="AS5982" s="753"/>
    </row>
    <row r="5983" spans="1:45" s="520" customFormat="1" ht="12.6" thickBot="1">
      <c r="A5983" s="761" t="s">
        <v>145</v>
      </c>
      <c r="B5983" s="762">
        <f>(R5982+T5982)</f>
        <v>0</v>
      </c>
      <c r="C5983" s="763"/>
      <c r="D5983" s="763"/>
      <c r="E5983" s="763"/>
      <c r="F5983" s="764"/>
      <c r="G5983" s="763" t="s">
        <v>146</v>
      </c>
      <c r="H5983" s="763"/>
      <c r="I5983" s="765"/>
      <c r="J5983" s="763"/>
      <c r="K5983" s="763" t="s">
        <v>3</v>
      </c>
      <c r="L5983" s="766" t="s">
        <v>143</v>
      </c>
      <c r="M5983" s="766"/>
      <c r="N5983" s="766"/>
      <c r="O5983" s="766"/>
      <c r="P5983" s="766"/>
      <c r="Q5983" s="767"/>
      <c r="R5983" s="768">
        <f ca="1">SUM(R5977:R5982)</f>
        <v>123.60000000000001</v>
      </c>
      <c r="S5983" s="763"/>
      <c r="T5983" s="768">
        <f ca="1">SUM(T5977:T5982)</f>
        <v>5.6</v>
      </c>
      <c r="U5983" s="531"/>
      <c r="V5983" s="531"/>
      <c r="W5983" s="531"/>
      <c r="X5983" s="531"/>
      <c r="Y5983" s="531"/>
      <c r="Z5983" s="531"/>
      <c r="AA5983" s="531"/>
      <c r="AB5983" s="531"/>
      <c r="AC5983" s="531"/>
      <c r="AD5983" s="531"/>
      <c r="AE5983" s="531"/>
      <c r="AF5983" s="531"/>
      <c r="AG5983" s="531"/>
      <c r="AH5983" s="531"/>
      <c r="AI5983" s="531"/>
      <c r="AJ5983" s="531"/>
      <c r="AK5983" s="531"/>
      <c r="AL5983" s="531"/>
      <c r="AM5983" s="531"/>
      <c r="AN5983" s="531"/>
      <c r="AO5983" s="531"/>
      <c r="AR5983" s="761" t="s">
        <v>145</v>
      </c>
      <c r="AS5983" s="764"/>
    </row>
    <row r="5984" spans="1:45" s="520" customFormat="1" ht="12" thickTop="1">
      <c r="A5984" s="51"/>
      <c r="B5984" s="41"/>
      <c r="C5984" s="51"/>
      <c r="E5984" s="42" t="s">
        <v>138</v>
      </c>
      <c r="F5984" s="42" t="s">
        <v>139</v>
      </c>
      <c r="G5984" s="51"/>
      <c r="H5984" s="51"/>
      <c r="I5984" s="51"/>
      <c r="J5984" s="51"/>
      <c r="K5984" s="51" t="s">
        <v>140</v>
      </c>
      <c r="L5984" s="51"/>
      <c r="M5984" s="51"/>
      <c r="N5984" s="51"/>
      <c r="O5984" s="52"/>
      <c r="P5984" s="51"/>
      <c r="Q5984" s="51"/>
      <c r="R5984" s="51"/>
      <c r="S5984" s="51"/>
      <c r="T5984" s="41"/>
      <c r="AG5984" s="521" t="s">
        <v>268</v>
      </c>
      <c r="AH5984" s="521" t="s">
        <v>269</v>
      </c>
      <c r="AI5984" s="521" t="s">
        <v>270</v>
      </c>
      <c r="AJ5984" s="521" t="s">
        <v>271</v>
      </c>
      <c r="AK5984" s="521" t="s">
        <v>272</v>
      </c>
      <c r="AM5984" s="745" t="s">
        <v>281</v>
      </c>
      <c r="AN5984" s="746" t="s">
        <v>282</v>
      </c>
      <c r="AO5984" s="522" t="s">
        <v>278</v>
      </c>
      <c r="AR5984" s="51"/>
      <c r="AS5984" s="42" t="s">
        <v>139</v>
      </c>
    </row>
    <row r="5985" spans="1:45" s="520" customFormat="1" ht="12" customHeight="1">
      <c r="A5985" s="747">
        <v>10</v>
      </c>
      <c r="B5985" s="523" t="s">
        <v>320</v>
      </c>
      <c r="C5985" s="748"/>
      <c r="D5985" s="749" t="s">
        <v>1962</v>
      </c>
      <c r="E5985" s="750">
        <f ca="1">IF(AND($A5985=0,$A$1="DIF"),0, ROUND(ROUND(($R5992*$S$2+($T5992*$T$2))/A5985,2)*$C$2,2))</f>
        <v>45.94</v>
      </c>
      <c r="F5985" s="751">
        <f ca="1">ROUND($A5985*$E5985,2)</f>
        <v>459.4</v>
      </c>
      <c r="G5985" s="752" t="s">
        <v>142</v>
      </c>
      <c r="H5985" s="753"/>
      <c r="I5985" s="754"/>
      <c r="J5985" s="753"/>
      <c r="K5985" s="753" t="s">
        <v>3</v>
      </c>
      <c r="L5985" s="755" t="s">
        <v>143</v>
      </c>
      <c r="M5985" s="755"/>
      <c r="N5985" s="755"/>
      <c r="O5985" s="755"/>
      <c r="P5985" s="755"/>
      <c r="Q5985" s="51"/>
      <c r="T5985" s="756" t="str">
        <f ca="1">IF(AND($R5992=0,$T5992=0),"0.00","mu :" &amp; ROUND($F5985/$C$2/($R5992+$T5992*$D$9),2))</f>
        <v>mu :1.23</v>
      </c>
      <c r="W5985" s="524"/>
      <c r="AG5985" s="481">
        <f ca="1">IF($E5985=0,0,ROUND($R5992*$S$2*$C$2/$A5985,2))</f>
        <v>22.95</v>
      </c>
      <c r="AH5985" s="481">
        <f ca="1">$AG5985*$A5985</f>
        <v>229.5</v>
      </c>
      <c r="AI5985" s="525">
        <f ca="1">$E5985-$AG5985</f>
        <v>22.99</v>
      </c>
      <c r="AJ5985" s="525">
        <f ca="1">$A5985*$AI5985</f>
        <v>229.89999999999998</v>
      </c>
      <c r="AK5985" s="526">
        <f ca="1">ROUND(($AG5985+$AI5985)*$A5985,2)</f>
        <v>459.4</v>
      </c>
      <c r="AM5985" s="527">
        <f ca="1">ROUND(R5992,2)</f>
        <v>186.4</v>
      </c>
      <c r="AN5985" s="528">
        <f ca="1">ROUND(T5992,2)</f>
        <v>6.8</v>
      </c>
      <c r="AO5985" s="529">
        <f ca="1">ROUND(AM5985+AN5985,2)*A5985</f>
        <v>1932</v>
      </c>
      <c r="AR5985" s="747">
        <v>10</v>
      </c>
      <c r="AS5985" s="751">
        <v>483.1</v>
      </c>
    </row>
    <row r="5986" spans="1:45" s="520" customFormat="1" ht="13.2">
      <c r="A5986" s="748"/>
      <c r="B5986"/>
      <c r="C5986" s="748"/>
      <c r="D5986" s="749" t="s">
        <v>930</v>
      </c>
      <c r="F5986" s="753"/>
      <c r="G5986" s="3"/>
      <c r="H5986" s="753"/>
      <c r="I5986" s="754"/>
      <c r="J5986" s="753"/>
      <c r="K5986" s="753" t="s">
        <v>144</v>
      </c>
      <c r="L5986" s="753"/>
      <c r="M5986" s="753"/>
      <c r="N5986" s="753"/>
      <c r="O5986" s="753"/>
      <c r="P5986" s="753"/>
      <c r="Q5986" s="51"/>
      <c r="R5986" s="530"/>
      <c r="S5986" s="757"/>
      <c r="T5986" s="753"/>
      <c r="AR5986" s="748"/>
      <c r="AS5986" s="753"/>
    </row>
    <row r="5987" spans="1:45" s="886" customFormat="1" ht="13.2">
      <c r="A5987"/>
      <c r="B5987" s="910"/>
      <c r="C5987" s="910" t="s">
        <v>2597</v>
      </c>
      <c r="D5987" s="910" t="str">
        <f ca="1">CELL("Address",Elec_Rates!D$879)</f>
        <v>[E25_0062_Quintano_Foods_Elec_ELV_As_Awarded.xlsx]Elec_Rates!$D$879</v>
      </c>
      <c r="E5987" s="911"/>
      <c r="F5987" s="911"/>
      <c r="G5987" s="912" t="s">
        <v>2598</v>
      </c>
      <c r="H5987" s="912"/>
      <c r="I5987" s="912"/>
      <c r="J5987" s="912"/>
      <c r="K5987" s="913"/>
      <c r="L5987" s="911"/>
      <c r="M5987" s="911"/>
      <c r="N5987" s="911"/>
      <c r="O5987" s="914"/>
      <c r="P5987" s="911"/>
      <c r="Q5987" s="915"/>
      <c r="R5987" s="916"/>
      <c r="S5987" s="915"/>
      <c r="T5987" s="917"/>
      <c r="U5987" s="918"/>
      <c r="AR5987"/>
      <c r="AS5987" s="911"/>
    </row>
    <row r="5988" spans="1:45" s="886" customFormat="1" ht="11.4">
      <c r="A5988" s="919">
        <v>10</v>
      </c>
      <c r="B5988" s="920">
        <v>1</v>
      </c>
      <c r="C5988" s="920">
        <f>$A5988*$B5988</f>
        <v>10</v>
      </c>
      <c r="D5988" s="921" t="str">
        <f>Elec_Rates!$D$879</f>
        <v>082# 250x75mm galvanised steel cable trunking</v>
      </c>
      <c r="E5988" s="921"/>
      <c r="F5988" s="921" t="s">
        <v>2599</v>
      </c>
      <c r="G5988" s="922" t="s">
        <v>2600</v>
      </c>
      <c r="H5988" s="922"/>
      <c r="I5988" s="922"/>
      <c r="J5988" s="922"/>
      <c r="K5988" s="923"/>
      <c r="L5988" s="918"/>
      <c r="M5988" s="918"/>
      <c r="N5988" s="918"/>
      <c r="O5988" s="924"/>
      <c r="P5988" s="921"/>
      <c r="Q5988" s="925">
        <f ca="1">$B5988*Elec_Rates!$R$879</f>
        <v>16.16</v>
      </c>
      <c r="R5988" s="916">
        <f ca="1">$A5988*Q5988</f>
        <v>161.6</v>
      </c>
      <c r="S5988" s="925">
        <f ca="1">$B5988*Elec_Rates!$T$879</f>
        <v>0.59</v>
      </c>
      <c r="T5988" s="917">
        <f ca="1">$A5988*S5988</f>
        <v>5.8999999999999995</v>
      </c>
      <c r="U5988" s="926"/>
      <c r="AR5988" s="919">
        <v>10</v>
      </c>
      <c r="AS5988" s="921" t="s">
        <v>2599</v>
      </c>
    </row>
    <row r="5989" spans="1:45" s="886" customFormat="1" ht="13.2">
      <c r="A5989"/>
      <c r="B5989" s="910"/>
      <c r="C5989" s="910" t="s">
        <v>2597</v>
      </c>
      <c r="D5989" s="910" t="str">
        <f ca="1">CELL("Address",Elec_Rates!D$920)</f>
        <v>[E25_0062_Quintano_Foods_Elec_ELV_As_Awarded.xlsx]Elec_Rates!$D$920</v>
      </c>
      <c r="E5989" s="911"/>
      <c r="F5989" s="911"/>
      <c r="G5989" s="912" t="s">
        <v>2598</v>
      </c>
      <c r="H5989" s="912"/>
      <c r="I5989" s="912"/>
      <c r="J5989" s="912"/>
      <c r="K5989" s="913"/>
      <c r="L5989" s="911"/>
      <c r="M5989" s="911"/>
      <c r="N5989" s="911"/>
      <c r="O5989" s="914"/>
      <c r="P5989" s="911"/>
      <c r="Q5989" s="915"/>
      <c r="R5989" s="916"/>
      <c r="S5989" s="915"/>
      <c r="T5989" s="917"/>
      <c r="U5989" s="918"/>
      <c r="AR5989"/>
      <c r="AS5989" s="911"/>
    </row>
    <row r="5990" spans="1:45" s="886" customFormat="1" ht="11.4">
      <c r="A5990" s="919">
        <v>10</v>
      </c>
      <c r="B5990" s="920">
        <v>1</v>
      </c>
      <c r="C5990" s="920">
        <f>$A5990*$B5990</f>
        <v>10</v>
      </c>
      <c r="D5990" s="921" t="str">
        <f>Elec_Rates!$D$920</f>
        <v>085# Bracket for 200-300mm cable tray/basket</v>
      </c>
      <c r="E5990" s="921"/>
      <c r="F5990" s="921" t="s">
        <v>2599</v>
      </c>
      <c r="G5990" s="922" t="s">
        <v>2601</v>
      </c>
      <c r="H5990" s="922"/>
      <c r="I5990" s="922"/>
      <c r="J5990" s="922"/>
      <c r="K5990" s="923"/>
      <c r="L5990" s="918"/>
      <c r="M5990" s="918"/>
      <c r="N5990" s="918"/>
      <c r="O5990" s="924"/>
      <c r="P5990" s="921"/>
      <c r="Q5990" s="925">
        <f ca="1">$B5990*Elec_Rates!$R$920</f>
        <v>2.48</v>
      </c>
      <c r="R5990" s="916">
        <f ca="1">$A5990*Q5990</f>
        <v>24.8</v>
      </c>
      <c r="S5990" s="925">
        <f ca="1">$B5990*Elec_Rates!$T$920</f>
        <v>0.09</v>
      </c>
      <c r="T5990" s="917">
        <f ca="1">$A5990*S5990</f>
        <v>0.89999999999999991</v>
      </c>
      <c r="U5990" s="926"/>
      <c r="AR5990" s="919">
        <v>10</v>
      </c>
      <c r="AS5990" s="921" t="s">
        <v>2599</v>
      </c>
    </row>
    <row r="5991" spans="1:45" s="520" customFormat="1" ht="12">
      <c r="A5991" s="758"/>
      <c r="B5991" s="758"/>
      <c r="C5991" s="758"/>
      <c r="D5991" s="758"/>
      <c r="E5991" s="758"/>
      <c r="F5991" s="753"/>
      <c r="G5991" s="758"/>
      <c r="H5991" s="758"/>
      <c r="I5991" s="519"/>
      <c r="J5991" s="758"/>
      <c r="K5991" s="758"/>
      <c r="L5991" s="758"/>
      <c r="M5991" s="758"/>
      <c r="N5991" s="758"/>
      <c r="O5991" s="758"/>
      <c r="P5991" s="758"/>
      <c r="Q5991" s="519"/>
      <c r="R5991" s="759">
        <f t="shared" ref="R5991" si="372">$A5991*Q5991</f>
        <v>0</v>
      </c>
      <c r="S5991" s="519"/>
      <c r="T5991" s="760">
        <f t="shared" ref="T5991" si="373">$A5991*S5991*$T$1</f>
        <v>0</v>
      </c>
      <c r="AR5991" s="758"/>
      <c r="AS5991" s="753"/>
    </row>
    <row r="5992" spans="1:45" s="520" customFormat="1" ht="12.6" thickBot="1">
      <c r="A5992" s="761" t="s">
        <v>145</v>
      </c>
      <c r="B5992" s="762">
        <f>(R5991+T5991)</f>
        <v>0</v>
      </c>
      <c r="C5992" s="763"/>
      <c r="D5992" s="763"/>
      <c r="E5992" s="763"/>
      <c r="F5992" s="764"/>
      <c r="G5992" s="763" t="s">
        <v>146</v>
      </c>
      <c r="H5992" s="763"/>
      <c r="I5992" s="765"/>
      <c r="J5992" s="763"/>
      <c r="K5992" s="763" t="s">
        <v>3</v>
      </c>
      <c r="L5992" s="766" t="s">
        <v>143</v>
      </c>
      <c r="M5992" s="766"/>
      <c r="N5992" s="766"/>
      <c r="O5992" s="766"/>
      <c r="P5992" s="766"/>
      <c r="Q5992" s="767"/>
      <c r="R5992" s="768">
        <f ca="1">SUM(R5986:R5991)</f>
        <v>186.4</v>
      </c>
      <c r="S5992" s="763"/>
      <c r="T5992" s="768">
        <f ca="1">SUM(T5986:T5991)</f>
        <v>6.7999999999999989</v>
      </c>
      <c r="U5992" s="531"/>
      <c r="V5992" s="531"/>
      <c r="W5992" s="531"/>
      <c r="X5992" s="531"/>
      <c r="Y5992" s="531"/>
      <c r="Z5992" s="531"/>
      <c r="AA5992" s="531"/>
      <c r="AB5992" s="531"/>
      <c r="AC5992" s="531"/>
      <c r="AD5992" s="531"/>
      <c r="AE5992" s="531"/>
      <c r="AF5992" s="531"/>
      <c r="AG5992" s="531"/>
      <c r="AH5992" s="531"/>
      <c r="AI5992" s="531"/>
      <c r="AJ5992" s="531"/>
      <c r="AK5992" s="531"/>
      <c r="AL5992" s="531"/>
      <c r="AM5992" s="531"/>
      <c r="AN5992" s="531"/>
      <c r="AO5992" s="531"/>
      <c r="AR5992" s="761" t="s">
        <v>145</v>
      </c>
      <c r="AS5992" s="764"/>
    </row>
    <row r="5993" spans="1:45" s="520" customFormat="1" thickTop="1">
      <c r="A5993" s="51"/>
      <c r="B5993" s="51"/>
      <c r="C5993" s="3"/>
      <c r="D5993" s="3"/>
      <c r="E5993" s="51"/>
      <c r="F5993" s="51"/>
      <c r="G5993" s="51"/>
      <c r="H5993" s="51"/>
      <c r="I5993" s="51"/>
      <c r="J5993" s="51"/>
      <c r="K5993" s="51" t="s">
        <v>134</v>
      </c>
      <c r="L5993" s="51"/>
      <c r="M5993" s="51"/>
      <c r="N5993" s="51"/>
      <c r="O5993" s="52"/>
      <c r="P5993" s="51"/>
      <c r="Q5993" s="51"/>
      <c r="R5993" s="51"/>
      <c r="S5993" s="51"/>
      <c r="T5993" s="51"/>
      <c r="AR5993" s="51"/>
      <c r="AS5993" s="51"/>
    </row>
    <row r="5994" spans="1:45" s="520" customFormat="1" ht="12">
      <c r="A5994" s="51"/>
      <c r="B5994" s="51"/>
      <c r="C5994" s="51" t="s">
        <v>135</v>
      </c>
      <c r="D5994" s="37"/>
      <c r="E5994" s="51"/>
      <c r="F5994" s="51"/>
      <c r="G5994" s="51"/>
      <c r="H5994" s="51"/>
      <c r="I5994" s="51"/>
      <c r="J5994" s="51"/>
      <c r="K5994" s="51"/>
      <c r="L5994" s="51"/>
      <c r="M5994" s="51"/>
      <c r="N5994" s="51"/>
      <c r="O5994" s="52"/>
      <c r="P5994" s="51"/>
      <c r="Q5994" s="51"/>
      <c r="R5994" s="51"/>
      <c r="S5994" s="51"/>
      <c r="T5994" s="51"/>
      <c r="AR5994" s="51"/>
      <c r="AS5994" s="51"/>
    </row>
    <row r="5995" spans="1:45" s="520" customFormat="1" ht="12">
      <c r="A5995" s="51"/>
      <c r="B5995" s="51"/>
      <c r="C5995" s="51"/>
      <c r="D5995" s="37" t="s">
        <v>924</v>
      </c>
      <c r="E5995" s="51"/>
      <c r="F5995" s="51"/>
      <c r="G5995" s="51"/>
      <c r="H5995" s="51"/>
      <c r="I5995" s="51"/>
      <c r="J5995" s="51"/>
      <c r="K5995" s="51"/>
      <c r="L5995" s="51"/>
      <c r="M5995" s="51"/>
      <c r="N5995" s="51"/>
      <c r="O5995" s="52"/>
      <c r="P5995" s="51"/>
      <c r="Q5995" s="51"/>
      <c r="R5995" s="51"/>
      <c r="S5995" s="38"/>
      <c r="T5995" s="38"/>
      <c r="AR5995" s="51"/>
      <c r="AS5995" s="51"/>
    </row>
    <row r="5996" spans="1:45" s="3" customFormat="1" thickBot="1">
      <c r="A5996" s="531"/>
      <c r="O5996" s="107"/>
      <c r="AR5996" s="531"/>
    </row>
    <row r="5997" spans="1:45" s="520" customFormat="1" ht="12" thickTop="1">
      <c r="A5997" s="51"/>
      <c r="B5997" s="41"/>
      <c r="C5997" s="51"/>
      <c r="E5997" s="42" t="s">
        <v>138</v>
      </c>
      <c r="F5997" s="42" t="s">
        <v>139</v>
      </c>
      <c r="G5997" s="51"/>
      <c r="H5997" s="51"/>
      <c r="I5997" s="51"/>
      <c r="J5997" s="51"/>
      <c r="K5997" s="51" t="s">
        <v>140</v>
      </c>
      <c r="L5997" s="51"/>
      <c r="M5997" s="51"/>
      <c r="N5997" s="51"/>
      <c r="O5997" s="52"/>
      <c r="P5997" s="51"/>
      <c r="Q5997" s="51"/>
      <c r="R5997" s="51"/>
      <c r="S5997" s="51"/>
      <c r="T5997" s="41"/>
      <c r="AG5997" s="521" t="s">
        <v>268</v>
      </c>
      <c r="AH5997" s="521" t="s">
        <v>269</v>
      </c>
      <c r="AI5997" s="521" t="s">
        <v>270</v>
      </c>
      <c r="AJ5997" s="521" t="s">
        <v>271</v>
      </c>
      <c r="AK5997" s="521" t="s">
        <v>272</v>
      </c>
      <c r="AM5997" s="745" t="s">
        <v>281</v>
      </c>
      <c r="AN5997" s="746" t="s">
        <v>282</v>
      </c>
      <c r="AO5997" s="522" t="s">
        <v>278</v>
      </c>
      <c r="AR5997" s="51"/>
      <c r="AS5997" s="42" t="s">
        <v>139</v>
      </c>
    </row>
    <row r="5998" spans="1:45" s="520" customFormat="1" ht="12" customHeight="1">
      <c r="A5998" s="747">
        <v>15</v>
      </c>
      <c r="B5998" s="523" t="s">
        <v>320</v>
      </c>
      <c r="C5998" s="748"/>
      <c r="D5998" s="749" t="s">
        <v>1963</v>
      </c>
      <c r="E5998" s="750">
        <f ca="1">IF(AND($A5998=0,$A$1="DIF"),0, ROUND(ROUND(($R6005*$S$2+($T6005*$T$2))/A5998,2)*$C$2,2))</f>
        <v>22.31</v>
      </c>
      <c r="F5998" s="751">
        <f ca="1">ROUND($A5998*$E5998,2)</f>
        <v>334.65</v>
      </c>
      <c r="G5998" s="752" t="s">
        <v>142</v>
      </c>
      <c r="H5998" s="753"/>
      <c r="I5998" s="754"/>
      <c r="J5998" s="753"/>
      <c r="K5998" s="753" t="s">
        <v>3</v>
      </c>
      <c r="L5998" s="755" t="s">
        <v>143</v>
      </c>
      <c r="M5998" s="755"/>
      <c r="N5998" s="755"/>
      <c r="O5998" s="755"/>
      <c r="P5998" s="755"/>
      <c r="Q5998" s="51"/>
      <c r="T5998" s="756" t="str">
        <f ca="1">IF(AND($R6005=0,$T6005=0),"0.00","mu :" &amp; ROUND($F5998/$C$2/($R6005+$T6005*$D$9),2))</f>
        <v>mu :1.23</v>
      </c>
      <c r="W5998" s="524"/>
      <c r="AG5998" s="481">
        <f ca="1">IF($E5998=0,0,ROUND($R6005*$S$2*$C$2/$A5998,2))</f>
        <v>10.130000000000001</v>
      </c>
      <c r="AH5998" s="481">
        <f ca="1">$AG5998*$A5998</f>
        <v>151.95000000000002</v>
      </c>
      <c r="AI5998" s="525">
        <f ca="1">$E5998-$AG5998</f>
        <v>12.179999999999998</v>
      </c>
      <c r="AJ5998" s="525">
        <f ca="1">$A5998*$AI5998</f>
        <v>182.69999999999996</v>
      </c>
      <c r="AK5998" s="526">
        <f ca="1">ROUND(($AG5998+$AI5998)*$A5998,2)</f>
        <v>334.65</v>
      </c>
      <c r="AM5998" s="527">
        <f ca="1">ROUND(R6005,2)</f>
        <v>123.45</v>
      </c>
      <c r="AN5998" s="528">
        <f ca="1">ROUND(T6005,2)</f>
        <v>5.4</v>
      </c>
      <c r="AO5998" s="529">
        <f ca="1">ROUND(AM5998+AN5998,2)*A5998</f>
        <v>1932.75</v>
      </c>
      <c r="AR5998" s="747">
        <v>15</v>
      </c>
      <c r="AS5998" s="751">
        <v>354.9</v>
      </c>
    </row>
    <row r="5999" spans="1:45" s="520" customFormat="1" ht="13.2">
      <c r="A5999" s="748"/>
      <c r="B5999"/>
      <c r="C5999" s="748"/>
      <c r="D5999" s="749" t="s">
        <v>920</v>
      </c>
      <c r="F5999" s="753"/>
      <c r="G5999" s="3"/>
      <c r="H5999" s="753"/>
      <c r="I5999" s="754"/>
      <c r="J5999" s="753"/>
      <c r="K5999" s="753" t="s">
        <v>144</v>
      </c>
      <c r="L5999" s="753"/>
      <c r="M5999" s="753"/>
      <c r="N5999" s="753"/>
      <c r="O5999" s="753"/>
      <c r="P5999" s="753"/>
      <c r="Q5999" s="51"/>
      <c r="R5999" s="530"/>
      <c r="S5999" s="757"/>
      <c r="T5999" s="753"/>
      <c r="AR5999" s="748"/>
      <c r="AS5999" s="753"/>
    </row>
    <row r="6000" spans="1:45" s="886" customFormat="1" ht="13.2">
      <c r="A6000"/>
      <c r="B6000" s="910"/>
      <c r="C6000" s="910" t="s">
        <v>2597</v>
      </c>
      <c r="D6000" s="910" t="str">
        <f ca="1">CELL("Address",Elec_Rates!D$808)</f>
        <v>[E25_0062_Quintano_Foods_Elec_ELV_As_Awarded.xlsx]Elec_Rates!$D$808</v>
      </c>
      <c r="E6000" s="911"/>
      <c r="F6000" s="911"/>
      <c r="G6000" s="912" t="s">
        <v>2598</v>
      </c>
      <c r="H6000" s="912"/>
      <c r="I6000" s="912"/>
      <c r="J6000" s="912"/>
      <c r="K6000" s="913"/>
      <c r="L6000" s="911"/>
      <c r="M6000" s="911"/>
      <c r="N6000" s="911"/>
      <c r="O6000" s="914"/>
      <c r="P6000" s="911"/>
      <c r="Q6000" s="915"/>
      <c r="R6000" s="916"/>
      <c r="S6000" s="915"/>
      <c r="T6000" s="917"/>
      <c r="U6000" s="918"/>
      <c r="AR6000"/>
      <c r="AS6000" s="911"/>
    </row>
    <row r="6001" spans="1:45" s="886" customFormat="1" ht="11.4">
      <c r="A6001" s="919">
        <v>15</v>
      </c>
      <c r="B6001" s="920">
        <v>1</v>
      </c>
      <c r="C6001" s="920">
        <f>$A6001*$B6001</f>
        <v>15</v>
      </c>
      <c r="D6001" s="921" t="str">
        <f>Elec_Rates!$D$808</f>
        <v>077# 75x50mm galvanised steel cable trunking</v>
      </c>
      <c r="E6001" s="921"/>
      <c r="F6001" s="921" t="s">
        <v>2599</v>
      </c>
      <c r="G6001" s="922" t="s">
        <v>2600</v>
      </c>
      <c r="H6001" s="922"/>
      <c r="I6001" s="922"/>
      <c r="J6001" s="922"/>
      <c r="K6001" s="923"/>
      <c r="L6001" s="918"/>
      <c r="M6001" s="918"/>
      <c r="N6001" s="918"/>
      <c r="O6001" s="924"/>
      <c r="P6001" s="921"/>
      <c r="Q6001" s="925">
        <f ca="1">$B6001*Elec_Rates!$R$808</f>
        <v>5.86</v>
      </c>
      <c r="R6001" s="916">
        <f ca="1">$A6001*Q6001</f>
        <v>87.9</v>
      </c>
      <c r="S6001" s="925">
        <f ca="1">$B6001*Elec_Rates!$T$808</f>
        <v>0.27</v>
      </c>
      <c r="T6001" s="917">
        <f ca="1">$A6001*S6001</f>
        <v>4.0500000000000007</v>
      </c>
      <c r="U6001" s="926"/>
      <c r="AR6001" s="919">
        <v>15</v>
      </c>
      <c r="AS6001" s="921" t="s">
        <v>2599</v>
      </c>
    </row>
    <row r="6002" spans="1:45" s="886" customFormat="1" ht="13.2">
      <c r="A6002"/>
      <c r="B6002" s="910"/>
      <c r="C6002" s="910" t="s">
        <v>2597</v>
      </c>
      <c r="D6002" s="910" t="str">
        <f ca="1">CELL("Address",Elec_Rates!D$907)</f>
        <v>[E25_0062_Quintano_Foods_Elec_ELV_As_Awarded.xlsx]Elec_Rates!$D$907</v>
      </c>
      <c r="E6002" s="911"/>
      <c r="F6002" s="911"/>
      <c r="G6002" s="912" t="s">
        <v>2598</v>
      </c>
      <c r="H6002" s="912"/>
      <c r="I6002" s="912"/>
      <c r="J6002" s="912"/>
      <c r="K6002" s="913"/>
      <c r="L6002" s="911"/>
      <c r="M6002" s="911"/>
      <c r="N6002" s="911"/>
      <c r="O6002" s="914"/>
      <c r="P6002" s="911"/>
      <c r="Q6002" s="915"/>
      <c r="R6002" s="916"/>
      <c r="S6002" s="915"/>
      <c r="T6002" s="917"/>
      <c r="U6002" s="918"/>
      <c r="AR6002"/>
      <c r="AS6002" s="911"/>
    </row>
    <row r="6003" spans="1:45" s="886" customFormat="1" ht="11.4">
      <c r="A6003" s="919">
        <v>15</v>
      </c>
      <c r="B6003" s="920">
        <v>1</v>
      </c>
      <c r="C6003" s="920">
        <f>$A6003*$B6003</f>
        <v>15</v>
      </c>
      <c r="D6003" s="921" t="str">
        <f>Elec_Rates!$D$907</f>
        <v>084# Bracket for 50-150mm cable tray/basket/trunking</v>
      </c>
      <c r="E6003" s="921"/>
      <c r="F6003" s="921" t="s">
        <v>2599</v>
      </c>
      <c r="G6003" s="922" t="s">
        <v>2600</v>
      </c>
      <c r="H6003" s="922"/>
      <c r="I6003" s="922"/>
      <c r="J6003" s="922"/>
      <c r="K6003" s="923"/>
      <c r="L6003" s="918"/>
      <c r="M6003" s="918"/>
      <c r="N6003" s="918"/>
      <c r="O6003" s="924"/>
      <c r="P6003" s="921"/>
      <c r="Q6003" s="925">
        <f ca="1">$B6003*Elec_Rates!$R$907</f>
        <v>2.37</v>
      </c>
      <c r="R6003" s="916">
        <f ca="1">$A6003*Q6003</f>
        <v>35.550000000000004</v>
      </c>
      <c r="S6003" s="925">
        <f ca="1">$B6003*Elec_Rates!$T$907</f>
        <v>0.09</v>
      </c>
      <c r="T6003" s="917">
        <f ca="1">$A6003*S6003</f>
        <v>1.3499999999999999</v>
      </c>
      <c r="U6003" s="926"/>
      <c r="AR6003" s="919">
        <v>15</v>
      </c>
      <c r="AS6003" s="921" t="s">
        <v>2599</v>
      </c>
    </row>
    <row r="6004" spans="1:45" s="520" customFormat="1" ht="12">
      <c r="A6004" s="758"/>
      <c r="B6004" s="758"/>
      <c r="C6004" s="758"/>
      <c r="D6004" s="758"/>
      <c r="E6004" s="758"/>
      <c r="F6004" s="753"/>
      <c r="G6004" s="758"/>
      <c r="H6004" s="758"/>
      <c r="I6004" s="519"/>
      <c r="J6004" s="758"/>
      <c r="K6004" s="758"/>
      <c r="L6004" s="758"/>
      <c r="M6004" s="758"/>
      <c r="N6004" s="758"/>
      <c r="O6004" s="758"/>
      <c r="P6004" s="758"/>
      <c r="Q6004" s="519"/>
      <c r="R6004" s="759">
        <f t="shared" ref="R6004" si="374">$A6004*Q6004</f>
        <v>0</v>
      </c>
      <c r="S6004" s="519"/>
      <c r="T6004" s="760">
        <f t="shared" ref="T6004" si="375">$A6004*S6004*$T$1</f>
        <v>0</v>
      </c>
      <c r="AR6004" s="758"/>
      <c r="AS6004" s="753"/>
    </row>
    <row r="6005" spans="1:45" s="520" customFormat="1" ht="12.6" thickBot="1">
      <c r="A6005" s="761" t="s">
        <v>145</v>
      </c>
      <c r="B6005" s="762">
        <f>(R6004+T6004)</f>
        <v>0</v>
      </c>
      <c r="C6005" s="763"/>
      <c r="D6005" s="763"/>
      <c r="E6005" s="763"/>
      <c r="F6005" s="764"/>
      <c r="G6005" s="763" t="s">
        <v>146</v>
      </c>
      <c r="H6005" s="763"/>
      <c r="I6005" s="765"/>
      <c r="J6005" s="763"/>
      <c r="K6005" s="763" t="s">
        <v>3</v>
      </c>
      <c r="L6005" s="766" t="s">
        <v>143</v>
      </c>
      <c r="M6005" s="766"/>
      <c r="N6005" s="766"/>
      <c r="O6005" s="766"/>
      <c r="P6005" s="766"/>
      <c r="Q6005" s="767"/>
      <c r="R6005" s="768">
        <f ca="1">SUM(R5999:R6004)</f>
        <v>123.45000000000002</v>
      </c>
      <c r="S6005" s="763"/>
      <c r="T6005" s="768">
        <f ca="1">SUM(T5999:T6004)</f>
        <v>5.4</v>
      </c>
      <c r="U6005" s="531"/>
      <c r="V6005" s="531"/>
      <c r="W6005" s="531"/>
      <c r="X6005" s="531"/>
      <c r="Y6005" s="531"/>
      <c r="Z6005" s="531"/>
      <c r="AA6005" s="531"/>
      <c r="AB6005" s="531"/>
      <c r="AC6005" s="531"/>
      <c r="AD6005" s="531"/>
      <c r="AE6005" s="531"/>
      <c r="AF6005" s="531"/>
      <c r="AG6005" s="531"/>
      <c r="AH6005" s="531"/>
      <c r="AI6005" s="531"/>
      <c r="AJ6005" s="531"/>
      <c r="AK6005" s="531"/>
      <c r="AL6005" s="531"/>
      <c r="AM6005" s="531"/>
      <c r="AN6005" s="531"/>
      <c r="AO6005" s="531"/>
      <c r="AR6005" s="761" t="s">
        <v>145</v>
      </c>
      <c r="AS6005" s="764"/>
    </row>
    <row r="6006" spans="1:45" s="520" customFormat="1" ht="12" thickTop="1">
      <c r="A6006" s="51"/>
      <c r="B6006" s="41"/>
      <c r="C6006" s="51"/>
      <c r="E6006" s="42" t="s">
        <v>138</v>
      </c>
      <c r="F6006" s="42" t="s">
        <v>139</v>
      </c>
      <c r="G6006" s="51"/>
      <c r="H6006" s="51"/>
      <c r="I6006" s="51"/>
      <c r="J6006" s="51"/>
      <c r="K6006" s="51" t="s">
        <v>140</v>
      </c>
      <c r="L6006" s="51"/>
      <c r="M6006" s="51"/>
      <c r="N6006" s="51"/>
      <c r="O6006" s="52"/>
      <c r="P6006" s="51"/>
      <c r="Q6006" s="51"/>
      <c r="R6006" s="51"/>
      <c r="S6006" s="51"/>
      <c r="T6006" s="41"/>
      <c r="AG6006" s="521" t="s">
        <v>268</v>
      </c>
      <c r="AH6006" s="521" t="s">
        <v>269</v>
      </c>
      <c r="AI6006" s="521" t="s">
        <v>270</v>
      </c>
      <c r="AJ6006" s="521" t="s">
        <v>271</v>
      </c>
      <c r="AK6006" s="521" t="s">
        <v>272</v>
      </c>
      <c r="AM6006" s="745" t="s">
        <v>281</v>
      </c>
      <c r="AN6006" s="746" t="s">
        <v>282</v>
      </c>
      <c r="AO6006" s="522" t="s">
        <v>278</v>
      </c>
      <c r="AR6006" s="51"/>
      <c r="AS6006" s="42" t="s">
        <v>139</v>
      </c>
    </row>
    <row r="6007" spans="1:45" s="520" customFormat="1" ht="12" customHeight="1">
      <c r="A6007" s="747">
        <v>20</v>
      </c>
      <c r="B6007" s="523" t="s">
        <v>320</v>
      </c>
      <c r="C6007" s="748"/>
      <c r="D6007" s="749" t="s">
        <v>1964</v>
      </c>
      <c r="E6007" s="750">
        <f ca="1">IF(AND($A6007=0,$A$1="DIF"),0, ROUND(ROUND(($R6014*$S$2+($T6014*$T$2))/A6007,2)*$C$2,2))</f>
        <v>24.32</v>
      </c>
      <c r="F6007" s="751">
        <f ca="1">ROUND($A6007*$E6007,2)</f>
        <v>486.4</v>
      </c>
      <c r="G6007" s="752" t="s">
        <v>142</v>
      </c>
      <c r="H6007" s="753"/>
      <c r="I6007" s="754"/>
      <c r="J6007" s="753"/>
      <c r="K6007" s="753" t="s">
        <v>3</v>
      </c>
      <c r="L6007" s="755" t="s">
        <v>143</v>
      </c>
      <c r="M6007" s="755"/>
      <c r="N6007" s="755"/>
      <c r="O6007" s="755"/>
      <c r="P6007" s="755"/>
      <c r="Q6007" s="51"/>
      <c r="T6007" s="756" t="str">
        <f ca="1">IF(AND($R6014=0,$T6014=0),"0.00","mu :" &amp; ROUND($F6007/$C$2/($R6014+$T6014*$D$9),2))</f>
        <v>mu :1.23</v>
      </c>
      <c r="W6007" s="524"/>
      <c r="AG6007" s="481">
        <f ca="1">IF($E6007=0,0,ROUND($R6014*$S$2*$C$2/$A6007,2))</f>
        <v>11.48</v>
      </c>
      <c r="AH6007" s="481">
        <f ca="1">$AG6007*$A6007</f>
        <v>229.60000000000002</v>
      </c>
      <c r="AI6007" s="525">
        <f ca="1">$E6007-$AG6007</f>
        <v>12.84</v>
      </c>
      <c r="AJ6007" s="525">
        <f ca="1">$A6007*$AI6007</f>
        <v>256.8</v>
      </c>
      <c r="AK6007" s="526">
        <f ca="1">ROUND(($AG6007+$AI6007)*$A6007,2)</f>
        <v>486.4</v>
      </c>
      <c r="AM6007" s="527">
        <f ca="1">ROUND(R6014,2)</f>
        <v>186.4</v>
      </c>
      <c r="AN6007" s="528">
        <f ca="1">ROUND(T6014,2)</f>
        <v>7.6</v>
      </c>
      <c r="AO6007" s="529">
        <f ca="1">ROUND(AM6007+AN6007,2)*A6007</f>
        <v>3880</v>
      </c>
      <c r="AR6007" s="747">
        <v>20</v>
      </c>
      <c r="AS6007" s="751">
        <v>513.6</v>
      </c>
    </row>
    <row r="6008" spans="1:45" s="520" customFormat="1" ht="13.2">
      <c r="A6008" s="748"/>
      <c r="B6008"/>
      <c r="C6008" s="748"/>
      <c r="D6008" s="749" t="s">
        <v>921</v>
      </c>
      <c r="F6008" s="753"/>
      <c r="G6008" s="3"/>
      <c r="H6008" s="753"/>
      <c r="I6008" s="754"/>
      <c r="J6008" s="753"/>
      <c r="K6008" s="753" t="s">
        <v>144</v>
      </c>
      <c r="L6008" s="753"/>
      <c r="M6008" s="753"/>
      <c r="N6008" s="753"/>
      <c r="O6008" s="753"/>
      <c r="P6008" s="753"/>
      <c r="Q6008" s="51"/>
      <c r="R6008" s="530"/>
      <c r="S6008" s="757"/>
      <c r="T6008" s="753"/>
      <c r="AR6008" s="748"/>
      <c r="AS6008" s="753"/>
    </row>
    <row r="6009" spans="1:45" s="886" customFormat="1" ht="13.2">
      <c r="A6009"/>
      <c r="B6009" s="910"/>
      <c r="C6009" s="910" t="s">
        <v>2597</v>
      </c>
      <c r="D6009" s="910" t="str">
        <f ca="1">CELL("Address",Elec_Rates!D$822)</f>
        <v>[E25_0062_Quintano_Foods_Elec_ELV_As_Awarded.xlsx]Elec_Rates!$D$822</v>
      </c>
      <c r="E6009" s="911"/>
      <c r="F6009" s="911"/>
      <c r="G6009" s="912" t="s">
        <v>2598</v>
      </c>
      <c r="H6009" s="912"/>
      <c r="I6009" s="912"/>
      <c r="J6009" s="912"/>
      <c r="K6009" s="913"/>
      <c r="L6009" s="911"/>
      <c r="M6009" s="911"/>
      <c r="N6009" s="911"/>
      <c r="O6009" s="914"/>
      <c r="P6009" s="911"/>
      <c r="Q6009" s="915"/>
      <c r="R6009" s="916"/>
      <c r="S6009" s="915"/>
      <c r="T6009" s="917"/>
      <c r="U6009" s="918"/>
      <c r="AR6009"/>
      <c r="AS6009" s="911"/>
    </row>
    <row r="6010" spans="1:45" s="886" customFormat="1" ht="11.4">
      <c r="A6010" s="919">
        <v>20</v>
      </c>
      <c r="B6010" s="920">
        <v>1</v>
      </c>
      <c r="C6010" s="920">
        <f>$A6010*$B6010</f>
        <v>20</v>
      </c>
      <c r="D6010" s="921" t="str">
        <f>Elec_Rates!$D$822</f>
        <v>078# 75x75mm galvanised steel cable trunking</v>
      </c>
      <c r="E6010" s="921"/>
      <c r="F6010" s="921" t="s">
        <v>2599</v>
      </c>
      <c r="G6010" s="922" t="s">
        <v>2601</v>
      </c>
      <c r="H6010" s="922"/>
      <c r="I6010" s="922"/>
      <c r="J6010" s="922"/>
      <c r="K6010" s="923"/>
      <c r="L6010" s="918"/>
      <c r="M6010" s="918"/>
      <c r="N6010" s="918"/>
      <c r="O6010" s="924"/>
      <c r="P6010" s="921"/>
      <c r="Q6010" s="925">
        <f ca="1">$B6010*Elec_Rates!$R$822</f>
        <v>6.95</v>
      </c>
      <c r="R6010" s="916">
        <f ca="1">$A6010*Q6010</f>
        <v>139</v>
      </c>
      <c r="S6010" s="925">
        <f ca="1">$B6010*Elec_Rates!$T$822</f>
        <v>0.28999999999999998</v>
      </c>
      <c r="T6010" s="917">
        <f ca="1">$A6010*S6010</f>
        <v>5.8</v>
      </c>
      <c r="U6010" s="926"/>
      <c r="AR6010" s="919">
        <v>20</v>
      </c>
      <c r="AS6010" s="921" t="s">
        <v>2599</v>
      </c>
    </row>
    <row r="6011" spans="1:45" s="886" customFormat="1" ht="13.2">
      <c r="A6011"/>
      <c r="B6011" s="910"/>
      <c r="C6011" s="910" t="s">
        <v>2597</v>
      </c>
      <c r="D6011" s="910" t="str">
        <f ca="1">CELL("Address",Elec_Rates!D$907)</f>
        <v>[E25_0062_Quintano_Foods_Elec_ELV_As_Awarded.xlsx]Elec_Rates!$D$907</v>
      </c>
      <c r="E6011" s="911"/>
      <c r="F6011" s="911"/>
      <c r="G6011" s="912" t="s">
        <v>2598</v>
      </c>
      <c r="H6011" s="912"/>
      <c r="I6011" s="912"/>
      <c r="J6011" s="912"/>
      <c r="K6011" s="913"/>
      <c r="L6011" s="911"/>
      <c r="M6011" s="911"/>
      <c r="N6011" s="911"/>
      <c r="O6011" s="914"/>
      <c r="P6011" s="911"/>
      <c r="Q6011" s="915"/>
      <c r="R6011" s="916"/>
      <c r="S6011" s="915"/>
      <c r="T6011" s="917"/>
      <c r="U6011" s="918"/>
      <c r="AR6011"/>
      <c r="AS6011" s="911"/>
    </row>
    <row r="6012" spans="1:45" s="886" customFormat="1" ht="11.4">
      <c r="A6012" s="919">
        <v>20</v>
      </c>
      <c r="B6012" s="920">
        <v>1</v>
      </c>
      <c r="C6012" s="920">
        <f>$A6012*$B6012</f>
        <v>20</v>
      </c>
      <c r="D6012" s="921" t="str">
        <f>Elec_Rates!$D$907</f>
        <v>084# Bracket for 50-150mm cable tray/basket/trunking</v>
      </c>
      <c r="E6012" s="921"/>
      <c r="F6012" s="921" t="s">
        <v>2599</v>
      </c>
      <c r="G6012" s="922" t="s">
        <v>2600</v>
      </c>
      <c r="H6012" s="922"/>
      <c r="I6012" s="922"/>
      <c r="J6012" s="922"/>
      <c r="K6012" s="923"/>
      <c r="L6012" s="918"/>
      <c r="M6012" s="918"/>
      <c r="N6012" s="918"/>
      <c r="O6012" s="924"/>
      <c r="P6012" s="921"/>
      <c r="Q6012" s="925">
        <f ca="1">$B6012*Elec_Rates!$R$907</f>
        <v>2.37</v>
      </c>
      <c r="R6012" s="916">
        <f ca="1">$A6012*Q6012</f>
        <v>47.400000000000006</v>
      </c>
      <c r="S6012" s="925">
        <f ca="1">$B6012*Elec_Rates!$T$907</f>
        <v>0.09</v>
      </c>
      <c r="T6012" s="917">
        <f ca="1">$A6012*S6012</f>
        <v>1.7999999999999998</v>
      </c>
      <c r="U6012" s="926"/>
      <c r="AR6012" s="919">
        <v>20</v>
      </c>
      <c r="AS6012" s="921" t="s">
        <v>2599</v>
      </c>
    </row>
    <row r="6013" spans="1:45" s="520" customFormat="1" ht="12">
      <c r="A6013" s="758"/>
      <c r="B6013" s="758"/>
      <c r="C6013" s="758"/>
      <c r="D6013" s="758"/>
      <c r="E6013" s="758"/>
      <c r="F6013" s="753"/>
      <c r="G6013" s="758"/>
      <c r="H6013" s="758"/>
      <c r="I6013" s="519"/>
      <c r="J6013" s="758"/>
      <c r="K6013" s="758"/>
      <c r="L6013" s="758"/>
      <c r="M6013" s="758"/>
      <c r="N6013" s="758"/>
      <c r="O6013" s="758"/>
      <c r="P6013" s="758"/>
      <c r="Q6013" s="519"/>
      <c r="R6013" s="759">
        <f t="shared" ref="R6013" si="376">$A6013*Q6013</f>
        <v>0</v>
      </c>
      <c r="S6013" s="519"/>
      <c r="T6013" s="760">
        <f t="shared" ref="T6013" si="377">$A6013*S6013*$T$1</f>
        <v>0</v>
      </c>
      <c r="AR6013" s="758"/>
      <c r="AS6013" s="753"/>
    </row>
    <row r="6014" spans="1:45" s="520" customFormat="1" ht="12.6" thickBot="1">
      <c r="A6014" s="761" t="s">
        <v>145</v>
      </c>
      <c r="B6014" s="762">
        <f>(R6013+T6013)</f>
        <v>0</v>
      </c>
      <c r="C6014" s="763"/>
      <c r="D6014" s="763"/>
      <c r="E6014" s="763"/>
      <c r="F6014" s="764"/>
      <c r="G6014" s="763" t="s">
        <v>146</v>
      </c>
      <c r="H6014" s="763"/>
      <c r="I6014" s="765"/>
      <c r="J6014" s="763"/>
      <c r="K6014" s="763" t="s">
        <v>3</v>
      </c>
      <c r="L6014" s="766" t="s">
        <v>143</v>
      </c>
      <c r="M6014" s="766"/>
      <c r="N6014" s="766"/>
      <c r="O6014" s="766"/>
      <c r="P6014" s="766"/>
      <c r="Q6014" s="767"/>
      <c r="R6014" s="768">
        <f ca="1">SUM(R6008:R6013)</f>
        <v>186.4</v>
      </c>
      <c r="S6014" s="763"/>
      <c r="T6014" s="768">
        <f ca="1">SUM(T6008:T6013)</f>
        <v>7.6</v>
      </c>
      <c r="U6014" s="531"/>
      <c r="V6014" s="531"/>
      <c r="W6014" s="531"/>
      <c r="X6014" s="531"/>
      <c r="Y6014" s="531"/>
      <c r="Z6014" s="531"/>
      <c r="AA6014" s="531"/>
      <c r="AB6014" s="531"/>
      <c r="AC6014" s="531"/>
      <c r="AD6014" s="531"/>
      <c r="AE6014" s="531"/>
      <c r="AF6014" s="531"/>
      <c r="AG6014" s="531"/>
      <c r="AH6014" s="531"/>
      <c r="AI6014" s="531"/>
      <c r="AJ6014" s="531"/>
      <c r="AK6014" s="531"/>
      <c r="AL6014" s="531"/>
      <c r="AM6014" s="531"/>
      <c r="AN6014" s="531"/>
      <c r="AO6014" s="531"/>
      <c r="AR6014" s="761" t="s">
        <v>145</v>
      </c>
      <c r="AS6014" s="764"/>
    </row>
    <row r="6015" spans="1:45" s="520" customFormat="1" ht="12" thickTop="1">
      <c r="A6015" s="48" t="s">
        <v>148</v>
      </c>
      <c r="D6015" s="13"/>
      <c r="E6015" s="42"/>
      <c r="O6015" s="771"/>
      <c r="AR6015" s="48" t="s">
        <v>148</v>
      </c>
    </row>
    <row r="6016" spans="1:45" s="520" customFormat="1" ht="13.2">
      <c r="B6016" s="3"/>
      <c r="O6016" s="771"/>
    </row>
    <row r="6017" spans="1:45" s="520" customFormat="1" ht="12">
      <c r="B6017" s="772">
        <f ca="1">$F6017/$C$2-($R6017*$S$2+$T6017*$T$2)</f>
        <v>-3.4296928639960242</v>
      </c>
      <c r="D6017" s="773" t="s">
        <v>3639</v>
      </c>
      <c r="E6017" s="774"/>
      <c r="F6017" s="775">
        <f ca="1">SUMIF($L5579:$L6015,"ITEM",F5579:F6015)</f>
        <v>53083.450000000012</v>
      </c>
      <c r="G6017" s="758"/>
      <c r="H6017" s="758"/>
      <c r="I6017" s="519"/>
      <c r="J6017" s="758"/>
      <c r="K6017" s="758"/>
      <c r="L6017" s="755" t="s">
        <v>157</v>
      </c>
      <c r="M6017" s="755"/>
      <c r="N6017" s="755"/>
      <c r="O6017" s="755"/>
      <c r="P6017" s="755"/>
      <c r="R6017" s="775">
        <f ca="1">SUMIF($L5579:$L6015,"ITEM",R5579:R6015)</f>
        <v>23380.200000000004</v>
      </c>
      <c r="S6017" s="776"/>
      <c r="T6017" s="775">
        <f ca="1">SUMIF($L5579:$L6015,"ITEM",T5579:T6015)</f>
        <v>718.6</v>
      </c>
      <c r="AS6017" s="775">
        <v>59651.200000000004</v>
      </c>
    </row>
    <row r="6018" spans="1:45" s="520" customFormat="1" ht="13.2">
      <c r="A6018" s="51"/>
      <c r="B6018" s="49" t="s">
        <v>1064</v>
      </c>
      <c r="C6018" s="51"/>
      <c r="D6018" s="3"/>
      <c r="F6018" s="777" t="s">
        <v>158</v>
      </c>
      <c r="G6018" s="758"/>
      <c r="H6018" s="758"/>
      <c r="I6018" s="519"/>
      <c r="J6018" s="758"/>
      <c r="K6018" s="758"/>
      <c r="L6018" s="758"/>
      <c r="M6018" s="758"/>
      <c r="N6018" s="758"/>
      <c r="O6018" s="758"/>
      <c r="P6018" s="758"/>
      <c r="Q6018" s="778"/>
      <c r="R6018" s="777" t="s">
        <v>159</v>
      </c>
      <c r="S6018" s="38"/>
      <c r="T6018" s="777" t="s">
        <v>160</v>
      </c>
      <c r="AR6018" s="51"/>
      <c r="AS6018" s="777" t="s">
        <v>158</v>
      </c>
    </row>
    <row r="6019" spans="1:45" s="520" customFormat="1" ht="13.2">
      <c r="A6019" s="758"/>
      <c r="B6019" s="3"/>
      <c r="C6019" s="758"/>
      <c r="D6019" s="3"/>
      <c r="E6019" s="3"/>
      <c r="G6019" s="3"/>
      <c r="H6019" s="3"/>
      <c r="I6019" s="3"/>
      <c r="J6019" s="3"/>
      <c r="K6019" s="3"/>
      <c r="L6019" s="3"/>
      <c r="M6019" s="3"/>
      <c r="N6019" s="3"/>
      <c r="O6019" s="107"/>
      <c r="P6019" s="3"/>
      <c r="Q6019" s="3"/>
      <c r="R6019" s="3"/>
      <c r="S6019" s="3"/>
      <c r="T6019" s="3"/>
      <c r="AR6019" s="758"/>
    </row>
    <row r="6020" spans="1:45" s="520" customFormat="1" ht="12" thickBot="1">
      <c r="A6020" s="531"/>
      <c r="B6020" s="763"/>
      <c r="C6020" s="763"/>
      <c r="D6020" s="531"/>
      <c r="E6020" s="39"/>
      <c r="F6020" s="779"/>
      <c r="G6020" s="763"/>
      <c r="H6020" s="763"/>
      <c r="I6020" s="765"/>
      <c r="J6020" s="763"/>
      <c r="K6020" s="763"/>
      <c r="L6020" s="766"/>
      <c r="M6020" s="766"/>
      <c r="N6020" s="766"/>
      <c r="O6020" s="766"/>
      <c r="P6020" s="766"/>
      <c r="Q6020" s="767"/>
      <c r="R6020" s="779"/>
      <c r="S6020" s="780"/>
      <c r="T6020" s="779"/>
      <c r="U6020" s="531"/>
      <c r="V6020" s="531"/>
      <c r="W6020" s="531"/>
      <c r="X6020" s="531"/>
      <c r="Y6020" s="531"/>
      <c r="Z6020" s="531"/>
      <c r="AA6020" s="531"/>
      <c r="AB6020" s="531"/>
      <c r="AC6020" s="531"/>
      <c r="AD6020" s="531"/>
      <c r="AE6020" s="531"/>
      <c r="AF6020" s="531"/>
      <c r="AG6020" s="531"/>
      <c r="AH6020" s="531"/>
      <c r="AI6020" s="531"/>
      <c r="AJ6020" s="531"/>
      <c r="AK6020" s="531"/>
      <c r="AR6020" s="531"/>
      <c r="AS6020" s="779"/>
    </row>
    <row r="6021" spans="1:45" s="520" customFormat="1" thickTop="1">
      <c r="A6021" s="51"/>
      <c r="B6021" s="51"/>
      <c r="C6021" s="3"/>
      <c r="D6021" s="3"/>
      <c r="E6021" s="51"/>
      <c r="F6021" s="51"/>
      <c r="G6021" s="51"/>
      <c r="H6021" s="51"/>
      <c r="I6021" s="51"/>
      <c r="J6021" s="51"/>
      <c r="K6021" s="51" t="s">
        <v>134</v>
      </c>
      <c r="L6021" s="51"/>
      <c r="M6021" s="51"/>
      <c r="N6021" s="51"/>
      <c r="O6021" s="52"/>
      <c r="P6021" s="51"/>
      <c r="Q6021" s="51"/>
      <c r="R6021" s="51"/>
      <c r="S6021" s="51"/>
      <c r="T6021" s="51"/>
      <c r="AR6021" s="51"/>
      <c r="AS6021" s="51"/>
    </row>
    <row r="6022" spans="1:45" s="520" customFormat="1" ht="12">
      <c r="A6022" s="51"/>
      <c r="B6022" s="51"/>
      <c r="C6022" s="51" t="s">
        <v>135</v>
      </c>
      <c r="D6022" s="37"/>
      <c r="E6022" s="51"/>
      <c r="F6022" s="51"/>
      <c r="G6022" s="51"/>
      <c r="H6022" s="51"/>
      <c r="I6022" s="51"/>
      <c r="J6022" s="51"/>
      <c r="K6022" s="51"/>
      <c r="L6022" s="51"/>
      <c r="M6022" s="51"/>
      <c r="N6022" s="51"/>
      <c r="O6022" s="52"/>
      <c r="P6022" s="51"/>
      <c r="Q6022" s="51"/>
      <c r="R6022" s="51"/>
      <c r="S6022" s="51"/>
      <c r="T6022" s="51"/>
      <c r="AR6022" s="51"/>
      <c r="AS6022" s="51"/>
    </row>
    <row r="6023" spans="1:45" s="520" customFormat="1" ht="12">
      <c r="A6023" s="51"/>
      <c r="B6023" s="51"/>
      <c r="C6023" s="51"/>
      <c r="D6023" s="37" t="s">
        <v>368</v>
      </c>
      <c r="E6023" s="51"/>
      <c r="F6023" s="51"/>
      <c r="G6023" s="51"/>
      <c r="H6023" s="51"/>
      <c r="I6023" s="51"/>
      <c r="J6023" s="51"/>
      <c r="K6023" s="51"/>
      <c r="L6023" s="51"/>
      <c r="M6023" s="51"/>
      <c r="N6023" s="51"/>
      <c r="O6023" s="52"/>
      <c r="P6023" s="51"/>
      <c r="Q6023" s="51"/>
      <c r="R6023" s="51"/>
      <c r="S6023" s="38"/>
      <c r="T6023" s="38"/>
      <c r="AR6023" s="51"/>
      <c r="AS6023" s="51"/>
    </row>
    <row r="6024" spans="1:45" s="3" customFormat="1" thickBot="1">
      <c r="A6024" s="531"/>
      <c r="O6024" s="107"/>
      <c r="AR6024" s="531"/>
    </row>
    <row r="6025" spans="1:45" s="520" customFormat="1" thickTop="1">
      <c r="A6025" s="51"/>
      <c r="B6025" s="51"/>
      <c r="C6025" s="3"/>
      <c r="D6025" s="3"/>
      <c r="E6025" s="51"/>
      <c r="F6025" s="51"/>
      <c r="G6025" s="51"/>
      <c r="H6025" s="51"/>
      <c r="I6025" s="51"/>
      <c r="J6025" s="51"/>
      <c r="K6025" s="51" t="s">
        <v>134</v>
      </c>
      <c r="L6025" s="51"/>
      <c r="M6025" s="51"/>
      <c r="N6025" s="51"/>
      <c r="O6025" s="52"/>
      <c r="P6025" s="51"/>
      <c r="Q6025" s="51"/>
      <c r="R6025" s="51"/>
      <c r="S6025" s="51"/>
      <c r="T6025" s="51"/>
      <c r="AR6025" s="51"/>
      <c r="AS6025" s="51"/>
    </row>
    <row r="6026" spans="1:45" s="520" customFormat="1" ht="12">
      <c r="A6026" s="51"/>
      <c r="B6026" s="51"/>
      <c r="C6026" s="51" t="s">
        <v>135</v>
      </c>
      <c r="D6026" s="37"/>
      <c r="E6026" s="51"/>
      <c r="F6026" s="51"/>
      <c r="G6026" s="51"/>
      <c r="H6026" s="51"/>
      <c r="I6026" s="51"/>
      <c r="J6026" s="51"/>
      <c r="K6026" s="51"/>
      <c r="L6026" s="51"/>
      <c r="M6026" s="51"/>
      <c r="N6026" s="51"/>
      <c r="O6026" s="52"/>
      <c r="P6026" s="51"/>
      <c r="Q6026" s="51"/>
      <c r="R6026" s="51"/>
      <c r="S6026" s="51"/>
      <c r="T6026" s="51"/>
      <c r="AR6026" s="51"/>
      <c r="AS6026" s="51"/>
    </row>
    <row r="6027" spans="1:45" s="520" customFormat="1" ht="12">
      <c r="A6027" s="51"/>
      <c r="B6027" s="51"/>
      <c r="C6027" s="51"/>
      <c r="D6027" s="37" t="s">
        <v>910</v>
      </c>
      <c r="E6027" s="51"/>
      <c r="F6027" s="51"/>
      <c r="G6027" s="51"/>
      <c r="H6027" s="51"/>
      <c r="I6027" s="51"/>
      <c r="J6027" s="51"/>
      <c r="K6027" s="51"/>
      <c r="L6027" s="51"/>
      <c r="M6027" s="51"/>
      <c r="N6027" s="51"/>
      <c r="O6027" s="52"/>
      <c r="P6027" s="51"/>
      <c r="Q6027" s="51"/>
      <c r="R6027" s="51"/>
      <c r="S6027" s="38"/>
      <c r="T6027" s="38"/>
      <c r="AR6027" s="51"/>
      <c r="AS6027" s="51"/>
    </row>
    <row r="6028" spans="1:45" s="3" customFormat="1" thickBot="1">
      <c r="A6028" s="531"/>
      <c r="O6028" s="107"/>
      <c r="AR6028" s="531"/>
    </row>
    <row r="6029" spans="1:45" s="520" customFormat="1" ht="12" thickTop="1">
      <c r="A6029" s="51"/>
      <c r="B6029" s="41"/>
      <c r="C6029" s="51"/>
      <c r="E6029" s="42" t="s">
        <v>138</v>
      </c>
      <c r="F6029" s="42" t="s">
        <v>139</v>
      </c>
      <c r="G6029" s="51"/>
      <c r="H6029" s="51"/>
      <c r="I6029" s="51"/>
      <c r="J6029" s="51"/>
      <c r="K6029" s="51" t="s">
        <v>140</v>
      </c>
      <c r="L6029" s="51"/>
      <c r="M6029" s="51"/>
      <c r="N6029" s="51"/>
      <c r="O6029" s="52"/>
      <c r="P6029" s="51"/>
      <c r="Q6029" s="51"/>
      <c r="R6029" s="51"/>
      <c r="S6029" s="51"/>
      <c r="T6029" s="41"/>
      <c r="AG6029" s="521" t="s">
        <v>268</v>
      </c>
      <c r="AH6029" s="521" t="s">
        <v>269</v>
      </c>
      <c r="AI6029" s="521" t="s">
        <v>270</v>
      </c>
      <c r="AJ6029" s="521" t="s">
        <v>271</v>
      </c>
      <c r="AK6029" s="521" t="s">
        <v>272</v>
      </c>
      <c r="AM6029" s="745" t="s">
        <v>281</v>
      </c>
      <c r="AN6029" s="746" t="s">
        <v>282</v>
      </c>
      <c r="AO6029" s="522" t="s">
        <v>278</v>
      </c>
      <c r="AR6029" s="51"/>
      <c r="AS6029" s="42" t="s">
        <v>139</v>
      </c>
    </row>
    <row r="6030" spans="1:45" s="520" customFormat="1" ht="12" customHeight="1">
      <c r="A6030" s="747">
        <v>145</v>
      </c>
      <c r="B6030" s="523" t="s">
        <v>320</v>
      </c>
      <c r="C6030" s="748"/>
      <c r="D6030" s="749" t="s">
        <v>1965</v>
      </c>
      <c r="E6030" s="750">
        <f ca="1">IF(AND($A6030=0,$A$1="DIF"),0, ROUND(ROUND(($R6039*$S$2+($T6039*$T$2))/A6030,2)*$C$2,2))</f>
        <v>47.93</v>
      </c>
      <c r="F6030" s="751">
        <f ca="1">ROUND($A6030*$E6030,2)</f>
        <v>6949.85</v>
      </c>
      <c r="G6030" s="752" t="s">
        <v>142</v>
      </c>
      <c r="H6030" s="753"/>
      <c r="I6030" s="754"/>
      <c r="J6030" s="753"/>
      <c r="K6030" s="753" t="s">
        <v>3</v>
      </c>
      <c r="L6030" s="755" t="s">
        <v>143</v>
      </c>
      <c r="M6030" s="755"/>
      <c r="N6030" s="755"/>
      <c r="O6030" s="755"/>
      <c r="P6030" s="755"/>
      <c r="Q6030" s="51"/>
      <c r="T6030" s="756" t="str">
        <f ca="1">IF(AND($R6039=0,$T6039=0),"0.00","mu :" &amp; ROUND($F6030/$C$2/($R6039+$T6039*$D$9),2))</f>
        <v>mu :1.23</v>
      </c>
      <c r="W6030" s="524"/>
      <c r="AG6030" s="481">
        <f ca="1">IF($E6030=0,0,ROUND($R6039*$S$2*$C$2/$A6030,2))</f>
        <v>37.450000000000003</v>
      </c>
      <c r="AH6030" s="481">
        <f ca="1">$AG6030*$A6030</f>
        <v>5430.25</v>
      </c>
      <c r="AI6030" s="525">
        <f ca="1">$E6030-$AG6030</f>
        <v>10.479999999999997</v>
      </c>
      <c r="AJ6030" s="525">
        <f ca="1">$A6030*$AI6030</f>
        <v>1519.5999999999995</v>
      </c>
      <c r="AK6030" s="526">
        <f ca="1">ROUND(($AG6030+$AI6030)*$A6030,2)</f>
        <v>6949.85</v>
      </c>
      <c r="AM6030" s="527">
        <f ca="1">ROUND(R6039,2)</f>
        <v>4409.45</v>
      </c>
      <c r="AN6030" s="528">
        <f ca="1">ROUND(T6039,2)</f>
        <v>44.95</v>
      </c>
      <c r="AO6030" s="529">
        <f ca="1">ROUND(AM6030+AN6030,2)*A6030</f>
        <v>645888</v>
      </c>
      <c r="AR6030" s="747">
        <v>155</v>
      </c>
      <c r="AS6030" s="751">
        <v>7638.4</v>
      </c>
    </row>
    <row r="6031" spans="1:45" s="520" customFormat="1" ht="13.2">
      <c r="A6031" s="748"/>
      <c r="B6031"/>
      <c r="C6031" s="748"/>
      <c r="D6031" s="749" t="s">
        <v>912</v>
      </c>
      <c r="F6031" s="753"/>
      <c r="G6031" s="3"/>
      <c r="H6031" s="753"/>
      <c r="I6031" s="754"/>
      <c r="J6031" s="753"/>
      <c r="K6031" s="753" t="s">
        <v>144</v>
      </c>
      <c r="L6031" s="753"/>
      <c r="M6031" s="753"/>
      <c r="N6031" s="753"/>
      <c r="O6031" s="753"/>
      <c r="P6031" s="753"/>
      <c r="Q6031" s="51"/>
      <c r="R6031" s="530"/>
      <c r="S6031" s="757"/>
      <c r="T6031" s="753"/>
      <c r="AR6031" s="748"/>
      <c r="AS6031" s="753"/>
    </row>
    <row r="6032" spans="1:45" s="886" customFormat="1" ht="13.2">
      <c r="A6032" s="1099"/>
      <c r="B6032" s="1100"/>
      <c r="C6032" s="1100" t="s">
        <v>2597</v>
      </c>
      <c r="D6032" s="1100" t="str">
        <f ca="1">CELL("Address",Elec_Rates!D$785)</f>
        <v>[E25_0062_Quintano_Foods_Elec_ELV_As_Awarded.xlsx]Elec_Rates!$D$785</v>
      </c>
      <c r="E6032" s="1101"/>
      <c r="F6032" s="1101"/>
      <c r="G6032" s="1102" t="s">
        <v>2598</v>
      </c>
      <c r="H6032" s="1102"/>
      <c r="I6032" s="1102"/>
      <c r="J6032" s="1102"/>
      <c r="K6032" s="1103"/>
      <c r="L6032" s="1101"/>
      <c r="M6032" s="1101"/>
      <c r="N6032" s="1101"/>
      <c r="O6032" s="1104"/>
      <c r="P6032" s="1101"/>
      <c r="Q6032" s="915"/>
      <c r="R6032" s="1106"/>
      <c r="S6032" s="1105"/>
      <c r="T6032" s="1107"/>
      <c r="U6032" s="918"/>
      <c r="AR6032" s="1099"/>
      <c r="AS6032" s="1101"/>
    </row>
    <row r="6033" spans="1:45" s="886" customFormat="1" ht="11.4">
      <c r="A6033" s="1108">
        <v>145</v>
      </c>
      <c r="B6033" s="1109">
        <v>1</v>
      </c>
      <c r="C6033" s="1109">
        <f>$A6033*$B6033</f>
        <v>145</v>
      </c>
      <c r="D6033" s="1110" t="str">
        <f>Elec_Rates!$D$785</f>
        <v>075# 100mm cable Tray</v>
      </c>
      <c r="E6033" s="1110"/>
      <c r="F6033" s="1110" t="s">
        <v>2599</v>
      </c>
      <c r="G6033" s="1111" t="s">
        <v>2601</v>
      </c>
      <c r="H6033" s="1111"/>
      <c r="I6033" s="1111"/>
      <c r="J6033" s="1111"/>
      <c r="K6033" s="1112"/>
      <c r="L6033" s="1113"/>
      <c r="M6033" s="1113"/>
      <c r="N6033" s="1113"/>
      <c r="O6033" s="1114"/>
      <c r="P6033" s="1110"/>
      <c r="Q6033" s="925">
        <f ca="1">$B6033*Elec_Rates!$R$785</f>
        <v>3.92</v>
      </c>
      <c r="R6033" s="1106">
        <f ca="1">$A6033*Q6033</f>
        <v>568.4</v>
      </c>
      <c r="S6033" s="1115">
        <f ca="1">$B6033*Elec_Rates!$T$785</f>
        <v>0.18</v>
      </c>
      <c r="T6033" s="1107">
        <f ca="1">$A6033*S6033</f>
        <v>26.099999999999998</v>
      </c>
      <c r="U6033" s="926"/>
      <c r="AR6033" s="1108">
        <v>155</v>
      </c>
      <c r="AS6033" s="1110" t="s">
        <v>2599</v>
      </c>
    </row>
    <row r="6034" spans="1:45" s="886" customFormat="1" ht="13.2">
      <c r="A6034" s="1099"/>
      <c r="B6034" s="1100"/>
      <c r="C6034" s="1100" t="s">
        <v>2597</v>
      </c>
      <c r="D6034" s="1100" t="str">
        <f ca="1">CELL("Address",Elec_Rates!D$948)</f>
        <v>[E25_0062_Quintano_Foods_Elec_ELV_As_Awarded.xlsx]Elec_Rates!$D$948</v>
      </c>
      <c r="E6034" s="1101"/>
      <c r="F6034" s="1101"/>
      <c r="G6034" s="1102" t="s">
        <v>2598</v>
      </c>
      <c r="H6034" s="1102"/>
      <c r="I6034" s="1102"/>
      <c r="J6034" s="1102"/>
      <c r="K6034" s="1103"/>
      <c r="L6034" s="1101"/>
      <c r="M6034" s="1101"/>
      <c r="N6034" s="1101"/>
      <c r="O6034" s="1104"/>
      <c r="P6034" s="1101"/>
      <c r="Q6034" s="915"/>
      <c r="R6034" s="1106"/>
      <c r="S6034" s="1105"/>
      <c r="T6034" s="1107"/>
      <c r="U6034" s="918"/>
      <c r="AR6034" s="1099"/>
      <c r="AS6034" s="1101"/>
    </row>
    <row r="6035" spans="1:45" s="886" customFormat="1" ht="11.4">
      <c r="A6035" s="1108">
        <v>145</v>
      </c>
      <c r="B6035" s="1109">
        <v>1</v>
      </c>
      <c r="C6035" s="1109">
        <f>$A6035*$B6035</f>
        <v>145</v>
      </c>
      <c r="D6035" s="1110" t="str">
        <f>Elec_Rates!$D$948</f>
        <v>087# Bracket for Cable containment in warehouse</v>
      </c>
      <c r="E6035" s="1110"/>
      <c r="F6035" s="1110" t="s">
        <v>2599</v>
      </c>
      <c r="G6035" s="1111" t="s">
        <v>2600</v>
      </c>
      <c r="H6035" s="1111"/>
      <c r="I6035" s="1111"/>
      <c r="J6035" s="1111"/>
      <c r="K6035" s="1112"/>
      <c r="L6035" s="1113"/>
      <c r="M6035" s="1113"/>
      <c r="N6035" s="1113"/>
      <c r="O6035" s="1114"/>
      <c r="P6035" s="1110"/>
      <c r="Q6035" s="925">
        <f ca="1">$B6035*Elec_Rates!$R$948</f>
        <v>24.38</v>
      </c>
      <c r="R6035" s="1106">
        <f ca="1">$A6035*Q6035</f>
        <v>3535.1</v>
      </c>
      <c r="S6035" s="1115">
        <f ca="1">$B6035*Elec_Rates!$T$948</f>
        <v>0.13</v>
      </c>
      <c r="T6035" s="1107">
        <f ca="1">$A6035*S6035</f>
        <v>18.850000000000001</v>
      </c>
      <c r="U6035" s="926"/>
      <c r="AR6035" s="1108">
        <v>155</v>
      </c>
      <c r="AS6035" s="1110" t="s">
        <v>2599</v>
      </c>
    </row>
    <row r="6036" spans="1:45" s="886" customFormat="1" ht="13.2">
      <c r="A6036" s="1099"/>
      <c r="B6036" s="1100"/>
      <c r="C6036" s="1100" t="s">
        <v>2597</v>
      </c>
      <c r="D6036" s="1100" t="str">
        <f ca="1">CELL("Address",Elec_Rates!D$994)</f>
        <v>[E25_0062_Quintano_Foods_Elec_ELV_As_Awarded.xlsx]Elec_Rates!$D$994</v>
      </c>
      <c r="E6036" s="1101"/>
      <c r="F6036" s="1101"/>
      <c r="G6036" s="1102" t="s">
        <v>2598</v>
      </c>
      <c r="H6036" s="1102"/>
      <c r="I6036" s="1102"/>
      <c r="J6036" s="1102"/>
      <c r="K6036" s="1103"/>
      <c r="L6036" s="1101"/>
      <c r="M6036" s="1101"/>
      <c r="N6036" s="1101"/>
      <c r="O6036" s="1104"/>
      <c r="P6036" s="1101"/>
      <c r="Q6036" s="915"/>
      <c r="R6036" s="1106"/>
      <c r="S6036" s="1105"/>
      <c r="T6036" s="1107"/>
      <c r="U6036" s="918"/>
      <c r="AR6036" s="1099"/>
      <c r="AS6036" s="1101"/>
    </row>
    <row r="6037" spans="1:45" s="886" customFormat="1" ht="11.4">
      <c r="A6037" s="1108">
        <v>145</v>
      </c>
      <c r="B6037" s="1109">
        <v>1</v>
      </c>
      <c r="C6037" s="1109">
        <f>$A6037*$B6037</f>
        <v>145</v>
      </c>
      <c r="D6037" s="1110" t="str">
        <f>Elec_Rates!$D$994</f>
        <v>088# Scissors lift in Warehouse for cable tray and trunking (Excluding bracketing)</v>
      </c>
      <c r="E6037" s="1110"/>
      <c r="F6037" s="1110" t="s">
        <v>2599</v>
      </c>
      <c r="G6037" s="1111" t="s">
        <v>2601</v>
      </c>
      <c r="H6037" s="1111"/>
      <c r="I6037" s="1111"/>
      <c r="J6037" s="1111"/>
      <c r="K6037" s="1112"/>
      <c r="L6037" s="1113"/>
      <c r="M6037" s="1113"/>
      <c r="N6037" s="1113"/>
      <c r="O6037" s="1114"/>
      <c r="P6037" s="1110"/>
      <c r="Q6037" s="925">
        <f ca="1">$B6037*Elec_Rates!$R$994</f>
        <v>2.11</v>
      </c>
      <c r="R6037" s="1106">
        <f ca="1">$A6037*Q6037</f>
        <v>305.95</v>
      </c>
      <c r="S6037" s="1115">
        <f ca="1">$B6037*Elec_Rates!$T$994</f>
        <v>0</v>
      </c>
      <c r="T6037" s="1107">
        <f ca="1">$A6037*S6037</f>
        <v>0</v>
      </c>
      <c r="U6037" s="926"/>
      <c r="AR6037" s="1108">
        <v>155</v>
      </c>
      <c r="AS6037" s="1110" t="s">
        <v>2599</v>
      </c>
    </row>
    <row r="6038" spans="1:45" s="520" customFormat="1" ht="12">
      <c r="A6038" s="758"/>
      <c r="B6038" s="758"/>
      <c r="C6038" s="758"/>
      <c r="D6038" s="758"/>
      <c r="E6038" s="758"/>
      <c r="F6038" s="753"/>
      <c r="G6038" s="758"/>
      <c r="H6038" s="758"/>
      <c r="I6038" s="519"/>
      <c r="J6038" s="758"/>
      <c r="K6038" s="758"/>
      <c r="L6038" s="758"/>
      <c r="M6038" s="758"/>
      <c r="N6038" s="758"/>
      <c r="O6038" s="758"/>
      <c r="P6038" s="758"/>
      <c r="Q6038" s="519"/>
      <c r="R6038" s="759">
        <f t="shared" ref="R6038" si="378">$A6038*Q6038</f>
        <v>0</v>
      </c>
      <c r="S6038" s="519"/>
      <c r="T6038" s="760">
        <f t="shared" ref="T6038" si="379">$A6038*S6038*$T$1</f>
        <v>0</v>
      </c>
      <c r="AR6038" s="758"/>
      <c r="AS6038" s="753"/>
    </row>
    <row r="6039" spans="1:45" s="520" customFormat="1" ht="12.6" thickBot="1">
      <c r="A6039" s="761" t="s">
        <v>145</v>
      </c>
      <c r="B6039" s="762">
        <f>(R6038+T6038)</f>
        <v>0</v>
      </c>
      <c r="C6039" s="763"/>
      <c r="D6039" s="763"/>
      <c r="E6039" s="763"/>
      <c r="F6039" s="764"/>
      <c r="G6039" s="763" t="s">
        <v>146</v>
      </c>
      <c r="H6039" s="763"/>
      <c r="I6039" s="765"/>
      <c r="J6039" s="763"/>
      <c r="K6039" s="763" t="s">
        <v>3</v>
      </c>
      <c r="L6039" s="766" t="s">
        <v>143</v>
      </c>
      <c r="M6039" s="766"/>
      <c r="N6039" s="766"/>
      <c r="O6039" s="766"/>
      <c r="P6039" s="766"/>
      <c r="Q6039" s="767"/>
      <c r="R6039" s="768">
        <f ca="1">SUM(R6031:R6038)</f>
        <v>4409.45</v>
      </c>
      <c r="S6039" s="763"/>
      <c r="T6039" s="768">
        <f ca="1">SUM(T6031:T6038)</f>
        <v>44.95</v>
      </c>
      <c r="U6039" s="531"/>
      <c r="V6039" s="531"/>
      <c r="W6039" s="531"/>
      <c r="X6039" s="531"/>
      <c r="Y6039" s="531"/>
      <c r="Z6039" s="531"/>
      <c r="AA6039" s="531"/>
      <c r="AB6039" s="531"/>
      <c r="AC6039" s="531"/>
      <c r="AD6039" s="531"/>
      <c r="AE6039" s="531"/>
      <c r="AF6039" s="531"/>
      <c r="AG6039" s="531"/>
      <c r="AH6039" s="531"/>
      <c r="AI6039" s="531"/>
      <c r="AJ6039" s="531"/>
      <c r="AK6039" s="531"/>
      <c r="AL6039" s="531"/>
      <c r="AM6039" s="531"/>
      <c r="AN6039" s="531"/>
      <c r="AO6039" s="531"/>
      <c r="AR6039" s="761" t="s">
        <v>145</v>
      </c>
      <c r="AS6039" s="764"/>
    </row>
    <row r="6040" spans="1:45" s="520" customFormat="1" ht="12" thickTop="1">
      <c r="A6040" s="51"/>
      <c r="B6040" s="41"/>
      <c r="C6040" s="51"/>
      <c r="E6040" s="42" t="s">
        <v>138</v>
      </c>
      <c r="F6040" s="42" t="s">
        <v>139</v>
      </c>
      <c r="G6040" s="51"/>
      <c r="H6040" s="51"/>
      <c r="I6040" s="51"/>
      <c r="J6040" s="51"/>
      <c r="K6040" s="51" t="s">
        <v>140</v>
      </c>
      <c r="L6040" s="51"/>
      <c r="M6040" s="51"/>
      <c r="N6040" s="51"/>
      <c r="O6040" s="52"/>
      <c r="P6040" s="51"/>
      <c r="Q6040" s="51"/>
      <c r="R6040" s="51"/>
      <c r="S6040" s="51"/>
      <c r="T6040" s="41"/>
      <c r="AG6040" s="521" t="s">
        <v>268</v>
      </c>
      <c r="AH6040" s="521" t="s">
        <v>269</v>
      </c>
      <c r="AI6040" s="521" t="s">
        <v>270</v>
      </c>
      <c r="AJ6040" s="521" t="s">
        <v>271</v>
      </c>
      <c r="AK6040" s="521" t="s">
        <v>272</v>
      </c>
      <c r="AM6040" s="745" t="s">
        <v>281</v>
      </c>
      <c r="AN6040" s="746" t="s">
        <v>282</v>
      </c>
      <c r="AO6040" s="522" t="s">
        <v>278</v>
      </c>
      <c r="AR6040" s="51"/>
      <c r="AS6040" s="42" t="s">
        <v>139</v>
      </c>
    </row>
    <row r="6041" spans="1:45" s="520" customFormat="1" ht="12" customHeight="1">
      <c r="A6041" s="747">
        <v>70</v>
      </c>
      <c r="B6041" s="523" t="s">
        <v>320</v>
      </c>
      <c r="C6041" s="748"/>
      <c r="D6041" s="749" t="s">
        <v>1966</v>
      </c>
      <c r="E6041" s="750">
        <f ca="1">IF(AND($A6041=0,$A$1="DIF"),0, ROUND(ROUND(($R6050*$S$2+($T6050*$T$2))/A6041,2)*$C$2,2))</f>
        <v>79.150000000000006</v>
      </c>
      <c r="F6041" s="751">
        <f ca="1">ROUND($A6041*$E6041,2)</f>
        <v>5540.5</v>
      </c>
      <c r="G6041" s="752" t="s">
        <v>142</v>
      </c>
      <c r="H6041" s="753"/>
      <c r="I6041" s="754"/>
      <c r="J6041" s="753"/>
      <c r="K6041" s="753" t="s">
        <v>3</v>
      </c>
      <c r="L6041" s="755" t="s">
        <v>143</v>
      </c>
      <c r="M6041" s="755"/>
      <c r="N6041" s="755"/>
      <c r="O6041" s="755"/>
      <c r="P6041" s="755"/>
      <c r="Q6041" s="51"/>
      <c r="T6041" s="756" t="str">
        <f ca="1">IF(AND($R6050=0,$T6050=0),"0.00","mu :" &amp; ROUND($F6041/$C$2/($R6050+$T6050*$D$9),2))</f>
        <v>mu :1.23</v>
      </c>
      <c r="W6041" s="524"/>
      <c r="AG6041" s="481">
        <f ca="1">IF($E6041=0,0,ROUND($R6050*$S$2*$C$2/$A6041,2))</f>
        <v>61.3</v>
      </c>
      <c r="AH6041" s="481">
        <f ca="1">$AG6041*$A6041</f>
        <v>4291</v>
      </c>
      <c r="AI6041" s="525">
        <f ca="1">$E6041-$AG6041</f>
        <v>17.850000000000009</v>
      </c>
      <c r="AJ6041" s="525">
        <f ca="1">$A6041*$AI6041</f>
        <v>1249.5000000000007</v>
      </c>
      <c r="AK6041" s="526">
        <f ca="1">ROUND(($AG6041+$AI6041)*$A6041,2)</f>
        <v>5540.5</v>
      </c>
      <c r="AM6041" s="527">
        <f ca="1">ROUND(R6050,2)</f>
        <v>3484.88</v>
      </c>
      <c r="AN6041" s="528">
        <f ca="1">ROUND(T6050,2)</f>
        <v>36.96</v>
      </c>
      <c r="AO6041" s="529">
        <f ca="1">ROUND(AM6041+AN6041,2)*A6041</f>
        <v>246528.80000000002</v>
      </c>
      <c r="AR6041" s="747">
        <v>70</v>
      </c>
      <c r="AS6041" s="751">
        <v>5687.5</v>
      </c>
    </row>
    <row r="6042" spans="1:45" s="520" customFormat="1" ht="13.2">
      <c r="A6042" s="748"/>
      <c r="B6042"/>
      <c r="C6042" s="748"/>
      <c r="D6042" s="749" t="s">
        <v>915</v>
      </c>
      <c r="F6042" s="753"/>
      <c r="G6042" s="3"/>
      <c r="H6042" s="753"/>
      <c r="I6042" s="754"/>
      <c r="J6042" s="753"/>
      <c r="K6042" s="753" t="s">
        <v>144</v>
      </c>
      <c r="L6042" s="753"/>
      <c r="M6042" s="753"/>
      <c r="N6042" s="753"/>
      <c r="O6042" s="753"/>
      <c r="P6042" s="753"/>
      <c r="Q6042" s="51"/>
      <c r="R6042" s="530"/>
      <c r="S6042" s="757"/>
      <c r="T6042" s="753"/>
      <c r="AR6042" s="748"/>
      <c r="AS6042" s="753"/>
    </row>
    <row r="6043" spans="1:45" s="886" customFormat="1" ht="13.2">
      <c r="A6043" s="1099"/>
      <c r="B6043" s="1100"/>
      <c r="C6043" s="1100" t="s">
        <v>2597</v>
      </c>
      <c r="D6043" s="1100" t="str">
        <f ca="1">CELL("Address",Elec_Rates!D$762)</f>
        <v>[E25_0062_Quintano_Foods_Elec_ELV_As_Awarded.xlsx]Elec_Rates!$D$762</v>
      </c>
      <c r="E6043" s="1101"/>
      <c r="F6043" s="1101"/>
      <c r="G6043" s="1102" t="s">
        <v>2598</v>
      </c>
      <c r="H6043" s="1102"/>
      <c r="I6043" s="1102"/>
      <c r="J6043" s="1102"/>
      <c r="K6043" s="1103"/>
      <c r="L6043" s="1101"/>
      <c r="M6043" s="1101"/>
      <c r="N6043" s="1101"/>
      <c r="O6043" s="1104"/>
      <c r="P6043" s="1101"/>
      <c r="Q6043" s="915"/>
      <c r="R6043" s="1106"/>
      <c r="S6043" s="1105"/>
      <c r="T6043" s="1107"/>
      <c r="U6043" s="918"/>
      <c r="AR6043" s="1099"/>
      <c r="AS6043" s="1101"/>
    </row>
    <row r="6044" spans="1:45" s="886" customFormat="1" ht="11.4">
      <c r="A6044" s="1108">
        <v>70</v>
      </c>
      <c r="B6044" s="1109">
        <v>1</v>
      </c>
      <c r="C6044" s="1109">
        <f>$A6044*$B6044</f>
        <v>70</v>
      </c>
      <c r="D6044" s="1110" t="str">
        <f>Elec_Rates!$D$762</f>
        <v>073# 300mm cable Tray</v>
      </c>
      <c r="E6044" s="1110"/>
      <c r="F6044" s="1110" t="s">
        <v>2599</v>
      </c>
      <c r="G6044" s="1111" t="s">
        <v>2600</v>
      </c>
      <c r="H6044" s="1111"/>
      <c r="I6044" s="1111"/>
      <c r="J6044" s="1111"/>
      <c r="K6044" s="1112"/>
      <c r="L6044" s="1113"/>
      <c r="M6044" s="1113"/>
      <c r="N6044" s="1113"/>
      <c r="O6044" s="1114"/>
      <c r="P6044" s="1110"/>
      <c r="Q6044" s="925">
        <f ca="1">$B6044*Elec_Rates!$R$762</f>
        <v>7.4</v>
      </c>
      <c r="R6044" s="1106">
        <f ca="1">$A6044*Q6044</f>
        <v>518</v>
      </c>
      <c r="S6044" s="1115">
        <f ca="1">$B6044*Elec_Rates!$T$762</f>
        <v>0.32</v>
      </c>
      <c r="T6044" s="1107">
        <f ca="1">$A6044*S6044</f>
        <v>22.400000000000002</v>
      </c>
      <c r="U6044" s="926"/>
      <c r="AR6044" s="1108">
        <v>70</v>
      </c>
      <c r="AS6044" s="1110" t="s">
        <v>2599</v>
      </c>
    </row>
    <row r="6045" spans="1:45" s="886" customFormat="1" ht="13.2">
      <c r="A6045" s="1099"/>
      <c r="B6045" s="1100"/>
      <c r="C6045" s="1100" t="s">
        <v>2597</v>
      </c>
      <c r="D6045" s="1100" t="str">
        <f ca="1">CELL("Address",Elec_Rates!D$948)</f>
        <v>[E25_0062_Quintano_Foods_Elec_ELV_As_Awarded.xlsx]Elec_Rates!$D$948</v>
      </c>
      <c r="E6045" s="1101"/>
      <c r="F6045" s="1101"/>
      <c r="G6045" s="1102" t="s">
        <v>2598</v>
      </c>
      <c r="H6045" s="1102"/>
      <c r="I6045" s="1102"/>
      <c r="J6045" s="1102"/>
      <c r="K6045" s="1103"/>
      <c r="L6045" s="1101"/>
      <c r="M6045" s="1101"/>
      <c r="N6045" s="1101"/>
      <c r="O6045" s="1104"/>
      <c r="P6045" s="1101"/>
      <c r="Q6045" s="915"/>
      <c r="R6045" s="1106"/>
      <c r="S6045" s="1105"/>
      <c r="T6045" s="1107"/>
      <c r="U6045" s="918"/>
      <c r="AR6045" s="1099"/>
      <c r="AS6045" s="1101"/>
    </row>
    <row r="6046" spans="1:45" s="886" customFormat="1" ht="11.4">
      <c r="A6046" s="1108">
        <v>70</v>
      </c>
      <c r="B6046" s="1109">
        <v>1.6</v>
      </c>
      <c r="C6046" s="1109">
        <f>$A6046*$B6046</f>
        <v>112</v>
      </c>
      <c r="D6046" s="1110" t="str">
        <f>Elec_Rates!$D$948</f>
        <v>087# Bracket for Cable containment in warehouse</v>
      </c>
      <c r="E6046" s="1110"/>
      <c r="F6046" s="1110" t="s">
        <v>2599</v>
      </c>
      <c r="G6046" s="1111" t="s">
        <v>2600</v>
      </c>
      <c r="H6046" s="1111"/>
      <c r="I6046" s="1111"/>
      <c r="J6046" s="1111"/>
      <c r="K6046" s="1112"/>
      <c r="L6046" s="1113"/>
      <c r="M6046" s="1113"/>
      <c r="N6046" s="1113"/>
      <c r="O6046" s="1114"/>
      <c r="P6046" s="1110"/>
      <c r="Q6046" s="925">
        <f ca="1">$B6046*Elec_Rates!$R$948</f>
        <v>39.008000000000003</v>
      </c>
      <c r="R6046" s="1106">
        <f ca="1">$A6046*Q6046</f>
        <v>2730.5600000000004</v>
      </c>
      <c r="S6046" s="1115">
        <f ca="1">$B6046*Elec_Rates!$T$948</f>
        <v>0.20800000000000002</v>
      </c>
      <c r="T6046" s="1107">
        <f ca="1">$A6046*S6046</f>
        <v>14.56</v>
      </c>
      <c r="U6046" s="926"/>
      <c r="AR6046" s="1108">
        <v>70</v>
      </c>
      <c r="AS6046" s="1110" t="s">
        <v>2599</v>
      </c>
    </row>
    <row r="6047" spans="1:45" s="886" customFormat="1" ht="13.2">
      <c r="A6047" s="1099"/>
      <c r="B6047" s="1100"/>
      <c r="C6047" s="1100" t="s">
        <v>2597</v>
      </c>
      <c r="D6047" s="1100" t="str">
        <f ca="1">CELL("Address",Elec_Rates!D$994)</f>
        <v>[E25_0062_Quintano_Foods_Elec_ELV_As_Awarded.xlsx]Elec_Rates!$D$994</v>
      </c>
      <c r="E6047" s="1101"/>
      <c r="F6047" s="1101"/>
      <c r="G6047" s="1102" t="s">
        <v>2598</v>
      </c>
      <c r="H6047" s="1102"/>
      <c r="I6047" s="1102"/>
      <c r="J6047" s="1102"/>
      <c r="K6047" s="1103"/>
      <c r="L6047" s="1101"/>
      <c r="M6047" s="1101"/>
      <c r="N6047" s="1101"/>
      <c r="O6047" s="1104"/>
      <c r="P6047" s="1101"/>
      <c r="Q6047" s="915"/>
      <c r="R6047" s="1106"/>
      <c r="S6047" s="1105"/>
      <c r="T6047" s="1107"/>
      <c r="U6047" s="918"/>
      <c r="AR6047" s="1099"/>
      <c r="AS6047" s="1101"/>
    </row>
    <row r="6048" spans="1:45" s="886" customFormat="1" ht="11.4">
      <c r="A6048" s="1108">
        <v>70</v>
      </c>
      <c r="B6048" s="1109">
        <v>1.6</v>
      </c>
      <c r="C6048" s="1109">
        <f>$A6048*$B6048</f>
        <v>112</v>
      </c>
      <c r="D6048" s="1110" t="str">
        <f>Elec_Rates!$D$994</f>
        <v>088# Scissors lift in Warehouse for cable tray and trunking (Excluding bracketing)</v>
      </c>
      <c r="E6048" s="1110"/>
      <c r="F6048" s="1110" t="s">
        <v>2599</v>
      </c>
      <c r="G6048" s="1111" t="s">
        <v>2601</v>
      </c>
      <c r="H6048" s="1111"/>
      <c r="I6048" s="1111"/>
      <c r="J6048" s="1111"/>
      <c r="K6048" s="1112"/>
      <c r="L6048" s="1113"/>
      <c r="M6048" s="1113"/>
      <c r="N6048" s="1113"/>
      <c r="O6048" s="1114"/>
      <c r="P6048" s="1110"/>
      <c r="Q6048" s="925">
        <f ca="1">$B6048*Elec_Rates!$R$994</f>
        <v>3.3759999999999999</v>
      </c>
      <c r="R6048" s="1106">
        <f ca="1">$A6048*Q6048</f>
        <v>236.32</v>
      </c>
      <c r="S6048" s="1115">
        <f ca="1">$B6048*Elec_Rates!$T$994</f>
        <v>0</v>
      </c>
      <c r="T6048" s="1107">
        <f ca="1">$A6048*S6048</f>
        <v>0</v>
      </c>
      <c r="U6048" s="926"/>
      <c r="AR6048" s="1108">
        <v>70</v>
      </c>
      <c r="AS6048" s="1110" t="s">
        <v>2599</v>
      </c>
    </row>
    <row r="6049" spans="1:45" s="520" customFormat="1" ht="12">
      <c r="A6049" s="758"/>
      <c r="B6049" s="758"/>
      <c r="C6049" s="758"/>
      <c r="D6049" s="758"/>
      <c r="E6049" s="758"/>
      <c r="F6049" s="753"/>
      <c r="G6049" s="758"/>
      <c r="H6049" s="758"/>
      <c r="I6049" s="519"/>
      <c r="J6049" s="758"/>
      <c r="K6049" s="758"/>
      <c r="L6049" s="758"/>
      <c r="M6049" s="758"/>
      <c r="N6049" s="758"/>
      <c r="O6049" s="758"/>
      <c r="P6049" s="758"/>
      <c r="Q6049" s="519"/>
      <c r="R6049" s="759">
        <f t="shared" ref="R6049" si="380">$A6049*Q6049</f>
        <v>0</v>
      </c>
      <c r="S6049" s="519"/>
      <c r="T6049" s="760">
        <f t="shared" ref="T6049" si="381">$A6049*S6049*$T$1</f>
        <v>0</v>
      </c>
      <c r="AR6049" s="758"/>
      <c r="AS6049" s="753"/>
    </row>
    <row r="6050" spans="1:45" s="520" customFormat="1" ht="12.6" thickBot="1">
      <c r="A6050" s="761" t="s">
        <v>145</v>
      </c>
      <c r="B6050" s="762">
        <f>(R6049+T6049)</f>
        <v>0</v>
      </c>
      <c r="C6050" s="763"/>
      <c r="D6050" s="763"/>
      <c r="E6050" s="763"/>
      <c r="F6050" s="764"/>
      <c r="G6050" s="763" t="s">
        <v>146</v>
      </c>
      <c r="H6050" s="763"/>
      <c r="I6050" s="765"/>
      <c r="J6050" s="763"/>
      <c r="K6050" s="763" t="s">
        <v>3</v>
      </c>
      <c r="L6050" s="766" t="s">
        <v>143</v>
      </c>
      <c r="M6050" s="766"/>
      <c r="N6050" s="766"/>
      <c r="O6050" s="766"/>
      <c r="P6050" s="766"/>
      <c r="Q6050" s="767"/>
      <c r="R6050" s="768">
        <f ca="1">SUM(R6042:R6049)</f>
        <v>3484.8800000000006</v>
      </c>
      <c r="S6050" s="763"/>
      <c r="T6050" s="768">
        <f ca="1">SUM(T6042:T6049)</f>
        <v>36.96</v>
      </c>
      <c r="U6050" s="531"/>
      <c r="V6050" s="531"/>
      <c r="W6050" s="531"/>
      <c r="X6050" s="531"/>
      <c r="Y6050" s="531"/>
      <c r="Z6050" s="531"/>
      <c r="AA6050" s="531"/>
      <c r="AB6050" s="531"/>
      <c r="AC6050" s="531"/>
      <c r="AD6050" s="531"/>
      <c r="AE6050" s="531"/>
      <c r="AF6050" s="531"/>
      <c r="AG6050" s="531"/>
      <c r="AH6050" s="531"/>
      <c r="AI6050" s="531"/>
      <c r="AJ6050" s="531"/>
      <c r="AK6050" s="531"/>
      <c r="AL6050" s="531"/>
      <c r="AM6050" s="531"/>
      <c r="AN6050" s="531"/>
      <c r="AO6050" s="531"/>
      <c r="AR6050" s="761" t="s">
        <v>145</v>
      </c>
      <c r="AS6050" s="764"/>
    </row>
    <row r="6051" spans="1:45" s="520" customFormat="1" ht="12" thickTop="1">
      <c r="A6051" s="51"/>
      <c r="B6051" s="41"/>
      <c r="C6051" s="51"/>
      <c r="E6051" s="42" t="s">
        <v>138</v>
      </c>
      <c r="F6051" s="42" t="s">
        <v>139</v>
      </c>
      <c r="G6051" s="51"/>
      <c r="H6051" s="51"/>
      <c r="I6051" s="51"/>
      <c r="J6051" s="51"/>
      <c r="K6051" s="51" t="s">
        <v>140</v>
      </c>
      <c r="L6051" s="51"/>
      <c r="M6051" s="51"/>
      <c r="N6051" s="51"/>
      <c r="O6051" s="52"/>
      <c r="P6051" s="51"/>
      <c r="Q6051" s="51"/>
      <c r="R6051" s="51"/>
      <c r="S6051" s="51"/>
      <c r="T6051" s="41"/>
      <c r="AG6051" s="521" t="s">
        <v>268</v>
      </c>
      <c r="AH6051" s="521" t="s">
        <v>269</v>
      </c>
      <c r="AI6051" s="521" t="s">
        <v>270</v>
      </c>
      <c r="AJ6051" s="521" t="s">
        <v>271</v>
      </c>
      <c r="AK6051" s="521" t="s">
        <v>272</v>
      </c>
      <c r="AM6051" s="745" t="s">
        <v>281</v>
      </c>
      <c r="AN6051" s="746" t="s">
        <v>282</v>
      </c>
      <c r="AO6051" s="522" t="s">
        <v>278</v>
      </c>
      <c r="AR6051" s="51"/>
      <c r="AS6051" s="42" t="s">
        <v>139</v>
      </c>
    </row>
    <row r="6052" spans="1:45" s="520" customFormat="1" ht="12" customHeight="1">
      <c r="A6052" s="747">
        <v>70</v>
      </c>
      <c r="B6052" s="523" t="s">
        <v>320</v>
      </c>
      <c r="C6052" s="748"/>
      <c r="D6052" s="749" t="s">
        <v>1967</v>
      </c>
      <c r="E6052" s="750">
        <f ca="1">IF(AND($A6052=0,$A$1="DIF"),0, ROUND(ROUND(($R6061*$S$2+($T6061*$T$2))/A6052,2)*$C$2,2))</f>
        <v>104.06</v>
      </c>
      <c r="F6052" s="751">
        <f ca="1">ROUND($A6052*$E6052,2)</f>
        <v>7284.2</v>
      </c>
      <c r="G6052" s="752" t="s">
        <v>142</v>
      </c>
      <c r="H6052" s="753"/>
      <c r="I6052" s="754"/>
      <c r="J6052" s="753"/>
      <c r="K6052" s="753" t="s">
        <v>3</v>
      </c>
      <c r="L6052" s="755" t="s">
        <v>143</v>
      </c>
      <c r="M6052" s="755"/>
      <c r="N6052" s="755"/>
      <c r="O6052" s="755"/>
      <c r="P6052" s="755"/>
      <c r="Q6052" s="51"/>
      <c r="T6052" s="756" t="str">
        <f ca="1">IF(AND($R6061=0,$T6061=0),"0.00","mu :" &amp; ROUND($F6052/$C$2/($R6061+$T6061*$D$9),2))</f>
        <v>mu :1.23</v>
      </c>
      <c r="W6052" s="524"/>
      <c r="AG6052" s="481">
        <f ca="1">IF($E6052=0,0,ROUND($R6061*$S$2*$C$2/$A6052,2))</f>
        <v>81.400000000000006</v>
      </c>
      <c r="AH6052" s="481">
        <f ca="1">$AG6052*$A6052</f>
        <v>5698</v>
      </c>
      <c r="AI6052" s="525">
        <f ca="1">$E6052-$AG6052</f>
        <v>22.659999999999997</v>
      </c>
      <c r="AJ6052" s="525">
        <f ca="1">$A6052*$AI6052</f>
        <v>1586.1999999999998</v>
      </c>
      <c r="AK6052" s="526">
        <f ca="1">ROUND(($AG6052+$AI6052)*$A6052,2)</f>
        <v>7284.2</v>
      </c>
      <c r="AM6052" s="527">
        <f ca="1">ROUND(R6061,2)</f>
        <v>4627.7</v>
      </c>
      <c r="AN6052" s="528">
        <f ca="1">ROUND(T6061,2)</f>
        <v>46.9</v>
      </c>
      <c r="AO6052" s="529">
        <f ca="1">ROUND(AM6052+AN6052,2)*A6052</f>
        <v>327222</v>
      </c>
      <c r="AR6052" s="747">
        <v>70</v>
      </c>
      <c r="AS6052" s="751">
        <v>7473.2</v>
      </c>
    </row>
    <row r="6053" spans="1:45" s="520" customFormat="1" ht="13.2">
      <c r="A6053" s="748"/>
      <c r="B6053"/>
      <c r="C6053" s="748"/>
      <c r="D6053" s="749" t="s">
        <v>917</v>
      </c>
      <c r="F6053" s="753"/>
      <c r="G6053" s="3"/>
      <c r="H6053" s="753"/>
      <c r="I6053" s="754"/>
      <c r="J6053" s="753"/>
      <c r="K6053" s="753" t="s">
        <v>144</v>
      </c>
      <c r="L6053" s="753"/>
      <c r="M6053" s="753"/>
      <c r="N6053" s="753"/>
      <c r="O6053" s="753"/>
      <c r="P6053" s="753"/>
      <c r="Q6053" s="51"/>
      <c r="R6053" s="530"/>
      <c r="S6053" s="757"/>
      <c r="T6053" s="753"/>
      <c r="AR6053" s="748"/>
      <c r="AS6053" s="753"/>
    </row>
    <row r="6054" spans="1:45" s="886" customFormat="1" ht="13.2">
      <c r="A6054" s="1099"/>
      <c r="B6054" s="1100"/>
      <c r="C6054" s="1100" t="s">
        <v>2597</v>
      </c>
      <c r="D6054" s="1100" t="str">
        <f ca="1">CELL("Address",Elec_Rates!D$739)</f>
        <v>[E25_0062_Quintano_Foods_Elec_ELV_As_Awarded.xlsx]Elec_Rates!$D$739</v>
      </c>
      <c r="E6054" s="1101"/>
      <c r="F6054" s="1101"/>
      <c r="G6054" s="1102" t="s">
        <v>2598</v>
      </c>
      <c r="H6054" s="1102"/>
      <c r="I6054" s="1102"/>
      <c r="J6054" s="1102"/>
      <c r="K6054" s="1103"/>
      <c r="L6054" s="1101"/>
      <c r="M6054" s="1101"/>
      <c r="N6054" s="1101"/>
      <c r="O6054" s="1104"/>
      <c r="P6054" s="1101"/>
      <c r="Q6054" s="915"/>
      <c r="R6054" s="1106"/>
      <c r="S6054" s="1105"/>
      <c r="T6054" s="1107"/>
      <c r="U6054" s="918"/>
      <c r="AR6054" s="1099"/>
      <c r="AS6054" s="1101"/>
    </row>
    <row r="6055" spans="1:45" s="886" customFormat="1" ht="11.4">
      <c r="A6055" s="1108">
        <v>70</v>
      </c>
      <c r="B6055" s="1109">
        <v>1</v>
      </c>
      <c r="C6055" s="1109">
        <f>$A6055*$B6055</f>
        <v>70</v>
      </c>
      <c r="D6055" s="1110" t="str">
        <f>Elec_Rates!$D$739</f>
        <v>071# 500mm cable Tray</v>
      </c>
      <c r="E6055" s="1110"/>
      <c r="F6055" s="1110" t="s">
        <v>2599</v>
      </c>
      <c r="G6055" s="1111" t="s">
        <v>2601</v>
      </c>
      <c r="H6055" s="1111"/>
      <c r="I6055" s="1111"/>
      <c r="J6055" s="1111"/>
      <c r="K6055" s="1112"/>
      <c r="L6055" s="1113"/>
      <c r="M6055" s="1113"/>
      <c r="N6055" s="1113"/>
      <c r="O6055" s="1114"/>
      <c r="P6055" s="1110"/>
      <c r="Q6055" s="925">
        <f ca="1">$B6055*Elec_Rates!$R$739</f>
        <v>13.13</v>
      </c>
      <c r="R6055" s="1106">
        <f ca="1">$A6055*Q6055</f>
        <v>919.1</v>
      </c>
      <c r="S6055" s="1115">
        <f ca="1">$B6055*Elec_Rates!$T$739</f>
        <v>0.41</v>
      </c>
      <c r="T6055" s="1107">
        <f ca="1">$A6055*S6055</f>
        <v>28.7</v>
      </c>
      <c r="U6055" s="926"/>
      <c r="AR6055" s="1108">
        <v>70</v>
      </c>
      <c r="AS6055" s="1110" t="s">
        <v>2599</v>
      </c>
    </row>
    <row r="6056" spans="1:45" s="886" customFormat="1" ht="13.2">
      <c r="A6056" s="1099"/>
      <c r="B6056" s="1100"/>
      <c r="C6056" s="1100" t="s">
        <v>2597</v>
      </c>
      <c r="D6056" s="1100" t="str">
        <f ca="1">CELL("Address",Elec_Rates!D$948)</f>
        <v>[E25_0062_Quintano_Foods_Elec_ELV_As_Awarded.xlsx]Elec_Rates!$D$948</v>
      </c>
      <c r="E6056" s="1101"/>
      <c r="F6056" s="1101"/>
      <c r="G6056" s="1102" t="s">
        <v>2598</v>
      </c>
      <c r="H6056" s="1102"/>
      <c r="I6056" s="1102"/>
      <c r="J6056" s="1102"/>
      <c r="K6056" s="1103"/>
      <c r="L6056" s="1101"/>
      <c r="M6056" s="1101"/>
      <c r="N6056" s="1101"/>
      <c r="O6056" s="1104"/>
      <c r="P6056" s="1101"/>
      <c r="Q6056" s="915"/>
      <c r="R6056" s="1106"/>
      <c r="S6056" s="1105"/>
      <c r="T6056" s="1107"/>
      <c r="U6056" s="918"/>
      <c r="AR6056" s="1099"/>
      <c r="AS6056" s="1101"/>
    </row>
    <row r="6057" spans="1:45" s="886" customFormat="1" ht="11.4">
      <c r="A6057" s="1108">
        <v>70</v>
      </c>
      <c r="B6057" s="1109">
        <v>2</v>
      </c>
      <c r="C6057" s="1109">
        <f>$A6057*$B6057</f>
        <v>140</v>
      </c>
      <c r="D6057" s="1110" t="str">
        <f>Elec_Rates!$D$948</f>
        <v>087# Bracket for Cable containment in warehouse</v>
      </c>
      <c r="E6057" s="1110"/>
      <c r="F6057" s="1110" t="s">
        <v>2599</v>
      </c>
      <c r="G6057" s="1111" t="s">
        <v>2600</v>
      </c>
      <c r="H6057" s="1111"/>
      <c r="I6057" s="1111"/>
      <c r="J6057" s="1111"/>
      <c r="K6057" s="1112"/>
      <c r="L6057" s="1113"/>
      <c r="M6057" s="1113"/>
      <c r="N6057" s="1113"/>
      <c r="O6057" s="1114"/>
      <c r="P6057" s="1110"/>
      <c r="Q6057" s="925">
        <f ca="1">$B6057*Elec_Rates!$R$948</f>
        <v>48.76</v>
      </c>
      <c r="R6057" s="1106">
        <f ca="1">$A6057*Q6057</f>
        <v>3413.2</v>
      </c>
      <c r="S6057" s="1115">
        <f ca="1">$B6057*Elec_Rates!$T$948</f>
        <v>0.26</v>
      </c>
      <c r="T6057" s="1107">
        <f ca="1">$A6057*S6057</f>
        <v>18.2</v>
      </c>
      <c r="U6057" s="926"/>
      <c r="AR6057" s="1108">
        <v>70</v>
      </c>
      <c r="AS6057" s="1110" t="s">
        <v>2599</v>
      </c>
    </row>
    <row r="6058" spans="1:45" s="886" customFormat="1" ht="13.2">
      <c r="A6058" s="1099"/>
      <c r="B6058" s="1100"/>
      <c r="C6058" s="1100" t="s">
        <v>2597</v>
      </c>
      <c r="D6058" s="1100" t="str">
        <f ca="1">CELL("Address",Elec_Rates!D$994)</f>
        <v>[E25_0062_Quintano_Foods_Elec_ELV_As_Awarded.xlsx]Elec_Rates!$D$994</v>
      </c>
      <c r="E6058" s="1101"/>
      <c r="F6058" s="1101"/>
      <c r="G6058" s="1102" t="s">
        <v>2598</v>
      </c>
      <c r="H6058" s="1102"/>
      <c r="I6058" s="1102"/>
      <c r="J6058" s="1102"/>
      <c r="K6058" s="1103"/>
      <c r="L6058" s="1101"/>
      <c r="M6058" s="1101"/>
      <c r="N6058" s="1101"/>
      <c r="O6058" s="1104"/>
      <c r="P6058" s="1101"/>
      <c r="Q6058" s="915"/>
      <c r="R6058" s="1106"/>
      <c r="S6058" s="1105"/>
      <c r="T6058" s="1107"/>
      <c r="U6058" s="918"/>
      <c r="AR6058" s="1099"/>
      <c r="AS6058" s="1101"/>
    </row>
    <row r="6059" spans="1:45" s="886" customFormat="1" ht="11.4">
      <c r="A6059" s="1108">
        <v>70</v>
      </c>
      <c r="B6059" s="1109">
        <v>2</v>
      </c>
      <c r="C6059" s="1109">
        <f>$A6059*$B6059</f>
        <v>140</v>
      </c>
      <c r="D6059" s="1110" t="str">
        <f>Elec_Rates!$D$994</f>
        <v>088# Scissors lift in Warehouse for cable tray and trunking (Excluding bracketing)</v>
      </c>
      <c r="E6059" s="1110"/>
      <c r="F6059" s="1110" t="s">
        <v>2599</v>
      </c>
      <c r="G6059" s="1111" t="s">
        <v>2601</v>
      </c>
      <c r="H6059" s="1111"/>
      <c r="I6059" s="1111"/>
      <c r="J6059" s="1111"/>
      <c r="K6059" s="1112"/>
      <c r="L6059" s="1113"/>
      <c r="M6059" s="1113"/>
      <c r="N6059" s="1113"/>
      <c r="O6059" s="1114"/>
      <c r="P6059" s="1110"/>
      <c r="Q6059" s="925">
        <f ca="1">$B6059*Elec_Rates!$R$994</f>
        <v>4.22</v>
      </c>
      <c r="R6059" s="1106">
        <f ca="1">$A6059*Q6059</f>
        <v>295.39999999999998</v>
      </c>
      <c r="S6059" s="1115">
        <f ca="1">$B6059*Elec_Rates!$T$994</f>
        <v>0</v>
      </c>
      <c r="T6059" s="1107">
        <f ca="1">$A6059*S6059</f>
        <v>0</v>
      </c>
      <c r="U6059" s="926"/>
      <c r="AR6059" s="1108">
        <v>70</v>
      </c>
      <c r="AS6059" s="1110" t="s">
        <v>2599</v>
      </c>
    </row>
    <row r="6060" spans="1:45" s="520" customFormat="1" ht="12">
      <c r="A6060" s="758"/>
      <c r="B6060" s="758"/>
      <c r="C6060" s="758"/>
      <c r="D6060" s="758"/>
      <c r="E6060" s="758"/>
      <c r="F6060" s="753"/>
      <c r="G6060" s="758"/>
      <c r="H6060" s="758"/>
      <c r="I6060" s="519"/>
      <c r="J6060" s="758"/>
      <c r="K6060" s="758"/>
      <c r="L6060" s="758"/>
      <c r="M6060" s="758"/>
      <c r="N6060" s="758"/>
      <c r="O6060" s="758"/>
      <c r="P6060" s="758"/>
      <c r="Q6060" s="519"/>
      <c r="R6060" s="759">
        <f t="shared" ref="R6060" si="382">$A6060*Q6060</f>
        <v>0</v>
      </c>
      <c r="S6060" s="519"/>
      <c r="T6060" s="760">
        <f t="shared" ref="T6060" si="383">$A6060*S6060*$T$1</f>
        <v>0</v>
      </c>
      <c r="AR6060" s="758"/>
      <c r="AS6060" s="753"/>
    </row>
    <row r="6061" spans="1:45" s="520" customFormat="1" ht="12.6" thickBot="1">
      <c r="A6061" s="761" t="s">
        <v>145</v>
      </c>
      <c r="B6061" s="762">
        <f>(R6060+T6060)</f>
        <v>0</v>
      </c>
      <c r="C6061" s="763"/>
      <c r="D6061" s="763"/>
      <c r="E6061" s="763"/>
      <c r="F6061" s="764"/>
      <c r="G6061" s="763" t="s">
        <v>146</v>
      </c>
      <c r="H6061" s="763"/>
      <c r="I6061" s="765"/>
      <c r="J6061" s="763"/>
      <c r="K6061" s="763" t="s">
        <v>3</v>
      </c>
      <c r="L6061" s="766" t="s">
        <v>143</v>
      </c>
      <c r="M6061" s="766"/>
      <c r="N6061" s="766"/>
      <c r="O6061" s="766"/>
      <c r="P6061" s="766"/>
      <c r="Q6061" s="767"/>
      <c r="R6061" s="768">
        <f ca="1">SUM(R6053:R6060)</f>
        <v>4627.7</v>
      </c>
      <c r="S6061" s="763"/>
      <c r="T6061" s="768">
        <f ca="1">SUM(T6053:T6060)</f>
        <v>46.9</v>
      </c>
      <c r="U6061" s="531"/>
      <c r="V6061" s="531"/>
      <c r="W6061" s="531"/>
      <c r="X6061" s="531"/>
      <c r="Y6061" s="531"/>
      <c r="Z6061" s="531"/>
      <c r="AA6061" s="531"/>
      <c r="AB6061" s="531"/>
      <c r="AC6061" s="531"/>
      <c r="AD6061" s="531"/>
      <c r="AE6061" s="531"/>
      <c r="AF6061" s="531"/>
      <c r="AG6061" s="531"/>
      <c r="AH6061" s="531"/>
      <c r="AI6061" s="531"/>
      <c r="AJ6061" s="531"/>
      <c r="AK6061" s="531"/>
      <c r="AL6061" s="531"/>
      <c r="AM6061" s="531"/>
      <c r="AN6061" s="531"/>
      <c r="AO6061" s="531"/>
      <c r="AR6061" s="761" t="s">
        <v>145</v>
      </c>
      <c r="AS6061" s="764"/>
    </row>
    <row r="6062" spans="1:45" s="520" customFormat="1" thickTop="1">
      <c r="A6062" s="51"/>
      <c r="B6062" s="51"/>
      <c r="C6062" s="3"/>
      <c r="D6062" s="3"/>
      <c r="E6062" s="51"/>
      <c r="F6062" s="51"/>
      <c r="G6062" s="51"/>
      <c r="H6062" s="51"/>
      <c r="I6062" s="51"/>
      <c r="J6062" s="51"/>
      <c r="K6062" s="51" t="s">
        <v>134</v>
      </c>
      <c r="L6062" s="51"/>
      <c r="M6062" s="51"/>
      <c r="N6062" s="51"/>
      <c r="O6062" s="52"/>
      <c r="P6062" s="51"/>
      <c r="Q6062" s="51"/>
      <c r="R6062" s="51"/>
      <c r="S6062" s="51"/>
      <c r="T6062" s="51"/>
      <c r="AR6062" s="51"/>
      <c r="AS6062" s="51"/>
    </row>
    <row r="6063" spans="1:45" s="520" customFormat="1" ht="12">
      <c r="A6063" s="51"/>
      <c r="B6063" s="51"/>
      <c r="C6063" s="51" t="s">
        <v>135</v>
      </c>
      <c r="D6063" s="37"/>
      <c r="E6063" s="51"/>
      <c r="F6063" s="51"/>
      <c r="G6063" s="51"/>
      <c r="H6063" s="51"/>
      <c r="I6063" s="51"/>
      <c r="J6063" s="51"/>
      <c r="K6063" s="51"/>
      <c r="L6063" s="51"/>
      <c r="M6063" s="51"/>
      <c r="N6063" s="51"/>
      <c r="O6063" s="52"/>
      <c r="P6063" s="51"/>
      <c r="Q6063" s="51"/>
      <c r="R6063" s="51"/>
      <c r="S6063" s="51"/>
      <c r="T6063" s="51"/>
      <c r="AR6063" s="51"/>
      <c r="AS6063" s="51"/>
    </row>
    <row r="6064" spans="1:45" s="520" customFormat="1" ht="12">
      <c r="A6064" s="51"/>
      <c r="B6064" s="51"/>
      <c r="C6064" s="51"/>
      <c r="D6064" s="37" t="s">
        <v>928</v>
      </c>
      <c r="E6064" s="51"/>
      <c r="F6064" s="51"/>
      <c r="G6064" s="51"/>
      <c r="H6064" s="51"/>
      <c r="I6064" s="51"/>
      <c r="J6064" s="51"/>
      <c r="K6064" s="51"/>
      <c r="L6064" s="51"/>
      <c r="M6064" s="51"/>
      <c r="N6064" s="51"/>
      <c r="O6064" s="52"/>
      <c r="P6064" s="51"/>
      <c r="Q6064" s="51"/>
      <c r="R6064" s="51"/>
      <c r="S6064" s="38"/>
      <c r="T6064" s="38"/>
      <c r="AR6064" s="51"/>
      <c r="AS6064" s="51"/>
    </row>
    <row r="6065" spans="1:45" s="3" customFormat="1" thickBot="1">
      <c r="A6065" s="531"/>
      <c r="O6065" s="107"/>
      <c r="AR6065" s="531"/>
    </row>
    <row r="6066" spans="1:45" s="520" customFormat="1" ht="12" thickTop="1">
      <c r="A6066" s="51"/>
      <c r="B6066" s="41"/>
      <c r="C6066" s="51"/>
      <c r="E6066" s="42" t="s">
        <v>138</v>
      </c>
      <c r="F6066" s="42" t="s">
        <v>139</v>
      </c>
      <c r="G6066" s="51"/>
      <c r="H6066" s="51"/>
      <c r="I6066" s="51"/>
      <c r="J6066" s="51"/>
      <c r="K6066" s="51" t="s">
        <v>140</v>
      </c>
      <c r="L6066" s="51"/>
      <c r="M6066" s="51"/>
      <c r="N6066" s="51"/>
      <c r="O6066" s="52"/>
      <c r="P6066" s="51"/>
      <c r="Q6066" s="51"/>
      <c r="R6066" s="51"/>
      <c r="S6066" s="51"/>
      <c r="T6066" s="41"/>
      <c r="AG6066" s="521" t="s">
        <v>268</v>
      </c>
      <c r="AH6066" s="521" t="s">
        <v>269</v>
      </c>
      <c r="AI6066" s="521" t="s">
        <v>270</v>
      </c>
      <c r="AJ6066" s="521" t="s">
        <v>271</v>
      </c>
      <c r="AK6066" s="521" t="s">
        <v>272</v>
      </c>
      <c r="AM6066" s="745" t="s">
        <v>281</v>
      </c>
      <c r="AN6066" s="746" t="s">
        <v>282</v>
      </c>
      <c r="AO6066" s="522" t="s">
        <v>278</v>
      </c>
      <c r="AR6066" s="51"/>
      <c r="AS6066" s="42" t="s">
        <v>139</v>
      </c>
    </row>
    <row r="6067" spans="1:45" s="520" customFormat="1" ht="12" customHeight="1">
      <c r="A6067" s="747">
        <v>25</v>
      </c>
      <c r="B6067" s="523" t="s">
        <v>320</v>
      </c>
      <c r="C6067" s="748"/>
      <c r="D6067" s="749" t="s">
        <v>1968</v>
      </c>
      <c r="E6067" s="750">
        <f ca="1">IF(AND($A6067=0,$A$1="DIF"),0, ROUND(ROUND(($R6074*$S$2+($T6074*$T$2))/A6067,2)*$C$2,2))</f>
        <v>16.87</v>
      </c>
      <c r="F6067" s="751">
        <f ca="1">ROUND($A6067*$E6067,2)</f>
        <v>421.75</v>
      </c>
      <c r="G6067" s="752" t="s">
        <v>142</v>
      </c>
      <c r="H6067" s="753"/>
      <c r="I6067" s="754"/>
      <c r="J6067" s="753"/>
      <c r="K6067" s="753" t="s">
        <v>3</v>
      </c>
      <c r="L6067" s="755" t="s">
        <v>143</v>
      </c>
      <c r="M6067" s="755"/>
      <c r="N6067" s="755"/>
      <c r="O6067" s="755"/>
      <c r="P6067" s="755"/>
      <c r="Q6067" s="51"/>
      <c r="T6067" s="756" t="str">
        <f ca="1">IF(AND($R6074=0,$T6074=0),"0.00","mu :" &amp; ROUND($F6067/$C$2/($R6074+$T6074*$D$9),2))</f>
        <v>mu :1.23</v>
      </c>
      <c r="W6067" s="524"/>
      <c r="AG6067" s="481">
        <f ca="1">IF($E6067=0,0,ROUND($R6074*$S$2*$C$2/$A6067,2))</f>
        <v>7.75</v>
      </c>
      <c r="AH6067" s="481">
        <f ca="1">$AG6067*$A6067</f>
        <v>193.75</v>
      </c>
      <c r="AI6067" s="525">
        <f ca="1">$E6067-$AG6067</f>
        <v>9.120000000000001</v>
      </c>
      <c r="AJ6067" s="525">
        <f ca="1">$A6067*$AI6067</f>
        <v>228.00000000000003</v>
      </c>
      <c r="AK6067" s="526">
        <f ca="1">ROUND(($AG6067+$AI6067)*$A6067,2)</f>
        <v>421.75</v>
      </c>
      <c r="AM6067" s="527">
        <f ca="1">ROUND(R6074,2)</f>
        <v>157.25</v>
      </c>
      <c r="AN6067" s="528">
        <f ca="1">ROUND(T6074,2)</f>
        <v>6.75</v>
      </c>
      <c r="AO6067" s="529">
        <f ca="1">ROUND(AM6067+AN6067,2)*A6067</f>
        <v>4100</v>
      </c>
      <c r="AR6067" s="747">
        <v>25</v>
      </c>
      <c r="AS6067" s="751">
        <v>447.25</v>
      </c>
    </row>
    <row r="6068" spans="1:45" s="520" customFormat="1" ht="13.2">
      <c r="A6068" s="748"/>
      <c r="B6068"/>
      <c r="C6068" s="748"/>
      <c r="D6068" s="749" t="s">
        <v>912</v>
      </c>
      <c r="F6068" s="753"/>
      <c r="G6068" s="3"/>
      <c r="H6068" s="753"/>
      <c r="I6068" s="754"/>
      <c r="J6068" s="753"/>
      <c r="K6068" s="753" t="s">
        <v>144</v>
      </c>
      <c r="L6068" s="753"/>
      <c r="M6068" s="753"/>
      <c r="N6068" s="753"/>
      <c r="O6068" s="753"/>
      <c r="P6068" s="753"/>
      <c r="Q6068" s="51"/>
      <c r="R6068" s="530"/>
      <c r="S6068" s="757"/>
      <c r="T6068" s="753"/>
      <c r="AR6068" s="748"/>
      <c r="AS6068" s="753"/>
    </row>
    <row r="6069" spans="1:45" s="886" customFormat="1" ht="13.2">
      <c r="A6069"/>
      <c r="B6069" s="910"/>
      <c r="C6069" s="910" t="s">
        <v>2597</v>
      </c>
      <c r="D6069" s="910" t="str">
        <f ca="1">CELL("Address",Elec_Rates!D$785)</f>
        <v>[E25_0062_Quintano_Foods_Elec_ELV_As_Awarded.xlsx]Elec_Rates!$D$785</v>
      </c>
      <c r="E6069" s="911"/>
      <c r="F6069" s="911"/>
      <c r="G6069" s="912" t="s">
        <v>2598</v>
      </c>
      <c r="H6069" s="912"/>
      <c r="I6069" s="912"/>
      <c r="J6069" s="912"/>
      <c r="K6069" s="913"/>
      <c r="L6069" s="911"/>
      <c r="M6069" s="911"/>
      <c r="N6069" s="911"/>
      <c r="O6069" s="914"/>
      <c r="P6069" s="911"/>
      <c r="Q6069" s="915"/>
      <c r="R6069" s="916"/>
      <c r="S6069" s="915"/>
      <c r="T6069" s="917"/>
      <c r="U6069" s="918"/>
      <c r="AR6069"/>
      <c r="AS6069" s="911"/>
    </row>
    <row r="6070" spans="1:45" s="886" customFormat="1" ht="11.4">
      <c r="A6070" s="919">
        <v>25</v>
      </c>
      <c r="B6070" s="920">
        <v>1</v>
      </c>
      <c r="C6070" s="920">
        <f>$A6070*$B6070</f>
        <v>25</v>
      </c>
      <c r="D6070" s="921" t="str">
        <f>Elec_Rates!$D$785</f>
        <v>075# 100mm cable Tray</v>
      </c>
      <c r="E6070" s="921"/>
      <c r="F6070" s="921" t="s">
        <v>2599</v>
      </c>
      <c r="G6070" s="922" t="s">
        <v>2601</v>
      </c>
      <c r="H6070" s="922"/>
      <c r="I6070" s="922"/>
      <c r="J6070" s="922"/>
      <c r="K6070" s="923"/>
      <c r="L6070" s="918"/>
      <c r="M6070" s="918"/>
      <c r="N6070" s="918"/>
      <c r="O6070" s="924"/>
      <c r="P6070" s="921"/>
      <c r="Q6070" s="925">
        <f ca="1">$B6070*Elec_Rates!$R$785</f>
        <v>3.92</v>
      </c>
      <c r="R6070" s="916">
        <f ca="1">$A6070*Q6070</f>
        <v>98</v>
      </c>
      <c r="S6070" s="925">
        <f ca="1">$B6070*Elec_Rates!$T$785</f>
        <v>0.18</v>
      </c>
      <c r="T6070" s="917">
        <f ca="1">$A6070*S6070</f>
        <v>4.5</v>
      </c>
      <c r="U6070" s="926"/>
      <c r="AR6070" s="919">
        <v>25</v>
      </c>
      <c r="AS6070" s="921" t="s">
        <v>2599</v>
      </c>
    </row>
    <row r="6071" spans="1:45" s="886" customFormat="1" ht="13.2">
      <c r="A6071"/>
      <c r="B6071" s="910"/>
      <c r="C6071" s="910" t="s">
        <v>2597</v>
      </c>
      <c r="D6071" s="910" t="str">
        <f ca="1">CELL("Address",Elec_Rates!D$907)</f>
        <v>[E25_0062_Quintano_Foods_Elec_ELV_As_Awarded.xlsx]Elec_Rates!$D$907</v>
      </c>
      <c r="E6071" s="911"/>
      <c r="F6071" s="911"/>
      <c r="G6071" s="912" t="s">
        <v>2598</v>
      </c>
      <c r="H6071" s="912"/>
      <c r="I6071" s="912"/>
      <c r="J6071" s="912"/>
      <c r="K6071" s="913"/>
      <c r="L6071" s="911"/>
      <c r="M6071" s="911"/>
      <c r="N6071" s="911"/>
      <c r="O6071" s="914"/>
      <c r="P6071" s="911"/>
      <c r="Q6071" s="915"/>
      <c r="R6071" s="916"/>
      <c r="S6071" s="915"/>
      <c r="T6071" s="917"/>
      <c r="U6071" s="918"/>
      <c r="AR6071"/>
      <c r="AS6071" s="911"/>
    </row>
    <row r="6072" spans="1:45" s="886" customFormat="1" ht="11.4">
      <c r="A6072" s="919">
        <v>25</v>
      </c>
      <c r="B6072" s="920">
        <v>1</v>
      </c>
      <c r="C6072" s="920">
        <f>$A6072*$B6072</f>
        <v>25</v>
      </c>
      <c r="D6072" s="921" t="str">
        <f>Elec_Rates!$D$907</f>
        <v>084# Bracket for 50-150mm cable tray/basket/trunking</v>
      </c>
      <c r="E6072" s="921"/>
      <c r="F6072" s="921" t="s">
        <v>2599</v>
      </c>
      <c r="G6072" s="922" t="s">
        <v>2600</v>
      </c>
      <c r="H6072" s="922"/>
      <c r="I6072" s="922"/>
      <c r="J6072" s="922"/>
      <c r="K6072" s="923"/>
      <c r="L6072" s="918"/>
      <c r="M6072" s="918"/>
      <c r="N6072" s="918"/>
      <c r="O6072" s="924"/>
      <c r="P6072" s="921"/>
      <c r="Q6072" s="925">
        <f ca="1">$B6072*Elec_Rates!$R$907</f>
        <v>2.37</v>
      </c>
      <c r="R6072" s="916">
        <f ca="1">$A6072*Q6072</f>
        <v>59.25</v>
      </c>
      <c r="S6072" s="925">
        <f ca="1">$B6072*Elec_Rates!$T$907</f>
        <v>0.09</v>
      </c>
      <c r="T6072" s="917">
        <f ca="1">$A6072*S6072</f>
        <v>2.25</v>
      </c>
      <c r="U6072" s="926"/>
      <c r="AR6072" s="919">
        <v>25</v>
      </c>
      <c r="AS6072" s="921" t="s">
        <v>2599</v>
      </c>
    </row>
    <row r="6073" spans="1:45" s="520" customFormat="1" ht="12">
      <c r="A6073" s="758"/>
      <c r="B6073" s="758"/>
      <c r="C6073" s="758"/>
      <c r="D6073" s="758"/>
      <c r="E6073" s="758"/>
      <c r="F6073" s="753"/>
      <c r="G6073" s="758"/>
      <c r="H6073" s="758"/>
      <c r="I6073" s="519"/>
      <c r="J6073" s="758"/>
      <c r="K6073" s="758"/>
      <c r="L6073" s="758"/>
      <c r="M6073" s="758"/>
      <c r="N6073" s="758"/>
      <c r="O6073" s="758"/>
      <c r="P6073" s="758"/>
      <c r="Q6073" s="519"/>
      <c r="R6073" s="759">
        <f t="shared" ref="R6073" si="384">$A6073*Q6073</f>
        <v>0</v>
      </c>
      <c r="S6073" s="519"/>
      <c r="T6073" s="760">
        <f t="shared" ref="T6073" si="385">$A6073*S6073*$T$1</f>
        <v>0</v>
      </c>
      <c r="AR6073" s="758"/>
      <c r="AS6073" s="753"/>
    </row>
    <row r="6074" spans="1:45" s="520" customFormat="1" ht="12.6" thickBot="1">
      <c r="A6074" s="761" t="s">
        <v>145</v>
      </c>
      <c r="B6074" s="762">
        <f>(R6073+T6073)</f>
        <v>0</v>
      </c>
      <c r="C6074" s="763"/>
      <c r="D6074" s="763"/>
      <c r="E6074" s="763"/>
      <c r="F6074" s="764"/>
      <c r="G6074" s="763" t="s">
        <v>146</v>
      </c>
      <c r="H6074" s="763"/>
      <c r="I6074" s="765"/>
      <c r="J6074" s="763"/>
      <c r="K6074" s="763" t="s">
        <v>3</v>
      </c>
      <c r="L6074" s="766" t="s">
        <v>143</v>
      </c>
      <c r="M6074" s="766"/>
      <c r="N6074" s="766"/>
      <c r="O6074" s="766"/>
      <c r="P6074" s="766"/>
      <c r="Q6074" s="767"/>
      <c r="R6074" s="768">
        <f ca="1">SUM(R6068:R6073)</f>
        <v>157.25</v>
      </c>
      <c r="S6074" s="763"/>
      <c r="T6074" s="768">
        <f ca="1">SUM(T6068:T6073)</f>
        <v>6.75</v>
      </c>
      <c r="U6074" s="531"/>
      <c r="V6074" s="531"/>
      <c r="W6074" s="531"/>
      <c r="X6074" s="531"/>
      <c r="Y6074" s="531"/>
      <c r="Z6074" s="531"/>
      <c r="AA6074" s="531"/>
      <c r="AB6074" s="531"/>
      <c r="AC6074" s="531"/>
      <c r="AD6074" s="531"/>
      <c r="AE6074" s="531"/>
      <c r="AF6074" s="531"/>
      <c r="AG6074" s="531"/>
      <c r="AH6074" s="531"/>
      <c r="AI6074" s="531"/>
      <c r="AJ6074" s="531"/>
      <c r="AK6074" s="531"/>
      <c r="AL6074" s="531"/>
      <c r="AM6074" s="531"/>
      <c r="AN6074" s="531"/>
      <c r="AO6074" s="531"/>
      <c r="AR6074" s="761" t="s">
        <v>145</v>
      </c>
      <c r="AS6074" s="764"/>
    </row>
    <row r="6075" spans="1:45" s="520" customFormat="1" thickTop="1">
      <c r="A6075" s="51"/>
      <c r="B6075" s="51"/>
      <c r="C6075" s="3"/>
      <c r="D6075" s="3"/>
      <c r="E6075" s="51"/>
      <c r="F6075" s="51"/>
      <c r="G6075" s="51"/>
      <c r="H6075" s="51"/>
      <c r="I6075" s="51"/>
      <c r="J6075" s="51"/>
      <c r="K6075" s="51" t="s">
        <v>134</v>
      </c>
      <c r="L6075" s="51"/>
      <c r="M6075" s="51"/>
      <c r="N6075" s="51"/>
      <c r="O6075" s="52"/>
      <c r="P6075" s="51"/>
      <c r="Q6075" s="51"/>
      <c r="R6075" s="51"/>
      <c r="S6075" s="51"/>
      <c r="T6075" s="51"/>
      <c r="AR6075" s="51"/>
      <c r="AS6075" s="51"/>
    </row>
    <row r="6076" spans="1:45" s="520" customFormat="1" ht="12">
      <c r="A6076" s="51"/>
      <c r="B6076" s="51"/>
      <c r="C6076" s="51" t="s">
        <v>135</v>
      </c>
      <c r="D6076" s="37"/>
      <c r="E6076" s="51"/>
      <c r="F6076" s="51"/>
      <c r="G6076" s="51"/>
      <c r="H6076" s="51"/>
      <c r="I6076" s="51"/>
      <c r="J6076" s="51"/>
      <c r="K6076" s="51"/>
      <c r="L6076" s="51"/>
      <c r="M6076" s="51"/>
      <c r="N6076" s="51"/>
      <c r="O6076" s="52"/>
      <c r="P6076" s="51"/>
      <c r="Q6076" s="51"/>
      <c r="R6076" s="51"/>
      <c r="S6076" s="51"/>
      <c r="T6076" s="51"/>
      <c r="AR6076" s="51"/>
      <c r="AS6076" s="51"/>
    </row>
    <row r="6077" spans="1:45" s="520" customFormat="1" ht="12">
      <c r="A6077" s="51"/>
      <c r="B6077" s="51"/>
      <c r="C6077" s="51"/>
      <c r="D6077" s="37" t="s">
        <v>919</v>
      </c>
      <c r="E6077" s="51"/>
      <c r="F6077" s="51"/>
      <c r="G6077" s="51"/>
      <c r="H6077" s="51"/>
      <c r="I6077" s="51"/>
      <c r="J6077" s="51"/>
      <c r="K6077" s="51"/>
      <c r="L6077" s="51"/>
      <c r="M6077" s="51"/>
      <c r="N6077" s="51"/>
      <c r="O6077" s="52"/>
      <c r="P6077" s="51"/>
      <c r="Q6077" s="51"/>
      <c r="R6077" s="51"/>
      <c r="S6077" s="38"/>
      <c r="T6077" s="38"/>
      <c r="AR6077" s="51"/>
      <c r="AS6077" s="51"/>
    </row>
    <row r="6078" spans="1:45" s="3" customFormat="1" thickBot="1">
      <c r="A6078" s="531"/>
      <c r="O6078" s="107"/>
      <c r="AR6078" s="531"/>
    </row>
    <row r="6079" spans="1:45" s="520" customFormat="1" ht="12" thickTop="1">
      <c r="A6079" s="51"/>
      <c r="B6079" s="41"/>
      <c r="C6079" s="51"/>
      <c r="E6079" s="42" t="s">
        <v>138</v>
      </c>
      <c r="F6079" s="42" t="s">
        <v>139</v>
      </c>
      <c r="G6079" s="51"/>
      <c r="H6079" s="51"/>
      <c r="I6079" s="51"/>
      <c r="J6079" s="51"/>
      <c r="K6079" s="51" t="s">
        <v>140</v>
      </c>
      <c r="L6079" s="51"/>
      <c r="M6079" s="51"/>
      <c r="N6079" s="51"/>
      <c r="O6079" s="52"/>
      <c r="P6079" s="51"/>
      <c r="Q6079" s="51"/>
      <c r="R6079" s="51"/>
      <c r="S6079" s="51"/>
      <c r="T6079" s="41"/>
      <c r="AG6079" s="521" t="s">
        <v>268</v>
      </c>
      <c r="AH6079" s="521" t="s">
        <v>269</v>
      </c>
      <c r="AI6079" s="521" t="s">
        <v>270</v>
      </c>
      <c r="AJ6079" s="521" t="s">
        <v>271</v>
      </c>
      <c r="AK6079" s="521" t="s">
        <v>272</v>
      </c>
      <c r="AM6079" s="745" t="s">
        <v>281</v>
      </c>
      <c r="AN6079" s="746" t="s">
        <v>282</v>
      </c>
      <c r="AO6079" s="522" t="s">
        <v>278</v>
      </c>
      <c r="AR6079" s="51"/>
      <c r="AS6079" s="42" t="s">
        <v>139</v>
      </c>
    </row>
    <row r="6080" spans="1:45" s="520" customFormat="1" ht="12" customHeight="1">
      <c r="A6080" s="747">
        <v>175</v>
      </c>
      <c r="B6080" s="523" t="s">
        <v>320</v>
      </c>
      <c r="C6080" s="748"/>
      <c r="D6080" s="749" t="s">
        <v>1969</v>
      </c>
      <c r="E6080" s="750">
        <f ca="1">IF(AND($A6080=0,$A$1="DIF"),0, ROUND(ROUND(($R6089*$S$2+($T6089*$T$2))/A6080,2)*$C$2,2))</f>
        <v>55.38</v>
      </c>
      <c r="F6080" s="751">
        <f ca="1">ROUND($A6080*$E6080,2)</f>
        <v>9691.5</v>
      </c>
      <c r="G6080" s="752" t="s">
        <v>142</v>
      </c>
      <c r="H6080" s="753"/>
      <c r="I6080" s="754"/>
      <c r="J6080" s="753"/>
      <c r="K6080" s="753" t="s">
        <v>3</v>
      </c>
      <c r="L6080" s="755" t="s">
        <v>143</v>
      </c>
      <c r="M6080" s="755"/>
      <c r="N6080" s="755"/>
      <c r="O6080" s="755"/>
      <c r="P6080" s="755"/>
      <c r="Q6080" s="51"/>
      <c r="T6080" s="756" t="str">
        <f ca="1">IF(AND($R6089=0,$T6089=0),"0.00","mu :" &amp; ROUND($F6080/$C$2/($R6089+$T6089*$D$9),2))</f>
        <v>mu :1.23</v>
      </c>
      <c r="W6080" s="524"/>
      <c r="AG6080" s="481">
        <f ca="1">IF($E6080=0,0,ROUND($R6089*$S$2*$C$2/$A6080,2))</f>
        <v>41.18</v>
      </c>
      <c r="AH6080" s="481">
        <f ca="1">$AG6080*$A6080</f>
        <v>7206.5</v>
      </c>
      <c r="AI6080" s="525">
        <f ca="1">$E6080-$AG6080</f>
        <v>14.200000000000003</v>
      </c>
      <c r="AJ6080" s="525">
        <f ca="1">$A6080*$AI6080</f>
        <v>2485.0000000000005</v>
      </c>
      <c r="AK6080" s="526">
        <f ca="1">ROUND(($AG6080+$AI6080)*$A6080,2)</f>
        <v>9691.5</v>
      </c>
      <c r="AM6080" s="527">
        <f ca="1">ROUND(R6089,2)</f>
        <v>5852</v>
      </c>
      <c r="AN6080" s="528">
        <f ca="1">ROUND(T6089,2)</f>
        <v>73.5</v>
      </c>
      <c r="AO6080" s="529">
        <f ca="1">ROUND(AM6080+AN6080,2)*A6080</f>
        <v>1036962.5</v>
      </c>
      <c r="AR6080" s="747">
        <v>175</v>
      </c>
      <c r="AS6080" s="751">
        <v>9987.25</v>
      </c>
    </row>
    <row r="6081" spans="1:45" s="520" customFormat="1" ht="13.2">
      <c r="A6081" s="748"/>
      <c r="B6081"/>
      <c r="C6081" s="748"/>
      <c r="D6081" s="749" t="s">
        <v>921</v>
      </c>
      <c r="F6081" s="753"/>
      <c r="G6081" s="3"/>
      <c r="H6081" s="753"/>
      <c r="I6081" s="754"/>
      <c r="J6081" s="753"/>
      <c r="K6081" s="753" t="s">
        <v>144</v>
      </c>
      <c r="L6081" s="753"/>
      <c r="M6081" s="753"/>
      <c r="N6081" s="753"/>
      <c r="O6081" s="753"/>
      <c r="P6081" s="753"/>
      <c r="Q6081" s="51"/>
      <c r="R6081" s="530"/>
      <c r="S6081" s="757"/>
      <c r="T6081" s="753"/>
      <c r="AR6081" s="748"/>
      <c r="AS6081" s="753"/>
    </row>
    <row r="6082" spans="1:45" s="886" customFormat="1" ht="13.2">
      <c r="A6082" s="1099"/>
      <c r="B6082" s="1100"/>
      <c r="C6082" s="1100" t="s">
        <v>2597</v>
      </c>
      <c r="D6082" s="1100" t="str">
        <f ca="1">CELL("Address",Elec_Rates!D$822)</f>
        <v>[E25_0062_Quintano_Foods_Elec_ELV_As_Awarded.xlsx]Elec_Rates!$D$822</v>
      </c>
      <c r="E6082" s="1101"/>
      <c r="F6082" s="1101"/>
      <c r="G6082" s="1102" t="s">
        <v>2598</v>
      </c>
      <c r="H6082" s="1102"/>
      <c r="I6082" s="1102"/>
      <c r="J6082" s="1102"/>
      <c r="K6082" s="1103"/>
      <c r="L6082" s="1101"/>
      <c r="M6082" s="1101"/>
      <c r="N6082" s="1101"/>
      <c r="O6082" s="1104"/>
      <c r="P6082" s="1101"/>
      <c r="Q6082" s="915"/>
      <c r="R6082" s="1106"/>
      <c r="S6082" s="1105"/>
      <c r="T6082" s="1107"/>
      <c r="U6082" s="918"/>
      <c r="AR6082" s="1099"/>
      <c r="AS6082" s="1101"/>
    </row>
    <row r="6083" spans="1:45" s="886" customFormat="1" ht="11.4">
      <c r="A6083" s="1108">
        <v>175</v>
      </c>
      <c r="B6083" s="1109">
        <v>1</v>
      </c>
      <c r="C6083" s="1109">
        <f>$A6083*$B6083</f>
        <v>175</v>
      </c>
      <c r="D6083" s="1110" t="str">
        <f>Elec_Rates!$D$822</f>
        <v>078# 75x75mm galvanised steel cable trunking</v>
      </c>
      <c r="E6083" s="1110"/>
      <c r="F6083" s="1110" t="s">
        <v>2599</v>
      </c>
      <c r="G6083" s="1111" t="s">
        <v>2601</v>
      </c>
      <c r="H6083" s="1111"/>
      <c r="I6083" s="1111"/>
      <c r="J6083" s="1111"/>
      <c r="K6083" s="1112"/>
      <c r="L6083" s="1113"/>
      <c r="M6083" s="1113"/>
      <c r="N6083" s="1113"/>
      <c r="O6083" s="1114"/>
      <c r="P6083" s="1110"/>
      <c r="Q6083" s="925">
        <f ca="1">$B6083*Elec_Rates!$R$822</f>
        <v>6.95</v>
      </c>
      <c r="R6083" s="1106">
        <f ca="1">$A6083*Q6083</f>
        <v>1216.25</v>
      </c>
      <c r="S6083" s="1115">
        <f ca="1">$B6083*Elec_Rates!$T$822</f>
        <v>0.28999999999999998</v>
      </c>
      <c r="T6083" s="1107">
        <f ca="1">$A6083*S6083</f>
        <v>50.75</v>
      </c>
      <c r="U6083" s="926"/>
      <c r="AR6083" s="1108">
        <v>175</v>
      </c>
      <c r="AS6083" s="1110" t="s">
        <v>2599</v>
      </c>
    </row>
    <row r="6084" spans="1:45" s="886" customFormat="1" ht="13.2">
      <c r="A6084" s="1099"/>
      <c r="B6084" s="1100"/>
      <c r="C6084" s="1100" t="s">
        <v>2597</v>
      </c>
      <c r="D6084" s="1100" t="str">
        <f ca="1">CELL("Address",Elec_Rates!D$948)</f>
        <v>[E25_0062_Quintano_Foods_Elec_ELV_As_Awarded.xlsx]Elec_Rates!$D$948</v>
      </c>
      <c r="E6084" s="1101"/>
      <c r="F6084" s="1101"/>
      <c r="G6084" s="1102" t="s">
        <v>2598</v>
      </c>
      <c r="H6084" s="1102"/>
      <c r="I6084" s="1102"/>
      <c r="J6084" s="1102"/>
      <c r="K6084" s="1103"/>
      <c r="L6084" s="1101"/>
      <c r="M6084" s="1101"/>
      <c r="N6084" s="1101"/>
      <c r="O6084" s="1104"/>
      <c r="P6084" s="1101"/>
      <c r="Q6084" s="915"/>
      <c r="R6084" s="1106"/>
      <c r="S6084" s="1105"/>
      <c r="T6084" s="1107"/>
      <c r="U6084" s="918"/>
      <c r="AR6084" s="1099"/>
      <c r="AS6084" s="1101"/>
    </row>
    <row r="6085" spans="1:45" s="886" customFormat="1" ht="11.4">
      <c r="A6085" s="1108">
        <v>175</v>
      </c>
      <c r="B6085" s="1109">
        <v>1</v>
      </c>
      <c r="C6085" s="1109">
        <f>$A6085*$B6085</f>
        <v>175</v>
      </c>
      <c r="D6085" s="1110" t="str">
        <f>Elec_Rates!$D$948</f>
        <v>087# Bracket for Cable containment in warehouse</v>
      </c>
      <c r="E6085" s="1110"/>
      <c r="F6085" s="1110" t="s">
        <v>2599</v>
      </c>
      <c r="G6085" s="1111" t="s">
        <v>2600</v>
      </c>
      <c r="H6085" s="1111"/>
      <c r="I6085" s="1111"/>
      <c r="J6085" s="1111"/>
      <c r="K6085" s="1112"/>
      <c r="L6085" s="1113"/>
      <c r="M6085" s="1113"/>
      <c r="N6085" s="1113"/>
      <c r="O6085" s="1114"/>
      <c r="P6085" s="1110"/>
      <c r="Q6085" s="925">
        <f ca="1">$B6085*Elec_Rates!$R$948</f>
        <v>24.38</v>
      </c>
      <c r="R6085" s="1106">
        <f ca="1">$A6085*Q6085</f>
        <v>4266.5</v>
      </c>
      <c r="S6085" s="1115">
        <f ca="1">$B6085*Elec_Rates!$T$948</f>
        <v>0.13</v>
      </c>
      <c r="T6085" s="1107">
        <f ca="1">$A6085*S6085</f>
        <v>22.75</v>
      </c>
      <c r="U6085" s="926"/>
      <c r="AR6085" s="1108">
        <v>175</v>
      </c>
      <c r="AS6085" s="1110" t="s">
        <v>2599</v>
      </c>
    </row>
    <row r="6086" spans="1:45" s="886" customFormat="1" ht="13.2">
      <c r="A6086" s="1099"/>
      <c r="B6086" s="1100"/>
      <c r="C6086" s="1100" t="s">
        <v>2597</v>
      </c>
      <c r="D6086" s="1100" t="str">
        <f ca="1">CELL("Address",Elec_Rates!D$994)</f>
        <v>[E25_0062_Quintano_Foods_Elec_ELV_As_Awarded.xlsx]Elec_Rates!$D$994</v>
      </c>
      <c r="E6086" s="1101"/>
      <c r="F6086" s="1101"/>
      <c r="G6086" s="1102" t="s">
        <v>2598</v>
      </c>
      <c r="H6086" s="1102"/>
      <c r="I6086" s="1102"/>
      <c r="J6086" s="1102"/>
      <c r="K6086" s="1103"/>
      <c r="L6086" s="1101"/>
      <c r="M6086" s="1101"/>
      <c r="N6086" s="1101"/>
      <c r="O6086" s="1104"/>
      <c r="P6086" s="1101"/>
      <c r="Q6086" s="915"/>
      <c r="R6086" s="1106"/>
      <c r="S6086" s="1105"/>
      <c r="T6086" s="1107"/>
      <c r="U6086" s="918"/>
      <c r="AR6086" s="1099"/>
      <c r="AS6086" s="1101"/>
    </row>
    <row r="6087" spans="1:45" s="886" customFormat="1" ht="11.4">
      <c r="A6087" s="1108">
        <v>175</v>
      </c>
      <c r="B6087" s="1109">
        <v>1</v>
      </c>
      <c r="C6087" s="1109">
        <f>$A6087*$B6087</f>
        <v>175</v>
      </c>
      <c r="D6087" s="1110" t="str">
        <f>Elec_Rates!$D$994</f>
        <v>088# Scissors lift in Warehouse for cable tray and trunking (Excluding bracketing)</v>
      </c>
      <c r="E6087" s="1110"/>
      <c r="F6087" s="1110" t="s">
        <v>2599</v>
      </c>
      <c r="G6087" s="1111" t="s">
        <v>2601</v>
      </c>
      <c r="H6087" s="1111"/>
      <c r="I6087" s="1111"/>
      <c r="J6087" s="1111"/>
      <c r="K6087" s="1112"/>
      <c r="L6087" s="1113"/>
      <c r="M6087" s="1113"/>
      <c r="N6087" s="1113"/>
      <c r="O6087" s="1114"/>
      <c r="P6087" s="1110"/>
      <c r="Q6087" s="925">
        <f ca="1">$B6087*Elec_Rates!$R$994</f>
        <v>2.11</v>
      </c>
      <c r="R6087" s="1106">
        <f ca="1">$A6087*Q6087</f>
        <v>369.25</v>
      </c>
      <c r="S6087" s="1115">
        <f ca="1">$B6087*Elec_Rates!$T$994</f>
        <v>0</v>
      </c>
      <c r="T6087" s="1107">
        <f ca="1">$A6087*S6087</f>
        <v>0</v>
      </c>
      <c r="U6087" s="926"/>
      <c r="AR6087" s="1108">
        <v>175</v>
      </c>
      <c r="AS6087" s="1110" t="s">
        <v>2599</v>
      </c>
    </row>
    <row r="6088" spans="1:45" s="520" customFormat="1" ht="12">
      <c r="A6088" s="758"/>
      <c r="B6088" s="758"/>
      <c r="C6088" s="758"/>
      <c r="D6088" s="758"/>
      <c r="E6088" s="758"/>
      <c r="F6088" s="753"/>
      <c r="G6088" s="758"/>
      <c r="H6088" s="758"/>
      <c r="I6088" s="519"/>
      <c r="J6088" s="758"/>
      <c r="K6088" s="758"/>
      <c r="L6088" s="758"/>
      <c r="M6088" s="758"/>
      <c r="N6088" s="758"/>
      <c r="O6088" s="758"/>
      <c r="P6088" s="758"/>
      <c r="Q6088" s="519"/>
      <c r="R6088" s="759">
        <f t="shared" ref="R6088" si="386">$A6088*Q6088</f>
        <v>0</v>
      </c>
      <c r="S6088" s="519"/>
      <c r="T6088" s="760">
        <f t="shared" ref="T6088" si="387">$A6088*S6088*$T$1</f>
        <v>0</v>
      </c>
      <c r="AR6088" s="758"/>
      <c r="AS6088" s="753"/>
    </row>
    <row r="6089" spans="1:45" s="520" customFormat="1" ht="12.6" thickBot="1">
      <c r="A6089" s="761" t="s">
        <v>145</v>
      </c>
      <c r="B6089" s="762">
        <f>(R6088+T6088)</f>
        <v>0</v>
      </c>
      <c r="C6089" s="763"/>
      <c r="D6089" s="763"/>
      <c r="E6089" s="763"/>
      <c r="F6089" s="764"/>
      <c r="G6089" s="763" t="s">
        <v>146</v>
      </c>
      <c r="H6089" s="763"/>
      <c r="I6089" s="765"/>
      <c r="J6089" s="763"/>
      <c r="K6089" s="763" t="s">
        <v>3</v>
      </c>
      <c r="L6089" s="766" t="s">
        <v>143</v>
      </c>
      <c r="M6089" s="766"/>
      <c r="N6089" s="766"/>
      <c r="O6089" s="766"/>
      <c r="P6089" s="766"/>
      <c r="Q6089" s="767"/>
      <c r="R6089" s="768">
        <f ca="1">SUM(R6081:R6088)</f>
        <v>5852</v>
      </c>
      <c r="S6089" s="763"/>
      <c r="T6089" s="768">
        <f ca="1">SUM(T6081:T6088)</f>
        <v>73.5</v>
      </c>
      <c r="U6089" s="531"/>
      <c r="V6089" s="531"/>
      <c r="W6089" s="531"/>
      <c r="X6089" s="531"/>
      <c r="Y6089" s="531"/>
      <c r="Z6089" s="531"/>
      <c r="AA6089" s="531"/>
      <c r="AB6089" s="531"/>
      <c r="AC6089" s="531"/>
      <c r="AD6089" s="531"/>
      <c r="AE6089" s="531"/>
      <c r="AF6089" s="531"/>
      <c r="AG6089" s="531"/>
      <c r="AH6089" s="531"/>
      <c r="AI6089" s="531"/>
      <c r="AJ6089" s="531"/>
      <c r="AK6089" s="531"/>
      <c r="AL6089" s="531"/>
      <c r="AM6089" s="531"/>
      <c r="AN6089" s="531"/>
      <c r="AO6089" s="531"/>
      <c r="AR6089" s="761" t="s">
        <v>145</v>
      </c>
      <c r="AS6089" s="764"/>
    </row>
    <row r="6090" spans="1:45" s="520" customFormat="1" ht="12" thickTop="1">
      <c r="A6090" s="51"/>
      <c r="B6090" s="41"/>
      <c r="C6090" s="51"/>
      <c r="E6090" s="42" t="s">
        <v>138</v>
      </c>
      <c r="F6090" s="42" t="s">
        <v>139</v>
      </c>
      <c r="G6090" s="51"/>
      <c r="H6090" s="51"/>
      <c r="I6090" s="51"/>
      <c r="J6090" s="51"/>
      <c r="K6090" s="51" t="s">
        <v>140</v>
      </c>
      <c r="L6090" s="51"/>
      <c r="M6090" s="51"/>
      <c r="N6090" s="51"/>
      <c r="O6090" s="52"/>
      <c r="P6090" s="51"/>
      <c r="Q6090" s="51"/>
      <c r="R6090" s="51"/>
      <c r="S6090" s="51"/>
      <c r="T6090" s="41"/>
      <c r="AG6090" s="521" t="s">
        <v>268</v>
      </c>
      <c r="AH6090" s="521" t="s">
        <v>269</v>
      </c>
      <c r="AI6090" s="521" t="s">
        <v>270</v>
      </c>
      <c r="AJ6090" s="521" t="s">
        <v>271</v>
      </c>
      <c r="AK6090" s="521" t="s">
        <v>272</v>
      </c>
      <c r="AM6090" s="745" t="s">
        <v>281</v>
      </c>
      <c r="AN6090" s="746" t="s">
        <v>282</v>
      </c>
      <c r="AO6090" s="522" t="s">
        <v>278</v>
      </c>
      <c r="AR6090" s="51"/>
      <c r="AS6090" s="42" t="s">
        <v>139</v>
      </c>
    </row>
    <row r="6091" spans="1:45" s="520" customFormat="1" ht="12" customHeight="1">
      <c r="A6091" s="747">
        <v>10</v>
      </c>
      <c r="B6091" s="523" t="s">
        <v>320</v>
      </c>
      <c r="C6091" s="748"/>
      <c r="D6091" s="749" t="s">
        <v>1970</v>
      </c>
      <c r="E6091" s="750">
        <f ca="1">IF(AND($A6091=0,$A$1="DIF"),0, ROUND(ROUND(($R6098*$S$2+($T6098*$T$2))/A6091,2)*$C$2,2))</f>
        <v>26.93</v>
      </c>
      <c r="F6091" s="751">
        <f ca="1">ROUND($A6091*$E6091,2)</f>
        <v>269.3</v>
      </c>
      <c r="G6091" s="752" t="s">
        <v>142</v>
      </c>
      <c r="H6091" s="753"/>
      <c r="I6091" s="754"/>
      <c r="J6091" s="753"/>
      <c r="K6091" s="753" t="s">
        <v>3</v>
      </c>
      <c r="L6091" s="755" t="s">
        <v>143</v>
      </c>
      <c r="M6091" s="755"/>
      <c r="N6091" s="755"/>
      <c r="O6091" s="755"/>
      <c r="P6091" s="755"/>
      <c r="Q6091" s="51"/>
      <c r="T6091" s="756" t="str">
        <f ca="1">IF(AND($R6098=0,$T6098=0),"0.00","mu :" &amp; ROUND($F6091/$C$2/($R6098+$T6098*$D$9),2))</f>
        <v>mu :1.23</v>
      </c>
      <c r="W6091" s="524"/>
      <c r="AG6091" s="481">
        <f ca="1">IF($E6091=0,0,ROUND($R6098*$S$2*$C$2/$A6091,2))</f>
        <v>12.73</v>
      </c>
      <c r="AH6091" s="481">
        <f ca="1">$AG6091*$A6091</f>
        <v>127.30000000000001</v>
      </c>
      <c r="AI6091" s="525">
        <f ca="1">$E6091-$AG6091</f>
        <v>14.2</v>
      </c>
      <c r="AJ6091" s="525">
        <f ca="1">$A6091*$AI6091</f>
        <v>142</v>
      </c>
      <c r="AK6091" s="526">
        <f ca="1">ROUND(($AG6091+$AI6091)*$A6091,2)</f>
        <v>269.3</v>
      </c>
      <c r="AM6091" s="527">
        <f ca="1">ROUND(R6098,2)</f>
        <v>103.4</v>
      </c>
      <c r="AN6091" s="528">
        <f ca="1">ROUND(T6098,2)</f>
        <v>4.2</v>
      </c>
      <c r="AO6091" s="529">
        <f ca="1">ROUND(AM6091+AN6091,2)*A6091</f>
        <v>1076</v>
      </c>
      <c r="AR6091" s="747">
        <v>10</v>
      </c>
      <c r="AS6091" s="751">
        <v>286.2</v>
      </c>
    </row>
    <row r="6092" spans="1:45" s="520" customFormat="1" ht="13.2">
      <c r="A6092" s="748"/>
      <c r="B6092"/>
      <c r="C6092" s="748"/>
      <c r="D6092" s="749" t="s">
        <v>922</v>
      </c>
      <c r="F6092" s="753"/>
      <c r="G6092" s="3"/>
      <c r="H6092" s="753"/>
      <c r="I6092" s="754"/>
      <c r="J6092" s="753"/>
      <c r="K6092" s="753" t="s">
        <v>144</v>
      </c>
      <c r="L6092" s="753"/>
      <c r="M6092" s="753"/>
      <c r="N6092" s="753"/>
      <c r="O6092" s="753"/>
      <c r="P6092" s="753"/>
      <c r="Q6092" s="51"/>
      <c r="R6092" s="530"/>
      <c r="S6092" s="757"/>
      <c r="T6092" s="753"/>
      <c r="AR6092" s="748"/>
      <c r="AS6092" s="753"/>
    </row>
    <row r="6093" spans="1:45" s="886" customFormat="1" ht="13.2">
      <c r="A6093"/>
      <c r="B6093" s="910"/>
      <c r="C6093" s="910" t="s">
        <v>2597</v>
      </c>
      <c r="D6093" s="910" t="str">
        <f ca="1">CELL("Address",Elec_Rates!D$837)</f>
        <v>[E25_0062_Quintano_Foods_Elec_ELV_As_Awarded.xlsx]Elec_Rates!$D$837</v>
      </c>
      <c r="E6093" s="911"/>
      <c r="F6093" s="911"/>
      <c r="G6093" s="912" t="s">
        <v>2598</v>
      </c>
      <c r="H6093" s="912"/>
      <c r="I6093" s="912"/>
      <c r="J6093" s="912"/>
      <c r="K6093" s="913"/>
      <c r="L6093" s="911"/>
      <c r="M6093" s="911"/>
      <c r="N6093" s="911"/>
      <c r="O6093" s="914"/>
      <c r="P6093" s="911"/>
      <c r="Q6093" s="915"/>
      <c r="R6093" s="916"/>
      <c r="S6093" s="915"/>
      <c r="T6093" s="917"/>
      <c r="U6093" s="918"/>
      <c r="AR6093"/>
      <c r="AS6093" s="911"/>
    </row>
    <row r="6094" spans="1:45" s="886" customFormat="1" ht="11.4">
      <c r="A6094" s="919">
        <v>10</v>
      </c>
      <c r="B6094" s="920">
        <v>1</v>
      </c>
      <c r="C6094" s="920">
        <f>$A6094*$B6094</f>
        <v>10</v>
      </c>
      <c r="D6094" s="921" t="str">
        <f>Elec_Rates!$D$837</f>
        <v>079# 100x75mm galvanised steel cable trunking</v>
      </c>
      <c r="E6094" s="921"/>
      <c r="F6094" s="921" t="s">
        <v>2599</v>
      </c>
      <c r="G6094" s="922" t="s">
        <v>2600</v>
      </c>
      <c r="H6094" s="922"/>
      <c r="I6094" s="922"/>
      <c r="J6094" s="922"/>
      <c r="K6094" s="923"/>
      <c r="L6094" s="918"/>
      <c r="M6094" s="918"/>
      <c r="N6094" s="918"/>
      <c r="O6094" s="924"/>
      <c r="P6094" s="921"/>
      <c r="Q6094" s="925">
        <f ca="1">$B6094*Elec_Rates!$R$837</f>
        <v>7.97</v>
      </c>
      <c r="R6094" s="916">
        <f ca="1">$A6094*Q6094</f>
        <v>79.7</v>
      </c>
      <c r="S6094" s="925">
        <f ca="1">$B6094*Elec_Rates!$T$837</f>
        <v>0.33</v>
      </c>
      <c r="T6094" s="917">
        <f ca="1">$A6094*S6094</f>
        <v>3.3000000000000003</v>
      </c>
      <c r="U6094" s="926"/>
      <c r="AR6094" s="919">
        <v>10</v>
      </c>
      <c r="AS6094" s="921" t="s">
        <v>2599</v>
      </c>
    </row>
    <row r="6095" spans="1:45" s="886" customFormat="1" ht="13.2">
      <c r="A6095"/>
      <c r="B6095" s="910"/>
      <c r="C6095" s="910" t="s">
        <v>2597</v>
      </c>
      <c r="D6095" s="910" t="str">
        <f ca="1">CELL("Address",Elec_Rates!D$907)</f>
        <v>[E25_0062_Quintano_Foods_Elec_ELV_As_Awarded.xlsx]Elec_Rates!$D$907</v>
      </c>
      <c r="E6095" s="911"/>
      <c r="F6095" s="911"/>
      <c r="G6095" s="912" t="s">
        <v>2598</v>
      </c>
      <c r="H6095" s="912"/>
      <c r="I6095" s="912"/>
      <c r="J6095" s="912"/>
      <c r="K6095" s="913"/>
      <c r="L6095" s="911"/>
      <c r="M6095" s="911"/>
      <c r="N6095" s="911"/>
      <c r="O6095" s="914"/>
      <c r="P6095" s="911"/>
      <c r="Q6095" s="915"/>
      <c r="R6095" s="916"/>
      <c r="S6095" s="915"/>
      <c r="T6095" s="917"/>
      <c r="U6095" s="918"/>
      <c r="AR6095"/>
      <c r="AS6095" s="911"/>
    </row>
    <row r="6096" spans="1:45" s="886" customFormat="1" ht="11.4">
      <c r="A6096" s="919">
        <v>10</v>
      </c>
      <c r="B6096" s="920">
        <v>1</v>
      </c>
      <c r="C6096" s="920">
        <f>$A6096*$B6096</f>
        <v>10</v>
      </c>
      <c r="D6096" s="921" t="str">
        <f>Elec_Rates!$D$907</f>
        <v>084# Bracket for 50-150mm cable tray/basket/trunking</v>
      </c>
      <c r="E6096" s="921"/>
      <c r="F6096" s="921" t="s">
        <v>2599</v>
      </c>
      <c r="G6096" s="922" t="s">
        <v>2600</v>
      </c>
      <c r="H6096" s="922"/>
      <c r="I6096" s="922"/>
      <c r="J6096" s="922"/>
      <c r="K6096" s="923"/>
      <c r="L6096" s="918"/>
      <c r="M6096" s="918"/>
      <c r="N6096" s="918"/>
      <c r="O6096" s="924"/>
      <c r="P6096" s="921"/>
      <c r="Q6096" s="925">
        <f ca="1">$B6096*Elec_Rates!$R$907</f>
        <v>2.37</v>
      </c>
      <c r="R6096" s="916">
        <f ca="1">$A6096*Q6096</f>
        <v>23.700000000000003</v>
      </c>
      <c r="S6096" s="925">
        <f ca="1">$B6096*Elec_Rates!$T$907</f>
        <v>0.09</v>
      </c>
      <c r="T6096" s="917">
        <f ca="1">$A6096*S6096</f>
        <v>0.89999999999999991</v>
      </c>
      <c r="U6096" s="926"/>
      <c r="AR6096" s="919">
        <v>10</v>
      </c>
      <c r="AS6096" s="921" t="s">
        <v>2599</v>
      </c>
    </row>
    <row r="6097" spans="1:45" s="520" customFormat="1" ht="12">
      <c r="A6097" s="758"/>
      <c r="B6097" s="758"/>
      <c r="C6097" s="758"/>
      <c r="D6097" s="758"/>
      <c r="E6097" s="758"/>
      <c r="F6097" s="753"/>
      <c r="G6097" s="758"/>
      <c r="H6097" s="758"/>
      <c r="I6097" s="519"/>
      <c r="J6097" s="758"/>
      <c r="K6097" s="758"/>
      <c r="L6097" s="758"/>
      <c r="M6097" s="758"/>
      <c r="N6097" s="758"/>
      <c r="O6097" s="758"/>
      <c r="P6097" s="758"/>
      <c r="Q6097" s="519"/>
      <c r="R6097" s="759">
        <f t="shared" ref="R6097" si="388">$A6097*Q6097</f>
        <v>0</v>
      </c>
      <c r="S6097" s="519"/>
      <c r="T6097" s="760">
        <f t="shared" ref="T6097" si="389">$A6097*S6097*$T$1</f>
        <v>0</v>
      </c>
      <c r="AR6097" s="758"/>
      <c r="AS6097" s="753"/>
    </row>
    <row r="6098" spans="1:45" s="520" customFormat="1" ht="12.6" thickBot="1">
      <c r="A6098" s="761" t="s">
        <v>145</v>
      </c>
      <c r="B6098" s="762">
        <f>(R6097+T6097)</f>
        <v>0</v>
      </c>
      <c r="C6098" s="763"/>
      <c r="D6098" s="763"/>
      <c r="E6098" s="763"/>
      <c r="F6098" s="764"/>
      <c r="G6098" s="763" t="s">
        <v>146</v>
      </c>
      <c r="H6098" s="763"/>
      <c r="I6098" s="765"/>
      <c r="J6098" s="763"/>
      <c r="K6098" s="763" t="s">
        <v>3</v>
      </c>
      <c r="L6098" s="766" t="s">
        <v>143</v>
      </c>
      <c r="M6098" s="766"/>
      <c r="N6098" s="766"/>
      <c r="O6098" s="766"/>
      <c r="P6098" s="766"/>
      <c r="Q6098" s="767"/>
      <c r="R6098" s="768">
        <f ca="1">SUM(R6092:R6097)</f>
        <v>103.4</v>
      </c>
      <c r="S6098" s="763"/>
      <c r="T6098" s="768">
        <f ca="1">SUM(T6092:T6097)</f>
        <v>4.2</v>
      </c>
      <c r="U6098" s="531"/>
      <c r="V6098" s="531"/>
      <c r="W6098" s="531"/>
      <c r="X6098" s="531"/>
      <c r="Y6098" s="531"/>
      <c r="Z6098" s="531"/>
      <c r="AA6098" s="531"/>
      <c r="AB6098" s="531"/>
      <c r="AC6098" s="531"/>
      <c r="AD6098" s="531"/>
      <c r="AE6098" s="531"/>
      <c r="AF6098" s="531"/>
      <c r="AG6098" s="531"/>
      <c r="AH6098" s="531"/>
      <c r="AI6098" s="531"/>
      <c r="AJ6098" s="531"/>
      <c r="AK6098" s="531"/>
      <c r="AL6098" s="531"/>
      <c r="AM6098" s="531"/>
      <c r="AN6098" s="531"/>
      <c r="AO6098" s="531"/>
      <c r="AR6098" s="761" t="s">
        <v>145</v>
      </c>
      <c r="AS6098" s="764"/>
    </row>
    <row r="6099" spans="1:45" s="520" customFormat="1" ht="12" thickTop="1">
      <c r="A6099" s="51"/>
      <c r="B6099" s="41"/>
      <c r="C6099" s="51"/>
      <c r="E6099" s="42" t="s">
        <v>138</v>
      </c>
      <c r="F6099" s="42" t="s">
        <v>139</v>
      </c>
      <c r="G6099" s="51"/>
      <c r="H6099" s="51"/>
      <c r="I6099" s="51"/>
      <c r="J6099" s="51"/>
      <c r="K6099" s="51" t="s">
        <v>140</v>
      </c>
      <c r="L6099" s="51"/>
      <c r="M6099" s="51"/>
      <c r="N6099" s="51"/>
      <c r="O6099" s="52"/>
      <c r="P6099" s="51"/>
      <c r="Q6099" s="51"/>
      <c r="R6099" s="51"/>
      <c r="S6099" s="51"/>
      <c r="T6099" s="41"/>
      <c r="AG6099" s="521" t="s">
        <v>268</v>
      </c>
      <c r="AH6099" s="521" t="s">
        <v>269</v>
      </c>
      <c r="AI6099" s="521" t="s">
        <v>270</v>
      </c>
      <c r="AJ6099" s="521" t="s">
        <v>271</v>
      </c>
      <c r="AK6099" s="521" t="s">
        <v>272</v>
      </c>
      <c r="AM6099" s="745" t="s">
        <v>281</v>
      </c>
      <c r="AN6099" s="746" t="s">
        <v>282</v>
      </c>
      <c r="AO6099" s="522" t="s">
        <v>278</v>
      </c>
      <c r="AR6099" s="51"/>
      <c r="AS6099" s="42" t="s">
        <v>139</v>
      </c>
    </row>
    <row r="6100" spans="1:45" s="520" customFormat="1" ht="12" customHeight="1">
      <c r="A6100" s="747">
        <v>15</v>
      </c>
      <c r="B6100" s="523" t="s">
        <v>320</v>
      </c>
      <c r="C6100" s="748"/>
      <c r="D6100" s="749" t="s">
        <v>1971</v>
      </c>
      <c r="E6100" s="750">
        <f ca="1">IF(AND($A6100=0,$A$1="DIF"),0, ROUND(ROUND(($R6107*$S$2+($T6107*$T$2))/A6100,2)*$C$2,2))</f>
        <v>34.15</v>
      </c>
      <c r="F6100" s="751">
        <f ca="1">ROUND($A6100*$E6100,2)</f>
        <v>512.25</v>
      </c>
      <c r="G6100" s="752" t="s">
        <v>142</v>
      </c>
      <c r="H6100" s="753"/>
      <c r="I6100" s="754"/>
      <c r="J6100" s="753"/>
      <c r="K6100" s="753" t="s">
        <v>3</v>
      </c>
      <c r="L6100" s="755" t="s">
        <v>143</v>
      </c>
      <c r="M6100" s="755"/>
      <c r="N6100" s="755"/>
      <c r="O6100" s="755"/>
      <c r="P6100" s="755"/>
      <c r="Q6100" s="51"/>
      <c r="T6100" s="756" t="str">
        <f ca="1">IF(AND($R6107=0,$T6107=0),"0.00","mu :" &amp; ROUND($F6100/$C$2/($R6107+$T6107*$D$9),2))</f>
        <v>mu :1.23</v>
      </c>
      <c r="W6100" s="524"/>
      <c r="AG6100" s="481">
        <f ca="1">IF($E6100=0,0,ROUND($R6107*$S$2*$C$2/$A6100,2))</f>
        <v>15.22</v>
      </c>
      <c r="AH6100" s="481">
        <f ca="1">$AG6100*$A6100</f>
        <v>228.3</v>
      </c>
      <c r="AI6100" s="525">
        <f ca="1">$E6100-$AG6100</f>
        <v>18.93</v>
      </c>
      <c r="AJ6100" s="525">
        <f ca="1">$A6100*$AI6100</f>
        <v>283.95</v>
      </c>
      <c r="AK6100" s="526">
        <f ca="1">ROUND(($AG6100+$AI6100)*$A6100,2)</f>
        <v>512.25</v>
      </c>
      <c r="AM6100" s="527">
        <f ca="1">ROUND(R6107,2)</f>
        <v>185.4</v>
      </c>
      <c r="AN6100" s="528">
        <f ca="1">ROUND(T6107,2)</f>
        <v>8.4</v>
      </c>
      <c r="AO6100" s="529">
        <f ca="1">ROUND(AM6100+AN6100,2)*A6100</f>
        <v>2907</v>
      </c>
      <c r="AR6100" s="747">
        <v>15</v>
      </c>
      <c r="AS6100" s="751">
        <v>542.70000000000005</v>
      </c>
    </row>
    <row r="6101" spans="1:45" s="520" customFormat="1" ht="13.2">
      <c r="A6101" s="748"/>
      <c r="B6101"/>
      <c r="C6101" s="748"/>
      <c r="D6101" s="749" t="s">
        <v>929</v>
      </c>
      <c r="F6101" s="753"/>
      <c r="G6101" s="3"/>
      <c r="H6101" s="753"/>
      <c r="I6101" s="754"/>
      <c r="J6101" s="753"/>
      <c r="K6101" s="753" t="s">
        <v>144</v>
      </c>
      <c r="L6101" s="753"/>
      <c r="M6101" s="753"/>
      <c r="N6101" s="753"/>
      <c r="O6101" s="753"/>
      <c r="P6101" s="753"/>
      <c r="Q6101" s="51"/>
      <c r="R6101" s="530"/>
      <c r="S6101" s="757"/>
      <c r="T6101" s="753"/>
      <c r="AR6101" s="748"/>
      <c r="AS6101" s="753"/>
    </row>
    <row r="6102" spans="1:45" s="886" customFormat="1" ht="13.2">
      <c r="A6102"/>
      <c r="B6102" s="910"/>
      <c r="C6102" s="910" t="s">
        <v>2597</v>
      </c>
      <c r="D6102" s="910" t="str">
        <f ca="1">CELL("Address",Elec_Rates!D$851)</f>
        <v>[E25_0062_Quintano_Foods_Elec_ELV_As_Awarded.xlsx]Elec_Rates!$D$851</v>
      </c>
      <c r="E6102" s="911"/>
      <c r="F6102" s="911"/>
      <c r="G6102" s="912" t="s">
        <v>2598</v>
      </c>
      <c r="H6102" s="912"/>
      <c r="I6102" s="912"/>
      <c r="J6102" s="912"/>
      <c r="K6102" s="913"/>
      <c r="L6102" s="911"/>
      <c r="M6102" s="911"/>
      <c r="N6102" s="911"/>
      <c r="O6102" s="914"/>
      <c r="P6102" s="911"/>
      <c r="Q6102" s="915"/>
      <c r="R6102" s="916"/>
      <c r="S6102" s="915"/>
      <c r="T6102" s="917"/>
      <c r="U6102" s="918"/>
      <c r="AR6102"/>
      <c r="AS6102" s="911"/>
    </row>
    <row r="6103" spans="1:45" s="886" customFormat="1" ht="11.4">
      <c r="A6103" s="919">
        <v>15</v>
      </c>
      <c r="B6103" s="920">
        <v>1</v>
      </c>
      <c r="C6103" s="920">
        <f>$A6103*$B6103</f>
        <v>15</v>
      </c>
      <c r="D6103" s="921" t="str">
        <f>Elec_Rates!$D$851</f>
        <v>080# 150x75mm galvanised steel cable trunking</v>
      </c>
      <c r="E6103" s="921"/>
      <c r="F6103" s="921" t="s">
        <v>2599</v>
      </c>
      <c r="G6103" s="922" t="s">
        <v>2601</v>
      </c>
      <c r="H6103" s="922"/>
      <c r="I6103" s="922"/>
      <c r="J6103" s="922"/>
      <c r="K6103" s="923"/>
      <c r="L6103" s="918"/>
      <c r="M6103" s="918"/>
      <c r="N6103" s="918"/>
      <c r="O6103" s="924"/>
      <c r="P6103" s="921"/>
      <c r="Q6103" s="925">
        <f ca="1">$B6103*Elec_Rates!$R$851</f>
        <v>9.99</v>
      </c>
      <c r="R6103" s="916">
        <f ca="1">$A6103*Q6103</f>
        <v>149.85</v>
      </c>
      <c r="S6103" s="925">
        <f ca="1">$B6103*Elec_Rates!$T$851</f>
        <v>0.47</v>
      </c>
      <c r="T6103" s="917">
        <f ca="1">$A6103*S6103</f>
        <v>7.05</v>
      </c>
      <c r="U6103" s="926"/>
      <c r="AR6103" s="919">
        <v>15</v>
      </c>
      <c r="AS6103" s="921" t="s">
        <v>2599</v>
      </c>
    </row>
    <row r="6104" spans="1:45" s="886" customFormat="1" ht="13.2">
      <c r="A6104"/>
      <c r="B6104" s="910"/>
      <c r="C6104" s="910" t="s">
        <v>2597</v>
      </c>
      <c r="D6104" s="910" t="str">
        <f ca="1">CELL("Address",Elec_Rates!D$907)</f>
        <v>[E25_0062_Quintano_Foods_Elec_ELV_As_Awarded.xlsx]Elec_Rates!$D$907</v>
      </c>
      <c r="E6104" s="911"/>
      <c r="F6104" s="911"/>
      <c r="G6104" s="912" t="s">
        <v>2598</v>
      </c>
      <c r="H6104" s="912"/>
      <c r="I6104" s="912"/>
      <c r="J6104" s="912"/>
      <c r="K6104" s="913"/>
      <c r="L6104" s="911"/>
      <c r="M6104" s="911"/>
      <c r="N6104" s="911"/>
      <c r="O6104" s="914"/>
      <c r="P6104" s="911"/>
      <c r="Q6104" s="915"/>
      <c r="R6104" s="916"/>
      <c r="S6104" s="915"/>
      <c r="T6104" s="917"/>
      <c r="U6104" s="918"/>
      <c r="AR6104"/>
      <c r="AS6104" s="911"/>
    </row>
    <row r="6105" spans="1:45" s="886" customFormat="1" ht="11.4">
      <c r="A6105" s="919">
        <v>15</v>
      </c>
      <c r="B6105" s="920">
        <v>1</v>
      </c>
      <c r="C6105" s="920">
        <f>$A6105*$B6105</f>
        <v>15</v>
      </c>
      <c r="D6105" s="921" t="str">
        <f>Elec_Rates!$D$907</f>
        <v>084# Bracket for 50-150mm cable tray/basket/trunking</v>
      </c>
      <c r="E6105" s="921"/>
      <c r="F6105" s="921" t="s">
        <v>2599</v>
      </c>
      <c r="G6105" s="922" t="s">
        <v>2600</v>
      </c>
      <c r="H6105" s="922"/>
      <c r="I6105" s="922"/>
      <c r="J6105" s="922"/>
      <c r="K6105" s="923"/>
      <c r="L6105" s="918"/>
      <c r="M6105" s="918"/>
      <c r="N6105" s="918"/>
      <c r="O6105" s="924"/>
      <c r="P6105" s="921"/>
      <c r="Q6105" s="925">
        <f ca="1">$B6105*Elec_Rates!$R$907</f>
        <v>2.37</v>
      </c>
      <c r="R6105" s="916">
        <f ca="1">$A6105*Q6105</f>
        <v>35.550000000000004</v>
      </c>
      <c r="S6105" s="925">
        <f ca="1">$B6105*Elec_Rates!$T$907</f>
        <v>0.09</v>
      </c>
      <c r="T6105" s="917">
        <f ca="1">$A6105*S6105</f>
        <v>1.3499999999999999</v>
      </c>
      <c r="U6105" s="926"/>
      <c r="AR6105" s="919">
        <v>15</v>
      </c>
      <c r="AS6105" s="921" t="s">
        <v>2599</v>
      </c>
    </row>
    <row r="6106" spans="1:45" s="520" customFormat="1" ht="12">
      <c r="A6106" s="758"/>
      <c r="B6106" s="758"/>
      <c r="C6106" s="758"/>
      <c r="D6106" s="758"/>
      <c r="E6106" s="758"/>
      <c r="F6106" s="753"/>
      <c r="G6106" s="758"/>
      <c r="H6106" s="758"/>
      <c r="I6106" s="519"/>
      <c r="J6106" s="758"/>
      <c r="K6106" s="758"/>
      <c r="L6106" s="758"/>
      <c r="M6106" s="758"/>
      <c r="N6106" s="758"/>
      <c r="O6106" s="758"/>
      <c r="P6106" s="758"/>
      <c r="Q6106" s="519"/>
      <c r="R6106" s="759">
        <f t="shared" ref="R6106" si="390">$A6106*Q6106</f>
        <v>0</v>
      </c>
      <c r="S6106" s="519"/>
      <c r="T6106" s="760">
        <f t="shared" ref="T6106" si="391">$A6106*S6106*$T$1</f>
        <v>0</v>
      </c>
      <c r="AR6106" s="758"/>
      <c r="AS6106" s="753"/>
    </row>
    <row r="6107" spans="1:45" s="520" customFormat="1" ht="12.6" thickBot="1">
      <c r="A6107" s="761" t="s">
        <v>145</v>
      </c>
      <c r="B6107" s="762">
        <f>(R6106+T6106)</f>
        <v>0</v>
      </c>
      <c r="C6107" s="763"/>
      <c r="D6107" s="763"/>
      <c r="E6107" s="763"/>
      <c r="F6107" s="764"/>
      <c r="G6107" s="763" t="s">
        <v>146</v>
      </c>
      <c r="H6107" s="763"/>
      <c r="I6107" s="765"/>
      <c r="J6107" s="763"/>
      <c r="K6107" s="763" t="s">
        <v>3</v>
      </c>
      <c r="L6107" s="766" t="s">
        <v>143</v>
      </c>
      <c r="M6107" s="766"/>
      <c r="N6107" s="766"/>
      <c r="O6107" s="766"/>
      <c r="P6107" s="766"/>
      <c r="Q6107" s="767"/>
      <c r="R6107" s="768">
        <f ca="1">SUM(R6101:R6106)</f>
        <v>185.4</v>
      </c>
      <c r="S6107" s="763"/>
      <c r="T6107" s="768">
        <f ca="1">SUM(T6101:T6106)</f>
        <v>8.4</v>
      </c>
      <c r="U6107" s="531"/>
      <c r="V6107" s="531"/>
      <c r="W6107" s="531"/>
      <c r="X6107" s="531"/>
      <c r="Y6107" s="531"/>
      <c r="Z6107" s="531"/>
      <c r="AA6107" s="531"/>
      <c r="AB6107" s="531"/>
      <c r="AC6107" s="531"/>
      <c r="AD6107" s="531"/>
      <c r="AE6107" s="531"/>
      <c r="AF6107" s="531"/>
      <c r="AG6107" s="531"/>
      <c r="AH6107" s="531"/>
      <c r="AI6107" s="531"/>
      <c r="AJ6107" s="531"/>
      <c r="AK6107" s="531"/>
      <c r="AL6107" s="531"/>
      <c r="AM6107" s="531"/>
      <c r="AN6107" s="531"/>
      <c r="AO6107" s="531"/>
      <c r="AR6107" s="761" t="s">
        <v>145</v>
      </c>
      <c r="AS6107" s="764"/>
    </row>
    <row r="6108" spans="1:45" s="520" customFormat="1" thickTop="1">
      <c r="A6108" s="51"/>
      <c r="B6108" s="51"/>
      <c r="C6108" s="3"/>
      <c r="D6108" s="3"/>
      <c r="E6108" s="51"/>
      <c r="F6108" s="51"/>
      <c r="G6108" s="51"/>
      <c r="H6108" s="51"/>
      <c r="I6108" s="51"/>
      <c r="J6108" s="51"/>
      <c r="K6108" s="51" t="s">
        <v>134</v>
      </c>
      <c r="L6108" s="51"/>
      <c r="M6108" s="51"/>
      <c r="N6108" s="51"/>
      <c r="O6108" s="52"/>
      <c r="P6108" s="51"/>
      <c r="Q6108" s="51"/>
      <c r="R6108" s="51"/>
      <c r="S6108" s="51"/>
      <c r="T6108" s="51"/>
      <c r="AR6108" s="51"/>
      <c r="AS6108" s="51"/>
    </row>
    <row r="6109" spans="1:45" s="520" customFormat="1" ht="12">
      <c r="A6109" s="51"/>
      <c r="B6109" s="51"/>
      <c r="C6109" s="51" t="s">
        <v>135</v>
      </c>
      <c r="D6109" s="37"/>
      <c r="E6109" s="51"/>
      <c r="F6109" s="51"/>
      <c r="G6109" s="51"/>
      <c r="H6109" s="51"/>
      <c r="I6109" s="51"/>
      <c r="J6109" s="51"/>
      <c r="K6109" s="51"/>
      <c r="L6109" s="51"/>
      <c r="M6109" s="51"/>
      <c r="N6109" s="51"/>
      <c r="O6109" s="52"/>
      <c r="P6109" s="51"/>
      <c r="Q6109" s="51"/>
      <c r="R6109" s="51"/>
      <c r="S6109" s="51"/>
      <c r="T6109" s="51"/>
      <c r="AR6109" s="51"/>
      <c r="AS6109" s="51"/>
    </row>
    <row r="6110" spans="1:45" s="520" customFormat="1" ht="12">
      <c r="A6110" s="51"/>
      <c r="B6110" s="51"/>
      <c r="C6110" s="51"/>
      <c r="D6110" s="37" t="s">
        <v>923</v>
      </c>
      <c r="E6110" s="51"/>
      <c r="F6110" s="51"/>
      <c r="G6110" s="51"/>
      <c r="H6110" s="51"/>
      <c r="I6110" s="51"/>
      <c r="J6110" s="51"/>
      <c r="K6110" s="51"/>
      <c r="L6110" s="51"/>
      <c r="M6110" s="51"/>
      <c r="N6110" s="51"/>
      <c r="O6110" s="52"/>
      <c r="P6110" s="51"/>
      <c r="Q6110" s="51"/>
      <c r="R6110" s="51"/>
      <c r="S6110" s="38"/>
      <c r="T6110" s="38"/>
      <c r="AR6110" s="51"/>
      <c r="AS6110" s="51"/>
    </row>
    <row r="6111" spans="1:45" s="3" customFormat="1" thickBot="1">
      <c r="A6111" s="531"/>
      <c r="O6111" s="107"/>
      <c r="AR6111" s="531"/>
    </row>
    <row r="6112" spans="1:45" s="520" customFormat="1" ht="12" thickTop="1">
      <c r="A6112" s="51"/>
      <c r="B6112" s="41"/>
      <c r="C6112" s="51"/>
      <c r="E6112" s="42" t="s">
        <v>138</v>
      </c>
      <c r="F6112" s="42" t="s">
        <v>139</v>
      </c>
      <c r="G6112" s="51"/>
      <c r="H6112" s="51"/>
      <c r="I6112" s="51"/>
      <c r="J6112" s="51"/>
      <c r="K6112" s="51" t="s">
        <v>140</v>
      </c>
      <c r="L6112" s="51"/>
      <c r="M6112" s="51"/>
      <c r="N6112" s="51"/>
      <c r="O6112" s="52"/>
      <c r="P6112" s="51"/>
      <c r="Q6112" s="51"/>
      <c r="R6112" s="51"/>
      <c r="S6112" s="51"/>
      <c r="T6112" s="41"/>
      <c r="AG6112" s="521" t="s">
        <v>268</v>
      </c>
      <c r="AH6112" s="521" t="s">
        <v>269</v>
      </c>
      <c r="AI6112" s="521" t="s">
        <v>270</v>
      </c>
      <c r="AJ6112" s="521" t="s">
        <v>271</v>
      </c>
      <c r="AK6112" s="521" t="s">
        <v>272</v>
      </c>
      <c r="AM6112" s="745" t="s">
        <v>281</v>
      </c>
      <c r="AN6112" s="746" t="s">
        <v>282</v>
      </c>
      <c r="AO6112" s="522" t="s">
        <v>278</v>
      </c>
      <c r="AR6112" s="51"/>
      <c r="AS6112" s="42" t="s">
        <v>139</v>
      </c>
    </row>
    <row r="6113" spans="1:45" s="520" customFormat="1" ht="12" customHeight="1">
      <c r="A6113" s="747">
        <v>135</v>
      </c>
      <c r="B6113" s="523" t="s">
        <v>320</v>
      </c>
      <c r="C6113" s="748"/>
      <c r="D6113" s="749" t="s">
        <v>1973</v>
      </c>
      <c r="E6113" s="750">
        <f ca="1">IF(AND($A6113=0,$A$1="DIF"),0, ROUND(ROUND(($R6122*$S$2+($T6122*$T$2))/A6113,2)*$C$2,2))</f>
        <v>55.38</v>
      </c>
      <c r="F6113" s="751">
        <f ca="1">ROUND($A6113*$E6113,2)</f>
        <v>7476.3</v>
      </c>
      <c r="G6113" s="752" t="s">
        <v>142</v>
      </c>
      <c r="H6113" s="753"/>
      <c r="I6113" s="754"/>
      <c r="J6113" s="753"/>
      <c r="K6113" s="753" t="s">
        <v>3</v>
      </c>
      <c r="L6113" s="755" t="s">
        <v>143</v>
      </c>
      <c r="M6113" s="755"/>
      <c r="N6113" s="755"/>
      <c r="O6113" s="755"/>
      <c r="P6113" s="755"/>
      <c r="Q6113" s="51"/>
      <c r="T6113" s="756" t="str">
        <f ca="1">IF(AND($R6122=0,$T6122=0),"0.00","mu :" &amp; ROUND($F6113/$C$2/($R6122+$T6122*$D$9),2))</f>
        <v>mu :1.23</v>
      </c>
      <c r="W6113" s="524"/>
      <c r="AG6113" s="481">
        <f ca="1">IF($E6113=0,0,ROUND($R6122*$S$2*$C$2/$A6113,2))</f>
        <v>41.18</v>
      </c>
      <c r="AH6113" s="481">
        <f ca="1">$AG6113*$A6113</f>
        <v>5559.3</v>
      </c>
      <c r="AI6113" s="525">
        <f ca="1">$E6113-$AG6113</f>
        <v>14.200000000000003</v>
      </c>
      <c r="AJ6113" s="525">
        <f ca="1">$A6113*$AI6113</f>
        <v>1917.0000000000005</v>
      </c>
      <c r="AK6113" s="526">
        <f ca="1">ROUND(($AG6113+$AI6113)*$A6113,2)</f>
        <v>7476.3</v>
      </c>
      <c r="AM6113" s="527">
        <f ca="1">ROUND(R6122,2)</f>
        <v>4514.3999999999996</v>
      </c>
      <c r="AN6113" s="528">
        <f ca="1">ROUND(T6122,2)</f>
        <v>56.7</v>
      </c>
      <c r="AO6113" s="529">
        <f ca="1">ROUND(AM6113+AN6113,2)*A6113</f>
        <v>617098.5</v>
      </c>
      <c r="AR6113" s="747">
        <v>135</v>
      </c>
      <c r="AS6113" s="751">
        <v>7704.45</v>
      </c>
    </row>
    <row r="6114" spans="1:45" s="520" customFormat="1" ht="13.2">
      <c r="A6114" s="748"/>
      <c r="B6114"/>
      <c r="C6114" s="748"/>
      <c r="D6114" s="749" t="s">
        <v>921</v>
      </c>
      <c r="F6114" s="753"/>
      <c r="G6114" s="3"/>
      <c r="H6114" s="753"/>
      <c r="I6114" s="754"/>
      <c r="J6114" s="753"/>
      <c r="K6114" s="753" t="s">
        <v>144</v>
      </c>
      <c r="L6114" s="753"/>
      <c r="M6114" s="753"/>
      <c r="N6114" s="753"/>
      <c r="O6114" s="753"/>
      <c r="P6114" s="753"/>
      <c r="Q6114" s="51"/>
      <c r="R6114" s="530"/>
      <c r="S6114" s="757"/>
      <c r="T6114" s="753"/>
      <c r="AR6114" s="748"/>
      <c r="AS6114" s="753"/>
    </row>
    <row r="6115" spans="1:45" s="886" customFormat="1" ht="13.2">
      <c r="A6115" s="1099"/>
      <c r="B6115" s="1100"/>
      <c r="C6115" s="1100" t="s">
        <v>2597</v>
      </c>
      <c r="D6115" s="1100" t="str">
        <f ca="1">CELL("Address",Elec_Rates!D$822)</f>
        <v>[E25_0062_Quintano_Foods_Elec_ELV_As_Awarded.xlsx]Elec_Rates!$D$822</v>
      </c>
      <c r="E6115" s="1101"/>
      <c r="F6115" s="1101"/>
      <c r="G6115" s="1102" t="s">
        <v>2598</v>
      </c>
      <c r="H6115" s="1102"/>
      <c r="I6115" s="1102"/>
      <c r="J6115" s="1102"/>
      <c r="K6115" s="1103"/>
      <c r="L6115" s="1101"/>
      <c r="M6115" s="1101"/>
      <c r="N6115" s="1101"/>
      <c r="O6115" s="1104"/>
      <c r="P6115" s="1101"/>
      <c r="Q6115" s="915"/>
      <c r="R6115" s="1106"/>
      <c r="S6115" s="1105"/>
      <c r="T6115" s="1107"/>
      <c r="U6115" s="918"/>
      <c r="AR6115" s="1099"/>
      <c r="AS6115" s="1101"/>
    </row>
    <row r="6116" spans="1:45" s="886" customFormat="1" ht="11.4">
      <c r="A6116" s="1108">
        <v>135</v>
      </c>
      <c r="B6116" s="1109">
        <v>1</v>
      </c>
      <c r="C6116" s="1109">
        <f>$A6116*$B6116</f>
        <v>135</v>
      </c>
      <c r="D6116" s="1110" t="str">
        <f>Elec_Rates!$D$822</f>
        <v>078# 75x75mm galvanised steel cable trunking</v>
      </c>
      <c r="E6116" s="1110"/>
      <c r="F6116" s="1110" t="s">
        <v>2599</v>
      </c>
      <c r="G6116" s="1111" t="s">
        <v>2601</v>
      </c>
      <c r="H6116" s="1111"/>
      <c r="I6116" s="1111"/>
      <c r="J6116" s="1111"/>
      <c r="K6116" s="1112"/>
      <c r="L6116" s="1113"/>
      <c r="M6116" s="1113"/>
      <c r="N6116" s="1113"/>
      <c r="O6116" s="1114"/>
      <c r="P6116" s="1110"/>
      <c r="Q6116" s="925">
        <f ca="1">$B6116*Elec_Rates!$R$822</f>
        <v>6.95</v>
      </c>
      <c r="R6116" s="1106">
        <f ca="1">$A6116*Q6116</f>
        <v>938.25</v>
      </c>
      <c r="S6116" s="1115">
        <f ca="1">$B6116*Elec_Rates!$T$822</f>
        <v>0.28999999999999998</v>
      </c>
      <c r="T6116" s="1107">
        <f ca="1">$A6116*S6116</f>
        <v>39.15</v>
      </c>
      <c r="U6116" s="926"/>
      <c r="AR6116" s="1108">
        <v>135</v>
      </c>
      <c r="AS6116" s="1110" t="s">
        <v>2599</v>
      </c>
    </row>
    <row r="6117" spans="1:45" s="886" customFormat="1" ht="13.2">
      <c r="A6117" s="1099"/>
      <c r="B6117" s="1100"/>
      <c r="C6117" s="1100" t="s">
        <v>2597</v>
      </c>
      <c r="D6117" s="1100" t="str">
        <f ca="1">CELL("Address",Elec_Rates!D$948)</f>
        <v>[E25_0062_Quintano_Foods_Elec_ELV_As_Awarded.xlsx]Elec_Rates!$D$948</v>
      </c>
      <c r="E6117" s="1101"/>
      <c r="F6117" s="1101"/>
      <c r="G6117" s="1102" t="s">
        <v>2598</v>
      </c>
      <c r="H6117" s="1102"/>
      <c r="I6117" s="1102"/>
      <c r="J6117" s="1102"/>
      <c r="K6117" s="1103"/>
      <c r="L6117" s="1101"/>
      <c r="M6117" s="1101"/>
      <c r="N6117" s="1101"/>
      <c r="O6117" s="1104"/>
      <c r="P6117" s="1101"/>
      <c r="Q6117" s="915"/>
      <c r="R6117" s="1106"/>
      <c r="S6117" s="1105"/>
      <c r="T6117" s="1107"/>
      <c r="U6117" s="918"/>
      <c r="AR6117" s="1099"/>
      <c r="AS6117" s="1101"/>
    </row>
    <row r="6118" spans="1:45" s="886" customFormat="1" ht="11.4">
      <c r="A6118" s="1108">
        <v>135</v>
      </c>
      <c r="B6118" s="1109">
        <v>1</v>
      </c>
      <c r="C6118" s="1109">
        <f>$A6118*$B6118</f>
        <v>135</v>
      </c>
      <c r="D6118" s="1110" t="str">
        <f>Elec_Rates!$D$948</f>
        <v>087# Bracket for Cable containment in warehouse</v>
      </c>
      <c r="E6118" s="1110"/>
      <c r="F6118" s="1110" t="s">
        <v>2599</v>
      </c>
      <c r="G6118" s="1111" t="s">
        <v>2600</v>
      </c>
      <c r="H6118" s="1111"/>
      <c r="I6118" s="1111"/>
      <c r="J6118" s="1111"/>
      <c r="K6118" s="1112"/>
      <c r="L6118" s="1113"/>
      <c r="M6118" s="1113"/>
      <c r="N6118" s="1113"/>
      <c r="O6118" s="1114"/>
      <c r="P6118" s="1110"/>
      <c r="Q6118" s="925">
        <f ca="1">$B6118*Elec_Rates!$R$948</f>
        <v>24.38</v>
      </c>
      <c r="R6118" s="1106">
        <f ca="1">$A6118*Q6118</f>
        <v>3291.2999999999997</v>
      </c>
      <c r="S6118" s="1115">
        <f ca="1">$B6118*Elec_Rates!$T$948</f>
        <v>0.13</v>
      </c>
      <c r="T6118" s="1107">
        <f ca="1">$A6118*S6118</f>
        <v>17.55</v>
      </c>
      <c r="U6118" s="926"/>
      <c r="AR6118" s="1108">
        <v>135</v>
      </c>
      <c r="AS6118" s="1110" t="s">
        <v>2599</v>
      </c>
    </row>
    <row r="6119" spans="1:45" s="886" customFormat="1" ht="13.2">
      <c r="A6119" s="1099"/>
      <c r="B6119" s="1100"/>
      <c r="C6119" s="1100" t="s">
        <v>2597</v>
      </c>
      <c r="D6119" s="1100" t="str">
        <f ca="1">CELL("Address",Elec_Rates!D$994)</f>
        <v>[E25_0062_Quintano_Foods_Elec_ELV_As_Awarded.xlsx]Elec_Rates!$D$994</v>
      </c>
      <c r="E6119" s="1101"/>
      <c r="F6119" s="1101"/>
      <c r="G6119" s="1102" t="s">
        <v>2598</v>
      </c>
      <c r="H6119" s="1102"/>
      <c r="I6119" s="1102"/>
      <c r="J6119" s="1102"/>
      <c r="K6119" s="1103"/>
      <c r="L6119" s="1101"/>
      <c r="M6119" s="1101"/>
      <c r="N6119" s="1101"/>
      <c r="O6119" s="1104"/>
      <c r="P6119" s="1101"/>
      <c r="Q6119" s="915"/>
      <c r="R6119" s="1106"/>
      <c r="S6119" s="1105"/>
      <c r="T6119" s="1107"/>
      <c r="U6119" s="918"/>
      <c r="AR6119" s="1099"/>
      <c r="AS6119" s="1101"/>
    </row>
    <row r="6120" spans="1:45" s="886" customFormat="1" ht="11.4">
      <c r="A6120" s="1108">
        <v>135</v>
      </c>
      <c r="B6120" s="1109">
        <v>1</v>
      </c>
      <c r="C6120" s="1109">
        <f>$A6120*$B6120</f>
        <v>135</v>
      </c>
      <c r="D6120" s="1110" t="str">
        <f>Elec_Rates!$D$994</f>
        <v>088# Scissors lift in Warehouse for cable tray and trunking (Excluding bracketing)</v>
      </c>
      <c r="E6120" s="1110"/>
      <c r="F6120" s="1110" t="s">
        <v>2599</v>
      </c>
      <c r="G6120" s="1111" t="s">
        <v>2601</v>
      </c>
      <c r="H6120" s="1111"/>
      <c r="I6120" s="1111"/>
      <c r="J6120" s="1111"/>
      <c r="K6120" s="1112"/>
      <c r="L6120" s="1113"/>
      <c r="M6120" s="1113"/>
      <c r="N6120" s="1113"/>
      <c r="O6120" s="1114"/>
      <c r="P6120" s="1110"/>
      <c r="Q6120" s="925">
        <f ca="1">$B6120*Elec_Rates!$R$994</f>
        <v>2.11</v>
      </c>
      <c r="R6120" s="1106">
        <f ca="1">$A6120*Q6120</f>
        <v>284.84999999999997</v>
      </c>
      <c r="S6120" s="1115">
        <f ca="1">$B6120*Elec_Rates!$T$994</f>
        <v>0</v>
      </c>
      <c r="T6120" s="1107">
        <f ca="1">$A6120*S6120</f>
        <v>0</v>
      </c>
      <c r="U6120" s="926"/>
      <c r="AR6120" s="1108">
        <v>135</v>
      </c>
      <c r="AS6120" s="1110" t="s">
        <v>2599</v>
      </c>
    </row>
    <row r="6121" spans="1:45" s="520" customFormat="1" ht="12">
      <c r="A6121" s="758"/>
      <c r="B6121" s="758"/>
      <c r="C6121" s="758"/>
      <c r="D6121" s="758"/>
      <c r="E6121" s="758"/>
      <c r="F6121" s="753"/>
      <c r="G6121" s="758"/>
      <c r="H6121" s="758"/>
      <c r="I6121" s="519"/>
      <c r="J6121" s="758"/>
      <c r="K6121" s="758"/>
      <c r="L6121" s="758"/>
      <c r="M6121" s="758"/>
      <c r="N6121" s="758"/>
      <c r="O6121" s="758"/>
      <c r="P6121" s="758"/>
      <c r="Q6121" s="519"/>
      <c r="R6121" s="759">
        <f t="shared" ref="R6121" si="392">$A6121*Q6121</f>
        <v>0</v>
      </c>
      <c r="S6121" s="519"/>
      <c r="T6121" s="760">
        <f t="shared" ref="T6121" si="393">$A6121*S6121*$T$1</f>
        <v>0</v>
      </c>
      <c r="AR6121" s="758"/>
      <c r="AS6121" s="753"/>
    </row>
    <row r="6122" spans="1:45" s="520" customFormat="1" ht="12.6" thickBot="1">
      <c r="A6122" s="761" t="s">
        <v>145</v>
      </c>
      <c r="B6122" s="762">
        <f>(R6121+T6121)</f>
        <v>0</v>
      </c>
      <c r="C6122" s="763"/>
      <c r="D6122" s="763"/>
      <c r="E6122" s="763"/>
      <c r="F6122" s="764"/>
      <c r="G6122" s="763" t="s">
        <v>146</v>
      </c>
      <c r="H6122" s="763"/>
      <c r="I6122" s="765"/>
      <c r="J6122" s="763"/>
      <c r="K6122" s="763" t="s">
        <v>3</v>
      </c>
      <c r="L6122" s="766" t="s">
        <v>143</v>
      </c>
      <c r="M6122" s="766"/>
      <c r="N6122" s="766"/>
      <c r="O6122" s="766"/>
      <c r="P6122" s="766"/>
      <c r="Q6122" s="767"/>
      <c r="R6122" s="768">
        <f ca="1">SUM(R6114:R6121)</f>
        <v>4514.3999999999996</v>
      </c>
      <c r="S6122" s="763"/>
      <c r="T6122" s="768">
        <f ca="1">SUM(T6114:T6121)</f>
        <v>56.7</v>
      </c>
      <c r="U6122" s="531"/>
      <c r="V6122" s="531"/>
      <c r="W6122" s="531"/>
      <c r="X6122" s="531"/>
      <c r="Y6122" s="531"/>
      <c r="Z6122" s="531"/>
      <c r="AA6122" s="531"/>
      <c r="AB6122" s="531"/>
      <c r="AC6122" s="531"/>
      <c r="AD6122" s="531"/>
      <c r="AE6122" s="531"/>
      <c r="AF6122" s="531"/>
      <c r="AG6122" s="531"/>
      <c r="AH6122" s="531"/>
      <c r="AI6122" s="531"/>
      <c r="AJ6122" s="531"/>
      <c r="AK6122" s="531"/>
      <c r="AL6122" s="531"/>
      <c r="AM6122" s="531"/>
      <c r="AN6122" s="531"/>
      <c r="AO6122" s="531"/>
      <c r="AR6122" s="761" t="s">
        <v>145</v>
      </c>
      <c r="AS6122" s="764"/>
    </row>
    <row r="6123" spans="1:45" s="520" customFormat="1" ht="12" thickTop="1">
      <c r="A6123" s="51"/>
      <c r="B6123" s="41"/>
      <c r="C6123" s="51"/>
      <c r="E6123" s="42" t="s">
        <v>138</v>
      </c>
      <c r="F6123" s="42" t="s">
        <v>139</v>
      </c>
      <c r="G6123" s="51"/>
      <c r="H6123" s="51"/>
      <c r="I6123" s="51"/>
      <c r="J6123" s="51"/>
      <c r="K6123" s="51" t="s">
        <v>140</v>
      </c>
      <c r="L6123" s="51"/>
      <c r="M6123" s="51"/>
      <c r="N6123" s="51"/>
      <c r="O6123" s="52"/>
      <c r="P6123" s="51"/>
      <c r="Q6123" s="51"/>
      <c r="R6123" s="51"/>
      <c r="S6123" s="51"/>
      <c r="T6123" s="41"/>
      <c r="AG6123" s="521" t="s">
        <v>268</v>
      </c>
      <c r="AH6123" s="521" t="s">
        <v>269</v>
      </c>
      <c r="AI6123" s="521" t="s">
        <v>270</v>
      </c>
      <c r="AJ6123" s="521" t="s">
        <v>271</v>
      </c>
      <c r="AK6123" s="521" t="s">
        <v>272</v>
      </c>
      <c r="AM6123" s="745" t="s">
        <v>281</v>
      </c>
      <c r="AN6123" s="746" t="s">
        <v>282</v>
      </c>
      <c r="AO6123" s="522" t="s">
        <v>278</v>
      </c>
      <c r="AR6123" s="51"/>
      <c r="AS6123" s="42" t="s">
        <v>139</v>
      </c>
    </row>
    <row r="6124" spans="1:45" s="520" customFormat="1" ht="12" customHeight="1">
      <c r="A6124" s="747">
        <v>10</v>
      </c>
      <c r="B6124" s="523" t="s">
        <v>320</v>
      </c>
      <c r="C6124" s="748"/>
      <c r="D6124" s="749" t="s">
        <v>1974</v>
      </c>
      <c r="E6124" s="750">
        <f ca="1">IF(AND($A6124=0,$A$1="DIF"),0, ROUND(ROUND(($R6131*$S$2+($T6131*$T$2))/A6124,2)*$C$2,2))</f>
        <v>26.93</v>
      </c>
      <c r="F6124" s="751">
        <f ca="1">ROUND($A6124*$E6124,2)</f>
        <v>269.3</v>
      </c>
      <c r="G6124" s="752" t="s">
        <v>142</v>
      </c>
      <c r="H6124" s="753"/>
      <c r="I6124" s="754"/>
      <c r="J6124" s="753"/>
      <c r="K6124" s="753" t="s">
        <v>3</v>
      </c>
      <c r="L6124" s="755" t="s">
        <v>143</v>
      </c>
      <c r="M6124" s="755"/>
      <c r="N6124" s="755"/>
      <c r="O6124" s="755"/>
      <c r="P6124" s="755"/>
      <c r="Q6124" s="51"/>
      <c r="T6124" s="756" t="str">
        <f ca="1">IF(AND($R6131=0,$T6131=0),"0.00","mu :" &amp; ROUND($F6124/$C$2/($R6131+$T6131*$D$9),2))</f>
        <v>mu :1.23</v>
      </c>
      <c r="W6124" s="524"/>
      <c r="AG6124" s="481">
        <f ca="1">IF($E6124=0,0,ROUND($R6131*$S$2*$C$2/$A6124,2))</f>
        <v>12.73</v>
      </c>
      <c r="AH6124" s="481">
        <f ca="1">$AG6124*$A6124</f>
        <v>127.30000000000001</v>
      </c>
      <c r="AI6124" s="525">
        <f ca="1">$E6124-$AG6124</f>
        <v>14.2</v>
      </c>
      <c r="AJ6124" s="525">
        <f ca="1">$A6124*$AI6124</f>
        <v>142</v>
      </c>
      <c r="AK6124" s="526">
        <f ca="1">ROUND(($AG6124+$AI6124)*$A6124,2)</f>
        <v>269.3</v>
      </c>
      <c r="AM6124" s="527">
        <f ca="1">ROUND(R6131,2)</f>
        <v>103.4</v>
      </c>
      <c r="AN6124" s="528">
        <f ca="1">ROUND(T6131,2)</f>
        <v>4.2</v>
      </c>
      <c r="AO6124" s="529">
        <f ca="1">ROUND(AM6124+AN6124,2)*A6124</f>
        <v>1076</v>
      </c>
      <c r="AR6124" s="747">
        <v>10</v>
      </c>
      <c r="AS6124" s="751">
        <v>286.2</v>
      </c>
    </row>
    <row r="6125" spans="1:45" s="520" customFormat="1" ht="13.2">
      <c r="A6125" s="748"/>
      <c r="B6125"/>
      <c r="C6125" s="748"/>
      <c r="D6125" s="749" t="s">
        <v>922</v>
      </c>
      <c r="F6125" s="753"/>
      <c r="G6125" s="3"/>
      <c r="H6125" s="753"/>
      <c r="I6125" s="754"/>
      <c r="J6125" s="753"/>
      <c r="K6125" s="753" t="s">
        <v>144</v>
      </c>
      <c r="L6125" s="753"/>
      <c r="M6125" s="753"/>
      <c r="N6125" s="753"/>
      <c r="O6125" s="753"/>
      <c r="P6125" s="753"/>
      <c r="Q6125" s="51"/>
      <c r="R6125" s="530"/>
      <c r="S6125" s="757"/>
      <c r="T6125" s="753"/>
      <c r="AR6125" s="748"/>
      <c r="AS6125" s="753"/>
    </row>
    <row r="6126" spans="1:45" s="886" customFormat="1" ht="13.2">
      <c r="A6126"/>
      <c r="B6126" s="910"/>
      <c r="C6126" s="910" t="s">
        <v>2597</v>
      </c>
      <c r="D6126" s="910" t="str">
        <f ca="1">CELL("Address",Elec_Rates!D$837)</f>
        <v>[E25_0062_Quintano_Foods_Elec_ELV_As_Awarded.xlsx]Elec_Rates!$D$837</v>
      </c>
      <c r="E6126" s="911"/>
      <c r="F6126" s="911"/>
      <c r="G6126" s="912" t="s">
        <v>2598</v>
      </c>
      <c r="H6126" s="912"/>
      <c r="I6126" s="912"/>
      <c r="J6126" s="912"/>
      <c r="K6126" s="913"/>
      <c r="L6126" s="911"/>
      <c r="M6126" s="911"/>
      <c r="N6126" s="911"/>
      <c r="O6126" s="914"/>
      <c r="P6126" s="911"/>
      <c r="Q6126" s="915"/>
      <c r="R6126" s="916"/>
      <c r="S6126" s="915"/>
      <c r="T6126" s="917"/>
      <c r="U6126" s="918"/>
      <c r="AR6126"/>
      <c r="AS6126" s="911"/>
    </row>
    <row r="6127" spans="1:45" s="886" customFormat="1" ht="11.4">
      <c r="A6127" s="919">
        <v>10</v>
      </c>
      <c r="B6127" s="920">
        <v>1</v>
      </c>
      <c r="C6127" s="920">
        <f>$A6127*$B6127</f>
        <v>10</v>
      </c>
      <c r="D6127" s="921" t="str">
        <f>Elec_Rates!$D$837</f>
        <v>079# 100x75mm galvanised steel cable trunking</v>
      </c>
      <c r="E6127" s="921"/>
      <c r="F6127" s="921" t="s">
        <v>2599</v>
      </c>
      <c r="G6127" s="922" t="s">
        <v>2600</v>
      </c>
      <c r="H6127" s="922"/>
      <c r="I6127" s="922"/>
      <c r="J6127" s="922"/>
      <c r="K6127" s="923"/>
      <c r="L6127" s="918"/>
      <c r="M6127" s="918"/>
      <c r="N6127" s="918"/>
      <c r="O6127" s="924"/>
      <c r="P6127" s="921"/>
      <c r="Q6127" s="925">
        <f ca="1">$B6127*Elec_Rates!$R$837</f>
        <v>7.97</v>
      </c>
      <c r="R6127" s="916">
        <f ca="1">$A6127*Q6127</f>
        <v>79.7</v>
      </c>
      <c r="S6127" s="925">
        <f ca="1">$B6127*Elec_Rates!$T$837</f>
        <v>0.33</v>
      </c>
      <c r="T6127" s="917">
        <f ca="1">$A6127*S6127</f>
        <v>3.3000000000000003</v>
      </c>
      <c r="U6127" s="926"/>
      <c r="AR6127" s="919">
        <v>10</v>
      </c>
      <c r="AS6127" s="921" t="s">
        <v>2599</v>
      </c>
    </row>
    <row r="6128" spans="1:45" s="886" customFormat="1" ht="13.2">
      <c r="A6128"/>
      <c r="B6128" s="910"/>
      <c r="C6128" s="910" t="s">
        <v>2597</v>
      </c>
      <c r="D6128" s="910" t="str">
        <f ca="1">CELL("Address",Elec_Rates!D$907)</f>
        <v>[E25_0062_Quintano_Foods_Elec_ELV_As_Awarded.xlsx]Elec_Rates!$D$907</v>
      </c>
      <c r="E6128" s="911"/>
      <c r="F6128" s="911"/>
      <c r="G6128" s="912" t="s">
        <v>2598</v>
      </c>
      <c r="H6128" s="912"/>
      <c r="I6128" s="912"/>
      <c r="J6128" s="912"/>
      <c r="K6128" s="913"/>
      <c r="L6128" s="911"/>
      <c r="M6128" s="911"/>
      <c r="N6128" s="911"/>
      <c r="O6128" s="914"/>
      <c r="P6128" s="911"/>
      <c r="Q6128" s="915"/>
      <c r="R6128" s="916"/>
      <c r="S6128" s="915"/>
      <c r="T6128" s="917"/>
      <c r="U6128" s="918"/>
      <c r="AR6128"/>
      <c r="AS6128" s="911"/>
    </row>
    <row r="6129" spans="1:45" s="886" customFormat="1" ht="11.4">
      <c r="A6129" s="919">
        <v>10</v>
      </c>
      <c r="B6129" s="920">
        <v>1</v>
      </c>
      <c r="C6129" s="920">
        <f>$A6129*$B6129</f>
        <v>10</v>
      </c>
      <c r="D6129" s="921" t="str">
        <f>Elec_Rates!$D$907</f>
        <v>084# Bracket for 50-150mm cable tray/basket/trunking</v>
      </c>
      <c r="E6129" s="921"/>
      <c r="F6129" s="921" t="s">
        <v>2599</v>
      </c>
      <c r="G6129" s="922" t="s">
        <v>2600</v>
      </c>
      <c r="H6129" s="922"/>
      <c r="I6129" s="922"/>
      <c r="J6129" s="922"/>
      <c r="K6129" s="923"/>
      <c r="L6129" s="918"/>
      <c r="M6129" s="918"/>
      <c r="N6129" s="918"/>
      <c r="O6129" s="924"/>
      <c r="P6129" s="921"/>
      <c r="Q6129" s="925">
        <f ca="1">$B6129*Elec_Rates!$R$907</f>
        <v>2.37</v>
      </c>
      <c r="R6129" s="916">
        <f ca="1">$A6129*Q6129</f>
        <v>23.700000000000003</v>
      </c>
      <c r="S6129" s="925">
        <f ca="1">$B6129*Elec_Rates!$T$907</f>
        <v>0.09</v>
      </c>
      <c r="T6129" s="917">
        <f ca="1">$A6129*S6129</f>
        <v>0.89999999999999991</v>
      </c>
      <c r="U6129" s="926"/>
      <c r="AR6129" s="919">
        <v>10</v>
      </c>
      <c r="AS6129" s="921" t="s">
        <v>2599</v>
      </c>
    </row>
    <row r="6130" spans="1:45" s="520" customFormat="1" ht="12">
      <c r="A6130" s="758"/>
      <c r="B6130" s="758"/>
      <c r="C6130" s="758"/>
      <c r="D6130" s="758"/>
      <c r="E6130" s="758"/>
      <c r="F6130" s="753"/>
      <c r="G6130" s="758"/>
      <c r="H6130" s="758"/>
      <c r="I6130" s="519"/>
      <c r="J6130" s="758"/>
      <c r="K6130" s="758"/>
      <c r="L6130" s="758"/>
      <c r="M6130" s="758"/>
      <c r="N6130" s="758"/>
      <c r="O6130" s="758"/>
      <c r="P6130" s="758"/>
      <c r="Q6130" s="519"/>
      <c r="R6130" s="759">
        <f t="shared" ref="R6130" si="394">$A6130*Q6130</f>
        <v>0</v>
      </c>
      <c r="S6130" s="519"/>
      <c r="T6130" s="760">
        <f t="shared" ref="T6130" si="395">$A6130*S6130*$T$1</f>
        <v>0</v>
      </c>
      <c r="AR6130" s="758"/>
      <c r="AS6130" s="753"/>
    </row>
    <row r="6131" spans="1:45" s="520" customFormat="1" ht="12.6" thickBot="1">
      <c r="A6131" s="761" t="s">
        <v>145</v>
      </c>
      <c r="B6131" s="762">
        <f>(R6130+T6130)</f>
        <v>0</v>
      </c>
      <c r="C6131" s="763"/>
      <c r="D6131" s="763"/>
      <c r="E6131" s="763"/>
      <c r="F6131" s="764"/>
      <c r="G6131" s="763" t="s">
        <v>146</v>
      </c>
      <c r="H6131" s="763"/>
      <c r="I6131" s="765"/>
      <c r="J6131" s="763"/>
      <c r="K6131" s="763" t="s">
        <v>3</v>
      </c>
      <c r="L6131" s="766" t="s">
        <v>143</v>
      </c>
      <c r="M6131" s="766"/>
      <c r="N6131" s="766"/>
      <c r="O6131" s="766"/>
      <c r="P6131" s="766"/>
      <c r="Q6131" s="767"/>
      <c r="R6131" s="768">
        <f ca="1">SUM(R6125:R6130)</f>
        <v>103.4</v>
      </c>
      <c r="S6131" s="763"/>
      <c r="T6131" s="768">
        <f ca="1">SUM(T6125:T6130)</f>
        <v>4.2</v>
      </c>
      <c r="U6131" s="531"/>
      <c r="V6131" s="531"/>
      <c r="W6131" s="531"/>
      <c r="X6131" s="531"/>
      <c r="Y6131" s="531"/>
      <c r="Z6131" s="531"/>
      <c r="AA6131" s="531"/>
      <c r="AB6131" s="531"/>
      <c r="AC6131" s="531"/>
      <c r="AD6131" s="531"/>
      <c r="AE6131" s="531"/>
      <c r="AF6131" s="531"/>
      <c r="AG6131" s="531"/>
      <c r="AH6131" s="531"/>
      <c r="AI6131" s="531"/>
      <c r="AJ6131" s="531"/>
      <c r="AK6131" s="531"/>
      <c r="AL6131" s="531"/>
      <c r="AM6131" s="531"/>
      <c r="AN6131" s="531"/>
      <c r="AO6131" s="531"/>
      <c r="AR6131" s="761" t="s">
        <v>145</v>
      </c>
      <c r="AS6131" s="764"/>
    </row>
    <row r="6132" spans="1:45" s="520" customFormat="1" ht="12" thickTop="1">
      <c r="A6132" s="51"/>
      <c r="B6132" s="41"/>
      <c r="C6132" s="51"/>
      <c r="E6132" s="42" t="s">
        <v>138</v>
      </c>
      <c r="F6132" s="42" t="s">
        <v>139</v>
      </c>
      <c r="G6132" s="51"/>
      <c r="H6132" s="51"/>
      <c r="I6132" s="51"/>
      <c r="J6132" s="51"/>
      <c r="K6132" s="51" t="s">
        <v>140</v>
      </c>
      <c r="L6132" s="51"/>
      <c r="M6132" s="51"/>
      <c r="N6132" s="51"/>
      <c r="O6132" s="52"/>
      <c r="P6132" s="51"/>
      <c r="Q6132" s="51"/>
      <c r="R6132" s="51"/>
      <c r="S6132" s="51"/>
      <c r="T6132" s="41"/>
      <c r="AG6132" s="521" t="s">
        <v>268</v>
      </c>
      <c r="AH6132" s="521" t="s">
        <v>269</v>
      </c>
      <c r="AI6132" s="521" t="s">
        <v>270</v>
      </c>
      <c r="AJ6132" s="521" t="s">
        <v>271</v>
      </c>
      <c r="AK6132" s="521" t="s">
        <v>272</v>
      </c>
      <c r="AM6132" s="745" t="s">
        <v>281</v>
      </c>
      <c r="AN6132" s="746" t="s">
        <v>282</v>
      </c>
      <c r="AO6132" s="522" t="s">
        <v>278</v>
      </c>
      <c r="AR6132" s="51"/>
      <c r="AS6132" s="42" t="s">
        <v>139</v>
      </c>
    </row>
    <row r="6133" spans="1:45" s="520" customFormat="1" ht="12" customHeight="1">
      <c r="A6133" s="747">
        <v>45</v>
      </c>
      <c r="B6133" s="523" t="s">
        <v>320</v>
      </c>
      <c r="C6133" s="748"/>
      <c r="D6133" s="749" t="s">
        <v>1975</v>
      </c>
      <c r="E6133" s="750">
        <f ca="1">IF(AND($A6133=0,$A$1="DIF"),0, ROUND(ROUND(($R6140*$S$2+($T6140*$T$2))/A6133,2)*$C$2,2))</f>
        <v>42.51</v>
      </c>
      <c r="F6133" s="751">
        <f ca="1">ROUND($A6133*$E6133,2)</f>
        <v>1912.95</v>
      </c>
      <c r="G6133" s="752" t="s">
        <v>142</v>
      </c>
      <c r="H6133" s="753"/>
      <c r="I6133" s="754"/>
      <c r="J6133" s="753"/>
      <c r="K6133" s="753" t="s">
        <v>3</v>
      </c>
      <c r="L6133" s="755" t="s">
        <v>143</v>
      </c>
      <c r="M6133" s="755"/>
      <c r="N6133" s="755"/>
      <c r="O6133" s="755"/>
      <c r="P6133" s="755"/>
      <c r="Q6133" s="51"/>
      <c r="T6133" s="756" t="str">
        <f ca="1">IF(AND($R6140=0,$T6140=0),"0.00","mu :" &amp; ROUND($F6133/$C$2/($R6140+$T6140*$D$9),2))</f>
        <v>mu :1.23</v>
      </c>
      <c r="W6133" s="524"/>
      <c r="AG6133" s="481">
        <f ca="1">IF($E6133=0,0,ROUND($R6140*$S$2*$C$2/$A6133,2))</f>
        <v>19.52</v>
      </c>
      <c r="AH6133" s="481">
        <f ca="1">$AG6133*$A6133</f>
        <v>878.4</v>
      </c>
      <c r="AI6133" s="525">
        <f ca="1">$E6133-$AG6133</f>
        <v>22.99</v>
      </c>
      <c r="AJ6133" s="525">
        <f ca="1">$A6133*$AI6133</f>
        <v>1034.55</v>
      </c>
      <c r="AK6133" s="526">
        <f ca="1">ROUND(($AG6133+$AI6133)*$A6133,2)</f>
        <v>1912.95</v>
      </c>
      <c r="AM6133" s="527">
        <f ca="1">ROUND(R6140,2)</f>
        <v>713.25</v>
      </c>
      <c r="AN6133" s="528">
        <f ca="1">ROUND(T6140,2)</f>
        <v>30.6</v>
      </c>
      <c r="AO6133" s="529">
        <f ca="1">ROUND(AM6133+AN6133,2)*A6133</f>
        <v>33473.25</v>
      </c>
      <c r="AR6133" s="747">
        <v>45</v>
      </c>
      <c r="AS6133" s="751">
        <v>2019.6</v>
      </c>
    </row>
    <row r="6134" spans="1:45" s="520" customFormat="1" ht="13.2">
      <c r="A6134" s="748"/>
      <c r="B6134"/>
      <c r="C6134" s="748"/>
      <c r="D6134" s="749" t="s">
        <v>932</v>
      </c>
      <c r="F6134" s="753"/>
      <c r="G6134" s="3"/>
      <c r="H6134" s="753"/>
      <c r="I6134" s="754"/>
      <c r="J6134" s="753"/>
      <c r="K6134" s="753" t="s">
        <v>144</v>
      </c>
      <c r="L6134" s="753"/>
      <c r="M6134" s="753"/>
      <c r="N6134" s="753"/>
      <c r="O6134" s="753"/>
      <c r="P6134" s="753"/>
      <c r="Q6134" s="51"/>
      <c r="R6134" s="530"/>
      <c r="S6134" s="757"/>
      <c r="T6134" s="753"/>
      <c r="AR6134" s="748"/>
      <c r="AS6134" s="753"/>
    </row>
    <row r="6135" spans="1:45" s="886" customFormat="1" ht="13.2">
      <c r="A6135"/>
      <c r="B6135" s="910"/>
      <c r="C6135" s="910" t="s">
        <v>2597</v>
      </c>
      <c r="D6135" s="910" t="str">
        <f ca="1">CELL("Address",Elec_Rates!D$865)</f>
        <v>[E25_0062_Quintano_Foods_Elec_ELV_As_Awarded.xlsx]Elec_Rates!$D$865</v>
      </c>
      <c r="E6135" s="911"/>
      <c r="F6135" s="911"/>
      <c r="G6135" s="912" t="s">
        <v>2598</v>
      </c>
      <c r="H6135" s="912"/>
      <c r="I6135" s="912"/>
      <c r="J6135" s="912"/>
      <c r="K6135" s="913"/>
      <c r="L6135" s="911"/>
      <c r="M6135" s="911"/>
      <c r="N6135" s="911"/>
      <c r="O6135" s="914"/>
      <c r="P6135" s="911"/>
      <c r="Q6135" s="915"/>
      <c r="R6135" s="916"/>
      <c r="S6135" s="915"/>
      <c r="T6135" s="917"/>
      <c r="U6135" s="918"/>
      <c r="AR6135"/>
      <c r="AS6135" s="911"/>
    </row>
    <row r="6136" spans="1:45" s="886" customFormat="1" ht="11.4">
      <c r="A6136" s="919">
        <v>45</v>
      </c>
      <c r="B6136" s="920">
        <v>1</v>
      </c>
      <c r="C6136" s="920">
        <f>$A6136*$B6136</f>
        <v>45</v>
      </c>
      <c r="D6136" s="921" t="str">
        <f>Elec_Rates!$D$865</f>
        <v>081# 200x100mm galvanised steel cable trunking</v>
      </c>
      <c r="E6136" s="921"/>
      <c r="F6136" s="921" t="s">
        <v>2599</v>
      </c>
      <c r="G6136" s="922" t="s">
        <v>2600</v>
      </c>
      <c r="H6136" s="922"/>
      <c r="I6136" s="922"/>
      <c r="J6136" s="922"/>
      <c r="K6136" s="923"/>
      <c r="L6136" s="918"/>
      <c r="M6136" s="918"/>
      <c r="N6136" s="918"/>
      <c r="O6136" s="924"/>
      <c r="P6136" s="921"/>
      <c r="Q6136" s="925">
        <f ca="1">$B6136*Elec_Rates!$R$865</f>
        <v>13.37</v>
      </c>
      <c r="R6136" s="916">
        <f ca="1">$A6136*Q6136</f>
        <v>601.65</v>
      </c>
      <c r="S6136" s="925">
        <f ca="1">$B6136*Elec_Rates!$T$865</f>
        <v>0.59</v>
      </c>
      <c r="T6136" s="917">
        <f ca="1">$A6136*S6136</f>
        <v>26.549999999999997</v>
      </c>
      <c r="U6136" s="926"/>
      <c r="AR6136" s="919">
        <v>45</v>
      </c>
      <c r="AS6136" s="921" t="s">
        <v>2599</v>
      </c>
    </row>
    <row r="6137" spans="1:45" s="886" customFormat="1" ht="13.2">
      <c r="A6137"/>
      <c r="B6137" s="910"/>
      <c r="C6137" s="910" t="s">
        <v>2597</v>
      </c>
      <c r="D6137" s="910" t="str">
        <f ca="1">CELL("Address",Elec_Rates!D$920)</f>
        <v>[E25_0062_Quintano_Foods_Elec_ELV_As_Awarded.xlsx]Elec_Rates!$D$920</v>
      </c>
      <c r="E6137" s="911"/>
      <c r="F6137" s="911"/>
      <c r="G6137" s="912" t="s">
        <v>2598</v>
      </c>
      <c r="H6137" s="912"/>
      <c r="I6137" s="912"/>
      <c r="J6137" s="912"/>
      <c r="K6137" s="913"/>
      <c r="L6137" s="911"/>
      <c r="M6137" s="911"/>
      <c r="N6137" s="911"/>
      <c r="O6137" s="914"/>
      <c r="P6137" s="911"/>
      <c r="Q6137" s="915"/>
      <c r="R6137" s="916"/>
      <c r="S6137" s="915"/>
      <c r="T6137" s="917"/>
      <c r="U6137" s="918"/>
      <c r="AR6137"/>
      <c r="AS6137" s="911"/>
    </row>
    <row r="6138" spans="1:45" s="886" customFormat="1" ht="11.4">
      <c r="A6138" s="919">
        <v>45</v>
      </c>
      <c r="B6138" s="920">
        <v>1</v>
      </c>
      <c r="C6138" s="920">
        <f>$A6138*$B6138</f>
        <v>45</v>
      </c>
      <c r="D6138" s="921" t="str">
        <f>Elec_Rates!$D$920</f>
        <v>085# Bracket for 200-300mm cable tray/basket</v>
      </c>
      <c r="E6138" s="921"/>
      <c r="F6138" s="921" t="s">
        <v>2599</v>
      </c>
      <c r="G6138" s="922" t="s">
        <v>2601</v>
      </c>
      <c r="H6138" s="922"/>
      <c r="I6138" s="922"/>
      <c r="J6138" s="922"/>
      <c r="K6138" s="923"/>
      <c r="L6138" s="918"/>
      <c r="M6138" s="918"/>
      <c r="N6138" s="918"/>
      <c r="O6138" s="924"/>
      <c r="P6138" s="921"/>
      <c r="Q6138" s="925">
        <f ca="1">$B6138*Elec_Rates!$R$920</f>
        <v>2.48</v>
      </c>
      <c r="R6138" s="916">
        <f ca="1">$A6138*Q6138</f>
        <v>111.6</v>
      </c>
      <c r="S6138" s="925">
        <f ca="1">$B6138*Elec_Rates!$T$920</f>
        <v>0.09</v>
      </c>
      <c r="T6138" s="917">
        <f ca="1">$A6138*S6138</f>
        <v>4.05</v>
      </c>
      <c r="U6138" s="926"/>
      <c r="AR6138" s="919">
        <v>45</v>
      </c>
      <c r="AS6138" s="921" t="s">
        <v>2599</v>
      </c>
    </row>
    <row r="6139" spans="1:45" s="520" customFormat="1" ht="12">
      <c r="A6139" s="758"/>
      <c r="B6139" s="758"/>
      <c r="C6139" s="758"/>
      <c r="D6139" s="758"/>
      <c r="E6139" s="758"/>
      <c r="F6139" s="753"/>
      <c r="G6139" s="758"/>
      <c r="H6139" s="758"/>
      <c r="I6139" s="519"/>
      <c r="J6139" s="758"/>
      <c r="K6139" s="758"/>
      <c r="L6139" s="758"/>
      <c r="M6139" s="758"/>
      <c r="N6139" s="758"/>
      <c r="O6139" s="758"/>
      <c r="P6139" s="758"/>
      <c r="Q6139" s="519"/>
      <c r="R6139" s="759">
        <f t="shared" ref="R6139" si="396">$A6139*Q6139</f>
        <v>0</v>
      </c>
      <c r="S6139" s="519"/>
      <c r="T6139" s="760">
        <f t="shared" ref="T6139" si="397">$A6139*S6139*$T$1</f>
        <v>0</v>
      </c>
      <c r="AR6139" s="758"/>
      <c r="AS6139" s="753"/>
    </row>
    <row r="6140" spans="1:45" s="520" customFormat="1" ht="12.6" thickBot="1">
      <c r="A6140" s="761" t="s">
        <v>145</v>
      </c>
      <c r="B6140" s="762">
        <f>(R6139+T6139)</f>
        <v>0</v>
      </c>
      <c r="C6140" s="763"/>
      <c r="D6140" s="763"/>
      <c r="E6140" s="763"/>
      <c r="F6140" s="764"/>
      <c r="G6140" s="763" t="s">
        <v>146</v>
      </c>
      <c r="H6140" s="763"/>
      <c r="I6140" s="765"/>
      <c r="J6140" s="763"/>
      <c r="K6140" s="763" t="s">
        <v>3</v>
      </c>
      <c r="L6140" s="766" t="s">
        <v>143</v>
      </c>
      <c r="M6140" s="766"/>
      <c r="N6140" s="766"/>
      <c r="O6140" s="766"/>
      <c r="P6140" s="766"/>
      <c r="Q6140" s="767"/>
      <c r="R6140" s="768">
        <f ca="1">SUM(R6134:R6139)</f>
        <v>713.25</v>
      </c>
      <c r="S6140" s="763"/>
      <c r="T6140" s="768">
        <f ca="1">SUM(T6134:T6139)</f>
        <v>30.599999999999998</v>
      </c>
      <c r="U6140" s="531"/>
      <c r="V6140" s="531"/>
      <c r="W6140" s="531"/>
      <c r="X6140" s="531"/>
      <c r="Y6140" s="531"/>
      <c r="Z6140" s="531"/>
      <c r="AA6140" s="531"/>
      <c r="AB6140" s="531"/>
      <c r="AC6140" s="531"/>
      <c r="AD6140" s="531"/>
      <c r="AE6140" s="531"/>
      <c r="AF6140" s="531"/>
      <c r="AG6140" s="531"/>
      <c r="AH6140" s="531"/>
      <c r="AI6140" s="531"/>
      <c r="AJ6140" s="531"/>
      <c r="AK6140" s="531"/>
      <c r="AL6140" s="531"/>
      <c r="AM6140" s="531"/>
      <c r="AN6140" s="531"/>
      <c r="AO6140" s="531"/>
      <c r="AR6140" s="761" t="s">
        <v>145</v>
      </c>
      <c r="AS6140" s="764"/>
    </row>
    <row r="6141" spans="1:45" s="520" customFormat="1" ht="12" thickTop="1">
      <c r="A6141" s="51"/>
      <c r="B6141" s="41"/>
      <c r="C6141" s="51"/>
      <c r="E6141" s="42" t="s">
        <v>138</v>
      </c>
      <c r="F6141" s="42" t="s">
        <v>139</v>
      </c>
      <c r="G6141" s="51"/>
      <c r="H6141" s="51"/>
      <c r="I6141" s="51"/>
      <c r="J6141" s="51"/>
      <c r="K6141" s="51" t="s">
        <v>140</v>
      </c>
      <c r="L6141" s="51"/>
      <c r="M6141" s="51"/>
      <c r="N6141" s="51"/>
      <c r="O6141" s="52"/>
      <c r="P6141" s="51"/>
      <c r="Q6141" s="51"/>
      <c r="R6141" s="51"/>
      <c r="S6141" s="51"/>
      <c r="T6141" s="41"/>
      <c r="AG6141" s="521" t="s">
        <v>268</v>
      </c>
      <c r="AH6141" s="521" t="s">
        <v>269</v>
      </c>
      <c r="AI6141" s="521" t="s">
        <v>270</v>
      </c>
      <c r="AJ6141" s="521" t="s">
        <v>271</v>
      </c>
      <c r="AK6141" s="521" t="s">
        <v>272</v>
      </c>
      <c r="AM6141" s="745" t="s">
        <v>281</v>
      </c>
      <c r="AN6141" s="746" t="s">
        <v>282</v>
      </c>
      <c r="AO6141" s="522" t="s">
        <v>278</v>
      </c>
      <c r="AR6141" s="51"/>
      <c r="AS6141" s="42" t="s">
        <v>139</v>
      </c>
    </row>
    <row r="6142" spans="1:45" s="520" customFormat="1" ht="12" customHeight="1">
      <c r="A6142" s="747">
        <v>10</v>
      </c>
      <c r="B6142" s="523" t="s">
        <v>320</v>
      </c>
      <c r="C6142" s="748"/>
      <c r="D6142" s="749" t="s">
        <v>1976</v>
      </c>
      <c r="E6142" s="750">
        <f ca="1">IF(AND($A6142=0,$A$1="DIF"),0, ROUND(ROUND(($R6149*$S$2+($T6149*$T$2))/A6142,2)*$C$2,2))</f>
        <v>85.95</v>
      </c>
      <c r="F6142" s="751">
        <f ca="1">ROUND($A6142*$E6142,2)</f>
        <v>859.5</v>
      </c>
      <c r="G6142" s="752" t="s">
        <v>142</v>
      </c>
      <c r="H6142" s="753"/>
      <c r="I6142" s="754"/>
      <c r="J6142" s="753"/>
      <c r="K6142" s="753" t="s">
        <v>3</v>
      </c>
      <c r="L6142" s="755" t="s">
        <v>143</v>
      </c>
      <c r="M6142" s="755"/>
      <c r="N6142" s="755"/>
      <c r="O6142" s="755"/>
      <c r="P6142" s="755"/>
      <c r="Q6142" s="51"/>
      <c r="T6142" s="756" t="str">
        <f ca="1">IF(AND($R6149=0,$T6149=0),"0.00","mu :" &amp; ROUND($F6142/$C$2/($R6149+$T6149*$D$9),2))</f>
        <v>mu :1.23</v>
      </c>
      <c r="W6142" s="524"/>
      <c r="AG6142" s="481">
        <f ca="1">IF($E6142=0,0,ROUND($R6149*$S$2*$C$2/$A6142,2))</f>
        <v>57.89</v>
      </c>
      <c r="AH6142" s="481">
        <f ca="1">$AG6142*$A6142</f>
        <v>578.9</v>
      </c>
      <c r="AI6142" s="525">
        <f ca="1">$E6142-$AG6142</f>
        <v>28.060000000000002</v>
      </c>
      <c r="AJ6142" s="525">
        <f ca="1">$A6142*$AI6142</f>
        <v>280.60000000000002</v>
      </c>
      <c r="AK6142" s="526">
        <f ca="1">ROUND(($AG6142+$AI6142)*$A6142,2)</f>
        <v>859.5</v>
      </c>
      <c r="AM6142" s="527">
        <f ca="1">ROUND(R6149,2)</f>
        <v>470.1</v>
      </c>
      <c r="AN6142" s="528">
        <f ca="1">ROUND(T6149,2)</f>
        <v>8.3000000000000007</v>
      </c>
      <c r="AO6142" s="529">
        <f ca="1">ROUND(AM6142+AN6142,2)*A6142</f>
        <v>4784</v>
      </c>
      <c r="AR6142" s="747">
        <v>10</v>
      </c>
      <c r="AS6142" s="751">
        <v>889.9</v>
      </c>
    </row>
    <row r="6143" spans="1:45" s="520" customFormat="1" ht="13.2">
      <c r="A6143" s="748"/>
      <c r="B6143"/>
      <c r="C6143" s="748"/>
      <c r="D6143" s="749" t="s">
        <v>933</v>
      </c>
      <c r="F6143" s="753"/>
      <c r="G6143" s="3"/>
      <c r="H6143" s="753"/>
      <c r="I6143" s="754"/>
      <c r="J6143" s="753"/>
      <c r="K6143" s="753" t="s">
        <v>144</v>
      </c>
      <c r="L6143" s="753"/>
      <c r="M6143" s="753"/>
      <c r="N6143" s="753"/>
      <c r="O6143" s="753"/>
      <c r="P6143" s="753"/>
      <c r="Q6143" s="51"/>
      <c r="R6143" s="530"/>
      <c r="S6143" s="757"/>
      <c r="T6143" s="753"/>
      <c r="AR6143" s="748"/>
      <c r="AS6143" s="753"/>
    </row>
    <row r="6144" spans="1:45" s="886" customFormat="1" ht="13.2">
      <c r="A6144"/>
      <c r="B6144" s="910"/>
      <c r="C6144" s="910" t="s">
        <v>2597</v>
      </c>
      <c r="D6144" s="910" t="str">
        <f ca="1">CELL("Address",Elec_Rates!D$893)</f>
        <v>[E25_0062_Quintano_Foods_Elec_ELV_As_Awarded.xlsx]Elec_Rates!$D$893</v>
      </c>
      <c r="E6144" s="911"/>
      <c r="F6144" s="911"/>
      <c r="G6144" s="912" t="s">
        <v>2598</v>
      </c>
      <c r="H6144" s="912"/>
      <c r="I6144" s="912"/>
      <c r="J6144" s="912"/>
      <c r="K6144" s="913"/>
      <c r="L6144" s="911"/>
      <c r="M6144" s="911"/>
      <c r="N6144" s="911"/>
      <c r="O6144" s="914"/>
      <c r="P6144" s="911"/>
      <c r="Q6144" s="915"/>
      <c r="R6144" s="916"/>
      <c r="S6144" s="915"/>
      <c r="T6144" s="917"/>
      <c r="U6144" s="918"/>
      <c r="AR6144"/>
      <c r="AS6144" s="911"/>
    </row>
    <row r="6145" spans="1:45" s="886" customFormat="1" ht="11.4">
      <c r="A6145" s="919">
        <v>10</v>
      </c>
      <c r="B6145" s="920">
        <v>1</v>
      </c>
      <c r="C6145" s="920">
        <f>$A6145*$B6145</f>
        <v>10</v>
      </c>
      <c r="D6145" s="921" t="str">
        <f>Elec_Rates!$D$893</f>
        <v>083# 400x100mm galvanised steel cable trunking</v>
      </c>
      <c r="E6145" s="921"/>
      <c r="F6145" s="921" t="s">
        <v>2599</v>
      </c>
      <c r="G6145" s="922" t="s">
        <v>2601</v>
      </c>
      <c r="H6145" s="922"/>
      <c r="I6145" s="922"/>
      <c r="J6145" s="922"/>
      <c r="K6145" s="923"/>
      <c r="L6145" s="918"/>
      <c r="M6145" s="918"/>
      <c r="N6145" s="918"/>
      <c r="O6145" s="924"/>
      <c r="P6145" s="921"/>
      <c r="Q6145" s="925">
        <f ca="1">$B6145*Elec_Rates!$R$893</f>
        <v>30.64</v>
      </c>
      <c r="R6145" s="916">
        <f ca="1">$A6145*Q6145</f>
        <v>306.39999999999998</v>
      </c>
      <c r="S6145" s="925">
        <f ca="1">$B6145*Elec_Rates!$T$893</f>
        <v>0.68</v>
      </c>
      <c r="T6145" s="917">
        <f ca="1">$A6145*S6145</f>
        <v>6.8000000000000007</v>
      </c>
      <c r="U6145" s="926"/>
      <c r="AR6145" s="919">
        <v>10</v>
      </c>
      <c r="AS6145" s="921" t="s">
        <v>2599</v>
      </c>
    </row>
    <row r="6146" spans="1:45" s="886" customFormat="1" ht="13.2">
      <c r="A6146"/>
      <c r="B6146" s="910"/>
      <c r="C6146" s="910" t="s">
        <v>2597</v>
      </c>
      <c r="D6146" s="910" t="str">
        <f ca="1">CELL("Address",Elec_Rates!D$933)</f>
        <v>[E25_0062_Quintano_Foods_Elec_ELV_As_Awarded.xlsx]Elec_Rates!$D$933</v>
      </c>
      <c r="E6146" s="911"/>
      <c r="F6146" s="911"/>
      <c r="G6146" s="912" t="s">
        <v>2598</v>
      </c>
      <c r="H6146" s="912"/>
      <c r="I6146" s="912"/>
      <c r="J6146" s="912"/>
      <c r="K6146" s="913"/>
      <c r="L6146" s="911"/>
      <c r="M6146" s="911"/>
      <c r="N6146" s="911"/>
      <c r="O6146" s="914"/>
      <c r="P6146" s="911"/>
      <c r="Q6146" s="915"/>
      <c r="R6146" s="916"/>
      <c r="S6146" s="915"/>
      <c r="T6146" s="917"/>
      <c r="U6146" s="918"/>
      <c r="AR6146"/>
      <c r="AS6146" s="911"/>
    </row>
    <row r="6147" spans="1:45" s="886" customFormat="1" ht="11.4">
      <c r="A6147" s="919">
        <v>10</v>
      </c>
      <c r="B6147" s="920">
        <v>1</v>
      </c>
      <c r="C6147" s="920">
        <f>$A6147*$B6147</f>
        <v>10</v>
      </c>
      <c r="D6147" s="921" t="str">
        <f>Elec_Rates!$D$933</f>
        <v>086# Bracket for 400-600mm cable tray/basket</v>
      </c>
      <c r="E6147" s="921"/>
      <c r="F6147" s="921" t="s">
        <v>2599</v>
      </c>
      <c r="G6147" s="922" t="s">
        <v>2600</v>
      </c>
      <c r="H6147" s="922"/>
      <c r="I6147" s="922"/>
      <c r="J6147" s="922"/>
      <c r="K6147" s="923"/>
      <c r="L6147" s="918"/>
      <c r="M6147" s="918"/>
      <c r="N6147" s="918"/>
      <c r="O6147" s="924"/>
      <c r="P6147" s="921"/>
      <c r="Q6147" s="925">
        <f ca="1">$B6147*Elec_Rates!$R$933</f>
        <v>16.37</v>
      </c>
      <c r="R6147" s="916">
        <f ca="1">$A6147*Q6147</f>
        <v>163.70000000000002</v>
      </c>
      <c r="S6147" s="925">
        <f ca="1">$B6147*Elec_Rates!$T$933</f>
        <v>0.15</v>
      </c>
      <c r="T6147" s="917">
        <f ca="1">$A6147*S6147</f>
        <v>1.5</v>
      </c>
      <c r="U6147" s="926"/>
      <c r="AR6147" s="919">
        <v>10</v>
      </c>
      <c r="AS6147" s="921" t="s">
        <v>2599</v>
      </c>
    </row>
    <row r="6148" spans="1:45" s="520" customFormat="1" ht="12">
      <c r="A6148" s="758"/>
      <c r="B6148" s="758"/>
      <c r="C6148" s="758"/>
      <c r="D6148" s="758"/>
      <c r="E6148" s="758"/>
      <c r="F6148" s="753"/>
      <c r="G6148" s="758"/>
      <c r="H6148" s="758"/>
      <c r="I6148" s="519"/>
      <c r="J6148" s="758"/>
      <c r="K6148" s="758"/>
      <c r="L6148" s="758"/>
      <c r="M6148" s="758"/>
      <c r="N6148" s="758"/>
      <c r="O6148" s="758"/>
      <c r="P6148" s="758"/>
      <c r="Q6148" s="519"/>
      <c r="R6148" s="759">
        <f t="shared" ref="R6148" si="398">$A6148*Q6148</f>
        <v>0</v>
      </c>
      <c r="S6148" s="519"/>
      <c r="T6148" s="760">
        <f t="shared" ref="T6148" si="399">$A6148*S6148*$T$1</f>
        <v>0</v>
      </c>
      <c r="AR6148" s="758"/>
      <c r="AS6148" s="753"/>
    </row>
    <row r="6149" spans="1:45" s="520" customFormat="1" ht="12.6" thickBot="1">
      <c r="A6149" s="761" t="s">
        <v>145</v>
      </c>
      <c r="B6149" s="762">
        <f>(R6148+T6148)</f>
        <v>0</v>
      </c>
      <c r="C6149" s="763"/>
      <c r="D6149" s="763"/>
      <c r="E6149" s="763"/>
      <c r="F6149" s="764"/>
      <c r="G6149" s="763" t="s">
        <v>146</v>
      </c>
      <c r="H6149" s="763"/>
      <c r="I6149" s="765"/>
      <c r="J6149" s="763"/>
      <c r="K6149" s="763" t="s">
        <v>3</v>
      </c>
      <c r="L6149" s="766" t="s">
        <v>143</v>
      </c>
      <c r="M6149" s="766"/>
      <c r="N6149" s="766"/>
      <c r="O6149" s="766"/>
      <c r="P6149" s="766"/>
      <c r="Q6149" s="767"/>
      <c r="R6149" s="768">
        <f ca="1">SUM(R6143:R6148)</f>
        <v>470.1</v>
      </c>
      <c r="S6149" s="763"/>
      <c r="T6149" s="768">
        <f ca="1">SUM(T6143:T6148)</f>
        <v>8.3000000000000007</v>
      </c>
      <c r="U6149" s="531"/>
      <c r="V6149" s="531"/>
      <c r="W6149" s="531"/>
      <c r="X6149" s="531"/>
      <c r="Y6149" s="531"/>
      <c r="Z6149" s="531"/>
      <c r="AA6149" s="531"/>
      <c r="AB6149" s="531"/>
      <c r="AC6149" s="531"/>
      <c r="AD6149" s="531"/>
      <c r="AE6149" s="531"/>
      <c r="AF6149" s="531"/>
      <c r="AG6149" s="531"/>
      <c r="AH6149" s="531"/>
      <c r="AI6149" s="531"/>
      <c r="AJ6149" s="531"/>
      <c r="AK6149" s="531"/>
      <c r="AL6149" s="531"/>
      <c r="AM6149" s="531"/>
      <c r="AN6149" s="531"/>
      <c r="AO6149" s="531"/>
      <c r="AR6149" s="761" t="s">
        <v>145</v>
      </c>
      <c r="AS6149" s="764"/>
    </row>
    <row r="6150" spans="1:45" s="520" customFormat="1" thickTop="1">
      <c r="A6150" s="51"/>
      <c r="B6150" s="51"/>
      <c r="C6150" s="3"/>
      <c r="D6150" s="3"/>
      <c r="E6150" s="51"/>
      <c r="F6150" s="51"/>
      <c r="G6150" s="51"/>
      <c r="H6150" s="51"/>
      <c r="I6150" s="51"/>
      <c r="J6150" s="51"/>
      <c r="K6150" s="51" t="s">
        <v>134</v>
      </c>
      <c r="L6150" s="51"/>
      <c r="M6150" s="51"/>
      <c r="N6150" s="51"/>
      <c r="O6150" s="52"/>
      <c r="P6150" s="51"/>
      <c r="Q6150" s="51"/>
      <c r="R6150" s="51"/>
      <c r="S6150" s="51"/>
      <c r="T6150" s="51"/>
      <c r="AR6150" s="51"/>
      <c r="AS6150" s="51"/>
    </row>
    <row r="6151" spans="1:45" s="520" customFormat="1" ht="12">
      <c r="A6151" s="51"/>
      <c r="B6151" s="51"/>
      <c r="C6151" s="51" t="s">
        <v>135</v>
      </c>
      <c r="D6151" s="37"/>
      <c r="E6151" s="51"/>
      <c r="F6151" s="51"/>
      <c r="G6151" s="51"/>
      <c r="H6151" s="51"/>
      <c r="I6151" s="51"/>
      <c r="J6151" s="51"/>
      <c r="K6151" s="51"/>
      <c r="L6151" s="51"/>
      <c r="M6151" s="51"/>
      <c r="N6151" s="51"/>
      <c r="O6151" s="52"/>
      <c r="P6151" s="51"/>
      <c r="Q6151" s="51"/>
      <c r="R6151" s="51"/>
      <c r="S6151" s="51"/>
      <c r="T6151" s="51"/>
      <c r="AR6151" s="51"/>
      <c r="AS6151" s="51"/>
    </row>
    <row r="6152" spans="1:45" s="520" customFormat="1" ht="12">
      <c r="A6152" s="51"/>
      <c r="B6152" s="51"/>
      <c r="C6152" s="51"/>
      <c r="D6152" s="37" t="s">
        <v>924</v>
      </c>
      <c r="E6152" s="51"/>
      <c r="F6152" s="51"/>
      <c r="G6152" s="51"/>
      <c r="H6152" s="51"/>
      <c r="I6152" s="51"/>
      <c r="J6152" s="51"/>
      <c r="K6152" s="51"/>
      <c r="L6152" s="51"/>
      <c r="M6152" s="51"/>
      <c r="N6152" s="51"/>
      <c r="O6152" s="52"/>
      <c r="P6152" s="51"/>
      <c r="Q6152" s="51"/>
      <c r="R6152" s="51"/>
      <c r="S6152" s="38"/>
      <c r="T6152" s="38"/>
      <c r="AR6152" s="51"/>
      <c r="AS6152" s="51"/>
    </row>
    <row r="6153" spans="1:45" s="3" customFormat="1" thickBot="1">
      <c r="A6153" s="531"/>
      <c r="O6153" s="107"/>
      <c r="AR6153" s="531"/>
    </row>
    <row r="6154" spans="1:45" s="520" customFormat="1" ht="12" thickTop="1">
      <c r="A6154" s="51"/>
      <c r="B6154" s="41"/>
      <c r="C6154" s="51"/>
      <c r="E6154" s="42" t="s">
        <v>138</v>
      </c>
      <c r="F6154" s="42" t="s">
        <v>139</v>
      </c>
      <c r="G6154" s="51"/>
      <c r="H6154" s="51"/>
      <c r="I6154" s="51"/>
      <c r="J6154" s="51"/>
      <c r="K6154" s="51" t="s">
        <v>140</v>
      </c>
      <c r="L6154" s="51"/>
      <c r="M6154" s="51"/>
      <c r="N6154" s="51"/>
      <c r="O6154" s="52"/>
      <c r="P6154" s="51"/>
      <c r="Q6154" s="51"/>
      <c r="R6154" s="51"/>
      <c r="S6154" s="51"/>
      <c r="T6154" s="41"/>
      <c r="AG6154" s="521" t="s">
        <v>268</v>
      </c>
      <c r="AH6154" s="521" t="s">
        <v>269</v>
      </c>
      <c r="AI6154" s="521" t="s">
        <v>270</v>
      </c>
      <c r="AJ6154" s="521" t="s">
        <v>271</v>
      </c>
      <c r="AK6154" s="521" t="s">
        <v>272</v>
      </c>
      <c r="AM6154" s="745" t="s">
        <v>281</v>
      </c>
      <c r="AN6154" s="746" t="s">
        <v>282</v>
      </c>
      <c r="AO6154" s="522" t="s">
        <v>278</v>
      </c>
      <c r="AR6154" s="51"/>
      <c r="AS6154" s="42" t="s">
        <v>139</v>
      </c>
    </row>
    <row r="6155" spans="1:45" s="520" customFormat="1" ht="12" customHeight="1">
      <c r="A6155" s="747">
        <v>180</v>
      </c>
      <c r="B6155" s="523" t="s">
        <v>320</v>
      </c>
      <c r="C6155" s="748"/>
      <c r="D6155" s="749" t="s">
        <v>1978</v>
      </c>
      <c r="E6155" s="750">
        <f ca="1">IF(AND($A6155=0,$A$1="DIF"),0, ROUND(ROUND(($R6164*$S$2+($T6164*$T$2))/A6155,2)*$C$2,2))</f>
        <v>55.38</v>
      </c>
      <c r="F6155" s="751">
        <f ca="1">ROUND($A6155*$E6155,2)</f>
        <v>9968.4</v>
      </c>
      <c r="G6155" s="752" t="s">
        <v>142</v>
      </c>
      <c r="H6155" s="753"/>
      <c r="I6155" s="754"/>
      <c r="J6155" s="753"/>
      <c r="K6155" s="753" t="s">
        <v>3</v>
      </c>
      <c r="L6155" s="755" t="s">
        <v>143</v>
      </c>
      <c r="M6155" s="755"/>
      <c r="N6155" s="755"/>
      <c r="O6155" s="755"/>
      <c r="P6155" s="755"/>
      <c r="Q6155" s="51"/>
      <c r="T6155" s="756" t="str">
        <f ca="1">IF(AND($R6164=0,$T6164=0),"0.00","mu :" &amp; ROUND($F6155/$C$2/($R6164+$T6164*$D$9),2))</f>
        <v>mu :1.23</v>
      </c>
      <c r="W6155" s="524"/>
      <c r="AG6155" s="481">
        <f ca="1">IF($E6155=0,0,ROUND($R6164*$S$2*$C$2/$A6155,2))</f>
        <v>41.18</v>
      </c>
      <c r="AH6155" s="481">
        <f ca="1">$AG6155*$A6155</f>
        <v>7412.4</v>
      </c>
      <c r="AI6155" s="525">
        <f ca="1">$E6155-$AG6155</f>
        <v>14.200000000000003</v>
      </c>
      <c r="AJ6155" s="525">
        <f ca="1">$A6155*$AI6155</f>
        <v>2556.0000000000005</v>
      </c>
      <c r="AK6155" s="526">
        <f ca="1">ROUND(($AG6155+$AI6155)*$A6155,2)</f>
        <v>9968.4</v>
      </c>
      <c r="AM6155" s="527">
        <f ca="1">ROUND(R6164,2)</f>
        <v>6019.2</v>
      </c>
      <c r="AN6155" s="528">
        <f ca="1">ROUND(T6164,2)</f>
        <v>75.599999999999994</v>
      </c>
      <c r="AO6155" s="529">
        <f ca="1">ROUND(AM6155+AN6155,2)*A6155</f>
        <v>1097064</v>
      </c>
      <c r="AR6155" s="747">
        <v>180</v>
      </c>
      <c r="AS6155" s="751">
        <v>10272.6</v>
      </c>
    </row>
    <row r="6156" spans="1:45" s="520" customFormat="1" ht="13.2">
      <c r="A6156" s="748"/>
      <c r="B6156"/>
      <c r="C6156" s="748"/>
      <c r="D6156" s="749" t="s">
        <v>921</v>
      </c>
      <c r="F6156" s="753"/>
      <c r="G6156" s="3"/>
      <c r="H6156" s="753"/>
      <c r="I6156" s="754"/>
      <c r="J6156" s="753"/>
      <c r="K6156" s="753" t="s">
        <v>144</v>
      </c>
      <c r="L6156" s="753"/>
      <c r="M6156" s="753"/>
      <c r="N6156" s="753"/>
      <c r="O6156" s="753"/>
      <c r="P6156" s="753"/>
      <c r="Q6156" s="51"/>
      <c r="R6156" s="530"/>
      <c r="S6156" s="757"/>
      <c r="T6156" s="753"/>
      <c r="AR6156" s="748"/>
      <c r="AS6156" s="753"/>
    </row>
    <row r="6157" spans="1:45" s="886" customFormat="1" ht="13.2">
      <c r="A6157" s="1099"/>
      <c r="B6157" s="1100"/>
      <c r="C6157" s="1100" t="s">
        <v>2597</v>
      </c>
      <c r="D6157" s="1100" t="str">
        <f ca="1">CELL("Address",Elec_Rates!D$822)</f>
        <v>[E25_0062_Quintano_Foods_Elec_ELV_As_Awarded.xlsx]Elec_Rates!$D$822</v>
      </c>
      <c r="E6157" s="1101"/>
      <c r="F6157" s="1101"/>
      <c r="G6157" s="1102" t="s">
        <v>2598</v>
      </c>
      <c r="H6157" s="1102"/>
      <c r="I6157" s="1102"/>
      <c r="J6157" s="1102"/>
      <c r="K6157" s="1103"/>
      <c r="L6157" s="1101"/>
      <c r="M6157" s="1101"/>
      <c r="N6157" s="1101"/>
      <c r="O6157" s="1104"/>
      <c r="P6157" s="1101"/>
      <c r="Q6157" s="915"/>
      <c r="R6157" s="1106"/>
      <c r="S6157" s="1105"/>
      <c r="T6157" s="1107"/>
      <c r="U6157" s="918"/>
      <c r="AR6157" s="1099"/>
      <c r="AS6157" s="1101"/>
    </row>
    <row r="6158" spans="1:45" s="886" customFormat="1" ht="11.4">
      <c r="A6158" s="1108">
        <v>180</v>
      </c>
      <c r="B6158" s="1109">
        <v>1</v>
      </c>
      <c r="C6158" s="1109">
        <f>$A6158*$B6158</f>
        <v>180</v>
      </c>
      <c r="D6158" s="1110" t="str">
        <f>Elec_Rates!$D$822</f>
        <v>078# 75x75mm galvanised steel cable trunking</v>
      </c>
      <c r="E6158" s="1110"/>
      <c r="F6158" s="1110" t="s">
        <v>2599</v>
      </c>
      <c r="G6158" s="1111" t="s">
        <v>2601</v>
      </c>
      <c r="H6158" s="1111"/>
      <c r="I6158" s="1111"/>
      <c r="J6158" s="1111"/>
      <c r="K6158" s="1112"/>
      <c r="L6158" s="1113"/>
      <c r="M6158" s="1113"/>
      <c r="N6158" s="1113"/>
      <c r="O6158" s="1114"/>
      <c r="P6158" s="1110"/>
      <c r="Q6158" s="925">
        <f ca="1">$B6158*Elec_Rates!$R$822</f>
        <v>6.95</v>
      </c>
      <c r="R6158" s="1106">
        <f ca="1">$A6158*Q6158</f>
        <v>1251</v>
      </c>
      <c r="S6158" s="1115">
        <f ca="1">$B6158*Elec_Rates!$T$822</f>
        <v>0.28999999999999998</v>
      </c>
      <c r="T6158" s="1107">
        <f ca="1">$A6158*S6158</f>
        <v>52.199999999999996</v>
      </c>
      <c r="U6158" s="926"/>
      <c r="AR6158" s="1108">
        <v>180</v>
      </c>
      <c r="AS6158" s="1110" t="s">
        <v>2599</v>
      </c>
    </row>
    <row r="6159" spans="1:45" s="886" customFormat="1" ht="13.2">
      <c r="A6159" s="1099"/>
      <c r="B6159" s="1100"/>
      <c r="C6159" s="1100" t="s">
        <v>2597</v>
      </c>
      <c r="D6159" s="1100" t="str">
        <f ca="1">CELL("Address",Elec_Rates!D$948)</f>
        <v>[E25_0062_Quintano_Foods_Elec_ELV_As_Awarded.xlsx]Elec_Rates!$D$948</v>
      </c>
      <c r="E6159" s="1101"/>
      <c r="F6159" s="1101"/>
      <c r="G6159" s="1102" t="s">
        <v>2598</v>
      </c>
      <c r="H6159" s="1102"/>
      <c r="I6159" s="1102"/>
      <c r="J6159" s="1102"/>
      <c r="K6159" s="1103"/>
      <c r="L6159" s="1101"/>
      <c r="M6159" s="1101"/>
      <c r="N6159" s="1101"/>
      <c r="O6159" s="1104"/>
      <c r="P6159" s="1101"/>
      <c r="Q6159" s="915"/>
      <c r="R6159" s="1106"/>
      <c r="S6159" s="1105"/>
      <c r="T6159" s="1107"/>
      <c r="U6159" s="918"/>
      <c r="AR6159" s="1099"/>
      <c r="AS6159" s="1101"/>
    </row>
    <row r="6160" spans="1:45" s="886" customFormat="1" ht="11.4">
      <c r="A6160" s="1108">
        <v>180</v>
      </c>
      <c r="B6160" s="1109">
        <v>1</v>
      </c>
      <c r="C6160" s="1109">
        <f>$A6160*$B6160</f>
        <v>180</v>
      </c>
      <c r="D6160" s="1110" t="str">
        <f>Elec_Rates!$D$948</f>
        <v>087# Bracket for Cable containment in warehouse</v>
      </c>
      <c r="E6160" s="1110"/>
      <c r="F6160" s="1110" t="s">
        <v>2599</v>
      </c>
      <c r="G6160" s="1111" t="s">
        <v>2600</v>
      </c>
      <c r="H6160" s="1111"/>
      <c r="I6160" s="1111"/>
      <c r="J6160" s="1111"/>
      <c r="K6160" s="1112"/>
      <c r="L6160" s="1113"/>
      <c r="M6160" s="1113"/>
      <c r="N6160" s="1113"/>
      <c r="O6160" s="1114"/>
      <c r="P6160" s="1110"/>
      <c r="Q6160" s="925">
        <f ca="1">$B6160*Elec_Rates!$R$948</f>
        <v>24.38</v>
      </c>
      <c r="R6160" s="1106">
        <f ca="1">$A6160*Q6160</f>
        <v>4388.3999999999996</v>
      </c>
      <c r="S6160" s="1115">
        <f ca="1">$B6160*Elec_Rates!$T$948</f>
        <v>0.13</v>
      </c>
      <c r="T6160" s="1107">
        <f ca="1">$A6160*S6160</f>
        <v>23.400000000000002</v>
      </c>
      <c r="U6160" s="926"/>
      <c r="AR6160" s="1108">
        <v>180</v>
      </c>
      <c r="AS6160" s="1110" t="s">
        <v>2599</v>
      </c>
    </row>
    <row r="6161" spans="1:45" s="886" customFormat="1" ht="13.2">
      <c r="A6161" s="1099"/>
      <c r="B6161" s="1100"/>
      <c r="C6161" s="1100" t="s">
        <v>2597</v>
      </c>
      <c r="D6161" s="1100" t="str">
        <f ca="1">CELL("Address",Elec_Rates!D$994)</f>
        <v>[E25_0062_Quintano_Foods_Elec_ELV_As_Awarded.xlsx]Elec_Rates!$D$994</v>
      </c>
      <c r="E6161" s="1101"/>
      <c r="F6161" s="1101"/>
      <c r="G6161" s="1102" t="s">
        <v>2598</v>
      </c>
      <c r="H6161" s="1102"/>
      <c r="I6161" s="1102"/>
      <c r="J6161" s="1102"/>
      <c r="K6161" s="1103"/>
      <c r="L6161" s="1101"/>
      <c r="M6161" s="1101"/>
      <c r="N6161" s="1101"/>
      <c r="O6161" s="1104"/>
      <c r="P6161" s="1101"/>
      <c r="Q6161" s="915"/>
      <c r="R6161" s="1106"/>
      <c r="S6161" s="1105"/>
      <c r="T6161" s="1107"/>
      <c r="U6161" s="918"/>
      <c r="AR6161" s="1099"/>
      <c r="AS6161" s="1101"/>
    </row>
    <row r="6162" spans="1:45" s="886" customFormat="1" ht="11.4">
      <c r="A6162" s="1108">
        <v>180</v>
      </c>
      <c r="B6162" s="1109">
        <v>1</v>
      </c>
      <c r="C6162" s="1109">
        <f>$A6162*$B6162</f>
        <v>180</v>
      </c>
      <c r="D6162" s="1110" t="str">
        <f>Elec_Rates!$D$994</f>
        <v>088# Scissors lift in Warehouse for cable tray and trunking (Excluding bracketing)</v>
      </c>
      <c r="E6162" s="1110"/>
      <c r="F6162" s="1110" t="s">
        <v>2599</v>
      </c>
      <c r="G6162" s="1111" t="s">
        <v>2601</v>
      </c>
      <c r="H6162" s="1111"/>
      <c r="I6162" s="1111"/>
      <c r="J6162" s="1111"/>
      <c r="K6162" s="1112"/>
      <c r="L6162" s="1113"/>
      <c r="M6162" s="1113"/>
      <c r="N6162" s="1113"/>
      <c r="O6162" s="1114"/>
      <c r="P6162" s="1110"/>
      <c r="Q6162" s="925">
        <f ca="1">$B6162*Elec_Rates!$R$994</f>
        <v>2.11</v>
      </c>
      <c r="R6162" s="1106">
        <f ca="1">$A6162*Q6162</f>
        <v>379.79999999999995</v>
      </c>
      <c r="S6162" s="1115">
        <f ca="1">$B6162*Elec_Rates!$T$994</f>
        <v>0</v>
      </c>
      <c r="T6162" s="1107">
        <f ca="1">$A6162*S6162</f>
        <v>0</v>
      </c>
      <c r="U6162" s="926"/>
      <c r="AR6162" s="1108">
        <v>180</v>
      </c>
      <c r="AS6162" s="1110" t="s">
        <v>2599</v>
      </c>
    </row>
    <row r="6163" spans="1:45" s="520" customFormat="1" ht="12">
      <c r="A6163" s="758"/>
      <c r="B6163" s="758"/>
      <c r="C6163" s="758"/>
      <c r="D6163" s="758"/>
      <c r="E6163" s="758"/>
      <c r="F6163" s="753"/>
      <c r="G6163" s="758"/>
      <c r="H6163" s="758"/>
      <c r="I6163" s="519"/>
      <c r="J6163" s="758"/>
      <c r="K6163" s="758"/>
      <c r="L6163" s="758"/>
      <c r="M6163" s="758"/>
      <c r="N6163" s="758"/>
      <c r="O6163" s="758"/>
      <c r="P6163" s="758"/>
      <c r="Q6163" s="519"/>
      <c r="R6163" s="759">
        <f t="shared" ref="R6163" si="400">$A6163*Q6163</f>
        <v>0</v>
      </c>
      <c r="S6163" s="519"/>
      <c r="T6163" s="760">
        <f t="shared" ref="T6163" si="401">$A6163*S6163*$T$1</f>
        <v>0</v>
      </c>
      <c r="AR6163" s="758"/>
      <c r="AS6163" s="753"/>
    </row>
    <row r="6164" spans="1:45" s="520" customFormat="1" ht="12.6" thickBot="1">
      <c r="A6164" s="761" t="s">
        <v>145</v>
      </c>
      <c r="B6164" s="762">
        <f>(R6163+T6163)</f>
        <v>0</v>
      </c>
      <c r="C6164" s="763"/>
      <c r="D6164" s="763"/>
      <c r="E6164" s="763"/>
      <c r="F6164" s="764"/>
      <c r="G6164" s="763" t="s">
        <v>146</v>
      </c>
      <c r="H6164" s="763"/>
      <c r="I6164" s="765"/>
      <c r="J6164" s="763"/>
      <c r="K6164" s="763" t="s">
        <v>3</v>
      </c>
      <c r="L6164" s="766" t="s">
        <v>143</v>
      </c>
      <c r="M6164" s="766"/>
      <c r="N6164" s="766"/>
      <c r="O6164" s="766"/>
      <c r="P6164" s="766"/>
      <c r="Q6164" s="767"/>
      <c r="R6164" s="768">
        <f ca="1">SUM(R6156:R6163)</f>
        <v>6019.2</v>
      </c>
      <c r="S6164" s="763"/>
      <c r="T6164" s="768">
        <f ca="1">SUM(T6156:T6163)</f>
        <v>75.599999999999994</v>
      </c>
      <c r="U6164" s="531"/>
      <c r="V6164" s="531"/>
      <c r="W6164" s="531"/>
      <c r="X6164" s="531"/>
      <c r="Y6164" s="531"/>
      <c r="Z6164" s="531"/>
      <c r="AA6164" s="531"/>
      <c r="AB6164" s="531"/>
      <c r="AC6164" s="531"/>
      <c r="AD6164" s="531"/>
      <c r="AE6164" s="531"/>
      <c r="AF6164" s="531"/>
      <c r="AG6164" s="531"/>
      <c r="AH6164" s="531"/>
      <c r="AI6164" s="531"/>
      <c r="AJ6164" s="531"/>
      <c r="AK6164" s="531"/>
      <c r="AL6164" s="531"/>
      <c r="AM6164" s="531"/>
      <c r="AN6164" s="531"/>
      <c r="AO6164" s="531"/>
      <c r="AR6164" s="761" t="s">
        <v>145</v>
      </c>
      <c r="AS6164" s="764"/>
    </row>
    <row r="6165" spans="1:45" s="520" customFormat="1" thickTop="1">
      <c r="A6165" s="51"/>
      <c r="B6165" s="51"/>
      <c r="C6165" s="3"/>
      <c r="D6165" s="3"/>
      <c r="E6165" s="51"/>
      <c r="F6165" s="51"/>
      <c r="G6165" s="51"/>
      <c r="H6165" s="51"/>
      <c r="I6165" s="51"/>
      <c r="J6165" s="51"/>
      <c r="K6165" s="51" t="s">
        <v>134</v>
      </c>
      <c r="L6165" s="51"/>
      <c r="M6165" s="51"/>
      <c r="N6165" s="51"/>
      <c r="O6165" s="52"/>
      <c r="P6165" s="51"/>
      <c r="Q6165" s="51"/>
      <c r="R6165" s="51"/>
      <c r="S6165" s="51"/>
      <c r="T6165" s="51"/>
      <c r="AR6165" s="51"/>
      <c r="AS6165" s="51"/>
    </row>
    <row r="6166" spans="1:45" s="520" customFormat="1" ht="12">
      <c r="A6166" s="51"/>
      <c r="B6166" s="51"/>
      <c r="C6166" s="51" t="s">
        <v>135</v>
      </c>
      <c r="D6166" s="37"/>
      <c r="E6166" s="51"/>
      <c r="F6166" s="51"/>
      <c r="G6166" s="51"/>
      <c r="H6166" s="51"/>
      <c r="I6166" s="51"/>
      <c r="J6166" s="51"/>
      <c r="K6166" s="51"/>
      <c r="L6166" s="51"/>
      <c r="M6166" s="51"/>
      <c r="N6166" s="51"/>
      <c r="O6166" s="52"/>
      <c r="P6166" s="51"/>
      <c r="Q6166" s="51"/>
      <c r="R6166" s="51"/>
      <c r="S6166" s="51"/>
      <c r="T6166" s="51"/>
      <c r="AR6166" s="51"/>
      <c r="AS6166" s="51"/>
    </row>
    <row r="6167" spans="1:45" s="520" customFormat="1" ht="12">
      <c r="A6167" s="51"/>
      <c r="B6167" s="51"/>
      <c r="C6167" s="51"/>
      <c r="D6167" s="37" t="s">
        <v>934</v>
      </c>
      <c r="E6167" s="51"/>
      <c r="F6167" s="51"/>
      <c r="G6167" s="51"/>
      <c r="H6167" s="51"/>
      <c r="I6167" s="51"/>
      <c r="J6167" s="51"/>
      <c r="K6167" s="51"/>
      <c r="L6167" s="51"/>
      <c r="M6167" s="51"/>
      <c r="N6167" s="51"/>
      <c r="O6167" s="52"/>
      <c r="P6167" s="51"/>
      <c r="Q6167" s="51"/>
      <c r="R6167" s="51"/>
      <c r="S6167" s="38"/>
      <c r="T6167" s="38"/>
      <c r="AR6167" s="51"/>
      <c r="AS6167" s="51"/>
    </row>
    <row r="6168" spans="1:45" s="3" customFormat="1" thickBot="1">
      <c r="A6168" s="531"/>
      <c r="O6168" s="107"/>
      <c r="AR6168" s="531"/>
    </row>
    <row r="6169" spans="1:45" s="520" customFormat="1" thickTop="1">
      <c r="A6169" s="51"/>
      <c r="B6169" s="51"/>
      <c r="C6169" s="3"/>
      <c r="D6169" s="3"/>
      <c r="E6169" s="51"/>
      <c r="F6169" s="51"/>
      <c r="G6169" s="51"/>
      <c r="H6169" s="51"/>
      <c r="I6169" s="51"/>
      <c r="J6169" s="51"/>
      <c r="K6169" s="51" t="s">
        <v>134</v>
      </c>
      <c r="L6169" s="51"/>
      <c r="M6169" s="51"/>
      <c r="N6169" s="51"/>
      <c r="O6169" s="52"/>
      <c r="P6169" s="51"/>
      <c r="Q6169" s="51"/>
      <c r="R6169" s="51"/>
      <c r="S6169" s="51"/>
      <c r="T6169" s="51"/>
      <c r="AR6169" s="51"/>
      <c r="AS6169" s="51"/>
    </row>
    <row r="6170" spans="1:45" s="520" customFormat="1" ht="12">
      <c r="A6170" s="51"/>
      <c r="B6170" s="51"/>
      <c r="C6170" s="51" t="s">
        <v>135</v>
      </c>
      <c r="D6170" s="37"/>
      <c r="E6170" s="51"/>
      <c r="F6170" s="51"/>
      <c r="G6170" s="51"/>
      <c r="H6170" s="51"/>
      <c r="I6170" s="51"/>
      <c r="J6170" s="51"/>
      <c r="K6170" s="51"/>
      <c r="L6170" s="51"/>
      <c r="M6170" s="51"/>
      <c r="N6170" s="51"/>
      <c r="O6170" s="52"/>
      <c r="P6170" s="51"/>
      <c r="Q6170" s="51"/>
      <c r="R6170" s="51"/>
      <c r="S6170" s="51"/>
      <c r="T6170" s="51"/>
      <c r="AR6170" s="51"/>
      <c r="AS6170" s="51"/>
    </row>
    <row r="6171" spans="1:45" s="520" customFormat="1" ht="12">
      <c r="A6171" s="51"/>
      <c r="B6171" s="51"/>
      <c r="C6171" s="51"/>
      <c r="D6171" s="37" t="s">
        <v>910</v>
      </c>
      <c r="E6171" s="51"/>
      <c r="F6171" s="51"/>
      <c r="G6171" s="51"/>
      <c r="H6171" s="51"/>
      <c r="I6171" s="51"/>
      <c r="J6171" s="51"/>
      <c r="K6171" s="51"/>
      <c r="L6171" s="51"/>
      <c r="M6171" s="51"/>
      <c r="N6171" s="51"/>
      <c r="O6171" s="52"/>
      <c r="P6171" s="51"/>
      <c r="Q6171" s="51"/>
      <c r="R6171" s="51"/>
      <c r="S6171" s="38"/>
      <c r="T6171" s="38"/>
      <c r="AR6171" s="51"/>
      <c r="AS6171" s="51"/>
    </row>
    <row r="6172" spans="1:45" s="3" customFormat="1" thickBot="1">
      <c r="A6172" s="531"/>
      <c r="O6172" s="107"/>
      <c r="AR6172" s="531"/>
    </row>
    <row r="6173" spans="1:45" s="520" customFormat="1" ht="12" thickTop="1">
      <c r="A6173" s="51"/>
      <c r="B6173" s="41"/>
      <c r="C6173" s="51"/>
      <c r="E6173" s="42" t="s">
        <v>138</v>
      </c>
      <c r="F6173" s="42" t="s">
        <v>139</v>
      </c>
      <c r="G6173" s="51"/>
      <c r="H6173" s="51"/>
      <c r="I6173" s="51"/>
      <c r="J6173" s="51"/>
      <c r="K6173" s="51" t="s">
        <v>140</v>
      </c>
      <c r="L6173" s="51"/>
      <c r="M6173" s="51"/>
      <c r="N6173" s="51"/>
      <c r="O6173" s="52"/>
      <c r="P6173" s="51"/>
      <c r="Q6173" s="51"/>
      <c r="R6173" s="51"/>
      <c r="S6173" s="51"/>
      <c r="T6173" s="41"/>
      <c r="AG6173" s="521" t="s">
        <v>268</v>
      </c>
      <c r="AH6173" s="521" t="s">
        <v>269</v>
      </c>
      <c r="AI6173" s="521" t="s">
        <v>270</v>
      </c>
      <c r="AJ6173" s="521" t="s">
        <v>271</v>
      </c>
      <c r="AK6173" s="521" t="s">
        <v>272</v>
      </c>
      <c r="AM6173" s="745" t="s">
        <v>281</v>
      </c>
      <c r="AN6173" s="746" t="s">
        <v>282</v>
      </c>
      <c r="AO6173" s="522" t="s">
        <v>278</v>
      </c>
      <c r="AR6173" s="51"/>
      <c r="AS6173" s="42" t="s">
        <v>139</v>
      </c>
    </row>
    <row r="6174" spans="1:45" s="520" customFormat="1" ht="12" customHeight="1">
      <c r="A6174" s="747">
        <v>10</v>
      </c>
      <c r="B6174" s="523" t="s">
        <v>320</v>
      </c>
      <c r="C6174" s="748"/>
      <c r="D6174" s="749" t="s">
        <v>1980</v>
      </c>
      <c r="E6174" s="750">
        <f ca="1">IF(AND($A6174=0,$A$1="DIF"),0, ROUND(ROUND(($R6181*$S$2+($T6181*$T$2))/A6174,2)*$C$2,2))</f>
        <v>16.87</v>
      </c>
      <c r="F6174" s="751">
        <f ca="1">ROUND($A6174*$E6174,2)</f>
        <v>168.7</v>
      </c>
      <c r="G6174" s="752" t="s">
        <v>142</v>
      </c>
      <c r="H6174" s="753"/>
      <c r="I6174" s="754"/>
      <c r="J6174" s="753"/>
      <c r="K6174" s="753" t="s">
        <v>3</v>
      </c>
      <c r="L6174" s="755" t="s">
        <v>143</v>
      </c>
      <c r="M6174" s="755"/>
      <c r="N6174" s="755"/>
      <c r="O6174" s="755"/>
      <c r="P6174" s="755"/>
      <c r="Q6174" s="51"/>
      <c r="T6174" s="756" t="str">
        <f ca="1">IF(AND($R6181=0,$T6181=0),"0.00","mu :" &amp; ROUND($F6174/$C$2/($R6181+$T6181*$D$9),2))</f>
        <v>mu :1.23</v>
      </c>
      <c r="W6174" s="524"/>
      <c r="AG6174" s="481">
        <f ca="1">IF($E6174=0,0,ROUND($R6181*$S$2*$C$2/$A6174,2))</f>
        <v>7.75</v>
      </c>
      <c r="AH6174" s="481">
        <f ca="1">$AG6174*$A6174</f>
        <v>77.5</v>
      </c>
      <c r="AI6174" s="525">
        <f ca="1">$E6174-$AG6174</f>
        <v>9.120000000000001</v>
      </c>
      <c r="AJ6174" s="525">
        <f ca="1">$A6174*$AI6174</f>
        <v>91.200000000000017</v>
      </c>
      <c r="AK6174" s="526">
        <f ca="1">ROUND(($AG6174+$AI6174)*$A6174,2)</f>
        <v>168.7</v>
      </c>
      <c r="AM6174" s="527">
        <f ca="1">ROUND(R6181,2)</f>
        <v>62.9</v>
      </c>
      <c r="AN6174" s="528">
        <f ca="1">ROUND(T6181,2)</f>
        <v>2.7</v>
      </c>
      <c r="AO6174" s="529">
        <f ca="1">ROUND(AM6174+AN6174,2)*A6174</f>
        <v>656</v>
      </c>
      <c r="AR6174" s="747">
        <v>10</v>
      </c>
      <c r="AS6174" s="751">
        <v>178.9</v>
      </c>
    </row>
    <row r="6175" spans="1:45" s="520" customFormat="1" ht="13.2">
      <c r="A6175" s="748"/>
      <c r="B6175"/>
      <c r="C6175" s="748"/>
      <c r="D6175" s="749" t="s">
        <v>912</v>
      </c>
      <c r="F6175" s="753"/>
      <c r="G6175" s="3"/>
      <c r="H6175" s="753"/>
      <c r="I6175" s="754"/>
      <c r="J6175" s="753"/>
      <c r="K6175" s="753" t="s">
        <v>144</v>
      </c>
      <c r="L6175" s="753"/>
      <c r="M6175" s="753"/>
      <c r="N6175" s="753"/>
      <c r="O6175" s="753"/>
      <c r="P6175" s="753"/>
      <c r="Q6175" s="51"/>
      <c r="R6175" s="530"/>
      <c r="S6175" s="757"/>
      <c r="T6175" s="753"/>
      <c r="AR6175" s="748"/>
      <c r="AS6175" s="753"/>
    </row>
    <row r="6176" spans="1:45" s="886" customFormat="1" ht="13.2">
      <c r="A6176"/>
      <c r="B6176" s="910"/>
      <c r="C6176" s="910" t="s">
        <v>2597</v>
      </c>
      <c r="D6176" s="910" t="str">
        <f ca="1">CELL("Address",Elec_Rates!D$785)</f>
        <v>[E25_0062_Quintano_Foods_Elec_ELV_As_Awarded.xlsx]Elec_Rates!$D$785</v>
      </c>
      <c r="E6176" s="911"/>
      <c r="F6176" s="911"/>
      <c r="G6176" s="912" t="s">
        <v>2598</v>
      </c>
      <c r="H6176" s="912"/>
      <c r="I6176" s="912"/>
      <c r="J6176" s="912"/>
      <c r="K6176" s="913"/>
      <c r="L6176" s="911"/>
      <c r="M6176" s="911"/>
      <c r="N6176" s="911"/>
      <c r="O6176" s="914"/>
      <c r="P6176" s="911"/>
      <c r="Q6176" s="915"/>
      <c r="R6176" s="916"/>
      <c r="S6176" s="915"/>
      <c r="T6176" s="917"/>
      <c r="U6176" s="918"/>
      <c r="AR6176"/>
      <c r="AS6176" s="911"/>
    </row>
    <row r="6177" spans="1:45" s="886" customFormat="1" ht="11.4">
      <c r="A6177" s="919">
        <v>10</v>
      </c>
      <c r="B6177" s="920">
        <v>1</v>
      </c>
      <c r="C6177" s="920">
        <f>$A6177*$B6177</f>
        <v>10</v>
      </c>
      <c r="D6177" s="921" t="str">
        <f>Elec_Rates!$D$785</f>
        <v>075# 100mm cable Tray</v>
      </c>
      <c r="E6177" s="921"/>
      <c r="F6177" s="921" t="s">
        <v>2599</v>
      </c>
      <c r="G6177" s="922" t="s">
        <v>2601</v>
      </c>
      <c r="H6177" s="922"/>
      <c r="I6177" s="922"/>
      <c r="J6177" s="922"/>
      <c r="K6177" s="923"/>
      <c r="L6177" s="918"/>
      <c r="M6177" s="918"/>
      <c r="N6177" s="918"/>
      <c r="O6177" s="924"/>
      <c r="P6177" s="921"/>
      <c r="Q6177" s="925">
        <f ca="1">$B6177*Elec_Rates!$R$785</f>
        <v>3.92</v>
      </c>
      <c r="R6177" s="916">
        <f ca="1">$A6177*Q6177</f>
        <v>39.200000000000003</v>
      </c>
      <c r="S6177" s="925">
        <f ca="1">$B6177*Elec_Rates!$T$785</f>
        <v>0.18</v>
      </c>
      <c r="T6177" s="917">
        <f ca="1">$A6177*S6177</f>
        <v>1.7999999999999998</v>
      </c>
      <c r="U6177" s="926"/>
      <c r="AR6177" s="919">
        <v>10</v>
      </c>
      <c r="AS6177" s="921" t="s">
        <v>2599</v>
      </c>
    </row>
    <row r="6178" spans="1:45" s="886" customFormat="1" ht="13.2">
      <c r="A6178"/>
      <c r="B6178" s="910"/>
      <c r="C6178" s="910" t="s">
        <v>2597</v>
      </c>
      <c r="D6178" s="910" t="str">
        <f ca="1">CELL("Address",Elec_Rates!D$907)</f>
        <v>[E25_0062_Quintano_Foods_Elec_ELV_As_Awarded.xlsx]Elec_Rates!$D$907</v>
      </c>
      <c r="E6178" s="911"/>
      <c r="F6178" s="911"/>
      <c r="G6178" s="912" t="s">
        <v>2598</v>
      </c>
      <c r="H6178" s="912"/>
      <c r="I6178" s="912"/>
      <c r="J6178" s="912"/>
      <c r="K6178" s="913"/>
      <c r="L6178" s="911"/>
      <c r="M6178" s="911"/>
      <c r="N6178" s="911"/>
      <c r="O6178" s="914"/>
      <c r="P6178" s="911"/>
      <c r="Q6178" s="915"/>
      <c r="R6178" s="916"/>
      <c r="S6178" s="915"/>
      <c r="T6178" s="917"/>
      <c r="U6178" s="918"/>
      <c r="AR6178"/>
      <c r="AS6178" s="911"/>
    </row>
    <row r="6179" spans="1:45" s="886" customFormat="1" ht="11.4">
      <c r="A6179" s="919">
        <v>10</v>
      </c>
      <c r="B6179" s="920">
        <v>1</v>
      </c>
      <c r="C6179" s="920">
        <f>$A6179*$B6179</f>
        <v>10</v>
      </c>
      <c r="D6179" s="921" t="str">
        <f>Elec_Rates!$D$907</f>
        <v>084# Bracket for 50-150mm cable tray/basket/trunking</v>
      </c>
      <c r="E6179" s="921"/>
      <c r="F6179" s="921" t="s">
        <v>2599</v>
      </c>
      <c r="G6179" s="922" t="s">
        <v>2600</v>
      </c>
      <c r="H6179" s="922"/>
      <c r="I6179" s="922"/>
      <c r="J6179" s="922"/>
      <c r="K6179" s="923"/>
      <c r="L6179" s="918"/>
      <c r="M6179" s="918"/>
      <c r="N6179" s="918"/>
      <c r="O6179" s="924"/>
      <c r="P6179" s="921"/>
      <c r="Q6179" s="925">
        <f ca="1">$B6179*Elec_Rates!$R$907</f>
        <v>2.37</v>
      </c>
      <c r="R6179" s="916">
        <f ca="1">$A6179*Q6179</f>
        <v>23.700000000000003</v>
      </c>
      <c r="S6179" s="925">
        <f ca="1">$B6179*Elec_Rates!$T$907</f>
        <v>0.09</v>
      </c>
      <c r="T6179" s="917">
        <f ca="1">$A6179*S6179</f>
        <v>0.89999999999999991</v>
      </c>
      <c r="U6179" s="926"/>
      <c r="AR6179" s="919">
        <v>10</v>
      </c>
      <c r="AS6179" s="921" t="s">
        <v>2599</v>
      </c>
    </row>
    <row r="6180" spans="1:45" s="520" customFormat="1" ht="12">
      <c r="A6180" s="758"/>
      <c r="B6180" s="758"/>
      <c r="C6180" s="758"/>
      <c r="D6180" s="758"/>
      <c r="E6180" s="758"/>
      <c r="F6180" s="753"/>
      <c r="G6180" s="758"/>
      <c r="H6180" s="758"/>
      <c r="I6180" s="519"/>
      <c r="J6180" s="758"/>
      <c r="K6180" s="758"/>
      <c r="L6180" s="758"/>
      <c r="M6180" s="758"/>
      <c r="N6180" s="758"/>
      <c r="O6180" s="758"/>
      <c r="P6180" s="758"/>
      <c r="Q6180" s="519"/>
      <c r="R6180" s="759">
        <f t="shared" ref="R6180" si="402">$A6180*Q6180</f>
        <v>0</v>
      </c>
      <c r="S6180" s="519"/>
      <c r="T6180" s="760">
        <f t="shared" ref="T6180" si="403">$A6180*S6180*$T$1</f>
        <v>0</v>
      </c>
      <c r="AR6180" s="758"/>
      <c r="AS6180" s="753"/>
    </row>
    <row r="6181" spans="1:45" s="520" customFormat="1" ht="12.6" thickBot="1">
      <c r="A6181" s="761" t="s">
        <v>145</v>
      </c>
      <c r="B6181" s="762">
        <f>(R6180+T6180)</f>
        <v>0</v>
      </c>
      <c r="C6181" s="763"/>
      <c r="D6181" s="763"/>
      <c r="E6181" s="763"/>
      <c r="F6181" s="764"/>
      <c r="G6181" s="763" t="s">
        <v>146</v>
      </c>
      <c r="H6181" s="763"/>
      <c r="I6181" s="765"/>
      <c r="J6181" s="763"/>
      <c r="K6181" s="763" t="s">
        <v>3</v>
      </c>
      <c r="L6181" s="766" t="s">
        <v>143</v>
      </c>
      <c r="M6181" s="766"/>
      <c r="N6181" s="766"/>
      <c r="O6181" s="766"/>
      <c r="P6181" s="766"/>
      <c r="Q6181" s="767"/>
      <c r="R6181" s="768">
        <f ca="1">SUM(R6175:R6180)</f>
        <v>62.900000000000006</v>
      </c>
      <c r="S6181" s="763"/>
      <c r="T6181" s="768">
        <f ca="1">SUM(T6175:T6180)</f>
        <v>2.6999999999999997</v>
      </c>
      <c r="U6181" s="531"/>
      <c r="V6181" s="531"/>
      <c r="W6181" s="531"/>
      <c r="X6181" s="531"/>
      <c r="Y6181" s="531"/>
      <c r="Z6181" s="531"/>
      <c r="AA6181" s="531"/>
      <c r="AB6181" s="531"/>
      <c r="AC6181" s="531"/>
      <c r="AD6181" s="531"/>
      <c r="AE6181" s="531"/>
      <c r="AF6181" s="531"/>
      <c r="AG6181" s="531"/>
      <c r="AH6181" s="531"/>
      <c r="AI6181" s="531"/>
      <c r="AJ6181" s="531"/>
      <c r="AK6181" s="531"/>
      <c r="AL6181" s="531"/>
      <c r="AM6181" s="531"/>
      <c r="AN6181" s="531"/>
      <c r="AO6181" s="531"/>
      <c r="AR6181" s="761" t="s">
        <v>145</v>
      </c>
      <c r="AS6181" s="764"/>
    </row>
    <row r="6182" spans="1:45" s="520" customFormat="1" ht="12" thickTop="1">
      <c r="A6182" s="51"/>
      <c r="B6182" s="41"/>
      <c r="C6182" s="51"/>
      <c r="E6182" s="42" t="s">
        <v>138</v>
      </c>
      <c r="F6182" s="42" t="s">
        <v>139</v>
      </c>
      <c r="G6182" s="51"/>
      <c r="H6182" s="51"/>
      <c r="I6182" s="51"/>
      <c r="J6182" s="51"/>
      <c r="K6182" s="51" t="s">
        <v>140</v>
      </c>
      <c r="L6182" s="51"/>
      <c r="M6182" s="51"/>
      <c r="N6182" s="51"/>
      <c r="O6182" s="52"/>
      <c r="P6182" s="51"/>
      <c r="Q6182" s="51"/>
      <c r="R6182" s="51"/>
      <c r="S6182" s="51"/>
      <c r="T6182" s="41"/>
      <c r="AG6182" s="521" t="s">
        <v>268</v>
      </c>
      <c r="AH6182" s="521" t="s">
        <v>269</v>
      </c>
      <c r="AI6182" s="521" t="s">
        <v>270</v>
      </c>
      <c r="AJ6182" s="521" t="s">
        <v>271</v>
      </c>
      <c r="AK6182" s="521" t="s">
        <v>272</v>
      </c>
      <c r="AM6182" s="745" t="s">
        <v>281</v>
      </c>
      <c r="AN6182" s="746" t="s">
        <v>282</v>
      </c>
      <c r="AO6182" s="522" t="s">
        <v>278</v>
      </c>
      <c r="AR6182" s="51"/>
      <c r="AS6182" s="42" t="s">
        <v>139</v>
      </c>
    </row>
    <row r="6183" spans="1:45" s="520" customFormat="1" ht="12" customHeight="1">
      <c r="A6183" s="747">
        <v>5</v>
      </c>
      <c r="B6183" s="523" t="s">
        <v>320</v>
      </c>
      <c r="C6183" s="748"/>
      <c r="D6183" s="749" t="s">
        <v>1981</v>
      </c>
      <c r="E6183" s="750">
        <f ca="1">IF(AND($A6183=0,$A$1="DIF"),0, ROUND(ROUND(($R6190*$S$2+($T6190*$T$2))/A6183,2)*$C$2,2))</f>
        <v>55.26</v>
      </c>
      <c r="F6183" s="751">
        <f ca="1">ROUND($A6183*$E6183,2)</f>
        <v>276.3</v>
      </c>
      <c r="G6183" s="752" t="s">
        <v>142</v>
      </c>
      <c r="H6183" s="753"/>
      <c r="I6183" s="754"/>
      <c r="J6183" s="753"/>
      <c r="K6183" s="753" t="s">
        <v>3</v>
      </c>
      <c r="L6183" s="755" t="s">
        <v>143</v>
      </c>
      <c r="M6183" s="755"/>
      <c r="N6183" s="755"/>
      <c r="O6183" s="755"/>
      <c r="P6183" s="755"/>
      <c r="Q6183" s="51"/>
      <c r="T6183" s="756" t="str">
        <f ca="1">IF(AND($R6190=0,$T6190=0),"0.00","mu :" &amp; ROUND($F6183/$C$2/($R6190+$T6190*$D$9),2))</f>
        <v>mu :1.23</v>
      </c>
      <c r="W6183" s="524"/>
      <c r="AG6183" s="481">
        <f ca="1">IF($E6183=0,0,ROUND($R6190*$S$2*$C$2/$A6183,2))</f>
        <v>36.32</v>
      </c>
      <c r="AH6183" s="481">
        <f ca="1">$AG6183*$A6183</f>
        <v>181.6</v>
      </c>
      <c r="AI6183" s="525">
        <f ca="1">$E6183-$AG6183</f>
        <v>18.939999999999998</v>
      </c>
      <c r="AJ6183" s="525">
        <f ca="1">$A6183*$AI6183</f>
        <v>94.699999999999989</v>
      </c>
      <c r="AK6183" s="526">
        <f ca="1">ROUND(($AG6183+$AI6183)*$A6183,2)</f>
        <v>276.3</v>
      </c>
      <c r="AM6183" s="527">
        <f ca="1">ROUND(R6190,2)</f>
        <v>147.5</v>
      </c>
      <c r="AN6183" s="528">
        <f ca="1">ROUND(T6190,2)</f>
        <v>2.8</v>
      </c>
      <c r="AO6183" s="529">
        <f ca="1">ROUND(AM6183+AN6183,2)*A6183</f>
        <v>751.5</v>
      </c>
      <c r="AR6183" s="747">
        <v>5</v>
      </c>
      <c r="AS6183" s="751">
        <v>286.45</v>
      </c>
    </row>
    <row r="6184" spans="1:45" s="520" customFormat="1" ht="13.2">
      <c r="A6184" s="748"/>
      <c r="B6184"/>
      <c r="C6184" s="748"/>
      <c r="D6184" s="749" t="s">
        <v>917</v>
      </c>
      <c r="F6184" s="753"/>
      <c r="G6184" s="3"/>
      <c r="H6184" s="753"/>
      <c r="I6184" s="754"/>
      <c r="J6184" s="753"/>
      <c r="K6184" s="753" t="s">
        <v>144</v>
      </c>
      <c r="L6184" s="753"/>
      <c r="M6184" s="753"/>
      <c r="N6184" s="753"/>
      <c r="O6184" s="753"/>
      <c r="P6184" s="753"/>
      <c r="Q6184" s="51"/>
      <c r="R6184" s="530"/>
      <c r="S6184" s="757"/>
      <c r="T6184" s="753"/>
      <c r="AR6184" s="748"/>
      <c r="AS6184" s="753"/>
    </row>
    <row r="6185" spans="1:45" s="886" customFormat="1" ht="13.2">
      <c r="A6185"/>
      <c r="B6185" s="910"/>
      <c r="C6185" s="910" t="s">
        <v>2597</v>
      </c>
      <c r="D6185" s="910" t="str">
        <f ca="1">CELL("Address",Elec_Rates!D$739)</f>
        <v>[E25_0062_Quintano_Foods_Elec_ELV_As_Awarded.xlsx]Elec_Rates!$D$739</v>
      </c>
      <c r="E6185" s="911"/>
      <c r="F6185" s="911"/>
      <c r="G6185" s="912" t="s">
        <v>2598</v>
      </c>
      <c r="H6185" s="912"/>
      <c r="I6185" s="912"/>
      <c r="J6185" s="912"/>
      <c r="K6185" s="913"/>
      <c r="L6185" s="911"/>
      <c r="M6185" s="911"/>
      <c r="N6185" s="911"/>
      <c r="O6185" s="914"/>
      <c r="P6185" s="911"/>
      <c r="Q6185" s="915"/>
      <c r="R6185" s="916"/>
      <c r="S6185" s="915"/>
      <c r="T6185" s="917"/>
      <c r="U6185" s="918"/>
      <c r="AR6185"/>
      <c r="AS6185" s="911"/>
    </row>
    <row r="6186" spans="1:45" s="886" customFormat="1" ht="11.4">
      <c r="A6186" s="919">
        <v>5</v>
      </c>
      <c r="B6186" s="920">
        <v>1</v>
      </c>
      <c r="C6186" s="920">
        <f>$A6186*$B6186</f>
        <v>5</v>
      </c>
      <c r="D6186" s="921" t="str">
        <f>Elec_Rates!$D$739</f>
        <v>071# 500mm cable Tray</v>
      </c>
      <c r="E6186" s="921"/>
      <c r="F6186" s="921" t="s">
        <v>2599</v>
      </c>
      <c r="G6186" s="922" t="s">
        <v>2601</v>
      </c>
      <c r="H6186" s="922"/>
      <c r="I6186" s="922"/>
      <c r="J6186" s="922"/>
      <c r="K6186" s="923"/>
      <c r="L6186" s="918"/>
      <c r="M6186" s="918"/>
      <c r="N6186" s="918"/>
      <c r="O6186" s="924"/>
      <c r="P6186" s="921"/>
      <c r="Q6186" s="925">
        <f ca="1">$B6186*Elec_Rates!$R$739</f>
        <v>13.13</v>
      </c>
      <c r="R6186" s="916">
        <f ca="1">$A6186*Q6186</f>
        <v>65.650000000000006</v>
      </c>
      <c r="S6186" s="925">
        <f ca="1">$B6186*Elec_Rates!$T$739</f>
        <v>0.41</v>
      </c>
      <c r="T6186" s="917">
        <f ca="1">$A6186*S6186</f>
        <v>2.0499999999999998</v>
      </c>
      <c r="U6186" s="926"/>
      <c r="AR6186" s="919">
        <v>5</v>
      </c>
      <c r="AS6186" s="921" t="s">
        <v>2599</v>
      </c>
    </row>
    <row r="6187" spans="1:45" s="886" customFormat="1" ht="13.2">
      <c r="A6187"/>
      <c r="B6187" s="910"/>
      <c r="C6187" s="910" t="s">
        <v>2597</v>
      </c>
      <c r="D6187" s="910" t="str">
        <f ca="1">CELL("Address",Elec_Rates!D$933)</f>
        <v>[E25_0062_Quintano_Foods_Elec_ELV_As_Awarded.xlsx]Elec_Rates!$D$933</v>
      </c>
      <c r="E6187" s="911"/>
      <c r="F6187" s="911"/>
      <c r="G6187" s="912" t="s">
        <v>2598</v>
      </c>
      <c r="H6187" s="912"/>
      <c r="I6187" s="912"/>
      <c r="J6187" s="912"/>
      <c r="K6187" s="913"/>
      <c r="L6187" s="911"/>
      <c r="M6187" s="911"/>
      <c r="N6187" s="911"/>
      <c r="O6187" s="914"/>
      <c r="P6187" s="911"/>
      <c r="Q6187" s="915"/>
      <c r="R6187" s="916"/>
      <c r="S6187" s="915"/>
      <c r="T6187" s="917"/>
      <c r="U6187" s="918"/>
      <c r="AR6187"/>
      <c r="AS6187" s="911"/>
    </row>
    <row r="6188" spans="1:45" s="886" customFormat="1" ht="11.4">
      <c r="A6188" s="919">
        <v>5</v>
      </c>
      <c r="B6188" s="920">
        <v>1</v>
      </c>
      <c r="C6188" s="920">
        <f>$A6188*$B6188</f>
        <v>5</v>
      </c>
      <c r="D6188" s="921" t="str">
        <f>Elec_Rates!$D$933</f>
        <v>086# Bracket for 400-600mm cable tray/basket</v>
      </c>
      <c r="E6188" s="921"/>
      <c r="F6188" s="921" t="s">
        <v>2599</v>
      </c>
      <c r="G6188" s="922" t="s">
        <v>2600</v>
      </c>
      <c r="H6188" s="922"/>
      <c r="I6188" s="922"/>
      <c r="J6188" s="922"/>
      <c r="K6188" s="923"/>
      <c r="L6188" s="918"/>
      <c r="M6188" s="918"/>
      <c r="N6188" s="918"/>
      <c r="O6188" s="924"/>
      <c r="P6188" s="921"/>
      <c r="Q6188" s="925">
        <f ca="1">$B6188*Elec_Rates!$R$933</f>
        <v>16.37</v>
      </c>
      <c r="R6188" s="916">
        <f ca="1">$A6188*Q6188</f>
        <v>81.850000000000009</v>
      </c>
      <c r="S6188" s="925">
        <f ca="1">$B6188*Elec_Rates!$T$933</f>
        <v>0.15</v>
      </c>
      <c r="T6188" s="917">
        <f ca="1">$A6188*S6188</f>
        <v>0.75</v>
      </c>
      <c r="U6188" s="926"/>
      <c r="AR6188" s="919">
        <v>5</v>
      </c>
      <c r="AS6188" s="921" t="s">
        <v>2599</v>
      </c>
    </row>
    <row r="6189" spans="1:45" s="520" customFormat="1" ht="12">
      <c r="A6189" s="758"/>
      <c r="B6189" s="758"/>
      <c r="C6189" s="758"/>
      <c r="D6189" s="758"/>
      <c r="E6189" s="758"/>
      <c r="F6189" s="753"/>
      <c r="G6189" s="758"/>
      <c r="H6189" s="758"/>
      <c r="I6189" s="519"/>
      <c r="J6189" s="758"/>
      <c r="K6189" s="758"/>
      <c r="L6189" s="758"/>
      <c r="M6189" s="758"/>
      <c r="N6189" s="758"/>
      <c r="O6189" s="758"/>
      <c r="P6189" s="758"/>
      <c r="Q6189" s="519"/>
      <c r="R6189" s="759">
        <f t="shared" ref="R6189" si="404">$A6189*Q6189</f>
        <v>0</v>
      </c>
      <c r="S6189" s="519"/>
      <c r="T6189" s="760">
        <f t="shared" ref="T6189" si="405">$A6189*S6189*$T$1</f>
        <v>0</v>
      </c>
      <c r="AR6189" s="758"/>
      <c r="AS6189" s="753"/>
    </row>
    <row r="6190" spans="1:45" s="520" customFormat="1" ht="12.6" thickBot="1">
      <c r="A6190" s="761" t="s">
        <v>145</v>
      </c>
      <c r="B6190" s="762">
        <f>(R6189+T6189)</f>
        <v>0</v>
      </c>
      <c r="C6190" s="763"/>
      <c r="D6190" s="763"/>
      <c r="E6190" s="763"/>
      <c r="F6190" s="764"/>
      <c r="G6190" s="763" t="s">
        <v>146</v>
      </c>
      <c r="H6190" s="763"/>
      <c r="I6190" s="765"/>
      <c r="J6190" s="763"/>
      <c r="K6190" s="763" t="s">
        <v>3</v>
      </c>
      <c r="L6190" s="766" t="s">
        <v>143</v>
      </c>
      <c r="M6190" s="766"/>
      <c r="N6190" s="766"/>
      <c r="O6190" s="766"/>
      <c r="P6190" s="766"/>
      <c r="Q6190" s="767"/>
      <c r="R6190" s="768">
        <f ca="1">SUM(R6184:R6189)</f>
        <v>147.5</v>
      </c>
      <c r="S6190" s="763"/>
      <c r="T6190" s="768">
        <f ca="1">SUM(T6184:T6189)</f>
        <v>2.8</v>
      </c>
      <c r="U6190" s="531"/>
      <c r="V6190" s="531"/>
      <c r="W6190" s="531"/>
      <c r="X6190" s="531"/>
      <c r="Y6190" s="531"/>
      <c r="Z6190" s="531"/>
      <c r="AA6190" s="531"/>
      <c r="AB6190" s="531"/>
      <c r="AC6190" s="531"/>
      <c r="AD6190" s="531"/>
      <c r="AE6190" s="531"/>
      <c r="AF6190" s="531"/>
      <c r="AG6190" s="531"/>
      <c r="AH6190" s="531"/>
      <c r="AI6190" s="531"/>
      <c r="AJ6190" s="531"/>
      <c r="AK6190" s="531"/>
      <c r="AL6190" s="531"/>
      <c r="AM6190" s="531"/>
      <c r="AN6190" s="531"/>
      <c r="AO6190" s="531"/>
      <c r="AR6190" s="761" t="s">
        <v>145</v>
      </c>
      <c r="AS6190" s="764"/>
    </row>
    <row r="6191" spans="1:45" s="520" customFormat="1" thickTop="1">
      <c r="A6191" s="51"/>
      <c r="B6191" s="51"/>
      <c r="C6191" s="3"/>
      <c r="D6191" s="3"/>
      <c r="E6191" s="51"/>
      <c r="F6191" s="51"/>
      <c r="G6191" s="51"/>
      <c r="H6191" s="51"/>
      <c r="I6191" s="51"/>
      <c r="J6191" s="51"/>
      <c r="K6191" s="51" t="s">
        <v>134</v>
      </c>
      <c r="L6191" s="51"/>
      <c r="M6191" s="51"/>
      <c r="N6191" s="51"/>
      <c r="O6191" s="52"/>
      <c r="P6191" s="51"/>
      <c r="Q6191" s="51"/>
      <c r="R6191" s="51"/>
      <c r="S6191" s="51"/>
      <c r="T6191" s="51"/>
      <c r="AR6191" s="51"/>
      <c r="AS6191" s="51"/>
    </row>
    <row r="6192" spans="1:45" s="520" customFormat="1" ht="12">
      <c r="A6192" s="51"/>
      <c r="B6192" s="51"/>
      <c r="C6192" s="51" t="s">
        <v>135</v>
      </c>
      <c r="D6192" s="37"/>
      <c r="E6192" s="51"/>
      <c r="F6192" s="51"/>
      <c r="G6192" s="51"/>
      <c r="H6192" s="51"/>
      <c r="I6192" s="51"/>
      <c r="J6192" s="51"/>
      <c r="K6192" s="51"/>
      <c r="L6192" s="51"/>
      <c r="M6192" s="51"/>
      <c r="N6192" s="51"/>
      <c r="O6192" s="52"/>
      <c r="P6192" s="51"/>
      <c r="Q6192" s="51"/>
      <c r="R6192" s="51"/>
      <c r="S6192" s="51"/>
      <c r="T6192" s="51"/>
      <c r="AR6192" s="51"/>
      <c r="AS6192" s="51"/>
    </row>
    <row r="6193" spans="1:45" s="520" customFormat="1" ht="12">
      <c r="A6193" s="51"/>
      <c r="B6193" s="51"/>
      <c r="C6193" s="51"/>
      <c r="D6193" s="37" t="s">
        <v>935</v>
      </c>
      <c r="E6193" s="51"/>
      <c r="F6193" s="51"/>
      <c r="G6193" s="51"/>
      <c r="H6193" s="51"/>
      <c r="I6193" s="51"/>
      <c r="J6193" s="51"/>
      <c r="K6193" s="51"/>
      <c r="L6193" s="51"/>
      <c r="M6193" s="51"/>
      <c r="N6193" s="51"/>
      <c r="O6193" s="52"/>
      <c r="P6193" s="51"/>
      <c r="Q6193" s="51"/>
      <c r="R6193" s="51"/>
      <c r="S6193" s="38"/>
      <c r="T6193" s="38"/>
      <c r="AR6193" s="51"/>
      <c r="AS6193" s="51"/>
    </row>
    <row r="6194" spans="1:45" s="3" customFormat="1" thickBot="1">
      <c r="A6194" s="531"/>
      <c r="O6194" s="107"/>
      <c r="AR6194" s="531"/>
    </row>
    <row r="6195" spans="1:45" s="520" customFormat="1" ht="12" thickTop="1">
      <c r="A6195" s="51"/>
      <c r="B6195" s="41"/>
      <c r="C6195" s="51"/>
      <c r="E6195" s="42" t="s">
        <v>138</v>
      </c>
      <c r="F6195" s="42" t="s">
        <v>139</v>
      </c>
      <c r="G6195" s="51"/>
      <c r="H6195" s="51"/>
      <c r="I6195" s="51"/>
      <c r="J6195" s="51"/>
      <c r="K6195" s="51" t="s">
        <v>140</v>
      </c>
      <c r="L6195" s="51"/>
      <c r="M6195" s="51"/>
      <c r="N6195" s="51"/>
      <c r="O6195" s="52"/>
      <c r="P6195" s="51"/>
      <c r="Q6195" s="51"/>
      <c r="R6195" s="51"/>
      <c r="S6195" s="51"/>
      <c r="T6195" s="41"/>
      <c r="AG6195" s="521" t="s">
        <v>268</v>
      </c>
      <c r="AH6195" s="521" t="s">
        <v>269</v>
      </c>
      <c r="AI6195" s="521" t="s">
        <v>270</v>
      </c>
      <c r="AJ6195" s="521" t="s">
        <v>271</v>
      </c>
      <c r="AK6195" s="521" t="s">
        <v>272</v>
      </c>
      <c r="AM6195" s="745" t="s">
        <v>281</v>
      </c>
      <c r="AN6195" s="746" t="s">
        <v>282</v>
      </c>
      <c r="AO6195" s="522" t="s">
        <v>278</v>
      </c>
      <c r="AR6195" s="51"/>
      <c r="AS6195" s="42" t="s">
        <v>139</v>
      </c>
    </row>
    <row r="6196" spans="1:45" s="520" customFormat="1" ht="12" customHeight="1">
      <c r="A6196" s="747">
        <v>10</v>
      </c>
      <c r="B6196" s="523" t="s">
        <v>320</v>
      </c>
      <c r="C6196" s="748"/>
      <c r="D6196" s="749" t="s">
        <v>1982</v>
      </c>
      <c r="E6196" s="750">
        <f>IF(AND($A6196=0,$A$1="DIF"),0, ROUND(ROUND(($R6201*$S$2+($T6201*$T$2))/A6196,2)*$C$2,2))</f>
        <v>7.99</v>
      </c>
      <c r="F6196" s="751">
        <f>ROUND($A6196*$E6196,2)</f>
        <v>79.900000000000006</v>
      </c>
      <c r="G6196" s="752" t="s">
        <v>142</v>
      </c>
      <c r="H6196" s="753"/>
      <c r="I6196" s="754"/>
      <c r="J6196" s="753"/>
      <c r="K6196" s="753" t="s">
        <v>3</v>
      </c>
      <c r="L6196" s="755" t="s">
        <v>143</v>
      </c>
      <c r="M6196" s="755"/>
      <c r="N6196" s="755"/>
      <c r="O6196" s="755"/>
      <c r="P6196" s="755"/>
      <c r="Q6196" s="51"/>
      <c r="T6196" s="756" t="str">
        <f>IF(AND($R6201=0,$T6201=0),"0.00","mu :" &amp; ROUND($F6196/$C$2/($R6201+$T6201*$D$9),2))</f>
        <v>mu :1.23</v>
      </c>
      <c r="W6196" s="524"/>
      <c r="AG6196" s="481">
        <f>IF($E6196=0,0,ROUND($R6201*$S$2*$C$2/$A6196,2))</f>
        <v>2.82</v>
      </c>
      <c r="AH6196" s="481">
        <f>$AG6196*$A6196</f>
        <v>28.2</v>
      </c>
      <c r="AI6196" s="525">
        <f>$E6196-$AG6196</f>
        <v>5.17</v>
      </c>
      <c r="AJ6196" s="525">
        <f>$A6196*$AI6196</f>
        <v>51.7</v>
      </c>
      <c r="AK6196" s="526">
        <f>ROUND(($AG6196+$AI6196)*$A6196,2)</f>
        <v>79.900000000000006</v>
      </c>
      <c r="AM6196" s="527">
        <f>ROUND(R6201,2)</f>
        <v>22.9</v>
      </c>
      <c r="AN6196" s="528">
        <f>ROUND(T6201,2)</f>
        <v>1.53</v>
      </c>
      <c r="AO6196" s="529">
        <f>ROUND(AM6196+AN6196,2)*A6196</f>
        <v>244.3</v>
      </c>
      <c r="AR6196" s="747">
        <v>10</v>
      </c>
      <c r="AS6196" s="751">
        <v>85.7</v>
      </c>
    </row>
    <row r="6197" spans="1:45" s="520" customFormat="1" ht="13.2">
      <c r="A6197" s="748"/>
      <c r="B6197"/>
      <c r="C6197" s="748"/>
      <c r="D6197" s="749" t="s">
        <v>912</v>
      </c>
      <c r="F6197" s="753"/>
      <c r="G6197" s="3"/>
      <c r="H6197" s="753"/>
      <c r="I6197" s="754"/>
      <c r="J6197" s="753"/>
      <c r="K6197" s="753" t="s">
        <v>144</v>
      </c>
      <c r="L6197" s="753"/>
      <c r="M6197" s="753"/>
      <c r="N6197" s="753"/>
      <c r="O6197" s="753"/>
      <c r="P6197" s="753"/>
      <c r="Q6197" s="51"/>
      <c r="R6197" s="530"/>
      <c r="S6197" s="757"/>
      <c r="T6197" s="753"/>
      <c r="AR6197" s="748"/>
      <c r="AS6197" s="753"/>
    </row>
    <row r="6198" spans="1:45" s="901" customFormat="1" ht="13.2">
      <c r="A6198">
        <v>10</v>
      </c>
      <c r="B6198" s="901" t="s">
        <v>320</v>
      </c>
      <c r="D6198" s="901" t="s">
        <v>3202</v>
      </c>
      <c r="F6198" s="901" t="s">
        <v>3124</v>
      </c>
      <c r="G6198" s="941" t="s">
        <v>3203</v>
      </c>
      <c r="H6198" s="942">
        <v>650</v>
      </c>
      <c r="I6198" s="901" t="s">
        <v>2607</v>
      </c>
      <c r="O6198" s="943">
        <v>1</v>
      </c>
      <c r="P6198" s="944"/>
      <c r="Q6198" s="945">
        <f>ROUNDUP(1.38*1.145,2)</f>
        <v>1.59</v>
      </c>
      <c r="R6198" s="946">
        <f>$A6198*Q6198</f>
        <v>15.9</v>
      </c>
      <c r="S6198" s="945">
        <v>0.17</v>
      </c>
      <c r="T6198" s="947">
        <f>$A6198*S6198*$T$1</f>
        <v>1.5300000000000002</v>
      </c>
      <c r="AR6198">
        <v>10</v>
      </c>
      <c r="AS6198" s="901" t="s">
        <v>3124</v>
      </c>
    </row>
    <row r="6199" spans="1:45" s="901" customFormat="1" ht="13.2">
      <c r="A6199">
        <v>20</v>
      </c>
      <c r="B6199" s="901" t="s">
        <v>320</v>
      </c>
      <c r="D6199" s="901" t="s">
        <v>3200</v>
      </c>
      <c r="F6199" s="901" t="s">
        <v>3124</v>
      </c>
      <c r="G6199" s="941" t="s">
        <v>3201</v>
      </c>
      <c r="H6199" s="942">
        <v>650</v>
      </c>
      <c r="I6199" s="901" t="s">
        <v>2607</v>
      </c>
      <c r="O6199" s="943">
        <v>1</v>
      </c>
      <c r="P6199" s="944"/>
      <c r="Q6199" s="945">
        <f>ROUNDUP(0.3*1.145,2)</f>
        <v>0.35000000000000003</v>
      </c>
      <c r="R6199" s="946">
        <f>$A6199*Q6199</f>
        <v>7.0000000000000009</v>
      </c>
      <c r="S6199" s="945"/>
      <c r="T6199" s="947">
        <f>$A6199*S6199*$T$1</f>
        <v>0</v>
      </c>
      <c r="AR6199">
        <v>20</v>
      </c>
      <c r="AS6199" s="901" t="s">
        <v>3124</v>
      </c>
    </row>
    <row r="6200" spans="1:45" s="520" customFormat="1" ht="12">
      <c r="A6200" s="758"/>
      <c r="B6200" s="758"/>
      <c r="C6200" s="758"/>
      <c r="D6200" s="758"/>
      <c r="E6200" s="758"/>
      <c r="F6200" s="753"/>
      <c r="G6200" s="758"/>
      <c r="H6200" s="758"/>
      <c r="I6200" s="519"/>
      <c r="J6200" s="758"/>
      <c r="K6200" s="758"/>
      <c r="L6200" s="758"/>
      <c r="M6200" s="758"/>
      <c r="N6200" s="758"/>
      <c r="O6200" s="758"/>
      <c r="P6200" s="758"/>
      <c r="Q6200" s="519"/>
      <c r="R6200" s="759">
        <f t="shared" ref="R6200" si="406">$A6200*Q6200</f>
        <v>0</v>
      </c>
      <c r="S6200" s="519"/>
      <c r="T6200" s="760">
        <f t="shared" ref="T6200" si="407">$A6200*S6200*$T$1</f>
        <v>0</v>
      </c>
      <c r="AR6200" s="758"/>
      <c r="AS6200" s="753"/>
    </row>
    <row r="6201" spans="1:45" s="520" customFormat="1" ht="12.6" thickBot="1">
      <c r="A6201" s="761" t="s">
        <v>145</v>
      </c>
      <c r="B6201" s="762">
        <f>(R6200+T6200)</f>
        <v>0</v>
      </c>
      <c r="C6201" s="763"/>
      <c r="D6201" s="763"/>
      <c r="E6201" s="763"/>
      <c r="F6201" s="764"/>
      <c r="G6201" s="763" t="s">
        <v>146</v>
      </c>
      <c r="H6201" s="763"/>
      <c r="I6201" s="765"/>
      <c r="J6201" s="763"/>
      <c r="K6201" s="763" t="s">
        <v>3</v>
      </c>
      <c r="L6201" s="766" t="s">
        <v>143</v>
      </c>
      <c r="M6201" s="766"/>
      <c r="N6201" s="766"/>
      <c r="O6201" s="766"/>
      <c r="P6201" s="766"/>
      <c r="Q6201" s="767"/>
      <c r="R6201" s="768">
        <f>SUM(R6197:R6200)</f>
        <v>22.900000000000002</v>
      </c>
      <c r="S6201" s="763"/>
      <c r="T6201" s="768">
        <f>SUM(T6197:T6200)</f>
        <v>1.5300000000000002</v>
      </c>
      <c r="U6201" s="531"/>
      <c r="V6201" s="531"/>
      <c r="W6201" s="531"/>
      <c r="X6201" s="531"/>
      <c r="Y6201" s="531"/>
      <c r="Z6201" s="531"/>
      <c r="AA6201" s="531"/>
      <c r="AB6201" s="531"/>
      <c r="AC6201" s="531"/>
      <c r="AD6201" s="531"/>
      <c r="AE6201" s="531"/>
      <c r="AF6201" s="531"/>
      <c r="AG6201" s="531"/>
      <c r="AH6201" s="531"/>
      <c r="AI6201" s="531"/>
      <c r="AJ6201" s="531"/>
      <c r="AK6201" s="531"/>
      <c r="AL6201" s="531"/>
      <c r="AM6201" s="531"/>
      <c r="AN6201" s="531"/>
      <c r="AO6201" s="531"/>
      <c r="AR6201" s="761" t="s">
        <v>145</v>
      </c>
      <c r="AS6201" s="764"/>
    </row>
    <row r="6202" spans="1:45" s="520" customFormat="1" ht="12" thickTop="1">
      <c r="A6202" s="51"/>
      <c r="B6202" s="41"/>
      <c r="C6202" s="51"/>
      <c r="E6202" s="42" t="s">
        <v>138</v>
      </c>
      <c r="F6202" s="42" t="s">
        <v>139</v>
      </c>
      <c r="G6202" s="51"/>
      <c r="H6202" s="51"/>
      <c r="I6202" s="51"/>
      <c r="J6202" s="51"/>
      <c r="K6202" s="51" t="s">
        <v>140</v>
      </c>
      <c r="L6202" s="51"/>
      <c r="M6202" s="51"/>
      <c r="N6202" s="51"/>
      <c r="O6202" s="52"/>
      <c r="P6202" s="51"/>
      <c r="Q6202" s="51"/>
      <c r="R6202" s="51"/>
      <c r="S6202" s="51"/>
      <c r="T6202" s="41"/>
      <c r="AG6202" s="521" t="s">
        <v>268</v>
      </c>
      <c r="AH6202" s="521" t="s">
        <v>269</v>
      </c>
      <c r="AI6202" s="521" t="s">
        <v>270</v>
      </c>
      <c r="AJ6202" s="521" t="s">
        <v>271</v>
      </c>
      <c r="AK6202" s="521" t="s">
        <v>272</v>
      </c>
      <c r="AM6202" s="745" t="s">
        <v>281</v>
      </c>
      <c r="AN6202" s="746" t="s">
        <v>282</v>
      </c>
      <c r="AO6202" s="522" t="s">
        <v>278</v>
      </c>
      <c r="AR6202" s="51"/>
      <c r="AS6202" s="42" t="s">
        <v>139</v>
      </c>
    </row>
    <row r="6203" spans="1:45" s="520" customFormat="1" ht="12" customHeight="1">
      <c r="A6203" s="747">
        <v>5</v>
      </c>
      <c r="B6203" s="523" t="s">
        <v>320</v>
      </c>
      <c r="C6203" s="748"/>
      <c r="D6203" s="749" t="s">
        <v>1983</v>
      </c>
      <c r="E6203" s="750">
        <f>IF(AND($A6203=0,$A$1="DIF"),0, ROUND(ROUND(($R6208*$S$2+($T6208*$T$2))/A6203,2)*$C$2,2))</f>
        <v>19.829999999999998</v>
      </c>
      <c r="F6203" s="751">
        <f>ROUND($A6203*$E6203,2)</f>
        <v>99.15</v>
      </c>
      <c r="G6203" s="752" t="s">
        <v>142</v>
      </c>
      <c r="H6203" s="753"/>
      <c r="I6203" s="754"/>
      <c r="J6203" s="753"/>
      <c r="K6203" s="753" t="s">
        <v>3</v>
      </c>
      <c r="L6203" s="755" t="s">
        <v>143</v>
      </c>
      <c r="M6203" s="755"/>
      <c r="N6203" s="755"/>
      <c r="O6203" s="755"/>
      <c r="P6203" s="755"/>
      <c r="Q6203" s="51"/>
      <c r="T6203" s="756" t="str">
        <f>IF(AND($R6208=0,$T6208=0),"0.00","mu :" &amp; ROUND($F6203/$C$2/($R6208+$T6208*$D$9),2))</f>
        <v>mu :1.23</v>
      </c>
      <c r="W6203" s="524"/>
      <c r="AG6203" s="481">
        <f>IF($E6203=0,0,ROUND($R6208*$S$2*$C$2/$A6203,2))</f>
        <v>7.66</v>
      </c>
      <c r="AH6203" s="481">
        <f>$AG6203*$A6203</f>
        <v>38.299999999999997</v>
      </c>
      <c r="AI6203" s="525">
        <f>$E6203-$AG6203</f>
        <v>12.169999999999998</v>
      </c>
      <c r="AJ6203" s="525">
        <f>$A6203*$AI6203</f>
        <v>60.849999999999994</v>
      </c>
      <c r="AK6203" s="526">
        <f>ROUND(($AG6203+$AI6203)*$A6203,2)</f>
        <v>99.15</v>
      </c>
      <c r="AM6203" s="527">
        <f>ROUND(R6208,2)</f>
        <v>31.1</v>
      </c>
      <c r="AN6203" s="528">
        <f>ROUND(T6208,2)</f>
        <v>1.8</v>
      </c>
      <c r="AO6203" s="529">
        <f>ROUND(AM6203+AN6203,2)*A6203</f>
        <v>164.5</v>
      </c>
      <c r="AR6203" s="747">
        <v>5</v>
      </c>
      <c r="AS6203" s="751">
        <v>105.9</v>
      </c>
    </row>
    <row r="6204" spans="1:45" s="520" customFormat="1" ht="13.2">
      <c r="A6204" s="748"/>
      <c r="B6204"/>
      <c r="C6204" s="748"/>
      <c r="D6204" s="749" t="s">
        <v>917</v>
      </c>
      <c r="F6204" s="753"/>
      <c r="G6204" s="3"/>
      <c r="H6204" s="753"/>
      <c r="I6204" s="754"/>
      <c r="J6204" s="753"/>
      <c r="K6204" s="753" t="s">
        <v>144</v>
      </c>
      <c r="L6204" s="753"/>
      <c r="M6204" s="753"/>
      <c r="N6204" s="753"/>
      <c r="O6204" s="753"/>
      <c r="P6204" s="753"/>
      <c r="Q6204" s="51"/>
      <c r="R6204" s="530"/>
      <c r="S6204" s="757"/>
      <c r="T6204" s="753"/>
      <c r="AR6204" s="748"/>
      <c r="AS6204" s="753"/>
    </row>
    <row r="6205" spans="1:45" s="901" customFormat="1" ht="13.2">
      <c r="A6205">
        <v>5</v>
      </c>
      <c r="B6205" s="901" t="s">
        <v>320</v>
      </c>
      <c r="D6205" s="901" t="s">
        <v>3403</v>
      </c>
      <c r="F6205" s="901" t="s">
        <v>3124</v>
      </c>
      <c r="G6205" s="941" t="s">
        <v>3207</v>
      </c>
      <c r="H6205" s="942">
        <v>650</v>
      </c>
      <c r="I6205" s="901" t="s">
        <v>2607</v>
      </c>
      <c r="O6205" s="943">
        <v>1</v>
      </c>
      <c r="P6205" s="944"/>
      <c r="Q6205" s="945">
        <f>ROUNDUP(4.82*1.145,2)</f>
        <v>5.52</v>
      </c>
      <c r="R6205" s="946">
        <f>$A6205*Q6205</f>
        <v>27.599999999999998</v>
      </c>
      <c r="S6205" s="945">
        <v>0.4</v>
      </c>
      <c r="T6205" s="947">
        <f>$A6205*S6205*$T$1</f>
        <v>1.8</v>
      </c>
      <c r="AR6205">
        <v>5</v>
      </c>
      <c r="AS6205" s="901" t="s">
        <v>3124</v>
      </c>
    </row>
    <row r="6206" spans="1:45" s="901" customFormat="1" ht="13.2">
      <c r="A6206">
        <v>10</v>
      </c>
      <c r="B6206" s="901" t="s">
        <v>320</v>
      </c>
      <c r="D6206" s="901" t="s">
        <v>3200</v>
      </c>
      <c r="F6206" s="901" t="s">
        <v>3124</v>
      </c>
      <c r="G6206" s="941" t="s">
        <v>3201</v>
      </c>
      <c r="H6206" s="942">
        <v>650</v>
      </c>
      <c r="I6206" s="901" t="s">
        <v>2607</v>
      </c>
      <c r="O6206" s="943">
        <v>1</v>
      </c>
      <c r="P6206" s="944"/>
      <c r="Q6206" s="945">
        <f>ROUNDUP(0.3*1.145,2)</f>
        <v>0.35000000000000003</v>
      </c>
      <c r="R6206" s="946">
        <f>$A6206*Q6206</f>
        <v>3.5000000000000004</v>
      </c>
      <c r="S6206" s="945"/>
      <c r="T6206" s="947">
        <f>$A6206*S6206*$T$1</f>
        <v>0</v>
      </c>
      <c r="AR6206">
        <v>10</v>
      </c>
      <c r="AS6206" s="901" t="s">
        <v>3124</v>
      </c>
    </row>
    <row r="6207" spans="1:45" s="520" customFormat="1" ht="12">
      <c r="A6207" s="758"/>
      <c r="B6207" s="758"/>
      <c r="C6207" s="758"/>
      <c r="D6207" s="758"/>
      <c r="E6207" s="758"/>
      <c r="F6207" s="753"/>
      <c r="G6207" s="758"/>
      <c r="H6207" s="758"/>
      <c r="I6207" s="519"/>
      <c r="J6207" s="758"/>
      <c r="K6207" s="758"/>
      <c r="L6207" s="758"/>
      <c r="M6207" s="758"/>
      <c r="N6207" s="758"/>
      <c r="O6207" s="758"/>
      <c r="P6207" s="758"/>
      <c r="Q6207" s="519"/>
      <c r="R6207" s="759">
        <f t="shared" ref="R6207" si="408">$A6207*Q6207</f>
        <v>0</v>
      </c>
      <c r="S6207" s="519"/>
      <c r="T6207" s="760">
        <f t="shared" ref="T6207" si="409">$A6207*S6207*$T$1</f>
        <v>0</v>
      </c>
      <c r="AR6207" s="758"/>
      <c r="AS6207" s="753"/>
    </row>
    <row r="6208" spans="1:45" s="520" customFormat="1" ht="12.6" thickBot="1">
      <c r="A6208" s="761" t="s">
        <v>145</v>
      </c>
      <c r="B6208" s="762">
        <f>(R6207+T6207)</f>
        <v>0</v>
      </c>
      <c r="C6208" s="763"/>
      <c r="D6208" s="763"/>
      <c r="E6208" s="763"/>
      <c r="F6208" s="764"/>
      <c r="G6208" s="763" t="s">
        <v>146</v>
      </c>
      <c r="H6208" s="763"/>
      <c r="I6208" s="765"/>
      <c r="J6208" s="763"/>
      <c r="K6208" s="763" t="s">
        <v>3</v>
      </c>
      <c r="L6208" s="766" t="s">
        <v>143</v>
      </c>
      <c r="M6208" s="766"/>
      <c r="N6208" s="766"/>
      <c r="O6208" s="766"/>
      <c r="P6208" s="766"/>
      <c r="Q6208" s="767"/>
      <c r="R6208" s="768">
        <f>SUM(R6204:R6207)</f>
        <v>31.099999999999998</v>
      </c>
      <c r="S6208" s="763"/>
      <c r="T6208" s="768">
        <f>SUM(T6204:T6207)</f>
        <v>1.8</v>
      </c>
      <c r="U6208" s="531"/>
      <c r="V6208" s="531"/>
      <c r="W6208" s="531"/>
      <c r="X6208" s="531">
        <f>R6208/5</f>
        <v>6.22</v>
      </c>
      <c r="Y6208" s="531"/>
      <c r="Z6208" s="531"/>
      <c r="AA6208" s="531"/>
      <c r="AB6208" s="531"/>
      <c r="AC6208" s="531"/>
      <c r="AD6208" s="531"/>
      <c r="AE6208" s="531"/>
      <c r="AF6208" s="531"/>
      <c r="AG6208" s="531"/>
      <c r="AH6208" s="531"/>
      <c r="AI6208" s="531"/>
      <c r="AJ6208" s="531"/>
      <c r="AK6208" s="531"/>
      <c r="AL6208" s="531"/>
      <c r="AM6208" s="531"/>
      <c r="AN6208" s="531"/>
      <c r="AO6208" s="531"/>
      <c r="AR6208" s="761" t="s">
        <v>145</v>
      </c>
      <c r="AS6208" s="764"/>
    </row>
    <row r="6209" spans="1:45" s="520" customFormat="1" thickTop="1">
      <c r="A6209" s="51"/>
      <c r="B6209" s="51"/>
      <c r="C6209" s="3"/>
      <c r="D6209" s="3"/>
      <c r="E6209" s="51"/>
      <c r="F6209" s="51"/>
      <c r="G6209" s="51"/>
      <c r="H6209" s="51"/>
      <c r="I6209" s="51"/>
      <c r="J6209" s="51"/>
      <c r="K6209" s="51" t="s">
        <v>134</v>
      </c>
      <c r="L6209" s="51"/>
      <c r="M6209" s="51"/>
      <c r="N6209" s="51"/>
      <c r="O6209" s="52"/>
      <c r="P6209" s="51"/>
      <c r="Q6209" s="51"/>
      <c r="R6209" s="51"/>
      <c r="S6209" s="51"/>
      <c r="T6209" s="51"/>
      <c r="AR6209" s="51"/>
      <c r="AS6209" s="51"/>
    </row>
    <row r="6210" spans="1:45" s="520" customFormat="1" ht="12">
      <c r="A6210" s="51"/>
      <c r="B6210" s="51"/>
      <c r="C6210" s="51" t="s">
        <v>135</v>
      </c>
      <c r="D6210" s="37"/>
      <c r="E6210" s="51"/>
      <c r="F6210" s="51"/>
      <c r="G6210" s="51"/>
      <c r="H6210" s="51"/>
      <c r="I6210" s="51"/>
      <c r="J6210" s="51"/>
      <c r="K6210" s="51"/>
      <c r="L6210" s="51"/>
      <c r="M6210" s="51"/>
      <c r="N6210" s="51"/>
      <c r="O6210" s="52"/>
      <c r="P6210" s="51"/>
      <c r="Q6210" s="51"/>
      <c r="R6210" s="51"/>
      <c r="S6210" s="51"/>
      <c r="T6210" s="51"/>
      <c r="AR6210" s="51"/>
      <c r="AS6210" s="51"/>
    </row>
    <row r="6211" spans="1:45" s="520" customFormat="1" ht="12">
      <c r="A6211" s="51"/>
      <c r="B6211" s="51"/>
      <c r="C6211" s="51"/>
      <c r="D6211" s="37" t="s">
        <v>919</v>
      </c>
      <c r="E6211" s="51"/>
      <c r="F6211" s="51"/>
      <c r="G6211" s="51"/>
      <c r="H6211" s="51"/>
      <c r="I6211" s="51"/>
      <c r="J6211" s="51"/>
      <c r="K6211" s="51"/>
      <c r="L6211" s="51"/>
      <c r="M6211" s="51"/>
      <c r="N6211" s="51"/>
      <c r="O6211" s="52"/>
      <c r="P6211" s="51"/>
      <c r="Q6211" s="51"/>
      <c r="R6211" s="51"/>
      <c r="S6211" s="38"/>
      <c r="T6211" s="38"/>
      <c r="AR6211" s="51"/>
      <c r="AS6211" s="51"/>
    </row>
    <row r="6212" spans="1:45" s="3" customFormat="1" thickBot="1">
      <c r="A6212" s="531"/>
      <c r="O6212" s="107"/>
      <c r="AR6212" s="531"/>
    </row>
    <row r="6213" spans="1:45" s="520" customFormat="1" ht="12" thickTop="1">
      <c r="A6213" s="51"/>
      <c r="B6213" s="41"/>
      <c r="C6213" s="51"/>
      <c r="E6213" s="42" t="s">
        <v>138</v>
      </c>
      <c r="F6213" s="42" t="s">
        <v>139</v>
      </c>
      <c r="G6213" s="51"/>
      <c r="H6213" s="51"/>
      <c r="I6213" s="51"/>
      <c r="J6213" s="51"/>
      <c r="K6213" s="51" t="s">
        <v>140</v>
      </c>
      <c r="L6213" s="51"/>
      <c r="M6213" s="51"/>
      <c r="N6213" s="51"/>
      <c r="O6213" s="52"/>
      <c r="P6213" s="51"/>
      <c r="Q6213" s="51"/>
      <c r="R6213" s="51"/>
      <c r="S6213" s="51"/>
      <c r="T6213" s="41"/>
      <c r="AG6213" s="521" t="s">
        <v>268</v>
      </c>
      <c r="AH6213" s="521" t="s">
        <v>269</v>
      </c>
      <c r="AI6213" s="521" t="s">
        <v>270</v>
      </c>
      <c r="AJ6213" s="521" t="s">
        <v>271</v>
      </c>
      <c r="AK6213" s="521" t="s">
        <v>272</v>
      </c>
      <c r="AM6213" s="745" t="s">
        <v>281</v>
      </c>
      <c r="AN6213" s="746" t="s">
        <v>282</v>
      </c>
      <c r="AO6213" s="522" t="s">
        <v>278</v>
      </c>
      <c r="AR6213" s="51"/>
      <c r="AS6213" s="42" t="s">
        <v>139</v>
      </c>
    </row>
    <row r="6214" spans="1:45" s="520" customFormat="1" ht="12" customHeight="1">
      <c r="A6214" s="747">
        <v>10</v>
      </c>
      <c r="B6214" s="523" t="s">
        <v>320</v>
      </c>
      <c r="C6214" s="748"/>
      <c r="D6214" s="749" t="s">
        <v>1984</v>
      </c>
      <c r="E6214" s="750">
        <f ca="1">IF(AND($A6214=0,$A$1="DIF"),0, ROUND(ROUND(($R6221*$S$2+($T6221*$T$2))/A6214,2)*$C$2,2))</f>
        <v>24.32</v>
      </c>
      <c r="F6214" s="751">
        <f ca="1">ROUND($A6214*$E6214,2)</f>
        <v>243.2</v>
      </c>
      <c r="G6214" s="752" t="s">
        <v>142</v>
      </c>
      <c r="H6214" s="753"/>
      <c r="I6214" s="754"/>
      <c r="J6214" s="753"/>
      <c r="K6214" s="753" t="s">
        <v>3</v>
      </c>
      <c r="L6214" s="755" t="s">
        <v>143</v>
      </c>
      <c r="M6214" s="755"/>
      <c r="N6214" s="755"/>
      <c r="O6214" s="755"/>
      <c r="P6214" s="755"/>
      <c r="Q6214" s="51"/>
      <c r="T6214" s="756" t="str">
        <f ca="1">IF(AND($R6221=0,$T6221=0),"0.00","mu :" &amp; ROUND($F6214/$C$2/($R6221+$T6221*$D$9),2))</f>
        <v>mu :1.23</v>
      </c>
      <c r="W6214" s="524"/>
      <c r="AG6214" s="481">
        <f ca="1">IF($E6214=0,0,ROUND($R6221*$S$2*$C$2/$A6214,2))</f>
        <v>11.48</v>
      </c>
      <c r="AH6214" s="481">
        <f ca="1">$AG6214*$A6214</f>
        <v>114.80000000000001</v>
      </c>
      <c r="AI6214" s="525">
        <f ca="1">$E6214-$AG6214</f>
        <v>12.84</v>
      </c>
      <c r="AJ6214" s="525">
        <f ca="1">$A6214*$AI6214</f>
        <v>128.4</v>
      </c>
      <c r="AK6214" s="526">
        <f ca="1">ROUND(($AG6214+$AI6214)*$A6214,2)</f>
        <v>243.2</v>
      </c>
      <c r="AM6214" s="527">
        <f ca="1">ROUND(R6221,2)</f>
        <v>93.2</v>
      </c>
      <c r="AN6214" s="528">
        <f ca="1">ROUND(T6221,2)</f>
        <v>3.8</v>
      </c>
      <c r="AO6214" s="529">
        <f ca="1">ROUND(AM6214+AN6214,2)*A6214</f>
        <v>970</v>
      </c>
      <c r="AR6214" s="747">
        <v>10</v>
      </c>
      <c r="AS6214" s="751">
        <v>256.8</v>
      </c>
    </row>
    <row r="6215" spans="1:45" s="520" customFormat="1" ht="13.2">
      <c r="A6215" s="748"/>
      <c r="B6215"/>
      <c r="C6215" s="748"/>
      <c r="D6215" s="749" t="s">
        <v>921</v>
      </c>
      <c r="F6215" s="753"/>
      <c r="G6215" s="3"/>
      <c r="H6215" s="753"/>
      <c r="I6215" s="754"/>
      <c r="J6215" s="753"/>
      <c r="K6215" s="753" t="s">
        <v>144</v>
      </c>
      <c r="L6215" s="753"/>
      <c r="M6215" s="753"/>
      <c r="N6215" s="753"/>
      <c r="O6215" s="753"/>
      <c r="P6215" s="753"/>
      <c r="Q6215" s="51"/>
      <c r="R6215" s="530"/>
      <c r="S6215" s="757"/>
      <c r="T6215" s="753"/>
      <c r="AR6215" s="748"/>
      <c r="AS6215" s="753"/>
    </row>
    <row r="6216" spans="1:45" s="886" customFormat="1" ht="13.2">
      <c r="A6216"/>
      <c r="B6216" s="910"/>
      <c r="C6216" s="910" t="s">
        <v>2597</v>
      </c>
      <c r="D6216" s="910" t="str">
        <f ca="1">CELL("Address",Elec_Rates!D$822)</f>
        <v>[E25_0062_Quintano_Foods_Elec_ELV_As_Awarded.xlsx]Elec_Rates!$D$822</v>
      </c>
      <c r="E6216" s="911"/>
      <c r="F6216" s="911"/>
      <c r="G6216" s="912" t="s">
        <v>2598</v>
      </c>
      <c r="H6216" s="912"/>
      <c r="I6216" s="912"/>
      <c r="J6216" s="912"/>
      <c r="K6216" s="913"/>
      <c r="L6216" s="911"/>
      <c r="M6216" s="911"/>
      <c r="N6216" s="911"/>
      <c r="O6216" s="914"/>
      <c r="P6216" s="911"/>
      <c r="Q6216" s="915"/>
      <c r="R6216" s="916"/>
      <c r="S6216" s="915"/>
      <c r="T6216" s="917"/>
      <c r="U6216" s="918"/>
      <c r="AR6216"/>
      <c r="AS6216" s="911"/>
    </row>
    <row r="6217" spans="1:45" s="886" customFormat="1" ht="11.4">
      <c r="A6217" s="919">
        <v>10</v>
      </c>
      <c r="B6217" s="920">
        <v>1</v>
      </c>
      <c r="C6217" s="920">
        <f>$A6217*$B6217</f>
        <v>10</v>
      </c>
      <c r="D6217" s="921" t="str">
        <f>Elec_Rates!$D$822</f>
        <v>078# 75x75mm galvanised steel cable trunking</v>
      </c>
      <c r="E6217" s="921"/>
      <c r="F6217" s="921" t="s">
        <v>2599</v>
      </c>
      <c r="G6217" s="922" t="s">
        <v>2601</v>
      </c>
      <c r="H6217" s="922"/>
      <c r="I6217" s="922"/>
      <c r="J6217" s="922"/>
      <c r="K6217" s="923"/>
      <c r="L6217" s="918"/>
      <c r="M6217" s="918"/>
      <c r="N6217" s="918"/>
      <c r="O6217" s="924"/>
      <c r="P6217" s="921"/>
      <c r="Q6217" s="925">
        <f ca="1">$B6217*Elec_Rates!$R$822</f>
        <v>6.95</v>
      </c>
      <c r="R6217" s="916">
        <f ca="1">$A6217*Q6217</f>
        <v>69.5</v>
      </c>
      <c r="S6217" s="925">
        <f ca="1">$B6217*Elec_Rates!$T$822</f>
        <v>0.28999999999999998</v>
      </c>
      <c r="T6217" s="917">
        <f ca="1">$A6217*S6217</f>
        <v>2.9</v>
      </c>
      <c r="U6217" s="926"/>
      <c r="AR6217" s="919">
        <v>10</v>
      </c>
      <c r="AS6217" s="921" t="s">
        <v>2599</v>
      </c>
    </row>
    <row r="6218" spans="1:45" s="886" customFormat="1" ht="13.2">
      <c r="A6218"/>
      <c r="B6218" s="910"/>
      <c r="C6218" s="910" t="s">
        <v>2597</v>
      </c>
      <c r="D6218" s="910" t="str">
        <f ca="1">CELL("Address",Elec_Rates!D$907)</f>
        <v>[E25_0062_Quintano_Foods_Elec_ELV_As_Awarded.xlsx]Elec_Rates!$D$907</v>
      </c>
      <c r="E6218" s="911"/>
      <c r="F6218" s="911"/>
      <c r="G6218" s="912" t="s">
        <v>2598</v>
      </c>
      <c r="H6218" s="912"/>
      <c r="I6218" s="912"/>
      <c r="J6218" s="912"/>
      <c r="K6218" s="913"/>
      <c r="L6218" s="911"/>
      <c r="M6218" s="911"/>
      <c r="N6218" s="911"/>
      <c r="O6218" s="914"/>
      <c r="P6218" s="911"/>
      <c r="Q6218" s="915"/>
      <c r="R6218" s="916"/>
      <c r="S6218" s="915"/>
      <c r="T6218" s="917"/>
      <c r="U6218" s="918"/>
      <c r="AR6218"/>
      <c r="AS6218" s="911"/>
    </row>
    <row r="6219" spans="1:45" s="886" customFormat="1" ht="11.4">
      <c r="A6219" s="919">
        <v>10</v>
      </c>
      <c r="B6219" s="920">
        <v>1</v>
      </c>
      <c r="C6219" s="920">
        <f>$A6219*$B6219</f>
        <v>10</v>
      </c>
      <c r="D6219" s="921" t="str">
        <f>Elec_Rates!$D$907</f>
        <v>084# Bracket for 50-150mm cable tray/basket/trunking</v>
      </c>
      <c r="E6219" s="921"/>
      <c r="F6219" s="921" t="s">
        <v>2599</v>
      </c>
      <c r="G6219" s="922" t="s">
        <v>2600</v>
      </c>
      <c r="H6219" s="922"/>
      <c r="I6219" s="922"/>
      <c r="J6219" s="922"/>
      <c r="K6219" s="923"/>
      <c r="L6219" s="918"/>
      <c r="M6219" s="918"/>
      <c r="N6219" s="918"/>
      <c r="O6219" s="924"/>
      <c r="P6219" s="921"/>
      <c r="Q6219" s="925">
        <f ca="1">$B6219*Elec_Rates!$R$907</f>
        <v>2.37</v>
      </c>
      <c r="R6219" s="916">
        <f ca="1">$A6219*Q6219</f>
        <v>23.700000000000003</v>
      </c>
      <c r="S6219" s="925">
        <f ca="1">$B6219*Elec_Rates!$T$907</f>
        <v>0.09</v>
      </c>
      <c r="T6219" s="917">
        <f ca="1">$A6219*S6219</f>
        <v>0.89999999999999991</v>
      </c>
      <c r="U6219" s="926"/>
      <c r="AR6219" s="919">
        <v>10</v>
      </c>
      <c r="AS6219" s="921" t="s">
        <v>2599</v>
      </c>
    </row>
    <row r="6220" spans="1:45" s="520" customFormat="1" ht="12">
      <c r="A6220" s="758"/>
      <c r="B6220" s="758"/>
      <c r="C6220" s="758"/>
      <c r="D6220" s="758"/>
      <c r="E6220" s="758"/>
      <c r="F6220" s="753"/>
      <c r="G6220" s="758"/>
      <c r="H6220" s="758"/>
      <c r="I6220" s="519"/>
      <c r="J6220" s="758"/>
      <c r="K6220" s="758"/>
      <c r="L6220" s="758"/>
      <c r="M6220" s="758"/>
      <c r="N6220" s="758"/>
      <c r="O6220" s="758"/>
      <c r="P6220" s="758"/>
      <c r="Q6220" s="519"/>
      <c r="R6220" s="759">
        <f t="shared" ref="R6220" si="410">$A6220*Q6220</f>
        <v>0</v>
      </c>
      <c r="S6220" s="519"/>
      <c r="T6220" s="760">
        <f t="shared" ref="T6220" si="411">$A6220*S6220*$T$1</f>
        <v>0</v>
      </c>
      <c r="AR6220" s="758"/>
      <c r="AS6220" s="753"/>
    </row>
    <row r="6221" spans="1:45" s="520" customFormat="1" ht="12.6" thickBot="1">
      <c r="A6221" s="761" t="s">
        <v>145</v>
      </c>
      <c r="B6221" s="762">
        <f>(R6220+T6220)</f>
        <v>0</v>
      </c>
      <c r="C6221" s="763"/>
      <c r="D6221" s="763"/>
      <c r="E6221" s="763"/>
      <c r="F6221" s="764"/>
      <c r="G6221" s="763" t="s">
        <v>146</v>
      </c>
      <c r="H6221" s="763"/>
      <c r="I6221" s="765"/>
      <c r="J6221" s="763"/>
      <c r="K6221" s="763" t="s">
        <v>3</v>
      </c>
      <c r="L6221" s="766" t="s">
        <v>143</v>
      </c>
      <c r="M6221" s="766"/>
      <c r="N6221" s="766"/>
      <c r="O6221" s="766"/>
      <c r="P6221" s="766"/>
      <c r="Q6221" s="767"/>
      <c r="R6221" s="768">
        <f ca="1">SUM(R6215:R6220)</f>
        <v>93.2</v>
      </c>
      <c r="S6221" s="763"/>
      <c r="T6221" s="768">
        <f ca="1">SUM(T6215:T6220)</f>
        <v>3.8</v>
      </c>
      <c r="U6221" s="531"/>
      <c r="V6221" s="531"/>
      <c r="W6221" s="531"/>
      <c r="X6221" s="531"/>
      <c r="Y6221" s="531"/>
      <c r="Z6221" s="531"/>
      <c r="AA6221" s="531"/>
      <c r="AB6221" s="531"/>
      <c r="AC6221" s="531"/>
      <c r="AD6221" s="531"/>
      <c r="AE6221" s="531"/>
      <c r="AF6221" s="531"/>
      <c r="AG6221" s="531"/>
      <c r="AH6221" s="531"/>
      <c r="AI6221" s="531"/>
      <c r="AJ6221" s="531"/>
      <c r="AK6221" s="531"/>
      <c r="AL6221" s="531"/>
      <c r="AM6221" s="531"/>
      <c r="AN6221" s="531"/>
      <c r="AO6221" s="531"/>
      <c r="AR6221" s="761" t="s">
        <v>145</v>
      </c>
      <c r="AS6221" s="764"/>
    </row>
    <row r="6222" spans="1:45" s="520" customFormat="1" thickTop="1">
      <c r="A6222" s="51"/>
      <c r="B6222" s="51"/>
      <c r="C6222" s="3"/>
      <c r="D6222" s="3"/>
      <c r="E6222" s="51"/>
      <c r="F6222" s="51"/>
      <c r="G6222" s="51"/>
      <c r="H6222" s="51"/>
      <c r="I6222" s="51"/>
      <c r="J6222" s="51"/>
      <c r="K6222" s="51" t="s">
        <v>134</v>
      </c>
      <c r="L6222" s="51"/>
      <c r="M6222" s="51"/>
      <c r="N6222" s="51"/>
      <c r="O6222" s="52"/>
      <c r="P6222" s="51"/>
      <c r="Q6222" s="51"/>
      <c r="R6222" s="51"/>
      <c r="S6222" s="51"/>
      <c r="T6222" s="51"/>
      <c r="AR6222" s="51"/>
      <c r="AS6222" s="51"/>
    </row>
    <row r="6223" spans="1:45" s="520" customFormat="1" ht="12">
      <c r="A6223" s="51"/>
      <c r="B6223" s="51"/>
      <c r="C6223" s="51" t="s">
        <v>135</v>
      </c>
      <c r="D6223" s="37"/>
      <c r="E6223" s="51"/>
      <c r="F6223" s="51"/>
      <c r="G6223" s="51"/>
      <c r="H6223" s="51"/>
      <c r="I6223" s="51"/>
      <c r="J6223" s="51"/>
      <c r="K6223" s="51"/>
      <c r="L6223" s="51"/>
      <c r="M6223" s="51"/>
      <c r="N6223" s="51"/>
      <c r="O6223" s="52"/>
      <c r="P6223" s="51"/>
      <c r="Q6223" s="51"/>
      <c r="R6223" s="51"/>
      <c r="S6223" s="51"/>
      <c r="T6223" s="51"/>
      <c r="AR6223" s="51"/>
      <c r="AS6223" s="51"/>
    </row>
    <row r="6224" spans="1:45" s="520" customFormat="1" ht="12">
      <c r="A6224" s="51"/>
      <c r="B6224" s="51"/>
      <c r="C6224" s="51"/>
      <c r="D6224" s="37" t="s">
        <v>923</v>
      </c>
      <c r="E6224" s="51"/>
      <c r="F6224" s="51"/>
      <c r="G6224" s="51"/>
      <c r="H6224" s="51"/>
      <c r="I6224" s="51"/>
      <c r="J6224" s="51"/>
      <c r="K6224" s="51"/>
      <c r="L6224" s="51"/>
      <c r="M6224" s="51"/>
      <c r="N6224" s="51"/>
      <c r="O6224" s="52"/>
      <c r="P6224" s="51"/>
      <c r="Q6224" s="51"/>
      <c r="R6224" s="51"/>
      <c r="S6224" s="38"/>
      <c r="T6224" s="38"/>
      <c r="AR6224" s="51"/>
      <c r="AS6224" s="51"/>
    </row>
    <row r="6225" spans="1:45" s="3" customFormat="1" thickBot="1">
      <c r="A6225" s="531"/>
      <c r="O6225" s="107"/>
      <c r="AR6225" s="531"/>
    </row>
    <row r="6226" spans="1:45" s="520" customFormat="1" ht="12" thickTop="1">
      <c r="A6226" s="51"/>
      <c r="B6226" s="41"/>
      <c r="C6226" s="51"/>
      <c r="E6226" s="42" t="s">
        <v>138</v>
      </c>
      <c r="F6226" s="42" t="s">
        <v>139</v>
      </c>
      <c r="G6226" s="51"/>
      <c r="H6226" s="51"/>
      <c r="I6226" s="51"/>
      <c r="J6226" s="51"/>
      <c r="K6226" s="51" t="s">
        <v>140</v>
      </c>
      <c r="L6226" s="51"/>
      <c r="M6226" s="51"/>
      <c r="N6226" s="51"/>
      <c r="O6226" s="52"/>
      <c r="P6226" s="51"/>
      <c r="Q6226" s="51"/>
      <c r="R6226" s="51"/>
      <c r="S6226" s="51"/>
      <c r="T6226" s="41"/>
      <c r="AG6226" s="521" t="s">
        <v>268</v>
      </c>
      <c r="AH6226" s="521" t="s">
        <v>269</v>
      </c>
      <c r="AI6226" s="521" t="s">
        <v>270</v>
      </c>
      <c r="AJ6226" s="521" t="s">
        <v>271</v>
      </c>
      <c r="AK6226" s="521" t="s">
        <v>272</v>
      </c>
      <c r="AM6226" s="745" t="s">
        <v>281</v>
      </c>
      <c r="AN6226" s="746" t="s">
        <v>282</v>
      </c>
      <c r="AO6226" s="522" t="s">
        <v>278</v>
      </c>
      <c r="AR6226" s="51"/>
      <c r="AS6226" s="42" t="s">
        <v>139</v>
      </c>
    </row>
    <row r="6227" spans="1:45" s="520" customFormat="1" ht="12" customHeight="1">
      <c r="A6227" s="747">
        <v>10</v>
      </c>
      <c r="B6227" s="523" t="s">
        <v>320</v>
      </c>
      <c r="C6227" s="748"/>
      <c r="D6227" s="749" t="s">
        <v>1985</v>
      </c>
      <c r="E6227" s="750">
        <f ca="1">IF(AND($A6227=0,$A$1="DIF"),0, ROUND(ROUND(($R6234*$S$2+($T6234*$T$2))/A6227,2)*$C$2,2))</f>
        <v>24.32</v>
      </c>
      <c r="F6227" s="751">
        <f ca="1">ROUND($A6227*$E6227,2)</f>
        <v>243.2</v>
      </c>
      <c r="G6227" s="752" t="s">
        <v>142</v>
      </c>
      <c r="H6227" s="753"/>
      <c r="I6227" s="754"/>
      <c r="J6227" s="753"/>
      <c r="K6227" s="753" t="s">
        <v>3</v>
      </c>
      <c r="L6227" s="755" t="s">
        <v>143</v>
      </c>
      <c r="M6227" s="755"/>
      <c r="N6227" s="755"/>
      <c r="O6227" s="755"/>
      <c r="P6227" s="755"/>
      <c r="Q6227" s="51"/>
      <c r="T6227" s="756" t="str">
        <f ca="1">IF(AND($R6234=0,$T6234=0),"0.00","mu :" &amp; ROUND($F6227/$C$2/($R6234+$T6234*$D$9),2))</f>
        <v>mu :1.23</v>
      </c>
      <c r="W6227" s="524"/>
      <c r="AG6227" s="481">
        <f ca="1">IF($E6227=0,0,ROUND($R6234*$S$2*$C$2/$A6227,2))</f>
        <v>11.48</v>
      </c>
      <c r="AH6227" s="481">
        <f ca="1">$AG6227*$A6227</f>
        <v>114.80000000000001</v>
      </c>
      <c r="AI6227" s="525">
        <f ca="1">$E6227-$AG6227</f>
        <v>12.84</v>
      </c>
      <c r="AJ6227" s="525">
        <f ca="1">$A6227*$AI6227</f>
        <v>128.4</v>
      </c>
      <c r="AK6227" s="526">
        <f ca="1">ROUND(($AG6227+$AI6227)*$A6227,2)</f>
        <v>243.2</v>
      </c>
      <c r="AM6227" s="527">
        <f ca="1">ROUND(R6234,2)</f>
        <v>93.2</v>
      </c>
      <c r="AN6227" s="528">
        <f ca="1">ROUND(T6234,2)</f>
        <v>3.8</v>
      </c>
      <c r="AO6227" s="529">
        <f ca="1">ROUND(AM6227+AN6227,2)*A6227</f>
        <v>970</v>
      </c>
      <c r="AR6227" s="747">
        <v>10</v>
      </c>
      <c r="AS6227" s="751">
        <v>256.8</v>
      </c>
    </row>
    <row r="6228" spans="1:45" s="520" customFormat="1" ht="13.2">
      <c r="A6228" s="748"/>
      <c r="B6228"/>
      <c r="C6228" s="748"/>
      <c r="D6228" s="749" t="s">
        <v>921</v>
      </c>
      <c r="F6228" s="753"/>
      <c r="G6228" s="3"/>
      <c r="H6228" s="753"/>
      <c r="I6228" s="754"/>
      <c r="J6228" s="753"/>
      <c r="K6228" s="753" t="s">
        <v>144</v>
      </c>
      <c r="L6228" s="753"/>
      <c r="M6228" s="753"/>
      <c r="N6228" s="753"/>
      <c r="O6228" s="753"/>
      <c r="P6228" s="753"/>
      <c r="Q6228" s="51"/>
      <c r="R6228" s="530"/>
      <c r="S6228" s="757"/>
      <c r="T6228" s="753"/>
      <c r="AR6228" s="748"/>
      <c r="AS6228" s="753"/>
    </row>
    <row r="6229" spans="1:45" s="886" customFormat="1" ht="13.2">
      <c r="A6229"/>
      <c r="B6229" s="910"/>
      <c r="C6229" s="910" t="s">
        <v>2597</v>
      </c>
      <c r="D6229" s="910" t="str">
        <f ca="1">CELL("Address",Elec_Rates!D$822)</f>
        <v>[E25_0062_Quintano_Foods_Elec_ELV_As_Awarded.xlsx]Elec_Rates!$D$822</v>
      </c>
      <c r="E6229" s="911"/>
      <c r="F6229" s="911"/>
      <c r="G6229" s="912" t="s">
        <v>2598</v>
      </c>
      <c r="H6229" s="912"/>
      <c r="I6229" s="912"/>
      <c r="J6229" s="912"/>
      <c r="K6229" s="913"/>
      <c r="L6229" s="911"/>
      <c r="M6229" s="911"/>
      <c r="N6229" s="911"/>
      <c r="O6229" s="914"/>
      <c r="P6229" s="911"/>
      <c r="Q6229" s="915"/>
      <c r="R6229" s="916"/>
      <c r="S6229" s="915"/>
      <c r="T6229" s="917"/>
      <c r="U6229" s="918"/>
      <c r="AR6229"/>
      <c r="AS6229" s="911"/>
    </row>
    <row r="6230" spans="1:45" s="886" customFormat="1" ht="11.4">
      <c r="A6230" s="919">
        <v>10</v>
      </c>
      <c r="B6230" s="920">
        <v>1</v>
      </c>
      <c r="C6230" s="920">
        <f>$A6230*$B6230</f>
        <v>10</v>
      </c>
      <c r="D6230" s="921" t="str">
        <f>Elec_Rates!$D$822</f>
        <v>078# 75x75mm galvanised steel cable trunking</v>
      </c>
      <c r="E6230" s="921"/>
      <c r="F6230" s="921" t="s">
        <v>2599</v>
      </c>
      <c r="G6230" s="922" t="s">
        <v>2601</v>
      </c>
      <c r="H6230" s="922"/>
      <c r="I6230" s="922"/>
      <c r="J6230" s="922"/>
      <c r="K6230" s="923"/>
      <c r="L6230" s="918"/>
      <c r="M6230" s="918"/>
      <c r="N6230" s="918"/>
      <c r="O6230" s="924"/>
      <c r="P6230" s="921"/>
      <c r="Q6230" s="925">
        <f ca="1">$B6230*Elec_Rates!$R$822</f>
        <v>6.95</v>
      </c>
      <c r="R6230" s="916">
        <f ca="1">$A6230*Q6230</f>
        <v>69.5</v>
      </c>
      <c r="S6230" s="925">
        <f ca="1">$B6230*Elec_Rates!$T$822</f>
        <v>0.28999999999999998</v>
      </c>
      <c r="T6230" s="917">
        <f ca="1">$A6230*S6230</f>
        <v>2.9</v>
      </c>
      <c r="U6230" s="926"/>
      <c r="AR6230" s="919">
        <v>10</v>
      </c>
      <c r="AS6230" s="921" t="s">
        <v>2599</v>
      </c>
    </row>
    <row r="6231" spans="1:45" s="886" customFormat="1" ht="13.2">
      <c r="A6231"/>
      <c r="B6231" s="910"/>
      <c r="C6231" s="910" t="s">
        <v>2597</v>
      </c>
      <c r="D6231" s="910" t="str">
        <f ca="1">CELL("Address",Elec_Rates!D$907)</f>
        <v>[E25_0062_Quintano_Foods_Elec_ELV_As_Awarded.xlsx]Elec_Rates!$D$907</v>
      </c>
      <c r="E6231" s="911"/>
      <c r="F6231" s="911"/>
      <c r="G6231" s="912" t="s">
        <v>2598</v>
      </c>
      <c r="H6231" s="912"/>
      <c r="I6231" s="912"/>
      <c r="J6231" s="912"/>
      <c r="K6231" s="913"/>
      <c r="L6231" s="911"/>
      <c r="M6231" s="911"/>
      <c r="N6231" s="911"/>
      <c r="O6231" s="914"/>
      <c r="P6231" s="911"/>
      <c r="Q6231" s="915"/>
      <c r="R6231" s="916"/>
      <c r="S6231" s="915"/>
      <c r="T6231" s="917"/>
      <c r="U6231" s="918"/>
      <c r="AR6231"/>
      <c r="AS6231" s="911"/>
    </row>
    <row r="6232" spans="1:45" s="886" customFormat="1" ht="11.4">
      <c r="A6232" s="919">
        <v>10</v>
      </c>
      <c r="B6232" s="920">
        <v>1</v>
      </c>
      <c r="C6232" s="920">
        <f>$A6232*$B6232</f>
        <v>10</v>
      </c>
      <c r="D6232" s="921" t="str">
        <f>Elec_Rates!$D$907</f>
        <v>084# Bracket for 50-150mm cable tray/basket/trunking</v>
      </c>
      <c r="E6232" s="921"/>
      <c r="F6232" s="921" t="s">
        <v>2599</v>
      </c>
      <c r="G6232" s="922" t="s">
        <v>2600</v>
      </c>
      <c r="H6232" s="922"/>
      <c r="I6232" s="922"/>
      <c r="J6232" s="922"/>
      <c r="K6232" s="923"/>
      <c r="L6232" s="918"/>
      <c r="M6232" s="918"/>
      <c r="N6232" s="918"/>
      <c r="O6232" s="924"/>
      <c r="P6232" s="921"/>
      <c r="Q6232" s="925">
        <f ca="1">$B6232*Elec_Rates!$R$907</f>
        <v>2.37</v>
      </c>
      <c r="R6232" s="916">
        <f ca="1">$A6232*Q6232</f>
        <v>23.700000000000003</v>
      </c>
      <c r="S6232" s="925">
        <f ca="1">$B6232*Elec_Rates!$T$907</f>
        <v>0.09</v>
      </c>
      <c r="T6232" s="917">
        <f ca="1">$A6232*S6232</f>
        <v>0.89999999999999991</v>
      </c>
      <c r="U6232" s="926"/>
      <c r="AR6232" s="919">
        <v>10</v>
      </c>
      <c r="AS6232" s="921" t="s">
        <v>2599</v>
      </c>
    </row>
    <row r="6233" spans="1:45" s="520" customFormat="1" ht="12">
      <c r="A6233" s="758"/>
      <c r="B6233" s="758"/>
      <c r="C6233" s="758"/>
      <c r="D6233" s="758"/>
      <c r="E6233" s="758"/>
      <c r="F6233" s="753"/>
      <c r="G6233" s="758"/>
      <c r="H6233" s="758"/>
      <c r="I6233" s="519"/>
      <c r="J6233" s="758"/>
      <c r="K6233" s="758"/>
      <c r="L6233" s="758"/>
      <c r="M6233" s="758"/>
      <c r="N6233" s="758"/>
      <c r="O6233" s="758"/>
      <c r="P6233" s="758"/>
      <c r="Q6233" s="519"/>
      <c r="R6233" s="759">
        <f t="shared" ref="R6233" si="412">$A6233*Q6233</f>
        <v>0</v>
      </c>
      <c r="S6233" s="519"/>
      <c r="T6233" s="760">
        <f t="shared" ref="T6233" si="413">$A6233*S6233*$T$1</f>
        <v>0</v>
      </c>
      <c r="AR6233" s="758"/>
      <c r="AS6233" s="753"/>
    </row>
    <row r="6234" spans="1:45" s="520" customFormat="1" ht="12.6" thickBot="1">
      <c r="A6234" s="761" t="s">
        <v>145</v>
      </c>
      <c r="B6234" s="762">
        <f>(R6233+T6233)</f>
        <v>0</v>
      </c>
      <c r="C6234" s="763"/>
      <c r="D6234" s="763"/>
      <c r="E6234" s="763"/>
      <c r="F6234" s="764"/>
      <c r="G6234" s="763" t="s">
        <v>146</v>
      </c>
      <c r="H6234" s="763"/>
      <c r="I6234" s="765"/>
      <c r="J6234" s="763"/>
      <c r="K6234" s="763" t="s">
        <v>3</v>
      </c>
      <c r="L6234" s="766" t="s">
        <v>143</v>
      </c>
      <c r="M6234" s="766"/>
      <c r="N6234" s="766"/>
      <c r="O6234" s="766"/>
      <c r="P6234" s="766"/>
      <c r="Q6234" s="767"/>
      <c r="R6234" s="768">
        <f ca="1">SUM(R6228:R6233)</f>
        <v>93.2</v>
      </c>
      <c r="S6234" s="763"/>
      <c r="T6234" s="768">
        <f ca="1">SUM(T6228:T6233)</f>
        <v>3.8</v>
      </c>
      <c r="U6234" s="531"/>
      <c r="V6234" s="531"/>
      <c r="W6234" s="531"/>
      <c r="X6234" s="531"/>
      <c r="Y6234" s="531"/>
      <c r="Z6234" s="531"/>
      <c r="AA6234" s="531"/>
      <c r="AB6234" s="531"/>
      <c r="AC6234" s="531"/>
      <c r="AD6234" s="531"/>
      <c r="AE6234" s="531"/>
      <c r="AF6234" s="531"/>
      <c r="AG6234" s="531"/>
      <c r="AH6234" s="531"/>
      <c r="AI6234" s="531"/>
      <c r="AJ6234" s="531"/>
      <c r="AK6234" s="531"/>
      <c r="AL6234" s="531"/>
      <c r="AM6234" s="531"/>
      <c r="AN6234" s="531"/>
      <c r="AO6234" s="531"/>
      <c r="AR6234" s="761" t="s">
        <v>145</v>
      </c>
      <c r="AS6234" s="764"/>
    </row>
    <row r="6235" spans="1:45" s="520" customFormat="1" thickTop="1">
      <c r="A6235" s="51"/>
      <c r="B6235" s="51"/>
      <c r="C6235" s="3"/>
      <c r="D6235" s="3"/>
      <c r="E6235" s="51"/>
      <c r="F6235" s="51"/>
      <c r="G6235" s="51"/>
      <c r="H6235" s="51"/>
      <c r="I6235" s="51"/>
      <c r="J6235" s="51"/>
      <c r="K6235" s="51" t="s">
        <v>134</v>
      </c>
      <c r="L6235" s="51"/>
      <c r="M6235" s="51"/>
      <c r="N6235" s="51"/>
      <c r="O6235" s="52"/>
      <c r="P6235" s="51"/>
      <c r="Q6235" s="51"/>
      <c r="R6235" s="51"/>
      <c r="S6235" s="51"/>
      <c r="T6235" s="51"/>
      <c r="AR6235" s="51"/>
      <c r="AS6235" s="51"/>
    </row>
    <row r="6236" spans="1:45" s="520" customFormat="1" ht="12">
      <c r="A6236" s="51"/>
      <c r="B6236" s="51"/>
      <c r="C6236" s="51" t="s">
        <v>135</v>
      </c>
      <c r="D6236" s="37"/>
      <c r="E6236" s="51"/>
      <c r="F6236" s="51"/>
      <c r="G6236" s="51"/>
      <c r="H6236" s="51"/>
      <c r="I6236" s="51"/>
      <c r="J6236" s="51"/>
      <c r="K6236" s="51"/>
      <c r="L6236" s="51"/>
      <c r="M6236" s="51"/>
      <c r="N6236" s="51"/>
      <c r="O6236" s="52"/>
      <c r="P6236" s="51"/>
      <c r="Q6236" s="51"/>
      <c r="R6236" s="51"/>
      <c r="S6236" s="51"/>
      <c r="T6236" s="51"/>
      <c r="AR6236" s="51"/>
      <c r="AS6236" s="51"/>
    </row>
    <row r="6237" spans="1:45" s="520" customFormat="1" ht="12">
      <c r="A6237" s="51"/>
      <c r="B6237" s="51"/>
      <c r="C6237" s="51"/>
      <c r="D6237" s="37" t="s">
        <v>924</v>
      </c>
      <c r="E6237" s="51"/>
      <c r="F6237" s="51"/>
      <c r="G6237" s="51"/>
      <c r="H6237" s="51"/>
      <c r="I6237" s="51"/>
      <c r="J6237" s="51"/>
      <c r="K6237" s="51"/>
      <c r="L6237" s="51"/>
      <c r="M6237" s="51"/>
      <c r="N6237" s="51"/>
      <c r="O6237" s="52"/>
      <c r="P6237" s="51"/>
      <c r="Q6237" s="51"/>
      <c r="R6237" s="51"/>
      <c r="S6237" s="38"/>
      <c r="T6237" s="38"/>
      <c r="AR6237" s="51"/>
      <c r="AS6237" s="51"/>
    </row>
    <row r="6238" spans="1:45" s="3" customFormat="1" thickBot="1">
      <c r="A6238" s="531"/>
      <c r="O6238" s="107"/>
      <c r="AR6238" s="531"/>
    </row>
    <row r="6239" spans="1:45" s="520" customFormat="1" ht="12" thickTop="1">
      <c r="A6239" s="51"/>
      <c r="B6239" s="41"/>
      <c r="C6239" s="51"/>
      <c r="E6239" s="42" t="s">
        <v>138</v>
      </c>
      <c r="F6239" s="42" t="s">
        <v>139</v>
      </c>
      <c r="G6239" s="51"/>
      <c r="H6239" s="51"/>
      <c r="I6239" s="51"/>
      <c r="J6239" s="51"/>
      <c r="K6239" s="51" t="s">
        <v>140</v>
      </c>
      <c r="L6239" s="51"/>
      <c r="M6239" s="51"/>
      <c r="N6239" s="51"/>
      <c r="O6239" s="52"/>
      <c r="P6239" s="51"/>
      <c r="Q6239" s="51"/>
      <c r="R6239" s="51"/>
      <c r="S6239" s="51"/>
      <c r="T6239" s="41"/>
      <c r="AG6239" s="521" t="s">
        <v>268</v>
      </c>
      <c r="AH6239" s="521" t="s">
        <v>269</v>
      </c>
      <c r="AI6239" s="521" t="s">
        <v>270</v>
      </c>
      <c r="AJ6239" s="521" t="s">
        <v>271</v>
      </c>
      <c r="AK6239" s="521" t="s">
        <v>272</v>
      </c>
      <c r="AM6239" s="745" t="s">
        <v>281</v>
      </c>
      <c r="AN6239" s="746" t="s">
        <v>282</v>
      </c>
      <c r="AO6239" s="522" t="s">
        <v>278</v>
      </c>
      <c r="AR6239" s="51"/>
      <c r="AS6239" s="42" t="s">
        <v>139</v>
      </c>
    </row>
    <row r="6240" spans="1:45" s="520" customFormat="1" ht="12" customHeight="1">
      <c r="A6240" s="747">
        <v>10</v>
      </c>
      <c r="B6240" s="523" t="s">
        <v>320</v>
      </c>
      <c r="C6240" s="748"/>
      <c r="D6240" s="749" t="s">
        <v>1986</v>
      </c>
      <c r="E6240" s="750">
        <f ca="1">IF(AND($A6240=0,$A$1="DIF"),0, ROUND(ROUND(($R6248*$S$2+($T6248*$T$2))/A6240,2)*$C$2,2))</f>
        <v>24.32</v>
      </c>
      <c r="F6240" s="751">
        <f ca="1">ROUND($A6240*$E6240,2)</f>
        <v>243.2</v>
      </c>
      <c r="G6240" s="752" t="s">
        <v>142</v>
      </c>
      <c r="H6240" s="753"/>
      <c r="I6240" s="754"/>
      <c r="J6240" s="753"/>
      <c r="K6240" s="753" t="s">
        <v>3</v>
      </c>
      <c r="L6240" s="755" t="s">
        <v>143</v>
      </c>
      <c r="M6240" s="755"/>
      <c r="N6240" s="755"/>
      <c r="O6240" s="755"/>
      <c r="P6240" s="755"/>
      <c r="Q6240" s="51"/>
      <c r="T6240" s="756" t="str">
        <f ca="1">IF(AND($R6248=0,$T6248=0),"0.00","mu :" &amp; ROUND($F6240/$C$2/($R6248+$T6248*$D$9),2))</f>
        <v>mu :1.23</v>
      </c>
      <c r="W6240" s="524"/>
      <c r="AG6240" s="481">
        <f ca="1">IF($E6240=0,0,ROUND($R6248*$S$2*$C$2/$A6240,2))</f>
        <v>11.48</v>
      </c>
      <c r="AH6240" s="481">
        <f ca="1">$AG6240*$A6240</f>
        <v>114.80000000000001</v>
      </c>
      <c r="AI6240" s="525">
        <f ca="1">$E6240-$AG6240</f>
        <v>12.84</v>
      </c>
      <c r="AJ6240" s="525">
        <f ca="1">$A6240*$AI6240</f>
        <v>128.4</v>
      </c>
      <c r="AK6240" s="526">
        <f ca="1">ROUND(($AG6240+$AI6240)*$A6240,2)</f>
        <v>243.2</v>
      </c>
      <c r="AM6240" s="527">
        <f ca="1">ROUND(R6248,2)</f>
        <v>93.2</v>
      </c>
      <c r="AN6240" s="528">
        <f ca="1">ROUND(T6248,2)</f>
        <v>3.8</v>
      </c>
      <c r="AO6240" s="529">
        <f ca="1">ROUND(AM6240+AN6240,2)*A6240</f>
        <v>970</v>
      </c>
      <c r="AR6240" s="747">
        <v>10</v>
      </c>
      <c r="AS6240" s="751">
        <v>256.8</v>
      </c>
    </row>
    <row r="6241" spans="1:45" s="520" customFormat="1" ht="13.2">
      <c r="A6241" s="748"/>
      <c r="B6241"/>
      <c r="C6241" s="748"/>
      <c r="D6241" s="749" t="s">
        <v>921</v>
      </c>
      <c r="F6241" s="753"/>
      <c r="G6241" s="3"/>
      <c r="H6241" s="753"/>
      <c r="I6241" s="754"/>
      <c r="J6241" s="753"/>
      <c r="K6241" s="753" t="s">
        <v>144</v>
      </c>
      <c r="L6241" s="753"/>
      <c r="M6241" s="753"/>
      <c r="N6241" s="753"/>
      <c r="O6241" s="753"/>
      <c r="P6241" s="753"/>
      <c r="Q6241" s="51"/>
      <c r="R6241" s="530"/>
      <c r="S6241" s="757"/>
      <c r="T6241" s="753"/>
      <c r="AR6241" s="748"/>
      <c r="AS6241" s="753"/>
    </row>
    <row r="6242" spans="1:45" s="886" customFormat="1" ht="13.2">
      <c r="A6242"/>
      <c r="B6242" s="910"/>
      <c r="C6242" s="910" t="s">
        <v>2597</v>
      </c>
      <c r="D6242" s="910" t="str">
        <f ca="1">CELL("Address",Elec_Rates!D$822)</f>
        <v>[E25_0062_Quintano_Foods_Elec_ELV_As_Awarded.xlsx]Elec_Rates!$D$822</v>
      </c>
      <c r="E6242" s="911"/>
      <c r="F6242" s="911"/>
      <c r="G6242" s="912" t="s">
        <v>2598</v>
      </c>
      <c r="H6242" s="912"/>
      <c r="I6242" s="912"/>
      <c r="J6242" s="912"/>
      <c r="K6242" s="913"/>
      <c r="L6242" s="911"/>
      <c r="M6242" s="911"/>
      <c r="N6242" s="911"/>
      <c r="O6242" s="914"/>
      <c r="P6242" s="911"/>
      <c r="Q6242" s="915"/>
      <c r="R6242" s="916"/>
      <c r="S6242" s="915"/>
      <c r="T6242" s="917"/>
      <c r="U6242" s="918"/>
      <c r="AR6242"/>
      <c r="AS6242" s="911"/>
    </row>
    <row r="6243" spans="1:45" s="886" customFormat="1" ht="11.4">
      <c r="A6243" s="919">
        <v>10</v>
      </c>
      <c r="B6243" s="920">
        <v>1</v>
      </c>
      <c r="C6243" s="920">
        <f>$A6243*$B6243</f>
        <v>10</v>
      </c>
      <c r="D6243" s="921" t="str">
        <f>Elec_Rates!$D$822</f>
        <v>078# 75x75mm galvanised steel cable trunking</v>
      </c>
      <c r="E6243" s="921"/>
      <c r="F6243" s="921" t="s">
        <v>2599</v>
      </c>
      <c r="G6243" s="922" t="s">
        <v>2601</v>
      </c>
      <c r="H6243" s="922"/>
      <c r="I6243" s="922"/>
      <c r="J6243" s="922"/>
      <c r="K6243" s="923"/>
      <c r="L6243" s="918"/>
      <c r="M6243" s="918"/>
      <c r="N6243" s="918"/>
      <c r="O6243" s="924"/>
      <c r="P6243" s="921"/>
      <c r="Q6243" s="925">
        <f ca="1">$B6243*Elec_Rates!$R$822</f>
        <v>6.95</v>
      </c>
      <c r="R6243" s="916">
        <f ca="1">$A6243*Q6243</f>
        <v>69.5</v>
      </c>
      <c r="S6243" s="925">
        <f ca="1">$B6243*Elec_Rates!$T$822</f>
        <v>0.28999999999999998</v>
      </c>
      <c r="T6243" s="917">
        <f ca="1">$A6243*S6243</f>
        <v>2.9</v>
      </c>
      <c r="U6243" s="926"/>
      <c r="AR6243" s="919">
        <v>10</v>
      </c>
      <c r="AS6243" s="921" t="s">
        <v>2599</v>
      </c>
    </row>
    <row r="6244" spans="1:45" s="886" customFormat="1" ht="13.2">
      <c r="A6244"/>
      <c r="B6244" s="910"/>
      <c r="C6244" s="910" t="s">
        <v>2597</v>
      </c>
      <c r="D6244" s="910" t="str">
        <f ca="1">CELL("Address",Elec_Rates!D$907)</f>
        <v>[E25_0062_Quintano_Foods_Elec_ELV_As_Awarded.xlsx]Elec_Rates!$D$907</v>
      </c>
      <c r="E6244" s="911"/>
      <c r="F6244" s="911"/>
      <c r="G6244" s="912" t="s">
        <v>2598</v>
      </c>
      <c r="H6244" s="912"/>
      <c r="I6244" s="912"/>
      <c r="J6244" s="912"/>
      <c r="K6244" s="913"/>
      <c r="L6244" s="911"/>
      <c r="M6244" s="911"/>
      <c r="N6244" s="911"/>
      <c r="O6244" s="914"/>
      <c r="P6244" s="911"/>
      <c r="Q6244" s="915"/>
      <c r="R6244" s="916"/>
      <c r="S6244" s="915"/>
      <c r="T6244" s="917"/>
      <c r="U6244" s="918"/>
      <c r="AR6244"/>
      <c r="AS6244" s="911"/>
    </row>
    <row r="6245" spans="1:45" s="886" customFormat="1" ht="11.4">
      <c r="A6245" s="919">
        <v>10</v>
      </c>
      <c r="B6245" s="920">
        <v>1</v>
      </c>
      <c r="C6245" s="920">
        <f>$A6245*$B6245</f>
        <v>10</v>
      </c>
      <c r="D6245" s="921" t="str">
        <f>Elec_Rates!$D$907</f>
        <v>084# Bracket for 50-150mm cable tray/basket/trunking</v>
      </c>
      <c r="E6245" s="921"/>
      <c r="F6245" s="921" t="s">
        <v>2599</v>
      </c>
      <c r="G6245" s="922" t="s">
        <v>2600</v>
      </c>
      <c r="H6245" s="922"/>
      <c r="I6245" s="922"/>
      <c r="J6245" s="922"/>
      <c r="K6245" s="923"/>
      <c r="L6245" s="918"/>
      <c r="M6245" s="918"/>
      <c r="N6245" s="918"/>
      <c r="O6245" s="924"/>
      <c r="P6245" s="921"/>
      <c r="Q6245" s="925">
        <f ca="1">$B6245*Elec_Rates!$R$907</f>
        <v>2.37</v>
      </c>
      <c r="R6245" s="916">
        <f ca="1">$A6245*Q6245</f>
        <v>23.700000000000003</v>
      </c>
      <c r="S6245" s="925">
        <f ca="1">$B6245*Elec_Rates!$T$907</f>
        <v>0.09</v>
      </c>
      <c r="T6245" s="917">
        <f ca="1">$A6245*S6245</f>
        <v>0.89999999999999991</v>
      </c>
      <c r="U6245" s="926"/>
      <c r="AR6245" s="919">
        <v>10</v>
      </c>
      <c r="AS6245" s="921" t="s">
        <v>2599</v>
      </c>
    </row>
    <row r="6246" spans="1:45" s="520" customFormat="1" ht="12">
      <c r="A6246" s="51"/>
      <c r="B6246" s="758"/>
      <c r="C6246" s="758"/>
      <c r="D6246" s="758"/>
      <c r="E6246" s="758"/>
      <c r="F6246" s="753"/>
      <c r="G6246" s="758"/>
      <c r="H6246" s="758"/>
      <c r="I6246" s="519"/>
      <c r="J6246" s="758"/>
      <c r="K6246" s="758"/>
      <c r="L6246" s="758"/>
      <c r="M6246" s="758"/>
      <c r="N6246" s="758"/>
      <c r="O6246" s="758"/>
      <c r="P6246" s="758"/>
      <c r="Q6246" s="519"/>
      <c r="R6246" s="759">
        <f t="shared" ref="R6246:R6247" si="414">$A6246*Q6246</f>
        <v>0</v>
      </c>
      <c r="S6246" s="519"/>
      <c r="T6246" s="760">
        <f t="shared" ref="T6246:T6247" si="415">$A6246*S6246*$T$1</f>
        <v>0</v>
      </c>
      <c r="AR6246" s="51"/>
      <c r="AS6246" s="753"/>
    </row>
    <row r="6247" spans="1:45" s="520" customFormat="1" ht="12">
      <c r="A6247" s="758"/>
      <c r="B6247" s="758"/>
      <c r="C6247" s="758"/>
      <c r="D6247" s="758"/>
      <c r="E6247" s="758"/>
      <c r="F6247" s="753"/>
      <c r="G6247" s="758"/>
      <c r="H6247" s="758"/>
      <c r="I6247" s="519"/>
      <c r="J6247" s="758"/>
      <c r="K6247" s="758"/>
      <c r="L6247" s="758"/>
      <c r="M6247" s="758"/>
      <c r="N6247" s="758"/>
      <c r="O6247" s="758"/>
      <c r="P6247" s="758"/>
      <c r="Q6247" s="519"/>
      <c r="R6247" s="759">
        <f t="shared" si="414"/>
        <v>0</v>
      </c>
      <c r="S6247" s="519"/>
      <c r="T6247" s="760">
        <f t="shared" si="415"/>
        <v>0</v>
      </c>
      <c r="AR6247" s="758"/>
      <c r="AS6247" s="753"/>
    </row>
    <row r="6248" spans="1:45" s="520" customFormat="1" ht="12.6" thickBot="1">
      <c r="A6248" s="761" t="s">
        <v>145</v>
      </c>
      <c r="B6248" s="762">
        <f>(R6247+T6247)</f>
        <v>0</v>
      </c>
      <c r="C6248" s="763"/>
      <c r="D6248" s="763"/>
      <c r="E6248" s="763"/>
      <c r="F6248" s="764"/>
      <c r="G6248" s="763" t="s">
        <v>146</v>
      </c>
      <c r="H6248" s="763"/>
      <c r="I6248" s="765"/>
      <c r="J6248" s="763"/>
      <c r="K6248" s="763" t="s">
        <v>3</v>
      </c>
      <c r="L6248" s="766" t="s">
        <v>143</v>
      </c>
      <c r="M6248" s="766"/>
      <c r="N6248" s="766"/>
      <c r="O6248" s="766"/>
      <c r="P6248" s="766"/>
      <c r="Q6248" s="767"/>
      <c r="R6248" s="768">
        <f ca="1">SUM(R6241:R6247)</f>
        <v>93.2</v>
      </c>
      <c r="S6248" s="763"/>
      <c r="T6248" s="768">
        <f ca="1">SUM(T6241:T6247)</f>
        <v>3.8</v>
      </c>
      <c r="U6248" s="531"/>
      <c r="V6248" s="531"/>
      <c r="W6248" s="531"/>
      <c r="X6248" s="531"/>
      <c r="Y6248" s="531"/>
      <c r="Z6248" s="531"/>
      <c r="AA6248" s="531"/>
      <c r="AB6248" s="531"/>
      <c r="AC6248" s="531"/>
      <c r="AD6248" s="531"/>
      <c r="AE6248" s="531"/>
      <c r="AF6248" s="531"/>
      <c r="AG6248" s="531"/>
      <c r="AH6248" s="531"/>
      <c r="AI6248" s="531"/>
      <c r="AJ6248" s="531"/>
      <c r="AK6248" s="531"/>
      <c r="AL6248" s="531"/>
      <c r="AM6248" s="531"/>
      <c r="AN6248" s="531"/>
      <c r="AO6248" s="531"/>
      <c r="AR6248" s="761" t="s">
        <v>145</v>
      </c>
      <c r="AS6248" s="764"/>
    </row>
    <row r="6249" spans="1:45" s="520" customFormat="1" thickTop="1">
      <c r="A6249" s="51"/>
      <c r="B6249" s="51"/>
      <c r="C6249" s="3"/>
      <c r="D6249" s="3"/>
      <c r="E6249" s="51"/>
      <c r="F6249" s="51"/>
      <c r="G6249" s="51"/>
      <c r="H6249" s="51"/>
      <c r="I6249" s="51"/>
      <c r="J6249" s="51"/>
      <c r="K6249" s="51" t="s">
        <v>134</v>
      </c>
      <c r="L6249" s="51"/>
      <c r="M6249" s="51"/>
      <c r="N6249" s="51"/>
      <c r="O6249" s="52"/>
      <c r="P6249" s="51"/>
      <c r="Q6249" s="51"/>
      <c r="R6249" s="51"/>
      <c r="S6249" s="51"/>
      <c r="T6249" s="51"/>
      <c r="AR6249" s="51"/>
      <c r="AS6249" s="51"/>
    </row>
    <row r="6250" spans="1:45" s="520" customFormat="1" ht="12">
      <c r="A6250" s="51"/>
      <c r="B6250" s="51"/>
      <c r="C6250" s="51" t="s">
        <v>135</v>
      </c>
      <c r="D6250" s="37"/>
      <c r="E6250" s="51"/>
      <c r="F6250" s="51"/>
      <c r="G6250" s="51"/>
      <c r="H6250" s="51"/>
      <c r="I6250" s="51"/>
      <c r="J6250" s="51"/>
      <c r="K6250" s="51"/>
      <c r="L6250" s="51"/>
      <c r="M6250" s="51"/>
      <c r="N6250" s="51"/>
      <c r="O6250" s="52"/>
      <c r="P6250" s="51"/>
      <c r="Q6250" s="51"/>
      <c r="R6250" s="51"/>
      <c r="S6250" s="51"/>
      <c r="T6250" s="51"/>
      <c r="AR6250" s="51"/>
      <c r="AS6250" s="51"/>
    </row>
    <row r="6251" spans="1:45" s="520" customFormat="1" ht="39.9" customHeight="1">
      <c r="A6251" s="51"/>
      <c r="B6251" s="51"/>
      <c r="C6251" s="51"/>
      <c r="D6251" s="1453" t="s">
        <v>909</v>
      </c>
      <c r="E6251" s="1452"/>
      <c r="F6251" s="1452"/>
      <c r="G6251" s="1452"/>
      <c r="H6251" s="1452"/>
      <c r="I6251" s="1452"/>
      <c r="J6251" s="1452"/>
      <c r="K6251" s="1452"/>
      <c r="L6251" s="1452"/>
      <c r="M6251" s="1452"/>
      <c r="N6251" s="1452"/>
      <c r="O6251" s="1452"/>
      <c r="P6251" s="1452"/>
      <c r="Q6251" s="1452"/>
      <c r="R6251" s="1452"/>
      <c r="S6251" s="1452"/>
      <c r="T6251" s="1452"/>
      <c r="AR6251" s="51"/>
    </row>
    <row r="6252" spans="1:45" s="3" customFormat="1" thickBot="1">
      <c r="A6252" s="531"/>
      <c r="O6252" s="107"/>
      <c r="AR6252" s="531"/>
    </row>
    <row r="6253" spans="1:45" s="520" customFormat="1" thickTop="1">
      <c r="A6253" s="51"/>
      <c r="B6253" s="51"/>
      <c r="C6253" s="3"/>
      <c r="D6253" s="3"/>
      <c r="E6253" s="51"/>
      <c r="F6253" s="51"/>
      <c r="G6253" s="51"/>
      <c r="H6253" s="51"/>
      <c r="I6253" s="51"/>
      <c r="J6253" s="51"/>
      <c r="K6253" s="51" t="s">
        <v>134</v>
      </c>
      <c r="L6253" s="51"/>
      <c r="M6253" s="51"/>
      <c r="N6253" s="51"/>
      <c r="O6253" s="52"/>
      <c r="P6253" s="51"/>
      <c r="Q6253" s="51"/>
      <c r="R6253" s="51"/>
      <c r="S6253" s="51"/>
      <c r="T6253" s="51"/>
      <c r="AR6253" s="51"/>
      <c r="AS6253" s="51"/>
    </row>
    <row r="6254" spans="1:45" s="520" customFormat="1" ht="12">
      <c r="A6254" s="51"/>
      <c r="B6254" s="51"/>
      <c r="C6254" s="51" t="s">
        <v>135</v>
      </c>
      <c r="D6254" s="37"/>
      <c r="E6254" s="51"/>
      <c r="F6254" s="51"/>
      <c r="G6254" s="51"/>
      <c r="H6254" s="51"/>
      <c r="I6254" s="51"/>
      <c r="J6254" s="51"/>
      <c r="K6254" s="51"/>
      <c r="L6254" s="51"/>
      <c r="M6254" s="51"/>
      <c r="N6254" s="51"/>
      <c r="O6254" s="52"/>
      <c r="P6254" s="51"/>
      <c r="Q6254" s="51"/>
      <c r="R6254" s="51"/>
      <c r="S6254" s="51"/>
      <c r="T6254" s="51"/>
      <c r="AR6254" s="51"/>
      <c r="AS6254" s="51"/>
    </row>
    <row r="6255" spans="1:45" s="520" customFormat="1" ht="12">
      <c r="A6255" s="51"/>
      <c r="B6255" s="51"/>
      <c r="C6255" s="51"/>
      <c r="D6255" s="37" t="s">
        <v>371</v>
      </c>
      <c r="E6255" s="51"/>
      <c r="F6255" s="51"/>
      <c r="G6255" s="51"/>
      <c r="H6255" s="51"/>
      <c r="I6255" s="51"/>
      <c r="J6255" s="51"/>
      <c r="K6255" s="51"/>
      <c r="L6255" s="51"/>
      <c r="M6255" s="51"/>
      <c r="N6255" s="51"/>
      <c r="O6255" s="52"/>
      <c r="P6255" s="51"/>
      <c r="Q6255" s="51"/>
      <c r="R6255" s="51"/>
      <c r="S6255" s="38"/>
      <c r="T6255" s="38"/>
      <c r="AR6255" s="51"/>
      <c r="AS6255" s="51"/>
    </row>
    <row r="6256" spans="1:45" s="3" customFormat="1" thickBot="1">
      <c r="A6256" s="531"/>
      <c r="O6256" s="107"/>
      <c r="AR6256" s="531"/>
    </row>
    <row r="6257" spans="1:45" s="520" customFormat="1" thickTop="1">
      <c r="A6257" s="51"/>
      <c r="B6257" s="51"/>
      <c r="C6257" s="3"/>
      <c r="D6257" s="3"/>
      <c r="E6257" s="51"/>
      <c r="F6257" s="51"/>
      <c r="G6257" s="51"/>
      <c r="H6257" s="51"/>
      <c r="I6257" s="51"/>
      <c r="J6257" s="51"/>
      <c r="K6257" s="51" t="s">
        <v>134</v>
      </c>
      <c r="L6257" s="51"/>
      <c r="M6257" s="51"/>
      <c r="N6257" s="51"/>
      <c r="O6257" s="52"/>
      <c r="P6257" s="51"/>
      <c r="Q6257" s="51"/>
      <c r="R6257" s="51"/>
      <c r="S6257" s="51"/>
      <c r="T6257" s="51"/>
      <c r="AR6257" s="51"/>
      <c r="AS6257" s="51"/>
    </row>
    <row r="6258" spans="1:45" s="520" customFormat="1" ht="12">
      <c r="A6258" s="51"/>
      <c r="B6258" s="51"/>
      <c r="C6258" s="51" t="s">
        <v>135</v>
      </c>
      <c r="D6258" s="37"/>
      <c r="E6258" s="51"/>
      <c r="F6258" s="51"/>
      <c r="G6258" s="51"/>
      <c r="H6258" s="51"/>
      <c r="I6258" s="51"/>
      <c r="J6258" s="51"/>
      <c r="K6258" s="51"/>
      <c r="L6258" s="51"/>
      <c r="M6258" s="51"/>
      <c r="N6258" s="51"/>
      <c r="O6258" s="52"/>
      <c r="P6258" s="51"/>
      <c r="Q6258" s="51"/>
      <c r="R6258" s="51"/>
      <c r="S6258" s="51"/>
      <c r="T6258" s="51"/>
      <c r="AR6258" s="51"/>
      <c r="AS6258" s="51"/>
    </row>
    <row r="6259" spans="1:45" s="520" customFormat="1" ht="12">
      <c r="A6259" s="51"/>
      <c r="B6259" s="51"/>
      <c r="C6259" s="51"/>
      <c r="D6259" s="37" t="s">
        <v>910</v>
      </c>
      <c r="E6259" s="51"/>
      <c r="F6259" s="51"/>
      <c r="G6259" s="51"/>
      <c r="H6259" s="51"/>
      <c r="I6259" s="51"/>
      <c r="J6259" s="51"/>
      <c r="K6259" s="51"/>
      <c r="L6259" s="51"/>
      <c r="M6259" s="51"/>
      <c r="N6259" s="51"/>
      <c r="O6259" s="52"/>
      <c r="P6259" s="51"/>
      <c r="Q6259" s="51"/>
      <c r="R6259" s="51"/>
      <c r="S6259" s="38"/>
      <c r="T6259" s="38"/>
      <c r="AR6259" s="51"/>
      <c r="AS6259" s="51"/>
    </row>
    <row r="6260" spans="1:45" s="3" customFormat="1" thickBot="1">
      <c r="A6260" s="531"/>
      <c r="O6260" s="107"/>
      <c r="AR6260" s="531"/>
    </row>
    <row r="6261" spans="1:45" s="520" customFormat="1" ht="12" thickTop="1">
      <c r="A6261" s="51"/>
      <c r="B6261" s="41"/>
      <c r="C6261" s="51"/>
      <c r="E6261" s="42" t="s">
        <v>138</v>
      </c>
      <c r="F6261" s="42" t="s">
        <v>139</v>
      </c>
      <c r="G6261" s="51"/>
      <c r="H6261" s="51"/>
      <c r="I6261" s="51"/>
      <c r="J6261" s="51"/>
      <c r="K6261" s="51" t="s">
        <v>140</v>
      </c>
      <c r="L6261" s="51"/>
      <c r="M6261" s="51"/>
      <c r="N6261" s="51"/>
      <c r="O6261" s="52"/>
      <c r="P6261" s="51"/>
      <c r="Q6261" s="51"/>
      <c r="R6261" s="51"/>
      <c r="S6261" s="51"/>
      <c r="T6261" s="41"/>
      <c r="AG6261" s="521" t="s">
        <v>268</v>
      </c>
      <c r="AH6261" s="521" t="s">
        <v>269</v>
      </c>
      <c r="AI6261" s="521" t="s">
        <v>270</v>
      </c>
      <c r="AJ6261" s="521" t="s">
        <v>271</v>
      </c>
      <c r="AK6261" s="521" t="s">
        <v>272</v>
      </c>
      <c r="AM6261" s="745" t="s">
        <v>281</v>
      </c>
      <c r="AN6261" s="746" t="s">
        <v>282</v>
      </c>
      <c r="AO6261" s="522" t="s">
        <v>278</v>
      </c>
      <c r="AR6261" s="51"/>
      <c r="AS6261" s="42" t="s">
        <v>139</v>
      </c>
    </row>
    <row r="6262" spans="1:45" s="520" customFormat="1" ht="12" customHeight="1">
      <c r="A6262" s="747">
        <v>55</v>
      </c>
      <c r="B6262" s="523" t="s">
        <v>320</v>
      </c>
      <c r="C6262" s="748"/>
      <c r="D6262" s="749" t="s">
        <v>1987</v>
      </c>
      <c r="E6262" s="750">
        <f ca="1">IF(AND($A6262=0,$A$1="DIF"),0, ROUND(ROUND(($R6269*$S$2+($T6269*$T$2))/A6262,2)*$C$2,2))</f>
        <v>16.87</v>
      </c>
      <c r="F6262" s="751">
        <f ca="1">ROUND($A6262*$E6262,2)</f>
        <v>927.85</v>
      </c>
      <c r="G6262" s="752" t="s">
        <v>142</v>
      </c>
      <c r="H6262" s="753"/>
      <c r="I6262" s="754"/>
      <c r="J6262" s="753"/>
      <c r="K6262" s="753" t="s">
        <v>3</v>
      </c>
      <c r="L6262" s="755" t="s">
        <v>143</v>
      </c>
      <c r="M6262" s="755"/>
      <c r="N6262" s="755"/>
      <c r="O6262" s="755"/>
      <c r="P6262" s="755"/>
      <c r="Q6262" s="51"/>
      <c r="T6262" s="756" t="str">
        <f ca="1">IF(AND($R6269=0,$T6269=0),"0.00","mu :" &amp; ROUND($F6262/$C$2/($R6269+$T6269*$D$9),2))</f>
        <v>mu :1.23</v>
      </c>
      <c r="W6262" s="524"/>
      <c r="AG6262" s="481">
        <f ca="1">IF($E6262=0,0,ROUND($R6269*$S$2*$C$2/$A6262,2))</f>
        <v>7.75</v>
      </c>
      <c r="AH6262" s="481">
        <f ca="1">$AG6262*$A6262</f>
        <v>426.25</v>
      </c>
      <c r="AI6262" s="525">
        <f ca="1">$E6262-$AG6262</f>
        <v>9.120000000000001</v>
      </c>
      <c r="AJ6262" s="525">
        <f ca="1">$A6262*$AI6262</f>
        <v>501.60000000000008</v>
      </c>
      <c r="AK6262" s="526">
        <f ca="1">ROUND(($AG6262+$AI6262)*$A6262,2)</f>
        <v>927.85</v>
      </c>
      <c r="AM6262" s="527">
        <f ca="1">ROUND(R6269,2)</f>
        <v>345.95</v>
      </c>
      <c r="AN6262" s="528">
        <f ca="1">ROUND(T6269,2)</f>
        <v>14.85</v>
      </c>
      <c r="AO6262" s="529">
        <f ca="1">ROUND(AM6262+AN6262,2)*A6262</f>
        <v>19844</v>
      </c>
      <c r="AR6262" s="747">
        <v>55</v>
      </c>
      <c r="AS6262" s="751">
        <v>983.95</v>
      </c>
    </row>
    <row r="6263" spans="1:45" s="520" customFormat="1" ht="13.2">
      <c r="A6263" s="748"/>
      <c r="B6263"/>
      <c r="C6263" s="748"/>
      <c r="D6263" s="749" t="s">
        <v>912</v>
      </c>
      <c r="F6263" s="753"/>
      <c r="G6263" s="3"/>
      <c r="H6263" s="753"/>
      <c r="I6263" s="754"/>
      <c r="J6263" s="753"/>
      <c r="K6263" s="753" t="s">
        <v>144</v>
      </c>
      <c r="L6263" s="753"/>
      <c r="M6263" s="753"/>
      <c r="N6263" s="753"/>
      <c r="O6263" s="753"/>
      <c r="P6263" s="753"/>
      <c r="Q6263" s="51"/>
      <c r="R6263" s="530"/>
      <c r="S6263" s="757"/>
      <c r="T6263" s="753"/>
      <c r="AR6263" s="748"/>
      <c r="AS6263" s="753"/>
    </row>
    <row r="6264" spans="1:45" s="886" customFormat="1" ht="13.2">
      <c r="A6264"/>
      <c r="B6264" s="910"/>
      <c r="C6264" s="910" t="s">
        <v>2597</v>
      </c>
      <c r="D6264" s="910" t="str">
        <f ca="1">CELL("Address",Elec_Rates!D$785)</f>
        <v>[E25_0062_Quintano_Foods_Elec_ELV_As_Awarded.xlsx]Elec_Rates!$D$785</v>
      </c>
      <c r="E6264" s="911"/>
      <c r="F6264" s="911"/>
      <c r="G6264" s="912" t="s">
        <v>2598</v>
      </c>
      <c r="H6264" s="912"/>
      <c r="I6264" s="912"/>
      <c r="J6264" s="912"/>
      <c r="K6264" s="913"/>
      <c r="L6264" s="911"/>
      <c r="M6264" s="911"/>
      <c r="N6264" s="911"/>
      <c r="O6264" s="914"/>
      <c r="P6264" s="911"/>
      <c r="Q6264" s="915"/>
      <c r="R6264" s="916"/>
      <c r="S6264" s="915"/>
      <c r="T6264" s="917"/>
      <c r="U6264" s="918"/>
      <c r="AR6264"/>
      <c r="AS6264" s="911"/>
    </row>
    <row r="6265" spans="1:45" s="886" customFormat="1" ht="11.4">
      <c r="A6265" s="919">
        <v>55</v>
      </c>
      <c r="B6265" s="920">
        <v>1</v>
      </c>
      <c r="C6265" s="920">
        <f>$A6265*$B6265</f>
        <v>55</v>
      </c>
      <c r="D6265" s="921" t="str">
        <f>Elec_Rates!$D$785</f>
        <v>075# 100mm cable Tray</v>
      </c>
      <c r="E6265" s="921"/>
      <c r="F6265" s="921" t="s">
        <v>2599</v>
      </c>
      <c r="G6265" s="922" t="s">
        <v>2601</v>
      </c>
      <c r="H6265" s="922"/>
      <c r="I6265" s="922"/>
      <c r="J6265" s="922"/>
      <c r="K6265" s="923"/>
      <c r="L6265" s="918"/>
      <c r="M6265" s="918"/>
      <c r="N6265" s="918"/>
      <c r="O6265" s="924"/>
      <c r="P6265" s="921"/>
      <c r="Q6265" s="925">
        <f ca="1">$B6265*Elec_Rates!$R$785</f>
        <v>3.92</v>
      </c>
      <c r="R6265" s="916">
        <f ca="1">$A6265*Q6265</f>
        <v>215.6</v>
      </c>
      <c r="S6265" s="925">
        <f ca="1">$B6265*Elec_Rates!$T$785</f>
        <v>0.18</v>
      </c>
      <c r="T6265" s="917">
        <f ca="1">$A6265*S6265</f>
        <v>9.9</v>
      </c>
      <c r="U6265" s="926"/>
      <c r="AR6265" s="919">
        <v>55</v>
      </c>
      <c r="AS6265" s="921" t="s">
        <v>2599</v>
      </c>
    </row>
    <row r="6266" spans="1:45" s="886" customFormat="1" ht="13.2">
      <c r="A6266"/>
      <c r="B6266" s="910"/>
      <c r="C6266" s="910" t="s">
        <v>2597</v>
      </c>
      <c r="D6266" s="910" t="str">
        <f ca="1">CELL("Address",Elec_Rates!D$907)</f>
        <v>[E25_0062_Quintano_Foods_Elec_ELV_As_Awarded.xlsx]Elec_Rates!$D$907</v>
      </c>
      <c r="E6266" s="911"/>
      <c r="F6266" s="911"/>
      <c r="G6266" s="912" t="s">
        <v>2598</v>
      </c>
      <c r="H6266" s="912"/>
      <c r="I6266" s="912"/>
      <c r="J6266" s="912"/>
      <c r="K6266" s="913"/>
      <c r="L6266" s="911"/>
      <c r="M6266" s="911"/>
      <c r="N6266" s="911"/>
      <c r="O6266" s="914"/>
      <c r="P6266" s="911"/>
      <c r="Q6266" s="915"/>
      <c r="R6266" s="916"/>
      <c r="S6266" s="915"/>
      <c r="T6266" s="917"/>
      <c r="U6266" s="918"/>
      <c r="AR6266"/>
      <c r="AS6266" s="911"/>
    </row>
    <row r="6267" spans="1:45" s="886" customFormat="1" ht="11.4">
      <c r="A6267" s="919">
        <v>55</v>
      </c>
      <c r="B6267" s="920">
        <v>1</v>
      </c>
      <c r="C6267" s="920">
        <f>$A6267*$B6267</f>
        <v>55</v>
      </c>
      <c r="D6267" s="921" t="str">
        <f>Elec_Rates!$D$907</f>
        <v>084# Bracket for 50-150mm cable tray/basket/trunking</v>
      </c>
      <c r="E6267" s="921"/>
      <c r="F6267" s="921" t="s">
        <v>2599</v>
      </c>
      <c r="G6267" s="922" t="s">
        <v>2600</v>
      </c>
      <c r="H6267" s="922"/>
      <c r="I6267" s="922"/>
      <c r="J6267" s="922"/>
      <c r="K6267" s="923"/>
      <c r="L6267" s="918"/>
      <c r="M6267" s="918"/>
      <c r="N6267" s="918"/>
      <c r="O6267" s="924"/>
      <c r="P6267" s="921"/>
      <c r="Q6267" s="925">
        <f ca="1">$B6267*Elec_Rates!$R$907</f>
        <v>2.37</v>
      </c>
      <c r="R6267" s="916">
        <f ca="1">$A6267*Q6267</f>
        <v>130.35</v>
      </c>
      <c r="S6267" s="925">
        <f ca="1">$B6267*Elec_Rates!$T$907</f>
        <v>0.09</v>
      </c>
      <c r="T6267" s="917">
        <f ca="1">$A6267*S6267</f>
        <v>4.95</v>
      </c>
      <c r="U6267" s="926"/>
      <c r="AR6267" s="919">
        <v>55</v>
      </c>
      <c r="AS6267" s="921" t="s">
        <v>2599</v>
      </c>
    </row>
    <row r="6268" spans="1:45" s="520" customFormat="1" ht="12">
      <c r="A6268" s="758"/>
      <c r="B6268" s="758"/>
      <c r="C6268" s="758"/>
      <c r="D6268" s="758"/>
      <c r="E6268" s="758"/>
      <c r="F6268" s="753"/>
      <c r="G6268" s="758"/>
      <c r="H6268" s="758"/>
      <c r="I6268" s="519"/>
      <c r="J6268" s="758"/>
      <c r="K6268" s="758"/>
      <c r="L6268" s="758"/>
      <c r="M6268" s="758"/>
      <c r="N6268" s="758"/>
      <c r="O6268" s="758"/>
      <c r="P6268" s="758"/>
      <c r="Q6268" s="519"/>
      <c r="R6268" s="759">
        <f t="shared" ref="R6268" si="416">$A6268*Q6268</f>
        <v>0</v>
      </c>
      <c r="S6268" s="519"/>
      <c r="T6268" s="760">
        <f t="shared" ref="T6268" si="417">$A6268*S6268*$T$1</f>
        <v>0</v>
      </c>
      <c r="AR6268" s="758"/>
      <c r="AS6268" s="753"/>
    </row>
    <row r="6269" spans="1:45" s="520" customFormat="1" ht="12.6" thickBot="1">
      <c r="A6269" s="761" t="s">
        <v>145</v>
      </c>
      <c r="B6269" s="762">
        <f>(R6268+T6268)</f>
        <v>0</v>
      </c>
      <c r="C6269" s="763"/>
      <c r="D6269" s="763"/>
      <c r="E6269" s="763"/>
      <c r="F6269" s="764"/>
      <c r="G6269" s="763" t="s">
        <v>146</v>
      </c>
      <c r="H6269" s="763"/>
      <c r="I6269" s="765"/>
      <c r="J6269" s="763"/>
      <c r="K6269" s="763" t="s">
        <v>3</v>
      </c>
      <c r="L6269" s="766" t="s">
        <v>143</v>
      </c>
      <c r="M6269" s="766"/>
      <c r="N6269" s="766"/>
      <c r="O6269" s="766"/>
      <c r="P6269" s="766"/>
      <c r="Q6269" s="767"/>
      <c r="R6269" s="768">
        <f ca="1">SUM(R6263:R6268)</f>
        <v>345.95</v>
      </c>
      <c r="S6269" s="763"/>
      <c r="T6269" s="768">
        <f ca="1">SUM(T6263:T6268)</f>
        <v>14.850000000000001</v>
      </c>
      <c r="U6269" s="531"/>
      <c r="V6269" s="531"/>
      <c r="W6269" s="531"/>
      <c r="X6269" s="531"/>
      <c r="Y6269" s="531"/>
      <c r="Z6269" s="531"/>
      <c r="AA6269" s="531"/>
      <c r="AB6269" s="531"/>
      <c r="AC6269" s="531"/>
      <c r="AD6269" s="531"/>
      <c r="AE6269" s="531"/>
      <c r="AF6269" s="531"/>
      <c r="AG6269" s="531"/>
      <c r="AH6269" s="531"/>
      <c r="AI6269" s="531"/>
      <c r="AJ6269" s="531"/>
      <c r="AK6269" s="531"/>
      <c r="AL6269" s="531"/>
      <c r="AM6269" s="531"/>
      <c r="AN6269" s="531"/>
      <c r="AO6269" s="531"/>
      <c r="AR6269" s="761" t="s">
        <v>145</v>
      </c>
      <c r="AS6269" s="764"/>
    </row>
    <row r="6270" spans="1:45" s="520" customFormat="1" thickTop="1">
      <c r="A6270" s="51"/>
      <c r="B6270" s="51"/>
      <c r="C6270" s="3"/>
      <c r="D6270" s="3"/>
      <c r="E6270" s="51"/>
      <c r="F6270" s="51"/>
      <c r="G6270" s="51"/>
      <c r="H6270" s="51"/>
      <c r="I6270" s="51"/>
      <c r="J6270" s="51"/>
      <c r="K6270" s="51" t="s">
        <v>134</v>
      </c>
      <c r="L6270" s="51"/>
      <c r="M6270" s="51"/>
      <c r="N6270" s="51"/>
      <c r="O6270" s="52"/>
      <c r="P6270" s="51"/>
      <c r="Q6270" s="51"/>
      <c r="R6270" s="51"/>
      <c r="S6270" s="51"/>
      <c r="T6270" s="51"/>
      <c r="AR6270" s="51"/>
      <c r="AS6270" s="51"/>
    </row>
    <row r="6271" spans="1:45" s="520" customFormat="1" ht="12">
      <c r="A6271" s="51"/>
      <c r="B6271" s="51"/>
      <c r="C6271" s="51" t="s">
        <v>135</v>
      </c>
      <c r="D6271" s="37"/>
      <c r="E6271" s="51"/>
      <c r="F6271" s="51"/>
      <c r="G6271" s="51"/>
      <c r="H6271" s="51"/>
      <c r="I6271" s="51"/>
      <c r="J6271" s="51"/>
      <c r="K6271" s="51"/>
      <c r="L6271" s="51"/>
      <c r="M6271" s="51"/>
      <c r="N6271" s="51"/>
      <c r="O6271" s="52"/>
      <c r="P6271" s="51"/>
      <c r="Q6271" s="51"/>
      <c r="R6271" s="51"/>
      <c r="S6271" s="51"/>
      <c r="T6271" s="51"/>
      <c r="AR6271" s="51"/>
      <c r="AS6271" s="51"/>
    </row>
    <row r="6272" spans="1:45" s="520" customFormat="1" ht="12">
      <c r="A6272" s="51"/>
      <c r="B6272" s="51"/>
      <c r="C6272" s="51"/>
      <c r="D6272" s="37" t="s">
        <v>919</v>
      </c>
      <c r="E6272" s="51"/>
      <c r="F6272" s="51"/>
      <c r="G6272" s="51"/>
      <c r="H6272" s="51"/>
      <c r="I6272" s="51"/>
      <c r="J6272" s="51"/>
      <c r="K6272" s="51"/>
      <c r="L6272" s="51"/>
      <c r="M6272" s="51"/>
      <c r="N6272" s="51"/>
      <c r="O6272" s="52"/>
      <c r="P6272" s="51"/>
      <c r="Q6272" s="51"/>
      <c r="R6272" s="51"/>
      <c r="S6272" s="38"/>
      <c r="T6272" s="38"/>
      <c r="AR6272" s="51"/>
      <c r="AS6272" s="51"/>
    </row>
    <row r="6273" spans="1:45" s="3" customFormat="1" thickBot="1">
      <c r="A6273" s="531"/>
      <c r="O6273" s="107"/>
      <c r="AR6273" s="531"/>
    </row>
    <row r="6274" spans="1:45" s="520" customFormat="1" ht="12" thickTop="1">
      <c r="A6274" s="51"/>
      <c r="B6274" s="41"/>
      <c r="C6274" s="51"/>
      <c r="E6274" s="42" t="s">
        <v>138</v>
      </c>
      <c r="F6274" s="42" t="s">
        <v>139</v>
      </c>
      <c r="G6274" s="51"/>
      <c r="H6274" s="51"/>
      <c r="I6274" s="51"/>
      <c r="J6274" s="51"/>
      <c r="K6274" s="51" t="s">
        <v>140</v>
      </c>
      <c r="L6274" s="51"/>
      <c r="M6274" s="51"/>
      <c r="N6274" s="51"/>
      <c r="O6274" s="52"/>
      <c r="P6274" s="51"/>
      <c r="Q6274" s="51"/>
      <c r="R6274" s="51"/>
      <c r="S6274" s="51"/>
      <c r="T6274" s="41"/>
      <c r="AG6274" s="521" t="s">
        <v>268</v>
      </c>
      <c r="AH6274" s="521" t="s">
        <v>269</v>
      </c>
      <c r="AI6274" s="521" t="s">
        <v>270</v>
      </c>
      <c r="AJ6274" s="521" t="s">
        <v>271</v>
      </c>
      <c r="AK6274" s="521" t="s">
        <v>272</v>
      </c>
      <c r="AM6274" s="745" t="s">
        <v>281</v>
      </c>
      <c r="AN6274" s="746" t="s">
        <v>282</v>
      </c>
      <c r="AO6274" s="522" t="s">
        <v>278</v>
      </c>
      <c r="AR6274" s="51"/>
      <c r="AS6274" s="42" t="s">
        <v>139</v>
      </c>
    </row>
    <row r="6275" spans="1:45" s="520" customFormat="1" ht="12" customHeight="1">
      <c r="A6275" s="747">
        <v>10</v>
      </c>
      <c r="B6275" s="523" t="s">
        <v>320</v>
      </c>
      <c r="C6275" s="748"/>
      <c r="D6275" s="749" t="s">
        <v>1988</v>
      </c>
      <c r="E6275" s="750">
        <f ca="1">IF(AND($A6275=0,$A$1="DIF"),0, ROUND(ROUND(($R6282*$S$2+($T6282*$T$2))/A6275,2)*$C$2,2))</f>
        <v>22.31</v>
      </c>
      <c r="F6275" s="751">
        <f ca="1">ROUND($A6275*$E6275,2)</f>
        <v>223.1</v>
      </c>
      <c r="G6275" s="752" t="s">
        <v>142</v>
      </c>
      <c r="H6275" s="753"/>
      <c r="I6275" s="754"/>
      <c r="J6275" s="753"/>
      <c r="K6275" s="753" t="s">
        <v>3</v>
      </c>
      <c r="L6275" s="755" t="s">
        <v>143</v>
      </c>
      <c r="M6275" s="755"/>
      <c r="N6275" s="755"/>
      <c r="O6275" s="755"/>
      <c r="P6275" s="755"/>
      <c r="Q6275" s="51"/>
      <c r="T6275" s="756" t="str">
        <f ca="1">IF(AND($R6282=0,$T6282=0),"0.00","mu :" &amp; ROUND($F6275/$C$2/($R6282+$T6282*$D$9),2))</f>
        <v>mu :1.23</v>
      </c>
      <c r="W6275" s="524"/>
      <c r="AG6275" s="481">
        <f ca="1">IF($E6275=0,0,ROUND($R6282*$S$2*$C$2/$A6275,2))</f>
        <v>10.130000000000001</v>
      </c>
      <c r="AH6275" s="481">
        <f ca="1">$AG6275*$A6275</f>
        <v>101.30000000000001</v>
      </c>
      <c r="AI6275" s="525">
        <f ca="1">$E6275-$AG6275</f>
        <v>12.179999999999998</v>
      </c>
      <c r="AJ6275" s="525">
        <f ca="1">$A6275*$AI6275</f>
        <v>121.79999999999998</v>
      </c>
      <c r="AK6275" s="526">
        <f ca="1">ROUND(($AG6275+$AI6275)*$A6275,2)</f>
        <v>223.1</v>
      </c>
      <c r="AM6275" s="527">
        <f ca="1">ROUND(R6282,2)</f>
        <v>82.3</v>
      </c>
      <c r="AN6275" s="528">
        <f ca="1">ROUND(T6282,2)</f>
        <v>3.6</v>
      </c>
      <c r="AO6275" s="529">
        <f ca="1">ROUND(AM6275+AN6275,2)*A6275</f>
        <v>859</v>
      </c>
      <c r="AR6275" s="747">
        <v>10</v>
      </c>
      <c r="AS6275" s="751">
        <v>236.6</v>
      </c>
    </row>
    <row r="6276" spans="1:45" s="520" customFormat="1" ht="13.2">
      <c r="A6276" s="748"/>
      <c r="B6276"/>
      <c r="C6276" s="748"/>
      <c r="D6276" s="749" t="s">
        <v>920</v>
      </c>
      <c r="F6276" s="753"/>
      <c r="G6276" s="3"/>
      <c r="H6276" s="753"/>
      <c r="I6276" s="754"/>
      <c r="J6276" s="753"/>
      <c r="K6276" s="753" t="s">
        <v>144</v>
      </c>
      <c r="L6276" s="753"/>
      <c r="M6276" s="753"/>
      <c r="N6276" s="753"/>
      <c r="O6276" s="753"/>
      <c r="P6276" s="753"/>
      <c r="Q6276" s="51"/>
      <c r="R6276" s="530"/>
      <c r="S6276" s="757"/>
      <c r="T6276" s="753"/>
      <c r="AR6276" s="748"/>
      <c r="AS6276" s="753"/>
    </row>
    <row r="6277" spans="1:45" s="886" customFormat="1" ht="13.2">
      <c r="A6277"/>
      <c r="B6277" s="910"/>
      <c r="C6277" s="910" t="s">
        <v>2597</v>
      </c>
      <c r="D6277" s="910" t="str">
        <f ca="1">CELL("Address",Elec_Rates!D$808)</f>
        <v>[E25_0062_Quintano_Foods_Elec_ELV_As_Awarded.xlsx]Elec_Rates!$D$808</v>
      </c>
      <c r="E6277" s="911"/>
      <c r="F6277" s="911"/>
      <c r="G6277" s="912" t="s">
        <v>2598</v>
      </c>
      <c r="H6277" s="912"/>
      <c r="I6277" s="912"/>
      <c r="J6277" s="912"/>
      <c r="K6277" s="913"/>
      <c r="L6277" s="911"/>
      <c r="M6277" s="911"/>
      <c r="N6277" s="911"/>
      <c r="O6277" s="914"/>
      <c r="P6277" s="911"/>
      <c r="Q6277" s="915"/>
      <c r="R6277" s="916"/>
      <c r="S6277" s="915"/>
      <c r="T6277" s="917"/>
      <c r="U6277" s="918"/>
      <c r="AR6277"/>
      <c r="AS6277" s="911"/>
    </row>
    <row r="6278" spans="1:45" s="886" customFormat="1" ht="11.4">
      <c r="A6278" s="919">
        <v>10</v>
      </c>
      <c r="B6278" s="920">
        <v>1</v>
      </c>
      <c r="C6278" s="920">
        <f>$A6278*$B6278</f>
        <v>10</v>
      </c>
      <c r="D6278" s="921" t="str">
        <f>Elec_Rates!$D$808</f>
        <v>077# 75x50mm galvanised steel cable trunking</v>
      </c>
      <c r="E6278" s="921"/>
      <c r="F6278" s="921" t="s">
        <v>2599</v>
      </c>
      <c r="G6278" s="922" t="s">
        <v>2600</v>
      </c>
      <c r="H6278" s="922"/>
      <c r="I6278" s="922"/>
      <c r="J6278" s="922"/>
      <c r="K6278" s="923"/>
      <c r="L6278" s="918"/>
      <c r="M6278" s="918"/>
      <c r="N6278" s="918"/>
      <c r="O6278" s="924"/>
      <c r="P6278" s="921"/>
      <c r="Q6278" s="925">
        <f ca="1">$B6278*Elec_Rates!$R$808</f>
        <v>5.86</v>
      </c>
      <c r="R6278" s="916">
        <f ca="1">$A6278*Q6278</f>
        <v>58.6</v>
      </c>
      <c r="S6278" s="925">
        <f ca="1">$B6278*Elec_Rates!$T$808</f>
        <v>0.27</v>
      </c>
      <c r="T6278" s="917">
        <f ca="1">$A6278*S6278</f>
        <v>2.7</v>
      </c>
      <c r="U6278" s="926"/>
      <c r="AR6278" s="919">
        <v>10</v>
      </c>
      <c r="AS6278" s="921" t="s">
        <v>2599</v>
      </c>
    </row>
    <row r="6279" spans="1:45" s="886" customFormat="1" ht="13.2">
      <c r="A6279"/>
      <c r="B6279" s="910"/>
      <c r="C6279" s="910" t="s">
        <v>2597</v>
      </c>
      <c r="D6279" s="910" t="str">
        <f ca="1">CELL("Address",Elec_Rates!D$907)</f>
        <v>[E25_0062_Quintano_Foods_Elec_ELV_As_Awarded.xlsx]Elec_Rates!$D$907</v>
      </c>
      <c r="E6279" s="911"/>
      <c r="F6279" s="911"/>
      <c r="G6279" s="912" t="s">
        <v>2598</v>
      </c>
      <c r="H6279" s="912"/>
      <c r="I6279" s="912"/>
      <c r="J6279" s="912"/>
      <c r="K6279" s="913"/>
      <c r="L6279" s="911"/>
      <c r="M6279" s="911"/>
      <c r="N6279" s="911"/>
      <c r="O6279" s="914"/>
      <c r="P6279" s="911"/>
      <c r="Q6279" s="915"/>
      <c r="R6279" s="916"/>
      <c r="S6279" s="915"/>
      <c r="T6279" s="917"/>
      <c r="U6279" s="918"/>
      <c r="AR6279"/>
      <c r="AS6279" s="911"/>
    </row>
    <row r="6280" spans="1:45" s="886" customFormat="1" ht="11.4">
      <c r="A6280" s="919">
        <v>10</v>
      </c>
      <c r="B6280" s="920">
        <v>1</v>
      </c>
      <c r="C6280" s="920">
        <f>$A6280*$B6280</f>
        <v>10</v>
      </c>
      <c r="D6280" s="921" t="str">
        <f>Elec_Rates!$D$907</f>
        <v>084# Bracket for 50-150mm cable tray/basket/trunking</v>
      </c>
      <c r="E6280" s="921"/>
      <c r="F6280" s="921" t="s">
        <v>2599</v>
      </c>
      <c r="G6280" s="922" t="s">
        <v>2600</v>
      </c>
      <c r="H6280" s="922"/>
      <c r="I6280" s="922"/>
      <c r="J6280" s="922"/>
      <c r="K6280" s="923"/>
      <c r="L6280" s="918"/>
      <c r="M6280" s="918"/>
      <c r="N6280" s="918"/>
      <c r="O6280" s="924"/>
      <c r="P6280" s="921"/>
      <c r="Q6280" s="925">
        <f ca="1">$B6280*Elec_Rates!$R$907</f>
        <v>2.37</v>
      </c>
      <c r="R6280" s="916">
        <f ca="1">$A6280*Q6280</f>
        <v>23.700000000000003</v>
      </c>
      <c r="S6280" s="925">
        <f ca="1">$B6280*Elec_Rates!$T$907</f>
        <v>0.09</v>
      </c>
      <c r="T6280" s="917">
        <f ca="1">$A6280*S6280</f>
        <v>0.89999999999999991</v>
      </c>
      <c r="U6280" s="926"/>
      <c r="AR6280" s="919">
        <v>10</v>
      </c>
      <c r="AS6280" s="921" t="s">
        <v>2599</v>
      </c>
    </row>
    <row r="6281" spans="1:45" s="520" customFormat="1" ht="12">
      <c r="A6281" s="758"/>
      <c r="B6281" s="758"/>
      <c r="C6281" s="758"/>
      <c r="D6281" s="758"/>
      <c r="E6281" s="758"/>
      <c r="F6281" s="753"/>
      <c r="G6281" s="758"/>
      <c r="H6281" s="758"/>
      <c r="I6281" s="519"/>
      <c r="J6281" s="758"/>
      <c r="K6281" s="758"/>
      <c r="L6281" s="758"/>
      <c r="M6281" s="758"/>
      <c r="N6281" s="758"/>
      <c r="O6281" s="758"/>
      <c r="P6281" s="758"/>
      <c r="Q6281" s="519"/>
      <c r="R6281" s="759">
        <f t="shared" ref="R6281" si="418">$A6281*Q6281</f>
        <v>0</v>
      </c>
      <c r="S6281" s="519"/>
      <c r="T6281" s="760">
        <f t="shared" ref="T6281" si="419">$A6281*S6281*$T$1</f>
        <v>0</v>
      </c>
      <c r="AR6281" s="758"/>
      <c r="AS6281" s="753"/>
    </row>
    <row r="6282" spans="1:45" s="520" customFormat="1" ht="12.6" thickBot="1">
      <c r="A6282" s="761" t="s">
        <v>145</v>
      </c>
      <c r="B6282" s="762">
        <f>(R6281+T6281)</f>
        <v>0</v>
      </c>
      <c r="C6282" s="763"/>
      <c r="D6282" s="763"/>
      <c r="E6282" s="763"/>
      <c r="F6282" s="764"/>
      <c r="G6282" s="763" t="s">
        <v>146</v>
      </c>
      <c r="H6282" s="763"/>
      <c r="I6282" s="765"/>
      <c r="J6282" s="763"/>
      <c r="K6282" s="763" t="s">
        <v>3</v>
      </c>
      <c r="L6282" s="766" t="s">
        <v>143</v>
      </c>
      <c r="M6282" s="766"/>
      <c r="N6282" s="766"/>
      <c r="O6282" s="766"/>
      <c r="P6282" s="766"/>
      <c r="Q6282" s="767"/>
      <c r="R6282" s="768">
        <f ca="1">SUM(R6276:R6281)</f>
        <v>82.300000000000011</v>
      </c>
      <c r="S6282" s="763"/>
      <c r="T6282" s="768">
        <f ca="1">SUM(T6276:T6281)</f>
        <v>3.6</v>
      </c>
      <c r="U6282" s="531"/>
      <c r="V6282" s="531"/>
      <c r="W6282" s="531"/>
      <c r="X6282" s="531"/>
      <c r="Y6282" s="531"/>
      <c r="Z6282" s="531"/>
      <c r="AA6282" s="531"/>
      <c r="AB6282" s="531"/>
      <c r="AC6282" s="531"/>
      <c r="AD6282" s="531"/>
      <c r="AE6282" s="531"/>
      <c r="AF6282" s="531"/>
      <c r="AG6282" s="531"/>
      <c r="AH6282" s="531"/>
      <c r="AI6282" s="531"/>
      <c r="AJ6282" s="531"/>
      <c r="AK6282" s="531"/>
      <c r="AL6282" s="531"/>
      <c r="AM6282" s="531"/>
      <c r="AN6282" s="531"/>
      <c r="AO6282" s="531"/>
      <c r="AR6282" s="761" t="s">
        <v>145</v>
      </c>
      <c r="AS6282" s="764"/>
    </row>
    <row r="6283" spans="1:45" s="520" customFormat="1" ht="12" thickTop="1">
      <c r="A6283" s="51"/>
      <c r="B6283" s="41"/>
      <c r="C6283" s="51"/>
      <c r="E6283" s="42" t="s">
        <v>138</v>
      </c>
      <c r="F6283" s="42" t="s">
        <v>139</v>
      </c>
      <c r="G6283" s="51"/>
      <c r="H6283" s="51"/>
      <c r="I6283" s="51"/>
      <c r="J6283" s="51"/>
      <c r="K6283" s="51" t="s">
        <v>140</v>
      </c>
      <c r="L6283" s="51"/>
      <c r="M6283" s="51"/>
      <c r="N6283" s="51"/>
      <c r="O6283" s="52"/>
      <c r="P6283" s="51"/>
      <c r="Q6283" s="51"/>
      <c r="R6283" s="51"/>
      <c r="S6283" s="51"/>
      <c r="T6283" s="41"/>
      <c r="AG6283" s="521" t="s">
        <v>268</v>
      </c>
      <c r="AH6283" s="521" t="s">
        <v>269</v>
      </c>
      <c r="AI6283" s="521" t="s">
        <v>270</v>
      </c>
      <c r="AJ6283" s="521" t="s">
        <v>271</v>
      </c>
      <c r="AK6283" s="521" t="s">
        <v>272</v>
      </c>
      <c r="AM6283" s="745" t="s">
        <v>281</v>
      </c>
      <c r="AN6283" s="746" t="s">
        <v>282</v>
      </c>
      <c r="AO6283" s="522" t="s">
        <v>278</v>
      </c>
      <c r="AR6283" s="51"/>
      <c r="AS6283" s="42" t="s">
        <v>139</v>
      </c>
    </row>
    <row r="6284" spans="1:45" s="520" customFormat="1" ht="12" customHeight="1">
      <c r="A6284" s="747">
        <v>25</v>
      </c>
      <c r="B6284" s="523" t="s">
        <v>320</v>
      </c>
      <c r="C6284" s="748"/>
      <c r="D6284" s="749" t="s">
        <v>1989</v>
      </c>
      <c r="E6284" s="750">
        <f ca="1">IF(AND($A6284=0,$A$1="DIF"),0, ROUND(ROUND(($R6291*$S$2+($T6291*$T$2))/A6284,2)*$C$2,2))</f>
        <v>24.32</v>
      </c>
      <c r="F6284" s="751">
        <f ca="1">ROUND($A6284*$E6284,2)</f>
        <v>608</v>
      </c>
      <c r="G6284" s="752" t="s">
        <v>142</v>
      </c>
      <c r="H6284" s="753"/>
      <c r="I6284" s="754"/>
      <c r="J6284" s="753"/>
      <c r="K6284" s="753" t="s">
        <v>3</v>
      </c>
      <c r="L6284" s="755" t="s">
        <v>143</v>
      </c>
      <c r="M6284" s="755"/>
      <c r="N6284" s="755"/>
      <c r="O6284" s="755"/>
      <c r="P6284" s="755"/>
      <c r="Q6284" s="51"/>
      <c r="T6284" s="756" t="str">
        <f ca="1">IF(AND($R6291=0,$T6291=0),"0.00","mu :" &amp; ROUND($F6284/$C$2/($R6291+$T6291*$D$9),2))</f>
        <v>mu :1.23</v>
      </c>
      <c r="W6284" s="524"/>
      <c r="AG6284" s="481">
        <f ca="1">IF($E6284=0,0,ROUND($R6291*$S$2*$C$2/$A6284,2))</f>
        <v>11.48</v>
      </c>
      <c r="AH6284" s="481">
        <f ca="1">$AG6284*$A6284</f>
        <v>287</v>
      </c>
      <c r="AI6284" s="525">
        <f ca="1">$E6284-$AG6284</f>
        <v>12.84</v>
      </c>
      <c r="AJ6284" s="525">
        <f ca="1">$A6284*$AI6284</f>
        <v>321</v>
      </c>
      <c r="AK6284" s="526">
        <f ca="1">ROUND(($AG6284+$AI6284)*$A6284,2)</f>
        <v>608</v>
      </c>
      <c r="AM6284" s="527">
        <f ca="1">ROUND(R6291,2)</f>
        <v>233</v>
      </c>
      <c r="AN6284" s="528">
        <f ca="1">ROUND(T6291,2)</f>
        <v>9.5</v>
      </c>
      <c r="AO6284" s="529">
        <f ca="1">ROUND(AM6284+AN6284,2)*A6284</f>
        <v>6062.5</v>
      </c>
      <c r="AR6284" s="747">
        <v>25</v>
      </c>
      <c r="AS6284" s="751">
        <v>642</v>
      </c>
    </row>
    <row r="6285" spans="1:45" s="520" customFormat="1" ht="13.2">
      <c r="A6285" s="748"/>
      <c r="B6285"/>
      <c r="C6285" s="748"/>
      <c r="D6285" s="749" t="s">
        <v>921</v>
      </c>
      <c r="F6285" s="753"/>
      <c r="G6285" s="3"/>
      <c r="H6285" s="753"/>
      <c r="I6285" s="754"/>
      <c r="J6285" s="753"/>
      <c r="K6285" s="753" t="s">
        <v>144</v>
      </c>
      <c r="L6285" s="753"/>
      <c r="M6285" s="753"/>
      <c r="N6285" s="753"/>
      <c r="O6285" s="753"/>
      <c r="P6285" s="753"/>
      <c r="Q6285" s="51"/>
      <c r="R6285" s="530"/>
      <c r="S6285" s="757"/>
      <c r="T6285" s="753"/>
      <c r="AR6285" s="748"/>
      <c r="AS6285" s="753"/>
    </row>
    <row r="6286" spans="1:45" s="886" customFormat="1" ht="13.2">
      <c r="A6286"/>
      <c r="B6286" s="910"/>
      <c r="C6286" s="910" t="s">
        <v>2597</v>
      </c>
      <c r="D6286" s="910" t="str">
        <f ca="1">CELL("Address",Elec_Rates!D$822)</f>
        <v>[E25_0062_Quintano_Foods_Elec_ELV_As_Awarded.xlsx]Elec_Rates!$D$822</v>
      </c>
      <c r="E6286" s="911"/>
      <c r="F6286" s="911"/>
      <c r="G6286" s="912" t="s">
        <v>2598</v>
      </c>
      <c r="H6286" s="912"/>
      <c r="I6286" s="912"/>
      <c r="J6286" s="912"/>
      <c r="K6286" s="913"/>
      <c r="L6286" s="911"/>
      <c r="M6286" s="911"/>
      <c r="N6286" s="911"/>
      <c r="O6286" s="914"/>
      <c r="P6286" s="911"/>
      <c r="Q6286" s="915"/>
      <c r="R6286" s="916"/>
      <c r="S6286" s="915"/>
      <c r="T6286" s="917"/>
      <c r="U6286" s="918"/>
      <c r="AR6286"/>
      <c r="AS6286" s="911"/>
    </row>
    <row r="6287" spans="1:45" s="886" customFormat="1" ht="11.4">
      <c r="A6287" s="919">
        <v>25</v>
      </c>
      <c r="B6287" s="920">
        <v>1</v>
      </c>
      <c r="C6287" s="920">
        <f>$A6287*$B6287</f>
        <v>25</v>
      </c>
      <c r="D6287" s="921" t="str">
        <f>Elec_Rates!$D$822</f>
        <v>078# 75x75mm galvanised steel cable trunking</v>
      </c>
      <c r="E6287" s="921"/>
      <c r="F6287" s="921" t="s">
        <v>2599</v>
      </c>
      <c r="G6287" s="922" t="s">
        <v>2601</v>
      </c>
      <c r="H6287" s="922"/>
      <c r="I6287" s="922"/>
      <c r="J6287" s="922"/>
      <c r="K6287" s="923"/>
      <c r="L6287" s="918"/>
      <c r="M6287" s="918"/>
      <c r="N6287" s="918"/>
      <c r="O6287" s="924"/>
      <c r="P6287" s="921"/>
      <c r="Q6287" s="925">
        <f ca="1">$B6287*Elec_Rates!$R$822</f>
        <v>6.95</v>
      </c>
      <c r="R6287" s="916">
        <f ca="1">$A6287*Q6287</f>
        <v>173.75</v>
      </c>
      <c r="S6287" s="925">
        <f ca="1">$B6287*Elec_Rates!$T$822</f>
        <v>0.28999999999999998</v>
      </c>
      <c r="T6287" s="917">
        <f ca="1">$A6287*S6287</f>
        <v>7.2499999999999991</v>
      </c>
      <c r="U6287" s="926"/>
      <c r="AR6287" s="919">
        <v>25</v>
      </c>
      <c r="AS6287" s="921" t="s">
        <v>2599</v>
      </c>
    </row>
    <row r="6288" spans="1:45" s="886" customFormat="1" ht="13.2">
      <c r="A6288"/>
      <c r="B6288" s="910"/>
      <c r="C6288" s="910" t="s">
        <v>2597</v>
      </c>
      <c r="D6288" s="910" t="str">
        <f ca="1">CELL("Address",Elec_Rates!D$907)</f>
        <v>[E25_0062_Quintano_Foods_Elec_ELV_As_Awarded.xlsx]Elec_Rates!$D$907</v>
      </c>
      <c r="E6288" s="911"/>
      <c r="F6288" s="911"/>
      <c r="G6288" s="912" t="s">
        <v>2598</v>
      </c>
      <c r="H6288" s="912"/>
      <c r="I6288" s="912"/>
      <c r="J6288" s="912"/>
      <c r="K6288" s="913"/>
      <c r="L6288" s="911"/>
      <c r="M6288" s="911"/>
      <c r="N6288" s="911"/>
      <c r="O6288" s="914"/>
      <c r="P6288" s="911"/>
      <c r="Q6288" s="915"/>
      <c r="R6288" s="916"/>
      <c r="S6288" s="915"/>
      <c r="T6288" s="917"/>
      <c r="U6288" s="918"/>
      <c r="AR6288"/>
      <c r="AS6288" s="911"/>
    </row>
    <row r="6289" spans="1:45" s="886" customFormat="1" ht="11.4">
      <c r="A6289" s="919">
        <v>25</v>
      </c>
      <c r="B6289" s="920">
        <v>1</v>
      </c>
      <c r="C6289" s="920">
        <f>$A6289*$B6289</f>
        <v>25</v>
      </c>
      <c r="D6289" s="921" t="str">
        <f>Elec_Rates!$D$907</f>
        <v>084# Bracket for 50-150mm cable tray/basket/trunking</v>
      </c>
      <c r="E6289" s="921"/>
      <c r="F6289" s="921" t="s">
        <v>2599</v>
      </c>
      <c r="G6289" s="922" t="s">
        <v>2600</v>
      </c>
      <c r="H6289" s="922"/>
      <c r="I6289" s="922"/>
      <c r="J6289" s="922"/>
      <c r="K6289" s="923"/>
      <c r="L6289" s="918"/>
      <c r="M6289" s="918"/>
      <c r="N6289" s="918"/>
      <c r="O6289" s="924"/>
      <c r="P6289" s="921"/>
      <c r="Q6289" s="925">
        <f ca="1">$B6289*Elec_Rates!$R$907</f>
        <v>2.37</v>
      </c>
      <c r="R6289" s="916">
        <f ca="1">$A6289*Q6289</f>
        <v>59.25</v>
      </c>
      <c r="S6289" s="925">
        <f ca="1">$B6289*Elec_Rates!$T$907</f>
        <v>0.09</v>
      </c>
      <c r="T6289" s="917">
        <f ca="1">$A6289*S6289</f>
        <v>2.25</v>
      </c>
      <c r="U6289" s="926"/>
      <c r="AR6289" s="919">
        <v>25</v>
      </c>
      <c r="AS6289" s="921" t="s">
        <v>2599</v>
      </c>
    </row>
    <row r="6290" spans="1:45" s="520" customFormat="1" ht="12">
      <c r="A6290" s="758"/>
      <c r="B6290" s="758"/>
      <c r="C6290" s="758"/>
      <c r="D6290" s="758"/>
      <c r="E6290" s="758"/>
      <c r="F6290" s="753"/>
      <c r="G6290" s="758"/>
      <c r="H6290" s="758"/>
      <c r="I6290" s="519"/>
      <c r="J6290" s="758"/>
      <c r="K6290" s="758"/>
      <c r="L6290" s="758"/>
      <c r="M6290" s="758"/>
      <c r="N6290" s="758"/>
      <c r="O6290" s="758"/>
      <c r="P6290" s="758"/>
      <c r="Q6290" s="519"/>
      <c r="R6290" s="759">
        <f t="shared" ref="R6290" si="420">$A6290*Q6290</f>
        <v>0</v>
      </c>
      <c r="S6290" s="519"/>
      <c r="T6290" s="760">
        <f t="shared" ref="T6290" si="421">$A6290*S6290*$T$1</f>
        <v>0</v>
      </c>
      <c r="AR6290" s="758"/>
      <c r="AS6290" s="753"/>
    </row>
    <row r="6291" spans="1:45" s="520" customFormat="1" ht="12.6" thickBot="1">
      <c r="A6291" s="761" t="s">
        <v>145</v>
      </c>
      <c r="B6291" s="762">
        <f>(R6290+T6290)</f>
        <v>0</v>
      </c>
      <c r="C6291" s="763"/>
      <c r="D6291" s="763"/>
      <c r="E6291" s="763"/>
      <c r="F6291" s="764"/>
      <c r="G6291" s="763" t="s">
        <v>146</v>
      </c>
      <c r="H6291" s="763"/>
      <c r="I6291" s="765"/>
      <c r="J6291" s="763"/>
      <c r="K6291" s="763" t="s">
        <v>3</v>
      </c>
      <c r="L6291" s="766" t="s">
        <v>143</v>
      </c>
      <c r="M6291" s="766"/>
      <c r="N6291" s="766"/>
      <c r="O6291" s="766"/>
      <c r="P6291" s="766"/>
      <c r="Q6291" s="767"/>
      <c r="R6291" s="768">
        <f ca="1">SUM(R6285:R6290)</f>
        <v>233</v>
      </c>
      <c r="S6291" s="763"/>
      <c r="T6291" s="768">
        <f ca="1">SUM(T6285:T6290)</f>
        <v>9.5</v>
      </c>
      <c r="U6291" s="531"/>
      <c r="V6291" s="531"/>
      <c r="W6291" s="531"/>
      <c r="X6291" s="531"/>
      <c r="Y6291" s="531"/>
      <c r="Z6291" s="531"/>
      <c r="AA6291" s="531"/>
      <c r="AB6291" s="531"/>
      <c r="AC6291" s="531"/>
      <c r="AD6291" s="531"/>
      <c r="AE6291" s="531"/>
      <c r="AF6291" s="531"/>
      <c r="AG6291" s="531"/>
      <c r="AH6291" s="531"/>
      <c r="AI6291" s="531"/>
      <c r="AJ6291" s="531"/>
      <c r="AK6291" s="531"/>
      <c r="AL6291" s="531"/>
      <c r="AM6291" s="531"/>
      <c r="AN6291" s="531"/>
      <c r="AO6291" s="531"/>
      <c r="AR6291" s="761" t="s">
        <v>145</v>
      </c>
      <c r="AS6291" s="764"/>
    </row>
    <row r="6292" spans="1:45" s="520" customFormat="1" ht="12" thickTop="1">
      <c r="A6292" s="51"/>
      <c r="B6292" s="41"/>
      <c r="C6292" s="51"/>
      <c r="E6292" s="42" t="s">
        <v>138</v>
      </c>
      <c r="F6292" s="42" t="s">
        <v>139</v>
      </c>
      <c r="G6292" s="51"/>
      <c r="H6292" s="51"/>
      <c r="I6292" s="51"/>
      <c r="J6292" s="51"/>
      <c r="K6292" s="51" t="s">
        <v>140</v>
      </c>
      <c r="L6292" s="51"/>
      <c r="M6292" s="51"/>
      <c r="N6292" s="51"/>
      <c r="O6292" s="52"/>
      <c r="P6292" s="51"/>
      <c r="Q6292" s="51"/>
      <c r="R6292" s="51"/>
      <c r="S6292" s="51"/>
      <c r="T6292" s="41"/>
      <c r="AG6292" s="521" t="s">
        <v>268</v>
      </c>
      <c r="AH6292" s="521" t="s">
        <v>269</v>
      </c>
      <c r="AI6292" s="521" t="s">
        <v>270</v>
      </c>
      <c r="AJ6292" s="521" t="s">
        <v>271</v>
      </c>
      <c r="AK6292" s="521" t="s">
        <v>272</v>
      </c>
      <c r="AM6292" s="745" t="s">
        <v>281</v>
      </c>
      <c r="AN6292" s="746" t="s">
        <v>282</v>
      </c>
      <c r="AO6292" s="522" t="s">
        <v>278</v>
      </c>
      <c r="AR6292" s="51"/>
      <c r="AS6292" s="42" t="s">
        <v>139</v>
      </c>
    </row>
    <row r="6293" spans="1:45" s="520" customFormat="1" ht="12" customHeight="1">
      <c r="A6293" s="747">
        <v>25</v>
      </c>
      <c r="B6293" s="523" t="s">
        <v>320</v>
      </c>
      <c r="C6293" s="748"/>
      <c r="D6293" s="749" t="s">
        <v>1990</v>
      </c>
      <c r="E6293" s="750">
        <f ca="1">IF(AND($A6293=0,$A$1="DIF"),0, ROUND(ROUND(($R6300*$S$2+($T6300*$T$2))/A6293,2)*$C$2,2))</f>
        <v>26.93</v>
      </c>
      <c r="F6293" s="751">
        <f ca="1">ROUND($A6293*$E6293,2)</f>
        <v>673.25</v>
      </c>
      <c r="G6293" s="752" t="s">
        <v>142</v>
      </c>
      <c r="H6293" s="753"/>
      <c r="I6293" s="754"/>
      <c r="J6293" s="753"/>
      <c r="K6293" s="753" t="s">
        <v>3</v>
      </c>
      <c r="L6293" s="755" t="s">
        <v>143</v>
      </c>
      <c r="M6293" s="755"/>
      <c r="N6293" s="755"/>
      <c r="O6293" s="755"/>
      <c r="P6293" s="755"/>
      <c r="Q6293" s="51"/>
      <c r="T6293" s="756" t="str">
        <f ca="1">IF(AND($R6300=0,$T6300=0),"0.00","mu :" &amp; ROUND($F6293/$C$2/($R6300+$T6300*$D$9),2))</f>
        <v>mu :1.23</v>
      </c>
      <c r="W6293" s="524"/>
      <c r="AG6293" s="481">
        <f ca="1">IF($E6293=0,0,ROUND($R6300*$S$2*$C$2/$A6293,2))</f>
        <v>12.73</v>
      </c>
      <c r="AH6293" s="481">
        <f ca="1">$AG6293*$A6293</f>
        <v>318.25</v>
      </c>
      <c r="AI6293" s="525">
        <f ca="1">$E6293-$AG6293</f>
        <v>14.2</v>
      </c>
      <c r="AJ6293" s="525">
        <f ca="1">$A6293*$AI6293</f>
        <v>355</v>
      </c>
      <c r="AK6293" s="526">
        <f ca="1">ROUND(($AG6293+$AI6293)*$A6293,2)</f>
        <v>673.25</v>
      </c>
      <c r="AM6293" s="527">
        <f ca="1">ROUND(R6300,2)</f>
        <v>258.5</v>
      </c>
      <c r="AN6293" s="528">
        <f ca="1">ROUND(T6300,2)</f>
        <v>10.5</v>
      </c>
      <c r="AO6293" s="529">
        <f ca="1">ROUND(AM6293+AN6293,2)*A6293</f>
        <v>6725</v>
      </c>
      <c r="AR6293" s="747">
        <v>25</v>
      </c>
      <c r="AS6293" s="751">
        <v>715.5</v>
      </c>
    </row>
    <row r="6294" spans="1:45" s="520" customFormat="1" ht="13.2">
      <c r="A6294" s="748"/>
      <c r="B6294"/>
      <c r="C6294" s="748"/>
      <c r="D6294" s="749" t="s">
        <v>922</v>
      </c>
      <c r="F6294" s="753"/>
      <c r="G6294" s="3"/>
      <c r="H6294" s="753"/>
      <c r="I6294" s="754"/>
      <c r="J6294" s="753"/>
      <c r="K6294" s="753" t="s">
        <v>144</v>
      </c>
      <c r="L6294" s="753"/>
      <c r="M6294" s="753"/>
      <c r="N6294" s="753"/>
      <c r="O6294" s="753"/>
      <c r="P6294" s="753"/>
      <c r="Q6294" s="51"/>
      <c r="R6294" s="530"/>
      <c r="S6294" s="757"/>
      <c r="T6294" s="753"/>
      <c r="AR6294" s="748"/>
      <c r="AS6294" s="753"/>
    </row>
    <row r="6295" spans="1:45" s="886" customFormat="1" ht="13.2">
      <c r="A6295"/>
      <c r="B6295" s="910"/>
      <c r="C6295" s="910" t="s">
        <v>2597</v>
      </c>
      <c r="D6295" s="910" t="str">
        <f ca="1">CELL("Address",Elec_Rates!D$837)</f>
        <v>[E25_0062_Quintano_Foods_Elec_ELV_As_Awarded.xlsx]Elec_Rates!$D$837</v>
      </c>
      <c r="E6295" s="911"/>
      <c r="F6295" s="911"/>
      <c r="G6295" s="912" t="s">
        <v>2598</v>
      </c>
      <c r="H6295" s="912"/>
      <c r="I6295" s="912"/>
      <c r="J6295" s="912"/>
      <c r="K6295" s="913"/>
      <c r="L6295" s="911"/>
      <c r="M6295" s="911"/>
      <c r="N6295" s="911"/>
      <c r="O6295" s="914"/>
      <c r="P6295" s="911"/>
      <c r="Q6295" s="915"/>
      <c r="R6295" s="916"/>
      <c r="S6295" s="915"/>
      <c r="T6295" s="917"/>
      <c r="U6295" s="918"/>
      <c r="AR6295"/>
      <c r="AS6295" s="911"/>
    </row>
    <row r="6296" spans="1:45" s="886" customFormat="1" ht="11.4">
      <c r="A6296" s="919">
        <v>25</v>
      </c>
      <c r="B6296" s="920">
        <v>1</v>
      </c>
      <c r="C6296" s="920">
        <f>$A6296*$B6296</f>
        <v>25</v>
      </c>
      <c r="D6296" s="921" t="str">
        <f>Elec_Rates!$D$837</f>
        <v>079# 100x75mm galvanised steel cable trunking</v>
      </c>
      <c r="E6296" s="921"/>
      <c r="F6296" s="921" t="s">
        <v>2599</v>
      </c>
      <c r="G6296" s="922" t="s">
        <v>2600</v>
      </c>
      <c r="H6296" s="922"/>
      <c r="I6296" s="922"/>
      <c r="J6296" s="922"/>
      <c r="K6296" s="923"/>
      <c r="L6296" s="918"/>
      <c r="M6296" s="918"/>
      <c r="N6296" s="918"/>
      <c r="O6296" s="924"/>
      <c r="P6296" s="921"/>
      <c r="Q6296" s="925">
        <f ca="1">$B6296*Elec_Rates!$R$837</f>
        <v>7.97</v>
      </c>
      <c r="R6296" s="916">
        <f ca="1">$A6296*Q6296</f>
        <v>199.25</v>
      </c>
      <c r="S6296" s="925">
        <f ca="1">$B6296*Elec_Rates!$T$837</f>
        <v>0.33</v>
      </c>
      <c r="T6296" s="917">
        <f ca="1">$A6296*S6296</f>
        <v>8.25</v>
      </c>
      <c r="U6296" s="926"/>
      <c r="AR6296" s="919">
        <v>25</v>
      </c>
      <c r="AS6296" s="921" t="s">
        <v>2599</v>
      </c>
    </row>
    <row r="6297" spans="1:45" s="886" customFormat="1" ht="13.2">
      <c r="A6297"/>
      <c r="B6297" s="910"/>
      <c r="C6297" s="910" t="s">
        <v>2597</v>
      </c>
      <c r="D6297" s="910" t="str">
        <f ca="1">CELL("Address",Elec_Rates!D$907)</f>
        <v>[E25_0062_Quintano_Foods_Elec_ELV_As_Awarded.xlsx]Elec_Rates!$D$907</v>
      </c>
      <c r="E6297" s="911"/>
      <c r="F6297" s="911"/>
      <c r="G6297" s="912" t="s">
        <v>2598</v>
      </c>
      <c r="H6297" s="912"/>
      <c r="I6297" s="912"/>
      <c r="J6297" s="912"/>
      <c r="K6297" s="913"/>
      <c r="L6297" s="911"/>
      <c r="M6297" s="911"/>
      <c r="N6297" s="911"/>
      <c r="O6297" s="914"/>
      <c r="P6297" s="911"/>
      <c r="Q6297" s="915"/>
      <c r="R6297" s="916"/>
      <c r="S6297" s="915"/>
      <c r="T6297" s="917"/>
      <c r="U6297" s="918"/>
      <c r="AR6297"/>
      <c r="AS6297" s="911"/>
    </row>
    <row r="6298" spans="1:45" s="886" customFormat="1" ht="11.4">
      <c r="A6298" s="919">
        <v>25</v>
      </c>
      <c r="B6298" s="920">
        <v>1</v>
      </c>
      <c r="C6298" s="920">
        <f>$A6298*$B6298</f>
        <v>25</v>
      </c>
      <c r="D6298" s="921" t="str">
        <f>Elec_Rates!$D$907</f>
        <v>084# Bracket for 50-150mm cable tray/basket/trunking</v>
      </c>
      <c r="E6298" s="921"/>
      <c r="F6298" s="921" t="s">
        <v>2599</v>
      </c>
      <c r="G6298" s="922" t="s">
        <v>2600</v>
      </c>
      <c r="H6298" s="922"/>
      <c r="I6298" s="922"/>
      <c r="J6298" s="922"/>
      <c r="K6298" s="923"/>
      <c r="L6298" s="918"/>
      <c r="M6298" s="918"/>
      <c r="N6298" s="918"/>
      <c r="O6298" s="924"/>
      <c r="P6298" s="921"/>
      <c r="Q6298" s="925">
        <f ca="1">$B6298*Elec_Rates!$R$907</f>
        <v>2.37</v>
      </c>
      <c r="R6298" s="916">
        <f ca="1">$A6298*Q6298</f>
        <v>59.25</v>
      </c>
      <c r="S6298" s="925">
        <f ca="1">$B6298*Elec_Rates!$T$907</f>
        <v>0.09</v>
      </c>
      <c r="T6298" s="917">
        <f ca="1">$A6298*S6298</f>
        <v>2.25</v>
      </c>
      <c r="U6298" s="926"/>
      <c r="AR6298" s="919">
        <v>25</v>
      </c>
      <c r="AS6298" s="921" t="s">
        <v>2599</v>
      </c>
    </row>
    <row r="6299" spans="1:45" s="520" customFormat="1" ht="12">
      <c r="A6299" s="758"/>
      <c r="B6299" s="758"/>
      <c r="C6299" s="758"/>
      <c r="D6299" s="758"/>
      <c r="E6299" s="758"/>
      <c r="F6299" s="753"/>
      <c r="G6299" s="758"/>
      <c r="H6299" s="758"/>
      <c r="I6299" s="519"/>
      <c r="J6299" s="758"/>
      <c r="K6299" s="758"/>
      <c r="L6299" s="758"/>
      <c r="M6299" s="758"/>
      <c r="N6299" s="758"/>
      <c r="O6299" s="758"/>
      <c r="P6299" s="758"/>
      <c r="Q6299" s="519"/>
      <c r="R6299" s="759">
        <f t="shared" ref="R6299" si="422">$A6299*Q6299</f>
        <v>0</v>
      </c>
      <c r="S6299" s="519"/>
      <c r="T6299" s="760">
        <f t="shared" ref="T6299" si="423">$A6299*S6299*$T$1</f>
        <v>0</v>
      </c>
      <c r="AR6299" s="758"/>
      <c r="AS6299" s="753"/>
    </row>
    <row r="6300" spans="1:45" s="520" customFormat="1" ht="12.6" thickBot="1">
      <c r="A6300" s="761" t="s">
        <v>145</v>
      </c>
      <c r="B6300" s="762">
        <f>(R6299+T6299)</f>
        <v>0</v>
      </c>
      <c r="C6300" s="763"/>
      <c r="D6300" s="763"/>
      <c r="E6300" s="763"/>
      <c r="F6300" s="764"/>
      <c r="G6300" s="763" t="s">
        <v>146</v>
      </c>
      <c r="H6300" s="763"/>
      <c r="I6300" s="765"/>
      <c r="J6300" s="763"/>
      <c r="K6300" s="763" t="s">
        <v>3</v>
      </c>
      <c r="L6300" s="766" t="s">
        <v>143</v>
      </c>
      <c r="M6300" s="766"/>
      <c r="N6300" s="766"/>
      <c r="O6300" s="766"/>
      <c r="P6300" s="766"/>
      <c r="Q6300" s="767"/>
      <c r="R6300" s="768">
        <f ca="1">SUM(R6294:R6299)</f>
        <v>258.5</v>
      </c>
      <c r="S6300" s="763"/>
      <c r="T6300" s="768">
        <f ca="1">SUM(T6294:T6299)</f>
        <v>10.5</v>
      </c>
      <c r="U6300" s="531"/>
      <c r="V6300" s="531"/>
      <c r="W6300" s="531"/>
      <c r="X6300" s="531"/>
      <c r="Y6300" s="531"/>
      <c r="Z6300" s="531"/>
      <c r="AA6300" s="531"/>
      <c r="AB6300" s="531"/>
      <c r="AC6300" s="531"/>
      <c r="AD6300" s="531"/>
      <c r="AE6300" s="531"/>
      <c r="AF6300" s="531"/>
      <c r="AG6300" s="531"/>
      <c r="AH6300" s="531"/>
      <c r="AI6300" s="531"/>
      <c r="AJ6300" s="531"/>
      <c r="AK6300" s="531"/>
      <c r="AL6300" s="531"/>
      <c r="AM6300" s="531"/>
      <c r="AN6300" s="531"/>
      <c r="AO6300" s="531"/>
      <c r="AR6300" s="761" t="s">
        <v>145</v>
      </c>
      <c r="AS6300" s="764"/>
    </row>
    <row r="6301" spans="1:45" s="520" customFormat="1" thickTop="1">
      <c r="A6301" s="51"/>
      <c r="B6301" s="51"/>
      <c r="C6301" s="3"/>
      <c r="D6301" s="3"/>
      <c r="E6301" s="51"/>
      <c r="F6301" s="51"/>
      <c r="G6301" s="51"/>
      <c r="H6301" s="51"/>
      <c r="I6301" s="51"/>
      <c r="J6301" s="51"/>
      <c r="K6301" s="51" t="s">
        <v>134</v>
      </c>
      <c r="L6301" s="51"/>
      <c r="M6301" s="51"/>
      <c r="N6301" s="51"/>
      <c r="O6301" s="52"/>
      <c r="P6301" s="51"/>
      <c r="Q6301" s="51"/>
      <c r="R6301" s="51"/>
      <c r="S6301" s="51"/>
      <c r="T6301" s="51"/>
      <c r="AR6301" s="51"/>
      <c r="AS6301" s="51"/>
    </row>
    <row r="6302" spans="1:45" s="520" customFormat="1" ht="12">
      <c r="A6302" s="51"/>
      <c r="B6302" s="51"/>
      <c r="C6302" s="51" t="s">
        <v>135</v>
      </c>
      <c r="D6302" s="37"/>
      <c r="E6302" s="51"/>
      <c r="F6302" s="51"/>
      <c r="G6302" s="51"/>
      <c r="H6302" s="51"/>
      <c r="I6302" s="51"/>
      <c r="J6302" s="51"/>
      <c r="K6302" s="51"/>
      <c r="L6302" s="51"/>
      <c r="M6302" s="51"/>
      <c r="N6302" s="51"/>
      <c r="O6302" s="52"/>
      <c r="P6302" s="51"/>
      <c r="Q6302" s="51"/>
      <c r="R6302" s="51"/>
      <c r="S6302" s="51"/>
      <c r="T6302" s="51"/>
      <c r="AR6302" s="51"/>
      <c r="AS6302" s="51"/>
    </row>
    <row r="6303" spans="1:45" s="520" customFormat="1" ht="12">
      <c r="A6303" s="51"/>
      <c r="B6303" s="51"/>
      <c r="C6303" s="51"/>
      <c r="D6303" s="37" t="s">
        <v>923</v>
      </c>
      <c r="E6303" s="51"/>
      <c r="F6303" s="51"/>
      <c r="G6303" s="51"/>
      <c r="H6303" s="51"/>
      <c r="I6303" s="51"/>
      <c r="J6303" s="51"/>
      <c r="K6303" s="51"/>
      <c r="L6303" s="51"/>
      <c r="M6303" s="51"/>
      <c r="N6303" s="51"/>
      <c r="O6303" s="52"/>
      <c r="P6303" s="51"/>
      <c r="Q6303" s="51"/>
      <c r="R6303" s="51"/>
      <c r="S6303" s="38"/>
      <c r="T6303" s="38"/>
      <c r="AR6303" s="51"/>
      <c r="AS6303" s="51"/>
    </row>
    <row r="6304" spans="1:45" s="3" customFormat="1" thickBot="1">
      <c r="A6304" s="531"/>
      <c r="O6304" s="107"/>
      <c r="AR6304" s="531"/>
    </row>
    <row r="6305" spans="1:45" s="520" customFormat="1" ht="12" thickTop="1">
      <c r="A6305" s="51"/>
      <c r="B6305" s="41"/>
      <c r="C6305" s="51"/>
      <c r="E6305" s="42" t="s">
        <v>138</v>
      </c>
      <c r="F6305" s="42" t="s">
        <v>139</v>
      </c>
      <c r="G6305" s="51"/>
      <c r="H6305" s="51"/>
      <c r="I6305" s="51"/>
      <c r="J6305" s="51"/>
      <c r="K6305" s="51" t="s">
        <v>140</v>
      </c>
      <c r="L6305" s="51"/>
      <c r="M6305" s="51"/>
      <c r="N6305" s="51"/>
      <c r="O6305" s="52"/>
      <c r="P6305" s="51"/>
      <c r="Q6305" s="51"/>
      <c r="R6305" s="51"/>
      <c r="S6305" s="51"/>
      <c r="T6305" s="41"/>
      <c r="AG6305" s="521" t="s">
        <v>268</v>
      </c>
      <c r="AH6305" s="521" t="s">
        <v>269</v>
      </c>
      <c r="AI6305" s="521" t="s">
        <v>270</v>
      </c>
      <c r="AJ6305" s="521" t="s">
        <v>271</v>
      </c>
      <c r="AK6305" s="521" t="s">
        <v>272</v>
      </c>
      <c r="AM6305" s="745" t="s">
        <v>281</v>
      </c>
      <c r="AN6305" s="746" t="s">
        <v>282</v>
      </c>
      <c r="AO6305" s="522" t="s">
        <v>278</v>
      </c>
      <c r="AR6305" s="51"/>
      <c r="AS6305" s="42" t="s">
        <v>139</v>
      </c>
    </row>
    <row r="6306" spans="1:45" s="520" customFormat="1" ht="12" customHeight="1">
      <c r="A6306" s="747">
        <v>55</v>
      </c>
      <c r="B6306" s="523" t="s">
        <v>320</v>
      </c>
      <c r="C6306" s="748"/>
      <c r="D6306" s="749" t="s">
        <v>1991</v>
      </c>
      <c r="E6306" s="750">
        <f ca="1">IF(AND($A6306=0,$A$1="DIF"),0, ROUND(ROUND(($R6313*$S$2+($T6313*$T$2))/A6306,2)*$C$2,2))</f>
        <v>34.15</v>
      </c>
      <c r="F6306" s="751">
        <f ca="1">ROUND($A6306*$E6306,2)</f>
        <v>1878.25</v>
      </c>
      <c r="G6306" s="752" t="s">
        <v>142</v>
      </c>
      <c r="H6306" s="753"/>
      <c r="I6306" s="754"/>
      <c r="J6306" s="753"/>
      <c r="K6306" s="753" t="s">
        <v>3</v>
      </c>
      <c r="L6306" s="755" t="s">
        <v>143</v>
      </c>
      <c r="M6306" s="755"/>
      <c r="N6306" s="755"/>
      <c r="O6306" s="755"/>
      <c r="P6306" s="755"/>
      <c r="Q6306" s="51"/>
      <c r="T6306" s="756" t="str">
        <f ca="1">IF(AND($R6313=0,$T6313=0),"0.00","mu :" &amp; ROUND($F6306/$C$2/($R6313+$T6313*$D$9),2))</f>
        <v>mu :1.23</v>
      </c>
      <c r="W6306" s="524"/>
      <c r="AG6306" s="481">
        <f ca="1">IF($E6306=0,0,ROUND($R6313*$S$2*$C$2/$A6306,2))</f>
        <v>15.22</v>
      </c>
      <c r="AH6306" s="481">
        <f ca="1">$AG6306*$A6306</f>
        <v>837.1</v>
      </c>
      <c r="AI6306" s="525">
        <f ca="1">$E6306-$AG6306</f>
        <v>18.93</v>
      </c>
      <c r="AJ6306" s="525">
        <f ca="1">$A6306*$AI6306</f>
        <v>1041.1500000000001</v>
      </c>
      <c r="AK6306" s="526">
        <f ca="1">ROUND(($AG6306+$AI6306)*$A6306,2)</f>
        <v>1878.25</v>
      </c>
      <c r="AM6306" s="527">
        <f ca="1">ROUND(R6313,2)</f>
        <v>679.8</v>
      </c>
      <c r="AN6306" s="528">
        <f ca="1">ROUND(T6313,2)</f>
        <v>30.8</v>
      </c>
      <c r="AO6306" s="529">
        <f ca="1">ROUND(AM6306+AN6306,2)*A6306</f>
        <v>39083</v>
      </c>
      <c r="AR6306" s="747">
        <v>55</v>
      </c>
      <c r="AS6306" s="751">
        <v>1989.9</v>
      </c>
    </row>
    <row r="6307" spans="1:45" s="520" customFormat="1" ht="13.2">
      <c r="A6307" s="748"/>
      <c r="B6307"/>
      <c r="C6307" s="748"/>
      <c r="D6307" s="749" t="s">
        <v>925</v>
      </c>
      <c r="F6307" s="753"/>
      <c r="G6307" s="3"/>
      <c r="H6307" s="753"/>
      <c r="I6307" s="754"/>
      <c r="J6307" s="753"/>
      <c r="K6307" s="753" t="s">
        <v>144</v>
      </c>
      <c r="L6307" s="753"/>
      <c r="M6307" s="753"/>
      <c r="N6307" s="753"/>
      <c r="O6307" s="753"/>
      <c r="P6307" s="753"/>
      <c r="Q6307" s="51"/>
      <c r="R6307" s="530"/>
      <c r="S6307" s="757"/>
      <c r="T6307" s="753"/>
      <c r="AR6307" s="748"/>
      <c r="AS6307" s="753"/>
    </row>
    <row r="6308" spans="1:45" s="886" customFormat="1" ht="13.2">
      <c r="A6308"/>
      <c r="B6308" s="910"/>
      <c r="C6308" s="910" t="s">
        <v>2597</v>
      </c>
      <c r="D6308" s="910" t="str">
        <f ca="1">CELL("Address",Elec_Rates!D$851)</f>
        <v>[E25_0062_Quintano_Foods_Elec_ELV_As_Awarded.xlsx]Elec_Rates!$D$851</v>
      </c>
      <c r="E6308" s="911"/>
      <c r="F6308" s="911"/>
      <c r="G6308" s="912" t="s">
        <v>2598</v>
      </c>
      <c r="H6308" s="912"/>
      <c r="I6308" s="912"/>
      <c r="J6308" s="912"/>
      <c r="K6308" s="913"/>
      <c r="L6308" s="911"/>
      <c r="M6308" s="911"/>
      <c r="N6308" s="911"/>
      <c r="O6308" s="914"/>
      <c r="P6308" s="911"/>
      <c r="Q6308" s="915"/>
      <c r="R6308" s="916"/>
      <c r="S6308" s="915"/>
      <c r="T6308" s="917"/>
      <c r="U6308" s="918"/>
      <c r="AR6308"/>
      <c r="AS6308" s="911"/>
    </row>
    <row r="6309" spans="1:45" s="886" customFormat="1" ht="11.4">
      <c r="A6309" s="919">
        <v>55</v>
      </c>
      <c r="B6309" s="920">
        <v>1</v>
      </c>
      <c r="C6309" s="920">
        <f>$A6309*$B6309</f>
        <v>55</v>
      </c>
      <c r="D6309" s="921" t="str">
        <f>Elec_Rates!$D$851</f>
        <v>080# 150x75mm galvanised steel cable trunking</v>
      </c>
      <c r="E6309" s="921"/>
      <c r="F6309" s="921" t="s">
        <v>2599</v>
      </c>
      <c r="G6309" s="922" t="s">
        <v>2601</v>
      </c>
      <c r="H6309" s="922"/>
      <c r="I6309" s="922"/>
      <c r="J6309" s="922"/>
      <c r="K6309" s="923"/>
      <c r="L6309" s="918"/>
      <c r="M6309" s="918"/>
      <c r="N6309" s="918"/>
      <c r="O6309" s="924"/>
      <c r="P6309" s="921"/>
      <c r="Q6309" s="925">
        <f ca="1">$B6309*Elec_Rates!$R$851</f>
        <v>9.99</v>
      </c>
      <c r="R6309" s="916">
        <f ca="1">$A6309*Q6309</f>
        <v>549.45000000000005</v>
      </c>
      <c r="S6309" s="925">
        <f ca="1">$B6309*Elec_Rates!$T$851</f>
        <v>0.47</v>
      </c>
      <c r="T6309" s="917">
        <f ca="1">$A6309*S6309</f>
        <v>25.849999999999998</v>
      </c>
      <c r="U6309" s="926"/>
      <c r="AR6309" s="919">
        <v>55</v>
      </c>
      <c r="AS6309" s="921" t="s">
        <v>2599</v>
      </c>
    </row>
    <row r="6310" spans="1:45" s="886" customFormat="1" ht="13.2">
      <c r="A6310"/>
      <c r="B6310" s="910"/>
      <c r="C6310" s="910" t="s">
        <v>2597</v>
      </c>
      <c r="D6310" s="910" t="str">
        <f ca="1">CELL("Address",Elec_Rates!D$907)</f>
        <v>[E25_0062_Quintano_Foods_Elec_ELV_As_Awarded.xlsx]Elec_Rates!$D$907</v>
      </c>
      <c r="E6310" s="911"/>
      <c r="F6310" s="911"/>
      <c r="G6310" s="912" t="s">
        <v>2598</v>
      </c>
      <c r="H6310" s="912"/>
      <c r="I6310" s="912"/>
      <c r="J6310" s="912"/>
      <c r="K6310" s="913"/>
      <c r="L6310" s="911"/>
      <c r="M6310" s="911"/>
      <c r="N6310" s="911"/>
      <c r="O6310" s="914"/>
      <c r="P6310" s="911"/>
      <c r="Q6310" s="915"/>
      <c r="R6310" s="916"/>
      <c r="S6310" s="915"/>
      <c r="T6310" s="917"/>
      <c r="U6310" s="918"/>
      <c r="AR6310"/>
      <c r="AS6310" s="911"/>
    </row>
    <row r="6311" spans="1:45" s="886" customFormat="1" ht="11.4">
      <c r="A6311" s="919">
        <v>55</v>
      </c>
      <c r="B6311" s="920">
        <v>1</v>
      </c>
      <c r="C6311" s="920">
        <f>$A6311*$B6311</f>
        <v>55</v>
      </c>
      <c r="D6311" s="921" t="str">
        <f>Elec_Rates!$D$907</f>
        <v>084# Bracket for 50-150mm cable tray/basket/trunking</v>
      </c>
      <c r="E6311" s="921"/>
      <c r="F6311" s="921" t="s">
        <v>2599</v>
      </c>
      <c r="G6311" s="922" t="s">
        <v>2600</v>
      </c>
      <c r="H6311" s="922"/>
      <c r="I6311" s="922"/>
      <c r="J6311" s="922"/>
      <c r="K6311" s="923"/>
      <c r="L6311" s="918"/>
      <c r="M6311" s="918"/>
      <c r="N6311" s="918"/>
      <c r="O6311" s="924"/>
      <c r="P6311" s="921"/>
      <c r="Q6311" s="925">
        <f ca="1">$B6311*Elec_Rates!$R$907</f>
        <v>2.37</v>
      </c>
      <c r="R6311" s="916">
        <f ca="1">$A6311*Q6311</f>
        <v>130.35</v>
      </c>
      <c r="S6311" s="925">
        <f ca="1">$B6311*Elec_Rates!$T$907</f>
        <v>0.09</v>
      </c>
      <c r="T6311" s="917">
        <f ca="1">$A6311*S6311</f>
        <v>4.95</v>
      </c>
      <c r="U6311" s="926"/>
      <c r="AR6311" s="919">
        <v>55</v>
      </c>
      <c r="AS6311" s="921" t="s">
        <v>2599</v>
      </c>
    </row>
    <row r="6312" spans="1:45" s="520" customFormat="1" ht="12">
      <c r="A6312" s="758"/>
      <c r="B6312" s="758"/>
      <c r="C6312" s="758"/>
      <c r="D6312" s="758"/>
      <c r="E6312" s="758"/>
      <c r="F6312" s="753"/>
      <c r="G6312" s="758"/>
      <c r="H6312" s="758"/>
      <c r="I6312" s="519"/>
      <c r="J6312" s="758"/>
      <c r="K6312" s="758"/>
      <c r="L6312" s="758"/>
      <c r="M6312" s="758"/>
      <c r="N6312" s="758"/>
      <c r="O6312" s="758"/>
      <c r="P6312" s="758"/>
      <c r="Q6312" s="519"/>
      <c r="R6312" s="759">
        <f t="shared" ref="R6312" si="424">$A6312*Q6312</f>
        <v>0</v>
      </c>
      <c r="S6312" s="519"/>
      <c r="T6312" s="760">
        <f t="shared" ref="T6312" si="425">$A6312*S6312*$T$1</f>
        <v>0</v>
      </c>
      <c r="AR6312" s="758"/>
      <c r="AS6312" s="753"/>
    </row>
    <row r="6313" spans="1:45" s="520" customFormat="1" ht="12.6" thickBot="1">
      <c r="A6313" s="761" t="s">
        <v>145</v>
      </c>
      <c r="B6313" s="762">
        <f>(R6312+T6312)</f>
        <v>0</v>
      </c>
      <c r="C6313" s="763"/>
      <c r="D6313" s="763"/>
      <c r="E6313" s="763"/>
      <c r="F6313" s="764"/>
      <c r="G6313" s="763" t="s">
        <v>146</v>
      </c>
      <c r="H6313" s="763"/>
      <c r="I6313" s="765"/>
      <c r="J6313" s="763"/>
      <c r="K6313" s="763" t="s">
        <v>3</v>
      </c>
      <c r="L6313" s="766" t="s">
        <v>143</v>
      </c>
      <c r="M6313" s="766"/>
      <c r="N6313" s="766"/>
      <c r="O6313" s="766"/>
      <c r="P6313" s="766"/>
      <c r="Q6313" s="767"/>
      <c r="R6313" s="768">
        <f ca="1">SUM(R6307:R6312)</f>
        <v>679.80000000000007</v>
      </c>
      <c r="S6313" s="763"/>
      <c r="T6313" s="768">
        <f ca="1">SUM(T6307:T6312)</f>
        <v>30.799999999999997</v>
      </c>
      <c r="U6313" s="531"/>
      <c r="V6313" s="531"/>
      <c r="W6313" s="531"/>
      <c r="X6313" s="531"/>
      <c r="Y6313" s="531"/>
      <c r="Z6313" s="531"/>
      <c r="AA6313" s="531"/>
      <c r="AB6313" s="531"/>
      <c r="AC6313" s="531"/>
      <c r="AD6313" s="531"/>
      <c r="AE6313" s="531"/>
      <c r="AF6313" s="531"/>
      <c r="AG6313" s="531"/>
      <c r="AH6313" s="531"/>
      <c r="AI6313" s="531"/>
      <c r="AJ6313" s="531"/>
      <c r="AK6313" s="531"/>
      <c r="AL6313" s="531"/>
      <c r="AM6313" s="531"/>
      <c r="AN6313" s="531"/>
      <c r="AO6313" s="531"/>
      <c r="AR6313" s="761" t="s">
        <v>145</v>
      </c>
      <c r="AS6313" s="764"/>
    </row>
    <row r="6314" spans="1:45" s="520" customFormat="1" thickTop="1">
      <c r="A6314" s="51"/>
      <c r="B6314" s="51"/>
      <c r="C6314" s="3"/>
      <c r="D6314" s="3"/>
      <c r="E6314" s="51"/>
      <c r="F6314" s="51"/>
      <c r="G6314" s="51"/>
      <c r="H6314" s="51"/>
      <c r="I6314" s="51"/>
      <c r="J6314" s="51"/>
      <c r="K6314" s="51" t="s">
        <v>134</v>
      </c>
      <c r="L6314" s="51"/>
      <c r="M6314" s="51"/>
      <c r="N6314" s="51"/>
      <c r="O6314" s="52"/>
      <c r="P6314" s="51"/>
      <c r="Q6314" s="51"/>
      <c r="R6314" s="51"/>
      <c r="S6314" s="51"/>
      <c r="T6314" s="51"/>
      <c r="AR6314" s="51"/>
      <c r="AS6314" s="51"/>
    </row>
    <row r="6315" spans="1:45" s="520" customFormat="1" ht="12">
      <c r="A6315" s="51"/>
      <c r="B6315" s="51"/>
      <c r="C6315" s="51" t="s">
        <v>135</v>
      </c>
      <c r="D6315" s="37"/>
      <c r="E6315" s="51"/>
      <c r="F6315" s="51"/>
      <c r="G6315" s="51"/>
      <c r="H6315" s="51"/>
      <c r="I6315" s="51"/>
      <c r="J6315" s="51"/>
      <c r="K6315" s="51"/>
      <c r="L6315" s="51"/>
      <c r="M6315" s="51"/>
      <c r="N6315" s="51"/>
      <c r="O6315" s="52"/>
      <c r="P6315" s="51"/>
      <c r="Q6315" s="51"/>
      <c r="R6315" s="51"/>
      <c r="S6315" s="51"/>
      <c r="T6315" s="51"/>
      <c r="AR6315" s="51"/>
      <c r="AS6315" s="51"/>
    </row>
    <row r="6316" spans="1:45" s="520" customFormat="1" ht="12">
      <c r="A6316" s="51"/>
      <c r="B6316" s="51"/>
      <c r="C6316" s="51"/>
      <c r="D6316" s="37" t="s">
        <v>924</v>
      </c>
      <c r="E6316" s="51"/>
      <c r="F6316" s="51"/>
      <c r="G6316" s="51"/>
      <c r="H6316" s="51"/>
      <c r="I6316" s="51"/>
      <c r="J6316" s="51"/>
      <c r="K6316" s="51"/>
      <c r="L6316" s="51"/>
      <c r="M6316" s="51"/>
      <c r="N6316" s="51"/>
      <c r="O6316" s="52"/>
      <c r="P6316" s="51"/>
      <c r="Q6316" s="51"/>
      <c r="R6316" s="51"/>
      <c r="S6316" s="38"/>
      <c r="T6316" s="38"/>
      <c r="AR6316" s="51"/>
      <c r="AS6316" s="51"/>
    </row>
    <row r="6317" spans="1:45" s="3" customFormat="1" thickBot="1">
      <c r="A6317" s="531"/>
      <c r="O6317" s="107"/>
      <c r="AR6317" s="531"/>
    </row>
    <row r="6318" spans="1:45" s="520" customFormat="1" ht="12" thickTop="1">
      <c r="A6318" s="51"/>
      <c r="B6318" s="41"/>
      <c r="C6318" s="51"/>
      <c r="E6318" s="42" t="s">
        <v>138</v>
      </c>
      <c r="F6318" s="42" t="s">
        <v>139</v>
      </c>
      <c r="G6318" s="51"/>
      <c r="H6318" s="51"/>
      <c r="I6318" s="51"/>
      <c r="J6318" s="51"/>
      <c r="K6318" s="51" t="s">
        <v>140</v>
      </c>
      <c r="L6318" s="51"/>
      <c r="M6318" s="51"/>
      <c r="N6318" s="51"/>
      <c r="O6318" s="52"/>
      <c r="P6318" s="51"/>
      <c r="Q6318" s="51"/>
      <c r="R6318" s="51"/>
      <c r="S6318" s="51"/>
      <c r="T6318" s="41"/>
      <c r="AG6318" s="521" t="s">
        <v>268</v>
      </c>
      <c r="AH6318" s="521" t="s">
        <v>269</v>
      </c>
      <c r="AI6318" s="521" t="s">
        <v>270</v>
      </c>
      <c r="AJ6318" s="521" t="s">
        <v>271</v>
      </c>
      <c r="AK6318" s="521" t="s">
        <v>272</v>
      </c>
      <c r="AM6318" s="745" t="s">
        <v>281</v>
      </c>
      <c r="AN6318" s="746" t="s">
        <v>282</v>
      </c>
      <c r="AO6318" s="522" t="s">
        <v>278</v>
      </c>
      <c r="AR6318" s="51"/>
      <c r="AS6318" s="42" t="s">
        <v>139</v>
      </c>
    </row>
    <row r="6319" spans="1:45" s="520" customFormat="1" ht="12" customHeight="1">
      <c r="A6319" s="747">
        <v>50</v>
      </c>
      <c r="B6319" s="523" t="s">
        <v>320</v>
      </c>
      <c r="C6319" s="748"/>
      <c r="D6319" s="749" t="s">
        <v>1993</v>
      </c>
      <c r="E6319" s="750">
        <f ca="1">IF(AND($A6319=0,$A$1="DIF"),0, ROUND(ROUND(($R6326*$S$2+($T6326*$T$2))/A6319,2)*$C$2,2))</f>
        <v>24.32</v>
      </c>
      <c r="F6319" s="751">
        <f ca="1">ROUND($A6319*$E6319,2)</f>
        <v>1216</v>
      </c>
      <c r="G6319" s="752" t="s">
        <v>142</v>
      </c>
      <c r="H6319" s="753"/>
      <c r="I6319" s="754"/>
      <c r="J6319" s="753"/>
      <c r="K6319" s="753" t="s">
        <v>3</v>
      </c>
      <c r="L6319" s="755" t="s">
        <v>143</v>
      </c>
      <c r="M6319" s="755"/>
      <c r="N6319" s="755"/>
      <c r="O6319" s="755"/>
      <c r="P6319" s="755"/>
      <c r="Q6319" s="51"/>
      <c r="T6319" s="756" t="str">
        <f ca="1">IF(AND($R6326=0,$T6326=0),"0.00","mu :" &amp; ROUND($F6319/$C$2/($R6326+$T6326*$D$9),2))</f>
        <v>mu :1.23</v>
      </c>
      <c r="W6319" s="524"/>
      <c r="AG6319" s="481">
        <f ca="1">IF($E6319=0,0,ROUND($R6326*$S$2*$C$2/$A6319,2))</f>
        <v>11.48</v>
      </c>
      <c r="AH6319" s="481">
        <f ca="1">$AG6319*$A6319</f>
        <v>574</v>
      </c>
      <c r="AI6319" s="525">
        <f ca="1">$E6319-$AG6319</f>
        <v>12.84</v>
      </c>
      <c r="AJ6319" s="525">
        <f ca="1">$A6319*$AI6319</f>
        <v>642</v>
      </c>
      <c r="AK6319" s="526">
        <f ca="1">ROUND(($AG6319+$AI6319)*$A6319,2)</f>
        <v>1216</v>
      </c>
      <c r="AM6319" s="527">
        <f ca="1">ROUND(R6326,2)</f>
        <v>466</v>
      </c>
      <c r="AN6319" s="528">
        <f ca="1">ROUND(T6326,2)</f>
        <v>19</v>
      </c>
      <c r="AO6319" s="529">
        <f ca="1">ROUND(AM6319+AN6319,2)*A6319</f>
        <v>24250</v>
      </c>
      <c r="AR6319" s="747">
        <v>50</v>
      </c>
      <c r="AS6319" s="751">
        <v>1284</v>
      </c>
    </row>
    <row r="6320" spans="1:45" s="520" customFormat="1" ht="13.2">
      <c r="A6320" s="748"/>
      <c r="B6320"/>
      <c r="C6320" s="748"/>
      <c r="D6320" s="749" t="s">
        <v>921</v>
      </c>
      <c r="F6320" s="753"/>
      <c r="G6320" s="3"/>
      <c r="H6320" s="753"/>
      <c r="I6320" s="754"/>
      <c r="J6320" s="753"/>
      <c r="K6320" s="753" t="s">
        <v>144</v>
      </c>
      <c r="L6320" s="753"/>
      <c r="M6320" s="753"/>
      <c r="N6320" s="753"/>
      <c r="O6320" s="753"/>
      <c r="P6320" s="753"/>
      <c r="Q6320" s="51"/>
      <c r="R6320" s="530"/>
      <c r="S6320" s="757"/>
      <c r="T6320" s="753"/>
      <c r="AR6320" s="748"/>
      <c r="AS6320" s="753"/>
    </row>
    <row r="6321" spans="1:45" s="886" customFormat="1" ht="13.2">
      <c r="A6321"/>
      <c r="B6321" s="910"/>
      <c r="C6321" s="910" t="s">
        <v>2597</v>
      </c>
      <c r="D6321" s="910" t="str">
        <f ca="1">CELL("Address",Elec_Rates!D$822)</f>
        <v>[E25_0062_Quintano_Foods_Elec_ELV_As_Awarded.xlsx]Elec_Rates!$D$822</v>
      </c>
      <c r="E6321" s="911"/>
      <c r="F6321" s="911"/>
      <c r="G6321" s="912" t="s">
        <v>2598</v>
      </c>
      <c r="H6321" s="912"/>
      <c r="I6321" s="912"/>
      <c r="J6321" s="912"/>
      <c r="K6321" s="913"/>
      <c r="L6321" s="911"/>
      <c r="M6321" s="911"/>
      <c r="N6321" s="911"/>
      <c r="O6321" s="914"/>
      <c r="P6321" s="911"/>
      <c r="Q6321" s="915"/>
      <c r="R6321" s="916"/>
      <c r="S6321" s="915"/>
      <c r="T6321" s="917"/>
      <c r="U6321" s="918"/>
      <c r="AR6321"/>
      <c r="AS6321" s="911"/>
    </row>
    <row r="6322" spans="1:45" s="886" customFormat="1" ht="11.4">
      <c r="A6322" s="919">
        <v>50</v>
      </c>
      <c r="B6322" s="920">
        <v>1</v>
      </c>
      <c r="C6322" s="920">
        <f>$A6322*$B6322</f>
        <v>50</v>
      </c>
      <c r="D6322" s="921" t="str">
        <f>Elec_Rates!$D$822</f>
        <v>078# 75x75mm galvanised steel cable trunking</v>
      </c>
      <c r="E6322" s="921"/>
      <c r="F6322" s="921" t="s">
        <v>2599</v>
      </c>
      <c r="G6322" s="922" t="s">
        <v>2601</v>
      </c>
      <c r="H6322" s="922"/>
      <c r="I6322" s="922"/>
      <c r="J6322" s="922"/>
      <c r="K6322" s="923"/>
      <c r="L6322" s="918"/>
      <c r="M6322" s="918"/>
      <c r="N6322" s="918"/>
      <c r="O6322" s="924"/>
      <c r="P6322" s="921"/>
      <c r="Q6322" s="925">
        <f ca="1">$B6322*Elec_Rates!$R$822</f>
        <v>6.95</v>
      </c>
      <c r="R6322" s="916">
        <f ca="1">$A6322*Q6322</f>
        <v>347.5</v>
      </c>
      <c r="S6322" s="925">
        <f ca="1">$B6322*Elec_Rates!$T$822</f>
        <v>0.28999999999999998</v>
      </c>
      <c r="T6322" s="917">
        <f ca="1">$A6322*S6322</f>
        <v>14.499999999999998</v>
      </c>
      <c r="U6322" s="926"/>
      <c r="AR6322" s="919">
        <v>50</v>
      </c>
      <c r="AS6322" s="921" t="s">
        <v>2599</v>
      </c>
    </row>
    <row r="6323" spans="1:45" s="886" customFormat="1" ht="13.2">
      <c r="A6323"/>
      <c r="B6323" s="910"/>
      <c r="C6323" s="910" t="s">
        <v>2597</v>
      </c>
      <c r="D6323" s="910" t="str">
        <f ca="1">CELL("Address",Elec_Rates!D$907)</f>
        <v>[E25_0062_Quintano_Foods_Elec_ELV_As_Awarded.xlsx]Elec_Rates!$D$907</v>
      </c>
      <c r="E6323" s="911"/>
      <c r="F6323" s="911"/>
      <c r="G6323" s="912" t="s">
        <v>2598</v>
      </c>
      <c r="H6323" s="912"/>
      <c r="I6323" s="912"/>
      <c r="J6323" s="912"/>
      <c r="K6323" s="913"/>
      <c r="L6323" s="911"/>
      <c r="M6323" s="911"/>
      <c r="N6323" s="911"/>
      <c r="O6323" s="914"/>
      <c r="P6323" s="911"/>
      <c r="Q6323" s="915"/>
      <c r="R6323" s="916"/>
      <c r="S6323" s="915"/>
      <c r="T6323" s="917"/>
      <c r="U6323" s="918"/>
      <c r="AR6323"/>
      <c r="AS6323" s="911"/>
    </row>
    <row r="6324" spans="1:45" s="886" customFormat="1" ht="11.4">
      <c r="A6324" s="919">
        <v>50</v>
      </c>
      <c r="B6324" s="920">
        <v>1</v>
      </c>
      <c r="C6324" s="920">
        <f>$A6324*$B6324</f>
        <v>50</v>
      </c>
      <c r="D6324" s="921" t="str">
        <f>Elec_Rates!$D$907</f>
        <v>084# Bracket for 50-150mm cable tray/basket/trunking</v>
      </c>
      <c r="E6324" s="921"/>
      <c r="F6324" s="921" t="s">
        <v>2599</v>
      </c>
      <c r="G6324" s="922" t="s">
        <v>2600</v>
      </c>
      <c r="H6324" s="922"/>
      <c r="I6324" s="922"/>
      <c r="J6324" s="922"/>
      <c r="K6324" s="923"/>
      <c r="L6324" s="918"/>
      <c r="M6324" s="918"/>
      <c r="N6324" s="918"/>
      <c r="O6324" s="924"/>
      <c r="P6324" s="921"/>
      <c r="Q6324" s="925">
        <f ca="1">$B6324*Elec_Rates!$R$907</f>
        <v>2.37</v>
      </c>
      <c r="R6324" s="916">
        <f ca="1">$A6324*Q6324</f>
        <v>118.5</v>
      </c>
      <c r="S6324" s="925">
        <f ca="1">$B6324*Elec_Rates!$T$907</f>
        <v>0.09</v>
      </c>
      <c r="T6324" s="917">
        <f ca="1">$A6324*S6324</f>
        <v>4.5</v>
      </c>
      <c r="U6324" s="926"/>
      <c r="AR6324" s="919">
        <v>50</v>
      </c>
      <c r="AS6324" s="921" t="s">
        <v>2599</v>
      </c>
    </row>
    <row r="6325" spans="1:45" s="520" customFormat="1" ht="12">
      <c r="A6325" s="758"/>
      <c r="B6325" s="758"/>
      <c r="C6325" s="758"/>
      <c r="D6325" s="758"/>
      <c r="E6325" s="758"/>
      <c r="F6325" s="753"/>
      <c r="G6325" s="758"/>
      <c r="H6325" s="758"/>
      <c r="I6325" s="519"/>
      <c r="J6325" s="758"/>
      <c r="K6325" s="758"/>
      <c r="L6325" s="758"/>
      <c r="M6325" s="758"/>
      <c r="N6325" s="758"/>
      <c r="O6325" s="758"/>
      <c r="P6325" s="758"/>
      <c r="Q6325" s="519"/>
      <c r="R6325" s="759">
        <f t="shared" ref="R6325" si="426">$A6325*Q6325</f>
        <v>0</v>
      </c>
      <c r="S6325" s="519"/>
      <c r="T6325" s="760">
        <f t="shared" ref="T6325" si="427">$A6325*S6325*$T$1</f>
        <v>0</v>
      </c>
      <c r="AR6325" s="758"/>
      <c r="AS6325" s="753"/>
    </row>
    <row r="6326" spans="1:45" s="520" customFormat="1" ht="12.6" thickBot="1">
      <c r="A6326" s="761" t="s">
        <v>145</v>
      </c>
      <c r="B6326" s="762">
        <f>(R6325+T6325)</f>
        <v>0</v>
      </c>
      <c r="C6326" s="763"/>
      <c r="D6326" s="763"/>
      <c r="E6326" s="763"/>
      <c r="F6326" s="764"/>
      <c r="G6326" s="763" t="s">
        <v>146</v>
      </c>
      <c r="H6326" s="763"/>
      <c r="I6326" s="765"/>
      <c r="J6326" s="763"/>
      <c r="K6326" s="763" t="s">
        <v>3</v>
      </c>
      <c r="L6326" s="766" t="s">
        <v>143</v>
      </c>
      <c r="M6326" s="766"/>
      <c r="N6326" s="766"/>
      <c r="O6326" s="766"/>
      <c r="P6326" s="766"/>
      <c r="Q6326" s="767"/>
      <c r="R6326" s="768">
        <f ca="1">SUM(R6320:R6325)</f>
        <v>466</v>
      </c>
      <c r="S6326" s="763"/>
      <c r="T6326" s="768">
        <f ca="1">SUM(T6320:T6325)</f>
        <v>19</v>
      </c>
      <c r="U6326" s="531"/>
      <c r="V6326" s="531"/>
      <c r="W6326" s="531"/>
      <c r="X6326" s="531"/>
      <c r="Y6326" s="531"/>
      <c r="Z6326" s="531"/>
      <c r="AA6326" s="531"/>
      <c r="AB6326" s="531"/>
      <c r="AC6326" s="531"/>
      <c r="AD6326" s="531"/>
      <c r="AE6326" s="531"/>
      <c r="AF6326" s="531"/>
      <c r="AG6326" s="531"/>
      <c r="AH6326" s="531"/>
      <c r="AI6326" s="531"/>
      <c r="AJ6326" s="531"/>
      <c r="AK6326" s="531"/>
      <c r="AL6326" s="531"/>
      <c r="AM6326" s="531"/>
      <c r="AN6326" s="531"/>
      <c r="AO6326" s="531"/>
      <c r="AR6326" s="761" t="s">
        <v>145</v>
      </c>
      <c r="AS6326" s="764"/>
    </row>
    <row r="6327" spans="1:45" s="520" customFormat="1" thickTop="1">
      <c r="A6327" s="51"/>
      <c r="B6327" s="51"/>
      <c r="C6327" s="3"/>
      <c r="D6327" s="3"/>
      <c r="E6327" s="51"/>
      <c r="F6327" s="51"/>
      <c r="G6327" s="51"/>
      <c r="H6327" s="51"/>
      <c r="I6327" s="51"/>
      <c r="J6327" s="51"/>
      <c r="K6327" s="51" t="s">
        <v>134</v>
      </c>
      <c r="L6327" s="51"/>
      <c r="M6327" s="51"/>
      <c r="N6327" s="51"/>
      <c r="O6327" s="52"/>
      <c r="P6327" s="51"/>
      <c r="Q6327" s="51"/>
      <c r="R6327" s="51"/>
      <c r="S6327" s="51"/>
      <c r="T6327" s="51"/>
      <c r="AR6327" s="51"/>
      <c r="AS6327" s="51"/>
    </row>
    <row r="6328" spans="1:45" s="520" customFormat="1" ht="12">
      <c r="A6328" s="51"/>
      <c r="B6328" s="51"/>
      <c r="C6328" s="51" t="s">
        <v>135</v>
      </c>
      <c r="D6328" s="37"/>
      <c r="E6328" s="51"/>
      <c r="F6328" s="51"/>
      <c r="G6328" s="51"/>
      <c r="H6328" s="51"/>
      <c r="I6328" s="51"/>
      <c r="J6328" s="51"/>
      <c r="K6328" s="51"/>
      <c r="L6328" s="51"/>
      <c r="M6328" s="51"/>
      <c r="N6328" s="51"/>
      <c r="O6328" s="52"/>
      <c r="P6328" s="51"/>
      <c r="Q6328" s="51"/>
      <c r="R6328" s="51"/>
      <c r="S6328" s="51"/>
      <c r="T6328" s="51"/>
      <c r="AR6328" s="51"/>
      <c r="AS6328" s="51"/>
    </row>
    <row r="6329" spans="1:45" s="520" customFormat="1" ht="12">
      <c r="A6329" s="51"/>
      <c r="B6329" s="51"/>
      <c r="C6329" s="51"/>
      <c r="D6329" s="37" t="s">
        <v>936</v>
      </c>
      <c r="E6329" s="51"/>
      <c r="F6329" s="51"/>
      <c r="G6329" s="51"/>
      <c r="H6329" s="51"/>
      <c r="I6329" s="51"/>
      <c r="J6329" s="51"/>
      <c r="K6329" s="51"/>
      <c r="L6329" s="51"/>
      <c r="M6329" s="51"/>
      <c r="N6329" s="51"/>
      <c r="O6329" s="52"/>
      <c r="P6329" s="51"/>
      <c r="Q6329" s="51"/>
      <c r="R6329" s="51"/>
      <c r="S6329" s="38"/>
      <c r="T6329" s="38"/>
      <c r="AR6329" s="51"/>
      <c r="AS6329" s="51"/>
    </row>
    <row r="6330" spans="1:45" s="3" customFormat="1" thickBot="1">
      <c r="A6330" s="531"/>
      <c r="O6330" s="107"/>
      <c r="AR6330" s="531"/>
    </row>
    <row r="6331" spans="1:45" s="520" customFormat="1" thickTop="1">
      <c r="A6331" s="51"/>
      <c r="B6331" s="51"/>
      <c r="C6331" s="3"/>
      <c r="D6331" s="3"/>
      <c r="E6331" s="51"/>
      <c r="F6331" s="51"/>
      <c r="G6331" s="51"/>
      <c r="H6331" s="51"/>
      <c r="I6331" s="51"/>
      <c r="J6331" s="51"/>
      <c r="K6331" s="51" t="s">
        <v>134</v>
      </c>
      <c r="L6331" s="51"/>
      <c r="M6331" s="51"/>
      <c r="N6331" s="51"/>
      <c r="O6331" s="52"/>
      <c r="P6331" s="51"/>
      <c r="Q6331" s="51"/>
      <c r="R6331" s="51"/>
      <c r="S6331" s="51"/>
      <c r="T6331" s="51"/>
      <c r="AR6331" s="51"/>
      <c r="AS6331" s="51"/>
    </row>
    <row r="6332" spans="1:45" s="520" customFormat="1" ht="12">
      <c r="A6332" s="51"/>
      <c r="B6332" s="51"/>
      <c r="C6332" s="51" t="s">
        <v>135</v>
      </c>
      <c r="D6332" s="37"/>
      <c r="E6332" s="51"/>
      <c r="F6332" s="51"/>
      <c r="G6332" s="51"/>
      <c r="H6332" s="51"/>
      <c r="I6332" s="51"/>
      <c r="J6332" s="51"/>
      <c r="K6332" s="51"/>
      <c r="L6332" s="51"/>
      <c r="M6332" s="51"/>
      <c r="N6332" s="51"/>
      <c r="O6332" s="52"/>
      <c r="P6332" s="51"/>
      <c r="Q6332" s="51"/>
      <c r="R6332" s="51"/>
      <c r="S6332" s="51"/>
      <c r="T6332" s="51"/>
      <c r="AR6332" s="51"/>
      <c r="AS6332" s="51"/>
    </row>
    <row r="6333" spans="1:45" s="520" customFormat="1" ht="12">
      <c r="A6333" s="51"/>
      <c r="B6333" s="51"/>
      <c r="C6333" s="51"/>
      <c r="D6333" s="37" t="s">
        <v>910</v>
      </c>
      <c r="E6333" s="51"/>
      <c r="F6333" s="51"/>
      <c r="G6333" s="51"/>
      <c r="H6333" s="51"/>
      <c r="I6333" s="51"/>
      <c r="J6333" s="51"/>
      <c r="K6333" s="51"/>
      <c r="L6333" s="51"/>
      <c r="M6333" s="51"/>
      <c r="N6333" s="51"/>
      <c r="O6333" s="52"/>
      <c r="P6333" s="51"/>
      <c r="Q6333" s="51"/>
      <c r="R6333" s="51"/>
      <c r="S6333" s="38"/>
      <c r="T6333" s="38"/>
      <c r="AR6333" s="51"/>
      <c r="AS6333" s="51"/>
    </row>
    <row r="6334" spans="1:45" s="3" customFormat="1" thickBot="1">
      <c r="A6334" s="531"/>
      <c r="O6334" s="107"/>
      <c r="AR6334" s="531"/>
    </row>
    <row r="6335" spans="1:45" s="520" customFormat="1" ht="12" thickTop="1">
      <c r="A6335" s="51"/>
      <c r="B6335" s="41"/>
      <c r="C6335" s="51"/>
      <c r="E6335" s="42" t="s">
        <v>138</v>
      </c>
      <c r="F6335" s="42" t="s">
        <v>139</v>
      </c>
      <c r="G6335" s="51"/>
      <c r="H6335" s="51"/>
      <c r="I6335" s="51"/>
      <c r="J6335" s="51"/>
      <c r="K6335" s="51" t="s">
        <v>140</v>
      </c>
      <c r="L6335" s="51"/>
      <c r="M6335" s="51"/>
      <c r="N6335" s="51"/>
      <c r="O6335" s="52"/>
      <c r="P6335" s="51"/>
      <c r="Q6335" s="51"/>
      <c r="R6335" s="51"/>
      <c r="S6335" s="51"/>
      <c r="T6335" s="41"/>
      <c r="AG6335" s="521" t="s">
        <v>268</v>
      </c>
      <c r="AH6335" s="521" t="s">
        <v>269</v>
      </c>
      <c r="AI6335" s="521" t="s">
        <v>270</v>
      </c>
      <c r="AJ6335" s="521" t="s">
        <v>271</v>
      </c>
      <c r="AK6335" s="521" t="s">
        <v>272</v>
      </c>
      <c r="AM6335" s="745" t="s">
        <v>281</v>
      </c>
      <c r="AN6335" s="746" t="s">
        <v>282</v>
      </c>
      <c r="AO6335" s="522" t="s">
        <v>278</v>
      </c>
      <c r="AR6335" s="51"/>
      <c r="AS6335" s="42" t="s">
        <v>139</v>
      </c>
    </row>
    <row r="6336" spans="1:45" s="520" customFormat="1" ht="12" customHeight="1">
      <c r="A6336" s="747">
        <v>20</v>
      </c>
      <c r="B6336" s="523" t="s">
        <v>320</v>
      </c>
      <c r="C6336" s="748"/>
      <c r="D6336" s="749" t="s">
        <v>1994</v>
      </c>
      <c r="E6336" s="750">
        <f ca="1">IF(AND($A6336=0,$A$1="DIF"),0, ROUND(ROUND(($R6343*$S$2+($T6343*$T$2))/A6336,2)*$C$2,2))</f>
        <v>15.48</v>
      </c>
      <c r="F6336" s="751">
        <f ca="1">ROUND($A6336*$E6336,2)</f>
        <v>309.60000000000002</v>
      </c>
      <c r="G6336" s="752" t="s">
        <v>142</v>
      </c>
      <c r="H6336" s="753"/>
      <c r="I6336" s="754"/>
      <c r="J6336" s="753"/>
      <c r="K6336" s="753" t="s">
        <v>3</v>
      </c>
      <c r="L6336" s="755" t="s">
        <v>143</v>
      </c>
      <c r="M6336" s="755"/>
      <c r="N6336" s="755"/>
      <c r="O6336" s="755"/>
      <c r="P6336" s="755"/>
      <c r="Q6336" s="51"/>
      <c r="T6336" s="756" t="str">
        <f ca="1">IF(AND($R6343=0,$T6343=0),"0.00","mu :" &amp; ROUND($F6336/$C$2/($R6343+$T6343*$D$9),2))</f>
        <v>mu :1.23</v>
      </c>
      <c r="W6336" s="524"/>
      <c r="AG6336" s="481">
        <f ca="1">IF($E6336=0,0,ROUND($R6343*$S$2*$C$2/$A6336,2))</f>
        <v>7.03</v>
      </c>
      <c r="AH6336" s="481">
        <f ca="1">$AG6336*$A6336</f>
        <v>140.6</v>
      </c>
      <c r="AI6336" s="525">
        <f ca="1">$E6336-$AG6336</f>
        <v>8.4499999999999993</v>
      </c>
      <c r="AJ6336" s="525">
        <f ca="1">$A6336*$AI6336</f>
        <v>169</v>
      </c>
      <c r="AK6336" s="526">
        <f ca="1">ROUND(($AG6336+$AI6336)*$A6336,2)</f>
        <v>309.60000000000002</v>
      </c>
      <c r="AM6336" s="527">
        <f ca="1">ROUND(R6343,2)</f>
        <v>114.2</v>
      </c>
      <c r="AN6336" s="528">
        <f ca="1">ROUND(T6343,2)</f>
        <v>5</v>
      </c>
      <c r="AO6336" s="529">
        <f ca="1">ROUND(AM6336+AN6336,2)*A6336</f>
        <v>2384</v>
      </c>
      <c r="AR6336" s="747">
        <v>20</v>
      </c>
      <c r="AS6336" s="751">
        <v>330</v>
      </c>
    </row>
    <row r="6337" spans="1:45" s="520" customFormat="1" ht="13.2">
      <c r="A6337" s="748"/>
      <c r="B6337"/>
      <c r="C6337" s="748"/>
      <c r="D6337" s="749" t="s">
        <v>911</v>
      </c>
      <c r="F6337" s="753"/>
      <c r="G6337" s="3"/>
      <c r="H6337" s="753"/>
      <c r="I6337" s="754"/>
      <c r="J6337" s="753"/>
      <c r="K6337" s="753" t="s">
        <v>144</v>
      </c>
      <c r="L6337" s="753"/>
      <c r="M6337" s="753"/>
      <c r="N6337" s="753"/>
      <c r="O6337" s="753"/>
      <c r="P6337" s="753"/>
      <c r="Q6337" s="51"/>
      <c r="R6337" s="530"/>
      <c r="S6337" s="757"/>
      <c r="T6337" s="753"/>
      <c r="AR6337" s="748"/>
      <c r="AS6337" s="753"/>
    </row>
    <row r="6338" spans="1:45" s="886" customFormat="1" ht="13.2">
      <c r="A6338"/>
      <c r="B6338" s="910"/>
      <c r="C6338" s="910" t="s">
        <v>2597</v>
      </c>
      <c r="D6338" s="910" t="str">
        <f ca="1">CELL("Address",Elec_Rates!D$797)</f>
        <v>[E25_0062_Quintano_Foods_Elec_ELV_As_Awarded.xlsx]Elec_Rates!$D$797</v>
      </c>
      <c r="E6338" s="911"/>
      <c r="F6338" s="911"/>
      <c r="G6338" s="912" t="s">
        <v>2598</v>
      </c>
      <c r="H6338" s="912"/>
      <c r="I6338" s="912"/>
      <c r="J6338" s="912"/>
      <c r="K6338" s="913"/>
      <c r="L6338" s="911"/>
      <c r="M6338" s="911"/>
      <c r="N6338" s="911"/>
      <c r="O6338" s="914"/>
      <c r="P6338" s="911"/>
      <c r="Q6338" s="915"/>
      <c r="R6338" s="916"/>
      <c r="S6338" s="915"/>
      <c r="T6338" s="917"/>
      <c r="U6338" s="918"/>
      <c r="AR6338"/>
      <c r="AS6338" s="911"/>
    </row>
    <row r="6339" spans="1:45" s="886" customFormat="1" ht="11.4">
      <c r="A6339" s="919">
        <v>20</v>
      </c>
      <c r="B6339" s="920">
        <v>1</v>
      </c>
      <c r="C6339" s="920">
        <f>$A6339*$B6339</f>
        <v>20</v>
      </c>
      <c r="D6339" s="921" t="str">
        <f>Elec_Rates!$D$797</f>
        <v>076# 50mm Galvanised Steel Cable tray</v>
      </c>
      <c r="E6339" s="921"/>
      <c r="F6339" s="921" t="s">
        <v>2599</v>
      </c>
      <c r="G6339" s="922" t="s">
        <v>2601</v>
      </c>
      <c r="H6339" s="922"/>
      <c r="I6339" s="922"/>
      <c r="J6339" s="922"/>
      <c r="K6339" s="923"/>
      <c r="L6339" s="918"/>
      <c r="M6339" s="918"/>
      <c r="N6339" s="918"/>
      <c r="O6339" s="924"/>
      <c r="P6339" s="921"/>
      <c r="Q6339" s="925">
        <f ca="1">$B6339*Elec_Rates!$R$797</f>
        <v>3.34</v>
      </c>
      <c r="R6339" s="916">
        <f ca="1">$A6339*Q6339</f>
        <v>66.8</v>
      </c>
      <c r="S6339" s="925">
        <f ca="1">$B6339*Elec_Rates!$T$797</f>
        <v>0.16</v>
      </c>
      <c r="T6339" s="917">
        <f ca="1">$A6339*S6339</f>
        <v>3.2</v>
      </c>
      <c r="U6339" s="926"/>
      <c r="AR6339" s="919">
        <v>20</v>
      </c>
      <c r="AS6339" s="921" t="s">
        <v>2599</v>
      </c>
    </row>
    <row r="6340" spans="1:45" s="886" customFormat="1" ht="13.2">
      <c r="A6340"/>
      <c r="B6340" s="910"/>
      <c r="C6340" s="910" t="s">
        <v>2597</v>
      </c>
      <c r="D6340" s="910" t="str">
        <f ca="1">CELL("Address",Elec_Rates!D$907)</f>
        <v>[E25_0062_Quintano_Foods_Elec_ELV_As_Awarded.xlsx]Elec_Rates!$D$907</v>
      </c>
      <c r="E6340" s="911"/>
      <c r="F6340" s="911"/>
      <c r="G6340" s="912" t="s">
        <v>2598</v>
      </c>
      <c r="H6340" s="912"/>
      <c r="I6340" s="912"/>
      <c r="J6340" s="912"/>
      <c r="K6340" s="913"/>
      <c r="L6340" s="911"/>
      <c r="M6340" s="911"/>
      <c r="N6340" s="911"/>
      <c r="O6340" s="914"/>
      <c r="P6340" s="911"/>
      <c r="Q6340" s="915"/>
      <c r="R6340" s="916"/>
      <c r="S6340" s="915"/>
      <c r="T6340" s="917"/>
      <c r="U6340" s="918"/>
      <c r="AR6340"/>
      <c r="AS6340" s="911"/>
    </row>
    <row r="6341" spans="1:45" s="886" customFormat="1" ht="11.4">
      <c r="A6341" s="919">
        <v>20</v>
      </c>
      <c r="B6341" s="920">
        <v>1</v>
      </c>
      <c r="C6341" s="920">
        <f>$A6341*$B6341</f>
        <v>20</v>
      </c>
      <c r="D6341" s="921" t="str">
        <f>Elec_Rates!$D$907</f>
        <v>084# Bracket for 50-150mm cable tray/basket/trunking</v>
      </c>
      <c r="E6341" s="921"/>
      <c r="F6341" s="921" t="s">
        <v>2599</v>
      </c>
      <c r="G6341" s="922" t="s">
        <v>2600</v>
      </c>
      <c r="H6341" s="922"/>
      <c r="I6341" s="922"/>
      <c r="J6341" s="922"/>
      <c r="K6341" s="923"/>
      <c r="L6341" s="918"/>
      <c r="M6341" s="918"/>
      <c r="N6341" s="918"/>
      <c r="O6341" s="924"/>
      <c r="P6341" s="921"/>
      <c r="Q6341" s="925">
        <f ca="1">$B6341*Elec_Rates!$R$907</f>
        <v>2.37</v>
      </c>
      <c r="R6341" s="916">
        <f ca="1">$A6341*Q6341</f>
        <v>47.400000000000006</v>
      </c>
      <c r="S6341" s="925">
        <f ca="1">$B6341*Elec_Rates!$T$907</f>
        <v>0.09</v>
      </c>
      <c r="T6341" s="917">
        <f ca="1">$A6341*S6341</f>
        <v>1.7999999999999998</v>
      </c>
      <c r="U6341" s="926"/>
      <c r="AR6341" s="919">
        <v>20</v>
      </c>
      <c r="AS6341" s="921" t="s">
        <v>2599</v>
      </c>
    </row>
    <row r="6342" spans="1:45" s="520" customFormat="1" ht="12">
      <c r="A6342" s="758"/>
      <c r="B6342" s="758"/>
      <c r="C6342" s="758"/>
      <c r="D6342" s="758"/>
      <c r="E6342" s="758"/>
      <c r="F6342" s="753"/>
      <c r="G6342" s="758"/>
      <c r="H6342" s="758"/>
      <c r="I6342" s="519"/>
      <c r="J6342" s="758"/>
      <c r="K6342" s="758"/>
      <c r="L6342" s="758"/>
      <c r="M6342" s="758"/>
      <c r="N6342" s="758"/>
      <c r="O6342" s="758"/>
      <c r="P6342" s="758"/>
      <c r="Q6342" s="519"/>
      <c r="R6342" s="759">
        <f t="shared" ref="R6342" si="428">$A6342*Q6342</f>
        <v>0</v>
      </c>
      <c r="S6342" s="519"/>
      <c r="T6342" s="760">
        <f t="shared" ref="T6342" si="429">$A6342*S6342*$T$1</f>
        <v>0</v>
      </c>
      <c r="AR6342" s="758"/>
      <c r="AS6342" s="753"/>
    </row>
    <row r="6343" spans="1:45" s="520" customFormat="1" ht="12.6" thickBot="1">
      <c r="A6343" s="761" t="s">
        <v>145</v>
      </c>
      <c r="B6343" s="762">
        <f>(R6342+T6342)</f>
        <v>0</v>
      </c>
      <c r="C6343" s="763"/>
      <c r="D6343" s="763"/>
      <c r="E6343" s="763"/>
      <c r="F6343" s="764"/>
      <c r="G6343" s="763" t="s">
        <v>146</v>
      </c>
      <c r="H6343" s="763"/>
      <c r="I6343" s="765"/>
      <c r="J6343" s="763"/>
      <c r="K6343" s="763" t="s">
        <v>3</v>
      </c>
      <c r="L6343" s="766" t="s">
        <v>143</v>
      </c>
      <c r="M6343" s="766"/>
      <c r="N6343" s="766"/>
      <c r="O6343" s="766"/>
      <c r="P6343" s="766"/>
      <c r="Q6343" s="767"/>
      <c r="R6343" s="768">
        <f ca="1">SUM(R6337:R6342)</f>
        <v>114.2</v>
      </c>
      <c r="S6343" s="763"/>
      <c r="T6343" s="768">
        <f ca="1">SUM(T6337:T6342)</f>
        <v>5</v>
      </c>
      <c r="U6343" s="531"/>
      <c r="V6343" s="531"/>
      <c r="W6343" s="531"/>
      <c r="X6343" s="531"/>
      <c r="Y6343" s="531"/>
      <c r="Z6343" s="531"/>
      <c r="AA6343" s="531"/>
      <c r="AB6343" s="531"/>
      <c r="AC6343" s="531"/>
      <c r="AD6343" s="531"/>
      <c r="AE6343" s="531"/>
      <c r="AF6343" s="531"/>
      <c r="AG6343" s="531"/>
      <c r="AH6343" s="531"/>
      <c r="AI6343" s="531"/>
      <c r="AJ6343" s="531"/>
      <c r="AK6343" s="531"/>
      <c r="AL6343" s="531"/>
      <c r="AM6343" s="531"/>
      <c r="AN6343" s="531"/>
      <c r="AO6343" s="531"/>
      <c r="AR6343" s="761" t="s">
        <v>145</v>
      </c>
      <c r="AS6343" s="764"/>
    </row>
    <row r="6344" spans="1:45" s="520" customFormat="1" ht="12" thickTop="1">
      <c r="A6344" s="51"/>
      <c r="B6344" s="41"/>
      <c r="C6344" s="51"/>
      <c r="E6344" s="42" t="s">
        <v>138</v>
      </c>
      <c r="F6344" s="42" t="s">
        <v>139</v>
      </c>
      <c r="G6344" s="51"/>
      <c r="H6344" s="51"/>
      <c r="I6344" s="51"/>
      <c r="J6344" s="51"/>
      <c r="K6344" s="51" t="s">
        <v>140</v>
      </c>
      <c r="L6344" s="51"/>
      <c r="M6344" s="51"/>
      <c r="N6344" s="51"/>
      <c r="O6344" s="52"/>
      <c r="P6344" s="51"/>
      <c r="Q6344" s="51"/>
      <c r="R6344" s="51"/>
      <c r="S6344" s="51"/>
      <c r="T6344" s="41"/>
      <c r="AG6344" s="521" t="s">
        <v>268</v>
      </c>
      <c r="AH6344" s="521" t="s">
        <v>269</v>
      </c>
      <c r="AI6344" s="521" t="s">
        <v>270</v>
      </c>
      <c r="AJ6344" s="521" t="s">
        <v>271</v>
      </c>
      <c r="AK6344" s="521" t="s">
        <v>272</v>
      </c>
      <c r="AM6344" s="745" t="s">
        <v>281</v>
      </c>
      <c r="AN6344" s="746" t="s">
        <v>282</v>
      </c>
      <c r="AO6344" s="522" t="s">
        <v>278</v>
      </c>
      <c r="AR6344" s="51"/>
      <c r="AS6344" s="42" t="s">
        <v>139</v>
      </c>
    </row>
    <row r="6345" spans="1:45" s="520" customFormat="1" ht="12" customHeight="1">
      <c r="A6345" s="747">
        <v>10</v>
      </c>
      <c r="B6345" s="523" t="s">
        <v>320</v>
      </c>
      <c r="C6345" s="748"/>
      <c r="D6345" s="749" t="s">
        <v>1995</v>
      </c>
      <c r="E6345" s="750">
        <f ca="1">IF(AND($A6345=0,$A$1="DIF"),0, ROUND(ROUND(($R6352*$S$2+($T6352*$T$2))/A6345,2)*$C$2,2))</f>
        <v>16.87</v>
      </c>
      <c r="F6345" s="751">
        <f ca="1">ROUND($A6345*$E6345,2)</f>
        <v>168.7</v>
      </c>
      <c r="G6345" s="752" t="s">
        <v>142</v>
      </c>
      <c r="H6345" s="753"/>
      <c r="I6345" s="754"/>
      <c r="J6345" s="753"/>
      <c r="K6345" s="753" t="s">
        <v>3</v>
      </c>
      <c r="L6345" s="755" t="s">
        <v>143</v>
      </c>
      <c r="M6345" s="755"/>
      <c r="N6345" s="755"/>
      <c r="O6345" s="755"/>
      <c r="P6345" s="755"/>
      <c r="Q6345" s="51"/>
      <c r="T6345" s="756" t="str">
        <f ca="1">IF(AND($R6352=0,$T6352=0),"0.00","mu :" &amp; ROUND($F6345/$C$2/($R6352+$T6352*$D$9),2))</f>
        <v>mu :1.23</v>
      </c>
      <c r="W6345" s="524"/>
      <c r="AG6345" s="481">
        <f ca="1">IF($E6345=0,0,ROUND($R6352*$S$2*$C$2/$A6345,2))</f>
        <v>7.75</v>
      </c>
      <c r="AH6345" s="481">
        <f ca="1">$AG6345*$A6345</f>
        <v>77.5</v>
      </c>
      <c r="AI6345" s="525">
        <f ca="1">$E6345-$AG6345</f>
        <v>9.120000000000001</v>
      </c>
      <c r="AJ6345" s="525">
        <f ca="1">$A6345*$AI6345</f>
        <v>91.200000000000017</v>
      </c>
      <c r="AK6345" s="526">
        <f ca="1">ROUND(($AG6345+$AI6345)*$A6345,2)</f>
        <v>168.7</v>
      </c>
      <c r="AM6345" s="527">
        <f ca="1">ROUND(R6352,2)</f>
        <v>62.9</v>
      </c>
      <c r="AN6345" s="528">
        <f ca="1">ROUND(T6352,2)</f>
        <v>2.7</v>
      </c>
      <c r="AO6345" s="529">
        <f ca="1">ROUND(AM6345+AN6345,2)*A6345</f>
        <v>656</v>
      </c>
      <c r="AR6345" s="747">
        <v>10</v>
      </c>
      <c r="AS6345" s="751">
        <v>178.9</v>
      </c>
    </row>
    <row r="6346" spans="1:45" s="520" customFormat="1" ht="13.2">
      <c r="A6346" s="748"/>
      <c r="B6346"/>
      <c r="C6346" s="748"/>
      <c r="D6346" s="749" t="s">
        <v>912</v>
      </c>
      <c r="F6346" s="753"/>
      <c r="G6346" s="3"/>
      <c r="H6346" s="753"/>
      <c r="I6346" s="754"/>
      <c r="J6346" s="753"/>
      <c r="K6346" s="753" t="s">
        <v>144</v>
      </c>
      <c r="L6346" s="753"/>
      <c r="M6346" s="753"/>
      <c r="N6346" s="753"/>
      <c r="O6346" s="753"/>
      <c r="P6346" s="753"/>
      <c r="Q6346" s="51"/>
      <c r="R6346" s="530"/>
      <c r="S6346" s="757"/>
      <c r="T6346" s="753"/>
      <c r="AR6346" s="748"/>
      <c r="AS6346" s="753"/>
    </row>
    <row r="6347" spans="1:45" s="886" customFormat="1" ht="13.2">
      <c r="A6347"/>
      <c r="B6347" s="910"/>
      <c r="C6347" s="910" t="s">
        <v>2597</v>
      </c>
      <c r="D6347" s="910" t="str">
        <f ca="1">CELL("Address",Elec_Rates!D$785)</f>
        <v>[E25_0062_Quintano_Foods_Elec_ELV_As_Awarded.xlsx]Elec_Rates!$D$785</v>
      </c>
      <c r="E6347" s="911"/>
      <c r="F6347" s="911"/>
      <c r="G6347" s="912" t="s">
        <v>2598</v>
      </c>
      <c r="H6347" s="912"/>
      <c r="I6347" s="912"/>
      <c r="J6347" s="912"/>
      <c r="K6347" s="913"/>
      <c r="L6347" s="911"/>
      <c r="M6347" s="911"/>
      <c r="N6347" s="911"/>
      <c r="O6347" s="914"/>
      <c r="P6347" s="911"/>
      <c r="Q6347" s="915"/>
      <c r="R6347" s="916"/>
      <c r="S6347" s="915"/>
      <c r="T6347" s="917"/>
      <c r="U6347" s="918"/>
      <c r="AR6347"/>
      <c r="AS6347" s="911"/>
    </row>
    <row r="6348" spans="1:45" s="886" customFormat="1" ht="11.4">
      <c r="A6348" s="919">
        <v>10</v>
      </c>
      <c r="B6348" s="920">
        <v>1</v>
      </c>
      <c r="C6348" s="920">
        <f>$A6348*$B6348</f>
        <v>10</v>
      </c>
      <c r="D6348" s="921" t="str">
        <f>Elec_Rates!$D$785</f>
        <v>075# 100mm cable Tray</v>
      </c>
      <c r="E6348" s="921"/>
      <c r="F6348" s="921" t="s">
        <v>2599</v>
      </c>
      <c r="G6348" s="922" t="s">
        <v>2601</v>
      </c>
      <c r="H6348" s="922"/>
      <c r="I6348" s="922"/>
      <c r="J6348" s="922"/>
      <c r="K6348" s="923"/>
      <c r="L6348" s="918"/>
      <c r="M6348" s="918"/>
      <c r="N6348" s="918"/>
      <c r="O6348" s="924"/>
      <c r="P6348" s="921"/>
      <c r="Q6348" s="925">
        <f ca="1">$B6348*Elec_Rates!$R$785</f>
        <v>3.92</v>
      </c>
      <c r="R6348" s="916">
        <f ca="1">$A6348*Q6348</f>
        <v>39.200000000000003</v>
      </c>
      <c r="S6348" s="925">
        <f ca="1">$B6348*Elec_Rates!$T$785</f>
        <v>0.18</v>
      </c>
      <c r="T6348" s="917">
        <f ca="1">$A6348*S6348</f>
        <v>1.7999999999999998</v>
      </c>
      <c r="U6348" s="926"/>
      <c r="AR6348" s="919">
        <v>10</v>
      </c>
      <c r="AS6348" s="921" t="s">
        <v>2599</v>
      </c>
    </row>
    <row r="6349" spans="1:45" s="886" customFormat="1" ht="13.2">
      <c r="A6349"/>
      <c r="B6349" s="910"/>
      <c r="C6349" s="910" t="s">
        <v>2597</v>
      </c>
      <c r="D6349" s="910" t="str">
        <f ca="1">CELL("Address",Elec_Rates!D$907)</f>
        <v>[E25_0062_Quintano_Foods_Elec_ELV_As_Awarded.xlsx]Elec_Rates!$D$907</v>
      </c>
      <c r="E6349" s="911"/>
      <c r="F6349" s="911"/>
      <c r="G6349" s="912" t="s">
        <v>2598</v>
      </c>
      <c r="H6349" s="912"/>
      <c r="I6349" s="912"/>
      <c r="J6349" s="912"/>
      <c r="K6349" s="913"/>
      <c r="L6349" s="911"/>
      <c r="M6349" s="911"/>
      <c r="N6349" s="911"/>
      <c r="O6349" s="914"/>
      <c r="P6349" s="911"/>
      <c r="Q6349" s="915"/>
      <c r="R6349" s="916"/>
      <c r="S6349" s="915"/>
      <c r="T6349" s="917"/>
      <c r="U6349" s="918"/>
      <c r="AR6349"/>
      <c r="AS6349" s="911"/>
    </row>
    <row r="6350" spans="1:45" s="886" customFormat="1" ht="11.4">
      <c r="A6350" s="919">
        <v>10</v>
      </c>
      <c r="B6350" s="920">
        <v>1</v>
      </c>
      <c r="C6350" s="920">
        <f>$A6350*$B6350</f>
        <v>10</v>
      </c>
      <c r="D6350" s="921" t="str">
        <f>Elec_Rates!$D$907</f>
        <v>084# Bracket for 50-150mm cable tray/basket/trunking</v>
      </c>
      <c r="E6350" s="921"/>
      <c r="F6350" s="921" t="s">
        <v>2599</v>
      </c>
      <c r="G6350" s="922" t="s">
        <v>2600</v>
      </c>
      <c r="H6350" s="922"/>
      <c r="I6350" s="922"/>
      <c r="J6350" s="922"/>
      <c r="K6350" s="923"/>
      <c r="L6350" s="918"/>
      <c r="M6350" s="918"/>
      <c r="N6350" s="918"/>
      <c r="O6350" s="924"/>
      <c r="P6350" s="921"/>
      <c r="Q6350" s="925">
        <f ca="1">$B6350*Elec_Rates!$R$907</f>
        <v>2.37</v>
      </c>
      <c r="R6350" s="916">
        <f ca="1">$A6350*Q6350</f>
        <v>23.700000000000003</v>
      </c>
      <c r="S6350" s="925">
        <f ca="1">$B6350*Elec_Rates!$T$907</f>
        <v>0.09</v>
      </c>
      <c r="T6350" s="917">
        <f ca="1">$A6350*S6350</f>
        <v>0.89999999999999991</v>
      </c>
      <c r="U6350" s="926"/>
      <c r="AR6350" s="919">
        <v>10</v>
      </c>
      <c r="AS6350" s="921" t="s">
        <v>2599</v>
      </c>
    </row>
    <row r="6351" spans="1:45" s="520" customFormat="1" ht="12">
      <c r="A6351" s="758"/>
      <c r="B6351" s="758"/>
      <c r="C6351" s="758"/>
      <c r="D6351" s="758"/>
      <c r="E6351" s="758"/>
      <c r="F6351" s="753"/>
      <c r="G6351" s="758"/>
      <c r="H6351" s="758"/>
      <c r="I6351" s="519"/>
      <c r="J6351" s="758"/>
      <c r="K6351" s="758"/>
      <c r="L6351" s="758"/>
      <c r="M6351" s="758"/>
      <c r="N6351" s="758"/>
      <c r="O6351" s="758"/>
      <c r="P6351" s="758"/>
      <c r="Q6351" s="519"/>
      <c r="R6351" s="759">
        <f t="shared" ref="R6351" si="430">$A6351*Q6351</f>
        <v>0</v>
      </c>
      <c r="S6351" s="519"/>
      <c r="T6351" s="760">
        <f t="shared" ref="T6351" si="431">$A6351*S6351*$T$1</f>
        <v>0</v>
      </c>
      <c r="AR6351" s="758"/>
      <c r="AS6351" s="753"/>
    </row>
    <row r="6352" spans="1:45" s="520" customFormat="1" ht="12.6" thickBot="1">
      <c r="A6352" s="761" t="s">
        <v>145</v>
      </c>
      <c r="B6352" s="762">
        <f>(R6351+T6351)</f>
        <v>0</v>
      </c>
      <c r="C6352" s="763"/>
      <c r="D6352" s="763"/>
      <c r="E6352" s="763"/>
      <c r="F6352" s="764"/>
      <c r="G6352" s="763" t="s">
        <v>146</v>
      </c>
      <c r="H6352" s="763"/>
      <c r="I6352" s="765"/>
      <c r="J6352" s="763"/>
      <c r="K6352" s="763" t="s">
        <v>3</v>
      </c>
      <c r="L6352" s="766" t="s">
        <v>143</v>
      </c>
      <c r="M6352" s="766"/>
      <c r="N6352" s="766"/>
      <c r="O6352" s="766"/>
      <c r="P6352" s="766"/>
      <c r="Q6352" s="767"/>
      <c r="R6352" s="768">
        <f ca="1">SUM(R6346:R6351)</f>
        <v>62.900000000000006</v>
      </c>
      <c r="S6352" s="763"/>
      <c r="T6352" s="768">
        <f ca="1">SUM(T6346:T6351)</f>
        <v>2.6999999999999997</v>
      </c>
      <c r="U6352" s="531"/>
      <c r="V6352" s="531"/>
      <c r="W6352" s="531"/>
      <c r="X6352" s="531"/>
      <c r="Y6352" s="531"/>
      <c r="Z6352" s="531"/>
      <c r="AA6352" s="531"/>
      <c r="AB6352" s="531"/>
      <c r="AC6352" s="531"/>
      <c r="AD6352" s="531"/>
      <c r="AE6352" s="531"/>
      <c r="AF6352" s="531"/>
      <c r="AG6352" s="531"/>
      <c r="AH6352" s="531"/>
      <c r="AI6352" s="531"/>
      <c r="AJ6352" s="531"/>
      <c r="AK6352" s="531"/>
      <c r="AL6352" s="531"/>
      <c r="AM6352" s="531"/>
      <c r="AN6352" s="531"/>
      <c r="AO6352" s="531"/>
      <c r="AR6352" s="761" t="s">
        <v>145</v>
      </c>
      <c r="AS6352" s="764"/>
    </row>
    <row r="6353" spans="1:45" s="520" customFormat="1" ht="12" thickTop="1">
      <c r="A6353" s="51"/>
      <c r="B6353" s="41"/>
      <c r="C6353" s="51"/>
      <c r="E6353" s="42" t="s">
        <v>138</v>
      </c>
      <c r="F6353" s="42" t="s">
        <v>139</v>
      </c>
      <c r="G6353" s="51"/>
      <c r="H6353" s="51"/>
      <c r="I6353" s="51"/>
      <c r="J6353" s="51"/>
      <c r="K6353" s="51" t="s">
        <v>140</v>
      </c>
      <c r="L6353" s="51"/>
      <c r="M6353" s="51"/>
      <c r="N6353" s="51"/>
      <c r="O6353" s="52"/>
      <c r="P6353" s="51"/>
      <c r="Q6353" s="51"/>
      <c r="R6353" s="51"/>
      <c r="S6353" s="51"/>
      <c r="T6353" s="41"/>
      <c r="AG6353" s="521" t="s">
        <v>268</v>
      </c>
      <c r="AH6353" s="521" t="s">
        <v>269</v>
      </c>
      <c r="AI6353" s="521" t="s">
        <v>270</v>
      </c>
      <c r="AJ6353" s="521" t="s">
        <v>271</v>
      </c>
      <c r="AK6353" s="521" t="s">
        <v>272</v>
      </c>
      <c r="AM6353" s="745" t="s">
        <v>281</v>
      </c>
      <c r="AN6353" s="746" t="s">
        <v>282</v>
      </c>
      <c r="AO6353" s="522" t="s">
        <v>278</v>
      </c>
      <c r="AR6353" s="51"/>
      <c r="AS6353" s="42" t="s">
        <v>139</v>
      </c>
    </row>
    <row r="6354" spans="1:45" s="520" customFormat="1" ht="12" customHeight="1">
      <c r="A6354" s="747">
        <v>25</v>
      </c>
      <c r="B6354" s="523" t="s">
        <v>320</v>
      </c>
      <c r="C6354" s="748"/>
      <c r="D6354" s="749" t="s">
        <v>1996</v>
      </c>
      <c r="E6354" s="750">
        <f ca="1">IF(AND($A6354=0,$A$1="DIF"),0, ROUND(ROUND(($R6361*$S$2+($T6361*$T$2))/A6354,2)*$C$2,2))</f>
        <v>21.6</v>
      </c>
      <c r="F6354" s="751">
        <f ca="1">ROUND($A6354*$E6354,2)</f>
        <v>540</v>
      </c>
      <c r="G6354" s="752" t="s">
        <v>142</v>
      </c>
      <c r="H6354" s="753"/>
      <c r="I6354" s="754"/>
      <c r="J6354" s="753"/>
      <c r="K6354" s="753" t="s">
        <v>3</v>
      </c>
      <c r="L6354" s="755" t="s">
        <v>143</v>
      </c>
      <c r="M6354" s="755"/>
      <c r="N6354" s="755"/>
      <c r="O6354" s="755"/>
      <c r="P6354" s="755"/>
      <c r="Q6354" s="51"/>
      <c r="T6354" s="756" t="str">
        <f ca="1">IF(AND($R6361=0,$T6361=0),"0.00","mu :" &amp; ROUND($F6354/$C$2/($R6361+$T6361*$D$9),2))</f>
        <v>mu :1.23</v>
      </c>
      <c r="W6354" s="524"/>
      <c r="AG6354" s="481">
        <f ca="1">IF($E6354=0,0,ROUND($R6361*$S$2*$C$2/$A6354,2))</f>
        <v>9.43</v>
      </c>
      <c r="AH6354" s="481">
        <f ca="1">$AG6354*$A6354</f>
        <v>235.75</v>
      </c>
      <c r="AI6354" s="525">
        <f ca="1">$E6354-$AG6354</f>
        <v>12.170000000000002</v>
      </c>
      <c r="AJ6354" s="525">
        <f ca="1">$A6354*$AI6354</f>
        <v>304.25000000000006</v>
      </c>
      <c r="AK6354" s="526">
        <f ca="1">ROUND(($AG6354+$AI6354)*$A6354,2)</f>
        <v>540</v>
      </c>
      <c r="AM6354" s="527">
        <f ca="1">ROUND(R6361,2)</f>
        <v>191.5</v>
      </c>
      <c r="AN6354" s="528">
        <f ca="1">ROUND(T6361,2)</f>
        <v>9</v>
      </c>
      <c r="AO6354" s="529">
        <f ca="1">ROUND(AM6354+AN6354,2)*A6354</f>
        <v>5012.5</v>
      </c>
      <c r="AR6354" s="747">
        <v>25</v>
      </c>
      <c r="AS6354" s="751">
        <v>574</v>
      </c>
    </row>
    <row r="6355" spans="1:45" s="520" customFormat="1" ht="13.2">
      <c r="A6355" s="748"/>
      <c r="B6355"/>
      <c r="C6355" s="748"/>
      <c r="D6355" s="749" t="s">
        <v>913</v>
      </c>
      <c r="F6355" s="753"/>
      <c r="G6355" s="3"/>
      <c r="H6355" s="753"/>
      <c r="I6355" s="754"/>
      <c r="J6355" s="753"/>
      <c r="K6355" s="753" t="s">
        <v>144</v>
      </c>
      <c r="L6355" s="753"/>
      <c r="M6355" s="753"/>
      <c r="N6355" s="753"/>
      <c r="O6355" s="753"/>
      <c r="P6355" s="753"/>
      <c r="Q6355" s="51"/>
      <c r="R6355" s="530"/>
      <c r="S6355" s="757"/>
      <c r="T6355" s="753"/>
      <c r="AR6355" s="748"/>
      <c r="AS6355" s="753"/>
    </row>
    <row r="6356" spans="1:45" s="886" customFormat="1" ht="13.2">
      <c r="A6356"/>
      <c r="B6356" s="910"/>
      <c r="C6356" s="910" t="s">
        <v>2597</v>
      </c>
      <c r="D6356" s="910" t="str">
        <f ca="1">CELL("Address",Elec_Rates!D$774)</f>
        <v>[E25_0062_Quintano_Foods_Elec_ELV_As_Awarded.xlsx]Elec_Rates!$D$774</v>
      </c>
      <c r="E6356" s="911"/>
      <c r="F6356" s="911"/>
      <c r="G6356" s="912" t="s">
        <v>2598</v>
      </c>
      <c r="H6356" s="912"/>
      <c r="I6356" s="912"/>
      <c r="J6356" s="912"/>
      <c r="K6356" s="913"/>
      <c r="L6356" s="911"/>
      <c r="M6356" s="911"/>
      <c r="N6356" s="911"/>
      <c r="O6356" s="914"/>
      <c r="P6356" s="911"/>
      <c r="Q6356" s="915"/>
      <c r="R6356" s="916"/>
      <c r="S6356" s="915"/>
      <c r="T6356" s="917"/>
      <c r="U6356" s="918"/>
      <c r="AR6356"/>
      <c r="AS6356" s="911"/>
    </row>
    <row r="6357" spans="1:45" s="886" customFormat="1" ht="11.4">
      <c r="A6357" s="919">
        <v>25</v>
      </c>
      <c r="B6357" s="920">
        <v>1</v>
      </c>
      <c r="C6357" s="920">
        <f>$A6357*$B6357</f>
        <v>25</v>
      </c>
      <c r="D6357" s="921" t="str">
        <f>Elec_Rates!$D$774</f>
        <v>074# 200mm cable Tray</v>
      </c>
      <c r="E6357" s="921"/>
      <c r="F6357" s="921" t="s">
        <v>2599</v>
      </c>
      <c r="G6357" s="922" t="s">
        <v>2600</v>
      </c>
      <c r="H6357" s="922"/>
      <c r="I6357" s="922"/>
      <c r="J6357" s="922"/>
      <c r="K6357" s="923"/>
      <c r="L6357" s="918"/>
      <c r="M6357" s="918"/>
      <c r="N6357" s="918"/>
      <c r="O6357" s="924"/>
      <c r="P6357" s="921"/>
      <c r="Q6357" s="925">
        <f ca="1">$B6357*Elec_Rates!$R$774</f>
        <v>5.18</v>
      </c>
      <c r="R6357" s="916">
        <f ca="1">$A6357*Q6357</f>
        <v>129.5</v>
      </c>
      <c r="S6357" s="925">
        <f ca="1">$B6357*Elec_Rates!$T$774</f>
        <v>0.27</v>
      </c>
      <c r="T6357" s="917">
        <f ca="1">$A6357*S6357</f>
        <v>6.75</v>
      </c>
      <c r="U6357" s="926"/>
      <c r="AR6357" s="919">
        <v>25</v>
      </c>
      <c r="AS6357" s="921" t="s">
        <v>2599</v>
      </c>
    </row>
    <row r="6358" spans="1:45" s="886" customFormat="1" ht="13.2">
      <c r="A6358"/>
      <c r="B6358" s="910"/>
      <c r="C6358" s="910" t="s">
        <v>2597</v>
      </c>
      <c r="D6358" s="910" t="str">
        <f ca="1">CELL("Address",Elec_Rates!D$920)</f>
        <v>[E25_0062_Quintano_Foods_Elec_ELV_As_Awarded.xlsx]Elec_Rates!$D$920</v>
      </c>
      <c r="E6358" s="911"/>
      <c r="F6358" s="911"/>
      <c r="G6358" s="912" t="s">
        <v>2598</v>
      </c>
      <c r="H6358" s="912"/>
      <c r="I6358" s="912"/>
      <c r="J6358" s="912"/>
      <c r="K6358" s="913"/>
      <c r="L6358" s="911"/>
      <c r="M6358" s="911"/>
      <c r="N6358" s="911"/>
      <c r="O6358" s="914"/>
      <c r="P6358" s="911"/>
      <c r="Q6358" s="915"/>
      <c r="R6358" s="916"/>
      <c r="S6358" s="915"/>
      <c r="T6358" s="917"/>
      <c r="U6358" s="918"/>
      <c r="AR6358"/>
      <c r="AS6358" s="911"/>
    </row>
    <row r="6359" spans="1:45" s="886" customFormat="1" ht="11.4">
      <c r="A6359" s="919">
        <v>25</v>
      </c>
      <c r="B6359" s="920">
        <v>1</v>
      </c>
      <c r="C6359" s="920">
        <f>$A6359*$B6359</f>
        <v>25</v>
      </c>
      <c r="D6359" s="921" t="str">
        <f>Elec_Rates!$D$920</f>
        <v>085# Bracket for 200-300mm cable tray/basket</v>
      </c>
      <c r="E6359" s="921"/>
      <c r="F6359" s="921" t="s">
        <v>2599</v>
      </c>
      <c r="G6359" s="922" t="s">
        <v>2601</v>
      </c>
      <c r="H6359" s="922"/>
      <c r="I6359" s="922"/>
      <c r="J6359" s="922"/>
      <c r="K6359" s="923"/>
      <c r="L6359" s="918"/>
      <c r="M6359" s="918"/>
      <c r="N6359" s="918"/>
      <c r="O6359" s="924"/>
      <c r="P6359" s="921"/>
      <c r="Q6359" s="925">
        <f ca="1">$B6359*Elec_Rates!$R$920</f>
        <v>2.48</v>
      </c>
      <c r="R6359" s="916">
        <f ca="1">$A6359*Q6359</f>
        <v>62</v>
      </c>
      <c r="S6359" s="925">
        <f ca="1">$B6359*Elec_Rates!$T$920</f>
        <v>0.09</v>
      </c>
      <c r="T6359" s="917">
        <f ca="1">$A6359*S6359</f>
        <v>2.25</v>
      </c>
      <c r="U6359" s="926"/>
      <c r="AR6359" s="919">
        <v>25</v>
      </c>
      <c r="AS6359" s="921" t="s">
        <v>2599</v>
      </c>
    </row>
    <row r="6360" spans="1:45" s="520" customFormat="1" ht="12">
      <c r="A6360" s="758"/>
      <c r="B6360" s="758"/>
      <c r="C6360" s="758"/>
      <c r="D6360" s="758"/>
      <c r="E6360" s="758"/>
      <c r="F6360" s="753"/>
      <c r="G6360" s="758"/>
      <c r="H6360" s="758"/>
      <c r="I6360" s="519"/>
      <c r="J6360" s="758"/>
      <c r="K6360" s="758"/>
      <c r="L6360" s="758"/>
      <c r="M6360" s="758"/>
      <c r="N6360" s="758"/>
      <c r="O6360" s="758"/>
      <c r="P6360" s="758"/>
      <c r="Q6360" s="519"/>
      <c r="R6360" s="759">
        <f t="shared" ref="R6360" si="432">$A6360*Q6360</f>
        <v>0</v>
      </c>
      <c r="S6360" s="519"/>
      <c r="T6360" s="760">
        <f t="shared" ref="T6360" si="433">$A6360*S6360*$T$1</f>
        <v>0</v>
      </c>
      <c r="AR6360" s="758"/>
      <c r="AS6360" s="753"/>
    </row>
    <row r="6361" spans="1:45" s="520" customFormat="1" ht="12.6" thickBot="1">
      <c r="A6361" s="761" t="s">
        <v>145</v>
      </c>
      <c r="B6361" s="762">
        <f>(R6360+T6360)</f>
        <v>0</v>
      </c>
      <c r="C6361" s="763"/>
      <c r="D6361" s="763"/>
      <c r="E6361" s="763"/>
      <c r="F6361" s="764"/>
      <c r="G6361" s="763" t="s">
        <v>146</v>
      </c>
      <c r="H6361" s="763"/>
      <c r="I6361" s="765"/>
      <c r="J6361" s="763"/>
      <c r="K6361" s="763" t="s">
        <v>3</v>
      </c>
      <c r="L6361" s="766" t="s">
        <v>143</v>
      </c>
      <c r="M6361" s="766"/>
      <c r="N6361" s="766"/>
      <c r="O6361" s="766"/>
      <c r="P6361" s="766"/>
      <c r="Q6361" s="767"/>
      <c r="R6361" s="768">
        <f ca="1">SUM(R6355:R6360)</f>
        <v>191.5</v>
      </c>
      <c r="S6361" s="763"/>
      <c r="T6361" s="768">
        <f ca="1">SUM(T6355:T6360)</f>
        <v>9</v>
      </c>
      <c r="U6361" s="531"/>
      <c r="V6361" s="531"/>
      <c r="W6361" s="531"/>
      <c r="X6361" s="531"/>
      <c r="Y6361" s="531"/>
      <c r="Z6361" s="531"/>
      <c r="AA6361" s="531"/>
      <c r="AB6361" s="531"/>
      <c r="AC6361" s="531"/>
      <c r="AD6361" s="531"/>
      <c r="AE6361" s="531"/>
      <c r="AF6361" s="531"/>
      <c r="AG6361" s="531"/>
      <c r="AH6361" s="531"/>
      <c r="AI6361" s="531"/>
      <c r="AJ6361" s="531"/>
      <c r="AK6361" s="531"/>
      <c r="AL6361" s="531"/>
      <c r="AM6361" s="531"/>
      <c r="AN6361" s="531"/>
      <c r="AO6361" s="531"/>
      <c r="AR6361" s="761" t="s">
        <v>145</v>
      </c>
      <c r="AS6361" s="764"/>
    </row>
    <row r="6362" spans="1:45" s="520" customFormat="1" ht="12" thickTop="1">
      <c r="A6362" s="51"/>
      <c r="B6362" s="41"/>
      <c r="C6362" s="51"/>
      <c r="E6362" s="42" t="s">
        <v>138</v>
      </c>
      <c r="F6362" s="42" t="s">
        <v>139</v>
      </c>
      <c r="G6362" s="51"/>
      <c r="H6362" s="51"/>
      <c r="I6362" s="51"/>
      <c r="J6362" s="51"/>
      <c r="K6362" s="51" t="s">
        <v>140</v>
      </c>
      <c r="L6362" s="51"/>
      <c r="M6362" s="51"/>
      <c r="N6362" s="51"/>
      <c r="O6362" s="52"/>
      <c r="P6362" s="51"/>
      <c r="Q6362" s="51"/>
      <c r="R6362" s="51"/>
      <c r="S6362" s="51"/>
      <c r="T6362" s="41"/>
      <c r="AG6362" s="521" t="s">
        <v>268</v>
      </c>
      <c r="AH6362" s="521" t="s">
        <v>269</v>
      </c>
      <c r="AI6362" s="521" t="s">
        <v>270</v>
      </c>
      <c r="AJ6362" s="521" t="s">
        <v>271</v>
      </c>
      <c r="AK6362" s="521" t="s">
        <v>272</v>
      </c>
      <c r="AM6362" s="745" t="s">
        <v>281</v>
      </c>
      <c r="AN6362" s="746" t="s">
        <v>282</v>
      </c>
      <c r="AO6362" s="522" t="s">
        <v>278</v>
      </c>
      <c r="AR6362" s="51"/>
      <c r="AS6362" s="42" t="s">
        <v>139</v>
      </c>
    </row>
    <row r="6363" spans="1:45" s="520" customFormat="1" ht="12" customHeight="1">
      <c r="A6363" s="747">
        <v>30</v>
      </c>
      <c r="B6363" s="523" t="s">
        <v>320</v>
      </c>
      <c r="C6363" s="748"/>
      <c r="D6363" s="749" t="s">
        <v>1998</v>
      </c>
      <c r="E6363" s="750">
        <f ca="1">IF(AND($A6363=0,$A$1="DIF"),0, ROUND(ROUND(($R6370*$S$2+($T6370*$T$2))/A6363,2)*$C$2,2))</f>
        <v>26.03</v>
      </c>
      <c r="F6363" s="751">
        <f ca="1">ROUND($A6363*$E6363,2)</f>
        <v>780.9</v>
      </c>
      <c r="G6363" s="752" t="s">
        <v>142</v>
      </c>
      <c r="H6363" s="753"/>
      <c r="I6363" s="754"/>
      <c r="J6363" s="753"/>
      <c r="K6363" s="753" t="s">
        <v>3</v>
      </c>
      <c r="L6363" s="755" t="s">
        <v>143</v>
      </c>
      <c r="M6363" s="755"/>
      <c r="N6363" s="755"/>
      <c r="O6363" s="755"/>
      <c r="P6363" s="755"/>
      <c r="Q6363" s="51"/>
      <c r="T6363" s="756" t="str">
        <f ca="1">IF(AND($R6370=0,$T6370=0),"0.00","mu :" &amp; ROUND($F6363/$C$2/($R6370+$T6370*$D$9),2))</f>
        <v>mu :1.23</v>
      </c>
      <c r="W6363" s="524"/>
      <c r="AG6363" s="481">
        <f ca="1">IF($E6363=0,0,ROUND($R6370*$S$2*$C$2/$A6363,2))</f>
        <v>12.17</v>
      </c>
      <c r="AH6363" s="481">
        <f ca="1">$AG6363*$A6363</f>
        <v>365.1</v>
      </c>
      <c r="AI6363" s="525">
        <f ca="1">$E6363-$AG6363</f>
        <v>13.860000000000001</v>
      </c>
      <c r="AJ6363" s="525">
        <f ca="1">$A6363*$AI6363</f>
        <v>415.8</v>
      </c>
      <c r="AK6363" s="526">
        <f ca="1">ROUND(($AG6363+$AI6363)*$A6363,2)</f>
        <v>780.9</v>
      </c>
      <c r="AM6363" s="527">
        <f ca="1">ROUND(R6370,2)</f>
        <v>296.39999999999998</v>
      </c>
      <c r="AN6363" s="528">
        <f ca="1">ROUND(T6370,2)</f>
        <v>12.3</v>
      </c>
      <c r="AO6363" s="529">
        <f ca="1">ROUND(AM6363+AN6363,2)*A6363</f>
        <v>9261</v>
      </c>
      <c r="AR6363" s="747">
        <v>30</v>
      </c>
      <c r="AS6363" s="751">
        <v>821.4</v>
      </c>
    </row>
    <row r="6364" spans="1:45" s="520" customFormat="1" ht="13.2">
      <c r="A6364" s="748"/>
      <c r="B6364"/>
      <c r="C6364" s="748"/>
      <c r="D6364" s="749" t="s">
        <v>914</v>
      </c>
      <c r="F6364" s="753"/>
      <c r="G6364" s="3"/>
      <c r="H6364" s="753"/>
      <c r="I6364" s="754"/>
      <c r="J6364" s="753"/>
      <c r="K6364" s="753" t="s">
        <v>144</v>
      </c>
      <c r="L6364" s="753"/>
      <c r="M6364" s="753"/>
      <c r="N6364" s="753"/>
      <c r="O6364" s="753"/>
      <c r="P6364" s="753"/>
      <c r="Q6364" s="51"/>
      <c r="R6364" s="530"/>
      <c r="S6364" s="757"/>
      <c r="T6364" s="753"/>
      <c r="AR6364" s="748"/>
      <c r="AS6364" s="753"/>
    </row>
    <row r="6365" spans="1:45" s="886" customFormat="1" ht="13.2">
      <c r="A6365"/>
      <c r="B6365" s="910"/>
      <c r="C6365" s="910" t="s">
        <v>2597</v>
      </c>
      <c r="D6365" s="910" t="str">
        <f ca="1">CELL("Address",Elec_Rates!D$762)</f>
        <v>[E25_0062_Quintano_Foods_Elec_ELV_As_Awarded.xlsx]Elec_Rates!$D$762</v>
      </c>
      <c r="E6365" s="911"/>
      <c r="F6365" s="911"/>
      <c r="G6365" s="912" t="s">
        <v>2598</v>
      </c>
      <c r="H6365" s="912"/>
      <c r="I6365" s="912"/>
      <c r="J6365" s="912"/>
      <c r="K6365" s="913"/>
      <c r="L6365" s="911"/>
      <c r="M6365" s="911"/>
      <c r="N6365" s="911"/>
      <c r="O6365" s="914"/>
      <c r="P6365" s="911"/>
      <c r="Q6365" s="915"/>
      <c r="R6365" s="916"/>
      <c r="S6365" s="915"/>
      <c r="T6365" s="917"/>
      <c r="U6365" s="918"/>
      <c r="AR6365"/>
      <c r="AS6365" s="911"/>
    </row>
    <row r="6366" spans="1:45" s="886" customFormat="1" ht="11.4">
      <c r="A6366" s="919">
        <v>30</v>
      </c>
      <c r="B6366" s="920">
        <v>1</v>
      </c>
      <c r="C6366" s="920">
        <f>$A6366*$B6366</f>
        <v>30</v>
      </c>
      <c r="D6366" s="921" t="str">
        <f>Elec_Rates!$D$762</f>
        <v>073# 300mm cable Tray</v>
      </c>
      <c r="E6366" s="921"/>
      <c r="F6366" s="921" t="s">
        <v>2599</v>
      </c>
      <c r="G6366" s="922" t="s">
        <v>2600</v>
      </c>
      <c r="H6366" s="922"/>
      <c r="I6366" s="922"/>
      <c r="J6366" s="922"/>
      <c r="K6366" s="923"/>
      <c r="L6366" s="918"/>
      <c r="M6366" s="918"/>
      <c r="N6366" s="918"/>
      <c r="O6366" s="924"/>
      <c r="P6366" s="921"/>
      <c r="Q6366" s="925">
        <f ca="1">$B6366*Elec_Rates!$R$762</f>
        <v>7.4</v>
      </c>
      <c r="R6366" s="916">
        <f ca="1">$A6366*Q6366</f>
        <v>222</v>
      </c>
      <c r="S6366" s="925">
        <f ca="1">$B6366*Elec_Rates!$T$762</f>
        <v>0.32</v>
      </c>
      <c r="T6366" s="917">
        <f ca="1">$A6366*S6366</f>
        <v>9.6</v>
      </c>
      <c r="U6366" s="926"/>
      <c r="AR6366" s="919">
        <v>30</v>
      </c>
      <c r="AS6366" s="921" t="s">
        <v>2599</v>
      </c>
    </row>
    <row r="6367" spans="1:45" s="886" customFormat="1" ht="13.2">
      <c r="A6367"/>
      <c r="B6367" s="910"/>
      <c r="C6367" s="910" t="s">
        <v>2597</v>
      </c>
      <c r="D6367" s="910" t="str">
        <f ca="1">CELL("Address",Elec_Rates!D$920)</f>
        <v>[E25_0062_Quintano_Foods_Elec_ELV_As_Awarded.xlsx]Elec_Rates!$D$920</v>
      </c>
      <c r="E6367" s="911"/>
      <c r="F6367" s="911"/>
      <c r="G6367" s="912" t="s">
        <v>2598</v>
      </c>
      <c r="H6367" s="912"/>
      <c r="I6367" s="912"/>
      <c r="J6367" s="912"/>
      <c r="K6367" s="913"/>
      <c r="L6367" s="911"/>
      <c r="M6367" s="911"/>
      <c r="N6367" s="911"/>
      <c r="O6367" s="914"/>
      <c r="P6367" s="911"/>
      <c r="Q6367" s="915"/>
      <c r="R6367" s="916"/>
      <c r="S6367" s="915"/>
      <c r="T6367" s="917"/>
      <c r="U6367" s="918"/>
      <c r="AR6367"/>
      <c r="AS6367" s="911"/>
    </row>
    <row r="6368" spans="1:45" s="886" customFormat="1" ht="11.4">
      <c r="A6368" s="919">
        <v>30</v>
      </c>
      <c r="B6368" s="920">
        <v>1</v>
      </c>
      <c r="C6368" s="920">
        <f>$A6368*$B6368</f>
        <v>30</v>
      </c>
      <c r="D6368" s="921" t="str">
        <f>Elec_Rates!$D$920</f>
        <v>085# Bracket for 200-300mm cable tray/basket</v>
      </c>
      <c r="E6368" s="921"/>
      <c r="F6368" s="921" t="s">
        <v>2599</v>
      </c>
      <c r="G6368" s="922" t="s">
        <v>2601</v>
      </c>
      <c r="H6368" s="922"/>
      <c r="I6368" s="922"/>
      <c r="J6368" s="922"/>
      <c r="K6368" s="923"/>
      <c r="L6368" s="918"/>
      <c r="M6368" s="918"/>
      <c r="N6368" s="918"/>
      <c r="O6368" s="924"/>
      <c r="P6368" s="921"/>
      <c r="Q6368" s="925">
        <f ca="1">$B6368*Elec_Rates!$R$920</f>
        <v>2.48</v>
      </c>
      <c r="R6368" s="916">
        <f ca="1">$A6368*Q6368</f>
        <v>74.400000000000006</v>
      </c>
      <c r="S6368" s="925">
        <f ca="1">$B6368*Elec_Rates!$T$920</f>
        <v>0.09</v>
      </c>
      <c r="T6368" s="917">
        <f ca="1">$A6368*S6368</f>
        <v>2.6999999999999997</v>
      </c>
      <c r="U6368" s="926"/>
      <c r="AR6368" s="919">
        <v>30</v>
      </c>
      <c r="AS6368" s="921" t="s">
        <v>2599</v>
      </c>
    </row>
    <row r="6369" spans="1:45" s="520" customFormat="1" ht="12">
      <c r="A6369" s="758"/>
      <c r="B6369" s="758"/>
      <c r="C6369" s="758"/>
      <c r="D6369" s="758"/>
      <c r="E6369" s="758"/>
      <c r="F6369" s="753"/>
      <c r="G6369" s="758"/>
      <c r="H6369" s="758"/>
      <c r="I6369" s="519"/>
      <c r="J6369" s="758"/>
      <c r="K6369" s="758"/>
      <c r="L6369" s="758"/>
      <c r="M6369" s="758"/>
      <c r="N6369" s="758"/>
      <c r="O6369" s="758"/>
      <c r="P6369" s="758"/>
      <c r="Q6369" s="519"/>
      <c r="R6369" s="759">
        <f t="shared" ref="R6369" si="434">$A6369*Q6369</f>
        <v>0</v>
      </c>
      <c r="S6369" s="519"/>
      <c r="T6369" s="760">
        <f t="shared" ref="T6369" si="435">$A6369*S6369*$T$1</f>
        <v>0</v>
      </c>
      <c r="AR6369" s="758"/>
      <c r="AS6369" s="753"/>
    </row>
    <row r="6370" spans="1:45" s="520" customFormat="1" ht="12.6" thickBot="1">
      <c r="A6370" s="761" t="s">
        <v>145</v>
      </c>
      <c r="B6370" s="762">
        <f>(R6369+T6369)</f>
        <v>0</v>
      </c>
      <c r="C6370" s="763"/>
      <c r="D6370" s="763"/>
      <c r="E6370" s="763"/>
      <c r="F6370" s="764"/>
      <c r="G6370" s="763" t="s">
        <v>146</v>
      </c>
      <c r="H6370" s="763"/>
      <c r="I6370" s="765"/>
      <c r="J6370" s="763"/>
      <c r="K6370" s="763" t="s">
        <v>3</v>
      </c>
      <c r="L6370" s="766" t="s">
        <v>143</v>
      </c>
      <c r="M6370" s="766"/>
      <c r="N6370" s="766"/>
      <c r="O6370" s="766"/>
      <c r="P6370" s="766"/>
      <c r="Q6370" s="767"/>
      <c r="R6370" s="768">
        <f ca="1">SUM(R6364:R6369)</f>
        <v>296.39999999999998</v>
      </c>
      <c r="S6370" s="763"/>
      <c r="T6370" s="768">
        <f ca="1">SUM(T6364:T6369)</f>
        <v>12.299999999999999</v>
      </c>
      <c r="U6370" s="531"/>
      <c r="V6370" s="531"/>
      <c r="W6370" s="531"/>
      <c r="X6370" s="531"/>
      <c r="Y6370" s="531"/>
      <c r="Z6370" s="531"/>
      <c r="AA6370" s="531"/>
      <c r="AB6370" s="531"/>
      <c r="AC6370" s="531"/>
      <c r="AD6370" s="531"/>
      <c r="AE6370" s="531"/>
      <c r="AF6370" s="531"/>
      <c r="AG6370" s="531"/>
      <c r="AH6370" s="531"/>
      <c r="AI6370" s="531"/>
      <c r="AJ6370" s="531"/>
      <c r="AK6370" s="531"/>
      <c r="AL6370" s="531"/>
      <c r="AM6370" s="531"/>
      <c r="AN6370" s="531"/>
      <c r="AO6370" s="531"/>
      <c r="AR6370" s="761" t="s">
        <v>145</v>
      </c>
      <c r="AS6370" s="764"/>
    </row>
    <row r="6371" spans="1:45" s="520" customFormat="1" thickTop="1">
      <c r="A6371" s="51"/>
      <c r="B6371" s="51"/>
      <c r="C6371" s="3"/>
      <c r="D6371" s="3"/>
      <c r="E6371" s="51"/>
      <c r="F6371" s="51"/>
      <c r="G6371" s="51"/>
      <c r="H6371" s="51"/>
      <c r="I6371" s="51"/>
      <c r="J6371" s="51"/>
      <c r="K6371" s="51" t="s">
        <v>134</v>
      </c>
      <c r="L6371" s="51"/>
      <c r="M6371" s="51"/>
      <c r="N6371" s="51"/>
      <c r="O6371" s="52"/>
      <c r="P6371" s="51"/>
      <c r="Q6371" s="51"/>
      <c r="R6371" s="51"/>
      <c r="S6371" s="51"/>
      <c r="T6371" s="51"/>
      <c r="AR6371" s="51"/>
      <c r="AS6371" s="51"/>
    </row>
    <row r="6372" spans="1:45" s="520" customFormat="1" ht="12">
      <c r="A6372" s="51"/>
      <c r="B6372" s="51"/>
      <c r="C6372" s="51" t="s">
        <v>135</v>
      </c>
      <c r="D6372" s="37"/>
      <c r="E6372" s="51"/>
      <c r="F6372" s="51"/>
      <c r="G6372" s="51"/>
      <c r="H6372" s="51"/>
      <c r="I6372" s="51"/>
      <c r="J6372" s="51"/>
      <c r="K6372" s="51"/>
      <c r="L6372" s="51"/>
      <c r="M6372" s="51"/>
      <c r="N6372" s="51"/>
      <c r="O6372" s="52"/>
      <c r="P6372" s="51"/>
      <c r="Q6372" s="51"/>
      <c r="R6372" s="51"/>
      <c r="S6372" s="51"/>
      <c r="T6372" s="51"/>
      <c r="AR6372" s="51"/>
      <c r="AS6372" s="51"/>
    </row>
    <row r="6373" spans="1:45" s="520" customFormat="1" ht="12">
      <c r="A6373" s="51"/>
      <c r="B6373" s="51"/>
      <c r="C6373" s="51"/>
      <c r="D6373" s="37" t="s">
        <v>935</v>
      </c>
      <c r="E6373" s="51"/>
      <c r="F6373" s="51"/>
      <c r="G6373" s="51"/>
      <c r="H6373" s="51"/>
      <c r="I6373" s="51"/>
      <c r="J6373" s="51"/>
      <c r="K6373" s="51"/>
      <c r="L6373" s="51"/>
      <c r="M6373" s="51"/>
      <c r="N6373" s="51"/>
      <c r="O6373" s="52"/>
      <c r="P6373" s="51"/>
      <c r="Q6373" s="51"/>
      <c r="R6373" s="51"/>
      <c r="S6373" s="38"/>
      <c r="T6373" s="38"/>
      <c r="AR6373" s="51"/>
      <c r="AS6373" s="51"/>
    </row>
    <row r="6374" spans="1:45" s="3" customFormat="1" thickBot="1">
      <c r="A6374" s="531"/>
      <c r="O6374" s="107"/>
      <c r="AR6374" s="531"/>
    </row>
    <row r="6375" spans="1:45" s="520" customFormat="1" ht="12" thickTop="1">
      <c r="A6375" s="51"/>
      <c r="B6375" s="41"/>
      <c r="C6375" s="51"/>
      <c r="E6375" s="42" t="s">
        <v>138</v>
      </c>
      <c r="F6375" s="42" t="s">
        <v>139</v>
      </c>
      <c r="G6375" s="51"/>
      <c r="H6375" s="51"/>
      <c r="I6375" s="51"/>
      <c r="J6375" s="51"/>
      <c r="K6375" s="51" t="s">
        <v>140</v>
      </c>
      <c r="L6375" s="51"/>
      <c r="M6375" s="51"/>
      <c r="N6375" s="51"/>
      <c r="O6375" s="52"/>
      <c r="P6375" s="51"/>
      <c r="Q6375" s="51"/>
      <c r="R6375" s="51"/>
      <c r="S6375" s="51"/>
      <c r="T6375" s="41"/>
      <c r="AG6375" s="521" t="s">
        <v>268</v>
      </c>
      <c r="AH6375" s="521" t="s">
        <v>269</v>
      </c>
      <c r="AI6375" s="521" t="s">
        <v>270</v>
      </c>
      <c r="AJ6375" s="521" t="s">
        <v>271</v>
      </c>
      <c r="AK6375" s="521" t="s">
        <v>272</v>
      </c>
      <c r="AM6375" s="745" t="s">
        <v>281</v>
      </c>
      <c r="AN6375" s="746" t="s">
        <v>282</v>
      </c>
      <c r="AO6375" s="522" t="s">
        <v>278</v>
      </c>
      <c r="AR6375" s="51"/>
      <c r="AS6375" s="42" t="s">
        <v>139</v>
      </c>
    </row>
    <row r="6376" spans="1:45" s="520" customFormat="1" ht="12" customHeight="1">
      <c r="A6376" s="747">
        <v>20</v>
      </c>
      <c r="B6376" s="523" t="s">
        <v>320</v>
      </c>
      <c r="C6376" s="748"/>
      <c r="D6376" s="749" t="s">
        <v>1999</v>
      </c>
      <c r="E6376" s="750">
        <f>IF(AND($A6376=0,$A$1="DIF"),0, ROUND(ROUND(($R6381*$S$2+($T6381*$T$2))/A6376,2)*$C$2,2))</f>
        <v>6.61</v>
      </c>
      <c r="F6376" s="751">
        <f>ROUND($A6376*$E6376,2)</f>
        <v>132.19999999999999</v>
      </c>
      <c r="G6376" s="752" t="s">
        <v>142</v>
      </c>
      <c r="H6376" s="753"/>
      <c r="I6376" s="754"/>
      <c r="J6376" s="753"/>
      <c r="K6376" s="753" t="s">
        <v>3</v>
      </c>
      <c r="L6376" s="755" t="s">
        <v>143</v>
      </c>
      <c r="M6376" s="755"/>
      <c r="N6376" s="755"/>
      <c r="O6376" s="755"/>
      <c r="P6376" s="755"/>
      <c r="Q6376" s="51"/>
      <c r="T6376" s="756" t="str">
        <f>IF(AND($R6381=0,$T6381=0),"0.00","mu :" &amp; ROUND($F6376/$C$2/($R6381+$T6381*$D$9),2))</f>
        <v>mu :1.23</v>
      </c>
      <c r="W6376" s="524"/>
      <c r="AG6376" s="481">
        <f>IF($E6376=0,0,ROUND($R6381*$S$2*$C$2/$A6376,2))</f>
        <v>2.04</v>
      </c>
      <c r="AH6376" s="481">
        <f>$AG6376*$A6376</f>
        <v>40.799999999999997</v>
      </c>
      <c r="AI6376" s="525">
        <f>$E6376-$AG6376</f>
        <v>4.57</v>
      </c>
      <c r="AJ6376" s="525">
        <f>$A6376*$AI6376</f>
        <v>91.4</v>
      </c>
      <c r="AK6376" s="526">
        <f>ROUND(($AG6376+$AI6376)*$A6376,2)</f>
        <v>132.19999999999999</v>
      </c>
      <c r="AM6376" s="527">
        <f>ROUND(R6381,2)</f>
        <v>33.200000000000003</v>
      </c>
      <c r="AN6376" s="528">
        <f>ROUND(T6381,2)</f>
        <v>2.7</v>
      </c>
      <c r="AO6376" s="529">
        <f>ROUND(AM6376+AN6376,2)*A6376</f>
        <v>718</v>
      </c>
      <c r="AR6376" s="747">
        <v>20</v>
      </c>
      <c r="AS6376" s="751">
        <v>142.4</v>
      </c>
    </row>
    <row r="6377" spans="1:45" s="520" customFormat="1" ht="13.2">
      <c r="A6377" s="748"/>
      <c r="B6377"/>
      <c r="C6377" s="748"/>
      <c r="D6377" s="749" t="s">
        <v>911</v>
      </c>
      <c r="F6377" s="753"/>
      <c r="G6377" s="3"/>
      <c r="H6377" s="753"/>
      <c r="I6377" s="754"/>
      <c r="J6377" s="753"/>
      <c r="K6377" s="753" t="s">
        <v>144</v>
      </c>
      <c r="L6377" s="753"/>
      <c r="M6377" s="753"/>
      <c r="N6377" s="753"/>
      <c r="O6377" s="753"/>
      <c r="P6377" s="753"/>
      <c r="Q6377" s="51"/>
      <c r="R6377" s="530"/>
      <c r="S6377" s="757"/>
      <c r="T6377" s="753"/>
      <c r="AR6377" s="748"/>
      <c r="AS6377" s="753"/>
    </row>
    <row r="6378" spans="1:45" s="901" customFormat="1" ht="13.2">
      <c r="A6378">
        <v>20</v>
      </c>
      <c r="B6378" s="901" t="s">
        <v>320</v>
      </c>
      <c r="D6378" s="901" t="s">
        <v>3198</v>
      </c>
      <c r="F6378" s="901" t="s">
        <v>3124</v>
      </c>
      <c r="G6378" s="941" t="s">
        <v>3199</v>
      </c>
      <c r="H6378" s="942">
        <v>650</v>
      </c>
      <c r="I6378" s="901" t="s">
        <v>2607</v>
      </c>
      <c r="O6378" s="943">
        <v>1</v>
      </c>
      <c r="P6378" s="944"/>
      <c r="Q6378" s="945">
        <f>ROUNDUP(0.83*1.145,2)</f>
        <v>0.96</v>
      </c>
      <c r="R6378" s="946">
        <f>$A6378*Q6378</f>
        <v>19.2</v>
      </c>
      <c r="S6378" s="945">
        <v>0.15</v>
      </c>
      <c r="T6378" s="947">
        <f>$A6378*S6378*$T$1</f>
        <v>2.7</v>
      </c>
      <c r="AR6378">
        <v>20</v>
      </c>
      <c r="AS6378" s="901" t="s">
        <v>3124</v>
      </c>
    </row>
    <row r="6379" spans="1:45" s="901" customFormat="1" ht="13.2">
      <c r="A6379">
        <v>40</v>
      </c>
      <c r="B6379" s="901" t="s">
        <v>320</v>
      </c>
      <c r="D6379" s="901" t="s">
        <v>3200</v>
      </c>
      <c r="F6379" s="901" t="s">
        <v>3124</v>
      </c>
      <c r="G6379" s="941" t="s">
        <v>3201</v>
      </c>
      <c r="H6379" s="942">
        <v>650</v>
      </c>
      <c r="I6379" s="901" t="s">
        <v>2607</v>
      </c>
      <c r="O6379" s="943">
        <v>1</v>
      </c>
      <c r="P6379" s="944"/>
      <c r="Q6379" s="945">
        <f>ROUNDUP(0.3*1.145,2)</f>
        <v>0.35000000000000003</v>
      </c>
      <c r="R6379" s="946">
        <f>$A6379*Q6379</f>
        <v>14.000000000000002</v>
      </c>
      <c r="S6379" s="945"/>
      <c r="T6379" s="947">
        <f>$A6379*S6379*$T$1</f>
        <v>0</v>
      </c>
      <c r="AR6379">
        <v>40</v>
      </c>
      <c r="AS6379" s="901" t="s">
        <v>3124</v>
      </c>
    </row>
    <row r="6380" spans="1:45" s="520" customFormat="1" ht="12">
      <c r="A6380" s="758"/>
      <c r="B6380" s="758"/>
      <c r="C6380" s="758"/>
      <c r="D6380" s="758"/>
      <c r="E6380" s="758"/>
      <c r="F6380" s="753"/>
      <c r="G6380" s="758"/>
      <c r="H6380" s="758"/>
      <c r="I6380" s="519"/>
      <c r="J6380" s="758"/>
      <c r="K6380" s="758"/>
      <c r="L6380" s="758"/>
      <c r="M6380" s="758"/>
      <c r="N6380" s="758"/>
      <c r="O6380" s="758"/>
      <c r="P6380" s="758"/>
      <c r="Q6380" s="519"/>
      <c r="R6380" s="759">
        <f t="shared" ref="R6380" si="436">$A6380*Q6380</f>
        <v>0</v>
      </c>
      <c r="S6380" s="519"/>
      <c r="T6380" s="760">
        <f t="shared" ref="T6380" si="437">$A6380*S6380*$T$1</f>
        <v>0</v>
      </c>
      <c r="AR6380" s="758"/>
      <c r="AS6380" s="753"/>
    </row>
    <row r="6381" spans="1:45" s="520" customFormat="1" ht="12.6" thickBot="1">
      <c r="A6381" s="761" t="s">
        <v>145</v>
      </c>
      <c r="B6381" s="762">
        <f>(R6380+T6380)</f>
        <v>0</v>
      </c>
      <c r="C6381" s="763"/>
      <c r="D6381" s="763"/>
      <c r="E6381" s="763"/>
      <c r="F6381" s="764"/>
      <c r="G6381" s="763" t="s">
        <v>146</v>
      </c>
      <c r="H6381" s="763"/>
      <c r="I6381" s="765"/>
      <c r="J6381" s="763"/>
      <c r="K6381" s="763" t="s">
        <v>3</v>
      </c>
      <c r="L6381" s="766" t="s">
        <v>143</v>
      </c>
      <c r="M6381" s="766"/>
      <c r="N6381" s="766"/>
      <c r="O6381" s="766"/>
      <c r="P6381" s="766"/>
      <c r="Q6381" s="767"/>
      <c r="R6381" s="768">
        <f>SUM(R6377:R6380)</f>
        <v>33.200000000000003</v>
      </c>
      <c r="S6381" s="763"/>
      <c r="T6381" s="768">
        <f>SUM(T6377:T6380)</f>
        <v>2.7</v>
      </c>
      <c r="U6381" s="531"/>
      <c r="V6381" s="531"/>
      <c r="W6381" s="531"/>
      <c r="X6381" s="531"/>
      <c r="Y6381" s="531"/>
      <c r="Z6381" s="531"/>
      <c r="AA6381" s="531"/>
      <c r="AB6381" s="531"/>
      <c r="AC6381" s="531"/>
      <c r="AD6381" s="531"/>
      <c r="AE6381" s="531"/>
      <c r="AF6381" s="531"/>
      <c r="AG6381" s="531"/>
      <c r="AH6381" s="531"/>
      <c r="AI6381" s="531"/>
      <c r="AJ6381" s="531"/>
      <c r="AK6381" s="531"/>
      <c r="AL6381" s="531"/>
      <c r="AM6381" s="531"/>
      <c r="AN6381" s="531"/>
      <c r="AO6381" s="531"/>
      <c r="AR6381" s="761" t="s">
        <v>145</v>
      </c>
      <c r="AS6381" s="764"/>
    </row>
    <row r="6382" spans="1:45" s="520" customFormat="1" ht="12" thickTop="1">
      <c r="A6382" s="51"/>
      <c r="B6382" s="41"/>
      <c r="C6382" s="51"/>
      <c r="E6382" s="42" t="s">
        <v>138</v>
      </c>
      <c r="F6382" s="42" t="s">
        <v>139</v>
      </c>
      <c r="G6382" s="51"/>
      <c r="H6382" s="51"/>
      <c r="I6382" s="51"/>
      <c r="J6382" s="51"/>
      <c r="K6382" s="51" t="s">
        <v>140</v>
      </c>
      <c r="L6382" s="51"/>
      <c r="M6382" s="51"/>
      <c r="N6382" s="51"/>
      <c r="O6382" s="52"/>
      <c r="P6382" s="51"/>
      <c r="Q6382" s="51"/>
      <c r="R6382" s="51"/>
      <c r="S6382" s="51"/>
      <c r="T6382" s="41"/>
      <c r="AG6382" s="521" t="s">
        <v>268</v>
      </c>
      <c r="AH6382" s="521" t="s">
        <v>269</v>
      </c>
      <c r="AI6382" s="521" t="s">
        <v>270</v>
      </c>
      <c r="AJ6382" s="521" t="s">
        <v>271</v>
      </c>
      <c r="AK6382" s="521" t="s">
        <v>272</v>
      </c>
      <c r="AM6382" s="745" t="s">
        <v>281</v>
      </c>
      <c r="AN6382" s="746" t="s">
        <v>282</v>
      </c>
      <c r="AO6382" s="522" t="s">
        <v>278</v>
      </c>
      <c r="AR6382" s="51"/>
      <c r="AS6382" s="42" t="s">
        <v>139</v>
      </c>
    </row>
    <row r="6383" spans="1:45" s="520" customFormat="1" ht="12" customHeight="1">
      <c r="A6383" s="747">
        <v>10</v>
      </c>
      <c r="B6383" s="523" t="s">
        <v>320</v>
      </c>
      <c r="C6383" s="748"/>
      <c r="D6383" s="749" t="s">
        <v>2000</v>
      </c>
      <c r="E6383" s="750">
        <f>IF(AND($A6383=0,$A$1="DIF"),0, ROUND(ROUND(($R6388*$S$2+($T6388*$T$2))/A6383,2)*$C$2,2))</f>
        <v>7.99</v>
      </c>
      <c r="F6383" s="751">
        <f>ROUND($A6383*$E6383,2)</f>
        <v>79.900000000000006</v>
      </c>
      <c r="G6383" s="752" t="s">
        <v>142</v>
      </c>
      <c r="H6383" s="753"/>
      <c r="I6383" s="754"/>
      <c r="J6383" s="753"/>
      <c r="K6383" s="753" t="s">
        <v>3</v>
      </c>
      <c r="L6383" s="755" t="s">
        <v>143</v>
      </c>
      <c r="M6383" s="755"/>
      <c r="N6383" s="755"/>
      <c r="O6383" s="755"/>
      <c r="P6383" s="755"/>
      <c r="Q6383" s="51"/>
      <c r="T6383" s="756" t="str">
        <f>IF(AND($R6388=0,$T6388=0),"0.00","mu :" &amp; ROUND($F6383/$C$2/($R6388+$T6388*$D$9),2))</f>
        <v>mu :1.23</v>
      </c>
      <c r="W6383" s="524"/>
      <c r="AG6383" s="481">
        <f>IF($E6383=0,0,ROUND($R6388*$S$2*$C$2/$A6383,2))</f>
        <v>2.82</v>
      </c>
      <c r="AH6383" s="481">
        <f>$AG6383*$A6383</f>
        <v>28.2</v>
      </c>
      <c r="AI6383" s="525">
        <f>$E6383-$AG6383</f>
        <v>5.17</v>
      </c>
      <c r="AJ6383" s="525">
        <f>$A6383*$AI6383</f>
        <v>51.7</v>
      </c>
      <c r="AK6383" s="526">
        <f>ROUND(($AG6383+$AI6383)*$A6383,2)</f>
        <v>79.900000000000006</v>
      </c>
      <c r="AM6383" s="527">
        <f>ROUND(R6388,2)</f>
        <v>22.9</v>
      </c>
      <c r="AN6383" s="528">
        <f>ROUND(T6388,2)</f>
        <v>1.53</v>
      </c>
      <c r="AO6383" s="529">
        <f>ROUND(AM6383+AN6383,2)*A6383</f>
        <v>244.3</v>
      </c>
      <c r="AR6383" s="747">
        <v>10</v>
      </c>
      <c r="AS6383" s="751">
        <v>85.7</v>
      </c>
    </row>
    <row r="6384" spans="1:45" s="520" customFormat="1" ht="13.2">
      <c r="A6384" s="748"/>
      <c r="B6384"/>
      <c r="C6384" s="748"/>
      <c r="D6384" s="749" t="s">
        <v>912</v>
      </c>
      <c r="F6384" s="753"/>
      <c r="G6384" s="3"/>
      <c r="H6384" s="753"/>
      <c r="I6384" s="754"/>
      <c r="J6384" s="753"/>
      <c r="K6384" s="753" t="s">
        <v>144</v>
      </c>
      <c r="L6384" s="753"/>
      <c r="M6384" s="753"/>
      <c r="N6384" s="753"/>
      <c r="O6384" s="753"/>
      <c r="P6384" s="753"/>
      <c r="Q6384" s="51"/>
      <c r="R6384" s="530"/>
      <c r="S6384" s="757"/>
      <c r="T6384" s="753"/>
      <c r="AR6384" s="748"/>
      <c r="AS6384" s="753"/>
    </row>
    <row r="6385" spans="1:45" s="901" customFormat="1" ht="13.2">
      <c r="A6385">
        <v>10</v>
      </c>
      <c r="B6385" s="901" t="s">
        <v>320</v>
      </c>
      <c r="D6385" s="901" t="s">
        <v>3202</v>
      </c>
      <c r="F6385" s="901" t="s">
        <v>3124</v>
      </c>
      <c r="G6385" s="941" t="s">
        <v>3203</v>
      </c>
      <c r="H6385" s="942">
        <v>650</v>
      </c>
      <c r="I6385" s="901" t="s">
        <v>2607</v>
      </c>
      <c r="O6385" s="943">
        <v>1</v>
      </c>
      <c r="P6385" s="944"/>
      <c r="Q6385" s="945">
        <f>ROUNDUP(1.38*1.145,2)</f>
        <v>1.59</v>
      </c>
      <c r="R6385" s="946">
        <f>$A6385*Q6385</f>
        <v>15.9</v>
      </c>
      <c r="S6385" s="945">
        <v>0.17</v>
      </c>
      <c r="T6385" s="947">
        <f>$A6385*S6385*$T$1</f>
        <v>1.5300000000000002</v>
      </c>
      <c r="AR6385">
        <v>10</v>
      </c>
      <c r="AS6385" s="901" t="s">
        <v>3124</v>
      </c>
    </row>
    <row r="6386" spans="1:45" s="901" customFormat="1" ht="13.2">
      <c r="A6386">
        <v>20</v>
      </c>
      <c r="B6386" s="901" t="s">
        <v>320</v>
      </c>
      <c r="D6386" s="901" t="s">
        <v>3200</v>
      </c>
      <c r="F6386" s="901" t="s">
        <v>3124</v>
      </c>
      <c r="G6386" s="941" t="s">
        <v>3201</v>
      </c>
      <c r="H6386" s="942">
        <v>650</v>
      </c>
      <c r="I6386" s="901" t="s">
        <v>2607</v>
      </c>
      <c r="O6386" s="943">
        <v>1</v>
      </c>
      <c r="P6386" s="944"/>
      <c r="Q6386" s="945">
        <f>ROUNDUP(0.3*1.145,2)</f>
        <v>0.35000000000000003</v>
      </c>
      <c r="R6386" s="946">
        <f>$A6386*Q6386</f>
        <v>7.0000000000000009</v>
      </c>
      <c r="S6386" s="945"/>
      <c r="T6386" s="947">
        <f>$A6386*S6386*$T$1</f>
        <v>0</v>
      </c>
      <c r="AR6386">
        <v>20</v>
      </c>
      <c r="AS6386" s="901" t="s">
        <v>3124</v>
      </c>
    </row>
    <row r="6387" spans="1:45" s="520" customFormat="1" ht="12">
      <c r="A6387" s="758"/>
      <c r="B6387" s="758"/>
      <c r="C6387" s="758"/>
      <c r="D6387" s="758"/>
      <c r="E6387" s="758"/>
      <c r="F6387" s="753"/>
      <c r="G6387" s="758"/>
      <c r="H6387" s="758"/>
      <c r="I6387" s="519"/>
      <c r="J6387" s="758"/>
      <c r="K6387" s="758"/>
      <c r="L6387" s="758"/>
      <c r="M6387" s="758"/>
      <c r="N6387" s="758"/>
      <c r="O6387" s="758"/>
      <c r="P6387" s="758"/>
      <c r="Q6387" s="519"/>
      <c r="R6387" s="759">
        <f t="shared" ref="R6387" si="438">$A6387*Q6387</f>
        <v>0</v>
      </c>
      <c r="S6387" s="519"/>
      <c r="T6387" s="760">
        <f t="shared" ref="T6387" si="439">$A6387*S6387*$T$1</f>
        <v>0</v>
      </c>
      <c r="AR6387" s="758"/>
      <c r="AS6387" s="753"/>
    </row>
    <row r="6388" spans="1:45" s="520" customFormat="1" ht="12.6" thickBot="1">
      <c r="A6388" s="761" t="s">
        <v>145</v>
      </c>
      <c r="B6388" s="762">
        <f>(R6387+T6387)</f>
        <v>0</v>
      </c>
      <c r="C6388" s="763"/>
      <c r="D6388" s="763"/>
      <c r="E6388" s="763"/>
      <c r="F6388" s="764"/>
      <c r="G6388" s="763" t="s">
        <v>146</v>
      </c>
      <c r="H6388" s="763"/>
      <c r="I6388" s="765"/>
      <c r="J6388" s="763"/>
      <c r="K6388" s="763" t="s">
        <v>3</v>
      </c>
      <c r="L6388" s="766" t="s">
        <v>143</v>
      </c>
      <c r="M6388" s="766"/>
      <c r="N6388" s="766"/>
      <c r="O6388" s="766"/>
      <c r="P6388" s="766"/>
      <c r="Q6388" s="767"/>
      <c r="R6388" s="768">
        <f>SUM(R6384:R6387)</f>
        <v>22.900000000000002</v>
      </c>
      <c r="S6388" s="763"/>
      <c r="T6388" s="768">
        <f>SUM(T6384:T6387)</f>
        <v>1.5300000000000002</v>
      </c>
      <c r="U6388" s="531"/>
      <c r="V6388" s="531"/>
      <c r="W6388" s="531"/>
      <c r="X6388" s="531"/>
      <c r="Y6388" s="531"/>
      <c r="Z6388" s="531"/>
      <c r="AA6388" s="531"/>
      <c r="AB6388" s="531"/>
      <c r="AC6388" s="531"/>
      <c r="AD6388" s="531"/>
      <c r="AE6388" s="531"/>
      <c r="AF6388" s="531"/>
      <c r="AG6388" s="531"/>
      <c r="AH6388" s="531"/>
      <c r="AI6388" s="531"/>
      <c r="AJ6388" s="531"/>
      <c r="AK6388" s="531"/>
      <c r="AL6388" s="531"/>
      <c r="AM6388" s="531"/>
      <c r="AN6388" s="531"/>
      <c r="AO6388" s="531"/>
      <c r="AR6388" s="761" t="s">
        <v>145</v>
      </c>
      <c r="AS6388" s="764"/>
    </row>
    <row r="6389" spans="1:45" s="520" customFormat="1" ht="12" thickTop="1">
      <c r="A6389" s="51"/>
      <c r="B6389" s="41"/>
      <c r="C6389" s="51"/>
      <c r="E6389" s="42" t="s">
        <v>138</v>
      </c>
      <c r="F6389" s="42" t="s">
        <v>139</v>
      </c>
      <c r="G6389" s="51"/>
      <c r="H6389" s="51"/>
      <c r="I6389" s="51"/>
      <c r="J6389" s="51"/>
      <c r="K6389" s="51" t="s">
        <v>140</v>
      </c>
      <c r="L6389" s="51"/>
      <c r="M6389" s="51"/>
      <c r="N6389" s="51"/>
      <c r="O6389" s="52"/>
      <c r="P6389" s="51"/>
      <c r="Q6389" s="51"/>
      <c r="R6389" s="51"/>
      <c r="S6389" s="51"/>
      <c r="T6389" s="41"/>
      <c r="AG6389" s="521" t="s">
        <v>268</v>
      </c>
      <c r="AH6389" s="521" t="s">
        <v>269</v>
      </c>
      <c r="AI6389" s="521" t="s">
        <v>270</v>
      </c>
      <c r="AJ6389" s="521" t="s">
        <v>271</v>
      </c>
      <c r="AK6389" s="521" t="s">
        <v>272</v>
      </c>
      <c r="AM6389" s="745" t="s">
        <v>281</v>
      </c>
      <c r="AN6389" s="746" t="s">
        <v>282</v>
      </c>
      <c r="AO6389" s="522" t="s">
        <v>278</v>
      </c>
      <c r="AR6389" s="51"/>
      <c r="AS6389" s="42" t="s">
        <v>139</v>
      </c>
    </row>
    <row r="6390" spans="1:45" s="520" customFormat="1" ht="12" customHeight="1">
      <c r="A6390" s="747">
        <v>25</v>
      </c>
      <c r="B6390" s="523" t="s">
        <v>320</v>
      </c>
      <c r="C6390" s="748"/>
      <c r="D6390" s="749" t="s">
        <v>2001</v>
      </c>
      <c r="E6390" s="750">
        <f>IF(AND($A6390=0,$A$1="DIF"),0, ROUND(ROUND(($R6395*$S$2+($T6395*$T$2))/A6390,2)*$C$2,2))</f>
        <v>11.97</v>
      </c>
      <c r="F6390" s="751">
        <f>ROUND($A6390*$E6390,2)</f>
        <v>299.25</v>
      </c>
      <c r="G6390" s="752" t="s">
        <v>142</v>
      </c>
      <c r="H6390" s="753"/>
      <c r="I6390" s="754"/>
      <c r="J6390" s="753"/>
      <c r="K6390" s="753" t="s">
        <v>3</v>
      </c>
      <c r="L6390" s="755" t="s">
        <v>143</v>
      </c>
      <c r="M6390" s="755"/>
      <c r="N6390" s="755"/>
      <c r="O6390" s="755"/>
      <c r="P6390" s="755"/>
      <c r="Q6390" s="51"/>
      <c r="T6390" s="756" t="str">
        <f>IF(AND($R6395=0,$T6395=0),"0.00","mu :" &amp; ROUND($F6390/$C$2/($R6395+$T6395*$D$9),2))</f>
        <v>mu :1.23</v>
      </c>
      <c r="W6390" s="524"/>
      <c r="AG6390" s="481">
        <f>IF($E6390=0,0,ROUND($R6395*$S$2*$C$2/$A6390,2))</f>
        <v>4.3600000000000003</v>
      </c>
      <c r="AH6390" s="481">
        <f>$AG6390*$A6390</f>
        <v>109.00000000000001</v>
      </c>
      <c r="AI6390" s="525">
        <f>$E6390-$AG6390</f>
        <v>7.61</v>
      </c>
      <c r="AJ6390" s="525">
        <f>$A6390*$AI6390</f>
        <v>190.25</v>
      </c>
      <c r="AK6390" s="526">
        <f>ROUND(($AG6390+$AI6390)*$A6390,2)</f>
        <v>299.25</v>
      </c>
      <c r="AM6390" s="527">
        <f>ROUND(R6395,2)</f>
        <v>88.5</v>
      </c>
      <c r="AN6390" s="528">
        <f>ROUND(T6395,2)</f>
        <v>5.63</v>
      </c>
      <c r="AO6390" s="529">
        <f>ROUND(AM6390+AN6390,2)*A6390</f>
        <v>2353.25</v>
      </c>
      <c r="AR6390" s="747">
        <v>25</v>
      </c>
      <c r="AS6390" s="751">
        <v>320.25</v>
      </c>
    </row>
    <row r="6391" spans="1:45" s="520" customFormat="1" ht="13.2">
      <c r="A6391" s="748"/>
      <c r="B6391"/>
      <c r="C6391" s="748"/>
      <c r="D6391" s="749" t="s">
        <v>913</v>
      </c>
      <c r="F6391" s="753"/>
      <c r="G6391" s="3"/>
      <c r="H6391" s="753"/>
      <c r="I6391" s="754"/>
      <c r="J6391" s="753"/>
      <c r="K6391" s="753" t="s">
        <v>144</v>
      </c>
      <c r="L6391" s="753"/>
      <c r="M6391" s="753"/>
      <c r="N6391" s="753"/>
      <c r="O6391" s="753"/>
      <c r="P6391" s="753"/>
      <c r="Q6391" s="51"/>
      <c r="R6391" s="530"/>
      <c r="S6391" s="757"/>
      <c r="T6391" s="753"/>
      <c r="AR6391" s="748"/>
      <c r="AS6391" s="753"/>
    </row>
    <row r="6392" spans="1:45" s="901" customFormat="1" ht="13.2">
      <c r="A6392">
        <v>25</v>
      </c>
      <c r="B6392" s="901" t="s">
        <v>320</v>
      </c>
      <c r="D6392" s="901" t="s">
        <v>3204</v>
      </c>
      <c r="F6392" s="901" t="s">
        <v>3124</v>
      </c>
      <c r="G6392" s="941" t="s">
        <v>3205</v>
      </c>
      <c r="H6392" s="942">
        <v>650</v>
      </c>
      <c r="I6392" s="901" t="s">
        <v>2607</v>
      </c>
      <c r="O6392" s="943">
        <v>1</v>
      </c>
      <c r="P6392" s="944"/>
      <c r="Q6392" s="945">
        <f>ROUNDUP(2.48*1.145,2)</f>
        <v>2.84</v>
      </c>
      <c r="R6392" s="946">
        <f>$A6392*Q6392</f>
        <v>71</v>
      </c>
      <c r="S6392" s="945">
        <v>0.25</v>
      </c>
      <c r="T6392" s="947">
        <f>$A6392*S6392*$T$1</f>
        <v>5.625</v>
      </c>
      <c r="AR6392">
        <v>25</v>
      </c>
      <c r="AS6392" s="901" t="s">
        <v>3124</v>
      </c>
    </row>
    <row r="6393" spans="1:45" s="901" customFormat="1" ht="13.2">
      <c r="A6393">
        <v>50</v>
      </c>
      <c r="B6393" s="901" t="s">
        <v>320</v>
      </c>
      <c r="D6393" s="901" t="s">
        <v>3200</v>
      </c>
      <c r="F6393" s="901" t="s">
        <v>3124</v>
      </c>
      <c r="G6393" s="941" t="s">
        <v>3201</v>
      </c>
      <c r="H6393" s="942">
        <v>650</v>
      </c>
      <c r="I6393" s="901" t="s">
        <v>2607</v>
      </c>
      <c r="O6393" s="943">
        <v>1</v>
      </c>
      <c r="P6393" s="944"/>
      <c r="Q6393" s="945">
        <f>ROUNDUP(0.3*1.145,2)</f>
        <v>0.35000000000000003</v>
      </c>
      <c r="R6393" s="946">
        <f>$A6393*Q6393</f>
        <v>17.5</v>
      </c>
      <c r="S6393" s="945"/>
      <c r="T6393" s="947">
        <f>$A6393*S6393*$T$1</f>
        <v>0</v>
      </c>
      <c r="AR6393">
        <v>50</v>
      </c>
      <c r="AS6393" s="901" t="s">
        <v>3124</v>
      </c>
    </row>
    <row r="6394" spans="1:45" s="520" customFormat="1" ht="12">
      <c r="A6394" s="758"/>
      <c r="B6394" s="758"/>
      <c r="C6394" s="758"/>
      <c r="D6394" s="758"/>
      <c r="E6394" s="758"/>
      <c r="F6394" s="753"/>
      <c r="G6394" s="758"/>
      <c r="H6394" s="758"/>
      <c r="I6394" s="519"/>
      <c r="J6394" s="758"/>
      <c r="K6394" s="758"/>
      <c r="L6394" s="758"/>
      <c r="M6394" s="758"/>
      <c r="N6394" s="758"/>
      <c r="O6394" s="758"/>
      <c r="P6394" s="758"/>
      <c r="Q6394" s="519"/>
      <c r="R6394" s="759">
        <f t="shared" ref="R6394" si="440">$A6394*Q6394</f>
        <v>0</v>
      </c>
      <c r="S6394" s="519"/>
      <c r="T6394" s="760">
        <f t="shared" ref="T6394" si="441">$A6394*S6394*$T$1</f>
        <v>0</v>
      </c>
      <c r="AR6394" s="758"/>
      <c r="AS6394" s="753"/>
    </row>
    <row r="6395" spans="1:45" s="520" customFormat="1" ht="12.6" thickBot="1">
      <c r="A6395" s="761" t="s">
        <v>145</v>
      </c>
      <c r="B6395" s="762">
        <f>(R6394+T6394)</f>
        <v>0</v>
      </c>
      <c r="C6395" s="763"/>
      <c r="D6395" s="763"/>
      <c r="E6395" s="763"/>
      <c r="F6395" s="764"/>
      <c r="G6395" s="763" t="s">
        <v>146</v>
      </c>
      <c r="H6395" s="763"/>
      <c r="I6395" s="765"/>
      <c r="J6395" s="763"/>
      <c r="K6395" s="763" t="s">
        <v>3</v>
      </c>
      <c r="L6395" s="766" t="s">
        <v>143</v>
      </c>
      <c r="M6395" s="766"/>
      <c r="N6395" s="766"/>
      <c r="O6395" s="766"/>
      <c r="P6395" s="766"/>
      <c r="Q6395" s="767"/>
      <c r="R6395" s="768">
        <f>SUM(R6391:R6394)</f>
        <v>88.5</v>
      </c>
      <c r="S6395" s="763"/>
      <c r="T6395" s="768">
        <f>SUM(T6391:T6394)</f>
        <v>5.625</v>
      </c>
      <c r="U6395" s="531"/>
      <c r="V6395" s="531"/>
      <c r="W6395" s="531"/>
      <c r="X6395" s="531"/>
      <c r="Y6395" s="531"/>
      <c r="Z6395" s="531"/>
      <c r="AA6395" s="531"/>
      <c r="AB6395" s="531"/>
      <c r="AC6395" s="531"/>
      <c r="AD6395" s="531"/>
      <c r="AE6395" s="531"/>
      <c r="AF6395" s="531"/>
      <c r="AG6395" s="531"/>
      <c r="AH6395" s="531"/>
      <c r="AI6395" s="531"/>
      <c r="AJ6395" s="531"/>
      <c r="AK6395" s="531"/>
      <c r="AL6395" s="531"/>
      <c r="AM6395" s="531"/>
      <c r="AN6395" s="531"/>
      <c r="AO6395" s="531"/>
      <c r="AR6395" s="761" t="s">
        <v>145</v>
      </c>
      <c r="AS6395" s="764"/>
    </row>
    <row r="6396" spans="1:45" s="520" customFormat="1" ht="12" thickTop="1">
      <c r="A6396" s="51"/>
      <c r="B6396" s="41"/>
      <c r="C6396" s="51"/>
      <c r="E6396" s="42" t="s">
        <v>138</v>
      </c>
      <c r="F6396" s="42" t="s">
        <v>139</v>
      </c>
      <c r="G6396" s="51"/>
      <c r="H6396" s="51"/>
      <c r="I6396" s="51"/>
      <c r="J6396" s="51"/>
      <c r="K6396" s="51" t="s">
        <v>140</v>
      </c>
      <c r="L6396" s="51"/>
      <c r="M6396" s="51"/>
      <c r="N6396" s="51"/>
      <c r="O6396" s="52"/>
      <c r="P6396" s="51"/>
      <c r="Q6396" s="51"/>
      <c r="R6396" s="51"/>
      <c r="S6396" s="51"/>
      <c r="T6396" s="41"/>
      <c r="AG6396" s="521" t="s">
        <v>268</v>
      </c>
      <c r="AH6396" s="521" t="s">
        <v>269</v>
      </c>
      <c r="AI6396" s="521" t="s">
        <v>270</v>
      </c>
      <c r="AJ6396" s="521" t="s">
        <v>271</v>
      </c>
      <c r="AK6396" s="521" t="s">
        <v>272</v>
      </c>
      <c r="AM6396" s="745" t="s">
        <v>281</v>
      </c>
      <c r="AN6396" s="746" t="s">
        <v>282</v>
      </c>
      <c r="AO6396" s="522" t="s">
        <v>278</v>
      </c>
      <c r="AR6396" s="51"/>
      <c r="AS6396" s="42" t="s">
        <v>139</v>
      </c>
    </row>
    <row r="6397" spans="1:45" s="520" customFormat="1" ht="12" customHeight="1">
      <c r="A6397" s="747">
        <v>30</v>
      </c>
      <c r="B6397" s="523" t="s">
        <v>320</v>
      </c>
      <c r="C6397" s="748"/>
      <c r="D6397" s="749" t="s">
        <v>2002</v>
      </c>
      <c r="E6397" s="750">
        <f>IF(AND($A6397=0,$A$1="DIF"),0, ROUND(ROUND(($R6402*$S$2+($T6402*$T$2))/A6397,2)*$C$2,2))</f>
        <v>16.79</v>
      </c>
      <c r="F6397" s="751">
        <f>ROUND($A6397*$E6397,2)</f>
        <v>503.7</v>
      </c>
      <c r="G6397" s="752" t="s">
        <v>142</v>
      </c>
      <c r="H6397" s="753"/>
      <c r="I6397" s="754"/>
      <c r="J6397" s="753"/>
      <c r="K6397" s="753" t="s">
        <v>3</v>
      </c>
      <c r="L6397" s="755" t="s">
        <v>143</v>
      </c>
      <c r="M6397" s="755"/>
      <c r="N6397" s="755"/>
      <c r="O6397" s="755"/>
      <c r="P6397" s="755"/>
      <c r="Q6397" s="51"/>
      <c r="T6397" s="756" t="str">
        <f>IF(AND($R6402=0,$T6402=0),"0.00","mu :" &amp; ROUND($F6397/$C$2/($R6402+$T6402*$D$9),2))</f>
        <v>mu :1.23</v>
      </c>
      <c r="W6397" s="524"/>
      <c r="AG6397" s="481">
        <f>IF($E6397=0,0,ROUND($R6402*$S$2*$C$2/$A6397,2))</f>
        <v>7.66</v>
      </c>
      <c r="AH6397" s="481">
        <f>$AG6397*$A6397</f>
        <v>229.8</v>
      </c>
      <c r="AI6397" s="525">
        <f>$E6397-$AG6397</f>
        <v>9.129999999999999</v>
      </c>
      <c r="AJ6397" s="525">
        <f>$A6397*$AI6397</f>
        <v>273.89999999999998</v>
      </c>
      <c r="AK6397" s="526">
        <f>ROUND(($AG6397+$AI6397)*$A6397,2)</f>
        <v>503.7</v>
      </c>
      <c r="AM6397" s="527">
        <f>ROUND(R6402,2)</f>
        <v>186.6</v>
      </c>
      <c r="AN6397" s="528">
        <f>ROUND(T6402,2)</f>
        <v>8.1</v>
      </c>
      <c r="AO6397" s="529">
        <f>ROUND(AM6397+AN6397,2)*A6397</f>
        <v>5841</v>
      </c>
      <c r="AR6397" s="747">
        <v>30</v>
      </c>
      <c r="AS6397" s="751">
        <v>534</v>
      </c>
    </row>
    <row r="6398" spans="1:45" s="520" customFormat="1" ht="13.2">
      <c r="A6398" s="748"/>
      <c r="B6398"/>
      <c r="C6398" s="748"/>
      <c r="D6398" s="749" t="s">
        <v>914</v>
      </c>
      <c r="F6398" s="753"/>
      <c r="G6398" s="3"/>
      <c r="H6398" s="753"/>
      <c r="I6398" s="754"/>
      <c r="J6398" s="753"/>
      <c r="K6398" s="753" t="s">
        <v>144</v>
      </c>
      <c r="L6398" s="753"/>
      <c r="M6398" s="753"/>
      <c r="N6398" s="753"/>
      <c r="O6398" s="753"/>
      <c r="P6398" s="753"/>
      <c r="Q6398" s="51"/>
      <c r="R6398" s="530"/>
      <c r="S6398" s="757"/>
      <c r="T6398" s="753"/>
      <c r="AR6398" s="748"/>
      <c r="AS6398" s="753"/>
    </row>
    <row r="6399" spans="1:45" s="901" customFormat="1" ht="13.2">
      <c r="A6399">
        <v>30</v>
      </c>
      <c r="B6399" s="901" t="s">
        <v>320</v>
      </c>
      <c r="D6399" s="901" t="s">
        <v>3206</v>
      </c>
      <c r="F6399" s="901" t="s">
        <v>3124</v>
      </c>
      <c r="G6399" s="941" t="s">
        <v>3207</v>
      </c>
      <c r="H6399" s="942">
        <v>650</v>
      </c>
      <c r="I6399" s="901" t="s">
        <v>2607</v>
      </c>
      <c r="O6399" s="943">
        <v>1</v>
      </c>
      <c r="P6399" s="944"/>
      <c r="Q6399" s="945">
        <f>ROUNDUP(4.82*1.145,2)</f>
        <v>5.52</v>
      </c>
      <c r="R6399" s="946">
        <f>$A6399*Q6399</f>
        <v>165.6</v>
      </c>
      <c r="S6399" s="945">
        <v>0.3</v>
      </c>
      <c r="T6399" s="947">
        <f>$A6399*S6399*$T$1</f>
        <v>8.1</v>
      </c>
      <c r="AR6399">
        <v>30</v>
      </c>
      <c r="AS6399" s="901" t="s">
        <v>3124</v>
      </c>
    </row>
    <row r="6400" spans="1:45" s="901" customFormat="1" ht="13.2">
      <c r="A6400">
        <v>60</v>
      </c>
      <c r="B6400" s="901" t="s">
        <v>320</v>
      </c>
      <c r="D6400" s="901" t="s">
        <v>3200</v>
      </c>
      <c r="F6400" s="901" t="s">
        <v>3124</v>
      </c>
      <c r="G6400" s="941" t="s">
        <v>3201</v>
      </c>
      <c r="H6400" s="942">
        <v>650</v>
      </c>
      <c r="I6400" s="901" t="s">
        <v>2607</v>
      </c>
      <c r="O6400" s="943">
        <v>1</v>
      </c>
      <c r="P6400" s="944"/>
      <c r="Q6400" s="945">
        <f>ROUNDUP(0.3*1.145,2)</f>
        <v>0.35000000000000003</v>
      </c>
      <c r="R6400" s="946">
        <f>$A6400*Q6400</f>
        <v>21.000000000000004</v>
      </c>
      <c r="S6400" s="945"/>
      <c r="T6400" s="947">
        <f>$A6400*S6400*$T$1</f>
        <v>0</v>
      </c>
      <c r="AR6400">
        <v>60</v>
      </c>
      <c r="AS6400" s="901" t="s">
        <v>3124</v>
      </c>
    </row>
    <row r="6401" spans="1:45" s="520" customFormat="1" ht="12">
      <c r="A6401" s="758"/>
      <c r="B6401" s="758"/>
      <c r="C6401" s="758"/>
      <c r="D6401" s="758"/>
      <c r="E6401" s="758"/>
      <c r="F6401" s="753"/>
      <c r="G6401" s="758"/>
      <c r="H6401" s="758"/>
      <c r="I6401" s="519"/>
      <c r="J6401" s="758"/>
      <c r="K6401" s="758"/>
      <c r="L6401" s="758"/>
      <c r="M6401" s="758"/>
      <c r="N6401" s="758"/>
      <c r="O6401" s="758"/>
      <c r="P6401" s="758"/>
      <c r="Q6401" s="519"/>
      <c r="R6401" s="759">
        <f t="shared" ref="R6401" si="442">$A6401*Q6401</f>
        <v>0</v>
      </c>
      <c r="S6401" s="519"/>
      <c r="T6401" s="760">
        <f t="shared" ref="T6401" si="443">$A6401*S6401*$T$1</f>
        <v>0</v>
      </c>
      <c r="AR6401" s="758"/>
      <c r="AS6401" s="753"/>
    </row>
    <row r="6402" spans="1:45" s="520" customFormat="1" ht="12.6" thickBot="1">
      <c r="A6402" s="761" t="s">
        <v>145</v>
      </c>
      <c r="B6402" s="762">
        <f>(R6401+T6401)</f>
        <v>0</v>
      </c>
      <c r="C6402" s="763"/>
      <c r="D6402" s="763"/>
      <c r="E6402" s="763"/>
      <c r="F6402" s="764"/>
      <c r="G6402" s="763" t="s">
        <v>146</v>
      </c>
      <c r="H6402" s="763"/>
      <c r="I6402" s="765"/>
      <c r="J6402" s="763"/>
      <c r="K6402" s="763" t="s">
        <v>3</v>
      </c>
      <c r="L6402" s="766" t="s">
        <v>143</v>
      </c>
      <c r="M6402" s="766"/>
      <c r="N6402" s="766"/>
      <c r="O6402" s="766"/>
      <c r="P6402" s="766"/>
      <c r="Q6402" s="767"/>
      <c r="R6402" s="768">
        <f>SUM(R6398:R6401)</f>
        <v>186.6</v>
      </c>
      <c r="S6402" s="763"/>
      <c r="T6402" s="768">
        <f>SUM(T6398:T6401)</f>
        <v>8.1</v>
      </c>
      <c r="U6402" s="531"/>
      <c r="V6402" s="531"/>
      <c r="W6402" s="531"/>
      <c r="X6402" s="531"/>
      <c r="Y6402" s="531"/>
      <c r="Z6402" s="531"/>
      <c r="AA6402" s="531"/>
      <c r="AB6402" s="531"/>
      <c r="AC6402" s="531"/>
      <c r="AD6402" s="531"/>
      <c r="AE6402" s="531"/>
      <c r="AF6402" s="531"/>
      <c r="AG6402" s="531"/>
      <c r="AH6402" s="531"/>
      <c r="AI6402" s="531"/>
      <c r="AJ6402" s="531"/>
      <c r="AK6402" s="531"/>
      <c r="AL6402" s="531"/>
      <c r="AM6402" s="531"/>
      <c r="AN6402" s="531"/>
      <c r="AO6402" s="531"/>
      <c r="AR6402" s="761" t="s">
        <v>145</v>
      </c>
      <c r="AS6402" s="764"/>
    </row>
    <row r="6403" spans="1:45" s="520" customFormat="1" ht="12" thickTop="1">
      <c r="A6403" s="48" t="s">
        <v>148</v>
      </c>
      <c r="D6403" s="13"/>
      <c r="E6403" s="42"/>
      <c r="O6403" s="771"/>
      <c r="AR6403" s="48" t="s">
        <v>148</v>
      </c>
    </row>
    <row r="6404" spans="1:45" s="520" customFormat="1" ht="13.2">
      <c r="B6404" s="3"/>
      <c r="O6404" s="771"/>
    </row>
    <row r="6405" spans="1:45" s="520" customFormat="1" ht="12">
      <c r="B6405" s="772">
        <f ca="1">$F6405/$C$2-($R6405*$S$2+$T6405*$T$2)</f>
        <v>-2.9399988830846269E-2</v>
      </c>
      <c r="D6405" s="773" t="s">
        <v>3640</v>
      </c>
      <c r="E6405" s="774"/>
      <c r="F6405" s="775">
        <f ca="1">SUMIF($L6021:$L6403,"ITEM",F6021:F6403)</f>
        <v>60850.149999999987</v>
      </c>
      <c r="G6405" s="758"/>
      <c r="H6405" s="758"/>
      <c r="I6405" s="519"/>
      <c r="J6405" s="758"/>
      <c r="K6405" s="758"/>
      <c r="L6405" s="755" t="s">
        <v>157</v>
      </c>
      <c r="M6405" s="755"/>
      <c r="N6405" s="755"/>
      <c r="O6405" s="755"/>
      <c r="P6405" s="755"/>
      <c r="R6405" s="775">
        <f ca="1">SUMIF($L6021:$L6403,"ITEM",R6021:R6403)</f>
        <v>34246.180000000008</v>
      </c>
      <c r="S6405" s="776"/>
      <c r="T6405" s="775">
        <f ca="1">SUMIF($L6021:$L6403,"ITEM",T6021:T6403)</f>
        <v>552.49500000000012</v>
      </c>
      <c r="AS6405" s="775">
        <v>63501.2</v>
      </c>
    </row>
    <row r="6406" spans="1:45" s="520" customFormat="1" ht="13.2">
      <c r="A6406" s="51"/>
      <c r="B6406" s="49" t="s">
        <v>1064</v>
      </c>
      <c r="C6406" s="51"/>
      <c r="D6406" s="3"/>
      <c r="F6406" s="777" t="s">
        <v>158</v>
      </c>
      <c r="G6406" s="758"/>
      <c r="H6406" s="758"/>
      <c r="I6406" s="519"/>
      <c r="J6406" s="758"/>
      <c r="K6406" s="758"/>
      <c r="L6406" s="758"/>
      <c r="M6406" s="758"/>
      <c r="N6406" s="758"/>
      <c r="O6406" s="758"/>
      <c r="P6406" s="758"/>
      <c r="Q6406" s="778"/>
      <c r="R6406" s="777" t="s">
        <v>159</v>
      </c>
      <c r="S6406" s="38"/>
      <c r="T6406" s="777" t="s">
        <v>160</v>
      </c>
      <c r="AR6406" s="51"/>
      <c r="AS6406" s="777" t="s">
        <v>158</v>
      </c>
    </row>
    <row r="6407" spans="1:45" s="520" customFormat="1" ht="13.2">
      <c r="A6407" s="758"/>
      <c r="B6407" s="3"/>
      <c r="C6407" s="758"/>
      <c r="D6407" s="3"/>
      <c r="E6407" s="3"/>
      <c r="G6407" s="3"/>
      <c r="H6407" s="3"/>
      <c r="I6407" s="3"/>
      <c r="J6407" s="3"/>
      <c r="K6407" s="3"/>
      <c r="L6407" s="3"/>
      <c r="M6407" s="3"/>
      <c r="N6407" s="3"/>
      <c r="O6407" s="107"/>
      <c r="P6407" s="3"/>
      <c r="Q6407" s="3"/>
      <c r="R6407" s="3"/>
      <c r="S6407" s="3"/>
      <c r="T6407" s="3"/>
      <c r="AR6407" s="758"/>
    </row>
    <row r="6408" spans="1:45" s="520" customFormat="1" ht="12" thickBot="1">
      <c r="A6408" s="531"/>
      <c r="B6408" s="763"/>
      <c r="C6408" s="763"/>
      <c r="D6408" s="531"/>
      <c r="E6408" s="39"/>
      <c r="F6408" s="779"/>
      <c r="G6408" s="763"/>
      <c r="H6408" s="763"/>
      <c r="I6408" s="765"/>
      <c r="J6408" s="763"/>
      <c r="K6408" s="763"/>
      <c r="L6408" s="766"/>
      <c r="M6408" s="766"/>
      <c r="N6408" s="766"/>
      <c r="O6408" s="766"/>
      <c r="P6408" s="766"/>
      <c r="Q6408" s="767"/>
      <c r="R6408" s="779"/>
      <c r="S6408" s="780"/>
      <c r="T6408" s="779"/>
      <c r="U6408" s="531"/>
      <c r="V6408" s="531"/>
      <c r="W6408" s="531"/>
      <c r="X6408" s="531"/>
      <c r="Y6408" s="531"/>
      <c r="Z6408" s="531"/>
      <c r="AA6408" s="531"/>
      <c r="AB6408" s="531"/>
      <c r="AC6408" s="531"/>
      <c r="AD6408" s="531"/>
      <c r="AE6408" s="531"/>
      <c r="AF6408" s="531"/>
      <c r="AG6408" s="531"/>
      <c r="AH6408" s="531"/>
      <c r="AI6408" s="531"/>
      <c r="AJ6408" s="531"/>
      <c r="AK6408" s="531"/>
      <c r="AR6408" s="531"/>
      <c r="AS6408" s="779"/>
    </row>
    <row r="6409" spans="1:45" s="520" customFormat="1" thickTop="1">
      <c r="A6409" s="51"/>
      <c r="B6409" s="51"/>
      <c r="C6409" s="3"/>
      <c r="D6409" s="3"/>
      <c r="E6409" s="51"/>
      <c r="F6409" s="51"/>
      <c r="G6409" s="51"/>
      <c r="H6409" s="51"/>
      <c r="I6409" s="51"/>
      <c r="J6409" s="51"/>
      <c r="K6409" s="51" t="s">
        <v>134</v>
      </c>
      <c r="L6409" s="51"/>
      <c r="M6409" s="51"/>
      <c r="N6409" s="51"/>
      <c r="O6409" s="52"/>
      <c r="P6409" s="51"/>
      <c r="Q6409" s="51"/>
      <c r="R6409" s="51"/>
      <c r="S6409" s="51"/>
      <c r="T6409" s="51"/>
      <c r="AR6409" s="51"/>
      <c r="AS6409" s="51"/>
    </row>
    <row r="6410" spans="1:45" s="520" customFormat="1" ht="12">
      <c r="A6410" s="51"/>
      <c r="B6410" s="51"/>
      <c r="C6410" s="51" t="s">
        <v>135</v>
      </c>
      <c r="D6410" s="37"/>
      <c r="E6410" s="51"/>
      <c r="F6410" s="51"/>
      <c r="G6410" s="51"/>
      <c r="H6410" s="51"/>
      <c r="I6410" s="51"/>
      <c r="J6410" s="51"/>
      <c r="K6410" s="51"/>
      <c r="L6410" s="51"/>
      <c r="M6410" s="51"/>
      <c r="N6410" s="51"/>
      <c r="O6410" s="52"/>
      <c r="P6410" s="51"/>
      <c r="Q6410" s="51"/>
      <c r="R6410" s="51"/>
      <c r="S6410" s="51"/>
      <c r="T6410" s="51"/>
      <c r="AR6410" s="51"/>
      <c r="AS6410" s="51"/>
    </row>
    <row r="6411" spans="1:45" s="520" customFormat="1" ht="12">
      <c r="A6411" s="51"/>
      <c r="B6411" s="51"/>
      <c r="C6411" s="51"/>
      <c r="D6411" s="37" t="s">
        <v>938</v>
      </c>
      <c r="E6411" s="51"/>
      <c r="F6411" s="51"/>
      <c r="G6411" s="51"/>
      <c r="H6411" s="51"/>
      <c r="I6411" s="51"/>
      <c r="J6411" s="51"/>
      <c r="K6411" s="51"/>
      <c r="L6411" s="51"/>
      <c r="M6411" s="51"/>
      <c r="N6411" s="51"/>
      <c r="O6411" s="52"/>
      <c r="P6411" s="51"/>
      <c r="Q6411" s="51"/>
      <c r="R6411" s="51"/>
      <c r="S6411" s="38"/>
      <c r="T6411" s="38"/>
      <c r="AR6411" s="51"/>
      <c r="AS6411" s="51"/>
    </row>
    <row r="6412" spans="1:45" s="3" customFormat="1" thickBot="1">
      <c r="A6412" s="531"/>
      <c r="O6412" s="107"/>
      <c r="AR6412" s="531"/>
    </row>
    <row r="6413" spans="1:45" s="520" customFormat="1" thickTop="1">
      <c r="A6413" s="51"/>
      <c r="B6413" s="51"/>
      <c r="C6413" s="3"/>
      <c r="D6413" s="3"/>
      <c r="E6413" s="51"/>
      <c r="F6413" s="51"/>
      <c r="G6413" s="51"/>
      <c r="H6413" s="51"/>
      <c r="I6413" s="51"/>
      <c r="J6413" s="51"/>
      <c r="K6413" s="51" t="s">
        <v>134</v>
      </c>
      <c r="L6413" s="51"/>
      <c r="M6413" s="51"/>
      <c r="N6413" s="51"/>
      <c r="O6413" s="52"/>
      <c r="P6413" s="51"/>
      <c r="Q6413" s="51"/>
      <c r="R6413" s="51"/>
      <c r="S6413" s="51"/>
      <c r="T6413" s="51"/>
      <c r="AR6413" s="51"/>
      <c r="AS6413" s="51"/>
    </row>
    <row r="6414" spans="1:45" s="520" customFormat="1" ht="12">
      <c r="A6414" s="51"/>
      <c r="B6414" s="51"/>
      <c r="C6414" s="51" t="s">
        <v>135</v>
      </c>
      <c r="D6414" s="37"/>
      <c r="E6414" s="51"/>
      <c r="F6414" s="51"/>
      <c r="G6414" s="51"/>
      <c r="H6414" s="51"/>
      <c r="I6414" s="51"/>
      <c r="J6414" s="51"/>
      <c r="K6414" s="51"/>
      <c r="L6414" s="51"/>
      <c r="M6414" s="51"/>
      <c r="N6414" s="51"/>
      <c r="O6414" s="52"/>
      <c r="P6414" s="51"/>
      <c r="Q6414" s="51"/>
      <c r="R6414" s="51"/>
      <c r="S6414" s="51"/>
      <c r="T6414" s="51"/>
      <c r="AR6414" s="51"/>
      <c r="AS6414" s="51"/>
    </row>
    <row r="6415" spans="1:45" s="520" customFormat="1" ht="12">
      <c r="A6415" s="51"/>
      <c r="B6415" s="51"/>
      <c r="C6415" s="51"/>
      <c r="D6415" s="37" t="s">
        <v>910</v>
      </c>
      <c r="E6415" s="51"/>
      <c r="F6415" s="51"/>
      <c r="G6415" s="51"/>
      <c r="H6415" s="51"/>
      <c r="I6415" s="51"/>
      <c r="J6415" s="51"/>
      <c r="K6415" s="51"/>
      <c r="L6415" s="51"/>
      <c r="M6415" s="51"/>
      <c r="N6415" s="51"/>
      <c r="O6415" s="52"/>
      <c r="P6415" s="51"/>
      <c r="Q6415" s="51"/>
      <c r="R6415" s="51"/>
      <c r="S6415" s="38"/>
      <c r="T6415" s="38"/>
      <c r="AR6415" s="51"/>
      <c r="AS6415" s="51"/>
    </row>
    <row r="6416" spans="1:45" s="3" customFormat="1" thickBot="1">
      <c r="A6416" s="531"/>
      <c r="O6416" s="107"/>
      <c r="AR6416" s="531"/>
    </row>
    <row r="6417" spans="1:45" s="520" customFormat="1" ht="12" thickTop="1">
      <c r="A6417" s="51"/>
      <c r="B6417" s="41"/>
      <c r="C6417" s="51"/>
      <c r="E6417" s="42" t="s">
        <v>138</v>
      </c>
      <c r="F6417" s="42" t="s">
        <v>139</v>
      </c>
      <c r="G6417" s="51"/>
      <c r="H6417" s="51"/>
      <c r="I6417" s="51"/>
      <c r="J6417" s="51"/>
      <c r="K6417" s="51" t="s">
        <v>140</v>
      </c>
      <c r="L6417" s="51"/>
      <c r="M6417" s="51"/>
      <c r="N6417" s="51"/>
      <c r="O6417" s="52"/>
      <c r="P6417" s="51"/>
      <c r="Q6417" s="51"/>
      <c r="R6417" s="51"/>
      <c r="S6417" s="51"/>
      <c r="T6417" s="41"/>
      <c r="AG6417" s="521" t="s">
        <v>268</v>
      </c>
      <c r="AH6417" s="521" t="s">
        <v>269</v>
      </c>
      <c r="AI6417" s="521" t="s">
        <v>270</v>
      </c>
      <c r="AJ6417" s="521" t="s">
        <v>271</v>
      </c>
      <c r="AK6417" s="521" t="s">
        <v>272</v>
      </c>
      <c r="AM6417" s="745" t="s">
        <v>281</v>
      </c>
      <c r="AN6417" s="746" t="s">
        <v>282</v>
      </c>
      <c r="AO6417" s="522" t="s">
        <v>278</v>
      </c>
      <c r="AR6417" s="51"/>
      <c r="AS6417" s="42" t="s">
        <v>139</v>
      </c>
    </row>
    <row r="6418" spans="1:45" s="520" customFormat="1" ht="12" customHeight="1">
      <c r="A6418" s="747">
        <v>30</v>
      </c>
      <c r="B6418" s="523" t="s">
        <v>320</v>
      </c>
      <c r="C6418" s="748"/>
      <c r="D6418" s="749" t="s">
        <v>2003</v>
      </c>
      <c r="E6418" s="750">
        <f ca="1">IF(AND($A6418=0,$A$1="DIF"),0, ROUND(ROUND(($R6425*$S$2+($T6425*$T$2))/A6418,2)*$C$2,2))</f>
        <v>16.87</v>
      </c>
      <c r="F6418" s="751">
        <f ca="1">ROUND($A6418*$E6418,2)</f>
        <v>506.1</v>
      </c>
      <c r="G6418" s="752" t="s">
        <v>142</v>
      </c>
      <c r="H6418" s="753"/>
      <c r="I6418" s="754"/>
      <c r="J6418" s="753"/>
      <c r="K6418" s="753" t="s">
        <v>3</v>
      </c>
      <c r="L6418" s="755" t="s">
        <v>143</v>
      </c>
      <c r="M6418" s="755"/>
      <c r="N6418" s="755"/>
      <c r="O6418" s="755"/>
      <c r="P6418" s="755"/>
      <c r="Q6418" s="51"/>
      <c r="T6418" s="756" t="str">
        <f ca="1">IF(AND($R6425=0,$T6425=0),"0.00","mu :" &amp; ROUND($F6418/$C$2/($R6425+$T6425*$D$9),2))</f>
        <v>mu :1.23</v>
      </c>
      <c r="W6418" s="524"/>
      <c r="AG6418" s="481">
        <f ca="1">IF($E6418=0,0,ROUND($R6425*$S$2*$C$2/$A6418,2))</f>
        <v>7.75</v>
      </c>
      <c r="AH6418" s="481">
        <f ca="1">$AG6418*$A6418</f>
        <v>232.5</v>
      </c>
      <c r="AI6418" s="525">
        <f ca="1">$E6418-$AG6418</f>
        <v>9.120000000000001</v>
      </c>
      <c r="AJ6418" s="525">
        <f ca="1">$A6418*$AI6418</f>
        <v>273.60000000000002</v>
      </c>
      <c r="AK6418" s="526">
        <f ca="1">ROUND(($AG6418+$AI6418)*$A6418,2)</f>
        <v>506.1</v>
      </c>
      <c r="AM6418" s="527">
        <f ca="1">ROUND(R6425,2)</f>
        <v>188.7</v>
      </c>
      <c r="AN6418" s="528">
        <f ca="1">ROUND(T6425,2)</f>
        <v>8.1</v>
      </c>
      <c r="AO6418" s="529">
        <f ca="1">ROUND(AM6418+AN6418,2)*A6418</f>
        <v>5904</v>
      </c>
      <c r="AR6418" s="747">
        <v>30</v>
      </c>
      <c r="AS6418" s="751">
        <v>536.70000000000005</v>
      </c>
    </row>
    <row r="6419" spans="1:45" s="520" customFormat="1" ht="13.2">
      <c r="A6419" s="748"/>
      <c r="B6419"/>
      <c r="C6419" s="748"/>
      <c r="D6419" s="749" t="s">
        <v>912</v>
      </c>
      <c r="F6419" s="753"/>
      <c r="G6419" s="3"/>
      <c r="H6419" s="753"/>
      <c r="I6419" s="754"/>
      <c r="J6419" s="753"/>
      <c r="K6419" s="753" t="s">
        <v>144</v>
      </c>
      <c r="L6419" s="753"/>
      <c r="M6419" s="753"/>
      <c r="N6419" s="753"/>
      <c r="O6419" s="753"/>
      <c r="P6419" s="753"/>
      <c r="Q6419" s="51"/>
      <c r="R6419" s="530"/>
      <c r="S6419" s="757"/>
      <c r="T6419" s="753"/>
      <c r="AR6419" s="748"/>
      <c r="AS6419" s="753"/>
    </row>
    <row r="6420" spans="1:45" s="886" customFormat="1" ht="13.2">
      <c r="A6420"/>
      <c r="B6420" s="910"/>
      <c r="C6420" s="910" t="s">
        <v>2597</v>
      </c>
      <c r="D6420" s="910" t="str">
        <f ca="1">CELL("Address",Elec_Rates!D$785)</f>
        <v>[E25_0062_Quintano_Foods_Elec_ELV_As_Awarded.xlsx]Elec_Rates!$D$785</v>
      </c>
      <c r="E6420" s="911"/>
      <c r="F6420" s="911"/>
      <c r="G6420" s="912" t="s">
        <v>2598</v>
      </c>
      <c r="H6420" s="912"/>
      <c r="I6420" s="912"/>
      <c r="J6420" s="912"/>
      <c r="K6420" s="913"/>
      <c r="L6420" s="911"/>
      <c r="M6420" s="911"/>
      <c r="N6420" s="911"/>
      <c r="O6420" s="914"/>
      <c r="P6420" s="911"/>
      <c r="Q6420" s="915"/>
      <c r="R6420" s="916"/>
      <c r="S6420" s="915"/>
      <c r="T6420" s="917"/>
      <c r="U6420" s="918"/>
      <c r="AR6420"/>
      <c r="AS6420" s="911"/>
    </row>
    <row r="6421" spans="1:45" s="886" customFormat="1" ht="11.4">
      <c r="A6421" s="919">
        <v>30</v>
      </c>
      <c r="B6421" s="920">
        <v>1</v>
      </c>
      <c r="C6421" s="920">
        <f>$A6421*$B6421</f>
        <v>30</v>
      </c>
      <c r="D6421" s="921" t="str">
        <f>Elec_Rates!$D$785</f>
        <v>075# 100mm cable Tray</v>
      </c>
      <c r="E6421" s="921"/>
      <c r="F6421" s="921" t="s">
        <v>2599</v>
      </c>
      <c r="G6421" s="922" t="s">
        <v>2601</v>
      </c>
      <c r="H6421" s="922"/>
      <c r="I6421" s="922"/>
      <c r="J6421" s="922"/>
      <c r="K6421" s="923"/>
      <c r="L6421" s="918"/>
      <c r="M6421" s="918"/>
      <c r="N6421" s="918"/>
      <c r="O6421" s="924"/>
      <c r="P6421" s="921"/>
      <c r="Q6421" s="925">
        <f ca="1">$B6421*Elec_Rates!$R$785</f>
        <v>3.92</v>
      </c>
      <c r="R6421" s="916">
        <f ca="1">$A6421*Q6421</f>
        <v>117.6</v>
      </c>
      <c r="S6421" s="925">
        <f ca="1">$B6421*Elec_Rates!$T$785</f>
        <v>0.18</v>
      </c>
      <c r="T6421" s="917">
        <f ca="1">$A6421*S6421</f>
        <v>5.3999999999999995</v>
      </c>
      <c r="U6421" s="926"/>
      <c r="AR6421" s="919">
        <v>30</v>
      </c>
      <c r="AS6421" s="921" t="s">
        <v>2599</v>
      </c>
    </row>
    <row r="6422" spans="1:45" s="886" customFormat="1" ht="13.2">
      <c r="A6422"/>
      <c r="B6422" s="910"/>
      <c r="C6422" s="910" t="s">
        <v>2597</v>
      </c>
      <c r="D6422" s="910" t="str">
        <f ca="1">CELL("Address",Elec_Rates!D$907)</f>
        <v>[E25_0062_Quintano_Foods_Elec_ELV_As_Awarded.xlsx]Elec_Rates!$D$907</v>
      </c>
      <c r="E6422" s="911"/>
      <c r="F6422" s="911"/>
      <c r="G6422" s="912" t="s">
        <v>2598</v>
      </c>
      <c r="H6422" s="912"/>
      <c r="I6422" s="912"/>
      <c r="J6422" s="912"/>
      <c r="K6422" s="913"/>
      <c r="L6422" s="911"/>
      <c r="M6422" s="911"/>
      <c r="N6422" s="911"/>
      <c r="O6422" s="914"/>
      <c r="P6422" s="911"/>
      <c r="Q6422" s="915"/>
      <c r="R6422" s="916"/>
      <c r="S6422" s="915"/>
      <c r="T6422" s="917"/>
      <c r="U6422" s="918"/>
      <c r="AR6422"/>
      <c r="AS6422" s="911"/>
    </row>
    <row r="6423" spans="1:45" s="886" customFormat="1" ht="11.4">
      <c r="A6423" s="919">
        <v>30</v>
      </c>
      <c r="B6423" s="920">
        <v>1</v>
      </c>
      <c r="C6423" s="920">
        <f>$A6423*$B6423</f>
        <v>30</v>
      </c>
      <c r="D6423" s="921" t="str">
        <f>Elec_Rates!$D$907</f>
        <v>084# Bracket for 50-150mm cable tray/basket/trunking</v>
      </c>
      <c r="E6423" s="921"/>
      <c r="F6423" s="921" t="s">
        <v>2599</v>
      </c>
      <c r="G6423" s="922" t="s">
        <v>2600</v>
      </c>
      <c r="H6423" s="922"/>
      <c r="I6423" s="922"/>
      <c r="J6423" s="922"/>
      <c r="K6423" s="923"/>
      <c r="L6423" s="918"/>
      <c r="M6423" s="918"/>
      <c r="N6423" s="918"/>
      <c r="O6423" s="924"/>
      <c r="P6423" s="921"/>
      <c r="Q6423" s="925">
        <f ca="1">$B6423*Elec_Rates!$R$907</f>
        <v>2.37</v>
      </c>
      <c r="R6423" s="916">
        <f ca="1">$A6423*Q6423</f>
        <v>71.100000000000009</v>
      </c>
      <c r="S6423" s="925">
        <f ca="1">$B6423*Elec_Rates!$T$907</f>
        <v>0.09</v>
      </c>
      <c r="T6423" s="917">
        <f ca="1">$A6423*S6423</f>
        <v>2.6999999999999997</v>
      </c>
      <c r="U6423" s="926"/>
      <c r="AR6423" s="919">
        <v>30</v>
      </c>
      <c r="AS6423" s="921" t="s">
        <v>2599</v>
      </c>
    </row>
    <row r="6424" spans="1:45" s="520" customFormat="1" ht="12">
      <c r="A6424" s="758"/>
      <c r="B6424" s="758"/>
      <c r="C6424" s="758"/>
      <c r="D6424" s="758"/>
      <c r="E6424" s="758"/>
      <c r="F6424" s="753"/>
      <c r="G6424" s="758"/>
      <c r="H6424" s="758"/>
      <c r="I6424" s="519"/>
      <c r="J6424" s="758"/>
      <c r="K6424" s="758"/>
      <c r="L6424" s="758"/>
      <c r="M6424" s="758"/>
      <c r="N6424" s="758"/>
      <c r="O6424" s="758"/>
      <c r="P6424" s="758"/>
      <c r="Q6424" s="519"/>
      <c r="R6424" s="759">
        <f t="shared" ref="R6424" si="444">$A6424*Q6424</f>
        <v>0</v>
      </c>
      <c r="S6424" s="519"/>
      <c r="T6424" s="760">
        <f t="shared" ref="T6424" si="445">$A6424*S6424*$T$1</f>
        <v>0</v>
      </c>
      <c r="AR6424" s="758"/>
      <c r="AS6424" s="753"/>
    </row>
    <row r="6425" spans="1:45" s="520" customFormat="1" ht="12.6" thickBot="1">
      <c r="A6425" s="761" t="s">
        <v>145</v>
      </c>
      <c r="B6425" s="762">
        <f>(R6424+T6424)</f>
        <v>0</v>
      </c>
      <c r="C6425" s="763"/>
      <c r="D6425" s="763"/>
      <c r="E6425" s="763"/>
      <c r="F6425" s="764"/>
      <c r="G6425" s="763" t="s">
        <v>146</v>
      </c>
      <c r="H6425" s="763"/>
      <c r="I6425" s="765"/>
      <c r="J6425" s="763"/>
      <c r="K6425" s="763" t="s">
        <v>3</v>
      </c>
      <c r="L6425" s="766" t="s">
        <v>143</v>
      </c>
      <c r="M6425" s="766"/>
      <c r="N6425" s="766"/>
      <c r="O6425" s="766"/>
      <c r="P6425" s="766"/>
      <c r="Q6425" s="767"/>
      <c r="R6425" s="768">
        <f ca="1">SUM(R6419:R6424)</f>
        <v>188.7</v>
      </c>
      <c r="S6425" s="763"/>
      <c r="T6425" s="768">
        <f ca="1">SUM(T6419:T6424)</f>
        <v>8.1</v>
      </c>
      <c r="U6425" s="531"/>
      <c r="V6425" s="531"/>
      <c r="W6425" s="531"/>
      <c r="X6425" s="531"/>
      <c r="Y6425" s="531"/>
      <c r="Z6425" s="531"/>
      <c r="AA6425" s="531"/>
      <c r="AB6425" s="531"/>
      <c r="AC6425" s="531"/>
      <c r="AD6425" s="531"/>
      <c r="AE6425" s="531"/>
      <c r="AF6425" s="531"/>
      <c r="AG6425" s="531"/>
      <c r="AH6425" s="531"/>
      <c r="AI6425" s="531"/>
      <c r="AJ6425" s="531"/>
      <c r="AK6425" s="531"/>
      <c r="AL6425" s="531"/>
      <c r="AM6425" s="531"/>
      <c r="AN6425" s="531"/>
      <c r="AO6425" s="531"/>
      <c r="AR6425" s="761" t="s">
        <v>145</v>
      </c>
      <c r="AS6425" s="764"/>
    </row>
    <row r="6426" spans="1:45" s="520" customFormat="1" ht="12" thickTop="1">
      <c r="A6426" s="51"/>
      <c r="B6426" s="41"/>
      <c r="C6426" s="51"/>
      <c r="E6426" s="42" t="s">
        <v>138</v>
      </c>
      <c r="F6426" s="42" t="s">
        <v>139</v>
      </c>
      <c r="G6426" s="51"/>
      <c r="H6426" s="51"/>
      <c r="I6426" s="51"/>
      <c r="J6426" s="51"/>
      <c r="K6426" s="51" t="s">
        <v>140</v>
      </c>
      <c r="L6426" s="51"/>
      <c r="M6426" s="51"/>
      <c r="N6426" s="51"/>
      <c r="O6426" s="52"/>
      <c r="P6426" s="51"/>
      <c r="Q6426" s="51"/>
      <c r="R6426" s="51"/>
      <c r="S6426" s="51"/>
      <c r="T6426" s="41"/>
      <c r="AG6426" s="521" t="s">
        <v>268</v>
      </c>
      <c r="AH6426" s="521" t="s">
        <v>269</v>
      </c>
      <c r="AI6426" s="521" t="s">
        <v>270</v>
      </c>
      <c r="AJ6426" s="521" t="s">
        <v>271</v>
      </c>
      <c r="AK6426" s="521" t="s">
        <v>272</v>
      </c>
      <c r="AM6426" s="745" t="s">
        <v>281</v>
      </c>
      <c r="AN6426" s="746" t="s">
        <v>282</v>
      </c>
      <c r="AO6426" s="522" t="s">
        <v>278</v>
      </c>
      <c r="AR6426" s="51"/>
      <c r="AS6426" s="42" t="s">
        <v>139</v>
      </c>
    </row>
    <row r="6427" spans="1:45" s="520" customFormat="1" ht="12" customHeight="1">
      <c r="A6427" s="747">
        <v>10</v>
      </c>
      <c r="B6427" s="523" t="s">
        <v>320</v>
      </c>
      <c r="C6427" s="748"/>
      <c r="D6427" s="749" t="s">
        <v>2004</v>
      </c>
      <c r="E6427" s="750">
        <f ca="1">IF(AND($A6427=0,$A$1="DIF"),0, ROUND(ROUND(($R6434*$S$2+($T6434*$T$2))/A6427,2)*$C$2,2))</f>
        <v>21.6</v>
      </c>
      <c r="F6427" s="751">
        <f ca="1">ROUND($A6427*$E6427,2)</f>
        <v>216</v>
      </c>
      <c r="G6427" s="752" t="s">
        <v>142</v>
      </c>
      <c r="H6427" s="753"/>
      <c r="I6427" s="754"/>
      <c r="J6427" s="753"/>
      <c r="K6427" s="753" t="s">
        <v>3</v>
      </c>
      <c r="L6427" s="755" t="s">
        <v>143</v>
      </c>
      <c r="M6427" s="755"/>
      <c r="N6427" s="755"/>
      <c r="O6427" s="755"/>
      <c r="P6427" s="755"/>
      <c r="Q6427" s="51"/>
      <c r="T6427" s="756" t="str">
        <f ca="1">IF(AND($R6434=0,$T6434=0),"0.00","mu :" &amp; ROUND($F6427/$C$2/($R6434+$T6434*$D$9),2))</f>
        <v>mu :1.23</v>
      </c>
      <c r="W6427" s="524"/>
      <c r="AG6427" s="481">
        <f ca="1">IF($E6427=0,0,ROUND($R6434*$S$2*$C$2/$A6427,2))</f>
        <v>9.43</v>
      </c>
      <c r="AH6427" s="481">
        <f ca="1">$AG6427*$A6427</f>
        <v>94.3</v>
      </c>
      <c r="AI6427" s="525">
        <f ca="1">$E6427-$AG6427</f>
        <v>12.170000000000002</v>
      </c>
      <c r="AJ6427" s="525">
        <f ca="1">$A6427*$AI6427</f>
        <v>121.70000000000002</v>
      </c>
      <c r="AK6427" s="526">
        <f ca="1">ROUND(($AG6427+$AI6427)*$A6427,2)</f>
        <v>216</v>
      </c>
      <c r="AM6427" s="527">
        <f ca="1">ROUND(R6434,2)</f>
        <v>76.599999999999994</v>
      </c>
      <c r="AN6427" s="528">
        <f ca="1">ROUND(T6434,2)</f>
        <v>3.6</v>
      </c>
      <c r="AO6427" s="529">
        <f ca="1">ROUND(AM6427+AN6427,2)*A6427</f>
        <v>802</v>
      </c>
      <c r="AR6427" s="747">
        <v>10</v>
      </c>
      <c r="AS6427" s="751">
        <v>229.6</v>
      </c>
    </row>
    <row r="6428" spans="1:45" s="520" customFormat="1" ht="13.2">
      <c r="A6428" s="748"/>
      <c r="B6428"/>
      <c r="C6428" s="748"/>
      <c r="D6428" s="749" t="s">
        <v>913</v>
      </c>
      <c r="F6428" s="753"/>
      <c r="G6428" s="3"/>
      <c r="H6428" s="753"/>
      <c r="I6428" s="754"/>
      <c r="J6428" s="753"/>
      <c r="K6428" s="753" t="s">
        <v>144</v>
      </c>
      <c r="L6428" s="753"/>
      <c r="M6428" s="753"/>
      <c r="N6428" s="753"/>
      <c r="O6428" s="753"/>
      <c r="P6428" s="753"/>
      <c r="Q6428" s="51"/>
      <c r="R6428" s="530"/>
      <c r="S6428" s="757"/>
      <c r="T6428" s="753"/>
      <c r="AR6428" s="748"/>
      <c r="AS6428" s="753"/>
    </row>
    <row r="6429" spans="1:45" s="886" customFormat="1" ht="13.2">
      <c r="A6429"/>
      <c r="B6429" s="910"/>
      <c r="C6429" s="910" t="s">
        <v>2597</v>
      </c>
      <c r="D6429" s="910" t="str">
        <f ca="1">CELL("Address",Elec_Rates!D$774)</f>
        <v>[E25_0062_Quintano_Foods_Elec_ELV_As_Awarded.xlsx]Elec_Rates!$D$774</v>
      </c>
      <c r="E6429" s="911"/>
      <c r="F6429" s="911"/>
      <c r="G6429" s="912" t="s">
        <v>2598</v>
      </c>
      <c r="H6429" s="912"/>
      <c r="I6429" s="912"/>
      <c r="J6429" s="912"/>
      <c r="K6429" s="913"/>
      <c r="L6429" s="911"/>
      <c r="M6429" s="911"/>
      <c r="N6429" s="911"/>
      <c r="O6429" s="914"/>
      <c r="P6429" s="911"/>
      <c r="Q6429" s="915"/>
      <c r="R6429" s="916"/>
      <c r="S6429" s="915"/>
      <c r="T6429" s="917"/>
      <c r="U6429" s="918"/>
      <c r="AR6429"/>
      <c r="AS6429" s="911"/>
    </row>
    <row r="6430" spans="1:45" s="886" customFormat="1" ht="11.4">
      <c r="A6430" s="919">
        <v>10</v>
      </c>
      <c r="B6430" s="920">
        <v>1</v>
      </c>
      <c r="C6430" s="920">
        <f>$A6430*$B6430</f>
        <v>10</v>
      </c>
      <c r="D6430" s="921" t="str">
        <f>Elec_Rates!$D$774</f>
        <v>074# 200mm cable Tray</v>
      </c>
      <c r="E6430" s="921"/>
      <c r="F6430" s="921" t="s">
        <v>2599</v>
      </c>
      <c r="G6430" s="922" t="s">
        <v>2600</v>
      </c>
      <c r="H6430" s="922"/>
      <c r="I6430" s="922"/>
      <c r="J6430" s="922"/>
      <c r="K6430" s="923"/>
      <c r="L6430" s="918"/>
      <c r="M6430" s="918"/>
      <c r="N6430" s="918"/>
      <c r="O6430" s="924"/>
      <c r="P6430" s="921"/>
      <c r="Q6430" s="925">
        <f ca="1">$B6430*Elec_Rates!$R$774</f>
        <v>5.18</v>
      </c>
      <c r="R6430" s="916">
        <f ca="1">$A6430*Q6430</f>
        <v>51.8</v>
      </c>
      <c r="S6430" s="925">
        <f ca="1">$B6430*Elec_Rates!$T$774</f>
        <v>0.27</v>
      </c>
      <c r="T6430" s="917">
        <f ca="1">$A6430*S6430</f>
        <v>2.7</v>
      </c>
      <c r="U6430" s="926"/>
      <c r="AR6430" s="919">
        <v>10</v>
      </c>
      <c r="AS6430" s="921" t="s">
        <v>2599</v>
      </c>
    </row>
    <row r="6431" spans="1:45" s="886" customFormat="1" ht="13.2">
      <c r="A6431"/>
      <c r="B6431" s="910"/>
      <c r="C6431" s="910" t="s">
        <v>2597</v>
      </c>
      <c r="D6431" s="910" t="str">
        <f ca="1">CELL("Address",Elec_Rates!D$920)</f>
        <v>[E25_0062_Quintano_Foods_Elec_ELV_As_Awarded.xlsx]Elec_Rates!$D$920</v>
      </c>
      <c r="E6431" s="911"/>
      <c r="F6431" s="911"/>
      <c r="G6431" s="912" t="s">
        <v>2598</v>
      </c>
      <c r="H6431" s="912"/>
      <c r="I6431" s="912"/>
      <c r="J6431" s="912"/>
      <c r="K6431" s="913"/>
      <c r="L6431" s="911"/>
      <c r="M6431" s="911"/>
      <c r="N6431" s="911"/>
      <c r="O6431" s="914"/>
      <c r="P6431" s="911"/>
      <c r="Q6431" s="915"/>
      <c r="R6431" s="916"/>
      <c r="S6431" s="915"/>
      <c r="T6431" s="917"/>
      <c r="U6431" s="918"/>
      <c r="AR6431"/>
      <c r="AS6431" s="911"/>
    </row>
    <row r="6432" spans="1:45" s="886" customFormat="1" ht="11.4">
      <c r="A6432" s="919">
        <v>10</v>
      </c>
      <c r="B6432" s="920">
        <v>1</v>
      </c>
      <c r="C6432" s="920">
        <f>$A6432*$B6432</f>
        <v>10</v>
      </c>
      <c r="D6432" s="921" t="str">
        <f>Elec_Rates!$D$920</f>
        <v>085# Bracket for 200-300mm cable tray/basket</v>
      </c>
      <c r="E6432" s="921"/>
      <c r="F6432" s="921" t="s">
        <v>2599</v>
      </c>
      <c r="G6432" s="922" t="s">
        <v>2601</v>
      </c>
      <c r="H6432" s="922"/>
      <c r="I6432" s="922"/>
      <c r="J6432" s="922"/>
      <c r="K6432" s="923"/>
      <c r="L6432" s="918"/>
      <c r="M6432" s="918"/>
      <c r="N6432" s="918"/>
      <c r="O6432" s="924"/>
      <c r="P6432" s="921"/>
      <c r="Q6432" s="925">
        <f ca="1">$B6432*Elec_Rates!$R$920</f>
        <v>2.48</v>
      </c>
      <c r="R6432" s="916">
        <f ca="1">$A6432*Q6432</f>
        <v>24.8</v>
      </c>
      <c r="S6432" s="925">
        <f ca="1">$B6432*Elec_Rates!$T$920</f>
        <v>0.09</v>
      </c>
      <c r="T6432" s="917">
        <f ca="1">$A6432*S6432</f>
        <v>0.89999999999999991</v>
      </c>
      <c r="U6432" s="926"/>
      <c r="AR6432" s="919">
        <v>10</v>
      </c>
      <c r="AS6432" s="921" t="s">
        <v>2599</v>
      </c>
    </row>
    <row r="6433" spans="1:45" s="520" customFormat="1" ht="12">
      <c r="A6433" s="758"/>
      <c r="B6433" s="758"/>
      <c r="C6433" s="758"/>
      <c r="D6433" s="758"/>
      <c r="E6433" s="758"/>
      <c r="F6433" s="753"/>
      <c r="G6433" s="758"/>
      <c r="H6433" s="758"/>
      <c r="I6433" s="519"/>
      <c r="J6433" s="758"/>
      <c r="K6433" s="758"/>
      <c r="L6433" s="758"/>
      <c r="M6433" s="758"/>
      <c r="N6433" s="758"/>
      <c r="O6433" s="758"/>
      <c r="P6433" s="758"/>
      <c r="Q6433" s="519"/>
      <c r="R6433" s="759">
        <f t="shared" ref="R6433" si="446">$A6433*Q6433</f>
        <v>0</v>
      </c>
      <c r="S6433" s="519"/>
      <c r="T6433" s="760">
        <f t="shared" ref="T6433" si="447">$A6433*S6433*$T$1</f>
        <v>0</v>
      </c>
      <c r="AR6433" s="758"/>
      <c r="AS6433" s="753"/>
    </row>
    <row r="6434" spans="1:45" s="520" customFormat="1" ht="12.6" thickBot="1">
      <c r="A6434" s="761" t="s">
        <v>145</v>
      </c>
      <c r="B6434" s="762">
        <f>(R6433+T6433)</f>
        <v>0</v>
      </c>
      <c r="C6434" s="763"/>
      <c r="D6434" s="763"/>
      <c r="E6434" s="763"/>
      <c r="F6434" s="764"/>
      <c r="G6434" s="763" t="s">
        <v>146</v>
      </c>
      <c r="H6434" s="763"/>
      <c r="I6434" s="765"/>
      <c r="J6434" s="763"/>
      <c r="K6434" s="763" t="s">
        <v>3</v>
      </c>
      <c r="L6434" s="766" t="s">
        <v>143</v>
      </c>
      <c r="M6434" s="766"/>
      <c r="N6434" s="766"/>
      <c r="O6434" s="766"/>
      <c r="P6434" s="766"/>
      <c r="Q6434" s="767"/>
      <c r="R6434" s="768">
        <f ca="1">SUM(R6428:R6433)</f>
        <v>76.599999999999994</v>
      </c>
      <c r="S6434" s="763"/>
      <c r="T6434" s="768">
        <f ca="1">SUM(T6428:T6433)</f>
        <v>3.6</v>
      </c>
      <c r="U6434" s="531"/>
      <c r="V6434" s="531"/>
      <c r="W6434" s="531"/>
      <c r="X6434" s="531"/>
      <c r="Y6434" s="531"/>
      <c r="Z6434" s="531"/>
      <c r="AA6434" s="531"/>
      <c r="AB6434" s="531"/>
      <c r="AC6434" s="531"/>
      <c r="AD6434" s="531"/>
      <c r="AE6434" s="531"/>
      <c r="AF6434" s="531"/>
      <c r="AG6434" s="531"/>
      <c r="AH6434" s="531"/>
      <c r="AI6434" s="531"/>
      <c r="AJ6434" s="531"/>
      <c r="AK6434" s="531"/>
      <c r="AL6434" s="531"/>
      <c r="AM6434" s="531"/>
      <c r="AN6434" s="531"/>
      <c r="AO6434" s="531"/>
      <c r="AR6434" s="761" t="s">
        <v>145</v>
      </c>
      <c r="AS6434" s="764"/>
    </row>
    <row r="6435" spans="1:45" s="520" customFormat="1" ht="12" thickTop="1">
      <c r="A6435" s="51"/>
      <c r="B6435" s="41"/>
      <c r="C6435" s="51"/>
      <c r="E6435" s="42" t="s">
        <v>138</v>
      </c>
      <c r="F6435" s="42" t="s">
        <v>139</v>
      </c>
      <c r="G6435" s="51"/>
      <c r="H6435" s="51"/>
      <c r="I6435" s="51"/>
      <c r="J6435" s="51"/>
      <c r="K6435" s="51" t="s">
        <v>140</v>
      </c>
      <c r="L6435" s="51"/>
      <c r="M6435" s="51"/>
      <c r="N6435" s="51"/>
      <c r="O6435" s="52"/>
      <c r="P6435" s="51"/>
      <c r="Q6435" s="51"/>
      <c r="R6435" s="51"/>
      <c r="S6435" s="51"/>
      <c r="T6435" s="41"/>
      <c r="AG6435" s="521" t="s">
        <v>268</v>
      </c>
      <c r="AH6435" s="521" t="s">
        <v>269</v>
      </c>
      <c r="AI6435" s="521" t="s">
        <v>270</v>
      </c>
      <c r="AJ6435" s="521" t="s">
        <v>271</v>
      </c>
      <c r="AK6435" s="521" t="s">
        <v>272</v>
      </c>
      <c r="AM6435" s="745" t="s">
        <v>281</v>
      </c>
      <c r="AN6435" s="746" t="s">
        <v>282</v>
      </c>
      <c r="AO6435" s="522" t="s">
        <v>278</v>
      </c>
      <c r="AR6435" s="51"/>
      <c r="AS6435" s="42" t="s">
        <v>139</v>
      </c>
    </row>
    <row r="6436" spans="1:45" s="520" customFormat="1" ht="12" customHeight="1">
      <c r="A6436" s="747">
        <v>20</v>
      </c>
      <c r="B6436" s="523" t="s">
        <v>320</v>
      </c>
      <c r="C6436" s="748"/>
      <c r="D6436" s="749" t="s">
        <v>2005</v>
      </c>
      <c r="E6436" s="750">
        <f ca="1">IF(AND($A6436=0,$A$1="DIF"),0, ROUND(ROUND(($R6443*$S$2+($T6443*$T$2))/A6436,2)*$C$2,2))</f>
        <v>26.03</v>
      </c>
      <c r="F6436" s="751">
        <f ca="1">ROUND($A6436*$E6436,2)</f>
        <v>520.6</v>
      </c>
      <c r="G6436" s="752" t="s">
        <v>142</v>
      </c>
      <c r="H6436" s="753"/>
      <c r="I6436" s="754"/>
      <c r="J6436" s="753"/>
      <c r="K6436" s="753" t="s">
        <v>3</v>
      </c>
      <c r="L6436" s="755" t="s">
        <v>143</v>
      </c>
      <c r="M6436" s="755"/>
      <c r="N6436" s="755"/>
      <c r="O6436" s="755"/>
      <c r="P6436" s="755"/>
      <c r="Q6436" s="51"/>
      <c r="T6436" s="756" t="str">
        <f ca="1">IF(AND($R6443=0,$T6443=0),"0.00","mu :" &amp; ROUND($F6436/$C$2/($R6443+$T6443*$D$9),2))</f>
        <v>mu :1.23</v>
      </c>
      <c r="W6436" s="524"/>
      <c r="AG6436" s="481">
        <f ca="1">IF($E6436=0,0,ROUND($R6443*$S$2*$C$2/$A6436,2))</f>
        <v>12.17</v>
      </c>
      <c r="AH6436" s="481">
        <f ca="1">$AG6436*$A6436</f>
        <v>243.4</v>
      </c>
      <c r="AI6436" s="525">
        <f ca="1">$E6436-$AG6436</f>
        <v>13.860000000000001</v>
      </c>
      <c r="AJ6436" s="525">
        <f ca="1">$A6436*$AI6436</f>
        <v>277.20000000000005</v>
      </c>
      <c r="AK6436" s="526">
        <f ca="1">ROUND(($AG6436+$AI6436)*$A6436,2)</f>
        <v>520.6</v>
      </c>
      <c r="AM6436" s="527">
        <f ca="1">ROUND(R6443,2)</f>
        <v>197.6</v>
      </c>
      <c r="AN6436" s="528">
        <f ca="1">ROUND(T6443,2)</f>
        <v>8.1999999999999993</v>
      </c>
      <c r="AO6436" s="529">
        <f ca="1">ROUND(AM6436+AN6436,2)*A6436</f>
        <v>4116</v>
      </c>
      <c r="AR6436" s="747">
        <v>20</v>
      </c>
      <c r="AS6436" s="751">
        <v>547.6</v>
      </c>
    </row>
    <row r="6437" spans="1:45" s="520" customFormat="1" ht="13.2">
      <c r="A6437" s="748"/>
      <c r="B6437"/>
      <c r="C6437" s="748"/>
      <c r="D6437" s="749" t="s">
        <v>914</v>
      </c>
      <c r="F6437" s="753"/>
      <c r="G6437" s="3"/>
      <c r="H6437" s="753"/>
      <c r="I6437" s="754"/>
      <c r="J6437" s="753"/>
      <c r="K6437" s="753" t="s">
        <v>144</v>
      </c>
      <c r="L6437" s="753"/>
      <c r="M6437" s="753"/>
      <c r="N6437" s="753"/>
      <c r="O6437" s="753"/>
      <c r="P6437" s="753"/>
      <c r="Q6437" s="51"/>
      <c r="R6437" s="530"/>
      <c r="S6437" s="757"/>
      <c r="T6437" s="753"/>
      <c r="AR6437" s="748"/>
      <c r="AS6437" s="753"/>
    </row>
    <row r="6438" spans="1:45" s="886" customFormat="1" ht="13.2">
      <c r="A6438"/>
      <c r="B6438" s="910"/>
      <c r="C6438" s="910" t="s">
        <v>2597</v>
      </c>
      <c r="D6438" s="910" t="str">
        <f ca="1">CELL("Address",Elec_Rates!D$762)</f>
        <v>[E25_0062_Quintano_Foods_Elec_ELV_As_Awarded.xlsx]Elec_Rates!$D$762</v>
      </c>
      <c r="E6438" s="911"/>
      <c r="F6438" s="911"/>
      <c r="G6438" s="912" t="s">
        <v>2598</v>
      </c>
      <c r="H6438" s="912"/>
      <c r="I6438" s="912"/>
      <c r="J6438" s="912"/>
      <c r="K6438" s="913"/>
      <c r="L6438" s="911"/>
      <c r="M6438" s="911"/>
      <c r="N6438" s="911"/>
      <c r="O6438" s="914"/>
      <c r="P6438" s="911"/>
      <c r="Q6438" s="915"/>
      <c r="R6438" s="916"/>
      <c r="S6438" s="915"/>
      <c r="T6438" s="917"/>
      <c r="U6438" s="918"/>
      <c r="AR6438"/>
      <c r="AS6438" s="911"/>
    </row>
    <row r="6439" spans="1:45" s="886" customFormat="1" ht="11.4">
      <c r="A6439" s="919">
        <v>20</v>
      </c>
      <c r="B6439" s="920">
        <v>1</v>
      </c>
      <c r="C6439" s="920">
        <f>$A6439*$B6439</f>
        <v>20</v>
      </c>
      <c r="D6439" s="921" t="str">
        <f>Elec_Rates!$D$762</f>
        <v>073# 300mm cable Tray</v>
      </c>
      <c r="E6439" s="921"/>
      <c r="F6439" s="921" t="s">
        <v>2599</v>
      </c>
      <c r="G6439" s="922" t="s">
        <v>2600</v>
      </c>
      <c r="H6439" s="922"/>
      <c r="I6439" s="922"/>
      <c r="J6439" s="922"/>
      <c r="K6439" s="923"/>
      <c r="L6439" s="918"/>
      <c r="M6439" s="918"/>
      <c r="N6439" s="918"/>
      <c r="O6439" s="924"/>
      <c r="P6439" s="921"/>
      <c r="Q6439" s="925">
        <f ca="1">$B6439*Elec_Rates!$R$762</f>
        <v>7.4</v>
      </c>
      <c r="R6439" s="916">
        <f ca="1">$A6439*Q6439</f>
        <v>148</v>
      </c>
      <c r="S6439" s="925">
        <f ca="1">$B6439*Elec_Rates!$T$762</f>
        <v>0.32</v>
      </c>
      <c r="T6439" s="917">
        <f ca="1">$A6439*S6439</f>
        <v>6.4</v>
      </c>
      <c r="U6439" s="926"/>
      <c r="AR6439" s="919">
        <v>20</v>
      </c>
      <c r="AS6439" s="921" t="s">
        <v>2599</v>
      </c>
    </row>
    <row r="6440" spans="1:45" s="886" customFormat="1" ht="13.2">
      <c r="A6440"/>
      <c r="B6440" s="910"/>
      <c r="C6440" s="910" t="s">
        <v>2597</v>
      </c>
      <c r="D6440" s="910" t="str">
        <f ca="1">CELL("Address",Elec_Rates!D$920)</f>
        <v>[E25_0062_Quintano_Foods_Elec_ELV_As_Awarded.xlsx]Elec_Rates!$D$920</v>
      </c>
      <c r="E6440" s="911"/>
      <c r="F6440" s="911"/>
      <c r="G6440" s="912" t="s">
        <v>2598</v>
      </c>
      <c r="H6440" s="912"/>
      <c r="I6440" s="912"/>
      <c r="J6440" s="912"/>
      <c r="K6440" s="913"/>
      <c r="L6440" s="911"/>
      <c r="M6440" s="911"/>
      <c r="N6440" s="911"/>
      <c r="O6440" s="914"/>
      <c r="P6440" s="911"/>
      <c r="Q6440" s="915"/>
      <c r="R6440" s="916"/>
      <c r="S6440" s="915"/>
      <c r="T6440" s="917"/>
      <c r="U6440" s="918"/>
      <c r="AR6440"/>
      <c r="AS6440" s="911"/>
    </row>
    <row r="6441" spans="1:45" s="886" customFormat="1" ht="11.4">
      <c r="A6441" s="919">
        <v>20</v>
      </c>
      <c r="B6441" s="920">
        <v>1</v>
      </c>
      <c r="C6441" s="920">
        <f>$A6441*$B6441</f>
        <v>20</v>
      </c>
      <c r="D6441" s="921" t="str">
        <f>Elec_Rates!$D$920</f>
        <v>085# Bracket for 200-300mm cable tray/basket</v>
      </c>
      <c r="E6441" s="921"/>
      <c r="F6441" s="921" t="s">
        <v>2599</v>
      </c>
      <c r="G6441" s="922" t="s">
        <v>2601</v>
      </c>
      <c r="H6441" s="922"/>
      <c r="I6441" s="922"/>
      <c r="J6441" s="922"/>
      <c r="K6441" s="923"/>
      <c r="L6441" s="918"/>
      <c r="M6441" s="918"/>
      <c r="N6441" s="918"/>
      <c r="O6441" s="924"/>
      <c r="P6441" s="921"/>
      <c r="Q6441" s="925">
        <f ca="1">$B6441*Elec_Rates!$R$920</f>
        <v>2.48</v>
      </c>
      <c r="R6441" s="916">
        <f ca="1">$A6441*Q6441</f>
        <v>49.6</v>
      </c>
      <c r="S6441" s="925">
        <f ca="1">$B6441*Elec_Rates!$T$920</f>
        <v>0.09</v>
      </c>
      <c r="T6441" s="917">
        <f ca="1">$A6441*S6441</f>
        <v>1.7999999999999998</v>
      </c>
      <c r="U6441" s="926"/>
      <c r="AR6441" s="919">
        <v>20</v>
      </c>
      <c r="AS6441" s="921" t="s">
        <v>2599</v>
      </c>
    </row>
    <row r="6442" spans="1:45" s="520" customFormat="1" ht="12">
      <c r="A6442" s="758"/>
      <c r="B6442" s="758"/>
      <c r="C6442" s="758"/>
      <c r="D6442" s="758"/>
      <c r="E6442" s="758"/>
      <c r="F6442" s="753"/>
      <c r="G6442" s="758"/>
      <c r="H6442" s="758"/>
      <c r="I6442" s="519"/>
      <c r="J6442" s="758"/>
      <c r="K6442" s="758"/>
      <c r="L6442" s="758"/>
      <c r="M6442" s="758"/>
      <c r="N6442" s="758"/>
      <c r="O6442" s="758"/>
      <c r="P6442" s="758"/>
      <c r="Q6442" s="519"/>
      <c r="R6442" s="759">
        <f t="shared" ref="R6442" si="448">$A6442*Q6442</f>
        <v>0</v>
      </c>
      <c r="S6442" s="519"/>
      <c r="T6442" s="760">
        <f t="shared" ref="T6442" si="449">$A6442*S6442*$T$1</f>
        <v>0</v>
      </c>
      <c r="AR6442" s="758"/>
      <c r="AS6442" s="753"/>
    </row>
    <row r="6443" spans="1:45" s="520" customFormat="1" ht="12.6" thickBot="1">
      <c r="A6443" s="761" t="s">
        <v>145</v>
      </c>
      <c r="B6443" s="762">
        <f>(R6442+T6442)</f>
        <v>0</v>
      </c>
      <c r="C6443" s="763"/>
      <c r="D6443" s="763"/>
      <c r="E6443" s="763"/>
      <c r="F6443" s="764"/>
      <c r="G6443" s="763" t="s">
        <v>146</v>
      </c>
      <c r="H6443" s="763"/>
      <c r="I6443" s="765"/>
      <c r="J6443" s="763"/>
      <c r="K6443" s="763" t="s">
        <v>3</v>
      </c>
      <c r="L6443" s="766" t="s">
        <v>143</v>
      </c>
      <c r="M6443" s="766"/>
      <c r="N6443" s="766"/>
      <c r="O6443" s="766"/>
      <c r="P6443" s="766"/>
      <c r="Q6443" s="767"/>
      <c r="R6443" s="768">
        <f ca="1">SUM(R6437:R6442)</f>
        <v>197.6</v>
      </c>
      <c r="S6443" s="763"/>
      <c r="T6443" s="768">
        <f ca="1">SUM(T6437:T6442)</f>
        <v>8.1999999999999993</v>
      </c>
      <c r="U6443" s="531"/>
      <c r="V6443" s="531"/>
      <c r="W6443" s="531"/>
      <c r="X6443" s="531"/>
      <c r="Y6443" s="531"/>
      <c r="Z6443" s="531"/>
      <c r="AA6443" s="531"/>
      <c r="AB6443" s="531"/>
      <c r="AC6443" s="531"/>
      <c r="AD6443" s="531"/>
      <c r="AE6443" s="531"/>
      <c r="AF6443" s="531"/>
      <c r="AG6443" s="531"/>
      <c r="AH6443" s="531"/>
      <c r="AI6443" s="531"/>
      <c r="AJ6443" s="531"/>
      <c r="AK6443" s="531"/>
      <c r="AL6443" s="531"/>
      <c r="AM6443" s="531"/>
      <c r="AN6443" s="531"/>
      <c r="AO6443" s="531"/>
      <c r="AR6443" s="761" t="s">
        <v>145</v>
      </c>
      <c r="AS6443" s="764"/>
    </row>
    <row r="6444" spans="1:45" s="520" customFormat="1" ht="12" thickTop="1">
      <c r="A6444" s="51"/>
      <c r="B6444" s="41"/>
      <c r="C6444" s="51"/>
      <c r="E6444" s="42" t="s">
        <v>138</v>
      </c>
      <c r="F6444" s="42" t="s">
        <v>139</v>
      </c>
      <c r="G6444" s="51"/>
      <c r="H6444" s="51"/>
      <c r="I6444" s="51"/>
      <c r="J6444" s="51"/>
      <c r="K6444" s="51" t="s">
        <v>140</v>
      </c>
      <c r="L6444" s="51"/>
      <c r="M6444" s="51"/>
      <c r="N6444" s="51"/>
      <c r="O6444" s="52"/>
      <c r="P6444" s="51"/>
      <c r="Q6444" s="51"/>
      <c r="R6444" s="51"/>
      <c r="S6444" s="51"/>
      <c r="T6444" s="41"/>
      <c r="AG6444" s="521" t="s">
        <v>268</v>
      </c>
      <c r="AH6444" s="521" t="s">
        <v>269</v>
      </c>
      <c r="AI6444" s="521" t="s">
        <v>270</v>
      </c>
      <c r="AJ6444" s="521" t="s">
        <v>271</v>
      </c>
      <c r="AK6444" s="521" t="s">
        <v>272</v>
      </c>
      <c r="AM6444" s="745" t="s">
        <v>281</v>
      </c>
      <c r="AN6444" s="746" t="s">
        <v>282</v>
      </c>
      <c r="AO6444" s="522" t="s">
        <v>278</v>
      </c>
      <c r="AR6444" s="51"/>
      <c r="AS6444" s="42" t="s">
        <v>139</v>
      </c>
    </row>
    <row r="6445" spans="1:45" s="520" customFormat="1" ht="12" customHeight="1">
      <c r="A6445" s="747">
        <v>10</v>
      </c>
      <c r="B6445" s="523" t="s">
        <v>320</v>
      </c>
      <c r="C6445" s="748"/>
      <c r="D6445" s="749" t="s">
        <v>2006</v>
      </c>
      <c r="E6445" s="750">
        <f ca="1">IF(AND($A6445=0,$A$1="DIF"),0, ROUND(ROUND(($R6452*$S$2+($T6452*$T$2))/A6445,2)*$C$2,2))</f>
        <v>26.03</v>
      </c>
      <c r="F6445" s="751">
        <f ca="1">ROUND($A6445*$E6445,2)</f>
        <v>260.3</v>
      </c>
      <c r="G6445" s="752" t="s">
        <v>142</v>
      </c>
      <c r="H6445" s="753"/>
      <c r="I6445" s="754"/>
      <c r="J6445" s="753"/>
      <c r="K6445" s="753" t="s">
        <v>3</v>
      </c>
      <c r="L6445" s="755" t="s">
        <v>143</v>
      </c>
      <c r="M6445" s="755"/>
      <c r="N6445" s="755"/>
      <c r="O6445" s="755"/>
      <c r="P6445" s="755"/>
      <c r="Q6445" s="51"/>
      <c r="T6445" s="756" t="str">
        <f ca="1">IF(AND($R6452=0,$T6452=0),"0.00","mu :" &amp; ROUND($F6445/$C$2/($R6452+$T6452*$D$9),2))</f>
        <v>mu :1.23</v>
      </c>
      <c r="W6445" s="524"/>
      <c r="AG6445" s="481">
        <f ca="1">IF($E6445=0,0,ROUND($R6452*$S$2*$C$2/$A6445,2))</f>
        <v>12.17</v>
      </c>
      <c r="AH6445" s="481">
        <f ca="1">$AG6445*$A6445</f>
        <v>121.7</v>
      </c>
      <c r="AI6445" s="525">
        <f ca="1">$E6445-$AG6445</f>
        <v>13.860000000000001</v>
      </c>
      <c r="AJ6445" s="525">
        <f ca="1">$A6445*$AI6445</f>
        <v>138.60000000000002</v>
      </c>
      <c r="AK6445" s="526">
        <f ca="1">ROUND(($AG6445+$AI6445)*$A6445,2)</f>
        <v>260.3</v>
      </c>
      <c r="AM6445" s="527">
        <f ca="1">ROUND(R6452,2)</f>
        <v>98.8</v>
      </c>
      <c r="AN6445" s="528">
        <f ca="1">ROUND(T6452,2)</f>
        <v>4.0999999999999996</v>
      </c>
      <c r="AO6445" s="529">
        <f ca="1">ROUND(AM6445+AN6445,2)*A6445</f>
        <v>1029</v>
      </c>
      <c r="AR6445" s="747">
        <v>10</v>
      </c>
      <c r="AS6445" s="751">
        <v>273.8</v>
      </c>
    </row>
    <row r="6446" spans="1:45" s="520" customFormat="1" ht="13.2">
      <c r="A6446" s="748"/>
      <c r="B6446"/>
      <c r="C6446" s="748"/>
      <c r="D6446" s="749" t="s">
        <v>915</v>
      </c>
      <c r="F6446" s="753"/>
      <c r="G6446" s="3"/>
      <c r="H6446" s="753"/>
      <c r="I6446" s="754"/>
      <c r="J6446" s="753"/>
      <c r="K6446" s="753" t="s">
        <v>144</v>
      </c>
      <c r="L6446" s="753"/>
      <c r="M6446" s="753"/>
      <c r="N6446" s="753"/>
      <c r="O6446" s="753"/>
      <c r="P6446" s="753"/>
      <c r="Q6446" s="51"/>
      <c r="R6446" s="530"/>
      <c r="S6446" s="757"/>
      <c r="T6446" s="753"/>
      <c r="AR6446" s="748"/>
      <c r="AS6446" s="753"/>
    </row>
    <row r="6447" spans="1:45" s="886" customFormat="1" ht="11.1" customHeight="1">
      <c r="A6447"/>
      <c r="B6447" s="910"/>
      <c r="C6447" s="910" t="s">
        <v>2597</v>
      </c>
      <c r="D6447" s="910" t="str">
        <f ca="1">CELL("Address",Elec_Rates!D$762)</f>
        <v>[E25_0062_Quintano_Foods_Elec_ELV_As_Awarded.xlsx]Elec_Rates!$D$762</v>
      </c>
      <c r="E6447" s="911"/>
      <c r="F6447" s="911"/>
      <c r="G6447" s="912" t="s">
        <v>2598</v>
      </c>
      <c r="H6447" s="912"/>
      <c r="I6447" s="912"/>
      <c r="J6447" s="912"/>
      <c r="K6447" s="913"/>
      <c r="L6447" s="911"/>
      <c r="M6447" s="911"/>
      <c r="N6447" s="911"/>
      <c r="O6447" s="914"/>
      <c r="P6447" s="911"/>
      <c r="Q6447" s="915"/>
      <c r="R6447" s="916"/>
      <c r="S6447" s="915"/>
      <c r="T6447" s="917"/>
      <c r="U6447" s="918"/>
      <c r="AR6447"/>
      <c r="AS6447" s="911"/>
    </row>
    <row r="6448" spans="1:45" s="886" customFormat="1" ht="11.1" customHeight="1">
      <c r="A6448" s="919">
        <v>10</v>
      </c>
      <c r="B6448" s="920">
        <v>1</v>
      </c>
      <c r="C6448" s="920">
        <f>$A6448*$B6448</f>
        <v>10</v>
      </c>
      <c r="D6448" s="921" t="str">
        <f>Elec_Rates!$D$762</f>
        <v>073# 300mm cable Tray</v>
      </c>
      <c r="E6448" s="921"/>
      <c r="F6448" s="921" t="s">
        <v>2599</v>
      </c>
      <c r="G6448" s="922" t="s">
        <v>2600</v>
      </c>
      <c r="H6448" s="922"/>
      <c r="I6448" s="922"/>
      <c r="J6448" s="922"/>
      <c r="K6448" s="923"/>
      <c r="L6448" s="918"/>
      <c r="M6448" s="918"/>
      <c r="N6448" s="918"/>
      <c r="O6448" s="924"/>
      <c r="P6448" s="921"/>
      <c r="Q6448" s="925">
        <f ca="1">$B6448*Elec_Rates!$R$762</f>
        <v>7.4</v>
      </c>
      <c r="R6448" s="916">
        <f ca="1">$A6448*Q6448</f>
        <v>74</v>
      </c>
      <c r="S6448" s="925">
        <f ca="1">$B6448*Elec_Rates!$T$762</f>
        <v>0.32</v>
      </c>
      <c r="T6448" s="917">
        <f ca="1">$A6448*S6448</f>
        <v>3.2</v>
      </c>
      <c r="U6448" s="926"/>
      <c r="AR6448" s="919">
        <v>10</v>
      </c>
      <c r="AS6448" s="921" t="s">
        <v>2599</v>
      </c>
    </row>
    <row r="6449" spans="1:45" s="886" customFormat="1" ht="11.1" customHeight="1">
      <c r="A6449"/>
      <c r="B6449" s="910"/>
      <c r="C6449" s="910" t="s">
        <v>2597</v>
      </c>
      <c r="D6449" s="910" t="str">
        <f ca="1">CELL("Address",Elec_Rates!D$920)</f>
        <v>[E25_0062_Quintano_Foods_Elec_ELV_As_Awarded.xlsx]Elec_Rates!$D$920</v>
      </c>
      <c r="E6449" s="911"/>
      <c r="F6449" s="911"/>
      <c r="G6449" s="912" t="s">
        <v>2598</v>
      </c>
      <c r="H6449" s="912"/>
      <c r="I6449" s="912"/>
      <c r="J6449" s="912"/>
      <c r="K6449" s="913"/>
      <c r="L6449" s="911"/>
      <c r="M6449" s="911"/>
      <c r="N6449" s="911"/>
      <c r="O6449" s="914"/>
      <c r="P6449" s="911"/>
      <c r="Q6449" s="915"/>
      <c r="R6449" s="916"/>
      <c r="S6449" s="915"/>
      <c r="T6449" s="917"/>
      <c r="U6449" s="918"/>
      <c r="AR6449"/>
      <c r="AS6449" s="911"/>
    </row>
    <row r="6450" spans="1:45" s="886" customFormat="1" ht="11.1" customHeight="1">
      <c r="A6450" s="919">
        <v>10</v>
      </c>
      <c r="B6450" s="920">
        <v>1</v>
      </c>
      <c r="C6450" s="920">
        <f>$A6450*$B6450</f>
        <v>10</v>
      </c>
      <c r="D6450" s="921" t="str">
        <f>Elec_Rates!$D$920</f>
        <v>085# Bracket for 200-300mm cable tray/basket</v>
      </c>
      <c r="E6450" s="921"/>
      <c r="F6450" s="921" t="s">
        <v>2599</v>
      </c>
      <c r="G6450" s="922" t="s">
        <v>2601</v>
      </c>
      <c r="H6450" s="922"/>
      <c r="I6450" s="922"/>
      <c r="J6450" s="922"/>
      <c r="K6450" s="923"/>
      <c r="L6450" s="918"/>
      <c r="M6450" s="918"/>
      <c r="N6450" s="918"/>
      <c r="O6450" s="924"/>
      <c r="P6450" s="921"/>
      <c r="Q6450" s="925">
        <f ca="1">$B6450*Elec_Rates!$R$920</f>
        <v>2.48</v>
      </c>
      <c r="R6450" s="916">
        <f ca="1">$A6450*Q6450</f>
        <v>24.8</v>
      </c>
      <c r="S6450" s="925">
        <f ca="1">$B6450*Elec_Rates!$T$920</f>
        <v>0.09</v>
      </c>
      <c r="T6450" s="917">
        <f ca="1">$A6450*S6450</f>
        <v>0.89999999999999991</v>
      </c>
      <c r="U6450" s="926"/>
      <c r="AR6450" s="919">
        <v>10</v>
      </c>
      <c r="AS6450" s="921" t="s">
        <v>2599</v>
      </c>
    </row>
    <row r="6451" spans="1:45" s="520" customFormat="1" ht="12">
      <c r="A6451" s="758"/>
      <c r="B6451" s="758"/>
      <c r="C6451" s="758"/>
      <c r="D6451" s="758"/>
      <c r="E6451" s="758"/>
      <c r="F6451" s="753"/>
      <c r="G6451" s="758"/>
      <c r="H6451" s="758"/>
      <c r="I6451" s="519"/>
      <c r="J6451" s="758"/>
      <c r="K6451" s="758"/>
      <c r="L6451" s="758"/>
      <c r="M6451" s="758"/>
      <c r="N6451" s="758"/>
      <c r="O6451" s="758"/>
      <c r="P6451" s="758"/>
      <c r="Q6451" s="519"/>
      <c r="R6451" s="759">
        <f t="shared" ref="R6451" si="450">$A6451*Q6451</f>
        <v>0</v>
      </c>
      <c r="S6451" s="519"/>
      <c r="T6451" s="760">
        <f t="shared" ref="T6451" si="451">$A6451*S6451*$T$1</f>
        <v>0</v>
      </c>
      <c r="AR6451" s="758"/>
      <c r="AS6451" s="753"/>
    </row>
    <row r="6452" spans="1:45" s="520" customFormat="1" ht="12.6" thickBot="1">
      <c r="A6452" s="761" t="s">
        <v>145</v>
      </c>
      <c r="B6452" s="762">
        <f>(R6451+T6451)</f>
        <v>0</v>
      </c>
      <c r="C6452" s="763"/>
      <c r="D6452" s="763"/>
      <c r="E6452" s="763"/>
      <c r="F6452" s="764"/>
      <c r="G6452" s="763" t="s">
        <v>146</v>
      </c>
      <c r="H6452" s="763"/>
      <c r="I6452" s="765"/>
      <c r="J6452" s="763"/>
      <c r="K6452" s="763" t="s">
        <v>3</v>
      </c>
      <c r="L6452" s="766" t="s">
        <v>143</v>
      </c>
      <c r="M6452" s="766"/>
      <c r="N6452" s="766"/>
      <c r="O6452" s="766"/>
      <c r="P6452" s="766"/>
      <c r="Q6452" s="767"/>
      <c r="R6452" s="768">
        <f ca="1">SUM(R6446:R6451)</f>
        <v>98.8</v>
      </c>
      <c r="S6452" s="763"/>
      <c r="T6452" s="768">
        <f ca="1">SUM(T6446:T6451)</f>
        <v>4.0999999999999996</v>
      </c>
      <c r="U6452" s="531"/>
      <c r="V6452" s="531"/>
      <c r="W6452" s="531"/>
      <c r="X6452" s="531"/>
      <c r="Y6452" s="531"/>
      <c r="Z6452" s="531"/>
      <c r="AA6452" s="531"/>
      <c r="AB6452" s="531"/>
      <c r="AC6452" s="531"/>
      <c r="AD6452" s="531"/>
      <c r="AE6452" s="531"/>
      <c r="AF6452" s="531"/>
      <c r="AG6452" s="531"/>
      <c r="AH6452" s="531"/>
      <c r="AI6452" s="531"/>
      <c r="AJ6452" s="531"/>
      <c r="AK6452" s="531"/>
      <c r="AL6452" s="531"/>
      <c r="AM6452" s="531"/>
      <c r="AN6452" s="531"/>
      <c r="AO6452" s="531"/>
      <c r="AR6452" s="761" t="s">
        <v>145</v>
      </c>
      <c r="AS6452" s="764"/>
    </row>
    <row r="6453" spans="1:45" s="520" customFormat="1" ht="12" thickTop="1">
      <c r="A6453" s="51"/>
      <c r="B6453" s="41"/>
      <c r="C6453" s="51"/>
      <c r="E6453" s="42" t="s">
        <v>138</v>
      </c>
      <c r="F6453" s="42" t="s">
        <v>139</v>
      </c>
      <c r="G6453" s="51"/>
      <c r="H6453" s="51"/>
      <c r="I6453" s="51"/>
      <c r="J6453" s="51"/>
      <c r="K6453" s="51" t="s">
        <v>140</v>
      </c>
      <c r="L6453" s="51"/>
      <c r="M6453" s="51"/>
      <c r="N6453" s="51"/>
      <c r="O6453" s="52"/>
      <c r="P6453" s="51"/>
      <c r="Q6453" s="51"/>
      <c r="R6453" s="51"/>
      <c r="S6453" s="51"/>
      <c r="T6453" s="41"/>
      <c r="AG6453" s="521" t="s">
        <v>268</v>
      </c>
      <c r="AH6453" s="521" t="s">
        <v>269</v>
      </c>
      <c r="AI6453" s="521" t="s">
        <v>270</v>
      </c>
      <c r="AJ6453" s="521" t="s">
        <v>271</v>
      </c>
      <c r="AK6453" s="521" t="s">
        <v>272</v>
      </c>
      <c r="AM6453" s="745" t="s">
        <v>281</v>
      </c>
      <c r="AN6453" s="746" t="s">
        <v>282</v>
      </c>
      <c r="AO6453" s="522" t="s">
        <v>278</v>
      </c>
      <c r="AR6453" s="51"/>
      <c r="AS6453" s="42" t="s">
        <v>139</v>
      </c>
    </row>
    <row r="6454" spans="1:45" s="520" customFormat="1" ht="12" customHeight="1">
      <c r="A6454" s="747">
        <v>40</v>
      </c>
      <c r="B6454" s="523" t="s">
        <v>320</v>
      </c>
      <c r="C6454" s="748"/>
      <c r="D6454" s="749" t="s">
        <v>2007</v>
      </c>
      <c r="E6454" s="750">
        <f ca="1">IF(AND($A6454=0,$A$1="DIF"),0, ROUND(ROUND(($R6461*$S$2+($T6461*$T$2))/A6454,2)*$C$2,2))</f>
        <v>55.26</v>
      </c>
      <c r="F6454" s="751">
        <f ca="1">ROUND($A6454*$E6454,2)</f>
        <v>2210.4</v>
      </c>
      <c r="G6454" s="752" t="s">
        <v>142</v>
      </c>
      <c r="H6454" s="753"/>
      <c r="I6454" s="754"/>
      <c r="J6454" s="753"/>
      <c r="K6454" s="753" t="s">
        <v>3</v>
      </c>
      <c r="L6454" s="755" t="s">
        <v>143</v>
      </c>
      <c r="M6454" s="755"/>
      <c r="N6454" s="755"/>
      <c r="O6454" s="755"/>
      <c r="P6454" s="755"/>
      <c r="Q6454" s="51"/>
      <c r="T6454" s="756" t="str">
        <f ca="1">IF(AND($R6461=0,$T6461=0),"0.00","mu :" &amp; ROUND($F6454/$C$2/($R6461+$T6461*$D$9),2))</f>
        <v>mu :1.23</v>
      </c>
      <c r="W6454" s="524"/>
      <c r="AG6454" s="481">
        <f ca="1">IF($E6454=0,0,ROUND($R6461*$S$2*$C$2/$A6454,2))</f>
        <v>36.32</v>
      </c>
      <c r="AH6454" s="481">
        <f ca="1">$AG6454*$A6454</f>
        <v>1452.8</v>
      </c>
      <c r="AI6454" s="525">
        <f ca="1">$E6454-$AG6454</f>
        <v>18.939999999999998</v>
      </c>
      <c r="AJ6454" s="525">
        <f ca="1">$A6454*$AI6454</f>
        <v>757.59999999999991</v>
      </c>
      <c r="AK6454" s="526">
        <f ca="1">ROUND(($AG6454+$AI6454)*$A6454,2)</f>
        <v>2210.4</v>
      </c>
      <c r="AM6454" s="527">
        <f ca="1">ROUND(R6461,2)</f>
        <v>1180</v>
      </c>
      <c r="AN6454" s="528">
        <f ca="1">ROUND(T6461,2)</f>
        <v>22.4</v>
      </c>
      <c r="AO6454" s="529">
        <f ca="1">ROUND(AM6454+AN6454,2)*A6454</f>
        <v>48096</v>
      </c>
      <c r="AR6454" s="747">
        <v>40</v>
      </c>
      <c r="AS6454" s="751">
        <v>2291.6</v>
      </c>
    </row>
    <row r="6455" spans="1:45" s="520" customFormat="1" ht="13.2">
      <c r="A6455" s="748"/>
      <c r="B6455"/>
      <c r="C6455" s="748"/>
      <c r="D6455" s="749" t="s">
        <v>917</v>
      </c>
      <c r="F6455" s="753"/>
      <c r="G6455" s="3"/>
      <c r="H6455" s="753"/>
      <c r="I6455" s="754"/>
      <c r="J6455" s="753"/>
      <c r="K6455" s="753" t="s">
        <v>144</v>
      </c>
      <c r="L6455" s="753"/>
      <c r="M6455" s="753"/>
      <c r="N6455" s="753"/>
      <c r="O6455" s="753"/>
      <c r="P6455" s="753"/>
      <c r="Q6455" s="51"/>
      <c r="R6455" s="530"/>
      <c r="S6455" s="757"/>
      <c r="T6455" s="753"/>
      <c r="AR6455" s="748"/>
      <c r="AS6455" s="753"/>
    </row>
    <row r="6456" spans="1:45" s="886" customFormat="1" ht="13.2">
      <c r="A6456"/>
      <c r="B6456" s="910"/>
      <c r="C6456" s="910" t="s">
        <v>2597</v>
      </c>
      <c r="D6456" s="910" t="str">
        <f ca="1">CELL("Address",Elec_Rates!D$739)</f>
        <v>[E25_0062_Quintano_Foods_Elec_ELV_As_Awarded.xlsx]Elec_Rates!$D$739</v>
      </c>
      <c r="E6456" s="911"/>
      <c r="F6456" s="911"/>
      <c r="G6456" s="912" t="s">
        <v>2598</v>
      </c>
      <c r="H6456" s="912"/>
      <c r="I6456" s="912"/>
      <c r="J6456" s="912"/>
      <c r="K6456" s="913"/>
      <c r="L6456" s="911"/>
      <c r="M6456" s="911"/>
      <c r="N6456" s="911"/>
      <c r="O6456" s="914"/>
      <c r="P6456" s="911"/>
      <c r="Q6456" s="915"/>
      <c r="R6456" s="916"/>
      <c r="S6456" s="915"/>
      <c r="T6456" s="917"/>
      <c r="U6456" s="918"/>
      <c r="AR6456"/>
      <c r="AS6456" s="911"/>
    </row>
    <row r="6457" spans="1:45" s="886" customFormat="1" ht="11.4">
      <c r="A6457" s="919">
        <v>40</v>
      </c>
      <c r="B6457" s="920">
        <v>1</v>
      </c>
      <c r="C6457" s="920">
        <f>$A6457*$B6457</f>
        <v>40</v>
      </c>
      <c r="D6457" s="921" t="str">
        <f>Elec_Rates!$D$739</f>
        <v>071# 500mm cable Tray</v>
      </c>
      <c r="E6457" s="921"/>
      <c r="F6457" s="921" t="s">
        <v>2599</v>
      </c>
      <c r="G6457" s="922" t="s">
        <v>2601</v>
      </c>
      <c r="H6457" s="922"/>
      <c r="I6457" s="922"/>
      <c r="J6457" s="922"/>
      <c r="K6457" s="923"/>
      <c r="L6457" s="918"/>
      <c r="M6457" s="918"/>
      <c r="N6457" s="918"/>
      <c r="O6457" s="924"/>
      <c r="P6457" s="921"/>
      <c r="Q6457" s="925">
        <f ca="1">$B6457*Elec_Rates!$R$739</f>
        <v>13.13</v>
      </c>
      <c r="R6457" s="916">
        <f ca="1">$A6457*Q6457</f>
        <v>525.20000000000005</v>
      </c>
      <c r="S6457" s="925">
        <f ca="1">$B6457*Elec_Rates!$T$739</f>
        <v>0.41</v>
      </c>
      <c r="T6457" s="917">
        <f ca="1">$A6457*S6457</f>
        <v>16.399999999999999</v>
      </c>
      <c r="U6457" s="926"/>
      <c r="AR6457" s="919">
        <v>40</v>
      </c>
      <c r="AS6457" s="921" t="s">
        <v>2599</v>
      </c>
    </row>
    <row r="6458" spans="1:45" s="886" customFormat="1" ht="13.2">
      <c r="A6458"/>
      <c r="B6458" s="910"/>
      <c r="C6458" s="910" t="s">
        <v>2597</v>
      </c>
      <c r="D6458" s="910" t="str">
        <f ca="1">CELL("Address",Elec_Rates!D$933)</f>
        <v>[E25_0062_Quintano_Foods_Elec_ELV_As_Awarded.xlsx]Elec_Rates!$D$933</v>
      </c>
      <c r="E6458" s="911"/>
      <c r="F6458" s="911"/>
      <c r="G6458" s="912" t="s">
        <v>2598</v>
      </c>
      <c r="H6458" s="912"/>
      <c r="I6458" s="912"/>
      <c r="J6458" s="912"/>
      <c r="K6458" s="913"/>
      <c r="L6458" s="911"/>
      <c r="M6458" s="911"/>
      <c r="N6458" s="911"/>
      <c r="O6458" s="914"/>
      <c r="P6458" s="911"/>
      <c r="Q6458" s="915"/>
      <c r="R6458" s="916"/>
      <c r="S6458" s="915"/>
      <c r="T6458" s="917"/>
      <c r="U6458" s="918"/>
      <c r="AR6458"/>
      <c r="AS6458" s="911"/>
    </row>
    <row r="6459" spans="1:45" s="886" customFormat="1" ht="11.4">
      <c r="A6459" s="919">
        <v>40</v>
      </c>
      <c r="B6459" s="920">
        <v>1</v>
      </c>
      <c r="C6459" s="920">
        <f>$A6459*$B6459</f>
        <v>40</v>
      </c>
      <c r="D6459" s="921" t="str">
        <f>Elec_Rates!$D$933</f>
        <v>086# Bracket for 400-600mm cable tray/basket</v>
      </c>
      <c r="E6459" s="921"/>
      <c r="F6459" s="921" t="s">
        <v>2599</v>
      </c>
      <c r="G6459" s="922" t="s">
        <v>2600</v>
      </c>
      <c r="H6459" s="922"/>
      <c r="I6459" s="922"/>
      <c r="J6459" s="922"/>
      <c r="K6459" s="923"/>
      <c r="L6459" s="918"/>
      <c r="M6459" s="918"/>
      <c r="N6459" s="918"/>
      <c r="O6459" s="924"/>
      <c r="P6459" s="921"/>
      <c r="Q6459" s="925">
        <f ca="1">$B6459*Elec_Rates!$R$933</f>
        <v>16.37</v>
      </c>
      <c r="R6459" s="916">
        <f ca="1">$A6459*Q6459</f>
        <v>654.80000000000007</v>
      </c>
      <c r="S6459" s="925">
        <f ca="1">$B6459*Elec_Rates!$T$933</f>
        <v>0.15</v>
      </c>
      <c r="T6459" s="917">
        <f ca="1">$A6459*S6459</f>
        <v>6</v>
      </c>
      <c r="U6459" s="926"/>
      <c r="AR6459" s="919">
        <v>40</v>
      </c>
      <c r="AS6459" s="921" t="s">
        <v>2599</v>
      </c>
    </row>
    <row r="6460" spans="1:45" s="520" customFormat="1" ht="12">
      <c r="A6460" s="758"/>
      <c r="B6460" s="758"/>
      <c r="C6460" s="758"/>
      <c r="D6460" s="758"/>
      <c r="E6460" s="758"/>
      <c r="F6460" s="753"/>
      <c r="G6460" s="758"/>
      <c r="H6460" s="758"/>
      <c r="I6460" s="519"/>
      <c r="J6460" s="758"/>
      <c r="K6460" s="758"/>
      <c r="L6460" s="758"/>
      <c r="M6460" s="758"/>
      <c r="N6460" s="758"/>
      <c r="O6460" s="758"/>
      <c r="P6460" s="758"/>
      <c r="Q6460" s="519"/>
      <c r="R6460" s="759">
        <f t="shared" ref="R6460" si="452">$A6460*Q6460</f>
        <v>0</v>
      </c>
      <c r="S6460" s="519"/>
      <c r="T6460" s="760">
        <f t="shared" ref="T6460" si="453">$A6460*S6460*$T$1</f>
        <v>0</v>
      </c>
      <c r="AR6460" s="758"/>
      <c r="AS6460" s="753"/>
    </row>
    <row r="6461" spans="1:45" s="520" customFormat="1" ht="12.6" thickBot="1">
      <c r="A6461" s="761" t="s">
        <v>145</v>
      </c>
      <c r="B6461" s="762">
        <f>(R6460+T6460)</f>
        <v>0</v>
      </c>
      <c r="C6461" s="763"/>
      <c r="D6461" s="763"/>
      <c r="E6461" s="763"/>
      <c r="F6461" s="764"/>
      <c r="G6461" s="763" t="s">
        <v>146</v>
      </c>
      <c r="H6461" s="763"/>
      <c r="I6461" s="765"/>
      <c r="J6461" s="763"/>
      <c r="K6461" s="763" t="s">
        <v>3</v>
      </c>
      <c r="L6461" s="766" t="s">
        <v>143</v>
      </c>
      <c r="M6461" s="766"/>
      <c r="N6461" s="766"/>
      <c r="O6461" s="766"/>
      <c r="P6461" s="766"/>
      <c r="Q6461" s="767"/>
      <c r="R6461" s="768">
        <f ca="1">SUM(R6455:R6460)</f>
        <v>1180</v>
      </c>
      <c r="S6461" s="763"/>
      <c r="T6461" s="768">
        <f ca="1">SUM(T6455:T6460)</f>
        <v>22.4</v>
      </c>
      <c r="U6461" s="531"/>
      <c r="V6461" s="531"/>
      <c r="W6461" s="531"/>
      <c r="X6461" s="531"/>
      <c r="Y6461" s="531"/>
      <c r="Z6461" s="531"/>
      <c r="AA6461" s="531"/>
      <c r="AB6461" s="531"/>
      <c r="AC6461" s="531"/>
      <c r="AD6461" s="531"/>
      <c r="AE6461" s="531"/>
      <c r="AF6461" s="531"/>
      <c r="AG6461" s="531"/>
      <c r="AH6461" s="531"/>
      <c r="AI6461" s="531"/>
      <c r="AJ6461" s="531"/>
      <c r="AK6461" s="531"/>
      <c r="AL6461" s="531"/>
      <c r="AM6461" s="531"/>
      <c r="AN6461" s="531"/>
      <c r="AO6461" s="531"/>
      <c r="AR6461" s="761" t="s">
        <v>145</v>
      </c>
      <c r="AS6461" s="764"/>
    </row>
    <row r="6462" spans="1:45" s="520" customFormat="1" thickTop="1">
      <c r="A6462" s="51"/>
      <c r="B6462" s="51"/>
      <c r="C6462" s="3"/>
      <c r="D6462" s="3"/>
      <c r="E6462" s="51"/>
      <c r="F6462" s="51"/>
      <c r="G6462" s="51"/>
      <c r="H6462" s="51"/>
      <c r="I6462" s="51"/>
      <c r="J6462" s="51"/>
      <c r="K6462" s="51" t="s">
        <v>134</v>
      </c>
      <c r="L6462" s="51"/>
      <c r="M6462" s="51"/>
      <c r="N6462" s="51"/>
      <c r="O6462" s="52"/>
      <c r="P6462" s="51"/>
      <c r="Q6462" s="51"/>
      <c r="R6462" s="51"/>
      <c r="S6462" s="51"/>
      <c r="T6462" s="51"/>
      <c r="AR6462" s="51"/>
      <c r="AS6462" s="51"/>
    </row>
    <row r="6463" spans="1:45" s="520" customFormat="1" ht="12">
      <c r="A6463" s="51"/>
      <c r="B6463" s="51"/>
      <c r="C6463" s="51" t="s">
        <v>135</v>
      </c>
      <c r="D6463" s="37"/>
      <c r="E6463" s="51"/>
      <c r="F6463" s="51"/>
      <c r="G6463" s="51"/>
      <c r="H6463" s="51"/>
      <c r="I6463" s="51"/>
      <c r="J6463" s="51"/>
      <c r="K6463" s="51"/>
      <c r="L6463" s="51"/>
      <c r="M6463" s="51"/>
      <c r="N6463" s="51"/>
      <c r="O6463" s="52"/>
      <c r="P6463" s="51"/>
      <c r="Q6463" s="51"/>
      <c r="R6463" s="51"/>
      <c r="S6463" s="51"/>
      <c r="T6463" s="51"/>
      <c r="AR6463" s="51"/>
      <c r="AS6463" s="51"/>
    </row>
    <row r="6464" spans="1:45" s="520" customFormat="1" ht="12">
      <c r="A6464" s="51"/>
      <c r="B6464" s="51"/>
      <c r="C6464" s="51"/>
      <c r="D6464" s="37" t="s">
        <v>928</v>
      </c>
      <c r="E6464" s="51"/>
      <c r="F6464" s="51"/>
      <c r="G6464" s="51"/>
      <c r="H6464" s="51"/>
      <c r="I6464" s="51"/>
      <c r="J6464" s="51"/>
      <c r="K6464" s="51"/>
      <c r="L6464" s="51"/>
      <c r="M6464" s="51"/>
      <c r="N6464" s="51"/>
      <c r="O6464" s="52"/>
      <c r="P6464" s="51"/>
      <c r="Q6464" s="51"/>
      <c r="R6464" s="51"/>
      <c r="S6464" s="38"/>
      <c r="T6464" s="38"/>
      <c r="AR6464" s="51"/>
      <c r="AS6464" s="51"/>
    </row>
    <row r="6465" spans="1:45" s="3" customFormat="1" thickBot="1">
      <c r="A6465" s="531"/>
      <c r="O6465" s="107"/>
      <c r="AR6465" s="531"/>
    </row>
    <row r="6466" spans="1:45" s="520" customFormat="1" ht="12" thickTop="1">
      <c r="A6466" s="51"/>
      <c r="B6466" s="41"/>
      <c r="C6466" s="51"/>
      <c r="E6466" s="42" t="s">
        <v>138</v>
      </c>
      <c r="F6466" s="42" t="s">
        <v>139</v>
      </c>
      <c r="G6466" s="51"/>
      <c r="H6466" s="51"/>
      <c r="I6466" s="51"/>
      <c r="J6466" s="51"/>
      <c r="K6466" s="51" t="s">
        <v>140</v>
      </c>
      <c r="L6466" s="51"/>
      <c r="M6466" s="51"/>
      <c r="N6466" s="51"/>
      <c r="O6466" s="52"/>
      <c r="P6466" s="51"/>
      <c r="Q6466" s="51"/>
      <c r="R6466" s="51"/>
      <c r="S6466" s="51"/>
      <c r="T6466" s="41"/>
      <c r="AG6466" s="521" t="s">
        <v>268</v>
      </c>
      <c r="AH6466" s="521" t="s">
        <v>269</v>
      </c>
      <c r="AI6466" s="521" t="s">
        <v>270</v>
      </c>
      <c r="AJ6466" s="521" t="s">
        <v>271</v>
      </c>
      <c r="AK6466" s="521" t="s">
        <v>272</v>
      </c>
      <c r="AM6466" s="745" t="s">
        <v>281</v>
      </c>
      <c r="AN6466" s="746" t="s">
        <v>282</v>
      </c>
      <c r="AO6466" s="522" t="s">
        <v>278</v>
      </c>
      <c r="AR6466" s="51"/>
      <c r="AS6466" s="42" t="s">
        <v>139</v>
      </c>
    </row>
    <row r="6467" spans="1:45" s="520" customFormat="1" ht="12" customHeight="1">
      <c r="A6467" s="747">
        <v>5</v>
      </c>
      <c r="B6467" s="523" t="s">
        <v>320</v>
      </c>
      <c r="C6467" s="748"/>
      <c r="D6467" s="749" t="s">
        <v>2008</v>
      </c>
      <c r="E6467" s="750">
        <f ca="1">IF(AND($A6467=0,$A$1="DIF"),0, ROUND(ROUND(($R6474*$S$2+($T6474*$T$2))/A6467,2)*$C$2,2))</f>
        <v>16.87</v>
      </c>
      <c r="F6467" s="751">
        <f ca="1">ROUND($A6467*$E6467,2)</f>
        <v>84.35</v>
      </c>
      <c r="G6467" s="752" t="s">
        <v>142</v>
      </c>
      <c r="H6467" s="753"/>
      <c r="I6467" s="754"/>
      <c r="J6467" s="753"/>
      <c r="K6467" s="753" t="s">
        <v>3</v>
      </c>
      <c r="L6467" s="755" t="s">
        <v>143</v>
      </c>
      <c r="M6467" s="755"/>
      <c r="N6467" s="755"/>
      <c r="O6467" s="755"/>
      <c r="P6467" s="755"/>
      <c r="Q6467" s="51"/>
      <c r="T6467" s="756" t="str">
        <f ca="1">IF(AND($R6474=0,$T6474=0),"0.00","mu :" &amp; ROUND($F6467/$C$2/($R6474+$T6474*$D$9),2))</f>
        <v>mu :1.23</v>
      </c>
      <c r="W6467" s="524"/>
      <c r="AG6467" s="481">
        <f ca="1">IF($E6467=0,0,ROUND($R6474*$S$2*$C$2/$A6467,2))</f>
        <v>7.75</v>
      </c>
      <c r="AH6467" s="481">
        <f ca="1">$AG6467*$A6467</f>
        <v>38.75</v>
      </c>
      <c r="AI6467" s="525">
        <f ca="1">$E6467-$AG6467</f>
        <v>9.120000000000001</v>
      </c>
      <c r="AJ6467" s="525">
        <f ca="1">$A6467*$AI6467</f>
        <v>45.600000000000009</v>
      </c>
      <c r="AK6467" s="526">
        <f ca="1">ROUND(($AG6467+$AI6467)*$A6467,2)</f>
        <v>84.35</v>
      </c>
      <c r="AM6467" s="527">
        <f ca="1">ROUND(R6474,2)</f>
        <v>31.45</v>
      </c>
      <c r="AN6467" s="528">
        <f ca="1">ROUND(T6474,2)</f>
        <v>1.35</v>
      </c>
      <c r="AO6467" s="529">
        <f ca="1">ROUND(AM6467+AN6467,2)*A6467</f>
        <v>164</v>
      </c>
      <c r="AR6467" s="747">
        <v>5</v>
      </c>
      <c r="AS6467" s="751">
        <v>89.45</v>
      </c>
    </row>
    <row r="6468" spans="1:45" s="520" customFormat="1" ht="13.2">
      <c r="A6468" s="748"/>
      <c r="B6468"/>
      <c r="C6468" s="748"/>
      <c r="D6468" s="749" t="s">
        <v>912</v>
      </c>
      <c r="F6468" s="753"/>
      <c r="G6468" s="3"/>
      <c r="H6468" s="753"/>
      <c r="I6468" s="754"/>
      <c r="J6468" s="753"/>
      <c r="K6468" s="753" t="s">
        <v>144</v>
      </c>
      <c r="L6468" s="753"/>
      <c r="M6468" s="753"/>
      <c r="N6468" s="753"/>
      <c r="O6468" s="753"/>
      <c r="P6468" s="753"/>
      <c r="Q6468" s="51"/>
      <c r="R6468" s="530"/>
      <c r="S6468" s="757"/>
      <c r="T6468" s="753"/>
      <c r="AR6468" s="748"/>
      <c r="AS6468" s="753"/>
    </row>
    <row r="6469" spans="1:45" s="886" customFormat="1" ht="13.2">
      <c r="A6469"/>
      <c r="B6469" s="910"/>
      <c r="C6469" s="910" t="s">
        <v>2597</v>
      </c>
      <c r="D6469" s="910" t="str">
        <f ca="1">CELL("Address",Elec_Rates!D$785)</f>
        <v>[E25_0062_Quintano_Foods_Elec_ELV_As_Awarded.xlsx]Elec_Rates!$D$785</v>
      </c>
      <c r="E6469" s="911"/>
      <c r="F6469" s="911"/>
      <c r="G6469" s="912" t="s">
        <v>2598</v>
      </c>
      <c r="H6469" s="912"/>
      <c r="I6469" s="912"/>
      <c r="J6469" s="912"/>
      <c r="K6469" s="913"/>
      <c r="L6469" s="911"/>
      <c r="M6469" s="911"/>
      <c r="N6469" s="911"/>
      <c r="O6469" s="914"/>
      <c r="P6469" s="911"/>
      <c r="Q6469" s="915"/>
      <c r="R6469" s="916"/>
      <c r="S6469" s="915"/>
      <c r="T6469" s="917"/>
      <c r="U6469" s="918"/>
      <c r="AR6469"/>
      <c r="AS6469" s="911"/>
    </row>
    <row r="6470" spans="1:45" s="886" customFormat="1" ht="11.4">
      <c r="A6470" s="919">
        <v>5</v>
      </c>
      <c r="B6470" s="920">
        <v>1</v>
      </c>
      <c r="C6470" s="920">
        <f>$A6470*$B6470</f>
        <v>5</v>
      </c>
      <c r="D6470" s="921" t="str">
        <f>Elec_Rates!$D$785</f>
        <v>075# 100mm cable Tray</v>
      </c>
      <c r="E6470" s="921"/>
      <c r="F6470" s="921" t="s">
        <v>2599</v>
      </c>
      <c r="G6470" s="922" t="s">
        <v>2601</v>
      </c>
      <c r="H6470" s="922"/>
      <c r="I6470" s="922"/>
      <c r="J6470" s="922"/>
      <c r="K6470" s="923"/>
      <c r="L6470" s="918"/>
      <c r="M6470" s="918"/>
      <c r="N6470" s="918"/>
      <c r="O6470" s="924"/>
      <c r="P6470" s="921"/>
      <c r="Q6470" s="925">
        <f ca="1">$B6470*Elec_Rates!$R$785</f>
        <v>3.92</v>
      </c>
      <c r="R6470" s="916">
        <f ca="1">$A6470*Q6470</f>
        <v>19.600000000000001</v>
      </c>
      <c r="S6470" s="925">
        <f ca="1">$B6470*Elec_Rates!$T$785</f>
        <v>0.18</v>
      </c>
      <c r="T6470" s="917">
        <f ca="1">$A6470*S6470</f>
        <v>0.89999999999999991</v>
      </c>
      <c r="U6470" s="926"/>
      <c r="AR6470" s="919">
        <v>5</v>
      </c>
      <c r="AS6470" s="921" t="s">
        <v>2599</v>
      </c>
    </row>
    <row r="6471" spans="1:45" s="886" customFormat="1" ht="13.2">
      <c r="A6471"/>
      <c r="B6471" s="910"/>
      <c r="C6471" s="910" t="s">
        <v>2597</v>
      </c>
      <c r="D6471" s="910" t="str">
        <f ca="1">CELL("Address",Elec_Rates!D$907)</f>
        <v>[E25_0062_Quintano_Foods_Elec_ELV_As_Awarded.xlsx]Elec_Rates!$D$907</v>
      </c>
      <c r="E6471" s="911"/>
      <c r="F6471" s="911"/>
      <c r="G6471" s="912" t="s">
        <v>2598</v>
      </c>
      <c r="H6471" s="912"/>
      <c r="I6471" s="912"/>
      <c r="J6471" s="912"/>
      <c r="K6471" s="913"/>
      <c r="L6471" s="911"/>
      <c r="M6471" s="911"/>
      <c r="N6471" s="911"/>
      <c r="O6471" s="914"/>
      <c r="P6471" s="911"/>
      <c r="Q6471" s="915"/>
      <c r="R6471" s="916"/>
      <c r="S6471" s="915"/>
      <c r="T6471" s="917"/>
      <c r="U6471" s="918"/>
      <c r="AR6471"/>
      <c r="AS6471" s="911"/>
    </row>
    <row r="6472" spans="1:45" s="886" customFormat="1" ht="11.4">
      <c r="A6472" s="919">
        <v>5</v>
      </c>
      <c r="B6472" s="920">
        <v>1</v>
      </c>
      <c r="C6472" s="920">
        <f>$A6472*$B6472</f>
        <v>5</v>
      </c>
      <c r="D6472" s="921" t="str">
        <f>Elec_Rates!$D$907</f>
        <v>084# Bracket for 50-150mm cable tray/basket/trunking</v>
      </c>
      <c r="E6472" s="921"/>
      <c r="F6472" s="921" t="s">
        <v>2599</v>
      </c>
      <c r="G6472" s="922" t="s">
        <v>2600</v>
      </c>
      <c r="H6472" s="922"/>
      <c r="I6472" s="922"/>
      <c r="J6472" s="922"/>
      <c r="K6472" s="923"/>
      <c r="L6472" s="918"/>
      <c r="M6472" s="918"/>
      <c r="N6472" s="918"/>
      <c r="O6472" s="924"/>
      <c r="P6472" s="921"/>
      <c r="Q6472" s="925">
        <f ca="1">$B6472*Elec_Rates!$R$907</f>
        <v>2.37</v>
      </c>
      <c r="R6472" s="916">
        <f ca="1">$A6472*Q6472</f>
        <v>11.850000000000001</v>
      </c>
      <c r="S6472" s="925">
        <f ca="1">$B6472*Elec_Rates!$T$907</f>
        <v>0.09</v>
      </c>
      <c r="T6472" s="917">
        <f ca="1">$A6472*S6472</f>
        <v>0.44999999999999996</v>
      </c>
      <c r="U6472" s="926"/>
      <c r="AR6472" s="919">
        <v>5</v>
      </c>
      <c r="AS6472" s="921" t="s">
        <v>2599</v>
      </c>
    </row>
    <row r="6473" spans="1:45" s="520" customFormat="1" ht="12">
      <c r="A6473" s="758"/>
      <c r="B6473" s="758"/>
      <c r="C6473" s="758"/>
      <c r="D6473" s="758"/>
      <c r="E6473" s="758"/>
      <c r="F6473" s="753"/>
      <c r="G6473" s="758"/>
      <c r="H6473" s="758"/>
      <c r="I6473" s="519"/>
      <c r="J6473" s="758"/>
      <c r="K6473" s="758"/>
      <c r="L6473" s="758"/>
      <c r="M6473" s="758"/>
      <c r="N6473" s="758"/>
      <c r="O6473" s="758"/>
      <c r="P6473" s="758"/>
      <c r="Q6473" s="519"/>
      <c r="R6473" s="759">
        <f t="shared" ref="R6473" si="454">$A6473*Q6473</f>
        <v>0</v>
      </c>
      <c r="S6473" s="519"/>
      <c r="T6473" s="760">
        <f t="shared" ref="T6473" si="455">$A6473*S6473*$T$1</f>
        <v>0</v>
      </c>
      <c r="AR6473" s="758"/>
      <c r="AS6473" s="753"/>
    </row>
    <row r="6474" spans="1:45" s="520" customFormat="1" ht="12.6" thickBot="1">
      <c r="A6474" s="761" t="s">
        <v>145</v>
      </c>
      <c r="B6474" s="762">
        <f>(R6473+T6473)</f>
        <v>0</v>
      </c>
      <c r="C6474" s="763"/>
      <c r="D6474" s="763"/>
      <c r="E6474" s="763"/>
      <c r="F6474" s="764"/>
      <c r="G6474" s="763" t="s">
        <v>146</v>
      </c>
      <c r="H6474" s="763"/>
      <c r="I6474" s="765"/>
      <c r="J6474" s="763"/>
      <c r="K6474" s="763" t="s">
        <v>3</v>
      </c>
      <c r="L6474" s="766" t="s">
        <v>143</v>
      </c>
      <c r="M6474" s="766"/>
      <c r="N6474" s="766"/>
      <c r="O6474" s="766"/>
      <c r="P6474" s="766"/>
      <c r="Q6474" s="767"/>
      <c r="R6474" s="768">
        <f ca="1">SUM(R6468:R6473)</f>
        <v>31.450000000000003</v>
      </c>
      <c r="S6474" s="763"/>
      <c r="T6474" s="768">
        <f ca="1">SUM(T6468:T6473)</f>
        <v>1.3499999999999999</v>
      </c>
      <c r="U6474" s="531"/>
      <c r="V6474" s="531"/>
      <c r="W6474" s="531"/>
      <c r="X6474" s="531"/>
      <c r="Y6474" s="531"/>
      <c r="Z6474" s="531"/>
      <c r="AA6474" s="531"/>
      <c r="AB6474" s="531"/>
      <c r="AC6474" s="531"/>
      <c r="AD6474" s="531"/>
      <c r="AE6474" s="531"/>
      <c r="AF6474" s="531"/>
      <c r="AG6474" s="531"/>
      <c r="AH6474" s="531"/>
      <c r="AI6474" s="531"/>
      <c r="AJ6474" s="531"/>
      <c r="AK6474" s="531"/>
      <c r="AL6474" s="531"/>
      <c r="AM6474" s="531"/>
      <c r="AN6474" s="531"/>
      <c r="AO6474" s="531"/>
      <c r="AR6474" s="761" t="s">
        <v>145</v>
      </c>
      <c r="AS6474" s="764"/>
    </row>
    <row r="6475" spans="1:45" s="520" customFormat="1" thickTop="1">
      <c r="A6475" s="51"/>
      <c r="B6475" s="51"/>
      <c r="C6475" s="3"/>
      <c r="D6475" s="3"/>
      <c r="E6475" s="51"/>
      <c r="F6475" s="51"/>
      <c r="G6475" s="51"/>
      <c r="H6475" s="51"/>
      <c r="I6475" s="51"/>
      <c r="J6475" s="51"/>
      <c r="K6475" s="51" t="s">
        <v>134</v>
      </c>
      <c r="L6475" s="51"/>
      <c r="M6475" s="51"/>
      <c r="N6475" s="51"/>
      <c r="O6475" s="52"/>
      <c r="P6475" s="51"/>
      <c r="Q6475" s="51"/>
      <c r="R6475" s="51"/>
      <c r="S6475" s="51"/>
      <c r="T6475" s="51"/>
      <c r="AR6475" s="51"/>
      <c r="AS6475" s="51"/>
    </row>
    <row r="6476" spans="1:45" s="520" customFormat="1" ht="12">
      <c r="A6476" s="51"/>
      <c r="B6476" s="51"/>
      <c r="C6476" s="51" t="s">
        <v>135</v>
      </c>
      <c r="D6476" s="37"/>
      <c r="E6476" s="51"/>
      <c r="F6476" s="51"/>
      <c r="G6476" s="51"/>
      <c r="H6476" s="51"/>
      <c r="I6476" s="51"/>
      <c r="J6476" s="51"/>
      <c r="K6476" s="51"/>
      <c r="L6476" s="51"/>
      <c r="M6476" s="51"/>
      <c r="N6476" s="51"/>
      <c r="O6476" s="52"/>
      <c r="P6476" s="51"/>
      <c r="Q6476" s="51"/>
      <c r="R6476" s="51"/>
      <c r="S6476" s="51"/>
      <c r="T6476" s="51"/>
      <c r="AR6476" s="51"/>
      <c r="AS6476" s="51"/>
    </row>
    <row r="6477" spans="1:45" s="520" customFormat="1" ht="12">
      <c r="A6477" s="51"/>
      <c r="B6477" s="51"/>
      <c r="C6477" s="51"/>
      <c r="D6477" s="37" t="s">
        <v>918</v>
      </c>
      <c r="E6477" s="51"/>
      <c r="F6477" s="51"/>
      <c r="G6477" s="51"/>
      <c r="H6477" s="51"/>
      <c r="I6477" s="51"/>
      <c r="J6477" s="51"/>
      <c r="K6477" s="51"/>
      <c r="L6477" s="51"/>
      <c r="M6477" s="51"/>
      <c r="N6477" s="51"/>
      <c r="O6477" s="52"/>
      <c r="P6477" s="51"/>
      <c r="Q6477" s="51"/>
      <c r="R6477" s="51"/>
      <c r="S6477" s="38"/>
      <c r="T6477" s="38"/>
      <c r="AR6477" s="51"/>
      <c r="AS6477" s="51"/>
    </row>
    <row r="6478" spans="1:45" s="3" customFormat="1" thickBot="1">
      <c r="A6478" s="531"/>
      <c r="O6478" s="107"/>
      <c r="AR6478" s="531"/>
    </row>
    <row r="6479" spans="1:45" s="520" customFormat="1" ht="12" thickTop="1">
      <c r="A6479" s="51"/>
      <c r="B6479" s="41"/>
      <c r="C6479" s="51"/>
      <c r="E6479" s="42" t="s">
        <v>138</v>
      </c>
      <c r="F6479" s="42" t="s">
        <v>139</v>
      </c>
      <c r="G6479" s="51"/>
      <c r="H6479" s="51"/>
      <c r="I6479" s="51"/>
      <c r="J6479" s="51"/>
      <c r="K6479" s="51" t="s">
        <v>140</v>
      </c>
      <c r="L6479" s="51"/>
      <c r="M6479" s="51"/>
      <c r="N6479" s="51"/>
      <c r="O6479" s="52"/>
      <c r="P6479" s="51"/>
      <c r="Q6479" s="51"/>
      <c r="R6479" s="51"/>
      <c r="S6479" s="51"/>
      <c r="T6479" s="41"/>
      <c r="AG6479" s="521" t="s">
        <v>268</v>
      </c>
      <c r="AH6479" s="521" t="s">
        <v>269</v>
      </c>
      <c r="AI6479" s="521" t="s">
        <v>270</v>
      </c>
      <c r="AJ6479" s="521" t="s">
        <v>271</v>
      </c>
      <c r="AK6479" s="521" t="s">
        <v>272</v>
      </c>
      <c r="AM6479" s="745" t="s">
        <v>281</v>
      </c>
      <c r="AN6479" s="746" t="s">
        <v>282</v>
      </c>
      <c r="AO6479" s="522" t="s">
        <v>278</v>
      </c>
      <c r="AR6479" s="51"/>
      <c r="AS6479" s="42" t="s">
        <v>139</v>
      </c>
    </row>
    <row r="6480" spans="1:45" s="520" customFormat="1" ht="12" customHeight="1">
      <c r="A6480" s="747">
        <v>10</v>
      </c>
      <c r="B6480" s="523" t="s">
        <v>320</v>
      </c>
      <c r="C6480" s="748"/>
      <c r="D6480" s="749" t="s">
        <v>2009</v>
      </c>
      <c r="E6480" s="750">
        <f ca="1">IF(AND($A6480=0,$A$1="DIF"),0, ROUND(ROUND(($R6487*$S$2+($T6487*$T$2))/A6480,2)*$C$2,2))</f>
        <v>0</v>
      </c>
      <c r="F6480" s="751">
        <f ca="1">ROUND($A6480*$E6480,2)</f>
        <v>0</v>
      </c>
      <c r="G6480" s="752" t="s">
        <v>142</v>
      </c>
      <c r="H6480" s="753"/>
      <c r="I6480" s="754"/>
      <c r="J6480" s="753"/>
      <c r="K6480" s="753" t="s">
        <v>3</v>
      </c>
      <c r="L6480" s="755" t="s">
        <v>143</v>
      </c>
      <c r="M6480" s="755"/>
      <c r="N6480" s="755"/>
      <c r="O6480" s="755"/>
      <c r="P6480" s="755"/>
      <c r="Q6480" s="1178" t="s">
        <v>3848</v>
      </c>
      <c r="T6480" s="756" t="str">
        <f ca="1">IF(AND($R6487=0,$T6487=0),"0.00","mu :" &amp; ROUND($F6480/$C$2/($R6487+$T6487*$D$9),2))</f>
        <v>0.00</v>
      </c>
      <c r="W6480" s="524"/>
      <c r="AG6480" s="481">
        <f ca="1">IF($E6480=0,0,ROUND($R6487*$S$2*$C$2/$A6480,2))</f>
        <v>0</v>
      </c>
      <c r="AH6480" s="481">
        <f ca="1">$AG6480*$A6480</f>
        <v>0</v>
      </c>
      <c r="AI6480" s="525">
        <f ca="1">$E6480-$AG6480</f>
        <v>0</v>
      </c>
      <c r="AJ6480" s="525">
        <f ca="1">$A6480*$AI6480</f>
        <v>0</v>
      </c>
      <c r="AK6480" s="526">
        <f ca="1">ROUND(($AG6480+$AI6480)*$A6480,2)</f>
        <v>0</v>
      </c>
      <c r="AM6480" s="527">
        <f ca="1">ROUND(R6487,2)</f>
        <v>0</v>
      </c>
      <c r="AN6480" s="528">
        <f ca="1">ROUND(T6487,2)</f>
        <v>0</v>
      </c>
      <c r="AO6480" s="529">
        <f ca="1">ROUND(AM6480+AN6480,2)*A6480</f>
        <v>0</v>
      </c>
      <c r="AR6480" s="747">
        <v>10</v>
      </c>
      <c r="AS6480" s="751">
        <v>229.6</v>
      </c>
    </row>
    <row r="6481" spans="1:45" s="520" customFormat="1" ht="13.2">
      <c r="A6481" s="748"/>
      <c r="B6481"/>
      <c r="C6481" s="748"/>
      <c r="D6481" s="749" t="s">
        <v>913</v>
      </c>
      <c r="F6481" s="753"/>
      <c r="G6481" s="3"/>
      <c r="H6481" s="753"/>
      <c r="I6481" s="754"/>
      <c r="J6481" s="753"/>
      <c r="K6481" s="753" t="s">
        <v>144</v>
      </c>
      <c r="L6481" s="753"/>
      <c r="M6481" s="753"/>
      <c r="N6481" s="753"/>
      <c r="O6481" s="753"/>
      <c r="P6481" s="753"/>
      <c r="Q6481" s="51"/>
      <c r="R6481" s="530"/>
      <c r="S6481" s="757"/>
      <c r="T6481" s="753"/>
      <c r="AR6481" s="748"/>
      <c r="AS6481" s="753"/>
    </row>
    <row r="6482" spans="1:45" s="1336" customFormat="1" ht="13.2">
      <c r="A6482" s="1086"/>
      <c r="B6482" s="1328"/>
      <c r="C6482" s="1328" t="s">
        <v>2597</v>
      </c>
      <c r="D6482" s="1328" t="str">
        <f ca="1">CELL("Address",Elec_Rates!D$774)</f>
        <v>[E25_0062_Quintano_Foods_Elec_ELV_As_Awarded.xlsx]Elec_Rates!$D$774</v>
      </c>
      <c r="E6482" s="1060"/>
      <c r="F6482" s="1060"/>
      <c r="G6482" s="1329" t="s">
        <v>2598</v>
      </c>
      <c r="H6482" s="1329"/>
      <c r="I6482" s="1329"/>
      <c r="J6482" s="1329"/>
      <c r="K6482" s="1330"/>
      <c r="L6482" s="1060"/>
      <c r="M6482" s="1060"/>
      <c r="N6482" s="1060"/>
      <c r="O6482" s="1331"/>
      <c r="P6482" s="1060"/>
      <c r="Q6482" s="1332"/>
      <c r="R6482" s="1333"/>
      <c r="S6482" s="1332"/>
      <c r="T6482" s="1334"/>
      <c r="U6482" s="1335"/>
      <c r="AR6482" s="1086"/>
      <c r="AS6482" s="1060"/>
    </row>
    <row r="6483" spans="1:45" s="1336" customFormat="1" ht="11.4">
      <c r="A6483" s="1337">
        <v>0</v>
      </c>
      <c r="B6483" s="1338">
        <v>1</v>
      </c>
      <c r="C6483" s="1338">
        <f>$A6483*$B6483</f>
        <v>0</v>
      </c>
      <c r="D6483" s="1339" t="str">
        <f>Elec_Rates!$D$774</f>
        <v>074# 200mm cable Tray</v>
      </c>
      <c r="E6483" s="1339"/>
      <c r="F6483" s="1339" t="s">
        <v>2599</v>
      </c>
      <c r="G6483" s="1340" t="s">
        <v>2600</v>
      </c>
      <c r="H6483" s="1340"/>
      <c r="I6483" s="1340"/>
      <c r="J6483" s="1340"/>
      <c r="K6483" s="1341"/>
      <c r="L6483" s="1335"/>
      <c r="M6483" s="1335"/>
      <c r="N6483" s="1335"/>
      <c r="O6483" s="1342"/>
      <c r="P6483" s="1339"/>
      <c r="Q6483" s="1343">
        <f ca="1">$B6483*Elec_Rates!$R$774</f>
        <v>5.18</v>
      </c>
      <c r="R6483" s="1333">
        <f ca="1">$A6483*Q6483</f>
        <v>0</v>
      </c>
      <c r="S6483" s="1343">
        <f ca="1">$B6483*Elec_Rates!$T$774</f>
        <v>0.27</v>
      </c>
      <c r="T6483" s="1334">
        <f ca="1">$A6483*S6483</f>
        <v>0</v>
      </c>
      <c r="U6483" s="1344"/>
      <c r="AR6483" s="1337">
        <v>10</v>
      </c>
      <c r="AS6483" s="1339" t="s">
        <v>2599</v>
      </c>
    </row>
    <row r="6484" spans="1:45" s="1336" customFormat="1" ht="13.2">
      <c r="A6484" s="1086"/>
      <c r="B6484" s="1328"/>
      <c r="C6484" s="1328" t="s">
        <v>2597</v>
      </c>
      <c r="D6484" s="1328" t="str">
        <f ca="1">CELL("Address",Elec_Rates!D$920)</f>
        <v>[E25_0062_Quintano_Foods_Elec_ELV_As_Awarded.xlsx]Elec_Rates!$D$920</v>
      </c>
      <c r="E6484" s="1060"/>
      <c r="F6484" s="1060"/>
      <c r="G6484" s="1329" t="s">
        <v>2598</v>
      </c>
      <c r="H6484" s="1329"/>
      <c r="I6484" s="1329"/>
      <c r="J6484" s="1329"/>
      <c r="K6484" s="1330"/>
      <c r="L6484" s="1060"/>
      <c r="M6484" s="1060"/>
      <c r="N6484" s="1060"/>
      <c r="O6484" s="1331"/>
      <c r="P6484" s="1060"/>
      <c r="Q6484" s="1332"/>
      <c r="R6484" s="1333"/>
      <c r="S6484" s="1332"/>
      <c r="T6484" s="1334"/>
      <c r="U6484" s="1335"/>
      <c r="AR6484" s="1086"/>
      <c r="AS6484" s="1060"/>
    </row>
    <row r="6485" spans="1:45" s="1336" customFormat="1" ht="11.4">
      <c r="A6485" s="1337">
        <v>0</v>
      </c>
      <c r="B6485" s="1338">
        <v>1</v>
      </c>
      <c r="C6485" s="1338">
        <f>$A6485*$B6485</f>
        <v>0</v>
      </c>
      <c r="D6485" s="1339" t="str">
        <f>Elec_Rates!$D$920</f>
        <v>085# Bracket for 200-300mm cable tray/basket</v>
      </c>
      <c r="E6485" s="1339"/>
      <c r="F6485" s="1339" t="s">
        <v>2599</v>
      </c>
      <c r="G6485" s="1340" t="s">
        <v>2601</v>
      </c>
      <c r="H6485" s="1340"/>
      <c r="I6485" s="1340"/>
      <c r="J6485" s="1340"/>
      <c r="K6485" s="1341"/>
      <c r="L6485" s="1335"/>
      <c r="M6485" s="1335"/>
      <c r="N6485" s="1335"/>
      <c r="O6485" s="1342"/>
      <c r="P6485" s="1339"/>
      <c r="Q6485" s="1343">
        <f ca="1">$B6485*Elec_Rates!$R$920</f>
        <v>2.48</v>
      </c>
      <c r="R6485" s="1333">
        <f ca="1">$A6485*Q6485</f>
        <v>0</v>
      </c>
      <c r="S6485" s="1343">
        <f ca="1">$B6485*Elec_Rates!$T$920</f>
        <v>0.09</v>
      </c>
      <c r="T6485" s="1334">
        <f ca="1">$A6485*S6485</f>
        <v>0</v>
      </c>
      <c r="U6485" s="1344"/>
      <c r="AR6485" s="1337">
        <v>10</v>
      </c>
      <c r="AS6485" s="1339" t="s">
        <v>2599</v>
      </c>
    </row>
    <row r="6486" spans="1:45" s="520" customFormat="1" ht="12">
      <c r="A6486" s="758"/>
      <c r="B6486" s="758"/>
      <c r="C6486" s="758"/>
      <c r="D6486" s="758"/>
      <c r="E6486" s="758"/>
      <c r="F6486" s="753"/>
      <c r="G6486" s="758"/>
      <c r="H6486" s="758"/>
      <c r="I6486" s="519"/>
      <c r="J6486" s="758"/>
      <c r="K6486" s="758"/>
      <c r="L6486" s="758"/>
      <c r="M6486" s="758"/>
      <c r="N6486" s="758"/>
      <c r="O6486" s="758"/>
      <c r="P6486" s="758"/>
      <c r="Q6486" s="519"/>
      <c r="R6486" s="759">
        <f t="shared" ref="R6486" si="456">$A6486*Q6486</f>
        <v>0</v>
      </c>
      <c r="S6486" s="519"/>
      <c r="T6486" s="760">
        <f t="shared" ref="T6486" si="457">$A6486*S6486*$T$1</f>
        <v>0</v>
      </c>
      <c r="AR6486" s="758"/>
      <c r="AS6486" s="753"/>
    </row>
    <row r="6487" spans="1:45" s="520" customFormat="1" ht="12.6" thickBot="1">
      <c r="A6487" s="761" t="s">
        <v>145</v>
      </c>
      <c r="B6487" s="762">
        <f>(R6486+T6486)</f>
        <v>0</v>
      </c>
      <c r="C6487" s="763"/>
      <c r="D6487" s="763"/>
      <c r="E6487" s="763"/>
      <c r="F6487" s="764"/>
      <c r="G6487" s="763" t="s">
        <v>146</v>
      </c>
      <c r="H6487" s="763"/>
      <c r="I6487" s="765"/>
      <c r="J6487" s="763"/>
      <c r="K6487" s="763" t="s">
        <v>3</v>
      </c>
      <c r="L6487" s="766" t="s">
        <v>143</v>
      </c>
      <c r="M6487" s="766"/>
      <c r="N6487" s="766"/>
      <c r="O6487" s="766"/>
      <c r="P6487" s="766"/>
      <c r="Q6487" s="767"/>
      <c r="R6487" s="768">
        <f ca="1">SUM(R6481:R6486)</f>
        <v>0</v>
      </c>
      <c r="S6487" s="763"/>
      <c r="T6487" s="768">
        <f ca="1">SUM(T6481:T6486)</f>
        <v>0</v>
      </c>
      <c r="U6487" s="531"/>
      <c r="V6487" s="531"/>
      <c r="W6487" s="531"/>
      <c r="X6487" s="531"/>
      <c r="Y6487" s="531"/>
      <c r="Z6487" s="531"/>
      <c r="AA6487" s="531"/>
      <c r="AB6487" s="531"/>
      <c r="AC6487" s="531"/>
      <c r="AD6487" s="531"/>
      <c r="AE6487" s="531"/>
      <c r="AF6487" s="531"/>
      <c r="AG6487" s="531"/>
      <c r="AH6487" s="531"/>
      <c r="AI6487" s="531"/>
      <c r="AJ6487" s="531"/>
      <c r="AK6487" s="531"/>
      <c r="AL6487" s="531"/>
      <c r="AM6487" s="531"/>
      <c r="AN6487" s="531"/>
      <c r="AO6487" s="531"/>
      <c r="AR6487" s="761" t="s">
        <v>145</v>
      </c>
      <c r="AS6487" s="764"/>
    </row>
    <row r="6488" spans="1:45" s="520" customFormat="1" ht="12" thickTop="1">
      <c r="A6488" s="51"/>
      <c r="B6488" s="41"/>
      <c r="C6488" s="51"/>
      <c r="E6488" s="42" t="s">
        <v>138</v>
      </c>
      <c r="F6488" s="42" t="s">
        <v>139</v>
      </c>
      <c r="G6488" s="51"/>
      <c r="H6488" s="51"/>
      <c r="I6488" s="51"/>
      <c r="J6488" s="51"/>
      <c r="K6488" s="51" t="s">
        <v>140</v>
      </c>
      <c r="L6488" s="51"/>
      <c r="M6488" s="51"/>
      <c r="N6488" s="51"/>
      <c r="O6488" s="52"/>
      <c r="P6488" s="51"/>
      <c r="Q6488" s="51"/>
      <c r="R6488" s="51"/>
      <c r="S6488" s="51"/>
      <c r="T6488" s="41"/>
      <c r="AG6488" s="521" t="s">
        <v>268</v>
      </c>
      <c r="AH6488" s="521" t="s">
        <v>269</v>
      </c>
      <c r="AI6488" s="521" t="s">
        <v>270</v>
      </c>
      <c r="AJ6488" s="521" t="s">
        <v>271</v>
      </c>
      <c r="AK6488" s="521" t="s">
        <v>272</v>
      </c>
      <c r="AM6488" s="745" t="s">
        <v>281</v>
      </c>
      <c r="AN6488" s="746" t="s">
        <v>282</v>
      </c>
      <c r="AO6488" s="522" t="s">
        <v>278</v>
      </c>
      <c r="AR6488" s="51"/>
      <c r="AS6488" s="42" t="s">
        <v>139</v>
      </c>
    </row>
    <row r="6489" spans="1:45" s="520" customFormat="1" ht="12" customHeight="1">
      <c r="A6489" s="747">
        <v>10</v>
      </c>
      <c r="B6489" s="523" t="s">
        <v>320</v>
      </c>
      <c r="C6489" s="748"/>
      <c r="D6489" s="749" t="s">
        <v>2010</v>
      </c>
      <c r="E6489" s="750">
        <f ca="1">IF(AND($A6489=0,$A$1="DIF"),0, ROUND(ROUND(($R6496*$S$2+($T6496*$T$2))/A6489,2)*$C$2,2))</f>
        <v>0</v>
      </c>
      <c r="F6489" s="751">
        <f ca="1">ROUND($A6489*$E6489,2)</f>
        <v>0</v>
      </c>
      <c r="G6489" s="752" t="s">
        <v>142</v>
      </c>
      <c r="H6489" s="753"/>
      <c r="I6489" s="754"/>
      <c r="J6489" s="753"/>
      <c r="K6489" s="753" t="s">
        <v>3</v>
      </c>
      <c r="L6489" s="755" t="s">
        <v>143</v>
      </c>
      <c r="M6489" s="755"/>
      <c r="N6489" s="755"/>
      <c r="O6489" s="755"/>
      <c r="P6489" s="755"/>
      <c r="Q6489" s="1178" t="s">
        <v>3848</v>
      </c>
      <c r="T6489" s="756" t="str">
        <f ca="1">IF(AND($R6496=0,$T6496=0),"0.00","mu :" &amp; ROUND($F6489/$C$2/($R6496+$T6496*$D$9),2))</f>
        <v>0.00</v>
      </c>
      <c r="W6489" s="524"/>
      <c r="AG6489" s="481">
        <f ca="1">IF($E6489=0,0,ROUND($R6496*$S$2*$C$2/$A6489,2))</f>
        <v>0</v>
      </c>
      <c r="AH6489" s="481">
        <f ca="1">$AG6489*$A6489</f>
        <v>0</v>
      </c>
      <c r="AI6489" s="525">
        <f ca="1">$E6489-$AG6489</f>
        <v>0</v>
      </c>
      <c r="AJ6489" s="525">
        <f ca="1">$A6489*$AI6489</f>
        <v>0</v>
      </c>
      <c r="AK6489" s="526">
        <f ca="1">ROUND(($AG6489+$AI6489)*$A6489,2)</f>
        <v>0</v>
      </c>
      <c r="AM6489" s="527">
        <f ca="1">ROUND(R6496,2)</f>
        <v>0</v>
      </c>
      <c r="AN6489" s="528">
        <f ca="1">ROUND(T6496,2)</f>
        <v>0</v>
      </c>
      <c r="AO6489" s="529">
        <f ca="1">ROUND(AM6489+AN6489,2)*A6489</f>
        <v>0</v>
      </c>
      <c r="AR6489" s="747">
        <v>10</v>
      </c>
      <c r="AS6489" s="751">
        <v>572.9</v>
      </c>
    </row>
    <row r="6490" spans="1:45" s="520" customFormat="1" ht="13.2">
      <c r="A6490" s="748"/>
      <c r="B6490"/>
      <c r="C6490" s="748"/>
      <c r="D6490" s="749" t="s">
        <v>917</v>
      </c>
      <c r="F6490" s="753"/>
      <c r="G6490" s="3"/>
      <c r="H6490" s="753"/>
      <c r="I6490" s="754"/>
      <c r="J6490" s="753"/>
      <c r="K6490" s="753" t="s">
        <v>144</v>
      </c>
      <c r="L6490" s="753"/>
      <c r="M6490" s="753"/>
      <c r="N6490" s="753"/>
      <c r="O6490" s="753"/>
      <c r="P6490" s="753"/>
      <c r="Q6490" s="51"/>
      <c r="R6490" s="530"/>
      <c r="S6490" s="757"/>
      <c r="T6490" s="753"/>
      <c r="AR6490" s="748"/>
      <c r="AS6490" s="753"/>
    </row>
    <row r="6491" spans="1:45" s="1336" customFormat="1" ht="13.2">
      <c r="A6491" s="1086"/>
      <c r="B6491" s="1328"/>
      <c r="C6491" s="1328" t="s">
        <v>2597</v>
      </c>
      <c r="D6491" s="1328" t="str">
        <f ca="1">CELL("Address",Elec_Rates!D$739)</f>
        <v>[E25_0062_Quintano_Foods_Elec_ELV_As_Awarded.xlsx]Elec_Rates!$D$739</v>
      </c>
      <c r="E6491" s="1060"/>
      <c r="F6491" s="1060"/>
      <c r="G6491" s="1329" t="s">
        <v>2598</v>
      </c>
      <c r="H6491" s="1329"/>
      <c r="I6491" s="1329"/>
      <c r="J6491" s="1329"/>
      <c r="K6491" s="1330"/>
      <c r="L6491" s="1060"/>
      <c r="M6491" s="1060"/>
      <c r="N6491" s="1060"/>
      <c r="O6491" s="1331"/>
      <c r="P6491" s="1060"/>
      <c r="Q6491" s="1332"/>
      <c r="R6491" s="1333"/>
      <c r="S6491" s="1332"/>
      <c r="T6491" s="1334"/>
      <c r="U6491" s="1335"/>
      <c r="AR6491" s="1086"/>
      <c r="AS6491" s="1060"/>
    </row>
    <row r="6492" spans="1:45" s="1336" customFormat="1" ht="11.4">
      <c r="A6492" s="1337">
        <v>0</v>
      </c>
      <c r="B6492" s="1338">
        <v>1</v>
      </c>
      <c r="C6492" s="1338">
        <f>$A6492*$B6492</f>
        <v>0</v>
      </c>
      <c r="D6492" s="1339" t="str">
        <f>Elec_Rates!$D$739</f>
        <v>071# 500mm cable Tray</v>
      </c>
      <c r="E6492" s="1339"/>
      <c r="F6492" s="1339" t="s">
        <v>2599</v>
      </c>
      <c r="G6492" s="1340" t="s">
        <v>2601</v>
      </c>
      <c r="H6492" s="1340"/>
      <c r="I6492" s="1340"/>
      <c r="J6492" s="1340"/>
      <c r="K6492" s="1341"/>
      <c r="L6492" s="1335"/>
      <c r="M6492" s="1335"/>
      <c r="N6492" s="1335"/>
      <c r="O6492" s="1342"/>
      <c r="P6492" s="1339"/>
      <c r="Q6492" s="1343">
        <f ca="1">$B6492*Elec_Rates!$R$739</f>
        <v>13.13</v>
      </c>
      <c r="R6492" s="1333">
        <f ca="1">$A6492*Q6492</f>
        <v>0</v>
      </c>
      <c r="S6492" s="1343">
        <f ca="1">$B6492*Elec_Rates!$T$739</f>
        <v>0.41</v>
      </c>
      <c r="T6492" s="1334">
        <f ca="1">$A6492*S6492</f>
        <v>0</v>
      </c>
      <c r="U6492" s="1344"/>
      <c r="AR6492" s="1337">
        <v>10</v>
      </c>
      <c r="AS6492" s="1339" t="s">
        <v>2599</v>
      </c>
    </row>
    <row r="6493" spans="1:45" s="1336" customFormat="1" ht="13.2">
      <c r="A6493" s="1086"/>
      <c r="B6493" s="1328"/>
      <c r="C6493" s="1328" t="s">
        <v>2597</v>
      </c>
      <c r="D6493" s="1328" t="str">
        <f ca="1">CELL("Address",Elec_Rates!D$933)</f>
        <v>[E25_0062_Quintano_Foods_Elec_ELV_As_Awarded.xlsx]Elec_Rates!$D$933</v>
      </c>
      <c r="E6493" s="1060"/>
      <c r="F6493" s="1060"/>
      <c r="G6493" s="1329" t="s">
        <v>2598</v>
      </c>
      <c r="H6493" s="1329"/>
      <c r="I6493" s="1329"/>
      <c r="J6493" s="1329"/>
      <c r="K6493" s="1330"/>
      <c r="L6493" s="1060"/>
      <c r="M6493" s="1060"/>
      <c r="N6493" s="1060"/>
      <c r="O6493" s="1331"/>
      <c r="P6493" s="1060"/>
      <c r="Q6493" s="1332"/>
      <c r="R6493" s="1333"/>
      <c r="S6493" s="1332"/>
      <c r="T6493" s="1334"/>
      <c r="U6493" s="1335"/>
      <c r="AR6493" s="1086"/>
      <c r="AS6493" s="1060"/>
    </row>
    <row r="6494" spans="1:45" s="1336" customFormat="1" ht="11.4">
      <c r="A6494" s="1337">
        <v>0</v>
      </c>
      <c r="B6494" s="1338">
        <v>1</v>
      </c>
      <c r="C6494" s="1338">
        <f>$A6494*$B6494</f>
        <v>0</v>
      </c>
      <c r="D6494" s="1339" t="str">
        <f>Elec_Rates!$D$933</f>
        <v>086# Bracket for 400-600mm cable tray/basket</v>
      </c>
      <c r="E6494" s="1339"/>
      <c r="F6494" s="1339" t="s">
        <v>2599</v>
      </c>
      <c r="G6494" s="1340" t="s">
        <v>2600</v>
      </c>
      <c r="H6494" s="1340"/>
      <c r="I6494" s="1340"/>
      <c r="J6494" s="1340"/>
      <c r="K6494" s="1341"/>
      <c r="L6494" s="1335"/>
      <c r="M6494" s="1335"/>
      <c r="N6494" s="1335"/>
      <c r="O6494" s="1342"/>
      <c r="P6494" s="1339"/>
      <c r="Q6494" s="1343">
        <f ca="1">$B6494*Elec_Rates!$R$933</f>
        <v>16.37</v>
      </c>
      <c r="R6494" s="1333">
        <f ca="1">$A6494*Q6494</f>
        <v>0</v>
      </c>
      <c r="S6494" s="1343">
        <f ca="1">$B6494*Elec_Rates!$T$933</f>
        <v>0.15</v>
      </c>
      <c r="T6494" s="1334">
        <f ca="1">$A6494*S6494</f>
        <v>0</v>
      </c>
      <c r="U6494" s="1344"/>
      <c r="AR6494" s="1337">
        <v>10</v>
      </c>
      <c r="AS6494" s="1339" t="s">
        <v>2599</v>
      </c>
    </row>
    <row r="6495" spans="1:45" s="520" customFormat="1" ht="12">
      <c r="A6495" s="758"/>
      <c r="B6495" s="758"/>
      <c r="C6495" s="758"/>
      <c r="D6495" s="758"/>
      <c r="E6495" s="758"/>
      <c r="F6495" s="753"/>
      <c r="G6495" s="758"/>
      <c r="H6495" s="758"/>
      <c r="I6495" s="519"/>
      <c r="J6495" s="758"/>
      <c r="K6495" s="758"/>
      <c r="L6495" s="758"/>
      <c r="M6495" s="758"/>
      <c r="N6495" s="758"/>
      <c r="O6495" s="758"/>
      <c r="P6495" s="758"/>
      <c r="Q6495" s="519"/>
      <c r="R6495" s="759">
        <f t="shared" ref="R6495" si="458">$A6495*Q6495</f>
        <v>0</v>
      </c>
      <c r="S6495" s="519"/>
      <c r="T6495" s="760">
        <f t="shared" ref="T6495" si="459">$A6495*S6495*$T$1</f>
        <v>0</v>
      </c>
      <c r="AR6495" s="758"/>
      <c r="AS6495" s="753"/>
    </row>
    <row r="6496" spans="1:45" s="520" customFormat="1" ht="12.6" thickBot="1">
      <c r="A6496" s="761" t="s">
        <v>145</v>
      </c>
      <c r="B6496" s="762">
        <f>(R6495+T6495)</f>
        <v>0</v>
      </c>
      <c r="C6496" s="763"/>
      <c r="D6496" s="763"/>
      <c r="E6496" s="763"/>
      <c r="F6496" s="764"/>
      <c r="G6496" s="763" t="s">
        <v>146</v>
      </c>
      <c r="H6496" s="763"/>
      <c r="I6496" s="765"/>
      <c r="J6496" s="763"/>
      <c r="K6496" s="763" t="s">
        <v>3</v>
      </c>
      <c r="L6496" s="766" t="s">
        <v>143</v>
      </c>
      <c r="M6496" s="766"/>
      <c r="N6496" s="766"/>
      <c r="O6496" s="766"/>
      <c r="P6496" s="766"/>
      <c r="Q6496" s="767"/>
      <c r="R6496" s="768">
        <f ca="1">SUM(R6490:R6495)</f>
        <v>0</v>
      </c>
      <c r="S6496" s="763"/>
      <c r="T6496" s="768">
        <f ca="1">SUM(T6490:T6495)</f>
        <v>0</v>
      </c>
      <c r="U6496" s="531"/>
      <c r="V6496" s="531"/>
      <c r="W6496" s="531"/>
      <c r="X6496" s="531"/>
      <c r="Y6496" s="531"/>
      <c r="Z6496" s="531"/>
      <c r="AA6496" s="531"/>
      <c r="AB6496" s="531"/>
      <c r="AC6496" s="531"/>
      <c r="AD6496" s="531"/>
      <c r="AE6496" s="531"/>
      <c r="AF6496" s="531"/>
      <c r="AG6496" s="531"/>
      <c r="AH6496" s="531"/>
      <c r="AI6496" s="531"/>
      <c r="AJ6496" s="531"/>
      <c r="AK6496" s="531"/>
      <c r="AL6496" s="531"/>
      <c r="AM6496" s="531"/>
      <c r="AN6496" s="531"/>
      <c r="AO6496" s="531"/>
      <c r="AR6496" s="761" t="s">
        <v>145</v>
      </c>
      <c r="AS6496" s="764"/>
    </row>
    <row r="6497" spans="1:45" s="520" customFormat="1" thickTop="1">
      <c r="A6497" s="51"/>
      <c r="B6497" s="51"/>
      <c r="C6497" s="3"/>
      <c r="D6497" s="3"/>
      <c r="E6497" s="51"/>
      <c r="F6497" s="51"/>
      <c r="G6497" s="51"/>
      <c r="H6497" s="51"/>
      <c r="I6497" s="51"/>
      <c r="J6497" s="51"/>
      <c r="K6497" s="51" t="s">
        <v>134</v>
      </c>
      <c r="L6497" s="51"/>
      <c r="M6497" s="51"/>
      <c r="N6497" s="51"/>
      <c r="O6497" s="52"/>
      <c r="P6497" s="51"/>
      <c r="Q6497" s="51"/>
      <c r="R6497" s="51"/>
      <c r="S6497" s="51"/>
      <c r="T6497" s="51"/>
      <c r="AR6497" s="51"/>
      <c r="AS6497" s="51"/>
    </row>
    <row r="6498" spans="1:45" s="520" customFormat="1" ht="12">
      <c r="A6498" s="51"/>
      <c r="B6498" s="51"/>
      <c r="C6498" s="51" t="s">
        <v>135</v>
      </c>
      <c r="D6498" s="37"/>
      <c r="E6498" s="51"/>
      <c r="F6498" s="51"/>
      <c r="G6498" s="51"/>
      <c r="H6498" s="51"/>
      <c r="I6498" s="51"/>
      <c r="J6498" s="51"/>
      <c r="K6498" s="51"/>
      <c r="L6498" s="51"/>
      <c r="M6498" s="51"/>
      <c r="N6498" s="51"/>
      <c r="O6498" s="52"/>
      <c r="P6498" s="51"/>
      <c r="Q6498" s="51"/>
      <c r="R6498" s="51"/>
      <c r="S6498" s="51"/>
      <c r="T6498" s="51"/>
      <c r="AR6498" s="51"/>
      <c r="AS6498" s="51"/>
    </row>
    <row r="6499" spans="1:45" s="520" customFormat="1" ht="12">
      <c r="A6499" s="51"/>
      <c r="B6499" s="51"/>
      <c r="C6499" s="51"/>
      <c r="D6499" s="37" t="s">
        <v>935</v>
      </c>
      <c r="E6499" s="51"/>
      <c r="F6499" s="51"/>
      <c r="G6499" s="51"/>
      <c r="H6499" s="51"/>
      <c r="I6499" s="51"/>
      <c r="J6499" s="51"/>
      <c r="K6499" s="51"/>
      <c r="L6499" s="51"/>
      <c r="M6499" s="51"/>
      <c r="N6499" s="51"/>
      <c r="O6499" s="52"/>
      <c r="P6499" s="51"/>
      <c r="Q6499" s="51"/>
      <c r="R6499" s="51"/>
      <c r="S6499" s="38"/>
      <c r="T6499" s="38"/>
      <c r="AR6499" s="51"/>
      <c r="AS6499" s="51"/>
    </row>
    <row r="6500" spans="1:45" s="3" customFormat="1" thickBot="1">
      <c r="A6500" s="531"/>
      <c r="O6500" s="107"/>
      <c r="AR6500" s="531"/>
    </row>
    <row r="6501" spans="1:45" s="520" customFormat="1" ht="12" thickTop="1">
      <c r="A6501" s="51"/>
      <c r="B6501" s="41"/>
      <c r="C6501" s="51"/>
      <c r="E6501" s="42" t="s">
        <v>138</v>
      </c>
      <c r="F6501" s="42" t="s">
        <v>139</v>
      </c>
      <c r="G6501" s="51"/>
      <c r="H6501" s="51"/>
      <c r="I6501" s="51"/>
      <c r="J6501" s="51"/>
      <c r="K6501" s="51" t="s">
        <v>140</v>
      </c>
      <c r="L6501" s="51"/>
      <c r="M6501" s="51"/>
      <c r="N6501" s="51"/>
      <c r="O6501" s="52"/>
      <c r="P6501" s="51"/>
      <c r="Q6501" s="51"/>
      <c r="R6501" s="51"/>
      <c r="S6501" s="51"/>
      <c r="T6501" s="41"/>
      <c r="AG6501" s="521" t="s">
        <v>268</v>
      </c>
      <c r="AH6501" s="521" t="s">
        <v>269</v>
      </c>
      <c r="AI6501" s="521" t="s">
        <v>270</v>
      </c>
      <c r="AJ6501" s="521" t="s">
        <v>271</v>
      </c>
      <c r="AK6501" s="521" t="s">
        <v>272</v>
      </c>
      <c r="AM6501" s="745" t="s">
        <v>281</v>
      </c>
      <c r="AN6501" s="746" t="s">
        <v>282</v>
      </c>
      <c r="AO6501" s="522" t="s">
        <v>278</v>
      </c>
      <c r="AR6501" s="51"/>
      <c r="AS6501" s="42" t="s">
        <v>139</v>
      </c>
    </row>
    <row r="6502" spans="1:45" s="520" customFormat="1" ht="12" customHeight="1">
      <c r="A6502" s="747">
        <v>35</v>
      </c>
      <c r="B6502" s="523" t="s">
        <v>320</v>
      </c>
      <c r="C6502" s="748"/>
      <c r="D6502" s="749" t="s">
        <v>2011</v>
      </c>
      <c r="E6502" s="750">
        <f>IF(AND($A6502=0,$A$1="DIF"),0, ROUND(ROUND(($R6507*$S$2+($T6507*$T$2))/A6502,2)*$C$2,2))</f>
        <v>7.99</v>
      </c>
      <c r="F6502" s="751">
        <f>ROUND($A6502*$E6502,2)</f>
        <v>279.64999999999998</v>
      </c>
      <c r="G6502" s="752" t="s">
        <v>142</v>
      </c>
      <c r="H6502" s="753"/>
      <c r="I6502" s="754"/>
      <c r="J6502" s="753"/>
      <c r="K6502" s="753" t="s">
        <v>3</v>
      </c>
      <c r="L6502" s="755" t="s">
        <v>143</v>
      </c>
      <c r="M6502" s="755"/>
      <c r="N6502" s="755"/>
      <c r="O6502" s="755"/>
      <c r="P6502" s="755"/>
      <c r="Q6502" s="51"/>
      <c r="T6502" s="756" t="str">
        <f>IF(AND($R6507=0,$T6507=0),"0.00","mu :" &amp; ROUND($F6502/$C$2/($R6507+$T6507*$D$9),2))</f>
        <v>mu :1.23</v>
      </c>
      <c r="W6502" s="524"/>
      <c r="AG6502" s="481">
        <f>IF($E6502=0,0,ROUND($R6507*$S$2*$C$2/$A6502,2))</f>
        <v>2.82</v>
      </c>
      <c r="AH6502" s="481">
        <f>$AG6502*$A6502</f>
        <v>98.699999999999989</v>
      </c>
      <c r="AI6502" s="525">
        <f>$E6502-$AG6502</f>
        <v>5.17</v>
      </c>
      <c r="AJ6502" s="525">
        <f>$A6502*$AI6502</f>
        <v>180.95</v>
      </c>
      <c r="AK6502" s="526">
        <f>ROUND(($AG6502+$AI6502)*$A6502,2)</f>
        <v>279.64999999999998</v>
      </c>
      <c r="AM6502" s="527">
        <f>ROUND(R6507,2)</f>
        <v>80.150000000000006</v>
      </c>
      <c r="AN6502" s="528">
        <f>ROUND(T6507,2)</f>
        <v>5.36</v>
      </c>
      <c r="AO6502" s="529">
        <f>ROUND(AM6502+AN6502,2)*A6502</f>
        <v>2992.8500000000004</v>
      </c>
      <c r="AR6502" s="747">
        <v>35</v>
      </c>
      <c r="AS6502" s="751">
        <v>299.95</v>
      </c>
    </row>
    <row r="6503" spans="1:45" s="520" customFormat="1" ht="13.2">
      <c r="A6503" s="748"/>
      <c r="B6503"/>
      <c r="C6503" s="748"/>
      <c r="D6503" s="749" t="s">
        <v>912</v>
      </c>
      <c r="F6503" s="753"/>
      <c r="G6503" s="3"/>
      <c r="H6503" s="753"/>
      <c r="I6503" s="754"/>
      <c r="J6503" s="753"/>
      <c r="K6503" s="753" t="s">
        <v>144</v>
      </c>
      <c r="L6503" s="753"/>
      <c r="M6503" s="753"/>
      <c r="N6503" s="753"/>
      <c r="O6503" s="753"/>
      <c r="P6503" s="753"/>
      <c r="Q6503" s="51"/>
      <c r="R6503" s="530"/>
      <c r="S6503" s="757"/>
      <c r="T6503" s="753"/>
      <c r="AR6503" s="748"/>
      <c r="AS6503" s="753"/>
    </row>
    <row r="6504" spans="1:45" s="901" customFormat="1" ht="13.2">
      <c r="A6504">
        <v>35</v>
      </c>
      <c r="B6504" s="901" t="s">
        <v>320</v>
      </c>
      <c r="D6504" s="901" t="s">
        <v>3202</v>
      </c>
      <c r="F6504" s="901" t="s">
        <v>3124</v>
      </c>
      <c r="G6504" s="941" t="s">
        <v>3203</v>
      </c>
      <c r="H6504" s="942">
        <v>650</v>
      </c>
      <c r="I6504" s="901" t="s">
        <v>2607</v>
      </c>
      <c r="O6504" s="943">
        <v>1</v>
      </c>
      <c r="P6504" s="944"/>
      <c r="Q6504" s="945">
        <f>ROUNDUP(1.38*1.145,2)</f>
        <v>1.59</v>
      </c>
      <c r="R6504" s="946">
        <f>$A6504*Q6504</f>
        <v>55.650000000000006</v>
      </c>
      <c r="S6504" s="945">
        <v>0.17</v>
      </c>
      <c r="T6504" s="947">
        <f>$A6504*S6504*$T$1</f>
        <v>5.3550000000000004</v>
      </c>
      <c r="AR6504">
        <v>35</v>
      </c>
      <c r="AS6504" s="901" t="s">
        <v>3124</v>
      </c>
    </row>
    <row r="6505" spans="1:45" s="901" customFormat="1" ht="13.2">
      <c r="A6505">
        <v>70</v>
      </c>
      <c r="B6505" s="901" t="s">
        <v>320</v>
      </c>
      <c r="D6505" s="901" t="s">
        <v>3200</v>
      </c>
      <c r="F6505" s="901" t="s">
        <v>3124</v>
      </c>
      <c r="G6505" s="941" t="s">
        <v>3201</v>
      </c>
      <c r="H6505" s="942">
        <v>650</v>
      </c>
      <c r="I6505" s="901" t="s">
        <v>2607</v>
      </c>
      <c r="O6505" s="943">
        <v>1</v>
      </c>
      <c r="P6505" s="944"/>
      <c r="Q6505" s="945">
        <f>ROUNDUP(0.3*1.145,2)</f>
        <v>0.35000000000000003</v>
      </c>
      <c r="R6505" s="946">
        <f>$A6505*Q6505</f>
        <v>24.500000000000004</v>
      </c>
      <c r="S6505" s="945"/>
      <c r="T6505" s="947">
        <f>$A6505*S6505*$T$1</f>
        <v>0</v>
      </c>
      <c r="AR6505">
        <v>70</v>
      </c>
      <c r="AS6505" s="901" t="s">
        <v>3124</v>
      </c>
    </row>
    <row r="6506" spans="1:45" s="520" customFormat="1" ht="12">
      <c r="A6506" s="758"/>
      <c r="B6506" s="758"/>
      <c r="C6506" s="758"/>
      <c r="D6506" s="758"/>
      <c r="E6506" s="758"/>
      <c r="F6506" s="753"/>
      <c r="G6506" s="758"/>
      <c r="H6506" s="758"/>
      <c r="I6506" s="519"/>
      <c r="J6506" s="758"/>
      <c r="K6506" s="758"/>
      <c r="L6506" s="758"/>
      <c r="M6506" s="758"/>
      <c r="N6506" s="758"/>
      <c r="O6506" s="758"/>
      <c r="P6506" s="758"/>
      <c r="Q6506" s="519"/>
      <c r="R6506" s="759">
        <f t="shared" ref="R6506" si="460">$A6506*Q6506</f>
        <v>0</v>
      </c>
      <c r="S6506" s="519"/>
      <c r="T6506" s="760">
        <f t="shared" ref="T6506" si="461">$A6506*S6506*$T$1</f>
        <v>0</v>
      </c>
      <c r="AR6506" s="758"/>
      <c r="AS6506" s="753"/>
    </row>
    <row r="6507" spans="1:45" s="520" customFormat="1" ht="12.6" thickBot="1">
      <c r="A6507" s="761" t="s">
        <v>145</v>
      </c>
      <c r="B6507" s="762">
        <f>(R6506+T6506)</f>
        <v>0</v>
      </c>
      <c r="C6507" s="763"/>
      <c r="D6507" s="763"/>
      <c r="E6507" s="763"/>
      <c r="F6507" s="764"/>
      <c r="G6507" s="763" t="s">
        <v>146</v>
      </c>
      <c r="H6507" s="763"/>
      <c r="I6507" s="765"/>
      <c r="J6507" s="763"/>
      <c r="K6507" s="763" t="s">
        <v>3</v>
      </c>
      <c r="L6507" s="766" t="s">
        <v>143</v>
      </c>
      <c r="M6507" s="766"/>
      <c r="N6507" s="766"/>
      <c r="O6507" s="766"/>
      <c r="P6507" s="766"/>
      <c r="Q6507" s="767"/>
      <c r="R6507" s="768">
        <f>SUM(R6503:R6506)</f>
        <v>80.150000000000006</v>
      </c>
      <c r="S6507" s="763"/>
      <c r="T6507" s="768">
        <f>SUM(T6503:T6506)</f>
        <v>5.3550000000000004</v>
      </c>
      <c r="U6507" s="531"/>
      <c r="V6507" s="531"/>
      <c r="W6507" s="531"/>
      <c r="X6507" s="531"/>
      <c r="Y6507" s="531"/>
      <c r="Z6507" s="531"/>
      <c r="AA6507" s="531"/>
      <c r="AB6507" s="531"/>
      <c r="AC6507" s="531"/>
      <c r="AD6507" s="531"/>
      <c r="AE6507" s="531"/>
      <c r="AF6507" s="531"/>
      <c r="AG6507" s="531"/>
      <c r="AH6507" s="531"/>
      <c r="AI6507" s="531"/>
      <c r="AJ6507" s="531"/>
      <c r="AK6507" s="531"/>
      <c r="AL6507" s="531"/>
      <c r="AM6507" s="531"/>
      <c r="AN6507" s="531"/>
      <c r="AO6507" s="531"/>
      <c r="AR6507" s="761" t="s">
        <v>145</v>
      </c>
      <c r="AS6507" s="764"/>
    </row>
    <row r="6508" spans="1:45" s="520" customFormat="1" ht="12" thickTop="1">
      <c r="A6508" s="51"/>
      <c r="B6508" s="41"/>
      <c r="C6508" s="51"/>
      <c r="E6508" s="42" t="s">
        <v>138</v>
      </c>
      <c r="F6508" s="42" t="s">
        <v>139</v>
      </c>
      <c r="G6508" s="51"/>
      <c r="H6508" s="51"/>
      <c r="I6508" s="51"/>
      <c r="J6508" s="51"/>
      <c r="K6508" s="51" t="s">
        <v>140</v>
      </c>
      <c r="L6508" s="51"/>
      <c r="M6508" s="51"/>
      <c r="N6508" s="51"/>
      <c r="O6508" s="52"/>
      <c r="P6508" s="51"/>
      <c r="Q6508" s="51"/>
      <c r="R6508" s="51"/>
      <c r="S6508" s="51"/>
      <c r="T6508" s="41"/>
      <c r="AG6508" s="521" t="s">
        <v>268</v>
      </c>
      <c r="AH6508" s="521" t="s">
        <v>269</v>
      </c>
      <c r="AI6508" s="521" t="s">
        <v>270</v>
      </c>
      <c r="AJ6508" s="521" t="s">
        <v>271</v>
      </c>
      <c r="AK6508" s="521" t="s">
        <v>272</v>
      </c>
      <c r="AM6508" s="745" t="s">
        <v>281</v>
      </c>
      <c r="AN6508" s="746" t="s">
        <v>282</v>
      </c>
      <c r="AO6508" s="522" t="s">
        <v>278</v>
      </c>
      <c r="AR6508" s="51"/>
      <c r="AS6508" s="42" t="s">
        <v>139</v>
      </c>
    </row>
    <row r="6509" spans="1:45" s="520" customFormat="1" ht="12" customHeight="1">
      <c r="A6509" s="747">
        <v>20</v>
      </c>
      <c r="B6509" s="523" t="s">
        <v>320</v>
      </c>
      <c r="C6509" s="748"/>
      <c r="D6509" s="749" t="s">
        <v>2012</v>
      </c>
      <c r="E6509" s="750">
        <f>IF(AND($A6509=0,$A$1="DIF"),0, ROUND(ROUND(($R6514*$S$2+($T6514*$T$2))/A6509,2)*$C$2,2))</f>
        <v>11.97</v>
      </c>
      <c r="F6509" s="751">
        <f>ROUND($A6509*$E6509,2)</f>
        <v>239.4</v>
      </c>
      <c r="G6509" s="752" t="s">
        <v>142</v>
      </c>
      <c r="H6509" s="753"/>
      <c r="I6509" s="754"/>
      <c r="J6509" s="753"/>
      <c r="K6509" s="753" t="s">
        <v>3</v>
      </c>
      <c r="L6509" s="755" t="s">
        <v>143</v>
      </c>
      <c r="M6509" s="755"/>
      <c r="N6509" s="755"/>
      <c r="O6509" s="755"/>
      <c r="P6509" s="755"/>
      <c r="Q6509" s="51"/>
      <c r="T6509" s="756" t="str">
        <f>IF(AND($R6514=0,$T6514=0),"0.00","mu :" &amp; ROUND($F6509/$C$2/($R6514+$T6514*$D$9),2))</f>
        <v>mu :1.23</v>
      </c>
      <c r="W6509" s="524"/>
      <c r="AG6509" s="481">
        <f>IF($E6509=0,0,ROUND($R6514*$S$2*$C$2/$A6509,2))</f>
        <v>4.3600000000000003</v>
      </c>
      <c r="AH6509" s="481">
        <f>$AG6509*$A6509</f>
        <v>87.2</v>
      </c>
      <c r="AI6509" s="525">
        <f>$E6509-$AG6509</f>
        <v>7.61</v>
      </c>
      <c r="AJ6509" s="525">
        <f>$A6509*$AI6509</f>
        <v>152.20000000000002</v>
      </c>
      <c r="AK6509" s="526">
        <f>ROUND(($AG6509+$AI6509)*$A6509,2)</f>
        <v>239.4</v>
      </c>
      <c r="AM6509" s="527">
        <f>ROUND(R6514,2)</f>
        <v>70.8</v>
      </c>
      <c r="AN6509" s="528">
        <f>ROUND(T6514,2)</f>
        <v>4.5</v>
      </c>
      <c r="AO6509" s="529">
        <f>ROUND(AM6509+AN6509,2)*A6509</f>
        <v>1506</v>
      </c>
      <c r="AR6509" s="747">
        <v>20</v>
      </c>
      <c r="AS6509" s="751">
        <v>256.2</v>
      </c>
    </row>
    <row r="6510" spans="1:45" s="520" customFormat="1" ht="13.2">
      <c r="A6510" s="748"/>
      <c r="B6510"/>
      <c r="C6510" s="748"/>
      <c r="D6510" s="749" t="s">
        <v>913</v>
      </c>
      <c r="F6510" s="753"/>
      <c r="G6510" s="3"/>
      <c r="H6510" s="753"/>
      <c r="I6510" s="754"/>
      <c r="J6510" s="753"/>
      <c r="K6510" s="753" t="s">
        <v>144</v>
      </c>
      <c r="L6510" s="753"/>
      <c r="M6510" s="753"/>
      <c r="N6510" s="753"/>
      <c r="O6510" s="753"/>
      <c r="P6510" s="753"/>
      <c r="Q6510" s="51"/>
      <c r="R6510" s="530"/>
      <c r="S6510" s="757"/>
      <c r="T6510" s="753"/>
      <c r="AR6510" s="748"/>
      <c r="AS6510" s="753"/>
    </row>
    <row r="6511" spans="1:45" s="901" customFormat="1" ht="13.2">
      <c r="A6511">
        <v>20</v>
      </c>
      <c r="B6511" s="901" t="s">
        <v>320</v>
      </c>
      <c r="D6511" s="901" t="s">
        <v>3204</v>
      </c>
      <c r="F6511" s="901" t="s">
        <v>3124</v>
      </c>
      <c r="G6511" s="941" t="s">
        <v>3205</v>
      </c>
      <c r="H6511" s="942">
        <v>650</v>
      </c>
      <c r="I6511" s="901" t="s">
        <v>2607</v>
      </c>
      <c r="O6511" s="943">
        <v>1</v>
      </c>
      <c r="P6511" s="944"/>
      <c r="Q6511" s="945">
        <f>ROUNDUP(2.48*1.145,2)</f>
        <v>2.84</v>
      </c>
      <c r="R6511" s="946">
        <f>$A6511*Q6511</f>
        <v>56.8</v>
      </c>
      <c r="S6511" s="945">
        <v>0.25</v>
      </c>
      <c r="T6511" s="947">
        <f>$A6511*S6511*$T$1</f>
        <v>4.5</v>
      </c>
      <c r="AR6511">
        <v>20</v>
      </c>
      <c r="AS6511" s="901" t="s">
        <v>3124</v>
      </c>
    </row>
    <row r="6512" spans="1:45" s="901" customFormat="1" ht="13.2">
      <c r="A6512">
        <v>40</v>
      </c>
      <c r="B6512" s="901" t="s">
        <v>320</v>
      </c>
      <c r="D6512" s="901" t="s">
        <v>3200</v>
      </c>
      <c r="F6512" s="901" t="s">
        <v>3124</v>
      </c>
      <c r="G6512" s="941" t="s">
        <v>3201</v>
      </c>
      <c r="H6512" s="942">
        <v>650</v>
      </c>
      <c r="I6512" s="901" t="s">
        <v>2607</v>
      </c>
      <c r="O6512" s="943">
        <v>1</v>
      </c>
      <c r="P6512" s="944"/>
      <c r="Q6512" s="945">
        <f>ROUNDUP(0.3*1.145,2)</f>
        <v>0.35000000000000003</v>
      </c>
      <c r="R6512" s="946">
        <f>$A6512*Q6512</f>
        <v>14.000000000000002</v>
      </c>
      <c r="S6512" s="945"/>
      <c r="T6512" s="947">
        <f>$A6512*S6512*$T$1</f>
        <v>0</v>
      </c>
      <c r="AR6512">
        <v>40</v>
      </c>
      <c r="AS6512" s="901" t="s">
        <v>3124</v>
      </c>
    </row>
    <row r="6513" spans="1:45" s="520" customFormat="1" ht="12">
      <c r="A6513" s="758"/>
      <c r="B6513" s="758"/>
      <c r="C6513" s="758"/>
      <c r="D6513" s="758"/>
      <c r="E6513" s="758"/>
      <c r="F6513" s="753"/>
      <c r="G6513" s="758"/>
      <c r="H6513" s="758"/>
      <c r="I6513" s="519"/>
      <c r="J6513" s="758"/>
      <c r="K6513" s="758"/>
      <c r="L6513" s="758"/>
      <c r="M6513" s="758"/>
      <c r="N6513" s="758"/>
      <c r="O6513" s="758"/>
      <c r="P6513" s="758"/>
      <c r="Q6513" s="519"/>
      <c r="R6513" s="759">
        <f t="shared" ref="R6513" si="462">$A6513*Q6513</f>
        <v>0</v>
      </c>
      <c r="S6513" s="519"/>
      <c r="T6513" s="760">
        <f t="shared" ref="T6513" si="463">$A6513*S6513*$T$1</f>
        <v>0</v>
      </c>
      <c r="AR6513" s="758"/>
      <c r="AS6513" s="753"/>
    </row>
    <row r="6514" spans="1:45" s="520" customFormat="1" ht="12.6" thickBot="1">
      <c r="A6514" s="761" t="s">
        <v>145</v>
      </c>
      <c r="B6514" s="762">
        <f>(R6513+T6513)</f>
        <v>0</v>
      </c>
      <c r="C6514" s="763"/>
      <c r="D6514" s="763"/>
      <c r="E6514" s="763"/>
      <c r="F6514" s="764"/>
      <c r="G6514" s="763" t="s">
        <v>146</v>
      </c>
      <c r="H6514" s="763"/>
      <c r="I6514" s="765"/>
      <c r="J6514" s="763"/>
      <c r="K6514" s="763" t="s">
        <v>3</v>
      </c>
      <c r="L6514" s="766" t="s">
        <v>143</v>
      </c>
      <c r="M6514" s="766"/>
      <c r="N6514" s="766"/>
      <c r="O6514" s="766"/>
      <c r="P6514" s="766"/>
      <c r="Q6514" s="767"/>
      <c r="R6514" s="768">
        <f>SUM(R6510:R6513)</f>
        <v>70.8</v>
      </c>
      <c r="S6514" s="763"/>
      <c r="T6514" s="768">
        <f>SUM(T6510:T6513)</f>
        <v>4.5</v>
      </c>
      <c r="U6514" s="531"/>
      <c r="V6514" s="531"/>
      <c r="W6514" s="531"/>
      <c r="X6514" s="531"/>
      <c r="Y6514" s="531"/>
      <c r="Z6514" s="531"/>
      <c r="AA6514" s="531"/>
      <c r="AB6514" s="531"/>
      <c r="AC6514" s="531"/>
      <c r="AD6514" s="531"/>
      <c r="AE6514" s="531"/>
      <c r="AF6514" s="531"/>
      <c r="AG6514" s="531"/>
      <c r="AH6514" s="531"/>
      <c r="AI6514" s="531"/>
      <c r="AJ6514" s="531"/>
      <c r="AK6514" s="531"/>
      <c r="AL6514" s="531"/>
      <c r="AM6514" s="531"/>
      <c r="AN6514" s="531"/>
      <c r="AO6514" s="531"/>
      <c r="AR6514" s="761" t="s">
        <v>145</v>
      </c>
      <c r="AS6514" s="764"/>
    </row>
    <row r="6515" spans="1:45" s="520" customFormat="1" ht="12" thickTop="1">
      <c r="A6515" s="51"/>
      <c r="B6515" s="41"/>
      <c r="C6515" s="51"/>
      <c r="E6515" s="42" t="s">
        <v>138</v>
      </c>
      <c r="F6515" s="42" t="s">
        <v>139</v>
      </c>
      <c r="G6515" s="51"/>
      <c r="H6515" s="51"/>
      <c r="I6515" s="51"/>
      <c r="J6515" s="51"/>
      <c r="K6515" s="51" t="s">
        <v>140</v>
      </c>
      <c r="L6515" s="51"/>
      <c r="M6515" s="51"/>
      <c r="N6515" s="51"/>
      <c r="O6515" s="52"/>
      <c r="P6515" s="51"/>
      <c r="Q6515" s="51"/>
      <c r="R6515" s="51"/>
      <c r="S6515" s="51"/>
      <c r="T6515" s="41"/>
      <c r="AG6515" s="521" t="s">
        <v>268</v>
      </c>
      <c r="AH6515" s="521" t="s">
        <v>269</v>
      </c>
      <c r="AI6515" s="521" t="s">
        <v>270</v>
      </c>
      <c r="AJ6515" s="521" t="s">
        <v>271</v>
      </c>
      <c r="AK6515" s="521" t="s">
        <v>272</v>
      </c>
      <c r="AM6515" s="745" t="s">
        <v>281</v>
      </c>
      <c r="AN6515" s="746" t="s">
        <v>282</v>
      </c>
      <c r="AO6515" s="522" t="s">
        <v>278</v>
      </c>
      <c r="AR6515" s="51"/>
      <c r="AS6515" s="42" t="s">
        <v>139</v>
      </c>
    </row>
    <row r="6516" spans="1:45" s="520" customFormat="1" ht="12" customHeight="1">
      <c r="A6516" s="747">
        <v>20</v>
      </c>
      <c r="B6516" s="523" t="s">
        <v>320</v>
      </c>
      <c r="C6516" s="748"/>
      <c r="D6516" s="749" t="s">
        <v>2013</v>
      </c>
      <c r="E6516" s="750">
        <f>IF(AND($A6516=0,$A$1="DIF"),0, ROUND(ROUND(($R6521*$S$2+($T6521*$T$2))/A6516,2)*$C$2,2))</f>
        <v>16.79</v>
      </c>
      <c r="F6516" s="751">
        <f>ROUND($A6516*$E6516,2)</f>
        <v>335.8</v>
      </c>
      <c r="G6516" s="752" t="s">
        <v>142</v>
      </c>
      <c r="H6516" s="753"/>
      <c r="I6516" s="754"/>
      <c r="J6516" s="753"/>
      <c r="K6516" s="753" t="s">
        <v>3</v>
      </c>
      <c r="L6516" s="755" t="s">
        <v>143</v>
      </c>
      <c r="M6516" s="755"/>
      <c r="N6516" s="755"/>
      <c r="O6516" s="755"/>
      <c r="P6516" s="755"/>
      <c r="Q6516" s="51"/>
      <c r="T6516" s="756" t="str">
        <f>IF(AND($R6521=0,$T6521=0),"0.00","mu :" &amp; ROUND($F6516/$C$2/($R6521+$T6521*$D$9),2))</f>
        <v>mu :1.23</v>
      </c>
      <c r="W6516" s="524"/>
      <c r="AG6516" s="481">
        <f>IF($E6516=0,0,ROUND($R6521*$S$2*$C$2/$A6516,2))</f>
        <v>7.66</v>
      </c>
      <c r="AH6516" s="481">
        <f>$AG6516*$A6516</f>
        <v>153.19999999999999</v>
      </c>
      <c r="AI6516" s="525">
        <f>$E6516-$AG6516</f>
        <v>9.129999999999999</v>
      </c>
      <c r="AJ6516" s="525">
        <f>$A6516*$AI6516</f>
        <v>182.59999999999997</v>
      </c>
      <c r="AK6516" s="526">
        <f>ROUND(($AG6516+$AI6516)*$A6516,2)</f>
        <v>335.8</v>
      </c>
      <c r="AM6516" s="527">
        <f>ROUND(R6521,2)</f>
        <v>124.4</v>
      </c>
      <c r="AN6516" s="528">
        <f>ROUND(T6521,2)</f>
        <v>5.4</v>
      </c>
      <c r="AO6516" s="529">
        <f>ROUND(AM6516+AN6516,2)*A6516</f>
        <v>2596</v>
      </c>
      <c r="AR6516" s="747">
        <v>20</v>
      </c>
      <c r="AS6516" s="751">
        <v>356</v>
      </c>
    </row>
    <row r="6517" spans="1:45" s="520" customFormat="1" ht="13.2">
      <c r="A6517" s="748"/>
      <c r="B6517"/>
      <c r="C6517" s="748"/>
      <c r="D6517" s="749" t="s">
        <v>914</v>
      </c>
      <c r="F6517" s="753"/>
      <c r="G6517" s="3"/>
      <c r="H6517" s="753"/>
      <c r="I6517" s="754"/>
      <c r="J6517" s="753"/>
      <c r="K6517" s="753" t="s">
        <v>144</v>
      </c>
      <c r="L6517" s="753"/>
      <c r="M6517" s="753"/>
      <c r="N6517" s="753"/>
      <c r="O6517" s="753"/>
      <c r="P6517" s="753"/>
      <c r="Q6517" s="51"/>
      <c r="R6517" s="530"/>
      <c r="S6517" s="757"/>
      <c r="T6517" s="753"/>
      <c r="AR6517" s="748"/>
      <c r="AS6517" s="753"/>
    </row>
    <row r="6518" spans="1:45" s="901" customFormat="1" ht="13.2">
      <c r="A6518">
        <v>20</v>
      </c>
      <c r="B6518" s="901" t="s">
        <v>320</v>
      </c>
      <c r="D6518" s="901" t="s">
        <v>3206</v>
      </c>
      <c r="F6518" s="901" t="s">
        <v>3124</v>
      </c>
      <c r="G6518" s="941" t="s">
        <v>3207</v>
      </c>
      <c r="H6518" s="942">
        <v>650</v>
      </c>
      <c r="I6518" s="901" t="s">
        <v>2607</v>
      </c>
      <c r="O6518" s="943">
        <v>1</v>
      </c>
      <c r="P6518" s="944"/>
      <c r="Q6518" s="945">
        <f>ROUNDUP(4.82*1.145,2)</f>
        <v>5.52</v>
      </c>
      <c r="R6518" s="946">
        <f>$A6518*Q6518</f>
        <v>110.39999999999999</v>
      </c>
      <c r="S6518" s="945">
        <v>0.3</v>
      </c>
      <c r="T6518" s="947">
        <f>$A6518*S6518*$T$1</f>
        <v>5.4</v>
      </c>
      <c r="AR6518">
        <v>20</v>
      </c>
      <c r="AS6518" s="901" t="s">
        <v>3124</v>
      </c>
    </row>
    <row r="6519" spans="1:45" s="901" customFormat="1" ht="13.2">
      <c r="A6519">
        <v>40</v>
      </c>
      <c r="B6519" s="901" t="s">
        <v>320</v>
      </c>
      <c r="D6519" s="901" t="s">
        <v>3200</v>
      </c>
      <c r="F6519" s="901" t="s">
        <v>3124</v>
      </c>
      <c r="G6519" s="941" t="s">
        <v>3201</v>
      </c>
      <c r="H6519" s="942">
        <v>650</v>
      </c>
      <c r="I6519" s="901" t="s">
        <v>2607</v>
      </c>
      <c r="O6519" s="943">
        <v>1</v>
      </c>
      <c r="P6519" s="944"/>
      <c r="Q6519" s="945">
        <f>ROUNDUP(0.3*1.145,2)</f>
        <v>0.35000000000000003</v>
      </c>
      <c r="R6519" s="946">
        <f>$A6519*Q6519</f>
        <v>14.000000000000002</v>
      </c>
      <c r="S6519" s="945"/>
      <c r="T6519" s="947">
        <f>$A6519*S6519*$T$1</f>
        <v>0</v>
      </c>
      <c r="AR6519">
        <v>40</v>
      </c>
      <c r="AS6519" s="901" t="s">
        <v>3124</v>
      </c>
    </row>
    <row r="6520" spans="1:45" s="520" customFormat="1" ht="12">
      <c r="A6520" s="758"/>
      <c r="B6520" s="758"/>
      <c r="C6520" s="758"/>
      <c r="D6520" s="758"/>
      <c r="E6520" s="758"/>
      <c r="F6520" s="753"/>
      <c r="G6520" s="758"/>
      <c r="H6520" s="758"/>
      <c r="I6520" s="519"/>
      <c r="J6520" s="758"/>
      <c r="K6520" s="758"/>
      <c r="L6520" s="758"/>
      <c r="M6520" s="758"/>
      <c r="N6520" s="758"/>
      <c r="O6520" s="758"/>
      <c r="P6520" s="758"/>
      <c r="Q6520" s="519"/>
      <c r="R6520" s="759">
        <f t="shared" ref="R6520" si="464">$A6520*Q6520</f>
        <v>0</v>
      </c>
      <c r="S6520" s="519"/>
      <c r="T6520" s="760">
        <f t="shared" ref="T6520" si="465">$A6520*S6520*$T$1</f>
        <v>0</v>
      </c>
      <c r="AR6520" s="758"/>
      <c r="AS6520" s="753"/>
    </row>
    <row r="6521" spans="1:45" s="520" customFormat="1" ht="12.6" thickBot="1">
      <c r="A6521" s="761" t="s">
        <v>145</v>
      </c>
      <c r="B6521" s="762">
        <f>(R6520+T6520)</f>
        <v>0</v>
      </c>
      <c r="C6521" s="763"/>
      <c r="D6521" s="763"/>
      <c r="E6521" s="763"/>
      <c r="F6521" s="764"/>
      <c r="G6521" s="763" t="s">
        <v>146</v>
      </c>
      <c r="H6521" s="763"/>
      <c r="I6521" s="765"/>
      <c r="J6521" s="763"/>
      <c r="K6521" s="763" t="s">
        <v>3</v>
      </c>
      <c r="L6521" s="766" t="s">
        <v>143</v>
      </c>
      <c r="M6521" s="766"/>
      <c r="N6521" s="766"/>
      <c r="O6521" s="766"/>
      <c r="P6521" s="766"/>
      <c r="Q6521" s="767"/>
      <c r="R6521" s="768">
        <f>SUM(R6517:R6520)</f>
        <v>124.39999999999999</v>
      </c>
      <c r="S6521" s="763"/>
      <c r="T6521" s="768">
        <f>SUM(T6517:T6520)</f>
        <v>5.4</v>
      </c>
      <c r="U6521" s="531"/>
      <c r="V6521" s="531"/>
      <c r="W6521" s="531"/>
      <c r="X6521" s="531"/>
      <c r="Y6521" s="531"/>
      <c r="Z6521" s="531"/>
      <c r="AA6521" s="531"/>
      <c r="AB6521" s="531"/>
      <c r="AC6521" s="531"/>
      <c r="AD6521" s="531"/>
      <c r="AE6521" s="531"/>
      <c r="AF6521" s="531"/>
      <c r="AG6521" s="531"/>
      <c r="AH6521" s="531"/>
      <c r="AI6521" s="531"/>
      <c r="AJ6521" s="531"/>
      <c r="AK6521" s="531"/>
      <c r="AL6521" s="531"/>
      <c r="AM6521" s="531"/>
      <c r="AN6521" s="531"/>
      <c r="AO6521" s="531"/>
      <c r="AR6521" s="761" t="s">
        <v>145</v>
      </c>
      <c r="AS6521" s="764"/>
    </row>
    <row r="6522" spans="1:45" s="520" customFormat="1" ht="12" thickTop="1">
      <c r="A6522" s="51"/>
      <c r="B6522" s="41"/>
      <c r="C6522" s="51"/>
      <c r="E6522" s="42" t="s">
        <v>138</v>
      </c>
      <c r="F6522" s="42" t="s">
        <v>139</v>
      </c>
      <c r="G6522" s="51"/>
      <c r="H6522" s="51"/>
      <c r="I6522" s="51"/>
      <c r="J6522" s="51"/>
      <c r="K6522" s="51" t="s">
        <v>140</v>
      </c>
      <c r="L6522" s="51"/>
      <c r="M6522" s="51"/>
      <c r="N6522" s="51"/>
      <c r="O6522" s="52"/>
      <c r="P6522" s="51"/>
      <c r="Q6522" s="51"/>
      <c r="R6522" s="51"/>
      <c r="S6522" s="51"/>
      <c r="T6522" s="41"/>
      <c r="AG6522" s="521" t="s">
        <v>268</v>
      </c>
      <c r="AH6522" s="521" t="s">
        <v>269</v>
      </c>
      <c r="AI6522" s="521" t="s">
        <v>270</v>
      </c>
      <c r="AJ6522" s="521" t="s">
        <v>271</v>
      </c>
      <c r="AK6522" s="521" t="s">
        <v>272</v>
      </c>
      <c r="AM6522" s="745" t="s">
        <v>281</v>
      </c>
      <c r="AN6522" s="746" t="s">
        <v>282</v>
      </c>
      <c r="AO6522" s="522" t="s">
        <v>278</v>
      </c>
      <c r="AR6522" s="51"/>
      <c r="AS6522" s="42" t="s">
        <v>139</v>
      </c>
    </row>
    <row r="6523" spans="1:45" s="520" customFormat="1" ht="12" customHeight="1">
      <c r="A6523" s="747">
        <v>10</v>
      </c>
      <c r="B6523" s="523" t="s">
        <v>320</v>
      </c>
      <c r="C6523" s="748"/>
      <c r="D6523" s="749" t="s">
        <v>2014</v>
      </c>
      <c r="E6523" s="750">
        <f>IF(AND($A6523=0,$A$1="DIF"),0, ROUND(ROUND(($R6528*$S$2+($T6528*$T$2))/A6523,2)*$C$2,2))</f>
        <v>16.79</v>
      </c>
      <c r="F6523" s="751">
        <f>ROUND($A6523*$E6523,2)</f>
        <v>167.9</v>
      </c>
      <c r="G6523" s="752" t="s">
        <v>142</v>
      </c>
      <c r="H6523" s="753"/>
      <c r="I6523" s="754"/>
      <c r="J6523" s="753"/>
      <c r="K6523" s="753" t="s">
        <v>3</v>
      </c>
      <c r="L6523" s="755" t="s">
        <v>143</v>
      </c>
      <c r="M6523" s="755"/>
      <c r="N6523" s="755"/>
      <c r="O6523" s="755"/>
      <c r="P6523" s="755"/>
      <c r="Q6523" s="51"/>
      <c r="T6523" s="756" t="str">
        <f>IF(AND($R6528=0,$T6528=0),"0.00","mu :" &amp; ROUND($F6523/$C$2/($R6528+$T6528*$D$9),2))</f>
        <v>mu :1.23</v>
      </c>
      <c r="W6523" s="524"/>
      <c r="AG6523" s="481">
        <f>IF($E6523=0,0,ROUND($R6528*$S$2*$C$2/$A6523,2))</f>
        <v>7.66</v>
      </c>
      <c r="AH6523" s="481">
        <f>$AG6523*$A6523</f>
        <v>76.599999999999994</v>
      </c>
      <c r="AI6523" s="525">
        <f>$E6523-$AG6523</f>
        <v>9.129999999999999</v>
      </c>
      <c r="AJ6523" s="525">
        <f>$A6523*$AI6523</f>
        <v>91.299999999999983</v>
      </c>
      <c r="AK6523" s="526">
        <f>ROUND(($AG6523+$AI6523)*$A6523,2)</f>
        <v>167.9</v>
      </c>
      <c r="AM6523" s="527">
        <f>ROUND(R6528,2)</f>
        <v>62.2</v>
      </c>
      <c r="AN6523" s="528">
        <f>ROUND(T6528,2)</f>
        <v>2.7</v>
      </c>
      <c r="AO6523" s="529">
        <f>ROUND(AM6523+AN6523,2)*A6523</f>
        <v>649</v>
      </c>
      <c r="AR6523" s="747">
        <v>10</v>
      </c>
      <c r="AS6523" s="751">
        <v>178</v>
      </c>
    </row>
    <row r="6524" spans="1:45" s="520" customFormat="1" ht="13.2">
      <c r="A6524" s="748"/>
      <c r="B6524"/>
      <c r="C6524" s="748"/>
      <c r="D6524" s="749" t="s">
        <v>915</v>
      </c>
      <c r="F6524" s="753"/>
      <c r="G6524" s="3"/>
      <c r="H6524" s="753"/>
      <c r="I6524" s="754"/>
      <c r="J6524" s="753"/>
      <c r="K6524" s="753" t="s">
        <v>144</v>
      </c>
      <c r="L6524" s="753"/>
      <c r="M6524" s="753"/>
      <c r="N6524" s="753"/>
      <c r="O6524" s="753"/>
      <c r="P6524" s="753"/>
      <c r="Q6524" s="51"/>
      <c r="R6524" s="530"/>
      <c r="S6524" s="757"/>
      <c r="T6524" s="753"/>
      <c r="AR6524" s="748"/>
      <c r="AS6524" s="753"/>
    </row>
    <row r="6525" spans="1:45" s="901" customFormat="1" ht="13.2">
      <c r="A6525">
        <v>10</v>
      </c>
      <c r="B6525" s="901" t="s">
        <v>320</v>
      </c>
      <c r="D6525" s="901" t="s">
        <v>3206</v>
      </c>
      <c r="F6525" s="901" t="s">
        <v>3124</v>
      </c>
      <c r="G6525" s="941" t="s">
        <v>3207</v>
      </c>
      <c r="H6525" s="942">
        <v>650</v>
      </c>
      <c r="I6525" s="901" t="s">
        <v>2607</v>
      </c>
      <c r="O6525" s="943">
        <v>1</v>
      </c>
      <c r="P6525" s="944"/>
      <c r="Q6525" s="945">
        <f>ROUNDUP(4.82*1.145,2)</f>
        <v>5.52</v>
      </c>
      <c r="R6525" s="946">
        <f>$A6525*Q6525</f>
        <v>55.199999999999996</v>
      </c>
      <c r="S6525" s="945">
        <v>0.3</v>
      </c>
      <c r="T6525" s="947">
        <f>$A6525*S6525*$T$1</f>
        <v>2.7</v>
      </c>
      <c r="AR6525">
        <v>10</v>
      </c>
      <c r="AS6525" s="901" t="s">
        <v>3124</v>
      </c>
    </row>
    <row r="6526" spans="1:45" s="901" customFormat="1" ht="13.2">
      <c r="A6526">
        <v>20</v>
      </c>
      <c r="B6526" s="901" t="s">
        <v>320</v>
      </c>
      <c r="D6526" s="901" t="s">
        <v>3200</v>
      </c>
      <c r="F6526" s="901" t="s">
        <v>3124</v>
      </c>
      <c r="G6526" s="941" t="s">
        <v>3201</v>
      </c>
      <c r="H6526" s="942">
        <v>650</v>
      </c>
      <c r="I6526" s="901" t="s">
        <v>2607</v>
      </c>
      <c r="O6526" s="943">
        <v>1</v>
      </c>
      <c r="P6526" s="944"/>
      <c r="Q6526" s="945">
        <f>ROUNDUP(0.3*1.145,2)</f>
        <v>0.35000000000000003</v>
      </c>
      <c r="R6526" s="946">
        <f>$A6526*Q6526</f>
        <v>7.0000000000000009</v>
      </c>
      <c r="S6526" s="945"/>
      <c r="T6526" s="947">
        <f>$A6526*S6526*$T$1</f>
        <v>0</v>
      </c>
      <c r="AR6526">
        <v>20</v>
      </c>
      <c r="AS6526" s="901" t="s">
        <v>3124</v>
      </c>
    </row>
    <row r="6527" spans="1:45" s="520" customFormat="1" ht="12">
      <c r="A6527" s="758"/>
      <c r="B6527" s="758"/>
      <c r="C6527" s="758"/>
      <c r="D6527" s="758"/>
      <c r="E6527" s="758"/>
      <c r="F6527" s="753"/>
      <c r="G6527" s="758"/>
      <c r="H6527" s="758"/>
      <c r="I6527" s="519"/>
      <c r="J6527" s="758"/>
      <c r="K6527" s="758"/>
      <c r="L6527" s="758"/>
      <c r="M6527" s="758"/>
      <c r="N6527" s="758"/>
      <c r="O6527" s="758"/>
      <c r="P6527" s="758"/>
      <c r="Q6527" s="519"/>
      <c r="R6527" s="759">
        <f t="shared" ref="R6527" si="466">$A6527*Q6527</f>
        <v>0</v>
      </c>
      <c r="S6527" s="519"/>
      <c r="T6527" s="760">
        <f t="shared" ref="T6527" si="467">$A6527*S6527*$T$1</f>
        <v>0</v>
      </c>
      <c r="AR6527" s="758"/>
      <c r="AS6527" s="753"/>
    </row>
    <row r="6528" spans="1:45" s="520" customFormat="1" ht="12.6" thickBot="1">
      <c r="A6528" s="761" t="s">
        <v>145</v>
      </c>
      <c r="B6528" s="762">
        <f>(R6527+T6527)</f>
        <v>0</v>
      </c>
      <c r="C6528" s="763"/>
      <c r="D6528" s="763"/>
      <c r="E6528" s="763"/>
      <c r="F6528" s="764"/>
      <c r="G6528" s="763" t="s">
        <v>146</v>
      </c>
      <c r="H6528" s="763"/>
      <c r="I6528" s="765"/>
      <c r="J6528" s="763"/>
      <c r="K6528" s="763" t="s">
        <v>3</v>
      </c>
      <c r="L6528" s="766" t="s">
        <v>143</v>
      </c>
      <c r="M6528" s="766"/>
      <c r="N6528" s="766"/>
      <c r="O6528" s="766"/>
      <c r="P6528" s="766"/>
      <c r="Q6528" s="767"/>
      <c r="R6528" s="768">
        <f>SUM(R6524:R6527)</f>
        <v>62.199999999999996</v>
      </c>
      <c r="S6528" s="763"/>
      <c r="T6528" s="768">
        <f>SUM(T6524:T6527)</f>
        <v>2.7</v>
      </c>
      <c r="U6528" s="531"/>
      <c r="V6528" s="531"/>
      <c r="W6528" s="531"/>
      <c r="X6528" s="531"/>
      <c r="Y6528" s="531"/>
      <c r="Z6528" s="531"/>
      <c r="AA6528" s="531"/>
      <c r="AB6528" s="531"/>
      <c r="AC6528" s="531"/>
      <c r="AD6528" s="531"/>
      <c r="AE6528" s="531"/>
      <c r="AF6528" s="531"/>
      <c r="AG6528" s="531"/>
      <c r="AH6528" s="531"/>
      <c r="AI6528" s="531"/>
      <c r="AJ6528" s="531"/>
      <c r="AK6528" s="531"/>
      <c r="AL6528" s="531"/>
      <c r="AM6528" s="531"/>
      <c r="AN6528" s="531"/>
      <c r="AO6528" s="531"/>
      <c r="AR6528" s="761" t="s">
        <v>145</v>
      </c>
      <c r="AS6528" s="764"/>
    </row>
    <row r="6529" spans="1:45" s="520" customFormat="1" ht="12" thickTop="1">
      <c r="A6529" s="51"/>
      <c r="B6529" s="41"/>
      <c r="C6529" s="51"/>
      <c r="E6529" s="42" t="s">
        <v>138</v>
      </c>
      <c r="F6529" s="42" t="s">
        <v>139</v>
      </c>
      <c r="G6529" s="51"/>
      <c r="H6529" s="51"/>
      <c r="I6529" s="51"/>
      <c r="J6529" s="51"/>
      <c r="K6529" s="51" t="s">
        <v>140</v>
      </c>
      <c r="L6529" s="51"/>
      <c r="M6529" s="51"/>
      <c r="N6529" s="51"/>
      <c r="O6529" s="52"/>
      <c r="P6529" s="51"/>
      <c r="Q6529" s="51"/>
      <c r="R6529" s="51"/>
      <c r="S6529" s="51"/>
      <c r="T6529" s="41"/>
      <c r="AG6529" s="521" t="s">
        <v>268</v>
      </c>
      <c r="AH6529" s="521" t="s">
        <v>269</v>
      </c>
      <c r="AI6529" s="521" t="s">
        <v>270</v>
      </c>
      <c r="AJ6529" s="521" t="s">
        <v>271</v>
      </c>
      <c r="AK6529" s="521" t="s">
        <v>272</v>
      </c>
      <c r="AM6529" s="745" t="s">
        <v>281</v>
      </c>
      <c r="AN6529" s="746" t="s">
        <v>282</v>
      </c>
      <c r="AO6529" s="522" t="s">
        <v>278</v>
      </c>
      <c r="AR6529" s="51"/>
      <c r="AS6529" s="42" t="s">
        <v>139</v>
      </c>
    </row>
    <row r="6530" spans="1:45" s="520" customFormat="1" ht="12" customHeight="1">
      <c r="A6530" s="747">
        <v>50</v>
      </c>
      <c r="B6530" s="523" t="s">
        <v>320</v>
      </c>
      <c r="C6530" s="748"/>
      <c r="D6530" s="749" t="s">
        <v>2015</v>
      </c>
      <c r="E6530" s="750">
        <f>IF(AND($A6530=0,$A$1="DIF"),0, ROUND(ROUND(($R6535*$S$2+($T6535*$T$2))/A6530,2)*$C$2,2))</f>
        <v>19.829999999999998</v>
      </c>
      <c r="F6530" s="751">
        <f>ROUND($A6530*$E6530,2)</f>
        <v>991.5</v>
      </c>
      <c r="G6530" s="752" t="s">
        <v>142</v>
      </c>
      <c r="H6530" s="753"/>
      <c r="I6530" s="754"/>
      <c r="J6530" s="753"/>
      <c r="K6530" s="753" t="s">
        <v>3</v>
      </c>
      <c r="L6530" s="755" t="s">
        <v>143</v>
      </c>
      <c r="M6530" s="755"/>
      <c r="N6530" s="755"/>
      <c r="O6530" s="755"/>
      <c r="P6530" s="755"/>
      <c r="Q6530" s="51"/>
      <c r="T6530" s="756" t="str">
        <f>IF(AND($R6535=0,$T6535=0),"0.00","mu :" &amp; ROUND($F6530/$C$2/($R6535+$T6535*$D$9),2))</f>
        <v>mu :1.23</v>
      </c>
      <c r="W6530" s="524"/>
      <c r="AG6530" s="481">
        <f>IF($E6530=0,0,ROUND($R6535*$S$2*$C$2/$A6530,2))</f>
        <v>7.66</v>
      </c>
      <c r="AH6530" s="481">
        <f>$AG6530*$A6530</f>
        <v>383</v>
      </c>
      <c r="AI6530" s="525">
        <f>$E6530-$AG6530</f>
        <v>12.169999999999998</v>
      </c>
      <c r="AJ6530" s="525">
        <f>$A6530*$AI6530</f>
        <v>608.49999999999989</v>
      </c>
      <c r="AK6530" s="526">
        <f>ROUND(($AG6530+$AI6530)*$A6530,2)</f>
        <v>991.5</v>
      </c>
      <c r="AM6530" s="527">
        <f>ROUND(R6535,2)</f>
        <v>311</v>
      </c>
      <c r="AN6530" s="528">
        <f>ROUND(T6535,2)</f>
        <v>18</v>
      </c>
      <c r="AO6530" s="529">
        <f>ROUND(AM6530+AN6530,2)*A6530</f>
        <v>16450</v>
      </c>
      <c r="AR6530" s="747">
        <v>50</v>
      </c>
      <c r="AS6530" s="751">
        <v>1059</v>
      </c>
    </row>
    <row r="6531" spans="1:45" s="520" customFormat="1" ht="13.2">
      <c r="A6531" s="748"/>
      <c r="B6531"/>
      <c r="C6531" s="748"/>
      <c r="D6531" s="749" t="s">
        <v>917</v>
      </c>
      <c r="F6531" s="753"/>
      <c r="G6531" s="3"/>
      <c r="H6531" s="753"/>
      <c r="I6531" s="754"/>
      <c r="J6531" s="753"/>
      <c r="K6531" s="753" t="s">
        <v>144</v>
      </c>
      <c r="L6531" s="753"/>
      <c r="M6531" s="753"/>
      <c r="N6531" s="753"/>
      <c r="O6531" s="753"/>
      <c r="P6531" s="753"/>
      <c r="Q6531" s="51"/>
      <c r="R6531" s="530"/>
      <c r="S6531" s="757"/>
      <c r="T6531" s="753"/>
      <c r="AR6531" s="748"/>
      <c r="AS6531" s="753"/>
    </row>
    <row r="6532" spans="1:45" s="901" customFormat="1" ht="13.2">
      <c r="A6532">
        <v>50</v>
      </c>
      <c r="B6532" s="901" t="s">
        <v>320</v>
      </c>
      <c r="D6532" s="901" t="s">
        <v>3403</v>
      </c>
      <c r="F6532" s="901" t="s">
        <v>3124</v>
      </c>
      <c r="G6532" s="941" t="s">
        <v>3207</v>
      </c>
      <c r="H6532" s="942">
        <v>650</v>
      </c>
      <c r="I6532" s="901" t="s">
        <v>2607</v>
      </c>
      <c r="O6532" s="943">
        <v>1</v>
      </c>
      <c r="P6532" s="944"/>
      <c r="Q6532" s="945">
        <f>ROUNDUP(4.82*1.145,2)</f>
        <v>5.52</v>
      </c>
      <c r="R6532" s="946">
        <f>$A6532*Q6532</f>
        <v>276</v>
      </c>
      <c r="S6532" s="945">
        <v>0.4</v>
      </c>
      <c r="T6532" s="947">
        <f>$A6532*S6532*$T$1</f>
        <v>18</v>
      </c>
      <c r="AR6532">
        <v>50</v>
      </c>
      <c r="AS6532" s="901" t="s">
        <v>3124</v>
      </c>
    </row>
    <row r="6533" spans="1:45" s="901" customFormat="1" ht="13.2">
      <c r="A6533">
        <v>100</v>
      </c>
      <c r="B6533" s="901" t="s">
        <v>320</v>
      </c>
      <c r="D6533" s="901" t="s">
        <v>3200</v>
      </c>
      <c r="F6533" s="901" t="s">
        <v>3124</v>
      </c>
      <c r="G6533" s="941" t="s">
        <v>3201</v>
      </c>
      <c r="H6533" s="942">
        <v>650</v>
      </c>
      <c r="I6533" s="901" t="s">
        <v>2607</v>
      </c>
      <c r="O6533" s="943">
        <v>1</v>
      </c>
      <c r="P6533" s="944"/>
      <c r="Q6533" s="945">
        <f>ROUNDUP(0.3*1.145,2)</f>
        <v>0.35000000000000003</v>
      </c>
      <c r="R6533" s="946">
        <f>$A6533*Q6533</f>
        <v>35</v>
      </c>
      <c r="S6533" s="945"/>
      <c r="T6533" s="947">
        <f>$A6533*S6533*$T$1</f>
        <v>0</v>
      </c>
      <c r="AR6533">
        <v>100</v>
      </c>
      <c r="AS6533" s="901" t="s">
        <v>3124</v>
      </c>
    </row>
    <row r="6534" spans="1:45" s="520" customFormat="1" ht="12">
      <c r="A6534" s="758"/>
      <c r="B6534" s="758"/>
      <c r="C6534" s="758"/>
      <c r="D6534" s="758"/>
      <c r="E6534" s="758"/>
      <c r="F6534" s="753"/>
      <c r="G6534" s="758"/>
      <c r="H6534" s="758"/>
      <c r="I6534" s="519"/>
      <c r="J6534" s="758"/>
      <c r="K6534" s="758"/>
      <c r="L6534" s="758"/>
      <c r="M6534" s="758"/>
      <c r="N6534" s="758"/>
      <c r="O6534" s="758"/>
      <c r="P6534" s="758"/>
      <c r="Q6534" s="519"/>
      <c r="R6534" s="759">
        <f t="shared" ref="R6534" si="468">$A6534*Q6534</f>
        <v>0</v>
      </c>
      <c r="S6534" s="519"/>
      <c r="T6534" s="760">
        <f t="shared" ref="T6534" si="469">$A6534*S6534*$T$1</f>
        <v>0</v>
      </c>
      <c r="AR6534" s="758"/>
      <c r="AS6534" s="753"/>
    </row>
    <row r="6535" spans="1:45" s="520" customFormat="1" ht="12.6" thickBot="1">
      <c r="A6535" s="761" t="s">
        <v>145</v>
      </c>
      <c r="B6535" s="762">
        <f>(R6534+T6534)</f>
        <v>0</v>
      </c>
      <c r="C6535" s="763"/>
      <c r="D6535" s="763"/>
      <c r="E6535" s="763"/>
      <c r="F6535" s="764"/>
      <c r="G6535" s="763" t="s">
        <v>146</v>
      </c>
      <c r="H6535" s="763"/>
      <c r="I6535" s="765"/>
      <c r="J6535" s="763"/>
      <c r="K6535" s="763" t="s">
        <v>3</v>
      </c>
      <c r="L6535" s="766" t="s">
        <v>143</v>
      </c>
      <c r="M6535" s="766"/>
      <c r="N6535" s="766"/>
      <c r="O6535" s="766"/>
      <c r="P6535" s="766"/>
      <c r="Q6535" s="767"/>
      <c r="R6535" s="768">
        <f>SUM(R6531:R6534)</f>
        <v>311</v>
      </c>
      <c r="S6535" s="763"/>
      <c r="T6535" s="768">
        <f>SUM(T6531:T6534)</f>
        <v>18</v>
      </c>
      <c r="U6535" s="531"/>
      <c r="V6535" s="531"/>
      <c r="W6535" s="531"/>
      <c r="X6535" s="531"/>
      <c r="Y6535" s="531"/>
      <c r="Z6535" s="531"/>
      <c r="AA6535" s="531"/>
      <c r="AB6535" s="531"/>
      <c r="AC6535" s="531"/>
      <c r="AD6535" s="531"/>
      <c r="AE6535" s="531"/>
      <c r="AF6535" s="531"/>
      <c r="AG6535" s="531"/>
      <c r="AH6535" s="531"/>
      <c r="AI6535" s="531"/>
      <c r="AJ6535" s="531"/>
      <c r="AK6535" s="531"/>
      <c r="AL6535" s="531"/>
      <c r="AM6535" s="531"/>
      <c r="AN6535" s="531"/>
      <c r="AO6535" s="531"/>
      <c r="AR6535" s="761" t="s">
        <v>145</v>
      </c>
      <c r="AS6535" s="764"/>
    </row>
    <row r="6536" spans="1:45" s="520" customFormat="1" thickTop="1">
      <c r="A6536" s="51"/>
      <c r="B6536" s="51"/>
      <c r="C6536" s="3"/>
      <c r="D6536" s="3"/>
      <c r="E6536" s="51"/>
      <c r="F6536" s="51"/>
      <c r="G6536" s="51"/>
      <c r="H6536" s="51"/>
      <c r="I6536" s="51"/>
      <c r="J6536" s="51"/>
      <c r="K6536" s="51" t="s">
        <v>134</v>
      </c>
      <c r="L6536" s="51"/>
      <c r="M6536" s="51"/>
      <c r="N6536" s="51"/>
      <c r="O6536" s="52"/>
      <c r="P6536" s="51"/>
      <c r="Q6536" s="51"/>
      <c r="R6536" s="51"/>
      <c r="S6536" s="51"/>
      <c r="T6536" s="51"/>
      <c r="AR6536" s="51"/>
      <c r="AS6536" s="51"/>
    </row>
    <row r="6537" spans="1:45" s="520" customFormat="1" ht="12">
      <c r="A6537" s="51"/>
      <c r="B6537" s="51"/>
      <c r="C6537" s="51" t="s">
        <v>135</v>
      </c>
      <c r="D6537" s="37"/>
      <c r="E6537" s="51"/>
      <c r="F6537" s="51"/>
      <c r="G6537" s="51"/>
      <c r="H6537" s="51"/>
      <c r="I6537" s="51"/>
      <c r="J6537" s="51"/>
      <c r="K6537" s="51"/>
      <c r="L6537" s="51"/>
      <c r="M6537" s="51"/>
      <c r="N6537" s="51"/>
      <c r="O6537" s="52"/>
      <c r="P6537" s="51"/>
      <c r="Q6537" s="51"/>
      <c r="R6537" s="51"/>
      <c r="S6537" s="51"/>
      <c r="T6537" s="51"/>
      <c r="AR6537" s="51"/>
      <c r="AS6537" s="51"/>
    </row>
    <row r="6538" spans="1:45" s="520" customFormat="1" ht="12">
      <c r="A6538" s="51"/>
      <c r="B6538" s="51"/>
      <c r="C6538" s="51"/>
      <c r="D6538" s="37" t="s">
        <v>919</v>
      </c>
      <c r="E6538" s="51"/>
      <c r="F6538" s="51"/>
      <c r="G6538" s="51"/>
      <c r="H6538" s="51"/>
      <c r="I6538" s="51"/>
      <c r="J6538" s="51"/>
      <c r="K6538" s="51"/>
      <c r="L6538" s="51"/>
      <c r="M6538" s="51"/>
      <c r="N6538" s="51"/>
      <c r="O6538" s="52"/>
      <c r="P6538" s="51"/>
      <c r="Q6538" s="51"/>
      <c r="R6538" s="51"/>
      <c r="S6538" s="38"/>
      <c r="T6538" s="38"/>
      <c r="AR6538" s="51"/>
      <c r="AS6538" s="51"/>
    </row>
    <row r="6539" spans="1:45" s="3" customFormat="1" thickBot="1">
      <c r="A6539" s="531"/>
      <c r="O6539" s="107"/>
      <c r="AR6539" s="531"/>
    </row>
    <row r="6540" spans="1:45" s="520" customFormat="1" ht="12" thickTop="1">
      <c r="A6540" s="51"/>
      <c r="B6540" s="41"/>
      <c r="C6540" s="51"/>
      <c r="E6540" s="42" t="s">
        <v>138</v>
      </c>
      <c r="F6540" s="42" t="s">
        <v>139</v>
      </c>
      <c r="G6540" s="51"/>
      <c r="H6540" s="51"/>
      <c r="I6540" s="51"/>
      <c r="J6540" s="51"/>
      <c r="K6540" s="51" t="s">
        <v>140</v>
      </c>
      <c r="L6540" s="51"/>
      <c r="M6540" s="51"/>
      <c r="N6540" s="51"/>
      <c r="O6540" s="52"/>
      <c r="P6540" s="51"/>
      <c r="Q6540" s="51"/>
      <c r="R6540" s="51"/>
      <c r="S6540" s="51"/>
      <c r="T6540" s="41"/>
      <c r="AG6540" s="521" t="s">
        <v>268</v>
      </c>
      <c r="AH6540" s="521" t="s">
        <v>269</v>
      </c>
      <c r="AI6540" s="521" t="s">
        <v>270</v>
      </c>
      <c r="AJ6540" s="521" t="s">
        <v>271</v>
      </c>
      <c r="AK6540" s="521" t="s">
        <v>272</v>
      </c>
      <c r="AM6540" s="745" t="s">
        <v>281</v>
      </c>
      <c r="AN6540" s="746" t="s">
        <v>282</v>
      </c>
      <c r="AO6540" s="522" t="s">
        <v>278</v>
      </c>
      <c r="AR6540" s="51"/>
      <c r="AS6540" s="42" t="s">
        <v>139</v>
      </c>
    </row>
    <row r="6541" spans="1:45" s="520" customFormat="1" ht="12" customHeight="1">
      <c r="A6541" s="747">
        <v>20</v>
      </c>
      <c r="B6541" s="523" t="s">
        <v>320</v>
      </c>
      <c r="C6541" s="748"/>
      <c r="D6541" s="749" t="s">
        <v>2016</v>
      </c>
      <c r="E6541" s="750">
        <f ca="1">IF(AND($A6541=0,$A$1="DIF"),0, ROUND(ROUND(($R6548*$S$2+($T6548*$T$2))/A6541,2)*$C$2,2))</f>
        <v>22.31</v>
      </c>
      <c r="F6541" s="751">
        <f ca="1">ROUND($A6541*$E6541,2)</f>
        <v>446.2</v>
      </c>
      <c r="G6541" s="752" t="s">
        <v>142</v>
      </c>
      <c r="H6541" s="753"/>
      <c r="I6541" s="754"/>
      <c r="J6541" s="753"/>
      <c r="K6541" s="753" t="s">
        <v>3</v>
      </c>
      <c r="L6541" s="755" t="s">
        <v>143</v>
      </c>
      <c r="M6541" s="755"/>
      <c r="N6541" s="755"/>
      <c r="O6541" s="755"/>
      <c r="P6541" s="755"/>
      <c r="Q6541" s="51"/>
      <c r="T6541" s="756" t="str">
        <f ca="1">IF(AND($R6548=0,$T6548=0),"0.00","mu :" &amp; ROUND($F6541/$C$2/($R6548+$T6548*$D$9),2))</f>
        <v>mu :1.23</v>
      </c>
      <c r="W6541" s="524"/>
      <c r="AG6541" s="481">
        <f ca="1">IF($E6541=0,0,ROUND($R6548*$S$2*$C$2/$A6541,2))</f>
        <v>10.130000000000001</v>
      </c>
      <c r="AH6541" s="481">
        <f ca="1">$AG6541*$A6541</f>
        <v>202.60000000000002</v>
      </c>
      <c r="AI6541" s="525">
        <f ca="1">$E6541-$AG6541</f>
        <v>12.179999999999998</v>
      </c>
      <c r="AJ6541" s="525">
        <f ca="1">$A6541*$AI6541</f>
        <v>243.59999999999997</v>
      </c>
      <c r="AK6541" s="526">
        <f ca="1">ROUND(($AG6541+$AI6541)*$A6541,2)</f>
        <v>446.2</v>
      </c>
      <c r="AM6541" s="527">
        <f ca="1">ROUND(R6548,2)</f>
        <v>164.6</v>
      </c>
      <c r="AN6541" s="528">
        <f ca="1">ROUND(T6548,2)</f>
        <v>7.2</v>
      </c>
      <c r="AO6541" s="529">
        <f ca="1">ROUND(AM6541+AN6541,2)*A6541</f>
        <v>3436</v>
      </c>
      <c r="AR6541" s="747">
        <v>20</v>
      </c>
      <c r="AS6541" s="751">
        <v>473.2</v>
      </c>
    </row>
    <row r="6542" spans="1:45" s="520" customFormat="1" ht="13.2">
      <c r="A6542" s="748"/>
      <c r="B6542"/>
      <c r="C6542" s="748"/>
      <c r="D6542" s="749" t="s">
        <v>920</v>
      </c>
      <c r="F6542" s="753"/>
      <c r="G6542" s="3"/>
      <c r="H6542" s="753"/>
      <c r="I6542" s="754"/>
      <c r="J6542" s="753"/>
      <c r="K6542" s="753" t="s">
        <v>144</v>
      </c>
      <c r="L6542" s="753"/>
      <c r="M6542" s="753"/>
      <c r="N6542" s="753"/>
      <c r="O6542" s="753"/>
      <c r="P6542" s="753"/>
      <c r="Q6542" s="51"/>
      <c r="R6542" s="530"/>
      <c r="S6542" s="757"/>
      <c r="T6542" s="753"/>
      <c r="AR6542" s="748"/>
      <c r="AS6542" s="753"/>
    </row>
    <row r="6543" spans="1:45" s="886" customFormat="1" ht="13.2">
      <c r="A6543"/>
      <c r="B6543" s="910"/>
      <c r="C6543" s="910" t="s">
        <v>2597</v>
      </c>
      <c r="D6543" s="910" t="str">
        <f ca="1">CELL("Address",Elec_Rates!D$808)</f>
        <v>[E25_0062_Quintano_Foods_Elec_ELV_As_Awarded.xlsx]Elec_Rates!$D$808</v>
      </c>
      <c r="E6543" s="911"/>
      <c r="F6543" s="911"/>
      <c r="G6543" s="912" t="s">
        <v>2598</v>
      </c>
      <c r="H6543" s="912"/>
      <c r="I6543" s="912"/>
      <c r="J6543" s="912"/>
      <c r="K6543" s="913"/>
      <c r="L6543" s="911"/>
      <c r="M6543" s="911"/>
      <c r="N6543" s="911"/>
      <c r="O6543" s="914"/>
      <c r="P6543" s="911"/>
      <c r="Q6543" s="915"/>
      <c r="R6543" s="916"/>
      <c r="S6543" s="915"/>
      <c r="T6543" s="917"/>
      <c r="U6543" s="918"/>
      <c r="AR6543"/>
      <c r="AS6543" s="911"/>
    </row>
    <row r="6544" spans="1:45" s="886" customFormat="1" ht="11.4">
      <c r="A6544" s="919">
        <v>20</v>
      </c>
      <c r="B6544" s="920">
        <v>1</v>
      </c>
      <c r="C6544" s="920">
        <f>$A6544*$B6544</f>
        <v>20</v>
      </c>
      <c r="D6544" s="921" t="str">
        <f>Elec_Rates!$D$808</f>
        <v>077# 75x50mm galvanised steel cable trunking</v>
      </c>
      <c r="E6544" s="921"/>
      <c r="F6544" s="921" t="s">
        <v>2599</v>
      </c>
      <c r="G6544" s="922" t="s">
        <v>2600</v>
      </c>
      <c r="H6544" s="922"/>
      <c r="I6544" s="922"/>
      <c r="J6544" s="922"/>
      <c r="K6544" s="923"/>
      <c r="L6544" s="918"/>
      <c r="M6544" s="918"/>
      <c r="N6544" s="918"/>
      <c r="O6544" s="924"/>
      <c r="P6544" s="921"/>
      <c r="Q6544" s="925">
        <f ca="1">$B6544*Elec_Rates!$R$808</f>
        <v>5.86</v>
      </c>
      <c r="R6544" s="916">
        <f ca="1">$A6544*Q6544</f>
        <v>117.2</v>
      </c>
      <c r="S6544" s="925">
        <f ca="1">$B6544*Elec_Rates!$T$808</f>
        <v>0.27</v>
      </c>
      <c r="T6544" s="917">
        <f ca="1">$A6544*S6544</f>
        <v>5.4</v>
      </c>
      <c r="U6544" s="926"/>
      <c r="AR6544" s="919">
        <v>20</v>
      </c>
      <c r="AS6544" s="921" t="s">
        <v>2599</v>
      </c>
    </row>
    <row r="6545" spans="1:45" s="886" customFormat="1" ht="13.2">
      <c r="A6545"/>
      <c r="B6545" s="910"/>
      <c r="C6545" s="910" t="s">
        <v>2597</v>
      </c>
      <c r="D6545" s="910" t="str">
        <f ca="1">CELL("Address",Elec_Rates!D$907)</f>
        <v>[E25_0062_Quintano_Foods_Elec_ELV_As_Awarded.xlsx]Elec_Rates!$D$907</v>
      </c>
      <c r="E6545" s="911"/>
      <c r="F6545" s="911"/>
      <c r="G6545" s="912" t="s">
        <v>2598</v>
      </c>
      <c r="H6545" s="912"/>
      <c r="I6545" s="912"/>
      <c r="J6545" s="912"/>
      <c r="K6545" s="913"/>
      <c r="L6545" s="911"/>
      <c r="M6545" s="911"/>
      <c r="N6545" s="911"/>
      <c r="O6545" s="914"/>
      <c r="P6545" s="911"/>
      <c r="Q6545" s="915"/>
      <c r="R6545" s="916"/>
      <c r="S6545" s="915"/>
      <c r="T6545" s="917"/>
      <c r="U6545" s="918"/>
      <c r="AR6545"/>
      <c r="AS6545" s="911"/>
    </row>
    <row r="6546" spans="1:45" s="886" customFormat="1" ht="11.4">
      <c r="A6546" s="919">
        <v>20</v>
      </c>
      <c r="B6546" s="920">
        <v>1</v>
      </c>
      <c r="C6546" s="920">
        <f>$A6546*$B6546</f>
        <v>20</v>
      </c>
      <c r="D6546" s="921" t="str">
        <f>Elec_Rates!$D$907</f>
        <v>084# Bracket for 50-150mm cable tray/basket/trunking</v>
      </c>
      <c r="E6546" s="921"/>
      <c r="F6546" s="921" t="s">
        <v>2599</v>
      </c>
      <c r="G6546" s="922" t="s">
        <v>2600</v>
      </c>
      <c r="H6546" s="922"/>
      <c r="I6546" s="922"/>
      <c r="J6546" s="922"/>
      <c r="K6546" s="923"/>
      <c r="L6546" s="918"/>
      <c r="M6546" s="918"/>
      <c r="N6546" s="918"/>
      <c r="O6546" s="924"/>
      <c r="P6546" s="921"/>
      <c r="Q6546" s="925">
        <f ca="1">$B6546*Elec_Rates!$R$907</f>
        <v>2.37</v>
      </c>
      <c r="R6546" s="916">
        <f ca="1">$A6546*Q6546</f>
        <v>47.400000000000006</v>
      </c>
      <c r="S6546" s="925">
        <f ca="1">$B6546*Elec_Rates!$T$907</f>
        <v>0.09</v>
      </c>
      <c r="T6546" s="917">
        <f ca="1">$A6546*S6546</f>
        <v>1.7999999999999998</v>
      </c>
      <c r="U6546" s="926"/>
      <c r="AR6546" s="919">
        <v>20</v>
      </c>
      <c r="AS6546" s="921" t="s">
        <v>2599</v>
      </c>
    </row>
    <row r="6547" spans="1:45" s="520" customFormat="1" ht="12">
      <c r="A6547" s="758"/>
      <c r="B6547" s="758"/>
      <c r="C6547" s="758"/>
      <c r="D6547" s="758"/>
      <c r="E6547" s="758"/>
      <c r="F6547" s="753"/>
      <c r="G6547" s="758"/>
      <c r="H6547" s="758"/>
      <c r="I6547" s="519"/>
      <c r="J6547" s="758"/>
      <c r="K6547" s="758"/>
      <c r="L6547" s="758"/>
      <c r="M6547" s="758"/>
      <c r="N6547" s="758"/>
      <c r="O6547" s="758"/>
      <c r="P6547" s="758"/>
      <c r="Q6547" s="519"/>
      <c r="R6547" s="759">
        <f t="shared" ref="R6547" si="470">$A6547*Q6547</f>
        <v>0</v>
      </c>
      <c r="S6547" s="519"/>
      <c r="T6547" s="760">
        <f t="shared" ref="T6547" si="471">$A6547*S6547*$T$1</f>
        <v>0</v>
      </c>
      <c r="AR6547" s="758"/>
      <c r="AS6547" s="753"/>
    </row>
    <row r="6548" spans="1:45" s="520" customFormat="1" ht="12.6" thickBot="1">
      <c r="A6548" s="761" t="s">
        <v>145</v>
      </c>
      <c r="B6548" s="762">
        <f>(R6547+T6547)</f>
        <v>0</v>
      </c>
      <c r="C6548" s="763"/>
      <c r="D6548" s="763"/>
      <c r="E6548" s="763"/>
      <c r="F6548" s="764"/>
      <c r="G6548" s="763" t="s">
        <v>146</v>
      </c>
      <c r="H6548" s="763"/>
      <c r="I6548" s="765"/>
      <c r="J6548" s="763"/>
      <c r="K6548" s="763" t="s">
        <v>3</v>
      </c>
      <c r="L6548" s="766" t="s">
        <v>143</v>
      </c>
      <c r="M6548" s="766"/>
      <c r="N6548" s="766"/>
      <c r="O6548" s="766"/>
      <c r="P6548" s="766"/>
      <c r="Q6548" s="767"/>
      <c r="R6548" s="768">
        <f ca="1">SUM(R6542:R6547)</f>
        <v>164.60000000000002</v>
      </c>
      <c r="S6548" s="763"/>
      <c r="T6548" s="768">
        <f ca="1">SUM(T6542:T6547)</f>
        <v>7.2</v>
      </c>
      <c r="U6548" s="531"/>
      <c r="V6548" s="531"/>
      <c r="W6548" s="531"/>
      <c r="X6548" s="531"/>
      <c r="Y6548" s="531"/>
      <c r="Z6548" s="531"/>
      <c r="AA6548" s="531"/>
      <c r="AB6548" s="531"/>
      <c r="AC6548" s="531"/>
      <c r="AD6548" s="531"/>
      <c r="AE6548" s="531"/>
      <c r="AF6548" s="531"/>
      <c r="AG6548" s="531"/>
      <c r="AH6548" s="531"/>
      <c r="AI6548" s="531"/>
      <c r="AJ6548" s="531"/>
      <c r="AK6548" s="531"/>
      <c r="AL6548" s="531"/>
      <c r="AM6548" s="531"/>
      <c r="AN6548" s="531"/>
      <c r="AO6548" s="531"/>
      <c r="AR6548" s="761" t="s">
        <v>145</v>
      </c>
      <c r="AS6548" s="764"/>
    </row>
    <row r="6549" spans="1:45" s="520" customFormat="1" ht="12" thickTop="1">
      <c r="A6549" s="51"/>
      <c r="B6549" s="41"/>
      <c r="C6549" s="51"/>
      <c r="E6549" s="42" t="s">
        <v>138</v>
      </c>
      <c r="F6549" s="42" t="s">
        <v>139</v>
      </c>
      <c r="G6549" s="51"/>
      <c r="H6549" s="51"/>
      <c r="I6549" s="51"/>
      <c r="J6549" s="51"/>
      <c r="K6549" s="51" t="s">
        <v>140</v>
      </c>
      <c r="L6549" s="51"/>
      <c r="M6549" s="51"/>
      <c r="N6549" s="51"/>
      <c r="O6549" s="52"/>
      <c r="P6549" s="51"/>
      <c r="Q6549" s="51"/>
      <c r="R6549" s="51"/>
      <c r="S6549" s="51"/>
      <c r="T6549" s="41"/>
      <c r="AG6549" s="521" t="s">
        <v>268</v>
      </c>
      <c r="AH6549" s="521" t="s">
        <v>269</v>
      </c>
      <c r="AI6549" s="521" t="s">
        <v>270</v>
      </c>
      <c r="AJ6549" s="521" t="s">
        <v>271</v>
      </c>
      <c r="AK6549" s="521" t="s">
        <v>272</v>
      </c>
      <c r="AM6549" s="745" t="s">
        <v>281</v>
      </c>
      <c r="AN6549" s="746" t="s">
        <v>282</v>
      </c>
      <c r="AO6549" s="522" t="s">
        <v>278</v>
      </c>
      <c r="AR6549" s="51"/>
      <c r="AS6549" s="42" t="s">
        <v>139</v>
      </c>
    </row>
    <row r="6550" spans="1:45" s="520" customFormat="1" ht="12" customHeight="1">
      <c r="A6550" s="747">
        <v>10</v>
      </c>
      <c r="B6550" s="523" t="s">
        <v>320</v>
      </c>
      <c r="C6550" s="748"/>
      <c r="D6550" s="749" t="s">
        <v>2017</v>
      </c>
      <c r="E6550" s="750">
        <f ca="1">IF(AND($A6550=0,$A$1="DIF"),0, ROUND(ROUND(($R6557*$S$2+($T6557*$T$2))/A6550,2)*$C$2,2))</f>
        <v>24.32</v>
      </c>
      <c r="F6550" s="751">
        <f ca="1">ROUND($A6550*$E6550,2)</f>
        <v>243.2</v>
      </c>
      <c r="G6550" s="752" t="s">
        <v>142</v>
      </c>
      <c r="H6550" s="753"/>
      <c r="I6550" s="754"/>
      <c r="J6550" s="753"/>
      <c r="K6550" s="753" t="s">
        <v>3</v>
      </c>
      <c r="L6550" s="755" t="s">
        <v>143</v>
      </c>
      <c r="M6550" s="755"/>
      <c r="N6550" s="755"/>
      <c r="O6550" s="755"/>
      <c r="P6550" s="755"/>
      <c r="Q6550" s="51"/>
      <c r="T6550" s="756" t="str">
        <f ca="1">IF(AND($R6557=0,$T6557=0),"0.00","mu :" &amp; ROUND($F6550/$C$2/($R6557+$T6557*$D$9),2))</f>
        <v>mu :1.23</v>
      </c>
      <c r="W6550" s="524"/>
      <c r="AG6550" s="481">
        <f ca="1">IF($E6550=0,0,ROUND($R6557*$S$2*$C$2/$A6550,2))</f>
        <v>11.48</v>
      </c>
      <c r="AH6550" s="481">
        <f ca="1">$AG6550*$A6550</f>
        <v>114.80000000000001</v>
      </c>
      <c r="AI6550" s="525">
        <f ca="1">$E6550-$AG6550</f>
        <v>12.84</v>
      </c>
      <c r="AJ6550" s="525">
        <f ca="1">$A6550*$AI6550</f>
        <v>128.4</v>
      </c>
      <c r="AK6550" s="526">
        <f ca="1">ROUND(($AG6550+$AI6550)*$A6550,2)</f>
        <v>243.2</v>
      </c>
      <c r="AM6550" s="527">
        <f ca="1">ROUND(R6557,2)</f>
        <v>93.2</v>
      </c>
      <c r="AN6550" s="528">
        <f ca="1">ROUND(T6557,2)</f>
        <v>3.8</v>
      </c>
      <c r="AO6550" s="529">
        <f ca="1">ROUND(AM6550+AN6550,2)*A6550</f>
        <v>970</v>
      </c>
      <c r="AR6550" s="747">
        <v>10</v>
      </c>
      <c r="AS6550" s="751">
        <v>256.8</v>
      </c>
    </row>
    <row r="6551" spans="1:45" s="520" customFormat="1" ht="13.2">
      <c r="A6551" s="748"/>
      <c r="B6551"/>
      <c r="C6551" s="748"/>
      <c r="D6551" s="749" t="s">
        <v>921</v>
      </c>
      <c r="F6551" s="753"/>
      <c r="G6551" s="3"/>
      <c r="H6551" s="753"/>
      <c r="I6551" s="754"/>
      <c r="J6551" s="753"/>
      <c r="K6551" s="753" t="s">
        <v>144</v>
      </c>
      <c r="L6551" s="753"/>
      <c r="M6551" s="753"/>
      <c r="N6551" s="753"/>
      <c r="O6551" s="753"/>
      <c r="P6551" s="753"/>
      <c r="Q6551" s="51"/>
      <c r="R6551" s="530"/>
      <c r="S6551" s="757"/>
      <c r="T6551" s="753"/>
      <c r="AR6551" s="748"/>
      <c r="AS6551" s="753"/>
    </row>
    <row r="6552" spans="1:45" s="886" customFormat="1" ht="13.2">
      <c r="A6552"/>
      <c r="B6552" s="910"/>
      <c r="C6552" s="910" t="s">
        <v>2597</v>
      </c>
      <c r="D6552" s="910" t="str">
        <f ca="1">CELL("Address",Elec_Rates!D$822)</f>
        <v>[E25_0062_Quintano_Foods_Elec_ELV_As_Awarded.xlsx]Elec_Rates!$D$822</v>
      </c>
      <c r="E6552" s="911"/>
      <c r="F6552" s="911"/>
      <c r="G6552" s="912" t="s">
        <v>2598</v>
      </c>
      <c r="H6552" s="912"/>
      <c r="I6552" s="912"/>
      <c r="J6552" s="912"/>
      <c r="K6552" s="913"/>
      <c r="L6552" s="911"/>
      <c r="M6552" s="911"/>
      <c r="N6552" s="911"/>
      <c r="O6552" s="914"/>
      <c r="P6552" s="911"/>
      <c r="Q6552" s="915"/>
      <c r="R6552" s="916"/>
      <c r="S6552" s="915"/>
      <c r="T6552" s="917"/>
      <c r="U6552" s="918"/>
      <c r="AR6552"/>
      <c r="AS6552" s="911"/>
    </row>
    <row r="6553" spans="1:45" s="886" customFormat="1" ht="11.4">
      <c r="A6553" s="919">
        <v>10</v>
      </c>
      <c r="B6553" s="920">
        <v>1</v>
      </c>
      <c r="C6553" s="920">
        <f>$A6553*$B6553</f>
        <v>10</v>
      </c>
      <c r="D6553" s="921" t="str">
        <f>Elec_Rates!$D$822</f>
        <v>078# 75x75mm galvanised steel cable trunking</v>
      </c>
      <c r="E6553" s="921"/>
      <c r="F6553" s="921" t="s">
        <v>2599</v>
      </c>
      <c r="G6553" s="922" t="s">
        <v>2601</v>
      </c>
      <c r="H6553" s="922"/>
      <c r="I6553" s="922"/>
      <c r="J6553" s="922"/>
      <c r="K6553" s="923"/>
      <c r="L6553" s="918"/>
      <c r="M6553" s="918"/>
      <c r="N6553" s="918"/>
      <c r="O6553" s="924"/>
      <c r="P6553" s="921"/>
      <c r="Q6553" s="925">
        <f ca="1">$B6553*Elec_Rates!$R$822</f>
        <v>6.95</v>
      </c>
      <c r="R6553" s="916">
        <f ca="1">$A6553*Q6553</f>
        <v>69.5</v>
      </c>
      <c r="S6553" s="925">
        <f ca="1">$B6553*Elec_Rates!$T$822</f>
        <v>0.28999999999999998</v>
      </c>
      <c r="T6553" s="917">
        <f ca="1">$A6553*S6553</f>
        <v>2.9</v>
      </c>
      <c r="U6553" s="926"/>
      <c r="AR6553" s="919">
        <v>10</v>
      </c>
      <c r="AS6553" s="921" t="s">
        <v>2599</v>
      </c>
    </row>
    <row r="6554" spans="1:45" s="886" customFormat="1" ht="13.2">
      <c r="A6554"/>
      <c r="B6554" s="910"/>
      <c r="C6554" s="910" t="s">
        <v>2597</v>
      </c>
      <c r="D6554" s="910" t="str">
        <f ca="1">CELL("Address",Elec_Rates!D$907)</f>
        <v>[E25_0062_Quintano_Foods_Elec_ELV_As_Awarded.xlsx]Elec_Rates!$D$907</v>
      </c>
      <c r="E6554" s="911"/>
      <c r="F6554" s="911"/>
      <c r="G6554" s="912" t="s">
        <v>2598</v>
      </c>
      <c r="H6554" s="912"/>
      <c r="I6554" s="912"/>
      <c r="J6554" s="912"/>
      <c r="K6554" s="913"/>
      <c r="L6554" s="911"/>
      <c r="M6554" s="911"/>
      <c r="N6554" s="911"/>
      <c r="O6554" s="914"/>
      <c r="P6554" s="911"/>
      <c r="Q6554" s="915"/>
      <c r="R6554" s="916"/>
      <c r="S6554" s="915"/>
      <c r="T6554" s="917"/>
      <c r="U6554" s="918"/>
      <c r="AR6554"/>
      <c r="AS6554" s="911"/>
    </row>
    <row r="6555" spans="1:45" s="886" customFormat="1" ht="11.4">
      <c r="A6555" s="919">
        <v>10</v>
      </c>
      <c r="B6555" s="920">
        <v>1</v>
      </c>
      <c r="C6555" s="920">
        <f>$A6555*$B6555</f>
        <v>10</v>
      </c>
      <c r="D6555" s="921" t="str">
        <f>Elec_Rates!$D$907</f>
        <v>084# Bracket for 50-150mm cable tray/basket/trunking</v>
      </c>
      <c r="E6555" s="921"/>
      <c r="F6555" s="921" t="s">
        <v>2599</v>
      </c>
      <c r="G6555" s="922" t="s">
        <v>2600</v>
      </c>
      <c r="H6555" s="922"/>
      <c r="I6555" s="922"/>
      <c r="J6555" s="922"/>
      <c r="K6555" s="923"/>
      <c r="L6555" s="918"/>
      <c r="M6555" s="918"/>
      <c r="N6555" s="918"/>
      <c r="O6555" s="924"/>
      <c r="P6555" s="921"/>
      <c r="Q6555" s="925">
        <f ca="1">$B6555*Elec_Rates!$R$907</f>
        <v>2.37</v>
      </c>
      <c r="R6555" s="916">
        <f ca="1">$A6555*Q6555</f>
        <v>23.700000000000003</v>
      </c>
      <c r="S6555" s="925">
        <f ca="1">$B6555*Elec_Rates!$T$907</f>
        <v>0.09</v>
      </c>
      <c r="T6555" s="917">
        <f ca="1">$A6555*S6555</f>
        <v>0.89999999999999991</v>
      </c>
      <c r="U6555" s="926"/>
      <c r="AR6555" s="919">
        <v>10</v>
      </c>
      <c r="AS6555" s="921" t="s">
        <v>2599</v>
      </c>
    </row>
    <row r="6556" spans="1:45" s="520" customFormat="1" ht="12">
      <c r="A6556" s="758"/>
      <c r="B6556" s="758"/>
      <c r="C6556" s="758"/>
      <c r="D6556" s="758"/>
      <c r="E6556" s="758"/>
      <c r="F6556" s="753"/>
      <c r="G6556" s="758"/>
      <c r="H6556" s="758"/>
      <c r="I6556" s="519"/>
      <c r="J6556" s="758"/>
      <c r="K6556" s="758"/>
      <c r="L6556" s="758"/>
      <c r="M6556" s="758"/>
      <c r="N6556" s="758"/>
      <c r="O6556" s="758"/>
      <c r="P6556" s="758"/>
      <c r="Q6556" s="519"/>
      <c r="R6556" s="759">
        <f t="shared" ref="R6556" si="472">$A6556*Q6556</f>
        <v>0</v>
      </c>
      <c r="S6556" s="519"/>
      <c r="T6556" s="760">
        <f t="shared" ref="T6556" si="473">$A6556*S6556*$T$1</f>
        <v>0</v>
      </c>
      <c r="AR6556" s="758"/>
      <c r="AS6556" s="753"/>
    </row>
    <row r="6557" spans="1:45" s="520" customFormat="1" ht="12.6" thickBot="1">
      <c r="A6557" s="761" t="s">
        <v>145</v>
      </c>
      <c r="B6557" s="762">
        <f>(R6556+T6556)</f>
        <v>0</v>
      </c>
      <c r="C6557" s="763"/>
      <c r="D6557" s="763"/>
      <c r="E6557" s="763"/>
      <c r="F6557" s="764"/>
      <c r="G6557" s="763" t="s">
        <v>146</v>
      </c>
      <c r="H6557" s="763"/>
      <c r="I6557" s="765"/>
      <c r="J6557" s="763"/>
      <c r="K6557" s="763" t="s">
        <v>3</v>
      </c>
      <c r="L6557" s="766" t="s">
        <v>143</v>
      </c>
      <c r="M6557" s="766"/>
      <c r="N6557" s="766"/>
      <c r="O6557" s="766"/>
      <c r="P6557" s="766"/>
      <c r="Q6557" s="767"/>
      <c r="R6557" s="768">
        <f ca="1">SUM(R6551:R6556)</f>
        <v>93.2</v>
      </c>
      <c r="S6557" s="763"/>
      <c r="T6557" s="768">
        <f ca="1">SUM(T6551:T6556)</f>
        <v>3.8</v>
      </c>
      <c r="U6557" s="531"/>
      <c r="V6557" s="531"/>
      <c r="W6557" s="531"/>
      <c r="X6557" s="531"/>
      <c r="Y6557" s="531"/>
      <c r="Z6557" s="531"/>
      <c r="AA6557" s="531"/>
      <c r="AB6557" s="531"/>
      <c r="AC6557" s="531"/>
      <c r="AD6557" s="531"/>
      <c r="AE6557" s="531"/>
      <c r="AF6557" s="531"/>
      <c r="AG6557" s="531"/>
      <c r="AH6557" s="531"/>
      <c r="AI6557" s="531"/>
      <c r="AJ6557" s="531"/>
      <c r="AK6557" s="531"/>
      <c r="AL6557" s="531"/>
      <c r="AM6557" s="531"/>
      <c r="AN6557" s="531"/>
      <c r="AO6557" s="531"/>
      <c r="AR6557" s="761" t="s">
        <v>145</v>
      </c>
      <c r="AS6557" s="764"/>
    </row>
    <row r="6558" spans="1:45" s="520" customFormat="1" thickTop="1">
      <c r="A6558" s="51"/>
      <c r="B6558" s="51"/>
      <c r="C6558" s="3"/>
      <c r="D6558" s="3"/>
      <c r="E6558" s="51"/>
      <c r="F6558" s="51"/>
      <c r="G6558" s="51"/>
      <c r="H6558" s="51"/>
      <c r="I6558" s="51"/>
      <c r="J6558" s="51"/>
      <c r="K6558" s="51" t="s">
        <v>134</v>
      </c>
      <c r="L6558" s="51"/>
      <c r="M6558" s="51"/>
      <c r="N6558" s="51"/>
      <c r="O6558" s="52"/>
      <c r="P6558" s="51"/>
      <c r="Q6558" s="51"/>
      <c r="R6558" s="51"/>
      <c r="S6558" s="51"/>
      <c r="T6558" s="51"/>
      <c r="AR6558" s="51"/>
      <c r="AS6558" s="51"/>
    </row>
    <row r="6559" spans="1:45" s="520" customFormat="1" ht="12">
      <c r="A6559" s="51"/>
      <c r="B6559" s="51"/>
      <c r="C6559" s="51" t="s">
        <v>135</v>
      </c>
      <c r="D6559" s="37"/>
      <c r="E6559" s="51"/>
      <c r="F6559" s="51"/>
      <c r="G6559" s="51"/>
      <c r="H6559" s="51"/>
      <c r="I6559" s="51"/>
      <c r="J6559" s="51"/>
      <c r="K6559" s="51"/>
      <c r="L6559" s="51"/>
      <c r="M6559" s="51"/>
      <c r="N6559" s="51"/>
      <c r="O6559" s="52"/>
      <c r="P6559" s="51"/>
      <c r="Q6559" s="51"/>
      <c r="R6559" s="51"/>
      <c r="S6559" s="51"/>
      <c r="T6559" s="51"/>
      <c r="AR6559" s="51"/>
      <c r="AS6559" s="51"/>
    </row>
    <row r="6560" spans="1:45" s="520" customFormat="1" ht="12">
      <c r="A6560" s="51"/>
      <c r="B6560" s="51"/>
      <c r="C6560" s="51"/>
      <c r="D6560" s="37" t="s">
        <v>923</v>
      </c>
      <c r="E6560" s="51"/>
      <c r="F6560" s="51"/>
      <c r="G6560" s="51"/>
      <c r="H6560" s="51"/>
      <c r="I6560" s="51"/>
      <c r="J6560" s="51"/>
      <c r="K6560" s="51"/>
      <c r="L6560" s="51"/>
      <c r="M6560" s="51"/>
      <c r="N6560" s="51"/>
      <c r="O6560" s="52"/>
      <c r="P6560" s="51"/>
      <c r="Q6560" s="51"/>
      <c r="R6560" s="51"/>
      <c r="S6560" s="38"/>
      <c r="T6560" s="38"/>
      <c r="AR6560" s="51"/>
      <c r="AS6560" s="51"/>
    </row>
    <row r="6561" spans="1:45" s="3" customFormat="1" thickBot="1">
      <c r="A6561" s="531"/>
      <c r="O6561" s="107"/>
      <c r="AR6561" s="531"/>
    </row>
    <row r="6562" spans="1:45" s="520" customFormat="1" ht="12" thickTop="1">
      <c r="A6562" s="51"/>
      <c r="B6562" s="41"/>
      <c r="C6562" s="51"/>
      <c r="E6562" s="42" t="s">
        <v>138</v>
      </c>
      <c r="F6562" s="42" t="s">
        <v>139</v>
      </c>
      <c r="G6562" s="51"/>
      <c r="H6562" s="51"/>
      <c r="I6562" s="51"/>
      <c r="J6562" s="51"/>
      <c r="K6562" s="51" t="s">
        <v>140</v>
      </c>
      <c r="L6562" s="51"/>
      <c r="M6562" s="51"/>
      <c r="N6562" s="51"/>
      <c r="O6562" s="52"/>
      <c r="P6562" s="51"/>
      <c r="Q6562" s="51"/>
      <c r="R6562" s="51"/>
      <c r="S6562" s="51"/>
      <c r="T6562" s="41"/>
      <c r="AG6562" s="521" t="s">
        <v>268</v>
      </c>
      <c r="AH6562" s="521" t="s">
        <v>269</v>
      </c>
      <c r="AI6562" s="521" t="s">
        <v>270</v>
      </c>
      <c r="AJ6562" s="521" t="s">
        <v>271</v>
      </c>
      <c r="AK6562" s="521" t="s">
        <v>272</v>
      </c>
      <c r="AM6562" s="745" t="s">
        <v>281</v>
      </c>
      <c r="AN6562" s="746" t="s">
        <v>282</v>
      </c>
      <c r="AO6562" s="522" t="s">
        <v>278</v>
      </c>
      <c r="AR6562" s="51"/>
      <c r="AS6562" s="42" t="s">
        <v>139</v>
      </c>
    </row>
    <row r="6563" spans="1:45" s="520" customFormat="1" ht="12" customHeight="1">
      <c r="A6563" s="747">
        <v>10</v>
      </c>
      <c r="B6563" s="523" t="s">
        <v>320</v>
      </c>
      <c r="C6563" s="748"/>
      <c r="D6563" s="749" t="s">
        <v>2019</v>
      </c>
      <c r="E6563" s="750">
        <f ca="1">IF(AND($A6563=0,$A$1="DIF"),0, ROUND(ROUND(($R6570*$S$2+($T6570*$T$2))/A6563,2)*$C$2,2))</f>
        <v>22.31</v>
      </c>
      <c r="F6563" s="751">
        <f ca="1">ROUND($A6563*$E6563,2)</f>
        <v>223.1</v>
      </c>
      <c r="G6563" s="752" t="s">
        <v>142</v>
      </c>
      <c r="H6563" s="753"/>
      <c r="I6563" s="754"/>
      <c r="J6563" s="753"/>
      <c r="K6563" s="753" t="s">
        <v>3</v>
      </c>
      <c r="L6563" s="755" t="s">
        <v>143</v>
      </c>
      <c r="M6563" s="755"/>
      <c r="N6563" s="755"/>
      <c r="O6563" s="755"/>
      <c r="P6563" s="755"/>
      <c r="Q6563" s="51"/>
      <c r="T6563" s="756" t="str">
        <f ca="1">IF(AND($R6570=0,$T6570=0),"0.00","mu :" &amp; ROUND($F6563/$C$2/($R6570+$T6570*$D$9),2))</f>
        <v>mu :1.23</v>
      </c>
      <c r="W6563" s="524"/>
      <c r="AG6563" s="481">
        <f ca="1">IF($E6563=0,0,ROUND($R6570*$S$2*$C$2/$A6563,2))</f>
        <v>10.130000000000001</v>
      </c>
      <c r="AH6563" s="481">
        <f ca="1">$AG6563*$A6563</f>
        <v>101.30000000000001</v>
      </c>
      <c r="AI6563" s="525">
        <f ca="1">$E6563-$AG6563</f>
        <v>12.179999999999998</v>
      </c>
      <c r="AJ6563" s="525">
        <f ca="1">$A6563*$AI6563</f>
        <v>121.79999999999998</v>
      </c>
      <c r="AK6563" s="526">
        <f ca="1">ROUND(($AG6563+$AI6563)*$A6563,2)</f>
        <v>223.1</v>
      </c>
      <c r="AM6563" s="527">
        <f ca="1">ROUND(R6570,2)</f>
        <v>82.3</v>
      </c>
      <c r="AN6563" s="528">
        <f ca="1">ROUND(T6570,2)</f>
        <v>3.6</v>
      </c>
      <c r="AO6563" s="529">
        <f ca="1">ROUND(AM6563+AN6563,2)*A6563</f>
        <v>859</v>
      </c>
      <c r="AR6563" s="747">
        <v>10</v>
      </c>
      <c r="AS6563" s="751">
        <v>236.6</v>
      </c>
    </row>
    <row r="6564" spans="1:45" s="520" customFormat="1" ht="13.2">
      <c r="A6564" s="748"/>
      <c r="B6564"/>
      <c r="C6564" s="748"/>
      <c r="D6564" s="749" t="s">
        <v>920</v>
      </c>
      <c r="F6564" s="753"/>
      <c r="G6564" s="3"/>
      <c r="H6564" s="753"/>
      <c r="I6564" s="754"/>
      <c r="J6564" s="753"/>
      <c r="K6564" s="753" t="s">
        <v>144</v>
      </c>
      <c r="L6564" s="753"/>
      <c r="M6564" s="753"/>
      <c r="N6564" s="753"/>
      <c r="O6564" s="753"/>
      <c r="P6564" s="753"/>
      <c r="Q6564" s="51"/>
      <c r="R6564" s="530"/>
      <c r="S6564" s="757"/>
      <c r="T6564" s="753"/>
      <c r="AR6564" s="748"/>
      <c r="AS6564" s="753"/>
    </row>
    <row r="6565" spans="1:45" s="886" customFormat="1" ht="13.2">
      <c r="A6565"/>
      <c r="B6565" s="910"/>
      <c r="C6565" s="910" t="s">
        <v>2597</v>
      </c>
      <c r="D6565" s="910" t="str">
        <f ca="1">CELL("Address",Elec_Rates!D$808)</f>
        <v>[E25_0062_Quintano_Foods_Elec_ELV_As_Awarded.xlsx]Elec_Rates!$D$808</v>
      </c>
      <c r="E6565" s="911"/>
      <c r="F6565" s="911"/>
      <c r="G6565" s="912" t="s">
        <v>2598</v>
      </c>
      <c r="H6565" s="912"/>
      <c r="I6565" s="912"/>
      <c r="J6565" s="912"/>
      <c r="K6565" s="913"/>
      <c r="L6565" s="911"/>
      <c r="M6565" s="911"/>
      <c r="N6565" s="911"/>
      <c r="O6565" s="914"/>
      <c r="P6565" s="911"/>
      <c r="Q6565" s="915"/>
      <c r="R6565" s="916"/>
      <c r="S6565" s="915"/>
      <c r="T6565" s="917"/>
      <c r="U6565" s="918"/>
      <c r="AR6565"/>
      <c r="AS6565" s="911"/>
    </row>
    <row r="6566" spans="1:45" s="886" customFormat="1" ht="11.4">
      <c r="A6566" s="919">
        <v>10</v>
      </c>
      <c r="B6566" s="920">
        <v>1</v>
      </c>
      <c r="C6566" s="920">
        <f>$A6566*$B6566</f>
        <v>10</v>
      </c>
      <c r="D6566" s="921" t="str">
        <f>Elec_Rates!$D$808</f>
        <v>077# 75x50mm galvanised steel cable trunking</v>
      </c>
      <c r="E6566" s="921"/>
      <c r="F6566" s="921" t="s">
        <v>2599</v>
      </c>
      <c r="G6566" s="922" t="s">
        <v>2600</v>
      </c>
      <c r="H6566" s="922"/>
      <c r="I6566" s="922"/>
      <c r="J6566" s="922"/>
      <c r="K6566" s="923"/>
      <c r="L6566" s="918"/>
      <c r="M6566" s="918"/>
      <c r="N6566" s="918"/>
      <c r="O6566" s="924"/>
      <c r="P6566" s="921"/>
      <c r="Q6566" s="925">
        <f ca="1">$B6566*Elec_Rates!$R$808</f>
        <v>5.86</v>
      </c>
      <c r="R6566" s="916">
        <f ca="1">$A6566*Q6566</f>
        <v>58.6</v>
      </c>
      <c r="S6566" s="925">
        <f ca="1">$B6566*Elec_Rates!$T$808</f>
        <v>0.27</v>
      </c>
      <c r="T6566" s="917">
        <f ca="1">$A6566*S6566</f>
        <v>2.7</v>
      </c>
      <c r="U6566" s="926"/>
      <c r="AR6566" s="919">
        <v>10</v>
      </c>
      <c r="AS6566" s="921" t="s">
        <v>2599</v>
      </c>
    </row>
    <row r="6567" spans="1:45" s="886" customFormat="1" ht="13.2">
      <c r="A6567"/>
      <c r="B6567" s="910"/>
      <c r="C6567" s="910" t="s">
        <v>2597</v>
      </c>
      <c r="D6567" s="910" t="str">
        <f ca="1">CELL("Address",Elec_Rates!D$907)</f>
        <v>[E25_0062_Quintano_Foods_Elec_ELV_As_Awarded.xlsx]Elec_Rates!$D$907</v>
      </c>
      <c r="E6567" s="911"/>
      <c r="F6567" s="911"/>
      <c r="G6567" s="912" t="s">
        <v>2598</v>
      </c>
      <c r="H6567" s="912"/>
      <c r="I6567" s="912"/>
      <c r="J6567" s="912"/>
      <c r="K6567" s="913"/>
      <c r="L6567" s="911"/>
      <c r="M6567" s="911"/>
      <c r="N6567" s="911"/>
      <c r="O6567" s="914"/>
      <c r="P6567" s="911"/>
      <c r="Q6567" s="915"/>
      <c r="R6567" s="916"/>
      <c r="S6567" s="915"/>
      <c r="T6567" s="917"/>
      <c r="U6567" s="918"/>
      <c r="AR6567"/>
      <c r="AS6567" s="911"/>
    </row>
    <row r="6568" spans="1:45" s="886" customFormat="1" ht="11.4">
      <c r="A6568" s="919">
        <v>10</v>
      </c>
      <c r="B6568" s="920">
        <v>1</v>
      </c>
      <c r="C6568" s="920">
        <f>$A6568*$B6568</f>
        <v>10</v>
      </c>
      <c r="D6568" s="921" t="str">
        <f>Elec_Rates!$D$907</f>
        <v>084# Bracket for 50-150mm cable tray/basket/trunking</v>
      </c>
      <c r="E6568" s="921"/>
      <c r="F6568" s="921" t="s">
        <v>2599</v>
      </c>
      <c r="G6568" s="922" t="s">
        <v>2600</v>
      </c>
      <c r="H6568" s="922"/>
      <c r="I6568" s="922"/>
      <c r="J6568" s="922"/>
      <c r="K6568" s="923"/>
      <c r="L6568" s="918"/>
      <c r="M6568" s="918"/>
      <c r="N6568" s="918"/>
      <c r="O6568" s="924"/>
      <c r="P6568" s="921"/>
      <c r="Q6568" s="925">
        <f ca="1">$B6568*Elec_Rates!$R$907</f>
        <v>2.37</v>
      </c>
      <c r="R6568" s="916">
        <f ca="1">$A6568*Q6568</f>
        <v>23.700000000000003</v>
      </c>
      <c r="S6568" s="925">
        <f ca="1">$B6568*Elec_Rates!$T$907</f>
        <v>0.09</v>
      </c>
      <c r="T6568" s="917">
        <f ca="1">$A6568*S6568</f>
        <v>0.89999999999999991</v>
      </c>
      <c r="U6568" s="926"/>
      <c r="AR6568" s="919">
        <v>10</v>
      </c>
      <c r="AS6568" s="921" t="s">
        <v>2599</v>
      </c>
    </row>
    <row r="6569" spans="1:45" s="520" customFormat="1" ht="12">
      <c r="A6569" s="758"/>
      <c r="B6569" s="758"/>
      <c r="C6569" s="758"/>
      <c r="D6569" s="758"/>
      <c r="E6569" s="758"/>
      <c r="F6569" s="753"/>
      <c r="G6569" s="758"/>
      <c r="H6569" s="758"/>
      <c r="I6569" s="519"/>
      <c r="J6569" s="758"/>
      <c r="K6569" s="758"/>
      <c r="L6569" s="758"/>
      <c r="M6569" s="758"/>
      <c r="N6569" s="758"/>
      <c r="O6569" s="758"/>
      <c r="P6569" s="758"/>
      <c r="Q6569" s="519"/>
      <c r="R6569" s="759">
        <f t="shared" ref="R6569" si="474">$A6569*Q6569</f>
        <v>0</v>
      </c>
      <c r="S6569" s="519"/>
      <c r="T6569" s="760">
        <f t="shared" ref="T6569" si="475">$A6569*S6569*$T$1</f>
        <v>0</v>
      </c>
      <c r="AR6569" s="758"/>
      <c r="AS6569" s="753"/>
    </row>
    <row r="6570" spans="1:45" s="520" customFormat="1" ht="12.6" thickBot="1">
      <c r="A6570" s="761" t="s">
        <v>145</v>
      </c>
      <c r="B6570" s="762">
        <f>(R6569+T6569)</f>
        <v>0</v>
      </c>
      <c r="C6570" s="763"/>
      <c r="D6570" s="763"/>
      <c r="E6570" s="763"/>
      <c r="F6570" s="764"/>
      <c r="G6570" s="763" t="s">
        <v>146</v>
      </c>
      <c r="H6570" s="763"/>
      <c r="I6570" s="765"/>
      <c r="J6570" s="763"/>
      <c r="K6570" s="763" t="s">
        <v>3</v>
      </c>
      <c r="L6570" s="766" t="s">
        <v>143</v>
      </c>
      <c r="M6570" s="766"/>
      <c r="N6570" s="766"/>
      <c r="O6570" s="766"/>
      <c r="P6570" s="766"/>
      <c r="Q6570" s="767"/>
      <c r="R6570" s="768">
        <f ca="1">SUM(R6564:R6569)</f>
        <v>82.300000000000011</v>
      </c>
      <c r="S6570" s="763"/>
      <c r="T6570" s="768">
        <f ca="1">SUM(T6564:T6569)</f>
        <v>3.6</v>
      </c>
      <c r="U6570" s="531"/>
      <c r="V6570" s="531"/>
      <c r="W6570" s="531"/>
      <c r="X6570" s="531"/>
      <c r="Y6570" s="531"/>
      <c r="Z6570" s="531"/>
      <c r="AA6570" s="531"/>
      <c r="AB6570" s="531"/>
      <c r="AC6570" s="531"/>
      <c r="AD6570" s="531"/>
      <c r="AE6570" s="531"/>
      <c r="AF6570" s="531"/>
      <c r="AG6570" s="531"/>
      <c r="AH6570" s="531"/>
      <c r="AI6570" s="531"/>
      <c r="AJ6570" s="531"/>
      <c r="AK6570" s="531"/>
      <c r="AL6570" s="531"/>
      <c r="AM6570" s="531"/>
      <c r="AN6570" s="531"/>
      <c r="AO6570" s="531"/>
      <c r="AR6570" s="761" t="s">
        <v>145</v>
      </c>
      <c r="AS6570" s="764"/>
    </row>
    <row r="6571" spans="1:45" s="520" customFormat="1" ht="12" thickTop="1">
      <c r="A6571" s="51"/>
      <c r="B6571" s="41"/>
      <c r="C6571" s="51"/>
      <c r="E6571" s="42" t="s">
        <v>138</v>
      </c>
      <c r="F6571" s="42" t="s">
        <v>139</v>
      </c>
      <c r="G6571" s="51"/>
      <c r="H6571" s="51"/>
      <c r="I6571" s="51"/>
      <c r="J6571" s="51"/>
      <c r="K6571" s="51" t="s">
        <v>140</v>
      </c>
      <c r="L6571" s="51"/>
      <c r="M6571" s="51"/>
      <c r="N6571" s="51"/>
      <c r="O6571" s="52"/>
      <c r="P6571" s="51"/>
      <c r="Q6571" s="51"/>
      <c r="R6571" s="51"/>
      <c r="S6571" s="51"/>
      <c r="T6571" s="41"/>
      <c r="AG6571" s="521" t="s">
        <v>268</v>
      </c>
      <c r="AH6571" s="521" t="s">
        <v>269</v>
      </c>
      <c r="AI6571" s="521" t="s">
        <v>270</v>
      </c>
      <c r="AJ6571" s="521" t="s">
        <v>271</v>
      </c>
      <c r="AK6571" s="521" t="s">
        <v>272</v>
      </c>
      <c r="AM6571" s="745" t="s">
        <v>281</v>
      </c>
      <c r="AN6571" s="746" t="s">
        <v>282</v>
      </c>
      <c r="AO6571" s="522" t="s">
        <v>278</v>
      </c>
      <c r="AR6571" s="51"/>
      <c r="AS6571" s="42" t="s">
        <v>139</v>
      </c>
    </row>
    <row r="6572" spans="1:45" s="520" customFormat="1" ht="12" customHeight="1">
      <c r="A6572" s="747">
        <v>40</v>
      </c>
      <c r="B6572" s="523" t="s">
        <v>320</v>
      </c>
      <c r="C6572" s="748"/>
      <c r="D6572" s="749" t="s">
        <v>2020</v>
      </c>
      <c r="E6572" s="750">
        <f ca="1">IF(AND($A6572=0,$A$1="DIF"),0, ROUND(ROUND(($R6579*$S$2+($T6579*$T$2))/A6572,2)*$C$2,2))</f>
        <v>24.32</v>
      </c>
      <c r="F6572" s="751">
        <f ca="1">ROUND($A6572*$E6572,2)</f>
        <v>972.8</v>
      </c>
      <c r="G6572" s="752" t="s">
        <v>142</v>
      </c>
      <c r="H6572" s="753"/>
      <c r="I6572" s="754"/>
      <c r="J6572" s="753"/>
      <c r="K6572" s="753" t="s">
        <v>3</v>
      </c>
      <c r="L6572" s="755" t="s">
        <v>143</v>
      </c>
      <c r="M6572" s="755"/>
      <c r="N6572" s="755"/>
      <c r="O6572" s="755"/>
      <c r="P6572" s="755"/>
      <c r="Q6572" s="51"/>
      <c r="T6572" s="756" t="str">
        <f ca="1">IF(AND($R6579=0,$T6579=0),"0.00","mu :" &amp; ROUND($F6572/$C$2/($R6579+$T6579*$D$9),2))</f>
        <v>mu :1.23</v>
      </c>
      <c r="W6572" s="524"/>
      <c r="AG6572" s="481">
        <f ca="1">IF($E6572=0,0,ROUND($R6579*$S$2*$C$2/$A6572,2))</f>
        <v>11.48</v>
      </c>
      <c r="AH6572" s="481">
        <f ca="1">$AG6572*$A6572</f>
        <v>459.20000000000005</v>
      </c>
      <c r="AI6572" s="525">
        <f ca="1">$E6572-$AG6572</f>
        <v>12.84</v>
      </c>
      <c r="AJ6572" s="525">
        <f ca="1">$A6572*$AI6572</f>
        <v>513.6</v>
      </c>
      <c r="AK6572" s="526">
        <f ca="1">ROUND(($AG6572+$AI6572)*$A6572,2)</f>
        <v>972.8</v>
      </c>
      <c r="AM6572" s="527">
        <f ca="1">ROUND(R6579,2)</f>
        <v>372.8</v>
      </c>
      <c r="AN6572" s="528">
        <f ca="1">ROUND(T6579,2)</f>
        <v>15.2</v>
      </c>
      <c r="AO6572" s="529">
        <f ca="1">ROUND(AM6572+AN6572,2)*A6572</f>
        <v>15520</v>
      </c>
      <c r="AR6572" s="747">
        <v>40</v>
      </c>
      <c r="AS6572" s="751">
        <v>1027.2</v>
      </c>
    </row>
    <row r="6573" spans="1:45" s="520" customFormat="1" ht="13.2">
      <c r="A6573" s="748"/>
      <c r="B6573"/>
      <c r="C6573" s="748"/>
      <c r="D6573" s="749" t="s">
        <v>921</v>
      </c>
      <c r="F6573" s="753"/>
      <c r="G6573" s="3"/>
      <c r="H6573" s="753"/>
      <c r="I6573" s="754"/>
      <c r="J6573" s="753"/>
      <c r="K6573" s="753" t="s">
        <v>144</v>
      </c>
      <c r="L6573" s="753"/>
      <c r="M6573" s="753"/>
      <c r="N6573" s="753"/>
      <c r="O6573" s="753"/>
      <c r="P6573" s="753"/>
      <c r="Q6573" s="51"/>
      <c r="R6573" s="530"/>
      <c r="S6573" s="757"/>
      <c r="T6573" s="753"/>
      <c r="AR6573" s="748"/>
      <c r="AS6573" s="753"/>
    </row>
    <row r="6574" spans="1:45" s="886" customFormat="1" ht="13.2">
      <c r="A6574"/>
      <c r="B6574" s="910"/>
      <c r="C6574" s="910" t="s">
        <v>2597</v>
      </c>
      <c r="D6574" s="910" t="str">
        <f ca="1">CELL("Address",Elec_Rates!D$822)</f>
        <v>[E25_0062_Quintano_Foods_Elec_ELV_As_Awarded.xlsx]Elec_Rates!$D$822</v>
      </c>
      <c r="E6574" s="911"/>
      <c r="F6574" s="911"/>
      <c r="G6574" s="912" t="s">
        <v>2598</v>
      </c>
      <c r="H6574" s="912"/>
      <c r="I6574" s="912"/>
      <c r="J6574" s="912"/>
      <c r="K6574" s="913"/>
      <c r="L6574" s="911"/>
      <c r="M6574" s="911"/>
      <c r="N6574" s="911"/>
      <c r="O6574" s="914"/>
      <c r="P6574" s="911"/>
      <c r="Q6574" s="915"/>
      <c r="R6574" s="916"/>
      <c r="S6574" s="915"/>
      <c r="T6574" s="917"/>
      <c r="U6574" s="918"/>
      <c r="AR6574"/>
      <c r="AS6574" s="911"/>
    </row>
    <row r="6575" spans="1:45" s="886" customFormat="1" ht="11.4">
      <c r="A6575" s="919">
        <v>40</v>
      </c>
      <c r="B6575" s="920">
        <v>1</v>
      </c>
      <c r="C6575" s="920">
        <f>$A6575*$B6575</f>
        <v>40</v>
      </c>
      <c r="D6575" s="921" t="str">
        <f>Elec_Rates!$D$822</f>
        <v>078# 75x75mm galvanised steel cable trunking</v>
      </c>
      <c r="E6575" s="921"/>
      <c r="F6575" s="921" t="s">
        <v>2599</v>
      </c>
      <c r="G6575" s="922" t="s">
        <v>2601</v>
      </c>
      <c r="H6575" s="922"/>
      <c r="I6575" s="922"/>
      <c r="J6575" s="922"/>
      <c r="K6575" s="923"/>
      <c r="L6575" s="918"/>
      <c r="M6575" s="918"/>
      <c r="N6575" s="918"/>
      <c r="O6575" s="924"/>
      <c r="P6575" s="921"/>
      <c r="Q6575" s="925">
        <f ca="1">$B6575*Elec_Rates!$R$822</f>
        <v>6.95</v>
      </c>
      <c r="R6575" s="916">
        <f ca="1">$A6575*Q6575</f>
        <v>278</v>
      </c>
      <c r="S6575" s="925">
        <f ca="1">$B6575*Elec_Rates!$T$822</f>
        <v>0.28999999999999998</v>
      </c>
      <c r="T6575" s="917">
        <f ca="1">$A6575*S6575</f>
        <v>11.6</v>
      </c>
      <c r="U6575" s="926"/>
      <c r="AR6575" s="919">
        <v>40</v>
      </c>
      <c r="AS6575" s="921" t="s">
        <v>2599</v>
      </c>
    </row>
    <row r="6576" spans="1:45" s="886" customFormat="1" ht="13.2">
      <c r="A6576"/>
      <c r="B6576" s="910"/>
      <c r="C6576" s="910" t="s">
        <v>2597</v>
      </c>
      <c r="D6576" s="910" t="str">
        <f ca="1">CELL("Address",Elec_Rates!D$907)</f>
        <v>[E25_0062_Quintano_Foods_Elec_ELV_As_Awarded.xlsx]Elec_Rates!$D$907</v>
      </c>
      <c r="E6576" s="911"/>
      <c r="F6576" s="911"/>
      <c r="G6576" s="912" t="s">
        <v>2598</v>
      </c>
      <c r="H6576" s="912"/>
      <c r="I6576" s="912"/>
      <c r="J6576" s="912"/>
      <c r="K6576" s="913"/>
      <c r="L6576" s="911"/>
      <c r="M6576" s="911"/>
      <c r="N6576" s="911"/>
      <c r="O6576" s="914"/>
      <c r="P6576" s="911"/>
      <c r="Q6576" s="915"/>
      <c r="R6576" s="916"/>
      <c r="S6576" s="915"/>
      <c r="T6576" s="917"/>
      <c r="U6576" s="918"/>
      <c r="AR6576"/>
      <c r="AS6576" s="911"/>
    </row>
    <row r="6577" spans="1:45" s="886" customFormat="1" ht="11.4">
      <c r="A6577" s="919">
        <v>40</v>
      </c>
      <c r="B6577" s="920">
        <v>1</v>
      </c>
      <c r="C6577" s="920">
        <f>$A6577*$B6577</f>
        <v>40</v>
      </c>
      <c r="D6577" s="921" t="str">
        <f>Elec_Rates!$D$907</f>
        <v>084# Bracket for 50-150mm cable tray/basket/trunking</v>
      </c>
      <c r="E6577" s="921"/>
      <c r="F6577" s="921" t="s">
        <v>2599</v>
      </c>
      <c r="G6577" s="922" t="s">
        <v>2600</v>
      </c>
      <c r="H6577" s="922"/>
      <c r="I6577" s="922"/>
      <c r="J6577" s="922"/>
      <c r="K6577" s="923"/>
      <c r="L6577" s="918"/>
      <c r="M6577" s="918"/>
      <c r="N6577" s="918"/>
      <c r="O6577" s="924"/>
      <c r="P6577" s="921"/>
      <c r="Q6577" s="925">
        <f ca="1">$B6577*Elec_Rates!$R$907</f>
        <v>2.37</v>
      </c>
      <c r="R6577" s="916">
        <f ca="1">$A6577*Q6577</f>
        <v>94.800000000000011</v>
      </c>
      <c r="S6577" s="925">
        <f ca="1">$B6577*Elec_Rates!$T$907</f>
        <v>0.09</v>
      </c>
      <c r="T6577" s="917">
        <f ca="1">$A6577*S6577</f>
        <v>3.5999999999999996</v>
      </c>
      <c r="U6577" s="926"/>
      <c r="AR6577" s="919">
        <v>40</v>
      </c>
      <c r="AS6577" s="921" t="s">
        <v>2599</v>
      </c>
    </row>
    <row r="6578" spans="1:45" s="520" customFormat="1" ht="12">
      <c r="A6578" s="758"/>
      <c r="B6578" s="758"/>
      <c r="C6578" s="758"/>
      <c r="D6578" s="758"/>
      <c r="E6578" s="758"/>
      <c r="F6578" s="753"/>
      <c r="G6578" s="758"/>
      <c r="H6578" s="758"/>
      <c r="I6578" s="519"/>
      <c r="J6578" s="758"/>
      <c r="K6578" s="758"/>
      <c r="L6578" s="758"/>
      <c r="M6578" s="758"/>
      <c r="N6578" s="758"/>
      <c r="O6578" s="758"/>
      <c r="P6578" s="758"/>
      <c r="Q6578" s="519"/>
      <c r="R6578" s="759">
        <f t="shared" ref="R6578" si="476">$A6578*Q6578</f>
        <v>0</v>
      </c>
      <c r="S6578" s="519"/>
      <c r="T6578" s="760">
        <f t="shared" ref="T6578" si="477">$A6578*S6578*$T$1</f>
        <v>0</v>
      </c>
      <c r="AR6578" s="758"/>
      <c r="AS6578" s="753"/>
    </row>
    <row r="6579" spans="1:45" s="520" customFormat="1" ht="12.6" thickBot="1">
      <c r="A6579" s="761" t="s">
        <v>145</v>
      </c>
      <c r="B6579" s="762">
        <f>(R6578+T6578)</f>
        <v>0</v>
      </c>
      <c r="C6579" s="763"/>
      <c r="D6579" s="763"/>
      <c r="E6579" s="763"/>
      <c r="F6579" s="764"/>
      <c r="G6579" s="763" t="s">
        <v>146</v>
      </c>
      <c r="H6579" s="763"/>
      <c r="I6579" s="765"/>
      <c r="J6579" s="763"/>
      <c r="K6579" s="763" t="s">
        <v>3</v>
      </c>
      <c r="L6579" s="766" t="s">
        <v>143</v>
      </c>
      <c r="M6579" s="766"/>
      <c r="N6579" s="766"/>
      <c r="O6579" s="766"/>
      <c r="P6579" s="766"/>
      <c r="Q6579" s="767"/>
      <c r="R6579" s="768">
        <f ca="1">SUM(R6573:R6578)</f>
        <v>372.8</v>
      </c>
      <c r="S6579" s="763"/>
      <c r="T6579" s="768">
        <f ca="1">SUM(T6573:T6578)</f>
        <v>15.2</v>
      </c>
      <c r="U6579" s="531"/>
      <c r="V6579" s="531"/>
      <c r="W6579" s="531"/>
      <c r="X6579" s="531"/>
      <c r="Y6579" s="531"/>
      <c r="Z6579" s="531"/>
      <c r="AA6579" s="531"/>
      <c r="AB6579" s="531"/>
      <c r="AC6579" s="531"/>
      <c r="AD6579" s="531"/>
      <c r="AE6579" s="531"/>
      <c r="AF6579" s="531"/>
      <c r="AG6579" s="531"/>
      <c r="AH6579" s="531"/>
      <c r="AI6579" s="531"/>
      <c r="AJ6579" s="531"/>
      <c r="AK6579" s="531"/>
      <c r="AL6579" s="531"/>
      <c r="AM6579" s="531"/>
      <c r="AN6579" s="531"/>
      <c r="AO6579" s="531"/>
      <c r="AR6579" s="761" t="s">
        <v>145</v>
      </c>
      <c r="AS6579" s="764"/>
    </row>
    <row r="6580" spans="1:45" s="520" customFormat="1" thickTop="1">
      <c r="A6580" s="51"/>
      <c r="B6580" s="51"/>
      <c r="C6580" s="3"/>
      <c r="D6580" s="3"/>
      <c r="E6580" s="51"/>
      <c r="F6580" s="51"/>
      <c r="G6580" s="51"/>
      <c r="H6580" s="51"/>
      <c r="I6580" s="51"/>
      <c r="J6580" s="51"/>
      <c r="K6580" s="51" t="s">
        <v>134</v>
      </c>
      <c r="L6580" s="51"/>
      <c r="M6580" s="51"/>
      <c r="N6580" s="51"/>
      <c r="O6580" s="52"/>
      <c r="P6580" s="51"/>
      <c r="Q6580" s="51"/>
      <c r="R6580" s="51"/>
      <c r="S6580" s="51"/>
      <c r="T6580" s="51"/>
      <c r="AR6580" s="51"/>
      <c r="AS6580" s="51"/>
    </row>
    <row r="6581" spans="1:45" s="520" customFormat="1" ht="12">
      <c r="A6581" s="51"/>
      <c r="B6581" s="51"/>
      <c r="C6581" s="51" t="s">
        <v>135</v>
      </c>
      <c r="D6581" s="37"/>
      <c r="E6581" s="51"/>
      <c r="F6581" s="51"/>
      <c r="G6581" s="51"/>
      <c r="H6581" s="51"/>
      <c r="I6581" s="51"/>
      <c r="J6581" s="51"/>
      <c r="K6581" s="51"/>
      <c r="L6581" s="51"/>
      <c r="M6581" s="51"/>
      <c r="N6581" s="51"/>
      <c r="O6581" s="52"/>
      <c r="P6581" s="51"/>
      <c r="Q6581" s="51"/>
      <c r="R6581" s="51"/>
      <c r="S6581" s="51"/>
      <c r="T6581" s="51"/>
      <c r="AR6581" s="51"/>
      <c r="AS6581" s="51"/>
    </row>
    <row r="6582" spans="1:45" s="520" customFormat="1" ht="12">
      <c r="A6582" s="51"/>
      <c r="B6582" s="51"/>
      <c r="C6582" s="51"/>
      <c r="D6582" s="37" t="s">
        <v>924</v>
      </c>
      <c r="E6582" s="51"/>
      <c r="F6582" s="51"/>
      <c r="G6582" s="51"/>
      <c r="H6582" s="51"/>
      <c r="I6582" s="51"/>
      <c r="J6582" s="51"/>
      <c r="K6582" s="51"/>
      <c r="L6582" s="51"/>
      <c r="M6582" s="51"/>
      <c r="N6582" s="51"/>
      <c r="O6582" s="52"/>
      <c r="P6582" s="51"/>
      <c r="Q6582" s="51"/>
      <c r="R6582" s="51"/>
      <c r="S6582" s="38"/>
      <c r="T6582" s="38"/>
      <c r="AR6582" s="51"/>
      <c r="AS6582" s="51"/>
    </row>
    <row r="6583" spans="1:45" s="3" customFormat="1" thickBot="1">
      <c r="A6583" s="531"/>
      <c r="O6583" s="107"/>
      <c r="AR6583" s="531"/>
    </row>
    <row r="6584" spans="1:45" s="520" customFormat="1" ht="12" thickTop="1">
      <c r="A6584" s="51"/>
      <c r="B6584" s="41"/>
      <c r="C6584" s="51"/>
      <c r="E6584" s="42" t="s">
        <v>138</v>
      </c>
      <c r="F6584" s="42" t="s">
        <v>139</v>
      </c>
      <c r="G6584" s="51"/>
      <c r="H6584" s="51"/>
      <c r="I6584" s="51"/>
      <c r="J6584" s="51"/>
      <c r="K6584" s="51" t="s">
        <v>140</v>
      </c>
      <c r="L6584" s="51"/>
      <c r="M6584" s="51"/>
      <c r="N6584" s="51"/>
      <c r="O6584" s="52"/>
      <c r="P6584" s="51"/>
      <c r="Q6584" s="51"/>
      <c r="R6584" s="51"/>
      <c r="S6584" s="51"/>
      <c r="T6584" s="41"/>
      <c r="AG6584" s="521" t="s">
        <v>268</v>
      </c>
      <c r="AH6584" s="521" t="s">
        <v>269</v>
      </c>
      <c r="AI6584" s="521" t="s">
        <v>270</v>
      </c>
      <c r="AJ6584" s="521" t="s">
        <v>271</v>
      </c>
      <c r="AK6584" s="521" t="s">
        <v>272</v>
      </c>
      <c r="AM6584" s="745" t="s">
        <v>281</v>
      </c>
      <c r="AN6584" s="746" t="s">
        <v>282</v>
      </c>
      <c r="AO6584" s="522" t="s">
        <v>278</v>
      </c>
      <c r="AR6584" s="51"/>
      <c r="AS6584" s="42" t="s">
        <v>139</v>
      </c>
    </row>
    <row r="6585" spans="1:45" s="520" customFormat="1" ht="12" customHeight="1">
      <c r="A6585" s="747">
        <v>20</v>
      </c>
      <c r="B6585" s="523" t="s">
        <v>320</v>
      </c>
      <c r="C6585" s="748"/>
      <c r="D6585" s="749" t="s">
        <v>2021</v>
      </c>
      <c r="E6585" s="750">
        <f ca="1">IF(AND($A6585=0,$A$1="DIF"),0, ROUND(ROUND(($R6592*$S$2+($T6592*$T$2))/A6585,2)*$C$2,2))</f>
        <v>22.31</v>
      </c>
      <c r="F6585" s="751">
        <f ca="1">ROUND($A6585*$E6585,2)</f>
        <v>446.2</v>
      </c>
      <c r="G6585" s="752" t="s">
        <v>142</v>
      </c>
      <c r="H6585" s="753"/>
      <c r="I6585" s="754"/>
      <c r="J6585" s="753"/>
      <c r="K6585" s="753" t="s">
        <v>3</v>
      </c>
      <c r="L6585" s="755" t="s">
        <v>143</v>
      </c>
      <c r="M6585" s="755"/>
      <c r="N6585" s="755"/>
      <c r="O6585" s="755"/>
      <c r="P6585" s="755"/>
      <c r="Q6585" s="51"/>
      <c r="T6585" s="756" t="str">
        <f ca="1">IF(AND($R6592=0,$T6592=0),"0.00","mu :" &amp; ROUND($F6585/$C$2/($R6592+$T6592*$D$9),2))</f>
        <v>mu :1.23</v>
      </c>
      <c r="W6585" s="524"/>
      <c r="AG6585" s="481">
        <f ca="1">IF($E6585=0,0,ROUND($R6592*$S$2*$C$2/$A6585,2))</f>
        <v>10.130000000000001</v>
      </c>
      <c r="AH6585" s="481">
        <f ca="1">$AG6585*$A6585</f>
        <v>202.60000000000002</v>
      </c>
      <c r="AI6585" s="525">
        <f ca="1">$E6585-$AG6585</f>
        <v>12.179999999999998</v>
      </c>
      <c r="AJ6585" s="525">
        <f ca="1">$A6585*$AI6585</f>
        <v>243.59999999999997</v>
      </c>
      <c r="AK6585" s="526">
        <f ca="1">ROUND(($AG6585+$AI6585)*$A6585,2)</f>
        <v>446.2</v>
      </c>
      <c r="AM6585" s="527">
        <f ca="1">ROUND(R6592,2)</f>
        <v>164.6</v>
      </c>
      <c r="AN6585" s="528">
        <f ca="1">ROUND(T6592,2)</f>
        <v>7.2</v>
      </c>
      <c r="AO6585" s="529">
        <f ca="1">ROUND(AM6585+AN6585,2)*A6585</f>
        <v>3436</v>
      </c>
      <c r="AR6585" s="747">
        <v>20</v>
      </c>
      <c r="AS6585" s="751">
        <v>473.2</v>
      </c>
    </row>
    <row r="6586" spans="1:45" s="520" customFormat="1" ht="13.2">
      <c r="A6586" s="748"/>
      <c r="B6586"/>
      <c r="C6586" s="748"/>
      <c r="D6586" s="749" t="s">
        <v>920</v>
      </c>
      <c r="F6586" s="753"/>
      <c r="G6586" s="3"/>
      <c r="H6586" s="753"/>
      <c r="I6586" s="754"/>
      <c r="J6586" s="753"/>
      <c r="K6586" s="753" t="s">
        <v>144</v>
      </c>
      <c r="L6586" s="753"/>
      <c r="M6586" s="753"/>
      <c r="N6586" s="753"/>
      <c r="O6586" s="753"/>
      <c r="P6586" s="753"/>
      <c r="Q6586" s="51"/>
      <c r="R6586" s="530"/>
      <c r="S6586" s="757"/>
      <c r="T6586" s="753"/>
      <c r="AR6586" s="748"/>
      <c r="AS6586" s="753"/>
    </row>
    <row r="6587" spans="1:45" s="886" customFormat="1" ht="13.2">
      <c r="A6587"/>
      <c r="B6587" s="910"/>
      <c r="C6587" s="910" t="s">
        <v>2597</v>
      </c>
      <c r="D6587" s="910" t="str">
        <f ca="1">CELL("Address",Elec_Rates!D$808)</f>
        <v>[E25_0062_Quintano_Foods_Elec_ELV_As_Awarded.xlsx]Elec_Rates!$D$808</v>
      </c>
      <c r="E6587" s="911"/>
      <c r="F6587" s="911"/>
      <c r="G6587" s="912" t="s">
        <v>2598</v>
      </c>
      <c r="H6587" s="912"/>
      <c r="I6587" s="912"/>
      <c r="J6587" s="912"/>
      <c r="K6587" s="913"/>
      <c r="L6587" s="911"/>
      <c r="M6587" s="911"/>
      <c r="N6587" s="911"/>
      <c r="O6587" s="914"/>
      <c r="P6587" s="911"/>
      <c r="Q6587" s="915"/>
      <c r="R6587" s="916"/>
      <c r="S6587" s="915"/>
      <c r="T6587" s="917"/>
      <c r="U6587" s="918"/>
      <c r="AR6587"/>
      <c r="AS6587" s="911"/>
    </row>
    <row r="6588" spans="1:45" s="886" customFormat="1" ht="11.4">
      <c r="A6588" s="919">
        <v>20</v>
      </c>
      <c r="B6588" s="920">
        <v>1</v>
      </c>
      <c r="C6588" s="920">
        <f>$A6588*$B6588</f>
        <v>20</v>
      </c>
      <c r="D6588" s="921" t="str">
        <f>Elec_Rates!$D$808</f>
        <v>077# 75x50mm galvanised steel cable trunking</v>
      </c>
      <c r="E6588" s="921"/>
      <c r="F6588" s="921" t="s">
        <v>2599</v>
      </c>
      <c r="G6588" s="922" t="s">
        <v>2600</v>
      </c>
      <c r="H6588" s="922"/>
      <c r="I6588" s="922"/>
      <c r="J6588" s="922"/>
      <c r="K6588" s="923"/>
      <c r="L6588" s="918"/>
      <c r="M6588" s="918"/>
      <c r="N6588" s="918"/>
      <c r="O6588" s="924"/>
      <c r="P6588" s="921"/>
      <c r="Q6588" s="925">
        <f ca="1">$B6588*Elec_Rates!$R$808</f>
        <v>5.86</v>
      </c>
      <c r="R6588" s="916">
        <f ca="1">$A6588*Q6588</f>
        <v>117.2</v>
      </c>
      <c r="S6588" s="925">
        <f ca="1">$B6588*Elec_Rates!$T$808</f>
        <v>0.27</v>
      </c>
      <c r="T6588" s="917">
        <f ca="1">$A6588*S6588</f>
        <v>5.4</v>
      </c>
      <c r="U6588" s="926"/>
      <c r="AR6588" s="919">
        <v>20</v>
      </c>
      <c r="AS6588" s="921" t="s">
        <v>2599</v>
      </c>
    </row>
    <row r="6589" spans="1:45" s="886" customFormat="1" ht="13.2">
      <c r="A6589"/>
      <c r="B6589" s="910"/>
      <c r="C6589" s="910" t="s">
        <v>2597</v>
      </c>
      <c r="D6589" s="910" t="str">
        <f ca="1">CELL("Address",Elec_Rates!D$907)</f>
        <v>[E25_0062_Quintano_Foods_Elec_ELV_As_Awarded.xlsx]Elec_Rates!$D$907</v>
      </c>
      <c r="E6589" s="911"/>
      <c r="F6589" s="911"/>
      <c r="G6589" s="912" t="s">
        <v>2598</v>
      </c>
      <c r="H6589" s="912"/>
      <c r="I6589" s="912"/>
      <c r="J6589" s="912"/>
      <c r="K6589" s="913"/>
      <c r="L6589" s="911"/>
      <c r="M6589" s="911"/>
      <c r="N6589" s="911"/>
      <c r="O6589" s="914"/>
      <c r="P6589" s="911"/>
      <c r="Q6589" s="915"/>
      <c r="R6589" s="916"/>
      <c r="S6589" s="915"/>
      <c r="T6589" s="917"/>
      <c r="U6589" s="918"/>
      <c r="AR6589"/>
      <c r="AS6589" s="911"/>
    </row>
    <row r="6590" spans="1:45" s="886" customFormat="1" ht="11.4">
      <c r="A6590" s="919">
        <v>20</v>
      </c>
      <c r="B6590" s="920">
        <v>1</v>
      </c>
      <c r="C6590" s="920">
        <f>$A6590*$B6590</f>
        <v>20</v>
      </c>
      <c r="D6590" s="921" t="str">
        <f>Elec_Rates!$D$907</f>
        <v>084# Bracket for 50-150mm cable tray/basket/trunking</v>
      </c>
      <c r="E6590" s="921"/>
      <c r="F6590" s="921" t="s">
        <v>2599</v>
      </c>
      <c r="G6590" s="922" t="s">
        <v>2600</v>
      </c>
      <c r="H6590" s="922"/>
      <c r="I6590" s="922"/>
      <c r="J6590" s="922"/>
      <c r="K6590" s="923"/>
      <c r="L6590" s="918"/>
      <c r="M6590" s="918"/>
      <c r="N6590" s="918"/>
      <c r="O6590" s="924"/>
      <c r="P6590" s="921"/>
      <c r="Q6590" s="925">
        <f ca="1">$B6590*Elec_Rates!$R$907</f>
        <v>2.37</v>
      </c>
      <c r="R6590" s="916">
        <f ca="1">$A6590*Q6590</f>
        <v>47.400000000000006</v>
      </c>
      <c r="S6590" s="925">
        <f ca="1">$B6590*Elec_Rates!$T$907</f>
        <v>0.09</v>
      </c>
      <c r="T6590" s="917">
        <f ca="1">$A6590*S6590</f>
        <v>1.7999999999999998</v>
      </c>
      <c r="U6590" s="926"/>
      <c r="AR6590" s="919">
        <v>20</v>
      </c>
      <c r="AS6590" s="921" t="s">
        <v>2599</v>
      </c>
    </row>
    <row r="6591" spans="1:45" s="520" customFormat="1" ht="12">
      <c r="A6591" s="758"/>
      <c r="B6591" s="758"/>
      <c r="C6591" s="758"/>
      <c r="D6591" s="758"/>
      <c r="E6591" s="758"/>
      <c r="F6591" s="753"/>
      <c r="G6591" s="758"/>
      <c r="H6591" s="758"/>
      <c r="I6591" s="519"/>
      <c r="J6591" s="758"/>
      <c r="K6591" s="758"/>
      <c r="L6591" s="758"/>
      <c r="M6591" s="758"/>
      <c r="N6591" s="758"/>
      <c r="O6591" s="758"/>
      <c r="P6591" s="758"/>
      <c r="Q6591" s="519"/>
      <c r="R6591" s="759">
        <f t="shared" ref="R6591" si="478">$A6591*Q6591</f>
        <v>0</v>
      </c>
      <c r="S6591" s="519"/>
      <c r="T6591" s="760">
        <f t="shared" ref="T6591" si="479">$A6591*S6591*$T$1</f>
        <v>0</v>
      </c>
      <c r="AR6591" s="758"/>
      <c r="AS6591" s="753"/>
    </row>
    <row r="6592" spans="1:45" s="520" customFormat="1" ht="12.6" thickBot="1">
      <c r="A6592" s="761" t="s">
        <v>145</v>
      </c>
      <c r="B6592" s="762">
        <f>(R6591+T6591)</f>
        <v>0</v>
      </c>
      <c r="C6592" s="763"/>
      <c r="D6592" s="763"/>
      <c r="E6592" s="763"/>
      <c r="F6592" s="764"/>
      <c r="G6592" s="763" t="s">
        <v>146</v>
      </c>
      <c r="H6592" s="763"/>
      <c r="I6592" s="765"/>
      <c r="J6592" s="763"/>
      <c r="K6592" s="763" t="s">
        <v>3</v>
      </c>
      <c r="L6592" s="766" t="s">
        <v>143</v>
      </c>
      <c r="M6592" s="766"/>
      <c r="N6592" s="766"/>
      <c r="O6592" s="766"/>
      <c r="P6592" s="766"/>
      <c r="Q6592" s="767"/>
      <c r="R6592" s="768">
        <f ca="1">SUM(R6586:R6591)</f>
        <v>164.60000000000002</v>
      </c>
      <c r="S6592" s="763"/>
      <c r="T6592" s="768">
        <f ca="1">SUM(T6586:T6591)</f>
        <v>7.2</v>
      </c>
      <c r="U6592" s="531"/>
      <c r="V6592" s="531"/>
      <c r="W6592" s="531"/>
      <c r="X6592" s="531"/>
      <c r="Y6592" s="531"/>
      <c r="Z6592" s="531"/>
      <c r="AA6592" s="531"/>
      <c r="AB6592" s="531"/>
      <c r="AC6592" s="531"/>
      <c r="AD6592" s="531"/>
      <c r="AE6592" s="531"/>
      <c r="AF6592" s="531"/>
      <c r="AG6592" s="531"/>
      <c r="AH6592" s="531"/>
      <c r="AI6592" s="531"/>
      <c r="AJ6592" s="531"/>
      <c r="AK6592" s="531"/>
      <c r="AL6592" s="531"/>
      <c r="AM6592" s="531"/>
      <c r="AN6592" s="531"/>
      <c r="AO6592" s="531"/>
      <c r="AR6592" s="761" t="s">
        <v>145</v>
      </c>
      <c r="AS6592" s="764"/>
    </row>
    <row r="6593" spans="1:45" s="520" customFormat="1" ht="12" thickTop="1">
      <c r="A6593" s="51"/>
      <c r="B6593" s="41"/>
      <c r="C6593" s="51"/>
      <c r="E6593" s="42" t="s">
        <v>138</v>
      </c>
      <c r="F6593" s="42" t="s">
        <v>139</v>
      </c>
      <c r="G6593" s="51"/>
      <c r="H6593" s="51"/>
      <c r="I6593" s="51"/>
      <c r="J6593" s="51"/>
      <c r="K6593" s="51" t="s">
        <v>140</v>
      </c>
      <c r="L6593" s="51"/>
      <c r="M6593" s="51"/>
      <c r="N6593" s="51"/>
      <c r="O6593" s="52"/>
      <c r="P6593" s="51"/>
      <c r="Q6593" s="51"/>
      <c r="R6593" s="51"/>
      <c r="S6593" s="51"/>
      <c r="T6593" s="41"/>
      <c r="AG6593" s="521" t="s">
        <v>268</v>
      </c>
      <c r="AH6593" s="521" t="s">
        <v>269</v>
      </c>
      <c r="AI6593" s="521" t="s">
        <v>270</v>
      </c>
      <c r="AJ6593" s="521" t="s">
        <v>271</v>
      </c>
      <c r="AK6593" s="521" t="s">
        <v>272</v>
      </c>
      <c r="AM6593" s="745" t="s">
        <v>281</v>
      </c>
      <c r="AN6593" s="746" t="s">
        <v>282</v>
      </c>
      <c r="AO6593" s="522" t="s">
        <v>278</v>
      </c>
      <c r="AR6593" s="51"/>
      <c r="AS6593" s="42" t="s">
        <v>139</v>
      </c>
    </row>
    <row r="6594" spans="1:45" s="520" customFormat="1" ht="12" customHeight="1">
      <c r="A6594" s="747">
        <v>20</v>
      </c>
      <c r="B6594" s="523" t="s">
        <v>320</v>
      </c>
      <c r="C6594" s="748"/>
      <c r="D6594" s="749" t="s">
        <v>2022</v>
      </c>
      <c r="E6594" s="750">
        <f ca="1">IF(AND($A6594=0,$A$1="DIF"),0, ROUND(ROUND(($R6601*$S$2+($T6601*$T$2))/A6594,2)*$C$2,2))</f>
        <v>24.32</v>
      </c>
      <c r="F6594" s="751">
        <f ca="1">ROUND($A6594*$E6594,2)</f>
        <v>486.4</v>
      </c>
      <c r="G6594" s="752" t="s">
        <v>142</v>
      </c>
      <c r="H6594" s="753"/>
      <c r="I6594" s="754"/>
      <c r="J6594" s="753"/>
      <c r="K6594" s="753" t="s">
        <v>3</v>
      </c>
      <c r="L6594" s="755" t="s">
        <v>143</v>
      </c>
      <c r="M6594" s="755"/>
      <c r="N6594" s="755"/>
      <c r="O6594" s="755"/>
      <c r="P6594" s="755"/>
      <c r="Q6594" s="51"/>
      <c r="T6594" s="756" t="str">
        <f ca="1">IF(AND($R6601=0,$T6601=0),"0.00","mu :" &amp; ROUND($F6594/$C$2/($R6601+$T6601*$D$9),2))</f>
        <v>mu :1.23</v>
      </c>
      <c r="W6594" s="524"/>
      <c r="AG6594" s="481">
        <f ca="1">IF($E6594=0,0,ROUND($R6601*$S$2*$C$2/$A6594,2))</f>
        <v>11.48</v>
      </c>
      <c r="AH6594" s="481">
        <f ca="1">$AG6594*$A6594</f>
        <v>229.60000000000002</v>
      </c>
      <c r="AI6594" s="525">
        <f ca="1">$E6594-$AG6594</f>
        <v>12.84</v>
      </c>
      <c r="AJ6594" s="525">
        <f ca="1">$A6594*$AI6594</f>
        <v>256.8</v>
      </c>
      <c r="AK6594" s="526">
        <f ca="1">ROUND(($AG6594+$AI6594)*$A6594,2)</f>
        <v>486.4</v>
      </c>
      <c r="AM6594" s="527">
        <f ca="1">ROUND(R6601,2)</f>
        <v>186.4</v>
      </c>
      <c r="AN6594" s="528">
        <f ca="1">ROUND(T6601,2)</f>
        <v>7.6</v>
      </c>
      <c r="AO6594" s="529">
        <f ca="1">ROUND(AM6594+AN6594,2)*A6594</f>
        <v>3880</v>
      </c>
      <c r="AR6594" s="747">
        <v>20</v>
      </c>
      <c r="AS6594" s="751">
        <v>513.6</v>
      </c>
    </row>
    <row r="6595" spans="1:45" s="520" customFormat="1" ht="13.2">
      <c r="A6595" s="748"/>
      <c r="B6595"/>
      <c r="C6595" s="748"/>
      <c r="D6595" s="749" t="s">
        <v>921</v>
      </c>
      <c r="F6595" s="753"/>
      <c r="G6595" s="3"/>
      <c r="H6595" s="753"/>
      <c r="I6595" s="754"/>
      <c r="J6595" s="753"/>
      <c r="K6595" s="753" t="s">
        <v>144</v>
      </c>
      <c r="L6595" s="753"/>
      <c r="M6595" s="753"/>
      <c r="N6595" s="753"/>
      <c r="O6595" s="753"/>
      <c r="P6595" s="753"/>
      <c r="Q6595" s="51"/>
      <c r="R6595" s="530"/>
      <c r="S6595" s="757"/>
      <c r="T6595" s="753"/>
      <c r="AR6595" s="748"/>
      <c r="AS6595" s="753"/>
    </row>
    <row r="6596" spans="1:45" s="886" customFormat="1" ht="13.2">
      <c r="A6596"/>
      <c r="B6596" s="910"/>
      <c r="C6596" s="910" t="s">
        <v>2597</v>
      </c>
      <c r="D6596" s="910" t="str">
        <f ca="1">CELL("Address",Elec_Rates!D$822)</f>
        <v>[E25_0062_Quintano_Foods_Elec_ELV_As_Awarded.xlsx]Elec_Rates!$D$822</v>
      </c>
      <c r="E6596" s="911"/>
      <c r="F6596" s="911"/>
      <c r="G6596" s="912" t="s">
        <v>2598</v>
      </c>
      <c r="H6596" s="912"/>
      <c r="I6596" s="912"/>
      <c r="J6596" s="912"/>
      <c r="K6596" s="913"/>
      <c r="L6596" s="911"/>
      <c r="M6596" s="911"/>
      <c r="N6596" s="911"/>
      <c r="O6596" s="914"/>
      <c r="P6596" s="911"/>
      <c r="Q6596" s="915"/>
      <c r="R6596" s="916"/>
      <c r="S6596" s="915"/>
      <c r="T6596" s="917"/>
      <c r="U6596" s="918"/>
      <c r="AR6596"/>
      <c r="AS6596" s="911"/>
    </row>
    <row r="6597" spans="1:45" s="886" customFormat="1" ht="11.4">
      <c r="A6597" s="919">
        <v>20</v>
      </c>
      <c r="B6597" s="920">
        <v>1</v>
      </c>
      <c r="C6597" s="920">
        <f>$A6597*$B6597</f>
        <v>20</v>
      </c>
      <c r="D6597" s="921" t="str">
        <f>Elec_Rates!$D$822</f>
        <v>078# 75x75mm galvanised steel cable trunking</v>
      </c>
      <c r="E6597" s="921"/>
      <c r="F6597" s="921" t="s">
        <v>2599</v>
      </c>
      <c r="G6597" s="922" t="s">
        <v>2601</v>
      </c>
      <c r="H6597" s="922"/>
      <c r="I6597" s="922"/>
      <c r="J6597" s="922"/>
      <c r="K6597" s="923"/>
      <c r="L6597" s="918"/>
      <c r="M6597" s="918"/>
      <c r="N6597" s="918"/>
      <c r="O6597" s="924"/>
      <c r="P6597" s="921"/>
      <c r="Q6597" s="925">
        <f ca="1">$B6597*Elec_Rates!$R$822</f>
        <v>6.95</v>
      </c>
      <c r="R6597" s="916">
        <f ca="1">$A6597*Q6597</f>
        <v>139</v>
      </c>
      <c r="S6597" s="925">
        <f ca="1">$B6597*Elec_Rates!$T$822</f>
        <v>0.28999999999999998</v>
      </c>
      <c r="T6597" s="917">
        <f ca="1">$A6597*S6597</f>
        <v>5.8</v>
      </c>
      <c r="U6597" s="926"/>
      <c r="AR6597" s="919">
        <v>20</v>
      </c>
      <c r="AS6597" s="921" t="s">
        <v>2599</v>
      </c>
    </row>
    <row r="6598" spans="1:45" s="886" customFormat="1" ht="13.2">
      <c r="A6598"/>
      <c r="B6598" s="910"/>
      <c r="C6598" s="910" t="s">
        <v>2597</v>
      </c>
      <c r="D6598" s="910" t="str">
        <f ca="1">CELL("Address",Elec_Rates!D$907)</f>
        <v>[E25_0062_Quintano_Foods_Elec_ELV_As_Awarded.xlsx]Elec_Rates!$D$907</v>
      </c>
      <c r="E6598" s="911"/>
      <c r="F6598" s="911"/>
      <c r="G6598" s="912" t="s">
        <v>2598</v>
      </c>
      <c r="H6598" s="912"/>
      <c r="I6598" s="912"/>
      <c r="J6598" s="912"/>
      <c r="K6598" s="913"/>
      <c r="L6598" s="911"/>
      <c r="M6598" s="911"/>
      <c r="N6598" s="911"/>
      <c r="O6598" s="914"/>
      <c r="P6598" s="911"/>
      <c r="Q6598" s="915"/>
      <c r="R6598" s="916"/>
      <c r="S6598" s="915"/>
      <c r="T6598" s="917"/>
      <c r="U6598" s="918"/>
      <c r="AR6598"/>
      <c r="AS6598" s="911"/>
    </row>
    <row r="6599" spans="1:45" s="886" customFormat="1" ht="11.4">
      <c r="A6599" s="919">
        <v>20</v>
      </c>
      <c r="B6599" s="920">
        <v>1</v>
      </c>
      <c r="C6599" s="920">
        <f>$A6599*$B6599</f>
        <v>20</v>
      </c>
      <c r="D6599" s="921" t="str">
        <f>Elec_Rates!$D$907</f>
        <v>084# Bracket for 50-150mm cable tray/basket/trunking</v>
      </c>
      <c r="E6599" s="921"/>
      <c r="F6599" s="921" t="s">
        <v>2599</v>
      </c>
      <c r="G6599" s="922" t="s">
        <v>2600</v>
      </c>
      <c r="H6599" s="922"/>
      <c r="I6599" s="922"/>
      <c r="J6599" s="922"/>
      <c r="K6599" s="923"/>
      <c r="L6599" s="918"/>
      <c r="M6599" s="918"/>
      <c r="N6599" s="918"/>
      <c r="O6599" s="924"/>
      <c r="P6599" s="921"/>
      <c r="Q6599" s="925">
        <f ca="1">$B6599*Elec_Rates!$R$907</f>
        <v>2.37</v>
      </c>
      <c r="R6599" s="916">
        <f ca="1">$A6599*Q6599</f>
        <v>47.400000000000006</v>
      </c>
      <c r="S6599" s="925">
        <f ca="1">$B6599*Elec_Rates!$T$907</f>
        <v>0.09</v>
      </c>
      <c r="T6599" s="917">
        <f ca="1">$A6599*S6599</f>
        <v>1.7999999999999998</v>
      </c>
      <c r="U6599" s="926"/>
      <c r="AR6599" s="919">
        <v>20</v>
      </c>
      <c r="AS6599" s="921" t="s">
        <v>2599</v>
      </c>
    </row>
    <row r="6600" spans="1:45" s="520" customFormat="1" ht="12">
      <c r="A6600" s="758"/>
      <c r="B6600" s="758"/>
      <c r="C6600" s="758"/>
      <c r="D6600" s="758"/>
      <c r="E6600" s="758"/>
      <c r="F6600" s="753"/>
      <c r="G6600" s="758"/>
      <c r="H6600" s="758"/>
      <c r="I6600" s="519"/>
      <c r="J6600" s="758"/>
      <c r="K6600" s="758"/>
      <c r="L6600" s="758"/>
      <c r="M6600" s="758"/>
      <c r="N6600" s="758"/>
      <c r="O6600" s="758"/>
      <c r="P6600" s="758"/>
      <c r="Q6600" s="519"/>
      <c r="R6600" s="759">
        <f t="shared" ref="R6600" si="480">$A6600*Q6600</f>
        <v>0</v>
      </c>
      <c r="S6600" s="519"/>
      <c r="T6600" s="760">
        <f t="shared" ref="T6600" si="481">$A6600*S6600*$T$1</f>
        <v>0</v>
      </c>
      <c r="AR6600" s="758"/>
      <c r="AS6600" s="753"/>
    </row>
    <row r="6601" spans="1:45" s="520" customFormat="1" ht="12.6" thickBot="1">
      <c r="A6601" s="761" t="s">
        <v>145</v>
      </c>
      <c r="B6601" s="762">
        <f>(R6600+T6600)</f>
        <v>0</v>
      </c>
      <c r="C6601" s="763"/>
      <c r="D6601" s="763"/>
      <c r="E6601" s="763"/>
      <c r="F6601" s="764"/>
      <c r="G6601" s="763" t="s">
        <v>146</v>
      </c>
      <c r="H6601" s="763"/>
      <c r="I6601" s="765"/>
      <c r="J6601" s="763"/>
      <c r="K6601" s="763" t="s">
        <v>3</v>
      </c>
      <c r="L6601" s="766" t="s">
        <v>143</v>
      </c>
      <c r="M6601" s="766"/>
      <c r="N6601" s="766"/>
      <c r="O6601" s="766"/>
      <c r="P6601" s="766"/>
      <c r="Q6601" s="767"/>
      <c r="R6601" s="768">
        <f ca="1">SUM(R6595:R6600)</f>
        <v>186.4</v>
      </c>
      <c r="S6601" s="763"/>
      <c r="T6601" s="768">
        <f ca="1">SUM(T6595:T6600)</f>
        <v>7.6</v>
      </c>
      <c r="U6601" s="531"/>
      <c r="V6601" s="531"/>
      <c r="W6601" s="531"/>
      <c r="X6601" s="531"/>
      <c r="Y6601" s="531"/>
      <c r="Z6601" s="531"/>
      <c r="AA6601" s="531"/>
      <c r="AB6601" s="531"/>
      <c r="AC6601" s="531"/>
      <c r="AD6601" s="531"/>
      <c r="AE6601" s="531"/>
      <c r="AF6601" s="531"/>
      <c r="AG6601" s="531"/>
      <c r="AH6601" s="531"/>
      <c r="AI6601" s="531"/>
      <c r="AJ6601" s="531"/>
      <c r="AK6601" s="531"/>
      <c r="AL6601" s="531"/>
      <c r="AM6601" s="531"/>
      <c r="AN6601" s="531"/>
      <c r="AO6601" s="531"/>
      <c r="AR6601" s="761" t="s">
        <v>145</v>
      </c>
      <c r="AS6601" s="764"/>
    </row>
    <row r="6602" spans="1:45" s="520" customFormat="1" thickTop="1">
      <c r="A6602" s="51"/>
      <c r="B6602" s="51"/>
      <c r="C6602" s="3"/>
      <c r="D6602" s="3"/>
      <c r="E6602" s="51"/>
      <c r="F6602" s="51"/>
      <c r="G6602" s="51"/>
      <c r="H6602" s="51"/>
      <c r="I6602" s="51"/>
      <c r="J6602" s="51"/>
      <c r="K6602" s="51" t="s">
        <v>134</v>
      </c>
      <c r="L6602" s="51"/>
      <c r="M6602" s="51"/>
      <c r="N6602" s="51"/>
      <c r="O6602" s="52"/>
      <c r="P6602" s="51"/>
      <c r="Q6602" s="51"/>
      <c r="R6602" s="51"/>
      <c r="S6602" s="51"/>
      <c r="T6602" s="51"/>
      <c r="AR6602" s="51"/>
      <c r="AS6602" s="51"/>
    </row>
    <row r="6603" spans="1:45" s="520" customFormat="1" ht="12">
      <c r="A6603" s="51"/>
      <c r="B6603" s="51"/>
      <c r="C6603" s="51" t="s">
        <v>135</v>
      </c>
      <c r="D6603" s="37"/>
      <c r="E6603" s="51"/>
      <c r="F6603" s="51"/>
      <c r="G6603" s="51"/>
      <c r="H6603" s="51"/>
      <c r="I6603" s="51"/>
      <c r="J6603" s="51"/>
      <c r="K6603" s="51"/>
      <c r="L6603" s="51"/>
      <c r="M6603" s="51"/>
      <c r="N6603" s="51"/>
      <c r="O6603" s="52"/>
      <c r="P6603" s="51"/>
      <c r="Q6603" s="51"/>
      <c r="R6603" s="51"/>
      <c r="S6603" s="51"/>
      <c r="T6603" s="51"/>
      <c r="AR6603" s="51"/>
      <c r="AS6603" s="51"/>
    </row>
    <row r="6604" spans="1:45" s="520" customFormat="1" ht="12">
      <c r="A6604" s="51"/>
      <c r="B6604" s="51"/>
      <c r="C6604" s="51"/>
      <c r="D6604" s="37" t="s">
        <v>379</v>
      </c>
      <c r="E6604" s="51"/>
      <c r="F6604" s="51"/>
      <c r="G6604" s="51"/>
      <c r="H6604" s="51"/>
      <c r="I6604" s="51"/>
      <c r="J6604" s="51"/>
      <c r="K6604" s="51"/>
      <c r="L6604" s="51"/>
      <c r="M6604" s="51"/>
      <c r="N6604" s="51"/>
      <c r="O6604" s="52"/>
      <c r="P6604" s="51"/>
      <c r="Q6604" s="51"/>
      <c r="R6604" s="51"/>
      <c r="S6604" s="38"/>
      <c r="T6604" s="38"/>
      <c r="AR6604" s="51"/>
      <c r="AS6604" s="51"/>
    </row>
    <row r="6605" spans="1:45" s="3" customFormat="1" thickBot="1">
      <c r="A6605" s="531"/>
      <c r="O6605" s="107"/>
      <c r="AR6605" s="531"/>
    </row>
    <row r="6606" spans="1:45" s="520" customFormat="1" ht="12" thickTop="1">
      <c r="A6606" s="51"/>
      <c r="B6606" s="41"/>
      <c r="C6606" s="51"/>
      <c r="E6606" s="42" t="s">
        <v>138</v>
      </c>
      <c r="F6606" s="42" t="s">
        <v>139</v>
      </c>
      <c r="G6606" s="51"/>
      <c r="H6606" s="51"/>
      <c r="I6606" s="51"/>
      <c r="J6606" s="51"/>
      <c r="K6606" s="51" t="s">
        <v>140</v>
      </c>
      <c r="L6606" s="51"/>
      <c r="M6606" s="51"/>
      <c r="N6606" s="51"/>
      <c r="O6606" s="52"/>
      <c r="P6606" s="51"/>
      <c r="Q6606" s="51"/>
      <c r="R6606" s="51"/>
      <c r="S6606" s="51"/>
      <c r="T6606" s="41"/>
      <c r="AG6606" s="521" t="s">
        <v>268</v>
      </c>
      <c r="AH6606" s="521" t="s">
        <v>269</v>
      </c>
      <c r="AI6606" s="521" t="s">
        <v>270</v>
      </c>
      <c r="AJ6606" s="521" t="s">
        <v>271</v>
      </c>
      <c r="AK6606" s="521" t="s">
        <v>272</v>
      </c>
      <c r="AM6606" s="745" t="s">
        <v>281</v>
      </c>
      <c r="AN6606" s="746" t="s">
        <v>282</v>
      </c>
      <c r="AO6606" s="522" t="s">
        <v>278</v>
      </c>
      <c r="AR6606" s="51"/>
      <c r="AS6606" s="42" t="s">
        <v>139</v>
      </c>
    </row>
    <row r="6607" spans="1:45" s="520" customFormat="1" ht="12" customHeight="1">
      <c r="A6607" s="747">
        <v>1</v>
      </c>
      <c r="B6607" s="523" t="s">
        <v>299</v>
      </c>
      <c r="C6607" s="748"/>
      <c r="D6607" s="749" t="s">
        <v>2023</v>
      </c>
      <c r="E6607" s="750">
        <f>IF(AND($A6607=0,$A$1="DIF"),0, ROUND(ROUND(($R6611*$S$2+($T6611*$T$2))/A6607,2)*$C$2,2))</f>
        <v>0</v>
      </c>
      <c r="F6607" s="751">
        <f>ROUND($A6607*$E6607,2)</f>
        <v>0</v>
      </c>
      <c r="G6607" s="752" t="s">
        <v>142</v>
      </c>
      <c r="H6607" s="753"/>
      <c r="I6607" s="754"/>
      <c r="J6607" s="753"/>
      <c r="K6607" s="753" t="s">
        <v>3</v>
      </c>
      <c r="L6607" s="755" t="s">
        <v>143</v>
      </c>
      <c r="M6607" s="755"/>
      <c r="N6607" s="755"/>
      <c r="O6607" s="755"/>
      <c r="P6607" s="755"/>
      <c r="Q6607" s="53" t="s">
        <v>2895</v>
      </c>
      <c r="T6607" s="756" t="str">
        <f>IF(AND($R6611=0,$T6611=0),"0.00","mu :" &amp; ROUND($F6607/$C$2/($R6611+$T6611*$D$9),2))</f>
        <v>0.00</v>
      </c>
      <c r="W6607" s="524"/>
      <c r="AG6607" s="481">
        <f>IF($E6607=0,0,ROUND($R6611*$S$2*$C$2/$A6607,2))</f>
        <v>0</v>
      </c>
      <c r="AH6607" s="481">
        <f>$AG6607*$A6607</f>
        <v>0</v>
      </c>
      <c r="AI6607" s="525">
        <f>$E6607-$AG6607</f>
        <v>0</v>
      </c>
      <c r="AJ6607" s="525">
        <f>$A6607*$AI6607</f>
        <v>0</v>
      </c>
      <c r="AK6607" s="526">
        <f>ROUND(($AG6607+$AI6607)*$A6607,2)</f>
        <v>0</v>
      </c>
      <c r="AM6607" s="527">
        <f>ROUND(R6611,2)</f>
        <v>0</v>
      </c>
      <c r="AN6607" s="528">
        <f>ROUND(T6611,2)</f>
        <v>0</v>
      </c>
      <c r="AO6607" s="529">
        <f>ROUND(AM6607+AN6607,2)*A6607</f>
        <v>0</v>
      </c>
      <c r="AR6607" s="747">
        <v>1</v>
      </c>
      <c r="AS6607" s="751">
        <v>0</v>
      </c>
    </row>
    <row r="6608" spans="1:45" s="520" customFormat="1" ht="13.2">
      <c r="A6608" s="748"/>
      <c r="B6608"/>
      <c r="C6608" s="748"/>
      <c r="D6608" s="749" t="s">
        <v>939</v>
      </c>
      <c r="F6608" s="753"/>
      <c r="G6608" s="3"/>
      <c r="H6608" s="753"/>
      <c r="I6608" s="754"/>
      <c r="J6608" s="753"/>
      <c r="K6608" s="753" t="s">
        <v>144</v>
      </c>
      <c r="L6608" s="753"/>
      <c r="M6608" s="753"/>
      <c r="N6608" s="753"/>
      <c r="O6608" s="753"/>
      <c r="P6608" s="753"/>
      <c r="Q6608" s="51"/>
      <c r="R6608" s="530"/>
      <c r="S6608" s="757"/>
      <c r="T6608" s="753"/>
      <c r="AR6608" s="748"/>
      <c r="AS6608" s="753"/>
    </row>
    <row r="6609" spans="1:45" s="520" customFormat="1" ht="12">
      <c r="A6609" s="51"/>
      <c r="B6609" s="758"/>
      <c r="C6609" s="758"/>
      <c r="D6609" s="1061" t="s">
        <v>3253</v>
      </c>
      <c r="E6609" s="758"/>
      <c r="F6609" s="753"/>
      <c r="G6609" s="758"/>
      <c r="H6609" s="758"/>
      <c r="I6609" s="519"/>
      <c r="J6609" s="758"/>
      <c r="K6609" s="758"/>
      <c r="L6609" s="758"/>
      <c r="M6609" s="758"/>
      <c r="N6609" s="758"/>
      <c r="O6609" s="758"/>
      <c r="P6609" s="758"/>
      <c r="Q6609" s="519"/>
      <c r="R6609" s="759">
        <f t="shared" ref="R6609:R6610" si="482">$A6609*Q6609</f>
        <v>0</v>
      </c>
      <c r="S6609" s="519"/>
      <c r="T6609" s="760">
        <f t="shared" ref="T6609:T6610" si="483">$A6609*S6609*$T$1</f>
        <v>0</v>
      </c>
      <c r="AR6609" s="51"/>
      <c r="AS6609" s="753"/>
    </row>
    <row r="6610" spans="1:45" s="520" customFormat="1" ht="12">
      <c r="A6610" s="758"/>
      <c r="B6610" s="758"/>
      <c r="C6610" s="758"/>
      <c r="D6610" s="758"/>
      <c r="E6610" s="758"/>
      <c r="F6610" s="753"/>
      <c r="G6610" s="758"/>
      <c r="H6610" s="758"/>
      <c r="I6610" s="519"/>
      <c r="J6610" s="758"/>
      <c r="K6610" s="758"/>
      <c r="L6610" s="758"/>
      <c r="M6610" s="758"/>
      <c r="N6610" s="758"/>
      <c r="O6610" s="758"/>
      <c r="P6610" s="758"/>
      <c r="Q6610" s="519"/>
      <c r="R6610" s="759">
        <f t="shared" si="482"/>
        <v>0</v>
      </c>
      <c r="S6610" s="519"/>
      <c r="T6610" s="760">
        <f t="shared" si="483"/>
        <v>0</v>
      </c>
      <c r="AR6610" s="758"/>
      <c r="AS6610" s="753"/>
    </row>
    <row r="6611" spans="1:45" s="520" customFormat="1" ht="12.6" thickBot="1">
      <c r="A6611" s="761" t="s">
        <v>145</v>
      </c>
      <c r="B6611" s="762">
        <f>(R6610+T6610)</f>
        <v>0</v>
      </c>
      <c r="C6611" s="763"/>
      <c r="D6611" s="763"/>
      <c r="E6611" s="763"/>
      <c r="F6611" s="764"/>
      <c r="G6611" s="763" t="s">
        <v>146</v>
      </c>
      <c r="H6611" s="763"/>
      <c r="I6611" s="765"/>
      <c r="J6611" s="763"/>
      <c r="K6611" s="763" t="s">
        <v>3</v>
      </c>
      <c r="L6611" s="766" t="s">
        <v>143</v>
      </c>
      <c r="M6611" s="766"/>
      <c r="N6611" s="766"/>
      <c r="O6611" s="766"/>
      <c r="P6611" s="766"/>
      <c r="Q6611" s="767"/>
      <c r="R6611" s="768">
        <f>SUM(R6608:R6610)</f>
        <v>0</v>
      </c>
      <c r="S6611" s="763"/>
      <c r="T6611" s="768">
        <f>SUM(T6608:T6610)</f>
        <v>0</v>
      </c>
      <c r="U6611" s="531"/>
      <c r="V6611" s="531"/>
      <c r="W6611" s="531"/>
      <c r="X6611" s="531"/>
      <c r="Y6611" s="531"/>
      <c r="Z6611" s="531"/>
      <c r="AA6611" s="531"/>
      <c r="AB6611" s="531"/>
      <c r="AC6611" s="531"/>
      <c r="AD6611" s="531"/>
      <c r="AE6611" s="531"/>
      <c r="AF6611" s="531"/>
      <c r="AG6611" s="531"/>
      <c r="AH6611" s="531"/>
      <c r="AI6611" s="531"/>
      <c r="AJ6611" s="531"/>
      <c r="AK6611" s="531"/>
      <c r="AL6611" s="531"/>
      <c r="AM6611" s="531"/>
      <c r="AN6611" s="531"/>
      <c r="AO6611" s="531"/>
      <c r="AR6611" s="761" t="s">
        <v>145</v>
      </c>
      <c r="AS6611" s="764"/>
    </row>
    <row r="6612" spans="1:45" s="520" customFormat="1" ht="12" thickTop="1">
      <c r="A6612" s="51"/>
      <c r="B6612" s="41"/>
      <c r="C6612" s="51"/>
      <c r="E6612" s="42" t="s">
        <v>138</v>
      </c>
      <c r="F6612" s="42" t="s">
        <v>139</v>
      </c>
      <c r="G6612" s="51"/>
      <c r="H6612" s="51"/>
      <c r="I6612" s="51"/>
      <c r="J6612" s="51"/>
      <c r="K6612" s="51" t="s">
        <v>140</v>
      </c>
      <c r="L6612" s="51"/>
      <c r="M6612" s="51"/>
      <c r="N6612" s="51"/>
      <c r="O6612" s="52"/>
      <c r="P6612" s="51"/>
      <c r="Q6612" s="51"/>
      <c r="R6612" s="51"/>
      <c r="S6612" s="51"/>
      <c r="T6612" s="41"/>
      <c r="AG6612" s="521" t="s">
        <v>268</v>
      </c>
      <c r="AH6612" s="521" t="s">
        <v>269</v>
      </c>
      <c r="AI6612" s="521" t="s">
        <v>270</v>
      </c>
      <c r="AJ6612" s="521" t="s">
        <v>271</v>
      </c>
      <c r="AK6612" s="521" t="s">
        <v>272</v>
      </c>
      <c r="AM6612" s="745" t="s">
        <v>281</v>
      </c>
      <c r="AN6612" s="746" t="s">
        <v>282</v>
      </c>
      <c r="AO6612" s="522" t="s">
        <v>278</v>
      </c>
      <c r="AR6612" s="51"/>
      <c r="AS6612" s="42" t="s">
        <v>139</v>
      </c>
    </row>
    <row r="6613" spans="1:45" s="520" customFormat="1" ht="12" customHeight="1">
      <c r="A6613" s="747">
        <v>1</v>
      </c>
      <c r="B6613" s="523" t="s">
        <v>299</v>
      </c>
      <c r="C6613" s="748"/>
      <c r="D6613" s="749" t="s">
        <v>2024</v>
      </c>
      <c r="E6613" s="750">
        <f>IF(AND($A6613=0,$A$1="DIF"),0, ROUND(ROUND(($R6617*$S$2+($T6617*$T$2))/A6613,2)*$C$2,2))</f>
        <v>0</v>
      </c>
      <c r="F6613" s="751">
        <f>ROUND($A6613*$E6613,2)</f>
        <v>0</v>
      </c>
      <c r="G6613" s="752" t="s">
        <v>142</v>
      </c>
      <c r="H6613" s="753"/>
      <c r="I6613" s="754"/>
      <c r="J6613" s="753"/>
      <c r="K6613" s="753" t="s">
        <v>3</v>
      </c>
      <c r="L6613" s="755" t="s">
        <v>143</v>
      </c>
      <c r="M6613" s="755"/>
      <c r="N6613" s="755"/>
      <c r="O6613" s="755"/>
      <c r="P6613" s="755"/>
      <c r="Q6613" s="53" t="s">
        <v>2895</v>
      </c>
      <c r="T6613" s="756" t="str">
        <f>IF(AND($R6617=0,$T6617=0),"0.00","mu :" &amp; ROUND($F6613/$C$2/($R6617+$T6617*$D$9),2))</f>
        <v>0.00</v>
      </c>
      <c r="W6613" s="524"/>
      <c r="AG6613" s="481">
        <f>IF($E6613=0,0,ROUND($R6617*$S$2*$C$2/$A6613,2))</f>
        <v>0</v>
      </c>
      <c r="AH6613" s="481">
        <f>$AG6613*$A6613</f>
        <v>0</v>
      </c>
      <c r="AI6613" s="525">
        <f>$E6613-$AG6613</f>
        <v>0</v>
      </c>
      <c r="AJ6613" s="525">
        <f>$A6613*$AI6613</f>
        <v>0</v>
      </c>
      <c r="AK6613" s="526">
        <f>ROUND(($AG6613+$AI6613)*$A6613,2)</f>
        <v>0</v>
      </c>
      <c r="AM6613" s="527">
        <f>ROUND(R6617,2)</f>
        <v>0</v>
      </c>
      <c r="AN6613" s="528">
        <f>ROUND(T6617,2)</f>
        <v>0</v>
      </c>
      <c r="AO6613" s="529">
        <f>ROUND(AM6613+AN6613,2)*A6613</f>
        <v>0</v>
      </c>
      <c r="AR6613" s="747">
        <v>1</v>
      </c>
      <c r="AS6613" s="751">
        <v>0</v>
      </c>
    </row>
    <row r="6614" spans="1:45" s="520" customFormat="1" ht="39.9" customHeight="1">
      <c r="A6614" s="748"/>
      <c r="B6614"/>
      <c r="C6614" s="748"/>
      <c r="D6614" s="1451" t="s">
        <v>940</v>
      </c>
      <c r="E6614" s="1452"/>
      <c r="F6614" s="1452"/>
      <c r="G6614" s="1452"/>
      <c r="H6614" s="1452"/>
      <c r="I6614" s="1452"/>
      <c r="J6614" s="1452"/>
      <c r="K6614" s="1452"/>
      <c r="L6614" s="1452"/>
      <c r="M6614" s="1452"/>
      <c r="N6614" s="1452"/>
      <c r="O6614" s="1452"/>
      <c r="P6614" s="1452"/>
      <c r="Q6614" s="1452"/>
      <c r="R6614" s="1452"/>
      <c r="S6614" s="1452"/>
      <c r="T6614" s="1452"/>
      <c r="AR6614" s="748"/>
    </row>
    <row r="6615" spans="1:45" s="520" customFormat="1" ht="12">
      <c r="A6615" s="51"/>
      <c r="B6615" s="758"/>
      <c r="C6615" s="758"/>
      <c r="D6615" s="1061" t="s">
        <v>3253</v>
      </c>
      <c r="E6615" s="758"/>
      <c r="F6615" s="753"/>
      <c r="G6615" s="758"/>
      <c r="H6615" s="758"/>
      <c r="I6615" s="519"/>
      <c r="J6615" s="758"/>
      <c r="K6615" s="758"/>
      <c r="L6615" s="758"/>
      <c r="M6615" s="758"/>
      <c r="N6615" s="758"/>
      <c r="O6615" s="758"/>
      <c r="P6615" s="758"/>
      <c r="Q6615" s="519"/>
      <c r="R6615" s="759">
        <f t="shared" ref="R6615:R6616" si="484">$A6615*Q6615</f>
        <v>0</v>
      </c>
      <c r="S6615" s="519"/>
      <c r="T6615" s="760">
        <f t="shared" ref="T6615:T6616" si="485">$A6615*S6615*$T$1</f>
        <v>0</v>
      </c>
      <c r="AR6615" s="51"/>
      <c r="AS6615" s="753"/>
    </row>
    <row r="6616" spans="1:45" s="520" customFormat="1" ht="12">
      <c r="A6616" s="758"/>
      <c r="B6616" s="758"/>
      <c r="C6616" s="758"/>
      <c r="D6616" s="758"/>
      <c r="E6616" s="758"/>
      <c r="F6616" s="753"/>
      <c r="G6616" s="758"/>
      <c r="H6616" s="758"/>
      <c r="I6616" s="519"/>
      <c r="J6616" s="758"/>
      <c r="K6616" s="758"/>
      <c r="L6616" s="758"/>
      <c r="M6616" s="758"/>
      <c r="N6616" s="758"/>
      <c r="O6616" s="758"/>
      <c r="P6616" s="758"/>
      <c r="Q6616" s="519"/>
      <c r="R6616" s="759">
        <f t="shared" si="484"/>
        <v>0</v>
      </c>
      <c r="S6616" s="519"/>
      <c r="T6616" s="760">
        <f t="shared" si="485"/>
        <v>0</v>
      </c>
      <c r="AR6616" s="758"/>
      <c r="AS6616" s="753"/>
    </row>
    <row r="6617" spans="1:45" s="520" customFormat="1" ht="12.6" thickBot="1">
      <c r="A6617" s="761" t="s">
        <v>145</v>
      </c>
      <c r="B6617" s="762">
        <f>(R6616+T6616)</f>
        <v>0</v>
      </c>
      <c r="C6617" s="763"/>
      <c r="D6617" s="763"/>
      <c r="E6617" s="763"/>
      <c r="F6617" s="764"/>
      <c r="G6617" s="763" t="s">
        <v>146</v>
      </c>
      <c r="H6617" s="763"/>
      <c r="I6617" s="765"/>
      <c r="J6617" s="763"/>
      <c r="K6617" s="763" t="s">
        <v>3</v>
      </c>
      <c r="L6617" s="766" t="s">
        <v>143</v>
      </c>
      <c r="M6617" s="766"/>
      <c r="N6617" s="766"/>
      <c r="O6617" s="766"/>
      <c r="P6617" s="766"/>
      <c r="Q6617" s="767"/>
      <c r="R6617" s="768">
        <f>SUM(R6614:R6616)</f>
        <v>0</v>
      </c>
      <c r="S6617" s="763"/>
      <c r="T6617" s="768">
        <f>SUM(T6614:T6616)</f>
        <v>0</v>
      </c>
      <c r="U6617" s="531"/>
      <c r="V6617" s="531"/>
      <c r="W6617" s="531"/>
      <c r="X6617" s="531"/>
      <c r="Y6617" s="531"/>
      <c r="Z6617" s="531"/>
      <c r="AA6617" s="531"/>
      <c r="AB6617" s="531"/>
      <c r="AC6617" s="531"/>
      <c r="AD6617" s="531"/>
      <c r="AE6617" s="531"/>
      <c r="AF6617" s="531"/>
      <c r="AG6617" s="531"/>
      <c r="AH6617" s="531"/>
      <c r="AI6617" s="531"/>
      <c r="AJ6617" s="531"/>
      <c r="AK6617" s="531"/>
      <c r="AL6617" s="531"/>
      <c r="AM6617" s="531"/>
      <c r="AN6617" s="531"/>
      <c r="AO6617" s="531"/>
      <c r="AR6617" s="761" t="s">
        <v>145</v>
      </c>
      <c r="AS6617" s="764"/>
    </row>
    <row r="6618" spans="1:45" s="520" customFormat="1" ht="12" thickTop="1">
      <c r="A6618" s="51"/>
      <c r="B6618" s="41"/>
      <c r="C6618" s="51"/>
      <c r="E6618" s="42" t="s">
        <v>138</v>
      </c>
      <c r="F6618" s="42" t="s">
        <v>139</v>
      </c>
      <c r="G6618" s="51"/>
      <c r="H6618" s="51"/>
      <c r="I6618" s="51"/>
      <c r="J6618" s="51"/>
      <c r="K6618" s="51" t="s">
        <v>140</v>
      </c>
      <c r="L6618" s="51"/>
      <c r="M6618" s="51"/>
      <c r="N6618" s="51"/>
      <c r="O6618" s="52"/>
      <c r="P6618" s="51"/>
      <c r="Q6618" s="51"/>
      <c r="R6618" s="51"/>
      <c r="S6618" s="51"/>
      <c r="T6618" s="41"/>
      <c r="AG6618" s="521" t="s">
        <v>268</v>
      </c>
      <c r="AH6618" s="521" t="s">
        <v>269</v>
      </c>
      <c r="AI6618" s="521" t="s">
        <v>270</v>
      </c>
      <c r="AJ6618" s="521" t="s">
        <v>271</v>
      </c>
      <c r="AK6618" s="521" t="s">
        <v>272</v>
      </c>
      <c r="AM6618" s="745" t="s">
        <v>281</v>
      </c>
      <c r="AN6618" s="746" t="s">
        <v>282</v>
      </c>
      <c r="AO6618" s="522" t="s">
        <v>278</v>
      </c>
      <c r="AR6618" s="51"/>
      <c r="AS6618" s="42" t="s">
        <v>139</v>
      </c>
    </row>
    <row r="6619" spans="1:45" s="520" customFormat="1" ht="12" customHeight="1">
      <c r="A6619" s="747">
        <v>1</v>
      </c>
      <c r="B6619" s="523" t="s">
        <v>383</v>
      </c>
      <c r="C6619" s="748"/>
      <c r="D6619" s="749" t="s">
        <v>2025</v>
      </c>
      <c r="E6619" s="750">
        <f>IF(AND($A6619=0,$A$1="DIF"),0, ROUND(ROUND(($R6625*$S$2+($T6625*$T$2))/A6619,2)*$C$2,2))</f>
        <v>210.16</v>
      </c>
      <c r="F6619" s="751">
        <f>ROUND($A6619*$E6619,2)</f>
        <v>210.16</v>
      </c>
      <c r="G6619" s="752" t="s">
        <v>142</v>
      </c>
      <c r="H6619" s="753"/>
      <c r="I6619" s="754"/>
      <c r="J6619" s="753"/>
      <c r="K6619" s="753" t="s">
        <v>3</v>
      </c>
      <c r="L6619" s="755" t="s">
        <v>143</v>
      </c>
      <c r="M6619" s="755"/>
      <c r="N6619" s="755"/>
      <c r="O6619" s="755"/>
      <c r="P6619" s="755"/>
      <c r="Q6619" s="51"/>
      <c r="T6619" s="756" t="str">
        <f>IF(AND($R6625=0,$T6625=0),"0.00","mu :" &amp; ROUND($F6619/$C$2/($R6625+$T6625*$D$9),2))</f>
        <v>mu :1.23</v>
      </c>
      <c r="W6619" s="524"/>
      <c r="AG6619" s="481">
        <f>IF($E6619=0,0,ROUND($R6625*$S$2*$C$2/$A6619,2))</f>
        <v>96.04</v>
      </c>
      <c r="AH6619" s="481">
        <f>$AG6619*$A6619</f>
        <v>96.04</v>
      </c>
      <c r="AI6619" s="525">
        <f>$E6619-$AG6619</f>
        <v>114.11999999999999</v>
      </c>
      <c r="AJ6619" s="525">
        <f>$A6619*$AI6619</f>
        <v>114.11999999999999</v>
      </c>
      <c r="AK6619" s="526">
        <f>ROUND(($AG6619+$AI6619)*$A6619,2)</f>
        <v>210.16</v>
      </c>
      <c r="AM6619" s="527">
        <f>ROUND(R6625,2)</f>
        <v>78</v>
      </c>
      <c r="AN6619" s="528">
        <f>ROUND(T6625,2)</f>
        <v>3.38</v>
      </c>
      <c r="AO6619" s="529">
        <f>ROUND(AM6619+AN6619,2)*A6619</f>
        <v>81.38</v>
      </c>
      <c r="AR6619" s="747">
        <v>1</v>
      </c>
      <c r="AS6619" s="751">
        <v>222.84</v>
      </c>
    </row>
    <row r="6620" spans="1:45" s="520" customFormat="1" ht="39.9" customHeight="1">
      <c r="A6620" s="748"/>
      <c r="B6620"/>
      <c r="C6620" s="748"/>
      <c r="D6620" s="1451" t="s">
        <v>1914</v>
      </c>
      <c r="E6620" s="1452"/>
      <c r="F6620" s="1452"/>
      <c r="G6620" s="1452"/>
      <c r="H6620" s="1452"/>
      <c r="I6620" s="1452"/>
      <c r="J6620" s="1452"/>
      <c r="K6620" s="1452"/>
      <c r="L6620" s="1452"/>
      <c r="M6620" s="1452"/>
      <c r="N6620" s="1452"/>
      <c r="O6620" s="1452"/>
      <c r="P6620" s="1452"/>
      <c r="Q6620" s="1452"/>
      <c r="R6620" s="1452"/>
      <c r="S6620" s="1452"/>
      <c r="T6620" s="1452"/>
      <c r="AR6620" s="748"/>
    </row>
    <row r="6621" spans="1:45" s="901" customFormat="1" ht="13.2">
      <c r="A6621" s="116">
        <v>6</v>
      </c>
      <c r="B6621" s="901" t="s">
        <v>141</v>
      </c>
      <c r="D6621" s="901" t="s">
        <v>3698</v>
      </c>
      <c r="G6621" s="941" t="s">
        <v>3061</v>
      </c>
      <c r="H6621" s="942">
        <v>880</v>
      </c>
      <c r="I6621" s="901" t="s">
        <v>2607</v>
      </c>
      <c r="O6621" s="943">
        <v>3</v>
      </c>
      <c r="P6621" s="944">
        <v>36220</v>
      </c>
      <c r="Q6621" s="945">
        <v>8</v>
      </c>
      <c r="R6621" s="946">
        <f>$A6621*Q6621</f>
        <v>48</v>
      </c>
      <c r="S6621" s="945">
        <v>0.25</v>
      </c>
      <c r="T6621" s="947">
        <f>$A6621*S6621*$T$1</f>
        <v>1.35</v>
      </c>
      <c r="AR6621" s="116">
        <v>6</v>
      </c>
    </row>
    <row r="6622" spans="1:45" s="901" customFormat="1" ht="13.2">
      <c r="A6622" s="116">
        <v>1</v>
      </c>
      <c r="B6622" s="901" t="s">
        <v>141</v>
      </c>
      <c r="D6622" s="901" t="s">
        <v>3063</v>
      </c>
      <c r="G6622" s="941" t="s">
        <v>3062</v>
      </c>
      <c r="H6622" s="942">
        <v>880</v>
      </c>
      <c r="I6622" s="901" t="s">
        <v>2607</v>
      </c>
      <c r="O6622" s="943">
        <v>3</v>
      </c>
      <c r="P6622" s="944"/>
      <c r="Q6622" s="945">
        <v>10</v>
      </c>
      <c r="R6622" s="946">
        <f>$A6622*Q6622</f>
        <v>10</v>
      </c>
      <c r="S6622" s="945">
        <v>0.25</v>
      </c>
      <c r="T6622" s="947">
        <f>$A6622*S6622*$T$1</f>
        <v>0.22500000000000001</v>
      </c>
      <c r="AR6622" s="116">
        <v>1</v>
      </c>
    </row>
    <row r="6623" spans="1:45" s="901" customFormat="1" ht="13.2">
      <c r="A6623" s="116">
        <v>1</v>
      </c>
      <c r="B6623" s="901" t="s">
        <v>141</v>
      </c>
      <c r="D6623" s="901" t="s">
        <v>3064</v>
      </c>
      <c r="G6623" s="941" t="s">
        <v>3065</v>
      </c>
      <c r="H6623" s="942">
        <v>880</v>
      </c>
      <c r="I6623" s="901" t="s">
        <v>2607</v>
      </c>
      <c r="O6623" s="943">
        <v>3</v>
      </c>
      <c r="P6623" s="944"/>
      <c r="Q6623" s="945">
        <v>20</v>
      </c>
      <c r="R6623" s="946">
        <f>$A6623*Q6623</f>
        <v>20</v>
      </c>
      <c r="S6623" s="945">
        <v>2</v>
      </c>
      <c r="T6623" s="947">
        <f>$A6623*S6623*$T$1</f>
        <v>1.8</v>
      </c>
      <c r="AR6623" s="116">
        <v>1</v>
      </c>
    </row>
    <row r="6624" spans="1:45" s="520" customFormat="1" ht="12">
      <c r="A6624" s="758"/>
      <c r="B6624" s="758"/>
      <c r="C6624" s="758"/>
      <c r="D6624" s="758"/>
      <c r="E6624" s="758"/>
      <c r="F6624" s="753"/>
      <c r="G6624" s="758"/>
      <c r="H6624" s="758"/>
      <c r="I6624" s="519"/>
      <c r="J6624" s="758"/>
      <c r="K6624" s="758"/>
      <c r="L6624" s="758"/>
      <c r="M6624" s="758"/>
      <c r="N6624" s="758"/>
      <c r="O6624" s="758"/>
      <c r="P6624" s="758"/>
      <c r="Q6624" s="519"/>
      <c r="R6624" s="759">
        <f t="shared" ref="R6624" si="486">$A6624*Q6624</f>
        <v>0</v>
      </c>
      <c r="S6624" s="519"/>
      <c r="T6624" s="760">
        <f t="shared" ref="T6624" si="487">$A6624*S6624*$T$1</f>
        <v>0</v>
      </c>
      <c r="AR6624" s="758"/>
      <c r="AS6624" s="753"/>
    </row>
    <row r="6625" spans="1:45" s="520" customFormat="1" ht="12.6" thickBot="1">
      <c r="A6625" s="761" t="s">
        <v>145</v>
      </c>
      <c r="B6625" s="762">
        <f>(R6624+T6624)</f>
        <v>0</v>
      </c>
      <c r="C6625" s="763"/>
      <c r="D6625" s="763"/>
      <c r="E6625" s="763"/>
      <c r="F6625" s="764"/>
      <c r="G6625" s="763" t="s">
        <v>146</v>
      </c>
      <c r="H6625" s="763"/>
      <c r="I6625" s="765"/>
      <c r="J6625" s="763"/>
      <c r="K6625" s="763" t="s">
        <v>3</v>
      </c>
      <c r="L6625" s="766" t="s">
        <v>143</v>
      </c>
      <c r="M6625" s="766"/>
      <c r="N6625" s="766"/>
      <c r="O6625" s="766"/>
      <c r="P6625" s="766"/>
      <c r="Q6625" s="767"/>
      <c r="R6625" s="768">
        <f>SUM(R6620:R6624)</f>
        <v>78</v>
      </c>
      <c r="S6625" s="763"/>
      <c r="T6625" s="768">
        <f>SUM(T6620:T6624)</f>
        <v>3.375</v>
      </c>
      <c r="U6625" s="531"/>
      <c r="V6625" s="531"/>
      <c r="W6625" s="531"/>
      <c r="X6625" s="531"/>
      <c r="Y6625" s="531"/>
      <c r="Z6625" s="531"/>
      <c r="AA6625" s="531"/>
      <c r="AB6625" s="531"/>
      <c r="AC6625" s="531"/>
      <c r="AD6625" s="531"/>
      <c r="AE6625" s="531"/>
      <c r="AF6625" s="531"/>
      <c r="AG6625" s="531"/>
      <c r="AH6625" s="531"/>
      <c r="AI6625" s="531"/>
      <c r="AJ6625" s="531"/>
      <c r="AK6625" s="531"/>
      <c r="AL6625" s="531"/>
      <c r="AM6625" s="531"/>
      <c r="AN6625" s="531"/>
      <c r="AO6625" s="531"/>
      <c r="AR6625" s="761" t="s">
        <v>145</v>
      </c>
      <c r="AS6625" s="764"/>
    </row>
    <row r="6626" spans="1:45" s="520" customFormat="1" ht="12" thickTop="1">
      <c r="A6626" s="48" t="s">
        <v>148</v>
      </c>
      <c r="D6626" s="13"/>
      <c r="E6626" s="42"/>
      <c r="O6626" s="771"/>
      <c r="AR6626" s="48" t="s">
        <v>148</v>
      </c>
    </row>
    <row r="6627" spans="1:45" s="520" customFormat="1" ht="13.2">
      <c r="B6627" s="3"/>
      <c r="O6627" s="771"/>
    </row>
    <row r="6628" spans="1:45" s="520" customFormat="1" ht="12">
      <c r="B6628" s="772">
        <f ca="1">$F6628/$C$2-($R6628*$S$2+$T6628*$T$2)</f>
        <v>-0.41463608320009371</v>
      </c>
      <c r="D6628" s="773" t="s">
        <v>3641</v>
      </c>
      <c r="E6628" s="774"/>
      <c r="F6628" s="775">
        <f ca="1">SUMIF($L6409:$L6626,"ITEM",F6409:F6626)</f>
        <v>8840.06</v>
      </c>
      <c r="G6628" s="758"/>
      <c r="H6628" s="758"/>
      <c r="I6628" s="519"/>
      <c r="J6628" s="758"/>
      <c r="K6628" s="758"/>
      <c r="L6628" s="755" t="s">
        <v>157</v>
      </c>
      <c r="M6628" s="755"/>
      <c r="N6628" s="755"/>
      <c r="O6628" s="755"/>
      <c r="P6628" s="755"/>
      <c r="R6628" s="775">
        <f ca="1">SUMIF($L6409:$L6626,"ITEM",R6409:R6626)</f>
        <v>3563.6</v>
      </c>
      <c r="S6628" s="776"/>
      <c r="T6628" s="775">
        <f ca="1">SUMIF($L6409:$L6626,"ITEM",T6409:T6626)</f>
        <v>131.68</v>
      </c>
      <c r="AS6628" s="775">
        <v>10123.840000000002</v>
      </c>
    </row>
    <row r="6629" spans="1:45" s="520" customFormat="1" ht="13.2">
      <c r="A6629" s="51"/>
      <c r="B6629" s="49" t="s">
        <v>1064</v>
      </c>
      <c r="C6629" s="51"/>
      <c r="D6629" s="3"/>
      <c r="F6629" s="777" t="s">
        <v>158</v>
      </c>
      <c r="G6629" s="758"/>
      <c r="H6629" s="758"/>
      <c r="I6629" s="519"/>
      <c r="J6629" s="758"/>
      <c r="K6629" s="758"/>
      <c r="L6629" s="758"/>
      <c r="M6629" s="758"/>
      <c r="N6629" s="758"/>
      <c r="O6629" s="758"/>
      <c r="P6629" s="758"/>
      <c r="Q6629" s="778"/>
      <c r="R6629" s="777" t="s">
        <v>159</v>
      </c>
      <c r="S6629" s="38"/>
      <c r="T6629" s="777" t="s">
        <v>160</v>
      </c>
      <c r="AR6629" s="51"/>
      <c r="AS6629" s="777" t="s">
        <v>158</v>
      </c>
    </row>
    <row r="6630" spans="1:45" s="520" customFormat="1" ht="13.2">
      <c r="A6630" s="758"/>
      <c r="B6630" s="3"/>
      <c r="C6630" s="758"/>
      <c r="D6630" s="3"/>
      <c r="E6630" s="3"/>
      <c r="G6630" s="3"/>
      <c r="H6630" s="3"/>
      <c r="I6630" s="3"/>
      <c r="J6630" s="3"/>
      <c r="K6630" s="3"/>
      <c r="L6630" s="3"/>
      <c r="M6630" s="3"/>
      <c r="N6630" s="3"/>
      <c r="O6630" s="107"/>
      <c r="P6630" s="3"/>
      <c r="Q6630" s="3"/>
      <c r="R6630" s="3"/>
      <c r="S6630" s="3"/>
      <c r="T6630" s="3"/>
      <c r="AR6630" s="758"/>
    </row>
    <row r="6631" spans="1:45" s="520" customFormat="1" ht="12" thickBot="1">
      <c r="A6631" s="531"/>
      <c r="B6631" s="763"/>
      <c r="C6631" s="763"/>
      <c r="D6631" s="531"/>
      <c r="E6631" s="39"/>
      <c r="F6631" s="779"/>
      <c r="G6631" s="763"/>
      <c r="H6631" s="763"/>
      <c r="I6631" s="765"/>
      <c r="J6631" s="763"/>
      <c r="K6631" s="763"/>
      <c r="L6631" s="766"/>
      <c r="M6631" s="766"/>
      <c r="N6631" s="766"/>
      <c r="O6631" s="766"/>
      <c r="P6631" s="766"/>
      <c r="Q6631" s="767"/>
      <c r="R6631" s="779"/>
      <c r="S6631" s="780"/>
      <c r="T6631" s="779"/>
      <c r="U6631" s="531"/>
      <c r="V6631" s="531"/>
      <c r="W6631" s="531"/>
      <c r="X6631" s="531"/>
      <c r="Y6631" s="531"/>
      <c r="Z6631" s="531"/>
      <c r="AA6631" s="531"/>
      <c r="AB6631" s="531"/>
      <c r="AC6631" s="531"/>
      <c r="AD6631" s="531"/>
      <c r="AE6631" s="531"/>
      <c r="AF6631" s="531"/>
      <c r="AG6631" s="531"/>
      <c r="AH6631" s="531"/>
      <c r="AI6631" s="531"/>
      <c r="AJ6631" s="531"/>
      <c r="AK6631" s="531"/>
      <c r="AR6631" s="531"/>
      <c r="AS6631" s="779"/>
    </row>
    <row r="6632" spans="1:45" s="520" customFormat="1" thickTop="1">
      <c r="A6632" s="48" t="s">
        <v>148</v>
      </c>
      <c r="B6632" s="3"/>
      <c r="C6632" s="51"/>
      <c r="D6632" s="51"/>
      <c r="E6632" s="51"/>
      <c r="F6632" s="51"/>
      <c r="G6632" s="51"/>
      <c r="H6632" s="51"/>
      <c r="I6632" s="51"/>
      <c r="J6632" s="51"/>
      <c r="K6632" s="51"/>
      <c r="L6632" s="51"/>
      <c r="M6632" s="51"/>
      <c r="N6632" s="51"/>
      <c r="O6632" s="52"/>
      <c r="P6632" s="51"/>
      <c r="Q6632" s="51"/>
      <c r="R6632" s="51"/>
      <c r="S6632" s="51"/>
      <c r="T6632" s="51"/>
      <c r="AR6632" s="48" t="s">
        <v>148</v>
      </c>
      <c r="AS6632" s="51"/>
    </row>
    <row r="6633" spans="1:45" s="520" customFormat="1" ht="13.2">
      <c r="A6633" s="51"/>
      <c r="B6633" s="3"/>
      <c r="C6633" s="3"/>
      <c r="E6633" s="3"/>
      <c r="F6633" s="3"/>
      <c r="G6633" s="3"/>
      <c r="H6633" s="3"/>
      <c r="I6633" s="3"/>
      <c r="J6633" s="3"/>
      <c r="K6633" s="3"/>
      <c r="L6633" s="3"/>
      <c r="M6633" s="3"/>
      <c r="N6633" s="3"/>
      <c r="O6633" s="107"/>
      <c r="P6633" s="3"/>
      <c r="Q6633" s="3"/>
      <c r="R6633" s="3"/>
      <c r="S6633" s="3"/>
      <c r="T6633" s="3"/>
      <c r="AR6633" s="51"/>
      <c r="AS6633" s="3"/>
    </row>
    <row r="6634" spans="1:45" s="520" customFormat="1" ht="12">
      <c r="A6634" s="51"/>
      <c r="B6634" s="772">
        <f ca="1">$F6634/$C$2-($R6634*$S$2+$T6634*$T$2)</f>
        <v>-3.8737289360142313</v>
      </c>
      <c r="C6634" s="51"/>
      <c r="D6634" s="121" t="s">
        <v>4063</v>
      </c>
      <c r="E6634" s="774"/>
      <c r="F6634" s="782">
        <f ca="1">SUMIF($L5579:$L6632,"PAGE",F5579:F6632)</f>
        <v>122773.66</v>
      </c>
      <c r="G6634" s="758"/>
      <c r="H6634" s="758"/>
      <c r="I6634" s="519"/>
      <c r="J6634" s="758"/>
      <c r="K6634" s="758"/>
      <c r="L6634" s="121" t="s">
        <v>1075</v>
      </c>
      <c r="M6634" s="121"/>
      <c r="N6634" s="121"/>
      <c r="O6634" s="122"/>
      <c r="P6634" s="121"/>
      <c r="Q6634" s="51"/>
      <c r="R6634" s="782">
        <f ca="1">SUMIF($L5579:$L6632,"PAGE",R5579:R6632)</f>
        <v>61189.98000000001</v>
      </c>
      <c r="S6634" s="51"/>
      <c r="T6634" s="782">
        <f ca="1">SUMIF($L5579:$L6632,"PAGE",T5579:T6632)</f>
        <v>1402.7750000000003</v>
      </c>
      <c r="AR6634" s="51"/>
      <c r="AS6634" s="782">
        <v>133276.24</v>
      </c>
    </row>
    <row r="6635" spans="1:45" s="520" customFormat="1" ht="12">
      <c r="A6635" s="51"/>
      <c r="B6635" s="49" t="s">
        <v>1064</v>
      </c>
      <c r="C6635" s="51"/>
      <c r="D6635" s="781"/>
      <c r="F6635" s="783" t="s">
        <v>1076</v>
      </c>
      <c r="G6635" s="758"/>
      <c r="H6635" s="758"/>
      <c r="I6635" s="519"/>
      <c r="J6635" s="758"/>
      <c r="K6635" s="758"/>
      <c r="L6635" s="51"/>
      <c r="M6635" s="51"/>
      <c r="N6635" s="51"/>
      <c r="O6635" s="52"/>
      <c r="P6635" s="51"/>
      <c r="Q6635" s="51"/>
      <c r="R6635" s="783" t="s">
        <v>1077</v>
      </c>
      <c r="S6635" s="38"/>
      <c r="T6635" s="783" t="s">
        <v>1078</v>
      </c>
      <c r="AR6635" s="51"/>
      <c r="AS6635" s="783" t="s">
        <v>1076</v>
      </c>
    </row>
    <row r="6636" spans="1:45" s="520" customFormat="1" ht="11.4">
      <c r="O6636" s="771"/>
    </row>
    <row r="6637" spans="1:45" s="520" customFormat="1" ht="12" thickBot="1">
      <c r="A6637" s="763"/>
      <c r="B6637" s="763"/>
      <c r="C6637" s="763"/>
      <c r="D6637" s="763"/>
      <c r="E6637" s="763"/>
      <c r="F6637" s="39"/>
      <c r="G6637" s="531"/>
      <c r="H6637" s="531"/>
      <c r="I6637" s="531"/>
      <c r="J6637" s="531"/>
      <c r="K6637" s="531"/>
      <c r="L6637" s="763"/>
      <c r="M6637" s="763"/>
      <c r="N6637" s="763"/>
      <c r="O6637" s="763"/>
      <c r="P6637" s="763"/>
      <c r="Q6637" s="767"/>
      <c r="R6637" s="39"/>
      <c r="S6637" s="39"/>
      <c r="T6637" s="39"/>
      <c r="U6637" s="531"/>
      <c r="V6637" s="531"/>
      <c r="W6637" s="531"/>
      <c r="X6637" s="531"/>
      <c r="Y6637" s="531"/>
      <c r="Z6637" s="531"/>
      <c r="AA6637" s="531"/>
      <c r="AB6637" s="531"/>
      <c r="AC6637" s="531"/>
      <c r="AD6637" s="531"/>
      <c r="AE6637" s="531"/>
      <c r="AF6637" s="531"/>
      <c r="AG6637" s="531"/>
      <c r="AH6637" s="531"/>
      <c r="AI6637" s="531"/>
      <c r="AJ6637" s="531"/>
      <c r="AK6637" s="531"/>
      <c r="AR6637" s="763"/>
      <c r="AS6637" s="39"/>
    </row>
    <row r="6638" spans="1:45" s="520" customFormat="1" thickTop="1">
      <c r="A6638" s="51"/>
      <c r="B6638" s="51"/>
      <c r="C6638" s="3"/>
      <c r="D6638" s="3"/>
      <c r="E6638" s="51"/>
      <c r="F6638" s="51"/>
      <c r="G6638" s="51"/>
      <c r="H6638" s="51"/>
      <c r="I6638" s="51"/>
      <c r="J6638" s="51"/>
      <c r="K6638" s="51" t="s">
        <v>134</v>
      </c>
      <c r="L6638" s="51"/>
      <c r="M6638" s="51"/>
      <c r="N6638" s="51"/>
      <c r="O6638" s="52"/>
      <c r="P6638" s="51"/>
      <c r="Q6638" s="51"/>
      <c r="R6638" s="51"/>
      <c r="S6638" s="51"/>
      <c r="T6638" s="51"/>
      <c r="AR6638" s="51"/>
      <c r="AS6638" s="51"/>
    </row>
    <row r="6639" spans="1:45" s="520" customFormat="1" ht="12">
      <c r="A6639" s="51"/>
      <c r="B6639" s="51"/>
      <c r="C6639" s="51" t="s">
        <v>135</v>
      </c>
      <c r="D6639" s="37"/>
      <c r="E6639" s="51"/>
      <c r="F6639" s="51"/>
      <c r="G6639" s="51"/>
      <c r="H6639" s="51"/>
      <c r="I6639" s="51"/>
      <c r="J6639" s="51"/>
      <c r="K6639" s="51"/>
      <c r="L6639" s="51"/>
      <c r="M6639" s="51"/>
      <c r="N6639" s="51"/>
      <c r="O6639" s="52"/>
      <c r="P6639" s="51"/>
      <c r="Q6639" s="51"/>
      <c r="R6639" s="51"/>
      <c r="S6639" s="51"/>
      <c r="T6639" s="51"/>
      <c r="AR6639" s="51"/>
      <c r="AS6639" s="51"/>
    </row>
    <row r="6640" spans="1:45" s="520" customFormat="1" ht="12">
      <c r="A6640" s="51"/>
      <c r="B6640" s="51"/>
      <c r="C6640" s="51"/>
      <c r="D6640" s="37" t="s">
        <v>943</v>
      </c>
      <c r="E6640" s="51"/>
      <c r="F6640" s="51"/>
      <c r="G6640" s="51"/>
      <c r="H6640" s="51"/>
      <c r="I6640" s="51"/>
      <c r="J6640" s="51"/>
      <c r="K6640" s="51"/>
      <c r="L6640" s="51"/>
      <c r="M6640" s="51"/>
      <c r="N6640" s="51"/>
      <c r="O6640" s="52"/>
      <c r="P6640" s="51"/>
      <c r="Q6640" s="51"/>
      <c r="R6640" s="51"/>
      <c r="S6640" s="38"/>
      <c r="T6640" s="38"/>
      <c r="AR6640" s="51"/>
      <c r="AS6640" s="51"/>
    </row>
    <row r="6641" spans="1:45" s="3" customFormat="1" thickBot="1">
      <c r="A6641" s="531"/>
      <c r="O6641" s="107"/>
      <c r="AR6641" s="531"/>
    </row>
    <row r="6642" spans="1:45" s="520" customFormat="1" thickTop="1">
      <c r="A6642" s="51"/>
      <c r="B6642" s="51"/>
      <c r="C6642" s="3"/>
      <c r="D6642" s="3"/>
      <c r="E6642" s="51"/>
      <c r="F6642" s="51"/>
      <c r="G6642" s="51"/>
      <c r="H6642" s="51"/>
      <c r="I6642" s="51"/>
      <c r="J6642" s="51"/>
      <c r="K6642" s="51" t="s">
        <v>134</v>
      </c>
      <c r="L6642" s="51"/>
      <c r="M6642" s="51"/>
      <c r="N6642" s="51"/>
      <c r="O6642" s="52"/>
      <c r="P6642" s="51"/>
      <c r="Q6642" s="51"/>
      <c r="R6642" s="51"/>
      <c r="S6642" s="51"/>
      <c r="T6642" s="51"/>
      <c r="AR6642" s="51"/>
      <c r="AS6642" s="51"/>
    </row>
    <row r="6643" spans="1:45" s="520" customFormat="1" ht="12">
      <c r="A6643" s="51"/>
      <c r="B6643" s="51"/>
      <c r="C6643" s="51" t="s">
        <v>135</v>
      </c>
      <c r="D6643" s="37" t="s">
        <v>2027</v>
      </c>
      <c r="E6643" s="51"/>
      <c r="F6643" s="51"/>
      <c r="G6643" s="51"/>
      <c r="H6643" s="51"/>
      <c r="I6643" s="51"/>
      <c r="J6643" s="51"/>
      <c r="K6643" s="51"/>
      <c r="L6643" s="51"/>
      <c r="M6643" s="51"/>
      <c r="N6643" s="51"/>
      <c r="O6643" s="52"/>
      <c r="P6643" s="51"/>
      <c r="Q6643" s="51"/>
      <c r="R6643" s="51"/>
      <c r="S6643" s="51"/>
      <c r="T6643" s="51"/>
      <c r="AR6643" s="51"/>
      <c r="AS6643" s="51"/>
    </row>
    <row r="6644" spans="1:45" s="520" customFormat="1" ht="12">
      <c r="A6644" s="51"/>
      <c r="B6644" s="51"/>
      <c r="C6644" s="51"/>
      <c r="D6644" s="37" t="s">
        <v>944</v>
      </c>
      <c r="F6644" s="904" t="s">
        <v>4139</v>
      </c>
      <c r="G6644" s="51"/>
      <c r="H6644" s="51"/>
      <c r="I6644" s="51"/>
      <c r="J6644" s="51"/>
      <c r="K6644" s="51"/>
      <c r="L6644" s="51"/>
      <c r="M6644" s="51"/>
      <c r="N6644" s="51"/>
      <c r="O6644" s="52"/>
      <c r="P6644" s="51"/>
      <c r="Q6644" s="51"/>
      <c r="R6644" s="51"/>
      <c r="S6644" s="38"/>
      <c r="T6644" s="38"/>
      <c r="AR6644" s="51"/>
      <c r="AS6644" s="1153" t="s">
        <v>3507</v>
      </c>
    </row>
    <row r="6645" spans="1:45" s="3" customFormat="1" thickBot="1">
      <c r="A6645" s="531"/>
      <c r="O6645" s="107"/>
      <c r="AR6645" s="531"/>
    </row>
    <row r="6646" spans="1:45" s="520" customFormat="1" thickTop="1">
      <c r="A6646" s="51"/>
      <c r="B6646" s="51"/>
      <c r="C6646" s="3"/>
      <c r="D6646" s="3"/>
      <c r="E6646" s="3"/>
      <c r="F6646" s="51"/>
      <c r="G6646" s="51"/>
      <c r="H6646" s="51"/>
      <c r="I6646" s="51"/>
      <c r="J6646" s="51"/>
      <c r="K6646" s="51" t="s">
        <v>134</v>
      </c>
      <c r="L6646" s="51"/>
      <c r="M6646" s="51"/>
      <c r="N6646" s="51"/>
      <c r="O6646" s="52"/>
      <c r="P6646" s="51"/>
      <c r="Q6646" s="51"/>
      <c r="R6646" s="51"/>
      <c r="S6646" s="51"/>
      <c r="T6646" s="51"/>
      <c r="AR6646" s="51"/>
      <c r="AS6646" s="51"/>
    </row>
    <row r="6647" spans="1:45" s="520" customFormat="1" ht="12">
      <c r="A6647" s="51"/>
      <c r="B6647" s="51"/>
      <c r="C6647" s="51" t="s">
        <v>135</v>
      </c>
      <c r="D6647" s="37"/>
      <c r="E6647" s="51"/>
      <c r="F6647" s="51"/>
      <c r="G6647" s="51"/>
      <c r="H6647" s="51"/>
      <c r="I6647" s="51"/>
      <c r="J6647" s="51"/>
      <c r="K6647" s="51"/>
      <c r="L6647" s="51"/>
      <c r="M6647" s="51"/>
      <c r="N6647" s="51"/>
      <c r="O6647" s="52"/>
      <c r="P6647" s="51"/>
      <c r="Q6647" s="51"/>
      <c r="R6647" s="51"/>
      <c r="S6647" s="51"/>
      <c r="T6647" s="51"/>
      <c r="AR6647" s="51"/>
      <c r="AS6647" s="51"/>
    </row>
    <row r="6648" spans="1:45" s="520" customFormat="1" ht="12">
      <c r="A6648" s="51"/>
      <c r="B6648" s="51"/>
      <c r="C6648" s="51"/>
      <c r="D6648" s="37" t="s">
        <v>945</v>
      </c>
      <c r="E6648" s="51"/>
      <c r="F6648" s="51"/>
      <c r="G6648" s="51"/>
      <c r="H6648" s="51"/>
      <c r="I6648" s="51"/>
      <c r="J6648" s="51"/>
      <c r="K6648" s="51"/>
      <c r="L6648" s="51"/>
      <c r="M6648" s="51"/>
      <c r="N6648" s="51"/>
      <c r="O6648" s="52"/>
      <c r="P6648" s="51"/>
      <c r="Q6648" s="51"/>
      <c r="R6648" s="51"/>
      <c r="S6648" s="38"/>
      <c r="T6648" s="38"/>
      <c r="AR6648" s="51"/>
      <c r="AS6648" s="51"/>
    </row>
    <row r="6649" spans="1:45" s="3" customFormat="1" thickBot="1">
      <c r="A6649" s="531"/>
      <c r="O6649" s="107"/>
      <c r="AR6649" s="531"/>
    </row>
    <row r="6650" spans="1:45" s="520" customFormat="1" thickTop="1">
      <c r="A6650" s="51"/>
      <c r="B6650" s="51"/>
      <c r="C6650" s="3"/>
      <c r="D6650" s="3"/>
      <c r="E6650" s="51"/>
      <c r="F6650" s="51"/>
      <c r="G6650" s="51"/>
      <c r="H6650" s="51"/>
      <c r="I6650" s="51"/>
      <c r="J6650" s="51"/>
      <c r="K6650" s="51" t="s">
        <v>134</v>
      </c>
      <c r="L6650" s="51"/>
      <c r="M6650" s="51"/>
      <c r="N6650" s="51"/>
      <c r="O6650" s="52"/>
      <c r="P6650" s="51"/>
      <c r="Q6650" s="51"/>
      <c r="R6650" s="51"/>
      <c r="S6650" s="51"/>
      <c r="T6650" s="51"/>
      <c r="AR6650" s="51"/>
      <c r="AS6650" s="51"/>
    </row>
    <row r="6651" spans="1:45" s="520" customFormat="1" ht="12">
      <c r="A6651" s="51"/>
      <c r="B6651" s="51"/>
      <c r="C6651" s="51" t="s">
        <v>135</v>
      </c>
      <c r="D6651" s="37"/>
      <c r="E6651" s="51"/>
      <c r="F6651" s="51"/>
      <c r="G6651" s="51"/>
      <c r="H6651" s="51"/>
      <c r="I6651" s="51"/>
      <c r="J6651" s="51"/>
      <c r="K6651" s="51"/>
      <c r="L6651" s="51"/>
      <c r="M6651" s="51"/>
      <c r="N6651" s="51"/>
      <c r="O6651" s="52"/>
      <c r="P6651" s="51"/>
      <c r="Q6651" s="51"/>
      <c r="R6651" s="51"/>
      <c r="S6651" s="51"/>
      <c r="T6651" s="51"/>
      <c r="AR6651" s="51"/>
      <c r="AS6651" s="51"/>
    </row>
    <row r="6652" spans="1:45" s="520" customFormat="1" ht="39.9" customHeight="1">
      <c r="A6652" s="51"/>
      <c r="B6652" s="51"/>
      <c r="C6652" s="51"/>
      <c r="D6652" s="1453" t="s">
        <v>1916</v>
      </c>
      <c r="E6652" s="1452"/>
      <c r="F6652" s="1452"/>
      <c r="G6652" s="1452"/>
      <c r="H6652" s="1452"/>
      <c r="I6652" s="1452"/>
      <c r="J6652" s="1452"/>
      <c r="K6652" s="1452"/>
      <c r="L6652" s="1452"/>
      <c r="M6652" s="1452"/>
      <c r="N6652" s="1452"/>
      <c r="O6652" s="1452"/>
      <c r="P6652" s="1452"/>
      <c r="Q6652" s="1452"/>
      <c r="R6652" s="1452"/>
      <c r="S6652" s="1452"/>
      <c r="T6652" s="1452"/>
      <c r="AR6652" s="51"/>
    </row>
    <row r="6653" spans="1:45" s="3" customFormat="1" thickBot="1">
      <c r="A6653" s="531"/>
      <c r="O6653" s="107"/>
      <c r="AR6653" s="531"/>
    </row>
    <row r="6654" spans="1:45" s="520" customFormat="1" ht="12" thickTop="1">
      <c r="A6654" s="51"/>
      <c r="B6654" s="41"/>
      <c r="C6654" s="51"/>
      <c r="E6654" s="42" t="s">
        <v>138</v>
      </c>
      <c r="F6654" s="42" t="s">
        <v>139</v>
      </c>
      <c r="G6654" s="51"/>
      <c r="H6654" s="51"/>
      <c r="I6654" s="51"/>
      <c r="J6654" s="51"/>
      <c r="K6654" s="51" t="s">
        <v>140</v>
      </c>
      <c r="L6654" s="51"/>
      <c r="M6654" s="51"/>
      <c r="N6654" s="51"/>
      <c r="O6654" s="52"/>
      <c r="P6654" s="51"/>
      <c r="Q6654" s="51"/>
      <c r="R6654" s="51"/>
      <c r="S6654" s="51"/>
      <c r="T6654" s="41"/>
      <c r="AG6654" s="521" t="s">
        <v>268</v>
      </c>
      <c r="AH6654" s="521" t="s">
        <v>269</v>
      </c>
      <c r="AI6654" s="521" t="s">
        <v>270</v>
      </c>
      <c r="AJ6654" s="521" t="s">
        <v>271</v>
      </c>
      <c r="AK6654" s="521" t="s">
        <v>272</v>
      </c>
      <c r="AM6654" s="745" t="s">
        <v>281</v>
      </c>
      <c r="AN6654" s="746" t="s">
        <v>282</v>
      </c>
      <c r="AO6654" s="522" t="s">
        <v>278</v>
      </c>
      <c r="AR6654" s="51"/>
      <c r="AS6654" s="42" t="s">
        <v>139</v>
      </c>
    </row>
    <row r="6655" spans="1:45" s="520" customFormat="1" ht="12" customHeight="1">
      <c r="A6655" s="747">
        <v>61</v>
      </c>
      <c r="B6655" s="523" t="s">
        <v>329</v>
      </c>
      <c r="C6655" s="748"/>
      <c r="D6655" s="749" t="s">
        <v>2028</v>
      </c>
      <c r="E6655" s="750">
        <f ca="1">IF(AND($A6655=0,$A$1="DIF"),0, ROUND(ROUND(($R6665*$S$2+($T6665*$T$2))/A6655,2)*$C$2,2))</f>
        <v>70.3</v>
      </c>
      <c r="F6655" s="751">
        <f ca="1">ROUND($A6655*$E6655,2)</f>
        <v>4288.3</v>
      </c>
      <c r="G6655" s="752" t="s">
        <v>142</v>
      </c>
      <c r="H6655" s="753"/>
      <c r="I6655" s="754"/>
      <c r="J6655" s="753"/>
      <c r="K6655" s="753" t="s">
        <v>3</v>
      </c>
      <c r="L6655" s="755" t="s">
        <v>143</v>
      </c>
      <c r="M6655" s="755"/>
      <c r="N6655" s="755"/>
      <c r="O6655" s="755"/>
      <c r="P6655" s="755"/>
      <c r="Q6655" s="51"/>
      <c r="T6655" s="756" t="str">
        <f ca="1">IF(AND($R6665=0,$T6665=0),"0.00","mu :" &amp; ROUND($F6655/$C$2/($R6665+$T6665*$D$9),2))</f>
        <v>mu :1.23</v>
      </c>
      <c r="W6655" s="524"/>
      <c r="AG6655" s="481">
        <f ca="1">IF($E6655=0,0,ROUND($R6665*$S$2*$C$2/$A6655,2))</f>
        <v>28.7</v>
      </c>
      <c r="AH6655" s="481">
        <f ca="1">$AG6655*$A6655</f>
        <v>1750.7</v>
      </c>
      <c r="AI6655" s="525">
        <f ca="1">$E6655-$AG6655</f>
        <v>41.599999999999994</v>
      </c>
      <c r="AJ6655" s="525">
        <f ca="1">$A6655*$AI6655</f>
        <v>2537.5999999999995</v>
      </c>
      <c r="AK6655" s="526">
        <f ca="1">ROUND(($AG6655+$AI6655)*$A6655,2)</f>
        <v>4288.3</v>
      </c>
      <c r="AM6655" s="527">
        <f ca="1">ROUND(R6665,2)</f>
        <v>1421.57</v>
      </c>
      <c r="AN6655" s="528">
        <f ca="1">ROUND(T6665,2)</f>
        <v>75.06</v>
      </c>
      <c r="AO6655" s="529">
        <f ca="1">ROUND(AM6655+AN6655,2)*A6655</f>
        <v>91294.430000000008</v>
      </c>
      <c r="AR6655" s="747">
        <v>69</v>
      </c>
      <c r="AS6655" s="751">
        <v>5165.34</v>
      </c>
    </row>
    <row r="6656" spans="1:45" s="520" customFormat="1" ht="13.2">
      <c r="A6656" s="748"/>
      <c r="B6656"/>
      <c r="C6656" s="748"/>
      <c r="D6656" s="749" t="s">
        <v>947</v>
      </c>
      <c r="F6656" s="753"/>
      <c r="G6656" s="3"/>
      <c r="H6656" s="753"/>
      <c r="I6656" s="754"/>
      <c r="J6656" s="753"/>
      <c r="K6656" s="753" t="s">
        <v>144</v>
      </c>
      <c r="L6656" s="753"/>
      <c r="M6656" s="753"/>
      <c r="N6656" s="753"/>
      <c r="O6656" s="753"/>
      <c r="P6656" s="753"/>
      <c r="Q6656" s="51"/>
      <c r="R6656" s="530"/>
      <c r="S6656" s="757"/>
      <c r="T6656" s="753"/>
      <c r="AR6656" s="748"/>
      <c r="AS6656" s="753"/>
    </row>
    <row r="6657" spans="1:45" s="886" customFormat="1" ht="13.2">
      <c r="A6657"/>
      <c r="B6657" s="910"/>
      <c r="C6657" s="910" t="s">
        <v>2597</v>
      </c>
      <c r="D6657" s="910" t="str">
        <f ca="1">CELL("Address",Elec_Rates!D$1011)</f>
        <v>[E25_0062_Quintano_Foods_Elec_ELV_As_Awarded.xlsx]Elec_Rates!$D$1011</v>
      </c>
      <c r="E6657" s="911"/>
      <c r="F6657" s="911"/>
      <c r="G6657" s="912" t="s">
        <v>2598</v>
      </c>
      <c r="H6657" s="912"/>
      <c r="I6657" s="912"/>
      <c r="J6657" s="912"/>
      <c r="K6657" s="913"/>
      <c r="L6657" s="911"/>
      <c r="M6657" s="911"/>
      <c r="N6657" s="911"/>
      <c r="O6657" s="914"/>
      <c r="P6657" s="911"/>
      <c r="Q6657" s="915"/>
      <c r="R6657" s="916"/>
      <c r="S6657" s="915"/>
      <c r="T6657" s="917"/>
      <c r="U6657" s="918"/>
      <c r="AR6657"/>
      <c r="AS6657" s="911"/>
    </row>
    <row r="6658" spans="1:45" s="886" customFormat="1" ht="11.4">
      <c r="A6658" s="919">
        <v>61</v>
      </c>
      <c r="B6658" s="920">
        <v>1</v>
      </c>
      <c r="C6658" s="920">
        <f>$A6658*$B6658</f>
        <v>61</v>
      </c>
      <c r="D6658" s="921" t="str">
        <f>Elec_Rates!$D$1011</f>
        <v>089# Galvanised Conduit point for Data at level -1</v>
      </c>
      <c r="E6658" s="921"/>
      <c r="F6658" s="921" t="s">
        <v>2599</v>
      </c>
      <c r="G6658" s="922" t="s">
        <v>2600</v>
      </c>
      <c r="H6658" s="922"/>
      <c r="I6658" s="922"/>
      <c r="J6658" s="922"/>
      <c r="K6658" s="923"/>
      <c r="L6658" s="918"/>
      <c r="M6658" s="918"/>
      <c r="N6658" s="918"/>
      <c r="O6658" s="924"/>
      <c r="P6658" s="921"/>
      <c r="Q6658" s="925">
        <f ca="1">$B6658*Elec_Rates!$R$1011</f>
        <v>15.2</v>
      </c>
      <c r="R6658" s="916">
        <f ca="1">$A6658*Q6658</f>
        <v>927.19999999999993</v>
      </c>
      <c r="S6658" s="925">
        <f ca="1">$B6658*Elec_Rates!$T$1011</f>
        <v>0.9</v>
      </c>
      <c r="T6658" s="917">
        <f ca="1">$A6658*S6658</f>
        <v>54.9</v>
      </c>
      <c r="U6658" s="926"/>
      <c r="AR6658" s="919">
        <v>69</v>
      </c>
      <c r="AS6658" s="921" t="s">
        <v>2599</v>
      </c>
    </row>
    <row r="6659" spans="1:45" s="886" customFormat="1" ht="11.4">
      <c r="A6659" s="919"/>
      <c r="B6659" s="920"/>
      <c r="C6659" s="920"/>
      <c r="D6659" s="1156" t="s">
        <v>3606</v>
      </c>
      <c r="E6659" s="921"/>
      <c r="F6659" s="921"/>
      <c r="G6659" s="922"/>
      <c r="H6659" s="922"/>
      <c r="I6659" s="922"/>
      <c r="J6659" s="922"/>
      <c r="K6659" s="923"/>
      <c r="L6659" s="918"/>
      <c r="M6659" s="918"/>
      <c r="N6659" s="918"/>
      <c r="O6659" s="924"/>
      <c r="P6659" s="921"/>
      <c r="Q6659" s="925"/>
      <c r="R6659" s="916"/>
      <c r="S6659" s="925"/>
      <c r="T6659" s="917"/>
      <c r="U6659" s="926"/>
      <c r="AR6659" s="919"/>
      <c r="AS6659" s="921"/>
    </row>
    <row r="6660" spans="1:45" s="886" customFormat="1" ht="13.2">
      <c r="A6660"/>
      <c r="B6660" s="910"/>
      <c r="C6660" s="910" t="s">
        <v>2597</v>
      </c>
      <c r="D6660" s="910" t="str">
        <f ca="1">CELL("Address",Elec_Rates!D$822)</f>
        <v>[E25_0062_Quintano_Foods_Elec_ELV_As_Awarded.xlsx]Elec_Rates!$D$822</v>
      </c>
      <c r="E6660" s="911"/>
      <c r="F6660" s="911"/>
      <c r="G6660" s="912" t="s">
        <v>2598</v>
      </c>
      <c r="H6660" s="912"/>
      <c r="I6660" s="912"/>
      <c r="J6660" s="912"/>
      <c r="K6660" s="913"/>
      <c r="L6660" s="911"/>
      <c r="M6660" s="911"/>
      <c r="N6660" s="911"/>
      <c r="O6660" s="914"/>
      <c r="P6660" s="911"/>
      <c r="Q6660" s="915"/>
      <c r="R6660" s="916"/>
      <c r="S6660" s="915"/>
      <c r="T6660" s="917"/>
      <c r="U6660" s="918"/>
      <c r="AR6660"/>
      <c r="AS6660" s="911"/>
    </row>
    <row r="6661" spans="1:45" s="886" customFormat="1" ht="11.4">
      <c r="A6661" s="1216">
        <f>60/69*61</f>
        <v>53.043478260869563</v>
      </c>
      <c r="B6661" s="920">
        <v>1</v>
      </c>
      <c r="C6661" s="920">
        <f>$A6661*$B6661</f>
        <v>53.043478260869563</v>
      </c>
      <c r="D6661" s="921" t="str">
        <f>Elec_Rates!$D$822</f>
        <v>078# 75x75mm galvanised steel cable trunking</v>
      </c>
      <c r="E6661" s="921"/>
      <c r="F6661" s="921" t="s">
        <v>2599</v>
      </c>
      <c r="G6661" s="922" t="s">
        <v>2601</v>
      </c>
      <c r="H6661" s="922"/>
      <c r="I6661" s="922"/>
      <c r="J6661" s="922"/>
      <c r="K6661" s="923"/>
      <c r="L6661" s="918"/>
      <c r="M6661" s="918"/>
      <c r="N6661" s="918"/>
      <c r="O6661" s="924"/>
      <c r="P6661" s="921"/>
      <c r="Q6661" s="925">
        <f ca="1">$B6661*Elec_Rates!$R$822</f>
        <v>6.95</v>
      </c>
      <c r="R6661" s="916">
        <f ca="1">$A6661*Q6661</f>
        <v>368.6521739130435</v>
      </c>
      <c r="S6661" s="925">
        <f ca="1">$B6661*Elec_Rates!$T$822</f>
        <v>0.28999999999999998</v>
      </c>
      <c r="T6661" s="917">
        <f ca="1">$A6661*S6661</f>
        <v>15.382608695652172</v>
      </c>
      <c r="U6661" s="926"/>
      <c r="AR6661" s="1216">
        <v>60</v>
      </c>
      <c r="AS6661" s="921" t="s">
        <v>2599</v>
      </c>
    </row>
    <row r="6662" spans="1:45" s="886" customFormat="1" ht="13.2">
      <c r="A6662"/>
      <c r="B6662" s="910"/>
      <c r="C6662" s="910" t="s">
        <v>2597</v>
      </c>
      <c r="D6662" s="910" t="str">
        <f ca="1">CELL("Address",Elec_Rates!D$907)</f>
        <v>[E25_0062_Quintano_Foods_Elec_ELV_As_Awarded.xlsx]Elec_Rates!$D$907</v>
      </c>
      <c r="E6662" s="911"/>
      <c r="F6662" s="911"/>
      <c r="G6662" s="912" t="s">
        <v>2598</v>
      </c>
      <c r="H6662" s="912"/>
      <c r="I6662" s="912"/>
      <c r="J6662" s="912"/>
      <c r="K6662" s="913"/>
      <c r="L6662" s="911"/>
      <c r="M6662" s="911"/>
      <c r="N6662" s="911"/>
      <c r="O6662" s="914"/>
      <c r="P6662" s="911"/>
      <c r="Q6662" s="915"/>
      <c r="R6662" s="916"/>
      <c r="S6662" s="915"/>
      <c r="T6662" s="917"/>
      <c r="U6662" s="918"/>
      <c r="AR6662"/>
      <c r="AS6662" s="911"/>
    </row>
    <row r="6663" spans="1:45" s="886" customFormat="1" ht="11.4">
      <c r="A6663" s="1216">
        <f>60/69*61</f>
        <v>53.043478260869563</v>
      </c>
      <c r="B6663" s="920">
        <v>1</v>
      </c>
      <c r="C6663" s="920">
        <f>$A6663*$B6663</f>
        <v>53.043478260869563</v>
      </c>
      <c r="D6663" s="921" t="str">
        <f>Elec_Rates!$D$907</f>
        <v>084# Bracket for 50-150mm cable tray/basket/trunking</v>
      </c>
      <c r="E6663" s="921"/>
      <c r="F6663" s="921" t="s">
        <v>2599</v>
      </c>
      <c r="G6663" s="922" t="s">
        <v>2601</v>
      </c>
      <c r="H6663" s="922"/>
      <c r="I6663" s="922"/>
      <c r="J6663" s="922"/>
      <c r="K6663" s="923"/>
      <c r="L6663" s="918"/>
      <c r="M6663" s="918"/>
      <c r="N6663" s="918"/>
      <c r="O6663" s="924"/>
      <c r="P6663" s="921"/>
      <c r="Q6663" s="925">
        <f ca="1">$B6663*Elec_Rates!$R$907</f>
        <v>2.37</v>
      </c>
      <c r="R6663" s="916">
        <f ca="1">$A6663*Q6663</f>
        <v>125.71304347826087</v>
      </c>
      <c r="S6663" s="925">
        <f ca="1">$B6663*Elec_Rates!$T$907</f>
        <v>0.09</v>
      </c>
      <c r="T6663" s="917">
        <f ca="1">$A6663*S6663</f>
        <v>4.7739130434782604</v>
      </c>
      <c r="U6663" s="926"/>
      <c r="AR6663" s="1216">
        <v>60</v>
      </c>
      <c r="AS6663" s="921" t="s">
        <v>2599</v>
      </c>
    </row>
    <row r="6664" spans="1:45" s="520" customFormat="1" ht="12">
      <c r="A6664" s="758"/>
      <c r="B6664" s="758"/>
      <c r="C6664" s="758"/>
      <c r="D6664" s="758"/>
      <c r="E6664" s="758"/>
      <c r="F6664" s="753"/>
      <c r="G6664" s="758"/>
      <c r="H6664" s="758"/>
      <c r="I6664" s="519"/>
      <c r="J6664" s="758"/>
      <c r="K6664" s="758"/>
      <c r="L6664" s="758"/>
      <c r="M6664" s="758"/>
      <c r="N6664" s="758"/>
      <c r="O6664" s="758"/>
      <c r="P6664" s="758"/>
      <c r="Q6664" s="519"/>
      <c r="R6664" s="759">
        <f t="shared" ref="R6664" si="488">$A6664*Q6664</f>
        <v>0</v>
      </c>
      <c r="S6664" s="519"/>
      <c r="T6664" s="760">
        <f t="shared" ref="T6664" si="489">$A6664*S6664*$T$1</f>
        <v>0</v>
      </c>
      <c r="AR6664" s="758"/>
      <c r="AS6664" s="753"/>
    </row>
    <row r="6665" spans="1:45" s="520" customFormat="1" ht="12.6" thickBot="1">
      <c r="A6665" s="761" t="s">
        <v>145</v>
      </c>
      <c r="B6665" s="762">
        <f>(R6664+T6664)</f>
        <v>0</v>
      </c>
      <c r="C6665" s="763"/>
      <c r="D6665" s="763"/>
      <c r="E6665" s="763"/>
      <c r="F6665" s="764"/>
      <c r="G6665" s="763" t="s">
        <v>146</v>
      </c>
      <c r="H6665" s="763"/>
      <c r="I6665" s="765"/>
      <c r="J6665" s="763"/>
      <c r="K6665" s="763" t="s">
        <v>3</v>
      </c>
      <c r="L6665" s="766" t="s">
        <v>143</v>
      </c>
      <c r="M6665" s="766"/>
      <c r="N6665" s="766"/>
      <c r="O6665" s="766"/>
      <c r="P6665" s="766"/>
      <c r="Q6665" s="767"/>
      <c r="R6665" s="768">
        <f ca="1">SUM(R6656:R6664)</f>
        <v>1421.5652173913043</v>
      </c>
      <c r="S6665" s="763"/>
      <c r="T6665" s="768">
        <f ca="1">SUM(T6656:T6664)</f>
        <v>75.056521739130432</v>
      </c>
      <c r="U6665" s="531"/>
      <c r="V6665" s="531"/>
      <c r="W6665" s="531"/>
      <c r="X6665" s="531"/>
      <c r="Y6665" s="531"/>
      <c r="Z6665" s="531"/>
      <c r="AA6665" s="531"/>
      <c r="AB6665" s="531"/>
      <c r="AC6665" s="531"/>
      <c r="AD6665" s="531"/>
      <c r="AE6665" s="531"/>
      <c r="AF6665" s="531"/>
      <c r="AG6665" s="531"/>
      <c r="AH6665" s="531"/>
      <c r="AI6665" s="531"/>
      <c r="AJ6665" s="531"/>
      <c r="AK6665" s="531"/>
      <c r="AL6665" s="531"/>
      <c r="AM6665" s="531"/>
      <c r="AN6665" s="531"/>
      <c r="AO6665" s="531"/>
      <c r="AR6665" s="761" t="s">
        <v>145</v>
      </c>
      <c r="AS6665" s="764"/>
    </row>
    <row r="6666" spans="1:45" s="520" customFormat="1" thickTop="1">
      <c r="A6666" s="51"/>
      <c r="B6666" s="51"/>
      <c r="C6666" s="3"/>
      <c r="D6666" s="3"/>
      <c r="E6666" s="51"/>
      <c r="F6666" s="51"/>
      <c r="G6666" s="51"/>
      <c r="H6666" s="51"/>
      <c r="I6666" s="51"/>
      <c r="J6666" s="51"/>
      <c r="K6666" s="51" t="s">
        <v>134</v>
      </c>
      <c r="L6666" s="51"/>
      <c r="M6666" s="51"/>
      <c r="N6666" s="51"/>
      <c r="O6666" s="52"/>
      <c r="P6666" s="51"/>
      <c r="Q6666" s="51"/>
      <c r="R6666" s="51"/>
      <c r="S6666" s="51"/>
      <c r="T6666" s="51"/>
      <c r="AR6666" s="51"/>
      <c r="AS6666" s="51"/>
    </row>
    <row r="6667" spans="1:45" s="520" customFormat="1" ht="12">
      <c r="A6667" s="51"/>
      <c r="B6667" s="51"/>
      <c r="C6667" s="51" t="s">
        <v>135</v>
      </c>
      <c r="D6667" s="37"/>
      <c r="E6667" s="51"/>
      <c r="F6667" s="51"/>
      <c r="G6667" s="51"/>
      <c r="H6667" s="51"/>
      <c r="I6667" s="51"/>
      <c r="J6667" s="51"/>
      <c r="K6667" s="51"/>
      <c r="L6667" s="51"/>
      <c r="M6667" s="51"/>
      <c r="N6667" s="51"/>
      <c r="O6667" s="52"/>
      <c r="P6667" s="51"/>
      <c r="Q6667" s="51"/>
      <c r="R6667" s="51"/>
      <c r="S6667" s="51"/>
      <c r="T6667" s="51"/>
      <c r="AR6667" s="51"/>
      <c r="AS6667" s="51"/>
    </row>
    <row r="6668" spans="1:45" s="520" customFormat="1" ht="39.9" customHeight="1">
      <c r="A6668" s="51"/>
      <c r="B6668" s="51"/>
      <c r="C6668" s="51"/>
      <c r="D6668" s="1453" t="s">
        <v>948</v>
      </c>
      <c r="E6668" s="1452"/>
      <c r="F6668" s="1452"/>
      <c r="G6668" s="1452"/>
      <c r="H6668" s="1452"/>
      <c r="I6668" s="1452"/>
      <c r="J6668" s="1452"/>
      <c r="K6668" s="1452"/>
      <c r="L6668" s="1452"/>
      <c r="M6668" s="1452"/>
      <c r="N6668" s="1452"/>
      <c r="O6668" s="1452"/>
      <c r="P6668" s="1452"/>
      <c r="Q6668" s="1452"/>
      <c r="R6668" s="1452"/>
      <c r="S6668" s="1452"/>
      <c r="T6668" s="1452"/>
      <c r="AR6668" s="51"/>
    </row>
    <row r="6669" spans="1:45" s="3" customFormat="1" thickBot="1">
      <c r="A6669" s="531"/>
      <c r="O6669" s="107"/>
      <c r="AR6669" s="531"/>
    </row>
    <row r="6670" spans="1:45" s="520" customFormat="1" ht="12" thickTop="1">
      <c r="A6670" s="51"/>
      <c r="B6670" s="41"/>
      <c r="C6670" s="51"/>
      <c r="E6670" s="42" t="s">
        <v>138</v>
      </c>
      <c r="F6670" s="42" t="s">
        <v>139</v>
      </c>
      <c r="G6670" s="51"/>
      <c r="H6670" s="51"/>
      <c r="I6670" s="51"/>
      <c r="J6670" s="51"/>
      <c r="K6670" s="51" t="s">
        <v>140</v>
      </c>
      <c r="L6670" s="51"/>
      <c r="M6670" s="51"/>
      <c r="N6670" s="51"/>
      <c r="O6670" s="52"/>
      <c r="P6670" s="51"/>
      <c r="Q6670" s="51"/>
      <c r="R6670" s="51"/>
      <c r="S6670" s="51"/>
      <c r="T6670" s="41"/>
      <c r="AG6670" s="521" t="s">
        <v>268</v>
      </c>
      <c r="AH6670" s="521" t="s">
        <v>269</v>
      </c>
      <c r="AI6670" s="521" t="s">
        <v>270</v>
      </c>
      <c r="AJ6670" s="521" t="s">
        <v>271</v>
      </c>
      <c r="AK6670" s="521" t="s">
        <v>272</v>
      </c>
      <c r="AM6670" s="745" t="s">
        <v>281</v>
      </c>
      <c r="AN6670" s="746" t="s">
        <v>282</v>
      </c>
      <c r="AO6670" s="522" t="s">
        <v>278</v>
      </c>
      <c r="AR6670" s="51"/>
      <c r="AS6670" s="42" t="s">
        <v>139</v>
      </c>
    </row>
    <row r="6671" spans="1:45" s="520" customFormat="1" ht="12" customHeight="1">
      <c r="A6671" s="747">
        <v>51</v>
      </c>
      <c r="B6671" s="523" t="s">
        <v>329</v>
      </c>
      <c r="C6671" s="748"/>
      <c r="D6671" s="749" t="s">
        <v>2029</v>
      </c>
      <c r="E6671" s="1145">
        <f>IF(AND($A6671=0,$A$1="DIF"),0, ROUND(ROUND(($R6675*$S$3+($T6675*$T$3))/$A6671,2)*$C$3,2))</f>
        <v>64</v>
      </c>
      <c r="F6671" s="1146">
        <f>ROUND($A6671*$E6671,2)</f>
        <v>3264</v>
      </c>
      <c r="G6671" s="752" t="s">
        <v>142</v>
      </c>
      <c r="H6671" s="753"/>
      <c r="I6671" s="754"/>
      <c r="J6671" s="753"/>
      <c r="K6671" s="753" t="s">
        <v>5</v>
      </c>
      <c r="L6671" s="755" t="s">
        <v>143</v>
      </c>
      <c r="M6671" s="755"/>
      <c r="N6671" s="755"/>
      <c r="O6671" s="755"/>
      <c r="P6671" s="755"/>
      <c r="Q6671" s="51"/>
      <c r="T6671" s="1150" t="str">
        <f>IF(AND($R6675=0,$T6675=0),"0.00","mu: "&amp; ROUND(F6671/$C$3/($R6675+$T6675*$D$9),2))</f>
        <v>mu: 1.13</v>
      </c>
      <c r="W6671" s="524"/>
      <c r="AG6671" s="1147">
        <f>IF($E6671=0,0,ROUND($R6675*$S$3*$C$3/$A6671,2))</f>
        <v>64</v>
      </c>
      <c r="AH6671" s="1147">
        <f>$AG6671*$A6671</f>
        <v>3264</v>
      </c>
      <c r="AI6671" s="1148">
        <f>$E6671-$AG6671</f>
        <v>0</v>
      </c>
      <c r="AJ6671" s="1148">
        <f>$A6671*$AI6671</f>
        <v>0</v>
      </c>
      <c r="AK6671" s="1149">
        <f>ROUND(($AG6671+$AI6671)*$A6671,2)</f>
        <v>3264</v>
      </c>
      <c r="AM6671" s="527">
        <f>ROUND(R6675,2)</f>
        <v>2891.7</v>
      </c>
      <c r="AN6671" s="528">
        <f>ROUND(T6675,2)</f>
        <v>0</v>
      </c>
      <c r="AO6671" s="529">
        <f>ROUND(AM6671+AN6671,2)*A6671</f>
        <v>147476.69999999998</v>
      </c>
      <c r="AR6671" s="747">
        <v>59</v>
      </c>
      <c r="AS6671" s="1146">
        <v>6010.33</v>
      </c>
    </row>
    <row r="6672" spans="1:45" s="520" customFormat="1" ht="13.2">
      <c r="A6672" s="748"/>
      <c r="B6672"/>
      <c r="C6672" s="748"/>
      <c r="D6672" s="749" t="s">
        <v>949</v>
      </c>
      <c r="F6672" s="753"/>
      <c r="G6672" s="3"/>
      <c r="H6672" s="753"/>
      <c r="I6672" s="754"/>
      <c r="J6672" s="753"/>
      <c r="K6672" s="753" t="s">
        <v>144</v>
      </c>
      <c r="L6672" s="753"/>
      <c r="M6672" s="753"/>
      <c r="N6672" s="753"/>
      <c r="O6672" s="753"/>
      <c r="P6672" s="753"/>
      <c r="Q6672" s="51"/>
      <c r="R6672" s="530"/>
      <c r="S6672" s="757"/>
      <c r="T6672" s="753"/>
      <c r="AR6672" s="748"/>
      <c r="AS6672" s="753"/>
    </row>
    <row r="6673" spans="1:45" s="901" customFormat="1" ht="13.2">
      <c r="A6673" s="903">
        <v>51</v>
      </c>
      <c r="B6673" s="904" t="s">
        <v>863</v>
      </c>
      <c r="C6673" s="904"/>
      <c r="D6673" s="904" t="s">
        <v>2594</v>
      </c>
      <c r="E6673" s="904"/>
      <c r="F6673" s="904" t="s">
        <v>4139</v>
      </c>
      <c r="G6673" s="905" t="s">
        <v>2595</v>
      </c>
      <c r="H6673" s="902">
        <v>960</v>
      </c>
      <c r="I6673" s="904" t="s">
        <v>2596</v>
      </c>
      <c r="J6673" s="904"/>
      <c r="K6673" s="904"/>
      <c r="L6673" s="904"/>
      <c r="M6673" s="904"/>
      <c r="N6673" s="904"/>
      <c r="O6673" s="902">
        <v>4</v>
      </c>
      <c r="P6673" s="906">
        <v>38274</v>
      </c>
      <c r="Q6673" s="1415">
        <f>1.05*60*0.9</f>
        <v>56.7</v>
      </c>
      <c r="R6673" s="908">
        <f>$A6673*Q6673</f>
        <v>2891.7000000000003</v>
      </c>
      <c r="S6673" s="907"/>
      <c r="T6673" s="909">
        <f>$A6673*S6673*$T$1</f>
        <v>0</v>
      </c>
      <c r="AR6673" s="903">
        <v>59</v>
      </c>
      <c r="AS6673" s="904" t="s">
        <v>3507</v>
      </c>
    </row>
    <row r="6674" spans="1:45" s="520" customFormat="1" ht="12">
      <c r="A6674" s="758"/>
      <c r="B6674" s="758"/>
      <c r="C6674" s="758"/>
      <c r="D6674" s="758"/>
      <c r="E6674" s="758"/>
      <c r="F6674" s="753"/>
      <c r="G6674" s="758"/>
      <c r="H6674" s="758"/>
      <c r="I6674" s="519"/>
      <c r="J6674" s="758"/>
      <c r="K6674" s="758"/>
      <c r="L6674" s="758"/>
      <c r="M6674" s="758"/>
      <c r="N6674" s="758"/>
      <c r="O6674" s="758"/>
      <c r="P6674" s="758"/>
      <c r="Q6674" s="519"/>
      <c r="R6674" s="759">
        <f t="shared" ref="R6674" si="490">$A6674*Q6674</f>
        <v>0</v>
      </c>
      <c r="S6674" s="519"/>
      <c r="T6674" s="760">
        <f t="shared" ref="T6674" si="491">$A6674*S6674*$T$1</f>
        <v>0</v>
      </c>
      <c r="AR6674" s="758"/>
      <c r="AS6674" s="753"/>
    </row>
    <row r="6675" spans="1:45" s="520" customFormat="1" ht="12.6" thickBot="1">
      <c r="A6675" s="761" t="s">
        <v>145</v>
      </c>
      <c r="B6675" s="762">
        <f>(R6674+T6674)</f>
        <v>0</v>
      </c>
      <c r="C6675" s="763"/>
      <c r="D6675" s="763"/>
      <c r="E6675" s="763"/>
      <c r="F6675" s="764"/>
      <c r="G6675" s="763" t="s">
        <v>146</v>
      </c>
      <c r="H6675" s="763"/>
      <c r="I6675" s="765"/>
      <c r="J6675" s="763"/>
      <c r="K6675" s="763" t="s">
        <v>5</v>
      </c>
      <c r="L6675" s="766" t="s">
        <v>143</v>
      </c>
      <c r="M6675" s="766"/>
      <c r="N6675" s="766"/>
      <c r="O6675" s="766"/>
      <c r="P6675" s="766"/>
      <c r="Q6675" s="767"/>
      <c r="R6675" s="768">
        <f>SUM(R6672:R6674)</f>
        <v>2891.7000000000003</v>
      </c>
      <c r="S6675" s="763"/>
      <c r="T6675" s="768">
        <f>SUM(T6672:T6674)</f>
        <v>0</v>
      </c>
      <c r="U6675" s="531"/>
      <c r="V6675" s="531"/>
      <c r="W6675" s="531"/>
      <c r="X6675" s="531"/>
      <c r="Y6675" s="531"/>
      <c r="Z6675" s="531"/>
      <c r="AA6675" s="531"/>
      <c r="AB6675" s="531"/>
      <c r="AC6675" s="531"/>
      <c r="AD6675" s="531"/>
      <c r="AE6675" s="531"/>
      <c r="AF6675" s="531"/>
      <c r="AG6675" s="531"/>
      <c r="AH6675" s="531"/>
      <c r="AI6675" s="531"/>
      <c r="AJ6675" s="531"/>
      <c r="AK6675" s="531"/>
      <c r="AL6675" s="531"/>
      <c r="AM6675" s="531"/>
      <c r="AN6675" s="531"/>
      <c r="AO6675" s="531"/>
      <c r="AR6675" s="761" t="s">
        <v>145</v>
      </c>
      <c r="AS6675" s="764"/>
    </row>
    <row r="6676" spans="1:45" s="520" customFormat="1" ht="12" thickTop="1">
      <c r="A6676" s="51"/>
      <c r="B6676" s="41"/>
      <c r="C6676" s="51"/>
      <c r="E6676" s="42" t="s">
        <v>138</v>
      </c>
      <c r="F6676" s="42" t="s">
        <v>139</v>
      </c>
      <c r="G6676" s="51"/>
      <c r="H6676" s="51"/>
      <c r="I6676" s="51"/>
      <c r="J6676" s="51"/>
      <c r="K6676" s="51" t="s">
        <v>140</v>
      </c>
      <c r="L6676" s="51"/>
      <c r="M6676" s="51"/>
      <c r="N6676" s="51"/>
      <c r="O6676" s="52"/>
      <c r="P6676" s="51"/>
      <c r="Q6676" s="51"/>
      <c r="R6676" s="51"/>
      <c r="S6676" s="51"/>
      <c r="T6676" s="41"/>
      <c r="AG6676" s="521" t="s">
        <v>268</v>
      </c>
      <c r="AH6676" s="521" t="s">
        <v>269</v>
      </c>
      <c r="AI6676" s="521" t="s">
        <v>270</v>
      </c>
      <c r="AJ6676" s="521" t="s">
        <v>271</v>
      </c>
      <c r="AK6676" s="521" t="s">
        <v>272</v>
      </c>
      <c r="AM6676" s="745" t="s">
        <v>281</v>
      </c>
      <c r="AN6676" s="746" t="s">
        <v>282</v>
      </c>
      <c r="AO6676" s="522" t="s">
        <v>278</v>
      </c>
      <c r="AR6676" s="51"/>
      <c r="AS6676" s="42" t="s">
        <v>139</v>
      </c>
    </row>
    <row r="6677" spans="1:45" s="520" customFormat="1" ht="12" customHeight="1">
      <c r="A6677" s="747">
        <v>7</v>
      </c>
      <c r="B6677" s="523" t="s">
        <v>329</v>
      </c>
      <c r="C6677" s="748"/>
      <c r="D6677" s="749" t="s">
        <v>2030</v>
      </c>
      <c r="E6677" s="1145">
        <f>IF(AND($A6677=0,$A$1="DIF"),0, ROUND(ROUND(($R6681*$S$3+($T6681*$T$3))/$A6677,2)*$C$3,2))</f>
        <v>64</v>
      </c>
      <c r="F6677" s="1146">
        <f>ROUND($A6677*$E6677,2)</f>
        <v>448</v>
      </c>
      <c r="G6677" s="752" t="s">
        <v>142</v>
      </c>
      <c r="H6677" s="753"/>
      <c r="I6677" s="754"/>
      <c r="J6677" s="753"/>
      <c r="K6677" s="753" t="s">
        <v>5</v>
      </c>
      <c r="L6677" s="755" t="s">
        <v>143</v>
      </c>
      <c r="M6677" s="755"/>
      <c r="N6677" s="755"/>
      <c r="O6677" s="755"/>
      <c r="P6677" s="755"/>
      <c r="Q6677" s="51"/>
      <c r="T6677" s="1150" t="str">
        <f>IF(AND($R6681=0,$T6681=0),"0.00","mu: "&amp; ROUND(F6677/$C$3/($R6681+$T6681*$D$9),2))</f>
        <v>mu: 1.13</v>
      </c>
      <c r="W6677" s="524"/>
      <c r="AG6677" s="1147">
        <f>IF($E6677=0,0,ROUND($R6681*$S$3*$C$3/$A6677,2))</f>
        <v>64</v>
      </c>
      <c r="AH6677" s="1147">
        <f>$AG6677*$A6677</f>
        <v>448</v>
      </c>
      <c r="AI6677" s="1148">
        <f>$E6677-$AG6677</f>
        <v>0</v>
      </c>
      <c r="AJ6677" s="1148">
        <f>$A6677*$AI6677</f>
        <v>0</v>
      </c>
      <c r="AK6677" s="1149">
        <f>ROUND(($AG6677+$AI6677)*$A6677,2)</f>
        <v>448</v>
      </c>
      <c r="AM6677" s="527">
        <f>ROUND(R6681,2)</f>
        <v>396.9</v>
      </c>
      <c r="AN6677" s="528">
        <f>ROUND(T6681,2)</f>
        <v>0</v>
      </c>
      <c r="AO6677" s="529">
        <f>ROUND(AM6677+AN6677,2)*A6677</f>
        <v>2778.2999999999997</v>
      </c>
      <c r="AR6677" s="747">
        <v>7</v>
      </c>
      <c r="AS6677" s="1146">
        <v>713.09</v>
      </c>
    </row>
    <row r="6678" spans="1:45" s="520" customFormat="1" ht="13.2">
      <c r="A6678" s="748"/>
      <c r="B6678"/>
      <c r="C6678" s="748"/>
      <c r="D6678" s="749" t="s">
        <v>950</v>
      </c>
      <c r="F6678" s="753"/>
      <c r="G6678" s="3"/>
      <c r="H6678" s="753"/>
      <c r="I6678" s="754"/>
      <c r="J6678" s="753"/>
      <c r="K6678" s="753" t="s">
        <v>144</v>
      </c>
      <c r="L6678" s="753"/>
      <c r="M6678" s="753"/>
      <c r="N6678" s="753"/>
      <c r="O6678" s="753"/>
      <c r="P6678" s="753"/>
      <c r="Q6678" s="51"/>
      <c r="R6678" s="530"/>
      <c r="S6678" s="757"/>
      <c r="T6678" s="753"/>
      <c r="AR6678" s="748"/>
      <c r="AS6678" s="753"/>
    </row>
    <row r="6679" spans="1:45" s="901" customFormat="1" ht="13.2">
      <c r="A6679" s="903">
        <v>7</v>
      </c>
      <c r="B6679" s="904" t="s">
        <v>863</v>
      </c>
      <c r="C6679" s="904"/>
      <c r="D6679" s="904" t="s">
        <v>2594</v>
      </c>
      <c r="E6679" s="904"/>
      <c r="F6679" s="904" t="s">
        <v>4139</v>
      </c>
      <c r="G6679" s="905" t="s">
        <v>2595</v>
      </c>
      <c r="H6679" s="902">
        <v>960</v>
      </c>
      <c r="I6679" s="904" t="s">
        <v>2596</v>
      </c>
      <c r="J6679" s="904"/>
      <c r="K6679" s="904"/>
      <c r="L6679" s="904"/>
      <c r="M6679" s="904"/>
      <c r="N6679" s="904"/>
      <c r="O6679" s="902">
        <v>4</v>
      </c>
      <c r="P6679" s="906">
        <v>38274</v>
      </c>
      <c r="Q6679" s="1415">
        <f>1.05*60*0.9</f>
        <v>56.7</v>
      </c>
      <c r="R6679" s="908">
        <f>$A6679*Q6679</f>
        <v>396.90000000000003</v>
      </c>
      <c r="S6679" s="907"/>
      <c r="T6679" s="909">
        <f>$A6679*S6679*$T$1</f>
        <v>0</v>
      </c>
      <c r="AR6679" s="903">
        <v>7</v>
      </c>
      <c r="AS6679" s="904" t="s">
        <v>3507</v>
      </c>
    </row>
    <row r="6680" spans="1:45" s="520" customFormat="1" ht="12">
      <c r="A6680" s="758"/>
      <c r="B6680" s="758"/>
      <c r="C6680" s="758"/>
      <c r="D6680" s="758"/>
      <c r="E6680" s="758"/>
      <c r="F6680" s="753"/>
      <c r="G6680" s="758"/>
      <c r="H6680" s="758"/>
      <c r="I6680" s="519"/>
      <c r="J6680" s="758"/>
      <c r="K6680" s="758"/>
      <c r="L6680" s="758"/>
      <c r="M6680" s="758"/>
      <c r="N6680" s="758"/>
      <c r="O6680" s="758"/>
      <c r="P6680" s="758"/>
      <c r="Q6680" s="519"/>
      <c r="R6680" s="759">
        <f t="shared" ref="R6680" si="492">$A6680*Q6680</f>
        <v>0</v>
      </c>
      <c r="S6680" s="519"/>
      <c r="T6680" s="760">
        <f t="shared" ref="T6680" si="493">$A6680*S6680*$T$1</f>
        <v>0</v>
      </c>
      <c r="AR6680" s="758"/>
      <c r="AS6680" s="753"/>
    </row>
    <row r="6681" spans="1:45" s="520" customFormat="1" ht="12.6" thickBot="1">
      <c r="A6681" s="761" t="s">
        <v>145</v>
      </c>
      <c r="B6681" s="762">
        <f>(R6680+T6680)</f>
        <v>0</v>
      </c>
      <c r="C6681" s="763"/>
      <c r="D6681" s="763"/>
      <c r="E6681" s="763"/>
      <c r="F6681" s="764"/>
      <c r="G6681" s="763" t="s">
        <v>146</v>
      </c>
      <c r="H6681" s="763"/>
      <c r="I6681" s="765"/>
      <c r="J6681" s="763"/>
      <c r="K6681" s="763" t="s">
        <v>5</v>
      </c>
      <c r="L6681" s="766" t="s">
        <v>143</v>
      </c>
      <c r="M6681" s="766"/>
      <c r="N6681" s="766"/>
      <c r="O6681" s="766"/>
      <c r="P6681" s="766"/>
      <c r="Q6681" s="767"/>
      <c r="R6681" s="768">
        <f>SUM(R6678:R6680)</f>
        <v>396.90000000000003</v>
      </c>
      <c r="S6681" s="763"/>
      <c r="T6681" s="768">
        <f>SUM(T6678:T6680)</f>
        <v>0</v>
      </c>
      <c r="U6681" s="531"/>
      <c r="V6681" s="531"/>
      <c r="W6681" s="531"/>
      <c r="X6681" s="531"/>
      <c r="Y6681" s="531"/>
      <c r="Z6681" s="531"/>
      <c r="AA6681" s="531"/>
      <c r="AB6681" s="531"/>
      <c r="AC6681" s="531"/>
      <c r="AD6681" s="531"/>
      <c r="AE6681" s="531"/>
      <c r="AF6681" s="531"/>
      <c r="AG6681" s="531"/>
      <c r="AH6681" s="531"/>
      <c r="AI6681" s="531"/>
      <c r="AJ6681" s="531"/>
      <c r="AK6681" s="531"/>
      <c r="AL6681" s="531"/>
      <c r="AM6681" s="531"/>
      <c r="AN6681" s="531"/>
      <c r="AO6681" s="531"/>
      <c r="AR6681" s="761" t="s">
        <v>145</v>
      </c>
      <c r="AS6681" s="764"/>
    </row>
    <row r="6682" spans="1:45" s="520" customFormat="1" ht="12" thickTop="1">
      <c r="A6682" s="51"/>
      <c r="B6682" s="41"/>
      <c r="C6682" s="51"/>
      <c r="E6682" s="42" t="s">
        <v>138</v>
      </c>
      <c r="F6682" s="42" t="s">
        <v>139</v>
      </c>
      <c r="G6682" s="51"/>
      <c r="H6682" s="51"/>
      <c r="I6682" s="51"/>
      <c r="J6682" s="51"/>
      <c r="K6682" s="51" t="s">
        <v>140</v>
      </c>
      <c r="L6682" s="51"/>
      <c r="M6682" s="51"/>
      <c r="N6682" s="51"/>
      <c r="O6682" s="52"/>
      <c r="P6682" s="51"/>
      <c r="Q6682" s="51"/>
      <c r="R6682" s="51"/>
      <c r="S6682" s="51"/>
      <c r="T6682" s="41"/>
      <c r="AG6682" s="521" t="s">
        <v>268</v>
      </c>
      <c r="AH6682" s="521" t="s">
        <v>269</v>
      </c>
      <c r="AI6682" s="521" t="s">
        <v>270</v>
      </c>
      <c r="AJ6682" s="521" t="s">
        <v>271</v>
      </c>
      <c r="AK6682" s="521" t="s">
        <v>272</v>
      </c>
      <c r="AM6682" s="745" t="s">
        <v>281</v>
      </c>
      <c r="AN6682" s="746" t="s">
        <v>282</v>
      </c>
      <c r="AO6682" s="522" t="s">
        <v>278</v>
      </c>
      <c r="AR6682" s="51"/>
      <c r="AS6682" s="42" t="s">
        <v>139</v>
      </c>
    </row>
    <row r="6683" spans="1:45" s="520" customFormat="1" ht="12" customHeight="1">
      <c r="A6683" s="747">
        <v>1</v>
      </c>
      <c r="B6683" s="523" t="s">
        <v>329</v>
      </c>
      <c r="C6683" s="748"/>
      <c r="D6683" s="749" t="s">
        <v>2031</v>
      </c>
      <c r="E6683" s="1145">
        <f>IF(AND($A6683=0,$A$1="DIF"),0, ROUND(ROUND(($R6687*$S$3+($T6687*$T$3))/$A6683,2)*$C$3,2))</f>
        <v>64</v>
      </c>
      <c r="F6683" s="1146">
        <f>ROUND($A6683*$E6683,2)</f>
        <v>64</v>
      </c>
      <c r="G6683" s="752" t="s">
        <v>142</v>
      </c>
      <c r="H6683" s="753"/>
      <c r="I6683" s="754"/>
      <c r="J6683" s="753"/>
      <c r="K6683" s="753" t="s">
        <v>5</v>
      </c>
      <c r="L6683" s="755" t="s">
        <v>143</v>
      </c>
      <c r="M6683" s="755"/>
      <c r="N6683" s="755"/>
      <c r="O6683" s="755"/>
      <c r="P6683" s="755"/>
      <c r="Q6683" s="51"/>
      <c r="T6683" s="1150" t="str">
        <f>IF(AND($R6687=0,$T6687=0),"0.00","mu: "&amp; ROUND(F6683/$C$3/($R6687+$T6687*$D$9),2))</f>
        <v>mu: 1.13</v>
      </c>
      <c r="W6683" s="524"/>
      <c r="AG6683" s="1147">
        <f>IF($E6683=0,0,ROUND($R6687*$S$3*$C$3/$A6683,2))</f>
        <v>64</v>
      </c>
      <c r="AH6683" s="1147">
        <f>$AG6683*$A6683</f>
        <v>64</v>
      </c>
      <c r="AI6683" s="1148">
        <f>$E6683-$AG6683</f>
        <v>0</v>
      </c>
      <c r="AJ6683" s="1148">
        <f>$A6683*$AI6683</f>
        <v>0</v>
      </c>
      <c r="AK6683" s="1149">
        <f>ROUND(($AG6683+$AI6683)*$A6683,2)</f>
        <v>64</v>
      </c>
      <c r="AM6683" s="527">
        <f>ROUND(R6687,2)</f>
        <v>56.7</v>
      </c>
      <c r="AN6683" s="528">
        <f>ROUND(T6687,2)</f>
        <v>0</v>
      </c>
      <c r="AO6683" s="529">
        <f>ROUND(AM6683+AN6683,2)*A6683</f>
        <v>56.7</v>
      </c>
      <c r="AR6683" s="747">
        <v>1</v>
      </c>
      <c r="AS6683" s="1146">
        <v>101.87</v>
      </c>
    </row>
    <row r="6684" spans="1:45" s="520" customFormat="1" ht="13.2">
      <c r="A6684" s="748"/>
      <c r="B6684"/>
      <c r="C6684" s="748"/>
      <c r="D6684" s="749" t="s">
        <v>951</v>
      </c>
      <c r="F6684" s="753"/>
      <c r="G6684" s="3"/>
      <c r="H6684" s="753"/>
      <c r="I6684" s="754"/>
      <c r="J6684" s="753"/>
      <c r="K6684" s="753" t="s">
        <v>144</v>
      </c>
      <c r="L6684" s="753"/>
      <c r="M6684" s="753"/>
      <c r="N6684" s="753"/>
      <c r="O6684" s="753"/>
      <c r="P6684" s="753"/>
      <c r="Q6684" s="51"/>
      <c r="R6684" s="530"/>
      <c r="S6684" s="757"/>
      <c r="T6684" s="753"/>
      <c r="AR6684" s="748"/>
      <c r="AS6684" s="753"/>
    </row>
    <row r="6685" spans="1:45" s="901" customFormat="1" ht="13.2">
      <c r="A6685" s="903">
        <v>1</v>
      </c>
      <c r="B6685" s="904" t="s">
        <v>863</v>
      </c>
      <c r="C6685" s="904"/>
      <c r="D6685" s="904" t="s">
        <v>2594</v>
      </c>
      <c r="E6685" s="904"/>
      <c r="F6685" s="904" t="s">
        <v>4139</v>
      </c>
      <c r="G6685" s="905" t="s">
        <v>2595</v>
      </c>
      <c r="H6685" s="902">
        <v>960</v>
      </c>
      <c r="I6685" s="904" t="s">
        <v>2596</v>
      </c>
      <c r="J6685" s="904"/>
      <c r="K6685" s="904"/>
      <c r="L6685" s="904"/>
      <c r="M6685" s="904"/>
      <c r="N6685" s="904"/>
      <c r="O6685" s="902">
        <v>4</v>
      </c>
      <c r="P6685" s="906">
        <v>38274</v>
      </c>
      <c r="Q6685" s="1415">
        <f>1.05*60*0.9</f>
        <v>56.7</v>
      </c>
      <c r="R6685" s="908">
        <f>$A6685*Q6685</f>
        <v>56.7</v>
      </c>
      <c r="S6685" s="907"/>
      <c r="T6685" s="909">
        <f>$A6685*S6685*$T$1</f>
        <v>0</v>
      </c>
      <c r="AR6685" s="903">
        <v>1</v>
      </c>
      <c r="AS6685" s="904" t="s">
        <v>3507</v>
      </c>
    </row>
    <row r="6686" spans="1:45" s="520" customFormat="1" ht="12">
      <c r="A6686" s="758"/>
      <c r="B6686" s="758"/>
      <c r="C6686" s="758"/>
      <c r="D6686" s="758"/>
      <c r="E6686" s="758"/>
      <c r="F6686" s="753"/>
      <c r="G6686" s="758"/>
      <c r="H6686" s="758"/>
      <c r="I6686" s="519"/>
      <c r="J6686" s="758"/>
      <c r="K6686" s="758"/>
      <c r="L6686" s="758"/>
      <c r="M6686" s="758"/>
      <c r="N6686" s="758"/>
      <c r="O6686" s="758"/>
      <c r="P6686" s="758"/>
      <c r="Q6686" s="519"/>
      <c r="R6686" s="759">
        <f t="shared" ref="R6686" si="494">$A6686*Q6686</f>
        <v>0</v>
      </c>
      <c r="S6686" s="519"/>
      <c r="T6686" s="760">
        <f t="shared" ref="T6686" si="495">$A6686*S6686*$T$1</f>
        <v>0</v>
      </c>
      <c r="AR6686" s="758"/>
      <c r="AS6686" s="753"/>
    </row>
    <row r="6687" spans="1:45" s="520" customFormat="1" ht="12.6" thickBot="1">
      <c r="A6687" s="761" t="s">
        <v>145</v>
      </c>
      <c r="B6687" s="762">
        <f>(R6686+T6686)</f>
        <v>0</v>
      </c>
      <c r="C6687" s="763"/>
      <c r="D6687" s="763"/>
      <c r="E6687" s="763"/>
      <c r="F6687" s="764"/>
      <c r="G6687" s="763" t="s">
        <v>146</v>
      </c>
      <c r="H6687" s="763"/>
      <c r="I6687" s="765"/>
      <c r="J6687" s="763"/>
      <c r="K6687" s="763" t="s">
        <v>5</v>
      </c>
      <c r="L6687" s="766" t="s">
        <v>143</v>
      </c>
      <c r="M6687" s="766"/>
      <c r="N6687" s="766"/>
      <c r="O6687" s="766"/>
      <c r="P6687" s="766"/>
      <c r="Q6687" s="767"/>
      <c r="R6687" s="768">
        <f>SUM(R6684:R6686)</f>
        <v>56.7</v>
      </c>
      <c r="S6687" s="763"/>
      <c r="T6687" s="768">
        <f>SUM(T6684:T6686)</f>
        <v>0</v>
      </c>
      <c r="U6687" s="531"/>
      <c r="V6687" s="531"/>
      <c r="W6687" s="531"/>
      <c r="X6687" s="531"/>
      <c r="Y6687" s="531"/>
      <c r="Z6687" s="531"/>
      <c r="AA6687" s="531"/>
      <c r="AB6687" s="531"/>
      <c r="AC6687" s="531"/>
      <c r="AD6687" s="531"/>
      <c r="AE6687" s="531"/>
      <c r="AF6687" s="531"/>
      <c r="AG6687" s="531"/>
      <c r="AH6687" s="531"/>
      <c r="AI6687" s="531"/>
      <c r="AJ6687" s="531"/>
      <c r="AK6687" s="531"/>
      <c r="AL6687" s="531"/>
      <c r="AM6687" s="531"/>
      <c r="AN6687" s="531"/>
      <c r="AO6687" s="531"/>
      <c r="AR6687" s="761" t="s">
        <v>145</v>
      </c>
      <c r="AS6687" s="764"/>
    </row>
    <row r="6688" spans="1:45" s="520" customFormat="1" ht="12" thickTop="1">
      <c r="A6688" s="51"/>
      <c r="B6688" s="41"/>
      <c r="C6688" s="51"/>
      <c r="E6688" s="42" t="s">
        <v>138</v>
      </c>
      <c r="F6688" s="42" t="s">
        <v>139</v>
      </c>
      <c r="G6688" s="51"/>
      <c r="H6688" s="51"/>
      <c r="I6688" s="51"/>
      <c r="J6688" s="51"/>
      <c r="K6688" s="51" t="s">
        <v>140</v>
      </c>
      <c r="L6688" s="51"/>
      <c r="M6688" s="51"/>
      <c r="N6688" s="51"/>
      <c r="O6688" s="52"/>
      <c r="P6688" s="51"/>
      <c r="Q6688" s="51"/>
      <c r="R6688" s="51"/>
      <c r="S6688" s="51"/>
      <c r="T6688" s="41"/>
      <c r="AG6688" s="521" t="s">
        <v>268</v>
      </c>
      <c r="AH6688" s="521" t="s">
        <v>269</v>
      </c>
      <c r="AI6688" s="521" t="s">
        <v>270</v>
      </c>
      <c r="AJ6688" s="521" t="s">
        <v>271</v>
      </c>
      <c r="AK6688" s="521" t="s">
        <v>272</v>
      </c>
      <c r="AM6688" s="745" t="s">
        <v>281</v>
      </c>
      <c r="AN6688" s="746" t="s">
        <v>282</v>
      </c>
      <c r="AO6688" s="522" t="s">
        <v>278</v>
      </c>
      <c r="AR6688" s="51"/>
      <c r="AS6688" s="42" t="s">
        <v>139</v>
      </c>
    </row>
    <row r="6689" spans="1:45" s="520" customFormat="1" ht="12" customHeight="1">
      <c r="A6689" s="747">
        <v>2</v>
      </c>
      <c r="B6689" s="523" t="s">
        <v>329</v>
      </c>
      <c r="C6689" s="748"/>
      <c r="D6689" s="749" t="s">
        <v>2032</v>
      </c>
      <c r="E6689" s="1145">
        <f>IF(AND($A6689=0,$A$1="DIF"),0, ROUND(ROUND(($R6693*$S$3+($T6693*$T$3))/$A6689,2)*$C$3,2))</f>
        <v>64</v>
      </c>
      <c r="F6689" s="1146">
        <f>ROUND($A6689*$E6689,2)</f>
        <v>128</v>
      </c>
      <c r="G6689" s="752" t="s">
        <v>142</v>
      </c>
      <c r="H6689" s="753"/>
      <c r="I6689" s="754"/>
      <c r="J6689" s="753"/>
      <c r="K6689" s="753" t="s">
        <v>5</v>
      </c>
      <c r="L6689" s="755" t="s">
        <v>143</v>
      </c>
      <c r="M6689" s="755"/>
      <c r="N6689" s="755"/>
      <c r="O6689" s="755"/>
      <c r="P6689" s="755"/>
      <c r="Q6689" s="51"/>
      <c r="T6689" s="1150" t="str">
        <f>IF(AND($R6693=0,$T6693=0),"0.00","mu: "&amp; ROUND(F6689/$C$3/($R6693+$T6693*$D$9),2))</f>
        <v>mu: 1.13</v>
      </c>
      <c r="W6689" s="524"/>
      <c r="AG6689" s="1147">
        <f>IF($E6689=0,0,ROUND($R6693*$S$3*$C$3/$A6689,2))</f>
        <v>64</v>
      </c>
      <c r="AH6689" s="1147">
        <f>$AG6689*$A6689</f>
        <v>128</v>
      </c>
      <c r="AI6689" s="1148">
        <f>$E6689-$AG6689</f>
        <v>0</v>
      </c>
      <c r="AJ6689" s="1148">
        <f>$A6689*$AI6689</f>
        <v>0</v>
      </c>
      <c r="AK6689" s="1149">
        <f>ROUND(($AG6689+$AI6689)*$A6689,2)</f>
        <v>128</v>
      </c>
      <c r="AM6689" s="527">
        <f>ROUND(R6693,2)</f>
        <v>113.4</v>
      </c>
      <c r="AN6689" s="528">
        <f>ROUND(T6693,2)</f>
        <v>0</v>
      </c>
      <c r="AO6689" s="529">
        <f>ROUND(AM6689+AN6689,2)*A6689</f>
        <v>226.8</v>
      </c>
      <c r="AR6689" s="747">
        <v>2</v>
      </c>
      <c r="AS6689" s="1146">
        <v>203.74</v>
      </c>
    </row>
    <row r="6690" spans="1:45" s="520" customFormat="1" ht="13.2">
      <c r="A6690" s="748"/>
      <c r="B6690"/>
      <c r="C6690" s="748"/>
      <c r="D6690" s="749" t="s">
        <v>952</v>
      </c>
      <c r="F6690" s="753"/>
      <c r="G6690" s="3"/>
      <c r="H6690" s="753"/>
      <c r="I6690" s="754"/>
      <c r="J6690" s="753"/>
      <c r="K6690" s="753" t="s">
        <v>144</v>
      </c>
      <c r="L6690" s="753"/>
      <c r="M6690" s="753"/>
      <c r="N6690" s="753"/>
      <c r="O6690" s="753"/>
      <c r="P6690" s="753"/>
      <c r="Q6690" s="51"/>
      <c r="R6690" s="530"/>
      <c r="S6690" s="757"/>
      <c r="T6690" s="753"/>
      <c r="AR6690" s="748"/>
      <c r="AS6690" s="753"/>
    </row>
    <row r="6691" spans="1:45" s="901" customFormat="1" ht="13.2">
      <c r="A6691" s="903">
        <v>2</v>
      </c>
      <c r="B6691" s="904" t="s">
        <v>863</v>
      </c>
      <c r="C6691" s="904"/>
      <c r="D6691" s="904" t="s">
        <v>2594</v>
      </c>
      <c r="E6691" s="904"/>
      <c r="F6691" s="904" t="s">
        <v>4139</v>
      </c>
      <c r="G6691" s="905" t="s">
        <v>2595</v>
      </c>
      <c r="H6691" s="902">
        <v>960</v>
      </c>
      <c r="I6691" s="904" t="s">
        <v>2596</v>
      </c>
      <c r="J6691" s="904"/>
      <c r="K6691" s="904"/>
      <c r="L6691" s="904"/>
      <c r="M6691" s="904"/>
      <c r="N6691" s="904"/>
      <c r="O6691" s="902">
        <v>4</v>
      </c>
      <c r="P6691" s="906">
        <v>38274</v>
      </c>
      <c r="Q6691" s="1415">
        <f>1.05*60*0.9</f>
        <v>56.7</v>
      </c>
      <c r="R6691" s="908">
        <f>$A6691*Q6691</f>
        <v>113.4</v>
      </c>
      <c r="S6691" s="907"/>
      <c r="T6691" s="909">
        <f>$A6691*S6691*$T$1</f>
        <v>0</v>
      </c>
      <c r="AR6691" s="903">
        <v>2</v>
      </c>
      <c r="AS6691" s="904" t="s">
        <v>3507</v>
      </c>
    </row>
    <row r="6692" spans="1:45" s="520" customFormat="1" ht="12">
      <c r="A6692" s="758"/>
      <c r="B6692" s="758"/>
      <c r="C6692" s="758"/>
      <c r="D6692" s="758"/>
      <c r="E6692" s="758"/>
      <c r="F6692" s="753"/>
      <c r="G6692" s="758"/>
      <c r="H6692" s="758"/>
      <c r="I6692" s="519"/>
      <c r="J6692" s="758"/>
      <c r="K6692" s="758"/>
      <c r="L6692" s="758"/>
      <c r="M6692" s="758"/>
      <c r="N6692" s="758"/>
      <c r="O6692" s="758"/>
      <c r="P6692" s="758"/>
      <c r="Q6692" s="519"/>
      <c r="R6692" s="759">
        <f t="shared" ref="R6692" si="496">$A6692*Q6692</f>
        <v>0</v>
      </c>
      <c r="S6692" s="519"/>
      <c r="T6692" s="760">
        <f t="shared" ref="T6692" si="497">$A6692*S6692*$T$1</f>
        <v>0</v>
      </c>
      <c r="AR6692" s="758"/>
      <c r="AS6692" s="753"/>
    </row>
    <row r="6693" spans="1:45" s="520" customFormat="1" ht="12.6" thickBot="1">
      <c r="A6693" s="761" t="s">
        <v>145</v>
      </c>
      <c r="B6693" s="762">
        <f>(R6692+T6692)</f>
        <v>0</v>
      </c>
      <c r="C6693" s="763"/>
      <c r="D6693" s="763"/>
      <c r="E6693" s="763"/>
      <c r="F6693" s="764"/>
      <c r="G6693" s="763" t="s">
        <v>146</v>
      </c>
      <c r="H6693" s="763"/>
      <c r="I6693" s="765"/>
      <c r="J6693" s="763"/>
      <c r="K6693" s="763" t="s">
        <v>5</v>
      </c>
      <c r="L6693" s="766" t="s">
        <v>143</v>
      </c>
      <c r="M6693" s="766"/>
      <c r="N6693" s="766"/>
      <c r="O6693" s="766"/>
      <c r="P6693" s="766"/>
      <c r="Q6693" s="767"/>
      <c r="R6693" s="768">
        <f>SUM(R6690:R6692)</f>
        <v>113.4</v>
      </c>
      <c r="S6693" s="763"/>
      <c r="T6693" s="768">
        <f>SUM(T6690:T6692)</f>
        <v>0</v>
      </c>
      <c r="U6693" s="531"/>
      <c r="V6693" s="531"/>
      <c r="W6693" s="531"/>
      <c r="X6693" s="531"/>
      <c r="Y6693" s="531"/>
      <c r="Z6693" s="531"/>
      <c r="AA6693" s="531"/>
      <c r="AB6693" s="531"/>
      <c r="AC6693" s="531"/>
      <c r="AD6693" s="531"/>
      <c r="AE6693" s="531"/>
      <c r="AF6693" s="531"/>
      <c r="AG6693" s="531"/>
      <c r="AH6693" s="531"/>
      <c r="AI6693" s="531"/>
      <c r="AJ6693" s="531"/>
      <c r="AK6693" s="531"/>
      <c r="AL6693" s="531"/>
      <c r="AM6693" s="531"/>
      <c r="AN6693" s="531"/>
      <c r="AO6693" s="531"/>
      <c r="AR6693" s="761" t="s">
        <v>145</v>
      </c>
      <c r="AS6693" s="764"/>
    </row>
    <row r="6694" spans="1:45" s="520" customFormat="1" thickTop="1">
      <c r="A6694" s="51"/>
      <c r="B6694" s="51"/>
      <c r="C6694" s="3"/>
      <c r="D6694" s="3"/>
      <c r="E6694" s="51"/>
      <c r="F6694" s="51"/>
      <c r="G6694" s="51"/>
      <c r="H6694" s="51"/>
      <c r="I6694" s="51"/>
      <c r="J6694" s="51"/>
      <c r="K6694" s="51" t="s">
        <v>134</v>
      </c>
      <c r="L6694" s="51"/>
      <c r="M6694" s="51"/>
      <c r="N6694" s="51"/>
      <c r="O6694" s="52"/>
      <c r="P6694" s="51"/>
      <c r="Q6694" s="51"/>
      <c r="R6694" s="51"/>
      <c r="S6694" s="51"/>
      <c r="T6694" s="51"/>
      <c r="AR6694" s="51"/>
      <c r="AS6694" s="51"/>
    </row>
    <row r="6695" spans="1:45" s="520" customFormat="1" ht="12">
      <c r="A6695" s="51"/>
      <c r="B6695" s="51"/>
      <c r="C6695" s="51" t="s">
        <v>135</v>
      </c>
      <c r="D6695" s="37"/>
      <c r="E6695" s="51"/>
      <c r="F6695" s="51"/>
      <c r="G6695" s="51"/>
      <c r="H6695" s="51"/>
      <c r="I6695" s="51"/>
      <c r="J6695" s="51"/>
      <c r="K6695" s="51"/>
      <c r="L6695" s="51"/>
      <c r="M6695" s="51"/>
      <c r="N6695" s="51"/>
      <c r="O6695" s="52"/>
      <c r="P6695" s="51"/>
      <c r="Q6695" s="51"/>
      <c r="R6695" s="51"/>
      <c r="S6695" s="51"/>
      <c r="T6695" s="51"/>
      <c r="AR6695" s="51"/>
      <c r="AS6695" s="51"/>
    </row>
    <row r="6696" spans="1:45" s="520" customFormat="1" ht="12">
      <c r="A6696" s="51"/>
      <c r="B6696" s="51"/>
      <c r="C6696" s="51"/>
      <c r="D6696" s="37" t="s">
        <v>1922</v>
      </c>
      <c r="E6696" s="51"/>
      <c r="F6696" s="51"/>
      <c r="G6696" s="51"/>
      <c r="H6696" s="51"/>
      <c r="I6696" s="51"/>
      <c r="J6696" s="51"/>
      <c r="K6696" s="51"/>
      <c r="L6696" s="51"/>
      <c r="M6696" s="51"/>
      <c r="N6696" s="51"/>
      <c r="O6696" s="52"/>
      <c r="P6696" s="51"/>
      <c r="Q6696" s="51"/>
      <c r="R6696" s="51"/>
      <c r="S6696" s="38"/>
      <c r="T6696" s="38"/>
      <c r="AR6696" s="51"/>
      <c r="AS6696" s="51"/>
    </row>
    <row r="6697" spans="1:45" s="3" customFormat="1" thickBot="1">
      <c r="A6697" s="531"/>
      <c r="O6697" s="107"/>
      <c r="AR6697" s="531"/>
    </row>
    <row r="6698" spans="1:45" s="520" customFormat="1" ht="12" thickTop="1">
      <c r="A6698" s="51"/>
      <c r="B6698" s="41"/>
      <c r="C6698" s="51"/>
      <c r="E6698" s="42" t="s">
        <v>138</v>
      </c>
      <c r="F6698" s="42" t="s">
        <v>139</v>
      </c>
      <c r="G6698" s="51"/>
      <c r="H6698" s="51"/>
      <c r="I6698" s="51"/>
      <c r="J6698" s="51"/>
      <c r="K6698" s="51" t="s">
        <v>140</v>
      </c>
      <c r="L6698" s="51"/>
      <c r="M6698" s="51"/>
      <c r="N6698" s="51"/>
      <c r="O6698" s="52"/>
      <c r="P6698" s="51"/>
      <c r="Q6698" s="51"/>
      <c r="R6698" s="51"/>
      <c r="S6698" s="51"/>
      <c r="T6698" s="41"/>
      <c r="AG6698" s="521" t="s">
        <v>268</v>
      </c>
      <c r="AH6698" s="521" t="s">
        <v>269</v>
      </c>
      <c r="AI6698" s="521" t="s">
        <v>270</v>
      </c>
      <c r="AJ6698" s="521" t="s">
        <v>271</v>
      </c>
      <c r="AK6698" s="521" t="s">
        <v>272</v>
      </c>
      <c r="AM6698" s="745" t="s">
        <v>281</v>
      </c>
      <c r="AN6698" s="746" t="s">
        <v>282</v>
      </c>
      <c r="AO6698" s="522" t="s">
        <v>278</v>
      </c>
      <c r="AR6698" s="51"/>
      <c r="AS6698" s="42" t="s">
        <v>139</v>
      </c>
    </row>
    <row r="6699" spans="1:45" s="520" customFormat="1" ht="12" customHeight="1">
      <c r="A6699" s="747">
        <v>58</v>
      </c>
      <c r="B6699" s="523" t="s">
        <v>329</v>
      </c>
      <c r="C6699" s="748"/>
      <c r="D6699" s="749" t="s">
        <v>2033</v>
      </c>
      <c r="E6699" s="1145">
        <f>IF(AND($A6699=0,$A$1="DIF"),0, ROUND(ROUND(($R6703*$S$3+($T6703*$T$3))/$A6699,2)*$C$3,2))</f>
        <v>15.75</v>
      </c>
      <c r="F6699" s="1146">
        <f>ROUND($A6699*$E6699,2)</f>
        <v>913.5</v>
      </c>
      <c r="G6699" s="752" t="s">
        <v>142</v>
      </c>
      <c r="H6699" s="753"/>
      <c r="I6699" s="754"/>
      <c r="J6699" s="753"/>
      <c r="K6699" s="753" t="s">
        <v>5</v>
      </c>
      <c r="L6699" s="755" t="s">
        <v>143</v>
      </c>
      <c r="M6699" s="755"/>
      <c r="N6699" s="755"/>
      <c r="O6699" s="755"/>
      <c r="P6699" s="755"/>
      <c r="Q6699" s="51"/>
      <c r="T6699" s="1150" t="str">
        <f>IF(AND($R6703=0,$T6703=0),"0.00","mu: "&amp; ROUND(F6699/$C$3/($R6703+$T6703*$D$9),2))</f>
        <v>mu: 1.13</v>
      </c>
      <c r="W6699" s="524"/>
      <c r="AG6699" s="1147">
        <f>IF($E6699=0,0,ROUND($R6703*$S$3*$C$3/$A6699,2))</f>
        <v>15.75</v>
      </c>
      <c r="AH6699" s="1147">
        <f>$AG6699*$A6699</f>
        <v>913.5</v>
      </c>
      <c r="AI6699" s="1148">
        <f>$E6699-$AG6699</f>
        <v>0</v>
      </c>
      <c r="AJ6699" s="1148">
        <f>$A6699*$AI6699</f>
        <v>0</v>
      </c>
      <c r="AK6699" s="1149">
        <f>ROUND(($AG6699+$AI6699)*$A6699,2)</f>
        <v>913.5</v>
      </c>
      <c r="AM6699" s="527">
        <f>ROUND(R6703,2)</f>
        <v>809.1</v>
      </c>
      <c r="AN6699" s="528">
        <f>ROUND(T6703,2)</f>
        <v>0</v>
      </c>
      <c r="AO6699" s="529">
        <f>ROUND(AM6699+AN6699,2)*A6699</f>
        <v>46927.8</v>
      </c>
      <c r="AR6699" s="747">
        <v>66</v>
      </c>
      <c r="AS6699" s="1146">
        <v>1096.92</v>
      </c>
    </row>
    <row r="6700" spans="1:45" s="520" customFormat="1" ht="13.2">
      <c r="A6700" s="748"/>
      <c r="B6700"/>
      <c r="C6700" s="748"/>
      <c r="D6700" s="749" t="s">
        <v>1924</v>
      </c>
      <c r="F6700" s="753"/>
      <c r="G6700" s="3"/>
      <c r="H6700" s="753"/>
      <c r="I6700" s="754"/>
      <c r="J6700" s="753"/>
      <c r="K6700" s="753" t="s">
        <v>144</v>
      </c>
      <c r="L6700" s="753"/>
      <c r="M6700" s="753"/>
      <c r="N6700" s="753"/>
      <c r="O6700" s="753"/>
      <c r="P6700" s="753"/>
      <c r="Q6700" s="51"/>
      <c r="R6700" s="530"/>
      <c r="S6700" s="757"/>
      <c r="T6700" s="753"/>
      <c r="AR6700" s="748"/>
      <c r="AS6700" s="753"/>
    </row>
    <row r="6701" spans="1:45" s="901" customFormat="1" ht="13.2">
      <c r="A6701" s="903">
        <v>58</v>
      </c>
      <c r="B6701" s="904" t="s">
        <v>863</v>
      </c>
      <c r="C6701" s="904"/>
      <c r="D6701" s="904" t="s">
        <v>2594</v>
      </c>
      <c r="E6701" s="904"/>
      <c r="F6701" s="904" t="s">
        <v>4139</v>
      </c>
      <c r="G6701" s="905" t="s">
        <v>2595</v>
      </c>
      <c r="H6701" s="902">
        <v>960</v>
      </c>
      <c r="I6701" s="904" t="s">
        <v>2596</v>
      </c>
      <c r="J6701" s="904"/>
      <c r="K6701" s="904"/>
      <c r="L6701" s="904"/>
      <c r="M6701" s="904"/>
      <c r="N6701" s="904"/>
      <c r="O6701" s="902">
        <v>4</v>
      </c>
      <c r="P6701" s="906">
        <v>38274</v>
      </c>
      <c r="Q6701" s="1415">
        <f>15.5*0.9</f>
        <v>13.950000000000001</v>
      </c>
      <c r="R6701" s="908">
        <f>$A6701*Q6701</f>
        <v>809.1</v>
      </c>
      <c r="S6701" s="907"/>
      <c r="T6701" s="909">
        <f>$A6701*S6701*$T$1</f>
        <v>0</v>
      </c>
      <c r="AR6701" s="903">
        <v>66</v>
      </c>
      <c r="AS6701" s="904" t="s">
        <v>3507</v>
      </c>
    </row>
    <row r="6702" spans="1:45" s="520" customFormat="1" ht="12">
      <c r="A6702" s="758"/>
      <c r="B6702" s="758"/>
      <c r="C6702" s="758"/>
      <c r="D6702" s="758"/>
      <c r="E6702" s="758"/>
      <c r="F6702" s="753"/>
      <c r="G6702" s="758"/>
      <c r="H6702" s="758"/>
      <c r="I6702" s="519"/>
      <c r="J6702" s="758"/>
      <c r="K6702" s="758"/>
      <c r="L6702" s="758"/>
      <c r="M6702" s="758"/>
      <c r="N6702" s="758"/>
      <c r="O6702" s="758"/>
      <c r="P6702" s="758"/>
      <c r="Q6702" s="519"/>
      <c r="R6702" s="759">
        <f t="shared" ref="R6702" si="498">$A6702*Q6702</f>
        <v>0</v>
      </c>
      <c r="S6702" s="519"/>
      <c r="T6702" s="760">
        <f t="shared" ref="T6702" si="499">$A6702*S6702*$T$1</f>
        <v>0</v>
      </c>
      <c r="AR6702" s="758"/>
      <c r="AS6702" s="753"/>
    </row>
    <row r="6703" spans="1:45" s="520" customFormat="1" ht="12.6" thickBot="1">
      <c r="A6703" s="761" t="s">
        <v>145</v>
      </c>
      <c r="B6703" s="762">
        <f>(R6702+T6702)</f>
        <v>0</v>
      </c>
      <c r="C6703" s="763"/>
      <c r="D6703" s="763"/>
      <c r="E6703" s="763"/>
      <c r="F6703" s="764"/>
      <c r="G6703" s="763" t="s">
        <v>146</v>
      </c>
      <c r="H6703" s="763"/>
      <c r="I6703" s="765"/>
      <c r="J6703" s="763"/>
      <c r="K6703" s="763" t="s">
        <v>5</v>
      </c>
      <c r="L6703" s="766" t="s">
        <v>143</v>
      </c>
      <c r="M6703" s="766"/>
      <c r="N6703" s="766"/>
      <c r="O6703" s="766"/>
      <c r="P6703" s="766"/>
      <c r="Q6703" s="767"/>
      <c r="R6703" s="768">
        <f>SUM(R6700:R6702)</f>
        <v>809.1</v>
      </c>
      <c r="S6703" s="763"/>
      <c r="T6703" s="768">
        <f>SUM(T6700:T6702)</f>
        <v>0</v>
      </c>
      <c r="U6703" s="531"/>
      <c r="V6703" s="531"/>
      <c r="W6703" s="531"/>
      <c r="X6703" s="531"/>
      <c r="Y6703" s="531"/>
      <c r="Z6703" s="531"/>
      <c r="AA6703" s="531"/>
      <c r="AB6703" s="531"/>
      <c r="AC6703" s="531"/>
      <c r="AD6703" s="531"/>
      <c r="AE6703" s="531"/>
      <c r="AF6703" s="531"/>
      <c r="AG6703" s="531"/>
      <c r="AH6703" s="531"/>
      <c r="AI6703" s="531"/>
      <c r="AJ6703" s="531"/>
      <c r="AK6703" s="531"/>
      <c r="AL6703" s="531"/>
      <c r="AM6703" s="531"/>
      <c r="AN6703" s="531"/>
      <c r="AO6703" s="531"/>
      <c r="AR6703" s="761" t="s">
        <v>145</v>
      </c>
      <c r="AS6703" s="764"/>
    </row>
    <row r="6704" spans="1:45" s="520" customFormat="1" ht="12" thickTop="1">
      <c r="A6704" s="51"/>
      <c r="B6704" s="41"/>
      <c r="C6704" s="51"/>
      <c r="E6704" s="42" t="s">
        <v>138</v>
      </c>
      <c r="F6704" s="42" t="s">
        <v>139</v>
      </c>
      <c r="G6704" s="51"/>
      <c r="H6704" s="51"/>
      <c r="I6704" s="51"/>
      <c r="J6704" s="51"/>
      <c r="K6704" s="51" t="s">
        <v>140</v>
      </c>
      <c r="L6704" s="51"/>
      <c r="M6704" s="51"/>
      <c r="N6704" s="51"/>
      <c r="O6704" s="52"/>
      <c r="P6704" s="51"/>
      <c r="Q6704" s="51"/>
      <c r="R6704" s="51"/>
      <c r="S6704" s="51"/>
      <c r="T6704" s="41"/>
      <c r="AG6704" s="521" t="s">
        <v>268</v>
      </c>
      <c r="AH6704" s="521" t="s">
        <v>269</v>
      </c>
      <c r="AI6704" s="521" t="s">
        <v>270</v>
      </c>
      <c r="AJ6704" s="521" t="s">
        <v>271</v>
      </c>
      <c r="AK6704" s="521" t="s">
        <v>272</v>
      </c>
      <c r="AM6704" s="745" t="s">
        <v>281</v>
      </c>
      <c r="AN6704" s="746" t="s">
        <v>282</v>
      </c>
      <c r="AO6704" s="522" t="s">
        <v>278</v>
      </c>
      <c r="AR6704" s="51"/>
      <c r="AS6704" s="42" t="s">
        <v>139</v>
      </c>
    </row>
    <row r="6705" spans="1:45" s="520" customFormat="1" ht="12" customHeight="1">
      <c r="A6705" s="747">
        <v>3</v>
      </c>
      <c r="B6705" s="523" t="s">
        <v>329</v>
      </c>
      <c r="C6705" s="748"/>
      <c r="D6705" s="749" t="s">
        <v>2034</v>
      </c>
      <c r="E6705" s="1145">
        <f>IF(AND($A6705=0,$A$1="DIF"),0, ROUND(ROUND(($R6709*$S$3+($T6709*$T$3))/$A6705,2)*$C$3,2))</f>
        <v>20.32</v>
      </c>
      <c r="F6705" s="1146">
        <f>ROUND($A6705*$E6705,2)</f>
        <v>60.96</v>
      </c>
      <c r="G6705" s="752" t="s">
        <v>142</v>
      </c>
      <c r="H6705" s="753"/>
      <c r="I6705" s="754"/>
      <c r="J6705" s="753"/>
      <c r="K6705" s="753" t="s">
        <v>5</v>
      </c>
      <c r="L6705" s="755" t="s">
        <v>143</v>
      </c>
      <c r="M6705" s="755"/>
      <c r="N6705" s="755"/>
      <c r="O6705" s="755"/>
      <c r="P6705" s="755"/>
      <c r="Q6705" s="51"/>
      <c r="T6705" s="1150" t="str">
        <f>IF(AND($R6709=0,$T6709=0),"0.00","mu: "&amp; ROUND(F6705/$C$3/($R6709+$T6709*$D$9),2))</f>
        <v>mu: 1.13</v>
      </c>
      <c r="W6705" s="524"/>
      <c r="AG6705" s="1147">
        <f>IF($E6705=0,0,ROUND($R6709*$S$3*$C$3/$A6705,2))</f>
        <v>20.32</v>
      </c>
      <c r="AH6705" s="1147">
        <f>$AG6705*$A6705</f>
        <v>60.96</v>
      </c>
      <c r="AI6705" s="1148">
        <f>$E6705-$AG6705</f>
        <v>0</v>
      </c>
      <c r="AJ6705" s="1148">
        <f>$A6705*$AI6705</f>
        <v>0</v>
      </c>
      <c r="AK6705" s="1149">
        <f>ROUND(($AG6705+$AI6705)*$A6705,2)</f>
        <v>60.96</v>
      </c>
      <c r="AM6705" s="527">
        <f>ROUND(R6709,2)</f>
        <v>54</v>
      </c>
      <c r="AN6705" s="528">
        <f>ROUND(T6709,2)</f>
        <v>0</v>
      </c>
      <c r="AO6705" s="529">
        <f>ROUND(AM6705+AN6705,2)*A6705</f>
        <v>162</v>
      </c>
      <c r="AR6705" s="747">
        <v>3</v>
      </c>
      <c r="AS6705" s="1146">
        <v>64.349999999999994</v>
      </c>
    </row>
    <row r="6706" spans="1:45" s="520" customFormat="1" ht="13.2">
      <c r="A6706" s="748"/>
      <c r="B6706"/>
      <c r="C6706" s="748"/>
      <c r="D6706" s="749" t="s">
        <v>1926</v>
      </c>
      <c r="F6706" s="753"/>
      <c r="G6706" s="3"/>
      <c r="H6706" s="753"/>
      <c r="I6706" s="754"/>
      <c r="J6706" s="753"/>
      <c r="K6706" s="753" t="s">
        <v>144</v>
      </c>
      <c r="L6706" s="753"/>
      <c r="M6706" s="753"/>
      <c r="N6706" s="753"/>
      <c r="O6706" s="753"/>
      <c r="P6706" s="753"/>
      <c r="Q6706" s="51"/>
      <c r="R6706" s="530"/>
      <c r="S6706" s="757"/>
      <c r="T6706" s="753"/>
      <c r="AR6706" s="748"/>
      <c r="AS6706" s="753"/>
    </row>
    <row r="6707" spans="1:45" s="901" customFormat="1" ht="13.2">
      <c r="A6707" s="903">
        <v>3</v>
      </c>
      <c r="B6707" s="904" t="s">
        <v>863</v>
      </c>
      <c r="C6707" s="904"/>
      <c r="D6707" s="904" t="s">
        <v>2594</v>
      </c>
      <c r="E6707" s="904"/>
      <c r="F6707" s="904" t="s">
        <v>4139</v>
      </c>
      <c r="G6707" s="905" t="s">
        <v>2595</v>
      </c>
      <c r="H6707" s="902">
        <v>960</v>
      </c>
      <c r="I6707" s="904" t="s">
        <v>2596</v>
      </c>
      <c r="J6707" s="904"/>
      <c r="K6707" s="904"/>
      <c r="L6707" s="904"/>
      <c r="M6707" s="904"/>
      <c r="N6707" s="904"/>
      <c r="O6707" s="902">
        <v>4</v>
      </c>
      <c r="P6707" s="906">
        <v>38274</v>
      </c>
      <c r="Q6707" s="1415">
        <f>20*0.9</f>
        <v>18</v>
      </c>
      <c r="R6707" s="908">
        <f>$A6707*Q6707</f>
        <v>54</v>
      </c>
      <c r="S6707" s="907"/>
      <c r="T6707" s="909">
        <f>$A6707*S6707*$T$1</f>
        <v>0</v>
      </c>
      <c r="AR6707" s="903">
        <v>3</v>
      </c>
      <c r="AS6707" s="904" t="s">
        <v>3507</v>
      </c>
    </row>
    <row r="6708" spans="1:45" s="520" customFormat="1" ht="12">
      <c r="A6708" s="758"/>
      <c r="B6708" s="758"/>
      <c r="C6708" s="758"/>
      <c r="D6708" s="758"/>
      <c r="E6708" s="758"/>
      <c r="F6708" s="753"/>
      <c r="G6708" s="758"/>
      <c r="H6708" s="758"/>
      <c r="I6708" s="519"/>
      <c r="J6708" s="758"/>
      <c r="K6708" s="758"/>
      <c r="L6708" s="758"/>
      <c r="M6708" s="758"/>
      <c r="N6708" s="758"/>
      <c r="O6708" s="758"/>
      <c r="P6708" s="758"/>
      <c r="Q6708" s="519"/>
      <c r="R6708" s="759">
        <f t="shared" ref="R6708" si="500">$A6708*Q6708</f>
        <v>0</v>
      </c>
      <c r="S6708" s="519"/>
      <c r="T6708" s="760">
        <f t="shared" ref="T6708" si="501">$A6708*S6708*$T$1</f>
        <v>0</v>
      </c>
      <c r="AR6708" s="758"/>
      <c r="AS6708" s="753"/>
    </row>
    <row r="6709" spans="1:45" s="520" customFormat="1" ht="12.6" thickBot="1">
      <c r="A6709" s="761" t="s">
        <v>145</v>
      </c>
      <c r="B6709" s="762">
        <f>(R6708+T6708)</f>
        <v>0</v>
      </c>
      <c r="C6709" s="763"/>
      <c r="D6709" s="763"/>
      <c r="E6709" s="763"/>
      <c r="F6709" s="764"/>
      <c r="G6709" s="763" t="s">
        <v>146</v>
      </c>
      <c r="H6709" s="763"/>
      <c r="I6709" s="765"/>
      <c r="J6709" s="763"/>
      <c r="K6709" s="763" t="s">
        <v>5</v>
      </c>
      <c r="L6709" s="766" t="s">
        <v>143</v>
      </c>
      <c r="M6709" s="766"/>
      <c r="N6709" s="766"/>
      <c r="O6709" s="766"/>
      <c r="P6709" s="766"/>
      <c r="Q6709" s="767"/>
      <c r="R6709" s="768">
        <f>SUM(R6706:R6708)</f>
        <v>54</v>
      </c>
      <c r="S6709" s="763"/>
      <c r="T6709" s="768">
        <f>SUM(T6706:T6708)</f>
        <v>0</v>
      </c>
      <c r="U6709" s="531"/>
      <c r="V6709" s="531"/>
      <c r="W6709" s="531"/>
      <c r="X6709" s="531"/>
      <c r="Y6709" s="531"/>
      <c r="Z6709" s="531"/>
      <c r="AA6709" s="531"/>
      <c r="AB6709" s="531"/>
      <c r="AC6709" s="531"/>
      <c r="AD6709" s="531"/>
      <c r="AE6709" s="531"/>
      <c r="AF6709" s="531"/>
      <c r="AG6709" s="531"/>
      <c r="AH6709" s="531"/>
      <c r="AI6709" s="531"/>
      <c r="AJ6709" s="531"/>
      <c r="AK6709" s="531"/>
      <c r="AL6709" s="531"/>
      <c r="AM6709" s="531"/>
      <c r="AN6709" s="531"/>
      <c r="AO6709" s="531"/>
      <c r="AR6709" s="761" t="s">
        <v>145</v>
      </c>
      <c r="AS6709" s="764"/>
    </row>
    <row r="6710" spans="1:45" s="520" customFormat="1" ht="12" thickTop="1">
      <c r="A6710" s="51"/>
      <c r="B6710" s="41"/>
      <c r="C6710" s="51"/>
      <c r="E6710" s="42" t="s">
        <v>138</v>
      </c>
      <c r="F6710" s="42" t="s">
        <v>139</v>
      </c>
      <c r="G6710" s="51"/>
      <c r="H6710" s="51"/>
      <c r="I6710" s="51"/>
      <c r="J6710" s="51"/>
      <c r="K6710" s="51" t="s">
        <v>140</v>
      </c>
      <c r="L6710" s="51"/>
      <c r="M6710" s="51"/>
      <c r="N6710" s="51"/>
      <c r="O6710" s="52"/>
      <c r="P6710" s="51"/>
      <c r="Q6710" s="51"/>
      <c r="R6710" s="51"/>
      <c r="S6710" s="51"/>
      <c r="T6710" s="41"/>
      <c r="AG6710" s="521" t="s">
        <v>268</v>
      </c>
      <c r="AH6710" s="521" t="s">
        <v>269</v>
      </c>
      <c r="AI6710" s="521" t="s">
        <v>270</v>
      </c>
      <c r="AJ6710" s="521" t="s">
        <v>271</v>
      </c>
      <c r="AK6710" s="521" t="s">
        <v>272</v>
      </c>
      <c r="AM6710" s="745" t="s">
        <v>281</v>
      </c>
      <c r="AN6710" s="746" t="s">
        <v>282</v>
      </c>
      <c r="AO6710" s="522" t="s">
        <v>278</v>
      </c>
      <c r="AR6710" s="51"/>
      <c r="AS6710" s="42" t="s">
        <v>139</v>
      </c>
    </row>
    <row r="6711" spans="1:45" s="520" customFormat="1" ht="12" customHeight="1">
      <c r="A6711" s="747">
        <v>64</v>
      </c>
      <c r="B6711" s="523" t="s">
        <v>957</v>
      </c>
      <c r="C6711" s="748"/>
      <c r="D6711" s="749" t="s">
        <v>2035</v>
      </c>
      <c r="E6711" s="1145">
        <f>IF(AND($A6711=0,$A$1="DIF"),0, ROUND(ROUND(($R6715*$S$3+($T6715*$T$3))/$A6711,2)*$C$3,2))</f>
        <v>9.14</v>
      </c>
      <c r="F6711" s="1146">
        <f>ROUND($A6711*$E6711,2)</f>
        <v>584.96</v>
      </c>
      <c r="G6711" s="752" t="s">
        <v>142</v>
      </c>
      <c r="H6711" s="753"/>
      <c r="I6711" s="754"/>
      <c r="J6711" s="753"/>
      <c r="K6711" s="753" t="s">
        <v>5</v>
      </c>
      <c r="L6711" s="755" t="s">
        <v>143</v>
      </c>
      <c r="M6711" s="755"/>
      <c r="N6711" s="755"/>
      <c r="O6711" s="755"/>
      <c r="P6711" s="755"/>
      <c r="Q6711" s="51"/>
      <c r="T6711" s="1150" t="str">
        <f>IF(AND($R6715=0,$T6715=0),"0.00","mu: "&amp; ROUND(F6711/$C$3/($R6715+$T6715*$D$9),2))</f>
        <v>mu: 1.13</v>
      </c>
      <c r="W6711" s="524"/>
      <c r="AG6711" s="1147">
        <f>IF($E6711=0,0,ROUND($R6715*$S$3*$C$3/$A6711,2))</f>
        <v>9.14</v>
      </c>
      <c r="AH6711" s="1147">
        <f>$AG6711*$A6711</f>
        <v>584.96</v>
      </c>
      <c r="AI6711" s="1148">
        <f>$E6711-$AG6711</f>
        <v>0</v>
      </c>
      <c r="AJ6711" s="1148">
        <f>$A6711*$AI6711</f>
        <v>0</v>
      </c>
      <c r="AK6711" s="1149">
        <f>ROUND(($AG6711+$AI6711)*$A6711,2)</f>
        <v>584.96</v>
      </c>
      <c r="AM6711" s="527">
        <f>ROUND(R6715,2)</f>
        <v>518.4</v>
      </c>
      <c r="AN6711" s="528">
        <f>ROUND(T6715,2)</f>
        <v>0</v>
      </c>
      <c r="AO6711" s="529">
        <f>ROUND(AM6711+AN6711,2)*A6711</f>
        <v>33177.599999999999</v>
      </c>
      <c r="AR6711" s="747">
        <v>72</v>
      </c>
      <c r="AS6711" s="1146">
        <v>694.8</v>
      </c>
    </row>
    <row r="6712" spans="1:45" s="520" customFormat="1" ht="13.2">
      <c r="A6712" s="748"/>
      <c r="B6712"/>
      <c r="C6712" s="748"/>
      <c r="D6712" s="749" t="s">
        <v>1928</v>
      </c>
      <c r="F6712" s="753"/>
      <c r="G6712" s="3"/>
      <c r="H6712" s="753"/>
      <c r="I6712" s="754"/>
      <c r="J6712" s="753"/>
      <c r="K6712" s="753" t="s">
        <v>144</v>
      </c>
      <c r="L6712" s="753"/>
      <c r="M6712" s="753"/>
      <c r="N6712" s="753"/>
      <c r="O6712" s="753"/>
      <c r="P6712" s="753"/>
      <c r="Q6712" s="51"/>
      <c r="R6712" s="530"/>
      <c r="S6712" s="757"/>
      <c r="T6712" s="753"/>
      <c r="AR6712" s="748"/>
      <c r="AS6712" s="753"/>
    </row>
    <row r="6713" spans="1:45" s="901" customFormat="1" ht="13.2">
      <c r="A6713" s="903">
        <v>64</v>
      </c>
      <c r="B6713" s="904" t="s">
        <v>863</v>
      </c>
      <c r="C6713" s="904"/>
      <c r="D6713" s="904" t="s">
        <v>2594</v>
      </c>
      <c r="E6713" s="904"/>
      <c r="F6713" s="904" t="s">
        <v>4139</v>
      </c>
      <c r="G6713" s="905" t="s">
        <v>2595</v>
      </c>
      <c r="H6713" s="902">
        <v>960</v>
      </c>
      <c r="I6713" s="904" t="s">
        <v>2596</v>
      </c>
      <c r="J6713" s="904"/>
      <c r="K6713" s="904"/>
      <c r="L6713" s="904"/>
      <c r="M6713" s="904"/>
      <c r="N6713" s="904"/>
      <c r="O6713" s="902">
        <v>4</v>
      </c>
      <c r="P6713" s="906">
        <v>38274</v>
      </c>
      <c r="Q6713" s="1415">
        <f>9*0.9</f>
        <v>8.1</v>
      </c>
      <c r="R6713" s="908">
        <f>$A6713*Q6713</f>
        <v>518.4</v>
      </c>
      <c r="S6713" s="907"/>
      <c r="T6713" s="909">
        <f>$A6713*S6713*$T$1</f>
        <v>0</v>
      </c>
      <c r="AR6713" s="903">
        <v>72</v>
      </c>
      <c r="AS6713" s="904" t="s">
        <v>3507</v>
      </c>
    </row>
    <row r="6714" spans="1:45" s="520" customFormat="1" ht="12">
      <c r="A6714" s="758"/>
      <c r="B6714" s="758"/>
      <c r="C6714" s="758"/>
      <c r="D6714" s="758"/>
      <c r="E6714" s="758"/>
      <c r="F6714" s="753"/>
      <c r="G6714" s="758"/>
      <c r="H6714" s="758"/>
      <c r="I6714" s="519"/>
      <c r="J6714" s="758"/>
      <c r="K6714" s="758"/>
      <c r="L6714" s="758"/>
      <c r="M6714" s="758"/>
      <c r="N6714" s="758"/>
      <c r="O6714" s="758"/>
      <c r="P6714" s="758"/>
      <c r="Q6714" s="519"/>
      <c r="R6714" s="759">
        <f t="shared" ref="R6714" si="502">$A6714*Q6714</f>
        <v>0</v>
      </c>
      <c r="S6714" s="519"/>
      <c r="T6714" s="760">
        <f t="shared" ref="T6714" si="503">$A6714*S6714*$T$1</f>
        <v>0</v>
      </c>
      <c r="AR6714" s="758"/>
      <c r="AS6714" s="753"/>
    </row>
    <row r="6715" spans="1:45" s="520" customFormat="1" ht="12.6" thickBot="1">
      <c r="A6715" s="761" t="s">
        <v>145</v>
      </c>
      <c r="B6715" s="762">
        <f>(R6714+T6714)</f>
        <v>0</v>
      </c>
      <c r="C6715" s="763"/>
      <c r="D6715" s="763"/>
      <c r="E6715" s="763"/>
      <c r="F6715" s="764"/>
      <c r="G6715" s="763" t="s">
        <v>146</v>
      </c>
      <c r="H6715" s="763"/>
      <c r="I6715" s="765"/>
      <c r="J6715" s="763"/>
      <c r="K6715" s="763" t="s">
        <v>5</v>
      </c>
      <c r="L6715" s="766" t="s">
        <v>143</v>
      </c>
      <c r="M6715" s="766"/>
      <c r="N6715" s="766"/>
      <c r="O6715" s="766"/>
      <c r="P6715" s="766"/>
      <c r="Q6715" s="767"/>
      <c r="R6715" s="768">
        <f>SUM(R6712:R6714)</f>
        <v>518.4</v>
      </c>
      <c r="S6715" s="763"/>
      <c r="T6715" s="768">
        <f>SUM(T6712:T6714)</f>
        <v>0</v>
      </c>
      <c r="U6715" s="531"/>
      <c r="V6715" s="531"/>
      <c r="W6715" s="531"/>
      <c r="X6715" s="531"/>
      <c r="Y6715" s="531"/>
      <c r="Z6715" s="531"/>
      <c r="AA6715" s="531"/>
      <c r="AB6715" s="531"/>
      <c r="AC6715" s="531"/>
      <c r="AD6715" s="531"/>
      <c r="AE6715" s="531"/>
      <c r="AF6715" s="531"/>
      <c r="AG6715" s="531"/>
      <c r="AH6715" s="531"/>
      <c r="AI6715" s="531"/>
      <c r="AJ6715" s="531"/>
      <c r="AK6715" s="531"/>
      <c r="AL6715" s="531"/>
      <c r="AM6715" s="531"/>
      <c r="AN6715" s="531"/>
      <c r="AO6715" s="531"/>
      <c r="AR6715" s="761" t="s">
        <v>145</v>
      </c>
      <c r="AS6715" s="764"/>
    </row>
    <row r="6716" spans="1:45" s="520" customFormat="1" ht="12" thickTop="1">
      <c r="A6716" s="51"/>
      <c r="B6716" s="41"/>
      <c r="C6716" s="51"/>
      <c r="E6716" s="42" t="s">
        <v>138</v>
      </c>
      <c r="F6716" s="42" t="s">
        <v>139</v>
      </c>
      <c r="G6716" s="51"/>
      <c r="H6716" s="51"/>
      <c r="I6716" s="51"/>
      <c r="J6716" s="51"/>
      <c r="K6716" s="51" t="s">
        <v>140</v>
      </c>
      <c r="L6716" s="51"/>
      <c r="M6716" s="51"/>
      <c r="N6716" s="51"/>
      <c r="O6716" s="52"/>
      <c r="P6716" s="51"/>
      <c r="Q6716" s="51"/>
      <c r="R6716" s="51"/>
      <c r="S6716" s="51"/>
      <c r="T6716" s="41"/>
      <c r="AG6716" s="521" t="s">
        <v>268</v>
      </c>
      <c r="AH6716" s="521" t="s">
        <v>269</v>
      </c>
      <c r="AI6716" s="521" t="s">
        <v>270</v>
      </c>
      <c r="AJ6716" s="521" t="s">
        <v>271</v>
      </c>
      <c r="AK6716" s="521" t="s">
        <v>272</v>
      </c>
      <c r="AM6716" s="745" t="s">
        <v>281</v>
      </c>
      <c r="AN6716" s="746" t="s">
        <v>282</v>
      </c>
      <c r="AO6716" s="522" t="s">
        <v>278</v>
      </c>
      <c r="AR6716" s="51"/>
      <c r="AS6716" s="42" t="s">
        <v>139</v>
      </c>
    </row>
    <row r="6717" spans="1:45" s="520" customFormat="1" ht="12" customHeight="1">
      <c r="A6717" s="747">
        <v>64</v>
      </c>
      <c r="B6717" s="523" t="s">
        <v>957</v>
      </c>
      <c r="C6717" s="748"/>
      <c r="D6717" s="749" t="s">
        <v>2036</v>
      </c>
      <c r="E6717" s="1145">
        <f>IF(AND($A6717=0,$A$1="DIF"),0, ROUND(ROUND(($R6721*$S$3+($T6721*$T$3))/$A6717,2)*$C$3,2))</f>
        <v>3.05</v>
      </c>
      <c r="F6717" s="1146">
        <f>ROUND($A6717*$E6717,2)</f>
        <v>195.2</v>
      </c>
      <c r="G6717" s="752" t="s">
        <v>142</v>
      </c>
      <c r="H6717" s="753"/>
      <c r="I6717" s="754"/>
      <c r="J6717" s="753"/>
      <c r="K6717" s="753" t="s">
        <v>5</v>
      </c>
      <c r="L6717" s="755" t="s">
        <v>143</v>
      </c>
      <c r="M6717" s="755"/>
      <c r="N6717" s="755"/>
      <c r="O6717" s="755"/>
      <c r="P6717" s="755"/>
      <c r="Q6717" s="51"/>
      <c r="T6717" s="1150" t="str">
        <f>IF(AND($R6721=0,$T6721=0),"0.00","mu: "&amp; ROUND(F6717/$C$3/($R6721+$T6721*$D$9),2))</f>
        <v>mu: 1.13</v>
      </c>
      <c r="W6717" s="524"/>
      <c r="AG6717" s="1147">
        <f>IF($E6717=0,0,ROUND($R6721*$S$3*$C$3/$A6717,2))</f>
        <v>3.05</v>
      </c>
      <c r="AH6717" s="1147">
        <f>$AG6717*$A6717</f>
        <v>195.2</v>
      </c>
      <c r="AI6717" s="1148">
        <f>$E6717-$AG6717</f>
        <v>0</v>
      </c>
      <c r="AJ6717" s="1148">
        <f>$A6717*$AI6717</f>
        <v>0</v>
      </c>
      <c r="AK6717" s="1149">
        <f>ROUND(($AG6717+$AI6717)*$A6717,2)</f>
        <v>195.2</v>
      </c>
      <c r="AM6717" s="527">
        <f>ROUND(R6721,2)</f>
        <v>172.8</v>
      </c>
      <c r="AN6717" s="528">
        <f>ROUND(T6721,2)</f>
        <v>0</v>
      </c>
      <c r="AO6717" s="529">
        <f>ROUND(AM6717+AN6717,2)*A6717</f>
        <v>11059.2</v>
      </c>
      <c r="AR6717" s="747">
        <v>72</v>
      </c>
      <c r="AS6717" s="1146">
        <v>231.84</v>
      </c>
    </row>
    <row r="6718" spans="1:45" s="520" customFormat="1" ht="13.2">
      <c r="A6718" s="748"/>
      <c r="B6718"/>
      <c r="C6718" s="748"/>
      <c r="D6718" s="749" t="s">
        <v>958</v>
      </c>
      <c r="F6718" s="753"/>
      <c r="G6718" s="3"/>
      <c r="H6718" s="753"/>
      <c r="I6718" s="754"/>
      <c r="J6718" s="753"/>
      <c r="K6718" s="753" t="s">
        <v>144</v>
      </c>
      <c r="L6718" s="753"/>
      <c r="M6718" s="753"/>
      <c r="N6718" s="753"/>
      <c r="O6718" s="753"/>
      <c r="P6718" s="753"/>
      <c r="Q6718" s="51"/>
      <c r="R6718" s="530"/>
      <c r="S6718" s="757"/>
      <c r="T6718" s="753"/>
      <c r="AR6718" s="748"/>
      <c r="AS6718" s="753"/>
    </row>
    <row r="6719" spans="1:45" s="901" customFormat="1" ht="13.2">
      <c r="A6719" s="903">
        <v>64</v>
      </c>
      <c r="B6719" s="904" t="s">
        <v>863</v>
      </c>
      <c r="C6719" s="904"/>
      <c r="D6719" s="904" t="s">
        <v>2594</v>
      </c>
      <c r="E6719" s="904"/>
      <c r="F6719" s="904" t="s">
        <v>4139</v>
      </c>
      <c r="G6719" s="905" t="s">
        <v>2595</v>
      </c>
      <c r="H6719" s="902">
        <v>960</v>
      </c>
      <c r="I6719" s="904" t="s">
        <v>2596</v>
      </c>
      <c r="J6719" s="904"/>
      <c r="K6719" s="904"/>
      <c r="L6719" s="904"/>
      <c r="M6719" s="904"/>
      <c r="N6719" s="904"/>
      <c r="O6719" s="902">
        <v>4</v>
      </c>
      <c r="P6719" s="906">
        <v>38274</v>
      </c>
      <c r="Q6719" s="1415">
        <f>3*0.9</f>
        <v>2.7</v>
      </c>
      <c r="R6719" s="908">
        <f>$A6719*Q6719</f>
        <v>172.8</v>
      </c>
      <c r="S6719" s="907"/>
      <c r="T6719" s="909">
        <f>$A6719*S6719*$T$1</f>
        <v>0</v>
      </c>
      <c r="AR6719" s="903">
        <v>72</v>
      </c>
      <c r="AS6719" s="904" t="s">
        <v>3507</v>
      </c>
    </row>
    <row r="6720" spans="1:45" s="520" customFormat="1" ht="12">
      <c r="A6720" s="758"/>
      <c r="B6720" s="758"/>
      <c r="C6720" s="758"/>
      <c r="D6720" s="758"/>
      <c r="E6720" s="758"/>
      <c r="F6720" s="753"/>
      <c r="G6720" s="758"/>
      <c r="H6720" s="758"/>
      <c r="I6720" s="519"/>
      <c r="J6720" s="758"/>
      <c r="K6720" s="758"/>
      <c r="L6720" s="758"/>
      <c r="M6720" s="758"/>
      <c r="N6720" s="758"/>
      <c r="O6720" s="758"/>
      <c r="P6720" s="758"/>
      <c r="Q6720" s="519"/>
      <c r="R6720" s="759">
        <f t="shared" ref="R6720" si="504">$A6720*Q6720</f>
        <v>0</v>
      </c>
      <c r="S6720" s="519"/>
      <c r="T6720" s="760">
        <f t="shared" ref="T6720" si="505">$A6720*S6720*$T$1</f>
        <v>0</v>
      </c>
      <c r="AR6720" s="758"/>
      <c r="AS6720" s="753"/>
    </row>
    <row r="6721" spans="1:45" s="520" customFormat="1" ht="12.6" thickBot="1">
      <c r="A6721" s="761" t="s">
        <v>145</v>
      </c>
      <c r="B6721" s="762">
        <f>(R6720+T6720)</f>
        <v>0</v>
      </c>
      <c r="C6721" s="763"/>
      <c r="D6721" s="763"/>
      <c r="E6721" s="763"/>
      <c r="F6721" s="764"/>
      <c r="G6721" s="763" t="s">
        <v>146</v>
      </c>
      <c r="H6721" s="763"/>
      <c r="I6721" s="765"/>
      <c r="J6721" s="763"/>
      <c r="K6721" s="763" t="s">
        <v>5</v>
      </c>
      <c r="L6721" s="766" t="s">
        <v>143</v>
      </c>
      <c r="M6721" s="766"/>
      <c r="N6721" s="766"/>
      <c r="O6721" s="766"/>
      <c r="P6721" s="766"/>
      <c r="Q6721" s="767"/>
      <c r="R6721" s="768">
        <f>SUM(R6718:R6720)</f>
        <v>172.8</v>
      </c>
      <c r="S6721" s="763"/>
      <c r="T6721" s="768">
        <f>SUM(T6718:T6720)</f>
        <v>0</v>
      </c>
      <c r="U6721" s="531"/>
      <c r="V6721" s="531"/>
      <c r="W6721" s="531"/>
      <c r="X6721" s="531"/>
      <c r="Y6721" s="531"/>
      <c r="Z6721" s="531"/>
      <c r="AA6721" s="531"/>
      <c r="AB6721" s="531"/>
      <c r="AC6721" s="531"/>
      <c r="AD6721" s="531"/>
      <c r="AE6721" s="531"/>
      <c r="AF6721" s="531"/>
      <c r="AG6721" s="531"/>
      <c r="AH6721" s="531"/>
      <c r="AI6721" s="531"/>
      <c r="AJ6721" s="531"/>
      <c r="AK6721" s="531"/>
      <c r="AL6721" s="531"/>
      <c r="AM6721" s="531"/>
      <c r="AN6721" s="531"/>
      <c r="AO6721" s="531"/>
      <c r="AR6721" s="761" t="s">
        <v>145</v>
      </c>
      <c r="AS6721" s="764"/>
    </row>
    <row r="6722" spans="1:45" s="520" customFormat="1" thickTop="1">
      <c r="A6722" s="51"/>
      <c r="B6722" s="51"/>
      <c r="C6722" s="3"/>
      <c r="D6722" s="3"/>
      <c r="E6722" s="51"/>
      <c r="F6722" s="51"/>
      <c r="G6722" s="51"/>
      <c r="H6722" s="51"/>
      <c r="I6722" s="51"/>
      <c r="J6722" s="51"/>
      <c r="K6722" s="51" t="s">
        <v>134</v>
      </c>
      <c r="L6722" s="51"/>
      <c r="M6722" s="51"/>
      <c r="N6722" s="51"/>
      <c r="O6722" s="52"/>
      <c r="P6722" s="51"/>
      <c r="Q6722" s="51"/>
      <c r="R6722" s="51"/>
      <c r="S6722" s="51"/>
      <c r="T6722" s="51"/>
      <c r="AR6722" s="51"/>
      <c r="AS6722" s="51"/>
    </row>
    <row r="6723" spans="1:45" s="520" customFormat="1" ht="12">
      <c r="A6723" s="51"/>
      <c r="B6723" s="51"/>
      <c r="C6723" s="51" t="s">
        <v>135</v>
      </c>
      <c r="D6723" s="37"/>
      <c r="E6723" s="51"/>
      <c r="F6723" s="51"/>
      <c r="G6723" s="51"/>
      <c r="H6723" s="51"/>
      <c r="I6723" s="51"/>
      <c r="J6723" s="51"/>
      <c r="K6723" s="51"/>
      <c r="L6723" s="51"/>
      <c r="M6723" s="51"/>
      <c r="N6723" s="51"/>
      <c r="O6723" s="52"/>
      <c r="P6723" s="51"/>
      <c r="Q6723" s="51"/>
      <c r="R6723" s="51"/>
      <c r="S6723" s="51"/>
      <c r="T6723" s="51"/>
      <c r="AR6723" s="51"/>
      <c r="AS6723" s="51"/>
    </row>
    <row r="6724" spans="1:45" s="520" customFormat="1" ht="12">
      <c r="A6724" s="51"/>
      <c r="B6724" s="51"/>
      <c r="C6724" s="51"/>
      <c r="D6724" s="37" t="s">
        <v>959</v>
      </c>
      <c r="E6724" s="51"/>
      <c r="F6724" s="51"/>
      <c r="G6724" s="51"/>
      <c r="H6724" s="51"/>
      <c r="I6724" s="51"/>
      <c r="J6724" s="51"/>
      <c r="K6724" s="51"/>
      <c r="L6724" s="51"/>
      <c r="M6724" s="51"/>
      <c r="N6724" s="51"/>
      <c r="O6724" s="52"/>
      <c r="P6724" s="51"/>
      <c r="Q6724" s="51"/>
      <c r="R6724" s="51"/>
      <c r="S6724" s="38"/>
      <c r="T6724" s="38"/>
      <c r="AR6724" s="51"/>
      <c r="AS6724" s="51"/>
    </row>
    <row r="6725" spans="1:45" s="3" customFormat="1" thickBot="1">
      <c r="A6725" s="531"/>
      <c r="O6725" s="107"/>
      <c r="AR6725" s="531"/>
    </row>
    <row r="6726" spans="1:45" s="520" customFormat="1" thickTop="1">
      <c r="A6726" s="51"/>
      <c r="B6726" s="51"/>
      <c r="C6726" s="3"/>
      <c r="D6726" s="3"/>
      <c r="E6726" s="51"/>
      <c r="F6726" s="51"/>
      <c r="G6726" s="51"/>
      <c r="H6726" s="51"/>
      <c r="I6726" s="51"/>
      <c r="J6726" s="51"/>
      <c r="K6726" s="51" t="s">
        <v>134</v>
      </c>
      <c r="L6726" s="51"/>
      <c r="M6726" s="51"/>
      <c r="N6726" s="51"/>
      <c r="O6726" s="52"/>
      <c r="P6726" s="51"/>
      <c r="Q6726" s="51"/>
      <c r="R6726" s="51"/>
      <c r="S6726" s="51"/>
      <c r="T6726" s="51"/>
      <c r="AR6726" s="51"/>
      <c r="AS6726" s="51"/>
    </row>
    <row r="6727" spans="1:45" s="520" customFormat="1" ht="12">
      <c r="A6727" s="51"/>
      <c r="B6727" s="51"/>
      <c r="C6727" s="51" t="s">
        <v>135</v>
      </c>
      <c r="D6727" s="37"/>
      <c r="E6727" s="51"/>
      <c r="F6727" s="51"/>
      <c r="G6727" s="51"/>
      <c r="H6727" s="51"/>
      <c r="I6727" s="51"/>
      <c r="J6727" s="51"/>
      <c r="K6727" s="51"/>
      <c r="L6727" s="51"/>
      <c r="M6727" s="51"/>
      <c r="N6727" s="51"/>
      <c r="O6727" s="52"/>
      <c r="P6727" s="51"/>
      <c r="Q6727" s="51"/>
      <c r="R6727" s="51"/>
      <c r="S6727" s="51"/>
      <c r="T6727" s="51"/>
      <c r="AR6727" s="51"/>
      <c r="AS6727" s="51"/>
    </row>
    <row r="6728" spans="1:45" s="520" customFormat="1" ht="39.9" customHeight="1">
      <c r="A6728" s="51"/>
      <c r="B6728" s="51"/>
      <c r="C6728" s="51"/>
      <c r="D6728" s="1453" t="s">
        <v>1916</v>
      </c>
      <c r="E6728" s="1452"/>
      <c r="F6728" s="1452"/>
      <c r="G6728" s="1452"/>
      <c r="H6728" s="1452"/>
      <c r="I6728" s="1452"/>
      <c r="J6728" s="1452"/>
      <c r="K6728" s="1452"/>
      <c r="L6728" s="1452"/>
      <c r="M6728" s="1452"/>
      <c r="N6728" s="1452"/>
      <c r="O6728" s="1452"/>
      <c r="P6728" s="1452"/>
      <c r="Q6728" s="1452"/>
      <c r="R6728" s="1452"/>
      <c r="S6728" s="1452"/>
      <c r="T6728" s="1452"/>
      <c r="AR6728" s="51"/>
    </row>
    <row r="6729" spans="1:45" s="3" customFormat="1" thickBot="1">
      <c r="A6729" s="531"/>
      <c r="O6729" s="107"/>
      <c r="AR6729" s="531"/>
    </row>
    <row r="6730" spans="1:45" s="520" customFormat="1" ht="12" thickTop="1">
      <c r="A6730" s="51"/>
      <c r="B6730" s="41"/>
      <c r="C6730" s="51"/>
      <c r="E6730" s="42" t="s">
        <v>138</v>
      </c>
      <c r="F6730" s="42" t="s">
        <v>139</v>
      </c>
      <c r="G6730" s="51"/>
      <c r="H6730" s="51"/>
      <c r="I6730" s="51"/>
      <c r="J6730" s="51"/>
      <c r="K6730" s="51" t="s">
        <v>140</v>
      </c>
      <c r="L6730" s="51"/>
      <c r="M6730" s="51"/>
      <c r="N6730" s="51"/>
      <c r="O6730" s="52"/>
      <c r="P6730" s="51"/>
      <c r="Q6730" s="51"/>
      <c r="R6730" s="51"/>
      <c r="S6730" s="51"/>
      <c r="T6730" s="41"/>
      <c r="AG6730" s="521" t="s">
        <v>268</v>
      </c>
      <c r="AH6730" s="521" t="s">
        <v>269</v>
      </c>
      <c r="AI6730" s="521" t="s">
        <v>270</v>
      </c>
      <c r="AJ6730" s="521" t="s">
        <v>271</v>
      </c>
      <c r="AK6730" s="521" t="s">
        <v>272</v>
      </c>
      <c r="AM6730" s="745" t="s">
        <v>281</v>
      </c>
      <c r="AN6730" s="746" t="s">
        <v>282</v>
      </c>
      <c r="AO6730" s="522" t="s">
        <v>278</v>
      </c>
      <c r="AR6730" s="51"/>
      <c r="AS6730" s="42" t="s">
        <v>139</v>
      </c>
    </row>
    <row r="6731" spans="1:45" s="520" customFormat="1" ht="12" customHeight="1">
      <c r="A6731" s="747">
        <v>2</v>
      </c>
      <c r="B6731" s="523" t="s">
        <v>329</v>
      </c>
      <c r="C6731" s="748"/>
      <c r="D6731" s="749" t="s">
        <v>3884</v>
      </c>
      <c r="E6731" s="750">
        <f ca="1">IF(AND($A6731=0,$A$1="DIF"),0, ROUND(ROUND(($R6736*$S$2+($T6736*$T$2))/A6731,2)*$C$2,2))</f>
        <v>122.87</v>
      </c>
      <c r="F6731" s="751">
        <f ca="1">ROUND($A6731*$E6731,2)</f>
        <v>245.74</v>
      </c>
      <c r="G6731" s="752" t="s">
        <v>142</v>
      </c>
      <c r="H6731" s="753"/>
      <c r="I6731" s="754"/>
      <c r="J6731" s="753"/>
      <c r="K6731" s="753" t="s">
        <v>3</v>
      </c>
      <c r="L6731" s="755" t="s">
        <v>143</v>
      </c>
      <c r="M6731" s="755"/>
      <c r="N6731" s="755"/>
      <c r="O6731" s="755"/>
      <c r="P6731" s="755"/>
      <c r="Q6731" s="51"/>
      <c r="T6731" s="756" t="str">
        <f ca="1">IF(AND($R6736=0,$T6736=0),"0.00","mu :" &amp; ROUND($F6731/$C$2/($R6736+$T6736*$D$9),2))</f>
        <v>mu :1.23</v>
      </c>
      <c r="W6731" s="524"/>
      <c r="AG6731" s="481">
        <f ca="1">IF($E6731=0,0,ROUND($R6736*$S$2*$C$2/$A6731,2))</f>
        <v>46.79</v>
      </c>
      <c r="AH6731" s="481">
        <f ca="1">$AG6731*$A6731</f>
        <v>93.58</v>
      </c>
      <c r="AI6731" s="525">
        <f ca="1">$E6731-$AG6731</f>
        <v>76.080000000000013</v>
      </c>
      <c r="AJ6731" s="525">
        <f ca="1">$A6731*$AI6731</f>
        <v>152.16000000000003</v>
      </c>
      <c r="AK6731" s="526">
        <f ca="1">ROUND(($AG6731+$AI6731)*$A6731,2)</f>
        <v>245.74</v>
      </c>
      <c r="AM6731" s="527">
        <f ca="1">ROUND(R6736,2)</f>
        <v>76</v>
      </c>
      <c r="AN6731" s="528">
        <f ca="1">ROUND(T6736,2)</f>
        <v>4.5</v>
      </c>
      <c r="AO6731" s="529">
        <f ca="1">ROUND(AM6731+AN6731,2)*A6731</f>
        <v>161</v>
      </c>
      <c r="AR6731" s="747">
        <v>2</v>
      </c>
      <c r="AS6731" s="751">
        <v>262.64</v>
      </c>
    </row>
    <row r="6732" spans="1:45" s="520" customFormat="1" ht="13.2">
      <c r="A6732" s="748"/>
      <c r="B6732"/>
      <c r="C6732" s="748"/>
      <c r="D6732" s="749" t="s">
        <v>947</v>
      </c>
      <c r="F6732" s="753"/>
      <c r="G6732" s="3"/>
      <c r="H6732" s="753"/>
      <c r="I6732" s="754"/>
      <c r="J6732" s="753"/>
      <c r="K6732" s="753" t="s">
        <v>144</v>
      </c>
      <c r="L6732" s="753"/>
      <c r="M6732" s="753"/>
      <c r="N6732" s="753"/>
      <c r="O6732" s="753"/>
      <c r="P6732" s="753"/>
      <c r="Q6732" s="51"/>
      <c r="R6732" s="530"/>
      <c r="S6732" s="757"/>
      <c r="T6732" s="753"/>
      <c r="AR6732" s="748"/>
      <c r="AS6732" s="753"/>
    </row>
    <row r="6733" spans="1:45" s="886" customFormat="1" ht="13.2">
      <c r="A6733"/>
      <c r="B6733" s="910"/>
      <c r="C6733" s="910" t="s">
        <v>2597</v>
      </c>
      <c r="D6733" s="910" t="str">
        <f ca="1">CELL("Address",Elec_Rates!D$1005)</f>
        <v>[E25_0062_Quintano_Foods_Elec_ELV_As_Awarded.xlsx]Elec_Rates!$D$1005</v>
      </c>
      <c r="E6733" s="911"/>
      <c r="F6733" s="911"/>
      <c r="G6733" s="912" t="s">
        <v>2598</v>
      </c>
      <c r="H6733" s="912"/>
      <c r="I6733" s="912"/>
      <c r="J6733" s="912"/>
      <c r="K6733" s="913"/>
      <c r="L6733" s="911"/>
      <c r="M6733" s="911"/>
      <c r="N6733" s="911"/>
      <c r="O6733" s="914"/>
      <c r="P6733" s="911"/>
      <c r="Q6733" s="915"/>
      <c r="R6733" s="916"/>
      <c r="S6733" s="915"/>
      <c r="T6733" s="917"/>
      <c r="U6733" s="918"/>
      <c r="AR6733"/>
      <c r="AS6733" s="911"/>
    </row>
    <row r="6734" spans="1:45" s="886" customFormat="1" ht="11.4">
      <c r="A6734" s="919">
        <v>2</v>
      </c>
      <c r="B6734" s="920">
        <v>1</v>
      </c>
      <c r="C6734" s="920">
        <f>$A6734*$B6734</f>
        <v>2</v>
      </c>
      <c r="D6734" s="921" t="str">
        <f>Elec_Rates!$D$1005</f>
        <v>089# Galvanised Conduit point for Data at level 0</v>
      </c>
      <c r="E6734" s="921"/>
      <c r="F6734" s="921" t="s">
        <v>2599</v>
      </c>
      <c r="G6734" s="922" t="s">
        <v>2600</v>
      </c>
      <c r="H6734" s="922"/>
      <c r="I6734" s="922"/>
      <c r="J6734" s="922"/>
      <c r="K6734" s="923"/>
      <c r="L6734" s="918"/>
      <c r="M6734" s="918"/>
      <c r="N6734" s="918"/>
      <c r="O6734" s="924"/>
      <c r="P6734" s="921"/>
      <c r="Q6734" s="925">
        <f ca="1">$B6734*Elec_Rates!$R$1005</f>
        <v>38</v>
      </c>
      <c r="R6734" s="916">
        <f ca="1">$A6734*Q6734</f>
        <v>76</v>
      </c>
      <c r="S6734" s="925">
        <f ca="1">$B6734*Elec_Rates!$T$1005</f>
        <v>2.25</v>
      </c>
      <c r="T6734" s="917">
        <f ca="1">$A6734*S6734</f>
        <v>4.5</v>
      </c>
      <c r="U6734" s="926"/>
      <c r="AR6734" s="919">
        <v>2</v>
      </c>
      <c r="AS6734" s="921" t="s">
        <v>2599</v>
      </c>
    </row>
    <row r="6735" spans="1:45" s="520" customFormat="1" ht="12">
      <c r="A6735" s="758"/>
      <c r="B6735" s="758"/>
      <c r="C6735" s="758"/>
      <c r="D6735" s="758"/>
      <c r="E6735" s="758"/>
      <c r="F6735" s="753"/>
      <c r="G6735" s="758"/>
      <c r="H6735" s="758"/>
      <c r="I6735" s="519"/>
      <c r="J6735" s="758"/>
      <c r="K6735" s="758"/>
      <c r="L6735" s="758"/>
      <c r="M6735" s="758"/>
      <c r="N6735" s="758"/>
      <c r="O6735" s="758"/>
      <c r="P6735" s="758"/>
      <c r="Q6735" s="519"/>
      <c r="R6735" s="759">
        <f t="shared" ref="R6735" si="506">$A6735*Q6735</f>
        <v>0</v>
      </c>
      <c r="S6735" s="519"/>
      <c r="T6735" s="760">
        <f t="shared" ref="T6735" si="507">$A6735*S6735*$T$1</f>
        <v>0</v>
      </c>
      <c r="AR6735" s="758"/>
      <c r="AS6735" s="753"/>
    </row>
    <row r="6736" spans="1:45" s="520" customFormat="1" ht="12.6" thickBot="1">
      <c r="A6736" s="761" t="s">
        <v>145</v>
      </c>
      <c r="B6736" s="762">
        <f>(R6735+T6735)</f>
        <v>0</v>
      </c>
      <c r="C6736" s="763"/>
      <c r="D6736" s="763"/>
      <c r="E6736" s="763"/>
      <c r="F6736" s="764"/>
      <c r="G6736" s="763" t="s">
        <v>146</v>
      </c>
      <c r="H6736" s="763"/>
      <c r="I6736" s="765"/>
      <c r="J6736" s="763"/>
      <c r="K6736" s="763" t="s">
        <v>3</v>
      </c>
      <c r="L6736" s="766" t="s">
        <v>143</v>
      </c>
      <c r="M6736" s="766"/>
      <c r="N6736" s="766"/>
      <c r="O6736" s="766"/>
      <c r="P6736" s="766"/>
      <c r="Q6736" s="767"/>
      <c r="R6736" s="768">
        <f ca="1">SUM(R6732:R6735)</f>
        <v>76</v>
      </c>
      <c r="S6736" s="763"/>
      <c r="T6736" s="768">
        <f ca="1">SUM(T6732:T6735)</f>
        <v>4.5</v>
      </c>
      <c r="U6736" s="531"/>
      <c r="V6736" s="531"/>
      <c r="W6736" s="531"/>
      <c r="X6736" s="531"/>
      <c r="Y6736" s="531"/>
      <c r="Z6736" s="531"/>
      <c r="AA6736" s="531"/>
      <c r="AB6736" s="531"/>
      <c r="AC6736" s="531"/>
      <c r="AD6736" s="531"/>
      <c r="AE6736" s="531"/>
      <c r="AF6736" s="531"/>
      <c r="AG6736" s="531"/>
      <c r="AH6736" s="531"/>
      <c r="AI6736" s="531"/>
      <c r="AJ6736" s="531"/>
      <c r="AK6736" s="531"/>
      <c r="AL6736" s="531"/>
      <c r="AM6736" s="531"/>
      <c r="AN6736" s="531"/>
      <c r="AO6736" s="531"/>
      <c r="AR6736" s="761" t="s">
        <v>145</v>
      </c>
      <c r="AS6736" s="764"/>
    </row>
    <row r="6737" spans="1:45" s="520" customFormat="1" thickTop="1">
      <c r="A6737" s="51"/>
      <c r="B6737" s="51"/>
      <c r="C6737" s="3"/>
      <c r="D6737" s="3"/>
      <c r="E6737" s="51"/>
      <c r="F6737" s="51"/>
      <c r="G6737" s="51"/>
      <c r="H6737" s="51"/>
      <c r="I6737" s="51"/>
      <c r="J6737" s="51"/>
      <c r="K6737" s="51" t="s">
        <v>134</v>
      </c>
      <c r="L6737" s="51"/>
      <c r="M6737" s="51"/>
      <c r="N6737" s="51"/>
      <c r="O6737" s="52"/>
      <c r="P6737" s="51"/>
      <c r="Q6737" s="51"/>
      <c r="R6737" s="51"/>
      <c r="S6737" s="51"/>
      <c r="T6737" s="51"/>
      <c r="AR6737" s="51"/>
      <c r="AS6737" s="51"/>
    </row>
    <row r="6738" spans="1:45" s="520" customFormat="1" ht="12">
      <c r="A6738" s="51"/>
      <c r="B6738" s="51"/>
      <c r="C6738" s="51" t="s">
        <v>135</v>
      </c>
      <c r="D6738" s="37"/>
      <c r="E6738" s="51"/>
      <c r="F6738" s="51"/>
      <c r="G6738" s="51"/>
      <c r="H6738" s="51"/>
      <c r="I6738" s="51"/>
      <c r="J6738" s="51"/>
      <c r="K6738" s="51"/>
      <c r="L6738" s="51"/>
      <c r="M6738" s="51"/>
      <c r="N6738" s="51"/>
      <c r="O6738" s="52"/>
      <c r="P6738" s="51"/>
      <c r="Q6738" s="51"/>
      <c r="R6738" s="51"/>
      <c r="S6738" s="51"/>
      <c r="T6738" s="51"/>
      <c r="AR6738" s="51"/>
      <c r="AS6738" s="51"/>
    </row>
    <row r="6739" spans="1:45" s="520" customFormat="1" ht="39.9" customHeight="1">
      <c r="A6739" s="51"/>
      <c r="B6739" s="51"/>
      <c r="C6739" s="51"/>
      <c r="D6739" s="1453" t="s">
        <v>948</v>
      </c>
      <c r="E6739" s="1452"/>
      <c r="F6739" s="1452"/>
      <c r="G6739" s="1452"/>
      <c r="H6739" s="1452"/>
      <c r="I6739" s="1452"/>
      <c r="J6739" s="1452"/>
      <c r="K6739" s="1452"/>
      <c r="L6739" s="1452"/>
      <c r="M6739" s="1452"/>
      <c r="N6739" s="1452"/>
      <c r="O6739" s="1452"/>
      <c r="P6739" s="1452"/>
      <c r="Q6739" s="1452"/>
      <c r="R6739" s="1452"/>
      <c r="S6739" s="1452"/>
      <c r="T6739" s="1452"/>
      <c r="AR6739" s="51"/>
    </row>
    <row r="6740" spans="1:45" s="3" customFormat="1" thickBot="1">
      <c r="A6740" s="531"/>
      <c r="O6740" s="107"/>
      <c r="AR6740" s="531"/>
    </row>
    <row r="6741" spans="1:45" s="520" customFormat="1" ht="12" thickTop="1">
      <c r="A6741" s="51"/>
      <c r="B6741" s="41"/>
      <c r="C6741" s="51"/>
      <c r="E6741" s="42" t="s">
        <v>138</v>
      </c>
      <c r="F6741" s="42" t="s">
        <v>139</v>
      </c>
      <c r="G6741" s="51"/>
      <c r="H6741" s="51"/>
      <c r="I6741" s="51"/>
      <c r="J6741" s="51"/>
      <c r="K6741" s="51" t="s">
        <v>140</v>
      </c>
      <c r="L6741" s="51"/>
      <c r="M6741" s="51"/>
      <c r="N6741" s="51"/>
      <c r="O6741" s="52"/>
      <c r="P6741" s="51"/>
      <c r="Q6741" s="51"/>
      <c r="R6741" s="51"/>
      <c r="S6741" s="51"/>
      <c r="T6741" s="41"/>
      <c r="AG6741" s="521" t="s">
        <v>268</v>
      </c>
      <c r="AH6741" s="521" t="s">
        <v>269</v>
      </c>
      <c r="AI6741" s="521" t="s">
        <v>270</v>
      </c>
      <c r="AJ6741" s="521" t="s">
        <v>271</v>
      </c>
      <c r="AK6741" s="521" t="s">
        <v>272</v>
      </c>
      <c r="AM6741" s="745" t="s">
        <v>281</v>
      </c>
      <c r="AN6741" s="746" t="s">
        <v>282</v>
      </c>
      <c r="AO6741" s="522" t="s">
        <v>278</v>
      </c>
      <c r="AR6741" s="51"/>
      <c r="AS6741" s="42" t="s">
        <v>139</v>
      </c>
    </row>
    <row r="6742" spans="1:45" s="520" customFormat="1" ht="12" customHeight="1">
      <c r="A6742" s="747">
        <v>2</v>
      </c>
      <c r="B6742" s="523" t="s">
        <v>329</v>
      </c>
      <c r="C6742" s="748"/>
      <c r="D6742" s="749" t="s">
        <v>3885</v>
      </c>
      <c r="E6742" s="1145">
        <f>IF(AND($A6742=0,$A$1="DIF"),0, ROUND(ROUND(($R6746*$S$3+($T6746*$T$3))/$A6742,2)*$C$3,2))</f>
        <v>64</v>
      </c>
      <c r="F6742" s="1146">
        <f>ROUND($A6742*$E6742,2)</f>
        <v>128</v>
      </c>
      <c r="G6742" s="752" t="s">
        <v>142</v>
      </c>
      <c r="H6742" s="753"/>
      <c r="I6742" s="754"/>
      <c r="J6742" s="753"/>
      <c r="K6742" s="753" t="s">
        <v>5</v>
      </c>
      <c r="L6742" s="755" t="s">
        <v>143</v>
      </c>
      <c r="M6742" s="755"/>
      <c r="N6742" s="755"/>
      <c r="O6742" s="755"/>
      <c r="P6742" s="755"/>
      <c r="Q6742" s="51"/>
      <c r="T6742" s="1150" t="str">
        <f>IF(AND($R6746=0,$T6746=0),"0.00","mu: "&amp; ROUND(F6742/$C$3/($R6746+$T6746*$D$9),2))</f>
        <v>mu: 1.13</v>
      </c>
      <c r="W6742" s="524"/>
      <c r="AG6742" s="1147">
        <f>IF($E6742=0,0,ROUND($R6746*$S$3*$C$3/$A6742,2))</f>
        <v>64</v>
      </c>
      <c r="AH6742" s="1147">
        <f>$AG6742*$A6742</f>
        <v>128</v>
      </c>
      <c r="AI6742" s="1148">
        <f>$E6742-$AG6742</f>
        <v>0</v>
      </c>
      <c r="AJ6742" s="1148">
        <f>$A6742*$AI6742</f>
        <v>0</v>
      </c>
      <c r="AK6742" s="1149">
        <f>ROUND(($AG6742+$AI6742)*$A6742,2)</f>
        <v>128</v>
      </c>
      <c r="AM6742" s="527">
        <f>ROUND(R6746,2)</f>
        <v>113.4</v>
      </c>
      <c r="AN6742" s="528">
        <f>ROUND(T6746,2)</f>
        <v>0</v>
      </c>
      <c r="AO6742" s="529">
        <f>ROUND(AM6742+AN6742,2)*A6742</f>
        <v>226.8</v>
      </c>
      <c r="AR6742" s="747">
        <v>2</v>
      </c>
      <c r="AS6742" s="1146">
        <v>203.74</v>
      </c>
    </row>
    <row r="6743" spans="1:45" s="520" customFormat="1" ht="13.2">
      <c r="A6743" s="748"/>
      <c r="B6743"/>
      <c r="C6743" s="748"/>
      <c r="D6743" s="749" t="s">
        <v>952</v>
      </c>
      <c r="F6743" s="753"/>
      <c r="G6743" s="3"/>
      <c r="H6743" s="753"/>
      <c r="I6743" s="754"/>
      <c r="J6743" s="753"/>
      <c r="K6743" s="753" t="s">
        <v>144</v>
      </c>
      <c r="L6743" s="753"/>
      <c r="M6743" s="753"/>
      <c r="N6743" s="753"/>
      <c r="O6743" s="753"/>
      <c r="P6743" s="753"/>
      <c r="Q6743" s="51"/>
      <c r="R6743" s="530"/>
      <c r="S6743" s="757"/>
      <c r="T6743" s="753"/>
      <c r="AR6743" s="748"/>
      <c r="AS6743" s="753"/>
    </row>
    <row r="6744" spans="1:45" s="901" customFormat="1" ht="13.2">
      <c r="A6744" s="903">
        <v>2</v>
      </c>
      <c r="B6744" s="904" t="s">
        <v>863</v>
      </c>
      <c r="C6744" s="904"/>
      <c r="D6744" s="904" t="s">
        <v>2594</v>
      </c>
      <c r="E6744" s="904"/>
      <c r="F6744" s="904" t="s">
        <v>4139</v>
      </c>
      <c r="G6744" s="905" t="s">
        <v>2595</v>
      </c>
      <c r="H6744" s="902">
        <v>960</v>
      </c>
      <c r="I6744" s="904" t="s">
        <v>2596</v>
      </c>
      <c r="J6744" s="904"/>
      <c r="K6744" s="904"/>
      <c r="L6744" s="904"/>
      <c r="M6744" s="904"/>
      <c r="N6744" s="904"/>
      <c r="O6744" s="902">
        <v>4</v>
      </c>
      <c r="P6744" s="906">
        <v>38274</v>
      </c>
      <c r="Q6744" s="1415">
        <f>1.05*60*0.9</f>
        <v>56.7</v>
      </c>
      <c r="R6744" s="908">
        <f>$A6744*Q6744</f>
        <v>113.4</v>
      </c>
      <c r="S6744" s="907"/>
      <c r="T6744" s="909">
        <f>$A6744*S6744*$T$1</f>
        <v>0</v>
      </c>
      <c r="AR6744" s="903">
        <v>2</v>
      </c>
      <c r="AS6744" s="904" t="s">
        <v>3507</v>
      </c>
    </row>
    <row r="6745" spans="1:45" s="520" customFormat="1" ht="12">
      <c r="A6745" s="758"/>
      <c r="B6745" s="758"/>
      <c r="C6745" s="758"/>
      <c r="D6745" s="758"/>
      <c r="E6745" s="758"/>
      <c r="F6745" s="753"/>
      <c r="G6745" s="758"/>
      <c r="H6745" s="758"/>
      <c r="I6745" s="519"/>
      <c r="J6745" s="758"/>
      <c r="K6745" s="758"/>
      <c r="L6745" s="758"/>
      <c r="M6745" s="758"/>
      <c r="N6745" s="758"/>
      <c r="O6745" s="758"/>
      <c r="P6745" s="758"/>
      <c r="Q6745" s="519"/>
      <c r="R6745" s="759">
        <f t="shared" ref="R6745" si="508">$A6745*Q6745</f>
        <v>0</v>
      </c>
      <c r="S6745" s="519"/>
      <c r="T6745" s="760">
        <f t="shared" ref="T6745" si="509">$A6745*S6745*$T$1</f>
        <v>0</v>
      </c>
      <c r="AR6745" s="758"/>
      <c r="AS6745" s="753"/>
    </row>
    <row r="6746" spans="1:45" s="520" customFormat="1" ht="12.6" thickBot="1">
      <c r="A6746" s="761" t="s">
        <v>145</v>
      </c>
      <c r="B6746" s="762">
        <f>(R6745+T6745)</f>
        <v>0</v>
      </c>
      <c r="C6746" s="763"/>
      <c r="D6746" s="763"/>
      <c r="E6746" s="763"/>
      <c r="F6746" s="764"/>
      <c r="G6746" s="763" t="s">
        <v>146</v>
      </c>
      <c r="H6746" s="763"/>
      <c r="I6746" s="765"/>
      <c r="J6746" s="763"/>
      <c r="K6746" s="763" t="s">
        <v>5</v>
      </c>
      <c r="L6746" s="766" t="s">
        <v>143</v>
      </c>
      <c r="M6746" s="766"/>
      <c r="N6746" s="766"/>
      <c r="O6746" s="766"/>
      <c r="P6746" s="766"/>
      <c r="Q6746" s="767"/>
      <c r="R6746" s="768">
        <f>SUM(R6743:R6745)</f>
        <v>113.4</v>
      </c>
      <c r="S6746" s="763"/>
      <c r="T6746" s="768">
        <f>SUM(T6743:T6745)</f>
        <v>0</v>
      </c>
      <c r="U6746" s="531"/>
      <c r="V6746" s="531"/>
      <c r="W6746" s="531"/>
      <c r="X6746" s="531"/>
      <c r="Y6746" s="531"/>
      <c r="Z6746" s="531"/>
      <c r="AA6746" s="531"/>
      <c r="AB6746" s="531"/>
      <c r="AC6746" s="531"/>
      <c r="AD6746" s="531"/>
      <c r="AE6746" s="531"/>
      <c r="AF6746" s="531"/>
      <c r="AG6746" s="531"/>
      <c r="AH6746" s="531"/>
      <c r="AI6746" s="531"/>
      <c r="AJ6746" s="531"/>
      <c r="AK6746" s="531"/>
      <c r="AL6746" s="531"/>
      <c r="AM6746" s="531"/>
      <c r="AN6746" s="531"/>
      <c r="AO6746" s="531"/>
      <c r="AR6746" s="761" t="s">
        <v>145</v>
      </c>
      <c r="AS6746" s="764"/>
    </row>
    <row r="6747" spans="1:45" s="520" customFormat="1" ht="12" thickTop="1">
      <c r="A6747" s="51"/>
      <c r="B6747" s="41"/>
      <c r="C6747" s="51"/>
      <c r="E6747" s="42" t="s">
        <v>138</v>
      </c>
      <c r="F6747" s="42" t="s">
        <v>139</v>
      </c>
      <c r="G6747" s="51"/>
      <c r="H6747" s="51"/>
      <c r="I6747" s="51"/>
      <c r="J6747" s="51"/>
      <c r="K6747" s="51" t="s">
        <v>140</v>
      </c>
      <c r="L6747" s="51"/>
      <c r="M6747" s="51"/>
      <c r="N6747" s="51"/>
      <c r="O6747" s="52"/>
      <c r="P6747" s="51"/>
      <c r="Q6747" s="51"/>
      <c r="R6747" s="51"/>
      <c r="S6747" s="51"/>
      <c r="T6747" s="41"/>
      <c r="AG6747" s="521" t="s">
        <v>268</v>
      </c>
      <c r="AH6747" s="521" t="s">
        <v>269</v>
      </c>
      <c r="AI6747" s="521" t="s">
        <v>270</v>
      </c>
      <c r="AJ6747" s="521" t="s">
        <v>271</v>
      </c>
      <c r="AK6747" s="521" t="s">
        <v>272</v>
      </c>
      <c r="AM6747" s="745" t="s">
        <v>281</v>
      </c>
      <c r="AN6747" s="746" t="s">
        <v>282</v>
      </c>
      <c r="AO6747" s="522" t="s">
        <v>278</v>
      </c>
      <c r="AR6747" s="51"/>
      <c r="AS6747" s="42" t="s">
        <v>139</v>
      </c>
    </row>
    <row r="6748" spans="1:45" s="520" customFormat="1" ht="12" customHeight="1">
      <c r="A6748" s="747">
        <v>4</v>
      </c>
      <c r="B6748" s="523" t="s">
        <v>957</v>
      </c>
      <c r="C6748" s="748"/>
      <c r="D6748" s="749" t="s">
        <v>3886</v>
      </c>
      <c r="E6748" s="1145">
        <f>IF(AND($A6748=0,$A$1="DIF"),0, ROUND(ROUND(($R6752*$S$3+($T6752*$T$3))/$A6748,2)*$C$3,2))</f>
        <v>9.14</v>
      </c>
      <c r="F6748" s="1146">
        <f>ROUND($A6748*$E6748,2)</f>
        <v>36.56</v>
      </c>
      <c r="G6748" s="752" t="s">
        <v>142</v>
      </c>
      <c r="H6748" s="753"/>
      <c r="I6748" s="754"/>
      <c r="J6748" s="753"/>
      <c r="K6748" s="753" t="s">
        <v>5</v>
      </c>
      <c r="L6748" s="755" t="s">
        <v>143</v>
      </c>
      <c r="M6748" s="755"/>
      <c r="N6748" s="755"/>
      <c r="O6748" s="755"/>
      <c r="P6748" s="755"/>
      <c r="Q6748" s="51"/>
      <c r="T6748" s="1150" t="str">
        <f>IF(AND($R6752=0,$T6752=0),"0.00","mu: "&amp; ROUND(F6748/$C$3/($R6752+$T6752*$D$9),2))</f>
        <v>mu: 1.13</v>
      </c>
      <c r="W6748" s="524"/>
      <c r="AG6748" s="1147">
        <f>IF($E6748=0,0,ROUND($R6752*$S$3*$C$3/$A6748,2))</f>
        <v>9.14</v>
      </c>
      <c r="AH6748" s="1147">
        <f>$AG6748*$A6748</f>
        <v>36.56</v>
      </c>
      <c r="AI6748" s="1148">
        <f>$E6748-$AG6748</f>
        <v>0</v>
      </c>
      <c r="AJ6748" s="1148">
        <f>$A6748*$AI6748</f>
        <v>0</v>
      </c>
      <c r="AK6748" s="1149">
        <f>ROUND(($AG6748+$AI6748)*$A6748,2)</f>
        <v>36.56</v>
      </c>
      <c r="AM6748" s="527">
        <f>ROUND(R6752,2)</f>
        <v>32.4</v>
      </c>
      <c r="AN6748" s="528">
        <f>ROUND(T6752,2)</f>
        <v>0</v>
      </c>
      <c r="AO6748" s="529">
        <f>ROUND(AM6748+AN6748,2)*A6748</f>
        <v>129.6</v>
      </c>
      <c r="AR6748" s="747">
        <v>4</v>
      </c>
      <c r="AS6748" s="1146">
        <v>38.6</v>
      </c>
    </row>
    <row r="6749" spans="1:45" s="520" customFormat="1" ht="13.2">
      <c r="A6749" s="748"/>
      <c r="B6749"/>
      <c r="C6749" s="748"/>
      <c r="D6749" s="749" t="s">
        <v>1928</v>
      </c>
      <c r="F6749" s="753"/>
      <c r="G6749" s="3"/>
      <c r="H6749" s="753"/>
      <c r="I6749" s="754"/>
      <c r="J6749" s="753"/>
      <c r="K6749" s="753" t="s">
        <v>144</v>
      </c>
      <c r="L6749" s="753"/>
      <c r="M6749" s="753"/>
      <c r="N6749" s="753"/>
      <c r="O6749" s="753"/>
      <c r="P6749" s="753"/>
      <c r="Q6749" s="51"/>
      <c r="R6749" s="530"/>
      <c r="S6749" s="757"/>
      <c r="T6749" s="753"/>
      <c r="AR6749" s="748"/>
      <c r="AS6749" s="753"/>
    </row>
    <row r="6750" spans="1:45" s="901" customFormat="1" ht="13.2">
      <c r="A6750" s="903">
        <v>4</v>
      </c>
      <c r="B6750" s="904" t="s">
        <v>863</v>
      </c>
      <c r="C6750" s="904"/>
      <c r="D6750" s="904" t="s">
        <v>2594</v>
      </c>
      <c r="E6750" s="904"/>
      <c r="F6750" s="904" t="s">
        <v>4139</v>
      </c>
      <c r="G6750" s="905" t="s">
        <v>2595</v>
      </c>
      <c r="H6750" s="902">
        <v>960</v>
      </c>
      <c r="I6750" s="904" t="s">
        <v>2596</v>
      </c>
      <c r="J6750" s="904"/>
      <c r="K6750" s="904"/>
      <c r="L6750" s="904"/>
      <c r="M6750" s="904"/>
      <c r="N6750" s="904"/>
      <c r="O6750" s="902">
        <v>4</v>
      </c>
      <c r="P6750" s="906">
        <v>38274</v>
      </c>
      <c r="Q6750" s="1415">
        <f>9*0.9</f>
        <v>8.1</v>
      </c>
      <c r="R6750" s="908">
        <f>$A6750*Q6750</f>
        <v>32.4</v>
      </c>
      <c r="S6750" s="907"/>
      <c r="T6750" s="909">
        <f>$A6750*S6750*$T$1</f>
        <v>0</v>
      </c>
      <c r="AR6750" s="903">
        <v>4</v>
      </c>
      <c r="AS6750" s="904" t="s">
        <v>3507</v>
      </c>
    </row>
    <row r="6751" spans="1:45" s="520" customFormat="1" ht="12">
      <c r="A6751" s="758"/>
      <c r="B6751" s="758"/>
      <c r="C6751" s="758"/>
      <c r="D6751" s="758"/>
      <c r="E6751" s="758"/>
      <c r="F6751" s="753"/>
      <c r="G6751" s="758"/>
      <c r="H6751" s="758"/>
      <c r="I6751" s="519"/>
      <c r="J6751" s="758"/>
      <c r="K6751" s="758"/>
      <c r="L6751" s="758"/>
      <c r="M6751" s="758"/>
      <c r="N6751" s="758"/>
      <c r="O6751" s="758"/>
      <c r="P6751" s="758"/>
      <c r="Q6751" s="519"/>
      <c r="R6751" s="759">
        <f t="shared" ref="R6751" si="510">$A6751*Q6751</f>
        <v>0</v>
      </c>
      <c r="S6751" s="519"/>
      <c r="T6751" s="760">
        <f t="shared" ref="T6751" si="511">$A6751*S6751*$T$1</f>
        <v>0</v>
      </c>
      <c r="AR6751" s="758"/>
      <c r="AS6751" s="753"/>
    </row>
    <row r="6752" spans="1:45" s="520" customFormat="1" ht="12.6" thickBot="1">
      <c r="A6752" s="761" t="s">
        <v>145</v>
      </c>
      <c r="B6752" s="762">
        <f>(R6751+T6751)</f>
        <v>0</v>
      </c>
      <c r="C6752" s="763"/>
      <c r="D6752" s="763"/>
      <c r="E6752" s="763"/>
      <c r="F6752" s="764"/>
      <c r="G6752" s="763" t="s">
        <v>146</v>
      </c>
      <c r="H6752" s="763"/>
      <c r="I6752" s="765"/>
      <c r="J6752" s="763"/>
      <c r="K6752" s="763" t="s">
        <v>5</v>
      </c>
      <c r="L6752" s="766" t="s">
        <v>143</v>
      </c>
      <c r="M6752" s="766"/>
      <c r="N6752" s="766"/>
      <c r="O6752" s="766"/>
      <c r="P6752" s="766"/>
      <c r="Q6752" s="767"/>
      <c r="R6752" s="768">
        <f>SUM(R6749:R6751)</f>
        <v>32.4</v>
      </c>
      <c r="S6752" s="763"/>
      <c r="T6752" s="768">
        <f>SUM(T6749:T6751)</f>
        <v>0</v>
      </c>
      <c r="U6752" s="531"/>
      <c r="V6752" s="531"/>
      <c r="W6752" s="531"/>
      <c r="X6752" s="531"/>
      <c r="Y6752" s="531"/>
      <c r="Z6752" s="531"/>
      <c r="AA6752" s="531"/>
      <c r="AB6752" s="531"/>
      <c r="AC6752" s="531"/>
      <c r="AD6752" s="531"/>
      <c r="AE6752" s="531"/>
      <c r="AF6752" s="531"/>
      <c r="AG6752" s="531"/>
      <c r="AH6752" s="531"/>
      <c r="AI6752" s="531"/>
      <c r="AJ6752" s="531"/>
      <c r="AK6752" s="531"/>
      <c r="AL6752" s="531"/>
      <c r="AM6752" s="531"/>
      <c r="AN6752" s="531"/>
      <c r="AO6752" s="531"/>
      <c r="AR6752" s="761" t="s">
        <v>145</v>
      </c>
      <c r="AS6752" s="764"/>
    </row>
    <row r="6753" spans="1:45" s="520" customFormat="1" ht="12" thickTop="1">
      <c r="A6753" s="51"/>
      <c r="B6753" s="41"/>
      <c r="C6753" s="51"/>
      <c r="E6753" s="42" t="s">
        <v>138</v>
      </c>
      <c r="F6753" s="42" t="s">
        <v>139</v>
      </c>
      <c r="G6753" s="51"/>
      <c r="H6753" s="51"/>
      <c r="I6753" s="51"/>
      <c r="J6753" s="51"/>
      <c r="K6753" s="51" t="s">
        <v>140</v>
      </c>
      <c r="L6753" s="51"/>
      <c r="M6753" s="51"/>
      <c r="N6753" s="51"/>
      <c r="O6753" s="52"/>
      <c r="P6753" s="51"/>
      <c r="Q6753" s="51"/>
      <c r="R6753" s="51"/>
      <c r="S6753" s="51"/>
      <c r="T6753" s="41"/>
      <c r="AG6753" s="521" t="s">
        <v>268</v>
      </c>
      <c r="AH6753" s="521" t="s">
        <v>269</v>
      </c>
      <c r="AI6753" s="521" t="s">
        <v>270</v>
      </c>
      <c r="AJ6753" s="521" t="s">
        <v>271</v>
      </c>
      <c r="AK6753" s="521" t="s">
        <v>272</v>
      </c>
      <c r="AM6753" s="745" t="s">
        <v>281</v>
      </c>
      <c r="AN6753" s="746" t="s">
        <v>282</v>
      </c>
      <c r="AO6753" s="522" t="s">
        <v>278</v>
      </c>
      <c r="AR6753" s="51"/>
      <c r="AS6753" s="42" t="s">
        <v>139</v>
      </c>
    </row>
    <row r="6754" spans="1:45" s="520" customFormat="1" ht="12" customHeight="1">
      <c r="A6754" s="747">
        <v>4</v>
      </c>
      <c r="B6754" s="523" t="s">
        <v>957</v>
      </c>
      <c r="C6754" s="748"/>
      <c r="D6754" s="749" t="s">
        <v>3887</v>
      </c>
      <c r="E6754" s="1145">
        <f>IF(AND($A6754=0,$A$1="DIF"),0, ROUND(ROUND(($R6758*$S$3+($T6758*$T$3))/$A6754,2)*$C$3,2))</f>
        <v>3.05</v>
      </c>
      <c r="F6754" s="1146">
        <f>ROUND($A6754*$E6754,2)</f>
        <v>12.2</v>
      </c>
      <c r="G6754" s="752" t="s">
        <v>142</v>
      </c>
      <c r="H6754" s="753"/>
      <c r="I6754" s="754"/>
      <c r="J6754" s="753"/>
      <c r="K6754" s="753" t="s">
        <v>5</v>
      </c>
      <c r="L6754" s="755" t="s">
        <v>143</v>
      </c>
      <c r="M6754" s="755"/>
      <c r="N6754" s="755"/>
      <c r="O6754" s="755"/>
      <c r="P6754" s="755"/>
      <c r="Q6754" s="51"/>
      <c r="T6754" s="1150" t="str">
        <f>IF(AND($R6758=0,$T6758=0),"0.00","mu: "&amp; ROUND(F6754/$C$3/($R6758+$T6758*$D$9),2))</f>
        <v>mu: 1.13</v>
      </c>
      <c r="W6754" s="524"/>
      <c r="AG6754" s="1147">
        <f>IF($E6754=0,0,ROUND($R6758*$S$3*$C$3/$A6754,2))</f>
        <v>3.05</v>
      </c>
      <c r="AH6754" s="1147">
        <f>$AG6754*$A6754</f>
        <v>12.2</v>
      </c>
      <c r="AI6754" s="1148">
        <f>$E6754-$AG6754</f>
        <v>0</v>
      </c>
      <c r="AJ6754" s="1148">
        <f>$A6754*$AI6754</f>
        <v>0</v>
      </c>
      <c r="AK6754" s="1149">
        <f>ROUND(($AG6754+$AI6754)*$A6754,2)</f>
        <v>12.2</v>
      </c>
      <c r="AM6754" s="527">
        <f>ROUND(R6758,2)</f>
        <v>10.8</v>
      </c>
      <c r="AN6754" s="528">
        <f>ROUND(T6758,2)</f>
        <v>0</v>
      </c>
      <c r="AO6754" s="529">
        <f>ROUND(AM6754+AN6754,2)*A6754</f>
        <v>43.2</v>
      </c>
      <c r="AR6754" s="747">
        <v>4</v>
      </c>
      <c r="AS6754" s="1146">
        <v>12.88</v>
      </c>
    </row>
    <row r="6755" spans="1:45" s="520" customFormat="1" ht="13.2">
      <c r="A6755" s="748"/>
      <c r="B6755"/>
      <c r="C6755" s="748"/>
      <c r="D6755" s="749" t="s">
        <v>958</v>
      </c>
      <c r="F6755" s="753"/>
      <c r="G6755" s="3"/>
      <c r="H6755" s="753"/>
      <c r="I6755" s="754"/>
      <c r="J6755" s="753"/>
      <c r="K6755" s="753" t="s">
        <v>144</v>
      </c>
      <c r="L6755" s="753"/>
      <c r="M6755" s="753"/>
      <c r="N6755" s="753"/>
      <c r="O6755" s="753"/>
      <c r="P6755" s="753"/>
      <c r="Q6755" s="51"/>
      <c r="R6755" s="530"/>
      <c r="S6755" s="757"/>
      <c r="T6755" s="753"/>
      <c r="AR6755" s="748"/>
      <c r="AS6755" s="753"/>
    </row>
    <row r="6756" spans="1:45" s="901" customFormat="1" ht="13.2">
      <c r="A6756" s="903">
        <v>4</v>
      </c>
      <c r="B6756" s="904" t="s">
        <v>863</v>
      </c>
      <c r="C6756" s="904"/>
      <c r="D6756" s="904" t="s">
        <v>2594</v>
      </c>
      <c r="E6756" s="904"/>
      <c r="F6756" s="904" t="s">
        <v>4139</v>
      </c>
      <c r="G6756" s="905" t="s">
        <v>2595</v>
      </c>
      <c r="H6756" s="902">
        <v>960</v>
      </c>
      <c r="I6756" s="904" t="s">
        <v>2596</v>
      </c>
      <c r="J6756" s="904"/>
      <c r="K6756" s="904"/>
      <c r="L6756" s="904"/>
      <c r="M6756" s="904"/>
      <c r="N6756" s="904"/>
      <c r="O6756" s="902">
        <v>4</v>
      </c>
      <c r="P6756" s="906">
        <v>38274</v>
      </c>
      <c r="Q6756" s="1415">
        <f>3*0.9</f>
        <v>2.7</v>
      </c>
      <c r="R6756" s="908">
        <f>$A6756*Q6756</f>
        <v>10.8</v>
      </c>
      <c r="S6756" s="907"/>
      <c r="T6756" s="909">
        <f>$A6756*S6756*$T$1</f>
        <v>0</v>
      </c>
      <c r="AR6756" s="903">
        <v>4</v>
      </c>
      <c r="AS6756" s="904" t="s">
        <v>3507</v>
      </c>
    </row>
    <row r="6757" spans="1:45" s="520" customFormat="1" ht="12">
      <c r="A6757" s="758"/>
      <c r="B6757" s="758"/>
      <c r="C6757" s="758"/>
      <c r="D6757" s="758"/>
      <c r="E6757" s="758"/>
      <c r="F6757" s="753"/>
      <c r="G6757" s="758"/>
      <c r="H6757" s="758"/>
      <c r="I6757" s="519"/>
      <c r="J6757" s="758"/>
      <c r="K6757" s="758"/>
      <c r="L6757" s="758"/>
      <c r="M6757" s="758"/>
      <c r="N6757" s="758"/>
      <c r="O6757" s="758"/>
      <c r="P6757" s="758"/>
      <c r="Q6757" s="519"/>
      <c r="R6757" s="759">
        <f t="shared" ref="R6757" si="512">$A6757*Q6757</f>
        <v>0</v>
      </c>
      <c r="S6757" s="519"/>
      <c r="T6757" s="760">
        <f t="shared" ref="T6757" si="513">$A6757*S6757*$T$1</f>
        <v>0</v>
      </c>
      <c r="AR6757" s="758"/>
      <c r="AS6757" s="753"/>
    </row>
    <row r="6758" spans="1:45" s="520" customFormat="1" ht="12.6" thickBot="1">
      <c r="A6758" s="761" t="s">
        <v>145</v>
      </c>
      <c r="B6758" s="762">
        <f>(R6757+T6757)</f>
        <v>0</v>
      </c>
      <c r="C6758" s="763"/>
      <c r="D6758" s="763"/>
      <c r="E6758" s="763"/>
      <c r="F6758" s="764"/>
      <c r="G6758" s="763" t="s">
        <v>146</v>
      </c>
      <c r="H6758" s="763"/>
      <c r="I6758" s="765"/>
      <c r="J6758" s="763"/>
      <c r="K6758" s="763" t="s">
        <v>5</v>
      </c>
      <c r="L6758" s="766" t="s">
        <v>143</v>
      </c>
      <c r="M6758" s="766"/>
      <c r="N6758" s="766"/>
      <c r="O6758" s="766"/>
      <c r="P6758" s="766"/>
      <c r="Q6758" s="767"/>
      <c r="R6758" s="768">
        <f>SUM(R6755:R6757)</f>
        <v>10.8</v>
      </c>
      <c r="S6758" s="763"/>
      <c r="T6758" s="768">
        <f>SUM(T6755:T6757)</f>
        <v>0</v>
      </c>
      <c r="U6758" s="531"/>
      <c r="V6758" s="531"/>
      <c r="W6758" s="531"/>
      <c r="X6758" s="531"/>
      <c r="Y6758" s="531"/>
      <c r="Z6758" s="531"/>
      <c r="AA6758" s="531"/>
      <c r="AB6758" s="531"/>
      <c r="AC6758" s="531"/>
      <c r="AD6758" s="531"/>
      <c r="AE6758" s="531"/>
      <c r="AF6758" s="531"/>
      <c r="AG6758" s="531"/>
      <c r="AH6758" s="531"/>
      <c r="AI6758" s="531"/>
      <c r="AJ6758" s="531"/>
      <c r="AK6758" s="531"/>
      <c r="AL6758" s="531"/>
      <c r="AM6758" s="531"/>
      <c r="AN6758" s="531"/>
      <c r="AO6758" s="531"/>
      <c r="AR6758" s="761" t="s">
        <v>145</v>
      </c>
      <c r="AS6758" s="764"/>
    </row>
    <row r="6759" spans="1:45" s="520" customFormat="1" thickTop="1">
      <c r="A6759" s="51"/>
      <c r="B6759" s="51"/>
      <c r="C6759" s="3"/>
      <c r="D6759" s="3"/>
      <c r="E6759" s="51"/>
      <c r="F6759" s="51"/>
      <c r="G6759" s="51"/>
      <c r="H6759" s="51"/>
      <c r="I6759" s="51"/>
      <c r="J6759" s="51"/>
      <c r="K6759" s="51" t="s">
        <v>134</v>
      </c>
      <c r="L6759" s="51"/>
      <c r="M6759" s="51"/>
      <c r="N6759" s="51"/>
      <c r="O6759" s="52"/>
      <c r="P6759" s="51"/>
      <c r="Q6759" s="51"/>
      <c r="R6759" s="51"/>
      <c r="S6759" s="51"/>
      <c r="T6759" s="51"/>
      <c r="AR6759" s="51"/>
      <c r="AS6759" s="51"/>
    </row>
    <row r="6760" spans="1:45" s="520" customFormat="1" ht="12">
      <c r="A6760" s="51"/>
      <c r="B6760" s="51"/>
      <c r="C6760" s="51" t="s">
        <v>135</v>
      </c>
      <c r="D6760" s="37"/>
      <c r="E6760" s="51"/>
      <c r="F6760" s="51"/>
      <c r="G6760" s="51"/>
      <c r="H6760" s="51"/>
      <c r="I6760" s="51"/>
      <c r="J6760" s="51"/>
      <c r="K6760" s="51"/>
      <c r="L6760" s="51"/>
      <c r="M6760" s="51"/>
      <c r="N6760" s="51"/>
      <c r="O6760" s="52"/>
      <c r="P6760" s="51"/>
      <c r="Q6760" s="51"/>
      <c r="R6760" s="51"/>
      <c r="S6760" s="51"/>
      <c r="T6760" s="51"/>
      <c r="AR6760" s="51"/>
      <c r="AS6760" s="51"/>
    </row>
    <row r="6761" spans="1:45" s="520" customFormat="1" ht="12">
      <c r="A6761" s="51"/>
      <c r="B6761" s="51"/>
      <c r="C6761" s="51"/>
      <c r="D6761" s="37" t="s">
        <v>1922</v>
      </c>
      <c r="E6761" s="51"/>
      <c r="F6761" s="51"/>
      <c r="G6761" s="51"/>
      <c r="H6761" s="51"/>
      <c r="I6761" s="51"/>
      <c r="J6761" s="51"/>
      <c r="K6761" s="51"/>
      <c r="L6761" s="51"/>
      <c r="M6761" s="51"/>
      <c r="N6761" s="51"/>
      <c r="O6761" s="52"/>
      <c r="P6761" s="51"/>
      <c r="Q6761" s="51"/>
      <c r="R6761" s="51"/>
      <c r="S6761" s="38"/>
      <c r="T6761" s="38"/>
      <c r="AR6761" s="51"/>
      <c r="AS6761" s="51"/>
    </row>
    <row r="6762" spans="1:45" s="3" customFormat="1" thickBot="1">
      <c r="A6762" s="531"/>
      <c r="O6762" s="107"/>
      <c r="AR6762" s="531"/>
    </row>
    <row r="6763" spans="1:45" s="520" customFormat="1" ht="12" thickTop="1">
      <c r="A6763" s="51"/>
      <c r="B6763" s="41"/>
      <c r="C6763" s="51"/>
      <c r="E6763" s="42" t="s">
        <v>138</v>
      </c>
      <c r="F6763" s="42" t="s">
        <v>139</v>
      </c>
      <c r="G6763" s="51"/>
      <c r="H6763" s="51"/>
      <c r="I6763" s="51"/>
      <c r="J6763" s="51"/>
      <c r="K6763" s="51" t="s">
        <v>140</v>
      </c>
      <c r="L6763" s="51"/>
      <c r="M6763" s="51"/>
      <c r="N6763" s="51"/>
      <c r="O6763" s="52"/>
      <c r="P6763" s="51"/>
      <c r="Q6763" s="51"/>
      <c r="R6763" s="51"/>
      <c r="S6763" s="51"/>
      <c r="T6763" s="41"/>
      <c r="AG6763" s="521" t="s">
        <v>268</v>
      </c>
      <c r="AH6763" s="521" t="s">
        <v>269</v>
      </c>
      <c r="AI6763" s="521" t="s">
        <v>270</v>
      </c>
      <c r="AJ6763" s="521" t="s">
        <v>271</v>
      </c>
      <c r="AK6763" s="521" t="s">
        <v>272</v>
      </c>
      <c r="AM6763" s="745" t="s">
        <v>281</v>
      </c>
      <c r="AN6763" s="746" t="s">
        <v>282</v>
      </c>
      <c r="AO6763" s="522" t="s">
        <v>278</v>
      </c>
      <c r="AR6763" s="51"/>
      <c r="AS6763" s="42" t="s">
        <v>139</v>
      </c>
    </row>
    <row r="6764" spans="1:45" s="520" customFormat="1" ht="12" customHeight="1">
      <c r="A6764" s="747">
        <v>2</v>
      </c>
      <c r="B6764" s="523" t="s">
        <v>329</v>
      </c>
      <c r="C6764" s="748"/>
      <c r="D6764" s="749" t="s">
        <v>3888</v>
      </c>
      <c r="E6764" s="1145">
        <f>IF(AND($A6764=0,$A$1="DIF"),0, ROUND(ROUND(($R6768*$S$3+($T6768*$T$3))/$A6764,2)*$C$3,2))</f>
        <v>20.32</v>
      </c>
      <c r="F6764" s="1146">
        <f>ROUND($A6764*$E6764,2)</f>
        <v>40.64</v>
      </c>
      <c r="G6764" s="752" t="s">
        <v>142</v>
      </c>
      <c r="H6764" s="753"/>
      <c r="I6764" s="754"/>
      <c r="J6764" s="753"/>
      <c r="K6764" s="753" t="s">
        <v>5</v>
      </c>
      <c r="L6764" s="755" t="s">
        <v>143</v>
      </c>
      <c r="M6764" s="755"/>
      <c r="N6764" s="755"/>
      <c r="O6764" s="755"/>
      <c r="P6764" s="755"/>
      <c r="Q6764" s="51"/>
      <c r="T6764" s="1150" t="str">
        <f>IF(AND($R6768=0,$T6768=0),"0.00","mu: "&amp; ROUND(F6764/$C$3/($R6768+$T6768*$D$9),2))</f>
        <v>mu: 1.13</v>
      </c>
      <c r="W6764" s="524"/>
      <c r="AG6764" s="1147">
        <f>IF($E6764=0,0,ROUND($R6768*$S$3*$C$3/$A6764,2))</f>
        <v>20.32</v>
      </c>
      <c r="AH6764" s="1147">
        <f>$AG6764*$A6764</f>
        <v>40.64</v>
      </c>
      <c r="AI6764" s="1148">
        <f>$E6764-$AG6764</f>
        <v>0</v>
      </c>
      <c r="AJ6764" s="1148">
        <f>$A6764*$AI6764</f>
        <v>0</v>
      </c>
      <c r="AK6764" s="1149">
        <f>ROUND(($AG6764+$AI6764)*$A6764,2)</f>
        <v>40.64</v>
      </c>
      <c r="AM6764" s="527">
        <f>ROUND(R6768,2)</f>
        <v>36</v>
      </c>
      <c r="AN6764" s="528">
        <f>ROUND(T6768,2)</f>
        <v>0</v>
      </c>
      <c r="AO6764" s="529">
        <f>ROUND(AM6764+AN6764,2)*A6764</f>
        <v>72</v>
      </c>
      <c r="AR6764" s="747">
        <v>2</v>
      </c>
      <c r="AS6764" s="1146">
        <v>42.9</v>
      </c>
    </row>
    <row r="6765" spans="1:45" s="520" customFormat="1" ht="13.2">
      <c r="A6765" s="748"/>
      <c r="B6765"/>
      <c r="C6765" s="748"/>
      <c r="D6765" s="749" t="s">
        <v>1926</v>
      </c>
      <c r="F6765" s="753"/>
      <c r="G6765" s="3"/>
      <c r="H6765" s="753"/>
      <c r="I6765" s="754"/>
      <c r="J6765" s="753"/>
      <c r="K6765" s="753" t="s">
        <v>144</v>
      </c>
      <c r="L6765" s="753"/>
      <c r="M6765" s="753"/>
      <c r="N6765" s="753"/>
      <c r="O6765" s="753"/>
      <c r="P6765" s="753"/>
      <c r="Q6765" s="51"/>
      <c r="R6765" s="530"/>
      <c r="S6765" s="757"/>
      <c r="T6765" s="753"/>
      <c r="AR6765" s="748"/>
      <c r="AS6765" s="753"/>
    </row>
    <row r="6766" spans="1:45" s="901" customFormat="1" ht="13.2">
      <c r="A6766" s="903">
        <v>2</v>
      </c>
      <c r="B6766" s="904" t="s">
        <v>863</v>
      </c>
      <c r="C6766" s="904"/>
      <c r="D6766" s="904" t="s">
        <v>2594</v>
      </c>
      <c r="E6766" s="904"/>
      <c r="F6766" s="904" t="s">
        <v>4139</v>
      </c>
      <c r="G6766" s="905" t="s">
        <v>2595</v>
      </c>
      <c r="H6766" s="902">
        <v>960</v>
      </c>
      <c r="I6766" s="904" t="s">
        <v>2596</v>
      </c>
      <c r="J6766" s="904"/>
      <c r="K6766" s="904"/>
      <c r="L6766" s="904"/>
      <c r="M6766" s="904"/>
      <c r="N6766" s="904"/>
      <c r="O6766" s="902">
        <v>4</v>
      </c>
      <c r="P6766" s="906">
        <v>38274</v>
      </c>
      <c r="Q6766" s="1415">
        <f>20*0.9</f>
        <v>18</v>
      </c>
      <c r="R6766" s="908">
        <f>$A6766*Q6766</f>
        <v>36</v>
      </c>
      <c r="S6766" s="907"/>
      <c r="T6766" s="909">
        <f>$A6766*S6766*$T$1</f>
        <v>0</v>
      </c>
      <c r="AR6766" s="903">
        <v>2</v>
      </c>
      <c r="AS6766" s="904" t="s">
        <v>3507</v>
      </c>
    </row>
    <row r="6767" spans="1:45" s="520" customFormat="1" ht="12">
      <c r="A6767" s="758"/>
      <c r="B6767" s="758"/>
      <c r="C6767" s="758"/>
      <c r="D6767" s="758"/>
      <c r="E6767" s="758"/>
      <c r="F6767" s="753"/>
      <c r="G6767" s="758"/>
      <c r="H6767" s="758"/>
      <c r="I6767" s="519"/>
      <c r="J6767" s="758"/>
      <c r="K6767" s="758"/>
      <c r="L6767" s="758"/>
      <c r="M6767" s="758"/>
      <c r="N6767" s="758"/>
      <c r="O6767" s="758"/>
      <c r="P6767" s="758"/>
      <c r="Q6767" s="519"/>
      <c r="R6767" s="759">
        <f t="shared" ref="R6767" si="514">$A6767*Q6767</f>
        <v>0</v>
      </c>
      <c r="S6767" s="519"/>
      <c r="T6767" s="760">
        <f t="shared" ref="T6767" si="515">$A6767*S6767*$T$1</f>
        <v>0</v>
      </c>
      <c r="AR6767" s="758"/>
      <c r="AS6767" s="753"/>
    </row>
    <row r="6768" spans="1:45" s="520" customFormat="1" ht="12.6" thickBot="1">
      <c r="A6768" s="761" t="s">
        <v>145</v>
      </c>
      <c r="B6768" s="762">
        <f>(R6767+T6767)</f>
        <v>0</v>
      </c>
      <c r="C6768" s="763"/>
      <c r="D6768" s="763"/>
      <c r="E6768" s="763"/>
      <c r="F6768" s="764"/>
      <c r="G6768" s="763" t="s">
        <v>146</v>
      </c>
      <c r="H6768" s="763"/>
      <c r="I6768" s="765"/>
      <c r="J6768" s="763"/>
      <c r="K6768" s="763" t="s">
        <v>5</v>
      </c>
      <c r="L6768" s="766" t="s">
        <v>143</v>
      </c>
      <c r="M6768" s="766"/>
      <c r="N6768" s="766"/>
      <c r="O6768" s="766"/>
      <c r="P6768" s="766"/>
      <c r="Q6768" s="767"/>
      <c r="R6768" s="768">
        <f>SUM(R6765:R6767)</f>
        <v>36</v>
      </c>
      <c r="S6768" s="763"/>
      <c r="T6768" s="768">
        <f>SUM(T6765:T6767)</f>
        <v>0</v>
      </c>
      <c r="U6768" s="531"/>
      <c r="V6768" s="531"/>
      <c r="W6768" s="531"/>
      <c r="X6768" s="531"/>
      <c r="Y6768" s="531"/>
      <c r="Z6768" s="531"/>
      <c r="AA6768" s="531"/>
      <c r="AB6768" s="531"/>
      <c r="AC6768" s="531"/>
      <c r="AD6768" s="531"/>
      <c r="AE6768" s="531"/>
      <c r="AF6768" s="531"/>
      <c r="AG6768" s="531"/>
      <c r="AH6768" s="531"/>
      <c r="AI6768" s="531"/>
      <c r="AJ6768" s="531"/>
      <c r="AK6768" s="531"/>
      <c r="AL6768" s="531"/>
      <c r="AM6768" s="531"/>
      <c r="AN6768" s="531"/>
      <c r="AO6768" s="531"/>
      <c r="AR6768" s="761" t="s">
        <v>145</v>
      </c>
      <c r="AS6768" s="764"/>
    </row>
    <row r="6769" spans="1:45" s="520" customFormat="1" thickTop="1">
      <c r="A6769" s="51"/>
      <c r="B6769" s="51"/>
      <c r="C6769" s="3"/>
      <c r="D6769" s="3"/>
      <c r="E6769" s="51"/>
      <c r="F6769" s="51"/>
      <c r="G6769" s="51"/>
      <c r="H6769" s="51"/>
      <c r="I6769" s="51"/>
      <c r="J6769" s="51"/>
      <c r="K6769" s="51" t="s">
        <v>134</v>
      </c>
      <c r="L6769" s="51"/>
      <c r="M6769" s="51"/>
      <c r="N6769" s="51"/>
      <c r="O6769" s="52"/>
      <c r="P6769" s="51"/>
      <c r="Q6769" s="51"/>
      <c r="R6769" s="51"/>
      <c r="S6769" s="51"/>
      <c r="T6769" s="51"/>
      <c r="AR6769" s="51"/>
      <c r="AS6769" s="51"/>
    </row>
    <row r="6770" spans="1:45" s="520" customFormat="1" ht="12">
      <c r="A6770" s="51"/>
      <c r="B6770" s="51"/>
      <c r="C6770" s="51" t="s">
        <v>135</v>
      </c>
      <c r="D6770" s="37"/>
      <c r="E6770" s="51"/>
      <c r="F6770" s="51"/>
      <c r="G6770" s="51"/>
      <c r="H6770" s="51"/>
      <c r="I6770" s="51"/>
      <c r="J6770" s="51"/>
      <c r="K6770" s="51"/>
      <c r="L6770" s="51"/>
      <c r="M6770" s="51"/>
      <c r="N6770" s="51"/>
      <c r="O6770" s="52"/>
      <c r="P6770" s="51"/>
      <c r="Q6770" s="51"/>
      <c r="R6770" s="51"/>
      <c r="S6770" s="51"/>
      <c r="T6770" s="51"/>
      <c r="AR6770" s="51"/>
      <c r="AS6770" s="51"/>
    </row>
    <row r="6771" spans="1:45" s="520" customFormat="1" ht="12">
      <c r="A6771" s="51"/>
      <c r="B6771" s="51"/>
      <c r="C6771" s="51"/>
      <c r="D6771" s="37" t="s">
        <v>960</v>
      </c>
      <c r="E6771" s="51"/>
      <c r="F6771" s="51"/>
      <c r="G6771" s="51"/>
      <c r="H6771" s="51"/>
      <c r="I6771" s="51"/>
      <c r="J6771" s="51"/>
      <c r="K6771" s="51"/>
      <c r="L6771" s="51"/>
      <c r="M6771" s="51"/>
      <c r="N6771" s="51"/>
      <c r="O6771" s="52"/>
      <c r="P6771" s="51"/>
      <c r="Q6771" s="51"/>
      <c r="R6771" s="51"/>
      <c r="S6771" s="38"/>
      <c r="T6771" s="38"/>
      <c r="AR6771" s="51"/>
      <c r="AS6771" s="51"/>
    </row>
    <row r="6772" spans="1:45" s="3" customFormat="1" thickBot="1">
      <c r="A6772" s="531"/>
      <c r="O6772" s="107"/>
      <c r="AR6772" s="531"/>
    </row>
    <row r="6773" spans="1:45" s="520" customFormat="1" ht="12" thickTop="1">
      <c r="A6773" s="51"/>
      <c r="B6773" s="41"/>
      <c r="C6773" s="51"/>
      <c r="E6773" s="42" t="s">
        <v>138</v>
      </c>
      <c r="F6773" s="42" t="s">
        <v>139</v>
      </c>
      <c r="G6773" s="51"/>
      <c r="H6773" s="51"/>
      <c r="I6773" s="51"/>
      <c r="J6773" s="51"/>
      <c r="K6773" s="51" t="s">
        <v>140</v>
      </c>
      <c r="L6773" s="51"/>
      <c r="M6773" s="51"/>
      <c r="N6773" s="51"/>
      <c r="O6773" s="52"/>
      <c r="P6773" s="51"/>
      <c r="Q6773" s="51"/>
      <c r="R6773" s="51"/>
      <c r="S6773" s="51"/>
      <c r="T6773" s="41"/>
      <c r="AG6773" s="521" t="s">
        <v>268</v>
      </c>
      <c r="AH6773" s="521" t="s">
        <v>269</v>
      </c>
      <c r="AI6773" s="521" t="s">
        <v>270</v>
      </c>
      <c r="AJ6773" s="521" t="s">
        <v>271</v>
      </c>
      <c r="AK6773" s="521" t="s">
        <v>272</v>
      </c>
      <c r="AM6773" s="745" t="s">
        <v>281</v>
      </c>
      <c r="AN6773" s="746" t="s">
        <v>282</v>
      </c>
      <c r="AO6773" s="522" t="s">
        <v>278</v>
      </c>
      <c r="AR6773" s="51"/>
      <c r="AS6773" s="42" t="s">
        <v>139</v>
      </c>
    </row>
    <row r="6774" spans="1:45" s="520" customFormat="1" ht="12" customHeight="1">
      <c r="A6774" s="747">
        <v>1</v>
      </c>
      <c r="B6774" s="523" t="s">
        <v>329</v>
      </c>
      <c r="C6774" s="748"/>
      <c r="D6774" s="749" t="s">
        <v>3889</v>
      </c>
      <c r="E6774" s="1145">
        <f>IF(AND($A6774=0,$A$1="DIF"),0, ROUND(ROUND(($R6778*$S$3+($T6778*$T$3))/$A6774,2)*$C$3,2))</f>
        <v>198.09</v>
      </c>
      <c r="F6774" s="1146">
        <f>ROUND($A6774*$E6774,2)</f>
        <v>198.09</v>
      </c>
      <c r="G6774" s="752" t="s">
        <v>142</v>
      </c>
      <c r="H6774" s="753"/>
      <c r="I6774" s="754"/>
      <c r="J6774" s="753"/>
      <c r="K6774" s="753" t="s">
        <v>5</v>
      </c>
      <c r="L6774" s="755" t="s">
        <v>143</v>
      </c>
      <c r="M6774" s="755"/>
      <c r="N6774" s="755"/>
      <c r="O6774" s="755"/>
      <c r="P6774" s="755"/>
      <c r="Q6774" s="51"/>
      <c r="T6774" s="1150" t="str">
        <f>IF(AND($R6778=0,$T6778=0),"0.00","mu: "&amp; ROUND(F6774/$C$3/($R6778+$T6778*$D$9),2))</f>
        <v>mu: 1.13</v>
      </c>
      <c r="W6774" s="524"/>
      <c r="AG6774" s="1147">
        <f>IF($E6774=0,0,ROUND($R6778*$S$3*$C$3/$A6774,2))</f>
        <v>198.09</v>
      </c>
      <c r="AH6774" s="1147">
        <f>$AG6774*$A6774</f>
        <v>198.09</v>
      </c>
      <c r="AI6774" s="1148">
        <f>$E6774-$AG6774</f>
        <v>0</v>
      </c>
      <c r="AJ6774" s="1148">
        <f>$A6774*$AI6774</f>
        <v>0</v>
      </c>
      <c r="AK6774" s="1149">
        <f>ROUND(($AG6774+$AI6774)*$A6774,2)</f>
        <v>198.09</v>
      </c>
      <c r="AM6774" s="527">
        <f>ROUND(R6778,2)</f>
        <v>175.5</v>
      </c>
      <c r="AN6774" s="528">
        <f>ROUND(T6778,2)</f>
        <v>0</v>
      </c>
      <c r="AO6774" s="529">
        <f>ROUND(AM6774+AN6774,2)*A6774</f>
        <v>175.5</v>
      </c>
      <c r="AR6774" s="747">
        <v>1</v>
      </c>
      <c r="AS6774" s="1146">
        <v>209.1</v>
      </c>
    </row>
    <row r="6775" spans="1:45" s="520" customFormat="1" ht="13.2">
      <c r="A6775" s="748"/>
      <c r="B6775"/>
      <c r="C6775" s="748"/>
      <c r="D6775" s="749" t="s">
        <v>1936</v>
      </c>
      <c r="F6775" s="753"/>
      <c r="G6775" s="3"/>
      <c r="H6775" s="753"/>
      <c r="I6775" s="754"/>
      <c r="J6775" s="753"/>
      <c r="K6775" s="753" t="s">
        <v>144</v>
      </c>
      <c r="L6775" s="753"/>
      <c r="M6775" s="753"/>
      <c r="N6775" s="753"/>
      <c r="O6775" s="753"/>
      <c r="P6775" s="753"/>
      <c r="Q6775" s="51"/>
      <c r="R6775" s="530"/>
      <c r="S6775" s="757"/>
      <c r="T6775" s="753"/>
      <c r="AR6775" s="748"/>
      <c r="AS6775" s="753"/>
    </row>
    <row r="6776" spans="1:45" s="901" customFormat="1" ht="13.2">
      <c r="A6776" s="903">
        <v>1</v>
      </c>
      <c r="B6776" s="904" t="s">
        <v>863</v>
      </c>
      <c r="C6776" s="904"/>
      <c r="D6776" s="904" t="s">
        <v>2594</v>
      </c>
      <c r="E6776" s="904"/>
      <c r="F6776" s="904" t="s">
        <v>4139</v>
      </c>
      <c r="G6776" s="905" t="s">
        <v>2595</v>
      </c>
      <c r="H6776" s="902">
        <v>960</v>
      </c>
      <c r="I6776" s="904" t="s">
        <v>2596</v>
      </c>
      <c r="J6776" s="904"/>
      <c r="K6776" s="904"/>
      <c r="L6776" s="904"/>
      <c r="M6776" s="904"/>
      <c r="N6776" s="904"/>
      <c r="O6776" s="902">
        <v>4</v>
      </c>
      <c r="P6776" s="906">
        <v>38274</v>
      </c>
      <c r="Q6776" s="1415">
        <f>195*0.9</f>
        <v>175.5</v>
      </c>
      <c r="R6776" s="908">
        <f>$A6776*Q6776</f>
        <v>175.5</v>
      </c>
      <c r="S6776" s="907"/>
      <c r="T6776" s="909">
        <f>$A6776*S6776*$T$1</f>
        <v>0</v>
      </c>
      <c r="AR6776" s="903">
        <v>1</v>
      </c>
      <c r="AS6776" s="904" t="s">
        <v>3507</v>
      </c>
    </row>
    <row r="6777" spans="1:45" s="520" customFormat="1" ht="12">
      <c r="A6777" s="758"/>
      <c r="B6777" s="758"/>
      <c r="C6777" s="758"/>
      <c r="D6777" s="758"/>
      <c r="E6777" s="758"/>
      <c r="F6777" s="753"/>
      <c r="G6777" s="758"/>
      <c r="H6777" s="758"/>
      <c r="I6777" s="519"/>
      <c r="J6777" s="758"/>
      <c r="K6777" s="758"/>
      <c r="L6777" s="758"/>
      <c r="M6777" s="758"/>
      <c r="N6777" s="758"/>
      <c r="O6777" s="758"/>
      <c r="P6777" s="758"/>
      <c r="Q6777" s="519"/>
      <c r="R6777" s="759">
        <f t="shared" ref="R6777" si="516">$A6777*Q6777</f>
        <v>0</v>
      </c>
      <c r="S6777" s="519"/>
      <c r="T6777" s="760">
        <f t="shared" ref="T6777" si="517">$A6777*S6777*$T$1</f>
        <v>0</v>
      </c>
      <c r="AR6777" s="758"/>
      <c r="AS6777" s="753"/>
    </row>
    <row r="6778" spans="1:45" s="520" customFormat="1" ht="12.6" thickBot="1">
      <c r="A6778" s="761" t="s">
        <v>145</v>
      </c>
      <c r="B6778" s="762">
        <f>(R6777+T6777)</f>
        <v>0</v>
      </c>
      <c r="C6778" s="763"/>
      <c r="D6778" s="763"/>
      <c r="E6778" s="763"/>
      <c r="F6778" s="764"/>
      <c r="G6778" s="763" t="s">
        <v>146</v>
      </c>
      <c r="H6778" s="763"/>
      <c r="I6778" s="765"/>
      <c r="J6778" s="763"/>
      <c r="K6778" s="763" t="s">
        <v>5</v>
      </c>
      <c r="L6778" s="766" t="s">
        <v>143</v>
      </c>
      <c r="M6778" s="766"/>
      <c r="N6778" s="766"/>
      <c r="O6778" s="766"/>
      <c r="P6778" s="766"/>
      <c r="Q6778" s="767"/>
      <c r="R6778" s="768">
        <f>SUM(R6775:R6777)</f>
        <v>175.5</v>
      </c>
      <c r="S6778" s="763"/>
      <c r="T6778" s="768">
        <f>SUM(T6775:T6777)</f>
        <v>0</v>
      </c>
      <c r="U6778" s="531"/>
      <c r="V6778" s="531"/>
      <c r="W6778" s="531"/>
      <c r="X6778" s="531"/>
      <c r="Y6778" s="531"/>
      <c r="Z6778" s="531"/>
      <c r="AA6778" s="531"/>
      <c r="AB6778" s="531"/>
      <c r="AC6778" s="531"/>
      <c r="AD6778" s="531"/>
      <c r="AE6778" s="531"/>
      <c r="AF6778" s="531"/>
      <c r="AG6778" s="531"/>
      <c r="AH6778" s="531"/>
      <c r="AI6778" s="531"/>
      <c r="AJ6778" s="531"/>
      <c r="AK6778" s="531"/>
      <c r="AL6778" s="531"/>
      <c r="AM6778" s="531"/>
      <c r="AN6778" s="531"/>
      <c r="AO6778" s="531"/>
      <c r="AR6778" s="761" t="s">
        <v>145</v>
      </c>
      <c r="AS6778" s="764"/>
    </row>
    <row r="6779" spans="1:45" s="520" customFormat="1" ht="12" thickTop="1">
      <c r="A6779" s="51"/>
      <c r="B6779" s="41"/>
      <c r="C6779" s="51"/>
      <c r="E6779" s="42" t="s">
        <v>138</v>
      </c>
      <c r="F6779" s="42" t="s">
        <v>139</v>
      </c>
      <c r="G6779" s="51"/>
      <c r="H6779" s="51"/>
      <c r="I6779" s="51"/>
      <c r="J6779" s="51"/>
      <c r="K6779" s="51" t="s">
        <v>140</v>
      </c>
      <c r="L6779" s="51"/>
      <c r="M6779" s="51"/>
      <c r="N6779" s="51"/>
      <c r="O6779" s="52"/>
      <c r="P6779" s="51"/>
      <c r="Q6779" s="51"/>
      <c r="R6779" s="51"/>
      <c r="S6779" s="51"/>
      <c r="T6779" s="41"/>
      <c r="AG6779" s="521" t="s">
        <v>268</v>
      </c>
      <c r="AH6779" s="521" t="s">
        <v>269</v>
      </c>
      <c r="AI6779" s="521" t="s">
        <v>270</v>
      </c>
      <c r="AJ6779" s="521" t="s">
        <v>271</v>
      </c>
      <c r="AK6779" s="521" t="s">
        <v>272</v>
      </c>
      <c r="AM6779" s="745" t="s">
        <v>281</v>
      </c>
      <c r="AN6779" s="746" t="s">
        <v>282</v>
      </c>
      <c r="AO6779" s="522" t="s">
        <v>278</v>
      </c>
      <c r="AR6779" s="51"/>
      <c r="AS6779" s="42" t="s">
        <v>139</v>
      </c>
    </row>
    <row r="6780" spans="1:45" s="520" customFormat="1" ht="12" customHeight="1">
      <c r="A6780" s="747">
        <v>3</v>
      </c>
      <c r="B6780" s="523" t="s">
        <v>329</v>
      </c>
      <c r="C6780" s="748"/>
      <c r="D6780" s="749" t="s">
        <v>3890</v>
      </c>
      <c r="E6780" s="1145">
        <f>IF(AND($A6780=0,$A$1="DIF"),0, ROUND(ROUND(($R6784*$S$3+($T6784*$T$3))/$A6780,2)*$C$3,2))</f>
        <v>91.43</v>
      </c>
      <c r="F6780" s="1146">
        <f>ROUND($A6780*$E6780,2)</f>
        <v>274.29000000000002</v>
      </c>
      <c r="G6780" s="752" t="s">
        <v>142</v>
      </c>
      <c r="H6780" s="753"/>
      <c r="I6780" s="754"/>
      <c r="J6780" s="753"/>
      <c r="K6780" s="753" t="s">
        <v>5</v>
      </c>
      <c r="L6780" s="755" t="s">
        <v>143</v>
      </c>
      <c r="M6780" s="755"/>
      <c r="N6780" s="755"/>
      <c r="O6780" s="755"/>
      <c r="P6780" s="755"/>
      <c r="Q6780" s="51"/>
      <c r="T6780" s="1150" t="str">
        <f>IF(AND($R6784=0,$T6784=0),"0.00","mu: "&amp; ROUND(F6780/$C$3/($R6784+$T6784*$D$9),2))</f>
        <v>mu: 1.13</v>
      </c>
      <c r="W6780" s="524"/>
      <c r="AG6780" s="1147">
        <f>IF($E6780=0,0,ROUND($R6784*$S$3*$C$3/$A6780,2))</f>
        <v>91.43</v>
      </c>
      <c r="AH6780" s="1147">
        <f>$AG6780*$A6780</f>
        <v>274.29000000000002</v>
      </c>
      <c r="AI6780" s="1148">
        <f>$E6780-$AG6780</f>
        <v>0</v>
      </c>
      <c r="AJ6780" s="1148">
        <f>$A6780*$AI6780</f>
        <v>0</v>
      </c>
      <c r="AK6780" s="1149">
        <f>ROUND(($AG6780+$AI6780)*$A6780,2)</f>
        <v>274.29000000000002</v>
      </c>
      <c r="AM6780" s="527">
        <f>ROUND(R6784,2)</f>
        <v>243</v>
      </c>
      <c r="AN6780" s="528">
        <f>ROUND(T6784,2)</f>
        <v>0</v>
      </c>
      <c r="AO6780" s="529">
        <f>ROUND(AM6780+AN6780,2)*A6780</f>
        <v>729</v>
      </c>
      <c r="AR6780" s="747">
        <v>4</v>
      </c>
      <c r="AS6780" s="1146">
        <v>386.04</v>
      </c>
    </row>
    <row r="6781" spans="1:45" s="520" customFormat="1" ht="13.2">
      <c r="A6781" s="748"/>
      <c r="B6781"/>
      <c r="C6781" s="748"/>
      <c r="D6781" s="749" t="s">
        <v>962</v>
      </c>
      <c r="F6781" s="753"/>
      <c r="G6781" s="3"/>
      <c r="H6781" s="753"/>
      <c r="I6781" s="754"/>
      <c r="J6781" s="753"/>
      <c r="K6781" s="753" t="s">
        <v>144</v>
      </c>
      <c r="L6781" s="753"/>
      <c r="M6781" s="753"/>
      <c r="N6781" s="753"/>
      <c r="O6781" s="753"/>
      <c r="P6781" s="753"/>
      <c r="Q6781" s="51"/>
      <c r="R6781" s="530"/>
      <c r="S6781" s="757"/>
      <c r="T6781" s="753"/>
      <c r="AR6781" s="748"/>
      <c r="AS6781" s="753"/>
    </row>
    <row r="6782" spans="1:45" s="901" customFormat="1" ht="13.2">
      <c r="A6782" s="903">
        <v>3</v>
      </c>
      <c r="B6782" s="904" t="s">
        <v>863</v>
      </c>
      <c r="C6782" s="904"/>
      <c r="D6782" s="904" t="s">
        <v>2594</v>
      </c>
      <c r="E6782" s="904"/>
      <c r="F6782" s="904" t="s">
        <v>4139</v>
      </c>
      <c r="G6782" s="905" t="s">
        <v>2595</v>
      </c>
      <c r="H6782" s="902">
        <v>960</v>
      </c>
      <c r="I6782" s="904" t="s">
        <v>2596</v>
      </c>
      <c r="J6782" s="904"/>
      <c r="K6782" s="904"/>
      <c r="L6782" s="904"/>
      <c r="M6782" s="904"/>
      <c r="N6782" s="904"/>
      <c r="O6782" s="902">
        <v>4</v>
      </c>
      <c r="P6782" s="906">
        <v>38274</v>
      </c>
      <c r="Q6782" s="1415">
        <f>90*0.9</f>
        <v>81</v>
      </c>
      <c r="R6782" s="908">
        <f>$A6782*Q6782</f>
        <v>243</v>
      </c>
      <c r="S6782" s="907"/>
      <c r="T6782" s="909">
        <f>$A6782*S6782*$T$1</f>
        <v>0</v>
      </c>
      <c r="AR6782" s="903">
        <v>4</v>
      </c>
      <c r="AS6782" s="904" t="s">
        <v>3507</v>
      </c>
    </row>
    <row r="6783" spans="1:45" s="520" customFormat="1" ht="12">
      <c r="A6783" s="758"/>
      <c r="B6783" s="758"/>
      <c r="C6783" s="758"/>
      <c r="D6783" s="758"/>
      <c r="E6783" s="758"/>
      <c r="F6783" s="753"/>
      <c r="G6783" s="758"/>
      <c r="H6783" s="758"/>
      <c r="I6783" s="519"/>
      <c r="J6783" s="758"/>
      <c r="K6783" s="758"/>
      <c r="L6783" s="758"/>
      <c r="M6783" s="758"/>
      <c r="N6783" s="758"/>
      <c r="O6783" s="758"/>
      <c r="P6783" s="758"/>
      <c r="Q6783" s="519"/>
      <c r="R6783" s="759">
        <f t="shared" ref="R6783" si="518">$A6783*Q6783</f>
        <v>0</v>
      </c>
      <c r="S6783" s="519"/>
      <c r="T6783" s="760">
        <f t="shared" ref="T6783" si="519">$A6783*S6783*$T$1</f>
        <v>0</v>
      </c>
      <c r="AR6783" s="758"/>
      <c r="AS6783" s="753"/>
    </row>
    <row r="6784" spans="1:45" s="520" customFormat="1" ht="12.6" thickBot="1">
      <c r="A6784" s="761" t="s">
        <v>145</v>
      </c>
      <c r="B6784" s="762">
        <f>(R6783+T6783)</f>
        <v>0</v>
      </c>
      <c r="C6784" s="763"/>
      <c r="D6784" s="763"/>
      <c r="E6784" s="763"/>
      <c r="F6784" s="764"/>
      <c r="G6784" s="763" t="s">
        <v>146</v>
      </c>
      <c r="H6784" s="763"/>
      <c r="I6784" s="765"/>
      <c r="J6784" s="763"/>
      <c r="K6784" s="763" t="s">
        <v>5</v>
      </c>
      <c r="L6784" s="766" t="s">
        <v>143</v>
      </c>
      <c r="M6784" s="766"/>
      <c r="N6784" s="766"/>
      <c r="O6784" s="766"/>
      <c r="P6784" s="766"/>
      <c r="Q6784" s="767"/>
      <c r="R6784" s="768">
        <f>SUM(R6781:R6783)</f>
        <v>243</v>
      </c>
      <c r="S6784" s="763"/>
      <c r="T6784" s="768">
        <f>SUM(T6781:T6783)</f>
        <v>0</v>
      </c>
      <c r="U6784" s="531"/>
      <c r="V6784" s="531"/>
      <c r="W6784" s="531"/>
      <c r="X6784" s="531"/>
      <c r="Y6784" s="531"/>
      <c r="Z6784" s="531"/>
      <c r="AA6784" s="531"/>
      <c r="AB6784" s="531"/>
      <c r="AC6784" s="531"/>
      <c r="AD6784" s="531"/>
      <c r="AE6784" s="531"/>
      <c r="AF6784" s="531"/>
      <c r="AG6784" s="531"/>
      <c r="AH6784" s="531"/>
      <c r="AI6784" s="531"/>
      <c r="AJ6784" s="531"/>
      <c r="AK6784" s="531"/>
      <c r="AL6784" s="531"/>
      <c r="AM6784" s="531"/>
      <c r="AN6784" s="531"/>
      <c r="AO6784" s="531"/>
      <c r="AR6784" s="761" t="s">
        <v>145</v>
      </c>
      <c r="AS6784" s="764"/>
    </row>
    <row r="6785" spans="1:45" s="520" customFormat="1" ht="12" thickTop="1">
      <c r="A6785" s="51"/>
      <c r="B6785" s="41"/>
      <c r="C6785" s="51"/>
      <c r="E6785" s="42" t="s">
        <v>138</v>
      </c>
      <c r="F6785" s="42" t="s">
        <v>139</v>
      </c>
      <c r="G6785" s="51"/>
      <c r="H6785" s="51"/>
      <c r="I6785" s="51"/>
      <c r="J6785" s="51"/>
      <c r="K6785" s="51" t="s">
        <v>140</v>
      </c>
      <c r="L6785" s="51"/>
      <c r="M6785" s="51"/>
      <c r="N6785" s="51"/>
      <c r="O6785" s="52"/>
      <c r="P6785" s="51"/>
      <c r="Q6785" s="51"/>
      <c r="R6785" s="51"/>
      <c r="S6785" s="51"/>
      <c r="T6785" s="41"/>
      <c r="AG6785" s="521" t="s">
        <v>268</v>
      </c>
      <c r="AH6785" s="521" t="s">
        <v>269</v>
      </c>
      <c r="AI6785" s="521" t="s">
        <v>270</v>
      </c>
      <c r="AJ6785" s="521" t="s">
        <v>271</v>
      </c>
      <c r="AK6785" s="521" t="s">
        <v>272</v>
      </c>
      <c r="AM6785" s="745" t="s">
        <v>281</v>
      </c>
      <c r="AN6785" s="746" t="s">
        <v>282</v>
      </c>
      <c r="AO6785" s="522" t="s">
        <v>278</v>
      </c>
      <c r="AR6785" s="51"/>
      <c r="AS6785" s="42" t="s">
        <v>139</v>
      </c>
    </row>
    <row r="6786" spans="1:45" s="520" customFormat="1" ht="12" customHeight="1">
      <c r="A6786" s="747">
        <v>4</v>
      </c>
      <c r="B6786" s="523" t="s">
        <v>329</v>
      </c>
      <c r="C6786" s="748"/>
      <c r="D6786" s="749" t="s">
        <v>3891</v>
      </c>
      <c r="E6786" s="1145">
        <f>IF(AND($A6786=0,$A$1="DIF"),0, ROUND(ROUND(($R6790*$S$3+($T6790*$T$3))/$A6786,2)*$C$3,2))</f>
        <v>15.24</v>
      </c>
      <c r="F6786" s="1146">
        <f>ROUND($A6786*$E6786,2)</f>
        <v>60.96</v>
      </c>
      <c r="G6786" s="752" t="s">
        <v>142</v>
      </c>
      <c r="H6786" s="753"/>
      <c r="I6786" s="754"/>
      <c r="J6786" s="753"/>
      <c r="K6786" s="753" t="s">
        <v>5</v>
      </c>
      <c r="L6786" s="755" t="s">
        <v>143</v>
      </c>
      <c r="M6786" s="755"/>
      <c r="N6786" s="755"/>
      <c r="O6786" s="755"/>
      <c r="P6786" s="755"/>
      <c r="Q6786" s="51"/>
      <c r="T6786" s="1150" t="str">
        <f>IF(AND($R6790=0,$T6790=0),"0.00","mu: "&amp; ROUND(F6786/$C$3/($R6790+$T6790*$D$9),2))</f>
        <v>mu: 1.13</v>
      </c>
      <c r="W6786" s="524"/>
      <c r="AG6786" s="1147">
        <f>IF($E6786=0,0,ROUND($R6790*$S$3*$C$3/$A6786,2))</f>
        <v>15.24</v>
      </c>
      <c r="AH6786" s="1147">
        <f>$AG6786*$A6786</f>
        <v>60.96</v>
      </c>
      <c r="AI6786" s="1148">
        <f>$E6786-$AG6786</f>
        <v>0</v>
      </c>
      <c r="AJ6786" s="1148">
        <f>$A6786*$AI6786</f>
        <v>0</v>
      </c>
      <c r="AK6786" s="1149">
        <f>ROUND(($AG6786+$AI6786)*$A6786,2)</f>
        <v>60.96</v>
      </c>
      <c r="AM6786" s="527">
        <f>ROUND(R6790,2)</f>
        <v>54</v>
      </c>
      <c r="AN6786" s="528">
        <f>ROUND(T6790,2)</f>
        <v>0</v>
      </c>
      <c r="AO6786" s="529">
        <f>ROUND(AM6786+AN6786,2)*A6786</f>
        <v>216</v>
      </c>
      <c r="AR6786" s="747">
        <v>4</v>
      </c>
      <c r="AS6786" s="1146">
        <v>64.319999999999993</v>
      </c>
    </row>
    <row r="6787" spans="1:45" s="520" customFormat="1" ht="13.2">
      <c r="A6787" s="748"/>
      <c r="B6787"/>
      <c r="C6787" s="748"/>
      <c r="D6787" s="749" t="s">
        <v>963</v>
      </c>
      <c r="F6787" s="753"/>
      <c r="G6787" s="3"/>
      <c r="H6787" s="753"/>
      <c r="I6787" s="754"/>
      <c r="J6787" s="753"/>
      <c r="K6787" s="753" t="s">
        <v>144</v>
      </c>
      <c r="L6787" s="753"/>
      <c r="M6787" s="753"/>
      <c r="N6787" s="753"/>
      <c r="O6787" s="753"/>
      <c r="P6787" s="753"/>
      <c r="Q6787" s="51"/>
      <c r="R6787" s="530"/>
      <c r="S6787" s="757"/>
      <c r="T6787" s="753"/>
      <c r="AR6787" s="748"/>
      <c r="AS6787" s="753"/>
    </row>
    <row r="6788" spans="1:45" s="901" customFormat="1" ht="13.2">
      <c r="A6788" s="903">
        <v>4</v>
      </c>
      <c r="B6788" s="904" t="s">
        <v>863</v>
      </c>
      <c r="C6788" s="904"/>
      <c r="D6788" s="904" t="s">
        <v>2594</v>
      </c>
      <c r="E6788" s="904"/>
      <c r="F6788" s="904" t="s">
        <v>4139</v>
      </c>
      <c r="G6788" s="905" t="s">
        <v>2595</v>
      </c>
      <c r="H6788" s="902">
        <v>960</v>
      </c>
      <c r="I6788" s="904" t="s">
        <v>2596</v>
      </c>
      <c r="J6788" s="904"/>
      <c r="K6788" s="904"/>
      <c r="L6788" s="904"/>
      <c r="M6788" s="904"/>
      <c r="N6788" s="904"/>
      <c r="O6788" s="902">
        <v>4</v>
      </c>
      <c r="P6788" s="906">
        <v>38274</v>
      </c>
      <c r="Q6788" s="1415">
        <f>15*0.9</f>
        <v>13.5</v>
      </c>
      <c r="R6788" s="908">
        <f>$A6788*Q6788</f>
        <v>54</v>
      </c>
      <c r="S6788" s="907"/>
      <c r="T6788" s="909">
        <f>$A6788*S6788*$T$1</f>
        <v>0</v>
      </c>
      <c r="AR6788" s="903">
        <v>4</v>
      </c>
      <c r="AS6788" s="904" t="s">
        <v>3507</v>
      </c>
    </row>
    <row r="6789" spans="1:45" s="520" customFormat="1" ht="12">
      <c r="A6789" s="758"/>
      <c r="B6789" s="758"/>
      <c r="C6789" s="758"/>
      <c r="D6789" s="758"/>
      <c r="E6789" s="758"/>
      <c r="F6789" s="753"/>
      <c r="G6789" s="758"/>
      <c r="H6789" s="758"/>
      <c r="I6789" s="519"/>
      <c r="J6789" s="758"/>
      <c r="K6789" s="758"/>
      <c r="L6789" s="758"/>
      <c r="M6789" s="758"/>
      <c r="N6789" s="758"/>
      <c r="O6789" s="758"/>
      <c r="P6789" s="758"/>
      <c r="Q6789" s="519"/>
      <c r="R6789" s="759">
        <f t="shared" ref="R6789" si="520">$A6789*Q6789</f>
        <v>0</v>
      </c>
      <c r="S6789" s="519"/>
      <c r="T6789" s="760">
        <f t="shared" ref="T6789" si="521">$A6789*S6789*$T$1</f>
        <v>0</v>
      </c>
      <c r="AR6789" s="758"/>
      <c r="AS6789" s="753"/>
    </row>
    <row r="6790" spans="1:45" s="520" customFormat="1" ht="12.6" thickBot="1">
      <c r="A6790" s="761" t="s">
        <v>145</v>
      </c>
      <c r="B6790" s="762">
        <f>(R6789+T6789)</f>
        <v>0</v>
      </c>
      <c r="C6790" s="763"/>
      <c r="D6790" s="763"/>
      <c r="E6790" s="763"/>
      <c r="F6790" s="764"/>
      <c r="G6790" s="763" t="s">
        <v>146</v>
      </c>
      <c r="H6790" s="763"/>
      <c r="I6790" s="765"/>
      <c r="J6790" s="763"/>
      <c r="K6790" s="763" t="s">
        <v>5</v>
      </c>
      <c r="L6790" s="766" t="s">
        <v>143</v>
      </c>
      <c r="M6790" s="766"/>
      <c r="N6790" s="766"/>
      <c r="O6790" s="766"/>
      <c r="P6790" s="766"/>
      <c r="Q6790" s="767"/>
      <c r="R6790" s="768">
        <f>SUM(R6787:R6789)</f>
        <v>54</v>
      </c>
      <c r="S6790" s="763"/>
      <c r="T6790" s="768">
        <f>SUM(T6787:T6789)</f>
        <v>0</v>
      </c>
      <c r="U6790" s="531"/>
      <c r="V6790" s="531"/>
      <c r="W6790" s="531"/>
      <c r="X6790" s="531"/>
      <c r="Y6790" s="531"/>
      <c r="Z6790" s="531"/>
      <c r="AA6790" s="531"/>
      <c r="AB6790" s="531"/>
      <c r="AC6790" s="531"/>
      <c r="AD6790" s="531"/>
      <c r="AE6790" s="531"/>
      <c r="AF6790" s="531"/>
      <c r="AG6790" s="531"/>
      <c r="AH6790" s="531"/>
      <c r="AI6790" s="531"/>
      <c r="AJ6790" s="531"/>
      <c r="AK6790" s="531"/>
      <c r="AL6790" s="531"/>
      <c r="AM6790" s="531"/>
      <c r="AN6790" s="531"/>
      <c r="AO6790" s="531"/>
      <c r="AR6790" s="761" t="s">
        <v>145</v>
      </c>
      <c r="AS6790" s="764"/>
    </row>
    <row r="6791" spans="1:45" s="520" customFormat="1" ht="12" thickTop="1">
      <c r="A6791" s="51"/>
      <c r="B6791" s="41"/>
      <c r="C6791" s="51"/>
      <c r="E6791" s="42" t="s">
        <v>138</v>
      </c>
      <c r="F6791" s="42" t="s">
        <v>139</v>
      </c>
      <c r="G6791" s="51"/>
      <c r="H6791" s="51"/>
      <c r="I6791" s="51"/>
      <c r="J6791" s="51"/>
      <c r="K6791" s="51" t="s">
        <v>140</v>
      </c>
      <c r="L6791" s="51"/>
      <c r="M6791" s="51"/>
      <c r="N6791" s="51"/>
      <c r="O6791" s="52"/>
      <c r="P6791" s="51"/>
      <c r="Q6791" s="51"/>
      <c r="R6791" s="51"/>
      <c r="S6791" s="51"/>
      <c r="T6791" s="41"/>
      <c r="AG6791" s="521" t="s">
        <v>268</v>
      </c>
      <c r="AH6791" s="521" t="s">
        <v>269</v>
      </c>
      <c r="AI6791" s="521" t="s">
        <v>270</v>
      </c>
      <c r="AJ6791" s="521" t="s">
        <v>271</v>
      </c>
      <c r="AK6791" s="521" t="s">
        <v>272</v>
      </c>
      <c r="AM6791" s="745" t="s">
        <v>281</v>
      </c>
      <c r="AN6791" s="746" t="s">
        <v>282</v>
      </c>
      <c r="AO6791" s="522" t="s">
        <v>278</v>
      </c>
      <c r="AR6791" s="51"/>
      <c r="AS6791" s="42" t="s">
        <v>139</v>
      </c>
    </row>
    <row r="6792" spans="1:45" s="520" customFormat="1" ht="12" customHeight="1">
      <c r="A6792" s="747">
        <v>4</v>
      </c>
      <c r="B6792" s="523" t="s">
        <v>329</v>
      </c>
      <c r="C6792" s="748"/>
      <c r="D6792" s="749" t="s">
        <v>3892</v>
      </c>
      <c r="E6792" s="1145">
        <f>IF(AND($A6792=0,$A$1="DIF"),0, ROUND(ROUND(($R6796*$S$3+($T6796*$T$3))/$A6792,2)*$C$3,2))</f>
        <v>0</v>
      </c>
      <c r="F6792" s="1146">
        <f>ROUND($A6792*$E6792,2)</f>
        <v>0</v>
      </c>
      <c r="G6792" s="752" t="s">
        <v>142</v>
      </c>
      <c r="H6792" s="753"/>
      <c r="I6792" s="754"/>
      <c r="J6792" s="753"/>
      <c r="K6792" s="753" t="s">
        <v>5</v>
      </c>
      <c r="L6792" s="755" t="s">
        <v>143</v>
      </c>
      <c r="M6792" s="755"/>
      <c r="N6792" s="755"/>
      <c r="O6792" s="755"/>
      <c r="P6792" s="755"/>
      <c r="Q6792" s="1058" t="s">
        <v>3687</v>
      </c>
      <c r="T6792" s="1150" t="str">
        <f>IF(AND($R6796=0,$T6796=0),"0.00","mu: "&amp; ROUND(F6792/$C$3/($R6796+$T6796*$D$9),2))</f>
        <v>0.00</v>
      </c>
      <c r="W6792" s="524"/>
      <c r="AG6792" s="1147">
        <f>IF($E6792=0,0,ROUND($R6796*$S$3*$C$3/$A6792,2))</f>
        <v>0</v>
      </c>
      <c r="AH6792" s="1147">
        <f>$AG6792*$A6792</f>
        <v>0</v>
      </c>
      <c r="AI6792" s="1148">
        <f>$E6792-$AG6792</f>
        <v>0</v>
      </c>
      <c r="AJ6792" s="1148">
        <f>$A6792*$AI6792</f>
        <v>0</v>
      </c>
      <c r="AK6792" s="1149">
        <f>ROUND(($AG6792+$AI6792)*$A6792,2)</f>
        <v>0</v>
      </c>
      <c r="AM6792" s="527">
        <f>ROUND(R6796,2)</f>
        <v>0</v>
      </c>
      <c r="AN6792" s="528">
        <f>ROUND(T6796,2)</f>
        <v>0</v>
      </c>
      <c r="AO6792" s="529">
        <f>ROUND(AM6792+AN6792,2)*A6792</f>
        <v>0</v>
      </c>
      <c r="AR6792" s="747">
        <v>4</v>
      </c>
      <c r="AS6792" s="1146">
        <v>0</v>
      </c>
    </row>
    <row r="6793" spans="1:45" s="520" customFormat="1" ht="13.2">
      <c r="A6793" s="748"/>
      <c r="B6793"/>
      <c r="C6793" s="748"/>
      <c r="D6793" s="749" t="s">
        <v>964</v>
      </c>
      <c r="F6793" s="753"/>
      <c r="G6793" s="3"/>
      <c r="H6793" s="753"/>
      <c r="I6793" s="754"/>
      <c r="J6793" s="753"/>
      <c r="K6793" s="753" t="s">
        <v>144</v>
      </c>
      <c r="L6793" s="753"/>
      <c r="M6793" s="753"/>
      <c r="N6793" s="753"/>
      <c r="O6793" s="753"/>
      <c r="P6793" s="753"/>
      <c r="Q6793" s="51"/>
      <c r="R6793" s="530"/>
      <c r="S6793" s="757"/>
      <c r="T6793" s="753"/>
      <c r="AR6793" s="748"/>
      <c r="AS6793" s="753"/>
    </row>
    <row r="6794" spans="1:45" s="901" customFormat="1" ht="13.2">
      <c r="A6794" s="903">
        <v>4</v>
      </c>
      <c r="B6794" s="904" t="s">
        <v>863</v>
      </c>
      <c r="C6794" s="904"/>
      <c r="D6794" s="904" t="s">
        <v>2594</v>
      </c>
      <c r="E6794" s="904"/>
      <c r="F6794" s="904" t="s">
        <v>4139</v>
      </c>
      <c r="G6794" s="905" t="s">
        <v>2595</v>
      </c>
      <c r="H6794" s="902">
        <v>960</v>
      </c>
      <c r="I6794" s="904" t="s">
        <v>2596</v>
      </c>
      <c r="J6794" s="904"/>
      <c r="K6794" s="904"/>
      <c r="L6794" s="904"/>
      <c r="M6794" s="904"/>
      <c r="N6794" s="904"/>
      <c r="O6794" s="902">
        <v>4</v>
      </c>
      <c r="P6794" s="906">
        <v>38274</v>
      </c>
      <c r="Q6794" s="1171"/>
      <c r="R6794" s="908">
        <f>$A6794*Q6794</f>
        <v>0</v>
      </c>
      <c r="S6794" s="907"/>
      <c r="T6794" s="909">
        <f>$A6794*S6794*$T$1</f>
        <v>0</v>
      </c>
      <c r="U6794" s="901" t="s">
        <v>2764</v>
      </c>
      <c r="AR6794" s="903">
        <v>4</v>
      </c>
      <c r="AS6794" s="904" t="s">
        <v>3507</v>
      </c>
    </row>
    <row r="6795" spans="1:45" s="520" customFormat="1" ht="12">
      <c r="A6795" s="758"/>
      <c r="B6795" s="758"/>
      <c r="C6795" s="758"/>
      <c r="D6795" s="758"/>
      <c r="E6795" s="758"/>
      <c r="F6795" s="753"/>
      <c r="G6795" s="758"/>
      <c r="H6795" s="758"/>
      <c r="I6795" s="519"/>
      <c r="J6795" s="758"/>
      <c r="K6795" s="758"/>
      <c r="L6795" s="758"/>
      <c r="M6795" s="758"/>
      <c r="N6795" s="758"/>
      <c r="O6795" s="758"/>
      <c r="P6795" s="758"/>
      <c r="Q6795" s="519"/>
      <c r="R6795" s="759">
        <f t="shared" ref="R6795" si="522">$A6795*Q6795</f>
        <v>0</v>
      </c>
      <c r="S6795" s="519"/>
      <c r="T6795" s="760">
        <f t="shared" ref="T6795" si="523">$A6795*S6795*$T$1</f>
        <v>0</v>
      </c>
      <c r="AR6795" s="758"/>
      <c r="AS6795" s="753"/>
    </row>
    <row r="6796" spans="1:45" s="520" customFormat="1" ht="12.6" thickBot="1">
      <c r="A6796" s="761" t="s">
        <v>145</v>
      </c>
      <c r="B6796" s="762">
        <f>(R6795+T6795)</f>
        <v>0</v>
      </c>
      <c r="C6796" s="763"/>
      <c r="D6796" s="763"/>
      <c r="E6796" s="763"/>
      <c r="F6796" s="764"/>
      <c r="G6796" s="763" t="s">
        <v>146</v>
      </c>
      <c r="H6796" s="763"/>
      <c r="I6796" s="765"/>
      <c r="J6796" s="763"/>
      <c r="K6796" s="763" t="s">
        <v>5</v>
      </c>
      <c r="L6796" s="766" t="s">
        <v>143</v>
      </c>
      <c r="M6796" s="766"/>
      <c r="N6796" s="766"/>
      <c r="O6796" s="766"/>
      <c r="P6796" s="766"/>
      <c r="Q6796" s="767"/>
      <c r="R6796" s="768">
        <f>SUM(R6793:R6795)</f>
        <v>0</v>
      </c>
      <c r="S6796" s="763"/>
      <c r="T6796" s="768">
        <f>SUM(T6793:T6795)</f>
        <v>0</v>
      </c>
      <c r="U6796" s="531"/>
      <c r="V6796" s="531"/>
      <c r="W6796" s="531"/>
      <c r="X6796" s="531"/>
      <c r="Y6796" s="531"/>
      <c r="Z6796" s="531"/>
      <c r="AA6796" s="531"/>
      <c r="AB6796" s="531"/>
      <c r="AC6796" s="531"/>
      <c r="AD6796" s="531"/>
      <c r="AE6796" s="531"/>
      <c r="AF6796" s="531"/>
      <c r="AG6796" s="531"/>
      <c r="AH6796" s="531"/>
      <c r="AI6796" s="531"/>
      <c r="AJ6796" s="531"/>
      <c r="AK6796" s="531"/>
      <c r="AL6796" s="531"/>
      <c r="AM6796" s="531"/>
      <c r="AN6796" s="531"/>
      <c r="AO6796" s="531"/>
      <c r="AR6796" s="761" t="s">
        <v>145</v>
      </c>
      <c r="AS6796" s="764"/>
    </row>
    <row r="6797" spans="1:45" s="520" customFormat="1" ht="12" thickTop="1">
      <c r="A6797" s="51"/>
      <c r="B6797" s="41"/>
      <c r="C6797" s="51"/>
      <c r="E6797" s="42" t="s">
        <v>138</v>
      </c>
      <c r="F6797" s="42" t="s">
        <v>139</v>
      </c>
      <c r="G6797" s="51"/>
      <c r="H6797" s="51"/>
      <c r="I6797" s="51"/>
      <c r="J6797" s="51"/>
      <c r="K6797" s="51" t="s">
        <v>140</v>
      </c>
      <c r="L6797" s="51"/>
      <c r="M6797" s="51"/>
      <c r="N6797" s="51"/>
      <c r="O6797" s="52"/>
      <c r="P6797" s="51"/>
      <c r="Q6797" s="51"/>
      <c r="R6797" s="51"/>
      <c r="S6797" s="51"/>
      <c r="T6797" s="41"/>
      <c r="AG6797" s="521" t="s">
        <v>268</v>
      </c>
      <c r="AH6797" s="521" t="s">
        <v>269</v>
      </c>
      <c r="AI6797" s="521" t="s">
        <v>270</v>
      </c>
      <c r="AJ6797" s="521" t="s">
        <v>271</v>
      </c>
      <c r="AK6797" s="521" t="s">
        <v>272</v>
      </c>
      <c r="AM6797" s="745" t="s">
        <v>281</v>
      </c>
      <c r="AN6797" s="746" t="s">
        <v>282</v>
      </c>
      <c r="AO6797" s="522" t="s">
        <v>278</v>
      </c>
      <c r="AR6797" s="51"/>
      <c r="AS6797" s="42" t="s">
        <v>139</v>
      </c>
    </row>
    <row r="6798" spans="1:45" s="520" customFormat="1" ht="12" customHeight="1">
      <c r="A6798" s="747">
        <v>1</v>
      </c>
      <c r="B6798" s="523" t="s">
        <v>329</v>
      </c>
      <c r="C6798" s="748"/>
      <c r="D6798" s="749" t="s">
        <v>3893</v>
      </c>
      <c r="E6798" s="1145">
        <f>IF(AND($A6798=0,$A$1="DIF"),0, ROUND(ROUND(($R6802*$S$3+($T6802*$T$3))/$A6798,2)*$C$3,2))</f>
        <v>45.71</v>
      </c>
      <c r="F6798" s="1146">
        <f>ROUND($A6798*$E6798,2)</f>
        <v>45.71</v>
      </c>
      <c r="G6798" s="752" t="s">
        <v>142</v>
      </c>
      <c r="H6798" s="753"/>
      <c r="I6798" s="754"/>
      <c r="J6798" s="753"/>
      <c r="K6798" s="753" t="s">
        <v>5</v>
      </c>
      <c r="L6798" s="755" t="s">
        <v>143</v>
      </c>
      <c r="M6798" s="755"/>
      <c r="N6798" s="755"/>
      <c r="O6798" s="755"/>
      <c r="P6798" s="755"/>
      <c r="Q6798" s="51"/>
      <c r="T6798" s="1150" t="str">
        <f>IF(AND($R6802=0,$T6802=0),"0.00","mu: "&amp; ROUND(F6798/$C$3/($R6802+$T6802*$D$9),2))</f>
        <v>mu: 1.13</v>
      </c>
      <c r="W6798" s="524"/>
      <c r="AG6798" s="1147">
        <f>IF($E6798=0,0,ROUND($R6802*$S$3*$C$3/$A6798,2))</f>
        <v>45.71</v>
      </c>
      <c r="AH6798" s="1147">
        <f>$AG6798*$A6798</f>
        <v>45.71</v>
      </c>
      <c r="AI6798" s="1148">
        <f>$E6798-$AG6798</f>
        <v>0</v>
      </c>
      <c r="AJ6798" s="1148">
        <f>$A6798*$AI6798</f>
        <v>0</v>
      </c>
      <c r="AK6798" s="1149">
        <f>ROUND(($AG6798+$AI6798)*$A6798,2)</f>
        <v>45.71</v>
      </c>
      <c r="AM6798" s="527">
        <f>ROUND(R6802,2)</f>
        <v>40.5</v>
      </c>
      <c r="AN6798" s="528">
        <f>ROUND(T6802,2)</f>
        <v>0</v>
      </c>
      <c r="AO6798" s="529">
        <f>ROUND(AM6798+AN6798,2)*A6798</f>
        <v>40.5</v>
      </c>
      <c r="AR6798" s="747">
        <v>1</v>
      </c>
      <c r="AS6798" s="1146">
        <v>48.25</v>
      </c>
    </row>
    <row r="6799" spans="1:45" s="520" customFormat="1" ht="13.2">
      <c r="A6799" s="748"/>
      <c r="B6799"/>
      <c r="C6799" s="748"/>
      <c r="D6799" s="749" t="s">
        <v>965</v>
      </c>
      <c r="F6799" s="753"/>
      <c r="G6799" s="3"/>
      <c r="H6799" s="753"/>
      <c r="I6799" s="754"/>
      <c r="J6799" s="753"/>
      <c r="K6799" s="753" t="s">
        <v>144</v>
      </c>
      <c r="L6799" s="753"/>
      <c r="M6799" s="753"/>
      <c r="N6799" s="753"/>
      <c r="O6799" s="753"/>
      <c r="P6799" s="753"/>
      <c r="Q6799" s="51"/>
      <c r="R6799" s="530"/>
      <c r="S6799" s="757"/>
      <c r="T6799" s="753"/>
      <c r="AR6799" s="748"/>
      <c r="AS6799" s="753"/>
    </row>
    <row r="6800" spans="1:45" s="901" customFormat="1" ht="13.2">
      <c r="A6800" s="903">
        <v>1</v>
      </c>
      <c r="B6800" s="904" t="s">
        <v>863</v>
      </c>
      <c r="C6800" s="904"/>
      <c r="D6800" s="904" t="s">
        <v>2594</v>
      </c>
      <c r="E6800" s="904"/>
      <c r="F6800" s="904" t="s">
        <v>4139</v>
      </c>
      <c r="G6800" s="905" t="s">
        <v>2595</v>
      </c>
      <c r="H6800" s="902">
        <v>960</v>
      </c>
      <c r="I6800" s="904" t="s">
        <v>2596</v>
      </c>
      <c r="J6800" s="904"/>
      <c r="K6800" s="904"/>
      <c r="L6800" s="904"/>
      <c r="M6800" s="904"/>
      <c r="N6800" s="904"/>
      <c r="O6800" s="902">
        <v>4</v>
      </c>
      <c r="P6800" s="906">
        <v>38274</v>
      </c>
      <c r="Q6800" s="1415">
        <f>45*0.9</f>
        <v>40.5</v>
      </c>
      <c r="R6800" s="908">
        <f>$A6800*Q6800</f>
        <v>40.5</v>
      </c>
      <c r="S6800" s="907"/>
      <c r="T6800" s="909">
        <f>$A6800*S6800*$T$1</f>
        <v>0</v>
      </c>
      <c r="AR6800" s="903">
        <v>1</v>
      </c>
      <c r="AS6800" s="904" t="s">
        <v>3507</v>
      </c>
    </row>
    <row r="6801" spans="1:45" s="520" customFormat="1" ht="12">
      <c r="A6801" s="758"/>
      <c r="B6801" s="758"/>
      <c r="C6801" s="758"/>
      <c r="D6801" s="758"/>
      <c r="E6801" s="758"/>
      <c r="F6801" s="753"/>
      <c r="G6801" s="758"/>
      <c r="H6801" s="758"/>
      <c r="I6801" s="519"/>
      <c r="J6801" s="758"/>
      <c r="K6801" s="758"/>
      <c r="L6801" s="758"/>
      <c r="M6801" s="758"/>
      <c r="N6801" s="758"/>
      <c r="O6801" s="758"/>
      <c r="P6801" s="758"/>
      <c r="Q6801" s="519"/>
      <c r="R6801" s="759">
        <f t="shared" ref="R6801" si="524">$A6801*Q6801</f>
        <v>0</v>
      </c>
      <c r="S6801" s="519"/>
      <c r="T6801" s="760">
        <f t="shared" ref="T6801" si="525">$A6801*S6801*$T$1</f>
        <v>0</v>
      </c>
      <c r="AR6801" s="758"/>
      <c r="AS6801" s="753"/>
    </row>
    <row r="6802" spans="1:45" s="520" customFormat="1" ht="12.6" thickBot="1">
      <c r="A6802" s="761" t="s">
        <v>145</v>
      </c>
      <c r="B6802" s="762">
        <f>(R6801+T6801)</f>
        <v>0</v>
      </c>
      <c r="C6802" s="763"/>
      <c r="D6802" s="763"/>
      <c r="E6802" s="763"/>
      <c r="F6802" s="764"/>
      <c r="G6802" s="763" t="s">
        <v>146</v>
      </c>
      <c r="H6802" s="763"/>
      <c r="I6802" s="765"/>
      <c r="J6802" s="763"/>
      <c r="K6802" s="763" t="s">
        <v>5</v>
      </c>
      <c r="L6802" s="766" t="s">
        <v>143</v>
      </c>
      <c r="M6802" s="766"/>
      <c r="N6802" s="766"/>
      <c r="O6802" s="766"/>
      <c r="P6802" s="766"/>
      <c r="Q6802" s="767"/>
      <c r="R6802" s="768">
        <f>SUM(R6799:R6801)</f>
        <v>40.5</v>
      </c>
      <c r="S6802" s="763"/>
      <c r="T6802" s="768">
        <f>SUM(T6799:T6801)</f>
        <v>0</v>
      </c>
      <c r="U6802" s="531"/>
      <c r="V6802" s="531"/>
      <c r="W6802" s="531"/>
      <c r="X6802" s="531"/>
      <c r="Y6802" s="531"/>
      <c r="Z6802" s="531"/>
      <c r="AA6802" s="531"/>
      <c r="AB6802" s="531"/>
      <c r="AC6802" s="531"/>
      <c r="AD6802" s="531"/>
      <c r="AE6802" s="531"/>
      <c r="AF6802" s="531"/>
      <c r="AG6802" s="531"/>
      <c r="AH6802" s="531"/>
      <c r="AI6802" s="531"/>
      <c r="AJ6802" s="531"/>
      <c r="AK6802" s="531"/>
      <c r="AL6802" s="531"/>
      <c r="AM6802" s="531"/>
      <c r="AN6802" s="531"/>
      <c r="AO6802" s="531"/>
      <c r="AR6802" s="761" t="s">
        <v>145</v>
      </c>
      <c r="AS6802" s="764"/>
    </row>
    <row r="6803" spans="1:45" s="520" customFormat="1" ht="12" thickTop="1">
      <c r="A6803" s="48" t="s">
        <v>148</v>
      </c>
      <c r="D6803" s="13"/>
      <c r="E6803" s="42"/>
      <c r="O6803" s="771"/>
      <c r="AR6803" s="48" t="s">
        <v>148</v>
      </c>
    </row>
    <row r="6804" spans="1:45" s="520" customFormat="1" ht="13.2">
      <c r="B6804" s="3"/>
      <c r="O6804" s="771"/>
    </row>
    <row r="6805" spans="1:45" s="520" customFormat="1" ht="12">
      <c r="B6805" s="772">
        <f ca="1">$F6805/$C$2-($R6805*$S$2+$T6805*$T$2)</f>
        <v>-586.49304248487169</v>
      </c>
      <c r="D6805" s="773" t="s">
        <v>3642</v>
      </c>
      <c r="E6805" s="774"/>
      <c r="F6805" s="775">
        <f ca="1">SUMIF($L6638:$L6803,"ITEM",F6638:F6803)</f>
        <v>10989.109999999997</v>
      </c>
      <c r="G6805" s="758"/>
      <c r="H6805" s="758"/>
      <c r="I6805" s="519"/>
      <c r="J6805" s="758"/>
      <c r="K6805" s="758"/>
      <c r="L6805" s="755" t="s">
        <v>157</v>
      </c>
      <c r="M6805" s="755"/>
      <c r="N6805" s="755"/>
      <c r="O6805" s="755"/>
      <c r="P6805" s="755"/>
      <c r="R6805" s="775">
        <f ca="1">SUMIF($L6638:$L6803,"ITEM",R6638:R6803)</f>
        <v>7216.1652173913035</v>
      </c>
      <c r="S6805" s="776"/>
      <c r="T6805" s="775">
        <f ca="1">SUMIF($L6638:$L6803,"ITEM",T6638:T6803)</f>
        <v>79.556521739130432</v>
      </c>
      <c r="AS6805" s="775">
        <v>15550.75</v>
      </c>
    </row>
    <row r="6806" spans="1:45" s="520" customFormat="1" ht="13.2">
      <c r="A6806" s="51"/>
      <c r="B6806" s="49" t="s">
        <v>1064</v>
      </c>
      <c r="C6806" s="51"/>
      <c r="D6806" s="3"/>
      <c r="F6806" s="777" t="s">
        <v>158</v>
      </c>
      <c r="G6806" s="758"/>
      <c r="H6806" s="758"/>
      <c r="I6806" s="519"/>
      <c r="J6806" s="758"/>
      <c r="K6806" s="758"/>
      <c r="L6806" s="758"/>
      <c r="M6806" s="758"/>
      <c r="N6806" s="758"/>
      <c r="O6806" s="758"/>
      <c r="P6806" s="758"/>
      <c r="Q6806" s="778"/>
      <c r="R6806" s="777" t="s">
        <v>159</v>
      </c>
      <c r="S6806" s="38"/>
      <c r="T6806" s="777" t="s">
        <v>160</v>
      </c>
      <c r="AR6806" s="51"/>
      <c r="AS6806" s="777" t="s">
        <v>158</v>
      </c>
    </row>
    <row r="6807" spans="1:45" s="520" customFormat="1" ht="13.2">
      <c r="A6807" s="758"/>
      <c r="B6807" s="3"/>
      <c r="C6807" s="758"/>
      <c r="D6807" s="3"/>
      <c r="E6807" s="3"/>
      <c r="G6807" s="3"/>
      <c r="H6807" s="3"/>
      <c r="I6807" s="3"/>
      <c r="J6807" s="3"/>
      <c r="K6807" s="3"/>
      <c r="L6807" s="3"/>
      <c r="M6807" s="3"/>
      <c r="N6807" s="3"/>
      <c r="O6807" s="107"/>
      <c r="P6807" s="3"/>
      <c r="Q6807" s="3"/>
      <c r="R6807" s="3"/>
      <c r="S6807" s="3"/>
      <c r="T6807" s="3"/>
      <c r="AR6807" s="758"/>
    </row>
    <row r="6808" spans="1:45" s="520" customFormat="1" ht="12" thickBot="1">
      <c r="A6808" s="531"/>
      <c r="B6808" s="763"/>
      <c r="C6808" s="763"/>
      <c r="D6808" s="531"/>
      <c r="E6808" s="39"/>
      <c r="F6808" s="779"/>
      <c r="G6808" s="763"/>
      <c r="H6808" s="763"/>
      <c r="I6808" s="765"/>
      <c r="J6808" s="763"/>
      <c r="K6808" s="763"/>
      <c r="L6808" s="766"/>
      <c r="M6808" s="766"/>
      <c r="N6808" s="766"/>
      <c r="O6808" s="766"/>
      <c r="P6808" s="766"/>
      <c r="Q6808" s="767"/>
      <c r="R6808" s="779"/>
      <c r="S6808" s="780"/>
      <c r="T6808" s="779"/>
      <c r="U6808" s="531"/>
      <c r="V6808" s="531"/>
      <c r="W6808" s="531"/>
      <c r="X6808" s="531"/>
      <c r="Y6808" s="531"/>
      <c r="Z6808" s="531"/>
      <c r="AA6808" s="531"/>
      <c r="AB6808" s="531"/>
      <c r="AC6808" s="531"/>
      <c r="AD6808" s="531"/>
      <c r="AE6808" s="531"/>
      <c r="AF6808" s="531"/>
      <c r="AG6808" s="531"/>
      <c r="AH6808" s="531"/>
      <c r="AI6808" s="531"/>
      <c r="AJ6808" s="531"/>
      <c r="AK6808" s="531"/>
      <c r="AR6808" s="531"/>
      <c r="AS6808" s="779"/>
    </row>
    <row r="6809" spans="1:45" s="520" customFormat="1" thickTop="1">
      <c r="A6809" s="51"/>
      <c r="B6809" s="51"/>
      <c r="C6809" s="3"/>
      <c r="D6809" s="3"/>
      <c r="E6809" s="51"/>
      <c r="F6809" s="51"/>
      <c r="G6809" s="51"/>
      <c r="H6809" s="51"/>
      <c r="I6809" s="51"/>
      <c r="J6809" s="51"/>
      <c r="K6809" s="51" t="s">
        <v>134</v>
      </c>
      <c r="L6809" s="51"/>
      <c r="M6809" s="51"/>
      <c r="N6809" s="51"/>
      <c r="O6809" s="52"/>
      <c r="P6809" s="51"/>
      <c r="Q6809" s="51"/>
      <c r="R6809" s="51"/>
      <c r="S6809" s="51"/>
      <c r="T6809" s="51"/>
      <c r="AR6809" s="51"/>
      <c r="AS6809" s="51"/>
    </row>
    <row r="6810" spans="1:45" s="520" customFormat="1" ht="12">
      <c r="A6810" s="51"/>
      <c r="B6810" s="51"/>
      <c r="C6810" s="51" t="s">
        <v>135</v>
      </c>
      <c r="D6810" s="37"/>
      <c r="E6810" s="51"/>
      <c r="F6810" s="51"/>
      <c r="G6810" s="51"/>
      <c r="H6810" s="51"/>
      <c r="I6810" s="51"/>
      <c r="J6810" s="51"/>
      <c r="K6810" s="51"/>
      <c r="L6810" s="51"/>
      <c r="M6810" s="51"/>
      <c r="N6810" s="51"/>
      <c r="O6810" s="52"/>
      <c r="P6810" s="51"/>
      <c r="Q6810" s="51"/>
      <c r="R6810" s="51"/>
      <c r="S6810" s="51"/>
      <c r="T6810" s="51"/>
      <c r="AR6810" s="51"/>
      <c r="AS6810" s="51"/>
    </row>
    <row r="6811" spans="1:45" s="520" customFormat="1" ht="12">
      <c r="A6811" s="51"/>
      <c r="B6811" s="51"/>
      <c r="C6811" s="51"/>
      <c r="D6811" s="37" t="s">
        <v>967</v>
      </c>
      <c r="E6811" s="51"/>
      <c r="F6811" s="51"/>
      <c r="G6811" s="51"/>
      <c r="H6811" s="51"/>
      <c r="I6811" s="51"/>
      <c r="J6811" s="51"/>
      <c r="K6811" s="51"/>
      <c r="L6811" s="51"/>
      <c r="M6811" s="51"/>
      <c r="N6811" s="51"/>
      <c r="O6811" s="52"/>
      <c r="P6811" s="51"/>
      <c r="Q6811" s="51"/>
      <c r="R6811" s="51"/>
      <c r="S6811" s="38"/>
      <c r="T6811" s="38"/>
      <c r="AR6811" s="51"/>
      <c r="AS6811" s="51"/>
    </row>
    <row r="6812" spans="1:45" s="3" customFormat="1" thickBot="1">
      <c r="A6812" s="531"/>
      <c r="O6812" s="107"/>
      <c r="AR6812" s="531"/>
    </row>
    <row r="6813" spans="1:45" s="520" customFormat="1" thickTop="1">
      <c r="A6813" s="51"/>
      <c r="B6813" s="51"/>
      <c r="C6813" s="3"/>
      <c r="D6813" s="3"/>
      <c r="E6813" s="51"/>
      <c r="F6813" s="51"/>
      <c r="G6813" s="51"/>
      <c r="H6813" s="51"/>
      <c r="I6813" s="51"/>
      <c r="J6813" s="51"/>
      <c r="K6813" s="51" t="s">
        <v>134</v>
      </c>
      <c r="L6813" s="51"/>
      <c r="M6813" s="51"/>
      <c r="N6813" s="51"/>
      <c r="O6813" s="52"/>
      <c r="P6813" s="51"/>
      <c r="Q6813" s="51"/>
      <c r="R6813" s="51"/>
      <c r="S6813" s="51"/>
      <c r="T6813" s="51"/>
      <c r="AR6813" s="51"/>
      <c r="AS6813" s="51"/>
    </row>
    <row r="6814" spans="1:45" s="520" customFormat="1" ht="12">
      <c r="A6814" s="51"/>
      <c r="B6814" s="51"/>
      <c r="C6814" s="51" t="s">
        <v>135</v>
      </c>
      <c r="D6814" s="37"/>
      <c r="E6814" s="51"/>
      <c r="F6814" s="51"/>
      <c r="G6814" s="51"/>
      <c r="H6814" s="51"/>
      <c r="I6814" s="51"/>
      <c r="J6814" s="51"/>
      <c r="K6814" s="51"/>
      <c r="L6814" s="51"/>
      <c r="M6814" s="51"/>
      <c r="N6814" s="51"/>
      <c r="O6814" s="52"/>
      <c r="P6814" s="51"/>
      <c r="Q6814" s="51"/>
      <c r="R6814" s="51"/>
      <c r="S6814" s="51"/>
      <c r="T6814" s="51"/>
      <c r="AR6814" s="51"/>
      <c r="AS6814" s="51"/>
    </row>
    <row r="6815" spans="1:45" s="520" customFormat="1" ht="39.9" customHeight="1">
      <c r="A6815" s="51"/>
      <c r="B6815" s="51"/>
      <c r="C6815" s="51"/>
      <c r="D6815" s="1453" t="s">
        <v>1941</v>
      </c>
      <c r="E6815" s="1452"/>
      <c r="F6815" s="1452"/>
      <c r="G6815" s="1452"/>
      <c r="H6815" s="1452"/>
      <c r="I6815" s="1452"/>
      <c r="J6815" s="1452"/>
      <c r="K6815" s="1452"/>
      <c r="L6815" s="1452"/>
      <c r="M6815" s="1452"/>
      <c r="N6815" s="1452"/>
      <c r="O6815" s="1452"/>
      <c r="P6815" s="1452"/>
      <c r="Q6815" s="1452"/>
      <c r="R6815" s="1452"/>
      <c r="S6815" s="1452"/>
      <c r="T6815" s="1452"/>
      <c r="AR6815" s="51"/>
    </row>
    <row r="6816" spans="1:45" s="3" customFormat="1" thickBot="1">
      <c r="A6816" s="531"/>
      <c r="O6816" s="107"/>
      <c r="AR6816" s="531"/>
    </row>
    <row r="6817" spans="1:45" s="520" customFormat="1" ht="12" thickTop="1">
      <c r="A6817" s="51"/>
      <c r="B6817" s="41"/>
      <c r="C6817" s="51"/>
      <c r="E6817" s="42" t="s">
        <v>138</v>
      </c>
      <c r="F6817" s="42" t="s">
        <v>139</v>
      </c>
      <c r="G6817" s="51"/>
      <c r="H6817" s="51"/>
      <c r="I6817" s="51"/>
      <c r="J6817" s="51"/>
      <c r="K6817" s="51" t="s">
        <v>140</v>
      </c>
      <c r="L6817" s="51"/>
      <c r="M6817" s="51"/>
      <c r="N6817" s="51"/>
      <c r="O6817" s="52"/>
      <c r="P6817" s="51"/>
      <c r="Q6817" s="51"/>
      <c r="R6817" s="51"/>
      <c r="S6817" s="51"/>
      <c r="T6817" s="41"/>
      <c r="AG6817" s="521" t="s">
        <v>268</v>
      </c>
      <c r="AH6817" s="521" t="s">
        <v>269</v>
      </c>
      <c r="AI6817" s="521" t="s">
        <v>270</v>
      </c>
      <c r="AJ6817" s="521" t="s">
        <v>271</v>
      </c>
      <c r="AK6817" s="521" t="s">
        <v>272</v>
      </c>
      <c r="AM6817" s="745" t="s">
        <v>281</v>
      </c>
      <c r="AN6817" s="746" t="s">
        <v>282</v>
      </c>
      <c r="AO6817" s="522" t="s">
        <v>278</v>
      </c>
      <c r="AR6817" s="51"/>
      <c r="AS6817" s="42" t="s">
        <v>139</v>
      </c>
    </row>
    <row r="6818" spans="1:45" s="520" customFormat="1" ht="12" customHeight="1">
      <c r="A6818" s="747">
        <v>28</v>
      </c>
      <c r="B6818" s="523" t="s">
        <v>329</v>
      </c>
      <c r="C6818" s="748"/>
      <c r="D6818" s="749" t="s">
        <v>3894</v>
      </c>
      <c r="E6818" s="750">
        <f ca="1">IF(AND($A6818=0,$A$1="DIF"),0, ROUND(ROUND(($R6823*$S$2+($T6823*$T$2))/A6818,2)*$C$2,2))</f>
        <v>47.94</v>
      </c>
      <c r="F6818" s="751">
        <f ca="1">ROUND($A6818*$E6818,2)</f>
        <v>1342.32</v>
      </c>
      <c r="G6818" s="752" t="s">
        <v>142</v>
      </c>
      <c r="H6818" s="753"/>
      <c r="I6818" s="754"/>
      <c r="J6818" s="753"/>
      <c r="K6818" s="753" t="s">
        <v>3</v>
      </c>
      <c r="L6818" s="755" t="s">
        <v>143</v>
      </c>
      <c r="M6818" s="755"/>
      <c r="N6818" s="755"/>
      <c r="O6818" s="755"/>
      <c r="P6818" s="755"/>
      <c r="Q6818" s="51"/>
      <c r="T6818" s="756" t="str">
        <f ca="1">IF(AND($R6823=0,$T6823=0),"0.00","mu :" &amp; ROUND($F6818/$C$2/($R6823+$T6823*$D$9),2))</f>
        <v>mu :1.23</v>
      </c>
      <c r="W6818" s="524"/>
      <c r="AG6818" s="481">
        <f ca="1">IF($E6818=0,0,ROUND($R6823*$S$2*$C$2/$A6818,2))</f>
        <v>15.15</v>
      </c>
      <c r="AH6818" s="481">
        <f ca="1">$AG6818*$A6818</f>
        <v>424.2</v>
      </c>
      <c r="AI6818" s="525">
        <f ca="1">$E6818-$AG6818</f>
        <v>32.79</v>
      </c>
      <c r="AJ6818" s="525">
        <f ca="1">$A6818*$AI6818</f>
        <v>918.12</v>
      </c>
      <c r="AK6818" s="526">
        <f ca="1">ROUND(($AG6818+$AI6818)*$A6818,2)</f>
        <v>1342.32</v>
      </c>
      <c r="AM6818" s="527">
        <f ca="1">ROUND(R6823,2)</f>
        <v>344.4</v>
      </c>
      <c r="AN6818" s="528">
        <f ca="1">ROUND(T6823,2)</f>
        <v>27.16</v>
      </c>
      <c r="AO6818" s="529">
        <f ca="1">ROUND(AM6818+AN6818,2)*A6818</f>
        <v>10403.68</v>
      </c>
      <c r="AR6818" s="747">
        <v>28</v>
      </c>
      <c r="AS6818" s="751">
        <v>1446.48</v>
      </c>
    </row>
    <row r="6819" spans="1:45" s="520" customFormat="1" ht="13.2">
      <c r="A6819" s="748"/>
      <c r="B6819"/>
      <c r="C6819" s="748"/>
      <c r="D6819" s="749" t="s">
        <v>947</v>
      </c>
      <c r="F6819" s="753"/>
      <c r="G6819" s="3"/>
      <c r="H6819" s="753"/>
      <c r="I6819" s="754"/>
      <c r="J6819" s="753"/>
      <c r="K6819" s="753" t="s">
        <v>144</v>
      </c>
      <c r="L6819" s="753"/>
      <c r="M6819" s="753"/>
      <c r="N6819" s="753"/>
      <c r="O6819" s="753"/>
      <c r="P6819" s="753"/>
      <c r="Q6819" s="51"/>
      <c r="R6819" s="530"/>
      <c r="S6819" s="757"/>
      <c r="T6819" s="753"/>
      <c r="AR6819" s="748"/>
      <c r="AS6819" s="753"/>
    </row>
    <row r="6820" spans="1:45" s="886" customFormat="1" ht="13.2">
      <c r="A6820"/>
      <c r="B6820" s="910"/>
      <c r="C6820" s="910" t="s">
        <v>2597</v>
      </c>
      <c r="D6820" s="910" t="str">
        <f ca="1">CELL("Address",Elec_Rates!D$1017)</f>
        <v>[E25_0062_Quintano_Foods_Elec_ELV_As_Awarded.xlsx]Elec_Rates!$D$1017</v>
      </c>
      <c r="E6820" s="911"/>
      <c r="F6820" s="911"/>
      <c r="G6820" s="912" t="s">
        <v>2598</v>
      </c>
      <c r="H6820" s="912"/>
      <c r="I6820" s="912"/>
      <c r="J6820" s="912"/>
      <c r="K6820" s="913"/>
      <c r="L6820" s="911"/>
      <c r="M6820" s="911"/>
      <c r="N6820" s="911"/>
      <c r="O6820" s="914"/>
      <c r="P6820" s="911"/>
      <c r="Q6820" s="915"/>
      <c r="R6820" s="916"/>
      <c r="S6820" s="915"/>
      <c r="T6820" s="917"/>
      <c r="U6820" s="918"/>
      <c r="AR6820"/>
      <c r="AS6820" s="911"/>
    </row>
    <row r="6821" spans="1:45" s="886" customFormat="1" ht="11.4">
      <c r="A6821" s="919">
        <v>28</v>
      </c>
      <c r="B6821" s="920">
        <v>1</v>
      </c>
      <c r="C6821" s="920">
        <f>$A6821*$B6821</f>
        <v>28</v>
      </c>
      <c r="D6821" s="921" t="str">
        <f>Elec_Rates!$D$1017</f>
        <v>090# LSZH Conduit point for Data</v>
      </c>
      <c r="E6821" s="921"/>
      <c r="F6821" s="921" t="s">
        <v>2599</v>
      </c>
      <c r="G6821" s="922" t="s">
        <v>2600</v>
      </c>
      <c r="H6821" s="922"/>
      <c r="I6821" s="922"/>
      <c r="J6821" s="922"/>
      <c r="K6821" s="923"/>
      <c r="L6821" s="918"/>
      <c r="M6821" s="918"/>
      <c r="N6821" s="918"/>
      <c r="O6821" s="924"/>
      <c r="P6821" s="921"/>
      <c r="Q6821" s="925">
        <f ca="1">$B6821*Elec_Rates!$R$1017</f>
        <v>12.3</v>
      </c>
      <c r="R6821" s="916">
        <f ca="1">$A6821*Q6821</f>
        <v>344.40000000000003</v>
      </c>
      <c r="S6821" s="925">
        <f ca="1">$B6821*Elec_Rates!$T$1017</f>
        <v>0.97</v>
      </c>
      <c r="T6821" s="917">
        <f ca="1">$A6821*S6821</f>
        <v>27.16</v>
      </c>
      <c r="U6821" s="926"/>
      <c r="AR6821" s="919">
        <v>28</v>
      </c>
      <c r="AS6821" s="921" t="s">
        <v>2599</v>
      </c>
    </row>
    <row r="6822" spans="1:45" s="520" customFormat="1" ht="12">
      <c r="A6822" s="758"/>
      <c r="B6822" s="758"/>
      <c r="C6822" s="758"/>
      <c r="D6822" s="758"/>
      <c r="E6822" s="758"/>
      <c r="F6822" s="753"/>
      <c r="G6822" s="758"/>
      <c r="H6822" s="758"/>
      <c r="I6822" s="519"/>
      <c r="J6822" s="758"/>
      <c r="K6822" s="758"/>
      <c r="L6822" s="758"/>
      <c r="M6822" s="758"/>
      <c r="N6822" s="758"/>
      <c r="O6822" s="758"/>
      <c r="P6822" s="758"/>
      <c r="Q6822" s="519"/>
      <c r="R6822" s="759">
        <f t="shared" ref="R6822" si="526">$A6822*Q6822</f>
        <v>0</v>
      </c>
      <c r="S6822" s="519"/>
      <c r="T6822" s="760">
        <f t="shared" ref="T6822" si="527">$A6822*S6822*$T$1</f>
        <v>0</v>
      </c>
      <c r="AR6822" s="758"/>
      <c r="AS6822" s="753"/>
    </row>
    <row r="6823" spans="1:45" s="520" customFormat="1" ht="12.6" thickBot="1">
      <c r="A6823" s="761" t="s">
        <v>145</v>
      </c>
      <c r="B6823" s="762">
        <f>(R6822+T6822)</f>
        <v>0</v>
      </c>
      <c r="C6823" s="763"/>
      <c r="D6823" s="763"/>
      <c r="E6823" s="763"/>
      <c r="F6823" s="764"/>
      <c r="G6823" s="763" t="s">
        <v>146</v>
      </c>
      <c r="H6823" s="763"/>
      <c r="I6823" s="765"/>
      <c r="J6823" s="763"/>
      <c r="K6823" s="763" t="s">
        <v>3</v>
      </c>
      <c r="L6823" s="766" t="s">
        <v>143</v>
      </c>
      <c r="M6823" s="766"/>
      <c r="N6823" s="766"/>
      <c r="O6823" s="766"/>
      <c r="P6823" s="766"/>
      <c r="Q6823" s="767"/>
      <c r="R6823" s="768">
        <f ca="1">SUM(R6819:R6822)</f>
        <v>344.40000000000003</v>
      </c>
      <c r="S6823" s="763"/>
      <c r="T6823" s="768">
        <f ca="1">SUM(T6819:T6822)</f>
        <v>27.16</v>
      </c>
      <c r="U6823" s="531"/>
      <c r="V6823" s="531"/>
      <c r="W6823" s="531"/>
      <c r="X6823" s="531"/>
      <c r="Y6823" s="531"/>
      <c r="Z6823" s="531"/>
      <c r="AA6823" s="531"/>
      <c r="AB6823" s="531"/>
      <c r="AC6823" s="531"/>
      <c r="AD6823" s="531"/>
      <c r="AE6823" s="531"/>
      <c r="AF6823" s="531"/>
      <c r="AG6823" s="531"/>
      <c r="AH6823" s="531"/>
      <c r="AI6823" s="531"/>
      <c r="AJ6823" s="531"/>
      <c r="AK6823" s="531"/>
      <c r="AL6823" s="531"/>
      <c r="AM6823" s="531"/>
      <c r="AN6823" s="531"/>
      <c r="AO6823" s="531"/>
      <c r="AR6823" s="761" t="s">
        <v>145</v>
      </c>
      <c r="AS6823" s="764"/>
    </row>
    <row r="6824" spans="1:45" s="520" customFormat="1" thickTop="1">
      <c r="A6824" s="51"/>
      <c r="B6824" s="51"/>
      <c r="C6824" s="3"/>
      <c r="D6824" s="3"/>
      <c r="E6824" s="51"/>
      <c r="F6824" s="51"/>
      <c r="G6824" s="51"/>
      <c r="H6824" s="51"/>
      <c r="I6824" s="51"/>
      <c r="J6824" s="51"/>
      <c r="K6824" s="51" t="s">
        <v>134</v>
      </c>
      <c r="L6824" s="51"/>
      <c r="M6824" s="51"/>
      <c r="N6824" s="51"/>
      <c r="O6824" s="52"/>
      <c r="P6824" s="51"/>
      <c r="Q6824" s="51"/>
      <c r="R6824" s="51"/>
      <c r="S6824" s="51"/>
      <c r="T6824" s="51"/>
      <c r="AR6824" s="51"/>
      <c r="AS6824" s="51"/>
    </row>
    <row r="6825" spans="1:45" s="520" customFormat="1" ht="12">
      <c r="A6825" s="51"/>
      <c r="B6825" s="51"/>
      <c r="C6825" s="51" t="s">
        <v>135</v>
      </c>
      <c r="D6825" s="37"/>
      <c r="E6825" s="51"/>
      <c r="F6825" s="51"/>
      <c r="G6825" s="51"/>
      <c r="H6825" s="51"/>
      <c r="I6825" s="51"/>
      <c r="J6825" s="51"/>
      <c r="K6825" s="51"/>
      <c r="L6825" s="51"/>
      <c r="M6825" s="51"/>
      <c r="N6825" s="51"/>
      <c r="O6825" s="52"/>
      <c r="P6825" s="51"/>
      <c r="Q6825" s="51"/>
      <c r="R6825" s="51"/>
      <c r="S6825" s="51"/>
      <c r="T6825" s="51"/>
      <c r="AR6825" s="51"/>
      <c r="AS6825" s="51"/>
    </row>
    <row r="6826" spans="1:45" s="520" customFormat="1" ht="39.9" customHeight="1">
      <c r="A6826" s="51"/>
      <c r="B6826" s="51"/>
      <c r="C6826" s="51"/>
      <c r="D6826" s="1453" t="s">
        <v>969</v>
      </c>
      <c r="E6826" s="1452"/>
      <c r="F6826" s="1452"/>
      <c r="G6826" s="1452"/>
      <c r="H6826" s="1452"/>
      <c r="I6826" s="1452"/>
      <c r="J6826" s="1452"/>
      <c r="K6826" s="1452"/>
      <c r="L6826" s="1452"/>
      <c r="M6826" s="1452"/>
      <c r="N6826" s="1452"/>
      <c r="O6826" s="1452"/>
      <c r="P6826" s="1452"/>
      <c r="Q6826" s="1452"/>
      <c r="R6826" s="1452"/>
      <c r="S6826" s="1452"/>
      <c r="T6826" s="1452"/>
      <c r="AR6826" s="51"/>
    </row>
    <row r="6827" spans="1:45" s="3" customFormat="1" thickBot="1">
      <c r="A6827" s="531"/>
      <c r="O6827" s="107"/>
      <c r="AR6827" s="531"/>
    </row>
    <row r="6828" spans="1:45" s="520" customFormat="1" ht="12" thickTop="1">
      <c r="A6828" s="51"/>
      <c r="B6828" s="41"/>
      <c r="C6828" s="51"/>
      <c r="E6828" s="42" t="s">
        <v>138</v>
      </c>
      <c r="F6828" s="42" t="s">
        <v>139</v>
      </c>
      <c r="G6828" s="51"/>
      <c r="H6828" s="51"/>
      <c r="I6828" s="51"/>
      <c r="J6828" s="51"/>
      <c r="K6828" s="51" t="s">
        <v>140</v>
      </c>
      <c r="L6828" s="51"/>
      <c r="M6828" s="51"/>
      <c r="N6828" s="51"/>
      <c r="O6828" s="52"/>
      <c r="P6828" s="51"/>
      <c r="Q6828" s="51"/>
      <c r="R6828" s="51"/>
      <c r="S6828" s="51"/>
      <c r="T6828" s="41"/>
      <c r="AG6828" s="521" t="s">
        <v>268</v>
      </c>
      <c r="AH6828" s="521" t="s">
        <v>269</v>
      </c>
      <c r="AI6828" s="521" t="s">
        <v>270</v>
      </c>
      <c r="AJ6828" s="521" t="s">
        <v>271</v>
      </c>
      <c r="AK6828" s="521" t="s">
        <v>272</v>
      </c>
      <c r="AM6828" s="745" t="s">
        <v>281</v>
      </c>
      <c r="AN6828" s="746" t="s">
        <v>282</v>
      </c>
      <c r="AO6828" s="522" t="s">
        <v>278</v>
      </c>
      <c r="AR6828" s="51"/>
      <c r="AS6828" s="42" t="s">
        <v>139</v>
      </c>
    </row>
    <row r="6829" spans="1:45" s="520" customFormat="1" ht="12" customHeight="1">
      <c r="A6829" s="747">
        <v>6</v>
      </c>
      <c r="B6829" s="523" t="s">
        <v>329</v>
      </c>
      <c r="C6829" s="748"/>
      <c r="D6829" s="749" t="s">
        <v>3895</v>
      </c>
      <c r="E6829" s="1145">
        <f>IF(AND($A6829=0,$A$1="DIF"),0, ROUND(ROUND(($R6833*$S$3+($T6833*$T$3))/$A6829,2)*$C$3,2))</f>
        <v>64</v>
      </c>
      <c r="F6829" s="1146">
        <f>ROUND($A6829*$E6829,2)</f>
        <v>384</v>
      </c>
      <c r="G6829" s="752" t="s">
        <v>142</v>
      </c>
      <c r="H6829" s="753"/>
      <c r="I6829" s="754"/>
      <c r="J6829" s="753"/>
      <c r="K6829" s="753" t="s">
        <v>5</v>
      </c>
      <c r="L6829" s="755" t="s">
        <v>143</v>
      </c>
      <c r="M6829" s="755"/>
      <c r="N6829" s="755"/>
      <c r="O6829" s="755"/>
      <c r="P6829" s="755"/>
      <c r="Q6829" s="51"/>
      <c r="T6829" s="1150" t="str">
        <f>IF(AND($R6833=0,$T6833=0),"0.00","mu: "&amp; ROUND(F6829/$C$3/($R6833+$T6833*$D$9),2))</f>
        <v>mu: 1.13</v>
      </c>
      <c r="W6829" s="524"/>
      <c r="AG6829" s="1147">
        <f>IF($E6829=0,0,ROUND($R6833*$S$3*$C$3/$A6829,2))</f>
        <v>64</v>
      </c>
      <c r="AH6829" s="1147">
        <f>$AG6829*$A6829</f>
        <v>384</v>
      </c>
      <c r="AI6829" s="1148">
        <f>$E6829-$AG6829</f>
        <v>0</v>
      </c>
      <c r="AJ6829" s="1148">
        <f>$A6829*$AI6829</f>
        <v>0</v>
      </c>
      <c r="AK6829" s="1149">
        <f>ROUND(($AG6829+$AI6829)*$A6829,2)</f>
        <v>384</v>
      </c>
      <c r="AM6829" s="527">
        <f>ROUND(R6833,2)</f>
        <v>340.2</v>
      </c>
      <c r="AN6829" s="528">
        <f>ROUND(T6833,2)</f>
        <v>0</v>
      </c>
      <c r="AO6829" s="529">
        <f>ROUND(AM6829+AN6829,2)*A6829</f>
        <v>2041.1999999999998</v>
      </c>
      <c r="AR6829" s="747">
        <v>6</v>
      </c>
      <c r="AS6829" s="1146">
        <v>611.22</v>
      </c>
    </row>
    <row r="6830" spans="1:45" s="520" customFormat="1" ht="13.2">
      <c r="A6830" s="748"/>
      <c r="B6830"/>
      <c r="C6830" s="748"/>
      <c r="D6830" s="749" t="s">
        <v>949</v>
      </c>
      <c r="F6830" s="753"/>
      <c r="G6830" s="3"/>
      <c r="H6830" s="753"/>
      <c r="I6830" s="754"/>
      <c r="J6830" s="753"/>
      <c r="K6830" s="753" t="s">
        <v>144</v>
      </c>
      <c r="L6830" s="753"/>
      <c r="M6830" s="753"/>
      <c r="N6830" s="753"/>
      <c r="O6830" s="753"/>
      <c r="P6830" s="753"/>
      <c r="Q6830" s="51"/>
      <c r="R6830" s="530"/>
      <c r="S6830" s="757"/>
      <c r="T6830" s="753"/>
      <c r="AR6830" s="748"/>
      <c r="AS6830" s="753"/>
    </row>
    <row r="6831" spans="1:45" s="901" customFormat="1" ht="13.2">
      <c r="A6831" s="903">
        <v>6</v>
      </c>
      <c r="B6831" s="904" t="s">
        <v>863</v>
      </c>
      <c r="C6831" s="904"/>
      <c r="D6831" s="904" t="s">
        <v>2594</v>
      </c>
      <c r="E6831" s="904"/>
      <c r="F6831" s="904" t="s">
        <v>4139</v>
      </c>
      <c r="G6831" s="905" t="s">
        <v>2595</v>
      </c>
      <c r="H6831" s="902">
        <v>960</v>
      </c>
      <c r="I6831" s="904" t="s">
        <v>2596</v>
      </c>
      <c r="J6831" s="904"/>
      <c r="K6831" s="904"/>
      <c r="L6831" s="904"/>
      <c r="M6831" s="904"/>
      <c r="N6831" s="904"/>
      <c r="O6831" s="902">
        <v>4</v>
      </c>
      <c r="P6831" s="906">
        <v>38274</v>
      </c>
      <c r="Q6831" s="1415">
        <f>1.05*60*0.9</f>
        <v>56.7</v>
      </c>
      <c r="R6831" s="908">
        <f>$A6831*Q6831</f>
        <v>340.20000000000005</v>
      </c>
      <c r="S6831" s="907"/>
      <c r="T6831" s="909">
        <f>$A6831*S6831*$T$1</f>
        <v>0</v>
      </c>
      <c r="AR6831" s="903">
        <v>6</v>
      </c>
      <c r="AS6831" s="904" t="s">
        <v>3507</v>
      </c>
    </row>
    <row r="6832" spans="1:45" s="520" customFormat="1" ht="12">
      <c r="A6832" s="758"/>
      <c r="B6832" s="758"/>
      <c r="C6832" s="758"/>
      <c r="D6832" s="758"/>
      <c r="E6832" s="758"/>
      <c r="F6832" s="753"/>
      <c r="G6832" s="758"/>
      <c r="H6832" s="758"/>
      <c r="I6832" s="519"/>
      <c r="J6832" s="758"/>
      <c r="K6832" s="758"/>
      <c r="L6832" s="758"/>
      <c r="M6832" s="758"/>
      <c r="N6832" s="758"/>
      <c r="O6832" s="758"/>
      <c r="P6832" s="758"/>
      <c r="Q6832" s="519"/>
      <c r="R6832" s="759">
        <f t="shared" ref="R6832" si="528">$A6832*Q6832</f>
        <v>0</v>
      </c>
      <c r="S6832" s="519"/>
      <c r="T6832" s="760">
        <f t="shared" ref="T6832" si="529">$A6832*S6832*$T$1</f>
        <v>0</v>
      </c>
      <c r="AR6832" s="758"/>
      <c r="AS6832" s="753"/>
    </row>
    <row r="6833" spans="1:45" s="520" customFormat="1" ht="12.6" thickBot="1">
      <c r="A6833" s="761" t="s">
        <v>145</v>
      </c>
      <c r="B6833" s="762">
        <f>(R6832+T6832)</f>
        <v>0</v>
      </c>
      <c r="C6833" s="763"/>
      <c r="D6833" s="763"/>
      <c r="E6833" s="763"/>
      <c r="F6833" s="764"/>
      <c r="G6833" s="763" t="s">
        <v>146</v>
      </c>
      <c r="H6833" s="763"/>
      <c r="I6833" s="765"/>
      <c r="J6833" s="763"/>
      <c r="K6833" s="763" t="s">
        <v>5</v>
      </c>
      <c r="L6833" s="766" t="s">
        <v>143</v>
      </c>
      <c r="M6833" s="766"/>
      <c r="N6833" s="766"/>
      <c r="O6833" s="766"/>
      <c r="P6833" s="766"/>
      <c r="Q6833" s="767"/>
      <c r="R6833" s="768">
        <f>SUM(R6830:R6832)</f>
        <v>340.20000000000005</v>
      </c>
      <c r="S6833" s="763"/>
      <c r="T6833" s="768">
        <f>SUM(T6830:T6832)</f>
        <v>0</v>
      </c>
      <c r="U6833" s="531"/>
      <c r="V6833" s="531"/>
      <c r="W6833" s="531"/>
      <c r="X6833" s="531"/>
      <c r="Y6833" s="531"/>
      <c r="Z6833" s="531"/>
      <c r="AA6833" s="531"/>
      <c r="AB6833" s="531"/>
      <c r="AC6833" s="531"/>
      <c r="AD6833" s="531"/>
      <c r="AE6833" s="531"/>
      <c r="AF6833" s="531"/>
      <c r="AG6833" s="531"/>
      <c r="AH6833" s="531"/>
      <c r="AI6833" s="531"/>
      <c r="AJ6833" s="531"/>
      <c r="AK6833" s="531"/>
      <c r="AL6833" s="531"/>
      <c r="AM6833" s="531"/>
      <c r="AN6833" s="531"/>
      <c r="AO6833" s="531"/>
      <c r="AR6833" s="761" t="s">
        <v>145</v>
      </c>
      <c r="AS6833" s="764"/>
    </row>
    <row r="6834" spans="1:45" s="520" customFormat="1" ht="12" thickTop="1">
      <c r="A6834" s="51"/>
      <c r="B6834" s="41"/>
      <c r="C6834" s="51"/>
      <c r="E6834" s="42" t="s">
        <v>138</v>
      </c>
      <c r="F6834" s="42" t="s">
        <v>139</v>
      </c>
      <c r="G6834" s="51"/>
      <c r="H6834" s="51"/>
      <c r="I6834" s="51"/>
      <c r="J6834" s="51"/>
      <c r="K6834" s="51" t="s">
        <v>140</v>
      </c>
      <c r="L6834" s="51"/>
      <c r="M6834" s="51"/>
      <c r="N6834" s="51"/>
      <c r="O6834" s="52"/>
      <c r="P6834" s="51"/>
      <c r="Q6834" s="51"/>
      <c r="R6834" s="51"/>
      <c r="S6834" s="51"/>
      <c r="T6834" s="41"/>
      <c r="AG6834" s="521" t="s">
        <v>268</v>
      </c>
      <c r="AH6834" s="521" t="s">
        <v>269</v>
      </c>
      <c r="AI6834" s="521" t="s">
        <v>270</v>
      </c>
      <c r="AJ6834" s="521" t="s">
        <v>271</v>
      </c>
      <c r="AK6834" s="521" t="s">
        <v>272</v>
      </c>
      <c r="AM6834" s="745" t="s">
        <v>281</v>
      </c>
      <c r="AN6834" s="746" t="s">
        <v>282</v>
      </c>
      <c r="AO6834" s="522" t="s">
        <v>278</v>
      </c>
      <c r="AR6834" s="51"/>
      <c r="AS6834" s="42" t="s">
        <v>139</v>
      </c>
    </row>
    <row r="6835" spans="1:45" s="520" customFormat="1" ht="12" customHeight="1">
      <c r="A6835" s="747">
        <v>2</v>
      </c>
      <c r="B6835" s="523" t="s">
        <v>329</v>
      </c>
      <c r="C6835" s="748"/>
      <c r="D6835" s="749" t="s">
        <v>3896</v>
      </c>
      <c r="E6835" s="1145">
        <f>IF(AND($A6835=0,$A$1="DIF"),0, ROUND(ROUND(($R6839*$S$3+($T6839*$T$3))/$A6835,2)*$C$3,2))</f>
        <v>64</v>
      </c>
      <c r="F6835" s="1146">
        <f>ROUND($A6835*$E6835,2)</f>
        <v>128</v>
      </c>
      <c r="G6835" s="752" t="s">
        <v>142</v>
      </c>
      <c r="H6835" s="753"/>
      <c r="I6835" s="754"/>
      <c r="J6835" s="753"/>
      <c r="K6835" s="753" t="s">
        <v>5</v>
      </c>
      <c r="L6835" s="755" t="s">
        <v>143</v>
      </c>
      <c r="M6835" s="755"/>
      <c r="N6835" s="755"/>
      <c r="O6835" s="755"/>
      <c r="P6835" s="755"/>
      <c r="Q6835" s="51"/>
      <c r="T6835" s="1150" t="str">
        <f>IF(AND($R6839=0,$T6839=0),"0.00","mu: "&amp; ROUND(F6835/$C$3/($R6839+$T6839*$D$9),2))</f>
        <v>mu: 1.13</v>
      </c>
      <c r="W6835" s="524"/>
      <c r="AG6835" s="1147">
        <f>IF($E6835=0,0,ROUND($R6839*$S$3*$C$3/$A6835,2))</f>
        <v>64</v>
      </c>
      <c r="AH6835" s="1147">
        <f>$AG6835*$A6835</f>
        <v>128</v>
      </c>
      <c r="AI6835" s="1148">
        <f>$E6835-$AG6835</f>
        <v>0</v>
      </c>
      <c r="AJ6835" s="1148">
        <f>$A6835*$AI6835</f>
        <v>0</v>
      </c>
      <c r="AK6835" s="1149">
        <f>ROUND(($AG6835+$AI6835)*$A6835,2)</f>
        <v>128</v>
      </c>
      <c r="AM6835" s="527">
        <f>ROUND(R6839,2)</f>
        <v>113.4</v>
      </c>
      <c r="AN6835" s="528">
        <f>ROUND(T6839,2)</f>
        <v>0</v>
      </c>
      <c r="AO6835" s="529">
        <f>ROUND(AM6835+AN6835,2)*A6835</f>
        <v>226.8</v>
      </c>
      <c r="AR6835" s="747">
        <v>2</v>
      </c>
      <c r="AS6835" s="1146">
        <v>203.74</v>
      </c>
    </row>
    <row r="6836" spans="1:45" s="520" customFormat="1" ht="13.2">
      <c r="A6836" s="748"/>
      <c r="B6836"/>
      <c r="C6836" s="748"/>
      <c r="D6836" s="749" t="s">
        <v>950</v>
      </c>
      <c r="F6836" s="753"/>
      <c r="G6836" s="3"/>
      <c r="H6836" s="753"/>
      <c r="I6836" s="754"/>
      <c r="J6836" s="753"/>
      <c r="K6836" s="753" t="s">
        <v>144</v>
      </c>
      <c r="L6836" s="753"/>
      <c r="M6836" s="753"/>
      <c r="N6836" s="753"/>
      <c r="O6836" s="753"/>
      <c r="P6836" s="753"/>
      <c r="Q6836" s="51"/>
      <c r="R6836" s="530"/>
      <c r="S6836" s="757"/>
      <c r="T6836" s="753"/>
      <c r="AR6836" s="748"/>
      <c r="AS6836" s="753"/>
    </row>
    <row r="6837" spans="1:45" s="901" customFormat="1" ht="13.2">
      <c r="A6837" s="903">
        <v>2</v>
      </c>
      <c r="B6837" s="904" t="s">
        <v>863</v>
      </c>
      <c r="C6837" s="904"/>
      <c r="D6837" s="904" t="s">
        <v>2594</v>
      </c>
      <c r="E6837" s="904"/>
      <c r="F6837" s="904" t="s">
        <v>4139</v>
      </c>
      <c r="G6837" s="905" t="s">
        <v>2595</v>
      </c>
      <c r="H6837" s="902">
        <v>960</v>
      </c>
      <c r="I6837" s="904" t="s">
        <v>2596</v>
      </c>
      <c r="J6837" s="904"/>
      <c r="K6837" s="904"/>
      <c r="L6837" s="904"/>
      <c r="M6837" s="904"/>
      <c r="N6837" s="904"/>
      <c r="O6837" s="902">
        <v>4</v>
      </c>
      <c r="P6837" s="906">
        <v>38274</v>
      </c>
      <c r="Q6837" s="1415">
        <f>1.05*60*0.9</f>
        <v>56.7</v>
      </c>
      <c r="R6837" s="908">
        <f>$A6837*Q6837</f>
        <v>113.4</v>
      </c>
      <c r="S6837" s="907"/>
      <c r="T6837" s="909">
        <f>$A6837*S6837*$T$1</f>
        <v>0</v>
      </c>
      <c r="AR6837" s="903">
        <v>2</v>
      </c>
      <c r="AS6837" s="904" t="s">
        <v>3507</v>
      </c>
    </row>
    <row r="6838" spans="1:45" s="520" customFormat="1" ht="12">
      <c r="A6838" s="758"/>
      <c r="B6838" s="758"/>
      <c r="C6838" s="758"/>
      <c r="D6838" s="758"/>
      <c r="E6838" s="758"/>
      <c r="F6838" s="753"/>
      <c r="G6838" s="758"/>
      <c r="H6838" s="758"/>
      <c r="I6838" s="519"/>
      <c r="J6838" s="758"/>
      <c r="K6838" s="758"/>
      <c r="L6838" s="758"/>
      <c r="M6838" s="758"/>
      <c r="N6838" s="758"/>
      <c r="O6838" s="758"/>
      <c r="P6838" s="758"/>
      <c r="Q6838" s="519"/>
      <c r="R6838" s="759">
        <f t="shared" ref="R6838" si="530">$A6838*Q6838</f>
        <v>0</v>
      </c>
      <c r="S6838" s="519"/>
      <c r="T6838" s="760">
        <f t="shared" ref="T6838" si="531">$A6838*S6838*$T$1</f>
        <v>0</v>
      </c>
      <c r="AR6838" s="758"/>
      <c r="AS6838" s="753"/>
    </row>
    <row r="6839" spans="1:45" s="520" customFormat="1" ht="12.6" thickBot="1">
      <c r="A6839" s="761" t="s">
        <v>145</v>
      </c>
      <c r="B6839" s="762">
        <f>(R6838+T6838)</f>
        <v>0</v>
      </c>
      <c r="C6839" s="763"/>
      <c r="D6839" s="763"/>
      <c r="E6839" s="763"/>
      <c r="F6839" s="764"/>
      <c r="G6839" s="763" t="s">
        <v>146</v>
      </c>
      <c r="H6839" s="763"/>
      <c r="I6839" s="765"/>
      <c r="J6839" s="763"/>
      <c r="K6839" s="763" t="s">
        <v>5</v>
      </c>
      <c r="L6839" s="766" t="s">
        <v>143</v>
      </c>
      <c r="M6839" s="766"/>
      <c r="N6839" s="766"/>
      <c r="O6839" s="766"/>
      <c r="P6839" s="766"/>
      <c r="Q6839" s="767"/>
      <c r="R6839" s="768">
        <f>SUM(R6836:R6838)</f>
        <v>113.4</v>
      </c>
      <c r="S6839" s="763"/>
      <c r="T6839" s="768">
        <f>SUM(T6836:T6838)</f>
        <v>0</v>
      </c>
      <c r="U6839" s="531"/>
      <c r="V6839" s="531"/>
      <c r="W6839" s="531"/>
      <c r="X6839" s="531"/>
      <c r="Y6839" s="531"/>
      <c r="Z6839" s="531"/>
      <c r="AA6839" s="531"/>
      <c r="AB6839" s="531"/>
      <c r="AC6839" s="531"/>
      <c r="AD6839" s="531"/>
      <c r="AE6839" s="531"/>
      <c r="AF6839" s="531"/>
      <c r="AG6839" s="531"/>
      <c r="AH6839" s="531"/>
      <c r="AI6839" s="531"/>
      <c r="AJ6839" s="531"/>
      <c r="AK6839" s="531"/>
      <c r="AL6839" s="531"/>
      <c r="AM6839" s="531"/>
      <c r="AN6839" s="531"/>
      <c r="AO6839" s="531"/>
      <c r="AR6839" s="761" t="s">
        <v>145</v>
      </c>
      <c r="AS6839" s="764"/>
    </row>
    <row r="6840" spans="1:45" s="520" customFormat="1" ht="12" thickTop="1">
      <c r="A6840" s="51"/>
      <c r="B6840" s="41"/>
      <c r="C6840" s="51"/>
      <c r="E6840" s="42" t="s">
        <v>138</v>
      </c>
      <c r="F6840" s="42" t="s">
        <v>139</v>
      </c>
      <c r="G6840" s="51"/>
      <c r="H6840" s="51"/>
      <c r="I6840" s="51"/>
      <c r="J6840" s="51"/>
      <c r="K6840" s="51" t="s">
        <v>140</v>
      </c>
      <c r="L6840" s="51"/>
      <c r="M6840" s="51"/>
      <c r="N6840" s="51"/>
      <c r="O6840" s="52"/>
      <c r="P6840" s="51"/>
      <c r="Q6840" s="51"/>
      <c r="R6840" s="51"/>
      <c r="S6840" s="51"/>
      <c r="T6840" s="41"/>
      <c r="AG6840" s="521" t="s">
        <v>268</v>
      </c>
      <c r="AH6840" s="521" t="s">
        <v>269</v>
      </c>
      <c r="AI6840" s="521" t="s">
        <v>270</v>
      </c>
      <c r="AJ6840" s="521" t="s">
        <v>271</v>
      </c>
      <c r="AK6840" s="521" t="s">
        <v>272</v>
      </c>
      <c r="AM6840" s="745" t="s">
        <v>281</v>
      </c>
      <c r="AN6840" s="746" t="s">
        <v>282</v>
      </c>
      <c r="AO6840" s="522" t="s">
        <v>278</v>
      </c>
      <c r="AR6840" s="51"/>
      <c r="AS6840" s="42" t="s">
        <v>139</v>
      </c>
    </row>
    <row r="6841" spans="1:45" s="520" customFormat="1" ht="12" customHeight="1">
      <c r="A6841" s="747">
        <v>1</v>
      </c>
      <c r="B6841" s="523" t="s">
        <v>329</v>
      </c>
      <c r="C6841" s="748"/>
      <c r="D6841" s="749" t="s">
        <v>3897</v>
      </c>
      <c r="E6841" s="1145">
        <f>IF(AND($A6841=0,$A$1="DIF"),0, ROUND(ROUND(($R6845*$S$3+($T6845*$T$3))/$A6841,2)*$C$3,2))</f>
        <v>64</v>
      </c>
      <c r="F6841" s="1146">
        <f>ROUND($A6841*$E6841,2)</f>
        <v>64</v>
      </c>
      <c r="G6841" s="752" t="s">
        <v>142</v>
      </c>
      <c r="H6841" s="753"/>
      <c r="I6841" s="754"/>
      <c r="J6841" s="753"/>
      <c r="K6841" s="753" t="s">
        <v>5</v>
      </c>
      <c r="L6841" s="755" t="s">
        <v>143</v>
      </c>
      <c r="M6841" s="755"/>
      <c r="N6841" s="755"/>
      <c r="O6841" s="755"/>
      <c r="P6841" s="755"/>
      <c r="Q6841" s="51"/>
      <c r="T6841" s="1150" t="str">
        <f>IF(AND($R6845=0,$T6845=0),"0.00","mu: "&amp; ROUND(F6841/$C$3/($R6845+$T6845*$D$9),2))</f>
        <v>mu: 1.13</v>
      </c>
      <c r="W6841" s="524"/>
      <c r="AG6841" s="1147">
        <f>IF($E6841=0,0,ROUND($R6845*$S$3*$C$3/$A6841,2))</f>
        <v>64</v>
      </c>
      <c r="AH6841" s="1147">
        <f>$AG6841*$A6841</f>
        <v>64</v>
      </c>
      <c r="AI6841" s="1148">
        <f>$E6841-$AG6841</f>
        <v>0</v>
      </c>
      <c r="AJ6841" s="1148">
        <f>$A6841*$AI6841</f>
        <v>0</v>
      </c>
      <c r="AK6841" s="1149">
        <f>ROUND(($AG6841+$AI6841)*$A6841,2)</f>
        <v>64</v>
      </c>
      <c r="AM6841" s="527">
        <f>ROUND(R6845,2)</f>
        <v>56.7</v>
      </c>
      <c r="AN6841" s="528">
        <f>ROUND(T6845,2)</f>
        <v>0</v>
      </c>
      <c r="AO6841" s="529">
        <f>ROUND(AM6841+AN6841,2)*A6841</f>
        <v>56.7</v>
      </c>
      <c r="AR6841" s="747">
        <v>1</v>
      </c>
      <c r="AS6841" s="1146">
        <v>101.87</v>
      </c>
    </row>
    <row r="6842" spans="1:45" s="520" customFormat="1" ht="13.2">
      <c r="A6842" s="748"/>
      <c r="B6842"/>
      <c r="C6842" s="748"/>
      <c r="D6842" s="749" t="s">
        <v>970</v>
      </c>
      <c r="F6842" s="753"/>
      <c r="G6842" s="3"/>
      <c r="H6842" s="753"/>
      <c r="I6842" s="754"/>
      <c r="J6842" s="753"/>
      <c r="K6842" s="753" t="s">
        <v>144</v>
      </c>
      <c r="L6842" s="753"/>
      <c r="M6842" s="753"/>
      <c r="N6842" s="753"/>
      <c r="O6842" s="753"/>
      <c r="P6842" s="753"/>
      <c r="Q6842" s="51"/>
      <c r="R6842" s="530"/>
      <c r="S6842" s="757"/>
      <c r="T6842" s="753"/>
      <c r="AR6842" s="748"/>
      <c r="AS6842" s="753"/>
    </row>
    <row r="6843" spans="1:45" s="901" customFormat="1" ht="13.2">
      <c r="A6843" s="903">
        <v>1</v>
      </c>
      <c r="B6843" s="904" t="s">
        <v>863</v>
      </c>
      <c r="C6843" s="904"/>
      <c r="D6843" s="904" t="s">
        <v>2594</v>
      </c>
      <c r="E6843" s="904"/>
      <c r="F6843" s="904" t="s">
        <v>4139</v>
      </c>
      <c r="G6843" s="905" t="s">
        <v>2595</v>
      </c>
      <c r="H6843" s="902">
        <v>960</v>
      </c>
      <c r="I6843" s="904" t="s">
        <v>2596</v>
      </c>
      <c r="J6843" s="904"/>
      <c r="K6843" s="904"/>
      <c r="L6843" s="904"/>
      <c r="M6843" s="904"/>
      <c r="N6843" s="904"/>
      <c r="O6843" s="902">
        <v>4</v>
      </c>
      <c r="P6843" s="906">
        <v>38274</v>
      </c>
      <c r="Q6843" s="1415">
        <f>1.05*60*0.9</f>
        <v>56.7</v>
      </c>
      <c r="R6843" s="908">
        <f>$A6843*Q6843</f>
        <v>56.7</v>
      </c>
      <c r="S6843" s="907"/>
      <c r="T6843" s="909">
        <f>$A6843*S6843*$T$1</f>
        <v>0</v>
      </c>
      <c r="AR6843" s="903">
        <v>1</v>
      </c>
      <c r="AS6843" s="904" t="s">
        <v>3507</v>
      </c>
    </row>
    <row r="6844" spans="1:45" s="520" customFormat="1" ht="12">
      <c r="A6844" s="758"/>
      <c r="B6844" s="758"/>
      <c r="C6844" s="758"/>
      <c r="D6844" s="758"/>
      <c r="E6844" s="758"/>
      <c r="F6844" s="753"/>
      <c r="G6844" s="758"/>
      <c r="H6844" s="758"/>
      <c r="I6844" s="519"/>
      <c r="J6844" s="758"/>
      <c r="K6844" s="758"/>
      <c r="L6844" s="758"/>
      <c r="M6844" s="758"/>
      <c r="N6844" s="758"/>
      <c r="O6844" s="758"/>
      <c r="P6844" s="758"/>
      <c r="Q6844" s="519"/>
      <c r="R6844" s="759">
        <f t="shared" ref="R6844" si="532">$A6844*Q6844</f>
        <v>0</v>
      </c>
      <c r="S6844" s="519"/>
      <c r="T6844" s="760">
        <f t="shared" ref="T6844" si="533">$A6844*S6844*$T$1</f>
        <v>0</v>
      </c>
      <c r="AR6844" s="758"/>
      <c r="AS6844" s="753"/>
    </row>
    <row r="6845" spans="1:45" s="520" customFormat="1" ht="12.6" thickBot="1">
      <c r="A6845" s="761" t="s">
        <v>145</v>
      </c>
      <c r="B6845" s="762">
        <f>(R6844+T6844)</f>
        <v>0</v>
      </c>
      <c r="C6845" s="763"/>
      <c r="D6845" s="763"/>
      <c r="E6845" s="763"/>
      <c r="F6845" s="764"/>
      <c r="G6845" s="763" t="s">
        <v>146</v>
      </c>
      <c r="H6845" s="763"/>
      <c r="I6845" s="765"/>
      <c r="J6845" s="763"/>
      <c r="K6845" s="763" t="s">
        <v>5</v>
      </c>
      <c r="L6845" s="766" t="s">
        <v>143</v>
      </c>
      <c r="M6845" s="766"/>
      <c r="N6845" s="766"/>
      <c r="O6845" s="766"/>
      <c r="P6845" s="766"/>
      <c r="Q6845" s="767"/>
      <c r="R6845" s="768">
        <f>SUM(R6842:R6844)</f>
        <v>56.7</v>
      </c>
      <c r="S6845" s="763"/>
      <c r="T6845" s="768">
        <f>SUM(T6842:T6844)</f>
        <v>0</v>
      </c>
      <c r="U6845" s="531"/>
      <c r="V6845" s="531"/>
      <c r="W6845" s="531"/>
      <c r="X6845" s="531"/>
      <c r="Y6845" s="531"/>
      <c r="Z6845" s="531"/>
      <c r="AA6845" s="531"/>
      <c r="AB6845" s="531"/>
      <c r="AC6845" s="531"/>
      <c r="AD6845" s="531"/>
      <c r="AE6845" s="531"/>
      <c r="AF6845" s="531"/>
      <c r="AG6845" s="531"/>
      <c r="AH6845" s="531"/>
      <c r="AI6845" s="531"/>
      <c r="AJ6845" s="531"/>
      <c r="AK6845" s="531"/>
      <c r="AL6845" s="531"/>
      <c r="AM6845" s="531"/>
      <c r="AN6845" s="531"/>
      <c r="AO6845" s="531"/>
      <c r="AR6845" s="761" t="s">
        <v>145</v>
      </c>
      <c r="AS6845" s="764"/>
    </row>
    <row r="6846" spans="1:45" s="520" customFormat="1" ht="12" thickTop="1">
      <c r="A6846" s="51"/>
      <c r="B6846" s="41"/>
      <c r="C6846" s="51"/>
      <c r="E6846" s="42" t="s">
        <v>138</v>
      </c>
      <c r="F6846" s="42" t="s">
        <v>139</v>
      </c>
      <c r="G6846" s="51"/>
      <c r="H6846" s="51"/>
      <c r="I6846" s="51"/>
      <c r="J6846" s="51"/>
      <c r="K6846" s="51" t="s">
        <v>140</v>
      </c>
      <c r="L6846" s="51"/>
      <c r="M6846" s="51"/>
      <c r="N6846" s="51"/>
      <c r="O6846" s="52"/>
      <c r="P6846" s="51"/>
      <c r="Q6846" s="51"/>
      <c r="R6846" s="51"/>
      <c r="S6846" s="51"/>
      <c r="T6846" s="41"/>
      <c r="AG6846" s="521" t="s">
        <v>268</v>
      </c>
      <c r="AH6846" s="521" t="s">
        <v>269</v>
      </c>
      <c r="AI6846" s="521" t="s">
        <v>270</v>
      </c>
      <c r="AJ6846" s="521" t="s">
        <v>271</v>
      </c>
      <c r="AK6846" s="521" t="s">
        <v>272</v>
      </c>
      <c r="AM6846" s="745" t="s">
        <v>281</v>
      </c>
      <c r="AN6846" s="746" t="s">
        <v>282</v>
      </c>
      <c r="AO6846" s="522" t="s">
        <v>278</v>
      </c>
      <c r="AR6846" s="51"/>
      <c r="AS6846" s="42" t="s">
        <v>139</v>
      </c>
    </row>
    <row r="6847" spans="1:45" s="520" customFormat="1" ht="12" customHeight="1">
      <c r="A6847" s="747">
        <v>2</v>
      </c>
      <c r="B6847" s="523" t="s">
        <v>329</v>
      </c>
      <c r="C6847" s="748"/>
      <c r="D6847" s="749" t="s">
        <v>3898</v>
      </c>
      <c r="E6847" s="1145">
        <f>IF(AND($A6847=0,$A$1="DIF"),0, ROUND(ROUND(($R6851*$S$3+($T6851*$T$3))/$A6847,2)*$C$3,2))</f>
        <v>64</v>
      </c>
      <c r="F6847" s="1146">
        <f>ROUND($A6847*$E6847,2)</f>
        <v>128</v>
      </c>
      <c r="G6847" s="752" t="s">
        <v>142</v>
      </c>
      <c r="H6847" s="753"/>
      <c r="I6847" s="754"/>
      <c r="J6847" s="753"/>
      <c r="K6847" s="753" t="s">
        <v>5</v>
      </c>
      <c r="L6847" s="755" t="s">
        <v>143</v>
      </c>
      <c r="M6847" s="755"/>
      <c r="N6847" s="755"/>
      <c r="O6847" s="755"/>
      <c r="P6847" s="755"/>
      <c r="Q6847" s="51"/>
      <c r="T6847" s="1150" t="str">
        <f>IF(AND($R6851=0,$T6851=0),"0.00","mu: "&amp; ROUND(F6847/$C$3/($R6851+$T6851*$D$9),2))</f>
        <v>mu: 1.13</v>
      </c>
      <c r="W6847" s="524"/>
      <c r="AG6847" s="1147">
        <f>IF($E6847=0,0,ROUND($R6851*$S$3*$C$3/$A6847,2))</f>
        <v>64</v>
      </c>
      <c r="AH6847" s="1147">
        <f>$AG6847*$A6847</f>
        <v>128</v>
      </c>
      <c r="AI6847" s="1148">
        <f>$E6847-$AG6847</f>
        <v>0</v>
      </c>
      <c r="AJ6847" s="1148">
        <f>$A6847*$AI6847</f>
        <v>0</v>
      </c>
      <c r="AK6847" s="1149">
        <f>ROUND(($AG6847+$AI6847)*$A6847,2)</f>
        <v>128</v>
      </c>
      <c r="AM6847" s="527">
        <f>ROUND(R6851,2)</f>
        <v>113.4</v>
      </c>
      <c r="AN6847" s="528">
        <f>ROUND(T6851,2)</f>
        <v>0</v>
      </c>
      <c r="AO6847" s="529">
        <f>ROUND(AM6847+AN6847,2)*A6847</f>
        <v>226.8</v>
      </c>
      <c r="AR6847" s="747">
        <v>2</v>
      </c>
      <c r="AS6847" s="1146">
        <v>203.74</v>
      </c>
    </row>
    <row r="6848" spans="1:45" s="520" customFormat="1" ht="13.2">
      <c r="A6848" s="748"/>
      <c r="B6848"/>
      <c r="C6848" s="748"/>
      <c r="D6848" s="749" t="s">
        <v>971</v>
      </c>
      <c r="F6848" s="753"/>
      <c r="G6848" s="3"/>
      <c r="H6848" s="753"/>
      <c r="I6848" s="754"/>
      <c r="J6848" s="753"/>
      <c r="K6848" s="753" t="s">
        <v>144</v>
      </c>
      <c r="L6848" s="753"/>
      <c r="M6848" s="753"/>
      <c r="N6848" s="753"/>
      <c r="O6848" s="753"/>
      <c r="P6848" s="753"/>
      <c r="Q6848" s="51"/>
      <c r="R6848" s="530"/>
      <c r="S6848" s="757"/>
      <c r="T6848" s="753"/>
      <c r="AR6848" s="748"/>
      <c r="AS6848" s="753"/>
    </row>
    <row r="6849" spans="1:45" s="901" customFormat="1" ht="13.2">
      <c r="A6849" s="903">
        <v>2</v>
      </c>
      <c r="B6849" s="904" t="s">
        <v>863</v>
      </c>
      <c r="C6849" s="904"/>
      <c r="D6849" s="904" t="s">
        <v>2594</v>
      </c>
      <c r="E6849" s="904"/>
      <c r="F6849" s="904" t="s">
        <v>4139</v>
      </c>
      <c r="G6849" s="905" t="s">
        <v>2595</v>
      </c>
      <c r="H6849" s="902">
        <v>960</v>
      </c>
      <c r="I6849" s="904" t="s">
        <v>2596</v>
      </c>
      <c r="J6849" s="904"/>
      <c r="K6849" s="904"/>
      <c r="L6849" s="904"/>
      <c r="M6849" s="904"/>
      <c r="N6849" s="904"/>
      <c r="O6849" s="902">
        <v>4</v>
      </c>
      <c r="P6849" s="906">
        <v>38274</v>
      </c>
      <c r="Q6849" s="1415">
        <f>1.05*60*0.9</f>
        <v>56.7</v>
      </c>
      <c r="R6849" s="908">
        <f>$A6849*Q6849</f>
        <v>113.4</v>
      </c>
      <c r="S6849" s="907"/>
      <c r="T6849" s="909">
        <f>$A6849*S6849*$T$1</f>
        <v>0</v>
      </c>
      <c r="AR6849" s="903">
        <v>2</v>
      </c>
      <c r="AS6849" s="904" t="s">
        <v>3507</v>
      </c>
    </row>
    <row r="6850" spans="1:45" s="520" customFormat="1" ht="12">
      <c r="A6850" s="758"/>
      <c r="B6850" s="758"/>
      <c r="C6850" s="758"/>
      <c r="D6850" s="758"/>
      <c r="E6850" s="758"/>
      <c r="F6850" s="753"/>
      <c r="G6850" s="758"/>
      <c r="H6850" s="758"/>
      <c r="I6850" s="519"/>
      <c r="J6850" s="758"/>
      <c r="K6850" s="758"/>
      <c r="L6850" s="758"/>
      <c r="M6850" s="758"/>
      <c r="N6850" s="758"/>
      <c r="O6850" s="758"/>
      <c r="P6850" s="758"/>
      <c r="Q6850" s="519"/>
      <c r="R6850" s="759">
        <f t="shared" ref="R6850" si="534">$A6850*Q6850</f>
        <v>0</v>
      </c>
      <c r="S6850" s="519"/>
      <c r="T6850" s="760">
        <f t="shared" ref="T6850" si="535">$A6850*S6850*$T$1</f>
        <v>0</v>
      </c>
      <c r="AR6850" s="758"/>
      <c r="AS6850" s="753"/>
    </row>
    <row r="6851" spans="1:45" s="520" customFormat="1" ht="12.6" thickBot="1">
      <c r="A6851" s="761" t="s">
        <v>145</v>
      </c>
      <c r="B6851" s="762">
        <f>(R6850+T6850)</f>
        <v>0</v>
      </c>
      <c r="C6851" s="763"/>
      <c r="D6851" s="763"/>
      <c r="E6851" s="763"/>
      <c r="F6851" s="764"/>
      <c r="G6851" s="763" t="s">
        <v>146</v>
      </c>
      <c r="H6851" s="763"/>
      <c r="I6851" s="765"/>
      <c r="J6851" s="763"/>
      <c r="K6851" s="763" t="s">
        <v>5</v>
      </c>
      <c r="L6851" s="766" t="s">
        <v>143</v>
      </c>
      <c r="M6851" s="766"/>
      <c r="N6851" s="766"/>
      <c r="O6851" s="766"/>
      <c r="P6851" s="766"/>
      <c r="Q6851" s="767"/>
      <c r="R6851" s="768">
        <f>SUM(R6848:R6850)</f>
        <v>113.4</v>
      </c>
      <c r="S6851" s="763"/>
      <c r="T6851" s="768">
        <f>SUM(T6848:T6850)</f>
        <v>0</v>
      </c>
      <c r="U6851" s="531"/>
      <c r="V6851" s="531"/>
      <c r="W6851" s="531"/>
      <c r="X6851" s="531"/>
      <c r="Y6851" s="531"/>
      <c r="Z6851" s="531"/>
      <c r="AA6851" s="531"/>
      <c r="AB6851" s="531"/>
      <c r="AC6851" s="531"/>
      <c r="AD6851" s="531"/>
      <c r="AE6851" s="531"/>
      <c r="AF6851" s="531"/>
      <c r="AG6851" s="531"/>
      <c r="AH6851" s="531"/>
      <c r="AI6851" s="531"/>
      <c r="AJ6851" s="531"/>
      <c r="AK6851" s="531"/>
      <c r="AL6851" s="531"/>
      <c r="AM6851" s="531"/>
      <c r="AN6851" s="531"/>
      <c r="AO6851" s="531"/>
      <c r="AR6851" s="761" t="s">
        <v>145</v>
      </c>
      <c r="AS6851" s="764"/>
    </row>
    <row r="6852" spans="1:45" s="520" customFormat="1" ht="12" thickTop="1">
      <c r="A6852" s="51"/>
      <c r="B6852" s="41"/>
      <c r="C6852" s="51"/>
      <c r="E6852" s="42" t="s">
        <v>138</v>
      </c>
      <c r="F6852" s="42" t="s">
        <v>139</v>
      </c>
      <c r="G6852" s="51"/>
      <c r="H6852" s="51"/>
      <c r="I6852" s="51"/>
      <c r="J6852" s="51"/>
      <c r="K6852" s="51" t="s">
        <v>140</v>
      </c>
      <c r="L6852" s="51"/>
      <c r="M6852" s="51"/>
      <c r="N6852" s="51"/>
      <c r="O6852" s="52"/>
      <c r="P6852" s="51"/>
      <c r="Q6852" s="51"/>
      <c r="R6852" s="51"/>
      <c r="S6852" s="51"/>
      <c r="T6852" s="41"/>
      <c r="AG6852" s="521" t="s">
        <v>268</v>
      </c>
      <c r="AH6852" s="521" t="s">
        <v>269</v>
      </c>
      <c r="AI6852" s="521" t="s">
        <v>270</v>
      </c>
      <c r="AJ6852" s="521" t="s">
        <v>271</v>
      </c>
      <c r="AK6852" s="521" t="s">
        <v>272</v>
      </c>
      <c r="AM6852" s="745" t="s">
        <v>281</v>
      </c>
      <c r="AN6852" s="746" t="s">
        <v>282</v>
      </c>
      <c r="AO6852" s="522" t="s">
        <v>278</v>
      </c>
      <c r="AR6852" s="51"/>
      <c r="AS6852" s="42" t="s">
        <v>139</v>
      </c>
    </row>
    <row r="6853" spans="1:45" s="520" customFormat="1" ht="12" customHeight="1">
      <c r="A6853" s="747">
        <v>2</v>
      </c>
      <c r="B6853" s="523" t="s">
        <v>329</v>
      </c>
      <c r="C6853" s="748"/>
      <c r="D6853" s="749" t="s">
        <v>3899</v>
      </c>
      <c r="E6853" s="1145">
        <f>IF(AND($A6853=0,$A$1="DIF"),0, ROUND(ROUND(($R6857*$S$3+($T6857*$T$3))/$A6853,2)*$C$3,2))</f>
        <v>64</v>
      </c>
      <c r="F6853" s="1146">
        <f>ROUND($A6853*$E6853,2)</f>
        <v>128</v>
      </c>
      <c r="G6853" s="752" t="s">
        <v>142</v>
      </c>
      <c r="H6853" s="753"/>
      <c r="I6853" s="754"/>
      <c r="J6853" s="753"/>
      <c r="K6853" s="753" t="s">
        <v>5</v>
      </c>
      <c r="L6853" s="755" t="s">
        <v>143</v>
      </c>
      <c r="M6853" s="755"/>
      <c r="N6853" s="755"/>
      <c r="O6853" s="755"/>
      <c r="P6853" s="755"/>
      <c r="Q6853" s="51"/>
      <c r="T6853" s="1150" t="str">
        <f>IF(AND($R6857=0,$T6857=0),"0.00","mu: "&amp; ROUND(F6853/$C$3/($R6857+$T6857*$D$9),2))</f>
        <v>mu: 1.13</v>
      </c>
      <c r="W6853" s="524"/>
      <c r="AG6853" s="1147">
        <f>IF($E6853=0,0,ROUND($R6857*$S$3*$C$3/$A6853,2))</f>
        <v>64</v>
      </c>
      <c r="AH6853" s="1147">
        <f>$AG6853*$A6853</f>
        <v>128</v>
      </c>
      <c r="AI6853" s="1148">
        <f>$E6853-$AG6853</f>
        <v>0</v>
      </c>
      <c r="AJ6853" s="1148">
        <f>$A6853*$AI6853</f>
        <v>0</v>
      </c>
      <c r="AK6853" s="1149">
        <f>ROUND(($AG6853+$AI6853)*$A6853,2)</f>
        <v>128</v>
      </c>
      <c r="AM6853" s="527">
        <f>ROUND(R6857,2)</f>
        <v>113.4</v>
      </c>
      <c r="AN6853" s="528">
        <f>ROUND(T6857,2)</f>
        <v>0</v>
      </c>
      <c r="AO6853" s="529">
        <f>ROUND(AM6853+AN6853,2)*A6853</f>
        <v>226.8</v>
      </c>
      <c r="AR6853" s="747">
        <v>2</v>
      </c>
      <c r="AS6853" s="1146">
        <v>203.74</v>
      </c>
    </row>
    <row r="6854" spans="1:45" s="520" customFormat="1" ht="13.2">
      <c r="A6854" s="748"/>
      <c r="B6854"/>
      <c r="C6854" s="748"/>
      <c r="D6854" s="749" t="s">
        <v>972</v>
      </c>
      <c r="F6854" s="753"/>
      <c r="G6854" s="3"/>
      <c r="H6854" s="753"/>
      <c r="I6854" s="754"/>
      <c r="J6854" s="753"/>
      <c r="K6854" s="753" t="s">
        <v>144</v>
      </c>
      <c r="L6854" s="753"/>
      <c r="M6854" s="753"/>
      <c r="N6854" s="753"/>
      <c r="O6854" s="753"/>
      <c r="P6854" s="753"/>
      <c r="Q6854" s="51"/>
      <c r="R6854" s="530"/>
      <c r="S6854" s="757"/>
      <c r="T6854" s="753"/>
      <c r="AR6854" s="748"/>
      <c r="AS6854" s="753"/>
    </row>
    <row r="6855" spans="1:45" s="901" customFormat="1" ht="13.2">
      <c r="A6855" s="903">
        <v>2</v>
      </c>
      <c r="B6855" s="904" t="s">
        <v>863</v>
      </c>
      <c r="C6855" s="904"/>
      <c r="D6855" s="904" t="s">
        <v>2594</v>
      </c>
      <c r="E6855" s="904"/>
      <c r="F6855" s="904" t="s">
        <v>4139</v>
      </c>
      <c r="G6855" s="905" t="s">
        <v>2595</v>
      </c>
      <c r="H6855" s="902">
        <v>960</v>
      </c>
      <c r="I6855" s="904" t="s">
        <v>2596</v>
      </c>
      <c r="J6855" s="904"/>
      <c r="K6855" s="904"/>
      <c r="L6855" s="904"/>
      <c r="M6855" s="904"/>
      <c r="N6855" s="904"/>
      <c r="O6855" s="902">
        <v>4</v>
      </c>
      <c r="P6855" s="906">
        <v>38274</v>
      </c>
      <c r="Q6855" s="1415">
        <f>1.05*60*0.9</f>
        <v>56.7</v>
      </c>
      <c r="R6855" s="908">
        <f>$A6855*Q6855</f>
        <v>113.4</v>
      </c>
      <c r="S6855" s="907"/>
      <c r="T6855" s="909">
        <f>$A6855*S6855*$T$1</f>
        <v>0</v>
      </c>
      <c r="AR6855" s="903">
        <v>2</v>
      </c>
      <c r="AS6855" s="904" t="s">
        <v>3507</v>
      </c>
    </row>
    <row r="6856" spans="1:45" s="520" customFormat="1" ht="12">
      <c r="A6856" s="758"/>
      <c r="B6856" s="758"/>
      <c r="C6856" s="758"/>
      <c r="D6856" s="758"/>
      <c r="E6856" s="758"/>
      <c r="F6856" s="753"/>
      <c r="G6856" s="758"/>
      <c r="H6856" s="758"/>
      <c r="I6856" s="519"/>
      <c r="J6856" s="758"/>
      <c r="K6856" s="758"/>
      <c r="L6856" s="758"/>
      <c r="M6856" s="758"/>
      <c r="N6856" s="758"/>
      <c r="O6856" s="758"/>
      <c r="P6856" s="758"/>
      <c r="Q6856" s="519"/>
      <c r="R6856" s="759">
        <f t="shared" ref="R6856" si="536">$A6856*Q6856</f>
        <v>0</v>
      </c>
      <c r="S6856" s="519"/>
      <c r="T6856" s="760">
        <f t="shared" ref="T6856" si="537">$A6856*S6856*$T$1</f>
        <v>0</v>
      </c>
      <c r="AR6856" s="758"/>
      <c r="AS6856" s="753"/>
    </row>
    <row r="6857" spans="1:45" s="520" customFormat="1" ht="12.6" thickBot="1">
      <c r="A6857" s="761" t="s">
        <v>145</v>
      </c>
      <c r="B6857" s="762">
        <f>(R6856+T6856)</f>
        <v>0</v>
      </c>
      <c r="C6857" s="763"/>
      <c r="D6857" s="763"/>
      <c r="E6857" s="763"/>
      <c r="F6857" s="764"/>
      <c r="G6857" s="763" t="s">
        <v>146</v>
      </c>
      <c r="H6857" s="763"/>
      <c r="I6857" s="765"/>
      <c r="J6857" s="763"/>
      <c r="K6857" s="763" t="s">
        <v>5</v>
      </c>
      <c r="L6857" s="766" t="s">
        <v>143</v>
      </c>
      <c r="M6857" s="766"/>
      <c r="N6857" s="766"/>
      <c r="O6857" s="766"/>
      <c r="P6857" s="766"/>
      <c r="Q6857" s="767"/>
      <c r="R6857" s="768">
        <f>SUM(R6854:R6856)</f>
        <v>113.4</v>
      </c>
      <c r="S6857" s="763"/>
      <c r="T6857" s="768">
        <f>SUM(T6854:T6856)</f>
        <v>0</v>
      </c>
      <c r="U6857" s="531"/>
      <c r="V6857" s="531"/>
      <c r="W6857" s="531"/>
      <c r="X6857" s="531"/>
      <c r="Y6857" s="531"/>
      <c r="Z6857" s="531"/>
      <c r="AA6857" s="531"/>
      <c r="AB6857" s="531"/>
      <c r="AC6857" s="531"/>
      <c r="AD6857" s="531"/>
      <c r="AE6857" s="531"/>
      <c r="AF6857" s="531"/>
      <c r="AG6857" s="531"/>
      <c r="AH6857" s="531"/>
      <c r="AI6857" s="531"/>
      <c r="AJ6857" s="531"/>
      <c r="AK6857" s="531"/>
      <c r="AL6857" s="531"/>
      <c r="AM6857" s="531"/>
      <c r="AN6857" s="531"/>
      <c r="AO6857" s="531"/>
      <c r="AR6857" s="761" t="s">
        <v>145</v>
      </c>
      <c r="AS6857" s="764"/>
    </row>
    <row r="6858" spans="1:45" s="520" customFormat="1" ht="12" thickTop="1">
      <c r="A6858" s="51"/>
      <c r="B6858" s="41"/>
      <c r="C6858" s="51"/>
      <c r="E6858" s="42" t="s">
        <v>138</v>
      </c>
      <c r="F6858" s="42" t="s">
        <v>139</v>
      </c>
      <c r="G6858" s="51"/>
      <c r="H6858" s="51"/>
      <c r="I6858" s="51"/>
      <c r="J6858" s="51"/>
      <c r="K6858" s="51" t="s">
        <v>140</v>
      </c>
      <c r="L6858" s="51"/>
      <c r="M6858" s="51"/>
      <c r="N6858" s="51"/>
      <c r="O6858" s="52"/>
      <c r="P6858" s="51"/>
      <c r="Q6858" s="51"/>
      <c r="R6858" s="51"/>
      <c r="S6858" s="51"/>
      <c r="T6858" s="41"/>
      <c r="AG6858" s="521" t="s">
        <v>268</v>
      </c>
      <c r="AH6858" s="521" t="s">
        <v>269</v>
      </c>
      <c r="AI6858" s="521" t="s">
        <v>270</v>
      </c>
      <c r="AJ6858" s="521" t="s">
        <v>271</v>
      </c>
      <c r="AK6858" s="521" t="s">
        <v>272</v>
      </c>
      <c r="AM6858" s="745" t="s">
        <v>281</v>
      </c>
      <c r="AN6858" s="746" t="s">
        <v>282</v>
      </c>
      <c r="AO6858" s="522" t="s">
        <v>278</v>
      </c>
      <c r="AR6858" s="51"/>
      <c r="AS6858" s="42" t="s">
        <v>139</v>
      </c>
    </row>
    <row r="6859" spans="1:45" s="520" customFormat="1" ht="12" customHeight="1">
      <c r="A6859" s="747">
        <v>2</v>
      </c>
      <c r="B6859" s="523" t="s">
        <v>329</v>
      </c>
      <c r="C6859" s="748"/>
      <c r="D6859" s="749" t="s">
        <v>3900</v>
      </c>
      <c r="E6859" s="1145">
        <f>IF(AND($A6859=0,$A$1="DIF"),0, ROUND(ROUND(($R6863*$S$3+($T6863*$T$3))/$A6859,2)*$C$3,2))</f>
        <v>64</v>
      </c>
      <c r="F6859" s="1146">
        <f>ROUND($A6859*$E6859,2)</f>
        <v>128</v>
      </c>
      <c r="G6859" s="752" t="s">
        <v>142</v>
      </c>
      <c r="H6859" s="753"/>
      <c r="I6859" s="754"/>
      <c r="J6859" s="753"/>
      <c r="K6859" s="753" t="s">
        <v>5</v>
      </c>
      <c r="L6859" s="755" t="s">
        <v>143</v>
      </c>
      <c r="M6859" s="755"/>
      <c r="N6859" s="755"/>
      <c r="O6859" s="755"/>
      <c r="P6859" s="755"/>
      <c r="Q6859" s="51"/>
      <c r="T6859" s="1150" t="str">
        <f>IF(AND($R6863=0,$T6863=0),"0.00","mu: "&amp; ROUND(F6859/$C$3/($R6863+$T6863*$D$9),2))</f>
        <v>mu: 1.13</v>
      </c>
      <c r="W6859" s="524"/>
      <c r="AG6859" s="1147">
        <f>IF($E6859=0,0,ROUND($R6863*$S$3*$C$3/$A6859,2))</f>
        <v>64</v>
      </c>
      <c r="AH6859" s="1147">
        <f>$AG6859*$A6859</f>
        <v>128</v>
      </c>
      <c r="AI6859" s="1148">
        <f>$E6859-$AG6859</f>
        <v>0</v>
      </c>
      <c r="AJ6859" s="1148">
        <f>$A6859*$AI6859</f>
        <v>0</v>
      </c>
      <c r="AK6859" s="1149">
        <f>ROUND(($AG6859+$AI6859)*$A6859,2)</f>
        <v>128</v>
      </c>
      <c r="AM6859" s="527">
        <f>ROUND(R6863,2)</f>
        <v>113.4</v>
      </c>
      <c r="AN6859" s="528">
        <f>ROUND(T6863,2)</f>
        <v>0</v>
      </c>
      <c r="AO6859" s="529">
        <f>ROUND(AM6859+AN6859,2)*A6859</f>
        <v>226.8</v>
      </c>
      <c r="AR6859" s="747">
        <v>2</v>
      </c>
      <c r="AS6859" s="1146">
        <v>203.74</v>
      </c>
    </row>
    <row r="6860" spans="1:45" s="520" customFormat="1" ht="13.2">
      <c r="A6860" s="748"/>
      <c r="B6860"/>
      <c r="C6860" s="748"/>
      <c r="D6860" s="749" t="s">
        <v>951</v>
      </c>
      <c r="F6860" s="753"/>
      <c r="G6860" s="3"/>
      <c r="H6860" s="753"/>
      <c r="I6860" s="754"/>
      <c r="J6860" s="753"/>
      <c r="K6860" s="753" t="s">
        <v>144</v>
      </c>
      <c r="L6860" s="753"/>
      <c r="M6860" s="753"/>
      <c r="N6860" s="753"/>
      <c r="O6860" s="753"/>
      <c r="P6860" s="753"/>
      <c r="Q6860" s="51"/>
      <c r="R6860" s="530"/>
      <c r="S6860" s="757"/>
      <c r="T6860" s="753"/>
      <c r="AR6860" s="748"/>
      <c r="AS6860" s="753"/>
    </row>
    <row r="6861" spans="1:45" s="901" customFormat="1" ht="13.2">
      <c r="A6861" s="903">
        <v>2</v>
      </c>
      <c r="B6861" s="904" t="s">
        <v>863</v>
      </c>
      <c r="C6861" s="904"/>
      <c r="D6861" s="904" t="s">
        <v>2594</v>
      </c>
      <c r="E6861" s="904"/>
      <c r="F6861" s="904" t="s">
        <v>4139</v>
      </c>
      <c r="G6861" s="905" t="s">
        <v>2595</v>
      </c>
      <c r="H6861" s="902">
        <v>960</v>
      </c>
      <c r="I6861" s="904" t="s">
        <v>2596</v>
      </c>
      <c r="J6861" s="904"/>
      <c r="K6861" s="904"/>
      <c r="L6861" s="904"/>
      <c r="M6861" s="904"/>
      <c r="N6861" s="904"/>
      <c r="O6861" s="902">
        <v>4</v>
      </c>
      <c r="P6861" s="906">
        <v>38274</v>
      </c>
      <c r="Q6861" s="1415">
        <f>1.05*60*0.9</f>
        <v>56.7</v>
      </c>
      <c r="R6861" s="908">
        <f>$A6861*Q6861</f>
        <v>113.4</v>
      </c>
      <c r="S6861" s="907"/>
      <c r="T6861" s="909">
        <f>$A6861*S6861*$T$1</f>
        <v>0</v>
      </c>
      <c r="AR6861" s="903">
        <v>2</v>
      </c>
      <c r="AS6861" s="904" t="s">
        <v>3507</v>
      </c>
    </row>
    <row r="6862" spans="1:45" s="520" customFormat="1" ht="12">
      <c r="A6862" s="758"/>
      <c r="B6862" s="758"/>
      <c r="C6862" s="758"/>
      <c r="D6862" s="758"/>
      <c r="E6862" s="758"/>
      <c r="F6862" s="753"/>
      <c r="G6862" s="758"/>
      <c r="H6862" s="758"/>
      <c r="I6862" s="519"/>
      <c r="J6862" s="758"/>
      <c r="K6862" s="758"/>
      <c r="L6862" s="758"/>
      <c r="M6862" s="758"/>
      <c r="N6862" s="758"/>
      <c r="O6862" s="758"/>
      <c r="P6862" s="758"/>
      <c r="Q6862" s="519"/>
      <c r="R6862" s="759">
        <f t="shared" ref="R6862" si="538">$A6862*Q6862</f>
        <v>0</v>
      </c>
      <c r="S6862" s="519"/>
      <c r="T6862" s="760">
        <f t="shared" ref="T6862" si="539">$A6862*S6862*$T$1</f>
        <v>0</v>
      </c>
      <c r="AR6862" s="758"/>
      <c r="AS6862" s="753"/>
    </row>
    <row r="6863" spans="1:45" s="520" customFormat="1" ht="12.6" thickBot="1">
      <c r="A6863" s="761" t="s">
        <v>145</v>
      </c>
      <c r="B6863" s="762">
        <f>(R6862+T6862)</f>
        <v>0</v>
      </c>
      <c r="C6863" s="763"/>
      <c r="D6863" s="763"/>
      <c r="E6863" s="763"/>
      <c r="F6863" s="764"/>
      <c r="G6863" s="763" t="s">
        <v>146</v>
      </c>
      <c r="H6863" s="763"/>
      <c r="I6863" s="765"/>
      <c r="J6863" s="763"/>
      <c r="K6863" s="763" t="s">
        <v>5</v>
      </c>
      <c r="L6863" s="766" t="s">
        <v>143</v>
      </c>
      <c r="M6863" s="766"/>
      <c r="N6863" s="766"/>
      <c r="O6863" s="766"/>
      <c r="P6863" s="766"/>
      <c r="Q6863" s="767"/>
      <c r="R6863" s="768">
        <f>SUM(R6860:R6862)</f>
        <v>113.4</v>
      </c>
      <c r="S6863" s="763"/>
      <c r="T6863" s="768">
        <f>SUM(T6860:T6862)</f>
        <v>0</v>
      </c>
      <c r="U6863" s="531"/>
      <c r="V6863" s="531"/>
      <c r="W6863" s="531"/>
      <c r="X6863" s="531"/>
      <c r="Y6863" s="531"/>
      <c r="Z6863" s="531"/>
      <c r="AA6863" s="531"/>
      <c r="AB6863" s="531"/>
      <c r="AC6863" s="531"/>
      <c r="AD6863" s="531"/>
      <c r="AE6863" s="531"/>
      <c r="AF6863" s="531"/>
      <c r="AG6863" s="531"/>
      <c r="AH6863" s="531"/>
      <c r="AI6863" s="531"/>
      <c r="AJ6863" s="531"/>
      <c r="AK6863" s="531"/>
      <c r="AL6863" s="531"/>
      <c r="AM6863" s="531"/>
      <c r="AN6863" s="531"/>
      <c r="AO6863" s="531"/>
      <c r="AR6863" s="761" t="s">
        <v>145</v>
      </c>
      <c r="AS6863" s="764"/>
    </row>
    <row r="6864" spans="1:45" s="520" customFormat="1" ht="12" thickTop="1">
      <c r="A6864" s="51"/>
      <c r="B6864" s="41"/>
      <c r="C6864" s="51"/>
      <c r="E6864" s="42" t="s">
        <v>138</v>
      </c>
      <c r="F6864" s="42" t="s">
        <v>139</v>
      </c>
      <c r="G6864" s="51"/>
      <c r="H6864" s="51"/>
      <c r="I6864" s="51"/>
      <c r="J6864" s="51"/>
      <c r="K6864" s="51" t="s">
        <v>140</v>
      </c>
      <c r="L6864" s="51"/>
      <c r="M6864" s="51"/>
      <c r="N6864" s="51"/>
      <c r="O6864" s="52"/>
      <c r="P6864" s="51"/>
      <c r="Q6864" s="51"/>
      <c r="R6864" s="51"/>
      <c r="S6864" s="51"/>
      <c r="T6864" s="41"/>
      <c r="AG6864" s="521" t="s">
        <v>268</v>
      </c>
      <c r="AH6864" s="521" t="s">
        <v>269</v>
      </c>
      <c r="AI6864" s="521" t="s">
        <v>270</v>
      </c>
      <c r="AJ6864" s="521" t="s">
        <v>271</v>
      </c>
      <c r="AK6864" s="521" t="s">
        <v>272</v>
      </c>
      <c r="AM6864" s="745" t="s">
        <v>281</v>
      </c>
      <c r="AN6864" s="746" t="s">
        <v>282</v>
      </c>
      <c r="AO6864" s="522" t="s">
        <v>278</v>
      </c>
      <c r="AR6864" s="51"/>
      <c r="AS6864" s="42" t="s">
        <v>139</v>
      </c>
    </row>
    <row r="6865" spans="1:45" s="520" customFormat="1" ht="12" customHeight="1">
      <c r="A6865" s="747">
        <v>1</v>
      </c>
      <c r="B6865" s="523" t="s">
        <v>329</v>
      </c>
      <c r="C6865" s="748"/>
      <c r="D6865" s="749" t="s">
        <v>3901</v>
      </c>
      <c r="E6865" s="1145">
        <f>IF(AND($A6865=0,$A$1="DIF"),0, ROUND(ROUND(($R6869*$S$3+($T6869*$T$3))/$A6865,2)*$C$3,2))</f>
        <v>64</v>
      </c>
      <c r="F6865" s="1146">
        <f>ROUND($A6865*$E6865,2)</f>
        <v>64</v>
      </c>
      <c r="G6865" s="752" t="s">
        <v>142</v>
      </c>
      <c r="H6865" s="753"/>
      <c r="I6865" s="754"/>
      <c r="J6865" s="753"/>
      <c r="K6865" s="753" t="s">
        <v>5</v>
      </c>
      <c r="L6865" s="755" t="s">
        <v>143</v>
      </c>
      <c r="M6865" s="755"/>
      <c r="N6865" s="755"/>
      <c r="O6865" s="755"/>
      <c r="P6865" s="755"/>
      <c r="Q6865" s="51"/>
      <c r="T6865" s="1150" t="str">
        <f>IF(AND($R6869=0,$T6869=0),"0.00","mu: "&amp; ROUND(F6865/$C$3/($R6869+$T6869*$D$9),2))</f>
        <v>mu: 1.13</v>
      </c>
      <c r="W6865" s="524"/>
      <c r="AG6865" s="1147">
        <f>IF($E6865=0,0,ROUND($R6869*$S$3*$C$3/$A6865,2))</f>
        <v>64</v>
      </c>
      <c r="AH6865" s="1147">
        <f>$AG6865*$A6865</f>
        <v>64</v>
      </c>
      <c r="AI6865" s="1148">
        <f>$E6865-$AG6865</f>
        <v>0</v>
      </c>
      <c r="AJ6865" s="1148">
        <f>$A6865*$AI6865</f>
        <v>0</v>
      </c>
      <c r="AK6865" s="1149">
        <f>ROUND(($AG6865+$AI6865)*$A6865,2)</f>
        <v>64</v>
      </c>
      <c r="AM6865" s="527">
        <f>ROUND(R6869,2)</f>
        <v>56.7</v>
      </c>
      <c r="AN6865" s="528">
        <f>ROUND(T6869,2)</f>
        <v>0</v>
      </c>
      <c r="AO6865" s="529">
        <f>ROUND(AM6865+AN6865,2)*A6865</f>
        <v>56.7</v>
      </c>
      <c r="AR6865" s="747">
        <v>1</v>
      </c>
      <c r="AS6865" s="1146">
        <v>101.87</v>
      </c>
    </row>
    <row r="6866" spans="1:45" s="520" customFormat="1" ht="13.2">
      <c r="A6866" s="748"/>
      <c r="B6866"/>
      <c r="C6866" s="748"/>
      <c r="D6866" s="749" t="s">
        <v>973</v>
      </c>
      <c r="F6866" s="753"/>
      <c r="G6866" s="3"/>
      <c r="H6866" s="753"/>
      <c r="I6866" s="754"/>
      <c r="J6866" s="753"/>
      <c r="K6866" s="753" t="s">
        <v>144</v>
      </c>
      <c r="L6866" s="753"/>
      <c r="M6866" s="753"/>
      <c r="N6866" s="753"/>
      <c r="O6866" s="753"/>
      <c r="P6866" s="753"/>
      <c r="Q6866" s="51"/>
      <c r="R6866" s="530"/>
      <c r="S6866" s="757"/>
      <c r="T6866" s="753"/>
      <c r="AR6866" s="748"/>
      <c r="AS6866" s="753"/>
    </row>
    <row r="6867" spans="1:45" s="901" customFormat="1" ht="13.2">
      <c r="A6867" s="903">
        <v>1</v>
      </c>
      <c r="B6867" s="904" t="s">
        <v>863</v>
      </c>
      <c r="C6867" s="904"/>
      <c r="D6867" s="904" t="s">
        <v>2594</v>
      </c>
      <c r="E6867" s="904"/>
      <c r="F6867" s="904" t="s">
        <v>4139</v>
      </c>
      <c r="G6867" s="905" t="s">
        <v>2595</v>
      </c>
      <c r="H6867" s="902">
        <v>960</v>
      </c>
      <c r="I6867" s="904" t="s">
        <v>2596</v>
      </c>
      <c r="J6867" s="904"/>
      <c r="K6867" s="904"/>
      <c r="L6867" s="904"/>
      <c r="M6867" s="904"/>
      <c r="N6867" s="904"/>
      <c r="O6867" s="902">
        <v>4</v>
      </c>
      <c r="P6867" s="906">
        <v>38274</v>
      </c>
      <c r="Q6867" s="1415">
        <f>1.05*60*0.9</f>
        <v>56.7</v>
      </c>
      <c r="R6867" s="908">
        <f>$A6867*Q6867</f>
        <v>56.7</v>
      </c>
      <c r="S6867" s="907"/>
      <c r="T6867" s="909">
        <f>$A6867*S6867*$T$1</f>
        <v>0</v>
      </c>
      <c r="AR6867" s="903">
        <v>1</v>
      </c>
      <c r="AS6867" s="904" t="s">
        <v>3507</v>
      </c>
    </row>
    <row r="6868" spans="1:45" s="520" customFormat="1" ht="12">
      <c r="A6868" s="758"/>
      <c r="B6868" s="758"/>
      <c r="C6868" s="758"/>
      <c r="D6868" s="758"/>
      <c r="E6868" s="758"/>
      <c r="F6868" s="753"/>
      <c r="G6868" s="758"/>
      <c r="H6868" s="758"/>
      <c r="I6868" s="519"/>
      <c r="J6868" s="758"/>
      <c r="K6868" s="758"/>
      <c r="L6868" s="758"/>
      <c r="M6868" s="758"/>
      <c r="N6868" s="758"/>
      <c r="O6868" s="758"/>
      <c r="P6868" s="758"/>
      <c r="Q6868" s="519"/>
      <c r="R6868" s="759">
        <f t="shared" ref="R6868" si="540">$A6868*Q6868</f>
        <v>0</v>
      </c>
      <c r="S6868" s="519"/>
      <c r="T6868" s="760">
        <f t="shared" ref="T6868" si="541">$A6868*S6868*$T$1</f>
        <v>0</v>
      </c>
      <c r="AR6868" s="758"/>
      <c r="AS6868" s="753"/>
    </row>
    <row r="6869" spans="1:45" s="520" customFormat="1" ht="12.6" thickBot="1">
      <c r="A6869" s="761" t="s">
        <v>145</v>
      </c>
      <c r="B6869" s="762">
        <f>(R6868+T6868)</f>
        <v>0</v>
      </c>
      <c r="C6869" s="763"/>
      <c r="D6869" s="763"/>
      <c r="E6869" s="763"/>
      <c r="F6869" s="764"/>
      <c r="G6869" s="763" t="s">
        <v>146</v>
      </c>
      <c r="H6869" s="763"/>
      <c r="I6869" s="765"/>
      <c r="J6869" s="763"/>
      <c r="K6869" s="763" t="s">
        <v>5</v>
      </c>
      <c r="L6869" s="766" t="s">
        <v>143</v>
      </c>
      <c r="M6869" s="766"/>
      <c r="N6869" s="766"/>
      <c r="O6869" s="766"/>
      <c r="P6869" s="766"/>
      <c r="Q6869" s="767"/>
      <c r="R6869" s="768">
        <f>SUM(R6866:R6868)</f>
        <v>56.7</v>
      </c>
      <c r="S6869" s="763"/>
      <c r="T6869" s="768">
        <f>SUM(T6866:T6868)</f>
        <v>0</v>
      </c>
      <c r="U6869" s="531"/>
      <c r="V6869" s="531"/>
      <c r="W6869" s="531"/>
      <c r="X6869" s="531"/>
      <c r="Y6869" s="531"/>
      <c r="Z6869" s="531"/>
      <c r="AA6869" s="531"/>
      <c r="AB6869" s="531"/>
      <c r="AC6869" s="531"/>
      <c r="AD6869" s="531"/>
      <c r="AE6869" s="531"/>
      <c r="AF6869" s="531"/>
      <c r="AG6869" s="531"/>
      <c r="AH6869" s="531"/>
      <c r="AI6869" s="531"/>
      <c r="AJ6869" s="531"/>
      <c r="AK6869" s="531"/>
      <c r="AL6869" s="531"/>
      <c r="AM6869" s="531"/>
      <c r="AN6869" s="531"/>
      <c r="AO6869" s="531"/>
      <c r="AR6869" s="761" t="s">
        <v>145</v>
      </c>
      <c r="AS6869" s="764"/>
    </row>
    <row r="6870" spans="1:45" s="520" customFormat="1" ht="12" thickTop="1">
      <c r="A6870" s="51"/>
      <c r="B6870" s="41"/>
      <c r="C6870" s="51"/>
      <c r="E6870" s="42" t="s">
        <v>138</v>
      </c>
      <c r="F6870" s="42" t="s">
        <v>139</v>
      </c>
      <c r="G6870" s="51"/>
      <c r="H6870" s="51"/>
      <c r="I6870" s="51"/>
      <c r="J6870" s="51"/>
      <c r="K6870" s="51" t="s">
        <v>140</v>
      </c>
      <c r="L6870" s="51"/>
      <c r="M6870" s="51"/>
      <c r="N6870" s="51"/>
      <c r="O6870" s="52"/>
      <c r="P6870" s="51"/>
      <c r="Q6870" s="51"/>
      <c r="R6870" s="51"/>
      <c r="S6870" s="51"/>
      <c r="T6870" s="41"/>
      <c r="AG6870" s="521" t="s">
        <v>268</v>
      </c>
      <c r="AH6870" s="521" t="s">
        <v>269</v>
      </c>
      <c r="AI6870" s="521" t="s">
        <v>270</v>
      </c>
      <c r="AJ6870" s="521" t="s">
        <v>271</v>
      </c>
      <c r="AK6870" s="521" t="s">
        <v>272</v>
      </c>
      <c r="AM6870" s="745" t="s">
        <v>281</v>
      </c>
      <c r="AN6870" s="746" t="s">
        <v>282</v>
      </c>
      <c r="AO6870" s="522" t="s">
        <v>278</v>
      </c>
      <c r="AR6870" s="51"/>
      <c r="AS6870" s="42" t="s">
        <v>139</v>
      </c>
    </row>
    <row r="6871" spans="1:45" s="520" customFormat="1" ht="12" customHeight="1">
      <c r="A6871" s="747">
        <v>1</v>
      </c>
      <c r="B6871" s="523" t="s">
        <v>329</v>
      </c>
      <c r="C6871" s="748"/>
      <c r="D6871" s="749" t="s">
        <v>3902</v>
      </c>
      <c r="E6871" s="1145">
        <f>IF(AND($A6871=0,$A$1="DIF"),0, ROUND(ROUND(($R6875*$S$3+($T6875*$T$3))/$A6871,2)*$C$3,2))</f>
        <v>64</v>
      </c>
      <c r="F6871" s="1146">
        <f>ROUND($A6871*$E6871,2)</f>
        <v>64</v>
      </c>
      <c r="G6871" s="752" t="s">
        <v>142</v>
      </c>
      <c r="H6871" s="753"/>
      <c r="I6871" s="754"/>
      <c r="J6871" s="753"/>
      <c r="K6871" s="753" t="s">
        <v>5</v>
      </c>
      <c r="L6871" s="755" t="s">
        <v>143</v>
      </c>
      <c r="M6871" s="755"/>
      <c r="N6871" s="755"/>
      <c r="O6871" s="755"/>
      <c r="P6871" s="755"/>
      <c r="Q6871" s="51"/>
      <c r="T6871" s="1150" t="str">
        <f>IF(AND($R6875=0,$T6875=0),"0.00","mu: "&amp; ROUND(F6871/$C$3/($R6875+$T6875*$D$9),2))</f>
        <v>mu: 1.13</v>
      </c>
      <c r="W6871" s="524"/>
      <c r="AG6871" s="1147">
        <f>IF($E6871=0,0,ROUND($R6875*$S$3*$C$3/$A6871,2))</f>
        <v>64</v>
      </c>
      <c r="AH6871" s="1147">
        <f>$AG6871*$A6871</f>
        <v>64</v>
      </c>
      <c r="AI6871" s="1148">
        <f>$E6871-$AG6871</f>
        <v>0</v>
      </c>
      <c r="AJ6871" s="1148">
        <f>$A6871*$AI6871</f>
        <v>0</v>
      </c>
      <c r="AK6871" s="1149">
        <f>ROUND(($AG6871+$AI6871)*$A6871,2)</f>
        <v>64</v>
      </c>
      <c r="AM6871" s="527">
        <f>ROUND(R6875,2)</f>
        <v>56.7</v>
      </c>
      <c r="AN6871" s="528">
        <f>ROUND(T6875,2)</f>
        <v>0</v>
      </c>
      <c r="AO6871" s="529">
        <f>ROUND(AM6871+AN6871,2)*A6871</f>
        <v>56.7</v>
      </c>
      <c r="AR6871" s="747">
        <v>1</v>
      </c>
      <c r="AS6871" s="1146">
        <v>101.87</v>
      </c>
    </row>
    <row r="6872" spans="1:45" s="520" customFormat="1" ht="13.2">
      <c r="A6872" s="748"/>
      <c r="B6872"/>
      <c r="C6872" s="748"/>
      <c r="D6872" s="749" t="s">
        <v>974</v>
      </c>
      <c r="F6872" s="753"/>
      <c r="G6872" s="3"/>
      <c r="H6872" s="753"/>
      <c r="I6872" s="754"/>
      <c r="J6872" s="753"/>
      <c r="K6872" s="753" t="s">
        <v>144</v>
      </c>
      <c r="L6872" s="753"/>
      <c r="M6872" s="753"/>
      <c r="N6872" s="753"/>
      <c r="O6872" s="753"/>
      <c r="P6872" s="753"/>
      <c r="Q6872" s="51"/>
      <c r="R6872" s="530"/>
      <c r="S6872" s="757"/>
      <c r="T6872" s="753"/>
      <c r="AR6872" s="748"/>
      <c r="AS6872" s="753"/>
    </row>
    <row r="6873" spans="1:45" s="901" customFormat="1" ht="13.2">
      <c r="A6873" s="903">
        <v>1</v>
      </c>
      <c r="B6873" s="904" t="s">
        <v>863</v>
      </c>
      <c r="C6873" s="904"/>
      <c r="D6873" s="904" t="s">
        <v>2594</v>
      </c>
      <c r="E6873" s="904"/>
      <c r="F6873" s="904" t="s">
        <v>4139</v>
      </c>
      <c r="G6873" s="905" t="s">
        <v>2595</v>
      </c>
      <c r="H6873" s="902">
        <v>960</v>
      </c>
      <c r="I6873" s="904" t="s">
        <v>2596</v>
      </c>
      <c r="J6873" s="904"/>
      <c r="K6873" s="904"/>
      <c r="L6873" s="904"/>
      <c r="M6873" s="904"/>
      <c r="N6873" s="904"/>
      <c r="O6873" s="902">
        <v>4</v>
      </c>
      <c r="P6873" s="906">
        <v>38274</v>
      </c>
      <c r="Q6873" s="1415">
        <f>1.05*60*0.9</f>
        <v>56.7</v>
      </c>
      <c r="R6873" s="908">
        <f>$A6873*Q6873</f>
        <v>56.7</v>
      </c>
      <c r="S6873" s="907"/>
      <c r="T6873" s="909">
        <f>$A6873*S6873*$T$1</f>
        <v>0</v>
      </c>
      <c r="AR6873" s="903">
        <v>1</v>
      </c>
      <c r="AS6873" s="904" t="s">
        <v>3507</v>
      </c>
    </row>
    <row r="6874" spans="1:45" s="520" customFormat="1" ht="12">
      <c r="A6874" s="758"/>
      <c r="B6874" s="758"/>
      <c r="C6874" s="758"/>
      <c r="D6874" s="758"/>
      <c r="E6874" s="758"/>
      <c r="F6874" s="753"/>
      <c r="G6874" s="758"/>
      <c r="H6874" s="758"/>
      <c r="I6874" s="519"/>
      <c r="J6874" s="758"/>
      <c r="K6874" s="758"/>
      <c r="L6874" s="758"/>
      <c r="M6874" s="758"/>
      <c r="N6874" s="758"/>
      <c r="O6874" s="758"/>
      <c r="P6874" s="758"/>
      <c r="Q6874" s="519"/>
      <c r="R6874" s="759">
        <f t="shared" ref="R6874" si="542">$A6874*Q6874</f>
        <v>0</v>
      </c>
      <c r="S6874" s="519"/>
      <c r="T6874" s="760">
        <f t="shared" ref="T6874" si="543">$A6874*S6874*$T$1</f>
        <v>0</v>
      </c>
      <c r="AR6874" s="758"/>
      <c r="AS6874" s="753"/>
    </row>
    <row r="6875" spans="1:45" s="520" customFormat="1" ht="12.6" thickBot="1">
      <c r="A6875" s="761" t="s">
        <v>145</v>
      </c>
      <c r="B6875" s="762">
        <f>(R6874+T6874)</f>
        <v>0</v>
      </c>
      <c r="C6875" s="763"/>
      <c r="D6875" s="763"/>
      <c r="E6875" s="763"/>
      <c r="F6875" s="764"/>
      <c r="G6875" s="763" t="s">
        <v>146</v>
      </c>
      <c r="H6875" s="763"/>
      <c r="I6875" s="765"/>
      <c r="J6875" s="763"/>
      <c r="K6875" s="763" t="s">
        <v>5</v>
      </c>
      <c r="L6875" s="766" t="s">
        <v>143</v>
      </c>
      <c r="M6875" s="766"/>
      <c r="N6875" s="766"/>
      <c r="O6875" s="766"/>
      <c r="P6875" s="766"/>
      <c r="Q6875" s="767"/>
      <c r="R6875" s="768">
        <f>SUM(R6872:R6874)</f>
        <v>56.7</v>
      </c>
      <c r="S6875" s="763"/>
      <c r="T6875" s="768">
        <f>SUM(T6872:T6874)</f>
        <v>0</v>
      </c>
      <c r="U6875" s="531"/>
      <c r="V6875" s="531"/>
      <c r="W6875" s="531"/>
      <c r="X6875" s="531"/>
      <c r="Y6875" s="531"/>
      <c r="Z6875" s="531"/>
      <c r="AA6875" s="531"/>
      <c r="AB6875" s="531"/>
      <c r="AC6875" s="531"/>
      <c r="AD6875" s="531"/>
      <c r="AE6875" s="531"/>
      <c r="AF6875" s="531"/>
      <c r="AG6875" s="531"/>
      <c r="AH6875" s="531"/>
      <c r="AI6875" s="531"/>
      <c r="AJ6875" s="531"/>
      <c r="AK6875" s="531"/>
      <c r="AL6875" s="531"/>
      <c r="AM6875" s="531"/>
      <c r="AN6875" s="531"/>
      <c r="AO6875" s="531"/>
      <c r="AR6875" s="761" t="s">
        <v>145</v>
      </c>
      <c r="AS6875" s="764"/>
    </row>
    <row r="6876" spans="1:45" s="520" customFormat="1" ht="12" thickTop="1">
      <c r="A6876" s="51"/>
      <c r="B6876" s="41"/>
      <c r="C6876" s="51"/>
      <c r="E6876" s="42" t="s">
        <v>138</v>
      </c>
      <c r="F6876" s="42" t="s">
        <v>139</v>
      </c>
      <c r="G6876" s="51"/>
      <c r="H6876" s="51"/>
      <c r="I6876" s="51"/>
      <c r="J6876" s="51"/>
      <c r="K6876" s="51" t="s">
        <v>140</v>
      </c>
      <c r="L6876" s="51"/>
      <c r="M6876" s="51"/>
      <c r="N6876" s="51"/>
      <c r="O6876" s="52"/>
      <c r="P6876" s="51"/>
      <c r="Q6876" s="51"/>
      <c r="R6876" s="51"/>
      <c r="S6876" s="51"/>
      <c r="T6876" s="41"/>
      <c r="AG6876" s="521" t="s">
        <v>268</v>
      </c>
      <c r="AH6876" s="521" t="s">
        <v>269</v>
      </c>
      <c r="AI6876" s="521" t="s">
        <v>270</v>
      </c>
      <c r="AJ6876" s="521" t="s">
        <v>271</v>
      </c>
      <c r="AK6876" s="521" t="s">
        <v>272</v>
      </c>
      <c r="AM6876" s="745" t="s">
        <v>281</v>
      </c>
      <c r="AN6876" s="746" t="s">
        <v>282</v>
      </c>
      <c r="AO6876" s="522" t="s">
        <v>278</v>
      </c>
      <c r="AR6876" s="51"/>
      <c r="AS6876" s="42" t="s">
        <v>139</v>
      </c>
    </row>
    <row r="6877" spans="1:45" s="520" customFormat="1" ht="12" customHeight="1">
      <c r="A6877" s="747">
        <v>5</v>
      </c>
      <c r="B6877" s="523" t="s">
        <v>329</v>
      </c>
      <c r="C6877" s="748"/>
      <c r="D6877" s="749" t="s">
        <v>3903</v>
      </c>
      <c r="E6877" s="1145">
        <f>IF(AND($A6877=0,$A$1="DIF"),0, ROUND(ROUND(($R6881*$S$3+($T6881*$T$3))/$A6877,2)*$C$3,2))</f>
        <v>64</v>
      </c>
      <c r="F6877" s="1146">
        <f>ROUND($A6877*$E6877,2)</f>
        <v>320</v>
      </c>
      <c r="G6877" s="752" t="s">
        <v>142</v>
      </c>
      <c r="H6877" s="753"/>
      <c r="I6877" s="754"/>
      <c r="J6877" s="753"/>
      <c r="K6877" s="753" t="s">
        <v>5</v>
      </c>
      <c r="L6877" s="755" t="s">
        <v>143</v>
      </c>
      <c r="M6877" s="755"/>
      <c r="N6877" s="755"/>
      <c r="O6877" s="755"/>
      <c r="P6877" s="755"/>
      <c r="Q6877" s="51"/>
      <c r="T6877" s="1150" t="str">
        <f>IF(AND($R6881=0,$T6881=0),"0.00","mu: "&amp; ROUND(F6877/$C$3/($R6881+$T6881*$D$9),2))</f>
        <v>mu: 1.13</v>
      </c>
      <c r="W6877" s="524"/>
      <c r="AG6877" s="1147">
        <f>IF($E6877=0,0,ROUND($R6881*$S$3*$C$3/$A6877,2))</f>
        <v>64</v>
      </c>
      <c r="AH6877" s="1147">
        <f>$AG6877*$A6877</f>
        <v>320</v>
      </c>
      <c r="AI6877" s="1148">
        <f>$E6877-$AG6877</f>
        <v>0</v>
      </c>
      <c r="AJ6877" s="1148">
        <f>$A6877*$AI6877</f>
        <v>0</v>
      </c>
      <c r="AK6877" s="1149">
        <f>ROUND(($AG6877+$AI6877)*$A6877,2)</f>
        <v>320</v>
      </c>
      <c r="AM6877" s="527">
        <f>ROUND(R6881,2)</f>
        <v>283.5</v>
      </c>
      <c r="AN6877" s="528">
        <f>ROUND(T6881,2)</f>
        <v>0</v>
      </c>
      <c r="AO6877" s="529">
        <f>ROUND(AM6877+AN6877,2)*A6877</f>
        <v>1417.5</v>
      </c>
      <c r="AR6877" s="747">
        <v>5</v>
      </c>
      <c r="AS6877" s="1146">
        <v>509.35</v>
      </c>
    </row>
    <row r="6878" spans="1:45" s="520" customFormat="1" ht="13.2">
      <c r="A6878" s="748"/>
      <c r="B6878"/>
      <c r="C6878" s="748"/>
      <c r="D6878" s="749" t="s">
        <v>975</v>
      </c>
      <c r="F6878" s="753"/>
      <c r="G6878" s="3"/>
      <c r="H6878" s="753"/>
      <c r="I6878" s="754"/>
      <c r="J6878" s="753"/>
      <c r="K6878" s="753" t="s">
        <v>144</v>
      </c>
      <c r="L6878" s="753"/>
      <c r="M6878" s="753"/>
      <c r="N6878" s="753"/>
      <c r="O6878" s="753"/>
      <c r="P6878" s="753"/>
      <c r="Q6878" s="51"/>
      <c r="R6878" s="530"/>
      <c r="S6878" s="757"/>
      <c r="T6878" s="753"/>
      <c r="AR6878" s="748"/>
      <c r="AS6878" s="753"/>
    </row>
    <row r="6879" spans="1:45" s="901" customFormat="1" ht="13.2">
      <c r="A6879" s="903">
        <v>5</v>
      </c>
      <c r="B6879" s="904" t="s">
        <v>863</v>
      </c>
      <c r="C6879" s="904"/>
      <c r="D6879" s="904" t="s">
        <v>2594</v>
      </c>
      <c r="E6879" s="904"/>
      <c r="F6879" s="904" t="s">
        <v>4139</v>
      </c>
      <c r="G6879" s="905" t="s">
        <v>2595</v>
      </c>
      <c r="H6879" s="902">
        <v>960</v>
      </c>
      <c r="I6879" s="904" t="s">
        <v>2596</v>
      </c>
      <c r="J6879" s="904"/>
      <c r="K6879" s="904"/>
      <c r="L6879" s="904"/>
      <c r="M6879" s="904"/>
      <c r="N6879" s="904"/>
      <c r="O6879" s="902">
        <v>4</v>
      </c>
      <c r="P6879" s="906">
        <v>38274</v>
      </c>
      <c r="Q6879" s="1415">
        <f>1.05*60*0.9</f>
        <v>56.7</v>
      </c>
      <c r="R6879" s="908">
        <f>$A6879*Q6879</f>
        <v>283.5</v>
      </c>
      <c r="S6879" s="907"/>
      <c r="T6879" s="909">
        <f>$A6879*S6879*$T$1</f>
        <v>0</v>
      </c>
      <c r="AR6879" s="903">
        <v>5</v>
      </c>
      <c r="AS6879" s="904" t="s">
        <v>3507</v>
      </c>
    </row>
    <row r="6880" spans="1:45" s="520" customFormat="1" ht="12">
      <c r="A6880" s="758"/>
      <c r="B6880" s="758"/>
      <c r="C6880" s="758"/>
      <c r="D6880" s="758"/>
      <c r="E6880" s="758"/>
      <c r="F6880" s="753"/>
      <c r="G6880" s="758"/>
      <c r="H6880" s="758"/>
      <c r="I6880" s="519"/>
      <c r="J6880" s="758"/>
      <c r="K6880" s="758"/>
      <c r="L6880" s="758"/>
      <c r="M6880" s="758"/>
      <c r="N6880" s="758"/>
      <c r="O6880" s="758"/>
      <c r="P6880" s="758"/>
      <c r="Q6880" s="519"/>
      <c r="R6880" s="759">
        <f t="shared" ref="R6880" si="544">$A6880*Q6880</f>
        <v>0</v>
      </c>
      <c r="S6880" s="519"/>
      <c r="T6880" s="760">
        <f t="shared" ref="T6880" si="545">$A6880*S6880*$T$1</f>
        <v>0</v>
      </c>
      <c r="AR6880" s="758"/>
      <c r="AS6880" s="753"/>
    </row>
    <row r="6881" spans="1:45" s="520" customFormat="1" ht="12.6" thickBot="1">
      <c r="A6881" s="761" t="s">
        <v>145</v>
      </c>
      <c r="B6881" s="762">
        <f>(R6880+T6880)</f>
        <v>0</v>
      </c>
      <c r="C6881" s="763"/>
      <c r="D6881" s="763"/>
      <c r="E6881" s="763"/>
      <c r="F6881" s="764"/>
      <c r="G6881" s="763" t="s">
        <v>146</v>
      </c>
      <c r="H6881" s="763"/>
      <c r="I6881" s="765"/>
      <c r="J6881" s="763"/>
      <c r="K6881" s="763" t="s">
        <v>5</v>
      </c>
      <c r="L6881" s="766" t="s">
        <v>143</v>
      </c>
      <c r="M6881" s="766"/>
      <c r="N6881" s="766"/>
      <c r="O6881" s="766"/>
      <c r="P6881" s="766"/>
      <c r="Q6881" s="767"/>
      <c r="R6881" s="768">
        <f>SUM(R6878:R6880)</f>
        <v>283.5</v>
      </c>
      <c r="S6881" s="763"/>
      <c r="T6881" s="768">
        <f>SUM(T6878:T6880)</f>
        <v>0</v>
      </c>
      <c r="U6881" s="531"/>
      <c r="V6881" s="531"/>
      <c r="W6881" s="531"/>
      <c r="X6881" s="531"/>
      <c r="Y6881" s="531"/>
      <c r="Z6881" s="531"/>
      <c r="AA6881" s="531"/>
      <c r="AB6881" s="531"/>
      <c r="AC6881" s="531"/>
      <c r="AD6881" s="531"/>
      <c r="AE6881" s="531"/>
      <c r="AF6881" s="531"/>
      <c r="AG6881" s="531"/>
      <c r="AH6881" s="531"/>
      <c r="AI6881" s="531"/>
      <c r="AJ6881" s="531"/>
      <c r="AK6881" s="531"/>
      <c r="AL6881" s="531"/>
      <c r="AM6881" s="531"/>
      <c r="AN6881" s="531"/>
      <c r="AO6881" s="531"/>
      <c r="AR6881" s="761" t="s">
        <v>145</v>
      </c>
      <c r="AS6881" s="764"/>
    </row>
    <row r="6882" spans="1:45" s="520" customFormat="1" thickTop="1">
      <c r="A6882" s="51"/>
      <c r="B6882" s="51"/>
      <c r="C6882" s="3"/>
      <c r="D6882" s="3"/>
      <c r="E6882" s="51"/>
      <c r="F6882" s="51"/>
      <c r="G6882" s="51"/>
      <c r="H6882" s="51"/>
      <c r="I6882" s="51"/>
      <c r="J6882" s="51"/>
      <c r="K6882" s="51" t="s">
        <v>134</v>
      </c>
      <c r="L6882" s="51"/>
      <c r="M6882" s="51"/>
      <c r="N6882" s="51"/>
      <c r="O6882" s="52"/>
      <c r="P6882" s="51"/>
      <c r="Q6882" s="51"/>
      <c r="R6882" s="51"/>
      <c r="S6882" s="51"/>
      <c r="T6882" s="51"/>
      <c r="AR6882" s="51"/>
      <c r="AS6882" s="51"/>
    </row>
    <row r="6883" spans="1:45" s="520" customFormat="1" ht="12">
      <c r="A6883" s="51"/>
      <c r="B6883" s="51"/>
      <c r="C6883" s="51" t="s">
        <v>135</v>
      </c>
      <c r="D6883" s="37"/>
      <c r="E6883" s="51"/>
      <c r="F6883" s="51"/>
      <c r="G6883" s="51"/>
      <c r="H6883" s="51"/>
      <c r="I6883" s="51"/>
      <c r="J6883" s="51"/>
      <c r="K6883" s="51"/>
      <c r="L6883" s="51"/>
      <c r="M6883" s="51"/>
      <c r="N6883" s="51"/>
      <c r="O6883" s="52"/>
      <c r="P6883" s="51"/>
      <c r="Q6883" s="51"/>
      <c r="R6883" s="51"/>
      <c r="S6883" s="51"/>
      <c r="T6883" s="51"/>
      <c r="AR6883" s="51"/>
      <c r="AS6883" s="51"/>
    </row>
    <row r="6884" spans="1:45" s="520" customFormat="1" ht="12">
      <c r="A6884" s="51"/>
      <c r="B6884" s="51"/>
      <c r="C6884" s="51"/>
      <c r="D6884" s="37" t="s">
        <v>1952</v>
      </c>
      <c r="E6884" s="51"/>
      <c r="F6884" s="51"/>
      <c r="G6884" s="51"/>
      <c r="H6884" s="51"/>
      <c r="I6884" s="51"/>
      <c r="J6884" s="51"/>
      <c r="K6884" s="51"/>
      <c r="L6884" s="51"/>
      <c r="M6884" s="51"/>
      <c r="N6884" s="51"/>
      <c r="O6884" s="52"/>
      <c r="P6884" s="51"/>
      <c r="Q6884" s="51"/>
      <c r="R6884" s="51"/>
      <c r="S6884" s="38"/>
      <c r="T6884" s="38"/>
      <c r="AR6884" s="51"/>
      <c r="AS6884" s="51"/>
    </row>
    <row r="6885" spans="1:45" s="3" customFormat="1" thickBot="1">
      <c r="A6885" s="531"/>
      <c r="O6885" s="107"/>
      <c r="AR6885" s="531"/>
    </row>
    <row r="6886" spans="1:45" s="520" customFormat="1" ht="12" thickTop="1">
      <c r="A6886" s="51"/>
      <c r="B6886" s="41"/>
      <c r="C6886" s="51"/>
      <c r="E6886" s="42" t="s">
        <v>138</v>
      </c>
      <c r="F6886" s="42" t="s">
        <v>139</v>
      </c>
      <c r="G6886" s="51"/>
      <c r="H6886" s="51"/>
      <c r="I6886" s="51"/>
      <c r="J6886" s="51"/>
      <c r="K6886" s="51" t="s">
        <v>140</v>
      </c>
      <c r="L6886" s="51"/>
      <c r="M6886" s="51"/>
      <c r="N6886" s="51"/>
      <c r="O6886" s="52"/>
      <c r="P6886" s="51"/>
      <c r="Q6886" s="51"/>
      <c r="R6886" s="51"/>
      <c r="S6886" s="51"/>
      <c r="T6886" s="41"/>
      <c r="AG6886" s="521" t="s">
        <v>268</v>
      </c>
      <c r="AH6886" s="521" t="s">
        <v>269</v>
      </c>
      <c r="AI6886" s="521" t="s">
        <v>270</v>
      </c>
      <c r="AJ6886" s="521" t="s">
        <v>271</v>
      </c>
      <c r="AK6886" s="521" t="s">
        <v>272</v>
      </c>
      <c r="AM6886" s="745" t="s">
        <v>281</v>
      </c>
      <c r="AN6886" s="746" t="s">
        <v>282</v>
      </c>
      <c r="AO6886" s="522" t="s">
        <v>278</v>
      </c>
      <c r="AR6886" s="51"/>
      <c r="AS6886" s="42" t="s">
        <v>139</v>
      </c>
    </row>
    <row r="6887" spans="1:45" s="520" customFormat="1" ht="12" customHeight="1">
      <c r="A6887" s="747">
        <v>13</v>
      </c>
      <c r="B6887" s="523" t="s">
        <v>329</v>
      </c>
      <c r="C6887" s="748"/>
      <c r="D6887" s="749" t="s">
        <v>3904</v>
      </c>
      <c r="E6887" s="1145">
        <f>IF(AND($A6887=0,$A$1="DIF"),0, ROUND(ROUND(($R6891*$S$3+($T6891*$T$3))/$A6887,2)*$C$3,2))</f>
        <v>5.08</v>
      </c>
      <c r="F6887" s="1146">
        <f>ROUND($A6887*$E6887,2)</f>
        <v>66.040000000000006</v>
      </c>
      <c r="G6887" s="752" t="s">
        <v>142</v>
      </c>
      <c r="H6887" s="753"/>
      <c r="I6887" s="754"/>
      <c r="J6887" s="753"/>
      <c r="K6887" s="753" t="s">
        <v>5</v>
      </c>
      <c r="L6887" s="755" t="s">
        <v>143</v>
      </c>
      <c r="M6887" s="755"/>
      <c r="N6887" s="755"/>
      <c r="O6887" s="755"/>
      <c r="P6887" s="755"/>
      <c r="Q6887" s="51"/>
      <c r="T6887" s="1150" t="str">
        <f>IF(AND($R6891=0,$T6891=0),"0.00","mu: "&amp; ROUND(F6887/$C$3/($R6891+$T6891*$D$9),2))</f>
        <v>mu: 1.13</v>
      </c>
      <c r="W6887" s="524"/>
      <c r="AG6887" s="1147">
        <f>IF($E6887=0,0,ROUND($R6891*$S$3*$C$3/$A6887,2))</f>
        <v>5.08</v>
      </c>
      <c r="AH6887" s="1147">
        <f>$AG6887*$A6887</f>
        <v>66.040000000000006</v>
      </c>
      <c r="AI6887" s="1148">
        <f>$E6887-$AG6887</f>
        <v>0</v>
      </c>
      <c r="AJ6887" s="1148">
        <f>$A6887*$AI6887</f>
        <v>0</v>
      </c>
      <c r="AK6887" s="1149">
        <f>ROUND(($AG6887+$AI6887)*$A6887,2)</f>
        <v>66.040000000000006</v>
      </c>
      <c r="AM6887" s="527">
        <f>ROUND(R6891,2)</f>
        <v>58.5</v>
      </c>
      <c r="AN6887" s="528">
        <f>ROUND(T6891,2)</f>
        <v>0</v>
      </c>
      <c r="AO6887" s="529">
        <f>ROUND(AM6887+AN6887,2)*A6887</f>
        <v>760.5</v>
      </c>
      <c r="AR6887" s="747">
        <v>13</v>
      </c>
      <c r="AS6887" s="1146">
        <v>69.680000000000007</v>
      </c>
    </row>
    <row r="6888" spans="1:45" s="520" customFormat="1" ht="13.2">
      <c r="A6888" s="748"/>
      <c r="B6888"/>
      <c r="C6888" s="748"/>
      <c r="D6888" s="749" t="s">
        <v>1924</v>
      </c>
      <c r="F6888" s="753"/>
      <c r="G6888" s="3"/>
      <c r="H6888" s="753"/>
      <c r="I6888" s="754"/>
      <c r="J6888" s="753"/>
      <c r="K6888" s="753" t="s">
        <v>144</v>
      </c>
      <c r="L6888" s="753"/>
      <c r="M6888" s="753"/>
      <c r="N6888" s="753"/>
      <c r="O6888" s="753"/>
      <c r="P6888" s="753"/>
      <c r="Q6888" s="51"/>
      <c r="R6888" s="530"/>
      <c r="S6888" s="757"/>
      <c r="T6888" s="753"/>
      <c r="AR6888" s="748"/>
      <c r="AS6888" s="753"/>
    </row>
    <row r="6889" spans="1:45" s="901" customFormat="1" ht="13.2">
      <c r="A6889" s="903">
        <v>13</v>
      </c>
      <c r="B6889" s="904" t="s">
        <v>863</v>
      </c>
      <c r="C6889" s="904"/>
      <c r="D6889" s="904" t="s">
        <v>2594</v>
      </c>
      <c r="E6889" s="904"/>
      <c r="F6889" s="904" t="s">
        <v>4139</v>
      </c>
      <c r="G6889" s="905" t="s">
        <v>2595</v>
      </c>
      <c r="H6889" s="902">
        <v>960</v>
      </c>
      <c r="I6889" s="904" t="s">
        <v>2596</v>
      </c>
      <c r="J6889" s="904"/>
      <c r="K6889" s="904"/>
      <c r="L6889" s="904"/>
      <c r="M6889" s="904"/>
      <c r="N6889" s="904"/>
      <c r="O6889" s="902">
        <v>4</v>
      </c>
      <c r="P6889" s="906">
        <v>38274</v>
      </c>
      <c r="Q6889" s="1415">
        <f>5*0.9</f>
        <v>4.5</v>
      </c>
      <c r="R6889" s="908">
        <f>$A6889*Q6889</f>
        <v>58.5</v>
      </c>
      <c r="S6889" s="907"/>
      <c r="T6889" s="909">
        <f>$A6889*S6889*$T$1</f>
        <v>0</v>
      </c>
      <c r="AR6889" s="903">
        <v>13</v>
      </c>
      <c r="AS6889" s="904" t="s">
        <v>3507</v>
      </c>
    </row>
    <row r="6890" spans="1:45" s="520" customFormat="1" ht="12">
      <c r="A6890" s="758"/>
      <c r="B6890" s="758"/>
      <c r="C6890" s="758"/>
      <c r="D6890" s="758"/>
      <c r="E6890" s="758"/>
      <c r="F6890" s="753"/>
      <c r="G6890" s="758"/>
      <c r="H6890" s="758"/>
      <c r="I6890" s="519"/>
      <c r="J6890" s="758"/>
      <c r="K6890" s="758"/>
      <c r="L6890" s="758"/>
      <c r="M6890" s="758"/>
      <c r="N6890" s="758"/>
      <c r="O6890" s="758"/>
      <c r="P6890" s="758"/>
      <c r="Q6890" s="519"/>
      <c r="R6890" s="759">
        <f t="shared" ref="R6890" si="546">$A6890*Q6890</f>
        <v>0</v>
      </c>
      <c r="S6890" s="519"/>
      <c r="T6890" s="760">
        <f t="shared" ref="T6890" si="547">$A6890*S6890*$T$1</f>
        <v>0</v>
      </c>
      <c r="AR6890" s="758"/>
      <c r="AS6890" s="753"/>
    </row>
    <row r="6891" spans="1:45" s="520" customFormat="1" ht="12.6" thickBot="1">
      <c r="A6891" s="761" t="s">
        <v>145</v>
      </c>
      <c r="B6891" s="762">
        <f>(R6890+T6890)</f>
        <v>0</v>
      </c>
      <c r="C6891" s="763"/>
      <c r="D6891" s="763"/>
      <c r="E6891" s="763"/>
      <c r="F6891" s="764"/>
      <c r="G6891" s="763" t="s">
        <v>146</v>
      </c>
      <c r="H6891" s="763"/>
      <c r="I6891" s="765"/>
      <c r="J6891" s="763"/>
      <c r="K6891" s="763" t="s">
        <v>5</v>
      </c>
      <c r="L6891" s="766" t="s">
        <v>143</v>
      </c>
      <c r="M6891" s="766"/>
      <c r="N6891" s="766"/>
      <c r="O6891" s="766"/>
      <c r="P6891" s="766"/>
      <c r="Q6891" s="767"/>
      <c r="R6891" s="768">
        <f>SUM(R6888:R6890)</f>
        <v>58.5</v>
      </c>
      <c r="S6891" s="763"/>
      <c r="T6891" s="768">
        <f>SUM(T6888:T6890)</f>
        <v>0</v>
      </c>
      <c r="U6891" s="531"/>
      <c r="V6891" s="531"/>
      <c r="W6891" s="531"/>
      <c r="X6891" s="531"/>
      <c r="Y6891" s="531"/>
      <c r="Z6891" s="531"/>
      <c r="AA6891" s="531"/>
      <c r="AB6891" s="531"/>
      <c r="AC6891" s="531"/>
      <c r="AD6891" s="531"/>
      <c r="AE6891" s="531"/>
      <c r="AF6891" s="531"/>
      <c r="AG6891" s="531"/>
      <c r="AH6891" s="531"/>
      <c r="AI6891" s="531"/>
      <c r="AJ6891" s="531"/>
      <c r="AK6891" s="531"/>
      <c r="AL6891" s="531"/>
      <c r="AM6891" s="531"/>
      <c r="AN6891" s="531"/>
      <c r="AO6891" s="531"/>
      <c r="AR6891" s="761" t="s">
        <v>145</v>
      </c>
      <c r="AS6891" s="764"/>
    </row>
    <row r="6892" spans="1:45" s="520" customFormat="1" ht="12" thickTop="1">
      <c r="A6892" s="51"/>
      <c r="B6892" s="41"/>
      <c r="C6892" s="51"/>
      <c r="E6892" s="42" t="s">
        <v>138</v>
      </c>
      <c r="F6892" s="42" t="s">
        <v>139</v>
      </c>
      <c r="G6892" s="51"/>
      <c r="H6892" s="51"/>
      <c r="I6892" s="51"/>
      <c r="J6892" s="51"/>
      <c r="K6892" s="51" t="s">
        <v>140</v>
      </c>
      <c r="L6892" s="51"/>
      <c r="M6892" s="51"/>
      <c r="N6892" s="51"/>
      <c r="O6892" s="52"/>
      <c r="P6892" s="51"/>
      <c r="Q6892" s="51"/>
      <c r="R6892" s="51"/>
      <c r="S6892" s="51"/>
      <c r="T6892" s="41"/>
      <c r="AG6892" s="521" t="s">
        <v>268</v>
      </c>
      <c r="AH6892" s="521" t="s">
        <v>269</v>
      </c>
      <c r="AI6892" s="521" t="s">
        <v>270</v>
      </c>
      <c r="AJ6892" s="521" t="s">
        <v>271</v>
      </c>
      <c r="AK6892" s="521" t="s">
        <v>272</v>
      </c>
      <c r="AM6892" s="745" t="s">
        <v>281</v>
      </c>
      <c r="AN6892" s="746" t="s">
        <v>282</v>
      </c>
      <c r="AO6892" s="522" t="s">
        <v>278</v>
      </c>
      <c r="AR6892" s="51"/>
      <c r="AS6892" s="42" t="s">
        <v>139</v>
      </c>
    </row>
    <row r="6893" spans="1:45" s="520" customFormat="1" ht="12" customHeight="1">
      <c r="A6893" s="747">
        <v>3</v>
      </c>
      <c r="B6893" s="523" t="s">
        <v>329</v>
      </c>
      <c r="C6893" s="748"/>
      <c r="D6893" s="749" t="s">
        <v>3905</v>
      </c>
      <c r="E6893" s="1145">
        <f>IF(AND($A6893=0,$A$1="DIF"),0, ROUND(ROUND(($R6897*$S$3+($T6897*$T$3))/$A6893,2)*$C$3,2))</f>
        <v>8.6300000000000008</v>
      </c>
      <c r="F6893" s="1146">
        <f>ROUND($A6893*$E6893,2)</f>
        <v>25.89</v>
      </c>
      <c r="G6893" s="752" t="s">
        <v>142</v>
      </c>
      <c r="H6893" s="753"/>
      <c r="I6893" s="754"/>
      <c r="J6893" s="753"/>
      <c r="K6893" s="753" t="s">
        <v>5</v>
      </c>
      <c r="L6893" s="755" t="s">
        <v>143</v>
      </c>
      <c r="M6893" s="755"/>
      <c r="N6893" s="755"/>
      <c r="O6893" s="755"/>
      <c r="P6893" s="755"/>
      <c r="Q6893" s="51"/>
      <c r="T6893" s="1150" t="str">
        <f>IF(AND($R6897=0,$T6897=0),"0.00","mu: "&amp; ROUND(F6893/$C$3/($R6897+$T6897*$D$9),2))</f>
        <v>mu: 1.13</v>
      </c>
      <c r="W6893" s="524"/>
      <c r="AG6893" s="1147">
        <f>IF($E6893=0,0,ROUND($R6897*$S$3*$C$3/$A6893,2))</f>
        <v>8.6300000000000008</v>
      </c>
      <c r="AH6893" s="1147">
        <f>$AG6893*$A6893</f>
        <v>25.89</v>
      </c>
      <c r="AI6893" s="1148">
        <f>$E6893-$AG6893</f>
        <v>0</v>
      </c>
      <c r="AJ6893" s="1148">
        <f>$A6893*$AI6893</f>
        <v>0</v>
      </c>
      <c r="AK6893" s="1149">
        <f>ROUND(($AG6893+$AI6893)*$A6893,2)</f>
        <v>25.89</v>
      </c>
      <c r="AM6893" s="527">
        <f>ROUND(R6897,2)</f>
        <v>22.95</v>
      </c>
      <c r="AN6893" s="528">
        <f>ROUND(T6897,2)</f>
        <v>0</v>
      </c>
      <c r="AO6893" s="529">
        <f>ROUND(AM6893+AN6893,2)*A6893</f>
        <v>68.849999999999994</v>
      </c>
      <c r="AR6893" s="747">
        <v>3</v>
      </c>
      <c r="AS6893" s="1146">
        <v>27.33</v>
      </c>
    </row>
    <row r="6894" spans="1:45" s="520" customFormat="1" ht="13.2">
      <c r="A6894" s="748"/>
      <c r="B6894"/>
      <c r="C6894" s="748"/>
      <c r="D6894" s="749" t="s">
        <v>1926</v>
      </c>
      <c r="F6894" s="753"/>
      <c r="G6894" s="3"/>
      <c r="H6894" s="753"/>
      <c r="I6894" s="754"/>
      <c r="J6894" s="753"/>
      <c r="K6894" s="753" t="s">
        <v>144</v>
      </c>
      <c r="L6894" s="753"/>
      <c r="M6894" s="753"/>
      <c r="N6894" s="753"/>
      <c r="O6894" s="753"/>
      <c r="P6894" s="753"/>
      <c r="Q6894" s="51"/>
      <c r="R6894" s="530"/>
      <c r="S6894" s="757"/>
      <c r="T6894" s="753"/>
      <c r="AR6894" s="748"/>
      <c r="AS6894" s="753"/>
    </row>
    <row r="6895" spans="1:45" s="901" customFormat="1" ht="13.2">
      <c r="A6895" s="903">
        <v>3</v>
      </c>
      <c r="B6895" s="904" t="s">
        <v>863</v>
      </c>
      <c r="C6895" s="904"/>
      <c r="D6895" s="904" t="s">
        <v>2594</v>
      </c>
      <c r="E6895" s="904"/>
      <c r="F6895" s="904" t="s">
        <v>4139</v>
      </c>
      <c r="G6895" s="905" t="s">
        <v>2595</v>
      </c>
      <c r="H6895" s="902">
        <v>960</v>
      </c>
      <c r="I6895" s="904" t="s">
        <v>2596</v>
      </c>
      <c r="J6895" s="904"/>
      <c r="K6895" s="904"/>
      <c r="L6895" s="904"/>
      <c r="M6895" s="904"/>
      <c r="N6895" s="904"/>
      <c r="O6895" s="902">
        <v>4</v>
      </c>
      <c r="P6895" s="906">
        <v>38274</v>
      </c>
      <c r="Q6895" s="1415">
        <f>8.5*0.9</f>
        <v>7.65</v>
      </c>
      <c r="R6895" s="908">
        <f>$A6895*Q6895</f>
        <v>22.950000000000003</v>
      </c>
      <c r="S6895" s="907"/>
      <c r="T6895" s="909">
        <f>$A6895*S6895*$T$1</f>
        <v>0</v>
      </c>
      <c r="AR6895" s="903">
        <v>3</v>
      </c>
      <c r="AS6895" s="904" t="s">
        <v>3507</v>
      </c>
    </row>
    <row r="6896" spans="1:45" s="520" customFormat="1" ht="12">
      <c r="A6896" s="758"/>
      <c r="B6896" s="758"/>
      <c r="C6896" s="758"/>
      <c r="D6896" s="758"/>
      <c r="E6896" s="758"/>
      <c r="F6896" s="753"/>
      <c r="G6896" s="758"/>
      <c r="H6896" s="758"/>
      <c r="I6896" s="519"/>
      <c r="J6896" s="758"/>
      <c r="K6896" s="758"/>
      <c r="L6896" s="758"/>
      <c r="M6896" s="758"/>
      <c r="N6896" s="758"/>
      <c r="O6896" s="758"/>
      <c r="P6896" s="758"/>
      <c r="Q6896" s="519"/>
      <c r="R6896" s="759">
        <f t="shared" ref="R6896" si="548">$A6896*Q6896</f>
        <v>0</v>
      </c>
      <c r="S6896" s="519"/>
      <c r="T6896" s="760">
        <f t="shared" ref="T6896" si="549">$A6896*S6896*$T$1</f>
        <v>0</v>
      </c>
      <c r="AR6896" s="758"/>
      <c r="AS6896" s="753"/>
    </row>
    <row r="6897" spans="1:45" s="520" customFormat="1" ht="12.6" thickBot="1">
      <c r="A6897" s="761" t="s">
        <v>145</v>
      </c>
      <c r="B6897" s="762">
        <f>(R6896+T6896)</f>
        <v>0</v>
      </c>
      <c r="C6897" s="763"/>
      <c r="D6897" s="763"/>
      <c r="E6897" s="763"/>
      <c r="F6897" s="764"/>
      <c r="G6897" s="763" t="s">
        <v>146</v>
      </c>
      <c r="H6897" s="763"/>
      <c r="I6897" s="765"/>
      <c r="J6897" s="763"/>
      <c r="K6897" s="763" t="s">
        <v>5</v>
      </c>
      <c r="L6897" s="766" t="s">
        <v>143</v>
      </c>
      <c r="M6897" s="766"/>
      <c r="N6897" s="766"/>
      <c r="O6897" s="766"/>
      <c r="P6897" s="766"/>
      <c r="Q6897" s="767"/>
      <c r="R6897" s="768">
        <f>SUM(R6894:R6896)</f>
        <v>22.950000000000003</v>
      </c>
      <c r="S6897" s="763"/>
      <c r="T6897" s="768">
        <f>SUM(T6894:T6896)</f>
        <v>0</v>
      </c>
      <c r="U6897" s="531"/>
      <c r="V6897" s="531"/>
      <c r="W6897" s="531"/>
      <c r="X6897" s="531"/>
      <c r="Y6897" s="531"/>
      <c r="Z6897" s="531"/>
      <c r="AA6897" s="531"/>
      <c r="AB6897" s="531"/>
      <c r="AC6897" s="531"/>
      <c r="AD6897" s="531"/>
      <c r="AE6897" s="531"/>
      <c r="AF6897" s="531"/>
      <c r="AG6897" s="531"/>
      <c r="AH6897" s="531"/>
      <c r="AI6897" s="531"/>
      <c r="AJ6897" s="531"/>
      <c r="AK6897" s="531"/>
      <c r="AL6897" s="531"/>
      <c r="AM6897" s="531"/>
      <c r="AN6897" s="531"/>
      <c r="AO6897" s="531"/>
      <c r="AR6897" s="761" t="s">
        <v>145</v>
      </c>
      <c r="AS6897" s="764"/>
    </row>
    <row r="6898" spans="1:45" s="520" customFormat="1" ht="12" thickTop="1">
      <c r="A6898" s="51"/>
      <c r="B6898" s="41"/>
      <c r="C6898" s="51"/>
      <c r="E6898" s="42" t="s">
        <v>138</v>
      </c>
      <c r="F6898" s="42" t="s">
        <v>139</v>
      </c>
      <c r="G6898" s="51"/>
      <c r="H6898" s="51"/>
      <c r="I6898" s="51"/>
      <c r="J6898" s="51"/>
      <c r="K6898" s="51" t="s">
        <v>140</v>
      </c>
      <c r="L6898" s="51"/>
      <c r="M6898" s="51"/>
      <c r="N6898" s="51"/>
      <c r="O6898" s="52"/>
      <c r="P6898" s="51"/>
      <c r="Q6898" s="51"/>
      <c r="R6898" s="51"/>
      <c r="S6898" s="51"/>
      <c r="T6898" s="41"/>
      <c r="AG6898" s="521" t="s">
        <v>268</v>
      </c>
      <c r="AH6898" s="521" t="s">
        <v>269</v>
      </c>
      <c r="AI6898" s="521" t="s">
        <v>270</v>
      </c>
      <c r="AJ6898" s="521" t="s">
        <v>271</v>
      </c>
      <c r="AK6898" s="521" t="s">
        <v>272</v>
      </c>
      <c r="AM6898" s="745" t="s">
        <v>281</v>
      </c>
      <c r="AN6898" s="746" t="s">
        <v>282</v>
      </c>
      <c r="AO6898" s="522" t="s">
        <v>278</v>
      </c>
      <c r="AR6898" s="51"/>
      <c r="AS6898" s="42" t="s">
        <v>139</v>
      </c>
    </row>
    <row r="6899" spans="1:45" s="520" customFormat="1" ht="12" customHeight="1">
      <c r="A6899" s="747">
        <v>1</v>
      </c>
      <c r="B6899" s="523" t="s">
        <v>329</v>
      </c>
      <c r="C6899" s="748"/>
      <c r="D6899" s="749" t="s">
        <v>3906</v>
      </c>
      <c r="E6899" s="1145">
        <f>IF(AND($A6899=0,$A$1="DIF"),0, ROUND(ROUND(($R6903*$S$3+($T6903*$T$3))/$A6899,2)*$C$3,2))</f>
        <v>12.7</v>
      </c>
      <c r="F6899" s="1146">
        <f>ROUND($A6899*$E6899,2)</f>
        <v>12.7</v>
      </c>
      <c r="G6899" s="752" t="s">
        <v>142</v>
      </c>
      <c r="H6899" s="753"/>
      <c r="I6899" s="754"/>
      <c r="J6899" s="753"/>
      <c r="K6899" s="753" t="s">
        <v>5</v>
      </c>
      <c r="L6899" s="755" t="s">
        <v>143</v>
      </c>
      <c r="M6899" s="755"/>
      <c r="N6899" s="755"/>
      <c r="O6899" s="755"/>
      <c r="P6899" s="755"/>
      <c r="Q6899" s="51"/>
      <c r="T6899" s="1150" t="str">
        <f>IF(AND($R6903=0,$T6903=0),"0.00","mu: "&amp; ROUND(F6899/$C$3/($R6903+$T6903*$D$9),2))</f>
        <v>mu: 1.13</v>
      </c>
      <c r="W6899" s="524"/>
      <c r="AG6899" s="1147">
        <f>IF($E6899=0,0,ROUND($R6903*$S$3*$C$3/$A6899,2))</f>
        <v>12.7</v>
      </c>
      <c r="AH6899" s="1147">
        <f>$AG6899*$A6899</f>
        <v>12.7</v>
      </c>
      <c r="AI6899" s="1148">
        <f>$E6899-$AG6899</f>
        <v>0</v>
      </c>
      <c r="AJ6899" s="1148">
        <f>$A6899*$AI6899</f>
        <v>0</v>
      </c>
      <c r="AK6899" s="1149">
        <f>ROUND(($AG6899+$AI6899)*$A6899,2)</f>
        <v>12.7</v>
      </c>
      <c r="AM6899" s="527">
        <f>ROUND(R6903,2)</f>
        <v>11.25</v>
      </c>
      <c r="AN6899" s="528">
        <f>ROUND(T6903,2)</f>
        <v>0</v>
      </c>
      <c r="AO6899" s="529">
        <f>ROUND(AM6899+AN6899,2)*A6899</f>
        <v>11.25</v>
      </c>
      <c r="AR6899" s="747">
        <v>1</v>
      </c>
      <c r="AS6899" s="1146">
        <v>13.4</v>
      </c>
    </row>
    <row r="6900" spans="1:45" s="520" customFormat="1" ht="13.2">
      <c r="A6900" s="748"/>
      <c r="B6900"/>
      <c r="C6900" s="748"/>
      <c r="D6900" s="749" t="s">
        <v>1956</v>
      </c>
      <c r="F6900" s="753"/>
      <c r="G6900" s="3"/>
      <c r="H6900" s="753"/>
      <c r="I6900" s="754"/>
      <c r="J6900" s="753"/>
      <c r="K6900" s="753" t="s">
        <v>144</v>
      </c>
      <c r="L6900" s="753"/>
      <c r="M6900" s="753"/>
      <c r="N6900" s="753"/>
      <c r="O6900" s="753"/>
      <c r="P6900" s="753"/>
      <c r="Q6900" s="51"/>
      <c r="R6900" s="530"/>
      <c r="S6900" s="757"/>
      <c r="T6900" s="753"/>
      <c r="AR6900" s="748"/>
      <c r="AS6900" s="753"/>
    </row>
    <row r="6901" spans="1:45" s="901" customFormat="1" ht="13.2">
      <c r="A6901" s="903">
        <v>1</v>
      </c>
      <c r="B6901" s="904" t="s">
        <v>863</v>
      </c>
      <c r="C6901" s="904"/>
      <c r="D6901" s="904" t="s">
        <v>2594</v>
      </c>
      <c r="E6901" s="904"/>
      <c r="F6901" s="904" t="s">
        <v>4139</v>
      </c>
      <c r="G6901" s="905" t="s">
        <v>2595</v>
      </c>
      <c r="H6901" s="902">
        <v>960</v>
      </c>
      <c r="I6901" s="904" t="s">
        <v>2596</v>
      </c>
      <c r="J6901" s="904"/>
      <c r="K6901" s="904"/>
      <c r="L6901" s="904"/>
      <c r="M6901" s="904"/>
      <c r="N6901" s="904"/>
      <c r="O6901" s="902">
        <v>4</v>
      </c>
      <c r="P6901" s="906">
        <v>38274</v>
      </c>
      <c r="Q6901" s="1415">
        <f>12.5*0.9</f>
        <v>11.25</v>
      </c>
      <c r="R6901" s="908">
        <f>$A6901*Q6901</f>
        <v>11.25</v>
      </c>
      <c r="S6901" s="907"/>
      <c r="T6901" s="909">
        <f>$A6901*S6901*$T$1</f>
        <v>0</v>
      </c>
      <c r="AR6901" s="903">
        <v>1</v>
      </c>
      <c r="AS6901" s="904" t="s">
        <v>3507</v>
      </c>
    </row>
    <row r="6902" spans="1:45" s="520" customFormat="1" ht="12">
      <c r="A6902" s="758"/>
      <c r="B6902" s="758"/>
      <c r="C6902" s="758"/>
      <c r="D6902" s="758"/>
      <c r="E6902" s="758"/>
      <c r="F6902" s="753"/>
      <c r="G6902" s="758"/>
      <c r="H6902" s="758"/>
      <c r="I6902" s="519"/>
      <c r="J6902" s="758"/>
      <c r="K6902" s="758"/>
      <c r="L6902" s="758"/>
      <c r="M6902" s="758"/>
      <c r="N6902" s="758"/>
      <c r="O6902" s="758"/>
      <c r="P6902" s="758"/>
      <c r="Q6902" s="519"/>
      <c r="R6902" s="759">
        <f t="shared" ref="R6902" si="550">$A6902*Q6902</f>
        <v>0</v>
      </c>
      <c r="S6902" s="519"/>
      <c r="T6902" s="760">
        <f t="shared" ref="T6902" si="551">$A6902*S6902*$T$1</f>
        <v>0</v>
      </c>
      <c r="AR6902" s="758"/>
      <c r="AS6902" s="753"/>
    </row>
    <row r="6903" spans="1:45" s="520" customFormat="1" ht="12.6" thickBot="1">
      <c r="A6903" s="761" t="s">
        <v>145</v>
      </c>
      <c r="B6903" s="762">
        <f>(R6902+T6902)</f>
        <v>0</v>
      </c>
      <c r="C6903" s="763"/>
      <c r="D6903" s="763"/>
      <c r="E6903" s="763"/>
      <c r="F6903" s="764"/>
      <c r="G6903" s="763" t="s">
        <v>146</v>
      </c>
      <c r="H6903" s="763"/>
      <c r="I6903" s="765"/>
      <c r="J6903" s="763"/>
      <c r="K6903" s="763" t="s">
        <v>5</v>
      </c>
      <c r="L6903" s="766" t="s">
        <v>143</v>
      </c>
      <c r="M6903" s="766"/>
      <c r="N6903" s="766"/>
      <c r="O6903" s="766"/>
      <c r="P6903" s="766"/>
      <c r="Q6903" s="767"/>
      <c r="R6903" s="768">
        <f>SUM(R6900:R6902)</f>
        <v>11.25</v>
      </c>
      <c r="S6903" s="763"/>
      <c r="T6903" s="768">
        <f>SUM(T6900:T6902)</f>
        <v>0</v>
      </c>
      <c r="U6903" s="531"/>
      <c r="V6903" s="531"/>
      <c r="W6903" s="531"/>
      <c r="X6903" s="531"/>
      <c r="Y6903" s="531"/>
      <c r="Z6903" s="531"/>
      <c r="AA6903" s="531"/>
      <c r="AB6903" s="531"/>
      <c r="AC6903" s="531"/>
      <c r="AD6903" s="531"/>
      <c r="AE6903" s="531"/>
      <c r="AF6903" s="531"/>
      <c r="AG6903" s="531"/>
      <c r="AH6903" s="531"/>
      <c r="AI6903" s="531"/>
      <c r="AJ6903" s="531"/>
      <c r="AK6903" s="531"/>
      <c r="AL6903" s="531"/>
      <c r="AM6903" s="531"/>
      <c r="AN6903" s="531"/>
      <c r="AO6903" s="531"/>
      <c r="AR6903" s="761" t="s">
        <v>145</v>
      </c>
      <c r="AS6903" s="764"/>
    </row>
    <row r="6904" spans="1:45" s="520" customFormat="1" ht="12" thickTop="1">
      <c r="A6904" s="51"/>
      <c r="B6904" s="41"/>
      <c r="C6904" s="51"/>
      <c r="E6904" s="42" t="s">
        <v>138</v>
      </c>
      <c r="F6904" s="42" t="s">
        <v>139</v>
      </c>
      <c r="G6904" s="51"/>
      <c r="H6904" s="51"/>
      <c r="I6904" s="51"/>
      <c r="J6904" s="51"/>
      <c r="K6904" s="51" t="s">
        <v>140</v>
      </c>
      <c r="L6904" s="51"/>
      <c r="M6904" s="51"/>
      <c r="N6904" s="51"/>
      <c r="O6904" s="52"/>
      <c r="P6904" s="51"/>
      <c r="Q6904" s="51"/>
      <c r="R6904" s="51"/>
      <c r="S6904" s="51"/>
      <c r="T6904" s="41"/>
      <c r="AG6904" s="521" t="s">
        <v>268</v>
      </c>
      <c r="AH6904" s="521" t="s">
        <v>269</v>
      </c>
      <c r="AI6904" s="521" t="s">
        <v>270</v>
      </c>
      <c r="AJ6904" s="521" t="s">
        <v>271</v>
      </c>
      <c r="AK6904" s="521" t="s">
        <v>272</v>
      </c>
      <c r="AM6904" s="745" t="s">
        <v>281</v>
      </c>
      <c r="AN6904" s="746" t="s">
        <v>282</v>
      </c>
      <c r="AO6904" s="522" t="s">
        <v>278</v>
      </c>
      <c r="AR6904" s="51"/>
      <c r="AS6904" s="42" t="s">
        <v>139</v>
      </c>
    </row>
    <row r="6905" spans="1:45" s="520" customFormat="1" ht="12" customHeight="1">
      <c r="A6905" s="747">
        <v>5</v>
      </c>
      <c r="B6905" s="523" t="s">
        <v>329</v>
      </c>
      <c r="C6905" s="748"/>
      <c r="D6905" s="749" t="s">
        <v>3907</v>
      </c>
      <c r="E6905" s="1145">
        <f>IF(AND($A6905=0,$A$1="DIF"),0, ROUND(ROUND(($R6909*$S$3+($T6909*$T$3))/$A6905,2)*$C$3,2))</f>
        <v>16.25</v>
      </c>
      <c r="F6905" s="1146">
        <f>ROUND($A6905*$E6905,2)</f>
        <v>81.25</v>
      </c>
      <c r="G6905" s="752" t="s">
        <v>142</v>
      </c>
      <c r="H6905" s="753"/>
      <c r="I6905" s="754"/>
      <c r="J6905" s="753"/>
      <c r="K6905" s="753" t="s">
        <v>5</v>
      </c>
      <c r="L6905" s="755" t="s">
        <v>143</v>
      </c>
      <c r="M6905" s="755"/>
      <c r="N6905" s="755"/>
      <c r="O6905" s="755"/>
      <c r="P6905" s="755"/>
      <c r="Q6905" s="51"/>
      <c r="T6905" s="1150" t="str">
        <f>IF(AND($R6909=0,$T6909=0),"0.00","mu: "&amp; ROUND(F6905/$C$3/($R6909+$T6909*$D$9),2))</f>
        <v>mu: 1.13</v>
      </c>
      <c r="W6905" s="524"/>
      <c r="AG6905" s="1147">
        <f>IF($E6905=0,0,ROUND($R6909*$S$3*$C$3/$A6905,2))</f>
        <v>16.25</v>
      </c>
      <c r="AH6905" s="1147">
        <f>$AG6905*$A6905</f>
        <v>81.25</v>
      </c>
      <c r="AI6905" s="1148">
        <f>$E6905-$AG6905</f>
        <v>0</v>
      </c>
      <c r="AJ6905" s="1148">
        <f>$A6905*$AI6905</f>
        <v>0</v>
      </c>
      <c r="AK6905" s="1149">
        <f>ROUND(($AG6905+$AI6905)*$A6905,2)</f>
        <v>81.25</v>
      </c>
      <c r="AM6905" s="527">
        <f>ROUND(R6909,2)</f>
        <v>72</v>
      </c>
      <c r="AN6905" s="528">
        <f>ROUND(T6909,2)</f>
        <v>0</v>
      </c>
      <c r="AO6905" s="529">
        <f>ROUND(AM6905+AN6905,2)*A6905</f>
        <v>360</v>
      </c>
      <c r="AR6905" s="747">
        <v>5</v>
      </c>
      <c r="AS6905" s="1146">
        <v>85.8</v>
      </c>
    </row>
    <row r="6906" spans="1:45" s="520" customFormat="1" ht="13.2">
      <c r="A6906" s="748"/>
      <c r="B6906"/>
      <c r="C6906" s="748"/>
      <c r="D6906" s="749" t="s">
        <v>1958</v>
      </c>
      <c r="F6906" s="753"/>
      <c r="G6906" s="3"/>
      <c r="H6906" s="753"/>
      <c r="I6906" s="754"/>
      <c r="J6906" s="753"/>
      <c r="K6906" s="753" t="s">
        <v>144</v>
      </c>
      <c r="L6906" s="753"/>
      <c r="M6906" s="753"/>
      <c r="N6906" s="753"/>
      <c r="O6906" s="753"/>
      <c r="P6906" s="753"/>
      <c r="Q6906" s="51"/>
      <c r="R6906" s="530"/>
      <c r="S6906" s="757"/>
      <c r="T6906" s="753"/>
      <c r="AR6906" s="748"/>
      <c r="AS6906" s="753"/>
    </row>
    <row r="6907" spans="1:45" s="901" customFormat="1" ht="13.2">
      <c r="A6907" s="903">
        <v>5</v>
      </c>
      <c r="B6907" s="904" t="s">
        <v>863</v>
      </c>
      <c r="C6907" s="904"/>
      <c r="D6907" s="904" t="s">
        <v>2594</v>
      </c>
      <c r="E6907" s="904"/>
      <c r="F6907" s="904" t="s">
        <v>4139</v>
      </c>
      <c r="G6907" s="905" t="s">
        <v>2595</v>
      </c>
      <c r="H6907" s="902">
        <v>960</v>
      </c>
      <c r="I6907" s="904" t="s">
        <v>2596</v>
      </c>
      <c r="J6907" s="904"/>
      <c r="K6907" s="904"/>
      <c r="L6907" s="904"/>
      <c r="M6907" s="904"/>
      <c r="N6907" s="904"/>
      <c r="O6907" s="902">
        <v>4</v>
      </c>
      <c r="P6907" s="906">
        <v>38274</v>
      </c>
      <c r="Q6907" s="1415">
        <f>16*0.9</f>
        <v>14.4</v>
      </c>
      <c r="R6907" s="908">
        <f>$A6907*Q6907</f>
        <v>72</v>
      </c>
      <c r="S6907" s="907"/>
      <c r="T6907" s="909">
        <f>$A6907*S6907*$T$1</f>
        <v>0</v>
      </c>
      <c r="AR6907" s="903">
        <v>5</v>
      </c>
      <c r="AS6907" s="904" t="s">
        <v>3507</v>
      </c>
    </row>
    <row r="6908" spans="1:45" s="520" customFormat="1" ht="12">
      <c r="A6908" s="758"/>
      <c r="B6908" s="758"/>
      <c r="C6908" s="758"/>
      <c r="D6908" s="758"/>
      <c r="E6908" s="758"/>
      <c r="F6908" s="753"/>
      <c r="G6908" s="758"/>
      <c r="H6908" s="758"/>
      <c r="I6908" s="519"/>
      <c r="J6908" s="758"/>
      <c r="K6908" s="758"/>
      <c r="L6908" s="758"/>
      <c r="M6908" s="758"/>
      <c r="N6908" s="758"/>
      <c r="O6908" s="758"/>
      <c r="P6908" s="758"/>
      <c r="Q6908" s="519"/>
      <c r="R6908" s="759">
        <f t="shared" ref="R6908" si="552">$A6908*Q6908</f>
        <v>0</v>
      </c>
      <c r="S6908" s="519"/>
      <c r="T6908" s="760">
        <f t="shared" ref="T6908" si="553">$A6908*S6908*$T$1</f>
        <v>0</v>
      </c>
      <c r="AR6908" s="758"/>
      <c r="AS6908" s="753"/>
    </row>
    <row r="6909" spans="1:45" s="520" customFormat="1" ht="12.6" thickBot="1">
      <c r="A6909" s="761" t="s">
        <v>145</v>
      </c>
      <c r="B6909" s="762">
        <f>(R6908+T6908)</f>
        <v>0</v>
      </c>
      <c r="C6909" s="763"/>
      <c r="D6909" s="763"/>
      <c r="E6909" s="763"/>
      <c r="F6909" s="764"/>
      <c r="G6909" s="763" t="s">
        <v>146</v>
      </c>
      <c r="H6909" s="763"/>
      <c r="I6909" s="765"/>
      <c r="J6909" s="763"/>
      <c r="K6909" s="763" t="s">
        <v>5</v>
      </c>
      <c r="L6909" s="766" t="s">
        <v>143</v>
      </c>
      <c r="M6909" s="766"/>
      <c r="N6909" s="766"/>
      <c r="O6909" s="766"/>
      <c r="P6909" s="766"/>
      <c r="Q6909" s="767"/>
      <c r="R6909" s="768">
        <f>SUM(R6906:R6908)</f>
        <v>72</v>
      </c>
      <c r="S6909" s="763"/>
      <c r="T6909" s="768">
        <f>SUM(T6906:T6908)</f>
        <v>0</v>
      </c>
      <c r="U6909" s="531"/>
      <c r="V6909" s="531"/>
      <c r="W6909" s="531"/>
      <c r="X6909" s="531"/>
      <c r="Y6909" s="531"/>
      <c r="Z6909" s="531"/>
      <c r="AA6909" s="531"/>
      <c r="AB6909" s="531"/>
      <c r="AC6909" s="531"/>
      <c r="AD6909" s="531"/>
      <c r="AE6909" s="531"/>
      <c r="AF6909" s="531"/>
      <c r="AG6909" s="531"/>
      <c r="AH6909" s="531"/>
      <c r="AI6909" s="531"/>
      <c r="AJ6909" s="531"/>
      <c r="AK6909" s="531"/>
      <c r="AL6909" s="531"/>
      <c r="AM6909" s="531"/>
      <c r="AN6909" s="531"/>
      <c r="AO6909" s="531"/>
      <c r="AR6909" s="761" t="s">
        <v>145</v>
      </c>
      <c r="AS6909" s="764"/>
    </row>
    <row r="6910" spans="1:45" s="520" customFormat="1" ht="12" thickTop="1">
      <c r="A6910" s="51"/>
      <c r="B6910" s="41"/>
      <c r="C6910" s="51"/>
      <c r="E6910" s="42" t="s">
        <v>138</v>
      </c>
      <c r="F6910" s="42" t="s">
        <v>139</v>
      </c>
      <c r="G6910" s="51"/>
      <c r="H6910" s="51"/>
      <c r="I6910" s="51"/>
      <c r="J6910" s="51"/>
      <c r="K6910" s="51" t="s">
        <v>140</v>
      </c>
      <c r="L6910" s="51"/>
      <c r="M6910" s="51"/>
      <c r="N6910" s="51"/>
      <c r="O6910" s="52"/>
      <c r="P6910" s="51"/>
      <c r="Q6910" s="51"/>
      <c r="R6910" s="51"/>
      <c r="S6910" s="51"/>
      <c r="T6910" s="41"/>
      <c r="AG6910" s="521" t="s">
        <v>268</v>
      </c>
      <c r="AH6910" s="521" t="s">
        <v>269</v>
      </c>
      <c r="AI6910" s="521" t="s">
        <v>270</v>
      </c>
      <c r="AJ6910" s="521" t="s">
        <v>271</v>
      </c>
      <c r="AK6910" s="521" t="s">
        <v>272</v>
      </c>
      <c r="AM6910" s="745" t="s">
        <v>281</v>
      </c>
      <c r="AN6910" s="746" t="s">
        <v>282</v>
      </c>
      <c r="AO6910" s="522" t="s">
        <v>278</v>
      </c>
      <c r="AR6910" s="51"/>
      <c r="AS6910" s="42" t="s">
        <v>139</v>
      </c>
    </row>
    <row r="6911" spans="1:45" s="520" customFormat="1" ht="12" customHeight="1">
      <c r="A6911" s="747">
        <v>42</v>
      </c>
      <c r="B6911" s="523" t="s">
        <v>957</v>
      </c>
      <c r="C6911" s="748"/>
      <c r="D6911" s="749" t="s">
        <v>3908</v>
      </c>
      <c r="E6911" s="1145">
        <f>IF(AND($A6911=0,$A$1="DIF"),0, ROUND(ROUND(($R6915*$S$3+($T6915*$T$3))/$A6911,2)*$C$3,2))</f>
        <v>9.14</v>
      </c>
      <c r="F6911" s="1146">
        <f>ROUND($A6911*$E6911,2)</f>
        <v>383.88</v>
      </c>
      <c r="G6911" s="752" t="s">
        <v>142</v>
      </c>
      <c r="H6911" s="753"/>
      <c r="I6911" s="754"/>
      <c r="J6911" s="753"/>
      <c r="K6911" s="753" t="s">
        <v>5</v>
      </c>
      <c r="L6911" s="755" t="s">
        <v>143</v>
      </c>
      <c r="M6911" s="755"/>
      <c r="N6911" s="755"/>
      <c r="O6911" s="755"/>
      <c r="P6911" s="755"/>
      <c r="Q6911" s="51"/>
      <c r="T6911" s="1150" t="str">
        <f>IF(AND($R6915=0,$T6915=0),"0.00","mu: "&amp; ROUND(F6911/$C$3/($R6915+$T6915*$D$9),2))</f>
        <v>mu: 1.13</v>
      </c>
      <c r="W6911" s="524"/>
      <c r="AG6911" s="1147">
        <f>IF($E6911=0,0,ROUND($R6915*$S$3*$C$3/$A6911,2))</f>
        <v>9.14</v>
      </c>
      <c r="AH6911" s="1147">
        <f>$AG6911*$A6911</f>
        <v>383.88</v>
      </c>
      <c r="AI6911" s="1148">
        <f>$E6911-$AG6911</f>
        <v>0</v>
      </c>
      <c r="AJ6911" s="1148">
        <f>$A6911*$AI6911</f>
        <v>0</v>
      </c>
      <c r="AK6911" s="1149">
        <f>ROUND(($AG6911+$AI6911)*$A6911,2)</f>
        <v>383.88</v>
      </c>
      <c r="AM6911" s="527">
        <f>ROUND(R6915,2)</f>
        <v>340.2</v>
      </c>
      <c r="AN6911" s="528">
        <f>ROUND(T6915,2)</f>
        <v>0</v>
      </c>
      <c r="AO6911" s="529">
        <f>ROUND(AM6911+AN6911,2)*A6911</f>
        <v>14288.4</v>
      </c>
      <c r="AR6911" s="747">
        <v>42</v>
      </c>
      <c r="AS6911" s="1146">
        <v>405.3</v>
      </c>
    </row>
    <row r="6912" spans="1:45" s="520" customFormat="1" ht="13.2">
      <c r="A6912" s="748"/>
      <c r="B6912"/>
      <c r="C6912" s="748"/>
      <c r="D6912" s="749" t="s">
        <v>1928</v>
      </c>
      <c r="F6912" s="753"/>
      <c r="G6912" s="3"/>
      <c r="H6912" s="753"/>
      <c r="I6912" s="754"/>
      <c r="J6912" s="753"/>
      <c r="K6912" s="753" t="s">
        <v>144</v>
      </c>
      <c r="L6912" s="753"/>
      <c r="M6912" s="753"/>
      <c r="N6912" s="753"/>
      <c r="O6912" s="753"/>
      <c r="P6912" s="753"/>
      <c r="Q6912" s="51"/>
      <c r="R6912" s="530"/>
      <c r="S6912" s="757"/>
      <c r="T6912" s="753"/>
      <c r="AR6912" s="748"/>
      <c r="AS6912" s="753"/>
    </row>
    <row r="6913" spans="1:45" s="901" customFormat="1" ht="13.2">
      <c r="A6913" s="903">
        <v>42</v>
      </c>
      <c r="B6913" s="904" t="s">
        <v>863</v>
      </c>
      <c r="C6913" s="904"/>
      <c r="D6913" s="904" t="s">
        <v>2594</v>
      </c>
      <c r="E6913" s="904"/>
      <c r="F6913" s="904" t="s">
        <v>4139</v>
      </c>
      <c r="G6913" s="905" t="s">
        <v>2595</v>
      </c>
      <c r="H6913" s="902">
        <v>960</v>
      </c>
      <c r="I6913" s="904" t="s">
        <v>2596</v>
      </c>
      <c r="J6913" s="904"/>
      <c r="K6913" s="904"/>
      <c r="L6913" s="904"/>
      <c r="M6913" s="904"/>
      <c r="N6913" s="904"/>
      <c r="O6913" s="902">
        <v>4</v>
      </c>
      <c r="P6913" s="906">
        <v>38274</v>
      </c>
      <c r="Q6913" s="1415">
        <f>9*0.9</f>
        <v>8.1</v>
      </c>
      <c r="R6913" s="908">
        <f>$A6913*Q6913</f>
        <v>340.2</v>
      </c>
      <c r="S6913" s="907"/>
      <c r="T6913" s="909">
        <f>$A6913*S6913*$T$1</f>
        <v>0</v>
      </c>
      <c r="AR6913" s="903">
        <v>42</v>
      </c>
      <c r="AS6913" s="904" t="s">
        <v>3507</v>
      </c>
    </row>
    <row r="6914" spans="1:45" s="520" customFormat="1" ht="12">
      <c r="A6914" s="758"/>
      <c r="B6914" s="758"/>
      <c r="C6914" s="758"/>
      <c r="D6914" s="758"/>
      <c r="E6914" s="758"/>
      <c r="F6914" s="753"/>
      <c r="G6914" s="758"/>
      <c r="H6914" s="758"/>
      <c r="I6914" s="519"/>
      <c r="J6914" s="758"/>
      <c r="K6914" s="758"/>
      <c r="L6914" s="758"/>
      <c r="M6914" s="758"/>
      <c r="N6914" s="758"/>
      <c r="O6914" s="758"/>
      <c r="P6914" s="758"/>
      <c r="Q6914" s="519"/>
      <c r="R6914" s="759">
        <f t="shared" ref="R6914" si="554">$A6914*Q6914</f>
        <v>0</v>
      </c>
      <c r="S6914" s="519"/>
      <c r="T6914" s="760">
        <f t="shared" ref="T6914" si="555">$A6914*S6914*$T$1</f>
        <v>0</v>
      </c>
      <c r="AR6914" s="758"/>
      <c r="AS6914" s="753"/>
    </row>
    <row r="6915" spans="1:45" s="520" customFormat="1" ht="12.6" thickBot="1">
      <c r="A6915" s="761" t="s">
        <v>145</v>
      </c>
      <c r="B6915" s="762">
        <f>(R6914+T6914)</f>
        <v>0</v>
      </c>
      <c r="C6915" s="763"/>
      <c r="D6915" s="763"/>
      <c r="E6915" s="763"/>
      <c r="F6915" s="764"/>
      <c r="G6915" s="763" t="s">
        <v>146</v>
      </c>
      <c r="H6915" s="763"/>
      <c r="I6915" s="765"/>
      <c r="J6915" s="763"/>
      <c r="K6915" s="763" t="s">
        <v>5</v>
      </c>
      <c r="L6915" s="766" t="s">
        <v>143</v>
      </c>
      <c r="M6915" s="766"/>
      <c r="N6915" s="766"/>
      <c r="O6915" s="766"/>
      <c r="P6915" s="766"/>
      <c r="Q6915" s="767"/>
      <c r="R6915" s="768">
        <f>SUM(R6912:R6914)</f>
        <v>340.2</v>
      </c>
      <c r="S6915" s="763"/>
      <c r="T6915" s="768">
        <f>SUM(T6912:T6914)</f>
        <v>0</v>
      </c>
      <c r="U6915" s="531"/>
      <c r="V6915" s="531"/>
      <c r="W6915" s="531"/>
      <c r="X6915" s="531"/>
      <c r="Y6915" s="531"/>
      <c r="Z6915" s="531"/>
      <c r="AA6915" s="531"/>
      <c r="AB6915" s="531"/>
      <c r="AC6915" s="531"/>
      <c r="AD6915" s="531"/>
      <c r="AE6915" s="531"/>
      <c r="AF6915" s="531"/>
      <c r="AG6915" s="531"/>
      <c r="AH6915" s="531"/>
      <c r="AI6915" s="531"/>
      <c r="AJ6915" s="531"/>
      <c r="AK6915" s="531"/>
      <c r="AL6915" s="531"/>
      <c r="AM6915" s="531"/>
      <c r="AN6915" s="531"/>
      <c r="AO6915" s="531"/>
      <c r="AR6915" s="761" t="s">
        <v>145</v>
      </c>
      <c r="AS6915" s="764"/>
    </row>
    <row r="6916" spans="1:45" s="520" customFormat="1" ht="12" thickTop="1">
      <c r="A6916" s="51"/>
      <c r="B6916" s="41"/>
      <c r="C6916" s="51"/>
      <c r="E6916" s="42" t="s">
        <v>138</v>
      </c>
      <c r="F6916" s="42" t="s">
        <v>139</v>
      </c>
      <c r="G6916" s="51"/>
      <c r="H6916" s="51"/>
      <c r="I6916" s="51"/>
      <c r="J6916" s="51"/>
      <c r="K6916" s="51" t="s">
        <v>140</v>
      </c>
      <c r="L6916" s="51"/>
      <c r="M6916" s="51"/>
      <c r="N6916" s="51"/>
      <c r="O6916" s="52"/>
      <c r="P6916" s="51"/>
      <c r="Q6916" s="51"/>
      <c r="R6916" s="51"/>
      <c r="S6916" s="51"/>
      <c r="T6916" s="41"/>
      <c r="AG6916" s="521" t="s">
        <v>268</v>
      </c>
      <c r="AH6916" s="521" t="s">
        <v>269</v>
      </c>
      <c r="AI6916" s="521" t="s">
        <v>270</v>
      </c>
      <c r="AJ6916" s="521" t="s">
        <v>271</v>
      </c>
      <c r="AK6916" s="521" t="s">
        <v>272</v>
      </c>
      <c r="AM6916" s="745" t="s">
        <v>281</v>
      </c>
      <c r="AN6916" s="746" t="s">
        <v>282</v>
      </c>
      <c r="AO6916" s="522" t="s">
        <v>278</v>
      </c>
      <c r="AR6916" s="51"/>
      <c r="AS6916" s="42" t="s">
        <v>139</v>
      </c>
    </row>
    <row r="6917" spans="1:45" s="520" customFormat="1" ht="12" customHeight="1">
      <c r="A6917" s="747">
        <v>42</v>
      </c>
      <c r="B6917" s="523" t="s">
        <v>957</v>
      </c>
      <c r="C6917" s="748"/>
      <c r="D6917" s="749" t="s">
        <v>3909</v>
      </c>
      <c r="E6917" s="1145">
        <f>IF(AND($A6917=0,$A$1="DIF"),0, ROUND(ROUND(($R6921*$S$3+($T6921*$T$3))/$A6917,2)*$C$3,2))</f>
        <v>3.05</v>
      </c>
      <c r="F6917" s="1146">
        <f>ROUND($A6917*$E6917,2)</f>
        <v>128.1</v>
      </c>
      <c r="G6917" s="752" t="s">
        <v>142</v>
      </c>
      <c r="H6917" s="753"/>
      <c r="I6917" s="754"/>
      <c r="J6917" s="753"/>
      <c r="K6917" s="753" t="s">
        <v>5</v>
      </c>
      <c r="L6917" s="755" t="s">
        <v>143</v>
      </c>
      <c r="M6917" s="755"/>
      <c r="N6917" s="755"/>
      <c r="O6917" s="755"/>
      <c r="P6917" s="755"/>
      <c r="Q6917" s="51"/>
      <c r="T6917" s="1150" t="str">
        <f>IF(AND($R6921=0,$T6921=0),"0.00","mu: "&amp; ROUND(F6917/$C$3/($R6921+$T6921*$D$9),2))</f>
        <v>mu: 1.13</v>
      </c>
      <c r="W6917" s="524"/>
      <c r="AG6917" s="1147">
        <f>IF($E6917=0,0,ROUND($R6921*$S$3*$C$3/$A6917,2))</f>
        <v>3.05</v>
      </c>
      <c r="AH6917" s="1147">
        <f>$AG6917*$A6917</f>
        <v>128.1</v>
      </c>
      <c r="AI6917" s="1148">
        <f>$E6917-$AG6917</f>
        <v>0</v>
      </c>
      <c r="AJ6917" s="1148">
        <f>$A6917*$AI6917</f>
        <v>0</v>
      </c>
      <c r="AK6917" s="1149">
        <f>ROUND(($AG6917+$AI6917)*$A6917,2)</f>
        <v>128.1</v>
      </c>
      <c r="AM6917" s="527">
        <f>ROUND(R6921,2)</f>
        <v>113.4</v>
      </c>
      <c r="AN6917" s="528">
        <f>ROUND(T6921,2)</f>
        <v>0</v>
      </c>
      <c r="AO6917" s="529">
        <f>ROUND(AM6917+AN6917,2)*A6917</f>
        <v>4762.8</v>
      </c>
      <c r="AR6917" s="747">
        <v>42</v>
      </c>
      <c r="AS6917" s="1146">
        <v>135.24</v>
      </c>
    </row>
    <row r="6918" spans="1:45" s="520" customFormat="1" ht="13.2">
      <c r="A6918" s="748"/>
      <c r="B6918"/>
      <c r="C6918" s="748"/>
      <c r="D6918" s="749" t="s">
        <v>958</v>
      </c>
      <c r="F6918" s="753"/>
      <c r="G6918" s="3"/>
      <c r="H6918" s="753"/>
      <c r="I6918" s="754"/>
      <c r="J6918" s="753"/>
      <c r="K6918" s="753" t="s">
        <v>144</v>
      </c>
      <c r="L6918" s="753"/>
      <c r="M6918" s="753"/>
      <c r="N6918" s="753"/>
      <c r="O6918" s="753"/>
      <c r="P6918" s="753"/>
      <c r="Q6918" s="51"/>
      <c r="R6918" s="530"/>
      <c r="S6918" s="757"/>
      <c r="T6918" s="753"/>
      <c r="AR6918" s="748"/>
      <c r="AS6918" s="753"/>
    </row>
    <row r="6919" spans="1:45" s="901" customFormat="1" ht="13.2">
      <c r="A6919" s="903">
        <v>42</v>
      </c>
      <c r="B6919" s="904" t="s">
        <v>863</v>
      </c>
      <c r="C6919" s="904"/>
      <c r="D6919" s="904" t="s">
        <v>2594</v>
      </c>
      <c r="E6919" s="904"/>
      <c r="F6919" s="904" t="s">
        <v>4139</v>
      </c>
      <c r="G6919" s="905" t="s">
        <v>2595</v>
      </c>
      <c r="H6919" s="902">
        <v>960</v>
      </c>
      <c r="I6919" s="904" t="s">
        <v>2596</v>
      </c>
      <c r="J6919" s="904"/>
      <c r="K6919" s="904"/>
      <c r="L6919" s="904"/>
      <c r="M6919" s="904"/>
      <c r="N6919" s="904"/>
      <c r="O6919" s="902">
        <v>4</v>
      </c>
      <c r="P6919" s="906">
        <v>38274</v>
      </c>
      <c r="Q6919" s="1415">
        <f>3*0.9</f>
        <v>2.7</v>
      </c>
      <c r="R6919" s="908">
        <f>$A6919*Q6919</f>
        <v>113.4</v>
      </c>
      <c r="S6919" s="907"/>
      <c r="T6919" s="909">
        <f>$A6919*S6919*$T$1</f>
        <v>0</v>
      </c>
      <c r="AR6919" s="903">
        <v>42</v>
      </c>
      <c r="AS6919" s="904" t="s">
        <v>3507</v>
      </c>
    </row>
    <row r="6920" spans="1:45" s="520" customFormat="1" ht="12">
      <c r="A6920" s="758"/>
      <c r="B6920" s="758"/>
      <c r="C6920" s="758"/>
      <c r="D6920" s="758"/>
      <c r="E6920" s="758"/>
      <c r="F6920" s="753"/>
      <c r="G6920" s="758"/>
      <c r="H6920" s="758"/>
      <c r="I6920" s="519"/>
      <c r="J6920" s="758"/>
      <c r="K6920" s="758"/>
      <c r="L6920" s="758"/>
      <c r="M6920" s="758"/>
      <c r="N6920" s="758"/>
      <c r="O6920" s="758"/>
      <c r="P6920" s="758"/>
      <c r="Q6920" s="519"/>
      <c r="R6920" s="759">
        <f t="shared" ref="R6920" si="556">$A6920*Q6920</f>
        <v>0</v>
      </c>
      <c r="S6920" s="519"/>
      <c r="T6920" s="760">
        <f t="shared" ref="T6920" si="557">$A6920*S6920*$T$1</f>
        <v>0</v>
      </c>
      <c r="AR6920" s="758"/>
      <c r="AS6920" s="753"/>
    </row>
    <row r="6921" spans="1:45" s="520" customFormat="1" ht="12.6" thickBot="1">
      <c r="A6921" s="761" t="s">
        <v>145</v>
      </c>
      <c r="B6921" s="762">
        <f>(R6920+T6920)</f>
        <v>0</v>
      </c>
      <c r="C6921" s="763"/>
      <c r="D6921" s="763"/>
      <c r="E6921" s="763"/>
      <c r="F6921" s="764"/>
      <c r="G6921" s="763" t="s">
        <v>146</v>
      </c>
      <c r="H6921" s="763"/>
      <c r="I6921" s="765"/>
      <c r="J6921" s="763"/>
      <c r="K6921" s="763" t="s">
        <v>5</v>
      </c>
      <c r="L6921" s="766" t="s">
        <v>143</v>
      </c>
      <c r="M6921" s="766"/>
      <c r="N6921" s="766"/>
      <c r="O6921" s="766"/>
      <c r="P6921" s="766"/>
      <c r="Q6921" s="767"/>
      <c r="R6921" s="768">
        <f>SUM(R6918:R6920)</f>
        <v>113.4</v>
      </c>
      <c r="S6921" s="763"/>
      <c r="T6921" s="768">
        <f>SUM(T6918:T6920)</f>
        <v>0</v>
      </c>
      <c r="U6921" s="531"/>
      <c r="V6921" s="531"/>
      <c r="W6921" s="531"/>
      <c r="X6921" s="531"/>
      <c r="Y6921" s="531"/>
      <c r="Z6921" s="531"/>
      <c r="AA6921" s="531"/>
      <c r="AB6921" s="531"/>
      <c r="AC6921" s="531"/>
      <c r="AD6921" s="531"/>
      <c r="AE6921" s="531"/>
      <c r="AF6921" s="531"/>
      <c r="AG6921" s="531"/>
      <c r="AH6921" s="531"/>
      <c r="AI6921" s="531"/>
      <c r="AJ6921" s="531"/>
      <c r="AK6921" s="531"/>
      <c r="AL6921" s="531"/>
      <c r="AM6921" s="531"/>
      <c r="AN6921" s="531"/>
      <c r="AO6921" s="531"/>
      <c r="AR6921" s="761" t="s">
        <v>145</v>
      </c>
      <c r="AS6921" s="764"/>
    </row>
    <row r="6922" spans="1:45" s="520" customFormat="1" thickTop="1">
      <c r="A6922" s="51"/>
      <c r="B6922" s="51"/>
      <c r="C6922" s="3"/>
      <c r="D6922" s="3"/>
      <c r="E6922" s="51"/>
      <c r="F6922" s="51"/>
      <c r="G6922" s="51"/>
      <c r="H6922" s="51"/>
      <c r="I6922" s="51"/>
      <c r="J6922" s="51"/>
      <c r="K6922" s="51" t="s">
        <v>134</v>
      </c>
      <c r="L6922" s="51"/>
      <c r="M6922" s="51"/>
      <c r="N6922" s="51"/>
      <c r="O6922" s="52"/>
      <c r="P6922" s="51"/>
      <c r="Q6922" s="51"/>
      <c r="R6922" s="51"/>
      <c r="S6922" s="51"/>
      <c r="T6922" s="51"/>
      <c r="AR6922" s="51"/>
      <c r="AS6922" s="51"/>
    </row>
    <row r="6923" spans="1:45" s="520" customFormat="1" ht="12">
      <c r="A6923" s="51"/>
      <c r="B6923" s="51"/>
      <c r="C6923" s="51" t="s">
        <v>135</v>
      </c>
      <c r="D6923" s="37"/>
      <c r="E6923" s="51"/>
      <c r="F6923" s="51"/>
      <c r="G6923" s="51"/>
      <c r="H6923" s="51"/>
      <c r="I6923" s="51"/>
      <c r="J6923" s="51"/>
      <c r="K6923" s="51"/>
      <c r="L6923" s="51"/>
      <c r="M6923" s="51"/>
      <c r="N6923" s="51"/>
      <c r="O6923" s="52"/>
      <c r="P6923" s="51"/>
      <c r="Q6923" s="51"/>
      <c r="R6923" s="51"/>
      <c r="S6923" s="51"/>
      <c r="T6923" s="51"/>
      <c r="AR6923" s="51"/>
      <c r="AS6923" s="51"/>
    </row>
    <row r="6924" spans="1:45" s="520" customFormat="1" ht="12">
      <c r="A6924" s="51"/>
      <c r="B6924" s="51"/>
      <c r="C6924" s="51"/>
      <c r="D6924" s="37" t="s">
        <v>979</v>
      </c>
      <c r="E6924" s="51"/>
      <c r="F6924" s="51"/>
      <c r="G6924" s="51"/>
      <c r="H6924" s="51"/>
      <c r="I6924" s="51"/>
      <c r="J6924" s="51"/>
      <c r="K6924" s="51"/>
      <c r="L6924" s="51"/>
      <c r="M6924" s="51"/>
      <c r="N6924" s="51"/>
      <c r="O6924" s="52"/>
      <c r="P6924" s="51"/>
      <c r="Q6924" s="51"/>
      <c r="R6924" s="51"/>
      <c r="S6924" s="38"/>
      <c r="T6924" s="38"/>
      <c r="AR6924" s="51"/>
      <c r="AS6924" s="51"/>
    </row>
    <row r="6925" spans="1:45" s="3" customFormat="1" thickBot="1">
      <c r="A6925" s="531"/>
      <c r="O6925" s="107"/>
      <c r="AR6925" s="531"/>
    </row>
    <row r="6926" spans="1:45" s="520" customFormat="1" thickTop="1">
      <c r="A6926" s="51"/>
      <c r="B6926" s="51"/>
      <c r="C6926" s="3"/>
      <c r="D6926" s="3"/>
      <c r="E6926" s="51"/>
      <c r="F6926" s="51"/>
      <c r="G6926" s="51"/>
      <c r="H6926" s="51"/>
      <c r="I6926" s="51"/>
      <c r="J6926" s="51"/>
      <c r="K6926" s="51" t="s">
        <v>134</v>
      </c>
      <c r="L6926" s="51"/>
      <c r="M6926" s="51"/>
      <c r="N6926" s="51"/>
      <c r="O6926" s="52"/>
      <c r="P6926" s="51"/>
      <c r="Q6926" s="51"/>
      <c r="R6926" s="51"/>
      <c r="S6926" s="51"/>
      <c r="T6926" s="51"/>
      <c r="AR6926" s="51"/>
      <c r="AS6926" s="51"/>
    </row>
    <row r="6927" spans="1:45" s="520" customFormat="1" ht="12">
      <c r="A6927" s="51"/>
      <c r="B6927" s="51"/>
      <c r="C6927" s="51" t="s">
        <v>135</v>
      </c>
      <c r="D6927" s="37"/>
      <c r="E6927" s="51"/>
      <c r="F6927" s="51"/>
      <c r="G6927" s="51"/>
      <c r="H6927" s="51"/>
      <c r="I6927" s="51"/>
      <c r="J6927" s="51"/>
      <c r="K6927" s="51"/>
      <c r="L6927" s="51"/>
      <c r="M6927" s="51"/>
      <c r="N6927" s="51"/>
      <c r="O6927" s="52"/>
      <c r="P6927" s="51"/>
      <c r="Q6927" s="51"/>
      <c r="R6927" s="51"/>
      <c r="S6927" s="51"/>
      <c r="T6927" s="51"/>
      <c r="AR6927" s="51"/>
      <c r="AS6927" s="51"/>
    </row>
    <row r="6928" spans="1:45" s="520" customFormat="1" ht="39.9" customHeight="1">
      <c r="A6928" s="51"/>
      <c r="B6928" s="51"/>
      <c r="C6928" s="51"/>
      <c r="D6928" s="1453" t="s">
        <v>1941</v>
      </c>
      <c r="E6928" s="1452"/>
      <c r="F6928" s="1452"/>
      <c r="G6928" s="1452"/>
      <c r="H6928" s="1452"/>
      <c r="I6928" s="1452"/>
      <c r="J6928" s="1452"/>
      <c r="K6928" s="1452"/>
      <c r="L6928" s="1452"/>
      <c r="M6928" s="1452"/>
      <c r="N6928" s="1452"/>
      <c r="O6928" s="1452"/>
      <c r="P6928" s="1452"/>
      <c r="Q6928" s="1452"/>
      <c r="R6928" s="1452"/>
      <c r="S6928" s="1452"/>
      <c r="T6928" s="1452"/>
      <c r="AR6928" s="51"/>
    </row>
    <row r="6929" spans="1:45" s="3" customFormat="1" thickBot="1">
      <c r="A6929" s="531"/>
      <c r="O6929" s="107"/>
      <c r="AR6929" s="531"/>
    </row>
    <row r="6930" spans="1:45" s="520" customFormat="1" ht="12" thickTop="1">
      <c r="A6930" s="51"/>
      <c r="B6930" s="41"/>
      <c r="C6930" s="51"/>
      <c r="E6930" s="42" t="s">
        <v>138</v>
      </c>
      <c r="F6930" s="42" t="s">
        <v>139</v>
      </c>
      <c r="G6930" s="51"/>
      <c r="H6930" s="51"/>
      <c r="I6930" s="51"/>
      <c r="J6930" s="51"/>
      <c r="K6930" s="51" t="s">
        <v>140</v>
      </c>
      <c r="L6930" s="51"/>
      <c r="M6930" s="51"/>
      <c r="N6930" s="51"/>
      <c r="O6930" s="52"/>
      <c r="P6930" s="51"/>
      <c r="Q6930" s="51"/>
      <c r="R6930" s="51"/>
      <c r="S6930" s="51"/>
      <c r="T6930" s="41"/>
      <c r="AG6930" s="521" t="s">
        <v>268</v>
      </c>
      <c r="AH6930" s="521" t="s">
        <v>269</v>
      </c>
      <c r="AI6930" s="521" t="s">
        <v>270</v>
      </c>
      <c r="AJ6930" s="521" t="s">
        <v>271</v>
      </c>
      <c r="AK6930" s="521" t="s">
        <v>272</v>
      </c>
      <c r="AM6930" s="745" t="s">
        <v>281</v>
      </c>
      <c r="AN6930" s="746" t="s">
        <v>282</v>
      </c>
      <c r="AO6930" s="522" t="s">
        <v>278</v>
      </c>
      <c r="AR6930" s="51"/>
      <c r="AS6930" s="42" t="s">
        <v>139</v>
      </c>
    </row>
    <row r="6931" spans="1:45" s="520" customFormat="1" ht="12" customHeight="1">
      <c r="A6931" s="747">
        <v>37</v>
      </c>
      <c r="B6931" s="523" t="s">
        <v>329</v>
      </c>
      <c r="C6931" s="748"/>
      <c r="D6931" s="749" t="s">
        <v>3910</v>
      </c>
      <c r="E6931" s="750">
        <f ca="1">IF(AND($A6931=0,$A$1="DIF"),0, ROUND(ROUND(($R6936*$S$2+($T6936*$T$2))/A6931,2)*$C$2,2))</f>
        <v>47.94</v>
      </c>
      <c r="F6931" s="751">
        <f ca="1">ROUND($A6931*$E6931,2)</f>
        <v>1773.78</v>
      </c>
      <c r="G6931" s="752" t="s">
        <v>142</v>
      </c>
      <c r="H6931" s="753"/>
      <c r="I6931" s="754"/>
      <c r="J6931" s="753"/>
      <c r="K6931" s="753" t="s">
        <v>3</v>
      </c>
      <c r="L6931" s="755" t="s">
        <v>143</v>
      </c>
      <c r="M6931" s="755"/>
      <c r="N6931" s="755"/>
      <c r="O6931" s="755"/>
      <c r="P6931" s="755"/>
      <c r="Q6931" s="51"/>
      <c r="T6931" s="756" t="str">
        <f ca="1">IF(AND($R6936=0,$T6936=0),"0.00","mu :" &amp; ROUND($F6931/$C$2/($R6936+$T6936*$D$9),2))</f>
        <v>mu :1.23</v>
      </c>
      <c r="W6931" s="524"/>
      <c r="AG6931" s="481">
        <f ca="1">IF($E6931=0,0,ROUND($R6936*$S$2*$C$2/$A6931,2))</f>
        <v>15.15</v>
      </c>
      <c r="AH6931" s="481">
        <f ca="1">$AG6931*$A6931</f>
        <v>560.55000000000007</v>
      </c>
      <c r="AI6931" s="525">
        <f ca="1">$E6931-$AG6931</f>
        <v>32.79</v>
      </c>
      <c r="AJ6931" s="525">
        <f ca="1">$A6931*$AI6931</f>
        <v>1213.23</v>
      </c>
      <c r="AK6931" s="526">
        <f ca="1">ROUND(($AG6931+$AI6931)*$A6931,2)</f>
        <v>1773.78</v>
      </c>
      <c r="AM6931" s="527">
        <f ca="1">ROUND(R6936,2)</f>
        <v>455.1</v>
      </c>
      <c r="AN6931" s="528">
        <f ca="1">ROUND(T6936,2)</f>
        <v>35.89</v>
      </c>
      <c r="AO6931" s="529">
        <f ca="1">ROUND(AM6931+AN6931,2)*A6931</f>
        <v>18166.63</v>
      </c>
      <c r="AR6931" s="747">
        <v>37</v>
      </c>
      <c r="AS6931" s="751">
        <v>1911.42</v>
      </c>
    </row>
    <row r="6932" spans="1:45" s="520" customFormat="1" ht="13.2">
      <c r="A6932" s="748"/>
      <c r="B6932"/>
      <c r="C6932" s="748"/>
      <c r="D6932" s="749" t="s">
        <v>947</v>
      </c>
      <c r="F6932" s="753"/>
      <c r="G6932" s="3"/>
      <c r="H6932" s="753"/>
      <c r="I6932" s="754"/>
      <c r="J6932" s="753"/>
      <c r="K6932" s="753" t="s">
        <v>144</v>
      </c>
      <c r="L6932" s="753"/>
      <c r="M6932" s="753"/>
      <c r="N6932" s="753"/>
      <c r="O6932" s="753"/>
      <c r="P6932" s="753"/>
      <c r="Q6932" s="51"/>
      <c r="R6932" s="530"/>
      <c r="S6932" s="757"/>
      <c r="T6932" s="753"/>
      <c r="AR6932" s="748"/>
      <c r="AS6932" s="753"/>
    </row>
    <row r="6933" spans="1:45" s="886" customFormat="1" ht="17.100000000000001" customHeight="1">
      <c r="A6933"/>
      <c r="B6933" s="910"/>
      <c r="C6933" s="910" t="s">
        <v>2597</v>
      </c>
      <c r="D6933" s="910" t="str">
        <f ca="1">CELL("Address",Elec_Rates!D$1017)</f>
        <v>[E25_0062_Quintano_Foods_Elec_ELV_As_Awarded.xlsx]Elec_Rates!$D$1017</v>
      </c>
      <c r="E6933" s="911"/>
      <c r="F6933" s="911"/>
      <c r="G6933" s="912" t="s">
        <v>2598</v>
      </c>
      <c r="H6933" s="912"/>
      <c r="I6933" s="912"/>
      <c r="J6933" s="912"/>
      <c r="K6933" s="913"/>
      <c r="L6933" s="911"/>
      <c r="M6933" s="911"/>
      <c r="N6933" s="911"/>
      <c r="O6933" s="914"/>
      <c r="P6933" s="911"/>
      <c r="Q6933" s="915"/>
      <c r="R6933" s="916"/>
      <c r="S6933" s="915"/>
      <c r="T6933" s="917"/>
      <c r="U6933" s="918"/>
      <c r="AR6933"/>
      <c r="AS6933" s="911"/>
    </row>
    <row r="6934" spans="1:45" s="886" customFormat="1" ht="11.4">
      <c r="A6934" s="919">
        <v>37</v>
      </c>
      <c r="B6934" s="920">
        <v>1</v>
      </c>
      <c r="C6934" s="920">
        <f>$A6934*$B6934</f>
        <v>37</v>
      </c>
      <c r="D6934" s="921" t="str">
        <f>Elec_Rates!$D$1017</f>
        <v>090# LSZH Conduit point for Data</v>
      </c>
      <c r="E6934" s="921"/>
      <c r="F6934" s="921" t="s">
        <v>2599</v>
      </c>
      <c r="G6934" s="922" t="s">
        <v>2600</v>
      </c>
      <c r="H6934" s="922"/>
      <c r="I6934" s="922"/>
      <c r="J6934" s="922"/>
      <c r="K6934" s="923"/>
      <c r="L6934" s="918"/>
      <c r="M6934" s="918"/>
      <c r="N6934" s="918"/>
      <c r="O6934" s="924"/>
      <c r="P6934" s="921"/>
      <c r="Q6934" s="925">
        <f ca="1">$B6934*Elec_Rates!$R$1017</f>
        <v>12.3</v>
      </c>
      <c r="R6934" s="916">
        <f ca="1">$A6934*Q6934</f>
        <v>455.1</v>
      </c>
      <c r="S6934" s="925">
        <f ca="1">$B6934*Elec_Rates!$T$1017</f>
        <v>0.97</v>
      </c>
      <c r="T6934" s="917">
        <f ca="1">$A6934*S6934</f>
        <v>35.89</v>
      </c>
      <c r="U6934" s="926"/>
      <c r="AR6934" s="919">
        <v>37</v>
      </c>
      <c r="AS6934" s="921" t="s">
        <v>2599</v>
      </c>
    </row>
    <row r="6935" spans="1:45" s="520" customFormat="1" ht="12">
      <c r="A6935" s="758"/>
      <c r="B6935" s="758"/>
      <c r="C6935" s="758"/>
      <c r="D6935" s="758"/>
      <c r="E6935" s="758"/>
      <c r="F6935" s="753"/>
      <c r="G6935" s="758"/>
      <c r="H6935" s="758"/>
      <c r="I6935" s="519"/>
      <c r="J6935" s="758"/>
      <c r="K6935" s="758"/>
      <c r="L6935" s="758"/>
      <c r="M6935" s="758"/>
      <c r="N6935" s="758"/>
      <c r="O6935" s="758"/>
      <c r="P6935" s="758"/>
      <c r="Q6935" s="519"/>
      <c r="R6935" s="759">
        <f t="shared" ref="R6935" si="558">$A6935*Q6935</f>
        <v>0</v>
      </c>
      <c r="S6935" s="519"/>
      <c r="T6935" s="760">
        <f t="shared" ref="T6935" si="559">$A6935*S6935*$T$1</f>
        <v>0</v>
      </c>
      <c r="AR6935" s="758"/>
      <c r="AS6935" s="753"/>
    </row>
    <row r="6936" spans="1:45" s="520" customFormat="1" ht="12.6" thickBot="1">
      <c r="A6936" s="761" t="s">
        <v>145</v>
      </c>
      <c r="B6936" s="762">
        <f>(R6935+T6935)</f>
        <v>0</v>
      </c>
      <c r="C6936" s="763"/>
      <c r="D6936" s="763"/>
      <c r="E6936" s="763"/>
      <c r="F6936" s="764"/>
      <c r="G6936" s="763" t="s">
        <v>146</v>
      </c>
      <c r="H6936" s="763"/>
      <c r="I6936" s="765"/>
      <c r="J6936" s="763"/>
      <c r="K6936" s="763" t="s">
        <v>3</v>
      </c>
      <c r="L6936" s="766" t="s">
        <v>143</v>
      </c>
      <c r="M6936" s="766"/>
      <c r="N6936" s="766"/>
      <c r="O6936" s="766"/>
      <c r="P6936" s="766"/>
      <c r="Q6936" s="767"/>
      <c r="R6936" s="768">
        <f ca="1">SUM(R6932:R6935)</f>
        <v>455.1</v>
      </c>
      <c r="S6936" s="763"/>
      <c r="T6936" s="768">
        <f ca="1">SUM(T6932:T6935)</f>
        <v>35.89</v>
      </c>
      <c r="U6936" s="531"/>
      <c r="V6936" s="531"/>
      <c r="W6936" s="531"/>
      <c r="X6936" s="531"/>
      <c r="Y6936" s="531"/>
      <c r="Z6936" s="531"/>
      <c r="AA6936" s="531"/>
      <c r="AB6936" s="531"/>
      <c r="AC6936" s="531"/>
      <c r="AD6936" s="531"/>
      <c r="AE6936" s="531"/>
      <c r="AF6936" s="531"/>
      <c r="AG6936" s="531"/>
      <c r="AH6936" s="531"/>
      <c r="AI6936" s="531"/>
      <c r="AJ6936" s="531"/>
      <c r="AK6936" s="531"/>
      <c r="AL6936" s="531"/>
      <c r="AM6936" s="531"/>
      <c r="AN6936" s="531"/>
      <c r="AO6936" s="531"/>
      <c r="AR6936" s="761" t="s">
        <v>145</v>
      </c>
      <c r="AS6936" s="764"/>
    </row>
    <row r="6937" spans="1:45" s="520" customFormat="1" thickTop="1">
      <c r="A6937" s="51"/>
      <c r="B6937" s="51"/>
      <c r="C6937" s="3"/>
      <c r="D6937" s="3"/>
      <c r="E6937" s="51"/>
      <c r="F6937" s="51"/>
      <c r="G6937" s="51"/>
      <c r="H6937" s="51"/>
      <c r="I6937" s="51"/>
      <c r="J6937" s="51"/>
      <c r="K6937" s="51" t="s">
        <v>134</v>
      </c>
      <c r="L6937" s="51"/>
      <c r="M6937" s="51"/>
      <c r="N6937" s="51"/>
      <c r="O6937" s="52"/>
      <c r="P6937" s="51"/>
      <c r="Q6937" s="51"/>
      <c r="R6937" s="51"/>
      <c r="S6937" s="51"/>
      <c r="T6937" s="51"/>
      <c r="AR6937" s="51"/>
      <c r="AS6937" s="51"/>
    </row>
    <row r="6938" spans="1:45" s="520" customFormat="1" ht="12">
      <c r="A6938" s="51"/>
      <c r="B6938" s="51"/>
      <c r="C6938" s="51" t="s">
        <v>135</v>
      </c>
      <c r="D6938" s="37"/>
      <c r="E6938" s="51"/>
      <c r="F6938" s="51"/>
      <c r="G6938" s="51"/>
      <c r="H6938" s="51"/>
      <c r="I6938" s="51"/>
      <c r="J6938" s="51"/>
      <c r="K6938" s="51"/>
      <c r="L6938" s="51"/>
      <c r="M6938" s="51"/>
      <c r="N6938" s="51"/>
      <c r="O6938" s="52"/>
      <c r="P6938" s="51"/>
      <c r="Q6938" s="51"/>
      <c r="R6938" s="51"/>
      <c r="S6938" s="51"/>
      <c r="T6938" s="51"/>
      <c r="AR6938" s="51"/>
      <c r="AS6938" s="51"/>
    </row>
    <row r="6939" spans="1:45" s="520" customFormat="1" ht="39.9" customHeight="1">
      <c r="A6939" s="51"/>
      <c r="B6939" s="51"/>
      <c r="C6939" s="51"/>
      <c r="D6939" s="1453" t="s">
        <v>969</v>
      </c>
      <c r="E6939" s="1452"/>
      <c r="F6939" s="1452"/>
      <c r="G6939" s="1452"/>
      <c r="H6939" s="1452"/>
      <c r="I6939" s="1452"/>
      <c r="J6939" s="1452"/>
      <c r="K6939" s="1452"/>
      <c r="L6939" s="1452"/>
      <c r="M6939" s="1452"/>
      <c r="N6939" s="1452"/>
      <c r="O6939" s="1452"/>
      <c r="P6939" s="1452"/>
      <c r="Q6939" s="1452"/>
      <c r="R6939" s="1452"/>
      <c r="S6939" s="1452"/>
      <c r="T6939" s="1452"/>
      <c r="AR6939" s="51"/>
    </row>
    <row r="6940" spans="1:45" s="3" customFormat="1" thickBot="1">
      <c r="A6940" s="531"/>
      <c r="O6940" s="107"/>
      <c r="AR6940" s="531"/>
    </row>
    <row r="6941" spans="1:45" s="520" customFormat="1" ht="12" thickTop="1">
      <c r="A6941" s="51"/>
      <c r="B6941" s="41"/>
      <c r="C6941" s="51"/>
      <c r="E6941" s="42" t="s">
        <v>138</v>
      </c>
      <c r="F6941" s="42" t="s">
        <v>139</v>
      </c>
      <c r="G6941" s="51"/>
      <c r="H6941" s="51"/>
      <c r="I6941" s="51"/>
      <c r="J6941" s="51"/>
      <c r="K6941" s="51" t="s">
        <v>140</v>
      </c>
      <c r="L6941" s="51"/>
      <c r="M6941" s="51"/>
      <c r="N6941" s="51"/>
      <c r="O6941" s="52"/>
      <c r="P6941" s="51"/>
      <c r="Q6941" s="51"/>
      <c r="R6941" s="51"/>
      <c r="S6941" s="51"/>
      <c r="T6941" s="41"/>
      <c r="AG6941" s="521" t="s">
        <v>268</v>
      </c>
      <c r="AH6941" s="521" t="s">
        <v>269</v>
      </c>
      <c r="AI6941" s="521" t="s">
        <v>270</v>
      </c>
      <c r="AJ6941" s="521" t="s">
        <v>271</v>
      </c>
      <c r="AK6941" s="521" t="s">
        <v>272</v>
      </c>
      <c r="AM6941" s="745" t="s">
        <v>281</v>
      </c>
      <c r="AN6941" s="746" t="s">
        <v>282</v>
      </c>
      <c r="AO6941" s="522" t="s">
        <v>278</v>
      </c>
      <c r="AR6941" s="51"/>
      <c r="AS6941" s="42" t="s">
        <v>139</v>
      </c>
    </row>
    <row r="6942" spans="1:45" s="520" customFormat="1" ht="12" customHeight="1">
      <c r="A6942" s="747">
        <v>4</v>
      </c>
      <c r="B6942" s="523" t="s">
        <v>329</v>
      </c>
      <c r="C6942" s="748"/>
      <c r="D6942" s="749" t="s">
        <v>3911</v>
      </c>
      <c r="E6942" s="1145">
        <f>IF(AND($A6942=0,$A$1="DIF"),0, ROUND(ROUND(($R6946*$S$3+($T6946*$T$3))/$A6942,2)*$C$3,2))</f>
        <v>64</v>
      </c>
      <c r="F6942" s="1146">
        <f>ROUND($A6942*$E6942,2)</f>
        <v>256</v>
      </c>
      <c r="G6942" s="752" t="s">
        <v>142</v>
      </c>
      <c r="H6942" s="753"/>
      <c r="I6942" s="754"/>
      <c r="J6942" s="753"/>
      <c r="K6942" s="753" t="s">
        <v>5</v>
      </c>
      <c r="L6942" s="755" t="s">
        <v>143</v>
      </c>
      <c r="M6942" s="755"/>
      <c r="N6942" s="755"/>
      <c r="O6942" s="755"/>
      <c r="P6942" s="755"/>
      <c r="Q6942" s="51"/>
      <c r="T6942" s="1150" t="str">
        <f>IF(AND($R6946=0,$T6946=0),"0.00","mu: "&amp; ROUND(F6942/$C$3/($R6946+$T6946*$D$9),2))</f>
        <v>mu: 1.13</v>
      </c>
      <c r="W6942" s="524"/>
      <c r="AG6942" s="1147">
        <f>IF($E6942=0,0,ROUND($R6946*$S$3*$C$3/$A6942,2))</f>
        <v>64</v>
      </c>
      <c r="AH6942" s="1147">
        <f>$AG6942*$A6942</f>
        <v>256</v>
      </c>
      <c r="AI6942" s="1148">
        <f>$E6942-$AG6942</f>
        <v>0</v>
      </c>
      <c r="AJ6942" s="1148">
        <f>$A6942*$AI6942</f>
        <v>0</v>
      </c>
      <c r="AK6942" s="1149">
        <f>ROUND(($AG6942+$AI6942)*$A6942,2)</f>
        <v>256</v>
      </c>
      <c r="AM6942" s="527">
        <f>ROUND(R6946,2)</f>
        <v>226.8</v>
      </c>
      <c r="AN6942" s="528">
        <f>ROUND(T6946,2)</f>
        <v>0</v>
      </c>
      <c r="AO6942" s="529">
        <f>ROUND(AM6942+AN6942,2)*A6942</f>
        <v>907.2</v>
      </c>
      <c r="AR6942" s="747">
        <v>4</v>
      </c>
      <c r="AS6942" s="1146">
        <v>407.48</v>
      </c>
    </row>
    <row r="6943" spans="1:45" s="520" customFormat="1" ht="13.2">
      <c r="A6943" s="748"/>
      <c r="B6943"/>
      <c r="C6943" s="748"/>
      <c r="D6943" s="749" t="s">
        <v>949</v>
      </c>
      <c r="F6943" s="753"/>
      <c r="G6943" s="3"/>
      <c r="H6943" s="753"/>
      <c r="I6943" s="754"/>
      <c r="J6943" s="753"/>
      <c r="K6943" s="753" t="s">
        <v>144</v>
      </c>
      <c r="L6943" s="753"/>
      <c r="M6943" s="753"/>
      <c r="N6943" s="753"/>
      <c r="O6943" s="753"/>
      <c r="P6943" s="753"/>
      <c r="Q6943" s="51"/>
      <c r="R6943" s="530"/>
      <c r="S6943" s="757"/>
      <c r="T6943" s="753"/>
      <c r="AR6943" s="748"/>
      <c r="AS6943" s="753"/>
    </row>
    <row r="6944" spans="1:45" s="901" customFormat="1" ht="13.2">
      <c r="A6944" s="903">
        <v>4</v>
      </c>
      <c r="B6944" s="904" t="s">
        <v>863</v>
      </c>
      <c r="C6944" s="904"/>
      <c r="D6944" s="904" t="s">
        <v>2594</v>
      </c>
      <c r="E6944" s="904"/>
      <c r="F6944" s="904" t="s">
        <v>4139</v>
      </c>
      <c r="G6944" s="905" t="s">
        <v>2595</v>
      </c>
      <c r="H6944" s="902">
        <v>960</v>
      </c>
      <c r="I6944" s="904" t="s">
        <v>2596</v>
      </c>
      <c r="J6944" s="904"/>
      <c r="K6944" s="904"/>
      <c r="L6944" s="904"/>
      <c r="M6944" s="904"/>
      <c r="N6944" s="904"/>
      <c r="O6944" s="902">
        <v>4</v>
      </c>
      <c r="P6944" s="906">
        <v>38274</v>
      </c>
      <c r="Q6944" s="1415">
        <f>1.05*60*0.9</f>
        <v>56.7</v>
      </c>
      <c r="R6944" s="908">
        <f>$A6944*Q6944</f>
        <v>226.8</v>
      </c>
      <c r="S6944" s="907"/>
      <c r="T6944" s="909">
        <f>$A6944*S6944*$T$1</f>
        <v>0</v>
      </c>
      <c r="AR6944" s="903">
        <v>4</v>
      </c>
      <c r="AS6944" s="904" t="s">
        <v>3507</v>
      </c>
    </row>
    <row r="6945" spans="1:45" s="520" customFormat="1" ht="12">
      <c r="A6945" s="758"/>
      <c r="B6945" s="758"/>
      <c r="C6945" s="758"/>
      <c r="D6945" s="758"/>
      <c r="E6945" s="758"/>
      <c r="F6945" s="753"/>
      <c r="G6945" s="758"/>
      <c r="H6945" s="758"/>
      <c r="I6945" s="519"/>
      <c r="J6945" s="758"/>
      <c r="K6945" s="758"/>
      <c r="L6945" s="758"/>
      <c r="M6945" s="758"/>
      <c r="N6945" s="758"/>
      <c r="O6945" s="758"/>
      <c r="P6945" s="758"/>
      <c r="Q6945" s="519"/>
      <c r="R6945" s="759">
        <f t="shared" ref="R6945" si="560">$A6945*Q6945</f>
        <v>0</v>
      </c>
      <c r="S6945" s="519"/>
      <c r="T6945" s="760">
        <f t="shared" ref="T6945" si="561">$A6945*S6945*$T$1</f>
        <v>0</v>
      </c>
      <c r="AR6945" s="758"/>
      <c r="AS6945" s="753"/>
    </row>
    <row r="6946" spans="1:45" s="520" customFormat="1" ht="12.6" thickBot="1">
      <c r="A6946" s="761" t="s">
        <v>145</v>
      </c>
      <c r="B6946" s="762">
        <f>(R6945+T6945)</f>
        <v>0</v>
      </c>
      <c r="C6946" s="763"/>
      <c r="D6946" s="763"/>
      <c r="E6946" s="763"/>
      <c r="F6946" s="764"/>
      <c r="G6946" s="763" t="s">
        <v>146</v>
      </c>
      <c r="H6946" s="763"/>
      <c r="I6946" s="765"/>
      <c r="J6946" s="763"/>
      <c r="K6946" s="763" t="s">
        <v>5</v>
      </c>
      <c r="L6946" s="766" t="s">
        <v>143</v>
      </c>
      <c r="M6946" s="766"/>
      <c r="N6946" s="766"/>
      <c r="O6946" s="766"/>
      <c r="P6946" s="766"/>
      <c r="Q6946" s="767"/>
      <c r="R6946" s="768">
        <f>SUM(R6943:R6945)</f>
        <v>226.8</v>
      </c>
      <c r="S6946" s="763"/>
      <c r="T6946" s="768">
        <f>SUM(T6943:T6945)</f>
        <v>0</v>
      </c>
      <c r="U6946" s="531"/>
      <c r="V6946" s="531"/>
      <c r="W6946" s="531"/>
      <c r="X6946" s="531"/>
      <c r="Y6946" s="531"/>
      <c r="Z6946" s="531"/>
      <c r="AA6946" s="531"/>
      <c r="AB6946" s="531"/>
      <c r="AC6946" s="531"/>
      <c r="AD6946" s="531"/>
      <c r="AE6946" s="531"/>
      <c r="AF6946" s="531"/>
      <c r="AG6946" s="531"/>
      <c r="AH6946" s="531"/>
      <c r="AI6946" s="531"/>
      <c r="AJ6946" s="531"/>
      <c r="AK6946" s="531"/>
      <c r="AL6946" s="531"/>
      <c r="AM6946" s="531"/>
      <c r="AN6946" s="531"/>
      <c r="AO6946" s="531"/>
      <c r="AR6946" s="761" t="s">
        <v>145</v>
      </c>
      <c r="AS6946" s="764"/>
    </row>
    <row r="6947" spans="1:45" s="520" customFormat="1" ht="12" thickTop="1">
      <c r="A6947" s="51"/>
      <c r="B6947" s="41"/>
      <c r="C6947" s="51"/>
      <c r="E6947" s="42" t="s">
        <v>138</v>
      </c>
      <c r="F6947" s="42" t="s">
        <v>139</v>
      </c>
      <c r="G6947" s="51"/>
      <c r="H6947" s="51"/>
      <c r="I6947" s="51"/>
      <c r="J6947" s="51"/>
      <c r="K6947" s="51" t="s">
        <v>140</v>
      </c>
      <c r="L6947" s="51"/>
      <c r="M6947" s="51"/>
      <c r="N6947" s="51"/>
      <c r="O6947" s="52"/>
      <c r="P6947" s="51"/>
      <c r="Q6947" s="51"/>
      <c r="R6947" s="51"/>
      <c r="S6947" s="51"/>
      <c r="T6947" s="41"/>
      <c r="AG6947" s="521" t="s">
        <v>268</v>
      </c>
      <c r="AH6947" s="521" t="s">
        <v>269</v>
      </c>
      <c r="AI6947" s="521" t="s">
        <v>270</v>
      </c>
      <c r="AJ6947" s="521" t="s">
        <v>271</v>
      </c>
      <c r="AK6947" s="521" t="s">
        <v>272</v>
      </c>
      <c r="AM6947" s="745" t="s">
        <v>281</v>
      </c>
      <c r="AN6947" s="746" t="s">
        <v>282</v>
      </c>
      <c r="AO6947" s="522" t="s">
        <v>278</v>
      </c>
      <c r="AR6947" s="51"/>
      <c r="AS6947" s="42" t="s">
        <v>139</v>
      </c>
    </row>
    <row r="6948" spans="1:45" s="520" customFormat="1" ht="12" customHeight="1">
      <c r="A6948" s="747">
        <v>2</v>
      </c>
      <c r="B6948" s="523" t="s">
        <v>329</v>
      </c>
      <c r="C6948" s="748"/>
      <c r="D6948" s="749" t="s">
        <v>3912</v>
      </c>
      <c r="E6948" s="1145">
        <f>IF(AND($A6948=0,$A$1="DIF"),0, ROUND(ROUND(($R6952*$S$3+($T6952*$T$3))/$A6948,2)*$C$3,2))</f>
        <v>64</v>
      </c>
      <c r="F6948" s="1146">
        <f>ROUND($A6948*$E6948,2)</f>
        <v>128</v>
      </c>
      <c r="G6948" s="752" t="s">
        <v>142</v>
      </c>
      <c r="H6948" s="753"/>
      <c r="I6948" s="754"/>
      <c r="J6948" s="753"/>
      <c r="K6948" s="753" t="s">
        <v>5</v>
      </c>
      <c r="L6948" s="755" t="s">
        <v>143</v>
      </c>
      <c r="M6948" s="755"/>
      <c r="N6948" s="755"/>
      <c r="O6948" s="755"/>
      <c r="P6948" s="755"/>
      <c r="Q6948" s="51"/>
      <c r="T6948" s="1150" t="str">
        <f>IF(AND($R6952=0,$T6952=0),"0.00","mu: "&amp; ROUND(F6948/$C$3/($R6952+$T6952*$D$9),2))</f>
        <v>mu: 1.13</v>
      </c>
      <c r="W6948" s="524"/>
      <c r="AG6948" s="1147">
        <f>IF($E6948=0,0,ROUND($R6952*$S$3*$C$3/$A6948,2))</f>
        <v>64</v>
      </c>
      <c r="AH6948" s="1147">
        <f>$AG6948*$A6948</f>
        <v>128</v>
      </c>
      <c r="AI6948" s="1148">
        <f>$E6948-$AG6948</f>
        <v>0</v>
      </c>
      <c r="AJ6948" s="1148">
        <f>$A6948*$AI6948</f>
        <v>0</v>
      </c>
      <c r="AK6948" s="1149">
        <f>ROUND(($AG6948+$AI6948)*$A6948,2)</f>
        <v>128</v>
      </c>
      <c r="AM6948" s="527">
        <f>ROUND(R6952,2)</f>
        <v>113.4</v>
      </c>
      <c r="AN6948" s="528">
        <f>ROUND(T6952,2)</f>
        <v>0</v>
      </c>
      <c r="AO6948" s="529">
        <f>ROUND(AM6948+AN6948,2)*A6948</f>
        <v>226.8</v>
      </c>
      <c r="AR6948" s="747">
        <v>2</v>
      </c>
      <c r="AS6948" s="1146">
        <v>203.74</v>
      </c>
    </row>
    <row r="6949" spans="1:45" s="520" customFormat="1" ht="13.2">
      <c r="A6949" s="748"/>
      <c r="B6949"/>
      <c r="C6949" s="748"/>
      <c r="D6949" s="749" t="s">
        <v>950</v>
      </c>
      <c r="F6949" s="753"/>
      <c r="G6949" s="3"/>
      <c r="H6949" s="753"/>
      <c r="I6949" s="754"/>
      <c r="J6949" s="753"/>
      <c r="K6949" s="753" t="s">
        <v>144</v>
      </c>
      <c r="L6949" s="753"/>
      <c r="M6949" s="753"/>
      <c r="N6949" s="753"/>
      <c r="O6949" s="753"/>
      <c r="P6949" s="753"/>
      <c r="Q6949" s="51"/>
      <c r="R6949" s="530"/>
      <c r="S6949" s="757"/>
      <c r="T6949" s="753"/>
      <c r="AR6949" s="748"/>
      <c r="AS6949" s="753"/>
    </row>
    <row r="6950" spans="1:45" s="901" customFormat="1" ht="13.2">
      <c r="A6950" s="903">
        <v>2</v>
      </c>
      <c r="B6950" s="904" t="s">
        <v>863</v>
      </c>
      <c r="C6950" s="904"/>
      <c r="D6950" s="904" t="s">
        <v>2594</v>
      </c>
      <c r="E6950" s="904"/>
      <c r="F6950" s="904" t="s">
        <v>4139</v>
      </c>
      <c r="G6950" s="905" t="s">
        <v>2595</v>
      </c>
      <c r="H6950" s="902">
        <v>960</v>
      </c>
      <c r="I6950" s="904" t="s">
        <v>2596</v>
      </c>
      <c r="J6950" s="904"/>
      <c r="K6950" s="904"/>
      <c r="L6950" s="904"/>
      <c r="M6950" s="904"/>
      <c r="N6950" s="904"/>
      <c r="O6950" s="902">
        <v>4</v>
      </c>
      <c r="P6950" s="906">
        <v>38274</v>
      </c>
      <c r="Q6950" s="1415">
        <f>1.05*60*0.9</f>
        <v>56.7</v>
      </c>
      <c r="R6950" s="908">
        <f>$A6950*Q6950</f>
        <v>113.4</v>
      </c>
      <c r="S6950" s="907"/>
      <c r="T6950" s="909">
        <f>$A6950*S6950*$T$1</f>
        <v>0</v>
      </c>
      <c r="AR6950" s="903">
        <v>2</v>
      </c>
      <c r="AS6950" s="904" t="s">
        <v>3507</v>
      </c>
    </row>
    <row r="6951" spans="1:45" s="520" customFormat="1" ht="12">
      <c r="A6951" s="758"/>
      <c r="B6951" s="758"/>
      <c r="C6951" s="758"/>
      <c r="D6951" s="758"/>
      <c r="E6951" s="758"/>
      <c r="F6951" s="753"/>
      <c r="G6951" s="758"/>
      <c r="H6951" s="758"/>
      <c r="I6951" s="519"/>
      <c r="J6951" s="758"/>
      <c r="K6951" s="758"/>
      <c r="L6951" s="758"/>
      <c r="M6951" s="758"/>
      <c r="N6951" s="758"/>
      <c r="O6951" s="758"/>
      <c r="P6951" s="758"/>
      <c r="Q6951" s="519"/>
      <c r="R6951" s="759">
        <f t="shared" ref="R6951" si="562">$A6951*Q6951</f>
        <v>0</v>
      </c>
      <c r="S6951" s="519"/>
      <c r="T6951" s="760">
        <f t="shared" ref="T6951" si="563">$A6951*S6951*$T$1</f>
        <v>0</v>
      </c>
      <c r="AR6951" s="758"/>
      <c r="AS6951" s="753"/>
    </row>
    <row r="6952" spans="1:45" s="520" customFormat="1" ht="12.6" thickBot="1">
      <c r="A6952" s="761" t="s">
        <v>145</v>
      </c>
      <c r="B6952" s="762">
        <f>(R6951+T6951)</f>
        <v>0</v>
      </c>
      <c r="C6952" s="763"/>
      <c r="D6952" s="763"/>
      <c r="E6952" s="763"/>
      <c r="F6952" s="764"/>
      <c r="G6952" s="763" t="s">
        <v>146</v>
      </c>
      <c r="H6952" s="763"/>
      <c r="I6952" s="765"/>
      <c r="J6952" s="763"/>
      <c r="K6952" s="763" t="s">
        <v>5</v>
      </c>
      <c r="L6952" s="766" t="s">
        <v>143</v>
      </c>
      <c r="M6952" s="766"/>
      <c r="N6952" s="766"/>
      <c r="O6952" s="766"/>
      <c r="P6952" s="766"/>
      <c r="Q6952" s="767"/>
      <c r="R6952" s="768">
        <f>SUM(R6949:R6951)</f>
        <v>113.4</v>
      </c>
      <c r="S6952" s="763"/>
      <c r="T6952" s="768">
        <f>SUM(T6949:T6951)</f>
        <v>0</v>
      </c>
      <c r="U6952" s="531"/>
      <c r="V6952" s="531"/>
      <c r="W6952" s="531"/>
      <c r="X6952" s="531"/>
      <c r="Y6952" s="531"/>
      <c r="Z6952" s="531"/>
      <c r="AA6952" s="531"/>
      <c r="AB6952" s="531"/>
      <c r="AC6952" s="531"/>
      <c r="AD6952" s="531"/>
      <c r="AE6952" s="531"/>
      <c r="AF6952" s="531"/>
      <c r="AG6952" s="531"/>
      <c r="AH6952" s="531"/>
      <c r="AI6952" s="531"/>
      <c r="AJ6952" s="531"/>
      <c r="AK6952" s="531"/>
      <c r="AL6952" s="531"/>
      <c r="AM6952" s="531"/>
      <c r="AN6952" s="531"/>
      <c r="AO6952" s="531"/>
      <c r="AR6952" s="761" t="s">
        <v>145</v>
      </c>
      <c r="AS6952" s="764"/>
    </row>
    <row r="6953" spans="1:45" s="520" customFormat="1" ht="12" thickTop="1">
      <c r="A6953" s="51"/>
      <c r="B6953" s="41"/>
      <c r="C6953" s="51"/>
      <c r="E6953" s="42" t="s">
        <v>138</v>
      </c>
      <c r="F6953" s="42" t="s">
        <v>139</v>
      </c>
      <c r="G6953" s="51"/>
      <c r="H6953" s="51"/>
      <c r="I6953" s="51"/>
      <c r="J6953" s="51"/>
      <c r="K6953" s="51" t="s">
        <v>140</v>
      </c>
      <c r="L6953" s="51"/>
      <c r="M6953" s="51"/>
      <c r="N6953" s="51"/>
      <c r="O6953" s="52"/>
      <c r="P6953" s="51"/>
      <c r="Q6953" s="51"/>
      <c r="R6953" s="51"/>
      <c r="S6953" s="51"/>
      <c r="T6953" s="41"/>
      <c r="AG6953" s="521" t="s">
        <v>268</v>
      </c>
      <c r="AH6953" s="521" t="s">
        <v>269</v>
      </c>
      <c r="AI6953" s="521" t="s">
        <v>270</v>
      </c>
      <c r="AJ6953" s="521" t="s">
        <v>271</v>
      </c>
      <c r="AK6953" s="521" t="s">
        <v>272</v>
      </c>
      <c r="AM6953" s="745" t="s">
        <v>281</v>
      </c>
      <c r="AN6953" s="746" t="s">
        <v>282</v>
      </c>
      <c r="AO6953" s="522" t="s">
        <v>278</v>
      </c>
      <c r="AR6953" s="51"/>
      <c r="AS6953" s="42" t="s">
        <v>139</v>
      </c>
    </row>
    <row r="6954" spans="1:45" s="520" customFormat="1" ht="12" customHeight="1">
      <c r="A6954" s="747">
        <v>4</v>
      </c>
      <c r="B6954" s="523" t="s">
        <v>329</v>
      </c>
      <c r="C6954" s="748"/>
      <c r="D6954" s="749" t="s">
        <v>3913</v>
      </c>
      <c r="E6954" s="1145">
        <f>IF(AND($A6954=0,$A$1="DIF"),0, ROUND(ROUND(($R6958*$S$3+($T6958*$T$3))/$A6954,2)*$C$3,2))</f>
        <v>64</v>
      </c>
      <c r="F6954" s="1146">
        <f>ROUND($A6954*$E6954,2)</f>
        <v>256</v>
      </c>
      <c r="G6954" s="752" t="s">
        <v>142</v>
      </c>
      <c r="H6954" s="753"/>
      <c r="I6954" s="754"/>
      <c r="J6954" s="753"/>
      <c r="K6954" s="753" t="s">
        <v>5</v>
      </c>
      <c r="L6954" s="755" t="s">
        <v>143</v>
      </c>
      <c r="M6954" s="755"/>
      <c r="N6954" s="755"/>
      <c r="O6954" s="755"/>
      <c r="P6954" s="755"/>
      <c r="Q6954" s="51"/>
      <c r="T6954" s="1150" t="str">
        <f>IF(AND($R6958=0,$T6958=0),"0.00","mu: "&amp; ROUND(F6954/$C$3/($R6958+$T6958*$D$9),2))</f>
        <v>mu: 1.13</v>
      </c>
      <c r="W6954" s="524"/>
      <c r="AG6954" s="1147">
        <f>IF($E6954=0,0,ROUND($R6958*$S$3*$C$3/$A6954,2))</f>
        <v>64</v>
      </c>
      <c r="AH6954" s="1147">
        <f>$AG6954*$A6954</f>
        <v>256</v>
      </c>
      <c r="AI6954" s="1148">
        <f>$E6954-$AG6954</f>
        <v>0</v>
      </c>
      <c r="AJ6954" s="1148">
        <f>$A6954*$AI6954</f>
        <v>0</v>
      </c>
      <c r="AK6954" s="1149">
        <f>ROUND(($AG6954+$AI6954)*$A6954,2)</f>
        <v>256</v>
      </c>
      <c r="AM6954" s="527">
        <f>ROUND(R6958,2)</f>
        <v>226.8</v>
      </c>
      <c r="AN6954" s="528">
        <f>ROUND(T6958,2)</f>
        <v>0</v>
      </c>
      <c r="AO6954" s="529">
        <f>ROUND(AM6954+AN6954,2)*A6954</f>
        <v>907.2</v>
      </c>
      <c r="AR6954" s="747">
        <v>4</v>
      </c>
      <c r="AS6954" s="1146">
        <v>407.48</v>
      </c>
    </row>
    <row r="6955" spans="1:45" s="520" customFormat="1" ht="13.2">
      <c r="A6955" s="748"/>
      <c r="B6955"/>
      <c r="C6955" s="748"/>
      <c r="D6955" s="749" t="s">
        <v>970</v>
      </c>
      <c r="F6955" s="753"/>
      <c r="G6955" s="3"/>
      <c r="H6955" s="753"/>
      <c r="I6955" s="754"/>
      <c r="J6955" s="753"/>
      <c r="K6955" s="753" t="s">
        <v>144</v>
      </c>
      <c r="L6955" s="753"/>
      <c r="M6955" s="753"/>
      <c r="N6955" s="753"/>
      <c r="O6955" s="753"/>
      <c r="P6955" s="753"/>
      <c r="Q6955" s="51"/>
      <c r="R6955" s="530"/>
      <c r="S6955" s="757"/>
      <c r="T6955" s="753"/>
      <c r="AR6955" s="748"/>
      <c r="AS6955" s="753"/>
    </row>
    <row r="6956" spans="1:45" s="901" customFormat="1" ht="13.2">
      <c r="A6956" s="903">
        <v>4</v>
      </c>
      <c r="B6956" s="904" t="s">
        <v>863</v>
      </c>
      <c r="C6956" s="904"/>
      <c r="D6956" s="904" t="s">
        <v>2594</v>
      </c>
      <c r="E6956" s="904"/>
      <c r="F6956" s="904" t="s">
        <v>4139</v>
      </c>
      <c r="G6956" s="905" t="s">
        <v>2595</v>
      </c>
      <c r="H6956" s="902">
        <v>960</v>
      </c>
      <c r="I6956" s="904" t="s">
        <v>2596</v>
      </c>
      <c r="J6956" s="904"/>
      <c r="K6956" s="904"/>
      <c r="L6956" s="904"/>
      <c r="M6956" s="904"/>
      <c r="N6956" s="904"/>
      <c r="O6956" s="902">
        <v>4</v>
      </c>
      <c r="P6956" s="906">
        <v>38274</v>
      </c>
      <c r="Q6956" s="1415">
        <f>1.05*60*0.9</f>
        <v>56.7</v>
      </c>
      <c r="R6956" s="908">
        <f>$A6956*Q6956</f>
        <v>226.8</v>
      </c>
      <c r="S6956" s="907"/>
      <c r="T6956" s="909">
        <f>$A6956*S6956*$T$1</f>
        <v>0</v>
      </c>
      <c r="AR6956" s="903">
        <v>4</v>
      </c>
      <c r="AS6956" s="904" t="s">
        <v>3507</v>
      </c>
    </row>
    <row r="6957" spans="1:45" s="520" customFormat="1" ht="12">
      <c r="A6957" s="758"/>
      <c r="B6957" s="758"/>
      <c r="C6957" s="758"/>
      <c r="D6957" s="758"/>
      <c r="E6957" s="758"/>
      <c r="F6957" s="753"/>
      <c r="G6957" s="758"/>
      <c r="H6957" s="758"/>
      <c r="I6957" s="519"/>
      <c r="J6957" s="758"/>
      <c r="K6957" s="758"/>
      <c r="L6957" s="758"/>
      <c r="M6957" s="758"/>
      <c r="N6957" s="758"/>
      <c r="O6957" s="758"/>
      <c r="P6957" s="758"/>
      <c r="Q6957" s="519"/>
      <c r="R6957" s="759">
        <f t="shared" ref="R6957" si="564">$A6957*Q6957</f>
        <v>0</v>
      </c>
      <c r="S6957" s="519"/>
      <c r="T6957" s="760">
        <f t="shared" ref="T6957" si="565">$A6957*S6957*$T$1</f>
        <v>0</v>
      </c>
      <c r="AR6957" s="758"/>
      <c r="AS6957" s="753"/>
    </row>
    <row r="6958" spans="1:45" s="520" customFormat="1" ht="12.6" thickBot="1">
      <c r="A6958" s="761" t="s">
        <v>145</v>
      </c>
      <c r="B6958" s="762">
        <f>(R6957+T6957)</f>
        <v>0</v>
      </c>
      <c r="C6958" s="763"/>
      <c r="D6958" s="763"/>
      <c r="E6958" s="763"/>
      <c r="F6958" s="764"/>
      <c r="G6958" s="763" t="s">
        <v>146</v>
      </c>
      <c r="H6958" s="763"/>
      <c r="I6958" s="765"/>
      <c r="J6958" s="763"/>
      <c r="K6958" s="763" t="s">
        <v>5</v>
      </c>
      <c r="L6958" s="766" t="s">
        <v>143</v>
      </c>
      <c r="M6958" s="766"/>
      <c r="N6958" s="766"/>
      <c r="O6958" s="766"/>
      <c r="P6958" s="766"/>
      <c r="Q6958" s="767"/>
      <c r="R6958" s="768">
        <f>SUM(R6955:R6957)</f>
        <v>226.8</v>
      </c>
      <c r="S6958" s="763"/>
      <c r="T6958" s="768">
        <f>SUM(T6955:T6957)</f>
        <v>0</v>
      </c>
      <c r="U6958" s="531"/>
      <c r="V6958" s="531"/>
      <c r="W6958" s="531"/>
      <c r="X6958" s="531"/>
      <c r="Y6958" s="531"/>
      <c r="Z6958" s="531"/>
      <c r="AA6958" s="531"/>
      <c r="AB6958" s="531"/>
      <c r="AC6958" s="531"/>
      <c r="AD6958" s="531"/>
      <c r="AE6958" s="531"/>
      <c r="AF6958" s="531"/>
      <c r="AG6958" s="531"/>
      <c r="AH6958" s="531"/>
      <c r="AI6958" s="531"/>
      <c r="AJ6958" s="531"/>
      <c r="AK6958" s="531"/>
      <c r="AL6958" s="531"/>
      <c r="AM6958" s="531"/>
      <c r="AN6958" s="531"/>
      <c r="AO6958" s="531"/>
      <c r="AR6958" s="761" t="s">
        <v>145</v>
      </c>
      <c r="AS6958" s="764"/>
    </row>
    <row r="6959" spans="1:45" s="520" customFormat="1" ht="12" thickTop="1">
      <c r="A6959" s="51"/>
      <c r="B6959" s="41"/>
      <c r="C6959" s="51"/>
      <c r="E6959" s="42" t="s">
        <v>138</v>
      </c>
      <c r="F6959" s="42" t="s">
        <v>139</v>
      </c>
      <c r="G6959" s="51"/>
      <c r="H6959" s="51"/>
      <c r="I6959" s="51"/>
      <c r="J6959" s="51"/>
      <c r="K6959" s="51" t="s">
        <v>140</v>
      </c>
      <c r="L6959" s="51"/>
      <c r="M6959" s="51"/>
      <c r="N6959" s="51"/>
      <c r="O6959" s="52"/>
      <c r="P6959" s="51"/>
      <c r="Q6959" s="51"/>
      <c r="R6959" s="51"/>
      <c r="S6959" s="51"/>
      <c r="T6959" s="41"/>
      <c r="AG6959" s="521" t="s">
        <v>268</v>
      </c>
      <c r="AH6959" s="521" t="s">
        <v>269</v>
      </c>
      <c r="AI6959" s="521" t="s">
        <v>270</v>
      </c>
      <c r="AJ6959" s="521" t="s">
        <v>271</v>
      </c>
      <c r="AK6959" s="521" t="s">
        <v>272</v>
      </c>
      <c r="AM6959" s="745" t="s">
        <v>281</v>
      </c>
      <c r="AN6959" s="746" t="s">
        <v>282</v>
      </c>
      <c r="AO6959" s="522" t="s">
        <v>278</v>
      </c>
      <c r="AR6959" s="51"/>
      <c r="AS6959" s="42" t="s">
        <v>139</v>
      </c>
    </row>
    <row r="6960" spans="1:45" s="520" customFormat="1" ht="12" customHeight="1">
      <c r="A6960" s="747">
        <v>1</v>
      </c>
      <c r="B6960" s="523" t="s">
        <v>329</v>
      </c>
      <c r="C6960" s="748"/>
      <c r="D6960" s="749" t="s">
        <v>3914</v>
      </c>
      <c r="E6960" s="1145">
        <f>IF(AND($A6960=0,$A$1="DIF"),0, ROUND(ROUND(($R6964*$S$3+($T6964*$T$3))/$A6960,2)*$C$3,2))</f>
        <v>64</v>
      </c>
      <c r="F6960" s="1146">
        <f>ROUND($A6960*$E6960,2)</f>
        <v>64</v>
      </c>
      <c r="G6960" s="752" t="s">
        <v>142</v>
      </c>
      <c r="H6960" s="753"/>
      <c r="I6960" s="754"/>
      <c r="J6960" s="753"/>
      <c r="K6960" s="753" t="s">
        <v>5</v>
      </c>
      <c r="L6960" s="755" t="s">
        <v>143</v>
      </c>
      <c r="M6960" s="755"/>
      <c r="N6960" s="755"/>
      <c r="O6960" s="755"/>
      <c r="P6960" s="755"/>
      <c r="Q6960" s="51"/>
      <c r="T6960" s="1150" t="str">
        <f>IF(AND($R6964=0,$T6964=0),"0.00","mu: "&amp; ROUND(F6960/$C$3/($R6964+$T6964*$D$9),2))</f>
        <v>mu: 1.13</v>
      </c>
      <c r="W6960" s="524"/>
      <c r="AG6960" s="1147">
        <f>IF($E6960=0,0,ROUND($R6964*$S$3*$C$3/$A6960,2))</f>
        <v>64</v>
      </c>
      <c r="AH6960" s="1147">
        <f>$AG6960*$A6960</f>
        <v>64</v>
      </c>
      <c r="AI6960" s="1148">
        <f>$E6960-$AG6960</f>
        <v>0</v>
      </c>
      <c r="AJ6960" s="1148">
        <f>$A6960*$AI6960</f>
        <v>0</v>
      </c>
      <c r="AK6960" s="1149">
        <f>ROUND(($AG6960+$AI6960)*$A6960,2)</f>
        <v>64</v>
      </c>
      <c r="AM6960" s="527">
        <f>ROUND(R6964,2)</f>
        <v>56.7</v>
      </c>
      <c r="AN6960" s="528">
        <f>ROUND(T6964,2)</f>
        <v>0</v>
      </c>
      <c r="AO6960" s="529">
        <f>ROUND(AM6960+AN6960,2)*A6960</f>
        <v>56.7</v>
      </c>
      <c r="AR6960" s="747">
        <v>1</v>
      </c>
      <c r="AS6960" s="1146">
        <v>101.87</v>
      </c>
    </row>
    <row r="6961" spans="1:45" s="520" customFormat="1" ht="13.2">
      <c r="A6961" s="748"/>
      <c r="B6961"/>
      <c r="C6961" s="748"/>
      <c r="D6961" s="749" t="s">
        <v>972</v>
      </c>
      <c r="F6961" s="753"/>
      <c r="G6961" s="3"/>
      <c r="H6961" s="753"/>
      <c r="I6961" s="754"/>
      <c r="J6961" s="753"/>
      <c r="K6961" s="753" t="s">
        <v>144</v>
      </c>
      <c r="L6961" s="753"/>
      <c r="M6961" s="753"/>
      <c r="N6961" s="753"/>
      <c r="O6961" s="753"/>
      <c r="P6961" s="753"/>
      <c r="Q6961" s="51"/>
      <c r="R6961" s="530"/>
      <c r="S6961" s="757"/>
      <c r="T6961" s="753"/>
      <c r="AR6961" s="748"/>
      <c r="AS6961" s="753"/>
    </row>
    <row r="6962" spans="1:45" s="901" customFormat="1" ht="13.2">
      <c r="A6962" s="903">
        <v>1</v>
      </c>
      <c r="B6962" s="904" t="s">
        <v>863</v>
      </c>
      <c r="C6962" s="904"/>
      <c r="D6962" s="904" t="s">
        <v>2594</v>
      </c>
      <c r="E6962" s="904"/>
      <c r="F6962" s="904" t="s">
        <v>4139</v>
      </c>
      <c r="G6962" s="905" t="s">
        <v>2595</v>
      </c>
      <c r="H6962" s="902">
        <v>960</v>
      </c>
      <c r="I6962" s="904" t="s">
        <v>2596</v>
      </c>
      <c r="J6962" s="904"/>
      <c r="K6962" s="904"/>
      <c r="L6962" s="904"/>
      <c r="M6962" s="904"/>
      <c r="N6962" s="904"/>
      <c r="O6962" s="902">
        <v>4</v>
      </c>
      <c r="P6962" s="906">
        <v>38274</v>
      </c>
      <c r="Q6962" s="1415">
        <f>1.05*60*0.9</f>
        <v>56.7</v>
      </c>
      <c r="R6962" s="908">
        <f>$A6962*Q6962</f>
        <v>56.7</v>
      </c>
      <c r="S6962" s="907"/>
      <c r="T6962" s="909">
        <f>$A6962*S6962*$T$1</f>
        <v>0</v>
      </c>
      <c r="AR6962" s="903">
        <v>1</v>
      </c>
      <c r="AS6962" s="904" t="s">
        <v>3507</v>
      </c>
    </row>
    <row r="6963" spans="1:45" s="520" customFormat="1" ht="12">
      <c r="A6963" s="758"/>
      <c r="B6963" s="758"/>
      <c r="C6963" s="758"/>
      <c r="D6963" s="758"/>
      <c r="E6963" s="758"/>
      <c r="F6963" s="753"/>
      <c r="G6963" s="758"/>
      <c r="H6963" s="758"/>
      <c r="I6963" s="519"/>
      <c r="J6963" s="758"/>
      <c r="K6963" s="758"/>
      <c r="L6963" s="758"/>
      <c r="M6963" s="758"/>
      <c r="N6963" s="758"/>
      <c r="O6963" s="758"/>
      <c r="P6963" s="758"/>
      <c r="Q6963" s="519"/>
      <c r="R6963" s="759">
        <f t="shared" ref="R6963" si="566">$A6963*Q6963</f>
        <v>0</v>
      </c>
      <c r="S6963" s="519"/>
      <c r="T6963" s="760">
        <f t="shared" ref="T6963" si="567">$A6963*S6963*$T$1</f>
        <v>0</v>
      </c>
      <c r="AR6963" s="758"/>
      <c r="AS6963" s="753"/>
    </row>
    <row r="6964" spans="1:45" s="520" customFormat="1" ht="12.6" thickBot="1">
      <c r="A6964" s="761" t="s">
        <v>145</v>
      </c>
      <c r="B6964" s="762">
        <f>(R6963+T6963)</f>
        <v>0</v>
      </c>
      <c r="C6964" s="763"/>
      <c r="D6964" s="763"/>
      <c r="E6964" s="763"/>
      <c r="F6964" s="764"/>
      <c r="G6964" s="763" t="s">
        <v>146</v>
      </c>
      <c r="H6964" s="763"/>
      <c r="I6964" s="765"/>
      <c r="J6964" s="763"/>
      <c r="K6964" s="763" t="s">
        <v>5</v>
      </c>
      <c r="L6964" s="766" t="s">
        <v>143</v>
      </c>
      <c r="M6964" s="766"/>
      <c r="N6964" s="766"/>
      <c r="O6964" s="766"/>
      <c r="P6964" s="766"/>
      <c r="Q6964" s="767"/>
      <c r="R6964" s="768">
        <f>SUM(R6961:R6963)</f>
        <v>56.7</v>
      </c>
      <c r="S6964" s="763"/>
      <c r="T6964" s="768">
        <f>SUM(T6961:T6963)</f>
        <v>0</v>
      </c>
      <c r="U6964" s="531"/>
      <c r="V6964" s="531"/>
      <c r="W6964" s="531"/>
      <c r="X6964" s="531"/>
      <c r="Y6964" s="531"/>
      <c r="Z6964" s="531"/>
      <c r="AA6964" s="531"/>
      <c r="AB6964" s="531"/>
      <c r="AC6964" s="531"/>
      <c r="AD6964" s="531"/>
      <c r="AE6964" s="531"/>
      <c r="AF6964" s="531"/>
      <c r="AG6964" s="531"/>
      <c r="AH6964" s="531"/>
      <c r="AI6964" s="531"/>
      <c r="AJ6964" s="531"/>
      <c r="AK6964" s="531"/>
      <c r="AL6964" s="531"/>
      <c r="AM6964" s="531"/>
      <c r="AN6964" s="531"/>
      <c r="AO6964" s="531"/>
      <c r="AR6964" s="761" t="s">
        <v>145</v>
      </c>
      <c r="AS6964" s="764"/>
    </row>
    <row r="6965" spans="1:45" s="520" customFormat="1" ht="12" thickTop="1">
      <c r="A6965" s="51"/>
      <c r="B6965" s="41"/>
      <c r="C6965" s="51"/>
      <c r="E6965" s="42" t="s">
        <v>138</v>
      </c>
      <c r="F6965" s="42" t="s">
        <v>139</v>
      </c>
      <c r="G6965" s="51"/>
      <c r="H6965" s="51"/>
      <c r="I6965" s="51"/>
      <c r="J6965" s="51"/>
      <c r="K6965" s="51" t="s">
        <v>140</v>
      </c>
      <c r="L6965" s="51"/>
      <c r="M6965" s="51"/>
      <c r="N6965" s="51"/>
      <c r="O6965" s="52"/>
      <c r="P6965" s="51"/>
      <c r="Q6965" s="51"/>
      <c r="R6965" s="51"/>
      <c r="S6965" s="51"/>
      <c r="T6965" s="41"/>
      <c r="AG6965" s="521" t="s">
        <v>268</v>
      </c>
      <c r="AH6965" s="521" t="s">
        <v>269</v>
      </c>
      <c r="AI6965" s="521" t="s">
        <v>270</v>
      </c>
      <c r="AJ6965" s="521" t="s">
        <v>271</v>
      </c>
      <c r="AK6965" s="521" t="s">
        <v>272</v>
      </c>
      <c r="AM6965" s="745" t="s">
        <v>281</v>
      </c>
      <c r="AN6965" s="746" t="s">
        <v>282</v>
      </c>
      <c r="AO6965" s="522" t="s">
        <v>278</v>
      </c>
      <c r="AR6965" s="51"/>
      <c r="AS6965" s="42" t="s">
        <v>139</v>
      </c>
    </row>
    <row r="6966" spans="1:45" s="520" customFormat="1" ht="12" customHeight="1">
      <c r="A6966" s="747">
        <v>13</v>
      </c>
      <c r="B6966" s="523" t="s">
        <v>329</v>
      </c>
      <c r="C6966" s="748"/>
      <c r="D6966" s="749" t="s">
        <v>3915</v>
      </c>
      <c r="E6966" s="1145">
        <f>IF(AND($A6966=0,$A$1="DIF"),0, ROUND(ROUND(($R6970*$S$3+($T6970*$T$3))/$A6966,2)*$C$3,2))</f>
        <v>64</v>
      </c>
      <c r="F6966" s="1146">
        <f>ROUND($A6966*$E6966,2)</f>
        <v>832</v>
      </c>
      <c r="G6966" s="752" t="s">
        <v>142</v>
      </c>
      <c r="H6966" s="753"/>
      <c r="I6966" s="754"/>
      <c r="J6966" s="753"/>
      <c r="K6966" s="753" t="s">
        <v>5</v>
      </c>
      <c r="L6966" s="755" t="s">
        <v>143</v>
      </c>
      <c r="M6966" s="755"/>
      <c r="N6966" s="755"/>
      <c r="O6966" s="755"/>
      <c r="P6966" s="755"/>
      <c r="Q6966" s="51"/>
      <c r="T6966" s="1150" t="str">
        <f>IF(AND($R6970=0,$T6970=0),"0.00","mu: "&amp; ROUND(F6966/$C$3/($R6970+$T6970*$D$9),2))</f>
        <v>mu: 1.13</v>
      </c>
      <c r="W6966" s="524"/>
      <c r="AG6966" s="1147">
        <f>IF($E6966=0,0,ROUND($R6970*$S$3*$C$3/$A6966,2))</f>
        <v>64</v>
      </c>
      <c r="AH6966" s="1147">
        <f>$AG6966*$A6966</f>
        <v>832</v>
      </c>
      <c r="AI6966" s="1148">
        <f>$E6966-$AG6966</f>
        <v>0</v>
      </c>
      <c r="AJ6966" s="1148">
        <f>$A6966*$AI6966</f>
        <v>0</v>
      </c>
      <c r="AK6966" s="1149">
        <f>ROUND(($AG6966+$AI6966)*$A6966,2)</f>
        <v>832</v>
      </c>
      <c r="AM6966" s="527">
        <f>ROUND(R6970,2)</f>
        <v>737.1</v>
      </c>
      <c r="AN6966" s="528">
        <f>ROUND(T6970,2)</f>
        <v>0</v>
      </c>
      <c r="AO6966" s="529">
        <f>ROUND(AM6966+AN6966,2)*A6966</f>
        <v>9582.3000000000011</v>
      </c>
      <c r="AR6966" s="747">
        <v>13</v>
      </c>
      <c r="AS6966" s="1146">
        <v>1324.31</v>
      </c>
    </row>
    <row r="6967" spans="1:45" s="520" customFormat="1" ht="13.2">
      <c r="A6967" s="748"/>
      <c r="B6967"/>
      <c r="C6967" s="748"/>
      <c r="D6967" s="749" t="s">
        <v>975</v>
      </c>
      <c r="F6967" s="753"/>
      <c r="G6967" s="3"/>
      <c r="H6967" s="753"/>
      <c r="I6967" s="754"/>
      <c r="J6967" s="753"/>
      <c r="K6967" s="753" t="s">
        <v>144</v>
      </c>
      <c r="L6967" s="753"/>
      <c r="M6967" s="753"/>
      <c r="N6967" s="753"/>
      <c r="O6967" s="753"/>
      <c r="P6967" s="753"/>
      <c r="Q6967" s="51"/>
      <c r="R6967" s="530"/>
      <c r="S6967" s="757"/>
      <c r="T6967" s="753"/>
      <c r="AR6967" s="748"/>
      <c r="AS6967" s="753"/>
    </row>
    <row r="6968" spans="1:45" s="901" customFormat="1" ht="13.2">
      <c r="A6968" s="903">
        <v>13</v>
      </c>
      <c r="B6968" s="904" t="s">
        <v>863</v>
      </c>
      <c r="C6968" s="904"/>
      <c r="D6968" s="904" t="s">
        <v>2594</v>
      </c>
      <c r="E6968" s="904"/>
      <c r="F6968" s="904" t="s">
        <v>4139</v>
      </c>
      <c r="G6968" s="905" t="s">
        <v>2595</v>
      </c>
      <c r="H6968" s="902">
        <v>960</v>
      </c>
      <c r="I6968" s="904" t="s">
        <v>2596</v>
      </c>
      <c r="J6968" s="904"/>
      <c r="K6968" s="904"/>
      <c r="L6968" s="904"/>
      <c r="M6968" s="904"/>
      <c r="N6968" s="904"/>
      <c r="O6968" s="902">
        <v>4</v>
      </c>
      <c r="P6968" s="906">
        <v>38274</v>
      </c>
      <c r="Q6968" s="1415">
        <f>1.05*60*0.9</f>
        <v>56.7</v>
      </c>
      <c r="R6968" s="908">
        <f>$A6968*Q6968</f>
        <v>737.1</v>
      </c>
      <c r="S6968" s="907"/>
      <c r="T6968" s="909">
        <f>$A6968*S6968*$T$1</f>
        <v>0</v>
      </c>
      <c r="AR6968" s="903">
        <v>13</v>
      </c>
      <c r="AS6968" s="904" t="s">
        <v>3507</v>
      </c>
    </row>
    <row r="6969" spans="1:45" s="520" customFormat="1" ht="12">
      <c r="A6969" s="758"/>
      <c r="B6969" s="758"/>
      <c r="C6969" s="758"/>
      <c r="D6969" s="758"/>
      <c r="E6969" s="758"/>
      <c r="F6969" s="753"/>
      <c r="G6969" s="758"/>
      <c r="H6969" s="758"/>
      <c r="I6969" s="519"/>
      <c r="J6969" s="758"/>
      <c r="K6969" s="758"/>
      <c r="L6969" s="758"/>
      <c r="M6969" s="758"/>
      <c r="N6969" s="758"/>
      <c r="O6969" s="758"/>
      <c r="P6969" s="758"/>
      <c r="Q6969" s="519"/>
      <c r="R6969" s="759">
        <f t="shared" ref="R6969" si="568">$A6969*Q6969</f>
        <v>0</v>
      </c>
      <c r="S6969" s="519"/>
      <c r="T6969" s="760">
        <f t="shared" ref="T6969" si="569">$A6969*S6969*$T$1</f>
        <v>0</v>
      </c>
      <c r="AR6969" s="758"/>
      <c r="AS6969" s="753"/>
    </row>
    <row r="6970" spans="1:45" s="520" customFormat="1" ht="12.6" thickBot="1">
      <c r="A6970" s="761" t="s">
        <v>145</v>
      </c>
      <c r="B6970" s="762">
        <f>(R6969+T6969)</f>
        <v>0</v>
      </c>
      <c r="C6970" s="763"/>
      <c r="D6970" s="763"/>
      <c r="E6970" s="763"/>
      <c r="F6970" s="764"/>
      <c r="G6970" s="763" t="s">
        <v>146</v>
      </c>
      <c r="H6970" s="763"/>
      <c r="I6970" s="765"/>
      <c r="J6970" s="763"/>
      <c r="K6970" s="763" t="s">
        <v>5</v>
      </c>
      <c r="L6970" s="766" t="s">
        <v>143</v>
      </c>
      <c r="M6970" s="766"/>
      <c r="N6970" s="766"/>
      <c r="O6970" s="766"/>
      <c r="P6970" s="766"/>
      <c r="Q6970" s="767"/>
      <c r="R6970" s="768">
        <f>SUM(R6967:R6969)</f>
        <v>737.1</v>
      </c>
      <c r="S6970" s="763"/>
      <c r="T6970" s="768">
        <f>SUM(T6967:T6969)</f>
        <v>0</v>
      </c>
      <c r="U6970" s="531"/>
      <c r="V6970" s="531"/>
      <c r="W6970" s="531"/>
      <c r="X6970" s="531"/>
      <c r="Y6970" s="531"/>
      <c r="Z6970" s="531"/>
      <c r="AA6970" s="531"/>
      <c r="AB6970" s="531"/>
      <c r="AC6970" s="531"/>
      <c r="AD6970" s="531"/>
      <c r="AE6970" s="531"/>
      <c r="AF6970" s="531"/>
      <c r="AG6970" s="531"/>
      <c r="AH6970" s="531"/>
      <c r="AI6970" s="531"/>
      <c r="AJ6970" s="531"/>
      <c r="AK6970" s="531"/>
      <c r="AL6970" s="531"/>
      <c r="AM6970" s="531"/>
      <c r="AN6970" s="531"/>
      <c r="AO6970" s="531"/>
      <c r="AR6970" s="761" t="s">
        <v>145</v>
      </c>
      <c r="AS6970" s="764"/>
    </row>
    <row r="6971" spans="1:45" s="520" customFormat="1" thickTop="1">
      <c r="A6971" s="51"/>
      <c r="B6971" s="51"/>
      <c r="C6971" s="3"/>
      <c r="D6971" s="3"/>
      <c r="E6971" s="51"/>
      <c r="F6971" s="51"/>
      <c r="G6971" s="51"/>
      <c r="H6971" s="51"/>
      <c r="I6971" s="51"/>
      <c r="J6971" s="51"/>
      <c r="K6971" s="51" t="s">
        <v>134</v>
      </c>
      <c r="L6971" s="51"/>
      <c r="M6971" s="51"/>
      <c r="N6971" s="51"/>
      <c r="O6971" s="52"/>
      <c r="P6971" s="51"/>
      <c r="Q6971" s="51"/>
      <c r="R6971" s="51"/>
      <c r="S6971" s="51"/>
      <c r="T6971" s="51"/>
      <c r="AR6971" s="51"/>
      <c r="AS6971" s="51"/>
    </row>
    <row r="6972" spans="1:45" s="520" customFormat="1" ht="12">
      <c r="A6972" s="51"/>
      <c r="B6972" s="51"/>
      <c r="C6972" s="51" t="s">
        <v>135</v>
      </c>
      <c r="D6972" s="37"/>
      <c r="E6972" s="51"/>
      <c r="F6972" s="51"/>
      <c r="G6972" s="51"/>
      <c r="H6972" s="51"/>
      <c r="I6972" s="51"/>
      <c r="J6972" s="51"/>
      <c r="K6972" s="51"/>
      <c r="L6972" s="51"/>
      <c r="M6972" s="51"/>
      <c r="N6972" s="51"/>
      <c r="O6972" s="52"/>
      <c r="P6972" s="51"/>
      <c r="Q6972" s="51"/>
      <c r="R6972" s="51"/>
      <c r="S6972" s="51"/>
      <c r="T6972" s="51"/>
      <c r="AR6972" s="51"/>
      <c r="AS6972" s="51"/>
    </row>
    <row r="6973" spans="1:45" s="520" customFormat="1" ht="12">
      <c r="A6973" s="51"/>
      <c r="B6973" s="51"/>
      <c r="C6973" s="51"/>
      <c r="D6973" s="37" t="s">
        <v>1952</v>
      </c>
      <c r="E6973" s="51"/>
      <c r="F6973" s="51"/>
      <c r="G6973" s="51"/>
      <c r="H6973" s="51"/>
      <c r="I6973" s="51"/>
      <c r="J6973" s="51"/>
      <c r="K6973" s="51"/>
      <c r="L6973" s="51"/>
      <c r="M6973" s="51"/>
      <c r="N6973" s="51"/>
      <c r="O6973" s="52"/>
      <c r="P6973" s="51"/>
      <c r="Q6973" s="51"/>
      <c r="R6973" s="51"/>
      <c r="S6973" s="38"/>
      <c r="T6973" s="38"/>
      <c r="AR6973" s="51"/>
      <c r="AS6973" s="51"/>
    </row>
    <row r="6974" spans="1:45" s="3" customFormat="1" thickBot="1">
      <c r="A6974" s="531"/>
      <c r="O6974" s="107"/>
      <c r="AR6974" s="531"/>
    </row>
    <row r="6975" spans="1:45" s="520" customFormat="1" ht="12" thickTop="1">
      <c r="A6975" s="51"/>
      <c r="B6975" s="41"/>
      <c r="C6975" s="51"/>
      <c r="E6975" s="42" t="s">
        <v>138</v>
      </c>
      <c r="F6975" s="42" t="s">
        <v>139</v>
      </c>
      <c r="G6975" s="51"/>
      <c r="H6975" s="51"/>
      <c r="I6975" s="51"/>
      <c r="J6975" s="51"/>
      <c r="K6975" s="51" t="s">
        <v>140</v>
      </c>
      <c r="L6975" s="51"/>
      <c r="M6975" s="51"/>
      <c r="N6975" s="51"/>
      <c r="O6975" s="52"/>
      <c r="P6975" s="51"/>
      <c r="Q6975" s="51"/>
      <c r="R6975" s="51"/>
      <c r="S6975" s="51"/>
      <c r="T6975" s="41"/>
      <c r="AG6975" s="521" t="s">
        <v>268</v>
      </c>
      <c r="AH6975" s="521" t="s">
        <v>269</v>
      </c>
      <c r="AI6975" s="521" t="s">
        <v>270</v>
      </c>
      <c r="AJ6975" s="521" t="s">
        <v>271</v>
      </c>
      <c r="AK6975" s="521" t="s">
        <v>272</v>
      </c>
      <c r="AM6975" s="745" t="s">
        <v>281</v>
      </c>
      <c r="AN6975" s="746" t="s">
        <v>282</v>
      </c>
      <c r="AO6975" s="522" t="s">
        <v>278</v>
      </c>
      <c r="AR6975" s="51"/>
      <c r="AS6975" s="42" t="s">
        <v>139</v>
      </c>
    </row>
    <row r="6976" spans="1:45" s="520" customFormat="1" ht="12" customHeight="1">
      <c r="A6976" s="747">
        <v>11</v>
      </c>
      <c r="B6976" s="523" t="s">
        <v>329</v>
      </c>
      <c r="C6976" s="748"/>
      <c r="D6976" s="749" t="s">
        <v>3916</v>
      </c>
      <c r="E6976" s="1145">
        <f>IF(AND($A6976=0,$A$1="DIF"),0, ROUND(ROUND(($R6980*$S$3+($T6980*$T$3))/$A6976,2)*$C$3,2))</f>
        <v>5.08</v>
      </c>
      <c r="F6976" s="1146">
        <f>ROUND($A6976*$E6976,2)</f>
        <v>55.88</v>
      </c>
      <c r="G6976" s="752" t="s">
        <v>142</v>
      </c>
      <c r="H6976" s="753"/>
      <c r="I6976" s="754"/>
      <c r="J6976" s="753"/>
      <c r="K6976" s="753" t="s">
        <v>5</v>
      </c>
      <c r="L6976" s="755" t="s">
        <v>143</v>
      </c>
      <c r="M6976" s="755"/>
      <c r="N6976" s="755"/>
      <c r="O6976" s="755"/>
      <c r="P6976" s="755"/>
      <c r="Q6976" s="51"/>
      <c r="T6976" s="1150" t="str">
        <f>IF(AND($R6980=0,$T6980=0),"0.00","mu: "&amp; ROUND(F6976/$C$3/($R6980+$T6980*$D$9),2))</f>
        <v>mu: 1.13</v>
      </c>
      <c r="W6976" s="524"/>
      <c r="AG6976" s="1147">
        <f>IF($E6976=0,0,ROUND($R6980*$S$3*$C$3/$A6976,2))</f>
        <v>5.08</v>
      </c>
      <c r="AH6976" s="1147">
        <f>$AG6976*$A6976</f>
        <v>55.88</v>
      </c>
      <c r="AI6976" s="1148">
        <f>$E6976-$AG6976</f>
        <v>0</v>
      </c>
      <c r="AJ6976" s="1148">
        <f>$A6976*$AI6976</f>
        <v>0</v>
      </c>
      <c r="AK6976" s="1149">
        <f>ROUND(($AG6976+$AI6976)*$A6976,2)</f>
        <v>55.88</v>
      </c>
      <c r="AM6976" s="527">
        <f>ROUND(R6980,2)</f>
        <v>49.5</v>
      </c>
      <c r="AN6976" s="528">
        <f>ROUND(T6980,2)</f>
        <v>0</v>
      </c>
      <c r="AO6976" s="529">
        <f>ROUND(AM6976+AN6976,2)*A6976</f>
        <v>544.5</v>
      </c>
      <c r="AR6976" s="747">
        <v>11</v>
      </c>
      <c r="AS6976" s="1146">
        <v>58.96</v>
      </c>
    </row>
    <row r="6977" spans="1:45" s="520" customFormat="1" ht="13.2">
      <c r="A6977" s="748"/>
      <c r="B6977"/>
      <c r="C6977" s="748"/>
      <c r="D6977" s="749" t="s">
        <v>1924</v>
      </c>
      <c r="F6977" s="753"/>
      <c r="G6977" s="3"/>
      <c r="H6977" s="753"/>
      <c r="I6977" s="754"/>
      <c r="J6977" s="753"/>
      <c r="K6977" s="753" t="s">
        <v>144</v>
      </c>
      <c r="L6977" s="753"/>
      <c r="M6977" s="753"/>
      <c r="N6977" s="753"/>
      <c r="O6977" s="753"/>
      <c r="P6977" s="753"/>
      <c r="Q6977" s="51"/>
      <c r="R6977" s="530"/>
      <c r="S6977" s="757"/>
      <c r="T6977" s="753"/>
      <c r="AR6977" s="748"/>
      <c r="AS6977" s="753"/>
    </row>
    <row r="6978" spans="1:45" s="901" customFormat="1" ht="13.2">
      <c r="A6978" s="903">
        <v>11</v>
      </c>
      <c r="B6978" s="904" t="s">
        <v>863</v>
      </c>
      <c r="C6978" s="904"/>
      <c r="D6978" s="904" t="s">
        <v>2594</v>
      </c>
      <c r="E6978" s="904"/>
      <c r="F6978" s="904" t="s">
        <v>4139</v>
      </c>
      <c r="G6978" s="905" t="s">
        <v>2595</v>
      </c>
      <c r="H6978" s="902">
        <v>960</v>
      </c>
      <c r="I6978" s="904" t="s">
        <v>2596</v>
      </c>
      <c r="J6978" s="904"/>
      <c r="K6978" s="904"/>
      <c r="L6978" s="904"/>
      <c r="M6978" s="904"/>
      <c r="N6978" s="904"/>
      <c r="O6978" s="902">
        <v>4</v>
      </c>
      <c r="P6978" s="906">
        <v>38274</v>
      </c>
      <c r="Q6978" s="1415">
        <f>5*0.9</f>
        <v>4.5</v>
      </c>
      <c r="R6978" s="908">
        <f>$A6978*Q6978</f>
        <v>49.5</v>
      </c>
      <c r="S6978" s="907"/>
      <c r="T6978" s="909">
        <f>$A6978*S6978*$T$1</f>
        <v>0</v>
      </c>
      <c r="AR6978" s="903">
        <v>11</v>
      </c>
      <c r="AS6978" s="904" t="s">
        <v>3507</v>
      </c>
    </row>
    <row r="6979" spans="1:45" s="520" customFormat="1" ht="12">
      <c r="A6979" s="758"/>
      <c r="B6979" s="758"/>
      <c r="C6979" s="758"/>
      <c r="D6979" s="758"/>
      <c r="E6979" s="758"/>
      <c r="F6979" s="753"/>
      <c r="G6979" s="758"/>
      <c r="H6979" s="758"/>
      <c r="I6979" s="519"/>
      <c r="J6979" s="758"/>
      <c r="K6979" s="758"/>
      <c r="L6979" s="758"/>
      <c r="M6979" s="758"/>
      <c r="N6979" s="758"/>
      <c r="O6979" s="758"/>
      <c r="P6979" s="758"/>
      <c r="Q6979" s="519"/>
      <c r="R6979" s="759">
        <f t="shared" ref="R6979" si="570">$A6979*Q6979</f>
        <v>0</v>
      </c>
      <c r="S6979" s="519"/>
      <c r="T6979" s="760">
        <f t="shared" ref="T6979" si="571">$A6979*S6979*$T$1</f>
        <v>0</v>
      </c>
      <c r="AR6979" s="758"/>
      <c r="AS6979" s="753"/>
    </row>
    <row r="6980" spans="1:45" s="520" customFormat="1" ht="12.6" thickBot="1">
      <c r="A6980" s="761" t="s">
        <v>145</v>
      </c>
      <c r="B6980" s="762">
        <f>(R6979+T6979)</f>
        <v>0</v>
      </c>
      <c r="C6980" s="763"/>
      <c r="D6980" s="763"/>
      <c r="E6980" s="763"/>
      <c r="F6980" s="764"/>
      <c r="G6980" s="763" t="s">
        <v>146</v>
      </c>
      <c r="H6980" s="763"/>
      <c r="I6980" s="765"/>
      <c r="J6980" s="763"/>
      <c r="K6980" s="763" t="s">
        <v>5</v>
      </c>
      <c r="L6980" s="766" t="s">
        <v>143</v>
      </c>
      <c r="M6980" s="766"/>
      <c r="N6980" s="766"/>
      <c r="O6980" s="766"/>
      <c r="P6980" s="766"/>
      <c r="Q6980" s="767"/>
      <c r="R6980" s="768">
        <f>SUM(R6977:R6979)</f>
        <v>49.5</v>
      </c>
      <c r="S6980" s="763"/>
      <c r="T6980" s="768">
        <f>SUM(T6977:T6979)</f>
        <v>0</v>
      </c>
      <c r="U6980" s="531"/>
      <c r="V6980" s="531"/>
      <c r="W6980" s="531"/>
      <c r="X6980" s="531"/>
      <c r="Y6980" s="531"/>
      <c r="Z6980" s="531"/>
      <c r="AA6980" s="531"/>
      <c r="AB6980" s="531"/>
      <c r="AC6980" s="531"/>
      <c r="AD6980" s="531"/>
      <c r="AE6980" s="531"/>
      <c r="AF6980" s="531"/>
      <c r="AG6980" s="531"/>
      <c r="AH6980" s="531"/>
      <c r="AI6980" s="531"/>
      <c r="AJ6980" s="531"/>
      <c r="AK6980" s="531"/>
      <c r="AL6980" s="531"/>
      <c r="AM6980" s="531"/>
      <c r="AN6980" s="531"/>
      <c r="AO6980" s="531"/>
      <c r="AR6980" s="761" t="s">
        <v>145</v>
      </c>
      <c r="AS6980" s="764"/>
    </row>
    <row r="6981" spans="1:45" s="520" customFormat="1" ht="12" thickTop="1">
      <c r="A6981" s="51"/>
      <c r="B6981" s="41"/>
      <c r="C6981" s="51"/>
      <c r="E6981" s="42" t="s">
        <v>138</v>
      </c>
      <c r="F6981" s="42" t="s">
        <v>139</v>
      </c>
      <c r="G6981" s="51"/>
      <c r="H6981" s="51"/>
      <c r="I6981" s="51"/>
      <c r="J6981" s="51"/>
      <c r="K6981" s="51" t="s">
        <v>140</v>
      </c>
      <c r="L6981" s="51"/>
      <c r="M6981" s="51"/>
      <c r="N6981" s="51"/>
      <c r="O6981" s="52"/>
      <c r="P6981" s="51"/>
      <c r="Q6981" s="51"/>
      <c r="R6981" s="51"/>
      <c r="S6981" s="51"/>
      <c r="T6981" s="41"/>
      <c r="AG6981" s="521" t="s">
        <v>268</v>
      </c>
      <c r="AH6981" s="521" t="s">
        <v>269</v>
      </c>
      <c r="AI6981" s="521" t="s">
        <v>270</v>
      </c>
      <c r="AJ6981" s="521" t="s">
        <v>271</v>
      </c>
      <c r="AK6981" s="521" t="s">
        <v>272</v>
      </c>
      <c r="AM6981" s="745" t="s">
        <v>281</v>
      </c>
      <c r="AN6981" s="746" t="s">
        <v>282</v>
      </c>
      <c r="AO6981" s="522" t="s">
        <v>278</v>
      </c>
      <c r="AR6981" s="51"/>
      <c r="AS6981" s="42" t="s">
        <v>139</v>
      </c>
    </row>
    <row r="6982" spans="1:45" s="520" customFormat="1" ht="12" customHeight="1">
      <c r="A6982" s="747">
        <v>13</v>
      </c>
      <c r="B6982" s="523" t="s">
        <v>329</v>
      </c>
      <c r="C6982" s="748"/>
      <c r="D6982" s="749" t="s">
        <v>3917</v>
      </c>
      <c r="E6982" s="1145">
        <f>IF(AND($A6982=0,$A$1="DIF"),0, ROUND(ROUND(($R6986*$S$3+($T6986*$T$3))/$A6982,2)*$C$3,2))</f>
        <v>16.25</v>
      </c>
      <c r="F6982" s="1146">
        <f>ROUND($A6982*$E6982,2)</f>
        <v>211.25</v>
      </c>
      <c r="G6982" s="752" t="s">
        <v>142</v>
      </c>
      <c r="H6982" s="753"/>
      <c r="I6982" s="754"/>
      <c r="J6982" s="753"/>
      <c r="K6982" s="753" t="s">
        <v>5</v>
      </c>
      <c r="L6982" s="755" t="s">
        <v>143</v>
      </c>
      <c r="M6982" s="755"/>
      <c r="N6982" s="755"/>
      <c r="O6982" s="755"/>
      <c r="P6982" s="755"/>
      <c r="Q6982" s="51"/>
      <c r="T6982" s="1150" t="str">
        <f>IF(AND($R6986=0,$T6986=0),"0.00","mu: "&amp; ROUND(F6982/$C$3/($R6986+$T6986*$D$9),2))</f>
        <v>mu: 1.13</v>
      </c>
      <c r="W6982" s="524"/>
      <c r="AG6982" s="1147">
        <f>IF($E6982=0,0,ROUND($R6986*$S$3*$C$3/$A6982,2))</f>
        <v>16.25</v>
      </c>
      <c r="AH6982" s="1147">
        <f>$AG6982*$A6982</f>
        <v>211.25</v>
      </c>
      <c r="AI6982" s="1148">
        <f>$E6982-$AG6982</f>
        <v>0</v>
      </c>
      <c r="AJ6982" s="1148">
        <f>$A6982*$AI6982</f>
        <v>0</v>
      </c>
      <c r="AK6982" s="1149">
        <f>ROUND(($AG6982+$AI6982)*$A6982,2)</f>
        <v>211.25</v>
      </c>
      <c r="AM6982" s="527">
        <f>ROUND(R6986,2)</f>
        <v>187.2</v>
      </c>
      <c r="AN6982" s="528">
        <f>ROUND(T6986,2)</f>
        <v>0</v>
      </c>
      <c r="AO6982" s="529">
        <f>ROUND(AM6982+AN6982,2)*A6982</f>
        <v>2433.6</v>
      </c>
      <c r="AR6982" s="747">
        <v>13</v>
      </c>
      <c r="AS6982" s="1146">
        <v>223.08</v>
      </c>
    </row>
    <row r="6983" spans="1:45" s="520" customFormat="1" ht="13.2">
      <c r="A6983" s="748"/>
      <c r="B6983"/>
      <c r="C6983" s="748"/>
      <c r="D6983" s="749" t="s">
        <v>1958</v>
      </c>
      <c r="F6983" s="753"/>
      <c r="G6983" s="3"/>
      <c r="H6983" s="753"/>
      <c r="I6983" s="754"/>
      <c r="J6983" s="753"/>
      <c r="K6983" s="753" t="s">
        <v>144</v>
      </c>
      <c r="L6983" s="753"/>
      <c r="M6983" s="753"/>
      <c r="N6983" s="753"/>
      <c r="O6983" s="753"/>
      <c r="P6983" s="753"/>
      <c r="Q6983" s="51"/>
      <c r="R6983" s="530"/>
      <c r="S6983" s="757"/>
      <c r="T6983" s="753"/>
      <c r="AR6983" s="748"/>
      <c r="AS6983" s="753"/>
    </row>
    <row r="6984" spans="1:45" s="901" customFormat="1" ht="13.2">
      <c r="A6984" s="903">
        <v>13</v>
      </c>
      <c r="B6984" s="904" t="s">
        <v>863</v>
      </c>
      <c r="C6984" s="904"/>
      <c r="D6984" s="904" t="s">
        <v>2594</v>
      </c>
      <c r="E6984" s="904"/>
      <c r="F6984" s="904" t="s">
        <v>4139</v>
      </c>
      <c r="G6984" s="905" t="s">
        <v>2595</v>
      </c>
      <c r="H6984" s="902">
        <v>960</v>
      </c>
      <c r="I6984" s="904" t="s">
        <v>2596</v>
      </c>
      <c r="J6984" s="904"/>
      <c r="K6984" s="904"/>
      <c r="L6984" s="904"/>
      <c r="M6984" s="904"/>
      <c r="N6984" s="904"/>
      <c r="O6984" s="902">
        <v>4</v>
      </c>
      <c r="P6984" s="906">
        <v>38274</v>
      </c>
      <c r="Q6984" s="1415">
        <f>16*0.9</f>
        <v>14.4</v>
      </c>
      <c r="R6984" s="908">
        <f>$A6984*Q6984</f>
        <v>187.20000000000002</v>
      </c>
      <c r="S6984" s="907"/>
      <c r="T6984" s="909">
        <f>$A6984*S6984*$T$1</f>
        <v>0</v>
      </c>
      <c r="AR6984" s="903">
        <v>13</v>
      </c>
      <c r="AS6984" s="904" t="s">
        <v>3507</v>
      </c>
    </row>
    <row r="6985" spans="1:45" s="520" customFormat="1" ht="12">
      <c r="A6985" s="758"/>
      <c r="B6985" s="758"/>
      <c r="C6985" s="758"/>
      <c r="D6985" s="758"/>
      <c r="E6985" s="758"/>
      <c r="F6985" s="753"/>
      <c r="G6985" s="758"/>
      <c r="H6985" s="758"/>
      <c r="I6985" s="519"/>
      <c r="J6985" s="758"/>
      <c r="K6985" s="758"/>
      <c r="L6985" s="758"/>
      <c r="M6985" s="758"/>
      <c r="N6985" s="758"/>
      <c r="O6985" s="758"/>
      <c r="P6985" s="758"/>
      <c r="Q6985" s="519"/>
      <c r="R6985" s="759">
        <f t="shared" ref="R6985" si="572">$A6985*Q6985</f>
        <v>0</v>
      </c>
      <c r="S6985" s="519"/>
      <c r="T6985" s="760">
        <f t="shared" ref="T6985" si="573">$A6985*S6985*$T$1</f>
        <v>0</v>
      </c>
      <c r="AR6985" s="758"/>
      <c r="AS6985" s="753"/>
    </row>
    <row r="6986" spans="1:45" s="520" customFormat="1" ht="12.6" thickBot="1">
      <c r="A6986" s="761" t="s">
        <v>145</v>
      </c>
      <c r="B6986" s="762">
        <f>(R6985+T6985)</f>
        <v>0</v>
      </c>
      <c r="C6986" s="763"/>
      <c r="D6986" s="763"/>
      <c r="E6986" s="763"/>
      <c r="F6986" s="764"/>
      <c r="G6986" s="763" t="s">
        <v>146</v>
      </c>
      <c r="H6986" s="763"/>
      <c r="I6986" s="765"/>
      <c r="J6986" s="763"/>
      <c r="K6986" s="763" t="s">
        <v>5</v>
      </c>
      <c r="L6986" s="766" t="s">
        <v>143</v>
      </c>
      <c r="M6986" s="766"/>
      <c r="N6986" s="766"/>
      <c r="O6986" s="766"/>
      <c r="P6986" s="766"/>
      <c r="Q6986" s="767"/>
      <c r="R6986" s="768">
        <f>SUM(R6983:R6985)</f>
        <v>187.20000000000002</v>
      </c>
      <c r="S6986" s="763"/>
      <c r="T6986" s="768">
        <f>SUM(T6983:T6985)</f>
        <v>0</v>
      </c>
      <c r="U6986" s="531"/>
      <c r="V6986" s="531"/>
      <c r="W6986" s="531"/>
      <c r="X6986" s="531"/>
      <c r="Y6986" s="531"/>
      <c r="Z6986" s="531"/>
      <c r="AA6986" s="531"/>
      <c r="AB6986" s="531"/>
      <c r="AC6986" s="531"/>
      <c r="AD6986" s="531"/>
      <c r="AE6986" s="531"/>
      <c r="AF6986" s="531"/>
      <c r="AG6986" s="531"/>
      <c r="AH6986" s="531"/>
      <c r="AI6986" s="531"/>
      <c r="AJ6986" s="531"/>
      <c r="AK6986" s="531"/>
      <c r="AL6986" s="531"/>
      <c r="AM6986" s="531"/>
      <c r="AN6986" s="531"/>
      <c r="AO6986" s="531"/>
      <c r="AR6986" s="761" t="s">
        <v>145</v>
      </c>
      <c r="AS6986" s="764"/>
    </row>
    <row r="6987" spans="1:45" s="520" customFormat="1" ht="12" thickTop="1">
      <c r="A6987" s="51"/>
      <c r="B6987" s="41"/>
      <c r="C6987" s="51"/>
      <c r="E6987" s="42" t="s">
        <v>138</v>
      </c>
      <c r="F6987" s="42" t="s">
        <v>139</v>
      </c>
      <c r="G6987" s="51"/>
      <c r="H6987" s="51"/>
      <c r="I6987" s="51"/>
      <c r="J6987" s="51"/>
      <c r="K6987" s="51" t="s">
        <v>140</v>
      </c>
      <c r="L6987" s="51"/>
      <c r="M6987" s="51"/>
      <c r="N6987" s="51"/>
      <c r="O6987" s="52"/>
      <c r="P6987" s="51"/>
      <c r="Q6987" s="51"/>
      <c r="R6987" s="51"/>
      <c r="S6987" s="51"/>
      <c r="T6987" s="41"/>
      <c r="AG6987" s="521" t="s">
        <v>268</v>
      </c>
      <c r="AH6987" s="521" t="s">
        <v>269</v>
      </c>
      <c r="AI6987" s="521" t="s">
        <v>270</v>
      </c>
      <c r="AJ6987" s="521" t="s">
        <v>271</v>
      </c>
      <c r="AK6987" s="521" t="s">
        <v>272</v>
      </c>
      <c r="AM6987" s="745" t="s">
        <v>281</v>
      </c>
      <c r="AN6987" s="746" t="s">
        <v>282</v>
      </c>
      <c r="AO6987" s="522" t="s">
        <v>278</v>
      </c>
      <c r="AR6987" s="51"/>
      <c r="AS6987" s="42" t="s">
        <v>139</v>
      </c>
    </row>
    <row r="6988" spans="1:45" s="520" customFormat="1" ht="12" customHeight="1">
      <c r="A6988" s="747">
        <v>63</v>
      </c>
      <c r="B6988" s="523" t="s">
        <v>957</v>
      </c>
      <c r="C6988" s="748"/>
      <c r="D6988" s="749" t="s">
        <v>3918</v>
      </c>
      <c r="E6988" s="1145">
        <f>IF(AND($A6988=0,$A$1="DIF"),0, ROUND(ROUND(($R6992*$S$3+($T6992*$T$3))/$A6988,2)*$C$3,2))</f>
        <v>9.14</v>
      </c>
      <c r="F6988" s="1146">
        <f>ROUND($A6988*$E6988,2)</f>
        <v>575.82000000000005</v>
      </c>
      <c r="G6988" s="752" t="s">
        <v>142</v>
      </c>
      <c r="H6988" s="753"/>
      <c r="I6988" s="754"/>
      <c r="J6988" s="753"/>
      <c r="K6988" s="753" t="s">
        <v>5</v>
      </c>
      <c r="L6988" s="755" t="s">
        <v>143</v>
      </c>
      <c r="M6988" s="755"/>
      <c r="N6988" s="755"/>
      <c r="O6988" s="755"/>
      <c r="P6988" s="755"/>
      <c r="Q6988" s="51"/>
      <c r="T6988" s="1150" t="str">
        <f>IF(AND($R6992=0,$T6992=0),"0.00","mu: "&amp; ROUND(F6988/$C$3/($R6992+$T6992*$D$9),2))</f>
        <v>mu: 1.13</v>
      </c>
      <c r="W6988" s="524"/>
      <c r="AG6988" s="1147">
        <f>IF($E6988=0,0,ROUND($R6992*$S$3*$C$3/$A6988,2))</f>
        <v>9.14</v>
      </c>
      <c r="AH6988" s="1147">
        <f>$AG6988*$A6988</f>
        <v>575.82000000000005</v>
      </c>
      <c r="AI6988" s="1148">
        <f>$E6988-$AG6988</f>
        <v>0</v>
      </c>
      <c r="AJ6988" s="1148">
        <f>$A6988*$AI6988</f>
        <v>0</v>
      </c>
      <c r="AK6988" s="1149">
        <f>ROUND(($AG6988+$AI6988)*$A6988,2)</f>
        <v>575.82000000000005</v>
      </c>
      <c r="AM6988" s="527">
        <f>ROUND(R6992,2)</f>
        <v>510.3</v>
      </c>
      <c r="AN6988" s="528">
        <f>ROUND(T6992,2)</f>
        <v>0</v>
      </c>
      <c r="AO6988" s="529">
        <f>ROUND(AM6988+AN6988,2)*A6988</f>
        <v>32148.9</v>
      </c>
      <c r="AR6988" s="747">
        <v>63</v>
      </c>
      <c r="AS6988" s="1146">
        <v>607.95000000000005</v>
      </c>
    </row>
    <row r="6989" spans="1:45" s="520" customFormat="1" ht="13.2">
      <c r="A6989" s="748"/>
      <c r="B6989"/>
      <c r="C6989" s="748"/>
      <c r="D6989" s="749" t="s">
        <v>1928</v>
      </c>
      <c r="F6989" s="753"/>
      <c r="G6989" s="3"/>
      <c r="H6989" s="753"/>
      <c r="I6989" s="754"/>
      <c r="J6989" s="753"/>
      <c r="K6989" s="753" t="s">
        <v>144</v>
      </c>
      <c r="L6989" s="753"/>
      <c r="M6989" s="753"/>
      <c r="N6989" s="753"/>
      <c r="O6989" s="753"/>
      <c r="P6989" s="753"/>
      <c r="Q6989" s="51"/>
      <c r="R6989" s="530"/>
      <c r="S6989" s="757"/>
      <c r="T6989" s="753"/>
      <c r="AR6989" s="748"/>
      <c r="AS6989" s="753"/>
    </row>
    <row r="6990" spans="1:45" s="901" customFormat="1" ht="13.2">
      <c r="A6990" s="903">
        <v>63</v>
      </c>
      <c r="B6990" s="904" t="s">
        <v>863</v>
      </c>
      <c r="C6990" s="904"/>
      <c r="D6990" s="904" t="s">
        <v>2594</v>
      </c>
      <c r="E6990" s="904"/>
      <c r="F6990" s="904" t="s">
        <v>4139</v>
      </c>
      <c r="G6990" s="905" t="s">
        <v>2595</v>
      </c>
      <c r="H6990" s="902">
        <v>960</v>
      </c>
      <c r="I6990" s="904" t="s">
        <v>2596</v>
      </c>
      <c r="J6990" s="904"/>
      <c r="K6990" s="904"/>
      <c r="L6990" s="904"/>
      <c r="M6990" s="904"/>
      <c r="N6990" s="904"/>
      <c r="O6990" s="902">
        <v>4</v>
      </c>
      <c r="P6990" s="906">
        <v>38274</v>
      </c>
      <c r="Q6990" s="1415">
        <f>9*0.9</f>
        <v>8.1</v>
      </c>
      <c r="R6990" s="908">
        <f>$A6990*Q6990</f>
        <v>510.29999999999995</v>
      </c>
      <c r="S6990" s="907"/>
      <c r="T6990" s="909">
        <f>$A6990*S6990*$T$1</f>
        <v>0</v>
      </c>
      <c r="AR6990" s="903">
        <v>63</v>
      </c>
      <c r="AS6990" s="904" t="s">
        <v>3507</v>
      </c>
    </row>
    <row r="6991" spans="1:45" s="520" customFormat="1" ht="12">
      <c r="A6991" s="758"/>
      <c r="B6991" s="758"/>
      <c r="C6991" s="758"/>
      <c r="D6991" s="758"/>
      <c r="E6991" s="758"/>
      <c r="F6991" s="753"/>
      <c r="G6991" s="758"/>
      <c r="H6991" s="758"/>
      <c r="I6991" s="519"/>
      <c r="J6991" s="758"/>
      <c r="K6991" s="758"/>
      <c r="L6991" s="758"/>
      <c r="M6991" s="758"/>
      <c r="N6991" s="758"/>
      <c r="O6991" s="758"/>
      <c r="P6991" s="758"/>
      <c r="Q6991" s="519"/>
      <c r="R6991" s="759">
        <f t="shared" ref="R6991" si="574">$A6991*Q6991</f>
        <v>0</v>
      </c>
      <c r="S6991" s="519"/>
      <c r="T6991" s="760">
        <f t="shared" ref="T6991" si="575">$A6991*S6991*$T$1</f>
        <v>0</v>
      </c>
      <c r="AR6991" s="758"/>
      <c r="AS6991" s="753"/>
    </row>
    <row r="6992" spans="1:45" s="520" customFormat="1" ht="12.6" thickBot="1">
      <c r="A6992" s="761" t="s">
        <v>145</v>
      </c>
      <c r="B6992" s="762">
        <f>(R6991+T6991)</f>
        <v>0</v>
      </c>
      <c r="C6992" s="763"/>
      <c r="D6992" s="763"/>
      <c r="E6992" s="763"/>
      <c r="F6992" s="764"/>
      <c r="G6992" s="763" t="s">
        <v>146</v>
      </c>
      <c r="H6992" s="763"/>
      <c r="I6992" s="765"/>
      <c r="J6992" s="763"/>
      <c r="K6992" s="763" t="s">
        <v>5</v>
      </c>
      <c r="L6992" s="766" t="s">
        <v>143</v>
      </c>
      <c r="M6992" s="766"/>
      <c r="N6992" s="766"/>
      <c r="O6992" s="766"/>
      <c r="P6992" s="766"/>
      <c r="Q6992" s="767"/>
      <c r="R6992" s="768">
        <f>SUM(R6989:R6991)</f>
        <v>510.29999999999995</v>
      </c>
      <c r="S6992" s="763"/>
      <c r="T6992" s="768">
        <f>SUM(T6989:T6991)</f>
        <v>0</v>
      </c>
      <c r="U6992" s="531"/>
      <c r="V6992" s="531"/>
      <c r="W6992" s="531"/>
      <c r="X6992" s="531"/>
      <c r="Y6992" s="531"/>
      <c r="Z6992" s="531"/>
      <c r="AA6992" s="531"/>
      <c r="AB6992" s="531"/>
      <c r="AC6992" s="531"/>
      <c r="AD6992" s="531"/>
      <c r="AE6992" s="531"/>
      <c r="AF6992" s="531"/>
      <c r="AG6992" s="531"/>
      <c r="AH6992" s="531"/>
      <c r="AI6992" s="531"/>
      <c r="AJ6992" s="531"/>
      <c r="AK6992" s="531"/>
      <c r="AL6992" s="531"/>
      <c r="AM6992" s="531"/>
      <c r="AN6992" s="531"/>
      <c r="AO6992" s="531"/>
      <c r="AR6992" s="761" t="s">
        <v>145</v>
      </c>
      <c r="AS6992" s="764"/>
    </row>
    <row r="6993" spans="1:45" s="520" customFormat="1" ht="12" thickTop="1">
      <c r="A6993" s="51"/>
      <c r="B6993" s="41"/>
      <c r="C6993" s="51"/>
      <c r="E6993" s="42" t="s">
        <v>138</v>
      </c>
      <c r="F6993" s="42" t="s">
        <v>139</v>
      </c>
      <c r="G6993" s="51"/>
      <c r="H6993" s="51"/>
      <c r="I6993" s="51"/>
      <c r="J6993" s="51"/>
      <c r="K6993" s="51" t="s">
        <v>140</v>
      </c>
      <c r="L6993" s="51"/>
      <c r="M6993" s="51"/>
      <c r="N6993" s="51"/>
      <c r="O6993" s="52"/>
      <c r="P6993" s="51"/>
      <c r="Q6993" s="51"/>
      <c r="R6993" s="51"/>
      <c r="S6993" s="51"/>
      <c r="T6993" s="41"/>
      <c r="AG6993" s="521" t="s">
        <v>268</v>
      </c>
      <c r="AH6993" s="521" t="s">
        <v>269</v>
      </c>
      <c r="AI6993" s="521" t="s">
        <v>270</v>
      </c>
      <c r="AJ6993" s="521" t="s">
        <v>271</v>
      </c>
      <c r="AK6993" s="521" t="s">
        <v>272</v>
      </c>
      <c r="AM6993" s="745" t="s">
        <v>281</v>
      </c>
      <c r="AN6993" s="746" t="s">
        <v>282</v>
      </c>
      <c r="AO6993" s="522" t="s">
        <v>278</v>
      </c>
      <c r="AR6993" s="51"/>
      <c r="AS6993" s="42" t="s">
        <v>139</v>
      </c>
    </row>
    <row r="6994" spans="1:45" s="520" customFormat="1" ht="12" customHeight="1">
      <c r="A6994" s="747">
        <v>63</v>
      </c>
      <c r="B6994" s="523" t="s">
        <v>957</v>
      </c>
      <c r="C6994" s="748"/>
      <c r="D6994" s="749" t="s">
        <v>3919</v>
      </c>
      <c r="E6994" s="1145">
        <f>IF(AND($A6994=0,$A$1="DIF"),0, ROUND(ROUND(($R6998*$S$3+($T6998*$T$3))/$A6994,2)*$C$3,2))</f>
        <v>3.05</v>
      </c>
      <c r="F6994" s="1146">
        <f>ROUND($A6994*$E6994,2)</f>
        <v>192.15</v>
      </c>
      <c r="G6994" s="752" t="s">
        <v>142</v>
      </c>
      <c r="H6994" s="753"/>
      <c r="I6994" s="754"/>
      <c r="J6994" s="753"/>
      <c r="K6994" s="753" t="s">
        <v>5</v>
      </c>
      <c r="L6994" s="755" t="s">
        <v>143</v>
      </c>
      <c r="M6994" s="755"/>
      <c r="N6994" s="755"/>
      <c r="O6994" s="755"/>
      <c r="P6994" s="755"/>
      <c r="Q6994" s="51"/>
      <c r="T6994" s="1150" t="str">
        <f>IF(AND($R6998=0,$T6998=0),"0.00","mu: "&amp; ROUND(F6994/$C$3/($R6998+$T6998*$D$9),2))</f>
        <v>mu: 1.13</v>
      </c>
      <c r="W6994" s="524"/>
      <c r="AG6994" s="1147">
        <f>IF($E6994=0,0,ROUND($R6998*$S$3*$C$3/$A6994,2))</f>
        <v>3.05</v>
      </c>
      <c r="AH6994" s="1147">
        <f>$AG6994*$A6994</f>
        <v>192.14999999999998</v>
      </c>
      <c r="AI6994" s="1148">
        <f>$E6994-$AG6994</f>
        <v>0</v>
      </c>
      <c r="AJ6994" s="1148">
        <f>$A6994*$AI6994</f>
        <v>0</v>
      </c>
      <c r="AK6994" s="1149">
        <f>ROUND(($AG6994+$AI6994)*$A6994,2)</f>
        <v>192.15</v>
      </c>
      <c r="AM6994" s="527">
        <f>ROUND(R6998,2)</f>
        <v>170.1</v>
      </c>
      <c r="AN6994" s="528">
        <f>ROUND(T6998,2)</f>
        <v>0</v>
      </c>
      <c r="AO6994" s="529">
        <f>ROUND(AM6994+AN6994,2)*A6994</f>
        <v>10716.3</v>
      </c>
      <c r="AR6994" s="747">
        <v>63</v>
      </c>
      <c r="AS6994" s="1146">
        <v>202.86</v>
      </c>
    </row>
    <row r="6995" spans="1:45" s="520" customFormat="1" ht="13.2">
      <c r="A6995" s="748"/>
      <c r="B6995"/>
      <c r="C6995" s="748"/>
      <c r="D6995" s="749" t="s">
        <v>958</v>
      </c>
      <c r="F6995" s="753"/>
      <c r="G6995" s="3"/>
      <c r="H6995" s="753"/>
      <c r="I6995" s="754"/>
      <c r="J6995" s="753"/>
      <c r="K6995" s="753" t="s">
        <v>144</v>
      </c>
      <c r="L6995" s="753"/>
      <c r="M6995" s="753"/>
      <c r="N6995" s="753"/>
      <c r="O6995" s="753"/>
      <c r="P6995" s="753"/>
      <c r="Q6995" s="51"/>
      <c r="R6995" s="530"/>
      <c r="S6995" s="757"/>
      <c r="T6995" s="753"/>
      <c r="AR6995" s="748"/>
      <c r="AS6995" s="753"/>
    </row>
    <row r="6996" spans="1:45" s="901" customFormat="1" ht="13.2">
      <c r="A6996" s="903">
        <v>63</v>
      </c>
      <c r="B6996" s="904" t="s">
        <v>863</v>
      </c>
      <c r="C6996" s="904"/>
      <c r="D6996" s="904" t="s">
        <v>2594</v>
      </c>
      <c r="E6996" s="904"/>
      <c r="F6996" s="904" t="s">
        <v>4139</v>
      </c>
      <c r="G6996" s="905" t="s">
        <v>2595</v>
      </c>
      <c r="H6996" s="902">
        <v>960</v>
      </c>
      <c r="I6996" s="904" t="s">
        <v>2596</v>
      </c>
      <c r="J6996" s="904"/>
      <c r="K6996" s="904"/>
      <c r="L6996" s="904"/>
      <c r="M6996" s="904"/>
      <c r="N6996" s="904"/>
      <c r="O6996" s="902">
        <v>4</v>
      </c>
      <c r="P6996" s="906">
        <v>38274</v>
      </c>
      <c r="Q6996" s="1415">
        <f>3*0.9</f>
        <v>2.7</v>
      </c>
      <c r="R6996" s="908">
        <f>$A6996*Q6996</f>
        <v>170.10000000000002</v>
      </c>
      <c r="S6996" s="907"/>
      <c r="T6996" s="909">
        <f>$A6996*S6996*$T$1</f>
        <v>0</v>
      </c>
      <c r="AR6996" s="903">
        <v>63</v>
      </c>
      <c r="AS6996" s="904" t="s">
        <v>3507</v>
      </c>
    </row>
    <row r="6997" spans="1:45" s="520" customFormat="1" ht="12">
      <c r="A6997" s="758"/>
      <c r="B6997" s="758"/>
      <c r="C6997" s="758"/>
      <c r="D6997" s="758"/>
      <c r="E6997" s="758"/>
      <c r="F6997" s="753"/>
      <c r="G6997" s="758"/>
      <c r="H6997" s="758"/>
      <c r="I6997" s="519"/>
      <c r="J6997" s="758"/>
      <c r="K6997" s="758"/>
      <c r="L6997" s="758"/>
      <c r="M6997" s="758"/>
      <c r="N6997" s="758"/>
      <c r="O6997" s="758"/>
      <c r="P6997" s="758"/>
      <c r="Q6997" s="519"/>
      <c r="R6997" s="759">
        <f t="shared" ref="R6997" si="576">$A6997*Q6997</f>
        <v>0</v>
      </c>
      <c r="S6997" s="519"/>
      <c r="T6997" s="760">
        <f t="shared" ref="T6997" si="577">$A6997*S6997*$T$1</f>
        <v>0</v>
      </c>
      <c r="AR6997" s="758"/>
      <c r="AS6997" s="753"/>
    </row>
    <row r="6998" spans="1:45" s="520" customFormat="1" ht="12.6" thickBot="1">
      <c r="A6998" s="761" t="s">
        <v>145</v>
      </c>
      <c r="B6998" s="762">
        <f>(R6997+T6997)</f>
        <v>0</v>
      </c>
      <c r="C6998" s="763"/>
      <c r="D6998" s="763"/>
      <c r="E6998" s="763"/>
      <c r="F6998" s="764"/>
      <c r="G6998" s="763" t="s">
        <v>146</v>
      </c>
      <c r="H6998" s="763"/>
      <c r="I6998" s="765"/>
      <c r="J6998" s="763"/>
      <c r="K6998" s="763" t="s">
        <v>5</v>
      </c>
      <c r="L6998" s="766" t="s">
        <v>143</v>
      </c>
      <c r="M6998" s="766"/>
      <c r="N6998" s="766"/>
      <c r="O6998" s="766"/>
      <c r="P6998" s="766"/>
      <c r="Q6998" s="767"/>
      <c r="R6998" s="768">
        <f>SUM(R6995:R6997)</f>
        <v>170.10000000000002</v>
      </c>
      <c r="S6998" s="763"/>
      <c r="T6998" s="768">
        <f>SUM(T6995:T6997)</f>
        <v>0</v>
      </c>
      <c r="U6998" s="531"/>
      <c r="V6998" s="531"/>
      <c r="W6998" s="531"/>
      <c r="X6998" s="531"/>
      <c r="Y6998" s="531"/>
      <c r="Z6998" s="531"/>
      <c r="AA6998" s="531"/>
      <c r="AB6998" s="531"/>
      <c r="AC6998" s="531"/>
      <c r="AD6998" s="531"/>
      <c r="AE6998" s="531"/>
      <c r="AF6998" s="531"/>
      <c r="AG6998" s="531"/>
      <c r="AH6998" s="531"/>
      <c r="AI6998" s="531"/>
      <c r="AJ6998" s="531"/>
      <c r="AK6998" s="531"/>
      <c r="AL6998" s="531"/>
      <c r="AM6998" s="531"/>
      <c r="AN6998" s="531"/>
      <c r="AO6998" s="531"/>
      <c r="AR6998" s="761" t="s">
        <v>145</v>
      </c>
      <c r="AS6998" s="764"/>
    </row>
    <row r="6999" spans="1:45" s="520" customFormat="1" thickTop="1">
      <c r="A6999" s="51"/>
      <c r="B6999" s="51"/>
      <c r="C6999" s="3"/>
      <c r="D6999" s="3"/>
      <c r="E6999" s="51"/>
      <c r="F6999" s="51"/>
      <c r="G6999" s="51"/>
      <c r="H6999" s="51"/>
      <c r="I6999" s="51"/>
      <c r="J6999" s="51"/>
      <c r="K6999" s="51" t="s">
        <v>134</v>
      </c>
      <c r="L6999" s="51"/>
      <c r="M6999" s="51"/>
      <c r="N6999" s="51"/>
      <c r="O6999" s="52"/>
      <c r="P6999" s="51"/>
      <c r="Q6999" s="51"/>
      <c r="R6999" s="51"/>
      <c r="S6999" s="51"/>
      <c r="T6999" s="51"/>
      <c r="AR6999" s="51"/>
      <c r="AS6999" s="51"/>
    </row>
    <row r="7000" spans="1:45" s="520" customFormat="1" ht="12">
      <c r="A7000" s="51"/>
      <c r="B7000" s="51"/>
      <c r="C7000" s="51" t="s">
        <v>135</v>
      </c>
      <c r="D7000" s="37"/>
      <c r="E7000" s="51"/>
      <c r="F7000" s="51"/>
      <c r="G7000" s="51"/>
      <c r="H7000" s="51"/>
      <c r="I7000" s="51"/>
      <c r="J7000" s="51"/>
      <c r="K7000" s="51"/>
      <c r="L7000" s="51"/>
      <c r="M7000" s="51"/>
      <c r="N7000" s="51"/>
      <c r="O7000" s="52"/>
      <c r="P7000" s="51"/>
      <c r="Q7000" s="51"/>
      <c r="R7000" s="51"/>
      <c r="S7000" s="51"/>
      <c r="T7000" s="51"/>
      <c r="AR7000" s="51"/>
      <c r="AS7000" s="51"/>
    </row>
    <row r="7001" spans="1:45" s="520" customFormat="1" ht="12">
      <c r="A7001" s="51"/>
      <c r="B7001" s="51"/>
      <c r="C7001" s="51"/>
      <c r="D7001" s="37" t="s">
        <v>980</v>
      </c>
      <c r="E7001" s="51"/>
      <c r="F7001" s="51"/>
      <c r="G7001" s="51"/>
      <c r="H7001" s="51"/>
      <c r="I7001" s="51"/>
      <c r="J7001" s="51"/>
      <c r="K7001" s="51"/>
      <c r="L7001" s="51"/>
      <c r="M7001" s="51"/>
      <c r="N7001" s="51"/>
      <c r="O7001" s="52"/>
      <c r="P7001" s="51"/>
      <c r="Q7001" s="51"/>
      <c r="R7001" s="51"/>
      <c r="S7001" s="38"/>
      <c r="T7001" s="38"/>
      <c r="AR7001" s="51"/>
      <c r="AS7001" s="51"/>
    </row>
    <row r="7002" spans="1:45" s="3" customFormat="1" thickBot="1">
      <c r="A7002" s="531"/>
      <c r="O7002" s="107"/>
      <c r="AR7002" s="531"/>
    </row>
    <row r="7003" spans="1:45" s="520" customFormat="1" ht="12" thickTop="1">
      <c r="A7003" s="51"/>
      <c r="B7003" s="41"/>
      <c r="C7003" s="51"/>
      <c r="E7003" s="42" t="s">
        <v>138</v>
      </c>
      <c r="F7003" s="42" t="s">
        <v>139</v>
      </c>
      <c r="G7003" s="51"/>
      <c r="H7003" s="51"/>
      <c r="I7003" s="51"/>
      <c r="J7003" s="51"/>
      <c r="K7003" s="51" t="s">
        <v>140</v>
      </c>
      <c r="L7003" s="51"/>
      <c r="M7003" s="51"/>
      <c r="N7003" s="51"/>
      <c r="O7003" s="52"/>
      <c r="P7003" s="51"/>
      <c r="Q7003" s="51"/>
      <c r="R7003" s="51"/>
      <c r="S7003" s="51"/>
      <c r="T7003" s="41"/>
      <c r="AG7003" s="521" t="s">
        <v>268</v>
      </c>
      <c r="AH7003" s="521" t="s">
        <v>269</v>
      </c>
      <c r="AI7003" s="521" t="s">
        <v>270</v>
      </c>
      <c r="AJ7003" s="521" t="s">
        <v>271</v>
      </c>
      <c r="AK7003" s="521" t="s">
        <v>272</v>
      </c>
      <c r="AM7003" s="745" t="s">
        <v>281</v>
      </c>
      <c r="AN7003" s="746" t="s">
        <v>282</v>
      </c>
      <c r="AO7003" s="522" t="s">
        <v>278</v>
      </c>
      <c r="AR7003" s="51"/>
      <c r="AS7003" s="42" t="s">
        <v>139</v>
      </c>
    </row>
    <row r="7004" spans="1:45" s="520" customFormat="1" ht="12" customHeight="1">
      <c r="A7004" s="747">
        <v>1</v>
      </c>
      <c r="B7004" s="523" t="s">
        <v>329</v>
      </c>
      <c r="C7004" s="748"/>
      <c r="D7004" s="749" t="s">
        <v>3920</v>
      </c>
      <c r="E7004" s="1145">
        <f>IF(AND($A7004=0,$A$1="DIF"),0, ROUND(ROUND(($R7008*$S$3+($T7008*$T$3))/$A7004,2)*$C$3,2))</f>
        <v>909.19</v>
      </c>
      <c r="F7004" s="1146">
        <f>ROUND($A7004*$E7004,2)</f>
        <v>909.19</v>
      </c>
      <c r="G7004" s="752" t="s">
        <v>142</v>
      </c>
      <c r="H7004" s="753"/>
      <c r="I7004" s="754"/>
      <c r="J7004" s="753"/>
      <c r="K7004" s="753" t="s">
        <v>5</v>
      </c>
      <c r="L7004" s="755" t="s">
        <v>143</v>
      </c>
      <c r="M7004" s="755"/>
      <c r="N7004" s="755"/>
      <c r="O7004" s="755"/>
      <c r="P7004" s="755"/>
      <c r="Q7004" s="51"/>
      <c r="T7004" s="1150" t="str">
        <f>IF(AND($R7008=0,$T7008=0),"0.00","mu: "&amp; ROUND(F7004/$C$3/($R7008+$T7008*$D$9),2))</f>
        <v>mu: 1.13</v>
      </c>
      <c r="W7004" s="524"/>
      <c r="AG7004" s="1147">
        <f>IF($E7004=0,0,ROUND($R7008*$S$3*$C$3/$A7004,2))</f>
        <v>909.19</v>
      </c>
      <c r="AH7004" s="1147">
        <f>$AG7004*$A7004</f>
        <v>909.19</v>
      </c>
      <c r="AI7004" s="1148">
        <f>$E7004-$AG7004</f>
        <v>0</v>
      </c>
      <c r="AJ7004" s="1148">
        <f>$A7004*$AI7004</f>
        <v>0</v>
      </c>
      <c r="AK7004" s="1149">
        <f>ROUND(($AG7004+$AI7004)*$A7004,2)</f>
        <v>909.19</v>
      </c>
      <c r="AM7004" s="527">
        <f>ROUND(R7008,2)</f>
        <v>805.5</v>
      </c>
      <c r="AN7004" s="528">
        <f>ROUND(T7008,2)</f>
        <v>0</v>
      </c>
      <c r="AO7004" s="529">
        <f>ROUND(AM7004+AN7004,2)*A7004</f>
        <v>805.5</v>
      </c>
      <c r="AR7004" s="747">
        <v>1</v>
      </c>
      <c r="AS7004" s="1146">
        <v>959.7</v>
      </c>
    </row>
    <row r="7005" spans="1:45" s="520" customFormat="1" ht="13.2">
      <c r="A7005" s="748"/>
      <c r="B7005"/>
      <c r="C7005" s="748"/>
      <c r="D7005" s="749" t="s">
        <v>1972</v>
      </c>
      <c r="F7005" s="753"/>
      <c r="G7005" s="3"/>
      <c r="H7005" s="753"/>
      <c r="I7005" s="754"/>
      <c r="J7005" s="753"/>
      <c r="K7005" s="753" t="s">
        <v>144</v>
      </c>
      <c r="L7005" s="753"/>
      <c r="M7005" s="753"/>
      <c r="N7005" s="753"/>
      <c r="O7005" s="753"/>
      <c r="P7005" s="753"/>
      <c r="Q7005" s="51"/>
      <c r="R7005" s="530"/>
      <c r="S7005" s="757"/>
      <c r="T7005" s="753"/>
      <c r="AR7005" s="748"/>
      <c r="AS7005" s="753"/>
    </row>
    <row r="7006" spans="1:45" s="901" customFormat="1" ht="13.2">
      <c r="A7006" s="903">
        <v>1</v>
      </c>
      <c r="B7006" s="904" t="s">
        <v>863</v>
      </c>
      <c r="C7006" s="904"/>
      <c r="D7006" s="904" t="s">
        <v>2594</v>
      </c>
      <c r="E7006" s="904"/>
      <c r="F7006" s="904" t="s">
        <v>4139</v>
      </c>
      <c r="G7006" s="905" t="s">
        <v>2595</v>
      </c>
      <c r="H7006" s="902">
        <v>960</v>
      </c>
      <c r="I7006" s="904" t="s">
        <v>2596</v>
      </c>
      <c r="J7006" s="904"/>
      <c r="K7006" s="904"/>
      <c r="L7006" s="904"/>
      <c r="M7006" s="904"/>
      <c r="N7006" s="904"/>
      <c r="O7006" s="902">
        <v>4</v>
      </c>
      <c r="P7006" s="906">
        <v>38274</v>
      </c>
      <c r="Q7006" s="1415">
        <f>895*0.9</f>
        <v>805.5</v>
      </c>
      <c r="R7006" s="908">
        <f>$A7006*Q7006</f>
        <v>805.5</v>
      </c>
      <c r="S7006" s="907"/>
      <c r="T7006" s="909">
        <f>$A7006*S7006*$T$1</f>
        <v>0</v>
      </c>
      <c r="AR7006" s="903">
        <v>1</v>
      </c>
      <c r="AS7006" s="904" t="s">
        <v>3507</v>
      </c>
    </row>
    <row r="7007" spans="1:45" s="520" customFormat="1" ht="12">
      <c r="A7007" s="758"/>
      <c r="B7007" s="758"/>
      <c r="C7007" s="758"/>
      <c r="D7007" s="758"/>
      <c r="E7007" s="758"/>
      <c r="F7007" s="753"/>
      <c r="G7007" s="758"/>
      <c r="H7007" s="758"/>
      <c r="I7007" s="519"/>
      <c r="J7007" s="758"/>
      <c r="K7007" s="758"/>
      <c r="L7007" s="758"/>
      <c r="M7007" s="758"/>
      <c r="N7007" s="758"/>
      <c r="O7007" s="758"/>
      <c r="P7007" s="758"/>
      <c r="Q7007" s="519"/>
      <c r="R7007" s="759">
        <f t="shared" ref="R7007" si="578">$A7007*Q7007</f>
        <v>0</v>
      </c>
      <c r="S7007" s="519"/>
      <c r="T7007" s="760">
        <f t="shared" ref="T7007" si="579">$A7007*S7007*$T$1</f>
        <v>0</v>
      </c>
      <c r="AR7007" s="758"/>
      <c r="AS7007" s="753"/>
    </row>
    <row r="7008" spans="1:45" s="520" customFormat="1" ht="12.6" thickBot="1">
      <c r="A7008" s="761" t="s">
        <v>145</v>
      </c>
      <c r="B7008" s="762">
        <f>(R7007+T7007)</f>
        <v>0</v>
      </c>
      <c r="C7008" s="763"/>
      <c r="D7008" s="763"/>
      <c r="E7008" s="763"/>
      <c r="F7008" s="764"/>
      <c r="G7008" s="763" t="s">
        <v>146</v>
      </c>
      <c r="H7008" s="763"/>
      <c r="I7008" s="765"/>
      <c r="J7008" s="763"/>
      <c r="K7008" s="763" t="s">
        <v>5</v>
      </c>
      <c r="L7008" s="766" t="s">
        <v>143</v>
      </c>
      <c r="M7008" s="766"/>
      <c r="N7008" s="766"/>
      <c r="O7008" s="766"/>
      <c r="P7008" s="766"/>
      <c r="Q7008" s="767"/>
      <c r="R7008" s="768">
        <f>SUM(R7005:R7007)</f>
        <v>805.5</v>
      </c>
      <c r="S7008" s="763"/>
      <c r="T7008" s="768">
        <f>SUM(T7005:T7007)</f>
        <v>0</v>
      </c>
      <c r="U7008" s="531"/>
      <c r="V7008" s="531"/>
      <c r="W7008" s="531"/>
      <c r="X7008" s="531"/>
      <c r="Y7008" s="531"/>
      <c r="Z7008" s="531"/>
      <c r="AA7008" s="531"/>
      <c r="AB7008" s="531"/>
      <c r="AC7008" s="531"/>
      <c r="AD7008" s="531"/>
      <c r="AE7008" s="531"/>
      <c r="AF7008" s="531"/>
      <c r="AG7008" s="531"/>
      <c r="AH7008" s="531"/>
      <c r="AI7008" s="531"/>
      <c r="AJ7008" s="531"/>
      <c r="AK7008" s="531"/>
      <c r="AL7008" s="531"/>
      <c r="AM7008" s="531"/>
      <c r="AN7008" s="531"/>
      <c r="AO7008" s="531"/>
      <c r="AR7008" s="761" t="s">
        <v>145</v>
      </c>
      <c r="AS7008" s="764"/>
    </row>
    <row r="7009" spans="1:45" s="520" customFormat="1" ht="12" thickTop="1">
      <c r="A7009" s="51"/>
      <c r="B7009" s="41"/>
      <c r="C7009" s="51"/>
      <c r="E7009" s="42" t="s">
        <v>138</v>
      </c>
      <c r="F7009" s="42" t="s">
        <v>139</v>
      </c>
      <c r="G7009" s="51"/>
      <c r="H7009" s="51"/>
      <c r="I7009" s="51"/>
      <c r="J7009" s="51"/>
      <c r="K7009" s="51" t="s">
        <v>140</v>
      </c>
      <c r="L7009" s="51"/>
      <c r="M7009" s="51"/>
      <c r="N7009" s="51"/>
      <c r="O7009" s="52"/>
      <c r="P7009" s="51"/>
      <c r="Q7009" s="51"/>
      <c r="R7009" s="51"/>
      <c r="S7009" s="51"/>
      <c r="T7009" s="41"/>
      <c r="AG7009" s="521" t="s">
        <v>268</v>
      </c>
      <c r="AH7009" s="521" t="s">
        <v>269</v>
      </c>
      <c r="AI7009" s="521" t="s">
        <v>270</v>
      </c>
      <c r="AJ7009" s="521" t="s">
        <v>271</v>
      </c>
      <c r="AK7009" s="521" t="s">
        <v>272</v>
      </c>
      <c r="AM7009" s="745" t="s">
        <v>281</v>
      </c>
      <c r="AN7009" s="746" t="s">
        <v>282</v>
      </c>
      <c r="AO7009" s="522" t="s">
        <v>278</v>
      </c>
      <c r="AR7009" s="51"/>
      <c r="AS7009" s="42" t="s">
        <v>139</v>
      </c>
    </row>
    <row r="7010" spans="1:45" s="520" customFormat="1" ht="12" customHeight="1">
      <c r="A7010" s="747">
        <v>5</v>
      </c>
      <c r="B7010" s="523" t="s">
        <v>329</v>
      </c>
      <c r="C7010" s="748"/>
      <c r="D7010" s="749" t="s">
        <v>3921</v>
      </c>
      <c r="E7010" s="1145">
        <f>IF(AND($A7010=0,$A$1="DIF"),0, ROUND(ROUND(($R7014*$S$3+($T7014*$T$3))/$A7010,2)*$C$3,2))</f>
        <v>91.43</v>
      </c>
      <c r="F7010" s="1146">
        <f>ROUND($A7010*$E7010,2)</f>
        <v>457.15</v>
      </c>
      <c r="G7010" s="752" t="s">
        <v>142</v>
      </c>
      <c r="H7010" s="753"/>
      <c r="I7010" s="754"/>
      <c r="J7010" s="753"/>
      <c r="K7010" s="753" t="s">
        <v>5</v>
      </c>
      <c r="L7010" s="755" t="s">
        <v>143</v>
      </c>
      <c r="M7010" s="755"/>
      <c r="N7010" s="755"/>
      <c r="O7010" s="755"/>
      <c r="P7010" s="755"/>
      <c r="Q7010" s="51"/>
      <c r="T7010" s="1150" t="str">
        <f>IF(AND($R7014=0,$T7014=0),"0.00","mu: "&amp; ROUND(F7010/$C$3/($R7014+$T7014*$D$9),2))</f>
        <v>mu: 1.13</v>
      </c>
      <c r="W7010" s="524"/>
      <c r="AG7010" s="1147">
        <f>IF($E7010=0,0,ROUND($R7014*$S$3*$C$3/$A7010,2))</f>
        <v>91.43</v>
      </c>
      <c r="AH7010" s="1147">
        <f>$AG7010*$A7010</f>
        <v>457.15000000000003</v>
      </c>
      <c r="AI7010" s="1148">
        <f>$E7010-$AG7010</f>
        <v>0</v>
      </c>
      <c r="AJ7010" s="1148">
        <f>$A7010*$AI7010</f>
        <v>0</v>
      </c>
      <c r="AK7010" s="1149">
        <f>ROUND(($AG7010+$AI7010)*$A7010,2)</f>
        <v>457.15</v>
      </c>
      <c r="AM7010" s="527">
        <f>ROUND(R7014,2)</f>
        <v>405</v>
      </c>
      <c r="AN7010" s="528">
        <f>ROUND(T7014,2)</f>
        <v>0</v>
      </c>
      <c r="AO7010" s="529">
        <f>ROUND(AM7010+AN7010,2)*A7010</f>
        <v>2025</v>
      </c>
      <c r="AR7010" s="747">
        <v>5</v>
      </c>
      <c r="AS7010" s="1146">
        <v>482.55</v>
      </c>
    </row>
    <row r="7011" spans="1:45" s="520" customFormat="1" ht="13.2">
      <c r="A7011" s="748"/>
      <c r="B7011"/>
      <c r="C7011" s="748"/>
      <c r="D7011" s="749" t="s">
        <v>962</v>
      </c>
      <c r="F7011" s="753"/>
      <c r="G7011" s="3"/>
      <c r="H7011" s="753"/>
      <c r="I7011" s="754"/>
      <c r="J7011" s="753"/>
      <c r="K7011" s="753" t="s">
        <v>144</v>
      </c>
      <c r="L7011" s="753"/>
      <c r="M7011" s="753"/>
      <c r="N7011" s="753"/>
      <c r="O7011" s="753"/>
      <c r="P7011" s="753"/>
      <c r="Q7011" s="51"/>
      <c r="R7011" s="530"/>
      <c r="S7011" s="757"/>
      <c r="T7011" s="753"/>
      <c r="AR7011" s="748"/>
      <c r="AS7011" s="753"/>
    </row>
    <row r="7012" spans="1:45" s="901" customFormat="1" ht="13.2">
      <c r="A7012" s="903">
        <v>5</v>
      </c>
      <c r="B7012" s="904" t="s">
        <v>863</v>
      </c>
      <c r="C7012" s="904"/>
      <c r="D7012" s="904" t="s">
        <v>2594</v>
      </c>
      <c r="E7012" s="904"/>
      <c r="F7012" s="904" t="s">
        <v>4139</v>
      </c>
      <c r="G7012" s="905" t="s">
        <v>2595</v>
      </c>
      <c r="H7012" s="902">
        <v>960</v>
      </c>
      <c r="I7012" s="904" t="s">
        <v>2596</v>
      </c>
      <c r="J7012" s="904"/>
      <c r="K7012" s="904"/>
      <c r="L7012" s="904"/>
      <c r="M7012" s="904"/>
      <c r="N7012" s="904"/>
      <c r="O7012" s="902">
        <v>4</v>
      </c>
      <c r="P7012" s="906">
        <v>38274</v>
      </c>
      <c r="Q7012" s="1415">
        <f>90*0.9</f>
        <v>81</v>
      </c>
      <c r="R7012" s="908">
        <f>$A7012*Q7012</f>
        <v>405</v>
      </c>
      <c r="S7012" s="907"/>
      <c r="T7012" s="909">
        <f>$A7012*S7012*$T$1</f>
        <v>0</v>
      </c>
      <c r="AR7012" s="903">
        <v>5</v>
      </c>
      <c r="AS7012" s="904" t="s">
        <v>3507</v>
      </c>
    </row>
    <row r="7013" spans="1:45" s="520" customFormat="1" ht="12">
      <c r="A7013" s="758"/>
      <c r="B7013" s="758"/>
      <c r="C7013" s="758"/>
      <c r="D7013" s="758"/>
      <c r="E7013" s="758"/>
      <c r="F7013" s="753"/>
      <c r="G7013" s="758"/>
      <c r="H7013" s="758"/>
      <c r="I7013" s="519"/>
      <c r="J7013" s="758"/>
      <c r="K7013" s="758"/>
      <c r="L7013" s="758"/>
      <c r="M7013" s="758"/>
      <c r="N7013" s="758"/>
      <c r="O7013" s="758"/>
      <c r="P7013" s="758"/>
      <c r="Q7013" s="519"/>
      <c r="R7013" s="759">
        <f t="shared" ref="R7013" si="580">$A7013*Q7013</f>
        <v>0</v>
      </c>
      <c r="S7013" s="519"/>
      <c r="T7013" s="760">
        <f t="shared" ref="T7013" si="581">$A7013*S7013*$T$1</f>
        <v>0</v>
      </c>
      <c r="AR7013" s="758"/>
      <c r="AS7013" s="753"/>
    </row>
    <row r="7014" spans="1:45" s="520" customFormat="1" ht="12.6" thickBot="1">
      <c r="A7014" s="761" t="s">
        <v>145</v>
      </c>
      <c r="B7014" s="762">
        <f>(R7013+T7013)</f>
        <v>0</v>
      </c>
      <c r="C7014" s="763"/>
      <c r="D7014" s="763"/>
      <c r="E7014" s="763"/>
      <c r="F7014" s="764"/>
      <c r="G7014" s="763" t="s">
        <v>146</v>
      </c>
      <c r="H7014" s="763"/>
      <c r="I7014" s="765"/>
      <c r="J7014" s="763"/>
      <c r="K7014" s="763" t="s">
        <v>5</v>
      </c>
      <c r="L7014" s="766" t="s">
        <v>143</v>
      </c>
      <c r="M7014" s="766"/>
      <c r="N7014" s="766"/>
      <c r="O7014" s="766"/>
      <c r="P7014" s="766"/>
      <c r="Q7014" s="767"/>
      <c r="R7014" s="768">
        <f>SUM(R7011:R7013)</f>
        <v>405</v>
      </c>
      <c r="S7014" s="763"/>
      <c r="T7014" s="768">
        <f>SUM(T7011:T7013)</f>
        <v>0</v>
      </c>
      <c r="U7014" s="531"/>
      <c r="V7014" s="531"/>
      <c r="W7014" s="531"/>
      <c r="X7014" s="531"/>
      <c r="Y7014" s="531"/>
      <c r="Z7014" s="531"/>
      <c r="AA7014" s="531"/>
      <c r="AB7014" s="531"/>
      <c r="AC7014" s="531"/>
      <c r="AD7014" s="531"/>
      <c r="AE7014" s="531"/>
      <c r="AF7014" s="531"/>
      <c r="AG7014" s="531"/>
      <c r="AH7014" s="531"/>
      <c r="AI7014" s="531"/>
      <c r="AJ7014" s="531"/>
      <c r="AK7014" s="531"/>
      <c r="AL7014" s="531"/>
      <c r="AM7014" s="531"/>
      <c r="AN7014" s="531"/>
      <c r="AO7014" s="531"/>
      <c r="AR7014" s="761" t="s">
        <v>145</v>
      </c>
      <c r="AS7014" s="764"/>
    </row>
    <row r="7015" spans="1:45" s="520" customFormat="1" ht="12" thickTop="1">
      <c r="A7015" s="51"/>
      <c r="B7015" s="41"/>
      <c r="C7015" s="51"/>
      <c r="E7015" s="42" t="s">
        <v>138</v>
      </c>
      <c r="F7015" s="42" t="s">
        <v>139</v>
      </c>
      <c r="G7015" s="51"/>
      <c r="H7015" s="51"/>
      <c r="I7015" s="51"/>
      <c r="J7015" s="51"/>
      <c r="K7015" s="51" t="s">
        <v>140</v>
      </c>
      <c r="L7015" s="51"/>
      <c r="M7015" s="51"/>
      <c r="N7015" s="51"/>
      <c r="O7015" s="52"/>
      <c r="P7015" s="51"/>
      <c r="Q7015" s="51"/>
      <c r="R7015" s="51"/>
      <c r="S7015" s="51"/>
      <c r="T7015" s="41"/>
      <c r="AG7015" s="521" t="s">
        <v>268</v>
      </c>
      <c r="AH7015" s="521" t="s">
        <v>269</v>
      </c>
      <c r="AI7015" s="521" t="s">
        <v>270</v>
      </c>
      <c r="AJ7015" s="521" t="s">
        <v>271</v>
      </c>
      <c r="AK7015" s="521" t="s">
        <v>272</v>
      </c>
      <c r="AM7015" s="745" t="s">
        <v>281</v>
      </c>
      <c r="AN7015" s="746" t="s">
        <v>282</v>
      </c>
      <c r="AO7015" s="522" t="s">
        <v>278</v>
      </c>
      <c r="AR7015" s="51"/>
      <c r="AS7015" s="42" t="s">
        <v>139</v>
      </c>
    </row>
    <row r="7016" spans="1:45" s="520" customFormat="1" ht="12" customHeight="1">
      <c r="A7016" s="747">
        <v>5</v>
      </c>
      <c r="B7016" s="523" t="s">
        <v>329</v>
      </c>
      <c r="C7016" s="748"/>
      <c r="D7016" s="749" t="s">
        <v>3922</v>
      </c>
      <c r="E7016" s="1145">
        <f>IF(AND($A7016=0,$A$1="DIF"),0, ROUND(ROUND(($R7020*$S$3+($T7020*$T$3))/$A7016,2)*$C$3,2))</f>
        <v>15.24</v>
      </c>
      <c r="F7016" s="1146">
        <f>ROUND($A7016*$E7016,2)</f>
        <v>76.2</v>
      </c>
      <c r="G7016" s="752" t="s">
        <v>142</v>
      </c>
      <c r="H7016" s="753"/>
      <c r="I7016" s="754"/>
      <c r="J7016" s="753"/>
      <c r="K7016" s="753" t="s">
        <v>5</v>
      </c>
      <c r="L7016" s="755" t="s">
        <v>143</v>
      </c>
      <c r="M7016" s="755"/>
      <c r="N7016" s="755"/>
      <c r="O7016" s="755"/>
      <c r="P7016" s="755"/>
      <c r="Q7016" s="51"/>
      <c r="T7016" s="1150" t="str">
        <f>IF(AND($R7020=0,$T7020=0),"0.00","mu: "&amp; ROUND(F7016/$C$3/($R7020+$T7020*$D$9),2))</f>
        <v>mu: 1.13</v>
      </c>
      <c r="W7016" s="524"/>
      <c r="AG7016" s="1147">
        <f>IF($E7016=0,0,ROUND($R7020*$S$3*$C$3/$A7016,2))</f>
        <v>15.24</v>
      </c>
      <c r="AH7016" s="1147">
        <f>$AG7016*$A7016</f>
        <v>76.2</v>
      </c>
      <c r="AI7016" s="1148">
        <f>$E7016-$AG7016</f>
        <v>0</v>
      </c>
      <c r="AJ7016" s="1148">
        <f>$A7016*$AI7016</f>
        <v>0</v>
      </c>
      <c r="AK7016" s="1149">
        <f>ROUND(($AG7016+$AI7016)*$A7016,2)</f>
        <v>76.2</v>
      </c>
      <c r="AM7016" s="527">
        <f>ROUND(R7020,2)</f>
        <v>67.5</v>
      </c>
      <c r="AN7016" s="528">
        <f>ROUND(T7020,2)</f>
        <v>0</v>
      </c>
      <c r="AO7016" s="529">
        <f>ROUND(AM7016+AN7016,2)*A7016</f>
        <v>337.5</v>
      </c>
      <c r="AR7016" s="747">
        <v>5</v>
      </c>
      <c r="AS7016" s="1146">
        <v>80.400000000000006</v>
      </c>
    </row>
    <row r="7017" spans="1:45" s="520" customFormat="1" ht="13.2">
      <c r="A7017" s="748"/>
      <c r="B7017"/>
      <c r="C7017" s="748"/>
      <c r="D7017" s="749" t="s">
        <v>963</v>
      </c>
      <c r="F7017" s="753"/>
      <c r="G7017" s="3"/>
      <c r="H7017" s="753"/>
      <c r="I7017" s="754"/>
      <c r="J7017" s="753"/>
      <c r="K7017" s="753" t="s">
        <v>144</v>
      </c>
      <c r="L7017" s="753"/>
      <c r="M7017" s="753"/>
      <c r="N7017" s="753"/>
      <c r="O7017" s="753"/>
      <c r="P7017" s="753"/>
      <c r="Q7017" s="51"/>
      <c r="R7017" s="530"/>
      <c r="S7017" s="757"/>
      <c r="T7017" s="753"/>
      <c r="AR7017" s="748"/>
      <c r="AS7017" s="753"/>
    </row>
    <row r="7018" spans="1:45" s="901" customFormat="1" ht="13.2">
      <c r="A7018" s="903">
        <v>5</v>
      </c>
      <c r="B7018" s="904" t="s">
        <v>863</v>
      </c>
      <c r="C7018" s="904"/>
      <c r="D7018" s="904" t="s">
        <v>2594</v>
      </c>
      <c r="E7018" s="904"/>
      <c r="F7018" s="904" t="s">
        <v>4139</v>
      </c>
      <c r="G7018" s="905" t="s">
        <v>2595</v>
      </c>
      <c r="H7018" s="902">
        <v>960</v>
      </c>
      <c r="I7018" s="904" t="s">
        <v>2596</v>
      </c>
      <c r="J7018" s="904"/>
      <c r="K7018" s="904"/>
      <c r="L7018" s="904"/>
      <c r="M7018" s="904"/>
      <c r="N7018" s="904"/>
      <c r="O7018" s="902">
        <v>4</v>
      </c>
      <c r="P7018" s="906">
        <v>38274</v>
      </c>
      <c r="Q7018" s="1415">
        <f>15*0.9</f>
        <v>13.5</v>
      </c>
      <c r="R7018" s="908">
        <f>$A7018*Q7018</f>
        <v>67.5</v>
      </c>
      <c r="S7018" s="907"/>
      <c r="T7018" s="909">
        <f>$A7018*S7018*$T$1</f>
        <v>0</v>
      </c>
      <c r="AR7018" s="903">
        <v>5</v>
      </c>
      <c r="AS7018" s="904" t="s">
        <v>3507</v>
      </c>
    </row>
    <row r="7019" spans="1:45" s="520" customFormat="1" ht="12">
      <c r="A7019" s="758"/>
      <c r="B7019" s="758"/>
      <c r="C7019" s="758"/>
      <c r="D7019" s="758"/>
      <c r="E7019" s="758"/>
      <c r="F7019" s="753"/>
      <c r="G7019" s="758"/>
      <c r="H7019" s="758"/>
      <c r="I7019" s="519"/>
      <c r="J7019" s="758"/>
      <c r="K7019" s="758"/>
      <c r="L7019" s="758"/>
      <c r="M7019" s="758"/>
      <c r="N7019" s="758"/>
      <c r="O7019" s="758"/>
      <c r="P7019" s="758"/>
      <c r="Q7019" s="519"/>
      <c r="R7019" s="759">
        <f t="shared" ref="R7019" si="582">$A7019*Q7019</f>
        <v>0</v>
      </c>
      <c r="S7019" s="519"/>
      <c r="T7019" s="760">
        <f t="shared" ref="T7019" si="583">$A7019*S7019*$T$1</f>
        <v>0</v>
      </c>
      <c r="AR7019" s="758"/>
      <c r="AS7019" s="753"/>
    </row>
    <row r="7020" spans="1:45" s="520" customFormat="1" ht="12.6" thickBot="1">
      <c r="A7020" s="761" t="s">
        <v>145</v>
      </c>
      <c r="B7020" s="762">
        <f>(R7019+T7019)</f>
        <v>0</v>
      </c>
      <c r="C7020" s="763"/>
      <c r="D7020" s="763"/>
      <c r="E7020" s="763"/>
      <c r="F7020" s="764"/>
      <c r="G7020" s="763" t="s">
        <v>146</v>
      </c>
      <c r="H7020" s="763"/>
      <c r="I7020" s="765"/>
      <c r="J7020" s="763"/>
      <c r="K7020" s="763" t="s">
        <v>5</v>
      </c>
      <c r="L7020" s="766" t="s">
        <v>143</v>
      </c>
      <c r="M7020" s="766"/>
      <c r="N7020" s="766"/>
      <c r="O7020" s="766"/>
      <c r="P7020" s="766"/>
      <c r="Q7020" s="767"/>
      <c r="R7020" s="768">
        <f>SUM(R7017:R7019)</f>
        <v>67.5</v>
      </c>
      <c r="S7020" s="763"/>
      <c r="T7020" s="768">
        <f>SUM(T7017:T7019)</f>
        <v>0</v>
      </c>
      <c r="U7020" s="531"/>
      <c r="V7020" s="531"/>
      <c r="W7020" s="531"/>
      <c r="X7020" s="531"/>
      <c r="Y7020" s="531"/>
      <c r="Z7020" s="531"/>
      <c r="AA7020" s="531"/>
      <c r="AB7020" s="531"/>
      <c r="AC7020" s="531"/>
      <c r="AD7020" s="531"/>
      <c r="AE7020" s="531"/>
      <c r="AF7020" s="531"/>
      <c r="AG7020" s="531"/>
      <c r="AH7020" s="531"/>
      <c r="AI7020" s="531"/>
      <c r="AJ7020" s="531"/>
      <c r="AK7020" s="531"/>
      <c r="AL7020" s="531"/>
      <c r="AM7020" s="531"/>
      <c r="AN7020" s="531"/>
      <c r="AO7020" s="531"/>
      <c r="AR7020" s="761" t="s">
        <v>145</v>
      </c>
      <c r="AS7020" s="764"/>
    </row>
    <row r="7021" spans="1:45" s="520" customFormat="1" ht="12" thickTop="1">
      <c r="A7021" s="51"/>
      <c r="B7021" s="41"/>
      <c r="C7021" s="51"/>
      <c r="E7021" s="42" t="s">
        <v>138</v>
      </c>
      <c r="F7021" s="42" t="s">
        <v>139</v>
      </c>
      <c r="G7021" s="51"/>
      <c r="H7021" s="51"/>
      <c r="I7021" s="51"/>
      <c r="J7021" s="51"/>
      <c r="K7021" s="51" t="s">
        <v>140</v>
      </c>
      <c r="L7021" s="51"/>
      <c r="M7021" s="51"/>
      <c r="N7021" s="51"/>
      <c r="O7021" s="52"/>
      <c r="P7021" s="51"/>
      <c r="Q7021" s="51"/>
      <c r="R7021" s="51"/>
      <c r="S7021" s="51"/>
      <c r="T7021" s="41"/>
      <c r="AG7021" s="521" t="s">
        <v>268</v>
      </c>
      <c r="AH7021" s="521" t="s">
        <v>269</v>
      </c>
      <c r="AI7021" s="521" t="s">
        <v>270</v>
      </c>
      <c r="AJ7021" s="521" t="s">
        <v>271</v>
      </c>
      <c r="AK7021" s="521" t="s">
        <v>272</v>
      </c>
      <c r="AM7021" s="745" t="s">
        <v>281</v>
      </c>
      <c r="AN7021" s="746" t="s">
        <v>282</v>
      </c>
      <c r="AO7021" s="522" t="s">
        <v>278</v>
      </c>
      <c r="AR7021" s="51"/>
      <c r="AS7021" s="42" t="s">
        <v>139</v>
      </c>
    </row>
    <row r="7022" spans="1:45" s="520" customFormat="1" ht="12" customHeight="1">
      <c r="A7022" s="747">
        <v>4</v>
      </c>
      <c r="B7022" s="523" t="s">
        <v>329</v>
      </c>
      <c r="C7022" s="748"/>
      <c r="D7022" s="749" t="s">
        <v>3923</v>
      </c>
      <c r="E7022" s="1145">
        <f>IF(AND($A7022=0,$A$1="DIF"),0, ROUND(ROUND(($R7026*$S$3+($T7026*$T$3))/$A7022,2)*$C$3,2))</f>
        <v>40.630000000000003</v>
      </c>
      <c r="F7022" s="1146">
        <f>ROUND($A7022*$E7022,2)</f>
        <v>162.52000000000001</v>
      </c>
      <c r="G7022" s="752" t="s">
        <v>142</v>
      </c>
      <c r="H7022" s="753"/>
      <c r="I7022" s="754"/>
      <c r="J7022" s="753"/>
      <c r="K7022" s="753" t="s">
        <v>5</v>
      </c>
      <c r="L7022" s="755" t="s">
        <v>143</v>
      </c>
      <c r="M7022" s="755"/>
      <c r="N7022" s="755"/>
      <c r="O7022" s="755"/>
      <c r="P7022" s="755"/>
      <c r="Q7022" s="51"/>
      <c r="T7022" s="1150" t="str">
        <f>IF(AND($R7026=0,$T7026=0),"0.00","mu: "&amp; ROUND(F7022/$C$3/($R7026+$T7026*$D$9),2))</f>
        <v>mu: 1.13</v>
      </c>
      <c r="W7022" s="524"/>
      <c r="AG7022" s="1147">
        <f>IF($E7022=0,0,ROUND($R7026*$S$3*$C$3/$A7022,2))</f>
        <v>40.630000000000003</v>
      </c>
      <c r="AH7022" s="1147">
        <f>$AG7022*$A7022</f>
        <v>162.52000000000001</v>
      </c>
      <c r="AI7022" s="1148">
        <f>$E7022-$AG7022</f>
        <v>0</v>
      </c>
      <c r="AJ7022" s="1148">
        <f>$A7022*$AI7022</f>
        <v>0</v>
      </c>
      <c r="AK7022" s="1149">
        <f>ROUND(($AG7022+$AI7022)*$A7022,2)</f>
        <v>162.52000000000001</v>
      </c>
      <c r="AM7022" s="527">
        <f>ROUND(R7026,2)</f>
        <v>144</v>
      </c>
      <c r="AN7022" s="528">
        <f>ROUND(T7026,2)</f>
        <v>0</v>
      </c>
      <c r="AO7022" s="529">
        <f>ROUND(AM7022+AN7022,2)*A7022</f>
        <v>576</v>
      </c>
      <c r="AR7022" s="747">
        <v>4</v>
      </c>
      <c r="AS7022" s="1146">
        <v>171.56</v>
      </c>
    </row>
    <row r="7023" spans="1:45" s="520" customFormat="1" ht="13.2">
      <c r="A7023" s="748"/>
      <c r="B7023"/>
      <c r="C7023" s="748"/>
      <c r="D7023" s="749" t="s">
        <v>964</v>
      </c>
      <c r="F7023" s="753"/>
      <c r="G7023" s="3"/>
      <c r="H7023" s="753"/>
      <c r="I7023" s="754"/>
      <c r="J7023" s="753"/>
      <c r="K7023" s="753" t="s">
        <v>144</v>
      </c>
      <c r="L7023" s="753"/>
      <c r="M7023" s="753"/>
      <c r="N7023" s="753"/>
      <c r="O7023" s="753"/>
      <c r="P7023" s="753"/>
      <c r="Q7023" s="51"/>
      <c r="R7023" s="530"/>
      <c r="S7023" s="757"/>
      <c r="T7023" s="753"/>
      <c r="AR7023" s="748"/>
      <c r="AS7023" s="753"/>
    </row>
    <row r="7024" spans="1:45" s="901" customFormat="1" ht="13.2">
      <c r="A7024" s="903">
        <v>4</v>
      </c>
      <c r="B7024" s="904" t="s">
        <v>863</v>
      </c>
      <c r="C7024" s="904"/>
      <c r="D7024" s="904" t="s">
        <v>2594</v>
      </c>
      <c r="E7024" s="904"/>
      <c r="F7024" s="904" t="s">
        <v>4139</v>
      </c>
      <c r="G7024" s="905" t="s">
        <v>2595</v>
      </c>
      <c r="H7024" s="902">
        <v>960</v>
      </c>
      <c r="I7024" s="904" t="s">
        <v>2596</v>
      </c>
      <c r="J7024" s="904"/>
      <c r="K7024" s="904"/>
      <c r="L7024" s="904"/>
      <c r="M7024" s="904"/>
      <c r="N7024" s="904"/>
      <c r="O7024" s="902">
        <v>4</v>
      </c>
      <c r="P7024" s="906">
        <v>38274</v>
      </c>
      <c r="Q7024" s="1415">
        <f>40*0.9</f>
        <v>36</v>
      </c>
      <c r="R7024" s="908">
        <f>$A7024*Q7024</f>
        <v>144</v>
      </c>
      <c r="S7024" s="907"/>
      <c r="T7024" s="909">
        <f>$A7024*S7024*$T$1</f>
        <v>0</v>
      </c>
      <c r="AR7024" s="903">
        <v>4</v>
      </c>
      <c r="AS7024" s="904" t="s">
        <v>3507</v>
      </c>
    </row>
    <row r="7025" spans="1:45" s="520" customFormat="1" ht="12">
      <c r="A7025" s="758"/>
      <c r="B7025" s="758"/>
      <c r="C7025" s="758"/>
      <c r="D7025" s="758"/>
      <c r="E7025" s="758"/>
      <c r="F7025" s="753"/>
      <c r="G7025" s="758"/>
      <c r="H7025" s="758"/>
      <c r="I7025" s="519"/>
      <c r="J7025" s="758"/>
      <c r="K7025" s="758"/>
      <c r="L7025" s="758"/>
      <c r="M7025" s="758"/>
      <c r="N7025" s="758"/>
      <c r="O7025" s="758"/>
      <c r="P7025" s="758"/>
      <c r="Q7025" s="519"/>
      <c r="R7025" s="759">
        <f t="shared" ref="R7025" si="584">$A7025*Q7025</f>
        <v>0</v>
      </c>
      <c r="S7025" s="519"/>
      <c r="T7025" s="760">
        <f t="shared" ref="T7025" si="585">$A7025*S7025*$T$1</f>
        <v>0</v>
      </c>
      <c r="AR7025" s="758"/>
      <c r="AS7025" s="753"/>
    </row>
    <row r="7026" spans="1:45" s="520" customFormat="1" ht="12.6" thickBot="1">
      <c r="A7026" s="761" t="s">
        <v>145</v>
      </c>
      <c r="B7026" s="762">
        <f>(R7025+T7025)</f>
        <v>0</v>
      </c>
      <c r="C7026" s="763"/>
      <c r="D7026" s="763"/>
      <c r="E7026" s="763"/>
      <c r="F7026" s="764"/>
      <c r="G7026" s="763" t="s">
        <v>146</v>
      </c>
      <c r="H7026" s="763"/>
      <c r="I7026" s="765"/>
      <c r="J7026" s="763"/>
      <c r="K7026" s="763" t="s">
        <v>5</v>
      </c>
      <c r="L7026" s="766" t="s">
        <v>143</v>
      </c>
      <c r="M7026" s="766"/>
      <c r="N7026" s="766"/>
      <c r="O7026" s="766"/>
      <c r="P7026" s="766"/>
      <c r="Q7026" s="767"/>
      <c r="R7026" s="768">
        <f>SUM(R7023:R7025)</f>
        <v>144</v>
      </c>
      <c r="S7026" s="763"/>
      <c r="T7026" s="768">
        <f>SUM(T7023:T7025)</f>
        <v>0</v>
      </c>
      <c r="U7026" s="531"/>
      <c r="V7026" s="531"/>
      <c r="W7026" s="531"/>
      <c r="X7026" s="531"/>
      <c r="Y7026" s="531"/>
      <c r="Z7026" s="531"/>
      <c r="AA7026" s="531"/>
      <c r="AB7026" s="531"/>
      <c r="AC7026" s="531"/>
      <c r="AD7026" s="531"/>
      <c r="AE7026" s="531"/>
      <c r="AF7026" s="531"/>
      <c r="AG7026" s="531"/>
      <c r="AH7026" s="531"/>
      <c r="AI7026" s="531"/>
      <c r="AJ7026" s="531"/>
      <c r="AK7026" s="531"/>
      <c r="AL7026" s="531"/>
      <c r="AM7026" s="531"/>
      <c r="AN7026" s="531"/>
      <c r="AO7026" s="531"/>
      <c r="AR7026" s="761" t="s">
        <v>145</v>
      </c>
      <c r="AS7026" s="764"/>
    </row>
    <row r="7027" spans="1:45" s="520" customFormat="1" ht="12" thickTop="1">
      <c r="A7027" s="51"/>
      <c r="B7027" s="41"/>
      <c r="C7027" s="51"/>
      <c r="E7027" s="42" t="s">
        <v>138</v>
      </c>
      <c r="F7027" s="42" t="s">
        <v>139</v>
      </c>
      <c r="G7027" s="51"/>
      <c r="H7027" s="51"/>
      <c r="I7027" s="51"/>
      <c r="J7027" s="51"/>
      <c r="K7027" s="51" t="s">
        <v>140</v>
      </c>
      <c r="L7027" s="51"/>
      <c r="M7027" s="51"/>
      <c r="N7027" s="51"/>
      <c r="O7027" s="52"/>
      <c r="P7027" s="51"/>
      <c r="Q7027" s="51"/>
      <c r="R7027" s="51"/>
      <c r="S7027" s="51"/>
      <c r="T7027" s="41"/>
      <c r="AG7027" s="521" t="s">
        <v>268</v>
      </c>
      <c r="AH7027" s="521" t="s">
        <v>269</v>
      </c>
      <c r="AI7027" s="521" t="s">
        <v>270</v>
      </c>
      <c r="AJ7027" s="521" t="s">
        <v>271</v>
      </c>
      <c r="AK7027" s="521" t="s">
        <v>272</v>
      </c>
      <c r="AM7027" s="745" t="s">
        <v>281</v>
      </c>
      <c r="AN7027" s="746" t="s">
        <v>282</v>
      </c>
      <c r="AO7027" s="522" t="s">
        <v>278</v>
      </c>
      <c r="AR7027" s="51"/>
      <c r="AS7027" s="42" t="s">
        <v>139</v>
      </c>
    </row>
    <row r="7028" spans="1:45" s="520" customFormat="1" ht="12" customHeight="1">
      <c r="A7028" s="747">
        <v>1</v>
      </c>
      <c r="B7028" s="523" t="s">
        <v>329</v>
      </c>
      <c r="C7028" s="748"/>
      <c r="D7028" s="749" t="s">
        <v>3924</v>
      </c>
      <c r="E7028" s="1145">
        <f>IF(AND($A7028=0,$A$1="DIF"),0, ROUND(ROUND(($R7032*$S$3+($T7032*$T$3))/$A7028,2)*$C$3,2))</f>
        <v>45.71</v>
      </c>
      <c r="F7028" s="1146">
        <f>ROUND($A7028*$E7028,2)</f>
        <v>45.71</v>
      </c>
      <c r="G7028" s="752" t="s">
        <v>142</v>
      </c>
      <c r="H7028" s="753"/>
      <c r="I7028" s="754"/>
      <c r="J7028" s="753"/>
      <c r="K7028" s="753" t="s">
        <v>5</v>
      </c>
      <c r="L7028" s="755" t="s">
        <v>143</v>
      </c>
      <c r="M7028" s="755"/>
      <c r="N7028" s="755"/>
      <c r="O7028" s="755"/>
      <c r="P7028" s="755"/>
      <c r="Q7028" s="51"/>
      <c r="T7028" s="1150" t="str">
        <f>IF(AND($R7032=0,$T7032=0),"0.00","mu: "&amp; ROUND(F7028/$C$3/($R7032+$T7032*$D$9),2))</f>
        <v>mu: 1.13</v>
      </c>
      <c r="W7028" s="524"/>
      <c r="AG7028" s="1147">
        <f>IF($E7028=0,0,ROUND($R7032*$S$3*$C$3/$A7028,2))</f>
        <v>45.71</v>
      </c>
      <c r="AH7028" s="1147">
        <f>$AG7028*$A7028</f>
        <v>45.71</v>
      </c>
      <c r="AI7028" s="1148">
        <f>$E7028-$AG7028</f>
        <v>0</v>
      </c>
      <c r="AJ7028" s="1148">
        <f>$A7028*$AI7028</f>
        <v>0</v>
      </c>
      <c r="AK7028" s="1149">
        <f>ROUND(($AG7028+$AI7028)*$A7028,2)</f>
        <v>45.71</v>
      </c>
      <c r="AM7028" s="527">
        <f>ROUND(R7032,2)</f>
        <v>40.5</v>
      </c>
      <c r="AN7028" s="528">
        <f>ROUND(T7032,2)</f>
        <v>0</v>
      </c>
      <c r="AO7028" s="529">
        <f>ROUND(AM7028+AN7028,2)*A7028</f>
        <v>40.5</v>
      </c>
      <c r="AR7028" s="747">
        <v>1</v>
      </c>
      <c r="AS7028" s="1146">
        <v>48.25</v>
      </c>
    </row>
    <row r="7029" spans="1:45" s="520" customFormat="1" ht="13.2">
      <c r="A7029" s="748"/>
      <c r="B7029"/>
      <c r="C7029" s="748"/>
      <c r="D7029" s="749" t="s">
        <v>965</v>
      </c>
      <c r="F7029" s="753"/>
      <c r="G7029" s="3"/>
      <c r="H7029" s="753"/>
      <c r="I7029" s="754"/>
      <c r="J7029" s="753"/>
      <c r="K7029" s="753" t="s">
        <v>144</v>
      </c>
      <c r="L7029" s="753"/>
      <c r="M7029" s="753"/>
      <c r="N7029" s="753"/>
      <c r="O7029" s="753"/>
      <c r="P7029" s="753"/>
      <c r="Q7029" s="51"/>
      <c r="R7029" s="530"/>
      <c r="S7029" s="757"/>
      <c r="T7029" s="753"/>
      <c r="AR7029" s="748"/>
      <c r="AS7029" s="753"/>
    </row>
    <row r="7030" spans="1:45" s="901" customFormat="1" ht="13.2">
      <c r="A7030" s="903">
        <v>1</v>
      </c>
      <c r="B7030" s="904" t="s">
        <v>863</v>
      </c>
      <c r="C7030" s="904"/>
      <c r="D7030" s="904" t="s">
        <v>2594</v>
      </c>
      <c r="E7030" s="904"/>
      <c r="F7030" s="904" t="s">
        <v>4139</v>
      </c>
      <c r="G7030" s="905" t="s">
        <v>2595</v>
      </c>
      <c r="H7030" s="902">
        <v>960</v>
      </c>
      <c r="I7030" s="904" t="s">
        <v>2596</v>
      </c>
      <c r="J7030" s="904"/>
      <c r="K7030" s="904"/>
      <c r="L7030" s="904"/>
      <c r="M7030" s="904"/>
      <c r="N7030" s="904"/>
      <c r="O7030" s="902">
        <v>4</v>
      </c>
      <c r="P7030" s="906">
        <v>38274</v>
      </c>
      <c r="Q7030" s="1415">
        <f>45*0.9</f>
        <v>40.5</v>
      </c>
      <c r="R7030" s="908">
        <f>$A7030*Q7030</f>
        <v>40.5</v>
      </c>
      <c r="S7030" s="907"/>
      <c r="T7030" s="909">
        <f>$A7030*S7030*$T$1</f>
        <v>0</v>
      </c>
      <c r="AR7030" s="903">
        <v>1</v>
      </c>
      <c r="AS7030" s="904" t="s">
        <v>3507</v>
      </c>
    </row>
    <row r="7031" spans="1:45" s="520" customFormat="1" ht="12">
      <c r="A7031" s="758"/>
      <c r="B7031" s="758"/>
      <c r="C7031" s="758"/>
      <c r="D7031" s="758"/>
      <c r="E7031" s="758"/>
      <c r="F7031" s="753"/>
      <c r="G7031" s="758"/>
      <c r="H7031" s="758"/>
      <c r="I7031" s="519"/>
      <c r="J7031" s="758"/>
      <c r="K7031" s="758"/>
      <c r="L7031" s="758"/>
      <c r="M7031" s="758"/>
      <c r="N7031" s="758"/>
      <c r="O7031" s="758"/>
      <c r="P7031" s="758"/>
      <c r="Q7031" s="519"/>
      <c r="R7031" s="759">
        <f t="shared" ref="R7031" si="586">$A7031*Q7031</f>
        <v>0</v>
      </c>
      <c r="S7031" s="519"/>
      <c r="T7031" s="760">
        <f t="shared" ref="T7031" si="587">$A7031*S7031*$T$1</f>
        <v>0</v>
      </c>
      <c r="AR7031" s="758"/>
      <c r="AS7031" s="753"/>
    </row>
    <row r="7032" spans="1:45" s="520" customFormat="1" ht="12.6" thickBot="1">
      <c r="A7032" s="761" t="s">
        <v>145</v>
      </c>
      <c r="B7032" s="762">
        <f>(R7031+T7031)</f>
        <v>0</v>
      </c>
      <c r="C7032" s="763"/>
      <c r="D7032" s="763"/>
      <c r="E7032" s="763"/>
      <c r="F7032" s="764"/>
      <c r="G7032" s="763" t="s">
        <v>146</v>
      </c>
      <c r="H7032" s="763"/>
      <c r="I7032" s="765"/>
      <c r="J7032" s="763"/>
      <c r="K7032" s="763" t="s">
        <v>5</v>
      </c>
      <c r="L7032" s="766" t="s">
        <v>143</v>
      </c>
      <c r="M7032" s="766"/>
      <c r="N7032" s="766"/>
      <c r="O7032" s="766"/>
      <c r="P7032" s="766"/>
      <c r="Q7032" s="767"/>
      <c r="R7032" s="768">
        <f>SUM(R7029:R7031)</f>
        <v>40.5</v>
      </c>
      <c r="S7032" s="763"/>
      <c r="T7032" s="768">
        <f>SUM(T7029:T7031)</f>
        <v>0</v>
      </c>
      <c r="U7032" s="531"/>
      <c r="V7032" s="531"/>
      <c r="W7032" s="531"/>
      <c r="X7032" s="531"/>
      <c r="Y7032" s="531"/>
      <c r="Z7032" s="531"/>
      <c r="AA7032" s="531"/>
      <c r="AB7032" s="531"/>
      <c r="AC7032" s="531"/>
      <c r="AD7032" s="531"/>
      <c r="AE7032" s="531"/>
      <c r="AF7032" s="531"/>
      <c r="AG7032" s="531"/>
      <c r="AH7032" s="531"/>
      <c r="AI7032" s="531"/>
      <c r="AJ7032" s="531"/>
      <c r="AK7032" s="531"/>
      <c r="AL7032" s="531"/>
      <c r="AM7032" s="531"/>
      <c r="AN7032" s="531"/>
      <c r="AO7032" s="531"/>
      <c r="AR7032" s="761" t="s">
        <v>145</v>
      </c>
      <c r="AS7032" s="764"/>
    </row>
    <row r="7033" spans="1:45" s="520" customFormat="1" ht="12" thickTop="1">
      <c r="A7033" s="48" t="s">
        <v>148</v>
      </c>
      <c r="D7033" s="13"/>
      <c r="E7033" s="42"/>
      <c r="O7033" s="771"/>
      <c r="AR7033" s="48" t="s">
        <v>148</v>
      </c>
    </row>
    <row r="7034" spans="1:45" s="520" customFormat="1" ht="13.2">
      <c r="B7034" s="3"/>
      <c r="O7034" s="771"/>
    </row>
    <row r="7035" spans="1:45" s="520" customFormat="1" ht="12">
      <c r="B7035" s="772">
        <f ca="1">$F7035/$C$2-($R7035*$S$2+$T7035*$T$2)</f>
        <v>-575.55825483200351</v>
      </c>
      <c r="D7035" s="773" t="s">
        <v>3643</v>
      </c>
      <c r="E7035" s="774"/>
      <c r="F7035" s="775">
        <f ca="1">SUMIF($L6809:$L7033,"ITEM",F6809:F7033)</f>
        <v>9443.8299999999981</v>
      </c>
      <c r="G7035" s="758"/>
      <c r="H7035" s="758"/>
      <c r="I7035" s="519"/>
      <c r="J7035" s="758"/>
      <c r="K7035" s="758"/>
      <c r="L7035" s="755" t="s">
        <v>157</v>
      </c>
      <c r="M7035" s="755"/>
      <c r="N7035" s="755"/>
      <c r="O7035" s="755"/>
      <c r="P7035" s="755"/>
      <c r="R7035" s="775">
        <f ca="1">SUMIF($L6809:$L7033,"ITEM",R6809:R7033)</f>
        <v>6405.6000000000013</v>
      </c>
      <c r="S7035" s="776"/>
      <c r="T7035" s="775">
        <f ca="1">SUMIF($L6809:$L7033,"ITEM",T6809:T7033)</f>
        <v>63.05</v>
      </c>
      <c r="AS7035" s="775">
        <v>11615.979999999998</v>
      </c>
    </row>
    <row r="7036" spans="1:45" s="520" customFormat="1" ht="13.2">
      <c r="A7036" s="51"/>
      <c r="B7036" s="49" t="s">
        <v>1064</v>
      </c>
      <c r="C7036" s="51"/>
      <c r="D7036" s="3"/>
      <c r="F7036" s="777" t="s">
        <v>158</v>
      </c>
      <c r="G7036" s="758"/>
      <c r="H7036" s="758"/>
      <c r="I7036" s="519"/>
      <c r="J7036" s="758"/>
      <c r="K7036" s="758"/>
      <c r="L7036" s="758"/>
      <c r="M7036" s="758"/>
      <c r="N7036" s="758"/>
      <c r="O7036" s="758"/>
      <c r="P7036" s="758"/>
      <c r="Q7036" s="778"/>
      <c r="R7036" s="777" t="s">
        <v>159</v>
      </c>
      <c r="S7036" s="38"/>
      <c r="T7036" s="777" t="s">
        <v>160</v>
      </c>
      <c r="AR7036" s="51"/>
      <c r="AS7036" s="777" t="s">
        <v>158</v>
      </c>
    </row>
    <row r="7037" spans="1:45" s="520" customFormat="1" ht="13.2">
      <c r="A7037" s="758"/>
      <c r="B7037" s="3"/>
      <c r="C7037" s="758"/>
      <c r="D7037" s="3"/>
      <c r="E7037" s="3"/>
      <c r="G7037" s="3"/>
      <c r="H7037" s="3"/>
      <c r="I7037" s="3"/>
      <c r="J7037" s="3"/>
      <c r="K7037" s="3"/>
      <c r="L7037" s="3"/>
      <c r="M7037" s="3"/>
      <c r="N7037" s="3"/>
      <c r="O7037" s="107"/>
      <c r="P7037" s="3"/>
      <c r="Q7037" s="3"/>
      <c r="R7037" s="3"/>
      <c r="S7037" s="3"/>
      <c r="T7037" s="3"/>
      <c r="AR7037" s="758"/>
    </row>
    <row r="7038" spans="1:45" s="520" customFormat="1" ht="12" thickBot="1">
      <c r="A7038" s="531"/>
      <c r="B7038" s="763"/>
      <c r="C7038" s="763"/>
      <c r="D7038" s="531"/>
      <c r="E7038" s="39"/>
      <c r="F7038" s="779"/>
      <c r="G7038" s="763"/>
      <c r="H7038" s="763"/>
      <c r="I7038" s="765"/>
      <c r="J7038" s="763"/>
      <c r="K7038" s="763"/>
      <c r="L7038" s="766"/>
      <c r="M7038" s="766"/>
      <c r="N7038" s="766"/>
      <c r="O7038" s="766"/>
      <c r="P7038" s="766"/>
      <c r="Q7038" s="767"/>
      <c r="R7038" s="779"/>
      <c r="S7038" s="780"/>
      <c r="T7038" s="779"/>
      <c r="U7038" s="531"/>
      <c r="V7038" s="531"/>
      <c r="W7038" s="531"/>
      <c r="X7038" s="531"/>
      <c r="Y7038" s="531"/>
      <c r="Z7038" s="531"/>
      <c r="AA7038" s="531"/>
      <c r="AB7038" s="531"/>
      <c r="AC7038" s="531"/>
      <c r="AD7038" s="531"/>
      <c r="AE7038" s="531"/>
      <c r="AF7038" s="531"/>
      <c r="AG7038" s="531"/>
      <c r="AH7038" s="531"/>
      <c r="AI7038" s="531"/>
      <c r="AJ7038" s="531"/>
      <c r="AK7038" s="531"/>
      <c r="AR7038" s="531"/>
      <c r="AS7038" s="779"/>
    </row>
    <row r="7039" spans="1:45" s="520" customFormat="1" thickTop="1">
      <c r="A7039" s="51"/>
      <c r="B7039" s="51"/>
      <c r="C7039" s="3"/>
      <c r="D7039" s="3"/>
      <c r="E7039" s="51"/>
      <c r="F7039" s="51"/>
      <c r="G7039" s="51"/>
      <c r="H7039" s="51"/>
      <c r="I7039" s="51"/>
      <c r="J7039" s="51"/>
      <c r="K7039" s="51" t="s">
        <v>134</v>
      </c>
      <c r="L7039" s="51"/>
      <c r="M7039" s="51"/>
      <c r="N7039" s="51"/>
      <c r="O7039" s="52"/>
      <c r="P7039" s="51"/>
      <c r="Q7039" s="51"/>
      <c r="R7039" s="51"/>
      <c r="S7039" s="51"/>
      <c r="T7039" s="51"/>
      <c r="AR7039" s="51"/>
      <c r="AS7039" s="51"/>
    </row>
    <row r="7040" spans="1:45" s="520" customFormat="1" ht="12">
      <c r="A7040" s="51"/>
      <c r="B7040" s="51"/>
      <c r="C7040" s="51" t="s">
        <v>135</v>
      </c>
      <c r="D7040" s="37"/>
      <c r="E7040" s="51"/>
      <c r="F7040" s="51"/>
      <c r="G7040" s="51"/>
      <c r="H7040" s="51"/>
      <c r="I7040" s="51"/>
      <c r="J7040" s="51"/>
      <c r="K7040" s="51"/>
      <c r="L7040" s="51"/>
      <c r="M7040" s="51"/>
      <c r="N7040" s="51"/>
      <c r="O7040" s="52"/>
      <c r="P7040" s="51"/>
      <c r="Q7040" s="51"/>
      <c r="R7040" s="51"/>
      <c r="S7040" s="51"/>
      <c r="T7040" s="51"/>
      <c r="AR7040" s="51"/>
      <c r="AS7040" s="51"/>
    </row>
    <row r="7041" spans="1:45" s="520" customFormat="1" ht="12">
      <c r="A7041" s="51"/>
      <c r="B7041" s="51"/>
      <c r="C7041" s="51"/>
      <c r="D7041" s="37" t="s">
        <v>983</v>
      </c>
      <c r="E7041" s="51"/>
      <c r="F7041" s="51"/>
      <c r="G7041" s="51"/>
      <c r="H7041" s="51"/>
      <c r="I7041" s="51"/>
      <c r="J7041" s="51"/>
      <c r="K7041" s="51"/>
      <c r="L7041" s="51"/>
      <c r="M7041" s="51"/>
      <c r="N7041" s="51"/>
      <c r="O7041" s="52"/>
      <c r="P7041" s="51"/>
      <c r="Q7041" s="51"/>
      <c r="R7041" s="51"/>
      <c r="S7041" s="38"/>
      <c r="T7041" s="38"/>
      <c r="AR7041" s="51"/>
      <c r="AS7041" s="51"/>
    </row>
    <row r="7042" spans="1:45" s="3" customFormat="1" thickBot="1">
      <c r="A7042" s="531"/>
      <c r="O7042" s="107"/>
      <c r="AR7042" s="531"/>
    </row>
    <row r="7043" spans="1:45" s="520" customFormat="1" thickTop="1">
      <c r="A7043" s="51"/>
      <c r="B7043" s="51"/>
      <c r="C7043" s="3"/>
      <c r="D7043" s="3"/>
      <c r="E7043" s="51"/>
      <c r="F7043" s="51"/>
      <c r="G7043" s="51"/>
      <c r="H7043" s="51"/>
      <c r="I7043" s="51"/>
      <c r="J7043" s="51"/>
      <c r="K7043" s="51" t="s">
        <v>134</v>
      </c>
      <c r="L7043" s="51"/>
      <c r="M7043" s="51"/>
      <c r="N7043" s="51"/>
      <c r="O7043" s="52"/>
      <c r="P7043" s="51"/>
      <c r="Q7043" s="51"/>
      <c r="R7043" s="51"/>
      <c r="S7043" s="51"/>
      <c r="T7043" s="51"/>
      <c r="AR7043" s="51"/>
      <c r="AS7043" s="51"/>
    </row>
    <row r="7044" spans="1:45" s="520" customFormat="1" ht="12">
      <c r="A7044" s="51"/>
      <c r="B7044" s="51"/>
      <c r="C7044" s="51" t="s">
        <v>135</v>
      </c>
      <c r="D7044" s="37"/>
      <c r="E7044" s="51"/>
      <c r="F7044" s="51"/>
      <c r="G7044" s="51"/>
      <c r="H7044" s="51"/>
      <c r="I7044" s="51"/>
      <c r="J7044" s="51"/>
      <c r="K7044" s="51"/>
      <c r="L7044" s="51"/>
      <c r="M7044" s="51"/>
      <c r="N7044" s="51"/>
      <c r="O7044" s="52"/>
      <c r="P7044" s="51"/>
      <c r="Q7044" s="51"/>
      <c r="R7044" s="51"/>
      <c r="S7044" s="51"/>
      <c r="T7044" s="51"/>
      <c r="AR7044" s="51"/>
      <c r="AS7044" s="51"/>
    </row>
    <row r="7045" spans="1:45" s="520" customFormat="1" ht="39.9" customHeight="1">
      <c r="A7045" s="51"/>
      <c r="B7045" s="51"/>
      <c r="C7045" s="51"/>
      <c r="D7045" s="1453" t="s">
        <v>1977</v>
      </c>
      <c r="E7045" s="1452"/>
      <c r="F7045" s="1452"/>
      <c r="G7045" s="1452"/>
      <c r="H7045" s="1452"/>
      <c r="I7045" s="1452"/>
      <c r="J7045" s="1452"/>
      <c r="K7045" s="1452"/>
      <c r="L7045" s="1452"/>
      <c r="M7045" s="1452"/>
      <c r="N7045" s="1452"/>
      <c r="O7045" s="1452"/>
      <c r="P7045" s="1452"/>
      <c r="Q7045" s="1452"/>
      <c r="R7045" s="1452"/>
      <c r="S7045" s="1452"/>
      <c r="T7045" s="1452"/>
      <c r="AR7045" s="51"/>
    </row>
    <row r="7046" spans="1:45" s="3" customFormat="1" thickBot="1">
      <c r="A7046" s="531"/>
      <c r="O7046" s="107"/>
      <c r="AR7046" s="531"/>
    </row>
    <row r="7047" spans="1:45" s="520" customFormat="1" ht="12" thickTop="1">
      <c r="A7047" s="51"/>
      <c r="B7047" s="41"/>
      <c r="C7047" s="51"/>
      <c r="E7047" s="42" t="s">
        <v>138</v>
      </c>
      <c r="F7047" s="42" t="s">
        <v>139</v>
      </c>
      <c r="G7047" s="51"/>
      <c r="H7047" s="51"/>
      <c r="I7047" s="51"/>
      <c r="J7047" s="51"/>
      <c r="K7047" s="51" t="s">
        <v>140</v>
      </c>
      <c r="L7047" s="51"/>
      <c r="M7047" s="51"/>
      <c r="N7047" s="51"/>
      <c r="O7047" s="52"/>
      <c r="P7047" s="51"/>
      <c r="Q7047" s="51"/>
      <c r="R7047" s="51"/>
      <c r="S7047" s="51"/>
      <c r="T7047" s="41"/>
      <c r="AG7047" s="521" t="s">
        <v>268</v>
      </c>
      <c r="AH7047" s="521" t="s">
        <v>269</v>
      </c>
      <c r="AI7047" s="521" t="s">
        <v>270</v>
      </c>
      <c r="AJ7047" s="521" t="s">
        <v>271</v>
      </c>
      <c r="AK7047" s="521" t="s">
        <v>272</v>
      </c>
      <c r="AM7047" s="745" t="s">
        <v>281</v>
      </c>
      <c r="AN7047" s="746" t="s">
        <v>282</v>
      </c>
      <c r="AO7047" s="522" t="s">
        <v>278</v>
      </c>
      <c r="AR7047" s="51"/>
      <c r="AS7047" s="42" t="s">
        <v>139</v>
      </c>
    </row>
    <row r="7048" spans="1:45" s="520" customFormat="1" ht="12" customHeight="1">
      <c r="A7048" s="747">
        <v>59</v>
      </c>
      <c r="B7048" s="523" t="s">
        <v>329</v>
      </c>
      <c r="C7048" s="748"/>
      <c r="D7048" s="749" t="s">
        <v>3925</v>
      </c>
      <c r="E7048" s="750">
        <f ca="1">IF(AND($A7048=0,$A$1="DIF"),0, ROUND(ROUND(($R7064*$S$2+($T7064*$T$2))/A7048,2)*$C$2,2))</f>
        <v>179.49</v>
      </c>
      <c r="F7048" s="751">
        <f ca="1">ROUND($A7048*$E7048,2)</f>
        <v>10589.91</v>
      </c>
      <c r="G7048" s="752" t="s">
        <v>142</v>
      </c>
      <c r="H7048" s="753"/>
      <c r="I7048" s="754"/>
      <c r="J7048" s="753"/>
      <c r="K7048" s="753" t="s">
        <v>3</v>
      </c>
      <c r="L7048" s="755" t="s">
        <v>143</v>
      </c>
      <c r="M7048" s="755"/>
      <c r="N7048" s="755"/>
      <c r="O7048" s="755"/>
      <c r="P7048" s="755"/>
      <c r="Q7048" s="51"/>
      <c r="T7048" s="756" t="str">
        <f ca="1">IF(AND($R7064=0,$T7064=0),"0.00","mu :" &amp; ROUND($F7048/$C$2/($R7064+$T7064*$D$9),2))</f>
        <v>mu :1.23</v>
      </c>
      <c r="W7048" s="524"/>
      <c r="AG7048" s="481">
        <f ca="1">IF($E7048=0,0,ROUND($R7064*$S$2*$C$2/$A7048,2))</f>
        <v>93.78</v>
      </c>
      <c r="AH7048" s="481">
        <f ca="1">$AG7048*$A7048</f>
        <v>5533.02</v>
      </c>
      <c r="AI7048" s="525">
        <f ca="1">$E7048-$AG7048</f>
        <v>85.710000000000008</v>
      </c>
      <c r="AJ7048" s="525">
        <f ca="1">$A7048*$AI7048</f>
        <v>5056.8900000000003</v>
      </c>
      <c r="AK7048" s="526">
        <f ca="1">ROUND(($AG7048+$AI7048)*$A7048,2)</f>
        <v>10589.91</v>
      </c>
      <c r="AM7048" s="527">
        <f ca="1">ROUND(R7064,2)</f>
        <v>4493.6400000000003</v>
      </c>
      <c r="AN7048" s="528">
        <f ca="1">ROUND(T7064,2)</f>
        <v>149.55000000000001</v>
      </c>
      <c r="AO7048" s="529">
        <f ca="1">ROUND(AM7048+AN7048,2)*A7048</f>
        <v>273948.20999999996</v>
      </c>
      <c r="AR7048" s="747">
        <v>59</v>
      </c>
      <c r="AS7048" s="751">
        <v>11156.31</v>
      </c>
    </row>
    <row r="7049" spans="1:45" s="520" customFormat="1" ht="13.2">
      <c r="A7049" s="748"/>
      <c r="B7049"/>
      <c r="C7049" s="748"/>
      <c r="D7049" s="749" t="s">
        <v>947</v>
      </c>
      <c r="F7049" s="753"/>
      <c r="G7049" s="3"/>
      <c r="H7049" s="753"/>
      <c r="I7049" s="754"/>
      <c r="J7049" s="753"/>
      <c r="K7049" s="753" t="s">
        <v>144</v>
      </c>
      <c r="L7049" s="753"/>
      <c r="M7049" s="753"/>
      <c r="N7049" s="753"/>
      <c r="O7049" s="753"/>
      <c r="P7049" s="753"/>
      <c r="Q7049" s="51"/>
      <c r="R7049" s="530"/>
      <c r="S7049" s="757"/>
      <c r="T7049" s="753"/>
      <c r="AR7049" s="748"/>
      <c r="AS7049" s="753"/>
    </row>
    <row r="7050" spans="1:45" s="886" customFormat="1" ht="13.2">
      <c r="A7050"/>
      <c r="B7050" s="910"/>
      <c r="C7050" s="910" t="s">
        <v>2597</v>
      </c>
      <c r="D7050" s="910" t="str">
        <f ca="1">CELL("Address",Elec_Rates!D$1005)</f>
        <v>[E25_0062_Quintano_Foods_Elec_ELV_As_Awarded.xlsx]Elec_Rates!$D$1005</v>
      </c>
      <c r="E7050" s="911"/>
      <c r="F7050" s="911"/>
      <c r="G7050" s="912" t="s">
        <v>2598</v>
      </c>
      <c r="H7050" s="912"/>
      <c r="I7050" s="912"/>
      <c r="J7050" s="912"/>
      <c r="K7050" s="913"/>
      <c r="L7050" s="911"/>
      <c r="M7050" s="911"/>
      <c r="N7050" s="911"/>
      <c r="O7050" s="914"/>
      <c r="P7050" s="911"/>
      <c r="Q7050" s="915"/>
      <c r="R7050" s="916"/>
      <c r="S7050" s="915"/>
      <c r="T7050" s="917"/>
      <c r="U7050" s="918"/>
      <c r="AR7050"/>
      <c r="AS7050" s="911"/>
    </row>
    <row r="7051" spans="1:45" s="886" customFormat="1" ht="11.4">
      <c r="A7051" s="919">
        <v>59</v>
      </c>
      <c r="B7051" s="920">
        <v>1</v>
      </c>
      <c r="C7051" s="920">
        <f>$A7051*$B7051</f>
        <v>59</v>
      </c>
      <c r="D7051" s="921" t="str">
        <f>Elec_Rates!$D$1005</f>
        <v>089# Galvanised Conduit point for Data at level 0</v>
      </c>
      <c r="E7051" s="921"/>
      <c r="F7051" s="921" t="s">
        <v>2599</v>
      </c>
      <c r="G7051" s="922" t="s">
        <v>2600</v>
      </c>
      <c r="H7051" s="922"/>
      <c r="I7051" s="922"/>
      <c r="J7051" s="922"/>
      <c r="K7051" s="923"/>
      <c r="L7051" s="918"/>
      <c r="M7051" s="918"/>
      <c r="N7051" s="918"/>
      <c r="O7051" s="924"/>
      <c r="P7051" s="921"/>
      <c r="Q7051" s="925">
        <f ca="1">$B7051*Elec_Rates!$R$1005</f>
        <v>38</v>
      </c>
      <c r="R7051" s="916">
        <f ca="1">$A7051*Q7051</f>
        <v>2242</v>
      </c>
      <c r="S7051" s="925">
        <f ca="1">$B7051*Elec_Rates!$T$1005</f>
        <v>2.25</v>
      </c>
      <c r="T7051" s="917">
        <f ca="1">$A7051*S7051</f>
        <v>132.75</v>
      </c>
      <c r="U7051" s="926"/>
      <c r="AR7051" s="919">
        <v>59</v>
      </c>
      <c r="AS7051" s="921" t="s">
        <v>2599</v>
      </c>
    </row>
    <row r="7052" spans="1:45" s="901" customFormat="1" ht="11.4">
      <c r="A7052" s="919">
        <v>1</v>
      </c>
      <c r="B7052" s="1084" t="s">
        <v>863</v>
      </c>
      <c r="C7052" s="1084"/>
      <c r="D7052" s="1084" t="s">
        <v>2752</v>
      </c>
      <c r="E7052" s="1084"/>
      <c r="F7052" s="1084" t="s">
        <v>3326</v>
      </c>
      <c r="G7052" s="1091" t="s">
        <v>2754</v>
      </c>
      <c r="H7052" s="1092">
        <v>962</v>
      </c>
      <c r="I7052" s="1084" t="s">
        <v>2596</v>
      </c>
      <c r="J7052" s="1084"/>
      <c r="K7052" s="1084"/>
      <c r="L7052" s="1084"/>
      <c r="M7052" s="1084"/>
      <c r="N7052" s="1084"/>
      <c r="O7052" s="1093">
        <v>2</v>
      </c>
      <c r="P7052" s="1094">
        <v>38129</v>
      </c>
      <c r="Q7052" s="945">
        <f>0.41 *(1 *(115/8*120))</f>
        <v>707.25</v>
      </c>
      <c r="R7052" s="1096">
        <f>$A7052*Q7052</f>
        <v>707.25</v>
      </c>
      <c r="S7052" s="1095"/>
      <c r="T7052" s="1097">
        <f>$A7052*S7052*$T$1</f>
        <v>0</v>
      </c>
      <c r="AR7052" s="919">
        <v>1</v>
      </c>
      <c r="AS7052" s="1084" t="s">
        <v>3326</v>
      </c>
    </row>
    <row r="7053" spans="1:45" s="901" customFormat="1" ht="11.4">
      <c r="A7053" s="919">
        <v>1</v>
      </c>
      <c r="B7053" s="901" t="s">
        <v>2755</v>
      </c>
      <c r="D7053" s="901" t="s">
        <v>3325</v>
      </c>
      <c r="F7053" s="901" t="s">
        <v>3666</v>
      </c>
      <c r="G7053" s="941" t="s">
        <v>3324</v>
      </c>
      <c r="H7053" s="942">
        <v>845</v>
      </c>
      <c r="I7053" s="901" t="s">
        <v>2607</v>
      </c>
      <c r="O7053" s="943">
        <v>3</v>
      </c>
      <c r="P7053" s="944">
        <v>39713</v>
      </c>
      <c r="Q7053" s="945">
        <f>0.41 *(115/8*25)</f>
        <v>147.34375</v>
      </c>
      <c r="R7053" s="946">
        <f>$A7053*Q7053</f>
        <v>147.34375</v>
      </c>
      <c r="S7053" s="945"/>
      <c r="T7053" s="947">
        <f>$A7053*S7053*$T$1</f>
        <v>0</v>
      </c>
      <c r="AR7053" s="919">
        <v>1</v>
      </c>
      <c r="AS7053" s="901" t="s">
        <v>3666</v>
      </c>
    </row>
    <row r="7054" spans="1:45" s="886" customFormat="1" ht="11.4">
      <c r="A7054" s="919"/>
      <c r="B7054" s="920"/>
      <c r="C7054" s="920"/>
      <c r="D7054" s="1157" t="s">
        <v>3605</v>
      </c>
      <c r="E7054" s="921"/>
      <c r="F7054" s="921"/>
      <c r="G7054" s="922"/>
      <c r="H7054" s="922"/>
      <c r="I7054" s="922"/>
      <c r="J7054" s="922"/>
      <c r="K7054" s="923"/>
      <c r="L7054" s="918"/>
      <c r="M7054" s="918"/>
      <c r="N7054" s="918"/>
      <c r="O7054" s="924"/>
      <c r="P7054" s="921"/>
      <c r="Q7054" s="925"/>
      <c r="R7054" s="916"/>
      <c r="S7054" s="925"/>
      <c r="T7054" s="917"/>
      <c r="U7054" s="926"/>
      <c r="AR7054" s="919"/>
      <c r="AS7054" s="921"/>
    </row>
    <row r="7055" spans="1:45" s="886" customFormat="1" ht="13.2">
      <c r="A7055"/>
      <c r="B7055" s="910"/>
      <c r="C7055" s="910" t="s">
        <v>2597</v>
      </c>
      <c r="D7055" s="910" t="str">
        <f ca="1">CELL("Address",Elec_Rates!D$822)</f>
        <v>[E25_0062_Quintano_Foods_Elec_ELV_As_Awarded.xlsx]Elec_Rates!$D$822</v>
      </c>
      <c r="E7055" s="911"/>
      <c r="F7055" s="911"/>
      <c r="G7055" s="912" t="s">
        <v>2598</v>
      </c>
      <c r="H7055" s="912"/>
      <c r="I7055" s="912"/>
      <c r="J7055" s="912"/>
      <c r="K7055" s="913"/>
      <c r="L7055" s="911"/>
      <c r="M7055" s="911"/>
      <c r="N7055" s="911"/>
      <c r="O7055" s="914"/>
      <c r="P7055" s="911"/>
      <c r="Q7055" s="915"/>
      <c r="R7055" s="916"/>
      <c r="S7055" s="915"/>
      <c r="T7055" s="917"/>
      <c r="U7055" s="918"/>
      <c r="AR7055"/>
      <c r="AS7055" s="911"/>
    </row>
    <row r="7056" spans="1:45" s="886" customFormat="1" ht="11.4">
      <c r="A7056" s="919">
        <v>40</v>
      </c>
      <c r="B7056" s="920">
        <v>1</v>
      </c>
      <c r="C7056" s="920">
        <f>$A7056*$B7056</f>
        <v>40</v>
      </c>
      <c r="D7056" s="921" t="str">
        <f>Elec_Rates!$D$822</f>
        <v>078# 75x75mm galvanised steel cable trunking</v>
      </c>
      <c r="E7056" s="921"/>
      <c r="F7056" s="921" t="s">
        <v>2599</v>
      </c>
      <c r="G7056" s="922" t="s">
        <v>2600</v>
      </c>
      <c r="H7056" s="922"/>
      <c r="I7056" s="922"/>
      <c r="J7056" s="922"/>
      <c r="K7056" s="923"/>
      <c r="L7056" s="918"/>
      <c r="M7056" s="918"/>
      <c r="N7056" s="918"/>
      <c r="O7056" s="924"/>
      <c r="P7056" s="921"/>
      <c r="Q7056" s="925">
        <f ca="1">$B7056*Elec_Rates!$R$822</f>
        <v>6.95</v>
      </c>
      <c r="R7056" s="916">
        <f ca="1">$A7056*Q7056</f>
        <v>278</v>
      </c>
      <c r="S7056" s="925">
        <f ca="1">$B7056*Elec_Rates!$T$822</f>
        <v>0.28999999999999998</v>
      </c>
      <c r="T7056" s="917">
        <f ca="1">$A7056*S7056</f>
        <v>11.6</v>
      </c>
      <c r="U7056" s="926"/>
      <c r="AR7056" s="919">
        <v>40</v>
      </c>
      <c r="AS7056" s="921" t="s">
        <v>2599</v>
      </c>
    </row>
    <row r="7057" spans="1:45" s="886" customFormat="1" ht="13.2">
      <c r="A7057"/>
      <c r="B7057" s="910"/>
      <c r="C7057" s="910" t="s">
        <v>2597</v>
      </c>
      <c r="D7057" s="910" t="str">
        <f ca="1">CELL("Address",Elec_Rates!D$994)</f>
        <v>[E25_0062_Quintano_Foods_Elec_ELV_As_Awarded.xlsx]Elec_Rates!$D$994</v>
      </c>
      <c r="E7057" s="911"/>
      <c r="F7057" s="911"/>
      <c r="G7057" s="912" t="s">
        <v>2598</v>
      </c>
      <c r="H7057" s="912"/>
      <c r="I7057" s="912"/>
      <c r="J7057" s="912"/>
      <c r="K7057" s="913"/>
      <c r="L7057" s="911"/>
      <c r="M7057" s="911"/>
      <c r="N7057" s="911"/>
      <c r="O7057" s="914"/>
      <c r="P7057" s="911"/>
      <c r="Q7057" s="915"/>
      <c r="R7057" s="916"/>
      <c r="S7057" s="915"/>
      <c r="T7057" s="917"/>
      <c r="U7057" s="918"/>
      <c r="AR7057"/>
      <c r="AS7057" s="911"/>
    </row>
    <row r="7058" spans="1:45" s="886" customFormat="1" ht="11.4">
      <c r="A7058" s="919">
        <v>40</v>
      </c>
      <c r="B7058" s="920">
        <v>1</v>
      </c>
      <c r="C7058" s="920">
        <f>$A7058*$B7058</f>
        <v>40</v>
      </c>
      <c r="D7058" s="921" t="str">
        <f>Elec_Rates!$D$994</f>
        <v>088# Scissors lift in Warehouse for cable tray and trunking (Excluding bracketing)</v>
      </c>
      <c r="E7058" s="921"/>
      <c r="F7058" s="921" t="s">
        <v>2599</v>
      </c>
      <c r="G7058" s="922" t="s">
        <v>2600</v>
      </c>
      <c r="H7058" s="922"/>
      <c r="I7058" s="922"/>
      <c r="J7058" s="922"/>
      <c r="K7058" s="923"/>
      <c r="L7058" s="918"/>
      <c r="M7058" s="918"/>
      <c r="N7058" s="918"/>
      <c r="O7058" s="924"/>
      <c r="P7058" s="921"/>
      <c r="Q7058" s="925">
        <f ca="1">$B7058*Elec_Rates!$R$994</f>
        <v>2.11</v>
      </c>
      <c r="R7058" s="916">
        <f ca="1">$A7058*Q7058</f>
        <v>84.399999999999991</v>
      </c>
      <c r="S7058" s="925">
        <f ca="1">$B7058*Elec_Rates!$T$994</f>
        <v>0</v>
      </c>
      <c r="T7058" s="917">
        <f ca="1">$A7058*S7058</f>
        <v>0</v>
      </c>
      <c r="U7058" s="926"/>
      <c r="AR7058" s="919">
        <v>40</v>
      </c>
      <c r="AS7058" s="921" t="s">
        <v>2599</v>
      </c>
    </row>
    <row r="7059" spans="1:45" s="886" customFormat="1" ht="13.2">
      <c r="A7059"/>
      <c r="B7059" s="910"/>
      <c r="C7059" s="910" t="s">
        <v>2597</v>
      </c>
      <c r="D7059" s="910" t="str">
        <f ca="1">CELL("Address",Elec_Rates!D$948)</f>
        <v>[E25_0062_Quintano_Foods_Elec_ELV_As_Awarded.xlsx]Elec_Rates!$D$948</v>
      </c>
      <c r="E7059" s="911"/>
      <c r="F7059" s="911"/>
      <c r="G7059" s="912" t="s">
        <v>2598</v>
      </c>
      <c r="H7059" s="912"/>
      <c r="I7059" s="912"/>
      <c r="J7059" s="912"/>
      <c r="K7059" s="913"/>
      <c r="L7059" s="911"/>
      <c r="M7059" s="911"/>
      <c r="N7059" s="911"/>
      <c r="O7059" s="914"/>
      <c r="P7059" s="911"/>
      <c r="Q7059" s="915"/>
      <c r="R7059" s="916"/>
      <c r="S7059" s="915"/>
      <c r="T7059" s="917"/>
      <c r="U7059" s="918"/>
      <c r="AR7059"/>
      <c r="AS7059" s="911"/>
    </row>
    <row r="7060" spans="1:45" s="886" customFormat="1" ht="11.4">
      <c r="A7060" s="919">
        <v>40</v>
      </c>
      <c r="B7060" s="920">
        <v>1</v>
      </c>
      <c r="C7060" s="920">
        <f>$A7060*$B7060</f>
        <v>40</v>
      </c>
      <c r="D7060" s="921" t="str">
        <f>Elec_Rates!$D$948</f>
        <v>087# Bracket for Cable containment in warehouse</v>
      </c>
      <c r="E7060" s="921"/>
      <c r="F7060" s="921" t="s">
        <v>2599</v>
      </c>
      <c r="G7060" s="922" t="s">
        <v>2601</v>
      </c>
      <c r="H7060" s="922"/>
      <c r="I7060" s="922"/>
      <c r="J7060" s="922"/>
      <c r="K7060" s="923"/>
      <c r="L7060" s="918"/>
      <c r="M7060" s="918"/>
      <c r="N7060" s="918"/>
      <c r="O7060" s="924"/>
      <c r="P7060" s="921"/>
      <c r="Q7060" s="925">
        <f ca="1">$B7060*Elec_Rates!$R$948</f>
        <v>24.38</v>
      </c>
      <c r="R7060" s="916">
        <f ca="1">$A7060*Q7060</f>
        <v>975.19999999999993</v>
      </c>
      <c r="S7060" s="925">
        <f ca="1">$B7060*Elec_Rates!$T$948</f>
        <v>0.13</v>
      </c>
      <c r="T7060" s="917">
        <f ca="1">$A7060*S7060</f>
        <v>5.2</v>
      </c>
      <c r="U7060" s="926"/>
      <c r="AR7060" s="919">
        <v>40</v>
      </c>
      <c r="AS7060" s="921" t="s">
        <v>2599</v>
      </c>
    </row>
    <row r="7061" spans="1:45" s="901" customFormat="1" ht="11.4">
      <c r="A7061" s="919">
        <v>1</v>
      </c>
      <c r="B7061" s="1084" t="s">
        <v>863</v>
      </c>
      <c r="C7061" s="1084"/>
      <c r="D7061" s="1084" t="s">
        <v>2752</v>
      </c>
      <c r="E7061" s="1084"/>
      <c r="F7061" s="1084" t="s">
        <v>3326</v>
      </c>
      <c r="G7061" s="1091" t="s">
        <v>2754</v>
      </c>
      <c r="H7061" s="1092">
        <v>962</v>
      </c>
      <c r="I7061" s="1084" t="s">
        <v>2596</v>
      </c>
      <c r="J7061" s="1084"/>
      <c r="K7061" s="1084"/>
      <c r="L7061" s="1084"/>
      <c r="M7061" s="1084"/>
      <c r="N7061" s="1084"/>
      <c r="O7061" s="1093">
        <v>2</v>
      </c>
      <c r="P7061" s="1094">
        <v>38129</v>
      </c>
      <c r="Q7061" s="945">
        <f>0.41 *(1 *(8/8*120))</f>
        <v>49.199999999999996</v>
      </c>
      <c r="R7061" s="1096">
        <f>$A7061*Q7061</f>
        <v>49.199999999999996</v>
      </c>
      <c r="S7061" s="1095"/>
      <c r="T7061" s="1097">
        <f>$A7061*S7061*$T$1</f>
        <v>0</v>
      </c>
      <c r="AR7061" s="919">
        <v>1</v>
      </c>
      <c r="AS7061" s="1084" t="s">
        <v>3326</v>
      </c>
    </row>
    <row r="7062" spans="1:45" s="901" customFormat="1" ht="11.4">
      <c r="A7062" s="919">
        <v>1</v>
      </c>
      <c r="B7062" s="901" t="s">
        <v>2755</v>
      </c>
      <c r="D7062" s="901" t="s">
        <v>3325</v>
      </c>
      <c r="F7062" s="901" t="s">
        <v>3666</v>
      </c>
      <c r="G7062" s="941" t="s">
        <v>3324</v>
      </c>
      <c r="H7062" s="942">
        <v>845</v>
      </c>
      <c r="I7062" s="901" t="s">
        <v>2607</v>
      </c>
      <c r="O7062" s="943">
        <v>3</v>
      </c>
      <c r="P7062" s="944">
        <v>39713</v>
      </c>
      <c r="Q7062" s="945">
        <f>0.41 *(8/8*25)</f>
        <v>10.25</v>
      </c>
      <c r="R7062" s="946">
        <f>$A7062*Q7062</f>
        <v>10.25</v>
      </c>
      <c r="S7062" s="945"/>
      <c r="T7062" s="947">
        <f>$A7062*S7062*$T$1</f>
        <v>0</v>
      </c>
      <c r="AR7062" s="919">
        <v>1</v>
      </c>
      <c r="AS7062" s="901" t="s">
        <v>3666</v>
      </c>
    </row>
    <row r="7063" spans="1:45" s="520" customFormat="1" ht="12">
      <c r="A7063" s="758"/>
      <c r="B7063" s="758"/>
      <c r="C7063" s="758"/>
      <c r="D7063" s="758"/>
      <c r="E7063" s="758"/>
      <c r="F7063" s="753"/>
      <c r="G7063" s="758"/>
      <c r="H7063" s="758"/>
      <c r="I7063" s="519"/>
      <c r="J7063" s="758"/>
      <c r="K7063" s="758"/>
      <c r="L7063" s="758"/>
      <c r="M7063" s="758"/>
      <c r="N7063" s="758"/>
      <c r="O7063" s="758"/>
      <c r="P7063" s="758"/>
      <c r="Q7063" s="519"/>
      <c r="R7063" s="759">
        <f t="shared" ref="R7063" si="588">$A7063*Q7063</f>
        <v>0</v>
      </c>
      <c r="S7063" s="519"/>
      <c r="T7063" s="760">
        <f t="shared" ref="T7063" si="589">$A7063*S7063*$T$1</f>
        <v>0</v>
      </c>
      <c r="AR7063" s="758"/>
      <c r="AS7063" s="753"/>
    </row>
    <row r="7064" spans="1:45" s="520" customFormat="1" ht="12.6" thickBot="1">
      <c r="A7064" s="761" t="s">
        <v>145</v>
      </c>
      <c r="B7064" s="762">
        <f>(R7063+T7063)</f>
        <v>0</v>
      </c>
      <c r="C7064" s="763"/>
      <c r="D7064" s="763"/>
      <c r="E7064" s="763"/>
      <c r="F7064" s="764"/>
      <c r="G7064" s="763" t="s">
        <v>146</v>
      </c>
      <c r="H7064" s="763"/>
      <c r="I7064" s="765"/>
      <c r="J7064" s="763"/>
      <c r="K7064" s="763" t="s">
        <v>3</v>
      </c>
      <c r="L7064" s="766" t="s">
        <v>143</v>
      </c>
      <c r="M7064" s="766"/>
      <c r="N7064" s="766"/>
      <c r="O7064" s="766"/>
      <c r="P7064" s="766"/>
      <c r="Q7064" s="767"/>
      <c r="R7064" s="768">
        <f ca="1">SUM(R7049:R7063)</f>
        <v>4493.6437500000002</v>
      </c>
      <c r="S7064" s="763"/>
      <c r="T7064" s="768">
        <f ca="1">SUM(T7049:T7063)</f>
        <v>149.54999999999998</v>
      </c>
      <c r="U7064" s="531"/>
      <c r="V7064" s="531"/>
      <c r="W7064" s="531"/>
      <c r="X7064" s="531"/>
      <c r="Y7064" s="531"/>
      <c r="Z7064" s="531"/>
      <c r="AA7064" s="531"/>
      <c r="AB7064" s="531"/>
      <c r="AC7064" s="531"/>
      <c r="AD7064" s="531"/>
      <c r="AE7064" s="531"/>
      <c r="AF7064" s="531"/>
      <c r="AG7064" s="531"/>
      <c r="AH7064" s="531"/>
      <c r="AI7064" s="531"/>
      <c r="AJ7064" s="531"/>
      <c r="AK7064" s="531"/>
      <c r="AL7064" s="531"/>
      <c r="AM7064" s="531"/>
      <c r="AN7064" s="531"/>
      <c r="AO7064" s="531"/>
      <c r="AR7064" s="761" t="s">
        <v>145</v>
      </c>
      <c r="AS7064" s="764"/>
    </row>
    <row r="7065" spans="1:45" s="520" customFormat="1" thickTop="1">
      <c r="A7065" s="51"/>
      <c r="B7065" s="51"/>
      <c r="C7065" s="3"/>
      <c r="D7065" s="3"/>
      <c r="E7065" s="51"/>
      <c r="F7065" s="51"/>
      <c r="G7065" s="51"/>
      <c r="H7065" s="51"/>
      <c r="I7065" s="51"/>
      <c r="J7065" s="51"/>
      <c r="K7065" s="51" t="s">
        <v>134</v>
      </c>
      <c r="L7065" s="51"/>
      <c r="M7065" s="51"/>
      <c r="N7065" s="51"/>
      <c r="O7065" s="52"/>
      <c r="P7065" s="51"/>
      <c r="Q7065" s="51"/>
      <c r="R7065" s="51"/>
      <c r="S7065" s="51"/>
      <c r="T7065" s="51"/>
      <c r="AR7065" s="51"/>
      <c r="AS7065" s="51"/>
    </row>
    <row r="7066" spans="1:45" s="520" customFormat="1" ht="12">
      <c r="A7066" s="51"/>
      <c r="B7066" s="51"/>
      <c r="C7066" s="51" t="s">
        <v>135</v>
      </c>
      <c r="D7066" s="37"/>
      <c r="E7066" s="51"/>
      <c r="F7066" s="51"/>
      <c r="G7066" s="51"/>
      <c r="H7066" s="51"/>
      <c r="I7066" s="51"/>
      <c r="J7066" s="51"/>
      <c r="K7066" s="51"/>
      <c r="L7066" s="51"/>
      <c r="M7066" s="51"/>
      <c r="N7066" s="51"/>
      <c r="O7066" s="52"/>
      <c r="P7066" s="51"/>
      <c r="Q7066" s="51"/>
      <c r="R7066" s="51"/>
      <c r="S7066" s="51"/>
      <c r="T7066" s="51"/>
      <c r="AR7066" s="51"/>
      <c r="AS7066" s="51"/>
    </row>
    <row r="7067" spans="1:45" s="520" customFormat="1" ht="39.9" customHeight="1">
      <c r="A7067" s="51"/>
      <c r="B7067" s="51"/>
      <c r="C7067" s="51"/>
      <c r="D7067" s="1453" t="s">
        <v>1979</v>
      </c>
      <c r="E7067" s="1452"/>
      <c r="F7067" s="1452"/>
      <c r="G7067" s="1452"/>
      <c r="H7067" s="1452"/>
      <c r="I7067" s="1452"/>
      <c r="J7067" s="1452"/>
      <c r="K7067" s="1452"/>
      <c r="L7067" s="1452"/>
      <c r="M7067" s="1452"/>
      <c r="N7067" s="1452"/>
      <c r="O7067" s="1452"/>
      <c r="P7067" s="1452"/>
      <c r="Q7067" s="1452"/>
      <c r="R7067" s="1452"/>
      <c r="S7067" s="1452"/>
      <c r="T7067" s="1452"/>
      <c r="AR7067" s="51"/>
    </row>
    <row r="7068" spans="1:45" s="3" customFormat="1" thickBot="1">
      <c r="A7068" s="531"/>
      <c r="O7068" s="107"/>
      <c r="AR7068" s="531"/>
    </row>
    <row r="7069" spans="1:45" s="520" customFormat="1" ht="12" thickTop="1">
      <c r="A7069" s="51"/>
      <c r="B7069" s="41"/>
      <c r="C7069" s="51"/>
      <c r="E7069" s="42" t="s">
        <v>138</v>
      </c>
      <c r="F7069" s="42" t="s">
        <v>139</v>
      </c>
      <c r="G7069" s="51"/>
      <c r="H7069" s="51"/>
      <c r="I7069" s="51"/>
      <c r="J7069" s="51"/>
      <c r="K7069" s="51" t="s">
        <v>140</v>
      </c>
      <c r="L7069" s="51"/>
      <c r="M7069" s="51"/>
      <c r="N7069" s="51"/>
      <c r="O7069" s="52"/>
      <c r="P7069" s="51"/>
      <c r="Q7069" s="51"/>
      <c r="R7069" s="51"/>
      <c r="S7069" s="51"/>
      <c r="T7069" s="41"/>
      <c r="AG7069" s="521" t="s">
        <v>268</v>
      </c>
      <c r="AH7069" s="521" t="s">
        <v>269</v>
      </c>
      <c r="AI7069" s="521" t="s">
        <v>270</v>
      </c>
      <c r="AJ7069" s="521" t="s">
        <v>271</v>
      </c>
      <c r="AK7069" s="521" t="s">
        <v>272</v>
      </c>
      <c r="AM7069" s="745" t="s">
        <v>281</v>
      </c>
      <c r="AN7069" s="746" t="s">
        <v>282</v>
      </c>
      <c r="AO7069" s="522" t="s">
        <v>278</v>
      </c>
      <c r="AR7069" s="51"/>
      <c r="AS7069" s="42" t="s">
        <v>139</v>
      </c>
    </row>
    <row r="7070" spans="1:45" s="520" customFormat="1" ht="12" customHeight="1">
      <c r="A7070" s="747">
        <f>21/23 *(23)</f>
        <v>21</v>
      </c>
      <c r="B7070" s="523" t="s">
        <v>329</v>
      </c>
      <c r="C7070" s="748"/>
      <c r="D7070" s="749" t="s">
        <v>3926</v>
      </c>
      <c r="E7070" s="750">
        <f>IF(AND($A7070=0,$A$1="DIF"),0, ROUND(ROUND(($R7084*$S$2+($T7084*$T$2))/A7070,2)*$C$2,2))</f>
        <v>887.44</v>
      </c>
      <c r="F7070" s="751">
        <f>ROUND($A7070*$E7070,2)</f>
        <v>18636.240000000002</v>
      </c>
      <c r="G7070" s="752" t="s">
        <v>142</v>
      </c>
      <c r="H7070" s="753"/>
      <c r="I7070" s="754"/>
      <c r="J7070" s="753"/>
      <c r="K7070" s="753" t="s">
        <v>3</v>
      </c>
      <c r="L7070" s="755" t="s">
        <v>143</v>
      </c>
      <c r="M7070" s="755"/>
      <c r="N7070" s="755"/>
      <c r="O7070" s="755"/>
      <c r="P7070" s="755"/>
      <c r="Q7070" s="51"/>
      <c r="T7070" s="756" t="str">
        <f>IF(AND($R7084=0,$T7084=0),"0.00","mu :" &amp; ROUND($F7070/$C$2/($R7084+$T7084*$D$9),2))</f>
        <v>mu :1.23</v>
      </c>
      <c r="W7070" s="524"/>
      <c r="AG7070" s="481">
        <f>IF($E7070=0,0,ROUND($R7084*$S$2*$C$2/$A7070,2))</f>
        <v>788.21</v>
      </c>
      <c r="AH7070" s="481">
        <f>$AG7070*$A7070</f>
        <v>16552.41</v>
      </c>
      <c r="AI7070" s="525">
        <f>$E7070-$AG7070</f>
        <v>99.230000000000018</v>
      </c>
      <c r="AJ7070" s="525">
        <f>$A7070*$AI7070</f>
        <v>2083.8300000000004</v>
      </c>
      <c r="AK7070" s="526">
        <f>ROUND(($AG7070+$AI7070)*$A7070,2)</f>
        <v>18636.240000000002</v>
      </c>
      <c r="AM7070" s="527">
        <f>ROUND(R7084,2)</f>
        <v>13442.52</v>
      </c>
      <c r="AN7070" s="528">
        <f>ROUND(T7084,2)</f>
        <v>61.63</v>
      </c>
      <c r="AO7070" s="529">
        <f>ROUND(AM7070+AN7070,2)*A7070</f>
        <v>283587.14999999997</v>
      </c>
      <c r="AR7070" s="747">
        <v>23</v>
      </c>
      <c r="AS7070" s="751">
        <v>20664.810000000001</v>
      </c>
    </row>
    <row r="7071" spans="1:45" s="520" customFormat="1" ht="13.2">
      <c r="A7071" s="748"/>
      <c r="B7071"/>
      <c r="C7071" s="748"/>
      <c r="D7071" s="749" t="s">
        <v>947</v>
      </c>
      <c r="F7071" s="753"/>
      <c r="G7071" s="3"/>
      <c r="H7071" s="753"/>
      <c r="I7071" s="754"/>
      <c r="J7071" s="753"/>
      <c r="K7071" s="753" t="s">
        <v>144</v>
      </c>
      <c r="L7071" s="753"/>
      <c r="M7071" s="753"/>
      <c r="N7071" s="753"/>
      <c r="O7071" s="753"/>
      <c r="P7071" s="753"/>
      <c r="Q7071" s="51"/>
      <c r="R7071" s="530"/>
      <c r="S7071" s="757"/>
      <c r="T7071" s="753"/>
      <c r="AR7071" s="748"/>
      <c r="AS7071" s="753"/>
    </row>
    <row r="7072" spans="1:45" s="901" customFormat="1" ht="11.4">
      <c r="A7072" s="758"/>
      <c r="D7072" s="1088" t="s">
        <v>3607</v>
      </c>
      <c r="G7072" s="941"/>
      <c r="H7072" s="942"/>
      <c r="O7072" s="943"/>
      <c r="P7072" s="944"/>
      <c r="Q7072" s="945"/>
      <c r="R7072" s="946"/>
      <c r="S7072" s="945"/>
      <c r="T7072" s="947"/>
      <c r="AR7072" s="758"/>
    </row>
    <row r="7073" spans="1:45" s="901" customFormat="1" ht="13.2">
      <c r="A7073" s="1203">
        <f>21/23 *(300)</f>
        <v>273.91304347826087</v>
      </c>
      <c r="B7073" s="901" t="s">
        <v>320</v>
      </c>
      <c r="C7073" s="116">
        <v>460</v>
      </c>
      <c r="D7073" s="901" t="s">
        <v>3255</v>
      </c>
      <c r="G7073" s="941" t="s">
        <v>3245</v>
      </c>
      <c r="H7073" s="942">
        <v>690</v>
      </c>
      <c r="I7073" s="901" t="s">
        <v>2607</v>
      </c>
      <c r="J7073" s="901" t="s">
        <v>2953</v>
      </c>
      <c r="O7073" s="943">
        <v>1</v>
      </c>
      <c r="P7073" s="944">
        <v>38134</v>
      </c>
      <c r="Q7073" s="945">
        <f>(ROUNDUP(51.45/3*1.112,2))</f>
        <v>19.080000000000002</v>
      </c>
      <c r="R7073" s="946">
        <f t="shared" ref="R7073:R7080" si="590">$A7073*Q7073</f>
        <v>5226.2608695652179</v>
      </c>
      <c r="S7073" s="1193">
        <v>0.25</v>
      </c>
      <c r="T7073" s="947">
        <f t="shared" ref="T7073:T7080" si="591">$A7073*S7073*$T$1</f>
        <v>61.630434782608695</v>
      </c>
      <c r="AR7073" s="1203">
        <v>300</v>
      </c>
    </row>
    <row r="7074" spans="1:45" s="901" customFormat="1" ht="13.2">
      <c r="A7074" s="1203">
        <f>21/23 *(46)</f>
        <v>42</v>
      </c>
      <c r="B7074" s="901" t="s">
        <v>141</v>
      </c>
      <c r="C7074" s="116">
        <v>46</v>
      </c>
      <c r="D7074" s="901" t="s">
        <v>3256</v>
      </c>
      <c r="G7074" s="941" t="s">
        <v>3247</v>
      </c>
      <c r="H7074" s="942">
        <v>690</v>
      </c>
      <c r="I7074" s="901" t="s">
        <v>2607</v>
      </c>
      <c r="J7074" s="901" t="s">
        <v>2953</v>
      </c>
      <c r="O7074" s="943">
        <v>1</v>
      </c>
      <c r="P7074" s="944">
        <v>38162</v>
      </c>
      <c r="Q7074" s="945">
        <f>(ROUNDUP(10.36*1.112,2))</f>
        <v>11.53</v>
      </c>
      <c r="R7074" s="946">
        <f t="shared" si="590"/>
        <v>484.26</v>
      </c>
      <c r="S7074" s="945"/>
      <c r="T7074" s="947">
        <f t="shared" si="591"/>
        <v>0</v>
      </c>
      <c r="AR7074" s="1203">
        <v>46</v>
      </c>
    </row>
    <row r="7075" spans="1:45" s="901" customFormat="1" ht="13.2">
      <c r="A7075" s="1203">
        <f>21/23 *(46+460/3)</f>
        <v>182</v>
      </c>
      <c r="B7075" s="901" t="s">
        <v>141</v>
      </c>
      <c r="C7075" s="116">
        <v>203.33333333333334</v>
      </c>
      <c r="D7075" s="901" t="s">
        <v>3268</v>
      </c>
      <c r="G7075" s="941" t="s">
        <v>3247</v>
      </c>
      <c r="H7075" s="942">
        <v>690</v>
      </c>
      <c r="I7075" s="901" t="s">
        <v>2607</v>
      </c>
      <c r="J7075" s="901" t="s">
        <v>2953</v>
      </c>
      <c r="O7075" s="943">
        <v>1</v>
      </c>
      <c r="P7075" s="944">
        <v>38162</v>
      </c>
      <c r="Q7075" s="945">
        <f>(ROUNDUP(7.79*1.112,2))</f>
        <v>8.67</v>
      </c>
      <c r="R7075" s="946">
        <f t="shared" si="590"/>
        <v>1577.94</v>
      </c>
      <c r="S7075" s="945"/>
      <c r="T7075" s="947">
        <f t="shared" si="591"/>
        <v>0</v>
      </c>
      <c r="AR7075" s="1203">
        <v>199.33333333333334</v>
      </c>
    </row>
    <row r="7076" spans="1:45" s="901" customFormat="1" ht="13.2">
      <c r="A7076" s="1203">
        <f>21/23 *(300/1.5)</f>
        <v>182.60869565217391</v>
      </c>
      <c r="B7076" s="901" t="s">
        <v>141</v>
      </c>
      <c r="C7076" s="116">
        <v>460</v>
      </c>
      <c r="D7076" s="901" t="s">
        <v>3257</v>
      </c>
      <c r="G7076" s="941" t="s">
        <v>3249</v>
      </c>
      <c r="H7076" s="942">
        <v>690</v>
      </c>
      <c r="I7076" s="901" t="s">
        <v>2607</v>
      </c>
      <c r="J7076" s="901" t="s">
        <v>2953</v>
      </c>
      <c r="O7076" s="943">
        <v>1</v>
      </c>
      <c r="P7076" s="944">
        <v>38136</v>
      </c>
      <c r="Q7076" s="945">
        <f>(ROUNDUP(11.81*1.112,2))</f>
        <v>13.14</v>
      </c>
      <c r="R7076" s="946">
        <f t="shared" si="590"/>
        <v>2399.478260869565</v>
      </c>
      <c r="S7076" s="945"/>
      <c r="T7076" s="947">
        <f t="shared" si="591"/>
        <v>0</v>
      </c>
      <c r="AR7076" s="1203">
        <v>200</v>
      </c>
    </row>
    <row r="7077" spans="1:45" s="901" customFormat="1" ht="13.2">
      <c r="A7077" s="1203">
        <f>21/23 *(23*3)</f>
        <v>62.999999999999993</v>
      </c>
      <c r="B7077" s="901" t="s">
        <v>141</v>
      </c>
      <c r="C7077" s="116">
        <v>92</v>
      </c>
      <c r="D7077" s="901" t="s">
        <v>3258</v>
      </c>
      <c r="F7077" s="901" t="s">
        <v>3291</v>
      </c>
      <c r="G7077" s="941" t="s">
        <v>3249</v>
      </c>
      <c r="H7077" s="942">
        <v>690</v>
      </c>
      <c r="I7077" s="901" t="s">
        <v>2607</v>
      </c>
      <c r="J7077" s="901" t="s">
        <v>2953</v>
      </c>
      <c r="O7077" s="943">
        <v>1</v>
      </c>
      <c r="P7077" s="944">
        <v>38136</v>
      </c>
      <c r="Q7077" s="945">
        <f>(ROUNDUP(39.5*1.112,2))</f>
        <v>43.93</v>
      </c>
      <c r="R7077" s="946">
        <f t="shared" si="590"/>
        <v>2767.5899999999997</v>
      </c>
      <c r="S7077" s="945"/>
      <c r="T7077" s="947">
        <f t="shared" si="591"/>
        <v>0</v>
      </c>
      <c r="AR7077" s="1203">
        <v>69</v>
      </c>
      <c r="AS7077" s="901" t="s">
        <v>3291</v>
      </c>
    </row>
    <row r="7078" spans="1:45" s="901" customFormat="1" ht="13.2">
      <c r="A7078" s="1203">
        <f>21/23 *(46)</f>
        <v>42</v>
      </c>
      <c r="B7078" s="901" t="s">
        <v>141</v>
      </c>
      <c r="C7078" s="116">
        <v>46</v>
      </c>
      <c r="D7078" s="901" t="s">
        <v>3297</v>
      </c>
      <c r="G7078" s="941" t="s">
        <v>3249</v>
      </c>
      <c r="H7078" s="942">
        <v>690</v>
      </c>
      <c r="I7078" s="901" t="s">
        <v>2607</v>
      </c>
      <c r="J7078" s="901" t="s">
        <v>2953</v>
      </c>
      <c r="O7078" s="943">
        <v>1</v>
      </c>
      <c r="P7078" s="944">
        <v>38136</v>
      </c>
      <c r="Q7078" s="945">
        <f>(ROUNDUP(1.74*1.112,2))</f>
        <v>1.94</v>
      </c>
      <c r="R7078" s="946">
        <f t="shared" si="590"/>
        <v>81.48</v>
      </c>
      <c r="S7078" s="945"/>
      <c r="T7078" s="947">
        <f t="shared" si="591"/>
        <v>0</v>
      </c>
      <c r="AR7078" s="1203">
        <v>46</v>
      </c>
    </row>
    <row r="7079" spans="1:45" s="901" customFormat="1" ht="13.2">
      <c r="A7079" s="1203">
        <f>21/23 *(0)</f>
        <v>0</v>
      </c>
      <c r="B7079" s="901" t="s">
        <v>141</v>
      </c>
      <c r="C7079" s="116">
        <v>23</v>
      </c>
      <c r="D7079" s="901" t="s">
        <v>3608</v>
      </c>
      <c r="G7079" s="941" t="s">
        <v>3249</v>
      </c>
      <c r="H7079" s="942">
        <v>690</v>
      </c>
      <c r="I7079" s="901" t="s">
        <v>2607</v>
      </c>
      <c r="J7079" s="901" t="s">
        <v>2953</v>
      </c>
      <c r="O7079" s="943">
        <v>1</v>
      </c>
      <c r="P7079" s="944">
        <v>38136</v>
      </c>
      <c r="Q7079" s="945">
        <f>(50)</f>
        <v>50</v>
      </c>
      <c r="R7079" s="946">
        <f t="shared" ref="R7079" si="592">$A7079*Q7079</f>
        <v>0</v>
      </c>
      <c r="S7079" s="945"/>
      <c r="T7079" s="947">
        <f t="shared" ref="T7079" si="593">$A7079*S7079*$T$1</f>
        <v>0</v>
      </c>
      <c r="AR7079" s="1203">
        <v>0</v>
      </c>
    </row>
    <row r="7080" spans="1:45" s="901" customFormat="1" ht="13.2">
      <c r="A7080" s="1203">
        <f>21/23 *(400)</f>
        <v>365.21739130434781</v>
      </c>
      <c r="B7080" s="901" t="s">
        <v>141</v>
      </c>
      <c r="C7080" s="116">
        <v>600</v>
      </c>
      <c r="D7080" s="901" t="s">
        <v>3250</v>
      </c>
      <c r="G7080" s="941" t="s">
        <v>3251</v>
      </c>
      <c r="H7080" s="942">
        <v>690</v>
      </c>
      <c r="I7080" s="901" t="s">
        <v>2607</v>
      </c>
      <c r="O7080" s="943">
        <v>1</v>
      </c>
      <c r="P7080" s="944">
        <v>38136</v>
      </c>
      <c r="Q7080" s="945">
        <f>(ROUNDUP(10.92/50*1.112,2))</f>
        <v>0.25</v>
      </c>
      <c r="R7080" s="946">
        <f t="shared" si="590"/>
        <v>91.304347826086953</v>
      </c>
      <c r="S7080" s="945"/>
      <c r="T7080" s="947">
        <f t="shared" si="591"/>
        <v>0</v>
      </c>
      <c r="AR7080" s="1203">
        <v>400</v>
      </c>
    </row>
    <row r="7081" spans="1:45" s="901" customFormat="1" ht="13.2">
      <c r="A7081" s="1204">
        <f>21/23 *(1)</f>
        <v>0.91304347826086951</v>
      </c>
      <c r="B7081" s="1084" t="s">
        <v>863</v>
      </c>
      <c r="C7081">
        <v>1</v>
      </c>
      <c r="D7081" s="1084" t="s">
        <v>2752</v>
      </c>
      <c r="E7081" s="1084"/>
      <c r="F7081" s="1084" t="s">
        <v>3326</v>
      </c>
      <c r="G7081" s="1091" t="s">
        <v>2754</v>
      </c>
      <c r="H7081" s="1092">
        <v>962</v>
      </c>
      <c r="I7081" s="1084" t="s">
        <v>2596</v>
      </c>
      <c r="J7081" s="1084"/>
      <c r="K7081" s="1084"/>
      <c r="L7081" s="1084"/>
      <c r="M7081" s="1084"/>
      <c r="N7081" s="1084"/>
      <c r="O7081" s="1093">
        <v>2</v>
      </c>
      <c r="P7081" s="1094">
        <v>38129</v>
      </c>
      <c r="Q7081" s="1205">
        <f>0.41 *(1*(120/8*120))</f>
        <v>738</v>
      </c>
      <c r="R7081" s="1096">
        <f>$A7081*Q7081</f>
        <v>673.82608695652175</v>
      </c>
      <c r="S7081" s="1095"/>
      <c r="T7081" s="1097">
        <f>$A7081*S7081*$T$1</f>
        <v>0</v>
      </c>
      <c r="AR7081" s="1204">
        <v>1</v>
      </c>
      <c r="AS7081" s="1084" t="s">
        <v>3326</v>
      </c>
    </row>
    <row r="7082" spans="1:45" s="901" customFormat="1" ht="13.2">
      <c r="A7082" s="1204">
        <f>21/23 *(1)</f>
        <v>0.91304347826086951</v>
      </c>
      <c r="B7082" s="901" t="s">
        <v>2755</v>
      </c>
      <c r="C7082">
        <v>1</v>
      </c>
      <c r="D7082" s="901" t="s">
        <v>3325</v>
      </c>
      <c r="F7082" s="901" t="s">
        <v>3666</v>
      </c>
      <c r="G7082" s="941" t="s">
        <v>3324</v>
      </c>
      <c r="H7082" s="942">
        <v>845</v>
      </c>
      <c r="I7082" s="901" t="s">
        <v>2607</v>
      </c>
      <c r="O7082" s="943">
        <v>3</v>
      </c>
      <c r="P7082" s="944">
        <v>39713</v>
      </c>
      <c r="Q7082" s="1205">
        <f>0.41 *(120/8*25)</f>
        <v>153.75</v>
      </c>
      <c r="R7082" s="946">
        <f>$A7082*Q7082</f>
        <v>140.38043478260869</v>
      </c>
      <c r="S7082" s="945"/>
      <c r="T7082" s="947">
        <f>$A7082*S7082*$T$1</f>
        <v>0</v>
      </c>
      <c r="AR7082" s="1204">
        <v>1</v>
      </c>
      <c r="AS7082" s="901" t="s">
        <v>3666</v>
      </c>
    </row>
    <row r="7083" spans="1:45" s="520" customFormat="1" ht="12">
      <c r="A7083" s="758"/>
      <c r="B7083" s="758"/>
      <c r="C7083" s="758"/>
      <c r="D7083" s="758"/>
      <c r="E7083" s="758"/>
      <c r="F7083" s="753"/>
      <c r="G7083" s="758"/>
      <c r="H7083" s="758"/>
      <c r="I7083" s="519"/>
      <c r="J7083" s="758"/>
      <c r="K7083" s="758"/>
      <c r="L7083" s="758"/>
      <c r="M7083" s="758"/>
      <c r="N7083" s="758"/>
      <c r="O7083" s="758"/>
      <c r="P7083" s="758"/>
      <c r="Q7083" s="519"/>
      <c r="R7083" s="759">
        <f t="shared" ref="R7083" si="594">$A7083*Q7083</f>
        <v>0</v>
      </c>
      <c r="S7083" s="519"/>
      <c r="T7083" s="760">
        <f t="shared" ref="T7083" si="595">$A7083*S7083*$T$1</f>
        <v>0</v>
      </c>
      <c r="AR7083" s="758"/>
      <c r="AS7083" s="753"/>
    </row>
    <row r="7084" spans="1:45" s="520" customFormat="1" ht="12.6" thickBot="1">
      <c r="A7084" s="761" t="s">
        <v>145</v>
      </c>
      <c r="B7084" s="762">
        <f>(R7083+T7083)</f>
        <v>0</v>
      </c>
      <c r="C7084" s="763"/>
      <c r="D7084" s="763"/>
      <c r="E7084" s="763"/>
      <c r="F7084" s="764"/>
      <c r="G7084" s="763" t="s">
        <v>146</v>
      </c>
      <c r="H7084" s="763"/>
      <c r="I7084" s="765"/>
      <c r="J7084" s="763"/>
      <c r="K7084" s="763" t="s">
        <v>3</v>
      </c>
      <c r="L7084" s="766" t="s">
        <v>143</v>
      </c>
      <c r="M7084" s="766"/>
      <c r="N7084" s="766"/>
      <c r="O7084" s="766"/>
      <c r="P7084" s="766"/>
      <c r="Q7084" s="767"/>
      <c r="R7084" s="768">
        <f>SUM(R7071:R7083)</f>
        <v>13442.52</v>
      </c>
      <c r="S7084" s="763"/>
      <c r="T7084" s="768">
        <f>SUM(T7071:T7083)</f>
        <v>61.630434782608695</v>
      </c>
      <c r="U7084" s="531"/>
      <c r="V7084" s="531"/>
      <c r="W7084" s="531"/>
      <c r="X7084" s="531"/>
      <c r="Y7084" s="531"/>
      <c r="Z7084" s="531"/>
      <c r="AA7084" s="531"/>
      <c r="AB7084" s="531"/>
      <c r="AC7084" s="531"/>
      <c r="AD7084" s="531"/>
      <c r="AE7084" s="531"/>
      <c r="AF7084" s="531"/>
      <c r="AG7084" s="531"/>
      <c r="AH7084" s="531"/>
      <c r="AI7084" s="531"/>
      <c r="AJ7084" s="531"/>
      <c r="AK7084" s="531"/>
      <c r="AL7084" s="531"/>
      <c r="AM7084" s="531"/>
      <c r="AN7084" s="531"/>
      <c r="AO7084" s="531"/>
      <c r="AR7084" s="761" t="s">
        <v>145</v>
      </c>
      <c r="AS7084" s="764"/>
    </row>
    <row r="7085" spans="1:45" s="520" customFormat="1" thickTop="1">
      <c r="A7085" s="51"/>
      <c r="B7085" s="51"/>
      <c r="C7085" s="3"/>
      <c r="D7085" s="3"/>
      <c r="E7085" s="51"/>
      <c r="F7085" s="51"/>
      <c r="G7085" s="51"/>
      <c r="H7085" s="51"/>
      <c r="I7085" s="51"/>
      <c r="J7085" s="51"/>
      <c r="K7085" s="51" t="s">
        <v>134</v>
      </c>
      <c r="L7085" s="51"/>
      <c r="M7085" s="51"/>
      <c r="N7085" s="51"/>
      <c r="O7085" s="52"/>
      <c r="P7085" s="51"/>
      <c r="Q7085" s="51"/>
      <c r="R7085" s="51"/>
      <c r="S7085" s="51"/>
      <c r="T7085" s="51"/>
      <c r="AR7085" s="51"/>
      <c r="AS7085" s="51"/>
    </row>
    <row r="7086" spans="1:45" s="520" customFormat="1" ht="12">
      <c r="A7086" s="51"/>
      <c r="B7086" s="51"/>
      <c r="C7086" s="51" t="s">
        <v>135</v>
      </c>
      <c r="D7086" s="37"/>
      <c r="E7086" s="51"/>
      <c r="F7086" s="51"/>
      <c r="G7086" s="51"/>
      <c r="H7086" s="51"/>
      <c r="I7086" s="51"/>
      <c r="J7086" s="51"/>
      <c r="K7086" s="51"/>
      <c r="L7086" s="51"/>
      <c r="M7086" s="51"/>
      <c r="N7086" s="51"/>
      <c r="O7086" s="52"/>
      <c r="P7086" s="51"/>
      <c r="Q7086" s="51"/>
      <c r="R7086" s="51"/>
      <c r="S7086" s="51"/>
      <c r="T7086" s="51"/>
      <c r="AR7086" s="51"/>
      <c r="AS7086" s="51"/>
    </row>
    <row r="7087" spans="1:45" s="520" customFormat="1" ht="39.9" customHeight="1">
      <c r="A7087" s="51"/>
      <c r="B7087" s="51"/>
      <c r="C7087" s="51"/>
      <c r="D7087" s="1453" t="s">
        <v>986</v>
      </c>
      <c r="E7087" s="1452"/>
      <c r="F7087" s="1452"/>
      <c r="G7087" s="1452"/>
      <c r="H7087" s="1452"/>
      <c r="I7087" s="1452"/>
      <c r="J7087" s="1452"/>
      <c r="K7087" s="1452"/>
      <c r="L7087" s="1452"/>
      <c r="M7087" s="1452"/>
      <c r="N7087" s="1452"/>
      <c r="O7087" s="1452"/>
      <c r="P7087" s="1452"/>
      <c r="Q7087" s="1452"/>
      <c r="R7087" s="1452"/>
      <c r="S7087" s="1452"/>
      <c r="T7087" s="1452"/>
      <c r="AR7087" s="51"/>
    </row>
    <row r="7088" spans="1:45" s="3" customFormat="1" thickBot="1">
      <c r="A7088" s="531"/>
      <c r="O7088" s="107"/>
      <c r="AR7088" s="531"/>
    </row>
    <row r="7089" spans="1:45" s="520" customFormat="1" ht="12" thickTop="1">
      <c r="A7089" s="51"/>
      <c r="B7089" s="41"/>
      <c r="C7089" s="51"/>
      <c r="E7089" s="42" t="s">
        <v>138</v>
      </c>
      <c r="F7089" s="42" t="s">
        <v>139</v>
      </c>
      <c r="G7089" s="51"/>
      <c r="H7089" s="51"/>
      <c r="I7089" s="51"/>
      <c r="J7089" s="51"/>
      <c r="K7089" s="51" t="s">
        <v>140</v>
      </c>
      <c r="L7089" s="51"/>
      <c r="M7089" s="51"/>
      <c r="N7089" s="51"/>
      <c r="O7089" s="52"/>
      <c r="P7089" s="51"/>
      <c r="Q7089" s="51"/>
      <c r="R7089" s="51"/>
      <c r="S7089" s="51"/>
      <c r="T7089" s="41"/>
      <c r="AG7089" s="521" t="s">
        <v>268</v>
      </c>
      <c r="AH7089" s="521" t="s">
        <v>269</v>
      </c>
      <c r="AI7089" s="521" t="s">
        <v>270</v>
      </c>
      <c r="AJ7089" s="521" t="s">
        <v>271</v>
      </c>
      <c r="AK7089" s="521" t="s">
        <v>272</v>
      </c>
      <c r="AM7089" s="745" t="s">
        <v>281</v>
      </c>
      <c r="AN7089" s="746" t="s">
        <v>282</v>
      </c>
      <c r="AO7089" s="522" t="s">
        <v>278</v>
      </c>
      <c r="AR7089" s="51"/>
      <c r="AS7089" s="42" t="s">
        <v>139</v>
      </c>
    </row>
    <row r="7090" spans="1:45" s="520" customFormat="1" ht="12" customHeight="1">
      <c r="A7090" s="747">
        <v>59</v>
      </c>
      <c r="B7090" s="523" t="s">
        <v>329</v>
      </c>
      <c r="C7090" s="748"/>
      <c r="D7090" s="749" t="s">
        <v>3927</v>
      </c>
      <c r="E7090" s="1145">
        <f>IF(AND($A7090=0,$A$1="DIF"),0, ROUND(ROUND(($R7094*$S$3+($T7094*$T$3))/$A7090,2)*$C$3,2))</f>
        <v>64</v>
      </c>
      <c r="F7090" s="1146">
        <f>ROUND($A7090*$E7090,2)</f>
        <v>3776</v>
      </c>
      <c r="G7090" s="752" t="s">
        <v>142</v>
      </c>
      <c r="H7090" s="753"/>
      <c r="I7090" s="754"/>
      <c r="J7090" s="753"/>
      <c r="K7090" s="753" t="s">
        <v>5</v>
      </c>
      <c r="L7090" s="755" t="s">
        <v>143</v>
      </c>
      <c r="M7090" s="755"/>
      <c r="N7090" s="755"/>
      <c r="O7090" s="755"/>
      <c r="P7090" s="755"/>
      <c r="Q7090" s="51"/>
      <c r="T7090" s="1150" t="str">
        <f>IF(AND($R7094=0,$T7094=0),"0.00","mu: "&amp; ROUND(F7090/$C$3/($R7094+$T7094*$D$9),2))</f>
        <v>mu: 1.13</v>
      </c>
      <c r="W7090" s="524"/>
      <c r="AG7090" s="1147">
        <f>IF($E7090=0,0,ROUND($R7094*$S$3*$C$3/$A7090,2))</f>
        <v>64</v>
      </c>
      <c r="AH7090" s="1147">
        <f>$AG7090*$A7090</f>
        <v>3776</v>
      </c>
      <c r="AI7090" s="1148">
        <f>$E7090-$AG7090</f>
        <v>0</v>
      </c>
      <c r="AJ7090" s="1148">
        <f>$A7090*$AI7090</f>
        <v>0</v>
      </c>
      <c r="AK7090" s="1149">
        <f>ROUND(($AG7090+$AI7090)*$A7090,2)</f>
        <v>3776</v>
      </c>
      <c r="AM7090" s="527">
        <f>ROUND(R7094,2)</f>
        <v>3345.3</v>
      </c>
      <c r="AN7090" s="528">
        <f>ROUND(T7094,2)</f>
        <v>0</v>
      </c>
      <c r="AO7090" s="529">
        <f>ROUND(AM7090+AN7090,2)*A7090</f>
        <v>197372.7</v>
      </c>
      <c r="AR7090" s="747">
        <v>61</v>
      </c>
      <c r="AS7090" s="1146">
        <v>6214.07</v>
      </c>
    </row>
    <row r="7091" spans="1:45" s="520" customFormat="1" ht="13.2">
      <c r="A7091" s="748"/>
      <c r="B7091"/>
      <c r="C7091" s="748"/>
      <c r="D7091" s="749" t="s">
        <v>949</v>
      </c>
      <c r="F7091" s="753"/>
      <c r="G7091" s="3"/>
      <c r="H7091" s="753"/>
      <c r="I7091" s="754"/>
      <c r="J7091" s="753"/>
      <c r="K7091" s="753" t="s">
        <v>144</v>
      </c>
      <c r="L7091" s="753"/>
      <c r="M7091" s="753"/>
      <c r="N7091" s="753"/>
      <c r="O7091" s="753"/>
      <c r="P7091" s="753"/>
      <c r="Q7091" s="51"/>
      <c r="R7091" s="530"/>
      <c r="S7091" s="757"/>
      <c r="T7091" s="753"/>
      <c r="AR7091" s="748"/>
      <c r="AS7091" s="753"/>
    </row>
    <row r="7092" spans="1:45" s="901" customFormat="1" ht="13.2">
      <c r="A7092" s="903">
        <v>59</v>
      </c>
      <c r="B7092" s="904" t="s">
        <v>863</v>
      </c>
      <c r="C7092" s="904"/>
      <c r="D7092" s="904" t="s">
        <v>2594</v>
      </c>
      <c r="E7092" s="904"/>
      <c r="F7092" s="904" t="s">
        <v>4139</v>
      </c>
      <c r="G7092" s="905" t="s">
        <v>2595</v>
      </c>
      <c r="H7092" s="902">
        <v>960</v>
      </c>
      <c r="I7092" s="904" t="s">
        <v>2596</v>
      </c>
      <c r="J7092" s="904"/>
      <c r="K7092" s="904"/>
      <c r="L7092" s="904"/>
      <c r="M7092" s="904"/>
      <c r="N7092" s="904"/>
      <c r="O7092" s="902">
        <v>4</v>
      </c>
      <c r="P7092" s="906">
        <v>38274</v>
      </c>
      <c r="Q7092" s="1415">
        <f>1.05*60*0.9</f>
        <v>56.7</v>
      </c>
      <c r="R7092" s="908">
        <f>$A7092*Q7092</f>
        <v>3345.3</v>
      </c>
      <c r="S7092" s="907"/>
      <c r="T7092" s="909">
        <f>$A7092*S7092*$T$1</f>
        <v>0</v>
      </c>
      <c r="AR7092" s="903">
        <v>61</v>
      </c>
      <c r="AS7092" s="904" t="s">
        <v>3507</v>
      </c>
    </row>
    <row r="7093" spans="1:45" s="520" customFormat="1" ht="12">
      <c r="A7093" s="758"/>
      <c r="B7093" s="758"/>
      <c r="C7093" s="758"/>
      <c r="D7093" s="758"/>
      <c r="E7093" s="758"/>
      <c r="F7093" s="753"/>
      <c r="G7093" s="758"/>
      <c r="H7093" s="758"/>
      <c r="I7093" s="519"/>
      <c r="J7093" s="758"/>
      <c r="K7093" s="758"/>
      <c r="L7093" s="758"/>
      <c r="M7093" s="758"/>
      <c r="N7093" s="758"/>
      <c r="O7093" s="758"/>
      <c r="P7093" s="758"/>
      <c r="Q7093" s="519"/>
      <c r="R7093" s="759">
        <f t="shared" ref="R7093" si="596">$A7093*Q7093</f>
        <v>0</v>
      </c>
      <c r="S7093" s="519"/>
      <c r="T7093" s="760">
        <f t="shared" ref="T7093" si="597">$A7093*S7093*$T$1</f>
        <v>0</v>
      </c>
      <c r="AR7093" s="758"/>
      <c r="AS7093" s="753"/>
    </row>
    <row r="7094" spans="1:45" s="520" customFormat="1" ht="12.6" thickBot="1">
      <c r="A7094" s="761" t="s">
        <v>145</v>
      </c>
      <c r="B7094" s="762">
        <f>(R7093+T7093)</f>
        <v>0</v>
      </c>
      <c r="C7094" s="763"/>
      <c r="D7094" s="763"/>
      <c r="E7094" s="763"/>
      <c r="F7094" s="764"/>
      <c r="G7094" s="763" t="s">
        <v>146</v>
      </c>
      <c r="H7094" s="763"/>
      <c r="I7094" s="765"/>
      <c r="J7094" s="763"/>
      <c r="K7094" s="763" t="s">
        <v>5</v>
      </c>
      <c r="L7094" s="766" t="s">
        <v>143</v>
      </c>
      <c r="M7094" s="766"/>
      <c r="N7094" s="766"/>
      <c r="O7094" s="766"/>
      <c r="P7094" s="766"/>
      <c r="Q7094" s="767"/>
      <c r="R7094" s="768">
        <f>SUM(R7091:R7093)</f>
        <v>3345.3</v>
      </c>
      <c r="S7094" s="763"/>
      <c r="T7094" s="768">
        <f>SUM(T7091:T7093)</f>
        <v>0</v>
      </c>
      <c r="U7094" s="531"/>
      <c r="V7094" s="531"/>
      <c r="W7094" s="531"/>
      <c r="X7094" s="531"/>
      <c r="Y7094" s="531"/>
      <c r="Z7094" s="531"/>
      <c r="AA7094" s="531"/>
      <c r="AB7094" s="531"/>
      <c r="AC7094" s="531"/>
      <c r="AD7094" s="531"/>
      <c r="AE7094" s="531"/>
      <c r="AF7094" s="531"/>
      <c r="AG7094" s="531"/>
      <c r="AH7094" s="531"/>
      <c r="AI7094" s="531"/>
      <c r="AJ7094" s="531"/>
      <c r="AK7094" s="531"/>
      <c r="AL7094" s="531"/>
      <c r="AM7094" s="531"/>
      <c r="AN7094" s="531"/>
      <c r="AO7094" s="531"/>
      <c r="AR7094" s="761" t="s">
        <v>145</v>
      </c>
      <c r="AS7094" s="764"/>
    </row>
    <row r="7095" spans="1:45" s="520" customFormat="1" ht="12" thickTop="1">
      <c r="A7095" s="51"/>
      <c r="B7095" s="41"/>
      <c r="C7095" s="51"/>
      <c r="E7095" s="42" t="s">
        <v>138</v>
      </c>
      <c r="F7095" s="42" t="s">
        <v>139</v>
      </c>
      <c r="G7095" s="51"/>
      <c r="H7095" s="51"/>
      <c r="I7095" s="51"/>
      <c r="J7095" s="51"/>
      <c r="K7095" s="51" t="s">
        <v>140</v>
      </c>
      <c r="L7095" s="51"/>
      <c r="M7095" s="51"/>
      <c r="N7095" s="51"/>
      <c r="O7095" s="52"/>
      <c r="P7095" s="51"/>
      <c r="Q7095" s="51"/>
      <c r="R7095" s="51"/>
      <c r="S7095" s="51"/>
      <c r="T7095" s="41"/>
      <c r="AG7095" s="521" t="s">
        <v>268</v>
      </c>
      <c r="AH7095" s="521" t="s">
        <v>269</v>
      </c>
      <c r="AI7095" s="521" t="s">
        <v>270</v>
      </c>
      <c r="AJ7095" s="521" t="s">
        <v>271</v>
      </c>
      <c r="AK7095" s="521" t="s">
        <v>272</v>
      </c>
      <c r="AM7095" s="745" t="s">
        <v>281</v>
      </c>
      <c r="AN7095" s="746" t="s">
        <v>282</v>
      </c>
      <c r="AO7095" s="522" t="s">
        <v>278</v>
      </c>
      <c r="AR7095" s="51"/>
      <c r="AS7095" s="42" t="s">
        <v>139</v>
      </c>
    </row>
    <row r="7096" spans="1:45" s="520" customFormat="1" ht="12" customHeight="1">
      <c r="A7096" s="747">
        <v>8</v>
      </c>
      <c r="B7096" s="523" t="s">
        <v>329</v>
      </c>
      <c r="C7096" s="748"/>
      <c r="D7096" s="749" t="s">
        <v>3928</v>
      </c>
      <c r="E7096" s="1145">
        <f>IF(AND($A7096=0,$A$1="DIF"),0, ROUND(ROUND(($R7100*$S$3+($T7100*$T$3))/$A7096,2)*$C$3,2))</f>
        <v>64</v>
      </c>
      <c r="F7096" s="1146">
        <f>ROUND($A7096*$E7096,2)</f>
        <v>512</v>
      </c>
      <c r="G7096" s="752" t="s">
        <v>142</v>
      </c>
      <c r="H7096" s="753"/>
      <c r="I7096" s="754"/>
      <c r="J7096" s="753"/>
      <c r="K7096" s="753" t="s">
        <v>5</v>
      </c>
      <c r="L7096" s="755" t="s">
        <v>143</v>
      </c>
      <c r="M7096" s="755"/>
      <c r="N7096" s="755"/>
      <c r="O7096" s="755"/>
      <c r="P7096" s="755"/>
      <c r="Q7096" s="51"/>
      <c r="T7096" s="1150" t="str">
        <f>IF(AND($R7100=0,$T7100=0),"0.00","mu: "&amp; ROUND(F7096/$C$3/($R7100+$T7100*$D$9),2))</f>
        <v>mu: 1.13</v>
      </c>
      <c r="W7096" s="524"/>
      <c r="AG7096" s="1147">
        <f>IF($E7096=0,0,ROUND($R7100*$S$3*$C$3/$A7096,2))</f>
        <v>64</v>
      </c>
      <c r="AH7096" s="1147">
        <f>$AG7096*$A7096</f>
        <v>512</v>
      </c>
      <c r="AI7096" s="1148">
        <f>$E7096-$AG7096</f>
        <v>0</v>
      </c>
      <c r="AJ7096" s="1148">
        <f>$A7096*$AI7096</f>
        <v>0</v>
      </c>
      <c r="AK7096" s="1149">
        <f>ROUND(($AG7096+$AI7096)*$A7096,2)</f>
        <v>512</v>
      </c>
      <c r="AM7096" s="527">
        <f>ROUND(R7100,2)</f>
        <v>453.6</v>
      </c>
      <c r="AN7096" s="528">
        <f>ROUND(T7100,2)</f>
        <v>0</v>
      </c>
      <c r="AO7096" s="529">
        <f>ROUND(AM7096+AN7096,2)*A7096</f>
        <v>3628.8</v>
      </c>
      <c r="AR7096" s="747">
        <v>8</v>
      </c>
      <c r="AS7096" s="1146">
        <v>814.96</v>
      </c>
    </row>
    <row r="7097" spans="1:45" s="520" customFormat="1" ht="13.2">
      <c r="A7097" s="748"/>
      <c r="B7097"/>
      <c r="C7097" s="748"/>
      <c r="D7097" s="749" t="s">
        <v>950</v>
      </c>
      <c r="F7097" s="753"/>
      <c r="G7097" s="3"/>
      <c r="H7097" s="753"/>
      <c r="I7097" s="754"/>
      <c r="J7097" s="753"/>
      <c r="K7097" s="753" t="s">
        <v>144</v>
      </c>
      <c r="L7097" s="753"/>
      <c r="M7097" s="753"/>
      <c r="N7097" s="753"/>
      <c r="O7097" s="753"/>
      <c r="P7097" s="753"/>
      <c r="Q7097" s="51"/>
      <c r="R7097" s="530"/>
      <c r="S7097" s="757"/>
      <c r="T7097" s="753"/>
      <c r="AR7097" s="748"/>
      <c r="AS7097" s="753"/>
    </row>
    <row r="7098" spans="1:45" s="901" customFormat="1" ht="13.2">
      <c r="A7098" s="903">
        <v>8</v>
      </c>
      <c r="B7098" s="904" t="s">
        <v>863</v>
      </c>
      <c r="C7098" s="904"/>
      <c r="D7098" s="904" t="s">
        <v>2594</v>
      </c>
      <c r="E7098" s="904"/>
      <c r="F7098" s="904" t="s">
        <v>4139</v>
      </c>
      <c r="G7098" s="905" t="s">
        <v>2595</v>
      </c>
      <c r="H7098" s="902">
        <v>960</v>
      </c>
      <c r="I7098" s="904" t="s">
        <v>2596</v>
      </c>
      <c r="J7098" s="904"/>
      <c r="K7098" s="904"/>
      <c r="L7098" s="904"/>
      <c r="M7098" s="904"/>
      <c r="N7098" s="904"/>
      <c r="O7098" s="902">
        <v>4</v>
      </c>
      <c r="P7098" s="906">
        <v>38274</v>
      </c>
      <c r="Q7098" s="1415">
        <f>1.05*60*0.9</f>
        <v>56.7</v>
      </c>
      <c r="R7098" s="908">
        <f>$A7098*Q7098</f>
        <v>453.6</v>
      </c>
      <c r="S7098" s="907"/>
      <c r="T7098" s="909">
        <f>$A7098*S7098*$T$1</f>
        <v>0</v>
      </c>
      <c r="AR7098" s="903">
        <v>8</v>
      </c>
      <c r="AS7098" s="904" t="s">
        <v>3507</v>
      </c>
    </row>
    <row r="7099" spans="1:45" s="520" customFormat="1" ht="12">
      <c r="A7099" s="758"/>
      <c r="B7099" s="758"/>
      <c r="C7099" s="758"/>
      <c r="D7099" s="758"/>
      <c r="E7099" s="758"/>
      <c r="F7099" s="753"/>
      <c r="G7099" s="758"/>
      <c r="H7099" s="758"/>
      <c r="I7099" s="519"/>
      <c r="J7099" s="758"/>
      <c r="K7099" s="758"/>
      <c r="L7099" s="758"/>
      <c r="M7099" s="758"/>
      <c r="N7099" s="758"/>
      <c r="O7099" s="758"/>
      <c r="P7099" s="758"/>
      <c r="Q7099" s="519"/>
      <c r="R7099" s="759">
        <f t="shared" ref="R7099" si="598">$A7099*Q7099</f>
        <v>0</v>
      </c>
      <c r="S7099" s="519"/>
      <c r="T7099" s="760">
        <f t="shared" ref="T7099" si="599">$A7099*S7099*$T$1</f>
        <v>0</v>
      </c>
      <c r="AR7099" s="758"/>
      <c r="AS7099" s="753"/>
    </row>
    <row r="7100" spans="1:45" s="520" customFormat="1" ht="12.6" thickBot="1">
      <c r="A7100" s="761" t="s">
        <v>145</v>
      </c>
      <c r="B7100" s="762">
        <f>(R7099+T7099)</f>
        <v>0</v>
      </c>
      <c r="C7100" s="763"/>
      <c r="D7100" s="763"/>
      <c r="E7100" s="763"/>
      <c r="F7100" s="764"/>
      <c r="G7100" s="763" t="s">
        <v>146</v>
      </c>
      <c r="H7100" s="763"/>
      <c r="I7100" s="765"/>
      <c r="J7100" s="763"/>
      <c r="K7100" s="763" t="s">
        <v>5</v>
      </c>
      <c r="L7100" s="766" t="s">
        <v>143</v>
      </c>
      <c r="M7100" s="766"/>
      <c r="N7100" s="766"/>
      <c r="O7100" s="766"/>
      <c r="P7100" s="766"/>
      <c r="Q7100" s="767"/>
      <c r="R7100" s="768">
        <f>SUM(R7097:R7099)</f>
        <v>453.6</v>
      </c>
      <c r="S7100" s="763"/>
      <c r="T7100" s="768">
        <f>SUM(T7097:T7099)</f>
        <v>0</v>
      </c>
      <c r="U7100" s="531"/>
      <c r="V7100" s="531"/>
      <c r="W7100" s="531"/>
      <c r="X7100" s="531"/>
      <c r="Y7100" s="531"/>
      <c r="Z7100" s="531"/>
      <c r="AA7100" s="531"/>
      <c r="AB7100" s="531"/>
      <c r="AC7100" s="531"/>
      <c r="AD7100" s="531"/>
      <c r="AE7100" s="531"/>
      <c r="AF7100" s="531"/>
      <c r="AG7100" s="531"/>
      <c r="AH7100" s="531"/>
      <c r="AI7100" s="531"/>
      <c r="AJ7100" s="531"/>
      <c r="AK7100" s="531"/>
      <c r="AL7100" s="531"/>
      <c r="AM7100" s="531"/>
      <c r="AN7100" s="531"/>
      <c r="AO7100" s="531"/>
      <c r="AR7100" s="761" t="s">
        <v>145</v>
      </c>
      <c r="AS7100" s="764"/>
    </row>
    <row r="7101" spans="1:45" s="520" customFormat="1" ht="12" thickTop="1">
      <c r="A7101" s="51"/>
      <c r="B7101" s="41"/>
      <c r="C7101" s="51"/>
      <c r="E7101" s="42" t="s">
        <v>138</v>
      </c>
      <c r="F7101" s="42" t="s">
        <v>139</v>
      </c>
      <c r="G7101" s="51"/>
      <c r="H7101" s="51"/>
      <c r="I7101" s="51"/>
      <c r="J7101" s="51"/>
      <c r="K7101" s="51" t="s">
        <v>140</v>
      </c>
      <c r="L7101" s="51"/>
      <c r="M7101" s="51"/>
      <c r="N7101" s="51"/>
      <c r="O7101" s="52"/>
      <c r="P7101" s="51"/>
      <c r="Q7101" s="51"/>
      <c r="R7101" s="51"/>
      <c r="S7101" s="51"/>
      <c r="T7101" s="41"/>
      <c r="AG7101" s="521" t="s">
        <v>268</v>
      </c>
      <c r="AH7101" s="521" t="s">
        <v>269</v>
      </c>
      <c r="AI7101" s="521" t="s">
        <v>270</v>
      </c>
      <c r="AJ7101" s="521" t="s">
        <v>271</v>
      </c>
      <c r="AK7101" s="521" t="s">
        <v>272</v>
      </c>
      <c r="AM7101" s="745" t="s">
        <v>281</v>
      </c>
      <c r="AN7101" s="746" t="s">
        <v>282</v>
      </c>
      <c r="AO7101" s="522" t="s">
        <v>278</v>
      </c>
      <c r="AR7101" s="51"/>
      <c r="AS7101" s="42" t="s">
        <v>139</v>
      </c>
    </row>
    <row r="7102" spans="1:45" s="520" customFormat="1" ht="12" customHeight="1">
      <c r="A7102" s="747">
        <v>5</v>
      </c>
      <c r="B7102" s="523" t="s">
        <v>329</v>
      </c>
      <c r="C7102" s="748"/>
      <c r="D7102" s="749" t="s">
        <v>3929</v>
      </c>
      <c r="E7102" s="1145">
        <f>IF(AND($A7102=0,$A$1="DIF"),0, ROUND(ROUND(($R7106*$S$3+($T7106*$T$3))/$A7102,2)*$C$3,2))</f>
        <v>64</v>
      </c>
      <c r="F7102" s="1146">
        <f>ROUND($A7102*$E7102,2)</f>
        <v>320</v>
      </c>
      <c r="G7102" s="752" t="s">
        <v>142</v>
      </c>
      <c r="H7102" s="753"/>
      <c r="I7102" s="754"/>
      <c r="J7102" s="753"/>
      <c r="K7102" s="753" t="s">
        <v>5</v>
      </c>
      <c r="L7102" s="755" t="s">
        <v>143</v>
      </c>
      <c r="M7102" s="755"/>
      <c r="N7102" s="755"/>
      <c r="O7102" s="755"/>
      <c r="P7102" s="755"/>
      <c r="Q7102" s="51"/>
      <c r="T7102" s="1150" t="str">
        <f>IF(AND($R7106=0,$T7106=0),"0.00","mu: "&amp; ROUND(F7102/$C$3/($R7106+$T7106*$D$9),2))</f>
        <v>mu: 1.13</v>
      </c>
      <c r="W7102" s="524"/>
      <c r="AG7102" s="1147">
        <f>IF($E7102=0,0,ROUND($R7106*$S$3*$C$3/$A7102,2))</f>
        <v>64</v>
      </c>
      <c r="AH7102" s="1147">
        <f>$AG7102*$A7102</f>
        <v>320</v>
      </c>
      <c r="AI7102" s="1148">
        <f>$E7102-$AG7102</f>
        <v>0</v>
      </c>
      <c r="AJ7102" s="1148">
        <f>$A7102*$AI7102</f>
        <v>0</v>
      </c>
      <c r="AK7102" s="1149">
        <f>ROUND(($AG7102+$AI7102)*$A7102,2)</f>
        <v>320</v>
      </c>
      <c r="AM7102" s="527">
        <f>ROUND(R7106,2)</f>
        <v>283.5</v>
      </c>
      <c r="AN7102" s="528">
        <f>ROUND(T7106,2)</f>
        <v>0</v>
      </c>
      <c r="AO7102" s="529">
        <f>ROUND(AM7102+AN7102,2)*A7102</f>
        <v>1417.5</v>
      </c>
      <c r="AR7102" s="747">
        <v>5</v>
      </c>
      <c r="AS7102" s="1146">
        <v>509.35</v>
      </c>
    </row>
    <row r="7103" spans="1:45" s="520" customFormat="1" ht="13.2">
      <c r="A7103" s="748"/>
      <c r="B7103"/>
      <c r="C7103" s="748"/>
      <c r="D7103" s="749" t="s">
        <v>951</v>
      </c>
      <c r="F7103" s="753"/>
      <c r="G7103" s="3"/>
      <c r="H7103" s="753"/>
      <c r="I7103" s="754"/>
      <c r="J7103" s="753"/>
      <c r="K7103" s="753" t="s">
        <v>144</v>
      </c>
      <c r="L7103" s="753"/>
      <c r="M7103" s="753"/>
      <c r="N7103" s="753"/>
      <c r="O7103" s="753"/>
      <c r="P7103" s="753"/>
      <c r="Q7103" s="51"/>
      <c r="R7103" s="530"/>
      <c r="S7103" s="757"/>
      <c r="T7103" s="753"/>
      <c r="AR7103" s="748"/>
      <c r="AS7103" s="753"/>
    </row>
    <row r="7104" spans="1:45" s="901" customFormat="1" ht="13.2">
      <c r="A7104" s="903">
        <v>5</v>
      </c>
      <c r="B7104" s="904" t="s">
        <v>863</v>
      </c>
      <c r="C7104" s="904"/>
      <c r="D7104" s="904" t="s">
        <v>2594</v>
      </c>
      <c r="E7104" s="904"/>
      <c r="F7104" s="904" t="s">
        <v>4139</v>
      </c>
      <c r="G7104" s="905" t="s">
        <v>2595</v>
      </c>
      <c r="H7104" s="902">
        <v>960</v>
      </c>
      <c r="I7104" s="904" t="s">
        <v>2596</v>
      </c>
      <c r="J7104" s="904"/>
      <c r="K7104" s="904"/>
      <c r="L7104" s="904"/>
      <c r="M7104" s="904"/>
      <c r="N7104" s="904"/>
      <c r="O7104" s="902">
        <v>4</v>
      </c>
      <c r="P7104" s="906">
        <v>38274</v>
      </c>
      <c r="Q7104" s="1415">
        <f>1.05*60*0.9</f>
        <v>56.7</v>
      </c>
      <c r="R7104" s="908">
        <f>$A7104*Q7104</f>
        <v>283.5</v>
      </c>
      <c r="S7104" s="907"/>
      <c r="T7104" s="909">
        <f>$A7104*S7104*$T$1</f>
        <v>0</v>
      </c>
      <c r="AR7104" s="903">
        <v>5</v>
      </c>
      <c r="AS7104" s="904" t="s">
        <v>3507</v>
      </c>
    </row>
    <row r="7105" spans="1:45" s="520" customFormat="1" ht="12">
      <c r="A7105" s="758"/>
      <c r="B7105" s="758"/>
      <c r="C7105" s="758"/>
      <c r="D7105" s="758"/>
      <c r="E7105" s="758"/>
      <c r="F7105" s="753"/>
      <c r="G7105" s="758"/>
      <c r="H7105" s="758"/>
      <c r="I7105" s="519"/>
      <c r="J7105" s="758"/>
      <c r="K7105" s="758"/>
      <c r="L7105" s="758"/>
      <c r="M7105" s="758"/>
      <c r="N7105" s="758"/>
      <c r="O7105" s="758"/>
      <c r="P7105" s="758"/>
      <c r="Q7105" s="519"/>
      <c r="R7105" s="759">
        <f t="shared" ref="R7105" si="600">$A7105*Q7105</f>
        <v>0</v>
      </c>
      <c r="S7105" s="519"/>
      <c r="T7105" s="760">
        <f t="shared" ref="T7105" si="601">$A7105*S7105*$T$1</f>
        <v>0</v>
      </c>
      <c r="AR7105" s="758"/>
      <c r="AS7105" s="753"/>
    </row>
    <row r="7106" spans="1:45" s="520" customFormat="1" ht="12.6" thickBot="1">
      <c r="A7106" s="761" t="s">
        <v>145</v>
      </c>
      <c r="B7106" s="762">
        <f>(R7105+T7105)</f>
        <v>0</v>
      </c>
      <c r="C7106" s="763"/>
      <c r="D7106" s="763"/>
      <c r="E7106" s="763"/>
      <c r="F7106" s="764"/>
      <c r="G7106" s="763" t="s">
        <v>146</v>
      </c>
      <c r="H7106" s="763"/>
      <c r="I7106" s="765"/>
      <c r="J7106" s="763"/>
      <c r="K7106" s="763" t="s">
        <v>5</v>
      </c>
      <c r="L7106" s="766" t="s">
        <v>143</v>
      </c>
      <c r="M7106" s="766"/>
      <c r="N7106" s="766"/>
      <c r="O7106" s="766"/>
      <c r="P7106" s="766"/>
      <c r="Q7106" s="767"/>
      <c r="R7106" s="768">
        <f>SUM(R7103:R7105)</f>
        <v>283.5</v>
      </c>
      <c r="S7106" s="763"/>
      <c r="T7106" s="768">
        <f>SUM(T7103:T7105)</f>
        <v>0</v>
      </c>
      <c r="U7106" s="531"/>
      <c r="V7106" s="531"/>
      <c r="W7106" s="531"/>
      <c r="X7106" s="531"/>
      <c r="Y7106" s="531"/>
      <c r="Z7106" s="531"/>
      <c r="AA7106" s="531"/>
      <c r="AB7106" s="531"/>
      <c r="AC7106" s="531"/>
      <c r="AD7106" s="531"/>
      <c r="AE7106" s="531"/>
      <c r="AF7106" s="531"/>
      <c r="AG7106" s="531"/>
      <c r="AH7106" s="531"/>
      <c r="AI7106" s="531"/>
      <c r="AJ7106" s="531"/>
      <c r="AK7106" s="531"/>
      <c r="AL7106" s="531"/>
      <c r="AM7106" s="531"/>
      <c r="AN7106" s="531"/>
      <c r="AO7106" s="531"/>
      <c r="AR7106" s="761" t="s">
        <v>145</v>
      </c>
      <c r="AS7106" s="764"/>
    </row>
    <row r="7107" spans="1:45" s="520" customFormat="1" ht="12" thickTop="1">
      <c r="A7107" s="51"/>
      <c r="B7107" s="41"/>
      <c r="C7107" s="51"/>
      <c r="E7107" s="42" t="s">
        <v>138</v>
      </c>
      <c r="F7107" s="42" t="s">
        <v>139</v>
      </c>
      <c r="G7107" s="51"/>
      <c r="H7107" s="51"/>
      <c r="I7107" s="51"/>
      <c r="J7107" s="51"/>
      <c r="K7107" s="51" t="s">
        <v>140</v>
      </c>
      <c r="L7107" s="51"/>
      <c r="M7107" s="51"/>
      <c r="N7107" s="51"/>
      <c r="O7107" s="52"/>
      <c r="P7107" s="51"/>
      <c r="Q7107" s="51"/>
      <c r="R7107" s="51"/>
      <c r="S7107" s="51"/>
      <c r="T7107" s="41"/>
      <c r="AG7107" s="521" t="s">
        <v>268</v>
      </c>
      <c r="AH7107" s="521" t="s">
        <v>269</v>
      </c>
      <c r="AI7107" s="521" t="s">
        <v>270</v>
      </c>
      <c r="AJ7107" s="521" t="s">
        <v>271</v>
      </c>
      <c r="AK7107" s="521" t="s">
        <v>272</v>
      </c>
      <c r="AM7107" s="745" t="s">
        <v>281</v>
      </c>
      <c r="AN7107" s="746" t="s">
        <v>282</v>
      </c>
      <c r="AO7107" s="522" t="s">
        <v>278</v>
      </c>
      <c r="AR7107" s="51"/>
      <c r="AS7107" s="42" t="s">
        <v>139</v>
      </c>
    </row>
    <row r="7108" spans="1:45" s="520" customFormat="1" ht="12" customHeight="1">
      <c r="A7108" s="747">
        <v>6</v>
      </c>
      <c r="B7108" s="523" t="s">
        <v>329</v>
      </c>
      <c r="C7108" s="748"/>
      <c r="D7108" s="749" t="s">
        <v>3930</v>
      </c>
      <c r="E7108" s="1145">
        <f>IF(AND($A7108=0,$A$1="DIF"),0, ROUND(ROUND(($R7112*$S$3+($T7112*$T$3))/$A7108,2)*$C$3,2))</f>
        <v>64</v>
      </c>
      <c r="F7108" s="1146">
        <f>ROUND($A7108*$E7108,2)</f>
        <v>384</v>
      </c>
      <c r="G7108" s="752" t="s">
        <v>142</v>
      </c>
      <c r="H7108" s="753"/>
      <c r="I7108" s="754"/>
      <c r="J7108" s="753"/>
      <c r="K7108" s="753" t="s">
        <v>5</v>
      </c>
      <c r="L7108" s="755" t="s">
        <v>143</v>
      </c>
      <c r="M7108" s="755"/>
      <c r="N7108" s="755"/>
      <c r="O7108" s="755"/>
      <c r="P7108" s="755"/>
      <c r="Q7108" s="51"/>
      <c r="T7108" s="1150" t="str">
        <f>IF(AND($R7112=0,$T7112=0),"0.00","mu: "&amp; ROUND(F7108/$C$3/($R7112+$T7112*$D$9),2))</f>
        <v>mu: 1.13</v>
      </c>
      <c r="W7108" s="524"/>
      <c r="AG7108" s="1147">
        <f>IF($E7108=0,0,ROUND($R7112*$S$3*$C$3/$A7108,2))</f>
        <v>64</v>
      </c>
      <c r="AH7108" s="1147">
        <f>$AG7108*$A7108</f>
        <v>384</v>
      </c>
      <c r="AI7108" s="1148">
        <f>$E7108-$AG7108</f>
        <v>0</v>
      </c>
      <c r="AJ7108" s="1148">
        <f>$A7108*$AI7108</f>
        <v>0</v>
      </c>
      <c r="AK7108" s="1149">
        <f>ROUND(($AG7108+$AI7108)*$A7108,2)</f>
        <v>384</v>
      </c>
      <c r="AM7108" s="527">
        <f>ROUND(R7112,2)</f>
        <v>340.2</v>
      </c>
      <c r="AN7108" s="528">
        <f>ROUND(T7112,2)</f>
        <v>0</v>
      </c>
      <c r="AO7108" s="529">
        <f>ROUND(AM7108+AN7108,2)*A7108</f>
        <v>2041.1999999999998</v>
      </c>
      <c r="AR7108" s="747">
        <v>6</v>
      </c>
      <c r="AS7108" s="1146">
        <v>611.22</v>
      </c>
    </row>
    <row r="7109" spans="1:45" s="520" customFormat="1" ht="13.2">
      <c r="A7109" s="748"/>
      <c r="B7109"/>
      <c r="C7109" s="748"/>
      <c r="D7109" s="749" t="s">
        <v>973</v>
      </c>
      <c r="F7109" s="753"/>
      <c r="G7109" s="3"/>
      <c r="H7109" s="753"/>
      <c r="I7109" s="754"/>
      <c r="J7109" s="753"/>
      <c r="K7109" s="753" t="s">
        <v>144</v>
      </c>
      <c r="L7109" s="753"/>
      <c r="M7109" s="753"/>
      <c r="N7109" s="753"/>
      <c r="O7109" s="753"/>
      <c r="P7109" s="753"/>
      <c r="Q7109" s="51"/>
      <c r="R7109" s="530"/>
      <c r="S7109" s="757"/>
      <c r="T7109" s="753"/>
      <c r="AR7109" s="748"/>
      <c r="AS7109" s="753"/>
    </row>
    <row r="7110" spans="1:45" s="901" customFormat="1" ht="13.2">
      <c r="A7110" s="903">
        <v>6</v>
      </c>
      <c r="B7110" s="904" t="s">
        <v>863</v>
      </c>
      <c r="C7110" s="904"/>
      <c r="D7110" s="904" t="s">
        <v>2594</v>
      </c>
      <c r="E7110" s="904"/>
      <c r="F7110" s="904" t="s">
        <v>4139</v>
      </c>
      <c r="G7110" s="905" t="s">
        <v>2595</v>
      </c>
      <c r="H7110" s="902">
        <v>960</v>
      </c>
      <c r="I7110" s="904" t="s">
        <v>2596</v>
      </c>
      <c r="J7110" s="904"/>
      <c r="K7110" s="904"/>
      <c r="L7110" s="904"/>
      <c r="M7110" s="904"/>
      <c r="N7110" s="904"/>
      <c r="O7110" s="902">
        <v>4</v>
      </c>
      <c r="P7110" s="906">
        <v>38274</v>
      </c>
      <c r="Q7110" s="1415">
        <f>1.05*60*0.9</f>
        <v>56.7</v>
      </c>
      <c r="R7110" s="908">
        <f>$A7110*Q7110</f>
        <v>340.20000000000005</v>
      </c>
      <c r="S7110" s="907"/>
      <c r="T7110" s="909">
        <f>$A7110*S7110*$T$1</f>
        <v>0</v>
      </c>
      <c r="AR7110" s="903">
        <v>6</v>
      </c>
      <c r="AS7110" s="904" t="s">
        <v>3507</v>
      </c>
    </row>
    <row r="7111" spans="1:45" s="520" customFormat="1" ht="12">
      <c r="A7111" s="758"/>
      <c r="B7111" s="758"/>
      <c r="C7111" s="758"/>
      <c r="D7111" s="758"/>
      <c r="E7111" s="758"/>
      <c r="F7111" s="753"/>
      <c r="G7111" s="758"/>
      <c r="H7111" s="758"/>
      <c r="I7111" s="519"/>
      <c r="J7111" s="758"/>
      <c r="K7111" s="758"/>
      <c r="L7111" s="758"/>
      <c r="M7111" s="758"/>
      <c r="N7111" s="758"/>
      <c r="O7111" s="758"/>
      <c r="P7111" s="758"/>
      <c r="Q7111" s="519"/>
      <c r="R7111" s="759">
        <f t="shared" ref="R7111" si="602">$A7111*Q7111</f>
        <v>0</v>
      </c>
      <c r="S7111" s="519"/>
      <c r="T7111" s="760">
        <f t="shared" ref="T7111" si="603">$A7111*S7111*$T$1</f>
        <v>0</v>
      </c>
      <c r="AR7111" s="758"/>
      <c r="AS7111" s="753"/>
    </row>
    <row r="7112" spans="1:45" s="520" customFormat="1" ht="12.6" thickBot="1">
      <c r="A7112" s="761" t="s">
        <v>145</v>
      </c>
      <c r="B7112" s="762">
        <f>(R7111+T7111)</f>
        <v>0</v>
      </c>
      <c r="C7112" s="763"/>
      <c r="D7112" s="763"/>
      <c r="E7112" s="763"/>
      <c r="F7112" s="764"/>
      <c r="G7112" s="763" t="s">
        <v>146</v>
      </c>
      <c r="H7112" s="763"/>
      <c r="I7112" s="765"/>
      <c r="J7112" s="763"/>
      <c r="K7112" s="763" t="s">
        <v>5</v>
      </c>
      <c r="L7112" s="766" t="s">
        <v>143</v>
      </c>
      <c r="M7112" s="766"/>
      <c r="N7112" s="766"/>
      <c r="O7112" s="766"/>
      <c r="P7112" s="766"/>
      <c r="Q7112" s="767"/>
      <c r="R7112" s="768">
        <f>SUM(R7109:R7111)</f>
        <v>340.20000000000005</v>
      </c>
      <c r="S7112" s="763"/>
      <c r="T7112" s="768">
        <f>SUM(T7109:T7111)</f>
        <v>0</v>
      </c>
      <c r="U7112" s="531"/>
      <c r="V7112" s="531"/>
      <c r="W7112" s="531"/>
      <c r="X7112" s="531"/>
      <c r="Y7112" s="531"/>
      <c r="Z7112" s="531"/>
      <c r="AA7112" s="531"/>
      <c r="AB7112" s="531"/>
      <c r="AC7112" s="531"/>
      <c r="AD7112" s="531"/>
      <c r="AE7112" s="531"/>
      <c r="AF7112" s="531"/>
      <c r="AG7112" s="531"/>
      <c r="AH7112" s="531"/>
      <c r="AI7112" s="531"/>
      <c r="AJ7112" s="531"/>
      <c r="AK7112" s="531"/>
      <c r="AL7112" s="531"/>
      <c r="AM7112" s="531"/>
      <c r="AN7112" s="531"/>
      <c r="AO7112" s="531"/>
      <c r="AR7112" s="761" t="s">
        <v>145</v>
      </c>
      <c r="AS7112" s="764"/>
    </row>
    <row r="7113" spans="1:45" s="520" customFormat="1" ht="12" thickTop="1">
      <c r="A7113" s="51"/>
      <c r="B7113" s="41"/>
      <c r="C7113" s="51"/>
      <c r="E7113" s="42" t="s">
        <v>138</v>
      </c>
      <c r="F7113" s="42" t="s">
        <v>139</v>
      </c>
      <c r="G7113" s="51"/>
      <c r="H7113" s="51"/>
      <c r="I7113" s="51"/>
      <c r="J7113" s="51"/>
      <c r="K7113" s="51" t="s">
        <v>140</v>
      </c>
      <c r="L7113" s="51"/>
      <c r="M7113" s="51"/>
      <c r="N7113" s="51"/>
      <c r="O7113" s="52"/>
      <c r="P7113" s="51"/>
      <c r="Q7113" s="51"/>
      <c r="R7113" s="51"/>
      <c r="S7113" s="51"/>
      <c r="T7113" s="41"/>
      <c r="AG7113" s="521" t="s">
        <v>268</v>
      </c>
      <c r="AH7113" s="521" t="s">
        <v>269</v>
      </c>
      <c r="AI7113" s="521" t="s">
        <v>270</v>
      </c>
      <c r="AJ7113" s="521" t="s">
        <v>271</v>
      </c>
      <c r="AK7113" s="521" t="s">
        <v>272</v>
      </c>
      <c r="AM7113" s="745" t="s">
        <v>281</v>
      </c>
      <c r="AN7113" s="746" t="s">
        <v>282</v>
      </c>
      <c r="AO7113" s="522" t="s">
        <v>278</v>
      </c>
      <c r="AR7113" s="51"/>
      <c r="AS7113" s="42" t="s">
        <v>139</v>
      </c>
    </row>
    <row r="7114" spans="1:45" s="520" customFormat="1" ht="12" customHeight="1">
      <c r="A7114" s="747">
        <v>1</v>
      </c>
      <c r="B7114" s="523" t="s">
        <v>329</v>
      </c>
      <c r="C7114" s="748"/>
      <c r="D7114" s="749" t="s">
        <v>3931</v>
      </c>
      <c r="E7114" s="1145">
        <f>IF(AND($A7114=0,$A$1="DIF"),0, ROUND(ROUND(($R7118*$S$3+($T7118*$T$3))/$A7114,2)*$C$3,2))</f>
        <v>64</v>
      </c>
      <c r="F7114" s="1146">
        <f>ROUND($A7114*$E7114,2)</f>
        <v>64</v>
      </c>
      <c r="G7114" s="752" t="s">
        <v>142</v>
      </c>
      <c r="H7114" s="753"/>
      <c r="I7114" s="754"/>
      <c r="J7114" s="753"/>
      <c r="K7114" s="753" t="s">
        <v>5</v>
      </c>
      <c r="L7114" s="755" t="s">
        <v>143</v>
      </c>
      <c r="M7114" s="755"/>
      <c r="N7114" s="755"/>
      <c r="O7114" s="755"/>
      <c r="P7114" s="755"/>
      <c r="Q7114" s="51"/>
      <c r="T7114" s="1150" t="str">
        <f>IF(AND($R7118=0,$T7118=0),"0.00","mu: "&amp; ROUND(F7114/$C$3/($R7118+$T7118*$D$9),2))</f>
        <v>mu: 1.13</v>
      </c>
      <c r="W7114" s="524"/>
      <c r="AG7114" s="1147">
        <f>IF($E7114=0,0,ROUND($R7118*$S$3*$C$3/$A7114,2))</f>
        <v>64</v>
      </c>
      <c r="AH7114" s="1147">
        <f>$AG7114*$A7114</f>
        <v>64</v>
      </c>
      <c r="AI7114" s="1148">
        <f>$E7114-$AG7114</f>
        <v>0</v>
      </c>
      <c r="AJ7114" s="1148">
        <f>$A7114*$AI7114</f>
        <v>0</v>
      </c>
      <c r="AK7114" s="1149">
        <f>ROUND(($AG7114+$AI7114)*$A7114,2)</f>
        <v>64</v>
      </c>
      <c r="AM7114" s="527">
        <f>ROUND(R7118,2)</f>
        <v>56.7</v>
      </c>
      <c r="AN7114" s="528">
        <f>ROUND(T7118,2)</f>
        <v>0</v>
      </c>
      <c r="AO7114" s="529">
        <f>ROUND(AM7114+AN7114,2)*A7114</f>
        <v>56.7</v>
      </c>
      <c r="AR7114" s="747">
        <v>1</v>
      </c>
      <c r="AS7114" s="1146">
        <v>101.87</v>
      </c>
    </row>
    <row r="7115" spans="1:45" s="520" customFormat="1" ht="13.2">
      <c r="A7115" s="748"/>
      <c r="B7115"/>
      <c r="C7115" s="748"/>
      <c r="D7115" s="749" t="s">
        <v>974</v>
      </c>
      <c r="F7115" s="753"/>
      <c r="G7115" s="3"/>
      <c r="H7115" s="753"/>
      <c r="I7115" s="754"/>
      <c r="J7115" s="753"/>
      <c r="K7115" s="753" t="s">
        <v>144</v>
      </c>
      <c r="L7115" s="753"/>
      <c r="M7115" s="753"/>
      <c r="N7115" s="753"/>
      <c r="O7115" s="753"/>
      <c r="P7115" s="753"/>
      <c r="Q7115" s="51"/>
      <c r="R7115" s="530"/>
      <c r="S7115" s="757"/>
      <c r="T7115" s="753"/>
      <c r="AR7115" s="748"/>
      <c r="AS7115" s="753"/>
    </row>
    <row r="7116" spans="1:45" s="901" customFormat="1" ht="13.2">
      <c r="A7116" s="903">
        <v>1</v>
      </c>
      <c r="B7116" s="904" t="s">
        <v>863</v>
      </c>
      <c r="C7116" s="904"/>
      <c r="D7116" s="904" t="s">
        <v>2594</v>
      </c>
      <c r="E7116" s="904"/>
      <c r="F7116" s="904" t="s">
        <v>4139</v>
      </c>
      <c r="G7116" s="905" t="s">
        <v>2595</v>
      </c>
      <c r="H7116" s="902">
        <v>960</v>
      </c>
      <c r="I7116" s="904" t="s">
        <v>2596</v>
      </c>
      <c r="J7116" s="904"/>
      <c r="K7116" s="904"/>
      <c r="L7116" s="904"/>
      <c r="M7116" s="904"/>
      <c r="N7116" s="904"/>
      <c r="O7116" s="902">
        <v>4</v>
      </c>
      <c r="P7116" s="906">
        <v>38274</v>
      </c>
      <c r="Q7116" s="1415">
        <f>1.05*60*0.9</f>
        <v>56.7</v>
      </c>
      <c r="R7116" s="908">
        <f>$A7116*Q7116</f>
        <v>56.7</v>
      </c>
      <c r="S7116" s="907"/>
      <c r="T7116" s="909">
        <f>$A7116*S7116*$T$1</f>
        <v>0</v>
      </c>
      <c r="AR7116" s="903">
        <v>1</v>
      </c>
      <c r="AS7116" s="904" t="s">
        <v>3507</v>
      </c>
    </row>
    <row r="7117" spans="1:45" s="520" customFormat="1" ht="12">
      <c r="A7117" s="758"/>
      <c r="B7117" s="758"/>
      <c r="C7117" s="758"/>
      <c r="D7117" s="758"/>
      <c r="E7117" s="758"/>
      <c r="F7117" s="753"/>
      <c r="G7117" s="758"/>
      <c r="H7117" s="758"/>
      <c r="I7117" s="519"/>
      <c r="J7117" s="758"/>
      <c r="K7117" s="758"/>
      <c r="L7117" s="758"/>
      <c r="M7117" s="758"/>
      <c r="N7117" s="758"/>
      <c r="O7117" s="758"/>
      <c r="P7117" s="758"/>
      <c r="Q7117" s="519"/>
      <c r="R7117" s="759">
        <f t="shared" ref="R7117" si="604">$A7117*Q7117</f>
        <v>0</v>
      </c>
      <c r="S7117" s="519"/>
      <c r="T7117" s="760">
        <f t="shared" ref="T7117" si="605">$A7117*S7117*$T$1</f>
        <v>0</v>
      </c>
      <c r="AR7117" s="758"/>
      <c r="AS7117" s="753"/>
    </row>
    <row r="7118" spans="1:45" s="520" customFormat="1" ht="12.6" thickBot="1">
      <c r="A7118" s="761" t="s">
        <v>145</v>
      </c>
      <c r="B7118" s="762">
        <f>(R7117+T7117)</f>
        <v>0</v>
      </c>
      <c r="C7118" s="763"/>
      <c r="D7118" s="763"/>
      <c r="E7118" s="763"/>
      <c r="F7118" s="764"/>
      <c r="G7118" s="763" t="s">
        <v>146</v>
      </c>
      <c r="H7118" s="763"/>
      <c r="I7118" s="765"/>
      <c r="J7118" s="763"/>
      <c r="K7118" s="763" t="s">
        <v>5</v>
      </c>
      <c r="L7118" s="766" t="s">
        <v>143</v>
      </c>
      <c r="M7118" s="766"/>
      <c r="N7118" s="766"/>
      <c r="O7118" s="766"/>
      <c r="P7118" s="766"/>
      <c r="Q7118" s="767"/>
      <c r="R7118" s="768">
        <f>SUM(R7115:R7117)</f>
        <v>56.7</v>
      </c>
      <c r="S7118" s="763"/>
      <c r="T7118" s="768">
        <f>SUM(T7115:T7117)</f>
        <v>0</v>
      </c>
      <c r="U7118" s="531"/>
      <c r="V7118" s="531"/>
      <c r="W7118" s="531"/>
      <c r="X7118" s="531"/>
      <c r="Y7118" s="531"/>
      <c r="Z7118" s="531"/>
      <c r="AA7118" s="531"/>
      <c r="AB7118" s="531"/>
      <c r="AC7118" s="531"/>
      <c r="AD7118" s="531"/>
      <c r="AE7118" s="531"/>
      <c r="AF7118" s="531"/>
      <c r="AG7118" s="531"/>
      <c r="AH7118" s="531"/>
      <c r="AI7118" s="531"/>
      <c r="AJ7118" s="531"/>
      <c r="AK7118" s="531"/>
      <c r="AL7118" s="531"/>
      <c r="AM7118" s="531"/>
      <c r="AN7118" s="531"/>
      <c r="AO7118" s="531"/>
      <c r="AR7118" s="761" t="s">
        <v>145</v>
      </c>
      <c r="AS7118" s="764"/>
    </row>
    <row r="7119" spans="1:45" s="520" customFormat="1" thickTop="1">
      <c r="A7119" s="51"/>
      <c r="B7119" s="51"/>
      <c r="C7119" s="3"/>
      <c r="D7119" s="3"/>
      <c r="E7119" s="51"/>
      <c r="F7119" s="51"/>
      <c r="G7119" s="51"/>
      <c r="H7119" s="51"/>
      <c r="I7119" s="51"/>
      <c r="J7119" s="51"/>
      <c r="K7119" s="51" t="s">
        <v>134</v>
      </c>
      <c r="L7119" s="51"/>
      <c r="M7119" s="51"/>
      <c r="N7119" s="51"/>
      <c r="O7119" s="52"/>
      <c r="P7119" s="51"/>
      <c r="Q7119" s="51"/>
      <c r="R7119" s="51"/>
      <c r="S7119" s="51"/>
      <c r="T7119" s="51"/>
      <c r="AR7119" s="51"/>
      <c r="AS7119" s="51"/>
    </row>
    <row r="7120" spans="1:45" s="520" customFormat="1" ht="12">
      <c r="A7120" s="51"/>
      <c r="B7120" s="51"/>
      <c r="C7120" s="51" t="s">
        <v>135</v>
      </c>
      <c r="D7120" s="37"/>
      <c r="E7120" s="51"/>
      <c r="F7120" s="51"/>
      <c r="G7120" s="51"/>
      <c r="H7120" s="51"/>
      <c r="I7120" s="51"/>
      <c r="J7120" s="51"/>
      <c r="K7120" s="51"/>
      <c r="L7120" s="51"/>
      <c r="M7120" s="51"/>
      <c r="N7120" s="51"/>
      <c r="O7120" s="52"/>
      <c r="P7120" s="51"/>
      <c r="Q7120" s="51"/>
      <c r="R7120" s="51"/>
      <c r="S7120" s="51"/>
      <c r="T7120" s="51"/>
      <c r="AR7120" s="51"/>
      <c r="AS7120" s="51"/>
    </row>
    <row r="7121" spans="1:45" s="520" customFormat="1" ht="12">
      <c r="A7121" s="51"/>
      <c r="B7121" s="51"/>
      <c r="C7121" s="51"/>
      <c r="D7121" s="37" t="s">
        <v>1922</v>
      </c>
      <c r="E7121" s="51"/>
      <c r="F7121" s="51"/>
      <c r="G7121" s="51"/>
      <c r="H7121" s="51"/>
      <c r="I7121" s="51"/>
      <c r="J7121" s="51"/>
      <c r="K7121" s="51"/>
      <c r="L7121" s="51"/>
      <c r="M7121" s="51"/>
      <c r="N7121" s="51"/>
      <c r="O7121" s="52"/>
      <c r="P7121" s="51"/>
      <c r="Q7121" s="51"/>
      <c r="R7121" s="51"/>
      <c r="S7121" s="38"/>
      <c r="T7121" s="38"/>
      <c r="AR7121" s="51"/>
      <c r="AS7121" s="51"/>
    </row>
    <row r="7122" spans="1:45" s="3" customFormat="1" thickBot="1">
      <c r="A7122" s="531"/>
      <c r="O7122" s="107"/>
      <c r="AR7122" s="531"/>
    </row>
    <row r="7123" spans="1:45" s="520" customFormat="1" thickTop="1">
      <c r="A7123" s="51"/>
      <c r="B7123" s="41"/>
      <c r="C7123" s="51"/>
      <c r="E7123" s="42" t="s">
        <v>138</v>
      </c>
      <c r="F7123" s="42" t="s">
        <v>139</v>
      </c>
      <c r="G7123" s="51"/>
      <c r="H7123" s="51"/>
      <c r="I7123" s="51"/>
      <c r="J7123" s="51"/>
      <c r="K7123" s="51" t="s">
        <v>140</v>
      </c>
      <c r="L7123" s="785"/>
      <c r="M7123" s="51"/>
      <c r="N7123" s="51"/>
      <c r="O7123" s="52"/>
      <c r="P7123" s="51"/>
      <c r="Q7123"/>
      <c r="R7123"/>
      <c r="S7123"/>
      <c r="T7123" s="41"/>
      <c r="AG7123" s="521" t="s">
        <v>268</v>
      </c>
      <c r="AH7123" s="521" t="s">
        <v>269</v>
      </c>
      <c r="AI7123" s="521" t="s">
        <v>270</v>
      </c>
      <c r="AJ7123" s="521" t="s">
        <v>271</v>
      </c>
      <c r="AK7123" s="521" t="s">
        <v>272</v>
      </c>
      <c r="AM7123" s="745" t="s">
        <v>281</v>
      </c>
      <c r="AN7123" s="746" t="s">
        <v>282</v>
      </c>
      <c r="AO7123" s="522" t="s">
        <v>278</v>
      </c>
      <c r="AR7123" s="51"/>
      <c r="AS7123" s="42" t="s">
        <v>139</v>
      </c>
    </row>
    <row r="7124" spans="1:45" s="520" customFormat="1" ht="13.2">
      <c r="A7124" s="747">
        <f>67/69 *(69)</f>
        <v>67</v>
      </c>
      <c r="B7124" s="523" t="s">
        <v>329</v>
      </c>
      <c r="C7124" s="748"/>
      <c r="D7124" s="749" t="s">
        <v>3932</v>
      </c>
      <c r="E7124" s="786">
        <f>IF(AND($A7124=0,$A$1="DIF"),0, ROUND(ROUND(SUMIF($L7126:$L7131,"SUBI",$E7126:$E7131)/$A7124,2)*$C$12,2))</f>
        <v>35.380000000000003</v>
      </c>
      <c r="F7124" s="787">
        <f>ROUND($A7124*$E7124,2)</f>
        <v>2370.46</v>
      </c>
      <c r="G7124" s="752" t="s">
        <v>142</v>
      </c>
      <c r="H7124" s="753"/>
      <c r="I7124" s="754"/>
      <c r="J7124" s="753"/>
      <c r="K7124" s="788"/>
      <c r="L7124" s="789" t="s">
        <v>143</v>
      </c>
      <c r="M7124" s="755"/>
      <c r="N7124" s="755"/>
      <c r="O7124" s="755"/>
      <c r="P7124" s="755"/>
      <c r="Q7124"/>
      <c r="R7124"/>
      <c r="S7124"/>
      <c r="T7124" s="790" t="str">
        <f>IF(AND($R7136=0,$T7136=0),"0.00","mu :" &amp; ROUND($F7124/$C$12/($R7136+$T7136*$D$9),2))</f>
        <v>mu :1.18</v>
      </c>
      <c r="W7124" s="524"/>
      <c r="AG7124" s="791">
        <f>IF(A7124=0,0,ROUND(SUM(AG7126:AG7136)/A7124,2))</f>
        <v>35.380000000000003</v>
      </c>
      <c r="AH7124" s="791">
        <f>$AG7124*$A7124</f>
        <v>2370.46</v>
      </c>
      <c r="AI7124" s="791">
        <f>$E7124-$AG7124</f>
        <v>0</v>
      </c>
      <c r="AJ7124" s="791">
        <f>$A7124*$AI7124</f>
        <v>0</v>
      </c>
      <c r="AK7124" s="792">
        <f>ROUND(($AG7124+$AI7124)*$A7124,2)</f>
        <v>2370.46</v>
      </c>
      <c r="AM7124" s="527">
        <f>ROUND(R7136,2)</f>
        <v>2002.77</v>
      </c>
      <c r="AN7124" s="528">
        <f>ROUND(T7136,2)</f>
        <v>0</v>
      </c>
      <c r="AO7124" s="529">
        <f>ROUND(AM7124+AN7124,2)*A7124</f>
        <v>134185.59</v>
      </c>
      <c r="AR7124" s="747">
        <v>69</v>
      </c>
      <c r="AS7124" s="787">
        <v>2501.25</v>
      </c>
    </row>
    <row r="7125" spans="1:45" s="520" customFormat="1" ht="20.100000000000001" customHeight="1">
      <c r="A7125" s="748"/>
      <c r="B7125"/>
      <c r="C7125" s="748"/>
      <c r="D7125" s="749" t="s">
        <v>1924</v>
      </c>
      <c r="F7125" s="753"/>
      <c r="G7125" s="753"/>
      <c r="H7125" s="753"/>
      <c r="I7125" s="754"/>
      <c r="J7125" s="753"/>
      <c r="K7125" s="753" t="s">
        <v>144</v>
      </c>
      <c r="L7125" s="784"/>
      <c r="M7125" s="753"/>
      <c r="N7125" s="753"/>
      <c r="O7125" s="753"/>
      <c r="P7125" s="753"/>
      <c r="Q7125" s="51"/>
      <c r="R7125" s="530"/>
      <c r="S7125" s="757"/>
      <c r="T7125" s="753"/>
      <c r="AR7125" s="748"/>
      <c r="AS7125" s="753"/>
    </row>
    <row r="7126" spans="1:45" s="520" customFormat="1" ht="12">
      <c r="A7126" s="795"/>
      <c r="B7126" s="796"/>
      <c r="C7126" s="758"/>
      <c r="D7126" s="753"/>
      <c r="E7126" s="797">
        <f>F7124/$C$12-SUMIF($L7123:$L7136,"SUBI",$E7123:$E7136)</f>
        <v>0.26999999999998181</v>
      </c>
      <c r="F7126" s="798" t="s">
        <v>2054</v>
      </c>
      <c r="G7126" s="799"/>
      <c r="H7126" s="799"/>
      <c r="I7126" s="800"/>
      <c r="J7126" s="799"/>
      <c r="K7126" s="799"/>
      <c r="L7126" s="801"/>
      <c r="M7126" s="802"/>
      <c r="N7126" s="802"/>
      <c r="O7126" s="802"/>
      <c r="P7126" s="802"/>
      <c r="Q7126" s="803"/>
      <c r="R7126" s="804"/>
      <c r="S7126" s="803"/>
      <c r="T7126" s="805"/>
      <c r="AR7126" s="795"/>
      <c r="AS7126" s="798" t="s">
        <v>2054</v>
      </c>
    </row>
    <row r="7127" spans="1:45" s="520" customFormat="1" ht="12" customHeight="1">
      <c r="A7127" s="806"/>
      <c r="B7127" s="807"/>
      <c r="C7127" s="808"/>
      <c r="D7127" s="808" t="str">
        <f>$F$2</f>
        <v>Electrical</v>
      </c>
      <c r="E7127" s="808">
        <f>ROUND(($R7130*$S$2 + ($T7130*$T$2)), 2)</f>
        <v>1315.22</v>
      </c>
      <c r="F7127" s="809">
        <f>$E7127*$C$12</f>
        <v>1315.22</v>
      </c>
      <c r="G7127" s="530"/>
      <c r="H7127" s="810"/>
      <c r="I7127" s="530"/>
      <c r="J7127" s="52"/>
      <c r="K7127" s="811" t="s">
        <v>3</v>
      </c>
      <c r="L7127" s="812" t="s">
        <v>2055</v>
      </c>
      <c r="M7127" s="530"/>
      <c r="N7127" s="530"/>
      <c r="O7127" s="52"/>
      <c r="P7127" s="530"/>
      <c r="Q7127" s="530"/>
      <c r="R7127"/>
      <c r="S7127"/>
      <c r="T7127"/>
      <c r="AR7127" s="806"/>
      <c r="AS7127" s="809">
        <v>1354.48</v>
      </c>
    </row>
    <row r="7128" spans="1:45" s="901" customFormat="1" ht="13.2">
      <c r="A7128" s="116">
        <f>67/69 *(22)</f>
        <v>21.362318840579711</v>
      </c>
      <c r="B7128" s="901" t="s">
        <v>141</v>
      </c>
      <c r="D7128" s="901" t="s">
        <v>3608</v>
      </c>
      <c r="F7128" s="901" t="s">
        <v>3609</v>
      </c>
      <c r="G7128" s="941" t="s">
        <v>3249</v>
      </c>
      <c r="H7128" s="942">
        <v>690</v>
      </c>
      <c r="I7128" s="901" t="s">
        <v>2607</v>
      </c>
      <c r="J7128" s="901" t="s">
        <v>2953</v>
      </c>
      <c r="O7128" s="943">
        <v>1</v>
      </c>
      <c r="P7128" s="944">
        <v>38136</v>
      </c>
      <c r="Q7128" s="945">
        <f>(50)</f>
        <v>50</v>
      </c>
      <c r="R7128" s="946">
        <f t="shared" ref="R7128" si="606">$A7128*Q7128</f>
        <v>1068.1159420289855</v>
      </c>
      <c r="S7128" s="945"/>
      <c r="T7128" s="947">
        <f t="shared" ref="T7128" si="607">$A7128*S7128*$T$1</f>
        <v>0</v>
      </c>
      <c r="AR7128" s="116">
        <v>22</v>
      </c>
      <c r="AS7128" s="901" t="s">
        <v>3609</v>
      </c>
    </row>
    <row r="7129" spans="1:45" s="520" customFormat="1" ht="14.1" customHeight="1">
      <c r="A7129" s="813"/>
      <c r="B7129" s="530"/>
      <c r="C7129" s="530"/>
      <c r="D7129" s="530"/>
      <c r="E7129" s="530"/>
      <c r="F7129" s="530"/>
      <c r="G7129" s="530"/>
      <c r="H7129" s="810"/>
      <c r="I7129" s="530"/>
      <c r="J7129" s="52"/>
      <c r="K7129" s="815"/>
      <c r="L7129" s="816"/>
      <c r="M7129" s="530"/>
      <c r="N7129" s="530"/>
      <c r="O7129" s="52"/>
      <c r="P7129" s="530"/>
      <c r="Q7129" s="530"/>
      <c r="R7129" s="817">
        <f>$A7129*Q7129</f>
        <v>0</v>
      </c>
      <c r="S7129" s="530"/>
      <c r="T7129" s="760">
        <f>$A7129*S7129*$T$1</f>
        <v>0</v>
      </c>
      <c r="AR7129" s="813"/>
      <c r="AS7129" s="530"/>
    </row>
    <row r="7130" spans="1:45" s="520" customFormat="1" ht="12">
      <c r="A7130" s="818" t="s">
        <v>145</v>
      </c>
      <c r="B7130" s="819">
        <f>(R7129+T7129)</f>
        <v>0</v>
      </c>
      <c r="C7130" s="758"/>
      <c r="G7130" s="820"/>
      <c r="H7130" s="820"/>
      <c r="I7130" s="820"/>
      <c r="J7130" s="820"/>
      <c r="K7130" s="821" t="s">
        <v>3</v>
      </c>
      <c r="L7130" s="822" t="s">
        <v>2055</v>
      </c>
      <c r="M7130" s="820"/>
      <c r="N7130" s="820"/>
      <c r="O7130" s="820"/>
      <c r="P7130" s="820"/>
      <c r="Q7130" s="823"/>
      <c r="R7130" s="824">
        <f>SUM(R7127:R7129)</f>
        <v>1068.1159420289855</v>
      </c>
      <c r="S7130" s="825"/>
      <c r="T7130" s="824">
        <f>SUM(T7127:T7129)</f>
        <v>0</v>
      </c>
      <c r="AG7130" s="826">
        <f>ROUND($R7130*$S$2,2)</f>
        <v>1315.22</v>
      </c>
      <c r="AR7130" s="818" t="s">
        <v>145</v>
      </c>
    </row>
    <row r="7131" spans="1:45" s="520" customFormat="1" ht="12" customHeight="1">
      <c r="A7131" s="827"/>
      <c r="B7131" s="828"/>
      <c r="C7131" s="829"/>
      <c r="D7131" s="829" t="str">
        <f>$F$3</f>
        <v>ELV Installation (NAS Ltd)</v>
      </c>
      <c r="E7131" s="829">
        <f>ROUND(($R7134*$S$3 + ($T7134*$T$3)), 2)</f>
        <v>1054.97</v>
      </c>
      <c r="F7131" s="830">
        <f ca="1">$F7124-SUMIF($L7126:$P7128,"SUBI",$F7126:$F7128)</f>
        <v>1055.24</v>
      </c>
      <c r="G7131" s="519"/>
      <c r="H7131" s="519"/>
      <c r="I7131" s="519"/>
      <c r="J7131" s="519"/>
      <c r="K7131" s="811" t="s">
        <v>5</v>
      </c>
      <c r="L7131" s="812" t="s">
        <v>2055</v>
      </c>
      <c r="M7131" s="519"/>
      <c r="N7131" s="519"/>
      <c r="O7131" s="519"/>
      <c r="P7131" s="519"/>
      <c r="Q7131" s="519"/>
      <c r="R7131" s="831"/>
      <c r="S7131" s="519"/>
      <c r="T7131" s="831"/>
      <c r="AR7131" s="827"/>
      <c r="AS7131" s="830">
        <v>1146.77</v>
      </c>
    </row>
    <row r="7132" spans="1:45" s="901" customFormat="1" ht="13.2">
      <c r="A7132" s="903">
        <f>67/69 *(69)</f>
        <v>67</v>
      </c>
      <c r="B7132" s="904" t="s">
        <v>863</v>
      </c>
      <c r="C7132" s="904"/>
      <c r="D7132" s="904" t="s">
        <v>2594</v>
      </c>
      <c r="E7132" s="904"/>
      <c r="F7132" s="904" t="s">
        <v>4139</v>
      </c>
      <c r="G7132" s="905" t="s">
        <v>2595</v>
      </c>
      <c r="H7132" s="902">
        <v>960</v>
      </c>
      <c r="I7132" s="904" t="s">
        <v>2596</v>
      </c>
      <c r="J7132" s="904"/>
      <c r="K7132" s="904"/>
      <c r="L7132" s="904"/>
      <c r="M7132" s="904"/>
      <c r="N7132" s="904"/>
      <c r="O7132" s="902">
        <v>4</v>
      </c>
      <c r="P7132" s="906">
        <v>38274</v>
      </c>
      <c r="Q7132" s="1415">
        <f>15.5*0.9</f>
        <v>13.950000000000001</v>
      </c>
      <c r="R7132" s="908">
        <f>$A7132*Q7132</f>
        <v>934.65000000000009</v>
      </c>
      <c r="S7132" s="907"/>
      <c r="T7132" s="909">
        <f>$A7132*S7132*$T$1</f>
        <v>0</v>
      </c>
      <c r="AR7132" s="903">
        <v>69</v>
      </c>
      <c r="AS7132" s="904" t="s">
        <v>3507</v>
      </c>
    </row>
    <row r="7133" spans="1:45" s="520" customFormat="1" ht="13.2">
      <c r="A7133" s="813"/>
      <c r="B7133" s="530"/>
      <c r="C7133" s="530"/>
      <c r="D7133" s="3"/>
      <c r="E7133" s="530"/>
      <c r="F7133" s="530"/>
      <c r="G7133" s="530"/>
      <c r="H7133" s="530"/>
      <c r="I7133" s="530"/>
      <c r="J7133" s="530"/>
      <c r="K7133" s="530"/>
      <c r="L7133" s="816"/>
      <c r="M7133" s="530"/>
      <c r="N7133" s="530"/>
      <c r="O7133" s="530"/>
      <c r="P7133" s="530"/>
      <c r="Q7133" s="530"/>
      <c r="R7133" s="817">
        <f>$A7133*Q7133</f>
        <v>0</v>
      </c>
      <c r="S7133" s="530"/>
      <c r="T7133" s="760">
        <f>$A7133*S7133*$T$1</f>
        <v>0</v>
      </c>
      <c r="AR7133" s="813"/>
      <c r="AS7133" s="530"/>
    </row>
    <row r="7134" spans="1:45" s="520" customFormat="1" ht="12" customHeight="1">
      <c r="A7134" s="845" t="s">
        <v>145</v>
      </c>
      <c r="B7134" s="846">
        <f>(R7133+T7133)</f>
        <v>0</v>
      </c>
      <c r="C7134" s="847"/>
      <c r="D7134" s="847"/>
      <c r="E7134" s="847"/>
      <c r="F7134" s="847"/>
      <c r="G7134" s="823"/>
      <c r="H7134" s="823"/>
      <c r="I7134" s="823"/>
      <c r="J7134" s="823"/>
      <c r="K7134" s="848" t="s">
        <v>5</v>
      </c>
      <c r="L7134" s="849" t="s">
        <v>2055</v>
      </c>
      <c r="M7134" s="823"/>
      <c r="N7134" s="823"/>
      <c r="O7134" s="823"/>
      <c r="P7134" s="823"/>
      <c r="Q7134" s="823"/>
      <c r="R7134" s="824">
        <f>SUM(R7131:R7133)</f>
        <v>934.65000000000009</v>
      </c>
      <c r="S7134" s="825"/>
      <c r="T7134" s="824">
        <f>SUM(T7131:T7133)</f>
        <v>0</v>
      </c>
      <c r="AG7134" s="850">
        <f>ROUND($R7134*$S$3,2)</f>
        <v>1054.97</v>
      </c>
      <c r="AR7134" s="845" t="s">
        <v>145</v>
      </c>
      <c r="AS7134" s="847"/>
    </row>
    <row r="7135" spans="1:45" s="520" customFormat="1" ht="12.75" customHeight="1">
      <c r="A7135" s="851"/>
      <c r="B7135" s="852"/>
      <c r="E7135" s="758"/>
      <c r="F7135" s="853"/>
      <c r="G7135" s="758"/>
      <c r="H7135" s="758"/>
      <c r="I7135" s="519"/>
      <c r="J7135" s="758"/>
      <c r="K7135" s="758"/>
      <c r="L7135" s="854"/>
      <c r="M7135" s="855"/>
      <c r="N7135" s="855"/>
      <c r="O7135" s="855"/>
      <c r="P7135" s="855"/>
      <c r="Q7135" s="778"/>
      <c r="R7135" s="831"/>
      <c r="S7135" s="758"/>
      <c r="T7135" s="831"/>
      <c r="AR7135" s="851"/>
      <c r="AS7135" s="853"/>
    </row>
    <row r="7136" spans="1:45" s="520" customFormat="1" ht="13.5" customHeight="1" thickBot="1">
      <c r="A7136" s="856"/>
      <c r="B7136" s="857"/>
      <c r="C7136" s="531"/>
      <c r="D7136" s="531"/>
      <c r="E7136" s="763"/>
      <c r="F7136" s="764"/>
      <c r="G7136" s="763" t="s">
        <v>146</v>
      </c>
      <c r="H7136" s="763"/>
      <c r="I7136" s="765"/>
      <c r="J7136" s="763"/>
      <c r="K7136" s="763"/>
      <c r="L7136" s="858" t="s">
        <v>143</v>
      </c>
      <c r="M7136" s="766"/>
      <c r="N7136" s="766"/>
      <c r="O7136" s="766"/>
      <c r="P7136" s="766"/>
      <c r="Q7136" s="767"/>
      <c r="R7136" s="859">
        <f>SUMIF($L7125:$L7135,"SUBI",R7125:R7135)</f>
        <v>2002.7659420289856</v>
      </c>
      <c r="S7136" s="763"/>
      <c r="T7136" s="859">
        <f>SUMIF($L7125:$L7135,"SUBI",T7125:T7135)</f>
        <v>0</v>
      </c>
      <c r="U7136" s="531"/>
      <c r="V7136" s="531"/>
      <c r="W7136" s="531"/>
      <c r="X7136" s="531"/>
      <c r="Y7136" s="531"/>
      <c r="Z7136" s="531"/>
      <c r="AA7136" s="531"/>
      <c r="AB7136" s="531"/>
      <c r="AC7136" s="531"/>
      <c r="AD7136" s="531"/>
      <c r="AE7136" s="531"/>
      <c r="AF7136" s="531"/>
      <c r="AG7136" s="531"/>
      <c r="AH7136" s="531"/>
      <c r="AI7136" s="531"/>
      <c r="AJ7136" s="531"/>
      <c r="AK7136" s="531"/>
      <c r="AL7136" s="531"/>
      <c r="AM7136" s="531"/>
      <c r="AN7136" s="531"/>
      <c r="AO7136" s="531"/>
      <c r="AR7136" s="856"/>
      <c r="AS7136" s="764"/>
    </row>
    <row r="7137" spans="1:45" s="520" customFormat="1" thickTop="1">
      <c r="A7137" s="51"/>
      <c r="B7137" s="41"/>
      <c r="C7137" s="51"/>
      <c r="E7137" s="42" t="s">
        <v>138</v>
      </c>
      <c r="F7137" s="42" t="s">
        <v>139</v>
      </c>
      <c r="G7137" s="51"/>
      <c r="H7137" s="51"/>
      <c r="I7137" s="51"/>
      <c r="J7137" s="51"/>
      <c r="K7137" s="51" t="s">
        <v>140</v>
      </c>
      <c r="L7137" s="785"/>
      <c r="M7137" s="51"/>
      <c r="N7137" s="51"/>
      <c r="O7137" s="52"/>
      <c r="P7137" s="51"/>
      <c r="Q7137"/>
      <c r="R7137"/>
      <c r="S7137"/>
      <c r="T7137" s="41"/>
      <c r="AG7137" s="521" t="s">
        <v>268</v>
      </c>
      <c r="AH7137" s="521" t="s">
        <v>269</v>
      </c>
      <c r="AI7137" s="521" t="s">
        <v>270</v>
      </c>
      <c r="AJ7137" s="521" t="s">
        <v>271</v>
      </c>
      <c r="AK7137" s="521" t="s">
        <v>272</v>
      </c>
      <c r="AM7137" s="745" t="s">
        <v>281</v>
      </c>
      <c r="AN7137" s="746" t="s">
        <v>282</v>
      </c>
      <c r="AO7137" s="522" t="s">
        <v>278</v>
      </c>
      <c r="AR7137" s="51"/>
      <c r="AS7137" s="42" t="s">
        <v>139</v>
      </c>
    </row>
    <row r="7138" spans="1:45" s="520" customFormat="1" ht="13.2">
      <c r="A7138" s="747">
        <v>11</v>
      </c>
      <c r="B7138" s="523" t="s">
        <v>329</v>
      </c>
      <c r="C7138" s="748"/>
      <c r="D7138" s="749" t="s">
        <v>3933</v>
      </c>
      <c r="E7138" s="786">
        <f>IF(AND($A7138=0,$A$1="DIF"),0, ROUND(ROUND(SUMIF($L7140:$L7145,"SUBI",$E7140:$E7145)/$A7138,2)*$C$12,2))</f>
        <v>21.34</v>
      </c>
      <c r="F7138" s="787">
        <f>ROUND($A7138*$E7138,2)</f>
        <v>234.74</v>
      </c>
      <c r="G7138" s="752" t="s">
        <v>142</v>
      </c>
      <c r="H7138" s="753"/>
      <c r="I7138" s="754"/>
      <c r="J7138" s="753"/>
      <c r="K7138" s="788"/>
      <c r="L7138" s="789" t="s">
        <v>143</v>
      </c>
      <c r="M7138" s="755"/>
      <c r="N7138" s="755"/>
      <c r="O7138" s="755"/>
      <c r="P7138" s="755"/>
      <c r="Q7138"/>
      <c r="R7138"/>
      <c r="S7138"/>
      <c r="T7138" s="790" t="str">
        <f>IF(AND($R7150=0,$T7150=0),"0.00","mu :" &amp; ROUND($F7138/$C$12/($R7150+$T7150*$D$9),2))</f>
        <v>mu :1.15</v>
      </c>
      <c r="W7138" s="524"/>
      <c r="AG7138" s="791">
        <f>IF(A7138=0,0,ROUND(SUM(AG7140:AG7150)/A7138,2))</f>
        <v>21.34</v>
      </c>
      <c r="AH7138" s="791">
        <f>$AG7138*$A7138</f>
        <v>234.74</v>
      </c>
      <c r="AI7138" s="791">
        <f>$E7138-$AG7138</f>
        <v>0</v>
      </c>
      <c r="AJ7138" s="791">
        <f>$A7138*$AI7138</f>
        <v>0</v>
      </c>
      <c r="AK7138" s="792">
        <f>ROUND(($AG7138+$AI7138)*$A7138,2)</f>
        <v>234.74</v>
      </c>
      <c r="AM7138" s="527">
        <f>ROUND(R7150,2)</f>
        <v>203.45</v>
      </c>
      <c r="AN7138" s="528">
        <f>ROUND(T7150,2)</f>
        <v>0</v>
      </c>
      <c r="AO7138" s="529">
        <f>ROUND(AM7138+AN7138,2)*A7138</f>
        <v>2237.9499999999998</v>
      </c>
      <c r="AR7138" s="747">
        <v>11</v>
      </c>
      <c r="AS7138" s="787">
        <v>244.42</v>
      </c>
    </row>
    <row r="7139" spans="1:45" s="520" customFormat="1" ht="20.100000000000001" customHeight="1">
      <c r="A7139" s="748"/>
      <c r="B7139"/>
      <c r="C7139" s="748"/>
      <c r="D7139" s="749" t="s">
        <v>1926</v>
      </c>
      <c r="F7139" s="753"/>
      <c r="G7139" s="753"/>
      <c r="H7139" s="753"/>
      <c r="I7139" s="754"/>
      <c r="J7139" s="753"/>
      <c r="K7139" s="753" t="s">
        <v>144</v>
      </c>
      <c r="L7139" s="784"/>
      <c r="M7139" s="753"/>
      <c r="N7139" s="753"/>
      <c r="O7139" s="753"/>
      <c r="P7139" s="753"/>
      <c r="Q7139" s="51"/>
      <c r="R7139" s="530"/>
      <c r="S7139" s="757"/>
      <c r="T7139" s="753"/>
      <c r="AR7139" s="748"/>
      <c r="AS7139" s="753"/>
    </row>
    <row r="7140" spans="1:45" s="520" customFormat="1" ht="12">
      <c r="A7140" s="795"/>
      <c r="B7140" s="796"/>
      <c r="C7140" s="758"/>
      <c r="D7140" s="753"/>
      <c r="E7140" s="797">
        <f>F7138/$C$12-SUMIF($L7137:$L7150,"SUBI",$E7137:$E7150)</f>
        <v>-2.9999999999972715E-2</v>
      </c>
      <c r="F7140" s="798" t="s">
        <v>2054</v>
      </c>
      <c r="G7140" s="799"/>
      <c r="H7140" s="799"/>
      <c r="I7140" s="800"/>
      <c r="J7140" s="799"/>
      <c r="K7140" s="799"/>
      <c r="L7140" s="801"/>
      <c r="M7140" s="802"/>
      <c r="N7140" s="802"/>
      <c r="O7140" s="802"/>
      <c r="P7140" s="802"/>
      <c r="Q7140" s="803"/>
      <c r="R7140" s="804"/>
      <c r="S7140" s="803"/>
      <c r="T7140" s="805"/>
      <c r="AR7140" s="795"/>
      <c r="AS7140" s="798" t="s">
        <v>2054</v>
      </c>
    </row>
    <row r="7141" spans="1:45" s="520" customFormat="1" ht="12" customHeight="1">
      <c r="A7141" s="806"/>
      <c r="B7141" s="807"/>
      <c r="C7141" s="808"/>
      <c r="D7141" s="808" t="str">
        <f>$F$2</f>
        <v>Electrical</v>
      </c>
      <c r="E7141" s="808">
        <f>ROUND(($R7144*$S$2 + ($T7144*$T$2)), 2)</f>
        <v>61.57</v>
      </c>
      <c r="F7141" s="809">
        <f>$E7141*$C$12</f>
        <v>61.57</v>
      </c>
      <c r="G7141" s="530"/>
      <c r="H7141" s="810"/>
      <c r="I7141" s="530"/>
      <c r="J7141" s="52"/>
      <c r="K7141" s="811" t="s">
        <v>3</v>
      </c>
      <c r="L7141" s="812" t="s">
        <v>2055</v>
      </c>
      <c r="M7141" s="530"/>
      <c r="N7141" s="530"/>
      <c r="O7141" s="52"/>
      <c r="P7141" s="530"/>
      <c r="Q7141" s="530"/>
      <c r="R7141"/>
      <c r="S7141"/>
      <c r="T7141"/>
      <c r="AR7141" s="806"/>
      <c r="AS7141" s="809">
        <v>61.57</v>
      </c>
    </row>
    <row r="7142" spans="1:45" s="901" customFormat="1" ht="13.2">
      <c r="A7142" s="116">
        <v>1</v>
      </c>
      <c r="B7142" s="901" t="s">
        <v>141</v>
      </c>
      <c r="D7142" s="901" t="s">
        <v>3608</v>
      </c>
      <c r="F7142" s="901" t="s">
        <v>3609</v>
      </c>
      <c r="G7142" s="941" t="s">
        <v>3249</v>
      </c>
      <c r="H7142" s="942">
        <v>690</v>
      </c>
      <c r="I7142" s="901" t="s">
        <v>2607</v>
      </c>
      <c r="J7142" s="901" t="s">
        <v>2953</v>
      </c>
      <c r="O7142" s="943">
        <v>1</v>
      </c>
      <c r="P7142" s="944">
        <v>38136</v>
      </c>
      <c r="Q7142" s="945">
        <f>(50)</f>
        <v>50</v>
      </c>
      <c r="R7142" s="946">
        <f t="shared" ref="R7142" si="608">$A7142*Q7142</f>
        <v>50</v>
      </c>
      <c r="S7142" s="945"/>
      <c r="T7142" s="947">
        <f t="shared" ref="T7142" si="609">$A7142*S7142*$T$1</f>
        <v>0</v>
      </c>
      <c r="AR7142" s="116">
        <v>1</v>
      </c>
      <c r="AS7142" s="901" t="s">
        <v>3609</v>
      </c>
    </row>
    <row r="7143" spans="1:45" s="520" customFormat="1" ht="14.1" customHeight="1">
      <c r="A7143" s="813"/>
      <c r="B7143" s="530"/>
      <c r="C7143" s="530"/>
      <c r="D7143" s="530"/>
      <c r="E7143" s="530"/>
      <c r="F7143" s="530"/>
      <c r="G7143" s="530"/>
      <c r="H7143" s="810"/>
      <c r="I7143" s="530"/>
      <c r="J7143" s="52"/>
      <c r="K7143" s="815"/>
      <c r="L7143" s="816"/>
      <c r="M7143" s="530"/>
      <c r="N7143" s="530"/>
      <c r="O7143" s="52"/>
      <c r="P7143" s="530"/>
      <c r="Q7143" s="530"/>
      <c r="R7143" s="817">
        <f>$A7143*Q7143</f>
        <v>0</v>
      </c>
      <c r="S7143" s="530"/>
      <c r="T7143" s="760">
        <f>$A7143*S7143*$T$1</f>
        <v>0</v>
      </c>
      <c r="AR7143" s="813"/>
      <c r="AS7143" s="530"/>
    </row>
    <row r="7144" spans="1:45" s="520" customFormat="1" ht="12">
      <c r="A7144" s="818" t="s">
        <v>145</v>
      </c>
      <c r="B7144" s="819">
        <f>(R7143+T7143)</f>
        <v>0</v>
      </c>
      <c r="C7144" s="758"/>
      <c r="G7144" s="820"/>
      <c r="H7144" s="820"/>
      <c r="I7144" s="820"/>
      <c r="J7144" s="820"/>
      <c r="K7144" s="821" t="s">
        <v>3</v>
      </c>
      <c r="L7144" s="822" t="s">
        <v>2055</v>
      </c>
      <c r="M7144" s="820"/>
      <c r="N7144" s="820"/>
      <c r="O7144" s="820"/>
      <c r="P7144" s="820"/>
      <c r="Q7144" s="823"/>
      <c r="R7144" s="824">
        <f>SUM(R7141:R7143)</f>
        <v>50</v>
      </c>
      <c r="S7144" s="825"/>
      <c r="T7144" s="824">
        <f>SUM(T7141:T7143)</f>
        <v>0</v>
      </c>
      <c r="AG7144" s="826">
        <f>ROUND($R7144*$S$2,2)</f>
        <v>61.57</v>
      </c>
      <c r="AR7144" s="818" t="s">
        <v>145</v>
      </c>
    </row>
    <row r="7145" spans="1:45" s="520" customFormat="1" ht="12" customHeight="1">
      <c r="A7145" s="827"/>
      <c r="B7145" s="828"/>
      <c r="C7145" s="829"/>
      <c r="D7145" s="829" t="str">
        <f>$F$3</f>
        <v>ELV Installation (NAS Ltd)</v>
      </c>
      <c r="E7145" s="829">
        <f>ROUND(($R7148*$S$3 + ($T7148*$T$3)), 2)</f>
        <v>173.2</v>
      </c>
      <c r="F7145" s="830">
        <f ca="1">$F7138-SUMIF($L7140:$P7142,"SUBI",$F7140:$F7142)</f>
        <v>173.17000000000002</v>
      </c>
      <c r="G7145" s="519"/>
      <c r="H7145" s="519"/>
      <c r="I7145" s="519"/>
      <c r="J7145" s="519"/>
      <c r="K7145" s="811" t="s">
        <v>5</v>
      </c>
      <c r="L7145" s="812" t="s">
        <v>2055</v>
      </c>
      <c r="M7145" s="519"/>
      <c r="N7145" s="519"/>
      <c r="O7145" s="519"/>
      <c r="P7145" s="519"/>
      <c r="Q7145" s="519"/>
      <c r="R7145" s="831"/>
      <c r="S7145" s="519"/>
      <c r="T7145" s="831"/>
      <c r="AR7145" s="827"/>
      <c r="AS7145" s="830">
        <v>182.85</v>
      </c>
    </row>
    <row r="7146" spans="1:45" s="901" customFormat="1" ht="13.2">
      <c r="A7146" s="903">
        <v>11</v>
      </c>
      <c r="B7146" s="904" t="s">
        <v>863</v>
      </c>
      <c r="C7146" s="904"/>
      <c r="D7146" s="904" t="s">
        <v>2594</v>
      </c>
      <c r="E7146" s="904"/>
      <c r="F7146" s="904" t="s">
        <v>4139</v>
      </c>
      <c r="G7146" s="905" t="s">
        <v>2595</v>
      </c>
      <c r="H7146" s="902">
        <v>960</v>
      </c>
      <c r="I7146" s="904" t="s">
        <v>2596</v>
      </c>
      <c r="J7146" s="904"/>
      <c r="K7146" s="904"/>
      <c r="L7146" s="904"/>
      <c r="M7146" s="904"/>
      <c r="N7146" s="904"/>
      <c r="O7146" s="902">
        <v>4</v>
      </c>
      <c r="P7146" s="906">
        <v>38274</v>
      </c>
      <c r="Q7146" s="1415">
        <f>15.5*0.9</f>
        <v>13.950000000000001</v>
      </c>
      <c r="R7146" s="908">
        <f>$A7146*Q7146</f>
        <v>153.45000000000002</v>
      </c>
      <c r="S7146" s="907"/>
      <c r="T7146" s="909">
        <f>$A7146*S7146*$T$1</f>
        <v>0</v>
      </c>
      <c r="AR7146" s="903">
        <v>11</v>
      </c>
      <c r="AS7146" s="904" t="s">
        <v>3507</v>
      </c>
    </row>
    <row r="7147" spans="1:45" s="520" customFormat="1" ht="13.2">
      <c r="A7147" s="813"/>
      <c r="B7147" s="530"/>
      <c r="C7147" s="530"/>
      <c r="D7147" s="3"/>
      <c r="E7147" s="530"/>
      <c r="F7147" s="530"/>
      <c r="G7147" s="530"/>
      <c r="H7147" s="530"/>
      <c r="I7147" s="530"/>
      <c r="J7147" s="530"/>
      <c r="K7147" s="530"/>
      <c r="L7147" s="816"/>
      <c r="M7147" s="530"/>
      <c r="N7147" s="530"/>
      <c r="O7147" s="530"/>
      <c r="P7147" s="530"/>
      <c r="Q7147" s="530"/>
      <c r="R7147" s="817">
        <f>$A7147*Q7147</f>
        <v>0</v>
      </c>
      <c r="S7147" s="530"/>
      <c r="T7147" s="760">
        <f>$A7147*S7147*$T$1</f>
        <v>0</v>
      </c>
      <c r="AR7147" s="813"/>
      <c r="AS7147" s="530"/>
    </row>
    <row r="7148" spans="1:45" s="520" customFormat="1" ht="12" customHeight="1">
      <c r="A7148" s="845" t="s">
        <v>145</v>
      </c>
      <c r="B7148" s="846">
        <f>(R7147+T7147)</f>
        <v>0</v>
      </c>
      <c r="C7148" s="847"/>
      <c r="D7148" s="847"/>
      <c r="E7148" s="847"/>
      <c r="F7148" s="847"/>
      <c r="G7148" s="823"/>
      <c r="H7148" s="823"/>
      <c r="I7148" s="823"/>
      <c r="J7148" s="823"/>
      <c r="K7148" s="848" t="s">
        <v>5</v>
      </c>
      <c r="L7148" s="849" t="s">
        <v>2055</v>
      </c>
      <c r="M7148" s="823"/>
      <c r="N7148" s="823"/>
      <c r="O7148" s="823"/>
      <c r="P7148" s="823"/>
      <c r="Q7148" s="823"/>
      <c r="R7148" s="824">
        <f>SUM(R7145:R7147)</f>
        <v>153.45000000000002</v>
      </c>
      <c r="S7148" s="825"/>
      <c r="T7148" s="824">
        <f>SUM(T7145:T7147)</f>
        <v>0</v>
      </c>
      <c r="AG7148" s="850">
        <f>ROUND($R7148*$S$3,2)</f>
        <v>173.2</v>
      </c>
      <c r="AR7148" s="845" t="s">
        <v>145</v>
      </c>
      <c r="AS7148" s="847"/>
    </row>
    <row r="7149" spans="1:45" s="520" customFormat="1" ht="12.75" customHeight="1">
      <c r="A7149" s="851"/>
      <c r="B7149" s="852"/>
      <c r="E7149" s="758"/>
      <c r="F7149" s="853"/>
      <c r="G7149" s="758"/>
      <c r="H7149" s="758"/>
      <c r="I7149" s="519"/>
      <c r="J7149" s="758"/>
      <c r="K7149" s="758"/>
      <c r="L7149" s="854"/>
      <c r="M7149" s="855"/>
      <c r="N7149" s="855"/>
      <c r="O7149" s="855"/>
      <c r="P7149" s="855"/>
      <c r="Q7149" s="778"/>
      <c r="R7149" s="831"/>
      <c r="S7149" s="758"/>
      <c r="T7149" s="831"/>
      <c r="AR7149" s="851"/>
      <c r="AS7149" s="853"/>
    </row>
    <row r="7150" spans="1:45" s="520" customFormat="1" ht="13.5" customHeight="1" thickBot="1">
      <c r="A7150" s="856"/>
      <c r="B7150" s="857"/>
      <c r="C7150" s="531"/>
      <c r="D7150" s="531"/>
      <c r="E7150" s="763"/>
      <c r="F7150" s="764"/>
      <c r="G7150" s="763" t="s">
        <v>146</v>
      </c>
      <c r="H7150" s="763"/>
      <c r="I7150" s="765"/>
      <c r="J7150" s="763"/>
      <c r="K7150" s="763"/>
      <c r="L7150" s="858" t="s">
        <v>143</v>
      </c>
      <c r="M7150" s="766"/>
      <c r="N7150" s="766"/>
      <c r="O7150" s="766"/>
      <c r="P7150" s="766"/>
      <c r="Q7150" s="767"/>
      <c r="R7150" s="859">
        <f>SUMIF($L7139:$L7149,"SUBI",R7139:R7149)</f>
        <v>203.45000000000002</v>
      </c>
      <c r="S7150" s="763"/>
      <c r="T7150" s="859">
        <f>SUMIF($L7139:$L7149,"SUBI",T7139:T7149)</f>
        <v>0</v>
      </c>
      <c r="U7150" s="531"/>
      <c r="V7150" s="531"/>
      <c r="W7150" s="531"/>
      <c r="X7150" s="531"/>
      <c r="Y7150" s="531"/>
      <c r="Z7150" s="531"/>
      <c r="AA7150" s="531"/>
      <c r="AB7150" s="531"/>
      <c r="AC7150" s="531"/>
      <c r="AD7150" s="531"/>
      <c r="AE7150" s="531"/>
      <c r="AF7150" s="531"/>
      <c r="AG7150" s="531"/>
      <c r="AH7150" s="531"/>
      <c r="AI7150" s="531"/>
      <c r="AJ7150" s="531"/>
      <c r="AK7150" s="531"/>
      <c r="AL7150" s="531"/>
      <c r="AM7150" s="531"/>
      <c r="AN7150" s="531"/>
      <c r="AO7150" s="531"/>
      <c r="AR7150" s="856"/>
      <c r="AS7150" s="764"/>
    </row>
    <row r="7151" spans="1:45" s="520" customFormat="1" ht="12" thickTop="1">
      <c r="A7151" s="51"/>
      <c r="B7151" s="41"/>
      <c r="C7151" s="51"/>
      <c r="E7151" s="42" t="s">
        <v>138</v>
      </c>
      <c r="F7151" s="42" t="s">
        <v>139</v>
      </c>
      <c r="G7151" s="51"/>
      <c r="H7151" s="51"/>
      <c r="I7151" s="51"/>
      <c r="J7151" s="51"/>
      <c r="K7151" s="51" t="s">
        <v>140</v>
      </c>
      <c r="L7151" s="51"/>
      <c r="M7151" s="51"/>
      <c r="N7151" s="51"/>
      <c r="O7151" s="52"/>
      <c r="P7151" s="51"/>
      <c r="Q7151" s="51"/>
      <c r="R7151" s="51"/>
      <c r="S7151" s="51"/>
      <c r="T7151" s="41"/>
      <c r="AG7151" s="521" t="s">
        <v>268</v>
      </c>
      <c r="AH7151" s="521" t="s">
        <v>269</v>
      </c>
      <c r="AI7151" s="521" t="s">
        <v>270</v>
      </c>
      <c r="AJ7151" s="521" t="s">
        <v>271</v>
      </c>
      <c r="AK7151" s="521" t="s">
        <v>272</v>
      </c>
      <c r="AM7151" s="745" t="s">
        <v>281</v>
      </c>
      <c r="AN7151" s="746" t="s">
        <v>282</v>
      </c>
      <c r="AO7151" s="522" t="s">
        <v>278</v>
      </c>
      <c r="AR7151" s="51"/>
      <c r="AS7151" s="42" t="s">
        <v>139</v>
      </c>
    </row>
    <row r="7152" spans="1:45" s="520" customFormat="1" ht="12" customHeight="1">
      <c r="A7152" s="747">
        <v>1</v>
      </c>
      <c r="B7152" s="523" t="s">
        <v>329</v>
      </c>
      <c r="C7152" s="748"/>
      <c r="D7152" s="749" t="s">
        <v>3934</v>
      </c>
      <c r="E7152" s="1145">
        <f>IF(AND($A7152=0,$A$1="DIF"),0, ROUND(ROUND(($R7156*$S$3+($T7156*$T$3))/$A7152,2)*$C$3,2))</f>
        <v>33.520000000000003</v>
      </c>
      <c r="F7152" s="1146">
        <f>ROUND($A7152*$E7152,2)</f>
        <v>33.520000000000003</v>
      </c>
      <c r="G7152" s="752" t="s">
        <v>142</v>
      </c>
      <c r="H7152" s="753"/>
      <c r="I7152" s="754"/>
      <c r="J7152" s="753"/>
      <c r="K7152" s="753" t="s">
        <v>5</v>
      </c>
      <c r="L7152" s="755" t="s">
        <v>143</v>
      </c>
      <c r="M7152" s="755"/>
      <c r="N7152" s="755"/>
      <c r="O7152" s="755"/>
      <c r="P7152" s="755"/>
      <c r="Q7152" s="51"/>
      <c r="T7152" s="1150" t="str">
        <f>IF(AND($R7156=0,$T7156=0),"0.00","mu: "&amp; ROUND(F7152/$C$3/($R7156+$T7156*$D$9),2))</f>
        <v>mu: 1.13</v>
      </c>
      <c r="W7152" s="524"/>
      <c r="AG7152" s="1147">
        <f>IF($E7152=0,0,ROUND($R7156*$S$3*$C$3/$A7152,2))</f>
        <v>33.520000000000003</v>
      </c>
      <c r="AH7152" s="1147">
        <f>$AG7152*$A7152</f>
        <v>33.520000000000003</v>
      </c>
      <c r="AI7152" s="1148">
        <f>$E7152-$AG7152</f>
        <v>0</v>
      </c>
      <c r="AJ7152" s="1148">
        <f>$A7152*$AI7152</f>
        <v>0</v>
      </c>
      <c r="AK7152" s="1149">
        <f>ROUND(($AG7152+$AI7152)*$A7152,2)</f>
        <v>33.520000000000003</v>
      </c>
      <c r="AM7152" s="527">
        <f>ROUND(R7156,2)</f>
        <v>29.7</v>
      </c>
      <c r="AN7152" s="528">
        <f>ROUND(T7156,2)</f>
        <v>0</v>
      </c>
      <c r="AO7152" s="529">
        <f>ROUND(AM7152+AN7152,2)*A7152</f>
        <v>29.7</v>
      </c>
      <c r="AR7152" s="747">
        <v>1</v>
      </c>
      <c r="AS7152" s="1146">
        <v>35.39</v>
      </c>
    </row>
    <row r="7153" spans="1:45" s="520" customFormat="1" ht="13.2">
      <c r="A7153" s="748"/>
      <c r="B7153"/>
      <c r="C7153" s="748"/>
      <c r="D7153" s="749" t="s">
        <v>1956</v>
      </c>
      <c r="F7153" s="753"/>
      <c r="G7153" s="3"/>
      <c r="H7153" s="753"/>
      <c r="I7153" s="754"/>
      <c r="J7153" s="753"/>
      <c r="K7153" s="753" t="s">
        <v>144</v>
      </c>
      <c r="L7153" s="753"/>
      <c r="M7153" s="753"/>
      <c r="N7153" s="753"/>
      <c r="O7153" s="753"/>
      <c r="P7153" s="753"/>
      <c r="Q7153" s="51"/>
      <c r="R7153" s="530"/>
      <c r="S7153" s="757"/>
      <c r="T7153" s="753"/>
      <c r="AR7153" s="748"/>
      <c r="AS7153" s="753"/>
    </row>
    <row r="7154" spans="1:45" s="901" customFormat="1" ht="13.2">
      <c r="A7154" s="903">
        <v>1</v>
      </c>
      <c r="B7154" s="904" t="s">
        <v>863</v>
      </c>
      <c r="C7154" s="904"/>
      <c r="D7154" s="904" t="s">
        <v>2594</v>
      </c>
      <c r="E7154" s="904"/>
      <c r="F7154" s="904" t="s">
        <v>4139</v>
      </c>
      <c r="G7154" s="905" t="s">
        <v>2595</v>
      </c>
      <c r="H7154" s="902">
        <v>960</v>
      </c>
      <c r="I7154" s="904" t="s">
        <v>2596</v>
      </c>
      <c r="J7154" s="904"/>
      <c r="K7154" s="904"/>
      <c r="L7154" s="904"/>
      <c r="M7154" s="904"/>
      <c r="N7154" s="904"/>
      <c r="O7154" s="902">
        <v>4</v>
      </c>
      <c r="P7154" s="906">
        <v>38274</v>
      </c>
      <c r="Q7154" s="1415">
        <f>33*0.9</f>
        <v>29.7</v>
      </c>
      <c r="R7154" s="908">
        <f>$A7154*Q7154</f>
        <v>29.7</v>
      </c>
      <c r="S7154" s="907"/>
      <c r="T7154" s="909">
        <f>$A7154*S7154*$T$1</f>
        <v>0</v>
      </c>
      <c r="AR7154" s="903">
        <v>1</v>
      </c>
      <c r="AS7154" s="904" t="s">
        <v>3507</v>
      </c>
    </row>
    <row r="7155" spans="1:45" s="520" customFormat="1" ht="12">
      <c r="A7155" s="758"/>
      <c r="B7155" s="758"/>
      <c r="C7155" s="758"/>
      <c r="D7155" s="758"/>
      <c r="E7155" s="758"/>
      <c r="F7155" s="753"/>
      <c r="G7155" s="758"/>
      <c r="H7155" s="758"/>
      <c r="I7155" s="519"/>
      <c r="J7155" s="758"/>
      <c r="K7155" s="758"/>
      <c r="L7155" s="758"/>
      <c r="M7155" s="758"/>
      <c r="N7155" s="758"/>
      <c r="O7155" s="758"/>
      <c r="P7155" s="758"/>
      <c r="Q7155" s="519"/>
      <c r="R7155" s="759">
        <f t="shared" ref="R7155" si="610">$A7155*Q7155</f>
        <v>0</v>
      </c>
      <c r="S7155" s="519"/>
      <c r="T7155" s="760">
        <f t="shared" ref="T7155" si="611">$A7155*S7155*$T$1</f>
        <v>0</v>
      </c>
      <c r="AR7155" s="758"/>
      <c r="AS7155" s="753"/>
    </row>
    <row r="7156" spans="1:45" s="520" customFormat="1" ht="12.6" thickBot="1">
      <c r="A7156" s="761" t="s">
        <v>145</v>
      </c>
      <c r="B7156" s="762">
        <f>(R7155+T7155)</f>
        <v>0</v>
      </c>
      <c r="C7156" s="763"/>
      <c r="D7156" s="763"/>
      <c r="E7156" s="763"/>
      <c r="F7156" s="764"/>
      <c r="G7156" s="763" t="s">
        <v>146</v>
      </c>
      <c r="H7156" s="763"/>
      <c r="I7156" s="765"/>
      <c r="J7156" s="763"/>
      <c r="K7156" s="763" t="s">
        <v>5</v>
      </c>
      <c r="L7156" s="766" t="s">
        <v>143</v>
      </c>
      <c r="M7156" s="766"/>
      <c r="N7156" s="766"/>
      <c r="O7156" s="766"/>
      <c r="P7156" s="766"/>
      <c r="Q7156" s="767"/>
      <c r="R7156" s="768">
        <f>SUM(R7153:R7155)</f>
        <v>29.7</v>
      </c>
      <c r="S7156" s="763"/>
      <c r="T7156" s="768">
        <f>SUM(T7153:T7155)</f>
        <v>0</v>
      </c>
      <c r="U7156" s="531"/>
      <c r="V7156" s="531"/>
      <c r="W7156" s="531"/>
      <c r="X7156" s="531"/>
      <c r="Y7156" s="531"/>
      <c r="Z7156" s="531"/>
      <c r="AA7156" s="531"/>
      <c r="AB7156" s="531"/>
      <c r="AC7156" s="531"/>
      <c r="AD7156" s="531"/>
      <c r="AE7156" s="531"/>
      <c r="AF7156" s="531"/>
      <c r="AG7156" s="531"/>
      <c r="AH7156" s="531"/>
      <c r="AI7156" s="531"/>
      <c r="AJ7156" s="531"/>
      <c r="AK7156" s="531"/>
      <c r="AL7156" s="531"/>
      <c r="AM7156" s="531"/>
      <c r="AN7156" s="531"/>
      <c r="AO7156" s="531"/>
      <c r="AR7156" s="761" t="s">
        <v>145</v>
      </c>
      <c r="AS7156" s="764"/>
    </row>
    <row r="7157" spans="1:45" s="520" customFormat="1" ht="12" thickTop="1">
      <c r="A7157" s="51"/>
      <c r="B7157" s="41"/>
      <c r="C7157" s="51"/>
      <c r="E7157" s="42" t="s">
        <v>138</v>
      </c>
      <c r="F7157" s="42" t="s">
        <v>139</v>
      </c>
      <c r="G7157" s="51"/>
      <c r="H7157" s="51"/>
      <c r="I7157" s="51"/>
      <c r="J7157" s="51"/>
      <c r="K7157" s="51" t="s">
        <v>140</v>
      </c>
      <c r="L7157" s="51"/>
      <c r="M7157" s="51"/>
      <c r="N7157" s="51"/>
      <c r="O7157" s="52"/>
      <c r="P7157" s="51"/>
      <c r="Q7157" s="51"/>
      <c r="R7157" s="51"/>
      <c r="S7157" s="51"/>
      <c r="T7157" s="41"/>
      <c r="AG7157" s="521" t="s">
        <v>268</v>
      </c>
      <c r="AH7157" s="521" t="s">
        <v>269</v>
      </c>
      <c r="AI7157" s="521" t="s">
        <v>270</v>
      </c>
      <c r="AJ7157" s="521" t="s">
        <v>271</v>
      </c>
      <c r="AK7157" s="521" t="s">
        <v>272</v>
      </c>
      <c r="AM7157" s="745" t="s">
        <v>281</v>
      </c>
      <c r="AN7157" s="746" t="s">
        <v>282</v>
      </c>
      <c r="AO7157" s="522" t="s">
        <v>278</v>
      </c>
      <c r="AR7157" s="51"/>
      <c r="AS7157" s="42" t="s">
        <v>139</v>
      </c>
    </row>
    <row r="7158" spans="1:45" s="520" customFormat="1" ht="12" customHeight="1">
      <c r="A7158" s="747">
        <v>92</v>
      </c>
      <c r="B7158" s="523" t="s">
        <v>957</v>
      </c>
      <c r="C7158" s="748"/>
      <c r="D7158" s="749" t="s">
        <v>3935</v>
      </c>
      <c r="E7158" s="1145">
        <f>IF(AND($A7158=0,$A$1="DIF"),0, ROUND(ROUND(($R7162*$S$3+($T7162*$T$3))/$A7158,2)*$C$3,2))</f>
        <v>9.14</v>
      </c>
      <c r="F7158" s="1146">
        <f>ROUND($A7158*$E7158,2)</f>
        <v>840.88</v>
      </c>
      <c r="G7158" s="752" t="s">
        <v>142</v>
      </c>
      <c r="H7158" s="753"/>
      <c r="I7158" s="754"/>
      <c r="J7158" s="753"/>
      <c r="K7158" s="753" t="s">
        <v>5</v>
      </c>
      <c r="L7158" s="755" t="s">
        <v>143</v>
      </c>
      <c r="M7158" s="755"/>
      <c r="N7158" s="755"/>
      <c r="O7158" s="755"/>
      <c r="P7158" s="755"/>
      <c r="Q7158" s="51"/>
      <c r="T7158" s="1150" t="str">
        <f>IF(AND($R7162=0,$T7162=0),"0.00","mu: "&amp; ROUND(F7158/$C$3/($R7162+$T7162*$D$9),2))</f>
        <v>mu: 1.13</v>
      </c>
      <c r="W7158" s="524"/>
      <c r="AG7158" s="1147">
        <f>IF($E7158=0,0,ROUND($R7162*$S$3*$C$3/$A7158,2))</f>
        <v>9.14</v>
      </c>
      <c r="AH7158" s="1147">
        <f>$AG7158*$A7158</f>
        <v>840.88000000000011</v>
      </c>
      <c r="AI7158" s="1148">
        <f>$E7158-$AG7158</f>
        <v>0</v>
      </c>
      <c r="AJ7158" s="1148">
        <f>$A7158*$AI7158</f>
        <v>0</v>
      </c>
      <c r="AK7158" s="1149">
        <f>ROUND(($AG7158+$AI7158)*$A7158,2)</f>
        <v>840.88</v>
      </c>
      <c r="AM7158" s="527">
        <f>ROUND(R7162,2)</f>
        <v>745.2</v>
      </c>
      <c r="AN7158" s="528">
        <f>ROUND(T7162,2)</f>
        <v>0</v>
      </c>
      <c r="AO7158" s="529">
        <f>ROUND(AM7158+AN7158,2)*A7158</f>
        <v>68558.400000000009</v>
      </c>
      <c r="AR7158" s="747">
        <v>94</v>
      </c>
      <c r="AS7158" s="1146">
        <v>907.1</v>
      </c>
    </row>
    <row r="7159" spans="1:45" s="520" customFormat="1" ht="13.2">
      <c r="A7159" s="748"/>
      <c r="B7159"/>
      <c r="C7159" s="748"/>
      <c r="D7159" s="749" t="s">
        <v>1928</v>
      </c>
      <c r="F7159" s="753"/>
      <c r="G7159" s="3"/>
      <c r="H7159" s="753"/>
      <c r="I7159" s="754"/>
      <c r="J7159" s="753"/>
      <c r="K7159" s="753" t="s">
        <v>144</v>
      </c>
      <c r="L7159" s="753"/>
      <c r="M7159" s="753"/>
      <c r="N7159" s="753"/>
      <c r="O7159" s="753"/>
      <c r="P7159" s="753"/>
      <c r="Q7159" s="51"/>
      <c r="R7159" s="530"/>
      <c r="S7159" s="757"/>
      <c r="T7159" s="753"/>
      <c r="AR7159" s="748"/>
      <c r="AS7159" s="753"/>
    </row>
    <row r="7160" spans="1:45" s="901" customFormat="1" ht="13.2">
      <c r="A7160" s="903">
        <v>92</v>
      </c>
      <c r="B7160" s="904" t="s">
        <v>863</v>
      </c>
      <c r="C7160" s="904"/>
      <c r="D7160" s="904" t="s">
        <v>2594</v>
      </c>
      <c r="E7160" s="904"/>
      <c r="F7160" s="904" t="s">
        <v>4139</v>
      </c>
      <c r="G7160" s="905" t="s">
        <v>2595</v>
      </c>
      <c r="H7160" s="902">
        <v>960</v>
      </c>
      <c r="I7160" s="904" t="s">
        <v>2596</v>
      </c>
      <c r="J7160" s="904"/>
      <c r="K7160" s="904"/>
      <c r="L7160" s="904"/>
      <c r="M7160" s="904"/>
      <c r="N7160" s="904"/>
      <c r="O7160" s="902">
        <v>4</v>
      </c>
      <c r="P7160" s="906">
        <v>38274</v>
      </c>
      <c r="Q7160" s="1415">
        <f>9*0.9</f>
        <v>8.1</v>
      </c>
      <c r="R7160" s="908">
        <f>$A7160*Q7160</f>
        <v>745.19999999999993</v>
      </c>
      <c r="S7160" s="907"/>
      <c r="T7160" s="909">
        <f>$A7160*S7160*$T$1</f>
        <v>0</v>
      </c>
      <c r="AR7160" s="903">
        <v>94</v>
      </c>
      <c r="AS7160" s="904" t="s">
        <v>3507</v>
      </c>
    </row>
    <row r="7161" spans="1:45" s="520" customFormat="1" ht="12">
      <c r="A7161" s="758"/>
      <c r="B7161" s="758"/>
      <c r="C7161" s="758"/>
      <c r="D7161" s="758"/>
      <c r="E7161" s="758"/>
      <c r="F7161" s="753"/>
      <c r="G7161" s="758"/>
      <c r="H7161" s="758"/>
      <c r="I7161" s="519"/>
      <c r="J7161" s="758"/>
      <c r="K7161" s="758"/>
      <c r="L7161" s="758"/>
      <c r="M7161" s="758"/>
      <c r="N7161" s="758"/>
      <c r="O7161" s="758"/>
      <c r="P7161" s="758"/>
      <c r="Q7161" s="519"/>
      <c r="R7161" s="759">
        <f t="shared" ref="R7161" si="612">$A7161*Q7161</f>
        <v>0</v>
      </c>
      <c r="S7161" s="519"/>
      <c r="T7161" s="760">
        <f t="shared" ref="T7161" si="613">$A7161*S7161*$T$1</f>
        <v>0</v>
      </c>
      <c r="AR7161" s="758"/>
      <c r="AS7161" s="753"/>
    </row>
    <row r="7162" spans="1:45" s="520" customFormat="1" ht="12.6" thickBot="1">
      <c r="A7162" s="761" t="s">
        <v>145</v>
      </c>
      <c r="B7162" s="762">
        <f>(R7161+T7161)</f>
        <v>0</v>
      </c>
      <c r="C7162" s="763"/>
      <c r="D7162" s="763"/>
      <c r="E7162" s="763"/>
      <c r="F7162" s="764"/>
      <c r="G7162" s="763" t="s">
        <v>146</v>
      </c>
      <c r="H7162" s="763"/>
      <c r="I7162" s="765"/>
      <c r="J7162" s="763"/>
      <c r="K7162" s="763" t="s">
        <v>5</v>
      </c>
      <c r="L7162" s="766" t="s">
        <v>143</v>
      </c>
      <c r="M7162" s="766"/>
      <c r="N7162" s="766"/>
      <c r="O7162" s="766"/>
      <c r="P7162" s="766"/>
      <c r="Q7162" s="767"/>
      <c r="R7162" s="768">
        <f>SUM(R7159:R7161)</f>
        <v>745.19999999999993</v>
      </c>
      <c r="S7162" s="763"/>
      <c r="T7162" s="768">
        <f>SUM(T7159:T7161)</f>
        <v>0</v>
      </c>
      <c r="U7162" s="531"/>
      <c r="V7162" s="531"/>
      <c r="W7162" s="531"/>
      <c r="X7162" s="531"/>
      <c r="Y7162" s="531"/>
      <c r="Z7162" s="531"/>
      <c r="AA7162" s="531"/>
      <c r="AB7162" s="531"/>
      <c r="AC7162" s="531"/>
      <c r="AD7162" s="531"/>
      <c r="AE7162" s="531"/>
      <c r="AF7162" s="531"/>
      <c r="AG7162" s="531"/>
      <c r="AH7162" s="531"/>
      <c r="AI7162" s="531"/>
      <c r="AJ7162" s="531"/>
      <c r="AK7162" s="531"/>
      <c r="AL7162" s="531"/>
      <c r="AM7162" s="531"/>
      <c r="AN7162" s="531"/>
      <c r="AO7162" s="531"/>
      <c r="AR7162" s="761" t="s">
        <v>145</v>
      </c>
      <c r="AS7162" s="764"/>
    </row>
    <row r="7163" spans="1:45" s="520" customFormat="1" ht="12" thickTop="1">
      <c r="A7163" s="51"/>
      <c r="B7163" s="41"/>
      <c r="C7163" s="51"/>
      <c r="E7163" s="42" t="s">
        <v>138</v>
      </c>
      <c r="F7163" s="42" t="s">
        <v>139</v>
      </c>
      <c r="G7163" s="51"/>
      <c r="H7163" s="51"/>
      <c r="I7163" s="51"/>
      <c r="J7163" s="51"/>
      <c r="K7163" s="51" t="s">
        <v>140</v>
      </c>
      <c r="L7163" s="51"/>
      <c r="M7163" s="51"/>
      <c r="N7163" s="51"/>
      <c r="O7163" s="52"/>
      <c r="P7163" s="51"/>
      <c r="Q7163" s="51"/>
      <c r="R7163" s="51"/>
      <c r="S7163" s="51"/>
      <c r="T7163" s="41"/>
      <c r="AG7163" s="521" t="s">
        <v>268</v>
      </c>
      <c r="AH7163" s="521" t="s">
        <v>269</v>
      </c>
      <c r="AI7163" s="521" t="s">
        <v>270</v>
      </c>
      <c r="AJ7163" s="521" t="s">
        <v>271</v>
      </c>
      <c r="AK7163" s="521" t="s">
        <v>272</v>
      </c>
      <c r="AM7163" s="745" t="s">
        <v>281</v>
      </c>
      <c r="AN7163" s="746" t="s">
        <v>282</v>
      </c>
      <c r="AO7163" s="522" t="s">
        <v>278</v>
      </c>
      <c r="AR7163" s="51"/>
      <c r="AS7163" s="42" t="s">
        <v>139</v>
      </c>
    </row>
    <row r="7164" spans="1:45" s="520" customFormat="1" ht="12" customHeight="1">
      <c r="A7164" s="747">
        <v>92</v>
      </c>
      <c r="B7164" s="523" t="s">
        <v>957</v>
      </c>
      <c r="C7164" s="748"/>
      <c r="D7164" s="749" t="s">
        <v>3936</v>
      </c>
      <c r="E7164" s="1145">
        <f>IF(AND($A7164=0,$A$1="DIF"),0, ROUND(ROUND(($R7168*$S$3+($T7168*$T$3))/$A7164,2)*$C$3,2))</f>
        <v>3.05</v>
      </c>
      <c r="F7164" s="1146">
        <f>ROUND($A7164*$E7164,2)</f>
        <v>280.60000000000002</v>
      </c>
      <c r="G7164" s="752" t="s">
        <v>142</v>
      </c>
      <c r="H7164" s="753"/>
      <c r="I7164" s="754"/>
      <c r="J7164" s="753"/>
      <c r="K7164" s="753" t="s">
        <v>5</v>
      </c>
      <c r="L7164" s="755" t="s">
        <v>143</v>
      </c>
      <c r="M7164" s="755"/>
      <c r="N7164" s="755"/>
      <c r="O7164" s="755"/>
      <c r="P7164" s="755"/>
      <c r="Q7164" s="51"/>
      <c r="T7164" s="1150" t="str">
        <f>IF(AND($R7168=0,$T7168=0),"0.00","mu: "&amp; ROUND(F7164/$C$3/($R7168+$T7168*$D$9),2))</f>
        <v>mu: 1.13</v>
      </c>
      <c r="W7164" s="524"/>
      <c r="AG7164" s="1147">
        <f>IF($E7164=0,0,ROUND($R7168*$S$3*$C$3/$A7164,2))</f>
        <v>3.05</v>
      </c>
      <c r="AH7164" s="1147">
        <f>$AG7164*$A7164</f>
        <v>280.59999999999997</v>
      </c>
      <c r="AI7164" s="1148">
        <f>$E7164-$AG7164</f>
        <v>0</v>
      </c>
      <c r="AJ7164" s="1148">
        <f>$A7164*$AI7164</f>
        <v>0</v>
      </c>
      <c r="AK7164" s="1149">
        <f>ROUND(($AG7164+$AI7164)*$A7164,2)</f>
        <v>280.60000000000002</v>
      </c>
      <c r="AM7164" s="527">
        <f>ROUND(R7168,2)</f>
        <v>248.4</v>
      </c>
      <c r="AN7164" s="528">
        <f>ROUND(T7168,2)</f>
        <v>0</v>
      </c>
      <c r="AO7164" s="529">
        <f>ROUND(AM7164+AN7164,2)*A7164</f>
        <v>22852.799999999999</v>
      </c>
      <c r="AR7164" s="747">
        <v>94</v>
      </c>
      <c r="AS7164" s="1146">
        <v>302.68</v>
      </c>
    </row>
    <row r="7165" spans="1:45" s="520" customFormat="1" ht="13.2">
      <c r="A7165" s="748"/>
      <c r="B7165"/>
      <c r="C7165" s="748"/>
      <c r="D7165" s="749" t="s">
        <v>958</v>
      </c>
      <c r="F7165" s="753"/>
      <c r="G7165" s="3"/>
      <c r="H7165" s="753"/>
      <c r="I7165" s="754"/>
      <c r="J7165" s="753"/>
      <c r="K7165" s="753" t="s">
        <v>144</v>
      </c>
      <c r="L7165" s="753"/>
      <c r="M7165" s="753"/>
      <c r="N7165" s="753"/>
      <c r="O7165" s="753"/>
      <c r="P7165" s="753"/>
      <c r="Q7165" s="51"/>
      <c r="R7165" s="530"/>
      <c r="S7165" s="757"/>
      <c r="T7165" s="753"/>
      <c r="AR7165" s="748"/>
      <c r="AS7165" s="753"/>
    </row>
    <row r="7166" spans="1:45" s="901" customFormat="1" ht="13.2">
      <c r="A7166" s="903">
        <v>92</v>
      </c>
      <c r="B7166" s="904" t="s">
        <v>863</v>
      </c>
      <c r="C7166" s="904"/>
      <c r="D7166" s="904" t="s">
        <v>2594</v>
      </c>
      <c r="E7166" s="904"/>
      <c r="F7166" s="904" t="s">
        <v>4139</v>
      </c>
      <c r="G7166" s="905" t="s">
        <v>2595</v>
      </c>
      <c r="H7166" s="902">
        <v>960</v>
      </c>
      <c r="I7166" s="904" t="s">
        <v>2596</v>
      </c>
      <c r="J7166" s="904"/>
      <c r="K7166" s="904"/>
      <c r="L7166" s="904"/>
      <c r="M7166" s="904"/>
      <c r="N7166" s="904"/>
      <c r="O7166" s="902">
        <v>4</v>
      </c>
      <c r="P7166" s="906">
        <v>38274</v>
      </c>
      <c r="Q7166" s="1415">
        <f>3*0.9</f>
        <v>2.7</v>
      </c>
      <c r="R7166" s="908">
        <f>$A7166*Q7166</f>
        <v>248.4</v>
      </c>
      <c r="S7166" s="907"/>
      <c r="T7166" s="909">
        <f>$A7166*S7166*$T$1</f>
        <v>0</v>
      </c>
      <c r="AR7166" s="903">
        <v>94</v>
      </c>
      <c r="AS7166" s="904" t="s">
        <v>3507</v>
      </c>
    </row>
    <row r="7167" spans="1:45" s="520" customFormat="1" ht="12">
      <c r="A7167" s="758"/>
      <c r="B7167" s="758"/>
      <c r="C7167" s="758"/>
      <c r="D7167" s="758"/>
      <c r="E7167" s="758"/>
      <c r="F7167" s="753"/>
      <c r="G7167" s="758"/>
      <c r="H7167" s="758"/>
      <c r="I7167" s="519"/>
      <c r="J7167" s="758"/>
      <c r="K7167" s="758"/>
      <c r="L7167" s="758"/>
      <c r="M7167" s="758"/>
      <c r="N7167" s="758"/>
      <c r="O7167" s="758"/>
      <c r="P7167" s="758"/>
      <c r="Q7167" s="519"/>
      <c r="R7167" s="759">
        <f t="shared" ref="R7167" si="614">$A7167*Q7167</f>
        <v>0</v>
      </c>
      <c r="S7167" s="519"/>
      <c r="T7167" s="760">
        <f t="shared" ref="T7167" si="615">$A7167*S7167*$T$1</f>
        <v>0</v>
      </c>
      <c r="AR7167" s="758"/>
      <c r="AS7167" s="753"/>
    </row>
    <row r="7168" spans="1:45" s="520" customFormat="1" ht="12.6" thickBot="1">
      <c r="A7168" s="761" t="s">
        <v>145</v>
      </c>
      <c r="B7168" s="762">
        <f>(R7167+T7167)</f>
        <v>0</v>
      </c>
      <c r="C7168" s="763"/>
      <c r="D7168" s="763"/>
      <c r="E7168" s="763"/>
      <c r="F7168" s="764"/>
      <c r="G7168" s="763" t="s">
        <v>146</v>
      </c>
      <c r="H7168" s="763"/>
      <c r="I7168" s="765"/>
      <c r="J7168" s="763"/>
      <c r="K7168" s="763" t="s">
        <v>5</v>
      </c>
      <c r="L7168" s="766" t="s">
        <v>143</v>
      </c>
      <c r="M7168" s="766"/>
      <c r="N7168" s="766"/>
      <c r="O7168" s="766"/>
      <c r="P7168" s="766"/>
      <c r="Q7168" s="767"/>
      <c r="R7168" s="768">
        <f>SUM(R7165:R7167)</f>
        <v>248.4</v>
      </c>
      <c r="S7168" s="763"/>
      <c r="T7168" s="768">
        <f>SUM(T7165:T7167)</f>
        <v>0</v>
      </c>
      <c r="U7168" s="531"/>
      <c r="V7168" s="531"/>
      <c r="W7168" s="531"/>
      <c r="X7168" s="531"/>
      <c r="Y7168" s="531"/>
      <c r="Z7168" s="531"/>
      <c r="AA7168" s="531"/>
      <c r="AB7168" s="531"/>
      <c r="AC7168" s="531"/>
      <c r="AD7168" s="531"/>
      <c r="AE7168" s="531"/>
      <c r="AF7168" s="531"/>
      <c r="AG7168" s="531"/>
      <c r="AH7168" s="531"/>
      <c r="AI7168" s="531"/>
      <c r="AJ7168" s="531"/>
      <c r="AK7168" s="531"/>
      <c r="AL7168" s="531"/>
      <c r="AM7168" s="531"/>
      <c r="AN7168" s="531"/>
      <c r="AO7168" s="531"/>
      <c r="AR7168" s="761" t="s">
        <v>145</v>
      </c>
      <c r="AS7168" s="764"/>
    </row>
    <row r="7169" spans="1:45" s="520" customFormat="1" thickTop="1">
      <c r="A7169" s="51"/>
      <c r="B7169" s="51"/>
      <c r="C7169" s="3"/>
      <c r="D7169" s="3"/>
      <c r="E7169" s="51"/>
      <c r="F7169" s="51"/>
      <c r="G7169" s="51"/>
      <c r="H7169" s="51"/>
      <c r="I7169" s="51"/>
      <c r="J7169" s="51"/>
      <c r="K7169" s="51" t="s">
        <v>134</v>
      </c>
      <c r="L7169" s="51"/>
      <c r="M7169" s="51"/>
      <c r="N7169" s="51"/>
      <c r="O7169" s="52"/>
      <c r="P7169" s="51"/>
      <c r="Q7169" s="51"/>
      <c r="R7169" s="51"/>
      <c r="S7169" s="51"/>
      <c r="T7169" s="51"/>
      <c r="AR7169" s="51"/>
      <c r="AS7169" s="51"/>
    </row>
    <row r="7170" spans="1:45" s="520" customFormat="1" ht="12">
      <c r="A7170" s="51"/>
      <c r="B7170" s="51"/>
      <c r="C7170" s="51" t="s">
        <v>135</v>
      </c>
      <c r="D7170" s="37"/>
      <c r="E7170" s="51"/>
      <c r="F7170" s="51"/>
      <c r="G7170" s="51"/>
      <c r="H7170" s="51"/>
      <c r="I7170" s="51"/>
      <c r="J7170" s="51"/>
      <c r="K7170" s="51"/>
      <c r="L7170" s="51"/>
      <c r="M7170" s="51"/>
      <c r="N7170" s="51"/>
      <c r="O7170" s="52"/>
      <c r="P7170" s="51"/>
      <c r="Q7170" s="51"/>
      <c r="R7170" s="51"/>
      <c r="S7170" s="51"/>
      <c r="T7170" s="51"/>
      <c r="AR7170" s="51"/>
      <c r="AS7170" s="51"/>
    </row>
    <row r="7171" spans="1:45" s="520" customFormat="1" ht="12">
      <c r="A7171" s="51"/>
      <c r="B7171" s="51"/>
      <c r="C7171" s="51"/>
      <c r="D7171" s="37" t="s">
        <v>987</v>
      </c>
      <c r="E7171" s="51"/>
      <c r="F7171" s="51"/>
      <c r="G7171" s="51"/>
      <c r="H7171" s="51"/>
      <c r="I7171" s="51"/>
      <c r="J7171" s="51"/>
      <c r="K7171" s="51"/>
      <c r="L7171" s="51"/>
      <c r="M7171" s="51"/>
      <c r="N7171" s="51"/>
      <c r="O7171" s="52"/>
      <c r="P7171" s="51"/>
      <c r="Q7171" s="51"/>
      <c r="R7171" s="51"/>
      <c r="S7171" s="38"/>
      <c r="T7171" s="38"/>
      <c r="AR7171" s="51"/>
      <c r="AS7171" s="51"/>
    </row>
    <row r="7172" spans="1:45" s="3" customFormat="1" thickBot="1">
      <c r="A7172" s="531"/>
      <c r="O7172" s="107"/>
      <c r="AR7172" s="531"/>
    </row>
    <row r="7173" spans="1:45" s="520" customFormat="1" ht="12" thickTop="1">
      <c r="A7173" s="51"/>
      <c r="B7173" s="41"/>
      <c r="C7173" s="51"/>
      <c r="E7173" s="42" t="s">
        <v>138</v>
      </c>
      <c r="F7173" s="42" t="s">
        <v>139</v>
      </c>
      <c r="G7173" s="51"/>
      <c r="H7173" s="51"/>
      <c r="I7173" s="51"/>
      <c r="J7173" s="51"/>
      <c r="K7173" s="51" t="s">
        <v>140</v>
      </c>
      <c r="L7173" s="51"/>
      <c r="M7173" s="51"/>
      <c r="N7173" s="51"/>
      <c r="O7173" s="52"/>
      <c r="P7173" s="51"/>
      <c r="Q7173" s="51"/>
      <c r="R7173" s="51"/>
      <c r="S7173" s="51"/>
      <c r="T7173" s="41"/>
      <c r="AG7173" s="521" t="s">
        <v>268</v>
      </c>
      <c r="AH7173" s="521" t="s">
        <v>269</v>
      </c>
      <c r="AI7173" s="521" t="s">
        <v>270</v>
      </c>
      <c r="AJ7173" s="521" t="s">
        <v>271</v>
      </c>
      <c r="AK7173" s="521" t="s">
        <v>272</v>
      </c>
      <c r="AM7173" s="745" t="s">
        <v>281</v>
      </c>
      <c r="AN7173" s="746" t="s">
        <v>282</v>
      </c>
      <c r="AO7173" s="522" t="s">
        <v>278</v>
      </c>
      <c r="AR7173" s="51"/>
      <c r="AS7173" s="42" t="s">
        <v>139</v>
      </c>
    </row>
    <row r="7174" spans="1:45" s="520" customFormat="1" ht="12" customHeight="1">
      <c r="A7174" s="747">
        <v>1</v>
      </c>
      <c r="B7174" s="523" t="s">
        <v>329</v>
      </c>
      <c r="C7174" s="748"/>
      <c r="D7174" s="749" t="s">
        <v>3937</v>
      </c>
      <c r="E7174" s="1145">
        <f>IF(AND($A7174=0,$A$1="DIF"),0, ROUND(ROUND(($R7178*$S$3+($T7178*$T$3))/$A7174,2)*$C$3,2))</f>
        <v>0</v>
      </c>
      <c r="F7174" s="1146">
        <f>ROUND($A7174*$E7174,2)</f>
        <v>0</v>
      </c>
      <c r="G7174" s="752" t="s">
        <v>142</v>
      </c>
      <c r="H7174" s="753"/>
      <c r="I7174" s="754"/>
      <c r="J7174" s="753"/>
      <c r="K7174" s="753" t="s">
        <v>5</v>
      </c>
      <c r="L7174" s="755" t="s">
        <v>143</v>
      </c>
      <c r="M7174" s="755"/>
      <c r="N7174" s="755"/>
      <c r="O7174" s="755"/>
      <c r="P7174" s="755"/>
      <c r="Q7174" s="1178" t="s">
        <v>3848</v>
      </c>
      <c r="T7174" s="1150" t="str">
        <f>IF(AND($R7178=0,$T7178=0),"0.00","mu: "&amp; ROUND(F7174/$C$3/($R7178+$T7178*$D$9),2))</f>
        <v>0.00</v>
      </c>
      <c r="W7174" s="524"/>
      <c r="AG7174" s="1147">
        <f>IF($E7174=0,0,ROUND($R7178*$S$3*$C$3/$A7174,2))</f>
        <v>0</v>
      </c>
      <c r="AH7174" s="1147">
        <f>$AG7174*$A7174</f>
        <v>0</v>
      </c>
      <c r="AI7174" s="1148">
        <f>$E7174-$AG7174</f>
        <v>0</v>
      </c>
      <c r="AJ7174" s="1148">
        <f>$A7174*$AI7174</f>
        <v>0</v>
      </c>
      <c r="AK7174" s="1149">
        <f>ROUND(($AG7174+$AI7174)*$A7174,2)</f>
        <v>0</v>
      </c>
      <c r="AM7174" s="527">
        <f>ROUND(R7178,2)</f>
        <v>0</v>
      </c>
      <c r="AN7174" s="528">
        <f>ROUND(T7178,2)</f>
        <v>0</v>
      </c>
      <c r="AO7174" s="529">
        <f>ROUND(AM7174+AN7174,2)*A7174</f>
        <v>0</v>
      </c>
      <c r="AR7174" s="747">
        <v>1</v>
      </c>
      <c r="AS7174" s="1146">
        <v>423.56</v>
      </c>
    </row>
    <row r="7175" spans="1:45" s="520" customFormat="1" ht="13.2">
      <c r="A7175" s="748"/>
      <c r="B7175"/>
      <c r="C7175" s="748"/>
      <c r="D7175" s="749" t="s">
        <v>1992</v>
      </c>
      <c r="F7175" s="753"/>
      <c r="G7175" s="3"/>
      <c r="H7175" s="753"/>
      <c r="I7175" s="754"/>
      <c r="J7175" s="753"/>
      <c r="K7175" s="753" t="s">
        <v>144</v>
      </c>
      <c r="L7175" s="753"/>
      <c r="M7175" s="753"/>
      <c r="N7175" s="753"/>
      <c r="O7175" s="753"/>
      <c r="P7175" s="753"/>
      <c r="Q7175" s="51"/>
      <c r="R7175" s="530"/>
      <c r="S7175" s="757"/>
      <c r="T7175" s="753"/>
      <c r="AR7175" s="748"/>
      <c r="AS7175" s="753"/>
    </row>
    <row r="7176" spans="1:45" s="901" customFormat="1" ht="13.2">
      <c r="A7176" s="903">
        <v>0</v>
      </c>
      <c r="B7176" s="904" t="s">
        <v>863</v>
      </c>
      <c r="C7176" s="904"/>
      <c r="D7176" s="904" t="s">
        <v>2594</v>
      </c>
      <c r="E7176" s="904"/>
      <c r="F7176" s="904" t="s">
        <v>4139</v>
      </c>
      <c r="G7176" s="905" t="s">
        <v>2595</v>
      </c>
      <c r="H7176" s="902">
        <v>960</v>
      </c>
      <c r="I7176" s="904" t="s">
        <v>2596</v>
      </c>
      <c r="J7176" s="904"/>
      <c r="K7176" s="904"/>
      <c r="L7176" s="904"/>
      <c r="M7176" s="904"/>
      <c r="N7176" s="904"/>
      <c r="O7176" s="902">
        <v>4</v>
      </c>
      <c r="P7176" s="906">
        <v>38274</v>
      </c>
      <c r="Q7176" s="1415">
        <f>395*0.9</f>
        <v>355.5</v>
      </c>
      <c r="R7176" s="908">
        <f>$A7176*Q7176</f>
        <v>0</v>
      </c>
      <c r="S7176" s="907"/>
      <c r="T7176" s="909">
        <f>$A7176*S7176*$T$1</f>
        <v>0</v>
      </c>
      <c r="AR7176" s="903">
        <v>1</v>
      </c>
      <c r="AS7176" s="904" t="s">
        <v>3507</v>
      </c>
    </row>
    <row r="7177" spans="1:45" s="520" customFormat="1" ht="12">
      <c r="A7177" s="758"/>
      <c r="B7177" s="758"/>
      <c r="C7177" s="758"/>
      <c r="D7177" s="758"/>
      <c r="E7177" s="758"/>
      <c r="F7177" s="753"/>
      <c r="G7177" s="758"/>
      <c r="H7177" s="758"/>
      <c r="I7177" s="519"/>
      <c r="J7177" s="758"/>
      <c r="K7177" s="758"/>
      <c r="L7177" s="758"/>
      <c r="M7177" s="758"/>
      <c r="N7177" s="758"/>
      <c r="O7177" s="758"/>
      <c r="P7177" s="758"/>
      <c r="Q7177" s="519"/>
      <c r="R7177" s="759">
        <f t="shared" ref="R7177" si="616">$A7177*Q7177</f>
        <v>0</v>
      </c>
      <c r="S7177" s="519"/>
      <c r="T7177" s="760">
        <f t="shared" ref="T7177" si="617">$A7177*S7177*$T$1</f>
        <v>0</v>
      </c>
      <c r="AR7177" s="758"/>
      <c r="AS7177" s="753"/>
    </row>
    <row r="7178" spans="1:45" s="520" customFormat="1" ht="12.6" thickBot="1">
      <c r="A7178" s="761" t="s">
        <v>145</v>
      </c>
      <c r="B7178" s="762">
        <f>(R7177+T7177)</f>
        <v>0</v>
      </c>
      <c r="C7178" s="763"/>
      <c r="D7178" s="763"/>
      <c r="E7178" s="763"/>
      <c r="F7178" s="764"/>
      <c r="G7178" s="763" t="s">
        <v>146</v>
      </c>
      <c r="H7178" s="763"/>
      <c r="I7178" s="765"/>
      <c r="J7178" s="763"/>
      <c r="K7178" s="763" t="s">
        <v>5</v>
      </c>
      <c r="L7178" s="766" t="s">
        <v>143</v>
      </c>
      <c r="M7178" s="766"/>
      <c r="N7178" s="766"/>
      <c r="O7178" s="766"/>
      <c r="P7178" s="766"/>
      <c r="Q7178" s="767"/>
      <c r="R7178" s="768">
        <f>SUM(R7175:R7177)</f>
        <v>0</v>
      </c>
      <c r="S7178" s="763"/>
      <c r="T7178" s="768">
        <f>SUM(T7175:T7177)</f>
        <v>0</v>
      </c>
      <c r="U7178" s="531"/>
      <c r="V7178" s="531"/>
      <c r="W7178" s="531"/>
      <c r="X7178" s="531"/>
      <c r="Y7178" s="531"/>
      <c r="Z7178" s="531"/>
      <c r="AA7178" s="531"/>
      <c r="AB7178" s="531"/>
      <c r="AC7178" s="531"/>
      <c r="AD7178" s="531"/>
      <c r="AE7178" s="531"/>
      <c r="AF7178" s="531"/>
      <c r="AG7178" s="531"/>
      <c r="AH7178" s="531"/>
      <c r="AI7178" s="531"/>
      <c r="AJ7178" s="531"/>
      <c r="AK7178" s="531"/>
      <c r="AL7178" s="531"/>
      <c r="AM7178" s="531"/>
      <c r="AN7178" s="531"/>
      <c r="AO7178" s="531"/>
      <c r="AR7178" s="761" t="s">
        <v>145</v>
      </c>
      <c r="AS7178" s="764"/>
    </row>
    <row r="7179" spans="1:45" s="520" customFormat="1" ht="12" thickTop="1">
      <c r="A7179" s="51"/>
      <c r="B7179" s="41"/>
      <c r="C7179" s="51"/>
      <c r="E7179" s="42" t="s">
        <v>138</v>
      </c>
      <c r="F7179" s="42" t="s">
        <v>139</v>
      </c>
      <c r="G7179" s="51"/>
      <c r="H7179" s="51"/>
      <c r="I7179" s="51"/>
      <c r="J7179" s="51"/>
      <c r="K7179" s="51" t="s">
        <v>140</v>
      </c>
      <c r="L7179" s="51"/>
      <c r="M7179" s="51"/>
      <c r="N7179" s="51"/>
      <c r="O7179" s="52"/>
      <c r="P7179" s="51"/>
      <c r="Q7179" s="51"/>
      <c r="R7179" s="51"/>
      <c r="S7179" s="51"/>
      <c r="T7179" s="41"/>
      <c r="AG7179" s="521" t="s">
        <v>268</v>
      </c>
      <c r="AH7179" s="521" t="s">
        <v>269</v>
      </c>
      <c r="AI7179" s="521" t="s">
        <v>270</v>
      </c>
      <c r="AJ7179" s="521" t="s">
        <v>271</v>
      </c>
      <c r="AK7179" s="521" t="s">
        <v>272</v>
      </c>
      <c r="AM7179" s="745" t="s">
        <v>281</v>
      </c>
      <c r="AN7179" s="746" t="s">
        <v>282</v>
      </c>
      <c r="AO7179" s="522" t="s">
        <v>278</v>
      </c>
      <c r="AR7179" s="51"/>
      <c r="AS7179" s="42" t="s">
        <v>139</v>
      </c>
    </row>
    <row r="7180" spans="1:45" s="520" customFormat="1" ht="12" customHeight="1">
      <c r="A7180" s="747">
        <v>1</v>
      </c>
      <c r="B7180" s="523" t="s">
        <v>329</v>
      </c>
      <c r="C7180" s="748"/>
      <c r="D7180" s="749" t="s">
        <v>3938</v>
      </c>
      <c r="E7180" s="1145">
        <f>IF(AND($A7180=0,$A$1="DIF"),0, ROUND(ROUND(($R7184*$S$3+($T7184*$T$3))/$A7180,2)*$C$3,2))</f>
        <v>401.26</v>
      </c>
      <c r="F7180" s="1146">
        <f>ROUND($A7180*$E7180,2)</f>
        <v>401.26</v>
      </c>
      <c r="G7180" s="752" t="s">
        <v>142</v>
      </c>
      <c r="H7180" s="753"/>
      <c r="I7180" s="754"/>
      <c r="J7180" s="753"/>
      <c r="K7180" s="753" t="s">
        <v>5</v>
      </c>
      <c r="L7180" s="755" t="s">
        <v>143</v>
      </c>
      <c r="M7180" s="755"/>
      <c r="N7180" s="755"/>
      <c r="O7180" s="755"/>
      <c r="P7180" s="755"/>
      <c r="Q7180" s="1178"/>
      <c r="T7180" s="1150" t="str">
        <f>IF(AND($R7184=0,$T7184=0),"0.00","mu: "&amp; ROUND(F7180/$C$3/($R7184+$T7184*$D$9),2))</f>
        <v>mu: 1.13</v>
      </c>
      <c r="W7180" s="524"/>
      <c r="AG7180" s="1147">
        <f>IF($E7180=0,0,ROUND($R7184*$S$3*$C$3/$A7180,2))</f>
        <v>401.26</v>
      </c>
      <c r="AH7180" s="1147">
        <f>$AG7180*$A7180</f>
        <v>401.26</v>
      </c>
      <c r="AI7180" s="1148">
        <f>$E7180-$AG7180</f>
        <v>0</v>
      </c>
      <c r="AJ7180" s="1148">
        <f>$A7180*$AI7180</f>
        <v>0</v>
      </c>
      <c r="AK7180" s="1149">
        <f>ROUND(($AG7180+$AI7180)*$A7180,2)</f>
        <v>401.26</v>
      </c>
      <c r="AM7180" s="527">
        <f>ROUND(R7184,2)</f>
        <v>355.5</v>
      </c>
      <c r="AN7180" s="528">
        <f>ROUND(T7184,2)</f>
        <v>0</v>
      </c>
      <c r="AO7180" s="529">
        <f>ROUND(AM7180+AN7180,2)*A7180</f>
        <v>355.5</v>
      </c>
      <c r="AR7180" s="747">
        <v>1</v>
      </c>
      <c r="AS7180" s="1146">
        <v>423.56</v>
      </c>
    </row>
    <row r="7181" spans="1:45" s="520" customFormat="1" ht="13.2">
      <c r="A7181" s="748"/>
      <c r="B7181"/>
      <c r="C7181" s="748"/>
      <c r="D7181" s="749" t="s">
        <v>3883</v>
      </c>
      <c r="F7181" s="753"/>
      <c r="G7181" s="3"/>
      <c r="H7181" s="753"/>
      <c r="I7181" s="754"/>
      <c r="J7181" s="753"/>
      <c r="K7181" s="753" t="s">
        <v>144</v>
      </c>
      <c r="L7181" s="753"/>
      <c r="M7181" s="753"/>
      <c r="N7181" s="753"/>
      <c r="O7181" s="753"/>
      <c r="P7181" s="753"/>
      <c r="Q7181" s="51"/>
      <c r="R7181" s="530"/>
      <c r="S7181" s="757"/>
      <c r="T7181" s="753"/>
      <c r="AR7181" s="748"/>
      <c r="AS7181" s="753"/>
    </row>
    <row r="7182" spans="1:45" s="901" customFormat="1" ht="13.2">
      <c r="A7182" s="903">
        <v>1</v>
      </c>
      <c r="B7182" s="904" t="s">
        <v>863</v>
      </c>
      <c r="C7182" s="904"/>
      <c r="D7182" s="904" t="s">
        <v>2594</v>
      </c>
      <c r="E7182" s="904"/>
      <c r="F7182" s="904" t="s">
        <v>4139</v>
      </c>
      <c r="G7182" s="905" t="s">
        <v>2595</v>
      </c>
      <c r="H7182" s="902">
        <v>960</v>
      </c>
      <c r="I7182" s="904" t="s">
        <v>2596</v>
      </c>
      <c r="J7182" s="904"/>
      <c r="K7182" s="904"/>
      <c r="L7182" s="904"/>
      <c r="M7182" s="904"/>
      <c r="N7182" s="904"/>
      <c r="O7182" s="902">
        <v>4</v>
      </c>
      <c r="P7182" s="906">
        <v>38274</v>
      </c>
      <c r="Q7182" s="1415">
        <f>395*0.9</f>
        <v>355.5</v>
      </c>
      <c r="R7182" s="908">
        <f>$A7182*Q7182</f>
        <v>355.5</v>
      </c>
      <c r="S7182" s="907"/>
      <c r="T7182" s="909">
        <f>$A7182*S7182*$T$1</f>
        <v>0</v>
      </c>
      <c r="AR7182" s="903">
        <v>1</v>
      </c>
      <c r="AS7182" s="904" t="s">
        <v>3507</v>
      </c>
    </row>
    <row r="7183" spans="1:45" s="520" customFormat="1" ht="12">
      <c r="A7183" s="758"/>
      <c r="B7183" s="758"/>
      <c r="C7183" s="758"/>
      <c r="D7183" s="758"/>
      <c r="E7183" s="758"/>
      <c r="F7183" s="753"/>
      <c r="G7183" s="758"/>
      <c r="H7183" s="758"/>
      <c r="I7183" s="519"/>
      <c r="J7183" s="758"/>
      <c r="K7183" s="758"/>
      <c r="L7183" s="758"/>
      <c r="M7183" s="758"/>
      <c r="N7183" s="758"/>
      <c r="O7183" s="758"/>
      <c r="P7183" s="758"/>
      <c r="Q7183" s="519"/>
      <c r="R7183" s="759">
        <f t="shared" ref="R7183" si="618">$A7183*Q7183</f>
        <v>0</v>
      </c>
      <c r="S7183" s="519"/>
      <c r="T7183" s="760">
        <f t="shared" ref="T7183" si="619">$A7183*S7183*$T$1</f>
        <v>0</v>
      </c>
      <c r="AR7183" s="758"/>
      <c r="AS7183" s="753"/>
    </row>
    <row r="7184" spans="1:45" s="520" customFormat="1" ht="12.6" thickBot="1">
      <c r="A7184" s="761" t="s">
        <v>145</v>
      </c>
      <c r="B7184" s="762">
        <f>(R7183+T7183)</f>
        <v>0</v>
      </c>
      <c r="C7184" s="763"/>
      <c r="D7184" s="763"/>
      <c r="E7184" s="763"/>
      <c r="F7184" s="764"/>
      <c r="G7184" s="763" t="s">
        <v>146</v>
      </c>
      <c r="H7184" s="763"/>
      <c r="I7184" s="765"/>
      <c r="J7184" s="763"/>
      <c r="K7184" s="763" t="s">
        <v>5</v>
      </c>
      <c r="L7184" s="766" t="s">
        <v>143</v>
      </c>
      <c r="M7184" s="766"/>
      <c r="N7184" s="766"/>
      <c r="O7184" s="766"/>
      <c r="P7184" s="766"/>
      <c r="Q7184" s="767"/>
      <c r="R7184" s="768">
        <f>SUM(R7181:R7183)</f>
        <v>355.5</v>
      </c>
      <c r="S7184" s="763"/>
      <c r="T7184" s="768">
        <f>SUM(T7181:T7183)</f>
        <v>0</v>
      </c>
      <c r="U7184" s="531"/>
      <c r="V7184" s="531"/>
      <c r="W7184" s="531"/>
      <c r="X7184" s="531"/>
      <c r="Y7184" s="531"/>
      <c r="Z7184" s="531"/>
      <c r="AA7184" s="531"/>
      <c r="AB7184" s="531"/>
      <c r="AC7184" s="531"/>
      <c r="AD7184" s="531"/>
      <c r="AE7184" s="531"/>
      <c r="AF7184" s="531"/>
      <c r="AG7184" s="531"/>
      <c r="AH7184" s="531"/>
      <c r="AI7184" s="531"/>
      <c r="AJ7184" s="531"/>
      <c r="AK7184" s="531"/>
      <c r="AL7184" s="531"/>
      <c r="AM7184" s="531"/>
      <c r="AN7184" s="531"/>
      <c r="AO7184" s="531"/>
      <c r="AR7184" s="761" t="s">
        <v>145</v>
      </c>
      <c r="AS7184" s="764"/>
    </row>
    <row r="7185" spans="1:45" s="520" customFormat="1" ht="12" thickTop="1">
      <c r="A7185" s="51"/>
      <c r="B7185" s="41"/>
      <c r="C7185" s="51"/>
      <c r="E7185" s="42" t="s">
        <v>138</v>
      </c>
      <c r="F7185" s="42" t="s">
        <v>139</v>
      </c>
      <c r="G7185" s="51"/>
      <c r="H7185" s="51"/>
      <c r="I7185" s="51"/>
      <c r="J7185" s="51"/>
      <c r="K7185" s="51" t="s">
        <v>140</v>
      </c>
      <c r="L7185" s="51"/>
      <c r="M7185" s="51"/>
      <c r="N7185" s="51"/>
      <c r="O7185" s="52"/>
      <c r="P7185" s="51"/>
      <c r="Q7185" s="51"/>
      <c r="R7185" s="51"/>
      <c r="S7185" s="51"/>
      <c r="T7185" s="41"/>
      <c r="AG7185" s="521" t="s">
        <v>268</v>
      </c>
      <c r="AH7185" s="521" t="s">
        <v>269</v>
      </c>
      <c r="AI7185" s="521" t="s">
        <v>270</v>
      </c>
      <c r="AJ7185" s="521" t="s">
        <v>271</v>
      </c>
      <c r="AK7185" s="521" t="s">
        <v>272</v>
      </c>
      <c r="AM7185" s="745" t="s">
        <v>281</v>
      </c>
      <c r="AN7185" s="746" t="s">
        <v>282</v>
      </c>
      <c r="AO7185" s="522" t="s">
        <v>278</v>
      </c>
      <c r="AR7185" s="51"/>
      <c r="AS7185" s="42" t="s">
        <v>139</v>
      </c>
    </row>
    <row r="7186" spans="1:45" s="520" customFormat="1" ht="12" customHeight="1">
      <c r="A7186" s="747">
        <v>4</v>
      </c>
      <c r="B7186" s="523" t="s">
        <v>329</v>
      </c>
      <c r="C7186" s="748"/>
      <c r="D7186" s="749" t="s">
        <v>3939</v>
      </c>
      <c r="E7186" s="1145">
        <f>IF(AND($A7186=0,$A$1="DIF"),0, ROUND(ROUND(($R7190*$S$3+($T7190*$T$3))/$A7186,2)*$C$3,2))</f>
        <v>91.43</v>
      </c>
      <c r="F7186" s="1146">
        <f>ROUND($A7186*$E7186,2)</f>
        <v>365.72</v>
      </c>
      <c r="G7186" s="752" t="s">
        <v>142</v>
      </c>
      <c r="H7186" s="753"/>
      <c r="I7186" s="754"/>
      <c r="J7186" s="753"/>
      <c r="K7186" s="753" t="s">
        <v>5</v>
      </c>
      <c r="L7186" s="755" t="s">
        <v>143</v>
      </c>
      <c r="M7186" s="755"/>
      <c r="N7186" s="755"/>
      <c r="O7186" s="755"/>
      <c r="P7186" s="755"/>
      <c r="Q7186" s="51"/>
      <c r="T7186" s="1150" t="str">
        <f>IF(AND($R7190=0,$T7190=0),"0.00","mu: "&amp; ROUND(F7186/$C$3/($R7190+$T7190*$D$9),2))</f>
        <v>mu: 1.13</v>
      </c>
      <c r="W7186" s="524"/>
      <c r="AG7186" s="1147">
        <f>IF($E7186=0,0,ROUND($R7190*$S$3*$C$3/$A7186,2))</f>
        <v>91.43</v>
      </c>
      <c r="AH7186" s="1147">
        <f>$AG7186*$A7186</f>
        <v>365.72</v>
      </c>
      <c r="AI7186" s="1148">
        <f>$E7186-$AG7186</f>
        <v>0</v>
      </c>
      <c r="AJ7186" s="1148">
        <f>$A7186*$AI7186</f>
        <v>0</v>
      </c>
      <c r="AK7186" s="1149">
        <f>ROUND(($AG7186+$AI7186)*$A7186,2)</f>
        <v>365.72</v>
      </c>
      <c r="AM7186" s="527">
        <f>ROUND(R7190,2)</f>
        <v>324</v>
      </c>
      <c r="AN7186" s="528">
        <f>ROUND(T7190,2)</f>
        <v>0</v>
      </c>
      <c r="AO7186" s="529">
        <f>ROUND(AM7186+AN7186,2)*A7186</f>
        <v>1296</v>
      </c>
      <c r="AR7186" s="747">
        <v>4</v>
      </c>
      <c r="AS7186" s="1146">
        <v>386.04</v>
      </c>
    </row>
    <row r="7187" spans="1:45" s="520" customFormat="1" ht="13.2">
      <c r="A7187" s="748"/>
      <c r="B7187"/>
      <c r="C7187" s="748"/>
      <c r="D7187" s="749" t="s">
        <v>962</v>
      </c>
      <c r="F7187" s="753"/>
      <c r="G7187" s="3"/>
      <c r="H7187" s="753"/>
      <c r="I7187" s="754"/>
      <c r="J7187" s="753"/>
      <c r="K7187" s="753" t="s">
        <v>144</v>
      </c>
      <c r="L7187" s="753"/>
      <c r="M7187" s="753"/>
      <c r="N7187" s="753"/>
      <c r="O7187" s="753"/>
      <c r="P7187" s="753"/>
      <c r="Q7187" s="51"/>
      <c r="R7187" s="530"/>
      <c r="S7187" s="757"/>
      <c r="T7187" s="753"/>
      <c r="AR7187" s="748"/>
      <c r="AS7187" s="753"/>
    </row>
    <row r="7188" spans="1:45" s="901" customFormat="1" ht="13.2">
      <c r="A7188" s="903">
        <v>4</v>
      </c>
      <c r="B7188" s="904" t="s">
        <v>863</v>
      </c>
      <c r="C7188" s="904"/>
      <c r="D7188" s="904" t="s">
        <v>2594</v>
      </c>
      <c r="E7188" s="904"/>
      <c r="F7188" s="904" t="s">
        <v>4139</v>
      </c>
      <c r="G7188" s="905" t="s">
        <v>2595</v>
      </c>
      <c r="H7188" s="902">
        <v>960</v>
      </c>
      <c r="I7188" s="904" t="s">
        <v>2596</v>
      </c>
      <c r="J7188" s="904"/>
      <c r="K7188" s="904"/>
      <c r="L7188" s="904"/>
      <c r="M7188" s="904"/>
      <c r="N7188" s="904"/>
      <c r="O7188" s="902">
        <v>4</v>
      </c>
      <c r="P7188" s="906">
        <v>38274</v>
      </c>
      <c r="Q7188" s="1415">
        <f>90*0.9</f>
        <v>81</v>
      </c>
      <c r="R7188" s="908">
        <f>$A7188*Q7188</f>
        <v>324</v>
      </c>
      <c r="S7188" s="907"/>
      <c r="T7188" s="909">
        <f>$A7188*S7188*$T$1</f>
        <v>0</v>
      </c>
      <c r="AR7188" s="903">
        <v>4</v>
      </c>
      <c r="AS7188" s="904" t="s">
        <v>3507</v>
      </c>
    </row>
    <row r="7189" spans="1:45" s="520" customFormat="1" ht="12">
      <c r="A7189" s="758"/>
      <c r="B7189" s="758"/>
      <c r="C7189" s="758"/>
      <c r="D7189" s="758"/>
      <c r="E7189" s="758"/>
      <c r="F7189" s="753"/>
      <c r="G7189" s="758"/>
      <c r="H7189" s="758"/>
      <c r="I7189" s="519"/>
      <c r="J7189" s="758"/>
      <c r="K7189" s="758"/>
      <c r="L7189" s="758"/>
      <c r="M7189" s="758"/>
      <c r="N7189" s="758"/>
      <c r="O7189" s="758"/>
      <c r="P7189" s="758"/>
      <c r="Q7189" s="519"/>
      <c r="R7189" s="759">
        <f t="shared" ref="R7189" si="620">$A7189*Q7189</f>
        <v>0</v>
      </c>
      <c r="S7189" s="519"/>
      <c r="T7189" s="760">
        <f t="shared" ref="T7189" si="621">$A7189*S7189*$T$1</f>
        <v>0</v>
      </c>
      <c r="AR7189" s="758"/>
      <c r="AS7189" s="753"/>
    </row>
    <row r="7190" spans="1:45" s="520" customFormat="1" ht="12.6" thickBot="1">
      <c r="A7190" s="761" t="s">
        <v>145</v>
      </c>
      <c r="B7190" s="762">
        <f>(R7189+T7189)</f>
        <v>0</v>
      </c>
      <c r="C7190" s="763"/>
      <c r="D7190" s="763"/>
      <c r="E7190" s="763"/>
      <c r="F7190" s="764"/>
      <c r="G7190" s="763" t="s">
        <v>146</v>
      </c>
      <c r="H7190" s="763"/>
      <c r="I7190" s="765"/>
      <c r="J7190" s="763"/>
      <c r="K7190" s="763" t="s">
        <v>5</v>
      </c>
      <c r="L7190" s="766" t="s">
        <v>143</v>
      </c>
      <c r="M7190" s="766"/>
      <c r="N7190" s="766"/>
      <c r="O7190" s="766"/>
      <c r="P7190" s="766"/>
      <c r="Q7190" s="767"/>
      <c r="R7190" s="768">
        <f>SUM(R7187:R7189)</f>
        <v>324</v>
      </c>
      <c r="S7190" s="763"/>
      <c r="T7190" s="768">
        <f>SUM(T7187:T7189)</f>
        <v>0</v>
      </c>
      <c r="U7190" s="531"/>
      <c r="V7190" s="531"/>
      <c r="W7190" s="531"/>
      <c r="X7190" s="531"/>
      <c r="Y7190" s="531"/>
      <c r="Z7190" s="531"/>
      <c r="AA7190" s="531"/>
      <c r="AB7190" s="531"/>
      <c r="AC7190" s="531"/>
      <c r="AD7190" s="531"/>
      <c r="AE7190" s="531"/>
      <c r="AF7190" s="531"/>
      <c r="AG7190" s="531"/>
      <c r="AH7190" s="531"/>
      <c r="AI7190" s="531"/>
      <c r="AJ7190" s="531"/>
      <c r="AK7190" s="531"/>
      <c r="AL7190" s="531"/>
      <c r="AM7190" s="531"/>
      <c r="AN7190" s="531"/>
      <c r="AO7190" s="531"/>
      <c r="AR7190" s="761" t="s">
        <v>145</v>
      </c>
      <c r="AS7190" s="764"/>
    </row>
    <row r="7191" spans="1:45" s="520" customFormat="1" ht="12" thickTop="1">
      <c r="A7191" s="51"/>
      <c r="B7191" s="41"/>
      <c r="C7191" s="51"/>
      <c r="E7191" s="42" t="s">
        <v>138</v>
      </c>
      <c r="F7191" s="42" t="s">
        <v>139</v>
      </c>
      <c r="G7191" s="51"/>
      <c r="H7191" s="51"/>
      <c r="I7191" s="51"/>
      <c r="J7191" s="51"/>
      <c r="K7191" s="51" t="s">
        <v>140</v>
      </c>
      <c r="L7191" s="51"/>
      <c r="M7191" s="51"/>
      <c r="N7191" s="51"/>
      <c r="O7191" s="52"/>
      <c r="P7191" s="51"/>
      <c r="Q7191" s="51"/>
      <c r="R7191" s="51"/>
      <c r="S7191" s="51"/>
      <c r="T7191" s="41"/>
      <c r="AG7191" s="521" t="s">
        <v>268</v>
      </c>
      <c r="AH7191" s="521" t="s">
        <v>269</v>
      </c>
      <c r="AI7191" s="521" t="s">
        <v>270</v>
      </c>
      <c r="AJ7191" s="521" t="s">
        <v>271</v>
      </c>
      <c r="AK7191" s="521" t="s">
        <v>272</v>
      </c>
      <c r="AM7191" s="745" t="s">
        <v>281</v>
      </c>
      <c r="AN7191" s="746" t="s">
        <v>282</v>
      </c>
      <c r="AO7191" s="522" t="s">
        <v>278</v>
      </c>
      <c r="AR7191" s="51"/>
      <c r="AS7191" s="42" t="s">
        <v>139</v>
      </c>
    </row>
    <row r="7192" spans="1:45" s="520" customFormat="1" ht="12" customHeight="1">
      <c r="A7192" s="747">
        <v>4</v>
      </c>
      <c r="B7192" s="523" t="s">
        <v>329</v>
      </c>
      <c r="C7192" s="748"/>
      <c r="D7192" s="749" t="s">
        <v>3940</v>
      </c>
      <c r="E7192" s="1145">
        <f>IF(AND($A7192=0,$A$1="DIF"),0, ROUND(ROUND(($R7196*$S$3+($T7196*$T$3))/$A7192,2)*$C$3,2))</f>
        <v>15.24</v>
      </c>
      <c r="F7192" s="1146">
        <f>ROUND($A7192*$E7192,2)</f>
        <v>60.96</v>
      </c>
      <c r="G7192" s="752" t="s">
        <v>142</v>
      </c>
      <c r="H7192" s="753"/>
      <c r="I7192" s="754"/>
      <c r="J7192" s="753"/>
      <c r="K7192" s="753" t="s">
        <v>5</v>
      </c>
      <c r="L7192" s="755" t="s">
        <v>143</v>
      </c>
      <c r="M7192" s="755"/>
      <c r="N7192" s="755"/>
      <c r="O7192" s="755"/>
      <c r="P7192" s="755"/>
      <c r="Q7192" s="51"/>
      <c r="T7192" s="1150" t="str">
        <f>IF(AND($R7196=0,$T7196=0),"0.00","mu: "&amp; ROUND(F7192/$C$3/($R7196+$T7196*$D$9),2))</f>
        <v>mu: 1.13</v>
      </c>
      <c r="W7192" s="524"/>
      <c r="AG7192" s="1147">
        <f>IF($E7192=0,0,ROUND($R7196*$S$3*$C$3/$A7192,2))</f>
        <v>15.24</v>
      </c>
      <c r="AH7192" s="1147">
        <f>$AG7192*$A7192</f>
        <v>60.96</v>
      </c>
      <c r="AI7192" s="1148">
        <f>$E7192-$AG7192</f>
        <v>0</v>
      </c>
      <c r="AJ7192" s="1148">
        <f>$A7192*$AI7192</f>
        <v>0</v>
      </c>
      <c r="AK7192" s="1149">
        <f>ROUND(($AG7192+$AI7192)*$A7192,2)</f>
        <v>60.96</v>
      </c>
      <c r="AM7192" s="527">
        <f>ROUND(R7196,2)</f>
        <v>54</v>
      </c>
      <c r="AN7192" s="528">
        <f>ROUND(T7196,2)</f>
        <v>0</v>
      </c>
      <c r="AO7192" s="529">
        <f>ROUND(AM7192+AN7192,2)*A7192</f>
        <v>216</v>
      </c>
      <c r="AR7192" s="747">
        <v>4</v>
      </c>
      <c r="AS7192" s="1146">
        <v>64.319999999999993</v>
      </c>
    </row>
    <row r="7193" spans="1:45" s="520" customFormat="1" ht="13.2">
      <c r="A7193" s="748"/>
      <c r="B7193"/>
      <c r="C7193" s="748"/>
      <c r="D7193" s="749" t="s">
        <v>963</v>
      </c>
      <c r="F7193" s="753"/>
      <c r="G7193" s="3"/>
      <c r="H7193" s="753"/>
      <c r="I7193" s="754"/>
      <c r="J7193" s="753"/>
      <c r="K7193" s="753" t="s">
        <v>144</v>
      </c>
      <c r="L7193" s="753"/>
      <c r="M7193" s="753"/>
      <c r="N7193" s="753"/>
      <c r="O7193" s="753"/>
      <c r="P7193" s="753"/>
      <c r="Q7193" s="51"/>
      <c r="R7193" s="530"/>
      <c r="S7193" s="757"/>
      <c r="T7193" s="753"/>
      <c r="AR7193" s="748"/>
      <c r="AS7193" s="753"/>
    </row>
    <row r="7194" spans="1:45" s="901" customFormat="1" ht="13.2">
      <c r="A7194" s="903">
        <v>4</v>
      </c>
      <c r="B7194" s="904" t="s">
        <v>863</v>
      </c>
      <c r="C7194" s="904"/>
      <c r="D7194" s="904" t="s">
        <v>2594</v>
      </c>
      <c r="E7194" s="904"/>
      <c r="F7194" s="904" t="s">
        <v>4139</v>
      </c>
      <c r="G7194" s="905" t="s">
        <v>2595</v>
      </c>
      <c r="H7194" s="902">
        <v>960</v>
      </c>
      <c r="I7194" s="904" t="s">
        <v>2596</v>
      </c>
      <c r="J7194" s="904"/>
      <c r="K7194" s="904"/>
      <c r="L7194" s="904"/>
      <c r="M7194" s="904"/>
      <c r="N7194" s="904"/>
      <c r="O7194" s="902">
        <v>4</v>
      </c>
      <c r="P7194" s="906">
        <v>38274</v>
      </c>
      <c r="Q7194" s="1415">
        <f>15*0.9</f>
        <v>13.5</v>
      </c>
      <c r="R7194" s="908">
        <f>$A7194*Q7194</f>
        <v>54</v>
      </c>
      <c r="S7194" s="907"/>
      <c r="T7194" s="909">
        <f>$A7194*S7194*$T$1</f>
        <v>0</v>
      </c>
      <c r="AR7194" s="903">
        <v>4</v>
      </c>
      <c r="AS7194" s="904" t="s">
        <v>3507</v>
      </c>
    </row>
    <row r="7195" spans="1:45" s="520" customFormat="1" ht="12">
      <c r="A7195" s="758"/>
      <c r="B7195" s="758"/>
      <c r="C7195" s="758"/>
      <c r="D7195" s="758"/>
      <c r="E7195" s="758"/>
      <c r="F7195" s="753"/>
      <c r="G7195" s="758"/>
      <c r="H7195" s="758"/>
      <c r="I7195" s="519"/>
      <c r="J7195" s="758"/>
      <c r="K7195" s="758"/>
      <c r="L7195" s="758"/>
      <c r="M7195" s="758"/>
      <c r="N7195" s="758"/>
      <c r="O7195" s="758"/>
      <c r="P7195" s="758"/>
      <c r="Q7195" s="519"/>
      <c r="R7195" s="759">
        <f t="shared" ref="R7195" si="622">$A7195*Q7195</f>
        <v>0</v>
      </c>
      <c r="S7195" s="519"/>
      <c r="T7195" s="760">
        <f t="shared" ref="T7195" si="623">$A7195*S7195*$T$1</f>
        <v>0</v>
      </c>
      <c r="AR7195" s="758"/>
      <c r="AS7195" s="753"/>
    </row>
    <row r="7196" spans="1:45" s="520" customFormat="1" ht="12.6" thickBot="1">
      <c r="A7196" s="761" t="s">
        <v>145</v>
      </c>
      <c r="B7196" s="762">
        <f>(R7195+T7195)</f>
        <v>0</v>
      </c>
      <c r="C7196" s="763"/>
      <c r="D7196" s="763"/>
      <c r="E7196" s="763"/>
      <c r="F7196" s="764"/>
      <c r="G7196" s="763" t="s">
        <v>146</v>
      </c>
      <c r="H7196" s="763"/>
      <c r="I7196" s="765"/>
      <c r="J7196" s="763"/>
      <c r="K7196" s="763" t="s">
        <v>5</v>
      </c>
      <c r="L7196" s="766" t="s">
        <v>143</v>
      </c>
      <c r="M7196" s="766"/>
      <c r="N7196" s="766"/>
      <c r="O7196" s="766"/>
      <c r="P7196" s="766"/>
      <c r="Q7196" s="767"/>
      <c r="R7196" s="768">
        <f>SUM(R7193:R7195)</f>
        <v>54</v>
      </c>
      <c r="S7196" s="763"/>
      <c r="T7196" s="768">
        <f>SUM(T7193:T7195)</f>
        <v>0</v>
      </c>
      <c r="U7196" s="531"/>
      <c r="V7196" s="531"/>
      <c r="W7196" s="531"/>
      <c r="X7196" s="531"/>
      <c r="Y7196" s="531"/>
      <c r="Z7196" s="531"/>
      <c r="AA7196" s="531"/>
      <c r="AB7196" s="531"/>
      <c r="AC7196" s="531"/>
      <c r="AD7196" s="531"/>
      <c r="AE7196" s="531"/>
      <c r="AF7196" s="531"/>
      <c r="AG7196" s="531"/>
      <c r="AH7196" s="531"/>
      <c r="AI7196" s="531"/>
      <c r="AJ7196" s="531"/>
      <c r="AK7196" s="531"/>
      <c r="AL7196" s="531"/>
      <c r="AM7196" s="531"/>
      <c r="AN7196" s="531"/>
      <c r="AO7196" s="531"/>
      <c r="AR7196" s="761" t="s">
        <v>145</v>
      </c>
      <c r="AS7196" s="764"/>
    </row>
    <row r="7197" spans="1:45" s="520" customFormat="1" ht="12" thickTop="1">
      <c r="A7197" s="51"/>
      <c r="B7197" s="41"/>
      <c r="C7197" s="51"/>
      <c r="E7197" s="42" t="s">
        <v>138</v>
      </c>
      <c r="F7197" s="42" t="s">
        <v>139</v>
      </c>
      <c r="G7197" s="51"/>
      <c r="H7197" s="51"/>
      <c r="I7197" s="51"/>
      <c r="J7197" s="51"/>
      <c r="K7197" s="51" t="s">
        <v>140</v>
      </c>
      <c r="L7197" s="51"/>
      <c r="M7197" s="51"/>
      <c r="N7197" s="51"/>
      <c r="O7197" s="52"/>
      <c r="P7197" s="51"/>
      <c r="Q7197" s="51"/>
      <c r="R7197" s="51"/>
      <c r="S7197" s="51"/>
      <c r="T7197" s="41"/>
      <c r="AG7197" s="521" t="s">
        <v>268</v>
      </c>
      <c r="AH7197" s="521" t="s">
        <v>269</v>
      </c>
      <c r="AI7197" s="521" t="s">
        <v>270</v>
      </c>
      <c r="AJ7197" s="521" t="s">
        <v>271</v>
      </c>
      <c r="AK7197" s="521" t="s">
        <v>272</v>
      </c>
      <c r="AM7197" s="745" t="s">
        <v>281</v>
      </c>
      <c r="AN7197" s="746" t="s">
        <v>282</v>
      </c>
      <c r="AO7197" s="522" t="s">
        <v>278</v>
      </c>
      <c r="AR7197" s="51"/>
      <c r="AS7197" s="42" t="s">
        <v>139</v>
      </c>
    </row>
    <row r="7198" spans="1:45" s="520" customFormat="1" ht="12" customHeight="1">
      <c r="A7198" s="747">
        <v>4</v>
      </c>
      <c r="B7198" s="523" t="s">
        <v>329</v>
      </c>
      <c r="C7198" s="748"/>
      <c r="D7198" s="749" t="s">
        <v>3941</v>
      </c>
      <c r="E7198" s="1145">
        <f>IF(AND($A7198=0,$A$1="DIF"),0, ROUND(ROUND(($R7202*$S$3+($T7202*$T$3))/$A7198,2)*$C$3,2))</f>
        <v>0</v>
      </c>
      <c r="F7198" s="1146">
        <f>ROUND($A7198*$E7198,2)</f>
        <v>0</v>
      </c>
      <c r="G7198" s="752" t="s">
        <v>142</v>
      </c>
      <c r="H7198" s="753"/>
      <c r="I7198" s="754"/>
      <c r="J7198" s="753"/>
      <c r="K7198" s="753" t="s">
        <v>5</v>
      </c>
      <c r="L7198" s="755" t="s">
        <v>143</v>
      </c>
      <c r="M7198" s="755"/>
      <c r="N7198" s="755"/>
      <c r="O7198" s="755"/>
      <c r="P7198" s="755"/>
      <c r="Q7198" s="1058" t="s">
        <v>3687</v>
      </c>
      <c r="T7198" s="1150" t="str">
        <f>IF(AND($R7202=0,$T7202=0),"0.00","mu: "&amp; ROUND(F7198/$C$3/($R7202+$T7202*$D$9),2))</f>
        <v>0.00</v>
      </c>
      <c r="W7198" s="524"/>
      <c r="AG7198" s="1147">
        <f>IF($E7198=0,0,ROUND($R7202*$S$3*$C$3/$A7198,2))</f>
        <v>0</v>
      </c>
      <c r="AH7198" s="1147">
        <f>$AG7198*$A7198</f>
        <v>0</v>
      </c>
      <c r="AI7198" s="1148">
        <f>$E7198-$AG7198</f>
        <v>0</v>
      </c>
      <c r="AJ7198" s="1148">
        <f>$A7198*$AI7198</f>
        <v>0</v>
      </c>
      <c r="AK7198" s="1149">
        <f>ROUND(($AG7198+$AI7198)*$A7198,2)</f>
        <v>0</v>
      </c>
      <c r="AM7198" s="527">
        <f>ROUND(R7202,2)</f>
        <v>0</v>
      </c>
      <c r="AN7198" s="528">
        <f>ROUND(T7202,2)</f>
        <v>0</v>
      </c>
      <c r="AO7198" s="529">
        <f>ROUND(AM7198+AN7198,2)*A7198</f>
        <v>0</v>
      </c>
      <c r="AR7198" s="747">
        <v>4</v>
      </c>
      <c r="AS7198" s="1146">
        <v>0</v>
      </c>
    </row>
    <row r="7199" spans="1:45" s="520" customFormat="1" ht="13.2">
      <c r="A7199" s="748"/>
      <c r="B7199"/>
      <c r="C7199" s="748"/>
      <c r="D7199" s="749" t="s">
        <v>964</v>
      </c>
      <c r="F7199" s="753"/>
      <c r="G7199" s="3"/>
      <c r="H7199" s="753"/>
      <c r="I7199" s="754"/>
      <c r="J7199" s="753"/>
      <c r="K7199" s="753" t="s">
        <v>144</v>
      </c>
      <c r="L7199" s="753"/>
      <c r="M7199" s="753"/>
      <c r="N7199" s="753"/>
      <c r="O7199" s="753"/>
      <c r="P7199" s="753"/>
      <c r="Q7199" s="51"/>
      <c r="R7199" s="530"/>
      <c r="S7199" s="757"/>
      <c r="T7199" s="753"/>
      <c r="AR7199" s="748"/>
      <c r="AS7199" s="753"/>
    </row>
    <row r="7200" spans="1:45" s="901" customFormat="1" ht="13.2">
      <c r="A7200" s="903">
        <v>4</v>
      </c>
      <c r="B7200" s="904" t="s">
        <v>863</v>
      </c>
      <c r="C7200" s="904"/>
      <c r="D7200" s="904" t="s">
        <v>2594</v>
      </c>
      <c r="E7200" s="904"/>
      <c r="F7200" s="904" t="s">
        <v>4139</v>
      </c>
      <c r="G7200" s="905" t="s">
        <v>2595</v>
      </c>
      <c r="H7200" s="902">
        <v>960</v>
      </c>
      <c r="I7200" s="904" t="s">
        <v>2596</v>
      </c>
      <c r="J7200" s="904"/>
      <c r="K7200" s="904"/>
      <c r="L7200" s="904"/>
      <c r="M7200" s="904"/>
      <c r="N7200" s="904"/>
      <c r="O7200" s="902">
        <v>4</v>
      </c>
      <c r="P7200" s="906">
        <v>38274</v>
      </c>
      <c r="Q7200" s="1171"/>
      <c r="R7200" s="908">
        <f>$A7200*Q7200</f>
        <v>0</v>
      </c>
      <c r="S7200" s="907"/>
      <c r="T7200" s="909">
        <f>$A7200*S7200*$T$1</f>
        <v>0</v>
      </c>
      <c r="U7200" s="901" t="s">
        <v>2764</v>
      </c>
      <c r="AR7200" s="903">
        <v>4</v>
      </c>
      <c r="AS7200" s="904" t="s">
        <v>3507</v>
      </c>
    </row>
    <row r="7201" spans="1:45" s="520" customFormat="1" ht="12">
      <c r="A7201" s="758"/>
      <c r="B7201" s="758"/>
      <c r="C7201" s="758"/>
      <c r="D7201" s="758"/>
      <c r="E7201" s="758"/>
      <c r="F7201" s="753"/>
      <c r="G7201" s="758"/>
      <c r="H7201" s="758"/>
      <c r="I7201" s="519"/>
      <c r="J7201" s="758"/>
      <c r="K7201" s="758"/>
      <c r="L7201" s="758"/>
      <c r="M7201" s="758"/>
      <c r="N7201" s="758"/>
      <c r="O7201" s="758"/>
      <c r="P7201" s="758"/>
      <c r="Q7201" s="519"/>
      <c r="R7201" s="759">
        <f t="shared" ref="R7201" si="624">$A7201*Q7201</f>
        <v>0</v>
      </c>
      <c r="S7201" s="519"/>
      <c r="T7201" s="760">
        <f t="shared" ref="T7201" si="625">$A7201*S7201*$T$1</f>
        <v>0</v>
      </c>
      <c r="AR7201" s="758"/>
      <c r="AS7201" s="753"/>
    </row>
    <row r="7202" spans="1:45" s="520" customFormat="1" ht="12.6" thickBot="1">
      <c r="A7202" s="761" t="s">
        <v>145</v>
      </c>
      <c r="B7202" s="762">
        <f>(R7201+T7201)</f>
        <v>0</v>
      </c>
      <c r="C7202" s="763"/>
      <c r="D7202" s="763"/>
      <c r="E7202" s="763"/>
      <c r="F7202" s="764"/>
      <c r="G7202" s="763" t="s">
        <v>146</v>
      </c>
      <c r="H7202" s="763"/>
      <c r="I7202" s="765"/>
      <c r="J7202" s="763"/>
      <c r="K7202" s="763" t="s">
        <v>5</v>
      </c>
      <c r="L7202" s="766" t="s">
        <v>143</v>
      </c>
      <c r="M7202" s="766"/>
      <c r="N7202" s="766"/>
      <c r="O7202" s="766"/>
      <c r="P7202" s="766"/>
      <c r="Q7202" s="767"/>
      <c r="R7202" s="768">
        <f>SUM(R7199:R7201)</f>
        <v>0</v>
      </c>
      <c r="S7202" s="763"/>
      <c r="T7202" s="768">
        <f>SUM(T7199:T7201)</f>
        <v>0</v>
      </c>
      <c r="U7202" s="531"/>
      <c r="V7202" s="531"/>
      <c r="W7202" s="531"/>
      <c r="X7202" s="531"/>
      <c r="Y7202" s="531"/>
      <c r="Z7202" s="531"/>
      <c r="AA7202" s="531"/>
      <c r="AB7202" s="531"/>
      <c r="AC7202" s="531"/>
      <c r="AD7202" s="531"/>
      <c r="AE7202" s="531"/>
      <c r="AF7202" s="531"/>
      <c r="AG7202" s="531"/>
      <c r="AH7202" s="531"/>
      <c r="AI7202" s="531"/>
      <c r="AJ7202" s="531"/>
      <c r="AK7202" s="531"/>
      <c r="AL7202" s="531"/>
      <c r="AM7202" s="531"/>
      <c r="AN7202" s="531"/>
      <c r="AO7202" s="531"/>
      <c r="AR7202" s="761" t="s">
        <v>145</v>
      </c>
      <c r="AS7202" s="764"/>
    </row>
    <row r="7203" spans="1:45" s="520" customFormat="1" ht="12" thickTop="1">
      <c r="A7203" s="51"/>
      <c r="B7203" s="41"/>
      <c r="C7203" s="51"/>
      <c r="E7203" s="42" t="s">
        <v>138</v>
      </c>
      <c r="F7203" s="42" t="s">
        <v>139</v>
      </c>
      <c r="G7203" s="51"/>
      <c r="H7203" s="51"/>
      <c r="I7203" s="51"/>
      <c r="J7203" s="51"/>
      <c r="K7203" s="51" t="s">
        <v>140</v>
      </c>
      <c r="L7203" s="51"/>
      <c r="M7203" s="51"/>
      <c r="N7203" s="51"/>
      <c r="O7203" s="52"/>
      <c r="P7203" s="51"/>
      <c r="Q7203" s="51"/>
      <c r="R7203" s="51"/>
      <c r="S7203" s="51"/>
      <c r="T7203" s="41"/>
      <c r="AG7203" s="521" t="s">
        <v>268</v>
      </c>
      <c r="AH7203" s="521" t="s">
        <v>269</v>
      </c>
      <c r="AI7203" s="521" t="s">
        <v>270</v>
      </c>
      <c r="AJ7203" s="521" t="s">
        <v>271</v>
      </c>
      <c r="AK7203" s="521" t="s">
        <v>272</v>
      </c>
      <c r="AM7203" s="745" t="s">
        <v>281</v>
      </c>
      <c r="AN7203" s="746" t="s">
        <v>282</v>
      </c>
      <c r="AO7203" s="522" t="s">
        <v>278</v>
      </c>
      <c r="AR7203" s="51"/>
      <c r="AS7203" s="42" t="s">
        <v>139</v>
      </c>
    </row>
    <row r="7204" spans="1:45" s="520" customFormat="1" ht="12" customHeight="1">
      <c r="A7204" s="747">
        <v>1</v>
      </c>
      <c r="B7204" s="523" t="s">
        <v>329</v>
      </c>
      <c r="C7204" s="748"/>
      <c r="D7204" s="749" t="s">
        <v>3942</v>
      </c>
      <c r="E7204" s="1145">
        <f>IF(AND($A7204=0,$A$1="DIF"),0, ROUND(ROUND(($R7208*$S$3+($T7208*$T$3))/$A7204,2)*$C$3,2))</f>
        <v>45.71</v>
      </c>
      <c r="F7204" s="1146">
        <f>ROUND($A7204*$E7204,2)</f>
        <v>45.71</v>
      </c>
      <c r="G7204" s="752" t="s">
        <v>142</v>
      </c>
      <c r="H7204" s="753"/>
      <c r="I7204" s="754"/>
      <c r="J7204" s="753"/>
      <c r="K7204" s="753" t="s">
        <v>5</v>
      </c>
      <c r="L7204" s="755" t="s">
        <v>143</v>
      </c>
      <c r="M7204" s="755"/>
      <c r="N7204" s="755"/>
      <c r="O7204" s="755"/>
      <c r="P7204" s="755"/>
      <c r="Q7204" s="51"/>
      <c r="T7204" s="1150" t="str">
        <f>IF(AND($R7208=0,$T7208=0),"0.00","mu: "&amp; ROUND(F7204/$C$3/($R7208+$T7208*$D$9),2))</f>
        <v>mu: 1.13</v>
      </c>
      <c r="W7204" s="524"/>
      <c r="AG7204" s="1147">
        <f>IF($E7204=0,0,ROUND($R7208*$S$3*$C$3/$A7204,2))</f>
        <v>45.71</v>
      </c>
      <c r="AH7204" s="1147">
        <f>$AG7204*$A7204</f>
        <v>45.71</v>
      </c>
      <c r="AI7204" s="1148">
        <f>$E7204-$AG7204</f>
        <v>0</v>
      </c>
      <c r="AJ7204" s="1148">
        <f>$A7204*$AI7204</f>
        <v>0</v>
      </c>
      <c r="AK7204" s="1149">
        <f>ROUND(($AG7204+$AI7204)*$A7204,2)</f>
        <v>45.71</v>
      </c>
      <c r="AM7204" s="527">
        <f>ROUND(R7208,2)</f>
        <v>40.5</v>
      </c>
      <c r="AN7204" s="528">
        <f>ROUND(T7208,2)</f>
        <v>0</v>
      </c>
      <c r="AO7204" s="529">
        <f>ROUND(AM7204+AN7204,2)*A7204</f>
        <v>40.5</v>
      </c>
      <c r="AR7204" s="747">
        <v>1</v>
      </c>
      <c r="AS7204" s="1146">
        <v>48.25</v>
      </c>
    </row>
    <row r="7205" spans="1:45" s="520" customFormat="1" ht="13.2">
      <c r="A7205" s="748"/>
      <c r="B7205"/>
      <c r="C7205" s="748"/>
      <c r="D7205" s="749" t="s">
        <v>965</v>
      </c>
      <c r="F7205" s="753"/>
      <c r="G7205" s="3"/>
      <c r="H7205" s="753"/>
      <c r="I7205" s="754"/>
      <c r="J7205" s="753"/>
      <c r="K7205" s="753" t="s">
        <v>144</v>
      </c>
      <c r="L7205" s="753"/>
      <c r="M7205" s="753"/>
      <c r="N7205" s="753"/>
      <c r="O7205" s="753"/>
      <c r="P7205" s="753"/>
      <c r="Q7205" s="51"/>
      <c r="R7205" s="530"/>
      <c r="S7205" s="757"/>
      <c r="T7205" s="753"/>
      <c r="AR7205" s="748"/>
      <c r="AS7205" s="753"/>
    </row>
    <row r="7206" spans="1:45" s="901" customFormat="1" ht="13.2">
      <c r="A7206" s="903">
        <v>1</v>
      </c>
      <c r="B7206" s="904" t="s">
        <v>863</v>
      </c>
      <c r="C7206" s="904"/>
      <c r="D7206" s="904" t="s">
        <v>2594</v>
      </c>
      <c r="E7206" s="904"/>
      <c r="F7206" s="904" t="s">
        <v>4139</v>
      </c>
      <c r="G7206" s="905" t="s">
        <v>2595</v>
      </c>
      <c r="H7206" s="902">
        <v>960</v>
      </c>
      <c r="I7206" s="904" t="s">
        <v>2596</v>
      </c>
      <c r="J7206" s="904"/>
      <c r="K7206" s="904"/>
      <c r="L7206" s="904"/>
      <c r="M7206" s="904"/>
      <c r="N7206" s="904"/>
      <c r="O7206" s="902">
        <v>4</v>
      </c>
      <c r="P7206" s="906">
        <v>38274</v>
      </c>
      <c r="Q7206" s="1415">
        <f>45*0.9</f>
        <v>40.5</v>
      </c>
      <c r="R7206" s="908">
        <f>$A7206*Q7206</f>
        <v>40.5</v>
      </c>
      <c r="S7206" s="907"/>
      <c r="T7206" s="909">
        <f>$A7206*S7206*$T$1</f>
        <v>0</v>
      </c>
      <c r="AR7206" s="903">
        <v>1</v>
      </c>
      <c r="AS7206" s="904" t="s">
        <v>3507</v>
      </c>
    </row>
    <row r="7207" spans="1:45" s="520" customFormat="1" ht="12">
      <c r="A7207" s="758"/>
      <c r="B7207" s="758"/>
      <c r="C7207" s="758"/>
      <c r="D7207" s="758"/>
      <c r="E7207" s="758"/>
      <c r="F7207" s="753"/>
      <c r="G7207" s="758"/>
      <c r="H7207" s="758"/>
      <c r="I7207" s="519"/>
      <c r="J7207" s="758"/>
      <c r="K7207" s="758"/>
      <c r="L7207" s="758"/>
      <c r="M7207" s="758"/>
      <c r="N7207" s="758"/>
      <c r="O7207" s="758"/>
      <c r="P7207" s="758"/>
      <c r="Q7207" s="519"/>
      <c r="R7207" s="759">
        <f t="shared" ref="R7207" si="626">$A7207*Q7207</f>
        <v>0</v>
      </c>
      <c r="S7207" s="519"/>
      <c r="T7207" s="760">
        <f t="shared" ref="T7207" si="627">$A7207*S7207*$T$1</f>
        <v>0</v>
      </c>
      <c r="AR7207" s="758"/>
      <c r="AS7207" s="753"/>
    </row>
    <row r="7208" spans="1:45" s="520" customFormat="1" ht="12.6" thickBot="1">
      <c r="A7208" s="761" t="s">
        <v>145</v>
      </c>
      <c r="B7208" s="762">
        <f>(R7207+T7207)</f>
        <v>0</v>
      </c>
      <c r="C7208" s="763"/>
      <c r="D7208" s="763"/>
      <c r="E7208" s="763"/>
      <c r="F7208" s="764"/>
      <c r="G7208" s="763" t="s">
        <v>146</v>
      </c>
      <c r="H7208" s="763"/>
      <c r="I7208" s="765"/>
      <c r="J7208" s="763"/>
      <c r="K7208" s="763" t="s">
        <v>5</v>
      </c>
      <c r="L7208" s="766" t="s">
        <v>143</v>
      </c>
      <c r="M7208" s="766"/>
      <c r="N7208" s="766"/>
      <c r="O7208" s="766"/>
      <c r="P7208" s="766"/>
      <c r="Q7208" s="767"/>
      <c r="R7208" s="768">
        <f>SUM(R7205:R7207)</f>
        <v>40.5</v>
      </c>
      <c r="S7208" s="763"/>
      <c r="T7208" s="768">
        <f>SUM(T7205:T7207)</f>
        <v>0</v>
      </c>
      <c r="U7208" s="531"/>
      <c r="V7208" s="531"/>
      <c r="W7208" s="531"/>
      <c r="X7208" s="531"/>
      <c r="Y7208" s="531"/>
      <c r="Z7208" s="531"/>
      <c r="AA7208" s="531"/>
      <c r="AB7208" s="531"/>
      <c r="AC7208" s="531"/>
      <c r="AD7208" s="531"/>
      <c r="AE7208" s="531"/>
      <c r="AF7208" s="531"/>
      <c r="AG7208" s="531"/>
      <c r="AH7208" s="531"/>
      <c r="AI7208" s="531"/>
      <c r="AJ7208" s="531"/>
      <c r="AK7208" s="531"/>
      <c r="AL7208" s="531"/>
      <c r="AM7208" s="531"/>
      <c r="AN7208" s="531"/>
      <c r="AO7208" s="531"/>
      <c r="AR7208" s="761" t="s">
        <v>145</v>
      </c>
      <c r="AS7208" s="764"/>
    </row>
    <row r="7209" spans="1:45" s="520" customFormat="1" ht="12" thickTop="1">
      <c r="A7209" s="48" t="s">
        <v>148</v>
      </c>
      <c r="D7209" s="13"/>
      <c r="E7209" s="42"/>
      <c r="O7209" s="771"/>
      <c r="AR7209" s="48" t="s">
        <v>148</v>
      </c>
    </row>
    <row r="7210" spans="1:45" s="520" customFormat="1" ht="13.2">
      <c r="B7210" s="3"/>
      <c r="O7210" s="771"/>
    </row>
    <row r="7211" spans="1:45" s="520" customFormat="1" ht="12">
      <c r="B7211" s="772">
        <f ca="1">$F7211/$C$2-($R7211*$S$2+$T7211*$T$2)</f>
        <v>-755.43413484157645</v>
      </c>
      <c r="D7211" s="773" t="s">
        <v>3648</v>
      </c>
      <c r="E7211" s="774"/>
      <c r="F7211" s="775">
        <f ca="1">SUMIF($L7039:$L7209,"ITEM",F7039:F7209)</f>
        <v>38915.999999999993</v>
      </c>
      <c r="G7211" s="758"/>
      <c r="H7211" s="758"/>
      <c r="I7211" s="519"/>
      <c r="J7211" s="758"/>
      <c r="K7211" s="758"/>
      <c r="L7211" s="755" t="s">
        <v>157</v>
      </c>
      <c r="M7211" s="755"/>
      <c r="N7211" s="755"/>
      <c r="O7211" s="755"/>
      <c r="P7211" s="755"/>
      <c r="R7211" s="775">
        <f ca="1">SUMIF($L7039:$L7209,"ITEM",R7039:R7209)</f>
        <v>26418.979692028988</v>
      </c>
      <c r="S7211" s="776"/>
      <c r="T7211" s="775">
        <f ca="1">SUMIF($L7039:$L7209,"ITEM",T7039:T7209)</f>
        <v>211.18043478260867</v>
      </c>
      <c r="AS7211" s="775">
        <v>44985.599999999999</v>
      </c>
    </row>
    <row r="7212" spans="1:45" s="520" customFormat="1" ht="13.2">
      <c r="A7212" s="51"/>
      <c r="B7212" s="49" t="s">
        <v>1064</v>
      </c>
      <c r="C7212" s="51"/>
      <c r="D7212" s="3"/>
      <c r="F7212" s="777" t="s">
        <v>158</v>
      </c>
      <c r="G7212" s="758"/>
      <c r="H7212" s="758"/>
      <c r="I7212" s="519"/>
      <c r="J7212" s="758"/>
      <c r="K7212" s="758"/>
      <c r="L7212" s="758"/>
      <c r="M7212" s="758"/>
      <c r="N7212" s="758"/>
      <c r="O7212" s="758"/>
      <c r="P7212" s="758"/>
      <c r="Q7212" s="778"/>
      <c r="R7212" s="777" t="s">
        <v>159</v>
      </c>
      <c r="S7212" s="38"/>
      <c r="T7212" s="777" t="s">
        <v>160</v>
      </c>
      <c r="AR7212" s="51"/>
      <c r="AS7212" s="777" t="s">
        <v>158</v>
      </c>
    </row>
    <row r="7213" spans="1:45" s="520" customFormat="1" ht="13.2">
      <c r="A7213" s="758"/>
      <c r="B7213" s="3"/>
      <c r="C7213" s="758"/>
      <c r="D7213" s="3"/>
      <c r="E7213" s="3"/>
      <c r="G7213" s="3"/>
      <c r="H7213" s="3"/>
      <c r="I7213" s="3"/>
      <c r="J7213" s="3"/>
      <c r="K7213" s="3"/>
      <c r="L7213" s="3"/>
      <c r="M7213" s="3"/>
      <c r="N7213" s="3"/>
      <c r="O7213" s="107"/>
      <c r="P7213" s="3"/>
      <c r="Q7213" s="3"/>
      <c r="R7213" s="3"/>
      <c r="S7213" s="3"/>
      <c r="T7213" s="3"/>
      <c r="AR7213" s="758"/>
    </row>
    <row r="7214" spans="1:45" s="520" customFormat="1" ht="12" thickBot="1">
      <c r="A7214" s="531"/>
      <c r="B7214" s="763"/>
      <c r="C7214" s="763"/>
      <c r="D7214" s="531"/>
      <c r="E7214" s="39"/>
      <c r="F7214" s="779"/>
      <c r="G7214" s="763"/>
      <c r="H7214" s="763"/>
      <c r="I7214" s="765"/>
      <c r="J7214" s="763"/>
      <c r="K7214" s="763"/>
      <c r="L7214" s="766"/>
      <c r="M7214" s="766"/>
      <c r="N7214" s="766"/>
      <c r="O7214" s="766"/>
      <c r="P7214" s="766"/>
      <c r="Q7214" s="767"/>
      <c r="R7214" s="779"/>
      <c r="S7214" s="780"/>
      <c r="T7214" s="779"/>
      <c r="U7214" s="531"/>
      <c r="V7214" s="531"/>
      <c r="W7214" s="531"/>
      <c r="X7214" s="531"/>
      <c r="Y7214" s="531"/>
      <c r="Z7214" s="531"/>
      <c r="AA7214" s="531"/>
      <c r="AB7214" s="531"/>
      <c r="AC7214" s="531"/>
      <c r="AD7214" s="531"/>
      <c r="AE7214" s="531"/>
      <c r="AF7214" s="531"/>
      <c r="AG7214" s="531"/>
      <c r="AH7214" s="531"/>
      <c r="AI7214" s="531"/>
      <c r="AJ7214" s="531"/>
      <c r="AK7214" s="531"/>
      <c r="AR7214" s="531"/>
      <c r="AS7214" s="779"/>
    </row>
    <row r="7215" spans="1:45" s="520" customFormat="1" thickTop="1">
      <c r="A7215" s="51"/>
      <c r="B7215" s="51"/>
      <c r="C7215" s="3"/>
      <c r="D7215" s="3"/>
      <c r="E7215" s="51"/>
      <c r="F7215" s="51"/>
      <c r="G7215" s="51"/>
      <c r="H7215" s="51"/>
      <c r="I7215" s="51"/>
      <c r="J7215" s="51"/>
      <c r="K7215" s="51" t="s">
        <v>134</v>
      </c>
      <c r="L7215" s="51"/>
      <c r="M7215" s="51"/>
      <c r="N7215" s="51"/>
      <c r="O7215" s="52"/>
      <c r="P7215" s="51"/>
      <c r="Q7215" s="51"/>
      <c r="R7215" s="51"/>
      <c r="S7215" s="51"/>
      <c r="T7215" s="51"/>
      <c r="AR7215" s="51"/>
      <c r="AS7215" s="51"/>
    </row>
    <row r="7216" spans="1:45" s="520" customFormat="1" ht="12">
      <c r="A7216" s="51"/>
      <c r="B7216" s="51"/>
      <c r="C7216" s="51" t="s">
        <v>135</v>
      </c>
      <c r="D7216" s="37"/>
      <c r="E7216" s="51"/>
      <c r="F7216" s="51"/>
      <c r="G7216" s="51"/>
      <c r="H7216" s="51"/>
      <c r="I7216" s="51"/>
      <c r="J7216" s="51"/>
      <c r="K7216" s="51"/>
      <c r="L7216" s="51"/>
      <c r="M7216" s="51"/>
      <c r="N7216" s="51"/>
      <c r="O7216" s="52"/>
      <c r="P7216" s="51"/>
      <c r="Q7216" s="51"/>
      <c r="R7216" s="51"/>
      <c r="S7216" s="51"/>
      <c r="T7216" s="51"/>
      <c r="AR7216" s="51"/>
      <c r="AS7216" s="51"/>
    </row>
    <row r="7217" spans="1:45" s="520" customFormat="1" ht="12">
      <c r="A7217" s="51"/>
      <c r="B7217" s="51"/>
      <c r="C7217" s="51"/>
      <c r="D7217" s="37" t="s">
        <v>990</v>
      </c>
      <c r="E7217" s="51"/>
      <c r="F7217" s="51"/>
      <c r="G7217" s="51"/>
      <c r="H7217" s="51"/>
      <c r="I7217" s="51"/>
      <c r="J7217" s="51"/>
      <c r="K7217" s="51"/>
      <c r="L7217" s="51"/>
      <c r="M7217" s="51"/>
      <c r="N7217" s="51"/>
      <c r="O7217" s="52"/>
      <c r="P7217" s="51"/>
      <c r="Q7217" s="51"/>
      <c r="R7217" s="51"/>
      <c r="S7217" s="38"/>
      <c r="T7217" s="38"/>
      <c r="AR7217" s="51"/>
      <c r="AS7217" s="51"/>
    </row>
    <row r="7218" spans="1:45" s="3" customFormat="1" thickBot="1">
      <c r="A7218" s="531"/>
      <c r="O7218" s="107"/>
      <c r="AR7218" s="531"/>
    </row>
    <row r="7219" spans="1:45" s="520" customFormat="1" thickTop="1">
      <c r="A7219" s="51"/>
      <c r="B7219" s="51"/>
      <c r="C7219" s="3"/>
      <c r="D7219" s="3"/>
      <c r="E7219" s="51"/>
      <c r="F7219" s="51"/>
      <c r="G7219" s="51"/>
      <c r="H7219" s="51"/>
      <c r="I7219" s="51"/>
      <c r="J7219" s="51"/>
      <c r="K7219" s="51" t="s">
        <v>134</v>
      </c>
      <c r="L7219" s="51"/>
      <c r="M7219" s="51"/>
      <c r="N7219" s="51"/>
      <c r="O7219" s="52"/>
      <c r="P7219" s="51"/>
      <c r="Q7219" s="51"/>
      <c r="R7219" s="51"/>
      <c r="S7219" s="51"/>
      <c r="T7219" s="51"/>
      <c r="AR7219" s="51"/>
      <c r="AS7219" s="51"/>
    </row>
    <row r="7220" spans="1:45" s="520" customFormat="1" ht="12">
      <c r="A7220" s="51"/>
      <c r="B7220" s="51"/>
      <c r="C7220" s="51" t="s">
        <v>135</v>
      </c>
      <c r="D7220" s="37"/>
      <c r="E7220" s="51"/>
      <c r="F7220" s="51"/>
      <c r="G7220" s="51"/>
      <c r="H7220" s="51"/>
      <c r="I7220" s="51"/>
      <c r="J7220" s="51"/>
      <c r="K7220" s="51"/>
      <c r="L7220" s="51"/>
      <c r="M7220" s="51"/>
      <c r="N7220" s="51"/>
      <c r="O7220" s="52"/>
      <c r="P7220" s="51"/>
      <c r="Q7220" s="51"/>
      <c r="R7220" s="51"/>
      <c r="S7220" s="51"/>
      <c r="T7220" s="51"/>
      <c r="AR7220" s="51"/>
      <c r="AS7220" s="51"/>
    </row>
    <row r="7221" spans="1:45" s="520" customFormat="1" ht="39.9" customHeight="1">
      <c r="A7221" s="51"/>
      <c r="B7221" s="51"/>
      <c r="C7221" s="51"/>
      <c r="D7221" s="1453" t="s">
        <v>1997</v>
      </c>
      <c r="E7221" s="1452"/>
      <c r="F7221" s="1452"/>
      <c r="G7221" s="1452"/>
      <c r="H7221" s="1452"/>
      <c r="I7221" s="1452"/>
      <c r="J7221" s="1452"/>
      <c r="K7221" s="1452"/>
      <c r="L7221" s="1452"/>
      <c r="M7221" s="1452"/>
      <c r="N7221" s="1452"/>
      <c r="O7221" s="1452"/>
      <c r="P7221" s="1452"/>
      <c r="Q7221" s="1452"/>
      <c r="R7221" s="1452"/>
      <c r="S7221" s="1452"/>
      <c r="T7221" s="1452"/>
      <c r="AR7221" s="51"/>
    </row>
    <row r="7222" spans="1:45" s="3" customFormat="1" thickBot="1">
      <c r="A7222" s="531"/>
      <c r="O7222" s="107"/>
      <c r="AR7222" s="531"/>
    </row>
    <row r="7223" spans="1:45" s="520" customFormat="1" ht="12" thickTop="1">
      <c r="A7223" s="51"/>
      <c r="B7223" s="41"/>
      <c r="C7223" s="51"/>
      <c r="E7223" s="42" t="s">
        <v>138</v>
      </c>
      <c r="F7223" s="42" t="s">
        <v>139</v>
      </c>
      <c r="G7223" s="51"/>
      <c r="H7223" s="51"/>
      <c r="I7223" s="51"/>
      <c r="J7223" s="51"/>
      <c r="K7223" s="51" t="s">
        <v>140</v>
      </c>
      <c r="L7223" s="51"/>
      <c r="M7223" s="51"/>
      <c r="N7223" s="51"/>
      <c r="O7223" s="52"/>
      <c r="P7223" s="51"/>
      <c r="Q7223" s="51"/>
      <c r="R7223" s="51"/>
      <c r="S7223" s="51"/>
      <c r="T7223" s="41"/>
      <c r="AG7223" s="521" t="s">
        <v>268</v>
      </c>
      <c r="AH7223" s="521" t="s">
        <v>269</v>
      </c>
      <c r="AI7223" s="521" t="s">
        <v>270</v>
      </c>
      <c r="AJ7223" s="521" t="s">
        <v>271</v>
      </c>
      <c r="AK7223" s="521" t="s">
        <v>272</v>
      </c>
      <c r="AM7223" s="745" t="s">
        <v>281</v>
      </c>
      <c r="AN7223" s="746" t="s">
        <v>282</v>
      </c>
      <c r="AO7223" s="522" t="s">
        <v>278</v>
      </c>
      <c r="AR7223" s="51"/>
      <c r="AS7223" s="42" t="s">
        <v>139</v>
      </c>
    </row>
    <row r="7224" spans="1:45" s="520" customFormat="1" ht="12" customHeight="1">
      <c r="A7224" s="747">
        <v>13</v>
      </c>
      <c r="B7224" s="523" t="s">
        <v>329</v>
      </c>
      <c r="C7224" s="748"/>
      <c r="D7224" s="749" t="s">
        <v>3943</v>
      </c>
      <c r="E7224" s="750">
        <f ca="1">IF(AND($A7224=0,$A$1="DIF"),0, ROUND(ROUND(($R7229*$S$2+($T7229*$T$2))/A7224,2)*$C$2,2))</f>
        <v>47.94</v>
      </c>
      <c r="F7224" s="751">
        <f ca="1">ROUND($A7224*$E7224,2)</f>
        <v>623.22</v>
      </c>
      <c r="G7224" s="752" t="s">
        <v>142</v>
      </c>
      <c r="H7224" s="753"/>
      <c r="I7224" s="754"/>
      <c r="J7224" s="753"/>
      <c r="K7224" s="753" t="s">
        <v>3</v>
      </c>
      <c r="L7224" s="755" t="s">
        <v>143</v>
      </c>
      <c r="M7224" s="755"/>
      <c r="N7224" s="755"/>
      <c r="O7224" s="755"/>
      <c r="P7224" s="755"/>
      <c r="Q7224" s="51"/>
      <c r="T7224" s="756" t="str">
        <f ca="1">IF(AND($R7229=0,$T7229=0),"0.00","mu :" &amp; ROUND($F7224/$C$2/($R7229+$T7229*$D$9),2))</f>
        <v>mu :1.23</v>
      </c>
      <c r="W7224" s="524"/>
      <c r="AG7224" s="481">
        <f ca="1">IF($E7224=0,0,ROUND($R7229*$S$2*$C$2/$A7224,2))</f>
        <v>15.15</v>
      </c>
      <c r="AH7224" s="481">
        <f ca="1">$AG7224*$A7224</f>
        <v>196.95000000000002</v>
      </c>
      <c r="AI7224" s="525">
        <f ca="1">$E7224-$AG7224</f>
        <v>32.79</v>
      </c>
      <c r="AJ7224" s="525">
        <f ca="1">$A7224*$AI7224</f>
        <v>426.27</v>
      </c>
      <c r="AK7224" s="526">
        <f ca="1">ROUND(($AG7224+$AI7224)*$A7224,2)</f>
        <v>623.22</v>
      </c>
      <c r="AM7224" s="527">
        <f ca="1">ROUND(R7229,2)</f>
        <v>159.9</v>
      </c>
      <c r="AN7224" s="528">
        <f ca="1">ROUND(T7229,2)</f>
        <v>12.61</v>
      </c>
      <c r="AO7224" s="529">
        <f ca="1">ROUND(AM7224+AN7224,2)*A7224</f>
        <v>2242.63</v>
      </c>
      <c r="AR7224" s="747">
        <v>13</v>
      </c>
      <c r="AS7224" s="751">
        <v>671.58</v>
      </c>
    </row>
    <row r="7225" spans="1:45" s="520" customFormat="1" ht="13.2">
      <c r="A7225" s="748"/>
      <c r="B7225"/>
      <c r="C7225" s="748"/>
      <c r="D7225" s="749" t="s">
        <v>947</v>
      </c>
      <c r="F7225" s="753"/>
      <c r="G7225" s="3"/>
      <c r="H7225" s="753"/>
      <c r="I7225" s="754"/>
      <c r="J7225" s="753"/>
      <c r="K7225" s="753" t="s">
        <v>144</v>
      </c>
      <c r="L7225" s="753"/>
      <c r="M7225" s="753"/>
      <c r="N7225" s="753"/>
      <c r="O7225" s="753"/>
      <c r="P7225" s="753"/>
      <c r="Q7225" s="51"/>
      <c r="R7225" s="530"/>
      <c r="S7225" s="757"/>
      <c r="T7225" s="753"/>
      <c r="AR7225" s="748"/>
      <c r="AS7225" s="753"/>
    </row>
    <row r="7226" spans="1:45" s="886" customFormat="1" ht="17.100000000000001" customHeight="1">
      <c r="A7226"/>
      <c r="B7226" s="910"/>
      <c r="C7226" s="910" t="s">
        <v>2597</v>
      </c>
      <c r="D7226" s="910" t="str">
        <f ca="1">CELL("Address",Elec_Rates!D$1017)</f>
        <v>[E25_0062_Quintano_Foods_Elec_ELV_As_Awarded.xlsx]Elec_Rates!$D$1017</v>
      </c>
      <c r="E7226" s="911"/>
      <c r="F7226" s="911"/>
      <c r="G7226" s="912" t="s">
        <v>2598</v>
      </c>
      <c r="H7226" s="912"/>
      <c r="I7226" s="912"/>
      <c r="J7226" s="912"/>
      <c r="K7226" s="913"/>
      <c r="L7226" s="911"/>
      <c r="M7226" s="911"/>
      <c r="N7226" s="911"/>
      <c r="O7226" s="914"/>
      <c r="P7226" s="911"/>
      <c r="Q7226" s="915"/>
      <c r="R7226" s="916"/>
      <c r="S7226" s="915"/>
      <c r="T7226" s="917"/>
      <c r="U7226" s="918"/>
      <c r="AR7226"/>
      <c r="AS7226" s="911"/>
    </row>
    <row r="7227" spans="1:45" s="886" customFormat="1" ht="11.4">
      <c r="A7227" s="919">
        <v>13</v>
      </c>
      <c r="B7227" s="920">
        <v>1</v>
      </c>
      <c r="C7227" s="920">
        <f>$A7227*$B7227</f>
        <v>13</v>
      </c>
      <c r="D7227" s="921" t="str">
        <f>Elec_Rates!$D$1017</f>
        <v>090# LSZH Conduit point for Data</v>
      </c>
      <c r="E7227" s="921"/>
      <c r="F7227" s="921" t="s">
        <v>2599</v>
      </c>
      <c r="G7227" s="922" t="s">
        <v>2600</v>
      </c>
      <c r="H7227" s="922"/>
      <c r="I7227" s="922"/>
      <c r="J7227" s="922"/>
      <c r="K7227" s="923"/>
      <c r="L7227" s="918"/>
      <c r="M7227" s="918"/>
      <c r="N7227" s="918"/>
      <c r="O7227" s="924"/>
      <c r="P7227" s="921"/>
      <c r="Q7227" s="925">
        <f ca="1">$B7227*Elec_Rates!$R$1017</f>
        <v>12.3</v>
      </c>
      <c r="R7227" s="916">
        <f ca="1">$A7227*Q7227</f>
        <v>159.9</v>
      </c>
      <c r="S7227" s="925">
        <f ca="1">$B7227*Elec_Rates!$T$1017</f>
        <v>0.97</v>
      </c>
      <c r="T7227" s="917">
        <f ca="1">$A7227*S7227</f>
        <v>12.61</v>
      </c>
      <c r="U7227" s="926"/>
      <c r="AR7227" s="919">
        <v>13</v>
      </c>
      <c r="AS7227" s="921" t="s">
        <v>2599</v>
      </c>
    </row>
    <row r="7228" spans="1:45" s="520" customFormat="1" ht="12">
      <c r="A7228" s="758"/>
      <c r="B7228" s="758"/>
      <c r="C7228" s="758"/>
      <c r="D7228" s="758"/>
      <c r="E7228" s="758"/>
      <c r="F7228" s="753"/>
      <c r="G7228" s="758"/>
      <c r="H7228" s="758"/>
      <c r="I7228" s="519"/>
      <c r="J7228" s="758"/>
      <c r="K7228" s="758"/>
      <c r="L7228" s="758"/>
      <c r="M7228" s="758"/>
      <c r="N7228" s="758"/>
      <c r="O7228" s="758"/>
      <c r="P7228" s="758"/>
      <c r="Q7228" s="519"/>
      <c r="R7228" s="759">
        <f t="shared" ref="R7228" si="628">$A7228*Q7228</f>
        <v>0</v>
      </c>
      <c r="S7228" s="519"/>
      <c r="T7228" s="760">
        <f t="shared" ref="T7228" si="629">$A7228*S7228*$T$1</f>
        <v>0</v>
      </c>
      <c r="AR7228" s="758"/>
      <c r="AS7228" s="753"/>
    </row>
    <row r="7229" spans="1:45" s="520" customFormat="1" ht="12.6" thickBot="1">
      <c r="A7229" s="761" t="s">
        <v>145</v>
      </c>
      <c r="B7229" s="762">
        <f>(R7228+T7228)</f>
        <v>0</v>
      </c>
      <c r="C7229" s="763"/>
      <c r="D7229" s="763"/>
      <c r="E7229" s="763"/>
      <c r="F7229" s="764"/>
      <c r="G7229" s="763" t="s">
        <v>146</v>
      </c>
      <c r="H7229" s="763"/>
      <c r="I7229" s="765"/>
      <c r="J7229" s="763"/>
      <c r="K7229" s="763" t="s">
        <v>3</v>
      </c>
      <c r="L7229" s="766" t="s">
        <v>143</v>
      </c>
      <c r="M7229" s="766"/>
      <c r="N7229" s="766"/>
      <c r="O7229" s="766"/>
      <c r="P7229" s="766"/>
      <c r="Q7229" s="767"/>
      <c r="R7229" s="768">
        <f ca="1">SUM(R7225:R7228)</f>
        <v>159.9</v>
      </c>
      <c r="S7229" s="763"/>
      <c r="T7229" s="768">
        <f ca="1">SUM(T7225:T7228)</f>
        <v>12.61</v>
      </c>
      <c r="U7229" s="531"/>
      <c r="V7229" s="531"/>
      <c r="W7229" s="531"/>
      <c r="X7229" s="531"/>
      <c r="Y7229" s="531"/>
      <c r="Z7229" s="531"/>
      <c r="AA7229" s="531"/>
      <c r="AB7229" s="531"/>
      <c r="AC7229" s="531"/>
      <c r="AD7229" s="531"/>
      <c r="AE7229" s="531"/>
      <c r="AF7229" s="531"/>
      <c r="AG7229" s="531"/>
      <c r="AH7229" s="531"/>
      <c r="AI7229" s="531"/>
      <c r="AJ7229" s="531"/>
      <c r="AK7229" s="531"/>
      <c r="AL7229" s="531"/>
      <c r="AM7229" s="531"/>
      <c r="AN7229" s="531"/>
      <c r="AO7229" s="531"/>
      <c r="AR7229" s="761" t="s">
        <v>145</v>
      </c>
      <c r="AS7229" s="764"/>
    </row>
    <row r="7230" spans="1:45" s="520" customFormat="1" thickTop="1">
      <c r="A7230" s="51"/>
      <c r="B7230" s="51"/>
      <c r="C7230" s="3"/>
      <c r="D7230" s="3"/>
      <c r="E7230" s="51"/>
      <c r="F7230" s="51"/>
      <c r="G7230" s="51"/>
      <c r="H7230" s="51"/>
      <c r="I7230" s="51"/>
      <c r="J7230" s="51"/>
      <c r="K7230" s="51" t="s">
        <v>134</v>
      </c>
      <c r="L7230" s="51"/>
      <c r="M7230" s="51"/>
      <c r="N7230" s="51"/>
      <c r="O7230" s="52"/>
      <c r="P7230" s="51"/>
      <c r="Q7230" s="51"/>
      <c r="R7230" s="51"/>
      <c r="S7230" s="51"/>
      <c r="T7230" s="51"/>
      <c r="AR7230" s="51"/>
      <c r="AS7230" s="51"/>
    </row>
    <row r="7231" spans="1:45" s="520" customFormat="1" ht="12">
      <c r="A7231" s="51"/>
      <c r="B7231" s="51"/>
      <c r="C7231" s="51" t="s">
        <v>135</v>
      </c>
      <c r="D7231" s="37"/>
      <c r="E7231" s="51"/>
      <c r="F7231" s="51"/>
      <c r="G7231" s="51"/>
      <c r="H7231" s="51"/>
      <c r="I7231" s="51"/>
      <c r="J7231" s="51"/>
      <c r="K7231" s="51"/>
      <c r="L7231" s="51"/>
      <c r="M7231" s="51"/>
      <c r="N7231" s="51"/>
      <c r="O7231" s="52"/>
      <c r="P7231" s="51"/>
      <c r="Q7231" s="51"/>
      <c r="R7231" s="51"/>
      <c r="S7231" s="51"/>
      <c r="T7231" s="51"/>
      <c r="AR7231" s="51"/>
      <c r="AS7231" s="51"/>
    </row>
    <row r="7232" spans="1:45" s="520" customFormat="1" ht="39.9" customHeight="1">
      <c r="A7232" s="51"/>
      <c r="B7232" s="51"/>
      <c r="C7232" s="51"/>
      <c r="D7232" s="1453" t="s">
        <v>992</v>
      </c>
      <c r="E7232" s="1452"/>
      <c r="F7232" s="1452"/>
      <c r="G7232" s="1452"/>
      <c r="H7232" s="1452"/>
      <c r="I7232" s="1452"/>
      <c r="J7232" s="1452"/>
      <c r="K7232" s="1452"/>
      <c r="L7232" s="1452"/>
      <c r="M7232" s="1452"/>
      <c r="N7232" s="1452"/>
      <c r="O7232" s="1452"/>
      <c r="P7232" s="1452"/>
      <c r="Q7232" s="1452"/>
      <c r="R7232" s="1452"/>
      <c r="S7232" s="1452"/>
      <c r="T7232" s="1452"/>
      <c r="AR7232" s="51"/>
    </row>
    <row r="7233" spans="1:45" s="3" customFormat="1" thickBot="1">
      <c r="A7233" s="531"/>
      <c r="O7233" s="107"/>
      <c r="AR7233" s="531"/>
    </row>
    <row r="7234" spans="1:45" s="520" customFormat="1" ht="12" thickTop="1">
      <c r="A7234" s="51"/>
      <c r="B7234" s="41"/>
      <c r="C7234" s="51"/>
      <c r="E7234" s="42" t="s">
        <v>138</v>
      </c>
      <c r="F7234" s="42" t="s">
        <v>139</v>
      </c>
      <c r="G7234" s="51"/>
      <c r="H7234" s="51"/>
      <c r="I7234" s="51"/>
      <c r="J7234" s="51"/>
      <c r="K7234" s="51" t="s">
        <v>140</v>
      </c>
      <c r="L7234" s="51"/>
      <c r="M7234" s="51"/>
      <c r="N7234" s="51"/>
      <c r="O7234" s="52"/>
      <c r="P7234" s="51"/>
      <c r="Q7234" s="51"/>
      <c r="R7234" s="51"/>
      <c r="S7234" s="51"/>
      <c r="T7234" s="41"/>
      <c r="AG7234" s="521" t="s">
        <v>268</v>
      </c>
      <c r="AH7234" s="521" t="s">
        <v>269</v>
      </c>
      <c r="AI7234" s="521" t="s">
        <v>270</v>
      </c>
      <c r="AJ7234" s="521" t="s">
        <v>271</v>
      </c>
      <c r="AK7234" s="521" t="s">
        <v>272</v>
      </c>
      <c r="AM7234" s="745" t="s">
        <v>281</v>
      </c>
      <c r="AN7234" s="746" t="s">
        <v>282</v>
      </c>
      <c r="AO7234" s="522" t="s">
        <v>278</v>
      </c>
      <c r="AR7234" s="51"/>
      <c r="AS7234" s="42" t="s">
        <v>139</v>
      </c>
    </row>
    <row r="7235" spans="1:45" s="520" customFormat="1" ht="12" customHeight="1">
      <c r="A7235" s="747">
        <v>2</v>
      </c>
      <c r="B7235" s="523" t="s">
        <v>329</v>
      </c>
      <c r="C7235" s="748"/>
      <c r="D7235" s="749" t="s">
        <v>3944</v>
      </c>
      <c r="E7235" s="1145">
        <f>IF(AND($A7235=0,$A$1="DIF"),0, ROUND(ROUND(($R7239*$S$3+($T7239*$T$3))/$A7235,2)*$C$3,2))</f>
        <v>64</v>
      </c>
      <c r="F7235" s="1146">
        <f>ROUND($A7235*$E7235,2)</f>
        <v>128</v>
      </c>
      <c r="G7235" s="752" t="s">
        <v>142</v>
      </c>
      <c r="H7235" s="753"/>
      <c r="I7235" s="754"/>
      <c r="J7235" s="753"/>
      <c r="K7235" s="753" t="s">
        <v>5</v>
      </c>
      <c r="L7235" s="755" t="s">
        <v>143</v>
      </c>
      <c r="M7235" s="755"/>
      <c r="N7235" s="755"/>
      <c r="O7235" s="755"/>
      <c r="P7235" s="755"/>
      <c r="Q7235" s="51"/>
      <c r="T7235" s="1150" t="str">
        <f>IF(AND($R7239=0,$T7239=0),"0.00","mu: "&amp; ROUND(F7235/$C$3/($R7239+$T7239*$D$9),2))</f>
        <v>mu: 1.13</v>
      </c>
      <c r="W7235" s="524"/>
      <c r="AG7235" s="1147">
        <f>IF($E7235=0,0,ROUND($R7239*$S$3*$C$3/$A7235,2))</f>
        <v>64</v>
      </c>
      <c r="AH7235" s="1147">
        <f>$AG7235*$A7235</f>
        <v>128</v>
      </c>
      <c r="AI7235" s="1148">
        <f>$E7235-$AG7235</f>
        <v>0</v>
      </c>
      <c r="AJ7235" s="1148">
        <f>$A7235*$AI7235</f>
        <v>0</v>
      </c>
      <c r="AK7235" s="1149">
        <f>ROUND(($AG7235+$AI7235)*$A7235,2)</f>
        <v>128</v>
      </c>
      <c r="AM7235" s="527">
        <f>ROUND(R7239,2)</f>
        <v>113.4</v>
      </c>
      <c r="AN7235" s="528">
        <f>ROUND(T7239,2)</f>
        <v>0</v>
      </c>
      <c r="AO7235" s="529">
        <f>ROUND(AM7235+AN7235,2)*A7235</f>
        <v>226.8</v>
      </c>
      <c r="AR7235" s="747">
        <v>2</v>
      </c>
      <c r="AS7235" s="1146">
        <v>203.74</v>
      </c>
    </row>
    <row r="7236" spans="1:45" s="520" customFormat="1" ht="13.2">
      <c r="A7236" s="748"/>
      <c r="B7236"/>
      <c r="C7236" s="748"/>
      <c r="D7236" s="749" t="s">
        <v>949</v>
      </c>
      <c r="F7236" s="753"/>
      <c r="G7236" s="3"/>
      <c r="H7236" s="753"/>
      <c r="I7236" s="754"/>
      <c r="J7236" s="753"/>
      <c r="K7236" s="753" t="s">
        <v>144</v>
      </c>
      <c r="L7236" s="753"/>
      <c r="M7236" s="753"/>
      <c r="N7236" s="753"/>
      <c r="O7236" s="753"/>
      <c r="P7236" s="753"/>
      <c r="Q7236" s="51"/>
      <c r="R7236" s="530"/>
      <c r="S7236" s="757"/>
      <c r="T7236" s="753"/>
      <c r="AR7236" s="748"/>
      <c r="AS7236" s="753"/>
    </row>
    <row r="7237" spans="1:45" s="901" customFormat="1" ht="13.2">
      <c r="A7237" s="903">
        <v>2</v>
      </c>
      <c r="B7237" s="904" t="s">
        <v>863</v>
      </c>
      <c r="C7237" s="904"/>
      <c r="D7237" s="904" t="s">
        <v>2594</v>
      </c>
      <c r="E7237" s="904"/>
      <c r="F7237" s="904" t="s">
        <v>4139</v>
      </c>
      <c r="G7237" s="905" t="s">
        <v>2595</v>
      </c>
      <c r="H7237" s="902">
        <v>960</v>
      </c>
      <c r="I7237" s="904" t="s">
        <v>2596</v>
      </c>
      <c r="J7237" s="904"/>
      <c r="K7237" s="904"/>
      <c r="L7237" s="904"/>
      <c r="M7237" s="904"/>
      <c r="N7237" s="904"/>
      <c r="O7237" s="902">
        <v>4</v>
      </c>
      <c r="P7237" s="906">
        <v>38274</v>
      </c>
      <c r="Q7237" s="1415">
        <f>1.05*60*0.9</f>
        <v>56.7</v>
      </c>
      <c r="R7237" s="908">
        <f>$A7237*Q7237</f>
        <v>113.4</v>
      </c>
      <c r="S7237" s="907"/>
      <c r="T7237" s="909">
        <f>$A7237*S7237*$T$1</f>
        <v>0</v>
      </c>
      <c r="AR7237" s="903">
        <v>2</v>
      </c>
      <c r="AS7237" s="904" t="s">
        <v>3507</v>
      </c>
    </row>
    <row r="7238" spans="1:45" s="520" customFormat="1" ht="12">
      <c r="A7238" s="758"/>
      <c r="B7238" s="758"/>
      <c r="C7238" s="758"/>
      <c r="D7238" s="758"/>
      <c r="E7238" s="758"/>
      <c r="F7238" s="753"/>
      <c r="G7238" s="758"/>
      <c r="H7238" s="758"/>
      <c r="I7238" s="519"/>
      <c r="J7238" s="758"/>
      <c r="K7238" s="758"/>
      <c r="L7238" s="758"/>
      <c r="M7238" s="758"/>
      <c r="N7238" s="758"/>
      <c r="O7238" s="758"/>
      <c r="P7238" s="758"/>
      <c r="Q7238" s="519"/>
      <c r="R7238" s="759">
        <f t="shared" ref="R7238" si="630">$A7238*Q7238</f>
        <v>0</v>
      </c>
      <c r="S7238" s="519"/>
      <c r="T7238" s="760">
        <f t="shared" ref="T7238" si="631">$A7238*S7238*$T$1</f>
        <v>0</v>
      </c>
      <c r="AR7238" s="758"/>
      <c r="AS7238" s="753"/>
    </row>
    <row r="7239" spans="1:45" s="520" customFormat="1" ht="12.6" thickBot="1">
      <c r="A7239" s="761" t="s">
        <v>145</v>
      </c>
      <c r="B7239" s="762">
        <f>(R7238+T7238)</f>
        <v>0</v>
      </c>
      <c r="C7239" s="763"/>
      <c r="D7239" s="763"/>
      <c r="E7239" s="763"/>
      <c r="F7239" s="764"/>
      <c r="G7239" s="763" t="s">
        <v>146</v>
      </c>
      <c r="H7239" s="763"/>
      <c r="I7239" s="765"/>
      <c r="J7239" s="763"/>
      <c r="K7239" s="763" t="s">
        <v>5</v>
      </c>
      <c r="L7239" s="766" t="s">
        <v>143</v>
      </c>
      <c r="M7239" s="766"/>
      <c r="N7239" s="766"/>
      <c r="O7239" s="766"/>
      <c r="P7239" s="766"/>
      <c r="Q7239" s="767"/>
      <c r="R7239" s="768">
        <f>SUM(R7236:R7238)</f>
        <v>113.4</v>
      </c>
      <c r="S7239" s="763"/>
      <c r="T7239" s="768">
        <f>SUM(T7236:T7238)</f>
        <v>0</v>
      </c>
      <c r="U7239" s="531"/>
      <c r="V7239" s="531"/>
      <c r="W7239" s="531"/>
      <c r="X7239" s="531"/>
      <c r="Y7239" s="531"/>
      <c r="Z7239" s="531"/>
      <c r="AA7239" s="531"/>
      <c r="AB7239" s="531"/>
      <c r="AC7239" s="531"/>
      <c r="AD7239" s="531"/>
      <c r="AE7239" s="531"/>
      <c r="AF7239" s="531"/>
      <c r="AG7239" s="531"/>
      <c r="AH7239" s="531"/>
      <c r="AI7239" s="531"/>
      <c r="AJ7239" s="531"/>
      <c r="AK7239" s="531"/>
      <c r="AL7239" s="531"/>
      <c r="AM7239" s="531"/>
      <c r="AN7239" s="531"/>
      <c r="AO7239" s="531"/>
      <c r="AR7239" s="761" t="s">
        <v>145</v>
      </c>
      <c r="AS7239" s="764"/>
    </row>
    <row r="7240" spans="1:45" s="520" customFormat="1" ht="12" thickTop="1">
      <c r="A7240" s="51"/>
      <c r="B7240" s="41"/>
      <c r="C7240" s="51"/>
      <c r="E7240" s="42" t="s">
        <v>138</v>
      </c>
      <c r="F7240" s="42" t="s">
        <v>139</v>
      </c>
      <c r="G7240" s="51"/>
      <c r="H7240" s="51"/>
      <c r="I7240" s="51"/>
      <c r="J7240" s="51"/>
      <c r="K7240" s="51" t="s">
        <v>140</v>
      </c>
      <c r="L7240" s="51"/>
      <c r="M7240" s="51"/>
      <c r="N7240" s="51"/>
      <c r="O7240" s="52"/>
      <c r="P7240" s="51"/>
      <c r="Q7240" s="51"/>
      <c r="R7240" s="51"/>
      <c r="S7240" s="51"/>
      <c r="T7240" s="41"/>
      <c r="AG7240" s="521" t="s">
        <v>268</v>
      </c>
      <c r="AH7240" s="521" t="s">
        <v>269</v>
      </c>
      <c r="AI7240" s="521" t="s">
        <v>270</v>
      </c>
      <c r="AJ7240" s="521" t="s">
        <v>271</v>
      </c>
      <c r="AK7240" s="521" t="s">
        <v>272</v>
      </c>
      <c r="AM7240" s="745" t="s">
        <v>281</v>
      </c>
      <c r="AN7240" s="746" t="s">
        <v>282</v>
      </c>
      <c r="AO7240" s="522" t="s">
        <v>278</v>
      </c>
      <c r="AR7240" s="51"/>
      <c r="AS7240" s="42" t="s">
        <v>139</v>
      </c>
    </row>
    <row r="7241" spans="1:45" s="520" customFormat="1" ht="12" customHeight="1">
      <c r="A7241" s="747">
        <v>1</v>
      </c>
      <c r="B7241" s="523" t="s">
        <v>329</v>
      </c>
      <c r="C7241" s="748"/>
      <c r="D7241" s="749" t="s">
        <v>3945</v>
      </c>
      <c r="E7241" s="1145">
        <f>IF(AND($A7241=0,$A$1="DIF"),0, ROUND(ROUND(($R7245*$S$3+($T7245*$T$3))/$A7241,2)*$C$3,2))</f>
        <v>64</v>
      </c>
      <c r="F7241" s="1146">
        <f>ROUND($A7241*$E7241,2)</f>
        <v>64</v>
      </c>
      <c r="G7241" s="752" t="s">
        <v>142</v>
      </c>
      <c r="H7241" s="753"/>
      <c r="I7241" s="754"/>
      <c r="J7241" s="753"/>
      <c r="K7241" s="753" t="s">
        <v>5</v>
      </c>
      <c r="L7241" s="755" t="s">
        <v>143</v>
      </c>
      <c r="M7241" s="755"/>
      <c r="N7241" s="755"/>
      <c r="O7241" s="755"/>
      <c r="P7241" s="755"/>
      <c r="Q7241" s="51"/>
      <c r="T7241" s="1150" t="str">
        <f>IF(AND($R7245=0,$T7245=0),"0.00","mu: "&amp; ROUND(F7241/$C$3/($R7245+$T7245*$D$9),2))</f>
        <v>mu: 1.13</v>
      </c>
      <c r="W7241" s="524"/>
      <c r="AG7241" s="1147">
        <f>IF($E7241=0,0,ROUND($R7245*$S$3*$C$3/$A7241,2))</f>
        <v>64</v>
      </c>
      <c r="AH7241" s="1147">
        <f>$AG7241*$A7241</f>
        <v>64</v>
      </c>
      <c r="AI7241" s="1148">
        <f>$E7241-$AG7241</f>
        <v>0</v>
      </c>
      <c r="AJ7241" s="1148">
        <f>$A7241*$AI7241</f>
        <v>0</v>
      </c>
      <c r="AK7241" s="1149">
        <f>ROUND(($AG7241+$AI7241)*$A7241,2)</f>
        <v>64</v>
      </c>
      <c r="AM7241" s="527">
        <f>ROUND(R7245,2)</f>
        <v>56.7</v>
      </c>
      <c r="AN7241" s="528">
        <f>ROUND(T7245,2)</f>
        <v>0</v>
      </c>
      <c r="AO7241" s="529">
        <f>ROUND(AM7241+AN7241,2)*A7241</f>
        <v>56.7</v>
      </c>
      <c r="AR7241" s="747">
        <v>1</v>
      </c>
      <c r="AS7241" s="1146">
        <v>101.87</v>
      </c>
    </row>
    <row r="7242" spans="1:45" s="520" customFormat="1" ht="13.2">
      <c r="A7242" s="748"/>
      <c r="B7242"/>
      <c r="C7242" s="748"/>
      <c r="D7242" s="749" t="s">
        <v>950</v>
      </c>
      <c r="F7242" s="753"/>
      <c r="G7242" s="3"/>
      <c r="H7242" s="753"/>
      <c r="I7242" s="754"/>
      <c r="J7242" s="753"/>
      <c r="K7242" s="753" t="s">
        <v>144</v>
      </c>
      <c r="L7242" s="753"/>
      <c r="M7242" s="753"/>
      <c r="N7242" s="753"/>
      <c r="O7242" s="753"/>
      <c r="P7242" s="753"/>
      <c r="Q7242" s="51"/>
      <c r="R7242" s="530"/>
      <c r="S7242" s="757"/>
      <c r="T7242" s="753"/>
      <c r="AR7242" s="748"/>
      <c r="AS7242" s="753"/>
    </row>
    <row r="7243" spans="1:45" s="901" customFormat="1" ht="13.2">
      <c r="A7243" s="903">
        <v>1</v>
      </c>
      <c r="B7243" s="904" t="s">
        <v>863</v>
      </c>
      <c r="C7243" s="904"/>
      <c r="D7243" s="904" t="s">
        <v>2594</v>
      </c>
      <c r="E7243" s="904"/>
      <c r="F7243" s="904" t="s">
        <v>4139</v>
      </c>
      <c r="G7243" s="905" t="s">
        <v>2595</v>
      </c>
      <c r="H7243" s="902">
        <v>960</v>
      </c>
      <c r="I7243" s="904" t="s">
        <v>2596</v>
      </c>
      <c r="J7243" s="904"/>
      <c r="K7243" s="904"/>
      <c r="L7243" s="904"/>
      <c r="M7243" s="904"/>
      <c r="N7243" s="904"/>
      <c r="O7243" s="902">
        <v>4</v>
      </c>
      <c r="P7243" s="906">
        <v>38274</v>
      </c>
      <c r="Q7243" s="1415">
        <f>1.05*60*0.9</f>
        <v>56.7</v>
      </c>
      <c r="R7243" s="908">
        <f>$A7243*Q7243</f>
        <v>56.7</v>
      </c>
      <c r="S7243" s="907"/>
      <c r="T7243" s="909">
        <f>$A7243*S7243*$T$1</f>
        <v>0</v>
      </c>
      <c r="AR7243" s="903">
        <v>1</v>
      </c>
      <c r="AS7243" s="904" t="s">
        <v>3507</v>
      </c>
    </row>
    <row r="7244" spans="1:45" s="520" customFormat="1" ht="12">
      <c r="A7244" s="758"/>
      <c r="B7244" s="758"/>
      <c r="C7244" s="758"/>
      <c r="D7244" s="758"/>
      <c r="E7244" s="758"/>
      <c r="F7244" s="753"/>
      <c r="G7244" s="758"/>
      <c r="H7244" s="758"/>
      <c r="I7244" s="519"/>
      <c r="J7244" s="758"/>
      <c r="K7244" s="758"/>
      <c r="L7244" s="758"/>
      <c r="M7244" s="758"/>
      <c r="N7244" s="758"/>
      <c r="O7244" s="758"/>
      <c r="P7244" s="758"/>
      <c r="Q7244" s="519"/>
      <c r="R7244" s="759">
        <f t="shared" ref="R7244" si="632">$A7244*Q7244</f>
        <v>0</v>
      </c>
      <c r="S7244" s="519"/>
      <c r="T7244" s="760">
        <f t="shared" ref="T7244" si="633">$A7244*S7244*$T$1</f>
        <v>0</v>
      </c>
      <c r="AR7244" s="758"/>
      <c r="AS7244" s="753"/>
    </row>
    <row r="7245" spans="1:45" s="520" customFormat="1" ht="12.6" thickBot="1">
      <c r="A7245" s="761" t="s">
        <v>145</v>
      </c>
      <c r="B7245" s="762">
        <f>(R7244+T7244)</f>
        <v>0</v>
      </c>
      <c r="C7245" s="763"/>
      <c r="D7245" s="763"/>
      <c r="E7245" s="763"/>
      <c r="F7245" s="764"/>
      <c r="G7245" s="763" t="s">
        <v>146</v>
      </c>
      <c r="H7245" s="763"/>
      <c r="I7245" s="765"/>
      <c r="J7245" s="763"/>
      <c r="K7245" s="763" t="s">
        <v>5</v>
      </c>
      <c r="L7245" s="766" t="s">
        <v>143</v>
      </c>
      <c r="M7245" s="766"/>
      <c r="N7245" s="766"/>
      <c r="O7245" s="766"/>
      <c r="P7245" s="766"/>
      <c r="Q7245" s="767"/>
      <c r="R7245" s="768">
        <f>SUM(R7242:R7244)</f>
        <v>56.7</v>
      </c>
      <c r="S7245" s="763"/>
      <c r="T7245" s="768">
        <f>SUM(T7242:T7244)</f>
        <v>0</v>
      </c>
      <c r="U7245" s="531"/>
      <c r="V7245" s="531"/>
      <c r="W7245" s="531"/>
      <c r="X7245" s="531"/>
      <c r="Y7245" s="531"/>
      <c r="Z7245" s="531"/>
      <c r="AA7245" s="531"/>
      <c r="AB7245" s="531"/>
      <c r="AC7245" s="531"/>
      <c r="AD7245" s="531"/>
      <c r="AE7245" s="531"/>
      <c r="AF7245" s="531"/>
      <c r="AG7245" s="531"/>
      <c r="AH7245" s="531"/>
      <c r="AI7245" s="531"/>
      <c r="AJ7245" s="531"/>
      <c r="AK7245" s="531"/>
      <c r="AL7245" s="531"/>
      <c r="AM7245" s="531"/>
      <c r="AN7245" s="531"/>
      <c r="AO7245" s="531"/>
      <c r="AR7245" s="761" t="s">
        <v>145</v>
      </c>
      <c r="AS7245" s="764"/>
    </row>
    <row r="7246" spans="1:45" s="520" customFormat="1" ht="12" thickTop="1">
      <c r="A7246" s="51"/>
      <c r="B7246" s="41"/>
      <c r="C7246" s="51"/>
      <c r="E7246" s="42" t="s">
        <v>138</v>
      </c>
      <c r="F7246" s="42" t="s">
        <v>139</v>
      </c>
      <c r="G7246" s="51"/>
      <c r="H7246" s="51"/>
      <c r="I7246" s="51"/>
      <c r="J7246" s="51"/>
      <c r="K7246" s="51" t="s">
        <v>140</v>
      </c>
      <c r="L7246" s="51"/>
      <c r="M7246" s="51"/>
      <c r="N7246" s="51"/>
      <c r="O7246" s="52"/>
      <c r="P7246" s="51"/>
      <c r="Q7246" s="51"/>
      <c r="R7246" s="51"/>
      <c r="S7246" s="51"/>
      <c r="T7246" s="41"/>
      <c r="AG7246" s="521" t="s">
        <v>268</v>
      </c>
      <c r="AH7246" s="521" t="s">
        <v>269</v>
      </c>
      <c r="AI7246" s="521" t="s">
        <v>270</v>
      </c>
      <c r="AJ7246" s="521" t="s">
        <v>271</v>
      </c>
      <c r="AK7246" s="521" t="s">
        <v>272</v>
      </c>
      <c r="AM7246" s="745" t="s">
        <v>281</v>
      </c>
      <c r="AN7246" s="746" t="s">
        <v>282</v>
      </c>
      <c r="AO7246" s="522" t="s">
        <v>278</v>
      </c>
      <c r="AR7246" s="51"/>
      <c r="AS7246" s="42" t="s">
        <v>139</v>
      </c>
    </row>
    <row r="7247" spans="1:45" s="520" customFormat="1" ht="12" customHeight="1">
      <c r="A7247" s="747">
        <v>1</v>
      </c>
      <c r="B7247" s="523" t="s">
        <v>329</v>
      </c>
      <c r="C7247" s="748"/>
      <c r="D7247" s="749" t="s">
        <v>3946</v>
      </c>
      <c r="E7247" s="1145">
        <f>IF(AND($A7247=0,$A$1="DIF"),0, ROUND(ROUND(($R7251*$S$3+($T7251*$T$3))/$A7247,2)*$C$3,2))</f>
        <v>64</v>
      </c>
      <c r="F7247" s="1146">
        <f>ROUND($A7247*$E7247,2)</f>
        <v>64</v>
      </c>
      <c r="G7247" s="752" t="s">
        <v>142</v>
      </c>
      <c r="H7247" s="753"/>
      <c r="I7247" s="754"/>
      <c r="J7247" s="753"/>
      <c r="K7247" s="753" t="s">
        <v>5</v>
      </c>
      <c r="L7247" s="755" t="s">
        <v>143</v>
      </c>
      <c r="M7247" s="755"/>
      <c r="N7247" s="755"/>
      <c r="O7247" s="755"/>
      <c r="P7247" s="755"/>
      <c r="Q7247" s="51"/>
      <c r="T7247" s="1150" t="str">
        <f>IF(AND($R7251=0,$T7251=0),"0.00","mu: "&amp; ROUND(F7247/$C$3/($R7251+$T7251*$D$9),2))</f>
        <v>mu: 1.13</v>
      </c>
      <c r="W7247" s="524"/>
      <c r="AG7247" s="1147">
        <f>IF($E7247=0,0,ROUND($R7251*$S$3*$C$3/$A7247,2))</f>
        <v>64</v>
      </c>
      <c r="AH7247" s="1147">
        <f>$AG7247*$A7247</f>
        <v>64</v>
      </c>
      <c r="AI7247" s="1148">
        <f>$E7247-$AG7247</f>
        <v>0</v>
      </c>
      <c r="AJ7247" s="1148">
        <f>$A7247*$AI7247</f>
        <v>0</v>
      </c>
      <c r="AK7247" s="1149">
        <f>ROUND(($AG7247+$AI7247)*$A7247,2)</f>
        <v>64</v>
      </c>
      <c r="AM7247" s="527">
        <f>ROUND(R7251,2)</f>
        <v>56.7</v>
      </c>
      <c r="AN7247" s="528">
        <f>ROUND(T7251,2)</f>
        <v>0</v>
      </c>
      <c r="AO7247" s="529">
        <f>ROUND(AM7247+AN7247,2)*A7247</f>
        <v>56.7</v>
      </c>
      <c r="AR7247" s="747">
        <v>1</v>
      </c>
      <c r="AS7247" s="1146">
        <v>101.87</v>
      </c>
    </row>
    <row r="7248" spans="1:45" s="520" customFormat="1" ht="13.2">
      <c r="A7248" s="748"/>
      <c r="B7248"/>
      <c r="C7248" s="748"/>
      <c r="D7248" s="749" t="s">
        <v>970</v>
      </c>
      <c r="F7248" s="753"/>
      <c r="G7248" s="3"/>
      <c r="H7248" s="753"/>
      <c r="I7248" s="754"/>
      <c r="J7248" s="753"/>
      <c r="K7248" s="753" t="s">
        <v>144</v>
      </c>
      <c r="L7248" s="753"/>
      <c r="M7248" s="753"/>
      <c r="N7248" s="753"/>
      <c r="O7248" s="753"/>
      <c r="P7248" s="753"/>
      <c r="Q7248" s="51"/>
      <c r="R7248" s="530"/>
      <c r="S7248" s="757"/>
      <c r="T7248" s="753"/>
      <c r="AR7248" s="748"/>
      <c r="AS7248" s="753"/>
    </row>
    <row r="7249" spans="1:45" s="901" customFormat="1" ht="13.2">
      <c r="A7249" s="903">
        <v>1</v>
      </c>
      <c r="B7249" s="904" t="s">
        <v>863</v>
      </c>
      <c r="C7249" s="904"/>
      <c r="D7249" s="904" t="s">
        <v>2594</v>
      </c>
      <c r="E7249" s="904"/>
      <c r="F7249" s="904" t="s">
        <v>4139</v>
      </c>
      <c r="G7249" s="905" t="s">
        <v>2595</v>
      </c>
      <c r="H7249" s="902">
        <v>960</v>
      </c>
      <c r="I7249" s="904" t="s">
        <v>2596</v>
      </c>
      <c r="J7249" s="904"/>
      <c r="K7249" s="904"/>
      <c r="L7249" s="904"/>
      <c r="M7249" s="904"/>
      <c r="N7249" s="904"/>
      <c r="O7249" s="902">
        <v>4</v>
      </c>
      <c r="P7249" s="906">
        <v>38274</v>
      </c>
      <c r="Q7249" s="1415">
        <f>1.05*60*0.9</f>
        <v>56.7</v>
      </c>
      <c r="R7249" s="908">
        <f>$A7249*Q7249</f>
        <v>56.7</v>
      </c>
      <c r="S7249" s="907"/>
      <c r="T7249" s="909">
        <f>$A7249*S7249*$T$1</f>
        <v>0</v>
      </c>
      <c r="AR7249" s="903">
        <v>1</v>
      </c>
      <c r="AS7249" s="904" t="s">
        <v>3507</v>
      </c>
    </row>
    <row r="7250" spans="1:45" s="520" customFormat="1" ht="12">
      <c r="A7250" s="758"/>
      <c r="B7250" s="758"/>
      <c r="C7250" s="758"/>
      <c r="D7250" s="758"/>
      <c r="E7250" s="758"/>
      <c r="F7250" s="753"/>
      <c r="G7250" s="758"/>
      <c r="H7250" s="758"/>
      <c r="I7250" s="519"/>
      <c r="J7250" s="758"/>
      <c r="K7250" s="758"/>
      <c r="L7250" s="758"/>
      <c r="M7250" s="758"/>
      <c r="N7250" s="758"/>
      <c r="O7250" s="758"/>
      <c r="P7250" s="758"/>
      <c r="Q7250" s="519"/>
      <c r="R7250" s="759">
        <f t="shared" ref="R7250" si="634">$A7250*Q7250</f>
        <v>0</v>
      </c>
      <c r="S7250" s="519"/>
      <c r="T7250" s="760">
        <f t="shared" ref="T7250" si="635">$A7250*S7250*$T$1</f>
        <v>0</v>
      </c>
      <c r="AR7250" s="758"/>
      <c r="AS7250" s="753"/>
    </row>
    <row r="7251" spans="1:45" s="520" customFormat="1" ht="12.6" thickBot="1">
      <c r="A7251" s="761" t="s">
        <v>145</v>
      </c>
      <c r="B7251" s="762">
        <f>(R7250+T7250)</f>
        <v>0</v>
      </c>
      <c r="C7251" s="763"/>
      <c r="D7251" s="763"/>
      <c r="E7251" s="763"/>
      <c r="F7251" s="764"/>
      <c r="G7251" s="763" t="s">
        <v>146</v>
      </c>
      <c r="H7251" s="763"/>
      <c r="I7251" s="765"/>
      <c r="J7251" s="763"/>
      <c r="K7251" s="763" t="s">
        <v>5</v>
      </c>
      <c r="L7251" s="766" t="s">
        <v>143</v>
      </c>
      <c r="M7251" s="766"/>
      <c r="N7251" s="766"/>
      <c r="O7251" s="766"/>
      <c r="P7251" s="766"/>
      <c r="Q7251" s="767"/>
      <c r="R7251" s="768">
        <f>SUM(R7248:R7250)</f>
        <v>56.7</v>
      </c>
      <c r="S7251" s="763"/>
      <c r="T7251" s="768">
        <f>SUM(T7248:T7250)</f>
        <v>0</v>
      </c>
      <c r="U7251" s="531"/>
      <c r="V7251" s="531"/>
      <c r="W7251" s="531"/>
      <c r="X7251" s="531"/>
      <c r="Y7251" s="531"/>
      <c r="Z7251" s="531"/>
      <c r="AA7251" s="531"/>
      <c r="AB7251" s="531"/>
      <c r="AC7251" s="531"/>
      <c r="AD7251" s="531"/>
      <c r="AE7251" s="531"/>
      <c r="AF7251" s="531"/>
      <c r="AG7251" s="531"/>
      <c r="AH7251" s="531"/>
      <c r="AI7251" s="531"/>
      <c r="AJ7251" s="531"/>
      <c r="AK7251" s="531"/>
      <c r="AL7251" s="531"/>
      <c r="AM7251" s="531"/>
      <c r="AN7251" s="531"/>
      <c r="AO7251" s="531"/>
      <c r="AR7251" s="761" t="s">
        <v>145</v>
      </c>
      <c r="AS7251" s="764"/>
    </row>
    <row r="7252" spans="1:45" s="520" customFormat="1" ht="12" thickTop="1">
      <c r="A7252" s="51"/>
      <c r="B7252" s="41"/>
      <c r="C7252" s="51"/>
      <c r="E7252" s="42" t="s">
        <v>138</v>
      </c>
      <c r="F7252" s="42" t="s">
        <v>139</v>
      </c>
      <c r="G7252" s="51"/>
      <c r="H7252" s="51"/>
      <c r="I7252" s="51"/>
      <c r="J7252" s="51"/>
      <c r="K7252" s="51" t="s">
        <v>140</v>
      </c>
      <c r="L7252" s="51"/>
      <c r="M7252" s="51"/>
      <c r="N7252" s="51"/>
      <c r="O7252" s="52"/>
      <c r="P7252" s="51"/>
      <c r="Q7252" s="51"/>
      <c r="R7252" s="51"/>
      <c r="S7252" s="51"/>
      <c r="T7252" s="41"/>
      <c r="AG7252" s="521" t="s">
        <v>268</v>
      </c>
      <c r="AH7252" s="521" t="s">
        <v>269</v>
      </c>
      <c r="AI7252" s="521" t="s">
        <v>270</v>
      </c>
      <c r="AJ7252" s="521" t="s">
        <v>271</v>
      </c>
      <c r="AK7252" s="521" t="s">
        <v>272</v>
      </c>
      <c r="AM7252" s="745" t="s">
        <v>281</v>
      </c>
      <c r="AN7252" s="746" t="s">
        <v>282</v>
      </c>
      <c r="AO7252" s="522" t="s">
        <v>278</v>
      </c>
      <c r="AR7252" s="51"/>
      <c r="AS7252" s="42" t="s">
        <v>139</v>
      </c>
    </row>
    <row r="7253" spans="1:45" s="520" customFormat="1" ht="12" customHeight="1">
      <c r="A7253" s="747">
        <v>1</v>
      </c>
      <c r="B7253" s="523" t="s">
        <v>329</v>
      </c>
      <c r="C7253" s="748"/>
      <c r="D7253" s="749" t="s">
        <v>3947</v>
      </c>
      <c r="E7253" s="1145">
        <f>IF(AND($A7253=0,$A$1="DIF"),0, ROUND(ROUND(($R7257*$S$3+($T7257*$T$3))/$A7253,2)*$C$3,2))</f>
        <v>64</v>
      </c>
      <c r="F7253" s="1146">
        <f>ROUND($A7253*$E7253,2)</f>
        <v>64</v>
      </c>
      <c r="G7253" s="752" t="s">
        <v>142</v>
      </c>
      <c r="H7253" s="753"/>
      <c r="I7253" s="754"/>
      <c r="J7253" s="753"/>
      <c r="K7253" s="753" t="s">
        <v>5</v>
      </c>
      <c r="L7253" s="755" t="s">
        <v>143</v>
      </c>
      <c r="M7253" s="755"/>
      <c r="N7253" s="755"/>
      <c r="O7253" s="755"/>
      <c r="P7253" s="755"/>
      <c r="Q7253" s="51"/>
      <c r="T7253" s="1150" t="str">
        <f>IF(AND($R7257=0,$T7257=0),"0.00","mu: "&amp; ROUND(F7253/$C$3/($R7257+$T7257*$D$9),2))</f>
        <v>mu: 1.13</v>
      </c>
      <c r="W7253" s="524"/>
      <c r="AG7253" s="1147">
        <f>IF($E7253=0,0,ROUND($R7257*$S$3*$C$3/$A7253,2))</f>
        <v>64</v>
      </c>
      <c r="AH7253" s="1147">
        <f>$AG7253*$A7253</f>
        <v>64</v>
      </c>
      <c r="AI7253" s="1148">
        <f>$E7253-$AG7253</f>
        <v>0</v>
      </c>
      <c r="AJ7253" s="1148">
        <f>$A7253*$AI7253</f>
        <v>0</v>
      </c>
      <c r="AK7253" s="1149">
        <f>ROUND(($AG7253+$AI7253)*$A7253,2)</f>
        <v>64</v>
      </c>
      <c r="AM7253" s="527">
        <f>ROUND(R7257,2)</f>
        <v>56.7</v>
      </c>
      <c r="AN7253" s="528">
        <f>ROUND(T7257,2)</f>
        <v>0</v>
      </c>
      <c r="AO7253" s="529">
        <f>ROUND(AM7253+AN7253,2)*A7253</f>
        <v>56.7</v>
      </c>
      <c r="AR7253" s="747">
        <v>1</v>
      </c>
      <c r="AS7253" s="1146">
        <v>101.87</v>
      </c>
    </row>
    <row r="7254" spans="1:45" s="520" customFormat="1" ht="13.2">
      <c r="A7254" s="748"/>
      <c r="B7254"/>
      <c r="C7254" s="748"/>
      <c r="D7254" s="749" t="s">
        <v>971</v>
      </c>
      <c r="F7254" s="753"/>
      <c r="G7254" s="3"/>
      <c r="H7254" s="753"/>
      <c r="I7254" s="754"/>
      <c r="J7254" s="753"/>
      <c r="K7254" s="753" t="s">
        <v>144</v>
      </c>
      <c r="L7254" s="753"/>
      <c r="M7254" s="753"/>
      <c r="N7254" s="753"/>
      <c r="O7254" s="753"/>
      <c r="P7254" s="753"/>
      <c r="Q7254" s="51"/>
      <c r="R7254" s="530"/>
      <c r="S7254" s="757"/>
      <c r="T7254" s="753"/>
      <c r="AR7254" s="748"/>
      <c r="AS7254" s="753"/>
    </row>
    <row r="7255" spans="1:45" s="901" customFormat="1" ht="13.2">
      <c r="A7255" s="903">
        <v>1</v>
      </c>
      <c r="B7255" s="904" t="s">
        <v>863</v>
      </c>
      <c r="C7255" s="904"/>
      <c r="D7255" s="904" t="s">
        <v>2594</v>
      </c>
      <c r="E7255" s="904"/>
      <c r="F7255" s="904" t="s">
        <v>4139</v>
      </c>
      <c r="G7255" s="905" t="s">
        <v>2595</v>
      </c>
      <c r="H7255" s="902">
        <v>960</v>
      </c>
      <c r="I7255" s="904" t="s">
        <v>2596</v>
      </c>
      <c r="J7255" s="904"/>
      <c r="K7255" s="904"/>
      <c r="L7255" s="904"/>
      <c r="M7255" s="904"/>
      <c r="N7255" s="904"/>
      <c r="O7255" s="902">
        <v>4</v>
      </c>
      <c r="P7255" s="906">
        <v>38274</v>
      </c>
      <c r="Q7255" s="1415">
        <f>1.05*60*0.9</f>
        <v>56.7</v>
      </c>
      <c r="R7255" s="908">
        <f>$A7255*Q7255</f>
        <v>56.7</v>
      </c>
      <c r="S7255" s="907"/>
      <c r="T7255" s="909">
        <f>$A7255*S7255*$T$1</f>
        <v>0</v>
      </c>
      <c r="AR7255" s="903">
        <v>1</v>
      </c>
      <c r="AS7255" s="904" t="s">
        <v>3507</v>
      </c>
    </row>
    <row r="7256" spans="1:45" s="520" customFormat="1" ht="12">
      <c r="A7256" s="758"/>
      <c r="B7256" s="758"/>
      <c r="C7256" s="758"/>
      <c r="D7256" s="758"/>
      <c r="E7256" s="758"/>
      <c r="F7256" s="753"/>
      <c r="G7256" s="758"/>
      <c r="H7256" s="758"/>
      <c r="I7256" s="519"/>
      <c r="J7256" s="758"/>
      <c r="K7256" s="758"/>
      <c r="L7256" s="758"/>
      <c r="M7256" s="758"/>
      <c r="N7256" s="758"/>
      <c r="O7256" s="758"/>
      <c r="P7256" s="758"/>
      <c r="Q7256" s="519"/>
      <c r="R7256" s="759">
        <f t="shared" ref="R7256" si="636">$A7256*Q7256</f>
        <v>0</v>
      </c>
      <c r="S7256" s="519"/>
      <c r="T7256" s="760">
        <f t="shared" ref="T7256" si="637">$A7256*S7256*$T$1</f>
        <v>0</v>
      </c>
      <c r="AR7256" s="758"/>
      <c r="AS7256" s="753"/>
    </row>
    <row r="7257" spans="1:45" s="520" customFormat="1" ht="12.6" thickBot="1">
      <c r="A7257" s="761" t="s">
        <v>145</v>
      </c>
      <c r="B7257" s="762">
        <f>(R7256+T7256)</f>
        <v>0</v>
      </c>
      <c r="C7257" s="763"/>
      <c r="D7257" s="763"/>
      <c r="E7257" s="763"/>
      <c r="F7257" s="764"/>
      <c r="G7257" s="763" t="s">
        <v>146</v>
      </c>
      <c r="H7257" s="763"/>
      <c r="I7257" s="765"/>
      <c r="J7257" s="763"/>
      <c r="K7257" s="763" t="s">
        <v>5</v>
      </c>
      <c r="L7257" s="766" t="s">
        <v>143</v>
      </c>
      <c r="M7257" s="766"/>
      <c r="N7257" s="766"/>
      <c r="O7257" s="766"/>
      <c r="P7257" s="766"/>
      <c r="Q7257" s="767"/>
      <c r="R7257" s="768">
        <f>SUM(R7254:R7256)</f>
        <v>56.7</v>
      </c>
      <c r="S7257" s="763"/>
      <c r="T7257" s="768">
        <f>SUM(T7254:T7256)</f>
        <v>0</v>
      </c>
      <c r="U7257" s="531"/>
      <c r="V7257" s="531"/>
      <c r="W7257" s="531"/>
      <c r="X7257" s="531"/>
      <c r="Y7257" s="531"/>
      <c r="Z7257" s="531"/>
      <c r="AA7257" s="531"/>
      <c r="AB7257" s="531"/>
      <c r="AC7257" s="531"/>
      <c r="AD7257" s="531"/>
      <c r="AE7257" s="531"/>
      <c r="AF7257" s="531"/>
      <c r="AG7257" s="531"/>
      <c r="AH7257" s="531"/>
      <c r="AI7257" s="531"/>
      <c r="AJ7257" s="531"/>
      <c r="AK7257" s="531"/>
      <c r="AL7257" s="531"/>
      <c r="AM7257" s="531"/>
      <c r="AN7257" s="531"/>
      <c r="AO7257" s="531"/>
      <c r="AR7257" s="761" t="s">
        <v>145</v>
      </c>
      <c r="AS7257" s="764"/>
    </row>
    <row r="7258" spans="1:45" s="520" customFormat="1" ht="12" thickTop="1">
      <c r="A7258" s="51"/>
      <c r="B7258" s="41"/>
      <c r="C7258" s="51"/>
      <c r="E7258" s="42" t="s">
        <v>138</v>
      </c>
      <c r="F7258" s="42" t="s">
        <v>139</v>
      </c>
      <c r="G7258" s="51"/>
      <c r="H7258" s="51"/>
      <c r="I7258" s="51"/>
      <c r="J7258" s="51"/>
      <c r="K7258" s="51" t="s">
        <v>140</v>
      </c>
      <c r="L7258" s="51"/>
      <c r="M7258" s="51"/>
      <c r="N7258" s="51"/>
      <c r="O7258" s="52"/>
      <c r="P7258" s="51"/>
      <c r="Q7258" s="51"/>
      <c r="R7258" s="51"/>
      <c r="S7258" s="51"/>
      <c r="T7258" s="41"/>
      <c r="AG7258" s="521" t="s">
        <v>268</v>
      </c>
      <c r="AH7258" s="521" t="s">
        <v>269</v>
      </c>
      <c r="AI7258" s="521" t="s">
        <v>270</v>
      </c>
      <c r="AJ7258" s="521" t="s">
        <v>271</v>
      </c>
      <c r="AK7258" s="521" t="s">
        <v>272</v>
      </c>
      <c r="AM7258" s="745" t="s">
        <v>281</v>
      </c>
      <c r="AN7258" s="746" t="s">
        <v>282</v>
      </c>
      <c r="AO7258" s="522" t="s">
        <v>278</v>
      </c>
      <c r="AR7258" s="51"/>
      <c r="AS7258" s="42" t="s">
        <v>139</v>
      </c>
    </row>
    <row r="7259" spans="1:45" s="520" customFormat="1" ht="12" customHeight="1">
      <c r="A7259" s="747">
        <v>4</v>
      </c>
      <c r="B7259" s="523" t="s">
        <v>329</v>
      </c>
      <c r="C7259" s="748"/>
      <c r="D7259" s="749" t="s">
        <v>3948</v>
      </c>
      <c r="E7259" s="1145">
        <f>IF(AND($A7259=0,$A$1="DIF"),0, ROUND(ROUND(($R7263*$S$3+($T7263*$T$3))/$A7259,2)*$C$3,2))</f>
        <v>64</v>
      </c>
      <c r="F7259" s="1146">
        <f>ROUND($A7259*$E7259,2)</f>
        <v>256</v>
      </c>
      <c r="G7259" s="752" t="s">
        <v>142</v>
      </c>
      <c r="H7259" s="753"/>
      <c r="I7259" s="754"/>
      <c r="J7259" s="753"/>
      <c r="K7259" s="753" t="s">
        <v>5</v>
      </c>
      <c r="L7259" s="755" t="s">
        <v>143</v>
      </c>
      <c r="M7259" s="755"/>
      <c r="N7259" s="755"/>
      <c r="O7259" s="755"/>
      <c r="P7259" s="755"/>
      <c r="Q7259" s="51"/>
      <c r="T7259" s="1150" t="str">
        <f>IF(AND($R7263=0,$T7263=0),"0.00","mu: "&amp; ROUND(F7259/$C$3/($R7263+$T7263*$D$9),2))</f>
        <v>mu: 1.13</v>
      </c>
      <c r="W7259" s="524"/>
      <c r="AG7259" s="1147">
        <f>IF($E7259=0,0,ROUND($R7263*$S$3*$C$3/$A7259,2))</f>
        <v>64</v>
      </c>
      <c r="AH7259" s="1147">
        <f>$AG7259*$A7259</f>
        <v>256</v>
      </c>
      <c r="AI7259" s="1148">
        <f>$E7259-$AG7259</f>
        <v>0</v>
      </c>
      <c r="AJ7259" s="1148">
        <f>$A7259*$AI7259</f>
        <v>0</v>
      </c>
      <c r="AK7259" s="1149">
        <f>ROUND(($AG7259+$AI7259)*$A7259,2)</f>
        <v>256</v>
      </c>
      <c r="AM7259" s="527">
        <f>ROUND(R7263,2)</f>
        <v>226.8</v>
      </c>
      <c r="AN7259" s="528">
        <f>ROUND(T7263,2)</f>
        <v>0</v>
      </c>
      <c r="AO7259" s="529">
        <f>ROUND(AM7259+AN7259,2)*A7259</f>
        <v>907.2</v>
      </c>
      <c r="AR7259" s="747">
        <v>4</v>
      </c>
      <c r="AS7259" s="1146">
        <v>407.48</v>
      </c>
    </row>
    <row r="7260" spans="1:45" s="520" customFormat="1" ht="13.2">
      <c r="A7260" s="748"/>
      <c r="B7260"/>
      <c r="C7260" s="748"/>
      <c r="D7260" s="749" t="s">
        <v>975</v>
      </c>
      <c r="F7260" s="753"/>
      <c r="G7260" s="3"/>
      <c r="H7260" s="753"/>
      <c r="I7260" s="754"/>
      <c r="J7260" s="753"/>
      <c r="K7260" s="753" t="s">
        <v>144</v>
      </c>
      <c r="L7260" s="753"/>
      <c r="M7260" s="753"/>
      <c r="N7260" s="753"/>
      <c r="O7260" s="753"/>
      <c r="P7260" s="753"/>
      <c r="Q7260" s="51"/>
      <c r="R7260" s="530"/>
      <c r="S7260" s="757"/>
      <c r="T7260" s="753"/>
      <c r="AR7260" s="748"/>
      <c r="AS7260" s="753"/>
    </row>
    <row r="7261" spans="1:45" s="901" customFormat="1" ht="13.2">
      <c r="A7261" s="903">
        <v>4</v>
      </c>
      <c r="B7261" s="904" t="s">
        <v>863</v>
      </c>
      <c r="C7261" s="904"/>
      <c r="D7261" s="904" t="s">
        <v>2594</v>
      </c>
      <c r="E7261" s="904"/>
      <c r="F7261" s="904" t="s">
        <v>4139</v>
      </c>
      <c r="G7261" s="905" t="s">
        <v>2595</v>
      </c>
      <c r="H7261" s="902">
        <v>960</v>
      </c>
      <c r="I7261" s="904" t="s">
        <v>2596</v>
      </c>
      <c r="J7261" s="904"/>
      <c r="K7261" s="904"/>
      <c r="L7261" s="904"/>
      <c r="M7261" s="904"/>
      <c r="N7261" s="904"/>
      <c r="O7261" s="902">
        <v>4</v>
      </c>
      <c r="P7261" s="906">
        <v>38274</v>
      </c>
      <c r="Q7261" s="1415">
        <f>1.05*60*0.9</f>
        <v>56.7</v>
      </c>
      <c r="R7261" s="908">
        <f>$A7261*Q7261</f>
        <v>226.8</v>
      </c>
      <c r="S7261" s="907"/>
      <c r="T7261" s="909">
        <f>$A7261*S7261*$T$1</f>
        <v>0</v>
      </c>
      <c r="AR7261" s="903">
        <v>4</v>
      </c>
      <c r="AS7261" s="904" t="s">
        <v>3507</v>
      </c>
    </row>
    <row r="7262" spans="1:45" s="520" customFormat="1" ht="12">
      <c r="A7262" s="758"/>
      <c r="B7262" s="758"/>
      <c r="C7262" s="758"/>
      <c r="D7262" s="758"/>
      <c r="E7262" s="758"/>
      <c r="F7262" s="753"/>
      <c r="G7262" s="758"/>
      <c r="H7262" s="758"/>
      <c r="I7262" s="519"/>
      <c r="J7262" s="758"/>
      <c r="K7262" s="758"/>
      <c r="L7262" s="758"/>
      <c r="M7262" s="758"/>
      <c r="N7262" s="758"/>
      <c r="O7262" s="758"/>
      <c r="P7262" s="758"/>
      <c r="Q7262" s="519"/>
      <c r="R7262" s="759">
        <f t="shared" ref="R7262" si="638">$A7262*Q7262</f>
        <v>0</v>
      </c>
      <c r="S7262" s="519"/>
      <c r="T7262" s="760">
        <f t="shared" ref="T7262" si="639">$A7262*S7262*$T$1</f>
        <v>0</v>
      </c>
      <c r="AR7262" s="758"/>
      <c r="AS7262" s="753"/>
    </row>
    <row r="7263" spans="1:45" s="520" customFormat="1" ht="12.6" thickBot="1">
      <c r="A7263" s="761" t="s">
        <v>145</v>
      </c>
      <c r="B7263" s="762">
        <f>(R7262+T7262)</f>
        <v>0</v>
      </c>
      <c r="C7263" s="763"/>
      <c r="D7263" s="763"/>
      <c r="E7263" s="763"/>
      <c r="F7263" s="764"/>
      <c r="G7263" s="763" t="s">
        <v>146</v>
      </c>
      <c r="H7263" s="763"/>
      <c r="I7263" s="765"/>
      <c r="J7263" s="763"/>
      <c r="K7263" s="763" t="s">
        <v>5</v>
      </c>
      <c r="L7263" s="766" t="s">
        <v>143</v>
      </c>
      <c r="M7263" s="766"/>
      <c r="N7263" s="766"/>
      <c r="O7263" s="766"/>
      <c r="P7263" s="766"/>
      <c r="Q7263" s="767"/>
      <c r="R7263" s="768">
        <f>SUM(R7260:R7262)</f>
        <v>226.8</v>
      </c>
      <c r="S7263" s="763"/>
      <c r="T7263" s="768">
        <f>SUM(T7260:T7262)</f>
        <v>0</v>
      </c>
      <c r="U7263" s="531"/>
      <c r="V7263" s="531"/>
      <c r="W7263" s="531"/>
      <c r="X7263" s="531"/>
      <c r="Y7263" s="531"/>
      <c r="Z7263" s="531"/>
      <c r="AA7263" s="531"/>
      <c r="AB7263" s="531"/>
      <c r="AC7263" s="531"/>
      <c r="AD7263" s="531"/>
      <c r="AE7263" s="531"/>
      <c r="AF7263" s="531"/>
      <c r="AG7263" s="531"/>
      <c r="AH7263" s="531"/>
      <c r="AI7263" s="531"/>
      <c r="AJ7263" s="531"/>
      <c r="AK7263" s="531"/>
      <c r="AL7263" s="531"/>
      <c r="AM7263" s="531"/>
      <c r="AN7263" s="531"/>
      <c r="AO7263" s="531"/>
      <c r="AR7263" s="761" t="s">
        <v>145</v>
      </c>
      <c r="AS7263" s="764"/>
    </row>
    <row r="7264" spans="1:45" s="520" customFormat="1" thickTop="1">
      <c r="A7264" s="51"/>
      <c r="B7264" s="51"/>
      <c r="C7264" s="3"/>
      <c r="D7264" s="3"/>
      <c r="E7264" s="51"/>
      <c r="F7264" s="51"/>
      <c r="G7264" s="51"/>
      <c r="H7264" s="51"/>
      <c r="I7264" s="51"/>
      <c r="J7264" s="51"/>
      <c r="K7264" s="51" t="s">
        <v>134</v>
      </c>
      <c r="L7264" s="51"/>
      <c r="M7264" s="51"/>
      <c r="N7264" s="51"/>
      <c r="O7264" s="52"/>
      <c r="P7264" s="51"/>
      <c r="Q7264" s="51"/>
      <c r="R7264" s="51"/>
      <c r="S7264" s="51"/>
      <c r="T7264" s="51"/>
      <c r="AR7264" s="51"/>
      <c r="AS7264" s="51"/>
    </row>
    <row r="7265" spans="1:45" s="520" customFormat="1" ht="12">
      <c r="A7265" s="51"/>
      <c r="B7265" s="51"/>
      <c r="C7265" s="51" t="s">
        <v>135</v>
      </c>
      <c r="D7265" s="37"/>
      <c r="E7265" s="51"/>
      <c r="F7265" s="51"/>
      <c r="G7265" s="51"/>
      <c r="H7265" s="51"/>
      <c r="I7265" s="51"/>
      <c r="J7265" s="51"/>
      <c r="K7265" s="51"/>
      <c r="L7265" s="51"/>
      <c r="M7265" s="51"/>
      <c r="N7265" s="51"/>
      <c r="O7265" s="52"/>
      <c r="P7265" s="51"/>
      <c r="Q7265" s="51"/>
      <c r="R7265" s="51"/>
      <c r="S7265" s="51"/>
      <c r="T7265" s="51"/>
      <c r="AR7265" s="51"/>
      <c r="AS7265" s="51"/>
    </row>
    <row r="7266" spans="1:45" s="520" customFormat="1" ht="12">
      <c r="A7266" s="51"/>
      <c r="B7266" s="51"/>
      <c r="C7266" s="51"/>
      <c r="D7266" s="37" t="s">
        <v>1952</v>
      </c>
      <c r="E7266" s="51"/>
      <c r="F7266" s="51"/>
      <c r="G7266" s="51"/>
      <c r="H7266" s="51"/>
      <c r="I7266" s="51"/>
      <c r="J7266" s="51"/>
      <c r="K7266" s="51"/>
      <c r="L7266" s="51"/>
      <c r="M7266" s="51"/>
      <c r="N7266" s="51"/>
      <c r="O7266" s="52"/>
      <c r="P7266" s="51"/>
      <c r="Q7266" s="51"/>
      <c r="R7266" s="51"/>
      <c r="S7266" s="38"/>
      <c r="T7266" s="38"/>
      <c r="AR7266" s="51"/>
      <c r="AS7266" s="51"/>
    </row>
    <row r="7267" spans="1:45" s="3" customFormat="1" thickBot="1">
      <c r="A7267" s="531"/>
      <c r="O7267" s="107"/>
      <c r="AR7267" s="531"/>
    </row>
    <row r="7268" spans="1:45" s="520" customFormat="1" ht="12" thickTop="1">
      <c r="A7268" s="51"/>
      <c r="B7268" s="41"/>
      <c r="C7268" s="51"/>
      <c r="E7268" s="42" t="s">
        <v>138</v>
      </c>
      <c r="F7268" s="42" t="s">
        <v>139</v>
      </c>
      <c r="G7268" s="51"/>
      <c r="H7268" s="51"/>
      <c r="I7268" s="51"/>
      <c r="J7268" s="51"/>
      <c r="K7268" s="51" t="s">
        <v>140</v>
      </c>
      <c r="L7268" s="51"/>
      <c r="M7268" s="51"/>
      <c r="N7268" s="51"/>
      <c r="O7268" s="52"/>
      <c r="P7268" s="51"/>
      <c r="Q7268" s="51"/>
      <c r="R7268" s="51"/>
      <c r="S7268" s="51"/>
      <c r="T7268" s="41"/>
      <c r="AG7268" s="521" t="s">
        <v>268</v>
      </c>
      <c r="AH7268" s="521" t="s">
        <v>269</v>
      </c>
      <c r="AI7268" s="521" t="s">
        <v>270</v>
      </c>
      <c r="AJ7268" s="521" t="s">
        <v>271</v>
      </c>
      <c r="AK7268" s="521" t="s">
        <v>272</v>
      </c>
      <c r="AM7268" s="745" t="s">
        <v>281</v>
      </c>
      <c r="AN7268" s="746" t="s">
        <v>282</v>
      </c>
      <c r="AO7268" s="522" t="s">
        <v>278</v>
      </c>
      <c r="AR7268" s="51"/>
      <c r="AS7268" s="42" t="s">
        <v>139</v>
      </c>
    </row>
    <row r="7269" spans="1:45" s="520" customFormat="1" ht="12" customHeight="1">
      <c r="A7269" s="747">
        <v>5</v>
      </c>
      <c r="B7269" s="523" t="s">
        <v>329</v>
      </c>
      <c r="C7269" s="748"/>
      <c r="D7269" s="749" t="s">
        <v>3949</v>
      </c>
      <c r="E7269" s="1145">
        <f>IF(AND($A7269=0,$A$1="DIF"),0, ROUND(ROUND(($R7273*$S$3+($T7273*$T$3))/$A7269,2)*$C$3,2))</f>
        <v>5.08</v>
      </c>
      <c r="F7269" s="1146">
        <f>ROUND($A7269*$E7269,2)</f>
        <v>25.4</v>
      </c>
      <c r="G7269" s="752" t="s">
        <v>142</v>
      </c>
      <c r="H7269" s="753"/>
      <c r="I7269" s="754"/>
      <c r="J7269" s="753"/>
      <c r="K7269" s="753" t="s">
        <v>5</v>
      </c>
      <c r="L7269" s="755" t="s">
        <v>143</v>
      </c>
      <c r="M7269" s="755"/>
      <c r="N7269" s="755"/>
      <c r="O7269" s="755"/>
      <c r="P7269" s="755"/>
      <c r="Q7269" s="51"/>
      <c r="T7269" s="1150" t="str">
        <f>IF(AND($R7273=0,$T7273=0),"0.00","mu: "&amp; ROUND(F7269/$C$3/($R7273+$T7273*$D$9),2))</f>
        <v>mu: 1.13</v>
      </c>
      <c r="W7269" s="524"/>
      <c r="AG7269" s="1147">
        <f>IF($E7269=0,0,ROUND($R7273*$S$3*$C$3/$A7269,2))</f>
        <v>5.08</v>
      </c>
      <c r="AH7269" s="1147">
        <f>$AG7269*$A7269</f>
        <v>25.4</v>
      </c>
      <c r="AI7269" s="1148">
        <f>$E7269-$AG7269</f>
        <v>0</v>
      </c>
      <c r="AJ7269" s="1148">
        <f>$A7269*$AI7269</f>
        <v>0</v>
      </c>
      <c r="AK7269" s="1149">
        <f>ROUND(($AG7269+$AI7269)*$A7269,2)</f>
        <v>25.4</v>
      </c>
      <c r="AM7269" s="527">
        <f>ROUND(R7273,2)</f>
        <v>22.5</v>
      </c>
      <c r="AN7269" s="528">
        <f>ROUND(T7273,2)</f>
        <v>0</v>
      </c>
      <c r="AO7269" s="529">
        <f>ROUND(AM7269+AN7269,2)*A7269</f>
        <v>112.5</v>
      </c>
      <c r="AR7269" s="747">
        <v>5</v>
      </c>
      <c r="AS7269" s="1146">
        <v>26.8</v>
      </c>
    </row>
    <row r="7270" spans="1:45" s="520" customFormat="1" ht="13.2">
      <c r="A7270" s="748"/>
      <c r="B7270"/>
      <c r="C7270" s="748"/>
      <c r="D7270" s="749" t="s">
        <v>1924</v>
      </c>
      <c r="F7270" s="753"/>
      <c r="G7270" s="3"/>
      <c r="H7270" s="753"/>
      <c r="I7270" s="754"/>
      <c r="J7270" s="753"/>
      <c r="K7270" s="753" t="s">
        <v>144</v>
      </c>
      <c r="L7270" s="753"/>
      <c r="M7270" s="753"/>
      <c r="N7270" s="753"/>
      <c r="O7270" s="753"/>
      <c r="P7270" s="753"/>
      <c r="Q7270" s="51"/>
      <c r="R7270" s="530"/>
      <c r="S7270" s="757"/>
      <c r="T7270" s="753"/>
      <c r="AR7270" s="748"/>
      <c r="AS7270" s="753"/>
    </row>
    <row r="7271" spans="1:45" s="901" customFormat="1" ht="13.2">
      <c r="A7271" s="903">
        <v>5</v>
      </c>
      <c r="B7271" s="904" t="s">
        <v>863</v>
      </c>
      <c r="C7271" s="904"/>
      <c r="D7271" s="904" t="s">
        <v>2594</v>
      </c>
      <c r="E7271" s="904"/>
      <c r="F7271" s="904" t="s">
        <v>4139</v>
      </c>
      <c r="G7271" s="905" t="s">
        <v>2595</v>
      </c>
      <c r="H7271" s="902">
        <v>960</v>
      </c>
      <c r="I7271" s="904" t="s">
        <v>2596</v>
      </c>
      <c r="J7271" s="904"/>
      <c r="K7271" s="904"/>
      <c r="L7271" s="904"/>
      <c r="M7271" s="904"/>
      <c r="N7271" s="904"/>
      <c r="O7271" s="902">
        <v>4</v>
      </c>
      <c r="P7271" s="906">
        <v>38274</v>
      </c>
      <c r="Q7271" s="1415">
        <f>5*0.9</f>
        <v>4.5</v>
      </c>
      <c r="R7271" s="908">
        <f>$A7271*Q7271</f>
        <v>22.5</v>
      </c>
      <c r="S7271" s="907"/>
      <c r="T7271" s="909">
        <f>$A7271*S7271*$T$1</f>
        <v>0</v>
      </c>
      <c r="AR7271" s="903">
        <v>5</v>
      </c>
      <c r="AS7271" s="904" t="s">
        <v>3507</v>
      </c>
    </row>
    <row r="7272" spans="1:45" s="520" customFormat="1" ht="12">
      <c r="A7272" s="758"/>
      <c r="B7272" s="758"/>
      <c r="C7272" s="758"/>
      <c r="D7272" s="758"/>
      <c r="E7272" s="758"/>
      <c r="F7272" s="753"/>
      <c r="G7272" s="758"/>
      <c r="H7272" s="758"/>
      <c r="I7272" s="519"/>
      <c r="J7272" s="758"/>
      <c r="K7272" s="758"/>
      <c r="L7272" s="758"/>
      <c r="M7272" s="758"/>
      <c r="N7272" s="758"/>
      <c r="O7272" s="758"/>
      <c r="P7272" s="758"/>
      <c r="Q7272" s="519"/>
      <c r="R7272" s="759">
        <f t="shared" ref="R7272" si="640">$A7272*Q7272</f>
        <v>0</v>
      </c>
      <c r="S7272" s="519"/>
      <c r="T7272" s="760">
        <f t="shared" ref="T7272" si="641">$A7272*S7272*$T$1</f>
        <v>0</v>
      </c>
      <c r="AR7272" s="758"/>
      <c r="AS7272" s="753"/>
    </row>
    <row r="7273" spans="1:45" s="520" customFormat="1" ht="12.6" thickBot="1">
      <c r="A7273" s="761" t="s">
        <v>145</v>
      </c>
      <c r="B7273" s="762">
        <f>(R7272+T7272)</f>
        <v>0</v>
      </c>
      <c r="C7273" s="763"/>
      <c r="D7273" s="763"/>
      <c r="E7273" s="763"/>
      <c r="F7273" s="764"/>
      <c r="G7273" s="763" t="s">
        <v>146</v>
      </c>
      <c r="H7273" s="763"/>
      <c r="I7273" s="765"/>
      <c r="J7273" s="763"/>
      <c r="K7273" s="763" t="s">
        <v>5</v>
      </c>
      <c r="L7273" s="766" t="s">
        <v>143</v>
      </c>
      <c r="M7273" s="766"/>
      <c r="N7273" s="766"/>
      <c r="O7273" s="766"/>
      <c r="P7273" s="766"/>
      <c r="Q7273" s="767"/>
      <c r="R7273" s="768">
        <f>SUM(R7270:R7272)</f>
        <v>22.5</v>
      </c>
      <c r="S7273" s="763"/>
      <c r="T7273" s="768">
        <f>SUM(T7270:T7272)</f>
        <v>0</v>
      </c>
      <c r="U7273" s="531"/>
      <c r="V7273" s="531"/>
      <c r="W7273" s="531"/>
      <c r="X7273" s="531"/>
      <c r="Y7273" s="531"/>
      <c r="Z7273" s="531"/>
      <c r="AA7273" s="531"/>
      <c r="AB7273" s="531"/>
      <c r="AC7273" s="531"/>
      <c r="AD7273" s="531"/>
      <c r="AE7273" s="531"/>
      <c r="AF7273" s="531"/>
      <c r="AG7273" s="531"/>
      <c r="AH7273" s="531"/>
      <c r="AI7273" s="531"/>
      <c r="AJ7273" s="531"/>
      <c r="AK7273" s="531"/>
      <c r="AL7273" s="531"/>
      <c r="AM7273" s="531"/>
      <c r="AN7273" s="531"/>
      <c r="AO7273" s="531"/>
      <c r="AR7273" s="761" t="s">
        <v>145</v>
      </c>
      <c r="AS7273" s="764"/>
    </row>
    <row r="7274" spans="1:45" s="520" customFormat="1" ht="12" thickTop="1">
      <c r="A7274" s="51"/>
      <c r="B7274" s="41"/>
      <c r="C7274" s="51"/>
      <c r="E7274" s="42" t="s">
        <v>138</v>
      </c>
      <c r="F7274" s="42" t="s">
        <v>139</v>
      </c>
      <c r="G7274" s="51"/>
      <c r="H7274" s="51"/>
      <c r="I7274" s="51"/>
      <c r="J7274" s="51"/>
      <c r="K7274" s="51" t="s">
        <v>140</v>
      </c>
      <c r="L7274" s="51"/>
      <c r="M7274" s="51"/>
      <c r="N7274" s="51"/>
      <c r="O7274" s="52"/>
      <c r="P7274" s="51"/>
      <c r="Q7274" s="51"/>
      <c r="R7274" s="51"/>
      <c r="S7274" s="51"/>
      <c r="T7274" s="41"/>
      <c r="AG7274" s="521" t="s">
        <v>268</v>
      </c>
      <c r="AH7274" s="521" t="s">
        <v>269</v>
      </c>
      <c r="AI7274" s="521" t="s">
        <v>270</v>
      </c>
      <c r="AJ7274" s="521" t="s">
        <v>271</v>
      </c>
      <c r="AK7274" s="521" t="s">
        <v>272</v>
      </c>
      <c r="AM7274" s="745" t="s">
        <v>281</v>
      </c>
      <c r="AN7274" s="746" t="s">
        <v>282</v>
      </c>
      <c r="AO7274" s="522" t="s">
        <v>278</v>
      </c>
      <c r="AR7274" s="51"/>
      <c r="AS7274" s="42" t="s">
        <v>139</v>
      </c>
    </row>
    <row r="7275" spans="1:45" s="520" customFormat="1" ht="12" customHeight="1">
      <c r="A7275" s="747">
        <v>4</v>
      </c>
      <c r="B7275" s="523" t="s">
        <v>329</v>
      </c>
      <c r="C7275" s="748"/>
      <c r="D7275" s="749" t="s">
        <v>3950</v>
      </c>
      <c r="E7275" s="1145">
        <f>IF(AND($A7275=0,$A$1="DIF"),0, ROUND(ROUND(($R7279*$S$3+($T7279*$T$3))/$A7275,2)*$C$3,2))</f>
        <v>16.25</v>
      </c>
      <c r="F7275" s="1146">
        <f>ROUND($A7275*$E7275,2)</f>
        <v>65</v>
      </c>
      <c r="G7275" s="752" t="s">
        <v>142</v>
      </c>
      <c r="H7275" s="753"/>
      <c r="I7275" s="754"/>
      <c r="J7275" s="753"/>
      <c r="K7275" s="753" t="s">
        <v>5</v>
      </c>
      <c r="L7275" s="755" t="s">
        <v>143</v>
      </c>
      <c r="M7275" s="755"/>
      <c r="N7275" s="755"/>
      <c r="O7275" s="755"/>
      <c r="P7275" s="755"/>
      <c r="Q7275" s="51"/>
      <c r="T7275" s="1150" t="str">
        <f>IF(AND($R7279=0,$T7279=0),"0.00","mu: "&amp; ROUND(F7275/$C$3/($R7279+$T7279*$D$9),2))</f>
        <v>mu: 1.13</v>
      </c>
      <c r="W7275" s="524"/>
      <c r="AG7275" s="1147">
        <f>IF($E7275=0,0,ROUND($R7279*$S$3*$C$3/$A7275,2))</f>
        <v>16.25</v>
      </c>
      <c r="AH7275" s="1147">
        <f>$AG7275*$A7275</f>
        <v>65</v>
      </c>
      <c r="AI7275" s="1148">
        <f>$E7275-$AG7275</f>
        <v>0</v>
      </c>
      <c r="AJ7275" s="1148">
        <f>$A7275*$AI7275</f>
        <v>0</v>
      </c>
      <c r="AK7275" s="1149">
        <f>ROUND(($AG7275+$AI7275)*$A7275,2)</f>
        <v>65</v>
      </c>
      <c r="AM7275" s="527">
        <f>ROUND(R7279,2)</f>
        <v>57.6</v>
      </c>
      <c r="AN7275" s="528">
        <f>ROUND(T7279,2)</f>
        <v>0</v>
      </c>
      <c r="AO7275" s="529">
        <f>ROUND(AM7275+AN7275,2)*A7275</f>
        <v>230.4</v>
      </c>
      <c r="AR7275" s="747">
        <v>4</v>
      </c>
      <c r="AS7275" s="1146">
        <v>68.64</v>
      </c>
    </row>
    <row r="7276" spans="1:45" s="520" customFormat="1" ht="13.2">
      <c r="A7276" s="748"/>
      <c r="B7276"/>
      <c r="C7276" s="748"/>
      <c r="D7276" s="749" t="s">
        <v>1958</v>
      </c>
      <c r="F7276" s="753"/>
      <c r="G7276" s="3"/>
      <c r="H7276" s="753"/>
      <c r="I7276" s="754"/>
      <c r="J7276" s="753"/>
      <c r="K7276" s="753" t="s">
        <v>144</v>
      </c>
      <c r="L7276" s="753"/>
      <c r="M7276" s="753"/>
      <c r="N7276" s="753"/>
      <c r="O7276" s="753"/>
      <c r="P7276" s="753"/>
      <c r="Q7276" s="51"/>
      <c r="R7276" s="530"/>
      <c r="S7276" s="757"/>
      <c r="T7276" s="753"/>
      <c r="AR7276" s="748"/>
      <c r="AS7276" s="753"/>
    </row>
    <row r="7277" spans="1:45" s="901" customFormat="1" ht="13.2">
      <c r="A7277" s="903">
        <v>4</v>
      </c>
      <c r="B7277" s="904" t="s">
        <v>863</v>
      </c>
      <c r="C7277" s="904"/>
      <c r="D7277" s="904" t="s">
        <v>2594</v>
      </c>
      <c r="E7277" s="904"/>
      <c r="F7277" s="904" t="s">
        <v>4139</v>
      </c>
      <c r="G7277" s="905" t="s">
        <v>2595</v>
      </c>
      <c r="H7277" s="902">
        <v>960</v>
      </c>
      <c r="I7277" s="904" t="s">
        <v>2596</v>
      </c>
      <c r="J7277" s="904"/>
      <c r="K7277" s="904"/>
      <c r="L7277" s="904"/>
      <c r="M7277" s="904"/>
      <c r="N7277" s="904"/>
      <c r="O7277" s="902">
        <v>4</v>
      </c>
      <c r="P7277" s="906">
        <v>38274</v>
      </c>
      <c r="Q7277" s="1415">
        <f>16*0.9</f>
        <v>14.4</v>
      </c>
      <c r="R7277" s="908">
        <f>$A7277*Q7277</f>
        <v>57.6</v>
      </c>
      <c r="S7277" s="907"/>
      <c r="T7277" s="909">
        <f>$A7277*S7277*$T$1</f>
        <v>0</v>
      </c>
      <c r="AR7277" s="903">
        <v>4</v>
      </c>
      <c r="AS7277" s="904" t="s">
        <v>3507</v>
      </c>
    </row>
    <row r="7278" spans="1:45" s="520" customFormat="1" ht="12">
      <c r="A7278" s="758"/>
      <c r="B7278" s="758"/>
      <c r="C7278" s="758"/>
      <c r="D7278" s="758"/>
      <c r="E7278" s="758"/>
      <c r="F7278" s="753"/>
      <c r="G7278" s="758"/>
      <c r="H7278" s="758"/>
      <c r="I7278" s="519"/>
      <c r="J7278" s="758"/>
      <c r="K7278" s="758"/>
      <c r="L7278" s="758"/>
      <c r="M7278" s="758"/>
      <c r="N7278" s="758"/>
      <c r="O7278" s="758"/>
      <c r="P7278" s="758"/>
      <c r="Q7278" s="519"/>
      <c r="R7278" s="759">
        <f t="shared" ref="R7278" si="642">$A7278*Q7278</f>
        <v>0</v>
      </c>
      <c r="S7278" s="519"/>
      <c r="T7278" s="760">
        <f t="shared" ref="T7278" si="643">$A7278*S7278*$T$1</f>
        <v>0</v>
      </c>
      <c r="AR7278" s="758"/>
      <c r="AS7278" s="753"/>
    </row>
    <row r="7279" spans="1:45" s="520" customFormat="1" ht="12.6" thickBot="1">
      <c r="A7279" s="761" t="s">
        <v>145</v>
      </c>
      <c r="B7279" s="762">
        <f>(R7278+T7278)</f>
        <v>0</v>
      </c>
      <c r="C7279" s="763"/>
      <c r="D7279" s="763"/>
      <c r="E7279" s="763"/>
      <c r="F7279" s="764"/>
      <c r="G7279" s="763" t="s">
        <v>146</v>
      </c>
      <c r="H7279" s="763"/>
      <c r="I7279" s="765"/>
      <c r="J7279" s="763"/>
      <c r="K7279" s="763" t="s">
        <v>5</v>
      </c>
      <c r="L7279" s="766" t="s">
        <v>143</v>
      </c>
      <c r="M7279" s="766"/>
      <c r="N7279" s="766"/>
      <c r="O7279" s="766"/>
      <c r="P7279" s="766"/>
      <c r="Q7279" s="767"/>
      <c r="R7279" s="768">
        <f>SUM(R7276:R7278)</f>
        <v>57.6</v>
      </c>
      <c r="S7279" s="763"/>
      <c r="T7279" s="768">
        <f>SUM(T7276:T7278)</f>
        <v>0</v>
      </c>
      <c r="U7279" s="531"/>
      <c r="V7279" s="531"/>
      <c r="W7279" s="531"/>
      <c r="X7279" s="531"/>
      <c r="Y7279" s="531"/>
      <c r="Z7279" s="531"/>
      <c r="AA7279" s="531"/>
      <c r="AB7279" s="531"/>
      <c r="AC7279" s="531"/>
      <c r="AD7279" s="531"/>
      <c r="AE7279" s="531"/>
      <c r="AF7279" s="531"/>
      <c r="AG7279" s="531"/>
      <c r="AH7279" s="531"/>
      <c r="AI7279" s="531"/>
      <c r="AJ7279" s="531"/>
      <c r="AK7279" s="531"/>
      <c r="AL7279" s="531"/>
      <c r="AM7279" s="531"/>
      <c r="AN7279" s="531"/>
      <c r="AO7279" s="531"/>
      <c r="AR7279" s="761" t="s">
        <v>145</v>
      </c>
      <c r="AS7279" s="764"/>
    </row>
    <row r="7280" spans="1:45" s="520" customFormat="1" ht="12" thickTop="1">
      <c r="A7280" s="51"/>
      <c r="B7280" s="41"/>
      <c r="C7280" s="51"/>
      <c r="E7280" s="42" t="s">
        <v>138</v>
      </c>
      <c r="F7280" s="42" t="s">
        <v>139</v>
      </c>
      <c r="G7280" s="51"/>
      <c r="H7280" s="51"/>
      <c r="I7280" s="51"/>
      <c r="J7280" s="51"/>
      <c r="K7280" s="51" t="s">
        <v>140</v>
      </c>
      <c r="L7280" s="51"/>
      <c r="M7280" s="51"/>
      <c r="N7280" s="51"/>
      <c r="O7280" s="52"/>
      <c r="P7280" s="51"/>
      <c r="Q7280" s="51"/>
      <c r="R7280" s="51"/>
      <c r="S7280" s="51"/>
      <c r="T7280" s="41"/>
      <c r="AG7280" s="521" t="s">
        <v>268</v>
      </c>
      <c r="AH7280" s="521" t="s">
        <v>269</v>
      </c>
      <c r="AI7280" s="521" t="s">
        <v>270</v>
      </c>
      <c r="AJ7280" s="521" t="s">
        <v>271</v>
      </c>
      <c r="AK7280" s="521" t="s">
        <v>272</v>
      </c>
      <c r="AM7280" s="745" t="s">
        <v>281</v>
      </c>
      <c r="AN7280" s="746" t="s">
        <v>282</v>
      </c>
      <c r="AO7280" s="522" t="s">
        <v>278</v>
      </c>
      <c r="AR7280" s="51"/>
      <c r="AS7280" s="42" t="s">
        <v>139</v>
      </c>
    </row>
    <row r="7281" spans="1:45" s="520" customFormat="1" ht="12" customHeight="1">
      <c r="A7281" s="747">
        <v>21</v>
      </c>
      <c r="B7281" s="523" t="s">
        <v>957</v>
      </c>
      <c r="C7281" s="748"/>
      <c r="D7281" s="749" t="s">
        <v>3951</v>
      </c>
      <c r="E7281" s="1145">
        <f>IF(AND($A7281=0,$A$1="DIF"),0, ROUND(ROUND(($R7285*$S$3+($T7285*$T$3))/$A7281,2)*$C$3,2))</f>
        <v>9.14</v>
      </c>
      <c r="F7281" s="1146">
        <f>ROUND($A7281*$E7281,2)</f>
        <v>191.94</v>
      </c>
      <c r="G7281" s="752" t="s">
        <v>142</v>
      </c>
      <c r="H7281" s="753"/>
      <c r="I7281" s="754"/>
      <c r="J7281" s="753"/>
      <c r="K7281" s="753" t="s">
        <v>5</v>
      </c>
      <c r="L7281" s="755" t="s">
        <v>143</v>
      </c>
      <c r="M7281" s="755"/>
      <c r="N7281" s="755"/>
      <c r="O7281" s="755"/>
      <c r="P7281" s="755"/>
      <c r="Q7281" s="51"/>
      <c r="T7281" s="1150" t="str">
        <f>IF(AND($R7285=0,$T7285=0),"0.00","mu: "&amp; ROUND(F7281/$C$3/($R7285+$T7285*$D$9),2))</f>
        <v>mu: 1.13</v>
      </c>
      <c r="W7281" s="524"/>
      <c r="AG7281" s="1147">
        <f>IF($E7281=0,0,ROUND($R7285*$S$3*$C$3/$A7281,2))</f>
        <v>9.14</v>
      </c>
      <c r="AH7281" s="1147">
        <f>$AG7281*$A7281</f>
        <v>191.94</v>
      </c>
      <c r="AI7281" s="1148">
        <f>$E7281-$AG7281</f>
        <v>0</v>
      </c>
      <c r="AJ7281" s="1148">
        <f>$A7281*$AI7281</f>
        <v>0</v>
      </c>
      <c r="AK7281" s="1149">
        <f>ROUND(($AG7281+$AI7281)*$A7281,2)</f>
        <v>191.94</v>
      </c>
      <c r="AM7281" s="527">
        <f>ROUND(R7285,2)</f>
        <v>170.1</v>
      </c>
      <c r="AN7281" s="528">
        <f>ROUND(T7285,2)</f>
        <v>0</v>
      </c>
      <c r="AO7281" s="529">
        <f>ROUND(AM7281+AN7281,2)*A7281</f>
        <v>3572.1</v>
      </c>
      <c r="AR7281" s="747">
        <v>21</v>
      </c>
      <c r="AS7281" s="1146">
        <v>202.65</v>
      </c>
    </row>
    <row r="7282" spans="1:45" s="520" customFormat="1" ht="13.2">
      <c r="A7282" s="748"/>
      <c r="B7282"/>
      <c r="C7282" s="748"/>
      <c r="D7282" s="749" t="s">
        <v>1928</v>
      </c>
      <c r="F7282" s="753"/>
      <c r="G7282" s="3"/>
      <c r="H7282" s="753"/>
      <c r="I7282" s="754"/>
      <c r="J7282" s="753"/>
      <c r="K7282" s="753" t="s">
        <v>144</v>
      </c>
      <c r="L7282" s="753"/>
      <c r="M7282" s="753"/>
      <c r="N7282" s="753"/>
      <c r="O7282" s="753"/>
      <c r="P7282" s="753"/>
      <c r="Q7282" s="51"/>
      <c r="R7282" s="530"/>
      <c r="S7282" s="757"/>
      <c r="T7282" s="753"/>
      <c r="AR7282" s="748"/>
      <c r="AS7282" s="753"/>
    </row>
    <row r="7283" spans="1:45" s="901" customFormat="1" ht="13.2">
      <c r="A7283" s="903">
        <v>21</v>
      </c>
      <c r="B7283" s="904" t="s">
        <v>863</v>
      </c>
      <c r="C7283" s="904"/>
      <c r="D7283" s="904" t="s">
        <v>2594</v>
      </c>
      <c r="E7283" s="904"/>
      <c r="F7283" s="904" t="s">
        <v>4139</v>
      </c>
      <c r="G7283" s="905" t="s">
        <v>2595</v>
      </c>
      <c r="H7283" s="902">
        <v>960</v>
      </c>
      <c r="I7283" s="904" t="s">
        <v>2596</v>
      </c>
      <c r="J7283" s="904"/>
      <c r="K7283" s="904"/>
      <c r="L7283" s="904"/>
      <c r="M7283" s="904"/>
      <c r="N7283" s="904"/>
      <c r="O7283" s="902">
        <v>4</v>
      </c>
      <c r="P7283" s="906">
        <v>38274</v>
      </c>
      <c r="Q7283" s="1415">
        <f>9*0.9</f>
        <v>8.1</v>
      </c>
      <c r="R7283" s="908">
        <f>$A7283*Q7283</f>
        <v>170.1</v>
      </c>
      <c r="S7283" s="907"/>
      <c r="T7283" s="909">
        <f>$A7283*S7283*$T$1</f>
        <v>0</v>
      </c>
      <c r="AR7283" s="903">
        <v>21</v>
      </c>
      <c r="AS7283" s="904" t="s">
        <v>3507</v>
      </c>
    </row>
    <row r="7284" spans="1:45" s="520" customFormat="1" ht="12">
      <c r="A7284" s="758"/>
      <c r="B7284" s="758"/>
      <c r="C7284" s="758"/>
      <c r="D7284" s="758"/>
      <c r="E7284" s="758"/>
      <c r="F7284" s="753"/>
      <c r="G7284" s="758"/>
      <c r="H7284" s="758"/>
      <c r="I7284" s="519"/>
      <c r="J7284" s="758"/>
      <c r="K7284" s="758"/>
      <c r="L7284" s="758"/>
      <c r="M7284" s="758"/>
      <c r="N7284" s="758"/>
      <c r="O7284" s="758"/>
      <c r="P7284" s="758"/>
      <c r="Q7284" s="519"/>
      <c r="R7284" s="759">
        <f t="shared" ref="R7284" si="644">$A7284*Q7284</f>
        <v>0</v>
      </c>
      <c r="S7284" s="519"/>
      <c r="T7284" s="760">
        <f t="shared" ref="T7284" si="645">$A7284*S7284*$T$1</f>
        <v>0</v>
      </c>
      <c r="AR7284" s="758"/>
      <c r="AS7284" s="753"/>
    </row>
    <row r="7285" spans="1:45" s="520" customFormat="1" ht="12.6" thickBot="1">
      <c r="A7285" s="761" t="s">
        <v>145</v>
      </c>
      <c r="B7285" s="762">
        <f>(R7284+T7284)</f>
        <v>0</v>
      </c>
      <c r="C7285" s="763"/>
      <c r="D7285" s="763"/>
      <c r="E7285" s="763"/>
      <c r="F7285" s="764"/>
      <c r="G7285" s="763" t="s">
        <v>146</v>
      </c>
      <c r="H7285" s="763"/>
      <c r="I7285" s="765"/>
      <c r="J7285" s="763"/>
      <c r="K7285" s="763" t="s">
        <v>5</v>
      </c>
      <c r="L7285" s="766" t="s">
        <v>143</v>
      </c>
      <c r="M7285" s="766"/>
      <c r="N7285" s="766"/>
      <c r="O7285" s="766"/>
      <c r="P7285" s="766"/>
      <c r="Q7285" s="767"/>
      <c r="R7285" s="768">
        <f>SUM(R7282:R7284)</f>
        <v>170.1</v>
      </c>
      <c r="S7285" s="763"/>
      <c r="T7285" s="768">
        <f>SUM(T7282:T7284)</f>
        <v>0</v>
      </c>
      <c r="U7285" s="531"/>
      <c r="V7285" s="531"/>
      <c r="W7285" s="531"/>
      <c r="X7285" s="531"/>
      <c r="Y7285" s="531"/>
      <c r="Z7285" s="531"/>
      <c r="AA7285" s="531"/>
      <c r="AB7285" s="531"/>
      <c r="AC7285" s="531"/>
      <c r="AD7285" s="531"/>
      <c r="AE7285" s="531"/>
      <c r="AF7285" s="531"/>
      <c r="AG7285" s="531"/>
      <c r="AH7285" s="531"/>
      <c r="AI7285" s="531"/>
      <c r="AJ7285" s="531"/>
      <c r="AK7285" s="531"/>
      <c r="AL7285" s="531"/>
      <c r="AM7285" s="531"/>
      <c r="AN7285" s="531"/>
      <c r="AO7285" s="531"/>
      <c r="AR7285" s="761" t="s">
        <v>145</v>
      </c>
      <c r="AS7285" s="764"/>
    </row>
    <row r="7286" spans="1:45" s="520" customFormat="1" ht="12" thickTop="1">
      <c r="A7286" s="51"/>
      <c r="B7286" s="41"/>
      <c r="C7286" s="51"/>
      <c r="E7286" s="42" t="s">
        <v>138</v>
      </c>
      <c r="F7286" s="42" t="s">
        <v>139</v>
      </c>
      <c r="G7286" s="51"/>
      <c r="H7286" s="51"/>
      <c r="I7286" s="51"/>
      <c r="J7286" s="51"/>
      <c r="K7286" s="51" t="s">
        <v>140</v>
      </c>
      <c r="L7286" s="51"/>
      <c r="M7286" s="51"/>
      <c r="N7286" s="51"/>
      <c r="O7286" s="52"/>
      <c r="P7286" s="51"/>
      <c r="Q7286" s="51"/>
      <c r="R7286" s="51"/>
      <c r="S7286" s="51"/>
      <c r="T7286" s="41"/>
      <c r="AG7286" s="521" t="s">
        <v>268</v>
      </c>
      <c r="AH7286" s="521" t="s">
        <v>269</v>
      </c>
      <c r="AI7286" s="521" t="s">
        <v>270</v>
      </c>
      <c r="AJ7286" s="521" t="s">
        <v>271</v>
      </c>
      <c r="AK7286" s="521" t="s">
        <v>272</v>
      </c>
      <c r="AM7286" s="745" t="s">
        <v>281</v>
      </c>
      <c r="AN7286" s="746" t="s">
        <v>282</v>
      </c>
      <c r="AO7286" s="522" t="s">
        <v>278</v>
      </c>
      <c r="AR7286" s="51"/>
      <c r="AS7286" s="42" t="s">
        <v>139</v>
      </c>
    </row>
    <row r="7287" spans="1:45" s="520" customFormat="1" ht="12" customHeight="1">
      <c r="A7287" s="747">
        <v>21</v>
      </c>
      <c r="B7287" s="523" t="s">
        <v>957</v>
      </c>
      <c r="C7287" s="748"/>
      <c r="D7287" s="749" t="s">
        <v>3952</v>
      </c>
      <c r="E7287" s="1145">
        <f>IF(AND($A7287=0,$A$1="DIF"),0, ROUND(ROUND(($R7291*$S$3+($T7291*$T$3))/$A7287,2)*$C$3,2))</f>
        <v>3.05</v>
      </c>
      <c r="F7287" s="1146">
        <f>ROUND($A7287*$E7287,2)</f>
        <v>64.05</v>
      </c>
      <c r="G7287" s="752" t="s">
        <v>142</v>
      </c>
      <c r="H7287" s="753"/>
      <c r="I7287" s="754"/>
      <c r="J7287" s="753"/>
      <c r="K7287" s="753" t="s">
        <v>5</v>
      </c>
      <c r="L7287" s="755" t="s">
        <v>143</v>
      </c>
      <c r="M7287" s="755"/>
      <c r="N7287" s="755"/>
      <c r="O7287" s="755"/>
      <c r="P7287" s="755"/>
      <c r="Q7287" s="51"/>
      <c r="T7287" s="1150" t="str">
        <f>IF(AND($R7291=0,$T7291=0),"0.00","mu: "&amp; ROUND(F7287/$C$3/($R7291+$T7291*$D$9),2))</f>
        <v>mu: 1.13</v>
      </c>
      <c r="W7287" s="524"/>
      <c r="AG7287" s="1147">
        <f>IF($E7287=0,0,ROUND($R7291*$S$3*$C$3/$A7287,2))</f>
        <v>3.05</v>
      </c>
      <c r="AH7287" s="1147">
        <f>$AG7287*$A7287</f>
        <v>64.05</v>
      </c>
      <c r="AI7287" s="1148">
        <f>$E7287-$AG7287</f>
        <v>0</v>
      </c>
      <c r="AJ7287" s="1148">
        <f>$A7287*$AI7287</f>
        <v>0</v>
      </c>
      <c r="AK7287" s="1149">
        <f>ROUND(($AG7287+$AI7287)*$A7287,2)</f>
        <v>64.05</v>
      </c>
      <c r="AM7287" s="527">
        <f>ROUND(R7291,2)</f>
        <v>56.7</v>
      </c>
      <c r="AN7287" s="528">
        <f>ROUND(T7291,2)</f>
        <v>0</v>
      </c>
      <c r="AO7287" s="529">
        <f>ROUND(AM7287+AN7287,2)*A7287</f>
        <v>1190.7</v>
      </c>
      <c r="AR7287" s="747">
        <v>21</v>
      </c>
      <c r="AS7287" s="1146">
        <v>67.62</v>
      </c>
    </row>
    <row r="7288" spans="1:45" s="520" customFormat="1" ht="13.2">
      <c r="A7288" s="748"/>
      <c r="B7288"/>
      <c r="C7288" s="748"/>
      <c r="D7288" s="749" t="s">
        <v>958</v>
      </c>
      <c r="F7288" s="753"/>
      <c r="G7288" s="3"/>
      <c r="H7288" s="753"/>
      <c r="I7288" s="754"/>
      <c r="J7288" s="753"/>
      <c r="K7288" s="753" t="s">
        <v>144</v>
      </c>
      <c r="L7288" s="753"/>
      <c r="M7288" s="753"/>
      <c r="N7288" s="753"/>
      <c r="O7288" s="753"/>
      <c r="P7288" s="753"/>
      <c r="Q7288" s="51"/>
      <c r="R7288" s="530"/>
      <c r="S7288" s="757"/>
      <c r="T7288" s="753"/>
      <c r="AR7288" s="748"/>
      <c r="AS7288" s="753"/>
    </row>
    <row r="7289" spans="1:45" s="901" customFormat="1" ht="13.2">
      <c r="A7289" s="903">
        <v>21</v>
      </c>
      <c r="B7289" s="904" t="s">
        <v>863</v>
      </c>
      <c r="C7289" s="904"/>
      <c r="D7289" s="904" t="s">
        <v>2594</v>
      </c>
      <c r="E7289" s="904"/>
      <c r="F7289" s="904" t="s">
        <v>4139</v>
      </c>
      <c r="G7289" s="905" t="s">
        <v>2595</v>
      </c>
      <c r="H7289" s="902">
        <v>960</v>
      </c>
      <c r="I7289" s="904" t="s">
        <v>2596</v>
      </c>
      <c r="J7289" s="904"/>
      <c r="K7289" s="904"/>
      <c r="L7289" s="904"/>
      <c r="M7289" s="904"/>
      <c r="N7289" s="904"/>
      <c r="O7289" s="902">
        <v>4</v>
      </c>
      <c r="P7289" s="906">
        <v>38274</v>
      </c>
      <c r="Q7289" s="1415">
        <f>3*0.9</f>
        <v>2.7</v>
      </c>
      <c r="R7289" s="908">
        <f>$A7289*Q7289</f>
        <v>56.7</v>
      </c>
      <c r="S7289" s="907"/>
      <c r="T7289" s="909">
        <f>$A7289*S7289*$T$1</f>
        <v>0</v>
      </c>
      <c r="AR7289" s="903">
        <v>21</v>
      </c>
      <c r="AS7289" s="904" t="s">
        <v>3507</v>
      </c>
    </row>
    <row r="7290" spans="1:45" s="520" customFormat="1" ht="12">
      <c r="A7290" s="758"/>
      <c r="B7290" s="758"/>
      <c r="C7290" s="758"/>
      <c r="D7290" s="758"/>
      <c r="E7290" s="758"/>
      <c r="F7290" s="753"/>
      <c r="G7290" s="758"/>
      <c r="H7290" s="758"/>
      <c r="I7290" s="519"/>
      <c r="J7290" s="758"/>
      <c r="K7290" s="758"/>
      <c r="L7290" s="758"/>
      <c r="M7290" s="758"/>
      <c r="N7290" s="758"/>
      <c r="O7290" s="758"/>
      <c r="P7290" s="758"/>
      <c r="Q7290" s="519"/>
      <c r="R7290" s="759">
        <f t="shared" ref="R7290" si="646">$A7290*Q7290</f>
        <v>0</v>
      </c>
      <c r="S7290" s="519"/>
      <c r="T7290" s="760">
        <f t="shared" ref="T7290" si="647">$A7290*S7290*$T$1</f>
        <v>0</v>
      </c>
      <c r="AR7290" s="758"/>
      <c r="AS7290" s="753"/>
    </row>
    <row r="7291" spans="1:45" s="520" customFormat="1" ht="12.6" thickBot="1">
      <c r="A7291" s="761" t="s">
        <v>145</v>
      </c>
      <c r="B7291" s="762">
        <f>(R7290+T7290)</f>
        <v>0</v>
      </c>
      <c r="C7291" s="763"/>
      <c r="D7291" s="763"/>
      <c r="E7291" s="763"/>
      <c r="F7291" s="764"/>
      <c r="G7291" s="763" t="s">
        <v>146</v>
      </c>
      <c r="H7291" s="763"/>
      <c r="I7291" s="765"/>
      <c r="J7291" s="763"/>
      <c r="K7291" s="763" t="s">
        <v>5</v>
      </c>
      <c r="L7291" s="766" t="s">
        <v>143</v>
      </c>
      <c r="M7291" s="766"/>
      <c r="N7291" s="766"/>
      <c r="O7291" s="766"/>
      <c r="P7291" s="766"/>
      <c r="Q7291" s="767"/>
      <c r="R7291" s="768">
        <f>SUM(R7288:R7290)</f>
        <v>56.7</v>
      </c>
      <c r="S7291" s="763"/>
      <c r="T7291" s="768">
        <f>SUM(T7288:T7290)</f>
        <v>0</v>
      </c>
      <c r="U7291" s="531"/>
      <c r="V7291" s="531"/>
      <c r="W7291" s="531"/>
      <c r="X7291" s="531"/>
      <c r="Y7291" s="531"/>
      <c r="Z7291" s="531"/>
      <c r="AA7291" s="531"/>
      <c r="AB7291" s="531"/>
      <c r="AC7291" s="531"/>
      <c r="AD7291" s="531"/>
      <c r="AE7291" s="531"/>
      <c r="AF7291" s="531"/>
      <c r="AG7291" s="531"/>
      <c r="AH7291" s="531"/>
      <c r="AI7291" s="531"/>
      <c r="AJ7291" s="531"/>
      <c r="AK7291" s="531"/>
      <c r="AL7291" s="531"/>
      <c r="AM7291" s="531"/>
      <c r="AN7291" s="531"/>
      <c r="AO7291" s="531"/>
      <c r="AR7291" s="761" t="s">
        <v>145</v>
      </c>
      <c r="AS7291" s="764"/>
    </row>
    <row r="7292" spans="1:45" s="520" customFormat="1" thickTop="1">
      <c r="A7292" s="51"/>
      <c r="B7292" s="51"/>
      <c r="C7292" s="3"/>
      <c r="D7292" s="3"/>
      <c r="E7292" s="51"/>
      <c r="F7292" s="51"/>
      <c r="G7292" s="51"/>
      <c r="H7292" s="51"/>
      <c r="I7292" s="51"/>
      <c r="J7292" s="51"/>
      <c r="K7292" s="51" t="s">
        <v>134</v>
      </c>
      <c r="L7292" s="51"/>
      <c r="M7292" s="51"/>
      <c r="N7292" s="51"/>
      <c r="O7292" s="52"/>
      <c r="P7292" s="51"/>
      <c r="Q7292" s="51"/>
      <c r="R7292" s="51"/>
      <c r="S7292" s="51"/>
      <c r="T7292" s="51"/>
      <c r="AR7292" s="51"/>
      <c r="AS7292" s="51"/>
    </row>
    <row r="7293" spans="1:45" s="520" customFormat="1" ht="12">
      <c r="A7293" s="51"/>
      <c r="B7293" s="51"/>
      <c r="C7293" s="51" t="s">
        <v>135</v>
      </c>
      <c r="D7293" s="37"/>
      <c r="E7293" s="51"/>
      <c r="F7293" s="51"/>
      <c r="G7293" s="51"/>
      <c r="H7293" s="51"/>
      <c r="I7293" s="51"/>
      <c r="J7293" s="51"/>
      <c r="K7293" s="51"/>
      <c r="L7293" s="51"/>
      <c r="M7293" s="51"/>
      <c r="N7293" s="51"/>
      <c r="O7293" s="52"/>
      <c r="P7293" s="51"/>
      <c r="Q7293" s="51"/>
      <c r="R7293" s="51"/>
      <c r="S7293" s="51"/>
      <c r="T7293" s="51"/>
      <c r="AR7293" s="51"/>
      <c r="AS7293" s="51"/>
    </row>
    <row r="7294" spans="1:45" s="520" customFormat="1" ht="12">
      <c r="A7294" s="51"/>
      <c r="B7294" s="51"/>
      <c r="C7294" s="51"/>
      <c r="D7294" s="37" t="s">
        <v>993</v>
      </c>
      <c r="E7294" s="51"/>
      <c r="F7294" s="51"/>
      <c r="G7294" s="51"/>
      <c r="H7294" s="51"/>
      <c r="I7294" s="51"/>
      <c r="J7294" s="51"/>
      <c r="K7294" s="51"/>
      <c r="L7294" s="51"/>
      <c r="M7294" s="51"/>
      <c r="N7294" s="51"/>
      <c r="O7294" s="52"/>
      <c r="P7294" s="51"/>
      <c r="Q7294" s="51"/>
      <c r="R7294" s="51"/>
      <c r="S7294" s="38"/>
      <c r="T7294" s="38"/>
      <c r="AR7294" s="51"/>
      <c r="AS7294" s="51"/>
    </row>
    <row r="7295" spans="1:45" s="3" customFormat="1" thickBot="1">
      <c r="A7295" s="531"/>
      <c r="O7295" s="107"/>
      <c r="AR7295" s="531"/>
    </row>
    <row r="7296" spans="1:45" s="520" customFormat="1" thickTop="1">
      <c r="A7296" s="51"/>
      <c r="B7296" s="51"/>
      <c r="C7296" s="3"/>
      <c r="D7296" s="3"/>
      <c r="E7296" s="51"/>
      <c r="F7296" s="51"/>
      <c r="G7296" s="51"/>
      <c r="H7296" s="51"/>
      <c r="I7296" s="51"/>
      <c r="J7296" s="51"/>
      <c r="K7296" s="51" t="s">
        <v>134</v>
      </c>
      <c r="L7296" s="51"/>
      <c r="M7296" s="51"/>
      <c r="N7296" s="51"/>
      <c r="O7296" s="52"/>
      <c r="P7296" s="51"/>
      <c r="Q7296" s="51"/>
      <c r="R7296" s="51"/>
      <c r="S7296" s="51"/>
      <c r="T7296" s="51"/>
      <c r="AR7296" s="51"/>
      <c r="AS7296" s="51"/>
    </row>
    <row r="7297" spans="1:45" s="520" customFormat="1" ht="12">
      <c r="A7297" s="51"/>
      <c r="B7297" s="51"/>
      <c r="C7297" s="51" t="s">
        <v>135</v>
      </c>
      <c r="D7297" s="37"/>
      <c r="E7297" s="51"/>
      <c r="F7297" s="51"/>
      <c r="G7297" s="51"/>
      <c r="H7297" s="51"/>
      <c r="I7297" s="51"/>
      <c r="J7297" s="51"/>
      <c r="K7297" s="51"/>
      <c r="L7297" s="51"/>
      <c r="M7297" s="51"/>
      <c r="N7297" s="51"/>
      <c r="O7297" s="52"/>
      <c r="P7297" s="51"/>
      <c r="Q7297" s="51"/>
      <c r="R7297" s="51"/>
      <c r="S7297" s="51"/>
      <c r="T7297" s="51"/>
      <c r="AR7297" s="51"/>
      <c r="AS7297" s="51"/>
    </row>
    <row r="7298" spans="1:45" s="520" customFormat="1" ht="39.9" customHeight="1">
      <c r="A7298" s="51"/>
      <c r="B7298" s="51"/>
      <c r="C7298" s="51"/>
      <c r="D7298" s="1453" t="s">
        <v>1997</v>
      </c>
      <c r="E7298" s="1452"/>
      <c r="F7298" s="1452"/>
      <c r="G7298" s="1452"/>
      <c r="H7298" s="1452"/>
      <c r="I7298" s="1452"/>
      <c r="J7298" s="1452"/>
      <c r="K7298" s="1452"/>
      <c r="L7298" s="1452"/>
      <c r="M7298" s="1452"/>
      <c r="N7298" s="1452"/>
      <c r="O7298" s="1452"/>
      <c r="P7298" s="1452"/>
      <c r="Q7298" s="1452"/>
      <c r="R7298" s="1452"/>
      <c r="S7298" s="1452"/>
      <c r="T7298" s="1452"/>
      <c r="AR7298" s="51"/>
    </row>
    <row r="7299" spans="1:45" s="3" customFormat="1" thickBot="1">
      <c r="A7299" s="531"/>
      <c r="O7299" s="107"/>
      <c r="AR7299" s="531"/>
    </row>
    <row r="7300" spans="1:45" s="520" customFormat="1" ht="12" thickTop="1">
      <c r="A7300" s="51"/>
      <c r="B7300" s="41"/>
      <c r="C7300" s="51"/>
      <c r="E7300" s="42" t="s">
        <v>138</v>
      </c>
      <c r="F7300" s="42" t="s">
        <v>139</v>
      </c>
      <c r="G7300" s="51"/>
      <c r="H7300" s="51"/>
      <c r="I7300" s="51"/>
      <c r="J7300" s="51"/>
      <c r="K7300" s="51" t="s">
        <v>140</v>
      </c>
      <c r="L7300" s="51"/>
      <c r="M7300" s="51"/>
      <c r="N7300" s="51"/>
      <c r="O7300" s="52"/>
      <c r="P7300" s="51"/>
      <c r="Q7300" s="51"/>
      <c r="R7300" s="51"/>
      <c r="S7300" s="51"/>
      <c r="T7300" s="41"/>
      <c r="AG7300" s="521" t="s">
        <v>268</v>
      </c>
      <c r="AH7300" s="521" t="s">
        <v>269</v>
      </c>
      <c r="AI7300" s="521" t="s">
        <v>270</v>
      </c>
      <c r="AJ7300" s="521" t="s">
        <v>271</v>
      </c>
      <c r="AK7300" s="521" t="s">
        <v>272</v>
      </c>
      <c r="AM7300" s="745" t="s">
        <v>281</v>
      </c>
      <c r="AN7300" s="746" t="s">
        <v>282</v>
      </c>
      <c r="AO7300" s="522" t="s">
        <v>278</v>
      </c>
      <c r="AR7300" s="51"/>
      <c r="AS7300" s="42" t="s">
        <v>139</v>
      </c>
    </row>
    <row r="7301" spans="1:45" s="520" customFormat="1" ht="12" customHeight="1">
      <c r="A7301" s="747">
        <v>1</v>
      </c>
      <c r="B7301" s="523" t="s">
        <v>329</v>
      </c>
      <c r="C7301" s="748"/>
      <c r="D7301" s="749" t="s">
        <v>3953</v>
      </c>
      <c r="E7301" s="750">
        <f ca="1">IF(AND($A7301=0,$A$1="DIF"),0, ROUND(ROUND(($R7306*$S$2+($T7306*$T$2))/A7301,2)*$C$2,2))</f>
        <v>47.94</v>
      </c>
      <c r="F7301" s="751">
        <f ca="1">ROUND($A7301*$E7301,2)</f>
        <v>47.94</v>
      </c>
      <c r="G7301" s="752" t="s">
        <v>142</v>
      </c>
      <c r="H7301" s="753"/>
      <c r="I7301" s="754"/>
      <c r="J7301" s="753"/>
      <c r="K7301" s="753" t="s">
        <v>3</v>
      </c>
      <c r="L7301" s="755" t="s">
        <v>143</v>
      </c>
      <c r="M7301" s="755"/>
      <c r="N7301" s="755"/>
      <c r="O7301" s="755"/>
      <c r="P7301" s="755"/>
      <c r="Q7301" s="51"/>
      <c r="T7301" s="756" t="str">
        <f ca="1">IF(AND($R7306=0,$T7306=0),"0.00","mu :" &amp; ROUND($F7301/$C$2/($R7306+$T7306*$D$9),2))</f>
        <v>mu :1.23</v>
      </c>
      <c r="W7301" s="524"/>
      <c r="AG7301" s="481">
        <f ca="1">IF($E7301=0,0,ROUND($R7306*$S$2*$C$2/$A7301,2))</f>
        <v>15.15</v>
      </c>
      <c r="AH7301" s="481">
        <f ca="1">$AG7301*$A7301</f>
        <v>15.15</v>
      </c>
      <c r="AI7301" s="525">
        <f ca="1">$E7301-$AG7301</f>
        <v>32.79</v>
      </c>
      <c r="AJ7301" s="525">
        <f ca="1">$A7301*$AI7301</f>
        <v>32.79</v>
      </c>
      <c r="AK7301" s="526">
        <f ca="1">ROUND(($AG7301+$AI7301)*$A7301,2)</f>
        <v>47.94</v>
      </c>
      <c r="AM7301" s="527">
        <f ca="1">ROUND(R7306,2)</f>
        <v>12.3</v>
      </c>
      <c r="AN7301" s="528">
        <f ca="1">ROUND(T7306,2)</f>
        <v>0.97</v>
      </c>
      <c r="AO7301" s="529">
        <f ca="1">ROUND(AM7301+AN7301,2)*A7301</f>
        <v>13.27</v>
      </c>
      <c r="AR7301" s="747">
        <v>1</v>
      </c>
      <c r="AS7301" s="751">
        <v>51.66</v>
      </c>
    </row>
    <row r="7302" spans="1:45" s="520" customFormat="1" ht="13.2">
      <c r="A7302" s="748"/>
      <c r="B7302"/>
      <c r="C7302" s="748"/>
      <c r="D7302" s="749" t="s">
        <v>947</v>
      </c>
      <c r="F7302" s="753"/>
      <c r="G7302" s="3"/>
      <c r="H7302" s="753"/>
      <c r="I7302" s="754"/>
      <c r="J7302" s="753"/>
      <c r="K7302" s="753" t="s">
        <v>144</v>
      </c>
      <c r="L7302" s="753"/>
      <c r="M7302" s="753"/>
      <c r="N7302" s="753"/>
      <c r="O7302" s="753"/>
      <c r="P7302" s="753"/>
      <c r="Q7302" s="51"/>
      <c r="R7302" s="530"/>
      <c r="S7302" s="757"/>
      <c r="T7302" s="753"/>
      <c r="AR7302" s="748"/>
      <c r="AS7302" s="753"/>
    </row>
    <row r="7303" spans="1:45" s="886" customFormat="1" ht="17.100000000000001" customHeight="1">
      <c r="A7303"/>
      <c r="B7303" s="910"/>
      <c r="C7303" s="910" t="s">
        <v>2597</v>
      </c>
      <c r="D7303" s="910" t="str">
        <f ca="1">CELL("Address",Elec_Rates!D$1017)</f>
        <v>[E25_0062_Quintano_Foods_Elec_ELV_As_Awarded.xlsx]Elec_Rates!$D$1017</v>
      </c>
      <c r="E7303" s="911"/>
      <c r="F7303" s="911"/>
      <c r="G7303" s="912" t="s">
        <v>2598</v>
      </c>
      <c r="H7303" s="912"/>
      <c r="I7303" s="912"/>
      <c r="J7303" s="912"/>
      <c r="K7303" s="913"/>
      <c r="L7303" s="911"/>
      <c r="M7303" s="911"/>
      <c r="N7303" s="911"/>
      <c r="O7303" s="914"/>
      <c r="P7303" s="911"/>
      <c r="Q7303" s="915"/>
      <c r="R7303" s="916"/>
      <c r="S7303" s="915"/>
      <c r="T7303" s="917"/>
      <c r="U7303" s="918"/>
      <c r="AR7303"/>
      <c r="AS7303" s="911"/>
    </row>
    <row r="7304" spans="1:45" s="886" customFormat="1" ht="11.4">
      <c r="A7304" s="919">
        <v>1</v>
      </c>
      <c r="B7304" s="920">
        <v>1</v>
      </c>
      <c r="C7304" s="920">
        <f>$A7304*$B7304</f>
        <v>1</v>
      </c>
      <c r="D7304" s="921" t="str">
        <f>Elec_Rates!$D$1017</f>
        <v>090# LSZH Conduit point for Data</v>
      </c>
      <c r="E7304" s="921"/>
      <c r="F7304" s="921" t="s">
        <v>2599</v>
      </c>
      <c r="G7304" s="922" t="s">
        <v>2600</v>
      </c>
      <c r="H7304" s="922"/>
      <c r="I7304" s="922"/>
      <c r="J7304" s="922"/>
      <c r="K7304" s="923"/>
      <c r="L7304" s="918"/>
      <c r="M7304" s="918"/>
      <c r="N7304" s="918"/>
      <c r="O7304" s="924"/>
      <c r="P7304" s="921"/>
      <c r="Q7304" s="925">
        <f ca="1">$B7304*Elec_Rates!$R$1017</f>
        <v>12.3</v>
      </c>
      <c r="R7304" s="916">
        <f ca="1">$A7304*Q7304</f>
        <v>12.3</v>
      </c>
      <c r="S7304" s="925">
        <f ca="1">$B7304*Elec_Rates!$T$1017</f>
        <v>0.97</v>
      </c>
      <c r="T7304" s="917">
        <f ca="1">$A7304*S7304</f>
        <v>0.97</v>
      </c>
      <c r="U7304" s="926"/>
      <c r="AR7304" s="919">
        <v>1</v>
      </c>
      <c r="AS7304" s="921" t="s">
        <v>2599</v>
      </c>
    </row>
    <row r="7305" spans="1:45" s="520" customFormat="1" ht="12">
      <c r="A7305" s="758"/>
      <c r="B7305" s="758"/>
      <c r="C7305" s="758"/>
      <c r="D7305" s="758"/>
      <c r="E7305" s="758"/>
      <c r="F7305" s="753"/>
      <c r="G7305" s="758"/>
      <c r="H7305" s="758"/>
      <c r="I7305" s="519"/>
      <c r="J7305" s="758"/>
      <c r="K7305" s="758"/>
      <c r="L7305" s="758"/>
      <c r="M7305" s="758"/>
      <c r="N7305" s="758"/>
      <c r="O7305" s="758"/>
      <c r="P7305" s="758"/>
      <c r="Q7305" s="519"/>
      <c r="R7305" s="759">
        <f t="shared" ref="R7305" si="648">$A7305*Q7305</f>
        <v>0</v>
      </c>
      <c r="S7305" s="519"/>
      <c r="T7305" s="760">
        <f t="shared" ref="T7305" si="649">$A7305*S7305*$T$1</f>
        <v>0</v>
      </c>
      <c r="AR7305" s="758"/>
      <c r="AS7305" s="753"/>
    </row>
    <row r="7306" spans="1:45" s="520" customFormat="1" ht="12.6" thickBot="1">
      <c r="A7306" s="761" t="s">
        <v>145</v>
      </c>
      <c r="B7306" s="762">
        <f>(R7305+T7305)</f>
        <v>0</v>
      </c>
      <c r="C7306" s="763"/>
      <c r="D7306" s="763"/>
      <c r="E7306" s="763"/>
      <c r="F7306" s="764"/>
      <c r="G7306" s="763" t="s">
        <v>146</v>
      </c>
      <c r="H7306" s="763"/>
      <c r="I7306" s="765"/>
      <c r="J7306" s="763"/>
      <c r="K7306" s="763" t="s">
        <v>3</v>
      </c>
      <c r="L7306" s="766" t="s">
        <v>143</v>
      </c>
      <c r="M7306" s="766"/>
      <c r="N7306" s="766"/>
      <c r="O7306" s="766"/>
      <c r="P7306" s="766"/>
      <c r="Q7306" s="767"/>
      <c r="R7306" s="768">
        <f ca="1">SUM(R7302:R7305)</f>
        <v>12.3</v>
      </c>
      <c r="S7306" s="763"/>
      <c r="T7306" s="768">
        <f ca="1">SUM(T7302:T7305)</f>
        <v>0.97</v>
      </c>
      <c r="U7306" s="531"/>
      <c r="V7306" s="531"/>
      <c r="W7306" s="531"/>
      <c r="X7306" s="531"/>
      <c r="Y7306" s="531"/>
      <c r="Z7306" s="531"/>
      <c r="AA7306" s="531"/>
      <c r="AB7306" s="531"/>
      <c r="AC7306" s="531"/>
      <c r="AD7306" s="531"/>
      <c r="AE7306" s="531"/>
      <c r="AF7306" s="531"/>
      <c r="AG7306" s="531"/>
      <c r="AH7306" s="531"/>
      <c r="AI7306" s="531"/>
      <c r="AJ7306" s="531"/>
      <c r="AK7306" s="531"/>
      <c r="AL7306" s="531"/>
      <c r="AM7306" s="531"/>
      <c r="AN7306" s="531"/>
      <c r="AO7306" s="531"/>
      <c r="AR7306" s="761" t="s">
        <v>145</v>
      </c>
      <c r="AS7306" s="764"/>
    </row>
    <row r="7307" spans="1:45" s="520" customFormat="1" thickTop="1">
      <c r="A7307" s="51"/>
      <c r="B7307" s="51"/>
      <c r="C7307" s="3"/>
      <c r="D7307" s="3"/>
      <c r="E7307" s="51"/>
      <c r="F7307" s="51"/>
      <c r="G7307" s="51"/>
      <c r="H7307" s="51"/>
      <c r="I7307" s="51"/>
      <c r="J7307" s="51"/>
      <c r="K7307" s="51" t="s">
        <v>134</v>
      </c>
      <c r="L7307" s="51"/>
      <c r="M7307" s="51"/>
      <c r="N7307" s="51"/>
      <c r="O7307" s="52"/>
      <c r="P7307" s="51"/>
      <c r="Q7307" s="51"/>
      <c r="R7307" s="51"/>
      <c r="S7307" s="51"/>
      <c r="T7307" s="51"/>
      <c r="AR7307" s="51"/>
      <c r="AS7307" s="51"/>
    </row>
    <row r="7308" spans="1:45" s="520" customFormat="1" ht="12">
      <c r="A7308" s="51"/>
      <c r="B7308" s="51"/>
      <c r="C7308" s="51" t="s">
        <v>135</v>
      </c>
      <c r="D7308" s="37"/>
      <c r="E7308" s="51"/>
      <c r="F7308" s="51"/>
      <c r="G7308" s="51"/>
      <c r="H7308" s="51"/>
      <c r="I7308" s="51"/>
      <c r="J7308" s="51"/>
      <c r="K7308" s="51"/>
      <c r="L7308" s="51"/>
      <c r="M7308" s="51"/>
      <c r="N7308" s="51"/>
      <c r="O7308" s="52"/>
      <c r="P7308" s="51"/>
      <c r="Q7308" s="51"/>
      <c r="R7308" s="51"/>
      <c r="S7308" s="51"/>
      <c r="T7308" s="51"/>
      <c r="AR7308" s="51"/>
      <c r="AS7308" s="51"/>
    </row>
    <row r="7309" spans="1:45" s="520" customFormat="1" ht="39.9" customHeight="1">
      <c r="A7309" s="51"/>
      <c r="B7309" s="51"/>
      <c r="C7309" s="51"/>
      <c r="D7309" s="1453" t="s">
        <v>992</v>
      </c>
      <c r="E7309" s="1452"/>
      <c r="F7309" s="1452"/>
      <c r="G7309" s="1452"/>
      <c r="H7309" s="1452"/>
      <c r="I7309" s="1452"/>
      <c r="J7309" s="1452"/>
      <c r="K7309" s="1452"/>
      <c r="L7309" s="1452"/>
      <c r="M7309" s="1452"/>
      <c r="N7309" s="1452"/>
      <c r="O7309" s="1452"/>
      <c r="P7309" s="1452"/>
      <c r="Q7309" s="1452"/>
      <c r="R7309" s="1452"/>
      <c r="S7309" s="1452"/>
      <c r="T7309" s="1452"/>
      <c r="AR7309" s="51"/>
    </row>
    <row r="7310" spans="1:45" s="3" customFormat="1" thickBot="1">
      <c r="A7310" s="531"/>
      <c r="O7310" s="107"/>
      <c r="AR7310" s="531"/>
    </row>
    <row r="7311" spans="1:45" s="520" customFormat="1" ht="12" thickTop="1">
      <c r="A7311" s="51"/>
      <c r="B7311" s="41"/>
      <c r="C7311" s="51"/>
      <c r="E7311" s="42" t="s">
        <v>138</v>
      </c>
      <c r="F7311" s="42" t="s">
        <v>139</v>
      </c>
      <c r="G7311" s="51"/>
      <c r="H7311" s="51"/>
      <c r="I7311" s="51"/>
      <c r="J7311" s="51"/>
      <c r="K7311" s="51" t="s">
        <v>140</v>
      </c>
      <c r="L7311" s="51"/>
      <c r="M7311" s="51"/>
      <c r="N7311" s="51"/>
      <c r="O7311" s="52"/>
      <c r="P7311" s="51"/>
      <c r="Q7311" s="51"/>
      <c r="R7311" s="51"/>
      <c r="S7311" s="51"/>
      <c r="T7311" s="41"/>
      <c r="AG7311" s="521" t="s">
        <v>268</v>
      </c>
      <c r="AH7311" s="521" t="s">
        <v>269</v>
      </c>
      <c r="AI7311" s="521" t="s">
        <v>270</v>
      </c>
      <c r="AJ7311" s="521" t="s">
        <v>271</v>
      </c>
      <c r="AK7311" s="521" t="s">
        <v>272</v>
      </c>
      <c r="AM7311" s="745" t="s">
        <v>281</v>
      </c>
      <c r="AN7311" s="746" t="s">
        <v>282</v>
      </c>
      <c r="AO7311" s="522" t="s">
        <v>278</v>
      </c>
      <c r="AR7311" s="51"/>
      <c r="AS7311" s="42" t="s">
        <v>139</v>
      </c>
    </row>
    <row r="7312" spans="1:45" s="520" customFormat="1" ht="12" customHeight="1">
      <c r="A7312" s="747">
        <v>1</v>
      </c>
      <c r="B7312" s="523" t="s">
        <v>329</v>
      </c>
      <c r="C7312" s="748"/>
      <c r="D7312" s="749" t="s">
        <v>3954</v>
      </c>
      <c r="E7312" s="1145">
        <f>IF(AND($A7312=0,$A$1="DIF"),0, ROUND(ROUND(($R7316*$S$3+($T7316*$T$3))/$A7312,2)*$C$3,2))</f>
        <v>64</v>
      </c>
      <c r="F7312" s="1146">
        <f>ROUND($A7312*$E7312,2)</f>
        <v>64</v>
      </c>
      <c r="G7312" s="752" t="s">
        <v>142</v>
      </c>
      <c r="H7312" s="753"/>
      <c r="I7312" s="754"/>
      <c r="J7312" s="753"/>
      <c r="K7312" s="753" t="s">
        <v>5</v>
      </c>
      <c r="L7312" s="755" t="s">
        <v>143</v>
      </c>
      <c r="M7312" s="755"/>
      <c r="N7312" s="755"/>
      <c r="O7312" s="755"/>
      <c r="P7312" s="755"/>
      <c r="Q7312" s="51"/>
      <c r="T7312" s="1150" t="str">
        <f>IF(AND($R7316=0,$T7316=0),"0.00","mu: "&amp; ROUND(F7312/$C$3/($R7316+$T7316*$D$9),2))</f>
        <v>mu: 1.13</v>
      </c>
      <c r="W7312" s="524"/>
      <c r="AG7312" s="1147">
        <f>IF($E7312=0,0,ROUND($R7316*$S$3*$C$3/$A7312,2))</f>
        <v>64</v>
      </c>
      <c r="AH7312" s="1147">
        <f>$AG7312*$A7312</f>
        <v>64</v>
      </c>
      <c r="AI7312" s="1148">
        <f>$E7312-$AG7312</f>
        <v>0</v>
      </c>
      <c r="AJ7312" s="1148">
        <f>$A7312*$AI7312</f>
        <v>0</v>
      </c>
      <c r="AK7312" s="1149">
        <f>ROUND(($AG7312+$AI7312)*$A7312,2)</f>
        <v>64</v>
      </c>
      <c r="AM7312" s="527">
        <f>ROUND(R7316,2)</f>
        <v>56.7</v>
      </c>
      <c r="AN7312" s="528">
        <f>ROUND(T7316,2)</f>
        <v>0</v>
      </c>
      <c r="AO7312" s="529">
        <f>ROUND(AM7312+AN7312,2)*A7312</f>
        <v>56.7</v>
      </c>
      <c r="AR7312" s="747">
        <v>1</v>
      </c>
      <c r="AS7312" s="1146">
        <v>101.87</v>
      </c>
    </row>
    <row r="7313" spans="1:45" s="520" customFormat="1" ht="13.2">
      <c r="A7313" s="748"/>
      <c r="B7313"/>
      <c r="C7313" s="748"/>
      <c r="D7313" s="749" t="s">
        <v>949</v>
      </c>
      <c r="F7313" s="753"/>
      <c r="G7313" s="3"/>
      <c r="H7313" s="753"/>
      <c r="I7313" s="754"/>
      <c r="J7313" s="753"/>
      <c r="K7313" s="753" t="s">
        <v>144</v>
      </c>
      <c r="L7313" s="753"/>
      <c r="M7313" s="753"/>
      <c r="N7313" s="753"/>
      <c r="O7313" s="753"/>
      <c r="P7313" s="753"/>
      <c r="Q7313" s="51"/>
      <c r="R7313" s="530"/>
      <c r="S7313" s="757"/>
      <c r="T7313" s="753"/>
      <c r="AR7313" s="748"/>
      <c r="AS7313" s="753"/>
    </row>
    <row r="7314" spans="1:45" s="901" customFormat="1" ht="13.2">
      <c r="A7314" s="903">
        <v>1</v>
      </c>
      <c r="B7314" s="904" t="s">
        <v>863</v>
      </c>
      <c r="C7314" s="904"/>
      <c r="D7314" s="904" t="s">
        <v>2594</v>
      </c>
      <c r="E7314" s="904"/>
      <c r="F7314" s="904" t="s">
        <v>4139</v>
      </c>
      <c r="G7314" s="905" t="s">
        <v>2595</v>
      </c>
      <c r="H7314" s="902">
        <v>960</v>
      </c>
      <c r="I7314" s="904" t="s">
        <v>2596</v>
      </c>
      <c r="J7314" s="904"/>
      <c r="K7314" s="904"/>
      <c r="L7314" s="904"/>
      <c r="M7314" s="904"/>
      <c r="N7314" s="904"/>
      <c r="O7314" s="902">
        <v>4</v>
      </c>
      <c r="P7314" s="906">
        <v>38274</v>
      </c>
      <c r="Q7314" s="1415">
        <f>1.05*60*0.9</f>
        <v>56.7</v>
      </c>
      <c r="R7314" s="908">
        <f>$A7314*Q7314</f>
        <v>56.7</v>
      </c>
      <c r="S7314" s="907"/>
      <c r="T7314" s="909">
        <f>$A7314*S7314*$T$1</f>
        <v>0</v>
      </c>
      <c r="AR7314" s="903">
        <v>1</v>
      </c>
      <c r="AS7314" s="904" t="s">
        <v>3507</v>
      </c>
    </row>
    <row r="7315" spans="1:45" s="520" customFormat="1" ht="12">
      <c r="A7315" s="758"/>
      <c r="B7315" s="758"/>
      <c r="C7315" s="758"/>
      <c r="D7315" s="758"/>
      <c r="E7315" s="758"/>
      <c r="F7315" s="753"/>
      <c r="G7315" s="758"/>
      <c r="H7315" s="758"/>
      <c r="I7315" s="519"/>
      <c r="J7315" s="758"/>
      <c r="K7315" s="758"/>
      <c r="L7315" s="758"/>
      <c r="M7315" s="758"/>
      <c r="N7315" s="758"/>
      <c r="O7315" s="758"/>
      <c r="P7315" s="758"/>
      <c r="Q7315" s="519"/>
      <c r="R7315" s="759">
        <f t="shared" ref="R7315" si="650">$A7315*Q7315</f>
        <v>0</v>
      </c>
      <c r="S7315" s="519"/>
      <c r="T7315" s="760">
        <f t="shared" ref="T7315" si="651">$A7315*S7315*$T$1</f>
        <v>0</v>
      </c>
      <c r="AR7315" s="758"/>
      <c r="AS7315" s="753"/>
    </row>
    <row r="7316" spans="1:45" s="520" customFormat="1" ht="12.6" thickBot="1">
      <c r="A7316" s="761" t="s">
        <v>145</v>
      </c>
      <c r="B7316" s="762">
        <f>(R7315+T7315)</f>
        <v>0</v>
      </c>
      <c r="C7316" s="763"/>
      <c r="D7316" s="763"/>
      <c r="E7316" s="763"/>
      <c r="F7316" s="764"/>
      <c r="G7316" s="763" t="s">
        <v>146</v>
      </c>
      <c r="H7316" s="763"/>
      <c r="I7316" s="765"/>
      <c r="J7316" s="763"/>
      <c r="K7316" s="763" t="s">
        <v>5</v>
      </c>
      <c r="L7316" s="766" t="s">
        <v>143</v>
      </c>
      <c r="M7316" s="766"/>
      <c r="N7316" s="766"/>
      <c r="O7316" s="766"/>
      <c r="P7316" s="766"/>
      <c r="Q7316" s="767"/>
      <c r="R7316" s="768">
        <f>SUM(R7313:R7315)</f>
        <v>56.7</v>
      </c>
      <c r="S7316" s="763"/>
      <c r="T7316" s="768">
        <f>SUM(T7313:T7315)</f>
        <v>0</v>
      </c>
      <c r="U7316" s="531"/>
      <c r="V7316" s="531"/>
      <c r="W7316" s="531"/>
      <c r="X7316" s="531"/>
      <c r="Y7316" s="531"/>
      <c r="Z7316" s="531"/>
      <c r="AA7316" s="531"/>
      <c r="AB7316" s="531"/>
      <c r="AC7316" s="531"/>
      <c r="AD7316" s="531"/>
      <c r="AE7316" s="531"/>
      <c r="AF7316" s="531"/>
      <c r="AG7316" s="531"/>
      <c r="AH7316" s="531"/>
      <c r="AI7316" s="531"/>
      <c r="AJ7316" s="531"/>
      <c r="AK7316" s="531"/>
      <c r="AL7316" s="531"/>
      <c r="AM7316" s="531"/>
      <c r="AN7316" s="531"/>
      <c r="AO7316" s="531"/>
      <c r="AR7316" s="761" t="s">
        <v>145</v>
      </c>
      <c r="AS7316" s="764"/>
    </row>
    <row r="7317" spans="1:45" s="520" customFormat="1" thickTop="1">
      <c r="A7317" s="51"/>
      <c r="B7317" s="51"/>
      <c r="C7317" s="3"/>
      <c r="D7317" s="3"/>
      <c r="E7317" s="51"/>
      <c r="F7317" s="51"/>
      <c r="G7317" s="51"/>
      <c r="H7317" s="51"/>
      <c r="I7317" s="51"/>
      <c r="J7317" s="51"/>
      <c r="K7317" s="51" t="s">
        <v>134</v>
      </c>
      <c r="L7317" s="51"/>
      <c r="M7317" s="51"/>
      <c r="N7317" s="51"/>
      <c r="O7317" s="52"/>
      <c r="P7317" s="51"/>
      <c r="Q7317" s="51"/>
      <c r="R7317" s="51"/>
      <c r="S7317" s="51"/>
      <c r="T7317" s="51"/>
      <c r="AR7317" s="51"/>
      <c r="AS7317" s="51"/>
    </row>
    <row r="7318" spans="1:45" s="520" customFormat="1" ht="12">
      <c r="A7318" s="51"/>
      <c r="B7318" s="51"/>
      <c r="C7318" s="51" t="s">
        <v>135</v>
      </c>
      <c r="D7318" s="37"/>
      <c r="E7318" s="51"/>
      <c r="F7318" s="51"/>
      <c r="G7318" s="51"/>
      <c r="H7318" s="51"/>
      <c r="I7318" s="51"/>
      <c r="J7318" s="51"/>
      <c r="K7318" s="51"/>
      <c r="L7318" s="51"/>
      <c r="M7318" s="51"/>
      <c r="N7318" s="51"/>
      <c r="O7318" s="52"/>
      <c r="P7318" s="51"/>
      <c r="Q7318" s="51"/>
      <c r="R7318" s="51"/>
      <c r="S7318" s="51"/>
      <c r="T7318" s="51"/>
      <c r="AR7318" s="51"/>
      <c r="AS7318" s="51"/>
    </row>
    <row r="7319" spans="1:45" s="520" customFormat="1" ht="12">
      <c r="A7319" s="51"/>
      <c r="B7319" s="51"/>
      <c r="C7319" s="51"/>
      <c r="D7319" s="37" t="s">
        <v>1952</v>
      </c>
      <c r="E7319" s="51"/>
      <c r="F7319" s="51"/>
      <c r="G7319" s="51"/>
      <c r="H7319" s="51"/>
      <c r="I7319" s="51"/>
      <c r="J7319" s="51"/>
      <c r="K7319" s="51"/>
      <c r="L7319" s="51"/>
      <c r="M7319" s="51"/>
      <c r="N7319" s="51"/>
      <c r="O7319" s="52"/>
      <c r="P7319" s="51"/>
      <c r="Q7319" s="51"/>
      <c r="R7319" s="51"/>
      <c r="S7319" s="38"/>
      <c r="T7319" s="38"/>
      <c r="AR7319" s="51"/>
      <c r="AS7319" s="51"/>
    </row>
    <row r="7320" spans="1:45" s="3" customFormat="1" thickBot="1">
      <c r="A7320" s="531"/>
      <c r="O7320" s="107"/>
      <c r="AR7320" s="531"/>
    </row>
    <row r="7321" spans="1:45" s="520" customFormat="1" ht="12" thickTop="1">
      <c r="A7321" s="51"/>
      <c r="B7321" s="41"/>
      <c r="C7321" s="51"/>
      <c r="E7321" s="42" t="s">
        <v>138</v>
      </c>
      <c r="F7321" s="42" t="s">
        <v>139</v>
      </c>
      <c r="G7321" s="51"/>
      <c r="H7321" s="51"/>
      <c r="I7321" s="51"/>
      <c r="J7321" s="51"/>
      <c r="K7321" s="51" t="s">
        <v>140</v>
      </c>
      <c r="L7321" s="51"/>
      <c r="M7321" s="51"/>
      <c r="N7321" s="51"/>
      <c r="O7321" s="52"/>
      <c r="P7321" s="51"/>
      <c r="Q7321" s="51"/>
      <c r="R7321" s="51"/>
      <c r="S7321" s="51"/>
      <c r="T7321" s="41"/>
      <c r="AG7321" s="521" t="s">
        <v>268</v>
      </c>
      <c r="AH7321" s="521" t="s">
        <v>269</v>
      </c>
      <c r="AI7321" s="521" t="s">
        <v>270</v>
      </c>
      <c r="AJ7321" s="521" t="s">
        <v>271</v>
      </c>
      <c r="AK7321" s="521" t="s">
        <v>272</v>
      </c>
      <c r="AM7321" s="745" t="s">
        <v>281</v>
      </c>
      <c r="AN7321" s="746" t="s">
        <v>282</v>
      </c>
      <c r="AO7321" s="522" t="s">
        <v>278</v>
      </c>
      <c r="AR7321" s="51"/>
      <c r="AS7321" s="42" t="s">
        <v>139</v>
      </c>
    </row>
    <row r="7322" spans="1:45" s="520" customFormat="1" ht="12" customHeight="1">
      <c r="A7322" s="747">
        <v>1</v>
      </c>
      <c r="B7322" s="523" t="s">
        <v>329</v>
      </c>
      <c r="C7322" s="748"/>
      <c r="D7322" s="749" t="s">
        <v>3955</v>
      </c>
      <c r="E7322" s="1145">
        <f>IF(AND($A7322=0,$A$1="DIF"),0, ROUND(ROUND(($R7326*$S$3+($T7326*$T$3))/$A7322,2)*$C$3,2))</f>
        <v>5.08</v>
      </c>
      <c r="F7322" s="1146">
        <f>ROUND($A7322*$E7322,2)</f>
        <v>5.08</v>
      </c>
      <c r="G7322" s="752" t="s">
        <v>142</v>
      </c>
      <c r="H7322" s="753"/>
      <c r="I7322" s="754"/>
      <c r="J7322" s="753"/>
      <c r="K7322" s="753" t="s">
        <v>5</v>
      </c>
      <c r="L7322" s="755" t="s">
        <v>143</v>
      </c>
      <c r="M7322" s="755"/>
      <c r="N7322" s="755"/>
      <c r="O7322" s="755"/>
      <c r="P7322" s="755"/>
      <c r="Q7322" s="51"/>
      <c r="T7322" s="1150" t="str">
        <f>IF(AND($R7326=0,$T7326=0),"0.00","mu: "&amp; ROUND(F7322/$C$3/($R7326+$T7326*$D$9),2))</f>
        <v>mu: 1.13</v>
      </c>
      <c r="W7322" s="524"/>
      <c r="AG7322" s="1147">
        <f>IF($E7322=0,0,ROUND($R7326*$S$3*$C$3/$A7322,2))</f>
        <v>5.08</v>
      </c>
      <c r="AH7322" s="1147">
        <f>$AG7322*$A7322</f>
        <v>5.08</v>
      </c>
      <c r="AI7322" s="1148">
        <f>$E7322-$AG7322</f>
        <v>0</v>
      </c>
      <c r="AJ7322" s="1148">
        <f>$A7322*$AI7322</f>
        <v>0</v>
      </c>
      <c r="AK7322" s="1149">
        <f>ROUND(($AG7322+$AI7322)*$A7322,2)</f>
        <v>5.08</v>
      </c>
      <c r="AM7322" s="527">
        <f>ROUND(R7326,2)</f>
        <v>4.5</v>
      </c>
      <c r="AN7322" s="528">
        <f>ROUND(T7326,2)</f>
        <v>0</v>
      </c>
      <c r="AO7322" s="529">
        <f>ROUND(AM7322+AN7322,2)*A7322</f>
        <v>4.5</v>
      </c>
      <c r="AR7322" s="747">
        <v>1</v>
      </c>
      <c r="AS7322" s="1146">
        <v>5.36</v>
      </c>
    </row>
    <row r="7323" spans="1:45" s="520" customFormat="1" ht="13.2">
      <c r="A7323" s="748"/>
      <c r="B7323"/>
      <c r="C7323" s="748"/>
      <c r="D7323" s="749" t="s">
        <v>1924</v>
      </c>
      <c r="F7323" s="753"/>
      <c r="G7323" s="3"/>
      <c r="H7323" s="753"/>
      <c r="I7323" s="754"/>
      <c r="J7323" s="753"/>
      <c r="K7323" s="753" t="s">
        <v>144</v>
      </c>
      <c r="L7323" s="753"/>
      <c r="M7323" s="753"/>
      <c r="N7323" s="753"/>
      <c r="O7323" s="753"/>
      <c r="P7323" s="753"/>
      <c r="Q7323" s="51"/>
      <c r="R7323" s="530"/>
      <c r="S7323" s="757"/>
      <c r="T7323" s="753"/>
      <c r="AR7323" s="748"/>
      <c r="AS7323" s="753"/>
    </row>
    <row r="7324" spans="1:45" s="901" customFormat="1" ht="13.2">
      <c r="A7324" s="903">
        <v>1</v>
      </c>
      <c r="B7324" s="904" t="s">
        <v>863</v>
      </c>
      <c r="C7324" s="904"/>
      <c r="D7324" s="904" t="s">
        <v>2594</v>
      </c>
      <c r="E7324" s="904"/>
      <c r="F7324" s="904" t="s">
        <v>4139</v>
      </c>
      <c r="G7324" s="905" t="s">
        <v>2595</v>
      </c>
      <c r="H7324" s="902">
        <v>960</v>
      </c>
      <c r="I7324" s="904" t="s">
        <v>2596</v>
      </c>
      <c r="J7324" s="904"/>
      <c r="K7324" s="904"/>
      <c r="L7324" s="904"/>
      <c r="M7324" s="904"/>
      <c r="N7324" s="904"/>
      <c r="O7324" s="902">
        <v>4</v>
      </c>
      <c r="P7324" s="906">
        <v>38274</v>
      </c>
      <c r="Q7324" s="1415">
        <f>5*0.9</f>
        <v>4.5</v>
      </c>
      <c r="R7324" s="908">
        <f>$A7324*Q7324</f>
        <v>4.5</v>
      </c>
      <c r="S7324" s="907"/>
      <c r="T7324" s="909">
        <f>$A7324*S7324*$T$1</f>
        <v>0</v>
      </c>
      <c r="AR7324" s="903">
        <v>1</v>
      </c>
      <c r="AS7324" s="904" t="s">
        <v>3507</v>
      </c>
    </row>
    <row r="7325" spans="1:45" s="520" customFormat="1" ht="12">
      <c r="A7325" s="758"/>
      <c r="B7325" s="758"/>
      <c r="C7325" s="758"/>
      <c r="D7325" s="758"/>
      <c r="E7325" s="758"/>
      <c r="F7325" s="753"/>
      <c r="G7325" s="758"/>
      <c r="H7325" s="758"/>
      <c r="I7325" s="519"/>
      <c r="J7325" s="758"/>
      <c r="K7325" s="758"/>
      <c r="L7325" s="758"/>
      <c r="M7325" s="758"/>
      <c r="N7325" s="758"/>
      <c r="O7325" s="758"/>
      <c r="P7325" s="758"/>
      <c r="Q7325" s="519"/>
      <c r="R7325" s="759">
        <f t="shared" ref="R7325" si="652">$A7325*Q7325</f>
        <v>0</v>
      </c>
      <c r="S7325" s="519"/>
      <c r="T7325" s="760">
        <f t="shared" ref="T7325" si="653">$A7325*S7325*$T$1</f>
        <v>0</v>
      </c>
      <c r="AR7325" s="758"/>
      <c r="AS7325" s="753"/>
    </row>
    <row r="7326" spans="1:45" s="520" customFormat="1" ht="12.6" thickBot="1">
      <c r="A7326" s="761" t="s">
        <v>145</v>
      </c>
      <c r="B7326" s="762">
        <f>(R7325+T7325)</f>
        <v>0</v>
      </c>
      <c r="C7326" s="763"/>
      <c r="D7326" s="763"/>
      <c r="E7326" s="763"/>
      <c r="F7326" s="764"/>
      <c r="G7326" s="763" t="s">
        <v>146</v>
      </c>
      <c r="H7326" s="763"/>
      <c r="I7326" s="765"/>
      <c r="J7326" s="763"/>
      <c r="K7326" s="763" t="s">
        <v>5</v>
      </c>
      <c r="L7326" s="766" t="s">
        <v>143</v>
      </c>
      <c r="M7326" s="766"/>
      <c r="N7326" s="766"/>
      <c r="O7326" s="766"/>
      <c r="P7326" s="766"/>
      <c r="Q7326" s="767"/>
      <c r="R7326" s="768">
        <f>SUM(R7323:R7325)</f>
        <v>4.5</v>
      </c>
      <c r="S7326" s="763"/>
      <c r="T7326" s="768">
        <f>SUM(T7323:T7325)</f>
        <v>0</v>
      </c>
      <c r="U7326" s="531"/>
      <c r="V7326" s="531"/>
      <c r="W7326" s="531"/>
      <c r="X7326" s="531"/>
      <c r="Y7326" s="531"/>
      <c r="Z7326" s="531"/>
      <c r="AA7326" s="531"/>
      <c r="AB7326" s="531"/>
      <c r="AC7326" s="531"/>
      <c r="AD7326" s="531"/>
      <c r="AE7326" s="531"/>
      <c r="AF7326" s="531"/>
      <c r="AG7326" s="531"/>
      <c r="AH7326" s="531"/>
      <c r="AI7326" s="531"/>
      <c r="AJ7326" s="531"/>
      <c r="AK7326" s="531"/>
      <c r="AL7326" s="531"/>
      <c r="AM7326" s="531"/>
      <c r="AN7326" s="531"/>
      <c r="AO7326" s="531"/>
      <c r="AR7326" s="761" t="s">
        <v>145</v>
      </c>
      <c r="AS7326" s="764"/>
    </row>
    <row r="7327" spans="1:45" s="520" customFormat="1" ht="12" thickTop="1">
      <c r="A7327" s="51"/>
      <c r="B7327" s="41"/>
      <c r="C7327" s="51"/>
      <c r="E7327" s="42" t="s">
        <v>138</v>
      </c>
      <c r="F7327" s="42" t="s">
        <v>139</v>
      </c>
      <c r="G7327" s="51"/>
      <c r="H7327" s="51"/>
      <c r="I7327" s="51"/>
      <c r="J7327" s="51"/>
      <c r="K7327" s="51" t="s">
        <v>140</v>
      </c>
      <c r="L7327" s="51"/>
      <c r="M7327" s="51"/>
      <c r="N7327" s="51"/>
      <c r="O7327" s="52"/>
      <c r="P7327" s="51"/>
      <c r="Q7327" s="51"/>
      <c r="R7327" s="51"/>
      <c r="S7327" s="51"/>
      <c r="T7327" s="41"/>
      <c r="AG7327" s="521" t="s">
        <v>268</v>
      </c>
      <c r="AH7327" s="521" t="s">
        <v>269</v>
      </c>
      <c r="AI7327" s="521" t="s">
        <v>270</v>
      </c>
      <c r="AJ7327" s="521" t="s">
        <v>271</v>
      </c>
      <c r="AK7327" s="521" t="s">
        <v>272</v>
      </c>
      <c r="AM7327" s="745" t="s">
        <v>281</v>
      </c>
      <c r="AN7327" s="746" t="s">
        <v>282</v>
      </c>
      <c r="AO7327" s="522" t="s">
        <v>278</v>
      </c>
      <c r="AR7327" s="51"/>
      <c r="AS7327" s="42" t="s">
        <v>139</v>
      </c>
    </row>
    <row r="7328" spans="1:45" s="520" customFormat="1" ht="12" customHeight="1">
      <c r="A7328" s="747">
        <v>1</v>
      </c>
      <c r="B7328" s="523" t="s">
        <v>957</v>
      </c>
      <c r="C7328" s="748"/>
      <c r="D7328" s="749" t="s">
        <v>3956</v>
      </c>
      <c r="E7328" s="1145">
        <f>IF(AND($A7328=0,$A$1="DIF"),0, ROUND(ROUND(($R7332*$S$3+($T7332*$T$3))/$A7328,2)*$C$3,2))</f>
        <v>9.14</v>
      </c>
      <c r="F7328" s="1146">
        <f>ROUND($A7328*$E7328,2)</f>
        <v>9.14</v>
      </c>
      <c r="G7328" s="752" t="s">
        <v>142</v>
      </c>
      <c r="H7328" s="753"/>
      <c r="I7328" s="754"/>
      <c r="J7328" s="753"/>
      <c r="K7328" s="753" t="s">
        <v>5</v>
      </c>
      <c r="L7328" s="755" t="s">
        <v>143</v>
      </c>
      <c r="M7328" s="755"/>
      <c r="N7328" s="755"/>
      <c r="O7328" s="755"/>
      <c r="P7328" s="755"/>
      <c r="Q7328" s="51"/>
      <c r="T7328" s="1150" t="str">
        <f>IF(AND($R7332=0,$T7332=0),"0.00","mu: "&amp; ROUND(F7328/$C$3/($R7332+$T7332*$D$9),2))</f>
        <v>mu: 1.13</v>
      </c>
      <c r="W7328" s="524"/>
      <c r="AG7328" s="1147">
        <f>IF($E7328=0,0,ROUND($R7332*$S$3*$C$3/$A7328,2))</f>
        <v>9.14</v>
      </c>
      <c r="AH7328" s="1147">
        <f>$AG7328*$A7328</f>
        <v>9.14</v>
      </c>
      <c r="AI7328" s="1148">
        <f>$E7328-$AG7328</f>
        <v>0</v>
      </c>
      <c r="AJ7328" s="1148">
        <f>$A7328*$AI7328</f>
        <v>0</v>
      </c>
      <c r="AK7328" s="1149">
        <f>ROUND(($AG7328+$AI7328)*$A7328,2)</f>
        <v>9.14</v>
      </c>
      <c r="AM7328" s="527">
        <f>ROUND(R7332,2)</f>
        <v>8.1</v>
      </c>
      <c r="AN7328" s="528">
        <f>ROUND(T7332,2)</f>
        <v>0</v>
      </c>
      <c r="AO7328" s="529">
        <f>ROUND(AM7328+AN7328,2)*A7328</f>
        <v>8.1</v>
      </c>
      <c r="AR7328" s="747">
        <v>1</v>
      </c>
      <c r="AS7328" s="1146">
        <v>9.65</v>
      </c>
    </row>
    <row r="7329" spans="1:45" s="520" customFormat="1" ht="13.2">
      <c r="A7329" s="748"/>
      <c r="B7329"/>
      <c r="C7329" s="748"/>
      <c r="D7329" s="749" t="s">
        <v>1928</v>
      </c>
      <c r="F7329" s="753"/>
      <c r="G7329" s="3"/>
      <c r="H7329" s="753"/>
      <c r="I7329" s="754"/>
      <c r="J7329" s="753"/>
      <c r="K7329" s="753" t="s">
        <v>144</v>
      </c>
      <c r="L7329" s="753"/>
      <c r="M7329" s="753"/>
      <c r="N7329" s="753"/>
      <c r="O7329" s="753"/>
      <c r="P7329" s="753"/>
      <c r="Q7329" s="51"/>
      <c r="R7329" s="530"/>
      <c r="S7329" s="757"/>
      <c r="T7329" s="753"/>
      <c r="AR7329" s="748"/>
      <c r="AS7329" s="753"/>
    </row>
    <row r="7330" spans="1:45" s="901" customFormat="1" ht="13.2">
      <c r="A7330" s="903">
        <v>1</v>
      </c>
      <c r="B7330" s="904" t="s">
        <v>863</v>
      </c>
      <c r="C7330" s="904"/>
      <c r="D7330" s="904" t="s">
        <v>2594</v>
      </c>
      <c r="E7330" s="904"/>
      <c r="F7330" s="904" t="s">
        <v>4139</v>
      </c>
      <c r="G7330" s="905" t="s">
        <v>2595</v>
      </c>
      <c r="H7330" s="902">
        <v>960</v>
      </c>
      <c r="I7330" s="904" t="s">
        <v>2596</v>
      </c>
      <c r="J7330" s="904"/>
      <c r="K7330" s="904"/>
      <c r="L7330" s="904"/>
      <c r="M7330" s="904"/>
      <c r="N7330" s="904"/>
      <c r="O7330" s="902">
        <v>4</v>
      </c>
      <c r="P7330" s="906">
        <v>38274</v>
      </c>
      <c r="Q7330" s="1415">
        <f>9*0.9</f>
        <v>8.1</v>
      </c>
      <c r="R7330" s="908">
        <f>$A7330*Q7330</f>
        <v>8.1</v>
      </c>
      <c r="S7330" s="907"/>
      <c r="T7330" s="909">
        <f>$A7330*S7330*$T$1</f>
        <v>0</v>
      </c>
      <c r="AR7330" s="903">
        <v>1</v>
      </c>
      <c r="AS7330" s="904" t="s">
        <v>3507</v>
      </c>
    </row>
    <row r="7331" spans="1:45" s="520" customFormat="1" ht="12">
      <c r="A7331" s="758"/>
      <c r="B7331" s="758"/>
      <c r="C7331" s="758"/>
      <c r="D7331" s="758"/>
      <c r="E7331" s="758"/>
      <c r="F7331" s="753"/>
      <c r="G7331" s="758"/>
      <c r="H7331" s="758"/>
      <c r="I7331" s="519"/>
      <c r="J7331" s="758"/>
      <c r="K7331" s="758"/>
      <c r="L7331" s="758"/>
      <c r="M7331" s="758"/>
      <c r="N7331" s="758"/>
      <c r="O7331" s="758"/>
      <c r="P7331" s="758"/>
      <c r="Q7331" s="519"/>
      <c r="R7331" s="759">
        <f t="shared" ref="R7331" si="654">$A7331*Q7331</f>
        <v>0</v>
      </c>
      <c r="S7331" s="519"/>
      <c r="T7331" s="760">
        <f t="shared" ref="T7331" si="655">$A7331*S7331*$T$1</f>
        <v>0</v>
      </c>
      <c r="AR7331" s="758"/>
      <c r="AS7331" s="753"/>
    </row>
    <row r="7332" spans="1:45" s="520" customFormat="1" ht="12.6" thickBot="1">
      <c r="A7332" s="761" t="s">
        <v>145</v>
      </c>
      <c r="B7332" s="762">
        <f>(R7331+T7331)</f>
        <v>0</v>
      </c>
      <c r="C7332" s="763"/>
      <c r="D7332" s="763"/>
      <c r="E7332" s="763"/>
      <c r="F7332" s="764"/>
      <c r="G7332" s="763" t="s">
        <v>146</v>
      </c>
      <c r="H7332" s="763"/>
      <c r="I7332" s="765"/>
      <c r="J7332" s="763"/>
      <c r="K7332" s="763" t="s">
        <v>5</v>
      </c>
      <c r="L7332" s="766" t="s">
        <v>143</v>
      </c>
      <c r="M7332" s="766"/>
      <c r="N7332" s="766"/>
      <c r="O7332" s="766"/>
      <c r="P7332" s="766"/>
      <c r="Q7332" s="767"/>
      <c r="R7332" s="768">
        <f>SUM(R7329:R7331)</f>
        <v>8.1</v>
      </c>
      <c r="S7332" s="763"/>
      <c r="T7332" s="768">
        <f>SUM(T7329:T7331)</f>
        <v>0</v>
      </c>
      <c r="U7332" s="531"/>
      <c r="V7332" s="531"/>
      <c r="W7332" s="531"/>
      <c r="X7332" s="531"/>
      <c r="Y7332" s="531"/>
      <c r="Z7332" s="531"/>
      <c r="AA7332" s="531"/>
      <c r="AB7332" s="531"/>
      <c r="AC7332" s="531"/>
      <c r="AD7332" s="531"/>
      <c r="AE7332" s="531"/>
      <c r="AF7332" s="531"/>
      <c r="AG7332" s="531"/>
      <c r="AH7332" s="531"/>
      <c r="AI7332" s="531"/>
      <c r="AJ7332" s="531"/>
      <c r="AK7332" s="531"/>
      <c r="AL7332" s="531"/>
      <c r="AM7332" s="531"/>
      <c r="AN7332" s="531"/>
      <c r="AO7332" s="531"/>
      <c r="AR7332" s="761" t="s">
        <v>145</v>
      </c>
      <c r="AS7332" s="764"/>
    </row>
    <row r="7333" spans="1:45" s="520" customFormat="1" ht="12" thickTop="1">
      <c r="A7333" s="51"/>
      <c r="B7333" s="41"/>
      <c r="C7333" s="51"/>
      <c r="E7333" s="42" t="s">
        <v>138</v>
      </c>
      <c r="F7333" s="42" t="s">
        <v>139</v>
      </c>
      <c r="G7333" s="51"/>
      <c r="H7333" s="51"/>
      <c r="I7333" s="51"/>
      <c r="J7333" s="51"/>
      <c r="K7333" s="51" t="s">
        <v>140</v>
      </c>
      <c r="L7333" s="51"/>
      <c r="M7333" s="51"/>
      <c r="N7333" s="51"/>
      <c r="O7333" s="52"/>
      <c r="P7333" s="51"/>
      <c r="Q7333" s="51"/>
      <c r="R7333" s="51"/>
      <c r="S7333" s="51"/>
      <c r="T7333" s="41"/>
      <c r="AG7333" s="521" t="s">
        <v>268</v>
      </c>
      <c r="AH7333" s="521" t="s">
        <v>269</v>
      </c>
      <c r="AI7333" s="521" t="s">
        <v>270</v>
      </c>
      <c r="AJ7333" s="521" t="s">
        <v>271</v>
      </c>
      <c r="AK7333" s="521" t="s">
        <v>272</v>
      </c>
      <c r="AM7333" s="745" t="s">
        <v>281</v>
      </c>
      <c r="AN7333" s="746" t="s">
        <v>282</v>
      </c>
      <c r="AO7333" s="522" t="s">
        <v>278</v>
      </c>
      <c r="AR7333" s="51"/>
      <c r="AS7333" s="42" t="s">
        <v>139</v>
      </c>
    </row>
    <row r="7334" spans="1:45" s="520" customFormat="1" ht="12" customHeight="1">
      <c r="A7334" s="747">
        <v>1</v>
      </c>
      <c r="B7334" s="523" t="s">
        <v>957</v>
      </c>
      <c r="C7334" s="748"/>
      <c r="D7334" s="749" t="s">
        <v>3957</v>
      </c>
      <c r="E7334" s="1145">
        <f>IF(AND($A7334=0,$A$1="DIF"),0, ROUND(ROUND(($R7338*$S$3+($T7338*$T$3))/$A7334,2)*$C$3,2))</f>
        <v>3.05</v>
      </c>
      <c r="F7334" s="1146">
        <f>ROUND($A7334*$E7334,2)</f>
        <v>3.05</v>
      </c>
      <c r="G7334" s="752" t="s">
        <v>142</v>
      </c>
      <c r="H7334" s="753"/>
      <c r="I7334" s="754"/>
      <c r="J7334" s="753"/>
      <c r="K7334" s="753" t="s">
        <v>5</v>
      </c>
      <c r="L7334" s="755" t="s">
        <v>143</v>
      </c>
      <c r="M7334" s="755"/>
      <c r="N7334" s="755"/>
      <c r="O7334" s="755"/>
      <c r="P7334" s="755"/>
      <c r="Q7334" s="51"/>
      <c r="T7334" s="1150" t="str">
        <f>IF(AND($R7338=0,$T7338=0),"0.00","mu: "&amp; ROUND(F7334/$C$3/($R7338+$T7338*$D$9),2))</f>
        <v>mu: 1.13</v>
      </c>
      <c r="W7334" s="524"/>
      <c r="AG7334" s="1147">
        <f>IF($E7334=0,0,ROUND($R7338*$S$3*$C$3/$A7334,2))</f>
        <v>3.05</v>
      </c>
      <c r="AH7334" s="1147">
        <f>$AG7334*$A7334</f>
        <v>3.05</v>
      </c>
      <c r="AI7334" s="1148">
        <f>$E7334-$AG7334</f>
        <v>0</v>
      </c>
      <c r="AJ7334" s="1148">
        <f>$A7334*$AI7334</f>
        <v>0</v>
      </c>
      <c r="AK7334" s="1149">
        <f>ROUND(($AG7334+$AI7334)*$A7334,2)</f>
        <v>3.05</v>
      </c>
      <c r="AM7334" s="527">
        <f>ROUND(R7338,2)</f>
        <v>2.7</v>
      </c>
      <c r="AN7334" s="528">
        <f>ROUND(T7338,2)</f>
        <v>0</v>
      </c>
      <c r="AO7334" s="529">
        <f>ROUND(AM7334+AN7334,2)*A7334</f>
        <v>2.7</v>
      </c>
      <c r="AR7334" s="747">
        <v>1</v>
      </c>
      <c r="AS7334" s="1146">
        <v>3.22</v>
      </c>
    </row>
    <row r="7335" spans="1:45" s="520" customFormat="1" ht="13.2">
      <c r="A7335" s="748"/>
      <c r="B7335"/>
      <c r="C7335" s="748"/>
      <c r="D7335" s="749" t="s">
        <v>958</v>
      </c>
      <c r="F7335" s="753"/>
      <c r="G7335" s="3"/>
      <c r="H7335" s="753"/>
      <c r="I7335" s="754"/>
      <c r="J7335" s="753"/>
      <c r="K7335" s="753" t="s">
        <v>144</v>
      </c>
      <c r="L7335" s="753"/>
      <c r="M7335" s="753"/>
      <c r="N7335" s="753"/>
      <c r="O7335" s="753"/>
      <c r="P7335" s="753"/>
      <c r="Q7335" s="51"/>
      <c r="R7335" s="530"/>
      <c r="S7335" s="757"/>
      <c r="T7335" s="753"/>
      <c r="AR7335" s="748"/>
      <c r="AS7335" s="753"/>
    </row>
    <row r="7336" spans="1:45" s="901" customFormat="1" ht="13.2">
      <c r="A7336" s="903">
        <v>1</v>
      </c>
      <c r="B7336" s="904" t="s">
        <v>863</v>
      </c>
      <c r="C7336" s="904"/>
      <c r="D7336" s="904" t="s">
        <v>2594</v>
      </c>
      <c r="E7336" s="904"/>
      <c r="F7336" s="904" t="s">
        <v>4139</v>
      </c>
      <c r="G7336" s="905" t="s">
        <v>2595</v>
      </c>
      <c r="H7336" s="902">
        <v>960</v>
      </c>
      <c r="I7336" s="904" t="s">
        <v>2596</v>
      </c>
      <c r="J7336" s="904"/>
      <c r="K7336" s="904"/>
      <c r="L7336" s="904"/>
      <c r="M7336" s="904"/>
      <c r="N7336" s="904"/>
      <c r="O7336" s="902">
        <v>4</v>
      </c>
      <c r="P7336" s="906">
        <v>38274</v>
      </c>
      <c r="Q7336" s="1415">
        <f>3*0.9</f>
        <v>2.7</v>
      </c>
      <c r="R7336" s="908">
        <f>$A7336*Q7336</f>
        <v>2.7</v>
      </c>
      <c r="S7336" s="907"/>
      <c r="T7336" s="909">
        <f>$A7336*S7336*$T$1</f>
        <v>0</v>
      </c>
      <c r="AR7336" s="903">
        <v>1</v>
      </c>
      <c r="AS7336" s="904" t="s">
        <v>3507</v>
      </c>
    </row>
    <row r="7337" spans="1:45" s="520" customFormat="1" ht="12">
      <c r="A7337" s="758"/>
      <c r="B7337" s="758"/>
      <c r="C7337" s="758"/>
      <c r="D7337" s="758"/>
      <c r="E7337" s="758"/>
      <c r="F7337" s="753"/>
      <c r="G7337" s="758"/>
      <c r="H7337" s="758"/>
      <c r="I7337" s="519"/>
      <c r="J7337" s="758"/>
      <c r="K7337" s="758"/>
      <c r="L7337" s="758"/>
      <c r="M7337" s="758"/>
      <c r="N7337" s="758"/>
      <c r="O7337" s="758"/>
      <c r="P7337" s="758"/>
      <c r="Q7337" s="519"/>
      <c r="R7337" s="759">
        <f t="shared" ref="R7337" si="656">$A7337*Q7337</f>
        <v>0</v>
      </c>
      <c r="S7337" s="519"/>
      <c r="T7337" s="760">
        <f t="shared" ref="T7337" si="657">$A7337*S7337*$T$1</f>
        <v>0</v>
      </c>
      <c r="AR7337" s="758"/>
      <c r="AS7337" s="753"/>
    </row>
    <row r="7338" spans="1:45" s="520" customFormat="1" ht="12.6" thickBot="1">
      <c r="A7338" s="761" t="s">
        <v>145</v>
      </c>
      <c r="B7338" s="762">
        <f>(R7337+T7337)</f>
        <v>0</v>
      </c>
      <c r="C7338" s="763"/>
      <c r="D7338" s="763"/>
      <c r="E7338" s="763"/>
      <c r="F7338" s="764"/>
      <c r="G7338" s="763" t="s">
        <v>146</v>
      </c>
      <c r="H7338" s="763"/>
      <c r="I7338" s="765"/>
      <c r="J7338" s="763"/>
      <c r="K7338" s="763" t="s">
        <v>5</v>
      </c>
      <c r="L7338" s="766" t="s">
        <v>143</v>
      </c>
      <c r="M7338" s="766"/>
      <c r="N7338" s="766"/>
      <c r="O7338" s="766"/>
      <c r="P7338" s="766"/>
      <c r="Q7338" s="767"/>
      <c r="R7338" s="768">
        <f>SUM(R7335:R7337)</f>
        <v>2.7</v>
      </c>
      <c r="S7338" s="763"/>
      <c r="T7338" s="768">
        <f>SUM(T7335:T7337)</f>
        <v>0</v>
      </c>
      <c r="U7338" s="531"/>
      <c r="V7338" s="531"/>
      <c r="W7338" s="531"/>
      <c r="X7338" s="531"/>
      <c r="Y7338" s="531"/>
      <c r="Z7338" s="531"/>
      <c r="AA7338" s="531"/>
      <c r="AB7338" s="531"/>
      <c r="AC7338" s="531"/>
      <c r="AD7338" s="531"/>
      <c r="AE7338" s="531"/>
      <c r="AF7338" s="531"/>
      <c r="AG7338" s="531"/>
      <c r="AH7338" s="531"/>
      <c r="AI7338" s="531"/>
      <c r="AJ7338" s="531"/>
      <c r="AK7338" s="531"/>
      <c r="AL7338" s="531"/>
      <c r="AM7338" s="531"/>
      <c r="AN7338" s="531"/>
      <c r="AO7338" s="531"/>
      <c r="AR7338" s="761" t="s">
        <v>145</v>
      </c>
      <c r="AS7338" s="764"/>
    </row>
    <row r="7339" spans="1:45" s="520" customFormat="1" thickTop="1">
      <c r="A7339" s="51"/>
      <c r="B7339" s="51"/>
      <c r="C7339" s="3"/>
      <c r="D7339" s="3"/>
      <c r="E7339" s="51"/>
      <c r="F7339" s="51"/>
      <c r="G7339" s="51"/>
      <c r="H7339" s="51"/>
      <c r="I7339" s="51"/>
      <c r="J7339" s="51"/>
      <c r="K7339" s="51" t="s">
        <v>134</v>
      </c>
      <c r="L7339" s="51"/>
      <c r="M7339" s="51"/>
      <c r="N7339" s="51"/>
      <c r="O7339" s="52"/>
      <c r="P7339" s="51"/>
      <c r="Q7339" s="51"/>
      <c r="R7339" s="51"/>
      <c r="S7339" s="51"/>
      <c r="T7339" s="51"/>
      <c r="AR7339" s="51"/>
      <c r="AS7339" s="51"/>
    </row>
    <row r="7340" spans="1:45" s="520" customFormat="1" ht="12">
      <c r="A7340" s="51"/>
      <c r="B7340" s="51"/>
      <c r="C7340" s="51" t="s">
        <v>135</v>
      </c>
      <c r="D7340" s="37"/>
      <c r="E7340" s="51"/>
      <c r="F7340" s="51"/>
      <c r="G7340" s="51"/>
      <c r="H7340" s="51"/>
      <c r="I7340" s="51"/>
      <c r="J7340" s="51"/>
      <c r="K7340" s="51"/>
      <c r="L7340" s="51"/>
      <c r="M7340" s="51"/>
      <c r="N7340" s="51"/>
      <c r="O7340" s="52"/>
      <c r="P7340" s="51"/>
      <c r="Q7340" s="51"/>
      <c r="R7340" s="51"/>
      <c r="S7340" s="51"/>
      <c r="T7340" s="51"/>
      <c r="AR7340" s="51"/>
      <c r="AS7340" s="51"/>
    </row>
    <row r="7341" spans="1:45" s="520" customFormat="1" ht="12">
      <c r="A7341" s="51"/>
      <c r="B7341" s="51"/>
      <c r="C7341" s="51"/>
      <c r="D7341" s="37" t="s">
        <v>994</v>
      </c>
      <c r="E7341" s="51"/>
      <c r="F7341" s="51"/>
      <c r="G7341" s="51"/>
      <c r="H7341" s="51"/>
      <c r="I7341" s="51"/>
      <c r="J7341" s="51"/>
      <c r="K7341" s="51"/>
      <c r="L7341" s="51"/>
      <c r="M7341" s="51"/>
      <c r="N7341" s="51"/>
      <c r="O7341" s="52"/>
      <c r="P7341" s="51"/>
      <c r="Q7341" s="51"/>
      <c r="R7341" s="51"/>
      <c r="S7341" s="38"/>
      <c r="T7341" s="38"/>
      <c r="AR7341" s="51"/>
      <c r="AS7341" s="51"/>
    </row>
    <row r="7342" spans="1:45" s="3" customFormat="1" thickBot="1">
      <c r="A7342" s="531"/>
      <c r="O7342" s="107"/>
      <c r="AR7342" s="531"/>
    </row>
    <row r="7343" spans="1:45" s="520" customFormat="1" ht="12" thickTop="1">
      <c r="A7343" s="51"/>
      <c r="B7343" s="41"/>
      <c r="C7343" s="51"/>
      <c r="E7343" s="42" t="s">
        <v>138</v>
      </c>
      <c r="F7343" s="42" t="s">
        <v>139</v>
      </c>
      <c r="G7343" s="51"/>
      <c r="H7343" s="51"/>
      <c r="I7343" s="51"/>
      <c r="J7343" s="51"/>
      <c r="K7343" s="51" t="s">
        <v>140</v>
      </c>
      <c r="L7343" s="51"/>
      <c r="M7343" s="51"/>
      <c r="N7343" s="51"/>
      <c r="O7343" s="52"/>
      <c r="P7343" s="51"/>
      <c r="Q7343" s="51"/>
      <c r="R7343" s="51"/>
      <c r="S7343" s="51"/>
      <c r="T7343" s="41"/>
      <c r="AG7343" s="521" t="s">
        <v>268</v>
      </c>
      <c r="AH7343" s="521" t="s">
        <v>269</v>
      </c>
      <c r="AI7343" s="521" t="s">
        <v>270</v>
      </c>
      <c r="AJ7343" s="521" t="s">
        <v>271</v>
      </c>
      <c r="AK7343" s="521" t="s">
        <v>272</v>
      </c>
      <c r="AM7343" s="745" t="s">
        <v>281</v>
      </c>
      <c r="AN7343" s="746" t="s">
        <v>282</v>
      </c>
      <c r="AO7343" s="522" t="s">
        <v>278</v>
      </c>
      <c r="AR7343" s="51"/>
      <c r="AS7343" s="42" t="s">
        <v>139</v>
      </c>
    </row>
    <row r="7344" spans="1:45" s="520" customFormat="1" ht="12" customHeight="1">
      <c r="A7344" s="747">
        <v>1</v>
      </c>
      <c r="B7344" s="523" t="s">
        <v>329</v>
      </c>
      <c r="C7344" s="748"/>
      <c r="D7344" s="749" t="s">
        <v>3958</v>
      </c>
      <c r="E7344" s="1145">
        <f>IF(AND($A7344=0,$A$1="DIF"),0, ROUND(ROUND(($R7348*$S$3+($T7348*$T$3))/$A7344,2)*$C$3,2))</f>
        <v>909.19</v>
      </c>
      <c r="F7344" s="1146">
        <f>ROUND($A7344*$E7344,2)</f>
        <v>909.19</v>
      </c>
      <c r="G7344" s="752" t="s">
        <v>142</v>
      </c>
      <c r="H7344" s="753"/>
      <c r="I7344" s="754"/>
      <c r="J7344" s="753"/>
      <c r="K7344" s="753" t="s">
        <v>5</v>
      </c>
      <c r="L7344" s="755" t="s">
        <v>143</v>
      </c>
      <c r="M7344" s="755"/>
      <c r="N7344" s="755"/>
      <c r="O7344" s="755"/>
      <c r="P7344" s="755"/>
      <c r="Q7344" s="51"/>
      <c r="T7344" s="1150" t="str">
        <f>IF(AND($R7348=0,$T7348=0),"0.00","mu: "&amp; ROUND(F7344/$C$3/($R7348+$T7348*$D$9),2))</f>
        <v>mu: 1.13</v>
      </c>
      <c r="W7344" s="524"/>
      <c r="AG7344" s="1147">
        <f>IF($E7344=0,0,ROUND($R7348*$S$3*$C$3/$A7344,2))</f>
        <v>909.19</v>
      </c>
      <c r="AH7344" s="1147">
        <f>$AG7344*$A7344</f>
        <v>909.19</v>
      </c>
      <c r="AI7344" s="1148">
        <f>$E7344-$AG7344</f>
        <v>0</v>
      </c>
      <c r="AJ7344" s="1148">
        <f>$A7344*$AI7344</f>
        <v>0</v>
      </c>
      <c r="AK7344" s="1149">
        <f>ROUND(($AG7344+$AI7344)*$A7344,2)</f>
        <v>909.19</v>
      </c>
      <c r="AM7344" s="527">
        <f>ROUND(R7348,2)</f>
        <v>805.5</v>
      </c>
      <c r="AN7344" s="528">
        <f>ROUND(T7348,2)</f>
        <v>0</v>
      </c>
      <c r="AO7344" s="529">
        <f>ROUND(AM7344+AN7344,2)*A7344</f>
        <v>805.5</v>
      </c>
      <c r="AR7344" s="747">
        <v>1</v>
      </c>
      <c r="AS7344" s="1146">
        <v>959.7</v>
      </c>
    </row>
    <row r="7345" spans="1:45" s="520" customFormat="1" ht="13.2">
      <c r="A7345" s="748"/>
      <c r="B7345"/>
      <c r="C7345" s="748"/>
      <c r="D7345" s="749" t="s">
        <v>1972</v>
      </c>
      <c r="F7345" s="753"/>
      <c r="G7345" s="3"/>
      <c r="H7345" s="753"/>
      <c r="I7345" s="754"/>
      <c r="J7345" s="753"/>
      <c r="K7345" s="753" t="s">
        <v>144</v>
      </c>
      <c r="L7345" s="753"/>
      <c r="M7345" s="753"/>
      <c r="N7345" s="753"/>
      <c r="O7345" s="753"/>
      <c r="P7345" s="753"/>
      <c r="Q7345" s="51"/>
      <c r="R7345" s="530"/>
      <c r="S7345" s="757"/>
      <c r="T7345" s="753"/>
      <c r="AR7345" s="748"/>
      <c r="AS7345" s="753"/>
    </row>
    <row r="7346" spans="1:45" s="901" customFormat="1" ht="13.2">
      <c r="A7346" s="903">
        <v>1</v>
      </c>
      <c r="B7346" s="904" t="s">
        <v>863</v>
      </c>
      <c r="C7346" s="904"/>
      <c r="D7346" s="904" t="s">
        <v>2594</v>
      </c>
      <c r="E7346" s="904"/>
      <c r="F7346" s="904" t="s">
        <v>4139</v>
      </c>
      <c r="G7346" s="905" t="s">
        <v>2595</v>
      </c>
      <c r="H7346" s="902">
        <v>960</v>
      </c>
      <c r="I7346" s="904" t="s">
        <v>2596</v>
      </c>
      <c r="J7346" s="904"/>
      <c r="K7346" s="904"/>
      <c r="L7346" s="904"/>
      <c r="M7346" s="904"/>
      <c r="N7346" s="904"/>
      <c r="O7346" s="902">
        <v>4</v>
      </c>
      <c r="P7346" s="906">
        <v>38274</v>
      </c>
      <c r="Q7346" s="1415">
        <f>895*0.9</f>
        <v>805.5</v>
      </c>
      <c r="R7346" s="908">
        <f>$A7346*Q7346</f>
        <v>805.5</v>
      </c>
      <c r="S7346" s="907"/>
      <c r="T7346" s="909">
        <f>$A7346*S7346*$T$1</f>
        <v>0</v>
      </c>
      <c r="AR7346" s="903">
        <v>1</v>
      </c>
      <c r="AS7346" s="904" t="s">
        <v>3507</v>
      </c>
    </row>
    <row r="7347" spans="1:45" s="520" customFormat="1" ht="12">
      <c r="A7347" s="758"/>
      <c r="B7347" s="758"/>
      <c r="C7347" s="758"/>
      <c r="D7347" s="758"/>
      <c r="E7347" s="758"/>
      <c r="F7347" s="753"/>
      <c r="G7347" s="758"/>
      <c r="H7347" s="758"/>
      <c r="I7347" s="519"/>
      <c r="J7347" s="758"/>
      <c r="K7347" s="758"/>
      <c r="L7347" s="758"/>
      <c r="M7347" s="758"/>
      <c r="N7347" s="758"/>
      <c r="O7347" s="758"/>
      <c r="P7347" s="758"/>
      <c r="Q7347" s="519"/>
      <c r="R7347" s="759">
        <f t="shared" ref="R7347" si="658">$A7347*Q7347</f>
        <v>0</v>
      </c>
      <c r="S7347" s="519"/>
      <c r="T7347" s="760">
        <f t="shared" ref="T7347" si="659">$A7347*S7347*$T$1</f>
        <v>0</v>
      </c>
      <c r="AR7347" s="758"/>
      <c r="AS7347" s="753"/>
    </row>
    <row r="7348" spans="1:45" s="520" customFormat="1" ht="12.6" thickBot="1">
      <c r="A7348" s="761" t="s">
        <v>145</v>
      </c>
      <c r="B7348" s="762">
        <f>(R7347+T7347)</f>
        <v>0</v>
      </c>
      <c r="C7348" s="763"/>
      <c r="D7348" s="763"/>
      <c r="E7348" s="763"/>
      <c r="F7348" s="764"/>
      <c r="G7348" s="763" t="s">
        <v>146</v>
      </c>
      <c r="H7348" s="763"/>
      <c r="I7348" s="765"/>
      <c r="J7348" s="763"/>
      <c r="K7348" s="763" t="s">
        <v>5</v>
      </c>
      <c r="L7348" s="766" t="s">
        <v>143</v>
      </c>
      <c r="M7348" s="766"/>
      <c r="N7348" s="766"/>
      <c r="O7348" s="766"/>
      <c r="P7348" s="766"/>
      <c r="Q7348" s="767"/>
      <c r="R7348" s="768">
        <f>SUM(R7345:R7347)</f>
        <v>805.5</v>
      </c>
      <c r="S7348" s="763"/>
      <c r="T7348" s="768">
        <f>SUM(T7345:T7347)</f>
        <v>0</v>
      </c>
      <c r="U7348" s="531"/>
      <c r="V7348" s="531"/>
      <c r="W7348" s="531"/>
      <c r="X7348" s="531"/>
      <c r="Y7348" s="531"/>
      <c r="Z7348" s="531"/>
      <c r="AA7348" s="531"/>
      <c r="AB7348" s="531"/>
      <c r="AC7348" s="531"/>
      <c r="AD7348" s="531"/>
      <c r="AE7348" s="531"/>
      <c r="AF7348" s="531"/>
      <c r="AG7348" s="531"/>
      <c r="AH7348" s="531"/>
      <c r="AI7348" s="531"/>
      <c r="AJ7348" s="531"/>
      <c r="AK7348" s="531"/>
      <c r="AL7348" s="531"/>
      <c r="AM7348" s="531"/>
      <c r="AN7348" s="531"/>
      <c r="AO7348" s="531"/>
      <c r="AR7348" s="761" t="s">
        <v>145</v>
      </c>
      <c r="AS7348" s="764"/>
    </row>
    <row r="7349" spans="1:45" s="520" customFormat="1" ht="12" thickTop="1">
      <c r="A7349" s="51"/>
      <c r="B7349" s="41"/>
      <c r="C7349" s="51"/>
      <c r="E7349" s="42" t="s">
        <v>138</v>
      </c>
      <c r="F7349" s="42" t="s">
        <v>139</v>
      </c>
      <c r="G7349" s="51"/>
      <c r="H7349" s="51"/>
      <c r="I7349" s="51"/>
      <c r="J7349" s="51"/>
      <c r="K7349" s="51" t="s">
        <v>140</v>
      </c>
      <c r="L7349" s="51"/>
      <c r="M7349" s="51"/>
      <c r="N7349" s="51"/>
      <c r="O7349" s="52"/>
      <c r="P7349" s="51"/>
      <c r="Q7349" s="51"/>
      <c r="R7349" s="51"/>
      <c r="S7349" s="51"/>
      <c r="T7349" s="41"/>
      <c r="AG7349" s="521" t="s">
        <v>268</v>
      </c>
      <c r="AH7349" s="521" t="s">
        <v>269</v>
      </c>
      <c r="AI7349" s="521" t="s">
        <v>270</v>
      </c>
      <c r="AJ7349" s="521" t="s">
        <v>271</v>
      </c>
      <c r="AK7349" s="521" t="s">
        <v>272</v>
      </c>
      <c r="AM7349" s="745" t="s">
        <v>281</v>
      </c>
      <c r="AN7349" s="746" t="s">
        <v>282</v>
      </c>
      <c r="AO7349" s="522" t="s">
        <v>278</v>
      </c>
      <c r="AR7349" s="51"/>
      <c r="AS7349" s="42" t="s">
        <v>139</v>
      </c>
    </row>
    <row r="7350" spans="1:45" s="520" customFormat="1" ht="12" customHeight="1">
      <c r="A7350" s="747">
        <v>1</v>
      </c>
      <c r="B7350" s="523" t="s">
        <v>329</v>
      </c>
      <c r="C7350" s="748"/>
      <c r="D7350" s="749" t="s">
        <v>3959</v>
      </c>
      <c r="E7350" s="1145">
        <f>IF(AND($A7350=0,$A$1="DIF"),0, ROUND(ROUND(($R7354*$S$3+($T7354*$T$3))/$A7350,2)*$C$3,2))</f>
        <v>91.43</v>
      </c>
      <c r="F7350" s="1146">
        <f>ROUND($A7350*$E7350,2)</f>
        <v>91.43</v>
      </c>
      <c r="G7350" s="752" t="s">
        <v>142</v>
      </c>
      <c r="H7350" s="753"/>
      <c r="I7350" s="754"/>
      <c r="J7350" s="753"/>
      <c r="K7350" s="753" t="s">
        <v>5</v>
      </c>
      <c r="L7350" s="755" t="s">
        <v>143</v>
      </c>
      <c r="M7350" s="755"/>
      <c r="N7350" s="755"/>
      <c r="O7350" s="755"/>
      <c r="P7350" s="755"/>
      <c r="Q7350" s="51"/>
      <c r="T7350" s="1150" t="str">
        <f>IF(AND($R7354=0,$T7354=0),"0.00","mu: "&amp; ROUND(F7350/$C$3/($R7354+$T7354*$D$9),2))</f>
        <v>mu: 1.13</v>
      </c>
      <c r="W7350" s="524"/>
      <c r="AG7350" s="1147">
        <f>IF($E7350=0,0,ROUND($R7354*$S$3*$C$3/$A7350,2))</f>
        <v>91.43</v>
      </c>
      <c r="AH7350" s="1147">
        <f>$AG7350*$A7350</f>
        <v>91.43</v>
      </c>
      <c r="AI7350" s="1148">
        <f>$E7350-$AG7350</f>
        <v>0</v>
      </c>
      <c r="AJ7350" s="1148">
        <f>$A7350*$AI7350</f>
        <v>0</v>
      </c>
      <c r="AK7350" s="1149">
        <f>ROUND(($AG7350+$AI7350)*$A7350,2)</f>
        <v>91.43</v>
      </c>
      <c r="AM7350" s="527">
        <f>ROUND(R7354,2)</f>
        <v>81</v>
      </c>
      <c r="AN7350" s="528">
        <f>ROUND(T7354,2)</f>
        <v>0</v>
      </c>
      <c r="AO7350" s="529">
        <f>ROUND(AM7350+AN7350,2)*A7350</f>
        <v>81</v>
      </c>
      <c r="AR7350" s="747">
        <v>1</v>
      </c>
      <c r="AS7350" s="1146">
        <v>96.51</v>
      </c>
    </row>
    <row r="7351" spans="1:45" s="520" customFormat="1" ht="13.2">
      <c r="A7351" s="748"/>
      <c r="B7351"/>
      <c r="C7351" s="748"/>
      <c r="D7351" s="749" t="s">
        <v>962</v>
      </c>
      <c r="F7351" s="753"/>
      <c r="G7351" s="3"/>
      <c r="H7351" s="753"/>
      <c r="I7351" s="754"/>
      <c r="J7351" s="753"/>
      <c r="K7351" s="753" t="s">
        <v>144</v>
      </c>
      <c r="L7351" s="753"/>
      <c r="M7351" s="753"/>
      <c r="N7351" s="753"/>
      <c r="O7351" s="753"/>
      <c r="P7351" s="753"/>
      <c r="Q7351" s="51"/>
      <c r="R7351" s="530"/>
      <c r="S7351" s="757"/>
      <c r="T7351" s="753"/>
      <c r="AR7351" s="748"/>
      <c r="AS7351" s="753"/>
    </row>
    <row r="7352" spans="1:45" s="901" customFormat="1" ht="13.2">
      <c r="A7352" s="903">
        <v>1</v>
      </c>
      <c r="B7352" s="904" t="s">
        <v>863</v>
      </c>
      <c r="C7352" s="904"/>
      <c r="D7352" s="904" t="s">
        <v>2594</v>
      </c>
      <c r="E7352" s="904"/>
      <c r="F7352" s="904" t="s">
        <v>4139</v>
      </c>
      <c r="G7352" s="905" t="s">
        <v>2595</v>
      </c>
      <c r="H7352" s="902">
        <v>960</v>
      </c>
      <c r="I7352" s="904" t="s">
        <v>2596</v>
      </c>
      <c r="J7352" s="904"/>
      <c r="K7352" s="904"/>
      <c r="L7352" s="904"/>
      <c r="M7352" s="904"/>
      <c r="N7352" s="904"/>
      <c r="O7352" s="902">
        <v>4</v>
      </c>
      <c r="P7352" s="906">
        <v>38274</v>
      </c>
      <c r="Q7352" s="1415">
        <f>90*0.9</f>
        <v>81</v>
      </c>
      <c r="R7352" s="908">
        <f>$A7352*Q7352</f>
        <v>81</v>
      </c>
      <c r="S7352" s="907"/>
      <c r="T7352" s="909">
        <f>$A7352*S7352*$T$1</f>
        <v>0</v>
      </c>
      <c r="AR7352" s="903">
        <v>1</v>
      </c>
      <c r="AS7352" s="904" t="s">
        <v>3507</v>
      </c>
    </row>
    <row r="7353" spans="1:45" s="520" customFormat="1" ht="12">
      <c r="A7353" s="758"/>
      <c r="B7353" s="758"/>
      <c r="C7353" s="758"/>
      <c r="D7353" s="758"/>
      <c r="E7353" s="758"/>
      <c r="F7353" s="753"/>
      <c r="G7353" s="758"/>
      <c r="H7353" s="758"/>
      <c r="I7353" s="519"/>
      <c r="J7353" s="758"/>
      <c r="K7353" s="758"/>
      <c r="L7353" s="758"/>
      <c r="M7353" s="758"/>
      <c r="N7353" s="758"/>
      <c r="O7353" s="758"/>
      <c r="P7353" s="758"/>
      <c r="Q7353" s="519"/>
      <c r="R7353" s="759">
        <f t="shared" ref="R7353" si="660">$A7353*Q7353</f>
        <v>0</v>
      </c>
      <c r="S7353" s="519"/>
      <c r="T7353" s="760">
        <f t="shared" ref="T7353" si="661">$A7353*S7353*$T$1</f>
        <v>0</v>
      </c>
      <c r="AR7353" s="758"/>
      <c r="AS7353" s="753"/>
    </row>
    <row r="7354" spans="1:45" s="520" customFormat="1" ht="12.6" thickBot="1">
      <c r="A7354" s="761" t="s">
        <v>145</v>
      </c>
      <c r="B7354" s="762">
        <f>(R7353+T7353)</f>
        <v>0</v>
      </c>
      <c r="C7354" s="763"/>
      <c r="D7354" s="763"/>
      <c r="E7354" s="763"/>
      <c r="F7354" s="764"/>
      <c r="G7354" s="763" t="s">
        <v>146</v>
      </c>
      <c r="H7354" s="763"/>
      <c r="I7354" s="765"/>
      <c r="J7354" s="763"/>
      <c r="K7354" s="763" t="s">
        <v>5</v>
      </c>
      <c r="L7354" s="766" t="s">
        <v>143</v>
      </c>
      <c r="M7354" s="766"/>
      <c r="N7354" s="766"/>
      <c r="O7354" s="766"/>
      <c r="P7354" s="766"/>
      <c r="Q7354" s="767"/>
      <c r="R7354" s="768">
        <f>SUM(R7351:R7353)</f>
        <v>81</v>
      </c>
      <c r="S7354" s="763"/>
      <c r="T7354" s="768">
        <f>SUM(T7351:T7353)</f>
        <v>0</v>
      </c>
      <c r="U7354" s="531"/>
      <c r="V7354" s="531"/>
      <c r="W7354" s="531"/>
      <c r="X7354" s="531"/>
      <c r="Y7354" s="531"/>
      <c r="Z7354" s="531"/>
      <c r="AA7354" s="531"/>
      <c r="AB7354" s="531"/>
      <c r="AC7354" s="531"/>
      <c r="AD7354" s="531"/>
      <c r="AE7354" s="531"/>
      <c r="AF7354" s="531"/>
      <c r="AG7354" s="531"/>
      <c r="AH7354" s="531"/>
      <c r="AI7354" s="531"/>
      <c r="AJ7354" s="531"/>
      <c r="AK7354" s="531"/>
      <c r="AL7354" s="531"/>
      <c r="AM7354" s="531"/>
      <c r="AN7354" s="531"/>
      <c r="AO7354" s="531"/>
      <c r="AR7354" s="761" t="s">
        <v>145</v>
      </c>
      <c r="AS7354" s="764"/>
    </row>
    <row r="7355" spans="1:45" s="520" customFormat="1" ht="12" thickTop="1">
      <c r="A7355" s="51"/>
      <c r="B7355" s="41"/>
      <c r="C7355" s="51"/>
      <c r="E7355" s="42" t="s">
        <v>138</v>
      </c>
      <c r="F7355" s="42" t="s">
        <v>139</v>
      </c>
      <c r="G7355" s="51"/>
      <c r="H7355" s="51"/>
      <c r="I7355" s="51"/>
      <c r="J7355" s="51"/>
      <c r="K7355" s="51" t="s">
        <v>140</v>
      </c>
      <c r="L7355" s="51"/>
      <c r="M7355" s="51"/>
      <c r="N7355" s="51"/>
      <c r="O7355" s="52"/>
      <c r="P7355" s="51"/>
      <c r="Q7355" s="51"/>
      <c r="R7355" s="51"/>
      <c r="S7355" s="51"/>
      <c r="T7355" s="41"/>
      <c r="AG7355" s="521" t="s">
        <v>268</v>
      </c>
      <c r="AH7355" s="521" t="s">
        <v>269</v>
      </c>
      <c r="AI7355" s="521" t="s">
        <v>270</v>
      </c>
      <c r="AJ7355" s="521" t="s">
        <v>271</v>
      </c>
      <c r="AK7355" s="521" t="s">
        <v>272</v>
      </c>
      <c r="AM7355" s="745" t="s">
        <v>281</v>
      </c>
      <c r="AN7355" s="746" t="s">
        <v>282</v>
      </c>
      <c r="AO7355" s="522" t="s">
        <v>278</v>
      </c>
      <c r="AR7355" s="51"/>
      <c r="AS7355" s="42" t="s">
        <v>139</v>
      </c>
    </row>
    <row r="7356" spans="1:45" s="520" customFormat="1" ht="12" customHeight="1">
      <c r="A7356" s="747">
        <v>2</v>
      </c>
      <c r="B7356" s="523" t="s">
        <v>329</v>
      </c>
      <c r="C7356" s="748"/>
      <c r="D7356" s="749" t="s">
        <v>3960</v>
      </c>
      <c r="E7356" s="1145">
        <f>IF(AND($A7356=0,$A$1="DIF"),0, ROUND(ROUND(($R7360*$S$3+($T7360*$T$3))/$A7356,2)*$C$3,2))</f>
        <v>15.24</v>
      </c>
      <c r="F7356" s="1146">
        <f>ROUND($A7356*$E7356,2)</f>
        <v>30.48</v>
      </c>
      <c r="G7356" s="752" t="s">
        <v>142</v>
      </c>
      <c r="H7356" s="753"/>
      <c r="I7356" s="754"/>
      <c r="J7356" s="753"/>
      <c r="K7356" s="753" t="s">
        <v>5</v>
      </c>
      <c r="L7356" s="755" t="s">
        <v>143</v>
      </c>
      <c r="M7356" s="755"/>
      <c r="N7356" s="755"/>
      <c r="O7356" s="755"/>
      <c r="P7356" s="755"/>
      <c r="Q7356" s="51"/>
      <c r="T7356" s="1150" t="str">
        <f>IF(AND($R7360=0,$T7360=0),"0.00","mu: "&amp; ROUND(F7356/$C$3/($R7360+$T7360*$D$9),2))</f>
        <v>mu: 1.13</v>
      </c>
      <c r="W7356" s="524"/>
      <c r="AG7356" s="1147">
        <f>IF($E7356=0,0,ROUND($R7360*$S$3*$C$3/$A7356,2))</f>
        <v>15.24</v>
      </c>
      <c r="AH7356" s="1147">
        <f>$AG7356*$A7356</f>
        <v>30.48</v>
      </c>
      <c r="AI7356" s="1148">
        <f>$E7356-$AG7356</f>
        <v>0</v>
      </c>
      <c r="AJ7356" s="1148">
        <f>$A7356*$AI7356</f>
        <v>0</v>
      </c>
      <c r="AK7356" s="1149">
        <f>ROUND(($AG7356+$AI7356)*$A7356,2)</f>
        <v>30.48</v>
      </c>
      <c r="AM7356" s="527">
        <f>ROUND(R7360,2)</f>
        <v>27</v>
      </c>
      <c r="AN7356" s="528">
        <f>ROUND(T7360,2)</f>
        <v>0</v>
      </c>
      <c r="AO7356" s="529">
        <f>ROUND(AM7356+AN7356,2)*A7356</f>
        <v>54</v>
      </c>
      <c r="AR7356" s="747">
        <v>2</v>
      </c>
      <c r="AS7356" s="1146">
        <v>32.159999999999997</v>
      </c>
    </row>
    <row r="7357" spans="1:45" s="520" customFormat="1" ht="13.2">
      <c r="A7357" s="748"/>
      <c r="B7357"/>
      <c r="C7357" s="748"/>
      <c r="D7357" s="749" t="s">
        <v>963</v>
      </c>
      <c r="F7357" s="753"/>
      <c r="G7357" s="3"/>
      <c r="H7357" s="753"/>
      <c r="I7357" s="754"/>
      <c r="J7357" s="753"/>
      <c r="K7357" s="753" t="s">
        <v>144</v>
      </c>
      <c r="L7357" s="753"/>
      <c r="M7357" s="753"/>
      <c r="N7357" s="753"/>
      <c r="O7357" s="753"/>
      <c r="P7357" s="753"/>
      <c r="Q7357" s="51"/>
      <c r="R7357" s="530"/>
      <c r="S7357" s="757"/>
      <c r="T7357" s="753"/>
      <c r="AR7357" s="748"/>
      <c r="AS7357" s="753"/>
    </row>
    <row r="7358" spans="1:45" s="901" customFormat="1" ht="13.2">
      <c r="A7358" s="903">
        <v>2</v>
      </c>
      <c r="B7358" s="904" t="s">
        <v>863</v>
      </c>
      <c r="C7358" s="904"/>
      <c r="D7358" s="904" t="s">
        <v>2594</v>
      </c>
      <c r="E7358" s="904"/>
      <c r="F7358" s="904" t="s">
        <v>4139</v>
      </c>
      <c r="G7358" s="905" t="s">
        <v>2595</v>
      </c>
      <c r="H7358" s="902">
        <v>960</v>
      </c>
      <c r="I7358" s="904" t="s">
        <v>2596</v>
      </c>
      <c r="J7358" s="904"/>
      <c r="K7358" s="904"/>
      <c r="L7358" s="904"/>
      <c r="M7358" s="904"/>
      <c r="N7358" s="904"/>
      <c r="O7358" s="902">
        <v>4</v>
      </c>
      <c r="P7358" s="906">
        <v>38274</v>
      </c>
      <c r="Q7358" s="1415">
        <f>15*0.9</f>
        <v>13.5</v>
      </c>
      <c r="R7358" s="908">
        <f>$A7358*Q7358</f>
        <v>27</v>
      </c>
      <c r="S7358" s="907"/>
      <c r="T7358" s="909">
        <f>$A7358*S7358*$T$1</f>
        <v>0</v>
      </c>
      <c r="AR7358" s="903">
        <v>2</v>
      </c>
      <c r="AS7358" s="904" t="s">
        <v>3507</v>
      </c>
    </row>
    <row r="7359" spans="1:45" s="520" customFormat="1" ht="12">
      <c r="A7359" s="758"/>
      <c r="B7359" s="758"/>
      <c r="C7359" s="758"/>
      <c r="D7359" s="758"/>
      <c r="E7359" s="758"/>
      <c r="F7359" s="753"/>
      <c r="G7359" s="758"/>
      <c r="H7359" s="758"/>
      <c r="I7359" s="519"/>
      <c r="J7359" s="758"/>
      <c r="K7359" s="758"/>
      <c r="L7359" s="758"/>
      <c r="M7359" s="758"/>
      <c r="N7359" s="758"/>
      <c r="O7359" s="758"/>
      <c r="P7359" s="758"/>
      <c r="Q7359" s="519"/>
      <c r="R7359" s="759">
        <f t="shared" ref="R7359" si="662">$A7359*Q7359</f>
        <v>0</v>
      </c>
      <c r="S7359" s="519"/>
      <c r="T7359" s="760">
        <f t="shared" ref="T7359" si="663">$A7359*S7359*$T$1</f>
        <v>0</v>
      </c>
      <c r="AR7359" s="758"/>
      <c r="AS7359" s="753"/>
    </row>
    <row r="7360" spans="1:45" s="520" customFormat="1" ht="12.6" thickBot="1">
      <c r="A7360" s="761" t="s">
        <v>145</v>
      </c>
      <c r="B7360" s="762">
        <f>(R7359+T7359)</f>
        <v>0</v>
      </c>
      <c r="C7360" s="763"/>
      <c r="D7360" s="763"/>
      <c r="E7360" s="763"/>
      <c r="F7360" s="764"/>
      <c r="G7360" s="763" t="s">
        <v>146</v>
      </c>
      <c r="H7360" s="763"/>
      <c r="I7360" s="765"/>
      <c r="J7360" s="763"/>
      <c r="K7360" s="763" t="s">
        <v>5</v>
      </c>
      <c r="L7360" s="766" t="s">
        <v>143</v>
      </c>
      <c r="M7360" s="766"/>
      <c r="N7360" s="766"/>
      <c r="O7360" s="766"/>
      <c r="P7360" s="766"/>
      <c r="Q7360" s="767"/>
      <c r="R7360" s="768">
        <f>SUM(R7357:R7359)</f>
        <v>27</v>
      </c>
      <c r="S7360" s="763"/>
      <c r="T7360" s="768">
        <f>SUM(T7357:T7359)</f>
        <v>0</v>
      </c>
      <c r="U7360" s="531"/>
      <c r="V7360" s="531"/>
      <c r="W7360" s="531"/>
      <c r="X7360" s="531"/>
      <c r="Y7360" s="531"/>
      <c r="Z7360" s="531"/>
      <c r="AA7360" s="531"/>
      <c r="AB7360" s="531"/>
      <c r="AC7360" s="531"/>
      <c r="AD7360" s="531"/>
      <c r="AE7360" s="531"/>
      <c r="AF7360" s="531"/>
      <c r="AG7360" s="531"/>
      <c r="AH7360" s="531"/>
      <c r="AI7360" s="531"/>
      <c r="AJ7360" s="531"/>
      <c r="AK7360" s="531"/>
      <c r="AL7360" s="531"/>
      <c r="AM7360" s="531"/>
      <c r="AN7360" s="531"/>
      <c r="AO7360" s="531"/>
      <c r="AR7360" s="761" t="s">
        <v>145</v>
      </c>
      <c r="AS7360" s="764"/>
    </row>
    <row r="7361" spans="1:45" s="520" customFormat="1" ht="12" thickTop="1">
      <c r="A7361" s="51"/>
      <c r="B7361" s="41"/>
      <c r="C7361" s="51"/>
      <c r="E7361" s="42" t="s">
        <v>138</v>
      </c>
      <c r="F7361" s="42" t="s">
        <v>139</v>
      </c>
      <c r="G7361" s="51"/>
      <c r="H7361" s="51"/>
      <c r="I7361" s="51"/>
      <c r="J7361" s="51"/>
      <c r="K7361" s="51" t="s">
        <v>140</v>
      </c>
      <c r="L7361" s="51"/>
      <c r="M7361" s="51"/>
      <c r="N7361" s="51"/>
      <c r="O7361" s="52"/>
      <c r="P7361" s="51"/>
      <c r="Q7361" s="51"/>
      <c r="R7361" s="51"/>
      <c r="S7361" s="51"/>
      <c r="T7361" s="41"/>
      <c r="AG7361" s="521" t="s">
        <v>268</v>
      </c>
      <c r="AH7361" s="521" t="s">
        <v>269</v>
      </c>
      <c r="AI7361" s="521" t="s">
        <v>270</v>
      </c>
      <c r="AJ7361" s="521" t="s">
        <v>271</v>
      </c>
      <c r="AK7361" s="521" t="s">
        <v>272</v>
      </c>
      <c r="AM7361" s="745" t="s">
        <v>281</v>
      </c>
      <c r="AN7361" s="746" t="s">
        <v>282</v>
      </c>
      <c r="AO7361" s="522" t="s">
        <v>278</v>
      </c>
      <c r="AR7361" s="51"/>
      <c r="AS7361" s="42" t="s">
        <v>139</v>
      </c>
    </row>
    <row r="7362" spans="1:45" s="520" customFormat="1" ht="12" customHeight="1">
      <c r="A7362" s="747">
        <v>4</v>
      </c>
      <c r="B7362" s="523" t="s">
        <v>329</v>
      </c>
      <c r="C7362" s="748"/>
      <c r="D7362" s="749" t="s">
        <v>3961</v>
      </c>
      <c r="E7362" s="1145">
        <f>IF(AND($A7362=0,$A$1="DIF"),0, ROUND(ROUND(($R7366*$S$3+($T7366*$T$3))/$A7362,2)*$C$3,2))</f>
        <v>40.630000000000003</v>
      </c>
      <c r="F7362" s="1146">
        <f>ROUND($A7362*$E7362,2)</f>
        <v>162.52000000000001</v>
      </c>
      <c r="G7362" s="752" t="s">
        <v>142</v>
      </c>
      <c r="H7362" s="753"/>
      <c r="I7362" s="754"/>
      <c r="J7362" s="753"/>
      <c r="K7362" s="753" t="s">
        <v>5</v>
      </c>
      <c r="L7362" s="755" t="s">
        <v>143</v>
      </c>
      <c r="M7362" s="755"/>
      <c r="N7362" s="755"/>
      <c r="O7362" s="755"/>
      <c r="P7362" s="755"/>
      <c r="Q7362" s="51"/>
      <c r="T7362" s="1150" t="str">
        <f>IF(AND($R7366=0,$T7366=0),"0.00","mu: "&amp; ROUND(F7362/$C$3/($R7366+$T7366*$D$9),2))</f>
        <v>mu: 1.13</v>
      </c>
      <c r="W7362" s="524"/>
      <c r="AG7362" s="1147">
        <f>IF($E7362=0,0,ROUND($R7366*$S$3*$C$3/$A7362,2))</f>
        <v>40.630000000000003</v>
      </c>
      <c r="AH7362" s="1147">
        <f>$AG7362*$A7362</f>
        <v>162.52000000000001</v>
      </c>
      <c r="AI7362" s="1148">
        <f>$E7362-$AG7362</f>
        <v>0</v>
      </c>
      <c r="AJ7362" s="1148">
        <f>$A7362*$AI7362</f>
        <v>0</v>
      </c>
      <c r="AK7362" s="1149">
        <f>ROUND(($AG7362+$AI7362)*$A7362,2)</f>
        <v>162.52000000000001</v>
      </c>
      <c r="AM7362" s="527">
        <f>ROUND(R7366,2)</f>
        <v>144</v>
      </c>
      <c r="AN7362" s="528">
        <f>ROUND(T7366,2)</f>
        <v>0</v>
      </c>
      <c r="AO7362" s="529">
        <f>ROUND(AM7362+AN7362,2)*A7362</f>
        <v>576</v>
      </c>
      <c r="AR7362" s="747">
        <v>4</v>
      </c>
      <c r="AS7362" s="1146">
        <v>171.56</v>
      </c>
    </row>
    <row r="7363" spans="1:45" s="520" customFormat="1" ht="13.2">
      <c r="A7363" s="748"/>
      <c r="B7363"/>
      <c r="C7363" s="748"/>
      <c r="D7363" s="749" t="s">
        <v>964</v>
      </c>
      <c r="F7363" s="753"/>
      <c r="G7363" s="3"/>
      <c r="H7363" s="753"/>
      <c r="I7363" s="754"/>
      <c r="J7363" s="753"/>
      <c r="K7363" s="753" t="s">
        <v>144</v>
      </c>
      <c r="L7363" s="753"/>
      <c r="M7363" s="753"/>
      <c r="N7363" s="753"/>
      <c r="O7363" s="753"/>
      <c r="P7363" s="753"/>
      <c r="Q7363" s="51"/>
      <c r="R7363" s="530"/>
      <c r="S7363" s="757"/>
      <c r="T7363" s="753"/>
      <c r="AR7363" s="748"/>
      <c r="AS7363" s="753"/>
    </row>
    <row r="7364" spans="1:45" s="901" customFormat="1" ht="13.2">
      <c r="A7364" s="903">
        <v>4</v>
      </c>
      <c r="B7364" s="904" t="s">
        <v>863</v>
      </c>
      <c r="C7364" s="904"/>
      <c r="D7364" s="904" t="s">
        <v>2594</v>
      </c>
      <c r="E7364" s="904"/>
      <c r="F7364" s="904" t="s">
        <v>4139</v>
      </c>
      <c r="G7364" s="905" t="s">
        <v>2595</v>
      </c>
      <c r="H7364" s="902">
        <v>960</v>
      </c>
      <c r="I7364" s="904" t="s">
        <v>2596</v>
      </c>
      <c r="J7364" s="904"/>
      <c r="K7364" s="904"/>
      <c r="L7364" s="904"/>
      <c r="M7364" s="904"/>
      <c r="N7364" s="904"/>
      <c r="O7364" s="902">
        <v>4</v>
      </c>
      <c r="P7364" s="906">
        <v>38274</v>
      </c>
      <c r="Q7364" s="1415">
        <f>40*0.9</f>
        <v>36</v>
      </c>
      <c r="R7364" s="908">
        <f>$A7364*Q7364</f>
        <v>144</v>
      </c>
      <c r="S7364" s="907"/>
      <c r="T7364" s="909">
        <f>$A7364*S7364*$T$1</f>
        <v>0</v>
      </c>
      <c r="AR7364" s="903">
        <v>4</v>
      </c>
      <c r="AS7364" s="904" t="s">
        <v>3507</v>
      </c>
    </row>
    <row r="7365" spans="1:45" s="520" customFormat="1" ht="12">
      <c r="A7365" s="758"/>
      <c r="B7365" s="758"/>
      <c r="C7365" s="758"/>
      <c r="D7365" s="758"/>
      <c r="E7365" s="758"/>
      <c r="F7365" s="753"/>
      <c r="G7365" s="758"/>
      <c r="H7365" s="758"/>
      <c r="I7365" s="519"/>
      <c r="J7365" s="758"/>
      <c r="K7365" s="758"/>
      <c r="L7365" s="758"/>
      <c r="M7365" s="758"/>
      <c r="N7365" s="758"/>
      <c r="O7365" s="758"/>
      <c r="P7365" s="758"/>
      <c r="Q7365" s="519"/>
      <c r="R7365" s="759">
        <f t="shared" ref="R7365" si="664">$A7365*Q7365</f>
        <v>0</v>
      </c>
      <c r="S7365" s="519"/>
      <c r="T7365" s="760">
        <f t="shared" ref="T7365" si="665">$A7365*S7365*$T$1</f>
        <v>0</v>
      </c>
      <c r="AR7365" s="758"/>
      <c r="AS7365" s="753"/>
    </row>
    <row r="7366" spans="1:45" s="520" customFormat="1" ht="12.6" thickBot="1">
      <c r="A7366" s="761" t="s">
        <v>145</v>
      </c>
      <c r="B7366" s="762">
        <f>(R7365+T7365)</f>
        <v>0</v>
      </c>
      <c r="C7366" s="763"/>
      <c r="D7366" s="763"/>
      <c r="E7366" s="763"/>
      <c r="F7366" s="764"/>
      <c r="G7366" s="763" t="s">
        <v>146</v>
      </c>
      <c r="H7366" s="763"/>
      <c r="I7366" s="765"/>
      <c r="J7366" s="763"/>
      <c r="K7366" s="763" t="s">
        <v>5</v>
      </c>
      <c r="L7366" s="766" t="s">
        <v>143</v>
      </c>
      <c r="M7366" s="766"/>
      <c r="N7366" s="766"/>
      <c r="O7366" s="766"/>
      <c r="P7366" s="766"/>
      <c r="Q7366" s="767"/>
      <c r="R7366" s="768">
        <f>SUM(R7363:R7365)</f>
        <v>144</v>
      </c>
      <c r="S7366" s="763"/>
      <c r="T7366" s="768">
        <f>SUM(T7363:T7365)</f>
        <v>0</v>
      </c>
      <c r="U7366" s="531"/>
      <c r="V7366" s="531"/>
      <c r="W7366" s="531"/>
      <c r="X7366" s="531"/>
      <c r="Y7366" s="531"/>
      <c r="Z7366" s="531"/>
      <c r="AA7366" s="531"/>
      <c r="AB7366" s="531"/>
      <c r="AC7366" s="531"/>
      <c r="AD7366" s="531"/>
      <c r="AE7366" s="531"/>
      <c r="AF7366" s="531"/>
      <c r="AG7366" s="531"/>
      <c r="AH7366" s="531"/>
      <c r="AI7366" s="531"/>
      <c r="AJ7366" s="531"/>
      <c r="AK7366" s="531"/>
      <c r="AL7366" s="531"/>
      <c r="AM7366" s="531"/>
      <c r="AN7366" s="531"/>
      <c r="AO7366" s="531"/>
      <c r="AR7366" s="761" t="s">
        <v>145</v>
      </c>
      <c r="AS7366" s="764"/>
    </row>
    <row r="7367" spans="1:45" s="520" customFormat="1" ht="12" thickTop="1">
      <c r="A7367" s="51"/>
      <c r="B7367" s="41"/>
      <c r="C7367" s="51"/>
      <c r="E7367" s="42" t="s">
        <v>138</v>
      </c>
      <c r="F7367" s="42" t="s">
        <v>139</v>
      </c>
      <c r="G7367" s="51"/>
      <c r="H7367" s="51"/>
      <c r="I7367" s="51"/>
      <c r="J7367" s="51"/>
      <c r="K7367" s="51" t="s">
        <v>140</v>
      </c>
      <c r="L7367" s="51"/>
      <c r="M7367" s="51"/>
      <c r="N7367" s="51"/>
      <c r="O7367" s="52"/>
      <c r="P7367" s="51"/>
      <c r="Q7367" s="51"/>
      <c r="R7367" s="51"/>
      <c r="S7367" s="51"/>
      <c r="T7367" s="41"/>
      <c r="AG7367" s="521" t="s">
        <v>268</v>
      </c>
      <c r="AH7367" s="521" t="s">
        <v>269</v>
      </c>
      <c r="AI7367" s="521" t="s">
        <v>270</v>
      </c>
      <c r="AJ7367" s="521" t="s">
        <v>271</v>
      </c>
      <c r="AK7367" s="521" t="s">
        <v>272</v>
      </c>
      <c r="AM7367" s="745" t="s">
        <v>281</v>
      </c>
      <c r="AN7367" s="746" t="s">
        <v>282</v>
      </c>
      <c r="AO7367" s="522" t="s">
        <v>278</v>
      </c>
      <c r="AR7367" s="51"/>
      <c r="AS7367" s="42" t="s">
        <v>139</v>
      </c>
    </row>
    <row r="7368" spans="1:45" s="520" customFormat="1" ht="12" customHeight="1">
      <c r="A7368" s="747">
        <v>1</v>
      </c>
      <c r="B7368" s="523" t="s">
        <v>329</v>
      </c>
      <c r="C7368" s="748"/>
      <c r="D7368" s="749" t="s">
        <v>3962</v>
      </c>
      <c r="E7368" s="1145">
        <f>IF(AND($A7368=0,$A$1="DIF"),0, ROUND(ROUND(($R7372*$S$3+($T7372*$T$3))/$A7368,2)*$C$3,2))</f>
        <v>45.71</v>
      </c>
      <c r="F7368" s="1146">
        <f>ROUND($A7368*$E7368,2)</f>
        <v>45.71</v>
      </c>
      <c r="G7368" s="752" t="s">
        <v>142</v>
      </c>
      <c r="H7368" s="753"/>
      <c r="I7368" s="754"/>
      <c r="J7368" s="753"/>
      <c r="K7368" s="753" t="s">
        <v>5</v>
      </c>
      <c r="L7368" s="755" t="s">
        <v>143</v>
      </c>
      <c r="M7368" s="755"/>
      <c r="N7368" s="755"/>
      <c r="O7368" s="755"/>
      <c r="P7368" s="755"/>
      <c r="Q7368" s="51"/>
      <c r="T7368" s="1150" t="str">
        <f>IF(AND($R7372=0,$T7372=0),"0.00","mu: "&amp; ROUND(F7368/$C$3/($R7372+$T7372*$D$9),2))</f>
        <v>mu: 1.13</v>
      </c>
      <c r="W7368" s="524"/>
      <c r="AG7368" s="1147">
        <f>IF($E7368=0,0,ROUND($R7372*$S$3*$C$3/$A7368,2))</f>
        <v>45.71</v>
      </c>
      <c r="AH7368" s="1147">
        <f>$AG7368*$A7368</f>
        <v>45.71</v>
      </c>
      <c r="AI7368" s="1148">
        <f>$E7368-$AG7368</f>
        <v>0</v>
      </c>
      <c r="AJ7368" s="1148">
        <f>$A7368*$AI7368</f>
        <v>0</v>
      </c>
      <c r="AK7368" s="1149">
        <f>ROUND(($AG7368+$AI7368)*$A7368,2)</f>
        <v>45.71</v>
      </c>
      <c r="AM7368" s="527">
        <f>ROUND(R7372,2)</f>
        <v>40.5</v>
      </c>
      <c r="AN7368" s="528">
        <f>ROUND(T7372,2)</f>
        <v>0</v>
      </c>
      <c r="AO7368" s="529">
        <f>ROUND(AM7368+AN7368,2)*A7368</f>
        <v>40.5</v>
      </c>
      <c r="AR7368" s="747">
        <v>1</v>
      </c>
      <c r="AS7368" s="1146">
        <v>48.25</v>
      </c>
    </row>
    <row r="7369" spans="1:45" s="520" customFormat="1" ht="13.2">
      <c r="A7369" s="748"/>
      <c r="B7369"/>
      <c r="C7369" s="748"/>
      <c r="D7369" s="749" t="s">
        <v>965</v>
      </c>
      <c r="F7369" s="753"/>
      <c r="G7369" s="3"/>
      <c r="H7369" s="753"/>
      <c r="I7369" s="754"/>
      <c r="J7369" s="753"/>
      <c r="K7369" s="753" t="s">
        <v>144</v>
      </c>
      <c r="L7369" s="753"/>
      <c r="M7369" s="753"/>
      <c r="N7369" s="753"/>
      <c r="O7369" s="753"/>
      <c r="P7369" s="753"/>
      <c r="Q7369" s="51"/>
      <c r="R7369" s="530"/>
      <c r="S7369" s="757"/>
      <c r="T7369" s="753"/>
      <c r="AR7369" s="748"/>
      <c r="AS7369" s="753"/>
    </row>
    <row r="7370" spans="1:45" s="901" customFormat="1" ht="13.2">
      <c r="A7370" s="903">
        <v>1</v>
      </c>
      <c r="B7370" s="904" t="s">
        <v>863</v>
      </c>
      <c r="C7370" s="904"/>
      <c r="D7370" s="904" t="s">
        <v>2594</v>
      </c>
      <c r="E7370" s="904"/>
      <c r="F7370" s="904" t="s">
        <v>4139</v>
      </c>
      <c r="G7370" s="905" t="s">
        <v>2595</v>
      </c>
      <c r="H7370" s="902">
        <v>960</v>
      </c>
      <c r="I7370" s="904" t="s">
        <v>2596</v>
      </c>
      <c r="J7370" s="904"/>
      <c r="K7370" s="904"/>
      <c r="L7370" s="904"/>
      <c r="M7370" s="904"/>
      <c r="N7370" s="904"/>
      <c r="O7370" s="902">
        <v>4</v>
      </c>
      <c r="P7370" s="906">
        <v>38274</v>
      </c>
      <c r="Q7370" s="1415">
        <f>45*0.9</f>
        <v>40.5</v>
      </c>
      <c r="R7370" s="908">
        <f>$A7370*Q7370</f>
        <v>40.5</v>
      </c>
      <c r="S7370" s="907"/>
      <c r="T7370" s="909">
        <f>$A7370*S7370*$T$1</f>
        <v>0</v>
      </c>
      <c r="AR7370" s="903">
        <v>1</v>
      </c>
      <c r="AS7370" s="904" t="s">
        <v>3507</v>
      </c>
    </row>
    <row r="7371" spans="1:45" s="520" customFormat="1" ht="12">
      <c r="A7371" s="758"/>
      <c r="B7371" s="758"/>
      <c r="C7371" s="758"/>
      <c r="D7371" s="758"/>
      <c r="E7371" s="758"/>
      <c r="F7371" s="753"/>
      <c r="G7371" s="758"/>
      <c r="H7371" s="758"/>
      <c r="I7371" s="519"/>
      <c r="J7371" s="758"/>
      <c r="K7371" s="758"/>
      <c r="L7371" s="758"/>
      <c r="M7371" s="758"/>
      <c r="N7371" s="758"/>
      <c r="O7371" s="758"/>
      <c r="P7371" s="758"/>
      <c r="Q7371" s="519"/>
      <c r="R7371" s="759">
        <f t="shared" ref="R7371" si="666">$A7371*Q7371</f>
        <v>0</v>
      </c>
      <c r="S7371" s="519"/>
      <c r="T7371" s="760">
        <f t="shared" ref="T7371" si="667">$A7371*S7371*$T$1</f>
        <v>0</v>
      </c>
      <c r="AR7371" s="758"/>
      <c r="AS7371" s="753"/>
    </row>
    <row r="7372" spans="1:45" s="520" customFormat="1" ht="12.6" thickBot="1">
      <c r="A7372" s="761" t="s">
        <v>145</v>
      </c>
      <c r="B7372" s="762">
        <f>(R7371+T7371)</f>
        <v>0</v>
      </c>
      <c r="C7372" s="763"/>
      <c r="D7372" s="763"/>
      <c r="E7372" s="763"/>
      <c r="F7372" s="764"/>
      <c r="G7372" s="763" t="s">
        <v>146</v>
      </c>
      <c r="H7372" s="763"/>
      <c r="I7372" s="765"/>
      <c r="J7372" s="763"/>
      <c r="K7372" s="763" t="s">
        <v>5</v>
      </c>
      <c r="L7372" s="766" t="s">
        <v>143</v>
      </c>
      <c r="M7372" s="766"/>
      <c r="N7372" s="766"/>
      <c r="O7372" s="766"/>
      <c r="P7372" s="766"/>
      <c r="Q7372" s="767"/>
      <c r="R7372" s="768">
        <f>SUM(R7369:R7371)</f>
        <v>40.5</v>
      </c>
      <c r="S7372" s="763"/>
      <c r="T7372" s="768">
        <f>SUM(T7369:T7371)</f>
        <v>0</v>
      </c>
      <c r="U7372" s="531"/>
      <c r="V7372" s="531"/>
      <c r="W7372" s="531"/>
      <c r="X7372" s="531"/>
      <c r="Y7372" s="531"/>
      <c r="Z7372" s="531"/>
      <c r="AA7372" s="531"/>
      <c r="AB7372" s="531"/>
      <c r="AC7372" s="531"/>
      <c r="AD7372" s="531"/>
      <c r="AE7372" s="531"/>
      <c r="AF7372" s="531"/>
      <c r="AG7372" s="531"/>
      <c r="AH7372" s="531"/>
      <c r="AI7372" s="531"/>
      <c r="AJ7372" s="531"/>
      <c r="AK7372" s="531"/>
      <c r="AL7372" s="531"/>
      <c r="AM7372" s="531"/>
      <c r="AN7372" s="531"/>
      <c r="AO7372" s="531"/>
      <c r="AR7372" s="761" t="s">
        <v>145</v>
      </c>
      <c r="AS7372" s="764"/>
    </row>
    <row r="7373" spans="1:45" s="520" customFormat="1" ht="12" thickTop="1">
      <c r="A7373" s="48" t="s">
        <v>148</v>
      </c>
      <c r="D7373" s="13"/>
      <c r="E7373" s="42"/>
      <c r="O7373" s="771"/>
      <c r="AR7373" s="48" t="s">
        <v>148</v>
      </c>
    </row>
    <row r="7374" spans="1:45" s="520" customFormat="1" ht="13.2">
      <c r="B7374" s="3"/>
      <c r="O7374" s="771"/>
    </row>
    <row r="7375" spans="1:45" s="520" customFormat="1" ht="12">
      <c r="B7375" s="772">
        <f ca="1">$F7375/$C$2-($R7375*$S$2+$T7375*$T$2)</f>
        <v>-203.99078433920022</v>
      </c>
      <c r="D7375" s="773" t="s">
        <v>3644</v>
      </c>
      <c r="E7375" s="774"/>
      <c r="F7375" s="775">
        <f ca="1">SUMIF($L7215:$L7373,"ITEM",F7215:F7373)</f>
        <v>2914.15</v>
      </c>
      <c r="G7375" s="758"/>
      <c r="H7375" s="758"/>
      <c r="I7375" s="519"/>
      <c r="J7375" s="758"/>
      <c r="K7375" s="758"/>
      <c r="L7375" s="755" t="s">
        <v>157</v>
      </c>
      <c r="M7375" s="755"/>
      <c r="N7375" s="755"/>
      <c r="O7375" s="755"/>
      <c r="P7375" s="755"/>
      <c r="R7375" s="775">
        <f ca="1">SUMIF($L7215:$L7373,"ITEM",R7215:R7373)</f>
        <v>2159.4</v>
      </c>
      <c r="S7375" s="776"/>
      <c r="T7375" s="775">
        <f ca="1">SUMIF($L7215:$L7373,"ITEM",T7215:T7373)</f>
        <v>13.58</v>
      </c>
      <c r="AS7375" s="775">
        <v>3434.06</v>
      </c>
    </row>
    <row r="7376" spans="1:45" s="520" customFormat="1" ht="13.2">
      <c r="A7376" s="51"/>
      <c r="B7376" s="49" t="s">
        <v>1064</v>
      </c>
      <c r="C7376" s="51"/>
      <c r="D7376" s="3"/>
      <c r="F7376" s="777" t="s">
        <v>158</v>
      </c>
      <c r="G7376" s="758"/>
      <c r="H7376" s="758"/>
      <c r="I7376" s="519"/>
      <c r="J7376" s="758"/>
      <c r="K7376" s="758"/>
      <c r="L7376" s="758"/>
      <c r="M7376" s="758"/>
      <c r="N7376" s="758"/>
      <c r="O7376" s="758"/>
      <c r="P7376" s="758"/>
      <c r="Q7376" s="778"/>
      <c r="R7376" s="777" t="s">
        <v>159</v>
      </c>
      <c r="S7376" s="38"/>
      <c r="T7376" s="777" t="s">
        <v>160</v>
      </c>
      <c r="AR7376" s="51"/>
      <c r="AS7376" s="777" t="s">
        <v>158</v>
      </c>
    </row>
    <row r="7377" spans="1:45" s="520" customFormat="1" ht="13.2">
      <c r="A7377" s="758"/>
      <c r="B7377" s="3"/>
      <c r="C7377" s="758"/>
      <c r="D7377" s="3"/>
      <c r="E7377" s="3"/>
      <c r="G7377" s="3"/>
      <c r="H7377" s="3"/>
      <c r="I7377" s="3"/>
      <c r="J7377" s="3"/>
      <c r="K7377" s="3"/>
      <c r="L7377" s="3"/>
      <c r="M7377" s="3"/>
      <c r="N7377" s="3"/>
      <c r="O7377" s="107"/>
      <c r="P7377" s="3"/>
      <c r="Q7377" s="3"/>
      <c r="R7377" s="3"/>
      <c r="S7377" s="3"/>
      <c r="T7377" s="3"/>
      <c r="AR7377" s="758"/>
    </row>
    <row r="7378" spans="1:45" s="520" customFormat="1" ht="12" thickBot="1">
      <c r="A7378" s="531"/>
      <c r="B7378" s="763"/>
      <c r="C7378" s="763"/>
      <c r="D7378" s="531"/>
      <c r="E7378" s="39"/>
      <c r="F7378" s="779"/>
      <c r="G7378" s="763"/>
      <c r="H7378" s="763"/>
      <c r="I7378" s="765"/>
      <c r="J7378" s="763"/>
      <c r="K7378" s="763"/>
      <c r="L7378" s="766"/>
      <c r="M7378" s="766"/>
      <c r="N7378" s="766"/>
      <c r="O7378" s="766"/>
      <c r="P7378" s="766"/>
      <c r="Q7378" s="767"/>
      <c r="R7378" s="779"/>
      <c r="S7378" s="780"/>
      <c r="T7378" s="779"/>
      <c r="U7378" s="531"/>
      <c r="V7378" s="531"/>
      <c r="W7378" s="531"/>
      <c r="X7378" s="531"/>
      <c r="Y7378" s="531"/>
      <c r="Z7378" s="531"/>
      <c r="AA7378" s="531"/>
      <c r="AB7378" s="531"/>
      <c r="AC7378" s="531"/>
      <c r="AD7378" s="531"/>
      <c r="AE7378" s="531"/>
      <c r="AF7378" s="531"/>
      <c r="AG7378" s="531"/>
      <c r="AH7378" s="531"/>
      <c r="AI7378" s="531"/>
      <c r="AJ7378" s="531"/>
      <c r="AK7378" s="531"/>
      <c r="AR7378" s="531"/>
      <c r="AS7378" s="779"/>
    </row>
    <row r="7379" spans="1:45" s="520" customFormat="1" thickTop="1">
      <c r="A7379" s="51"/>
      <c r="B7379" s="51"/>
      <c r="C7379" s="3"/>
      <c r="D7379" s="3"/>
      <c r="E7379" s="51"/>
      <c r="F7379" s="51"/>
      <c r="G7379" s="51"/>
      <c r="H7379" s="51"/>
      <c r="I7379" s="51"/>
      <c r="J7379" s="51"/>
      <c r="K7379" s="51" t="s">
        <v>134</v>
      </c>
      <c r="L7379" s="51"/>
      <c r="M7379" s="51"/>
      <c r="N7379" s="51"/>
      <c r="O7379" s="52"/>
      <c r="P7379" s="51"/>
      <c r="Q7379" s="51"/>
      <c r="R7379" s="51"/>
      <c r="S7379" s="51"/>
      <c r="T7379" s="51"/>
      <c r="AR7379" s="51"/>
      <c r="AS7379" s="51"/>
    </row>
    <row r="7380" spans="1:45" s="520" customFormat="1" ht="12">
      <c r="A7380" s="51"/>
      <c r="B7380" s="51"/>
      <c r="C7380" s="51" t="s">
        <v>135</v>
      </c>
      <c r="D7380" s="37"/>
      <c r="E7380" s="51"/>
      <c r="F7380" s="51"/>
      <c r="G7380" s="51"/>
      <c r="H7380" s="51"/>
      <c r="I7380" s="51"/>
      <c r="J7380" s="51"/>
      <c r="K7380" s="51"/>
      <c r="L7380" s="51"/>
      <c r="M7380" s="51"/>
      <c r="N7380" s="51"/>
      <c r="O7380" s="52"/>
      <c r="P7380" s="51"/>
      <c r="Q7380" s="51"/>
      <c r="R7380" s="51"/>
      <c r="S7380" s="51"/>
      <c r="T7380" s="51"/>
      <c r="AR7380" s="51"/>
      <c r="AS7380" s="51"/>
    </row>
    <row r="7381" spans="1:45" s="520" customFormat="1" ht="12">
      <c r="A7381" s="51"/>
      <c r="B7381" s="51"/>
      <c r="C7381" s="51"/>
      <c r="D7381" s="37" t="s">
        <v>996</v>
      </c>
      <c r="E7381" s="51"/>
      <c r="F7381" s="51"/>
      <c r="G7381" s="51"/>
      <c r="H7381" s="51"/>
      <c r="I7381" s="51"/>
      <c r="J7381" s="51"/>
      <c r="K7381" s="51"/>
      <c r="L7381" s="51"/>
      <c r="M7381" s="51"/>
      <c r="N7381" s="51"/>
      <c r="O7381" s="52"/>
      <c r="P7381" s="51"/>
      <c r="Q7381" s="51"/>
      <c r="R7381" s="51"/>
      <c r="S7381" s="38"/>
      <c r="T7381" s="38"/>
      <c r="AR7381" s="51"/>
      <c r="AS7381" s="51"/>
    </row>
    <row r="7382" spans="1:45" s="3" customFormat="1" thickBot="1">
      <c r="A7382" s="531"/>
      <c r="O7382" s="107"/>
      <c r="AR7382" s="531"/>
    </row>
    <row r="7383" spans="1:45" s="520" customFormat="1" thickTop="1">
      <c r="A7383" s="51"/>
      <c r="B7383" s="51"/>
      <c r="C7383" s="3"/>
      <c r="D7383" s="3"/>
      <c r="E7383" s="51"/>
      <c r="F7383" s="51"/>
      <c r="G7383" s="51"/>
      <c r="H7383" s="51"/>
      <c r="I7383" s="51"/>
      <c r="J7383" s="51"/>
      <c r="K7383" s="51" t="s">
        <v>134</v>
      </c>
      <c r="L7383" s="51"/>
      <c r="M7383" s="51"/>
      <c r="N7383" s="51"/>
      <c r="O7383" s="52"/>
      <c r="P7383" s="51"/>
      <c r="Q7383" s="51"/>
      <c r="R7383" s="51"/>
      <c r="S7383" s="51"/>
      <c r="T7383" s="51"/>
      <c r="AR7383" s="51"/>
      <c r="AS7383" s="51"/>
    </row>
    <row r="7384" spans="1:45" s="520" customFormat="1" ht="12">
      <c r="A7384" s="51"/>
      <c r="B7384" s="51"/>
      <c r="C7384" s="51" t="s">
        <v>135</v>
      </c>
      <c r="D7384" s="37"/>
      <c r="E7384" s="51"/>
      <c r="F7384" s="51"/>
      <c r="G7384" s="51"/>
      <c r="H7384" s="51"/>
      <c r="I7384" s="51"/>
      <c r="J7384" s="51"/>
      <c r="K7384" s="51"/>
      <c r="L7384" s="51"/>
      <c r="M7384" s="51"/>
      <c r="N7384" s="51"/>
      <c r="O7384" s="52"/>
      <c r="P7384" s="51"/>
      <c r="Q7384" s="51"/>
      <c r="R7384" s="51"/>
      <c r="S7384" s="51"/>
      <c r="T7384" s="51"/>
      <c r="AR7384" s="51"/>
      <c r="AS7384" s="51"/>
    </row>
    <row r="7385" spans="1:45" s="520" customFormat="1" ht="39.9" customHeight="1">
      <c r="A7385" s="51"/>
      <c r="B7385" s="51"/>
      <c r="C7385" s="51"/>
      <c r="D7385" s="1453" t="s">
        <v>2018</v>
      </c>
      <c r="E7385" s="1452"/>
      <c r="F7385" s="1452"/>
      <c r="G7385" s="1452"/>
      <c r="H7385" s="1452"/>
      <c r="I7385" s="1452"/>
      <c r="J7385" s="1452"/>
      <c r="K7385" s="1452"/>
      <c r="L7385" s="1452"/>
      <c r="M7385" s="1452"/>
      <c r="N7385" s="1452"/>
      <c r="O7385" s="1452"/>
      <c r="P7385" s="1452"/>
      <c r="Q7385" s="1452"/>
      <c r="R7385" s="1452"/>
      <c r="S7385" s="1452"/>
      <c r="T7385" s="1452"/>
      <c r="AR7385" s="51"/>
    </row>
    <row r="7386" spans="1:45" s="3" customFormat="1" thickBot="1">
      <c r="A7386" s="531"/>
      <c r="O7386" s="107"/>
      <c r="AR7386" s="531"/>
    </row>
    <row r="7387" spans="1:45" s="520" customFormat="1" ht="12" thickTop="1">
      <c r="A7387" s="51"/>
      <c r="B7387" s="41"/>
      <c r="C7387" s="51"/>
      <c r="E7387" s="42" t="s">
        <v>138</v>
      </c>
      <c r="F7387" s="42" t="s">
        <v>139</v>
      </c>
      <c r="G7387" s="51"/>
      <c r="H7387" s="51"/>
      <c r="I7387" s="51"/>
      <c r="J7387" s="51"/>
      <c r="K7387" s="51" t="s">
        <v>140</v>
      </c>
      <c r="L7387" s="51"/>
      <c r="M7387" s="51"/>
      <c r="N7387" s="51"/>
      <c r="O7387" s="52"/>
      <c r="P7387" s="51"/>
      <c r="Q7387" s="51"/>
      <c r="R7387" s="51"/>
      <c r="S7387" s="51"/>
      <c r="T7387" s="41"/>
      <c r="AG7387" s="521" t="s">
        <v>268</v>
      </c>
      <c r="AH7387" s="521" t="s">
        <v>269</v>
      </c>
      <c r="AI7387" s="521" t="s">
        <v>270</v>
      </c>
      <c r="AJ7387" s="521" t="s">
        <v>271</v>
      </c>
      <c r="AK7387" s="521" t="s">
        <v>272</v>
      </c>
      <c r="AM7387" s="745" t="s">
        <v>281</v>
      </c>
      <c r="AN7387" s="746" t="s">
        <v>282</v>
      </c>
      <c r="AO7387" s="522" t="s">
        <v>278</v>
      </c>
      <c r="AR7387" s="51"/>
      <c r="AS7387" s="42" t="s">
        <v>139</v>
      </c>
    </row>
    <row r="7388" spans="1:45" s="520" customFormat="1" ht="12" customHeight="1">
      <c r="A7388" s="747">
        <v>81</v>
      </c>
      <c r="B7388" s="523" t="s">
        <v>329</v>
      </c>
      <c r="C7388" s="748"/>
      <c r="D7388" s="749" t="s">
        <v>3963</v>
      </c>
      <c r="E7388" s="750">
        <f ca="1">IF(AND($A7388=0,$A$1="DIF"),0, ROUND(ROUND(($R7393*$S$2+($T7393*$T$2))/A7388,2)*$C$2,2))</f>
        <v>47.94</v>
      </c>
      <c r="F7388" s="751">
        <f ca="1">ROUND($A7388*$E7388,2)</f>
        <v>3883.14</v>
      </c>
      <c r="G7388" s="752" t="s">
        <v>142</v>
      </c>
      <c r="H7388" s="753"/>
      <c r="I7388" s="754"/>
      <c r="J7388" s="753"/>
      <c r="K7388" s="753" t="s">
        <v>3</v>
      </c>
      <c r="L7388" s="755" t="s">
        <v>143</v>
      </c>
      <c r="M7388" s="755"/>
      <c r="N7388" s="755"/>
      <c r="O7388" s="755"/>
      <c r="P7388" s="755"/>
      <c r="Q7388" s="51"/>
      <c r="T7388" s="756" t="str">
        <f ca="1">IF(AND($R7393=0,$T7393=0),"0.00","mu :" &amp; ROUND($F7388/$C$2/($R7393+$T7393*$D$9),2))</f>
        <v>mu :1.23</v>
      </c>
      <c r="W7388" s="524"/>
      <c r="AG7388" s="481">
        <f ca="1">IF($E7388=0,0,ROUND($R7393*$S$2*$C$2/$A7388,2))</f>
        <v>15.15</v>
      </c>
      <c r="AH7388" s="481">
        <f ca="1">$AG7388*$A7388</f>
        <v>1227.1500000000001</v>
      </c>
      <c r="AI7388" s="525">
        <f ca="1">$E7388-$AG7388</f>
        <v>32.79</v>
      </c>
      <c r="AJ7388" s="525">
        <f ca="1">$A7388*$AI7388</f>
        <v>2655.99</v>
      </c>
      <c r="AK7388" s="526">
        <f ca="1">ROUND(($AG7388+$AI7388)*$A7388,2)</f>
        <v>3883.14</v>
      </c>
      <c r="AM7388" s="527">
        <f ca="1">ROUND(R7393,2)</f>
        <v>996.3</v>
      </c>
      <c r="AN7388" s="528">
        <f ca="1">ROUND(T7393,2)</f>
        <v>78.569999999999993</v>
      </c>
      <c r="AO7388" s="529">
        <f ca="1">ROUND(AM7388+AN7388,2)*A7388</f>
        <v>87064.469999999987</v>
      </c>
      <c r="AR7388" s="747">
        <v>81</v>
      </c>
      <c r="AS7388" s="751">
        <v>4184.46</v>
      </c>
    </row>
    <row r="7389" spans="1:45" s="520" customFormat="1" ht="13.2">
      <c r="A7389" s="748"/>
      <c r="B7389"/>
      <c r="C7389" s="748"/>
      <c r="D7389" s="749" t="s">
        <v>947</v>
      </c>
      <c r="F7389" s="753"/>
      <c r="G7389" s="3"/>
      <c r="H7389" s="753"/>
      <c r="I7389" s="754"/>
      <c r="J7389" s="753"/>
      <c r="K7389" s="753" t="s">
        <v>144</v>
      </c>
      <c r="L7389" s="753"/>
      <c r="M7389" s="753"/>
      <c r="N7389" s="753"/>
      <c r="O7389" s="753"/>
      <c r="P7389" s="753"/>
      <c r="Q7389" s="51"/>
      <c r="R7389" s="530"/>
      <c r="S7389" s="757"/>
      <c r="T7389" s="753"/>
      <c r="AR7389" s="748"/>
      <c r="AS7389" s="753"/>
    </row>
    <row r="7390" spans="1:45" s="886" customFormat="1" ht="17.100000000000001" customHeight="1">
      <c r="A7390"/>
      <c r="B7390" s="910"/>
      <c r="C7390" s="910" t="s">
        <v>2597</v>
      </c>
      <c r="D7390" s="910" t="str">
        <f ca="1">CELL("Address",Elec_Rates!D$1017)</f>
        <v>[E25_0062_Quintano_Foods_Elec_ELV_As_Awarded.xlsx]Elec_Rates!$D$1017</v>
      </c>
      <c r="E7390" s="911"/>
      <c r="F7390" s="911"/>
      <c r="G7390" s="912" t="s">
        <v>2598</v>
      </c>
      <c r="H7390" s="912"/>
      <c r="I7390" s="912"/>
      <c r="J7390" s="912"/>
      <c r="K7390" s="913"/>
      <c r="L7390" s="911"/>
      <c r="M7390" s="911"/>
      <c r="N7390" s="911"/>
      <c r="O7390" s="914"/>
      <c r="P7390" s="911"/>
      <c r="Q7390" s="915"/>
      <c r="R7390" s="916"/>
      <c r="S7390" s="915"/>
      <c r="T7390" s="917"/>
      <c r="U7390" s="918"/>
      <c r="AR7390"/>
      <c r="AS7390" s="911"/>
    </row>
    <row r="7391" spans="1:45" s="886" customFormat="1" ht="11.4">
      <c r="A7391" s="919">
        <v>81</v>
      </c>
      <c r="B7391" s="920">
        <v>1</v>
      </c>
      <c r="C7391" s="920">
        <f>$A7391*$B7391</f>
        <v>81</v>
      </c>
      <c r="D7391" s="921" t="str">
        <f>Elec_Rates!$D$1017</f>
        <v>090# LSZH Conduit point for Data</v>
      </c>
      <c r="E7391" s="921"/>
      <c r="F7391" s="921" t="s">
        <v>2599</v>
      </c>
      <c r="G7391" s="922" t="s">
        <v>2600</v>
      </c>
      <c r="H7391" s="922"/>
      <c r="I7391" s="922"/>
      <c r="J7391" s="922"/>
      <c r="K7391" s="923"/>
      <c r="L7391" s="918"/>
      <c r="M7391" s="918"/>
      <c r="N7391" s="918"/>
      <c r="O7391" s="924"/>
      <c r="P7391" s="921"/>
      <c r="Q7391" s="925">
        <f ca="1">$B7391*Elec_Rates!$R$1017</f>
        <v>12.3</v>
      </c>
      <c r="R7391" s="916">
        <f ca="1">$A7391*Q7391</f>
        <v>996.30000000000007</v>
      </c>
      <c r="S7391" s="925">
        <f ca="1">$B7391*Elec_Rates!$T$1017</f>
        <v>0.97</v>
      </c>
      <c r="T7391" s="917">
        <f ca="1">$A7391*S7391</f>
        <v>78.569999999999993</v>
      </c>
      <c r="U7391" s="926"/>
      <c r="AR7391" s="919">
        <v>81</v>
      </c>
      <c r="AS7391" s="921" t="s">
        <v>2599</v>
      </c>
    </row>
    <row r="7392" spans="1:45" s="520" customFormat="1" ht="12">
      <c r="A7392" s="758"/>
      <c r="B7392" s="758"/>
      <c r="C7392" s="758"/>
      <c r="D7392" s="758"/>
      <c r="E7392" s="758"/>
      <c r="F7392" s="753"/>
      <c r="G7392" s="758"/>
      <c r="H7392" s="758"/>
      <c r="I7392" s="519"/>
      <c r="J7392" s="758"/>
      <c r="K7392" s="758"/>
      <c r="L7392" s="758"/>
      <c r="M7392" s="758"/>
      <c r="N7392" s="758"/>
      <c r="O7392" s="758"/>
      <c r="P7392" s="758"/>
      <c r="Q7392" s="519"/>
      <c r="R7392" s="759">
        <f t="shared" ref="R7392" si="668">$A7392*Q7392</f>
        <v>0</v>
      </c>
      <c r="S7392" s="519"/>
      <c r="T7392" s="760">
        <f t="shared" ref="T7392" si="669">$A7392*S7392*$T$1</f>
        <v>0</v>
      </c>
      <c r="AR7392" s="758"/>
      <c r="AS7392" s="753"/>
    </row>
    <row r="7393" spans="1:45" s="520" customFormat="1" ht="12.6" thickBot="1">
      <c r="A7393" s="761" t="s">
        <v>145</v>
      </c>
      <c r="B7393" s="762">
        <f>(R7392+T7392)</f>
        <v>0</v>
      </c>
      <c r="C7393" s="763"/>
      <c r="D7393" s="763"/>
      <c r="E7393" s="763"/>
      <c r="F7393" s="764"/>
      <c r="G7393" s="763" t="s">
        <v>146</v>
      </c>
      <c r="H7393" s="763"/>
      <c r="I7393" s="765"/>
      <c r="J7393" s="763"/>
      <c r="K7393" s="763" t="s">
        <v>3</v>
      </c>
      <c r="L7393" s="766" t="s">
        <v>143</v>
      </c>
      <c r="M7393" s="766"/>
      <c r="N7393" s="766"/>
      <c r="O7393" s="766"/>
      <c r="P7393" s="766"/>
      <c r="Q7393" s="767"/>
      <c r="R7393" s="768">
        <f ca="1">SUM(R7389:R7392)</f>
        <v>996.30000000000007</v>
      </c>
      <c r="S7393" s="763"/>
      <c r="T7393" s="768">
        <f ca="1">SUM(T7389:T7392)</f>
        <v>78.569999999999993</v>
      </c>
      <c r="U7393" s="531"/>
      <c r="V7393" s="531"/>
      <c r="W7393" s="531"/>
      <c r="X7393" s="531"/>
      <c r="Y7393" s="531"/>
      <c r="Z7393" s="531"/>
      <c r="AA7393" s="531"/>
      <c r="AB7393" s="531"/>
      <c r="AC7393" s="531"/>
      <c r="AD7393" s="531"/>
      <c r="AE7393" s="531"/>
      <c r="AF7393" s="531"/>
      <c r="AG7393" s="531"/>
      <c r="AH7393" s="531"/>
      <c r="AI7393" s="531"/>
      <c r="AJ7393" s="531"/>
      <c r="AK7393" s="531"/>
      <c r="AL7393" s="531"/>
      <c r="AM7393" s="531"/>
      <c r="AN7393" s="531"/>
      <c r="AO7393" s="531"/>
      <c r="AR7393" s="761" t="s">
        <v>145</v>
      </c>
      <c r="AS7393" s="764"/>
    </row>
    <row r="7394" spans="1:45" s="520" customFormat="1" thickTop="1">
      <c r="A7394" s="51"/>
      <c r="B7394" s="51"/>
      <c r="C7394" s="3"/>
      <c r="D7394" s="3"/>
      <c r="E7394" s="51"/>
      <c r="F7394" s="51"/>
      <c r="G7394" s="51"/>
      <c r="H7394" s="51"/>
      <c r="I7394" s="51"/>
      <c r="J7394" s="51"/>
      <c r="K7394" s="51" t="s">
        <v>134</v>
      </c>
      <c r="L7394" s="51"/>
      <c r="M7394" s="51"/>
      <c r="N7394" s="51"/>
      <c r="O7394" s="52"/>
      <c r="P7394" s="51"/>
      <c r="Q7394" s="51"/>
      <c r="R7394" s="51"/>
      <c r="S7394" s="51"/>
      <c r="T7394" s="51"/>
      <c r="AR7394" s="51"/>
      <c r="AS7394" s="51"/>
    </row>
    <row r="7395" spans="1:45" s="520" customFormat="1" ht="12">
      <c r="A7395" s="51"/>
      <c r="B7395" s="51"/>
      <c r="C7395" s="51" t="s">
        <v>135</v>
      </c>
      <c r="D7395" s="37"/>
      <c r="E7395" s="51"/>
      <c r="F7395" s="51"/>
      <c r="G7395" s="51"/>
      <c r="H7395" s="51"/>
      <c r="I7395" s="51"/>
      <c r="J7395" s="51"/>
      <c r="K7395" s="51"/>
      <c r="L7395" s="51"/>
      <c r="M7395" s="51"/>
      <c r="N7395" s="51"/>
      <c r="O7395" s="52"/>
      <c r="P7395" s="51"/>
      <c r="Q7395" s="51"/>
      <c r="R7395" s="51"/>
      <c r="S7395" s="51"/>
      <c r="T7395" s="51"/>
      <c r="AR7395" s="51"/>
      <c r="AS7395" s="51"/>
    </row>
    <row r="7396" spans="1:45" s="520" customFormat="1" ht="39.9" customHeight="1">
      <c r="A7396" s="51"/>
      <c r="B7396" s="51"/>
      <c r="C7396" s="51"/>
      <c r="D7396" s="1453" t="s">
        <v>998</v>
      </c>
      <c r="E7396" s="1452"/>
      <c r="F7396" s="1452"/>
      <c r="G7396" s="1452"/>
      <c r="H7396" s="1452"/>
      <c r="I7396" s="1452"/>
      <c r="J7396" s="1452"/>
      <c r="K7396" s="1452"/>
      <c r="L7396" s="1452"/>
      <c r="M7396" s="1452"/>
      <c r="N7396" s="1452"/>
      <c r="O7396" s="1452"/>
      <c r="P7396" s="1452"/>
      <c r="Q7396" s="1452"/>
      <c r="R7396" s="1452"/>
      <c r="S7396" s="1452"/>
      <c r="T7396" s="1452"/>
      <c r="AR7396" s="51"/>
    </row>
    <row r="7397" spans="1:45" s="3" customFormat="1" thickBot="1">
      <c r="A7397" s="531"/>
      <c r="O7397" s="107"/>
      <c r="AR7397" s="531"/>
    </row>
    <row r="7398" spans="1:45" s="520" customFormat="1" ht="12" thickTop="1">
      <c r="A7398" s="51"/>
      <c r="B7398" s="41"/>
      <c r="C7398" s="51"/>
      <c r="E7398" s="42" t="s">
        <v>138</v>
      </c>
      <c r="F7398" s="42" t="s">
        <v>139</v>
      </c>
      <c r="G7398" s="51"/>
      <c r="H7398" s="51"/>
      <c r="I7398" s="51"/>
      <c r="J7398" s="51"/>
      <c r="K7398" s="51" t="s">
        <v>140</v>
      </c>
      <c r="L7398" s="51"/>
      <c r="M7398" s="51"/>
      <c r="N7398" s="51"/>
      <c r="O7398" s="52"/>
      <c r="P7398" s="51"/>
      <c r="Q7398" s="51"/>
      <c r="R7398" s="51"/>
      <c r="S7398" s="51"/>
      <c r="T7398" s="41"/>
      <c r="AG7398" s="521" t="s">
        <v>268</v>
      </c>
      <c r="AH7398" s="521" t="s">
        <v>269</v>
      </c>
      <c r="AI7398" s="521" t="s">
        <v>270</v>
      </c>
      <c r="AJ7398" s="521" t="s">
        <v>271</v>
      </c>
      <c r="AK7398" s="521" t="s">
        <v>272</v>
      </c>
      <c r="AM7398" s="745" t="s">
        <v>281</v>
      </c>
      <c r="AN7398" s="746" t="s">
        <v>282</v>
      </c>
      <c r="AO7398" s="522" t="s">
        <v>278</v>
      </c>
      <c r="AR7398" s="51"/>
      <c r="AS7398" s="42" t="s">
        <v>139</v>
      </c>
    </row>
    <row r="7399" spans="1:45" s="520" customFormat="1" ht="12" customHeight="1">
      <c r="A7399" s="747">
        <v>8</v>
      </c>
      <c r="B7399" s="523" t="s">
        <v>329</v>
      </c>
      <c r="C7399" s="748"/>
      <c r="D7399" s="749" t="s">
        <v>3964</v>
      </c>
      <c r="E7399" s="1145">
        <f>IF(AND($A7399=0,$A$1="DIF"),0, ROUND(ROUND(($R7403*$S$3+($T7403*$T$3))/$A7399,2)*$C$3,2))</f>
        <v>64</v>
      </c>
      <c r="F7399" s="1146">
        <f>ROUND($A7399*$E7399,2)</f>
        <v>512</v>
      </c>
      <c r="G7399" s="752" t="s">
        <v>142</v>
      </c>
      <c r="H7399" s="753"/>
      <c r="I7399" s="754"/>
      <c r="J7399" s="753"/>
      <c r="K7399" s="753" t="s">
        <v>5</v>
      </c>
      <c r="L7399" s="755" t="s">
        <v>143</v>
      </c>
      <c r="M7399" s="755"/>
      <c r="N7399" s="755"/>
      <c r="O7399" s="755"/>
      <c r="P7399" s="755"/>
      <c r="Q7399" s="51"/>
      <c r="T7399" s="1150" t="str">
        <f>IF(AND($R7403=0,$T7403=0),"0.00","mu: "&amp; ROUND(F7399/$C$3/($R7403+$T7403*$D$9),2))</f>
        <v>mu: 1.13</v>
      </c>
      <c r="W7399" s="524"/>
      <c r="AG7399" s="1147">
        <f>IF($E7399=0,0,ROUND($R7403*$S$3*$C$3/$A7399,2))</f>
        <v>64</v>
      </c>
      <c r="AH7399" s="1147">
        <f>$AG7399*$A7399</f>
        <v>512</v>
      </c>
      <c r="AI7399" s="1148">
        <f>$E7399-$AG7399</f>
        <v>0</v>
      </c>
      <c r="AJ7399" s="1148">
        <f>$A7399*$AI7399</f>
        <v>0</v>
      </c>
      <c r="AK7399" s="1149">
        <f>ROUND(($AG7399+$AI7399)*$A7399,2)</f>
        <v>512</v>
      </c>
      <c r="AM7399" s="527">
        <f>ROUND(R7403,2)</f>
        <v>453.6</v>
      </c>
      <c r="AN7399" s="528">
        <f>ROUND(T7403,2)</f>
        <v>0</v>
      </c>
      <c r="AO7399" s="529">
        <f>ROUND(AM7399+AN7399,2)*A7399</f>
        <v>3628.8</v>
      </c>
      <c r="AR7399" s="747">
        <v>8</v>
      </c>
      <c r="AS7399" s="1146">
        <v>814.96</v>
      </c>
    </row>
    <row r="7400" spans="1:45" s="520" customFormat="1" ht="13.2">
      <c r="A7400" s="748"/>
      <c r="B7400"/>
      <c r="C7400" s="748"/>
      <c r="D7400" s="749" t="s">
        <v>949</v>
      </c>
      <c r="F7400" s="753"/>
      <c r="G7400" s="3"/>
      <c r="H7400" s="753"/>
      <c r="I7400" s="754"/>
      <c r="J7400" s="753"/>
      <c r="K7400" s="753" t="s">
        <v>144</v>
      </c>
      <c r="L7400" s="753"/>
      <c r="M7400" s="753"/>
      <c r="N7400" s="753"/>
      <c r="O7400" s="753"/>
      <c r="P7400" s="753"/>
      <c r="Q7400" s="51"/>
      <c r="R7400" s="530"/>
      <c r="S7400" s="757"/>
      <c r="T7400" s="753"/>
      <c r="AR7400" s="748"/>
      <c r="AS7400" s="753"/>
    </row>
    <row r="7401" spans="1:45" s="901" customFormat="1" ht="13.2">
      <c r="A7401" s="903">
        <v>8</v>
      </c>
      <c r="B7401" s="904" t="s">
        <v>863</v>
      </c>
      <c r="C7401" s="904"/>
      <c r="D7401" s="904" t="s">
        <v>2594</v>
      </c>
      <c r="E7401" s="904"/>
      <c r="F7401" s="904" t="s">
        <v>4139</v>
      </c>
      <c r="G7401" s="905" t="s">
        <v>2595</v>
      </c>
      <c r="H7401" s="902">
        <v>960</v>
      </c>
      <c r="I7401" s="904" t="s">
        <v>2596</v>
      </c>
      <c r="J7401" s="904"/>
      <c r="K7401" s="904"/>
      <c r="L7401" s="904"/>
      <c r="M7401" s="904"/>
      <c r="N7401" s="904"/>
      <c r="O7401" s="902">
        <v>4</v>
      </c>
      <c r="P7401" s="906">
        <v>38274</v>
      </c>
      <c r="Q7401" s="1415">
        <f>1.05*60*0.9</f>
        <v>56.7</v>
      </c>
      <c r="R7401" s="908">
        <f>$A7401*Q7401</f>
        <v>453.6</v>
      </c>
      <c r="S7401" s="907"/>
      <c r="T7401" s="909">
        <f>$A7401*S7401*$T$1</f>
        <v>0</v>
      </c>
      <c r="AR7401" s="903">
        <v>8</v>
      </c>
      <c r="AS7401" s="904" t="s">
        <v>3507</v>
      </c>
    </row>
    <row r="7402" spans="1:45" s="520" customFormat="1" ht="12">
      <c r="A7402" s="758"/>
      <c r="B7402" s="758"/>
      <c r="C7402" s="758"/>
      <c r="D7402" s="758"/>
      <c r="E7402" s="758"/>
      <c r="F7402" s="753"/>
      <c r="G7402" s="758"/>
      <c r="H7402" s="758"/>
      <c r="I7402" s="519"/>
      <c r="J7402" s="758"/>
      <c r="K7402" s="758"/>
      <c r="L7402" s="758"/>
      <c r="M7402" s="758"/>
      <c r="N7402" s="758"/>
      <c r="O7402" s="758"/>
      <c r="P7402" s="758"/>
      <c r="Q7402" s="519"/>
      <c r="R7402" s="759">
        <f t="shared" ref="R7402" si="670">$A7402*Q7402</f>
        <v>0</v>
      </c>
      <c r="S7402" s="519"/>
      <c r="T7402" s="760">
        <f t="shared" ref="T7402" si="671">$A7402*S7402*$T$1</f>
        <v>0</v>
      </c>
      <c r="AR7402" s="758"/>
      <c r="AS7402" s="753"/>
    </row>
    <row r="7403" spans="1:45" s="520" customFormat="1" ht="12.6" thickBot="1">
      <c r="A7403" s="761" t="s">
        <v>145</v>
      </c>
      <c r="B7403" s="762">
        <f>(R7402+T7402)</f>
        <v>0</v>
      </c>
      <c r="C7403" s="763"/>
      <c r="D7403" s="763"/>
      <c r="E7403" s="763"/>
      <c r="F7403" s="764"/>
      <c r="G7403" s="763" t="s">
        <v>146</v>
      </c>
      <c r="H7403" s="763"/>
      <c r="I7403" s="765"/>
      <c r="J7403" s="763"/>
      <c r="K7403" s="763" t="s">
        <v>5</v>
      </c>
      <c r="L7403" s="766" t="s">
        <v>143</v>
      </c>
      <c r="M7403" s="766"/>
      <c r="N7403" s="766"/>
      <c r="O7403" s="766"/>
      <c r="P7403" s="766"/>
      <c r="Q7403" s="767"/>
      <c r="R7403" s="768">
        <f>SUM(R7400:R7402)</f>
        <v>453.6</v>
      </c>
      <c r="S7403" s="763"/>
      <c r="T7403" s="768">
        <f>SUM(T7400:T7402)</f>
        <v>0</v>
      </c>
      <c r="U7403" s="531"/>
      <c r="V7403" s="531"/>
      <c r="W7403" s="531"/>
      <c r="X7403" s="531"/>
      <c r="Y7403" s="531"/>
      <c r="Z7403" s="531"/>
      <c r="AA7403" s="531"/>
      <c r="AB7403" s="531"/>
      <c r="AC7403" s="531"/>
      <c r="AD7403" s="531"/>
      <c r="AE7403" s="531"/>
      <c r="AF7403" s="531"/>
      <c r="AG7403" s="531"/>
      <c r="AH7403" s="531"/>
      <c r="AI7403" s="531"/>
      <c r="AJ7403" s="531"/>
      <c r="AK7403" s="531"/>
      <c r="AL7403" s="531"/>
      <c r="AM7403" s="531"/>
      <c r="AN7403" s="531"/>
      <c r="AO7403" s="531"/>
      <c r="AR7403" s="761" t="s">
        <v>145</v>
      </c>
      <c r="AS7403" s="764"/>
    </row>
    <row r="7404" spans="1:45" s="520" customFormat="1" ht="12" thickTop="1">
      <c r="A7404" s="51"/>
      <c r="B7404" s="41"/>
      <c r="C7404" s="51"/>
      <c r="E7404" s="42" t="s">
        <v>138</v>
      </c>
      <c r="F7404" s="42" t="s">
        <v>139</v>
      </c>
      <c r="G7404" s="51"/>
      <c r="H7404" s="51"/>
      <c r="I7404" s="51"/>
      <c r="J7404" s="51"/>
      <c r="K7404" s="51" t="s">
        <v>140</v>
      </c>
      <c r="L7404" s="51"/>
      <c r="M7404" s="51"/>
      <c r="N7404" s="51"/>
      <c r="O7404" s="52"/>
      <c r="P7404" s="51"/>
      <c r="Q7404" s="51"/>
      <c r="R7404" s="51"/>
      <c r="S7404" s="51"/>
      <c r="T7404" s="41"/>
      <c r="AG7404" s="521" t="s">
        <v>268</v>
      </c>
      <c r="AH7404" s="521" t="s">
        <v>269</v>
      </c>
      <c r="AI7404" s="521" t="s">
        <v>270</v>
      </c>
      <c r="AJ7404" s="521" t="s">
        <v>271</v>
      </c>
      <c r="AK7404" s="521" t="s">
        <v>272</v>
      </c>
      <c r="AM7404" s="745" t="s">
        <v>281</v>
      </c>
      <c r="AN7404" s="746" t="s">
        <v>282</v>
      </c>
      <c r="AO7404" s="522" t="s">
        <v>278</v>
      </c>
      <c r="AR7404" s="51"/>
      <c r="AS7404" s="42" t="s">
        <v>139</v>
      </c>
    </row>
    <row r="7405" spans="1:45" s="520" customFormat="1" ht="12" customHeight="1">
      <c r="A7405" s="747">
        <v>4</v>
      </c>
      <c r="B7405" s="523" t="s">
        <v>329</v>
      </c>
      <c r="C7405" s="748"/>
      <c r="D7405" s="749" t="s">
        <v>3965</v>
      </c>
      <c r="E7405" s="1145">
        <f>IF(AND($A7405=0,$A$1="DIF"),0, ROUND(ROUND(($R7409*$S$3+($T7409*$T$3))/$A7405,2)*$C$3,2))</f>
        <v>64</v>
      </c>
      <c r="F7405" s="1146">
        <f>ROUND($A7405*$E7405,2)</f>
        <v>256</v>
      </c>
      <c r="G7405" s="752" t="s">
        <v>142</v>
      </c>
      <c r="H7405" s="753"/>
      <c r="I7405" s="754"/>
      <c r="J7405" s="753"/>
      <c r="K7405" s="753" t="s">
        <v>5</v>
      </c>
      <c r="L7405" s="755" t="s">
        <v>143</v>
      </c>
      <c r="M7405" s="755"/>
      <c r="N7405" s="755"/>
      <c r="O7405" s="755"/>
      <c r="P7405" s="755"/>
      <c r="Q7405" s="51"/>
      <c r="T7405" s="1150" t="str">
        <f>IF(AND($R7409=0,$T7409=0),"0.00","mu: "&amp; ROUND(F7405/$C$3/($R7409+$T7409*$D$9),2))</f>
        <v>mu: 1.13</v>
      </c>
      <c r="W7405" s="524"/>
      <c r="AG7405" s="1147">
        <f>IF($E7405=0,0,ROUND($R7409*$S$3*$C$3/$A7405,2))</f>
        <v>64</v>
      </c>
      <c r="AH7405" s="1147">
        <f>$AG7405*$A7405</f>
        <v>256</v>
      </c>
      <c r="AI7405" s="1148">
        <f>$E7405-$AG7405</f>
        <v>0</v>
      </c>
      <c r="AJ7405" s="1148">
        <f>$A7405*$AI7405</f>
        <v>0</v>
      </c>
      <c r="AK7405" s="1149">
        <f>ROUND(($AG7405+$AI7405)*$A7405,2)</f>
        <v>256</v>
      </c>
      <c r="AM7405" s="527">
        <f>ROUND(R7409,2)</f>
        <v>226.8</v>
      </c>
      <c r="AN7405" s="528">
        <f>ROUND(T7409,2)</f>
        <v>0</v>
      </c>
      <c r="AO7405" s="529">
        <f>ROUND(AM7405+AN7405,2)*A7405</f>
        <v>907.2</v>
      </c>
      <c r="AR7405" s="747">
        <v>4</v>
      </c>
      <c r="AS7405" s="1146">
        <v>407.48</v>
      </c>
    </row>
    <row r="7406" spans="1:45" s="520" customFormat="1" ht="13.2">
      <c r="A7406" s="748"/>
      <c r="B7406"/>
      <c r="C7406" s="748"/>
      <c r="D7406" s="749" t="s">
        <v>950</v>
      </c>
      <c r="F7406" s="753"/>
      <c r="G7406" s="3"/>
      <c r="H7406" s="753"/>
      <c r="I7406" s="754"/>
      <c r="J7406" s="753"/>
      <c r="K7406" s="753" t="s">
        <v>144</v>
      </c>
      <c r="L7406" s="753"/>
      <c r="M7406" s="753"/>
      <c r="N7406" s="753"/>
      <c r="O7406" s="753"/>
      <c r="P7406" s="753"/>
      <c r="Q7406" s="51"/>
      <c r="R7406" s="530"/>
      <c r="S7406" s="757"/>
      <c r="T7406" s="753"/>
      <c r="AR7406" s="748"/>
      <c r="AS7406" s="753"/>
    </row>
    <row r="7407" spans="1:45" s="901" customFormat="1" ht="13.2">
      <c r="A7407" s="903">
        <v>4</v>
      </c>
      <c r="B7407" s="904" t="s">
        <v>863</v>
      </c>
      <c r="C7407" s="904"/>
      <c r="D7407" s="904" t="s">
        <v>2594</v>
      </c>
      <c r="E7407" s="904"/>
      <c r="F7407" s="904" t="s">
        <v>4139</v>
      </c>
      <c r="G7407" s="905" t="s">
        <v>2595</v>
      </c>
      <c r="H7407" s="902">
        <v>960</v>
      </c>
      <c r="I7407" s="904" t="s">
        <v>2596</v>
      </c>
      <c r="J7407" s="904"/>
      <c r="K7407" s="904"/>
      <c r="L7407" s="904"/>
      <c r="M7407" s="904"/>
      <c r="N7407" s="904"/>
      <c r="O7407" s="902">
        <v>4</v>
      </c>
      <c r="P7407" s="906">
        <v>38274</v>
      </c>
      <c r="Q7407" s="1415">
        <f>1.05*60*0.9</f>
        <v>56.7</v>
      </c>
      <c r="R7407" s="908">
        <f>$A7407*Q7407</f>
        <v>226.8</v>
      </c>
      <c r="S7407" s="907"/>
      <c r="T7407" s="909">
        <f>$A7407*S7407*$T$1</f>
        <v>0</v>
      </c>
      <c r="AR7407" s="903">
        <v>4</v>
      </c>
      <c r="AS7407" s="904" t="s">
        <v>3507</v>
      </c>
    </row>
    <row r="7408" spans="1:45" s="520" customFormat="1" ht="12">
      <c r="A7408" s="758"/>
      <c r="B7408" s="758"/>
      <c r="C7408" s="758"/>
      <c r="D7408" s="758"/>
      <c r="E7408" s="758"/>
      <c r="F7408" s="753"/>
      <c r="G7408" s="758"/>
      <c r="H7408" s="758"/>
      <c r="I7408" s="519"/>
      <c r="J7408" s="758"/>
      <c r="K7408" s="758"/>
      <c r="L7408" s="758"/>
      <c r="M7408" s="758"/>
      <c r="N7408" s="758"/>
      <c r="O7408" s="758"/>
      <c r="P7408" s="758"/>
      <c r="Q7408" s="519"/>
      <c r="R7408" s="759">
        <f t="shared" ref="R7408" si="672">$A7408*Q7408</f>
        <v>0</v>
      </c>
      <c r="S7408" s="519"/>
      <c r="T7408" s="760">
        <f t="shared" ref="T7408" si="673">$A7408*S7408*$T$1</f>
        <v>0</v>
      </c>
      <c r="AR7408" s="758"/>
      <c r="AS7408" s="753"/>
    </row>
    <row r="7409" spans="1:45" s="520" customFormat="1" ht="12.6" thickBot="1">
      <c r="A7409" s="761" t="s">
        <v>145</v>
      </c>
      <c r="B7409" s="762">
        <f>(R7408+T7408)</f>
        <v>0</v>
      </c>
      <c r="C7409" s="763"/>
      <c r="D7409" s="763"/>
      <c r="E7409" s="763"/>
      <c r="F7409" s="764"/>
      <c r="G7409" s="763" t="s">
        <v>146</v>
      </c>
      <c r="H7409" s="763"/>
      <c r="I7409" s="765"/>
      <c r="J7409" s="763"/>
      <c r="K7409" s="763" t="s">
        <v>5</v>
      </c>
      <c r="L7409" s="766" t="s">
        <v>143</v>
      </c>
      <c r="M7409" s="766"/>
      <c r="N7409" s="766"/>
      <c r="O7409" s="766"/>
      <c r="P7409" s="766"/>
      <c r="Q7409" s="767"/>
      <c r="R7409" s="768">
        <f>SUM(R7406:R7408)</f>
        <v>226.8</v>
      </c>
      <c r="S7409" s="763"/>
      <c r="T7409" s="768">
        <f>SUM(T7406:T7408)</f>
        <v>0</v>
      </c>
      <c r="U7409" s="531"/>
      <c r="V7409" s="531"/>
      <c r="W7409" s="531"/>
      <c r="X7409" s="531"/>
      <c r="Y7409" s="531"/>
      <c r="Z7409" s="531"/>
      <c r="AA7409" s="531"/>
      <c r="AB7409" s="531"/>
      <c r="AC7409" s="531"/>
      <c r="AD7409" s="531"/>
      <c r="AE7409" s="531"/>
      <c r="AF7409" s="531"/>
      <c r="AG7409" s="531"/>
      <c r="AH7409" s="531"/>
      <c r="AI7409" s="531"/>
      <c r="AJ7409" s="531"/>
      <c r="AK7409" s="531"/>
      <c r="AL7409" s="531"/>
      <c r="AM7409" s="531"/>
      <c r="AN7409" s="531"/>
      <c r="AO7409" s="531"/>
      <c r="AR7409" s="761" t="s">
        <v>145</v>
      </c>
      <c r="AS7409" s="764"/>
    </row>
    <row r="7410" spans="1:45" s="520" customFormat="1" ht="12" thickTop="1">
      <c r="A7410" s="51"/>
      <c r="B7410" s="41"/>
      <c r="C7410" s="51"/>
      <c r="E7410" s="42" t="s">
        <v>138</v>
      </c>
      <c r="F7410" s="42" t="s">
        <v>139</v>
      </c>
      <c r="G7410" s="51"/>
      <c r="H7410" s="51"/>
      <c r="I7410" s="51"/>
      <c r="J7410" s="51"/>
      <c r="K7410" s="51" t="s">
        <v>140</v>
      </c>
      <c r="L7410" s="51"/>
      <c r="M7410" s="51"/>
      <c r="N7410" s="51"/>
      <c r="O7410" s="52"/>
      <c r="P7410" s="51"/>
      <c r="Q7410" s="51"/>
      <c r="R7410" s="51"/>
      <c r="S7410" s="51"/>
      <c r="T7410" s="41"/>
      <c r="AG7410" s="521" t="s">
        <v>268</v>
      </c>
      <c r="AH7410" s="521" t="s">
        <v>269</v>
      </c>
      <c r="AI7410" s="521" t="s">
        <v>270</v>
      </c>
      <c r="AJ7410" s="521" t="s">
        <v>271</v>
      </c>
      <c r="AK7410" s="521" t="s">
        <v>272</v>
      </c>
      <c r="AM7410" s="745" t="s">
        <v>281</v>
      </c>
      <c r="AN7410" s="746" t="s">
        <v>282</v>
      </c>
      <c r="AO7410" s="522" t="s">
        <v>278</v>
      </c>
      <c r="AR7410" s="51"/>
      <c r="AS7410" s="42" t="s">
        <v>139</v>
      </c>
    </row>
    <row r="7411" spans="1:45" s="520" customFormat="1" ht="12" customHeight="1">
      <c r="A7411" s="747">
        <v>3</v>
      </c>
      <c r="B7411" s="523" t="s">
        <v>329</v>
      </c>
      <c r="C7411" s="748"/>
      <c r="D7411" s="749" t="s">
        <v>3966</v>
      </c>
      <c r="E7411" s="1145">
        <f>IF(AND($A7411=0,$A$1="DIF"),0, ROUND(ROUND(($R7415*$S$3+($T7415*$T$3))/$A7411,2)*$C$3,2))</f>
        <v>64</v>
      </c>
      <c r="F7411" s="1146">
        <f>ROUND($A7411*$E7411,2)</f>
        <v>192</v>
      </c>
      <c r="G7411" s="752" t="s">
        <v>142</v>
      </c>
      <c r="H7411" s="753"/>
      <c r="I7411" s="754"/>
      <c r="J7411" s="753"/>
      <c r="K7411" s="753" t="s">
        <v>5</v>
      </c>
      <c r="L7411" s="755" t="s">
        <v>143</v>
      </c>
      <c r="M7411" s="755"/>
      <c r="N7411" s="755"/>
      <c r="O7411" s="755"/>
      <c r="P7411" s="755"/>
      <c r="Q7411" s="51"/>
      <c r="T7411" s="1150" t="str">
        <f>IF(AND($R7415=0,$T7415=0),"0.00","mu: "&amp; ROUND(F7411/$C$3/($R7415+$T7415*$D$9),2))</f>
        <v>mu: 1.13</v>
      </c>
      <c r="W7411" s="524"/>
      <c r="AG7411" s="1147">
        <f>IF($E7411=0,0,ROUND($R7415*$S$3*$C$3/$A7411,2))</f>
        <v>64</v>
      </c>
      <c r="AH7411" s="1147">
        <f>$AG7411*$A7411</f>
        <v>192</v>
      </c>
      <c r="AI7411" s="1148">
        <f>$E7411-$AG7411</f>
        <v>0</v>
      </c>
      <c r="AJ7411" s="1148">
        <f>$A7411*$AI7411</f>
        <v>0</v>
      </c>
      <c r="AK7411" s="1149">
        <f>ROUND(($AG7411+$AI7411)*$A7411,2)</f>
        <v>192</v>
      </c>
      <c r="AM7411" s="527">
        <f>ROUND(R7415,2)</f>
        <v>170.1</v>
      </c>
      <c r="AN7411" s="528">
        <f>ROUND(T7415,2)</f>
        <v>0</v>
      </c>
      <c r="AO7411" s="529">
        <f>ROUND(AM7411+AN7411,2)*A7411</f>
        <v>510.29999999999995</v>
      </c>
      <c r="AR7411" s="747">
        <v>3</v>
      </c>
      <c r="AS7411" s="1146">
        <v>305.61</v>
      </c>
    </row>
    <row r="7412" spans="1:45" s="520" customFormat="1" ht="13.2">
      <c r="A7412" s="748"/>
      <c r="B7412"/>
      <c r="C7412" s="748"/>
      <c r="D7412" s="749" t="s">
        <v>970</v>
      </c>
      <c r="F7412" s="753"/>
      <c r="G7412" s="3"/>
      <c r="H7412" s="753"/>
      <c r="I7412" s="754"/>
      <c r="J7412" s="753"/>
      <c r="K7412" s="753" t="s">
        <v>144</v>
      </c>
      <c r="L7412" s="753"/>
      <c r="M7412" s="753"/>
      <c r="N7412" s="753"/>
      <c r="O7412" s="753"/>
      <c r="P7412" s="753"/>
      <c r="Q7412" s="51"/>
      <c r="R7412" s="530"/>
      <c r="S7412" s="757"/>
      <c r="T7412" s="753"/>
      <c r="AR7412" s="748"/>
      <c r="AS7412" s="753"/>
    </row>
    <row r="7413" spans="1:45" s="901" customFormat="1" ht="13.2">
      <c r="A7413" s="903">
        <v>3</v>
      </c>
      <c r="B7413" s="904" t="s">
        <v>863</v>
      </c>
      <c r="C7413" s="904"/>
      <c r="D7413" s="904" t="s">
        <v>2594</v>
      </c>
      <c r="E7413" s="904"/>
      <c r="F7413" s="904" t="s">
        <v>4139</v>
      </c>
      <c r="G7413" s="905" t="s">
        <v>2595</v>
      </c>
      <c r="H7413" s="902">
        <v>960</v>
      </c>
      <c r="I7413" s="904" t="s">
        <v>2596</v>
      </c>
      <c r="J7413" s="904"/>
      <c r="K7413" s="904"/>
      <c r="L7413" s="904"/>
      <c r="M7413" s="904"/>
      <c r="N7413" s="904"/>
      <c r="O7413" s="902">
        <v>4</v>
      </c>
      <c r="P7413" s="906">
        <v>38274</v>
      </c>
      <c r="Q7413" s="1415">
        <f>1.05*60*0.9</f>
        <v>56.7</v>
      </c>
      <c r="R7413" s="908">
        <f>$A7413*Q7413</f>
        <v>170.10000000000002</v>
      </c>
      <c r="S7413" s="907"/>
      <c r="T7413" s="909">
        <f>$A7413*S7413*$T$1</f>
        <v>0</v>
      </c>
      <c r="AR7413" s="903">
        <v>3</v>
      </c>
      <c r="AS7413" s="904" t="s">
        <v>3507</v>
      </c>
    </row>
    <row r="7414" spans="1:45" s="520" customFormat="1" ht="12">
      <c r="A7414" s="758"/>
      <c r="B7414" s="758"/>
      <c r="C7414" s="758"/>
      <c r="D7414" s="758"/>
      <c r="E7414" s="758"/>
      <c r="F7414" s="753"/>
      <c r="G7414" s="758"/>
      <c r="H7414" s="758"/>
      <c r="I7414" s="519"/>
      <c r="J7414" s="758"/>
      <c r="K7414" s="758"/>
      <c r="L7414" s="758"/>
      <c r="M7414" s="758"/>
      <c r="N7414" s="758"/>
      <c r="O7414" s="758"/>
      <c r="P7414" s="758"/>
      <c r="Q7414" s="519"/>
      <c r="R7414" s="759">
        <f t="shared" ref="R7414" si="674">$A7414*Q7414</f>
        <v>0</v>
      </c>
      <c r="S7414" s="519"/>
      <c r="T7414" s="760">
        <f t="shared" ref="T7414" si="675">$A7414*S7414*$T$1</f>
        <v>0</v>
      </c>
      <c r="AR7414" s="758"/>
      <c r="AS7414" s="753"/>
    </row>
    <row r="7415" spans="1:45" s="520" customFormat="1" ht="12.6" thickBot="1">
      <c r="A7415" s="761" t="s">
        <v>145</v>
      </c>
      <c r="B7415" s="762">
        <f>(R7414+T7414)</f>
        <v>0</v>
      </c>
      <c r="C7415" s="763"/>
      <c r="D7415" s="763"/>
      <c r="E7415" s="763"/>
      <c r="F7415" s="764"/>
      <c r="G7415" s="763" t="s">
        <v>146</v>
      </c>
      <c r="H7415" s="763"/>
      <c r="I7415" s="765"/>
      <c r="J7415" s="763"/>
      <c r="K7415" s="763" t="s">
        <v>5</v>
      </c>
      <c r="L7415" s="766" t="s">
        <v>143</v>
      </c>
      <c r="M7415" s="766"/>
      <c r="N7415" s="766"/>
      <c r="O7415" s="766"/>
      <c r="P7415" s="766"/>
      <c r="Q7415" s="767"/>
      <c r="R7415" s="768">
        <f>SUM(R7412:R7414)</f>
        <v>170.10000000000002</v>
      </c>
      <c r="S7415" s="763"/>
      <c r="T7415" s="768">
        <f>SUM(T7412:T7414)</f>
        <v>0</v>
      </c>
      <c r="U7415" s="531"/>
      <c r="V7415" s="531"/>
      <c r="W7415" s="531"/>
      <c r="X7415" s="531"/>
      <c r="Y7415" s="531"/>
      <c r="Z7415" s="531"/>
      <c r="AA7415" s="531"/>
      <c r="AB7415" s="531"/>
      <c r="AC7415" s="531"/>
      <c r="AD7415" s="531"/>
      <c r="AE7415" s="531"/>
      <c r="AF7415" s="531"/>
      <c r="AG7415" s="531"/>
      <c r="AH7415" s="531"/>
      <c r="AI7415" s="531"/>
      <c r="AJ7415" s="531"/>
      <c r="AK7415" s="531"/>
      <c r="AL7415" s="531"/>
      <c r="AM7415" s="531"/>
      <c r="AN7415" s="531"/>
      <c r="AO7415" s="531"/>
      <c r="AR7415" s="761" t="s">
        <v>145</v>
      </c>
      <c r="AS7415" s="764"/>
    </row>
    <row r="7416" spans="1:45" s="520" customFormat="1" ht="12" thickTop="1">
      <c r="A7416" s="51"/>
      <c r="B7416" s="41"/>
      <c r="C7416" s="51"/>
      <c r="E7416" s="42" t="s">
        <v>138</v>
      </c>
      <c r="F7416" s="42" t="s">
        <v>139</v>
      </c>
      <c r="G7416" s="51"/>
      <c r="H7416" s="51"/>
      <c r="I7416" s="51"/>
      <c r="J7416" s="51"/>
      <c r="K7416" s="51" t="s">
        <v>140</v>
      </c>
      <c r="L7416" s="51"/>
      <c r="M7416" s="51"/>
      <c r="N7416" s="51"/>
      <c r="O7416" s="52"/>
      <c r="P7416" s="51"/>
      <c r="Q7416" s="51"/>
      <c r="R7416" s="51"/>
      <c r="S7416" s="51"/>
      <c r="T7416" s="41"/>
      <c r="AG7416" s="521" t="s">
        <v>268</v>
      </c>
      <c r="AH7416" s="521" t="s">
        <v>269</v>
      </c>
      <c r="AI7416" s="521" t="s">
        <v>270</v>
      </c>
      <c r="AJ7416" s="521" t="s">
        <v>271</v>
      </c>
      <c r="AK7416" s="521" t="s">
        <v>272</v>
      </c>
      <c r="AM7416" s="745" t="s">
        <v>281</v>
      </c>
      <c r="AN7416" s="746" t="s">
        <v>282</v>
      </c>
      <c r="AO7416" s="522" t="s">
        <v>278</v>
      </c>
      <c r="AR7416" s="51"/>
      <c r="AS7416" s="42" t="s">
        <v>139</v>
      </c>
    </row>
    <row r="7417" spans="1:45" s="520" customFormat="1" ht="12" customHeight="1">
      <c r="A7417" s="747">
        <v>4</v>
      </c>
      <c r="B7417" s="523" t="s">
        <v>329</v>
      </c>
      <c r="C7417" s="748"/>
      <c r="D7417" s="749" t="s">
        <v>3967</v>
      </c>
      <c r="E7417" s="1145">
        <f>IF(AND($A7417=0,$A$1="DIF"),0, ROUND(ROUND(($R7421*$S$3+($T7421*$T$3))/$A7417,2)*$C$3,2))</f>
        <v>64</v>
      </c>
      <c r="F7417" s="1146">
        <f>ROUND($A7417*$E7417,2)</f>
        <v>256</v>
      </c>
      <c r="G7417" s="752" t="s">
        <v>142</v>
      </c>
      <c r="H7417" s="753"/>
      <c r="I7417" s="754"/>
      <c r="J7417" s="753"/>
      <c r="K7417" s="753" t="s">
        <v>5</v>
      </c>
      <c r="L7417" s="755" t="s">
        <v>143</v>
      </c>
      <c r="M7417" s="755"/>
      <c r="N7417" s="755"/>
      <c r="O7417" s="755"/>
      <c r="P7417" s="755"/>
      <c r="Q7417" s="51"/>
      <c r="T7417" s="1150" t="str">
        <f>IF(AND($R7421=0,$T7421=0),"0.00","mu: "&amp; ROUND(F7417/$C$3/($R7421+$T7421*$D$9),2))</f>
        <v>mu: 1.13</v>
      </c>
      <c r="W7417" s="524"/>
      <c r="AG7417" s="1147">
        <f>IF($E7417=0,0,ROUND($R7421*$S$3*$C$3/$A7417,2))</f>
        <v>64</v>
      </c>
      <c r="AH7417" s="1147">
        <f>$AG7417*$A7417</f>
        <v>256</v>
      </c>
      <c r="AI7417" s="1148">
        <f>$E7417-$AG7417</f>
        <v>0</v>
      </c>
      <c r="AJ7417" s="1148">
        <f>$A7417*$AI7417</f>
        <v>0</v>
      </c>
      <c r="AK7417" s="1149">
        <f>ROUND(($AG7417+$AI7417)*$A7417,2)</f>
        <v>256</v>
      </c>
      <c r="AM7417" s="527">
        <f>ROUND(R7421,2)</f>
        <v>226.8</v>
      </c>
      <c r="AN7417" s="528">
        <f>ROUND(T7421,2)</f>
        <v>0</v>
      </c>
      <c r="AO7417" s="529">
        <f>ROUND(AM7417+AN7417,2)*A7417</f>
        <v>907.2</v>
      </c>
      <c r="AR7417" s="747">
        <v>4</v>
      </c>
      <c r="AS7417" s="1146">
        <v>407.48</v>
      </c>
    </row>
    <row r="7418" spans="1:45" s="520" customFormat="1" ht="13.2">
      <c r="A7418" s="748"/>
      <c r="B7418"/>
      <c r="C7418" s="748"/>
      <c r="D7418" s="749" t="s">
        <v>973</v>
      </c>
      <c r="F7418" s="753"/>
      <c r="G7418" s="3"/>
      <c r="H7418" s="753"/>
      <c r="I7418" s="754"/>
      <c r="J7418" s="753"/>
      <c r="K7418" s="753" t="s">
        <v>144</v>
      </c>
      <c r="L7418" s="753"/>
      <c r="M7418" s="753"/>
      <c r="N7418" s="753"/>
      <c r="O7418" s="753"/>
      <c r="P7418" s="753"/>
      <c r="Q7418" s="51"/>
      <c r="R7418" s="530"/>
      <c r="S7418" s="757"/>
      <c r="T7418" s="753"/>
      <c r="AR7418" s="748"/>
      <c r="AS7418" s="753"/>
    </row>
    <row r="7419" spans="1:45" s="901" customFormat="1" ht="13.2">
      <c r="A7419" s="903">
        <v>4</v>
      </c>
      <c r="B7419" s="904" t="s">
        <v>863</v>
      </c>
      <c r="C7419" s="904"/>
      <c r="D7419" s="904" t="s">
        <v>2594</v>
      </c>
      <c r="E7419" s="904"/>
      <c r="F7419" s="904" t="s">
        <v>4139</v>
      </c>
      <c r="G7419" s="905" t="s">
        <v>2595</v>
      </c>
      <c r="H7419" s="902">
        <v>960</v>
      </c>
      <c r="I7419" s="904" t="s">
        <v>2596</v>
      </c>
      <c r="J7419" s="904"/>
      <c r="K7419" s="904"/>
      <c r="L7419" s="904"/>
      <c r="M7419" s="904"/>
      <c r="N7419" s="904"/>
      <c r="O7419" s="902">
        <v>4</v>
      </c>
      <c r="P7419" s="906">
        <v>38274</v>
      </c>
      <c r="Q7419" s="1415">
        <f>1.05*60*0.9</f>
        <v>56.7</v>
      </c>
      <c r="R7419" s="908">
        <f>$A7419*Q7419</f>
        <v>226.8</v>
      </c>
      <c r="S7419" s="907"/>
      <c r="T7419" s="909">
        <f>$A7419*S7419*$T$1</f>
        <v>0</v>
      </c>
      <c r="AR7419" s="903">
        <v>4</v>
      </c>
      <c r="AS7419" s="904" t="s">
        <v>3507</v>
      </c>
    </row>
    <row r="7420" spans="1:45" s="520" customFormat="1" ht="12">
      <c r="A7420" s="758"/>
      <c r="B7420" s="758"/>
      <c r="C7420" s="758"/>
      <c r="D7420" s="758"/>
      <c r="E7420" s="758"/>
      <c r="F7420" s="753"/>
      <c r="G7420" s="758"/>
      <c r="H7420" s="758"/>
      <c r="I7420" s="519"/>
      <c r="J7420" s="758"/>
      <c r="K7420" s="758"/>
      <c r="L7420" s="758"/>
      <c r="M7420" s="758"/>
      <c r="N7420" s="758"/>
      <c r="O7420" s="758"/>
      <c r="P7420" s="758"/>
      <c r="Q7420" s="519"/>
      <c r="R7420" s="759">
        <f t="shared" ref="R7420" si="676">$A7420*Q7420</f>
        <v>0</v>
      </c>
      <c r="S7420" s="519"/>
      <c r="T7420" s="760">
        <f t="shared" ref="T7420" si="677">$A7420*S7420*$T$1</f>
        <v>0</v>
      </c>
      <c r="AR7420" s="758"/>
      <c r="AS7420" s="753"/>
    </row>
    <row r="7421" spans="1:45" s="520" customFormat="1" ht="12.6" thickBot="1">
      <c r="A7421" s="761" t="s">
        <v>145</v>
      </c>
      <c r="B7421" s="762">
        <f>(R7420+T7420)</f>
        <v>0</v>
      </c>
      <c r="C7421" s="763"/>
      <c r="D7421" s="763"/>
      <c r="E7421" s="763"/>
      <c r="F7421" s="764"/>
      <c r="G7421" s="763" t="s">
        <v>146</v>
      </c>
      <c r="H7421" s="763"/>
      <c r="I7421" s="765"/>
      <c r="J7421" s="763"/>
      <c r="K7421" s="763" t="s">
        <v>5</v>
      </c>
      <c r="L7421" s="766" t="s">
        <v>143</v>
      </c>
      <c r="M7421" s="766"/>
      <c r="N7421" s="766"/>
      <c r="O7421" s="766"/>
      <c r="P7421" s="766"/>
      <c r="Q7421" s="767"/>
      <c r="R7421" s="768">
        <f>SUM(R7418:R7420)</f>
        <v>226.8</v>
      </c>
      <c r="S7421" s="763"/>
      <c r="T7421" s="768">
        <f>SUM(T7418:T7420)</f>
        <v>0</v>
      </c>
      <c r="U7421" s="531"/>
      <c r="V7421" s="531"/>
      <c r="W7421" s="531"/>
      <c r="X7421" s="531"/>
      <c r="Y7421" s="531"/>
      <c r="Z7421" s="531"/>
      <c r="AA7421" s="531"/>
      <c r="AB7421" s="531"/>
      <c r="AC7421" s="531"/>
      <c r="AD7421" s="531"/>
      <c r="AE7421" s="531"/>
      <c r="AF7421" s="531"/>
      <c r="AG7421" s="531"/>
      <c r="AH7421" s="531"/>
      <c r="AI7421" s="531"/>
      <c r="AJ7421" s="531"/>
      <c r="AK7421" s="531"/>
      <c r="AL7421" s="531"/>
      <c r="AM7421" s="531"/>
      <c r="AN7421" s="531"/>
      <c r="AO7421" s="531"/>
      <c r="AR7421" s="761" t="s">
        <v>145</v>
      </c>
      <c r="AS7421" s="764"/>
    </row>
    <row r="7422" spans="1:45" s="520" customFormat="1" ht="12" thickTop="1">
      <c r="A7422" s="51"/>
      <c r="B7422" s="41"/>
      <c r="C7422" s="51"/>
      <c r="E7422" s="42" t="s">
        <v>138</v>
      </c>
      <c r="F7422" s="42" t="s">
        <v>139</v>
      </c>
      <c r="G7422" s="51"/>
      <c r="H7422" s="51"/>
      <c r="I7422" s="51"/>
      <c r="J7422" s="51"/>
      <c r="K7422" s="51" t="s">
        <v>140</v>
      </c>
      <c r="L7422" s="51"/>
      <c r="M7422" s="51"/>
      <c r="N7422" s="51"/>
      <c r="O7422" s="52"/>
      <c r="P7422" s="51"/>
      <c r="Q7422" s="51"/>
      <c r="R7422" s="51"/>
      <c r="S7422" s="51"/>
      <c r="T7422" s="41"/>
      <c r="AG7422" s="521" t="s">
        <v>268</v>
      </c>
      <c r="AH7422" s="521" t="s">
        <v>269</v>
      </c>
      <c r="AI7422" s="521" t="s">
        <v>270</v>
      </c>
      <c r="AJ7422" s="521" t="s">
        <v>271</v>
      </c>
      <c r="AK7422" s="521" t="s">
        <v>272</v>
      </c>
      <c r="AM7422" s="745" t="s">
        <v>281</v>
      </c>
      <c r="AN7422" s="746" t="s">
        <v>282</v>
      </c>
      <c r="AO7422" s="522" t="s">
        <v>278</v>
      </c>
      <c r="AR7422" s="51"/>
      <c r="AS7422" s="42" t="s">
        <v>139</v>
      </c>
    </row>
    <row r="7423" spans="1:45" s="520" customFormat="1" ht="12" customHeight="1">
      <c r="A7423" s="747">
        <v>31</v>
      </c>
      <c r="B7423" s="523" t="s">
        <v>329</v>
      </c>
      <c r="C7423" s="748"/>
      <c r="D7423" s="749" t="s">
        <v>3968</v>
      </c>
      <c r="E7423" s="1145">
        <f>IF(AND($A7423=0,$A$1="DIF"),0, ROUND(ROUND(($R7427*$S$3+($T7427*$T$3))/$A7423,2)*$C$3,2))</f>
        <v>64</v>
      </c>
      <c r="F7423" s="1146">
        <f>ROUND($A7423*$E7423,2)</f>
        <v>1984</v>
      </c>
      <c r="G7423" s="752" t="s">
        <v>142</v>
      </c>
      <c r="H7423" s="753"/>
      <c r="I7423" s="754"/>
      <c r="J7423" s="753"/>
      <c r="K7423" s="753" t="s">
        <v>5</v>
      </c>
      <c r="L7423" s="755" t="s">
        <v>143</v>
      </c>
      <c r="M7423" s="755"/>
      <c r="N7423" s="755"/>
      <c r="O7423" s="755"/>
      <c r="P7423" s="755"/>
      <c r="Q7423" s="51"/>
      <c r="T7423" s="1150" t="str">
        <f>IF(AND($R7427=0,$T7427=0),"0.00","mu: "&amp; ROUND(F7423/$C$3/($R7427+$T7427*$D$9),2))</f>
        <v>mu: 1.13</v>
      </c>
      <c r="W7423" s="524"/>
      <c r="AG7423" s="1147">
        <f>IF($E7423=0,0,ROUND($R7427*$S$3*$C$3/$A7423,2))</f>
        <v>64</v>
      </c>
      <c r="AH7423" s="1147">
        <f>$AG7423*$A7423</f>
        <v>1984</v>
      </c>
      <c r="AI7423" s="1148">
        <f>$E7423-$AG7423</f>
        <v>0</v>
      </c>
      <c r="AJ7423" s="1148">
        <f>$A7423*$AI7423</f>
        <v>0</v>
      </c>
      <c r="AK7423" s="1149">
        <f>ROUND(($AG7423+$AI7423)*$A7423,2)</f>
        <v>1984</v>
      </c>
      <c r="AM7423" s="527">
        <f>ROUND(R7427,2)</f>
        <v>1757.7</v>
      </c>
      <c r="AN7423" s="528">
        <f>ROUND(T7427,2)</f>
        <v>0</v>
      </c>
      <c r="AO7423" s="529">
        <f>ROUND(AM7423+AN7423,2)*A7423</f>
        <v>54488.700000000004</v>
      </c>
      <c r="AR7423" s="747">
        <v>31</v>
      </c>
      <c r="AS7423" s="1146">
        <v>3157.97</v>
      </c>
    </row>
    <row r="7424" spans="1:45" s="520" customFormat="1" ht="13.2">
      <c r="A7424" s="748"/>
      <c r="B7424"/>
      <c r="C7424" s="748"/>
      <c r="D7424" s="749" t="s">
        <v>975</v>
      </c>
      <c r="F7424" s="753"/>
      <c r="G7424" s="3"/>
      <c r="H7424" s="753"/>
      <c r="I7424" s="754"/>
      <c r="J7424" s="753"/>
      <c r="K7424" s="753" t="s">
        <v>144</v>
      </c>
      <c r="L7424" s="753"/>
      <c r="M7424" s="753"/>
      <c r="N7424" s="753"/>
      <c r="O7424" s="753"/>
      <c r="P7424" s="753"/>
      <c r="Q7424" s="51"/>
      <c r="R7424" s="530"/>
      <c r="S7424" s="757"/>
      <c r="T7424" s="753"/>
      <c r="AR7424" s="748"/>
      <c r="AS7424" s="753"/>
    </row>
    <row r="7425" spans="1:45" s="901" customFormat="1" ht="13.2">
      <c r="A7425" s="903">
        <v>31</v>
      </c>
      <c r="B7425" s="904" t="s">
        <v>863</v>
      </c>
      <c r="C7425" s="904"/>
      <c r="D7425" s="904" t="s">
        <v>2594</v>
      </c>
      <c r="E7425" s="904"/>
      <c r="F7425" s="904" t="s">
        <v>4139</v>
      </c>
      <c r="G7425" s="905" t="s">
        <v>2595</v>
      </c>
      <c r="H7425" s="902">
        <v>960</v>
      </c>
      <c r="I7425" s="904" t="s">
        <v>2596</v>
      </c>
      <c r="J7425" s="904"/>
      <c r="K7425" s="904"/>
      <c r="L7425" s="904"/>
      <c r="M7425" s="904"/>
      <c r="N7425" s="904"/>
      <c r="O7425" s="902">
        <v>4</v>
      </c>
      <c r="P7425" s="906">
        <v>38274</v>
      </c>
      <c r="Q7425" s="1415">
        <f>1.05*60*0.9</f>
        <v>56.7</v>
      </c>
      <c r="R7425" s="908">
        <f>$A7425*Q7425</f>
        <v>1757.7</v>
      </c>
      <c r="S7425" s="907"/>
      <c r="T7425" s="909">
        <f>$A7425*S7425*$T$1</f>
        <v>0</v>
      </c>
      <c r="AR7425" s="903">
        <v>31</v>
      </c>
      <c r="AS7425" s="904" t="s">
        <v>3507</v>
      </c>
    </row>
    <row r="7426" spans="1:45" s="520" customFormat="1" ht="12">
      <c r="A7426" s="758"/>
      <c r="B7426" s="758"/>
      <c r="C7426" s="758"/>
      <c r="D7426" s="758"/>
      <c r="E7426" s="758"/>
      <c r="F7426" s="753"/>
      <c r="G7426" s="758"/>
      <c r="H7426" s="758"/>
      <c r="I7426" s="519"/>
      <c r="J7426" s="758"/>
      <c r="K7426" s="758"/>
      <c r="L7426" s="758"/>
      <c r="M7426" s="758"/>
      <c r="N7426" s="758"/>
      <c r="O7426" s="758"/>
      <c r="P7426" s="758"/>
      <c r="Q7426" s="519"/>
      <c r="R7426" s="759">
        <f t="shared" ref="R7426" si="678">$A7426*Q7426</f>
        <v>0</v>
      </c>
      <c r="S7426" s="519"/>
      <c r="T7426" s="760">
        <f t="shared" ref="T7426" si="679">$A7426*S7426*$T$1</f>
        <v>0</v>
      </c>
      <c r="AR7426" s="758"/>
      <c r="AS7426" s="753"/>
    </row>
    <row r="7427" spans="1:45" s="520" customFormat="1" ht="12.6" thickBot="1">
      <c r="A7427" s="761" t="s">
        <v>145</v>
      </c>
      <c r="B7427" s="762">
        <f>(R7426+T7426)</f>
        <v>0</v>
      </c>
      <c r="C7427" s="763"/>
      <c r="D7427" s="763"/>
      <c r="E7427" s="763"/>
      <c r="F7427" s="764"/>
      <c r="G7427" s="763" t="s">
        <v>146</v>
      </c>
      <c r="H7427" s="763"/>
      <c r="I7427" s="765"/>
      <c r="J7427" s="763"/>
      <c r="K7427" s="763" t="s">
        <v>5</v>
      </c>
      <c r="L7427" s="766" t="s">
        <v>143</v>
      </c>
      <c r="M7427" s="766"/>
      <c r="N7427" s="766"/>
      <c r="O7427" s="766"/>
      <c r="P7427" s="766"/>
      <c r="Q7427" s="767"/>
      <c r="R7427" s="768">
        <f>SUM(R7424:R7426)</f>
        <v>1757.7</v>
      </c>
      <c r="S7427" s="763"/>
      <c r="T7427" s="768">
        <f>SUM(T7424:T7426)</f>
        <v>0</v>
      </c>
      <c r="U7427" s="531"/>
      <c r="V7427" s="531"/>
      <c r="W7427" s="531"/>
      <c r="X7427" s="531"/>
      <c r="Y7427" s="531"/>
      <c r="Z7427" s="531"/>
      <c r="AA7427" s="531"/>
      <c r="AB7427" s="531"/>
      <c r="AC7427" s="531"/>
      <c r="AD7427" s="531"/>
      <c r="AE7427" s="531"/>
      <c r="AF7427" s="531"/>
      <c r="AG7427" s="531"/>
      <c r="AH7427" s="531"/>
      <c r="AI7427" s="531"/>
      <c r="AJ7427" s="531"/>
      <c r="AK7427" s="531"/>
      <c r="AL7427" s="531"/>
      <c r="AM7427" s="531"/>
      <c r="AN7427" s="531"/>
      <c r="AO7427" s="531"/>
      <c r="AR7427" s="761" t="s">
        <v>145</v>
      </c>
      <c r="AS7427" s="764"/>
    </row>
    <row r="7428" spans="1:45" s="520" customFormat="1" thickTop="1">
      <c r="A7428" s="51"/>
      <c r="B7428" s="51"/>
      <c r="C7428" s="3"/>
      <c r="D7428" s="3"/>
      <c r="E7428" s="51"/>
      <c r="F7428" s="51"/>
      <c r="G7428" s="51"/>
      <c r="H7428" s="51"/>
      <c r="I7428" s="51"/>
      <c r="J7428" s="51"/>
      <c r="K7428" s="51" t="s">
        <v>134</v>
      </c>
      <c r="L7428" s="51"/>
      <c r="M7428" s="51"/>
      <c r="N7428" s="51"/>
      <c r="O7428" s="52"/>
      <c r="P7428" s="51"/>
      <c r="Q7428" s="51"/>
      <c r="R7428" s="51"/>
      <c r="S7428" s="51"/>
      <c r="T7428" s="51"/>
      <c r="AR7428" s="51"/>
      <c r="AS7428" s="51"/>
    </row>
    <row r="7429" spans="1:45" s="520" customFormat="1" ht="12">
      <c r="A7429" s="51"/>
      <c r="B7429" s="51"/>
      <c r="C7429" s="51" t="s">
        <v>135</v>
      </c>
      <c r="D7429" s="37"/>
      <c r="E7429" s="51"/>
      <c r="F7429" s="51"/>
      <c r="G7429" s="51"/>
      <c r="H7429" s="51"/>
      <c r="I7429" s="51"/>
      <c r="J7429" s="51"/>
      <c r="K7429" s="51"/>
      <c r="L7429" s="51"/>
      <c r="M7429" s="51"/>
      <c r="N7429" s="51"/>
      <c r="O7429" s="52"/>
      <c r="P7429" s="51"/>
      <c r="Q7429" s="51"/>
      <c r="R7429" s="51"/>
      <c r="S7429" s="51"/>
      <c r="T7429" s="51"/>
      <c r="AR7429" s="51"/>
      <c r="AS7429" s="51"/>
    </row>
    <row r="7430" spans="1:45" s="520" customFormat="1" ht="12">
      <c r="A7430" s="51"/>
      <c r="B7430" s="51"/>
      <c r="C7430" s="51"/>
      <c r="D7430" s="37" t="s">
        <v>1952</v>
      </c>
      <c r="E7430" s="51"/>
      <c r="F7430" s="51"/>
      <c r="G7430" s="51"/>
      <c r="H7430" s="51"/>
      <c r="I7430" s="51"/>
      <c r="J7430" s="51"/>
      <c r="K7430" s="51"/>
      <c r="L7430" s="51"/>
      <c r="M7430" s="51"/>
      <c r="N7430" s="51"/>
      <c r="O7430" s="52"/>
      <c r="P7430" s="51"/>
      <c r="Q7430" s="51"/>
      <c r="R7430" s="51"/>
      <c r="S7430" s="38"/>
      <c r="T7430" s="38"/>
      <c r="AR7430" s="51"/>
      <c r="AS7430" s="51"/>
    </row>
    <row r="7431" spans="1:45" s="3" customFormat="1" thickBot="1">
      <c r="A7431" s="531"/>
      <c r="O7431" s="107"/>
      <c r="AR7431" s="531"/>
    </row>
    <row r="7432" spans="1:45" s="520" customFormat="1" ht="12" thickTop="1">
      <c r="A7432" s="51"/>
      <c r="B7432" s="41"/>
      <c r="C7432" s="51"/>
      <c r="E7432" s="42" t="s">
        <v>138</v>
      </c>
      <c r="F7432" s="42" t="s">
        <v>139</v>
      </c>
      <c r="G7432" s="51"/>
      <c r="H7432" s="51"/>
      <c r="I7432" s="51"/>
      <c r="J7432" s="51"/>
      <c r="K7432" s="51" t="s">
        <v>140</v>
      </c>
      <c r="L7432" s="51"/>
      <c r="M7432" s="51"/>
      <c r="N7432" s="51"/>
      <c r="O7432" s="52"/>
      <c r="P7432" s="51"/>
      <c r="Q7432" s="51"/>
      <c r="R7432" s="51"/>
      <c r="S7432" s="51"/>
      <c r="T7432" s="41"/>
      <c r="AG7432" s="521" t="s">
        <v>268</v>
      </c>
      <c r="AH7432" s="521" t="s">
        <v>269</v>
      </c>
      <c r="AI7432" s="521" t="s">
        <v>270</v>
      </c>
      <c r="AJ7432" s="521" t="s">
        <v>271</v>
      </c>
      <c r="AK7432" s="521" t="s">
        <v>272</v>
      </c>
      <c r="AM7432" s="745" t="s">
        <v>281</v>
      </c>
      <c r="AN7432" s="746" t="s">
        <v>282</v>
      </c>
      <c r="AO7432" s="522" t="s">
        <v>278</v>
      </c>
      <c r="AR7432" s="51"/>
      <c r="AS7432" s="42" t="s">
        <v>139</v>
      </c>
    </row>
    <row r="7433" spans="1:45" s="520" customFormat="1" ht="12" customHeight="1">
      <c r="A7433" s="747">
        <v>15</v>
      </c>
      <c r="B7433" s="523" t="s">
        <v>329</v>
      </c>
      <c r="C7433" s="748"/>
      <c r="D7433" s="749" t="s">
        <v>3969</v>
      </c>
      <c r="E7433" s="1145">
        <f>IF(AND($A7433=0,$A$1="DIF"),0, ROUND(ROUND(($R7437*$S$3+($T7437*$T$3))/$A7433,2)*$C$3,2))</f>
        <v>5.08</v>
      </c>
      <c r="F7433" s="1146">
        <f>ROUND($A7433*$E7433,2)</f>
        <v>76.2</v>
      </c>
      <c r="G7433" s="752" t="s">
        <v>142</v>
      </c>
      <c r="H7433" s="753"/>
      <c r="I7433" s="754"/>
      <c r="J7433" s="753"/>
      <c r="K7433" s="753" t="s">
        <v>5</v>
      </c>
      <c r="L7433" s="755" t="s">
        <v>143</v>
      </c>
      <c r="M7433" s="755"/>
      <c r="N7433" s="755"/>
      <c r="O7433" s="755"/>
      <c r="P7433" s="755"/>
      <c r="Q7433" s="51"/>
      <c r="T7433" s="1150" t="str">
        <f>IF(AND($R7437=0,$T7437=0),"0.00","mu: "&amp; ROUND(F7433/$C$3/($R7437+$T7437*$D$9),2))</f>
        <v>mu: 1.13</v>
      </c>
      <c r="W7433" s="524"/>
      <c r="AG7433" s="1147">
        <f>IF($E7433=0,0,ROUND($R7437*$S$3*$C$3/$A7433,2))</f>
        <v>5.08</v>
      </c>
      <c r="AH7433" s="1147">
        <f>$AG7433*$A7433</f>
        <v>76.2</v>
      </c>
      <c r="AI7433" s="1148">
        <f>$E7433-$AG7433</f>
        <v>0</v>
      </c>
      <c r="AJ7433" s="1148">
        <f>$A7433*$AI7433</f>
        <v>0</v>
      </c>
      <c r="AK7433" s="1149">
        <f>ROUND(($AG7433+$AI7433)*$A7433,2)</f>
        <v>76.2</v>
      </c>
      <c r="AM7433" s="527">
        <f>ROUND(R7437,2)</f>
        <v>67.5</v>
      </c>
      <c r="AN7433" s="528">
        <f>ROUND(T7437,2)</f>
        <v>0</v>
      </c>
      <c r="AO7433" s="529">
        <f>ROUND(AM7433+AN7433,2)*A7433</f>
        <v>1012.5</v>
      </c>
      <c r="AR7433" s="747">
        <v>15</v>
      </c>
      <c r="AS7433" s="1146">
        <v>80.400000000000006</v>
      </c>
    </row>
    <row r="7434" spans="1:45" s="520" customFormat="1" ht="13.2">
      <c r="A7434" s="748"/>
      <c r="B7434"/>
      <c r="C7434" s="748"/>
      <c r="D7434" s="749" t="s">
        <v>1924</v>
      </c>
      <c r="F7434" s="753"/>
      <c r="G7434" s="3"/>
      <c r="H7434" s="753"/>
      <c r="I7434" s="754"/>
      <c r="J7434" s="753"/>
      <c r="K7434" s="753" t="s">
        <v>144</v>
      </c>
      <c r="L7434" s="753"/>
      <c r="M7434" s="753"/>
      <c r="N7434" s="753"/>
      <c r="O7434" s="753"/>
      <c r="P7434" s="753"/>
      <c r="Q7434" s="51"/>
      <c r="R7434" s="530"/>
      <c r="S7434" s="757"/>
      <c r="T7434" s="753"/>
      <c r="AR7434" s="748"/>
      <c r="AS7434" s="753"/>
    </row>
    <row r="7435" spans="1:45" s="901" customFormat="1" ht="13.2">
      <c r="A7435" s="903">
        <v>15</v>
      </c>
      <c r="B7435" s="904" t="s">
        <v>863</v>
      </c>
      <c r="C7435" s="904"/>
      <c r="D7435" s="904" t="s">
        <v>2594</v>
      </c>
      <c r="E7435" s="904"/>
      <c r="F7435" s="904" t="s">
        <v>4139</v>
      </c>
      <c r="G7435" s="905" t="s">
        <v>2595</v>
      </c>
      <c r="H7435" s="902">
        <v>960</v>
      </c>
      <c r="I7435" s="904" t="s">
        <v>2596</v>
      </c>
      <c r="J7435" s="904"/>
      <c r="K7435" s="904"/>
      <c r="L7435" s="904"/>
      <c r="M7435" s="904"/>
      <c r="N7435" s="904"/>
      <c r="O7435" s="902">
        <v>4</v>
      </c>
      <c r="P7435" s="906">
        <v>38274</v>
      </c>
      <c r="Q7435" s="1415">
        <f>5*0.9</f>
        <v>4.5</v>
      </c>
      <c r="R7435" s="908">
        <f>$A7435*Q7435</f>
        <v>67.5</v>
      </c>
      <c r="S7435" s="907"/>
      <c r="T7435" s="909">
        <f>$A7435*S7435*$T$1</f>
        <v>0</v>
      </c>
      <c r="AR7435" s="903">
        <v>15</v>
      </c>
      <c r="AS7435" s="904" t="s">
        <v>3507</v>
      </c>
    </row>
    <row r="7436" spans="1:45" s="520" customFormat="1" ht="12">
      <c r="A7436" s="758"/>
      <c r="B7436" s="758"/>
      <c r="C7436" s="758"/>
      <c r="D7436" s="758"/>
      <c r="E7436" s="758"/>
      <c r="F7436" s="753"/>
      <c r="G7436" s="758"/>
      <c r="H7436" s="758"/>
      <c r="I7436" s="519"/>
      <c r="J7436" s="758"/>
      <c r="K7436" s="758"/>
      <c r="L7436" s="758"/>
      <c r="M7436" s="758"/>
      <c r="N7436" s="758"/>
      <c r="O7436" s="758"/>
      <c r="P7436" s="758"/>
      <c r="Q7436" s="519"/>
      <c r="R7436" s="759">
        <f t="shared" ref="R7436" si="680">$A7436*Q7436</f>
        <v>0</v>
      </c>
      <c r="S7436" s="519"/>
      <c r="T7436" s="760">
        <f t="shared" ref="T7436" si="681">$A7436*S7436*$T$1</f>
        <v>0</v>
      </c>
      <c r="AR7436" s="758"/>
      <c r="AS7436" s="753"/>
    </row>
    <row r="7437" spans="1:45" s="520" customFormat="1" ht="12.6" thickBot="1">
      <c r="A7437" s="761" t="s">
        <v>145</v>
      </c>
      <c r="B7437" s="762">
        <f>(R7436+T7436)</f>
        <v>0</v>
      </c>
      <c r="C7437" s="763"/>
      <c r="D7437" s="763"/>
      <c r="E7437" s="763"/>
      <c r="F7437" s="764"/>
      <c r="G7437" s="763" t="s">
        <v>146</v>
      </c>
      <c r="H7437" s="763"/>
      <c r="I7437" s="765"/>
      <c r="J7437" s="763"/>
      <c r="K7437" s="763" t="s">
        <v>5</v>
      </c>
      <c r="L7437" s="766" t="s">
        <v>143</v>
      </c>
      <c r="M7437" s="766"/>
      <c r="N7437" s="766"/>
      <c r="O7437" s="766"/>
      <c r="P7437" s="766"/>
      <c r="Q7437" s="767"/>
      <c r="R7437" s="768">
        <f>SUM(R7434:R7436)</f>
        <v>67.5</v>
      </c>
      <c r="S7437" s="763"/>
      <c r="T7437" s="768">
        <f>SUM(T7434:T7436)</f>
        <v>0</v>
      </c>
      <c r="U7437" s="531"/>
      <c r="V7437" s="531"/>
      <c r="W7437" s="531"/>
      <c r="X7437" s="531"/>
      <c r="Y7437" s="531"/>
      <c r="Z7437" s="531"/>
      <c r="AA7437" s="531"/>
      <c r="AB7437" s="531"/>
      <c r="AC7437" s="531"/>
      <c r="AD7437" s="531"/>
      <c r="AE7437" s="531"/>
      <c r="AF7437" s="531"/>
      <c r="AG7437" s="531"/>
      <c r="AH7437" s="531"/>
      <c r="AI7437" s="531"/>
      <c r="AJ7437" s="531"/>
      <c r="AK7437" s="531"/>
      <c r="AL7437" s="531"/>
      <c r="AM7437" s="531"/>
      <c r="AN7437" s="531"/>
      <c r="AO7437" s="531"/>
      <c r="AR7437" s="761" t="s">
        <v>145</v>
      </c>
      <c r="AS7437" s="764"/>
    </row>
    <row r="7438" spans="1:45" s="520" customFormat="1" ht="12" thickTop="1">
      <c r="A7438" s="51"/>
      <c r="B7438" s="41"/>
      <c r="C7438" s="51"/>
      <c r="E7438" s="42" t="s">
        <v>138</v>
      </c>
      <c r="F7438" s="42" t="s">
        <v>139</v>
      </c>
      <c r="G7438" s="51"/>
      <c r="H7438" s="51"/>
      <c r="I7438" s="51"/>
      <c r="J7438" s="51"/>
      <c r="K7438" s="51" t="s">
        <v>140</v>
      </c>
      <c r="L7438" s="51"/>
      <c r="M7438" s="51"/>
      <c r="N7438" s="51"/>
      <c r="O7438" s="52"/>
      <c r="P7438" s="51"/>
      <c r="Q7438" s="51"/>
      <c r="R7438" s="51"/>
      <c r="S7438" s="51"/>
      <c r="T7438" s="41"/>
      <c r="AG7438" s="521" t="s">
        <v>268</v>
      </c>
      <c r="AH7438" s="521" t="s">
        <v>269</v>
      </c>
      <c r="AI7438" s="521" t="s">
        <v>270</v>
      </c>
      <c r="AJ7438" s="521" t="s">
        <v>271</v>
      </c>
      <c r="AK7438" s="521" t="s">
        <v>272</v>
      </c>
      <c r="AM7438" s="745" t="s">
        <v>281</v>
      </c>
      <c r="AN7438" s="746" t="s">
        <v>282</v>
      </c>
      <c r="AO7438" s="522" t="s">
        <v>278</v>
      </c>
      <c r="AR7438" s="51"/>
      <c r="AS7438" s="42" t="s">
        <v>139</v>
      </c>
    </row>
    <row r="7439" spans="1:45" s="520" customFormat="1" ht="12" customHeight="1">
      <c r="A7439" s="747">
        <v>4</v>
      </c>
      <c r="B7439" s="523" t="s">
        <v>329</v>
      </c>
      <c r="C7439" s="748"/>
      <c r="D7439" s="749" t="s">
        <v>3970</v>
      </c>
      <c r="E7439" s="1145">
        <f>IF(AND($A7439=0,$A$1="DIF"),0, ROUND(ROUND(($R7443*$S$3+($T7443*$T$3))/$A7439,2)*$C$3,2))</f>
        <v>8.6300000000000008</v>
      </c>
      <c r="F7439" s="1146">
        <f>ROUND($A7439*$E7439,2)</f>
        <v>34.520000000000003</v>
      </c>
      <c r="G7439" s="752" t="s">
        <v>142</v>
      </c>
      <c r="H7439" s="753"/>
      <c r="I7439" s="754"/>
      <c r="J7439" s="753"/>
      <c r="K7439" s="753" t="s">
        <v>5</v>
      </c>
      <c r="L7439" s="755" t="s">
        <v>143</v>
      </c>
      <c r="M7439" s="755"/>
      <c r="N7439" s="755"/>
      <c r="O7439" s="755"/>
      <c r="P7439" s="755"/>
      <c r="Q7439" s="51"/>
      <c r="T7439" s="1150" t="str">
        <f>IF(AND($R7443=0,$T7443=0),"0.00","mu: "&amp; ROUND(F7439/$C$3/($R7443+$T7443*$D$9),2))</f>
        <v>mu: 1.13</v>
      </c>
      <c r="W7439" s="524"/>
      <c r="AG7439" s="1147">
        <f>IF($E7439=0,0,ROUND($R7443*$S$3*$C$3/$A7439,2))</f>
        <v>8.6300000000000008</v>
      </c>
      <c r="AH7439" s="1147">
        <f>$AG7439*$A7439</f>
        <v>34.520000000000003</v>
      </c>
      <c r="AI7439" s="1148">
        <f>$E7439-$AG7439</f>
        <v>0</v>
      </c>
      <c r="AJ7439" s="1148">
        <f>$A7439*$AI7439</f>
        <v>0</v>
      </c>
      <c r="AK7439" s="1149">
        <f>ROUND(($AG7439+$AI7439)*$A7439,2)</f>
        <v>34.520000000000003</v>
      </c>
      <c r="AM7439" s="527">
        <f>ROUND(R7443,2)</f>
        <v>30.6</v>
      </c>
      <c r="AN7439" s="528">
        <f>ROUND(T7443,2)</f>
        <v>0</v>
      </c>
      <c r="AO7439" s="529">
        <f>ROUND(AM7439+AN7439,2)*A7439</f>
        <v>122.4</v>
      </c>
      <c r="AR7439" s="747">
        <v>4</v>
      </c>
      <c r="AS7439" s="1146">
        <v>36.44</v>
      </c>
    </row>
    <row r="7440" spans="1:45" s="520" customFormat="1" ht="13.2">
      <c r="A7440" s="748"/>
      <c r="B7440"/>
      <c r="C7440" s="748"/>
      <c r="D7440" s="749" t="s">
        <v>1926</v>
      </c>
      <c r="F7440" s="753"/>
      <c r="G7440" s="3"/>
      <c r="H7440" s="753"/>
      <c r="I7440" s="754"/>
      <c r="J7440" s="753"/>
      <c r="K7440" s="753" t="s">
        <v>144</v>
      </c>
      <c r="L7440" s="753"/>
      <c r="M7440" s="753"/>
      <c r="N7440" s="753"/>
      <c r="O7440" s="753"/>
      <c r="P7440" s="753"/>
      <c r="Q7440" s="51"/>
      <c r="R7440" s="530"/>
      <c r="S7440" s="757"/>
      <c r="T7440" s="753"/>
      <c r="AR7440" s="748"/>
      <c r="AS7440" s="753"/>
    </row>
    <row r="7441" spans="1:45" s="901" customFormat="1" ht="13.2">
      <c r="A7441" s="903">
        <v>4</v>
      </c>
      <c r="B7441" s="904" t="s">
        <v>863</v>
      </c>
      <c r="C7441" s="904"/>
      <c r="D7441" s="904" t="s">
        <v>2594</v>
      </c>
      <c r="E7441" s="904"/>
      <c r="F7441" s="904" t="s">
        <v>4139</v>
      </c>
      <c r="G7441" s="905" t="s">
        <v>2595</v>
      </c>
      <c r="H7441" s="902">
        <v>960</v>
      </c>
      <c r="I7441" s="904" t="s">
        <v>2596</v>
      </c>
      <c r="J7441" s="904"/>
      <c r="K7441" s="904"/>
      <c r="L7441" s="904"/>
      <c r="M7441" s="904"/>
      <c r="N7441" s="904"/>
      <c r="O7441" s="902">
        <v>4</v>
      </c>
      <c r="P7441" s="906">
        <v>38274</v>
      </c>
      <c r="Q7441" s="1415">
        <f>8.5*0.9</f>
        <v>7.65</v>
      </c>
      <c r="R7441" s="908">
        <f>$A7441*Q7441</f>
        <v>30.6</v>
      </c>
      <c r="S7441" s="907"/>
      <c r="T7441" s="909">
        <f>$A7441*S7441*$T$1</f>
        <v>0</v>
      </c>
      <c r="AR7441" s="903">
        <v>4</v>
      </c>
      <c r="AS7441" s="904" t="s">
        <v>3507</v>
      </c>
    </row>
    <row r="7442" spans="1:45" s="520" customFormat="1" ht="12">
      <c r="A7442" s="758"/>
      <c r="B7442" s="758"/>
      <c r="C7442" s="758"/>
      <c r="D7442" s="758"/>
      <c r="E7442" s="758"/>
      <c r="F7442" s="753"/>
      <c r="G7442" s="758"/>
      <c r="H7442" s="758"/>
      <c r="I7442" s="519"/>
      <c r="J7442" s="758"/>
      <c r="K7442" s="758"/>
      <c r="L7442" s="758"/>
      <c r="M7442" s="758"/>
      <c r="N7442" s="758"/>
      <c r="O7442" s="758"/>
      <c r="P7442" s="758"/>
      <c r="Q7442" s="519"/>
      <c r="R7442" s="759">
        <f t="shared" ref="R7442" si="682">$A7442*Q7442</f>
        <v>0</v>
      </c>
      <c r="S7442" s="519"/>
      <c r="T7442" s="760">
        <f t="shared" ref="T7442" si="683">$A7442*S7442*$T$1</f>
        <v>0</v>
      </c>
      <c r="AR7442" s="758"/>
      <c r="AS7442" s="753"/>
    </row>
    <row r="7443" spans="1:45" s="520" customFormat="1" ht="12.6" thickBot="1">
      <c r="A7443" s="761" t="s">
        <v>145</v>
      </c>
      <c r="B7443" s="762">
        <f>(R7442+T7442)</f>
        <v>0</v>
      </c>
      <c r="C7443" s="763"/>
      <c r="D7443" s="763"/>
      <c r="E7443" s="763"/>
      <c r="F7443" s="764"/>
      <c r="G7443" s="763" t="s">
        <v>146</v>
      </c>
      <c r="H7443" s="763"/>
      <c r="I7443" s="765"/>
      <c r="J7443" s="763"/>
      <c r="K7443" s="763" t="s">
        <v>5</v>
      </c>
      <c r="L7443" s="766" t="s">
        <v>143</v>
      </c>
      <c r="M7443" s="766"/>
      <c r="N7443" s="766"/>
      <c r="O7443" s="766"/>
      <c r="P7443" s="766"/>
      <c r="Q7443" s="767"/>
      <c r="R7443" s="768">
        <f>SUM(R7440:R7442)</f>
        <v>30.6</v>
      </c>
      <c r="S7443" s="763"/>
      <c r="T7443" s="768">
        <f>SUM(T7440:T7442)</f>
        <v>0</v>
      </c>
      <c r="U7443" s="531"/>
      <c r="V7443" s="531"/>
      <c r="W7443" s="531"/>
      <c r="X7443" s="531"/>
      <c r="Y7443" s="531"/>
      <c r="Z7443" s="531"/>
      <c r="AA7443" s="531"/>
      <c r="AB7443" s="531"/>
      <c r="AC7443" s="531"/>
      <c r="AD7443" s="531"/>
      <c r="AE7443" s="531"/>
      <c r="AF7443" s="531"/>
      <c r="AG7443" s="531"/>
      <c r="AH7443" s="531"/>
      <c r="AI7443" s="531"/>
      <c r="AJ7443" s="531"/>
      <c r="AK7443" s="531"/>
      <c r="AL7443" s="531"/>
      <c r="AM7443" s="531"/>
      <c r="AN7443" s="531"/>
      <c r="AO7443" s="531"/>
      <c r="AR7443" s="761" t="s">
        <v>145</v>
      </c>
      <c r="AS7443" s="764"/>
    </row>
    <row r="7444" spans="1:45" s="520" customFormat="1" ht="12" thickTop="1">
      <c r="A7444" s="51"/>
      <c r="B7444" s="41"/>
      <c r="C7444" s="51"/>
      <c r="E7444" s="42" t="s">
        <v>138</v>
      </c>
      <c r="F7444" s="42" t="s">
        <v>139</v>
      </c>
      <c r="G7444" s="51"/>
      <c r="H7444" s="51"/>
      <c r="I7444" s="51"/>
      <c r="J7444" s="51"/>
      <c r="K7444" s="51" t="s">
        <v>140</v>
      </c>
      <c r="L7444" s="51"/>
      <c r="M7444" s="51"/>
      <c r="N7444" s="51"/>
      <c r="O7444" s="52"/>
      <c r="P7444" s="51"/>
      <c r="Q7444" s="51"/>
      <c r="R7444" s="51"/>
      <c r="S7444" s="51"/>
      <c r="T7444" s="41"/>
      <c r="AG7444" s="521" t="s">
        <v>268</v>
      </c>
      <c r="AH7444" s="521" t="s">
        <v>269</v>
      </c>
      <c r="AI7444" s="521" t="s">
        <v>270</v>
      </c>
      <c r="AJ7444" s="521" t="s">
        <v>271</v>
      </c>
      <c r="AK7444" s="521" t="s">
        <v>272</v>
      </c>
      <c r="AM7444" s="745" t="s">
        <v>281</v>
      </c>
      <c r="AN7444" s="746" t="s">
        <v>282</v>
      </c>
      <c r="AO7444" s="522" t="s">
        <v>278</v>
      </c>
      <c r="AR7444" s="51"/>
      <c r="AS7444" s="42" t="s">
        <v>139</v>
      </c>
    </row>
    <row r="7445" spans="1:45" s="520" customFormat="1" ht="12" customHeight="1">
      <c r="A7445" s="747">
        <v>31</v>
      </c>
      <c r="B7445" s="523" t="s">
        <v>329</v>
      </c>
      <c r="C7445" s="748"/>
      <c r="D7445" s="749" t="s">
        <v>3971</v>
      </c>
      <c r="E7445" s="1145">
        <f>IF(AND($A7445=0,$A$1="DIF"),0, ROUND(ROUND(($R7449*$S$3+($T7449*$T$3))/$A7445,2)*$C$3,2))</f>
        <v>16.25</v>
      </c>
      <c r="F7445" s="1146">
        <f>ROUND($A7445*$E7445,2)</f>
        <v>503.75</v>
      </c>
      <c r="G7445" s="752" t="s">
        <v>142</v>
      </c>
      <c r="H7445" s="753"/>
      <c r="I7445" s="754"/>
      <c r="J7445" s="753"/>
      <c r="K7445" s="753" t="s">
        <v>5</v>
      </c>
      <c r="L7445" s="755" t="s">
        <v>143</v>
      </c>
      <c r="M7445" s="755"/>
      <c r="N7445" s="755"/>
      <c r="O7445" s="755"/>
      <c r="P7445" s="755"/>
      <c r="Q7445" s="51"/>
      <c r="T7445" s="1150" t="str">
        <f>IF(AND($R7449=0,$T7449=0),"0.00","mu: "&amp; ROUND(F7445/$C$3/($R7449+$T7449*$D$9),2))</f>
        <v>mu: 1.13</v>
      </c>
      <c r="W7445" s="524"/>
      <c r="AG7445" s="1147">
        <f>IF($E7445=0,0,ROUND($R7449*$S$3*$C$3/$A7445,2))</f>
        <v>16.25</v>
      </c>
      <c r="AH7445" s="1147">
        <f>$AG7445*$A7445</f>
        <v>503.75</v>
      </c>
      <c r="AI7445" s="1148">
        <f>$E7445-$AG7445</f>
        <v>0</v>
      </c>
      <c r="AJ7445" s="1148">
        <f>$A7445*$AI7445</f>
        <v>0</v>
      </c>
      <c r="AK7445" s="1149">
        <f>ROUND(($AG7445+$AI7445)*$A7445,2)</f>
        <v>503.75</v>
      </c>
      <c r="AM7445" s="527">
        <f>ROUND(R7449,2)</f>
        <v>446.4</v>
      </c>
      <c r="AN7445" s="528">
        <f>ROUND(T7449,2)</f>
        <v>0</v>
      </c>
      <c r="AO7445" s="529">
        <f>ROUND(AM7445+AN7445,2)*A7445</f>
        <v>13838.4</v>
      </c>
      <c r="AR7445" s="747">
        <v>31</v>
      </c>
      <c r="AS7445" s="1146">
        <v>531.96</v>
      </c>
    </row>
    <row r="7446" spans="1:45" s="520" customFormat="1" ht="13.2">
      <c r="A7446" s="748"/>
      <c r="B7446"/>
      <c r="C7446" s="748"/>
      <c r="D7446" s="749" t="s">
        <v>1958</v>
      </c>
      <c r="F7446" s="753"/>
      <c r="G7446" s="3"/>
      <c r="H7446" s="753"/>
      <c r="I7446" s="754"/>
      <c r="J7446" s="753"/>
      <c r="K7446" s="753" t="s">
        <v>144</v>
      </c>
      <c r="L7446" s="753"/>
      <c r="M7446" s="753"/>
      <c r="N7446" s="753"/>
      <c r="O7446" s="753"/>
      <c r="P7446" s="753"/>
      <c r="Q7446" s="51"/>
      <c r="R7446" s="530"/>
      <c r="S7446" s="757"/>
      <c r="T7446" s="753"/>
      <c r="AR7446" s="748"/>
      <c r="AS7446" s="753"/>
    </row>
    <row r="7447" spans="1:45" s="901" customFormat="1" ht="13.2">
      <c r="A7447" s="903">
        <v>31</v>
      </c>
      <c r="B7447" s="904" t="s">
        <v>863</v>
      </c>
      <c r="C7447" s="904"/>
      <c r="D7447" s="904" t="s">
        <v>2594</v>
      </c>
      <c r="E7447" s="904"/>
      <c r="F7447" s="904" t="s">
        <v>4139</v>
      </c>
      <c r="G7447" s="905" t="s">
        <v>2595</v>
      </c>
      <c r="H7447" s="902">
        <v>960</v>
      </c>
      <c r="I7447" s="904" t="s">
        <v>2596</v>
      </c>
      <c r="J7447" s="904"/>
      <c r="K7447" s="904"/>
      <c r="L7447" s="904"/>
      <c r="M7447" s="904"/>
      <c r="N7447" s="904"/>
      <c r="O7447" s="902">
        <v>4</v>
      </c>
      <c r="P7447" s="906">
        <v>38274</v>
      </c>
      <c r="Q7447" s="1415">
        <f>16*0.9</f>
        <v>14.4</v>
      </c>
      <c r="R7447" s="908">
        <f>$A7447*Q7447</f>
        <v>446.40000000000003</v>
      </c>
      <c r="S7447" s="907"/>
      <c r="T7447" s="909">
        <f>$A7447*S7447*$T$1</f>
        <v>0</v>
      </c>
      <c r="AR7447" s="903">
        <v>31</v>
      </c>
      <c r="AS7447" s="904" t="s">
        <v>3507</v>
      </c>
    </row>
    <row r="7448" spans="1:45" s="520" customFormat="1" ht="12">
      <c r="A7448" s="758"/>
      <c r="B7448" s="758"/>
      <c r="C7448" s="758"/>
      <c r="D7448" s="758"/>
      <c r="E7448" s="758"/>
      <c r="F7448" s="753"/>
      <c r="G7448" s="758"/>
      <c r="H7448" s="758"/>
      <c r="I7448" s="519"/>
      <c r="J7448" s="758"/>
      <c r="K7448" s="758"/>
      <c r="L7448" s="758"/>
      <c r="M7448" s="758"/>
      <c r="N7448" s="758"/>
      <c r="O7448" s="758"/>
      <c r="P7448" s="758"/>
      <c r="Q7448" s="519"/>
      <c r="R7448" s="759">
        <f t="shared" ref="R7448" si="684">$A7448*Q7448</f>
        <v>0</v>
      </c>
      <c r="S7448" s="519"/>
      <c r="T7448" s="760">
        <f t="shared" ref="T7448" si="685">$A7448*S7448*$T$1</f>
        <v>0</v>
      </c>
      <c r="AR7448" s="758"/>
      <c r="AS7448" s="753"/>
    </row>
    <row r="7449" spans="1:45" s="520" customFormat="1" ht="12.6" thickBot="1">
      <c r="A7449" s="761" t="s">
        <v>145</v>
      </c>
      <c r="B7449" s="762">
        <f>(R7448+T7448)</f>
        <v>0</v>
      </c>
      <c r="C7449" s="763"/>
      <c r="D7449" s="763"/>
      <c r="E7449" s="763"/>
      <c r="F7449" s="764"/>
      <c r="G7449" s="763" t="s">
        <v>146</v>
      </c>
      <c r="H7449" s="763"/>
      <c r="I7449" s="765"/>
      <c r="J7449" s="763"/>
      <c r="K7449" s="763" t="s">
        <v>5</v>
      </c>
      <c r="L7449" s="766" t="s">
        <v>143</v>
      </c>
      <c r="M7449" s="766"/>
      <c r="N7449" s="766"/>
      <c r="O7449" s="766"/>
      <c r="P7449" s="766"/>
      <c r="Q7449" s="767"/>
      <c r="R7449" s="768">
        <f>SUM(R7446:R7448)</f>
        <v>446.40000000000003</v>
      </c>
      <c r="S7449" s="763"/>
      <c r="T7449" s="768">
        <f>SUM(T7446:T7448)</f>
        <v>0</v>
      </c>
      <c r="U7449" s="531"/>
      <c r="V7449" s="531"/>
      <c r="W7449" s="531"/>
      <c r="X7449" s="531"/>
      <c r="Y7449" s="531"/>
      <c r="Z7449" s="531"/>
      <c r="AA7449" s="531"/>
      <c r="AB7449" s="531"/>
      <c r="AC7449" s="531"/>
      <c r="AD7449" s="531"/>
      <c r="AE7449" s="531"/>
      <c r="AF7449" s="531"/>
      <c r="AG7449" s="531"/>
      <c r="AH7449" s="531"/>
      <c r="AI7449" s="531"/>
      <c r="AJ7449" s="531"/>
      <c r="AK7449" s="531"/>
      <c r="AL7449" s="531"/>
      <c r="AM7449" s="531"/>
      <c r="AN7449" s="531"/>
      <c r="AO7449" s="531"/>
      <c r="AR7449" s="761" t="s">
        <v>145</v>
      </c>
      <c r="AS7449" s="764"/>
    </row>
    <row r="7450" spans="1:45" s="520" customFormat="1" ht="12" thickTop="1">
      <c r="A7450" s="51"/>
      <c r="B7450" s="41"/>
      <c r="C7450" s="51"/>
      <c r="E7450" s="42" t="s">
        <v>138</v>
      </c>
      <c r="F7450" s="42" t="s">
        <v>139</v>
      </c>
      <c r="G7450" s="51"/>
      <c r="H7450" s="51"/>
      <c r="I7450" s="51"/>
      <c r="J7450" s="51"/>
      <c r="K7450" s="51" t="s">
        <v>140</v>
      </c>
      <c r="L7450" s="51"/>
      <c r="M7450" s="51"/>
      <c r="N7450" s="51"/>
      <c r="O7450" s="52"/>
      <c r="P7450" s="51"/>
      <c r="Q7450" s="51"/>
      <c r="R7450" s="51"/>
      <c r="S7450" s="51"/>
      <c r="T7450" s="41"/>
      <c r="AG7450" s="521" t="s">
        <v>268</v>
      </c>
      <c r="AH7450" s="521" t="s">
        <v>269</v>
      </c>
      <c r="AI7450" s="521" t="s">
        <v>270</v>
      </c>
      <c r="AJ7450" s="521" t="s">
        <v>271</v>
      </c>
      <c r="AK7450" s="521" t="s">
        <v>272</v>
      </c>
      <c r="AM7450" s="745" t="s">
        <v>281</v>
      </c>
      <c r="AN7450" s="746" t="s">
        <v>282</v>
      </c>
      <c r="AO7450" s="522" t="s">
        <v>278</v>
      </c>
      <c r="AR7450" s="51"/>
      <c r="AS7450" s="42" t="s">
        <v>139</v>
      </c>
    </row>
    <row r="7451" spans="1:45" s="520" customFormat="1" ht="12" customHeight="1">
      <c r="A7451" s="747">
        <v>147</v>
      </c>
      <c r="B7451" s="523" t="s">
        <v>957</v>
      </c>
      <c r="C7451" s="748"/>
      <c r="D7451" s="749" t="s">
        <v>3972</v>
      </c>
      <c r="E7451" s="1145">
        <f>IF(AND($A7451=0,$A$1="DIF"),0, ROUND(ROUND(($R7455*$S$3+($T7455*$T$3))/$A7451,2)*$C$3,2))</f>
        <v>9.14</v>
      </c>
      <c r="F7451" s="1146">
        <f>ROUND($A7451*$E7451,2)</f>
        <v>1343.58</v>
      </c>
      <c r="G7451" s="752" t="s">
        <v>142</v>
      </c>
      <c r="H7451" s="753"/>
      <c r="I7451" s="754"/>
      <c r="J7451" s="753"/>
      <c r="K7451" s="753" t="s">
        <v>5</v>
      </c>
      <c r="L7451" s="755" t="s">
        <v>143</v>
      </c>
      <c r="M7451" s="755"/>
      <c r="N7451" s="755"/>
      <c r="O7451" s="755"/>
      <c r="P7451" s="755"/>
      <c r="Q7451" s="51"/>
      <c r="T7451" s="1150" t="str">
        <f>IF(AND($R7455=0,$T7455=0),"0.00","mu: "&amp; ROUND(F7451/$C$3/($R7455+$T7455*$D$9),2))</f>
        <v>mu: 1.13</v>
      </c>
      <c r="W7451" s="524"/>
      <c r="AG7451" s="1147">
        <f>IF($E7451=0,0,ROUND($R7455*$S$3*$C$3/$A7451,2))</f>
        <v>9.14</v>
      </c>
      <c r="AH7451" s="1147">
        <f>$AG7451*$A7451</f>
        <v>1343.5800000000002</v>
      </c>
      <c r="AI7451" s="1148">
        <f>$E7451-$AG7451</f>
        <v>0</v>
      </c>
      <c r="AJ7451" s="1148">
        <f>$A7451*$AI7451</f>
        <v>0</v>
      </c>
      <c r="AK7451" s="1149">
        <f>ROUND(($AG7451+$AI7451)*$A7451,2)</f>
        <v>1343.58</v>
      </c>
      <c r="AM7451" s="527">
        <f>ROUND(R7455,2)</f>
        <v>1190.7</v>
      </c>
      <c r="AN7451" s="528">
        <f>ROUND(T7455,2)</f>
        <v>0</v>
      </c>
      <c r="AO7451" s="529">
        <f>ROUND(AM7451+AN7451,2)*A7451</f>
        <v>175032.9</v>
      </c>
      <c r="AR7451" s="747">
        <v>147</v>
      </c>
      <c r="AS7451" s="1146">
        <v>1418.55</v>
      </c>
    </row>
    <row r="7452" spans="1:45" s="520" customFormat="1" ht="13.2">
      <c r="A7452" s="748"/>
      <c r="B7452"/>
      <c r="C7452" s="748"/>
      <c r="D7452" s="749" t="s">
        <v>1928</v>
      </c>
      <c r="F7452" s="753"/>
      <c r="G7452" s="3"/>
      <c r="H7452" s="753"/>
      <c r="I7452" s="754"/>
      <c r="J7452" s="753"/>
      <c r="K7452" s="753" t="s">
        <v>144</v>
      </c>
      <c r="L7452" s="753"/>
      <c r="M7452" s="753"/>
      <c r="N7452" s="753"/>
      <c r="O7452" s="753"/>
      <c r="P7452" s="753"/>
      <c r="Q7452" s="51"/>
      <c r="R7452" s="530"/>
      <c r="S7452" s="757"/>
      <c r="T7452" s="753"/>
      <c r="AR7452" s="748"/>
      <c r="AS7452" s="753"/>
    </row>
    <row r="7453" spans="1:45" s="901" customFormat="1" ht="13.2">
      <c r="A7453" s="903">
        <v>147</v>
      </c>
      <c r="B7453" s="904" t="s">
        <v>863</v>
      </c>
      <c r="C7453" s="904"/>
      <c r="D7453" s="904" t="s">
        <v>2594</v>
      </c>
      <c r="E7453" s="904"/>
      <c r="F7453" s="904" t="s">
        <v>4139</v>
      </c>
      <c r="G7453" s="905" t="s">
        <v>2595</v>
      </c>
      <c r="H7453" s="902">
        <v>960</v>
      </c>
      <c r="I7453" s="904" t="s">
        <v>2596</v>
      </c>
      <c r="J7453" s="904"/>
      <c r="K7453" s="904"/>
      <c r="L7453" s="904"/>
      <c r="M7453" s="904"/>
      <c r="N7453" s="904"/>
      <c r="O7453" s="902">
        <v>4</v>
      </c>
      <c r="P7453" s="906">
        <v>38274</v>
      </c>
      <c r="Q7453" s="1415">
        <f>9*0.9</f>
        <v>8.1</v>
      </c>
      <c r="R7453" s="908">
        <f>$A7453*Q7453</f>
        <v>1190.7</v>
      </c>
      <c r="S7453" s="907"/>
      <c r="T7453" s="909">
        <f>$A7453*S7453*$T$1</f>
        <v>0</v>
      </c>
      <c r="AR7453" s="903">
        <v>147</v>
      </c>
      <c r="AS7453" s="904" t="s">
        <v>3507</v>
      </c>
    </row>
    <row r="7454" spans="1:45" s="520" customFormat="1" ht="12">
      <c r="A7454" s="758"/>
      <c r="B7454" s="758"/>
      <c r="C7454" s="758"/>
      <c r="D7454" s="758"/>
      <c r="E7454" s="758"/>
      <c r="F7454" s="753"/>
      <c r="G7454" s="758"/>
      <c r="H7454" s="758"/>
      <c r="I7454" s="519"/>
      <c r="J7454" s="758"/>
      <c r="K7454" s="758"/>
      <c r="L7454" s="758"/>
      <c r="M7454" s="758"/>
      <c r="N7454" s="758"/>
      <c r="O7454" s="758"/>
      <c r="P7454" s="758"/>
      <c r="Q7454" s="519"/>
      <c r="R7454" s="759">
        <f t="shared" ref="R7454" si="686">$A7454*Q7454</f>
        <v>0</v>
      </c>
      <c r="S7454" s="519"/>
      <c r="T7454" s="760">
        <f t="shared" ref="T7454" si="687">$A7454*S7454*$T$1</f>
        <v>0</v>
      </c>
      <c r="AR7454" s="758"/>
      <c r="AS7454" s="753"/>
    </row>
    <row r="7455" spans="1:45" s="520" customFormat="1" ht="12.6" thickBot="1">
      <c r="A7455" s="761" t="s">
        <v>145</v>
      </c>
      <c r="B7455" s="762">
        <f>(R7454+T7454)</f>
        <v>0</v>
      </c>
      <c r="C7455" s="763"/>
      <c r="D7455" s="763"/>
      <c r="E7455" s="763"/>
      <c r="F7455" s="764"/>
      <c r="G7455" s="763" t="s">
        <v>146</v>
      </c>
      <c r="H7455" s="763"/>
      <c r="I7455" s="765"/>
      <c r="J7455" s="763"/>
      <c r="K7455" s="763" t="s">
        <v>5</v>
      </c>
      <c r="L7455" s="766" t="s">
        <v>143</v>
      </c>
      <c r="M7455" s="766"/>
      <c r="N7455" s="766"/>
      <c r="O7455" s="766"/>
      <c r="P7455" s="766"/>
      <c r="Q7455" s="767"/>
      <c r="R7455" s="768">
        <f>SUM(R7452:R7454)</f>
        <v>1190.7</v>
      </c>
      <c r="S7455" s="763"/>
      <c r="T7455" s="768">
        <f>SUM(T7452:T7454)</f>
        <v>0</v>
      </c>
      <c r="U7455" s="531"/>
      <c r="V7455" s="531"/>
      <c r="W7455" s="531"/>
      <c r="X7455" s="531"/>
      <c r="Y7455" s="531"/>
      <c r="Z7455" s="531"/>
      <c r="AA7455" s="531"/>
      <c r="AB7455" s="531"/>
      <c r="AC7455" s="531"/>
      <c r="AD7455" s="531"/>
      <c r="AE7455" s="531"/>
      <c r="AF7455" s="531"/>
      <c r="AG7455" s="531"/>
      <c r="AH7455" s="531"/>
      <c r="AI7455" s="531"/>
      <c r="AJ7455" s="531"/>
      <c r="AK7455" s="531"/>
      <c r="AL7455" s="531"/>
      <c r="AM7455" s="531"/>
      <c r="AN7455" s="531"/>
      <c r="AO7455" s="531"/>
      <c r="AR7455" s="761" t="s">
        <v>145</v>
      </c>
      <c r="AS7455" s="764"/>
    </row>
    <row r="7456" spans="1:45" s="520" customFormat="1" ht="12" thickTop="1">
      <c r="A7456" s="51"/>
      <c r="B7456" s="41"/>
      <c r="C7456" s="51"/>
      <c r="E7456" s="42" t="s">
        <v>138</v>
      </c>
      <c r="F7456" s="42" t="s">
        <v>139</v>
      </c>
      <c r="G7456" s="51"/>
      <c r="H7456" s="51"/>
      <c r="I7456" s="51"/>
      <c r="J7456" s="51"/>
      <c r="K7456" s="51" t="s">
        <v>140</v>
      </c>
      <c r="L7456" s="51"/>
      <c r="M7456" s="51"/>
      <c r="N7456" s="51"/>
      <c r="O7456" s="52"/>
      <c r="P7456" s="51"/>
      <c r="Q7456" s="51"/>
      <c r="R7456" s="51"/>
      <c r="S7456" s="51"/>
      <c r="T7456" s="41"/>
      <c r="AG7456" s="521" t="s">
        <v>268</v>
      </c>
      <c r="AH7456" s="521" t="s">
        <v>269</v>
      </c>
      <c r="AI7456" s="521" t="s">
        <v>270</v>
      </c>
      <c r="AJ7456" s="521" t="s">
        <v>271</v>
      </c>
      <c r="AK7456" s="521" t="s">
        <v>272</v>
      </c>
      <c r="AM7456" s="745" t="s">
        <v>281</v>
      </c>
      <c r="AN7456" s="746" t="s">
        <v>282</v>
      </c>
      <c r="AO7456" s="522" t="s">
        <v>278</v>
      </c>
      <c r="AR7456" s="51"/>
      <c r="AS7456" s="42" t="s">
        <v>139</v>
      </c>
    </row>
    <row r="7457" spans="1:45" s="520" customFormat="1" ht="12" customHeight="1">
      <c r="A7457" s="747">
        <v>147</v>
      </c>
      <c r="B7457" s="523" t="s">
        <v>957</v>
      </c>
      <c r="C7457" s="748"/>
      <c r="D7457" s="749" t="s">
        <v>3973</v>
      </c>
      <c r="E7457" s="1145">
        <f>IF(AND($A7457=0,$A$1="DIF"),0, ROUND(ROUND(($R7461*$S$3+($T7461*$T$3))/$A7457,2)*$C$3,2))</f>
        <v>3.05</v>
      </c>
      <c r="F7457" s="1146">
        <f>ROUND($A7457*$E7457,2)</f>
        <v>448.35</v>
      </c>
      <c r="G7457" s="752" t="s">
        <v>142</v>
      </c>
      <c r="H7457" s="753"/>
      <c r="I7457" s="754"/>
      <c r="J7457" s="753"/>
      <c r="K7457" s="753" t="s">
        <v>5</v>
      </c>
      <c r="L7457" s="755" t="s">
        <v>143</v>
      </c>
      <c r="M7457" s="755"/>
      <c r="N7457" s="755"/>
      <c r="O7457" s="755"/>
      <c r="P7457" s="755"/>
      <c r="Q7457" s="51"/>
      <c r="T7457" s="1150" t="str">
        <f>IF(AND($R7461=0,$T7461=0),"0.00","mu: "&amp; ROUND(F7457/$C$3/($R7461+$T7461*$D$9),2))</f>
        <v>mu: 1.13</v>
      </c>
      <c r="W7457" s="524"/>
      <c r="AG7457" s="1147">
        <f>IF($E7457=0,0,ROUND($R7461*$S$3*$C$3/$A7457,2))</f>
        <v>3.05</v>
      </c>
      <c r="AH7457" s="1147">
        <f>$AG7457*$A7457</f>
        <v>448.34999999999997</v>
      </c>
      <c r="AI7457" s="1148">
        <f>$E7457-$AG7457</f>
        <v>0</v>
      </c>
      <c r="AJ7457" s="1148">
        <f>$A7457*$AI7457</f>
        <v>0</v>
      </c>
      <c r="AK7457" s="1149">
        <f>ROUND(($AG7457+$AI7457)*$A7457,2)</f>
        <v>448.35</v>
      </c>
      <c r="AM7457" s="527">
        <f>ROUND(R7461,2)</f>
        <v>396.9</v>
      </c>
      <c r="AN7457" s="528">
        <f>ROUND(T7461,2)</f>
        <v>0</v>
      </c>
      <c r="AO7457" s="529">
        <f>ROUND(AM7457+AN7457,2)*A7457</f>
        <v>58344.299999999996</v>
      </c>
      <c r="AR7457" s="747">
        <v>147</v>
      </c>
      <c r="AS7457" s="1146">
        <v>473.34</v>
      </c>
    </row>
    <row r="7458" spans="1:45" s="520" customFormat="1" ht="13.2">
      <c r="A7458" s="748"/>
      <c r="B7458"/>
      <c r="C7458" s="748"/>
      <c r="D7458" s="749" t="s">
        <v>958</v>
      </c>
      <c r="F7458" s="753"/>
      <c r="G7458" s="3"/>
      <c r="H7458" s="753"/>
      <c r="I7458" s="754"/>
      <c r="J7458" s="753"/>
      <c r="K7458" s="753" t="s">
        <v>144</v>
      </c>
      <c r="L7458" s="753"/>
      <c r="M7458" s="753"/>
      <c r="N7458" s="753"/>
      <c r="O7458" s="753"/>
      <c r="P7458" s="753"/>
      <c r="Q7458" s="51"/>
      <c r="R7458" s="530"/>
      <c r="S7458" s="757"/>
      <c r="T7458" s="753"/>
      <c r="AR7458" s="748"/>
      <c r="AS7458" s="753"/>
    </row>
    <row r="7459" spans="1:45" s="901" customFormat="1" ht="13.2">
      <c r="A7459" s="903">
        <v>147</v>
      </c>
      <c r="B7459" s="904" t="s">
        <v>863</v>
      </c>
      <c r="C7459" s="904"/>
      <c r="D7459" s="904" t="s">
        <v>2594</v>
      </c>
      <c r="E7459" s="904"/>
      <c r="F7459" s="904" t="s">
        <v>4139</v>
      </c>
      <c r="G7459" s="905" t="s">
        <v>2595</v>
      </c>
      <c r="H7459" s="902">
        <v>960</v>
      </c>
      <c r="I7459" s="904" t="s">
        <v>2596</v>
      </c>
      <c r="J7459" s="904"/>
      <c r="K7459" s="904"/>
      <c r="L7459" s="904"/>
      <c r="M7459" s="904"/>
      <c r="N7459" s="904"/>
      <c r="O7459" s="902">
        <v>4</v>
      </c>
      <c r="P7459" s="906">
        <v>38274</v>
      </c>
      <c r="Q7459" s="1415">
        <f>3*0.9</f>
        <v>2.7</v>
      </c>
      <c r="R7459" s="908">
        <f>$A7459*Q7459</f>
        <v>396.90000000000003</v>
      </c>
      <c r="S7459" s="907"/>
      <c r="T7459" s="909">
        <f>$A7459*S7459*$T$1</f>
        <v>0</v>
      </c>
      <c r="AR7459" s="903">
        <v>147</v>
      </c>
      <c r="AS7459" s="904" t="s">
        <v>3507</v>
      </c>
    </row>
    <row r="7460" spans="1:45" s="520" customFormat="1" ht="12">
      <c r="A7460" s="758"/>
      <c r="B7460" s="758"/>
      <c r="C7460" s="758"/>
      <c r="D7460" s="758"/>
      <c r="E7460" s="758"/>
      <c r="F7460" s="753"/>
      <c r="G7460" s="758"/>
      <c r="H7460" s="758"/>
      <c r="I7460" s="519"/>
      <c r="J7460" s="758"/>
      <c r="K7460" s="758"/>
      <c r="L7460" s="758"/>
      <c r="M7460" s="758"/>
      <c r="N7460" s="758"/>
      <c r="O7460" s="758"/>
      <c r="P7460" s="758"/>
      <c r="Q7460" s="519"/>
      <c r="R7460" s="759">
        <f t="shared" ref="R7460" si="688">$A7460*Q7460</f>
        <v>0</v>
      </c>
      <c r="S7460" s="519"/>
      <c r="T7460" s="760">
        <f t="shared" ref="T7460" si="689">$A7460*S7460*$T$1</f>
        <v>0</v>
      </c>
      <c r="AR7460" s="758"/>
      <c r="AS7460" s="753"/>
    </row>
    <row r="7461" spans="1:45" s="520" customFormat="1" ht="12.6" thickBot="1">
      <c r="A7461" s="761" t="s">
        <v>145</v>
      </c>
      <c r="B7461" s="762">
        <f>(R7460+T7460)</f>
        <v>0</v>
      </c>
      <c r="C7461" s="763"/>
      <c r="D7461" s="763"/>
      <c r="E7461" s="763"/>
      <c r="F7461" s="764"/>
      <c r="G7461" s="763" t="s">
        <v>146</v>
      </c>
      <c r="H7461" s="763"/>
      <c r="I7461" s="765"/>
      <c r="J7461" s="763"/>
      <c r="K7461" s="763" t="s">
        <v>5</v>
      </c>
      <c r="L7461" s="766" t="s">
        <v>143</v>
      </c>
      <c r="M7461" s="766"/>
      <c r="N7461" s="766"/>
      <c r="O7461" s="766"/>
      <c r="P7461" s="766"/>
      <c r="Q7461" s="767"/>
      <c r="R7461" s="768">
        <f>SUM(R7458:R7460)</f>
        <v>396.90000000000003</v>
      </c>
      <c r="S7461" s="763"/>
      <c r="T7461" s="768">
        <f>SUM(T7458:T7460)</f>
        <v>0</v>
      </c>
      <c r="U7461" s="531"/>
      <c r="V7461" s="531"/>
      <c r="W7461" s="531"/>
      <c r="X7461" s="531"/>
      <c r="Y7461" s="531"/>
      <c r="Z7461" s="531"/>
      <c r="AA7461" s="531"/>
      <c r="AB7461" s="531"/>
      <c r="AC7461" s="531"/>
      <c r="AD7461" s="531"/>
      <c r="AE7461" s="531"/>
      <c r="AF7461" s="531"/>
      <c r="AG7461" s="531"/>
      <c r="AH7461" s="531"/>
      <c r="AI7461" s="531"/>
      <c r="AJ7461" s="531"/>
      <c r="AK7461" s="531"/>
      <c r="AL7461" s="531"/>
      <c r="AM7461" s="531"/>
      <c r="AN7461" s="531"/>
      <c r="AO7461" s="531"/>
      <c r="AR7461" s="761" t="s">
        <v>145</v>
      </c>
      <c r="AS7461" s="764"/>
    </row>
    <row r="7462" spans="1:45" s="520" customFormat="1" thickTop="1">
      <c r="A7462" s="51"/>
      <c r="B7462" s="51"/>
      <c r="C7462" s="3"/>
      <c r="D7462" s="3"/>
      <c r="E7462" s="51"/>
      <c r="F7462" s="51"/>
      <c r="G7462" s="51"/>
      <c r="H7462" s="51"/>
      <c r="I7462" s="51"/>
      <c r="J7462" s="51"/>
      <c r="K7462" s="51" t="s">
        <v>134</v>
      </c>
      <c r="L7462" s="51"/>
      <c r="M7462" s="51"/>
      <c r="N7462" s="51"/>
      <c r="O7462" s="52"/>
      <c r="P7462" s="51"/>
      <c r="Q7462" s="51"/>
      <c r="R7462" s="51"/>
      <c r="S7462" s="51"/>
      <c r="T7462" s="51"/>
      <c r="AR7462" s="51"/>
      <c r="AS7462" s="51"/>
    </row>
    <row r="7463" spans="1:45" s="520" customFormat="1" ht="12">
      <c r="A7463" s="51"/>
      <c r="B7463" s="51"/>
      <c r="C7463" s="51" t="s">
        <v>135</v>
      </c>
      <c r="D7463" s="37"/>
      <c r="E7463" s="51"/>
      <c r="F7463" s="51"/>
      <c r="G7463" s="51"/>
      <c r="H7463" s="51"/>
      <c r="I7463" s="51"/>
      <c r="J7463" s="51"/>
      <c r="K7463" s="51"/>
      <c r="L7463" s="51"/>
      <c r="M7463" s="51"/>
      <c r="N7463" s="51"/>
      <c r="O7463" s="52"/>
      <c r="P7463" s="51"/>
      <c r="Q7463" s="51"/>
      <c r="R7463" s="51"/>
      <c r="S7463" s="51"/>
      <c r="T7463" s="51"/>
      <c r="AR7463" s="51"/>
      <c r="AS7463" s="51"/>
    </row>
    <row r="7464" spans="1:45" s="520" customFormat="1" ht="12">
      <c r="A7464" s="51"/>
      <c r="B7464" s="51"/>
      <c r="C7464" s="51"/>
      <c r="D7464" s="37" t="s">
        <v>999</v>
      </c>
      <c r="E7464" s="51"/>
      <c r="F7464" s="51"/>
      <c r="G7464" s="51"/>
      <c r="H7464" s="51"/>
      <c r="I7464" s="51"/>
      <c r="J7464" s="51"/>
      <c r="K7464" s="51"/>
      <c r="L7464" s="51"/>
      <c r="M7464" s="51"/>
      <c r="N7464" s="51"/>
      <c r="O7464" s="52"/>
      <c r="P7464" s="51"/>
      <c r="Q7464" s="51"/>
      <c r="R7464" s="51"/>
      <c r="S7464" s="38"/>
      <c r="T7464" s="38"/>
      <c r="AR7464" s="51"/>
      <c r="AS7464" s="51"/>
    </row>
    <row r="7465" spans="1:45" s="3" customFormat="1" thickBot="1">
      <c r="A7465" s="531"/>
      <c r="O7465" s="107"/>
      <c r="AR7465" s="531"/>
    </row>
    <row r="7466" spans="1:45" s="520" customFormat="1" ht="12" thickTop="1">
      <c r="A7466" s="51"/>
      <c r="B7466" s="41"/>
      <c r="C7466" s="51"/>
      <c r="E7466" s="42" t="s">
        <v>138</v>
      </c>
      <c r="F7466" s="42" t="s">
        <v>139</v>
      </c>
      <c r="G7466" s="51"/>
      <c r="H7466" s="51"/>
      <c r="I7466" s="51"/>
      <c r="J7466" s="51"/>
      <c r="K7466" s="51" t="s">
        <v>140</v>
      </c>
      <c r="L7466" s="51"/>
      <c r="M7466" s="51"/>
      <c r="N7466" s="51"/>
      <c r="O7466" s="52"/>
      <c r="P7466" s="51"/>
      <c r="Q7466" s="51"/>
      <c r="R7466" s="51"/>
      <c r="S7466" s="51"/>
      <c r="T7466" s="41"/>
      <c r="AG7466" s="521" t="s">
        <v>268</v>
      </c>
      <c r="AH7466" s="521" t="s">
        <v>269</v>
      </c>
      <c r="AI7466" s="521" t="s">
        <v>270</v>
      </c>
      <c r="AJ7466" s="521" t="s">
        <v>271</v>
      </c>
      <c r="AK7466" s="521" t="s">
        <v>272</v>
      </c>
      <c r="AM7466" s="745" t="s">
        <v>281</v>
      </c>
      <c r="AN7466" s="746" t="s">
        <v>282</v>
      </c>
      <c r="AO7466" s="522" t="s">
        <v>278</v>
      </c>
      <c r="AR7466" s="51"/>
      <c r="AS7466" s="42" t="s">
        <v>139</v>
      </c>
    </row>
    <row r="7467" spans="1:45" s="520" customFormat="1" ht="12" customHeight="1">
      <c r="A7467" s="747">
        <v>1</v>
      </c>
      <c r="B7467" s="523" t="s">
        <v>329</v>
      </c>
      <c r="C7467" s="748"/>
      <c r="D7467" s="749" t="s">
        <v>3974</v>
      </c>
      <c r="E7467" s="1145">
        <f>IF(AND($A7467=0,$A$1="DIF"),0, ROUND(ROUND(($R7471*$S$3+($T7471*$T$3))/$A7467,2)*$C$3,2))</f>
        <v>959.7</v>
      </c>
      <c r="F7467" s="1146">
        <f>ROUND($A7467*$E7467,2)</f>
        <v>959.7</v>
      </c>
      <c r="G7467" s="752" t="s">
        <v>142</v>
      </c>
      <c r="H7467" s="753"/>
      <c r="I7467" s="754"/>
      <c r="J7467" s="753"/>
      <c r="K7467" s="753" t="s">
        <v>5</v>
      </c>
      <c r="L7467" s="755" t="s">
        <v>143</v>
      </c>
      <c r="M7467" s="755"/>
      <c r="N7467" s="755"/>
      <c r="O7467" s="755"/>
      <c r="P7467" s="755"/>
      <c r="Q7467" s="51"/>
      <c r="T7467" s="1150" t="str">
        <f>IF(AND($R7471=0,$T7471=0),"0.00","mu: "&amp; ROUND(F7467/$C$3/($R7471+$T7471*$D$9),2))</f>
        <v>mu: 1.13</v>
      </c>
      <c r="W7467" s="524"/>
      <c r="AG7467" s="1147">
        <f>IF($E7467=0,0,ROUND($R7471*$S$3*$C$3/$A7467,2))</f>
        <v>959.7</v>
      </c>
      <c r="AH7467" s="1147">
        <f>$AG7467*$A7467</f>
        <v>959.7</v>
      </c>
      <c r="AI7467" s="1148">
        <f>$E7467-$AG7467</f>
        <v>0</v>
      </c>
      <c r="AJ7467" s="1148">
        <f>$A7467*$AI7467</f>
        <v>0</v>
      </c>
      <c r="AK7467" s="1149">
        <f>ROUND(($AG7467+$AI7467)*$A7467,2)</f>
        <v>959.7</v>
      </c>
      <c r="AM7467" s="527">
        <f>ROUND(R7471,2)</f>
        <v>850.25</v>
      </c>
      <c r="AN7467" s="528">
        <f>ROUND(T7471,2)</f>
        <v>0</v>
      </c>
      <c r="AO7467" s="529">
        <f>ROUND(AM7467+AN7467,2)*A7467</f>
        <v>850.25</v>
      </c>
      <c r="AR7467" s="747">
        <v>1</v>
      </c>
      <c r="AS7467" s="1146">
        <v>959.7</v>
      </c>
    </row>
    <row r="7468" spans="1:45" s="520" customFormat="1" ht="13.2">
      <c r="A7468" s="748"/>
      <c r="B7468"/>
      <c r="C7468" s="748"/>
      <c r="D7468" s="749" t="s">
        <v>1972</v>
      </c>
      <c r="F7468" s="753"/>
      <c r="G7468" s="3"/>
      <c r="H7468" s="753"/>
      <c r="I7468" s="754"/>
      <c r="J7468" s="753"/>
      <c r="K7468" s="753" t="s">
        <v>144</v>
      </c>
      <c r="L7468" s="753"/>
      <c r="M7468" s="753"/>
      <c r="N7468" s="753"/>
      <c r="O7468" s="753"/>
      <c r="P7468" s="753"/>
      <c r="Q7468" s="51"/>
      <c r="R7468" s="530"/>
      <c r="S7468" s="757"/>
      <c r="T7468" s="753"/>
      <c r="AR7468" s="748"/>
      <c r="AS7468" s="753"/>
    </row>
    <row r="7469" spans="1:45" s="901" customFormat="1" ht="13.2">
      <c r="A7469" s="903">
        <v>1</v>
      </c>
      <c r="B7469" s="904" t="s">
        <v>863</v>
      </c>
      <c r="C7469" s="904"/>
      <c r="D7469" s="904" t="s">
        <v>2594</v>
      </c>
      <c r="E7469" s="904"/>
      <c r="F7469" s="904" t="s">
        <v>4139</v>
      </c>
      <c r="G7469" s="905" t="s">
        <v>2595</v>
      </c>
      <c r="H7469" s="902">
        <v>960</v>
      </c>
      <c r="I7469" s="904" t="s">
        <v>2596</v>
      </c>
      <c r="J7469" s="904"/>
      <c r="K7469" s="904"/>
      <c r="L7469" s="904"/>
      <c r="M7469" s="904"/>
      <c r="N7469" s="904"/>
      <c r="O7469" s="902">
        <v>4</v>
      </c>
      <c r="P7469" s="906">
        <v>38274</v>
      </c>
      <c r="Q7469" s="1198">
        <f>895*0.95</f>
        <v>850.25</v>
      </c>
      <c r="R7469" s="908">
        <f>$A7469*Q7469</f>
        <v>850.25</v>
      </c>
      <c r="S7469" s="907"/>
      <c r="T7469" s="909">
        <f>$A7469*S7469*$T$1</f>
        <v>0</v>
      </c>
      <c r="AR7469" s="903">
        <v>1</v>
      </c>
      <c r="AS7469" s="904" t="s">
        <v>3507</v>
      </c>
    </row>
    <row r="7470" spans="1:45" s="520" customFormat="1" ht="12">
      <c r="A7470" s="758"/>
      <c r="B7470" s="758"/>
      <c r="C7470" s="758"/>
      <c r="D7470" s="758"/>
      <c r="E7470" s="758"/>
      <c r="F7470" s="753"/>
      <c r="G7470" s="758"/>
      <c r="H7470" s="758"/>
      <c r="I7470" s="519"/>
      <c r="J7470" s="758"/>
      <c r="K7470" s="758"/>
      <c r="L7470" s="758"/>
      <c r="M7470" s="758"/>
      <c r="N7470" s="758"/>
      <c r="O7470" s="758"/>
      <c r="P7470" s="758"/>
      <c r="Q7470" s="519"/>
      <c r="R7470" s="759">
        <f t="shared" ref="R7470" si="690">$A7470*Q7470</f>
        <v>0</v>
      </c>
      <c r="S7470" s="519"/>
      <c r="T7470" s="760">
        <f t="shared" ref="T7470" si="691">$A7470*S7470*$T$1</f>
        <v>0</v>
      </c>
      <c r="AR7470" s="758"/>
      <c r="AS7470" s="753"/>
    </row>
    <row r="7471" spans="1:45" s="520" customFormat="1" ht="12.6" thickBot="1">
      <c r="A7471" s="761" t="s">
        <v>145</v>
      </c>
      <c r="B7471" s="762">
        <f>(R7470+T7470)</f>
        <v>0</v>
      </c>
      <c r="C7471" s="763"/>
      <c r="D7471" s="763"/>
      <c r="E7471" s="763"/>
      <c r="F7471" s="764"/>
      <c r="G7471" s="763" t="s">
        <v>146</v>
      </c>
      <c r="H7471" s="763"/>
      <c r="I7471" s="765"/>
      <c r="J7471" s="763"/>
      <c r="K7471" s="763" t="s">
        <v>5</v>
      </c>
      <c r="L7471" s="766" t="s">
        <v>143</v>
      </c>
      <c r="M7471" s="766"/>
      <c r="N7471" s="766"/>
      <c r="O7471" s="766"/>
      <c r="P7471" s="766"/>
      <c r="Q7471" s="767"/>
      <c r="R7471" s="768">
        <f>SUM(R7468:R7470)</f>
        <v>850.25</v>
      </c>
      <c r="S7471" s="763"/>
      <c r="T7471" s="768">
        <f>SUM(T7468:T7470)</f>
        <v>0</v>
      </c>
      <c r="U7471" s="531"/>
      <c r="V7471" s="531"/>
      <c r="W7471" s="531"/>
      <c r="X7471" s="531"/>
      <c r="Y7471" s="531"/>
      <c r="Z7471" s="531"/>
      <c r="AA7471" s="531"/>
      <c r="AB7471" s="531"/>
      <c r="AC7471" s="531"/>
      <c r="AD7471" s="531"/>
      <c r="AE7471" s="531"/>
      <c r="AF7471" s="531"/>
      <c r="AG7471" s="531"/>
      <c r="AH7471" s="531"/>
      <c r="AI7471" s="531"/>
      <c r="AJ7471" s="531"/>
      <c r="AK7471" s="531"/>
      <c r="AL7471" s="531"/>
      <c r="AM7471" s="531"/>
      <c r="AN7471" s="531"/>
      <c r="AO7471" s="531"/>
      <c r="AR7471" s="761" t="s">
        <v>145</v>
      </c>
      <c r="AS7471" s="764"/>
    </row>
    <row r="7472" spans="1:45" s="520" customFormat="1" ht="12" thickTop="1">
      <c r="A7472" s="51"/>
      <c r="B7472" s="41"/>
      <c r="C7472" s="51"/>
      <c r="E7472" s="42" t="s">
        <v>138</v>
      </c>
      <c r="F7472" s="42" t="s">
        <v>139</v>
      </c>
      <c r="G7472" s="51"/>
      <c r="H7472" s="51"/>
      <c r="I7472" s="51"/>
      <c r="J7472" s="51"/>
      <c r="K7472" s="51" t="s">
        <v>140</v>
      </c>
      <c r="L7472" s="51"/>
      <c r="M7472" s="51"/>
      <c r="N7472" s="51"/>
      <c r="O7472" s="52"/>
      <c r="P7472" s="51"/>
      <c r="Q7472" s="51"/>
      <c r="R7472" s="51"/>
      <c r="S7472" s="51"/>
      <c r="T7472" s="41"/>
      <c r="AG7472" s="521" t="s">
        <v>268</v>
      </c>
      <c r="AH7472" s="521" t="s">
        <v>269</v>
      </c>
      <c r="AI7472" s="521" t="s">
        <v>270</v>
      </c>
      <c r="AJ7472" s="521" t="s">
        <v>271</v>
      </c>
      <c r="AK7472" s="521" t="s">
        <v>272</v>
      </c>
      <c r="AM7472" s="745" t="s">
        <v>281</v>
      </c>
      <c r="AN7472" s="746" t="s">
        <v>282</v>
      </c>
      <c r="AO7472" s="522" t="s">
        <v>278</v>
      </c>
      <c r="AR7472" s="51"/>
      <c r="AS7472" s="42" t="s">
        <v>139</v>
      </c>
    </row>
    <row r="7473" spans="1:45" s="520" customFormat="1" ht="12" customHeight="1">
      <c r="A7473" s="747">
        <v>7</v>
      </c>
      <c r="B7473" s="523" t="s">
        <v>329</v>
      </c>
      <c r="C7473" s="748"/>
      <c r="D7473" s="749" t="s">
        <v>3975</v>
      </c>
      <c r="E7473" s="1145">
        <f>IF(AND($A7473=0,$A$1="DIF"),0, ROUND(ROUND(($R7477*$S$3+($T7477*$T$3))/$A7473,2)*$C$3,2))</f>
        <v>96.51</v>
      </c>
      <c r="F7473" s="1146">
        <f>ROUND($A7473*$E7473,2)</f>
        <v>675.57</v>
      </c>
      <c r="G7473" s="752" t="s">
        <v>142</v>
      </c>
      <c r="H7473" s="753"/>
      <c r="I7473" s="754"/>
      <c r="J7473" s="753"/>
      <c r="K7473" s="753" t="s">
        <v>5</v>
      </c>
      <c r="L7473" s="755" t="s">
        <v>143</v>
      </c>
      <c r="M7473" s="755"/>
      <c r="N7473" s="755"/>
      <c r="O7473" s="755"/>
      <c r="P7473" s="755"/>
      <c r="Q7473" s="51"/>
      <c r="T7473" s="1150" t="str">
        <f>IF(AND($R7477=0,$T7477=0),"0.00","mu: "&amp; ROUND(F7473/$C$3/($R7477+$T7477*$D$9),2))</f>
        <v>mu: 1.13</v>
      </c>
      <c r="W7473" s="524"/>
      <c r="AG7473" s="1147">
        <f>IF($E7473=0,0,ROUND($R7477*$S$3*$C$3/$A7473,2))</f>
        <v>96.51</v>
      </c>
      <c r="AH7473" s="1147">
        <f>$AG7473*$A7473</f>
        <v>675.57</v>
      </c>
      <c r="AI7473" s="1148">
        <f>$E7473-$AG7473</f>
        <v>0</v>
      </c>
      <c r="AJ7473" s="1148">
        <f>$A7473*$AI7473</f>
        <v>0</v>
      </c>
      <c r="AK7473" s="1149">
        <f>ROUND(($AG7473+$AI7473)*$A7473,2)</f>
        <v>675.57</v>
      </c>
      <c r="AM7473" s="527">
        <f>ROUND(R7477,2)</f>
        <v>598.5</v>
      </c>
      <c r="AN7473" s="528">
        <f>ROUND(T7477,2)</f>
        <v>0</v>
      </c>
      <c r="AO7473" s="529">
        <f>ROUND(AM7473+AN7473,2)*A7473</f>
        <v>4189.5</v>
      </c>
      <c r="AR7473" s="747">
        <v>7</v>
      </c>
      <c r="AS7473" s="1146">
        <v>675.57</v>
      </c>
    </row>
    <row r="7474" spans="1:45" s="520" customFormat="1" ht="13.2">
      <c r="A7474" s="748"/>
      <c r="B7474"/>
      <c r="C7474" s="748"/>
      <c r="D7474" s="749" t="s">
        <v>962</v>
      </c>
      <c r="F7474" s="753"/>
      <c r="G7474" s="3"/>
      <c r="H7474" s="753"/>
      <c r="I7474" s="754"/>
      <c r="J7474" s="753"/>
      <c r="K7474" s="753" t="s">
        <v>144</v>
      </c>
      <c r="L7474" s="753"/>
      <c r="M7474" s="753"/>
      <c r="N7474" s="753"/>
      <c r="O7474" s="753"/>
      <c r="P7474" s="753"/>
      <c r="Q7474" s="51"/>
      <c r="R7474" s="530"/>
      <c r="S7474" s="757"/>
      <c r="T7474" s="753"/>
      <c r="AR7474" s="748"/>
      <c r="AS7474" s="753"/>
    </row>
    <row r="7475" spans="1:45" s="901" customFormat="1" ht="13.2">
      <c r="A7475" s="903">
        <v>7</v>
      </c>
      <c r="B7475" s="904" t="s">
        <v>863</v>
      </c>
      <c r="C7475" s="904"/>
      <c r="D7475" s="904" t="s">
        <v>2594</v>
      </c>
      <c r="E7475" s="904"/>
      <c r="F7475" s="904" t="s">
        <v>4139</v>
      </c>
      <c r="G7475" s="905" t="s">
        <v>2595</v>
      </c>
      <c r="H7475" s="902">
        <v>960</v>
      </c>
      <c r="I7475" s="904" t="s">
        <v>2596</v>
      </c>
      <c r="J7475" s="904"/>
      <c r="K7475" s="904"/>
      <c r="L7475" s="904"/>
      <c r="M7475" s="904"/>
      <c r="N7475" s="904"/>
      <c r="O7475" s="902">
        <v>4</v>
      </c>
      <c r="P7475" s="906">
        <v>38274</v>
      </c>
      <c r="Q7475" s="1198">
        <f>90*0.95</f>
        <v>85.5</v>
      </c>
      <c r="R7475" s="908">
        <f>$A7475*Q7475</f>
        <v>598.5</v>
      </c>
      <c r="S7475" s="907"/>
      <c r="T7475" s="909">
        <f>$A7475*S7475*$T$1</f>
        <v>0</v>
      </c>
      <c r="AR7475" s="903">
        <v>7</v>
      </c>
      <c r="AS7475" s="904" t="s">
        <v>3507</v>
      </c>
    </row>
    <row r="7476" spans="1:45" s="520" customFormat="1" ht="12">
      <c r="A7476" s="758"/>
      <c r="B7476" s="758"/>
      <c r="C7476" s="758"/>
      <c r="D7476" s="758"/>
      <c r="E7476" s="758"/>
      <c r="F7476" s="753"/>
      <c r="G7476" s="758"/>
      <c r="H7476" s="758"/>
      <c r="I7476" s="519"/>
      <c r="J7476" s="758"/>
      <c r="K7476" s="758"/>
      <c r="L7476" s="758"/>
      <c r="M7476" s="758"/>
      <c r="N7476" s="758"/>
      <c r="O7476" s="758"/>
      <c r="P7476" s="758"/>
      <c r="Q7476" s="519"/>
      <c r="R7476" s="759">
        <f t="shared" ref="R7476" si="692">$A7476*Q7476</f>
        <v>0</v>
      </c>
      <c r="S7476" s="519"/>
      <c r="T7476" s="760">
        <f t="shared" ref="T7476" si="693">$A7476*S7476*$T$1</f>
        <v>0</v>
      </c>
      <c r="AR7476" s="758"/>
      <c r="AS7476" s="753"/>
    </row>
    <row r="7477" spans="1:45" s="520" customFormat="1" ht="12.6" thickBot="1">
      <c r="A7477" s="761" t="s">
        <v>145</v>
      </c>
      <c r="B7477" s="762">
        <f>(R7476+T7476)</f>
        <v>0</v>
      </c>
      <c r="C7477" s="763"/>
      <c r="D7477" s="763"/>
      <c r="E7477" s="763"/>
      <c r="F7477" s="764"/>
      <c r="G7477" s="763" t="s">
        <v>146</v>
      </c>
      <c r="H7477" s="763"/>
      <c r="I7477" s="765"/>
      <c r="J7477" s="763"/>
      <c r="K7477" s="763" t="s">
        <v>5</v>
      </c>
      <c r="L7477" s="766" t="s">
        <v>143</v>
      </c>
      <c r="M7477" s="766"/>
      <c r="N7477" s="766"/>
      <c r="O7477" s="766"/>
      <c r="P7477" s="766"/>
      <c r="Q7477" s="767"/>
      <c r="R7477" s="768">
        <f>SUM(R7474:R7476)</f>
        <v>598.5</v>
      </c>
      <c r="S7477" s="763"/>
      <c r="T7477" s="768">
        <f>SUM(T7474:T7476)</f>
        <v>0</v>
      </c>
      <c r="U7477" s="531"/>
      <c r="V7477" s="531"/>
      <c r="W7477" s="531"/>
      <c r="X7477" s="531"/>
      <c r="Y7477" s="531"/>
      <c r="Z7477" s="531"/>
      <c r="AA7477" s="531"/>
      <c r="AB7477" s="531"/>
      <c r="AC7477" s="531"/>
      <c r="AD7477" s="531"/>
      <c r="AE7477" s="531"/>
      <c r="AF7477" s="531"/>
      <c r="AG7477" s="531"/>
      <c r="AH7477" s="531"/>
      <c r="AI7477" s="531"/>
      <c r="AJ7477" s="531"/>
      <c r="AK7477" s="531"/>
      <c r="AL7477" s="531"/>
      <c r="AM7477" s="531"/>
      <c r="AN7477" s="531"/>
      <c r="AO7477" s="531"/>
      <c r="AR7477" s="761" t="s">
        <v>145</v>
      </c>
      <c r="AS7477" s="764"/>
    </row>
    <row r="7478" spans="1:45" s="520" customFormat="1" ht="12" thickTop="1">
      <c r="A7478" s="51"/>
      <c r="B7478" s="41"/>
      <c r="C7478" s="51"/>
      <c r="E7478" s="42" t="s">
        <v>138</v>
      </c>
      <c r="F7478" s="42" t="s">
        <v>139</v>
      </c>
      <c r="G7478" s="51"/>
      <c r="H7478" s="51"/>
      <c r="I7478" s="51"/>
      <c r="J7478" s="51"/>
      <c r="K7478" s="51" t="s">
        <v>140</v>
      </c>
      <c r="L7478" s="51"/>
      <c r="M7478" s="51"/>
      <c r="N7478" s="51"/>
      <c r="O7478" s="52"/>
      <c r="P7478" s="51"/>
      <c r="Q7478" s="51"/>
      <c r="R7478" s="51"/>
      <c r="S7478" s="51"/>
      <c r="T7478" s="41"/>
      <c r="AG7478" s="521" t="s">
        <v>268</v>
      </c>
      <c r="AH7478" s="521" t="s">
        <v>269</v>
      </c>
      <c r="AI7478" s="521" t="s">
        <v>270</v>
      </c>
      <c r="AJ7478" s="521" t="s">
        <v>271</v>
      </c>
      <c r="AK7478" s="521" t="s">
        <v>272</v>
      </c>
      <c r="AM7478" s="745" t="s">
        <v>281</v>
      </c>
      <c r="AN7478" s="746" t="s">
        <v>282</v>
      </c>
      <c r="AO7478" s="522" t="s">
        <v>278</v>
      </c>
      <c r="AR7478" s="51"/>
      <c r="AS7478" s="42" t="s">
        <v>139</v>
      </c>
    </row>
    <row r="7479" spans="1:45" s="520" customFormat="1" ht="12" customHeight="1">
      <c r="A7479" s="747">
        <v>7</v>
      </c>
      <c r="B7479" s="523" t="s">
        <v>329</v>
      </c>
      <c r="C7479" s="748"/>
      <c r="D7479" s="749" t="s">
        <v>3976</v>
      </c>
      <c r="E7479" s="1145">
        <f>IF(AND($A7479=0,$A$1="DIF"),0, ROUND(ROUND(($R7483*$S$3+($T7483*$T$3))/$A7479,2)*$C$3,2))</f>
        <v>16.079999999999998</v>
      </c>
      <c r="F7479" s="1146">
        <f>ROUND($A7479*$E7479,2)</f>
        <v>112.56</v>
      </c>
      <c r="G7479" s="752" t="s">
        <v>142</v>
      </c>
      <c r="H7479" s="753"/>
      <c r="I7479" s="754"/>
      <c r="J7479" s="753"/>
      <c r="K7479" s="753" t="s">
        <v>5</v>
      </c>
      <c r="L7479" s="755" t="s">
        <v>143</v>
      </c>
      <c r="M7479" s="755"/>
      <c r="N7479" s="755"/>
      <c r="O7479" s="755"/>
      <c r="P7479" s="755"/>
      <c r="Q7479" s="51"/>
      <c r="T7479" s="1150" t="str">
        <f>IF(AND($R7483=0,$T7483=0),"0.00","mu: "&amp; ROUND(F7479/$C$3/($R7483+$T7483*$D$9),2))</f>
        <v>mu: 1.13</v>
      </c>
      <c r="W7479" s="524"/>
      <c r="AG7479" s="1147">
        <f>IF($E7479=0,0,ROUND($R7483*$S$3*$C$3/$A7479,2))</f>
        <v>16.079999999999998</v>
      </c>
      <c r="AH7479" s="1147">
        <f>$AG7479*$A7479</f>
        <v>112.55999999999999</v>
      </c>
      <c r="AI7479" s="1148">
        <f>$E7479-$AG7479</f>
        <v>0</v>
      </c>
      <c r="AJ7479" s="1148">
        <f>$A7479*$AI7479</f>
        <v>0</v>
      </c>
      <c r="AK7479" s="1149">
        <f>ROUND(($AG7479+$AI7479)*$A7479,2)</f>
        <v>112.56</v>
      </c>
      <c r="AM7479" s="527">
        <f>ROUND(R7483,2)</f>
        <v>99.75</v>
      </c>
      <c r="AN7479" s="528">
        <f>ROUND(T7483,2)</f>
        <v>0</v>
      </c>
      <c r="AO7479" s="529">
        <f>ROUND(AM7479+AN7479,2)*A7479</f>
        <v>698.25</v>
      </c>
      <c r="AR7479" s="747">
        <v>7</v>
      </c>
      <c r="AS7479" s="1146">
        <v>112.56</v>
      </c>
    </row>
    <row r="7480" spans="1:45" s="520" customFormat="1" ht="13.2">
      <c r="A7480" s="748"/>
      <c r="B7480"/>
      <c r="C7480" s="748"/>
      <c r="D7480" s="749" t="s">
        <v>963</v>
      </c>
      <c r="F7480" s="753"/>
      <c r="G7480" s="3"/>
      <c r="H7480" s="753"/>
      <c r="I7480" s="754"/>
      <c r="J7480" s="753"/>
      <c r="K7480" s="753" t="s">
        <v>144</v>
      </c>
      <c r="L7480" s="753"/>
      <c r="M7480" s="753"/>
      <c r="N7480" s="753"/>
      <c r="O7480" s="753"/>
      <c r="P7480" s="753"/>
      <c r="Q7480" s="51"/>
      <c r="R7480" s="530"/>
      <c r="S7480" s="757"/>
      <c r="T7480" s="753"/>
      <c r="AR7480" s="748"/>
      <c r="AS7480" s="753"/>
    </row>
    <row r="7481" spans="1:45" s="901" customFormat="1" ht="13.2">
      <c r="A7481" s="903">
        <v>7</v>
      </c>
      <c r="B7481" s="904" t="s">
        <v>863</v>
      </c>
      <c r="C7481" s="904"/>
      <c r="D7481" s="904" t="s">
        <v>2594</v>
      </c>
      <c r="E7481" s="904"/>
      <c r="F7481" s="904" t="s">
        <v>4139</v>
      </c>
      <c r="G7481" s="905" t="s">
        <v>2595</v>
      </c>
      <c r="H7481" s="902">
        <v>960</v>
      </c>
      <c r="I7481" s="904" t="s">
        <v>2596</v>
      </c>
      <c r="J7481" s="904"/>
      <c r="K7481" s="904"/>
      <c r="L7481" s="904"/>
      <c r="M7481" s="904"/>
      <c r="N7481" s="904"/>
      <c r="O7481" s="902">
        <v>4</v>
      </c>
      <c r="P7481" s="906">
        <v>38274</v>
      </c>
      <c r="Q7481" s="1198">
        <f>15*0.95</f>
        <v>14.25</v>
      </c>
      <c r="R7481" s="908">
        <f>$A7481*Q7481</f>
        <v>99.75</v>
      </c>
      <c r="S7481" s="907"/>
      <c r="T7481" s="909">
        <f>$A7481*S7481*$T$1</f>
        <v>0</v>
      </c>
      <c r="AR7481" s="903">
        <v>7</v>
      </c>
      <c r="AS7481" s="904" t="s">
        <v>3507</v>
      </c>
    </row>
    <row r="7482" spans="1:45" s="520" customFormat="1" ht="12">
      <c r="A7482" s="758"/>
      <c r="B7482" s="758"/>
      <c r="C7482" s="758"/>
      <c r="D7482" s="758"/>
      <c r="E7482" s="758"/>
      <c r="F7482" s="753"/>
      <c r="G7482" s="758"/>
      <c r="H7482" s="758"/>
      <c r="I7482" s="519"/>
      <c r="J7482" s="758"/>
      <c r="K7482" s="758"/>
      <c r="L7482" s="758"/>
      <c r="M7482" s="758"/>
      <c r="N7482" s="758"/>
      <c r="O7482" s="758"/>
      <c r="P7482" s="758"/>
      <c r="Q7482" s="519"/>
      <c r="R7482" s="759">
        <f t="shared" ref="R7482" si="694">$A7482*Q7482</f>
        <v>0</v>
      </c>
      <c r="S7482" s="519"/>
      <c r="T7482" s="760">
        <f t="shared" ref="T7482" si="695">$A7482*S7482*$T$1</f>
        <v>0</v>
      </c>
      <c r="AR7482" s="758"/>
      <c r="AS7482" s="753"/>
    </row>
    <row r="7483" spans="1:45" s="520" customFormat="1" ht="12.6" thickBot="1">
      <c r="A7483" s="761" t="s">
        <v>145</v>
      </c>
      <c r="B7483" s="762">
        <f>(R7482+T7482)</f>
        <v>0</v>
      </c>
      <c r="C7483" s="763"/>
      <c r="D7483" s="763"/>
      <c r="E7483" s="763"/>
      <c r="F7483" s="764"/>
      <c r="G7483" s="763" t="s">
        <v>146</v>
      </c>
      <c r="H7483" s="763"/>
      <c r="I7483" s="765"/>
      <c r="J7483" s="763"/>
      <c r="K7483" s="763" t="s">
        <v>5</v>
      </c>
      <c r="L7483" s="766" t="s">
        <v>143</v>
      </c>
      <c r="M7483" s="766"/>
      <c r="N7483" s="766"/>
      <c r="O7483" s="766"/>
      <c r="P7483" s="766"/>
      <c r="Q7483" s="767"/>
      <c r="R7483" s="768">
        <f>SUM(R7480:R7482)</f>
        <v>99.75</v>
      </c>
      <c r="S7483" s="763"/>
      <c r="T7483" s="768">
        <f>SUM(T7480:T7482)</f>
        <v>0</v>
      </c>
      <c r="U7483" s="531"/>
      <c r="V7483" s="531"/>
      <c r="W7483" s="531"/>
      <c r="X7483" s="531"/>
      <c r="Y7483" s="531"/>
      <c r="Z7483" s="531"/>
      <c r="AA7483" s="531"/>
      <c r="AB7483" s="531"/>
      <c r="AC7483" s="531"/>
      <c r="AD7483" s="531"/>
      <c r="AE7483" s="531"/>
      <c r="AF7483" s="531"/>
      <c r="AG7483" s="531"/>
      <c r="AH7483" s="531"/>
      <c r="AI7483" s="531"/>
      <c r="AJ7483" s="531"/>
      <c r="AK7483" s="531"/>
      <c r="AL7483" s="531"/>
      <c r="AM7483" s="531"/>
      <c r="AN7483" s="531"/>
      <c r="AO7483" s="531"/>
      <c r="AR7483" s="761" t="s">
        <v>145</v>
      </c>
      <c r="AS7483" s="764"/>
    </row>
    <row r="7484" spans="1:45" s="520" customFormat="1" ht="12" thickTop="1">
      <c r="A7484" s="51"/>
      <c r="B7484" s="41"/>
      <c r="C7484" s="51"/>
      <c r="E7484" s="42" t="s">
        <v>138</v>
      </c>
      <c r="F7484" s="42" t="s">
        <v>139</v>
      </c>
      <c r="G7484" s="51"/>
      <c r="H7484" s="51"/>
      <c r="I7484" s="51"/>
      <c r="J7484" s="51"/>
      <c r="K7484" s="51" t="s">
        <v>140</v>
      </c>
      <c r="L7484" s="51"/>
      <c r="M7484" s="51"/>
      <c r="N7484" s="51"/>
      <c r="O7484" s="52"/>
      <c r="P7484" s="51"/>
      <c r="Q7484" s="51"/>
      <c r="R7484" s="51"/>
      <c r="S7484" s="51"/>
      <c r="T7484" s="41"/>
      <c r="AG7484" s="521" t="s">
        <v>268</v>
      </c>
      <c r="AH7484" s="521" t="s">
        <v>269</v>
      </c>
      <c r="AI7484" s="521" t="s">
        <v>270</v>
      </c>
      <c r="AJ7484" s="521" t="s">
        <v>271</v>
      </c>
      <c r="AK7484" s="521" t="s">
        <v>272</v>
      </c>
      <c r="AM7484" s="745" t="s">
        <v>281</v>
      </c>
      <c r="AN7484" s="746" t="s">
        <v>282</v>
      </c>
      <c r="AO7484" s="522" t="s">
        <v>278</v>
      </c>
      <c r="AR7484" s="51"/>
      <c r="AS7484" s="42" t="s">
        <v>139</v>
      </c>
    </row>
    <row r="7485" spans="1:45" s="520" customFormat="1" ht="12" customHeight="1">
      <c r="A7485" s="747">
        <v>4</v>
      </c>
      <c r="B7485" s="523" t="s">
        <v>329</v>
      </c>
      <c r="C7485" s="748"/>
      <c r="D7485" s="749" t="s">
        <v>3977</v>
      </c>
      <c r="E7485" s="1145">
        <f>IF(AND($A7485=0,$A$1="DIF"),0, ROUND(ROUND(($R7489*$S$3+($T7489*$T$3))/$A7485,2)*$C$3,2))</f>
        <v>42.89</v>
      </c>
      <c r="F7485" s="1146">
        <f>ROUND($A7485*$E7485,2)</f>
        <v>171.56</v>
      </c>
      <c r="G7485" s="752" t="s">
        <v>142</v>
      </c>
      <c r="H7485" s="753"/>
      <c r="I7485" s="754"/>
      <c r="J7485" s="753"/>
      <c r="K7485" s="753" t="s">
        <v>5</v>
      </c>
      <c r="L7485" s="755" t="s">
        <v>143</v>
      </c>
      <c r="M7485" s="755"/>
      <c r="N7485" s="755"/>
      <c r="O7485" s="755"/>
      <c r="P7485" s="755"/>
      <c r="Q7485" s="51"/>
      <c r="T7485" s="1150" t="str">
        <f>IF(AND($R7489=0,$T7489=0),"0.00","mu: "&amp; ROUND(F7485/$C$3/($R7489+$T7489*$D$9),2))</f>
        <v>mu: 1.13</v>
      </c>
      <c r="W7485" s="524"/>
      <c r="AG7485" s="1147">
        <f>IF($E7485=0,0,ROUND($R7489*$S$3*$C$3/$A7485,2))</f>
        <v>42.89</v>
      </c>
      <c r="AH7485" s="1147">
        <f>$AG7485*$A7485</f>
        <v>171.56</v>
      </c>
      <c r="AI7485" s="1148">
        <f>$E7485-$AG7485</f>
        <v>0</v>
      </c>
      <c r="AJ7485" s="1148">
        <f>$A7485*$AI7485</f>
        <v>0</v>
      </c>
      <c r="AK7485" s="1149">
        <f>ROUND(($AG7485+$AI7485)*$A7485,2)</f>
        <v>171.56</v>
      </c>
      <c r="AM7485" s="527">
        <f>ROUND(R7489,2)</f>
        <v>152</v>
      </c>
      <c r="AN7485" s="528">
        <f>ROUND(T7489,2)</f>
        <v>0</v>
      </c>
      <c r="AO7485" s="529">
        <f>ROUND(AM7485+AN7485,2)*A7485</f>
        <v>608</v>
      </c>
      <c r="AR7485" s="747">
        <v>4</v>
      </c>
      <c r="AS7485" s="1146">
        <v>171.56</v>
      </c>
    </row>
    <row r="7486" spans="1:45" s="520" customFormat="1" ht="13.2">
      <c r="A7486" s="748"/>
      <c r="B7486"/>
      <c r="C7486" s="748"/>
      <c r="D7486" s="749" t="s">
        <v>964</v>
      </c>
      <c r="F7486" s="753"/>
      <c r="G7486" s="3"/>
      <c r="H7486" s="753"/>
      <c r="I7486" s="754"/>
      <c r="J7486" s="753"/>
      <c r="K7486" s="753" t="s">
        <v>144</v>
      </c>
      <c r="L7486" s="753"/>
      <c r="M7486" s="753"/>
      <c r="N7486" s="753"/>
      <c r="O7486" s="753"/>
      <c r="P7486" s="753"/>
      <c r="Q7486" s="51"/>
      <c r="R7486" s="530"/>
      <c r="S7486" s="757"/>
      <c r="T7486" s="753"/>
      <c r="AR7486" s="748"/>
      <c r="AS7486" s="753"/>
    </row>
    <row r="7487" spans="1:45" s="901" customFormat="1" ht="13.2">
      <c r="A7487" s="903">
        <v>4</v>
      </c>
      <c r="B7487" s="904" t="s">
        <v>863</v>
      </c>
      <c r="C7487" s="904"/>
      <c r="D7487" s="904" t="s">
        <v>2594</v>
      </c>
      <c r="E7487" s="904"/>
      <c r="F7487" s="904" t="s">
        <v>4139</v>
      </c>
      <c r="G7487" s="905" t="s">
        <v>2595</v>
      </c>
      <c r="H7487" s="902">
        <v>960</v>
      </c>
      <c r="I7487" s="904" t="s">
        <v>2596</v>
      </c>
      <c r="J7487" s="904"/>
      <c r="K7487" s="904"/>
      <c r="L7487" s="904"/>
      <c r="M7487" s="904"/>
      <c r="N7487" s="904"/>
      <c r="O7487" s="902">
        <v>4</v>
      </c>
      <c r="P7487" s="906">
        <v>38274</v>
      </c>
      <c r="Q7487" s="1198">
        <f>40*0.95</f>
        <v>38</v>
      </c>
      <c r="R7487" s="908">
        <f>$A7487*Q7487</f>
        <v>152</v>
      </c>
      <c r="S7487" s="907"/>
      <c r="T7487" s="909">
        <f>$A7487*S7487*$T$1</f>
        <v>0</v>
      </c>
      <c r="AR7487" s="903">
        <v>4</v>
      </c>
      <c r="AS7487" s="904" t="s">
        <v>3507</v>
      </c>
    </row>
    <row r="7488" spans="1:45" s="520" customFormat="1" ht="12">
      <c r="A7488" s="758"/>
      <c r="B7488" s="758"/>
      <c r="C7488" s="758"/>
      <c r="D7488" s="758"/>
      <c r="E7488" s="758"/>
      <c r="F7488" s="753"/>
      <c r="G7488" s="758"/>
      <c r="H7488" s="758"/>
      <c r="I7488" s="519"/>
      <c r="J7488" s="758"/>
      <c r="K7488" s="758"/>
      <c r="L7488" s="758"/>
      <c r="M7488" s="758"/>
      <c r="N7488" s="758"/>
      <c r="O7488" s="758"/>
      <c r="P7488" s="758"/>
      <c r="Q7488" s="519"/>
      <c r="R7488" s="759">
        <f t="shared" ref="R7488" si="696">$A7488*Q7488</f>
        <v>0</v>
      </c>
      <c r="S7488" s="519"/>
      <c r="T7488" s="760">
        <f t="shared" ref="T7488" si="697">$A7488*S7488*$T$1</f>
        <v>0</v>
      </c>
      <c r="AR7488" s="758"/>
      <c r="AS7488" s="753"/>
    </row>
    <row r="7489" spans="1:45" s="520" customFormat="1" ht="12.6" thickBot="1">
      <c r="A7489" s="761" t="s">
        <v>145</v>
      </c>
      <c r="B7489" s="762">
        <f>(R7488+T7488)</f>
        <v>0</v>
      </c>
      <c r="C7489" s="763"/>
      <c r="D7489" s="763"/>
      <c r="E7489" s="763"/>
      <c r="F7489" s="764"/>
      <c r="G7489" s="763" t="s">
        <v>146</v>
      </c>
      <c r="H7489" s="763"/>
      <c r="I7489" s="765"/>
      <c r="J7489" s="763"/>
      <c r="K7489" s="763" t="s">
        <v>5</v>
      </c>
      <c r="L7489" s="766" t="s">
        <v>143</v>
      </c>
      <c r="M7489" s="766"/>
      <c r="N7489" s="766"/>
      <c r="O7489" s="766"/>
      <c r="P7489" s="766"/>
      <c r="Q7489" s="767"/>
      <c r="R7489" s="768">
        <f>SUM(R7486:R7488)</f>
        <v>152</v>
      </c>
      <c r="S7489" s="763"/>
      <c r="T7489" s="768">
        <f>SUM(T7486:T7488)</f>
        <v>0</v>
      </c>
      <c r="U7489" s="531"/>
      <c r="V7489" s="531"/>
      <c r="W7489" s="531"/>
      <c r="X7489" s="531"/>
      <c r="Y7489" s="531"/>
      <c r="Z7489" s="531"/>
      <c r="AA7489" s="531"/>
      <c r="AB7489" s="531"/>
      <c r="AC7489" s="531"/>
      <c r="AD7489" s="531"/>
      <c r="AE7489" s="531"/>
      <c r="AF7489" s="531"/>
      <c r="AG7489" s="531"/>
      <c r="AH7489" s="531"/>
      <c r="AI7489" s="531"/>
      <c r="AJ7489" s="531"/>
      <c r="AK7489" s="531"/>
      <c r="AL7489" s="531"/>
      <c r="AM7489" s="531"/>
      <c r="AN7489" s="531"/>
      <c r="AO7489" s="531"/>
      <c r="AR7489" s="761" t="s">
        <v>145</v>
      </c>
      <c r="AS7489" s="764"/>
    </row>
    <row r="7490" spans="1:45" s="520" customFormat="1" ht="12" thickTop="1">
      <c r="A7490" s="51"/>
      <c r="B7490" s="41"/>
      <c r="C7490" s="51"/>
      <c r="E7490" s="42" t="s">
        <v>138</v>
      </c>
      <c r="F7490" s="42" t="s">
        <v>139</v>
      </c>
      <c r="G7490" s="51"/>
      <c r="H7490" s="51"/>
      <c r="I7490" s="51"/>
      <c r="J7490" s="51"/>
      <c r="K7490" s="51" t="s">
        <v>140</v>
      </c>
      <c r="L7490" s="51"/>
      <c r="M7490" s="51"/>
      <c r="N7490" s="51"/>
      <c r="O7490" s="52"/>
      <c r="P7490" s="51"/>
      <c r="Q7490" s="51"/>
      <c r="R7490" s="51"/>
      <c r="S7490" s="51"/>
      <c r="T7490" s="41"/>
      <c r="AG7490" s="521" t="s">
        <v>268</v>
      </c>
      <c r="AH7490" s="521" t="s">
        <v>269</v>
      </c>
      <c r="AI7490" s="521" t="s">
        <v>270</v>
      </c>
      <c r="AJ7490" s="521" t="s">
        <v>271</v>
      </c>
      <c r="AK7490" s="521" t="s">
        <v>272</v>
      </c>
      <c r="AM7490" s="745" t="s">
        <v>281</v>
      </c>
      <c r="AN7490" s="746" t="s">
        <v>282</v>
      </c>
      <c r="AO7490" s="522" t="s">
        <v>278</v>
      </c>
      <c r="AR7490" s="51"/>
      <c r="AS7490" s="42" t="s">
        <v>139</v>
      </c>
    </row>
    <row r="7491" spans="1:45" s="520" customFormat="1" ht="12" customHeight="1">
      <c r="A7491" s="747">
        <v>1</v>
      </c>
      <c r="B7491" s="523" t="s">
        <v>329</v>
      </c>
      <c r="C7491" s="748"/>
      <c r="D7491" s="749" t="s">
        <v>3978</v>
      </c>
      <c r="E7491" s="1145">
        <f>IF(AND($A7491=0,$A$1="DIF"),0, ROUND(ROUND(($R7495*$S$3+($T7495*$T$3))/$A7491,2)*$C$3,2))</f>
        <v>48.25</v>
      </c>
      <c r="F7491" s="1146">
        <f>ROUND($A7491*$E7491,2)</f>
        <v>48.25</v>
      </c>
      <c r="G7491" s="752" t="s">
        <v>142</v>
      </c>
      <c r="H7491" s="753"/>
      <c r="I7491" s="754"/>
      <c r="J7491" s="753"/>
      <c r="K7491" s="753" t="s">
        <v>5</v>
      </c>
      <c r="L7491" s="755" t="s">
        <v>143</v>
      </c>
      <c r="M7491" s="755"/>
      <c r="N7491" s="755"/>
      <c r="O7491" s="755"/>
      <c r="P7491" s="755"/>
      <c r="Q7491" s="51"/>
      <c r="T7491" s="1150" t="str">
        <f>IF(AND($R7495=0,$T7495=0),"0.00","mu: "&amp; ROUND(F7491/$C$3/($R7495+$T7495*$D$9),2))</f>
        <v>mu: 1.13</v>
      </c>
      <c r="W7491" s="524"/>
      <c r="AG7491" s="1147">
        <f>IF($E7491=0,0,ROUND($R7495*$S$3*$C$3/$A7491,2))</f>
        <v>48.25</v>
      </c>
      <c r="AH7491" s="1147">
        <f>$AG7491*$A7491</f>
        <v>48.25</v>
      </c>
      <c r="AI7491" s="1148">
        <f>$E7491-$AG7491</f>
        <v>0</v>
      </c>
      <c r="AJ7491" s="1148">
        <f>$A7491*$AI7491</f>
        <v>0</v>
      </c>
      <c r="AK7491" s="1149">
        <f>ROUND(($AG7491+$AI7491)*$A7491,2)</f>
        <v>48.25</v>
      </c>
      <c r="AM7491" s="527">
        <f>ROUND(R7495,2)</f>
        <v>42.75</v>
      </c>
      <c r="AN7491" s="528">
        <f>ROUND(T7495,2)</f>
        <v>0</v>
      </c>
      <c r="AO7491" s="529">
        <f>ROUND(AM7491+AN7491,2)*A7491</f>
        <v>42.75</v>
      </c>
      <c r="AR7491" s="747">
        <v>1</v>
      </c>
      <c r="AS7491" s="1146">
        <v>48.25</v>
      </c>
    </row>
    <row r="7492" spans="1:45" s="520" customFormat="1" ht="13.2">
      <c r="A7492" s="748"/>
      <c r="B7492"/>
      <c r="C7492" s="748"/>
      <c r="D7492" s="749" t="s">
        <v>965</v>
      </c>
      <c r="F7492" s="753"/>
      <c r="G7492" s="3"/>
      <c r="H7492" s="753"/>
      <c r="I7492" s="754"/>
      <c r="J7492" s="753"/>
      <c r="K7492" s="753" t="s">
        <v>144</v>
      </c>
      <c r="L7492" s="753"/>
      <c r="M7492" s="753"/>
      <c r="N7492" s="753"/>
      <c r="O7492" s="753"/>
      <c r="P7492" s="753"/>
      <c r="Q7492" s="51"/>
      <c r="R7492" s="530"/>
      <c r="S7492" s="757"/>
      <c r="T7492" s="753"/>
      <c r="AR7492" s="748"/>
      <c r="AS7492" s="753"/>
    </row>
    <row r="7493" spans="1:45" s="901" customFormat="1" ht="13.2">
      <c r="A7493" s="903">
        <v>1</v>
      </c>
      <c r="B7493" s="904" t="s">
        <v>863</v>
      </c>
      <c r="C7493" s="904"/>
      <c r="D7493" s="904" t="s">
        <v>2594</v>
      </c>
      <c r="E7493" s="904"/>
      <c r="F7493" s="904" t="s">
        <v>4139</v>
      </c>
      <c r="G7493" s="905" t="s">
        <v>2595</v>
      </c>
      <c r="H7493" s="902">
        <v>960</v>
      </c>
      <c r="I7493" s="904" t="s">
        <v>2596</v>
      </c>
      <c r="J7493" s="904"/>
      <c r="K7493" s="904"/>
      <c r="L7493" s="904"/>
      <c r="M7493" s="904"/>
      <c r="N7493" s="904"/>
      <c r="O7493" s="902">
        <v>4</v>
      </c>
      <c r="P7493" s="906">
        <v>38274</v>
      </c>
      <c r="Q7493" s="1198">
        <f>45*0.95</f>
        <v>42.75</v>
      </c>
      <c r="R7493" s="908">
        <f>$A7493*Q7493</f>
        <v>42.75</v>
      </c>
      <c r="S7493" s="907"/>
      <c r="T7493" s="909">
        <f>$A7493*S7493*$T$1</f>
        <v>0</v>
      </c>
      <c r="AR7493" s="903">
        <v>1</v>
      </c>
      <c r="AS7493" s="904" t="s">
        <v>3507</v>
      </c>
    </row>
    <row r="7494" spans="1:45" s="520" customFormat="1" ht="12">
      <c r="A7494" s="758"/>
      <c r="B7494" s="758"/>
      <c r="C7494" s="758"/>
      <c r="D7494" s="758"/>
      <c r="E7494" s="758"/>
      <c r="F7494" s="753"/>
      <c r="G7494" s="758"/>
      <c r="H7494" s="758"/>
      <c r="I7494" s="519"/>
      <c r="J7494" s="758"/>
      <c r="K7494" s="758"/>
      <c r="L7494" s="758"/>
      <c r="M7494" s="758"/>
      <c r="N7494" s="758"/>
      <c r="O7494" s="758"/>
      <c r="P7494" s="758"/>
      <c r="Q7494" s="519"/>
      <c r="R7494" s="759">
        <f t="shared" ref="R7494" si="698">$A7494*Q7494</f>
        <v>0</v>
      </c>
      <c r="S7494" s="519"/>
      <c r="T7494" s="760">
        <f t="shared" ref="T7494" si="699">$A7494*S7494*$T$1</f>
        <v>0</v>
      </c>
      <c r="AR7494" s="758"/>
      <c r="AS7494" s="753"/>
    </row>
    <row r="7495" spans="1:45" s="520" customFormat="1" ht="12.6" thickBot="1">
      <c r="A7495" s="761" t="s">
        <v>145</v>
      </c>
      <c r="B7495" s="762">
        <f>(R7494+T7494)</f>
        <v>0</v>
      </c>
      <c r="C7495" s="763"/>
      <c r="D7495" s="763"/>
      <c r="E7495" s="763"/>
      <c r="F7495" s="764"/>
      <c r="G7495" s="763" t="s">
        <v>146</v>
      </c>
      <c r="H7495" s="763"/>
      <c r="I7495" s="765"/>
      <c r="J7495" s="763"/>
      <c r="K7495" s="763" t="s">
        <v>5</v>
      </c>
      <c r="L7495" s="766" t="s">
        <v>143</v>
      </c>
      <c r="M7495" s="766"/>
      <c r="N7495" s="766"/>
      <c r="O7495" s="766"/>
      <c r="P7495" s="766"/>
      <c r="Q7495" s="767"/>
      <c r="R7495" s="768">
        <f>SUM(R7492:R7494)</f>
        <v>42.75</v>
      </c>
      <c r="S7495" s="763"/>
      <c r="T7495" s="768">
        <f>SUM(T7492:T7494)</f>
        <v>0</v>
      </c>
      <c r="U7495" s="531"/>
      <c r="V7495" s="531"/>
      <c r="W7495" s="531"/>
      <c r="X7495" s="531"/>
      <c r="Y7495" s="531"/>
      <c r="Z7495" s="531"/>
      <c r="AA7495" s="531"/>
      <c r="AB7495" s="531"/>
      <c r="AC7495" s="531"/>
      <c r="AD7495" s="531"/>
      <c r="AE7495" s="531"/>
      <c r="AF7495" s="531"/>
      <c r="AG7495" s="531"/>
      <c r="AH7495" s="531"/>
      <c r="AI7495" s="531"/>
      <c r="AJ7495" s="531"/>
      <c r="AK7495" s="531"/>
      <c r="AL7495" s="531"/>
      <c r="AM7495" s="531"/>
      <c r="AN7495" s="531"/>
      <c r="AO7495" s="531"/>
      <c r="AR7495" s="761" t="s">
        <v>145</v>
      </c>
      <c r="AS7495" s="764"/>
    </row>
    <row r="7496" spans="1:45" s="520" customFormat="1" thickTop="1">
      <c r="A7496" s="51"/>
      <c r="B7496" s="51"/>
      <c r="C7496" s="3"/>
      <c r="D7496" s="3"/>
      <c r="E7496" s="51"/>
      <c r="F7496" s="51"/>
      <c r="G7496" s="51"/>
      <c r="H7496" s="51"/>
      <c r="I7496" s="51"/>
      <c r="J7496" s="51"/>
      <c r="K7496" s="51" t="s">
        <v>134</v>
      </c>
      <c r="L7496" s="51"/>
      <c r="M7496" s="51"/>
      <c r="N7496" s="51"/>
      <c r="O7496" s="52"/>
      <c r="P7496" s="51"/>
      <c r="Q7496" s="51"/>
      <c r="R7496" s="51"/>
      <c r="S7496" s="51"/>
      <c r="T7496" s="51"/>
      <c r="AR7496" s="51"/>
      <c r="AS7496" s="51"/>
    </row>
    <row r="7497" spans="1:45" s="520" customFormat="1" ht="12">
      <c r="A7497" s="51"/>
      <c r="B7497" s="51"/>
      <c r="C7497" s="51" t="s">
        <v>135</v>
      </c>
      <c r="D7497" s="37"/>
      <c r="E7497" s="51"/>
      <c r="F7497" s="51"/>
      <c r="G7497" s="51"/>
      <c r="H7497" s="51"/>
      <c r="I7497" s="51"/>
      <c r="J7497" s="51"/>
      <c r="K7497" s="51"/>
      <c r="L7497" s="51"/>
      <c r="M7497" s="51"/>
      <c r="N7497" s="51"/>
      <c r="O7497" s="52"/>
      <c r="P7497" s="51"/>
      <c r="Q7497" s="51"/>
      <c r="R7497" s="51"/>
      <c r="S7497" s="51"/>
      <c r="T7497" s="51"/>
      <c r="AR7497" s="51"/>
      <c r="AS7497" s="51"/>
    </row>
    <row r="7498" spans="1:45" s="520" customFormat="1" ht="12">
      <c r="A7498" s="51"/>
      <c r="B7498" s="51"/>
      <c r="C7498" s="51"/>
      <c r="D7498" s="37" t="s">
        <v>1000</v>
      </c>
      <c r="E7498" s="51"/>
      <c r="F7498" s="51"/>
      <c r="G7498" s="51"/>
      <c r="H7498" s="51"/>
      <c r="I7498" s="51"/>
      <c r="J7498" s="51"/>
      <c r="K7498" s="51"/>
      <c r="L7498" s="51"/>
      <c r="M7498" s="51"/>
      <c r="N7498" s="51"/>
      <c r="O7498" s="52"/>
      <c r="P7498" s="51"/>
      <c r="Q7498" s="51"/>
      <c r="R7498" s="51"/>
      <c r="S7498" s="38"/>
      <c r="T7498" s="38"/>
      <c r="AR7498" s="51"/>
      <c r="AS7498" s="51"/>
    </row>
    <row r="7499" spans="1:45" s="3" customFormat="1" thickBot="1">
      <c r="A7499" s="531"/>
      <c r="O7499" s="107"/>
      <c r="AR7499" s="531"/>
    </row>
    <row r="7500" spans="1:45" s="520" customFormat="1" thickTop="1">
      <c r="A7500" s="51"/>
      <c r="B7500" s="51"/>
      <c r="C7500" s="3"/>
      <c r="D7500" s="3"/>
      <c r="E7500" s="51"/>
      <c r="F7500" s="51"/>
      <c r="G7500" s="51"/>
      <c r="H7500" s="51"/>
      <c r="I7500" s="51"/>
      <c r="J7500" s="51"/>
      <c r="K7500" s="51" t="s">
        <v>134</v>
      </c>
      <c r="L7500" s="51"/>
      <c r="M7500" s="51"/>
      <c r="N7500" s="51"/>
      <c r="O7500" s="52"/>
      <c r="P7500" s="51"/>
      <c r="Q7500" s="51"/>
      <c r="R7500" s="51"/>
      <c r="S7500" s="51"/>
      <c r="T7500" s="51"/>
      <c r="AR7500" s="51"/>
      <c r="AS7500" s="51"/>
    </row>
    <row r="7501" spans="1:45" s="520" customFormat="1" ht="12">
      <c r="A7501" s="51"/>
      <c r="B7501" s="51"/>
      <c r="C7501" s="51" t="s">
        <v>135</v>
      </c>
      <c r="D7501" s="37"/>
      <c r="E7501" s="51"/>
      <c r="F7501" s="51"/>
      <c r="G7501" s="51"/>
      <c r="H7501" s="51"/>
      <c r="I7501" s="51"/>
      <c r="J7501" s="51"/>
      <c r="K7501" s="51"/>
      <c r="L7501" s="51"/>
      <c r="M7501" s="51"/>
      <c r="N7501" s="51"/>
      <c r="O7501" s="52"/>
      <c r="P7501" s="51"/>
      <c r="Q7501" s="51"/>
      <c r="R7501" s="51"/>
      <c r="S7501" s="51"/>
      <c r="T7501" s="51"/>
      <c r="AR7501" s="51"/>
      <c r="AS7501" s="51"/>
    </row>
    <row r="7502" spans="1:45" s="520" customFormat="1" ht="39.9" customHeight="1">
      <c r="A7502" s="51"/>
      <c r="B7502" s="51"/>
      <c r="C7502" s="51"/>
      <c r="D7502" s="1453" t="s">
        <v>2026</v>
      </c>
      <c r="E7502" s="1452"/>
      <c r="F7502" s="1452"/>
      <c r="G7502" s="1452"/>
      <c r="H7502" s="1452"/>
      <c r="I7502" s="1452"/>
      <c r="J7502" s="1452"/>
      <c r="K7502" s="1452"/>
      <c r="L7502" s="1452"/>
      <c r="M7502" s="1452"/>
      <c r="N7502" s="1452"/>
      <c r="O7502" s="1452"/>
      <c r="P7502" s="1452"/>
      <c r="Q7502" s="1452"/>
      <c r="R7502" s="1452"/>
      <c r="S7502" s="1452"/>
      <c r="T7502" s="1452"/>
      <c r="AR7502" s="51"/>
    </row>
    <row r="7503" spans="1:45" s="3" customFormat="1" thickBot="1">
      <c r="A7503" s="531"/>
      <c r="O7503" s="107"/>
      <c r="AR7503" s="531"/>
    </row>
    <row r="7504" spans="1:45" s="520" customFormat="1" ht="12" thickTop="1">
      <c r="A7504" s="51"/>
      <c r="B7504" s="41"/>
      <c r="C7504" s="51"/>
      <c r="E7504" s="42" t="s">
        <v>138</v>
      </c>
      <c r="F7504" s="42" t="s">
        <v>139</v>
      </c>
      <c r="G7504" s="51"/>
      <c r="H7504" s="51"/>
      <c r="I7504" s="51"/>
      <c r="J7504" s="51"/>
      <c r="K7504" s="51" t="s">
        <v>140</v>
      </c>
      <c r="L7504" s="51"/>
      <c r="M7504" s="51"/>
      <c r="N7504" s="51"/>
      <c r="O7504" s="52"/>
      <c r="P7504" s="51"/>
      <c r="Q7504" s="51"/>
      <c r="R7504" s="51"/>
      <c r="S7504" s="51"/>
      <c r="T7504" s="41"/>
      <c r="AG7504" s="521" t="s">
        <v>268</v>
      </c>
      <c r="AH7504" s="521" t="s">
        <v>269</v>
      </c>
      <c r="AI7504" s="521" t="s">
        <v>270</v>
      </c>
      <c r="AJ7504" s="521" t="s">
        <v>271</v>
      </c>
      <c r="AK7504" s="521" t="s">
        <v>272</v>
      </c>
      <c r="AM7504" s="745" t="s">
        <v>281</v>
      </c>
      <c r="AN7504" s="746" t="s">
        <v>282</v>
      </c>
      <c r="AO7504" s="522" t="s">
        <v>278</v>
      </c>
      <c r="AR7504" s="51"/>
      <c r="AS7504" s="42" t="s">
        <v>139</v>
      </c>
    </row>
    <row r="7505" spans="1:45" s="520" customFormat="1" ht="12" customHeight="1">
      <c r="A7505" s="747">
        <v>32</v>
      </c>
      <c r="B7505" s="523" t="s">
        <v>329</v>
      </c>
      <c r="C7505" s="748"/>
      <c r="D7505" s="749" t="s">
        <v>3979</v>
      </c>
      <c r="E7505" s="750">
        <f ca="1">IF(AND($A7505=0,$A$1="DIF"),0, ROUND(ROUND(($R7510*$S$2+($T7510*$T$2))/A7505,2)*$C$2,2))</f>
        <v>47.94</v>
      </c>
      <c r="F7505" s="751">
        <f ca="1">ROUND($A7505*$E7505,2)</f>
        <v>1534.08</v>
      </c>
      <c r="G7505" s="752" t="s">
        <v>142</v>
      </c>
      <c r="H7505" s="753"/>
      <c r="I7505" s="754"/>
      <c r="J7505" s="753"/>
      <c r="K7505" s="753" t="s">
        <v>3</v>
      </c>
      <c r="L7505" s="755" t="s">
        <v>143</v>
      </c>
      <c r="M7505" s="755"/>
      <c r="N7505" s="755"/>
      <c r="O7505" s="755"/>
      <c r="P7505" s="755"/>
      <c r="Q7505" s="51"/>
      <c r="T7505" s="756" t="str">
        <f ca="1">IF(AND($R7510=0,$T7510=0),"0.00","mu :" &amp; ROUND($F7505/$C$2/($R7510+$T7510*$D$9),2))</f>
        <v>mu :1.23</v>
      </c>
      <c r="W7505" s="524"/>
      <c r="AG7505" s="481">
        <f ca="1">IF($E7505=0,0,ROUND($R7510*$S$2*$C$2/$A7505,2))</f>
        <v>15.15</v>
      </c>
      <c r="AH7505" s="481">
        <f ca="1">$AG7505*$A7505</f>
        <v>484.8</v>
      </c>
      <c r="AI7505" s="525">
        <f ca="1">$E7505-$AG7505</f>
        <v>32.79</v>
      </c>
      <c r="AJ7505" s="525">
        <f ca="1">$A7505*$AI7505</f>
        <v>1049.28</v>
      </c>
      <c r="AK7505" s="526">
        <f ca="1">ROUND(($AG7505+$AI7505)*$A7505,2)</f>
        <v>1534.08</v>
      </c>
      <c r="AM7505" s="527">
        <f ca="1">ROUND(R7510,2)</f>
        <v>393.6</v>
      </c>
      <c r="AN7505" s="528">
        <f ca="1">ROUND(T7510,2)</f>
        <v>31.04</v>
      </c>
      <c r="AO7505" s="529">
        <f ca="1">ROUND(AM7505+AN7505,2)*A7505</f>
        <v>13588.48</v>
      </c>
      <c r="AR7505" s="747">
        <v>32</v>
      </c>
      <c r="AS7505" s="751">
        <v>1653.12</v>
      </c>
    </row>
    <row r="7506" spans="1:45" s="520" customFormat="1" ht="13.2">
      <c r="A7506" s="748"/>
      <c r="B7506"/>
      <c r="C7506" s="748"/>
      <c r="D7506" s="749" t="s">
        <v>947</v>
      </c>
      <c r="F7506" s="753"/>
      <c r="G7506" s="3"/>
      <c r="H7506" s="753"/>
      <c r="I7506" s="754"/>
      <c r="J7506" s="753"/>
      <c r="K7506" s="753" t="s">
        <v>144</v>
      </c>
      <c r="L7506" s="753"/>
      <c r="M7506" s="753"/>
      <c r="N7506" s="753"/>
      <c r="O7506" s="753"/>
      <c r="P7506" s="753"/>
      <c r="Q7506" s="51"/>
      <c r="R7506" s="530"/>
      <c r="S7506" s="757"/>
      <c r="T7506" s="753"/>
      <c r="AR7506" s="748"/>
      <c r="AS7506" s="753"/>
    </row>
    <row r="7507" spans="1:45" s="886" customFormat="1" ht="17.100000000000001" customHeight="1">
      <c r="A7507"/>
      <c r="B7507" s="910"/>
      <c r="C7507" s="910" t="s">
        <v>2597</v>
      </c>
      <c r="D7507" s="910" t="str">
        <f ca="1">CELL("Address",Elec_Rates!D$1017)</f>
        <v>[E25_0062_Quintano_Foods_Elec_ELV_As_Awarded.xlsx]Elec_Rates!$D$1017</v>
      </c>
      <c r="E7507" s="911"/>
      <c r="F7507" s="911"/>
      <c r="G7507" s="912" t="s">
        <v>2598</v>
      </c>
      <c r="H7507" s="912"/>
      <c r="I7507" s="912"/>
      <c r="J7507" s="912"/>
      <c r="K7507" s="913"/>
      <c r="L7507" s="911"/>
      <c r="M7507" s="911"/>
      <c r="N7507" s="911"/>
      <c r="O7507" s="914"/>
      <c r="P7507" s="911"/>
      <c r="Q7507" s="915"/>
      <c r="R7507" s="916"/>
      <c r="S7507" s="915"/>
      <c r="T7507" s="917"/>
      <c r="U7507" s="918"/>
      <c r="AR7507"/>
      <c r="AS7507" s="911"/>
    </row>
    <row r="7508" spans="1:45" s="886" customFormat="1" ht="11.4">
      <c r="A7508" s="919">
        <v>32</v>
      </c>
      <c r="B7508" s="920">
        <v>1</v>
      </c>
      <c r="C7508" s="920">
        <f>$A7508*$B7508</f>
        <v>32</v>
      </c>
      <c r="D7508" s="921" t="str">
        <f>Elec_Rates!$D$1017</f>
        <v>090# LSZH Conduit point for Data</v>
      </c>
      <c r="E7508" s="921"/>
      <c r="F7508" s="921" t="s">
        <v>2599</v>
      </c>
      <c r="G7508" s="922" t="s">
        <v>2600</v>
      </c>
      <c r="H7508" s="922"/>
      <c r="I7508" s="922"/>
      <c r="J7508" s="922"/>
      <c r="K7508" s="923"/>
      <c r="L7508" s="918"/>
      <c r="M7508" s="918"/>
      <c r="N7508" s="918"/>
      <c r="O7508" s="924"/>
      <c r="P7508" s="921"/>
      <c r="Q7508" s="925">
        <f ca="1">$B7508*Elec_Rates!$R$1017</f>
        <v>12.3</v>
      </c>
      <c r="R7508" s="916">
        <f ca="1">$A7508*Q7508</f>
        <v>393.6</v>
      </c>
      <c r="S7508" s="925">
        <f ca="1">$B7508*Elec_Rates!$T$1017</f>
        <v>0.97</v>
      </c>
      <c r="T7508" s="917">
        <f ca="1">$A7508*S7508</f>
        <v>31.04</v>
      </c>
      <c r="U7508" s="926"/>
      <c r="AR7508" s="919">
        <v>32</v>
      </c>
      <c r="AS7508" s="921" t="s">
        <v>2599</v>
      </c>
    </row>
    <row r="7509" spans="1:45" s="520" customFormat="1" ht="12">
      <c r="A7509" s="758"/>
      <c r="B7509" s="758"/>
      <c r="C7509" s="758"/>
      <c r="D7509" s="758"/>
      <c r="E7509" s="758"/>
      <c r="F7509" s="753"/>
      <c r="G7509" s="758"/>
      <c r="H7509" s="758"/>
      <c r="I7509" s="519"/>
      <c r="J7509" s="758"/>
      <c r="K7509" s="758"/>
      <c r="L7509" s="758"/>
      <c r="M7509" s="758"/>
      <c r="N7509" s="758"/>
      <c r="O7509" s="758"/>
      <c r="P7509" s="758"/>
      <c r="Q7509" s="519"/>
      <c r="R7509" s="759">
        <f t="shared" ref="R7509" si="700">$A7509*Q7509</f>
        <v>0</v>
      </c>
      <c r="S7509" s="519"/>
      <c r="T7509" s="760">
        <f t="shared" ref="T7509" si="701">$A7509*S7509*$T$1</f>
        <v>0</v>
      </c>
      <c r="AR7509" s="758"/>
      <c r="AS7509" s="753"/>
    </row>
    <row r="7510" spans="1:45" s="520" customFormat="1" ht="12.6" thickBot="1">
      <c r="A7510" s="761" t="s">
        <v>145</v>
      </c>
      <c r="B7510" s="762">
        <f>(R7509+T7509)</f>
        <v>0</v>
      </c>
      <c r="C7510" s="763"/>
      <c r="D7510" s="763"/>
      <c r="E7510" s="763"/>
      <c r="F7510" s="764"/>
      <c r="G7510" s="763" t="s">
        <v>146</v>
      </c>
      <c r="H7510" s="763"/>
      <c r="I7510" s="765"/>
      <c r="J7510" s="763"/>
      <c r="K7510" s="763" t="s">
        <v>3</v>
      </c>
      <c r="L7510" s="766" t="s">
        <v>143</v>
      </c>
      <c r="M7510" s="766"/>
      <c r="N7510" s="766"/>
      <c r="O7510" s="766"/>
      <c r="P7510" s="766"/>
      <c r="Q7510" s="767"/>
      <c r="R7510" s="768">
        <f ca="1">SUM(R7506:R7509)</f>
        <v>393.6</v>
      </c>
      <c r="S7510" s="763"/>
      <c r="T7510" s="768">
        <f ca="1">SUM(T7506:T7509)</f>
        <v>31.04</v>
      </c>
      <c r="U7510" s="531"/>
      <c r="V7510" s="531"/>
      <c r="W7510" s="531"/>
      <c r="X7510" s="531"/>
      <c r="Y7510" s="531"/>
      <c r="Z7510" s="531"/>
      <c r="AA7510" s="531"/>
      <c r="AB7510" s="531"/>
      <c r="AC7510" s="531"/>
      <c r="AD7510" s="531"/>
      <c r="AE7510" s="531"/>
      <c r="AF7510" s="531"/>
      <c r="AG7510" s="531"/>
      <c r="AH7510" s="531"/>
      <c r="AI7510" s="531"/>
      <c r="AJ7510" s="531"/>
      <c r="AK7510" s="531"/>
      <c r="AL7510" s="531"/>
      <c r="AM7510" s="531"/>
      <c r="AN7510" s="531"/>
      <c r="AO7510" s="531"/>
      <c r="AR7510" s="761" t="s">
        <v>145</v>
      </c>
      <c r="AS7510" s="764"/>
    </row>
    <row r="7511" spans="1:45" s="520" customFormat="1" thickTop="1">
      <c r="A7511" s="51"/>
      <c r="B7511" s="51"/>
      <c r="C7511" s="3"/>
      <c r="D7511" s="3"/>
      <c r="E7511" s="51"/>
      <c r="F7511" s="51"/>
      <c r="G7511" s="51"/>
      <c r="H7511" s="51"/>
      <c r="I7511" s="51"/>
      <c r="J7511" s="51"/>
      <c r="K7511" s="51" t="s">
        <v>134</v>
      </c>
      <c r="L7511" s="51"/>
      <c r="M7511" s="51"/>
      <c r="N7511" s="51"/>
      <c r="O7511" s="52"/>
      <c r="P7511" s="51"/>
      <c r="Q7511" s="51"/>
      <c r="R7511" s="51"/>
      <c r="S7511" s="51"/>
      <c r="T7511" s="51"/>
      <c r="AR7511" s="51"/>
      <c r="AS7511" s="51"/>
    </row>
    <row r="7512" spans="1:45" s="520" customFormat="1" ht="12">
      <c r="A7512" s="51"/>
      <c r="B7512" s="51"/>
      <c r="C7512" s="51" t="s">
        <v>135</v>
      </c>
      <c r="D7512" s="37"/>
      <c r="E7512" s="51"/>
      <c r="F7512" s="51"/>
      <c r="G7512" s="51"/>
      <c r="H7512" s="51"/>
      <c r="I7512" s="51"/>
      <c r="J7512" s="51"/>
      <c r="K7512" s="51"/>
      <c r="L7512" s="51"/>
      <c r="M7512" s="51"/>
      <c r="N7512" s="51"/>
      <c r="O7512" s="52"/>
      <c r="P7512" s="51"/>
      <c r="Q7512" s="51"/>
      <c r="R7512" s="51"/>
      <c r="S7512" s="51"/>
      <c r="T7512" s="51"/>
      <c r="AR7512" s="51"/>
      <c r="AS7512" s="51"/>
    </row>
    <row r="7513" spans="1:45" s="520" customFormat="1" ht="39.9" customHeight="1">
      <c r="A7513" s="51"/>
      <c r="B7513" s="51"/>
      <c r="C7513" s="51"/>
      <c r="D7513" s="1453" t="s">
        <v>1002</v>
      </c>
      <c r="E7513" s="1452"/>
      <c r="F7513" s="1452"/>
      <c r="G7513" s="1452"/>
      <c r="H7513" s="1452"/>
      <c r="I7513" s="1452"/>
      <c r="J7513" s="1452"/>
      <c r="K7513" s="1452"/>
      <c r="L7513" s="1452"/>
      <c r="M7513" s="1452"/>
      <c r="N7513" s="1452"/>
      <c r="O7513" s="1452"/>
      <c r="P7513" s="1452"/>
      <c r="Q7513" s="1452"/>
      <c r="R7513" s="1452"/>
      <c r="S7513" s="1452"/>
      <c r="T7513" s="1452"/>
      <c r="AR7513" s="51"/>
    </row>
    <row r="7514" spans="1:45" s="3" customFormat="1" thickBot="1">
      <c r="A7514" s="531"/>
      <c r="O7514" s="107"/>
      <c r="AR7514" s="531"/>
    </row>
    <row r="7515" spans="1:45" s="520" customFormat="1" ht="12" thickTop="1">
      <c r="A7515" s="51"/>
      <c r="B7515" s="41"/>
      <c r="C7515" s="51"/>
      <c r="E7515" s="42" t="s">
        <v>138</v>
      </c>
      <c r="F7515" s="42" t="s">
        <v>139</v>
      </c>
      <c r="G7515" s="51"/>
      <c r="H7515" s="51"/>
      <c r="I7515" s="51"/>
      <c r="J7515" s="51"/>
      <c r="K7515" s="51" t="s">
        <v>140</v>
      </c>
      <c r="L7515" s="51"/>
      <c r="M7515" s="51"/>
      <c r="N7515" s="51"/>
      <c r="O7515" s="52"/>
      <c r="P7515" s="51"/>
      <c r="Q7515" s="51"/>
      <c r="R7515" s="51"/>
      <c r="S7515" s="51"/>
      <c r="T7515" s="41"/>
      <c r="AG7515" s="521" t="s">
        <v>268</v>
      </c>
      <c r="AH7515" s="521" t="s">
        <v>269</v>
      </c>
      <c r="AI7515" s="521" t="s">
        <v>270</v>
      </c>
      <c r="AJ7515" s="521" t="s">
        <v>271</v>
      </c>
      <c r="AK7515" s="521" t="s">
        <v>272</v>
      </c>
      <c r="AM7515" s="745" t="s">
        <v>281</v>
      </c>
      <c r="AN7515" s="746" t="s">
        <v>282</v>
      </c>
      <c r="AO7515" s="522" t="s">
        <v>278</v>
      </c>
      <c r="AR7515" s="51"/>
      <c r="AS7515" s="42" t="s">
        <v>139</v>
      </c>
    </row>
    <row r="7516" spans="1:45" s="520" customFormat="1" ht="12" customHeight="1">
      <c r="A7516" s="747">
        <v>5</v>
      </c>
      <c r="B7516" s="523" t="s">
        <v>329</v>
      </c>
      <c r="C7516" s="748"/>
      <c r="D7516" s="749" t="s">
        <v>3980</v>
      </c>
      <c r="E7516" s="1145">
        <f>IF(AND($A7516=0,$A$1="DIF"),0, ROUND(ROUND(($R7520*$S$3+($T7520*$T$3))/$A7516,2)*$C$3,2))</f>
        <v>64</v>
      </c>
      <c r="F7516" s="1146">
        <f>ROUND($A7516*$E7516,2)</f>
        <v>320</v>
      </c>
      <c r="G7516" s="752" t="s">
        <v>142</v>
      </c>
      <c r="H7516" s="753"/>
      <c r="I7516" s="754"/>
      <c r="J7516" s="753"/>
      <c r="K7516" s="753" t="s">
        <v>5</v>
      </c>
      <c r="L7516" s="755" t="s">
        <v>143</v>
      </c>
      <c r="M7516" s="755"/>
      <c r="N7516" s="755"/>
      <c r="O7516" s="755"/>
      <c r="P7516" s="755"/>
      <c r="Q7516" s="51"/>
      <c r="T7516" s="1150" t="str">
        <f>IF(AND($R7520=0,$T7520=0),"0.00","mu: "&amp; ROUND(F7516/$C$3/($R7520+$T7520*$D$9),2))</f>
        <v>mu: 1.13</v>
      </c>
      <c r="W7516" s="524"/>
      <c r="AG7516" s="1147">
        <f>IF($E7516=0,0,ROUND($R7520*$S$3*$C$3/$A7516,2))</f>
        <v>64</v>
      </c>
      <c r="AH7516" s="1147">
        <f>$AG7516*$A7516</f>
        <v>320</v>
      </c>
      <c r="AI7516" s="1148">
        <f>$E7516-$AG7516</f>
        <v>0</v>
      </c>
      <c r="AJ7516" s="1148">
        <f>$A7516*$AI7516</f>
        <v>0</v>
      </c>
      <c r="AK7516" s="1149">
        <f>ROUND(($AG7516+$AI7516)*$A7516,2)</f>
        <v>320</v>
      </c>
      <c r="AM7516" s="527">
        <f>ROUND(R7520,2)</f>
        <v>283.5</v>
      </c>
      <c r="AN7516" s="528">
        <f>ROUND(T7520,2)</f>
        <v>0</v>
      </c>
      <c r="AO7516" s="529">
        <f>ROUND(AM7516+AN7516,2)*A7516</f>
        <v>1417.5</v>
      </c>
      <c r="AR7516" s="747">
        <v>5</v>
      </c>
      <c r="AS7516" s="1146">
        <v>509.35</v>
      </c>
    </row>
    <row r="7517" spans="1:45" s="520" customFormat="1" ht="13.2">
      <c r="A7517" s="748"/>
      <c r="B7517"/>
      <c r="C7517" s="748"/>
      <c r="D7517" s="749" t="s">
        <v>949</v>
      </c>
      <c r="F7517" s="753"/>
      <c r="G7517" s="3"/>
      <c r="H7517" s="753"/>
      <c r="I7517" s="754"/>
      <c r="J7517" s="753"/>
      <c r="K7517" s="753" t="s">
        <v>144</v>
      </c>
      <c r="L7517" s="753"/>
      <c r="M7517" s="753"/>
      <c r="N7517" s="753"/>
      <c r="O7517" s="753"/>
      <c r="P7517" s="753"/>
      <c r="Q7517" s="51"/>
      <c r="R7517" s="530"/>
      <c r="S7517" s="757"/>
      <c r="T7517" s="753"/>
      <c r="AR7517" s="748"/>
      <c r="AS7517" s="753"/>
    </row>
    <row r="7518" spans="1:45" s="901" customFormat="1" ht="13.2">
      <c r="A7518" s="903">
        <v>5</v>
      </c>
      <c r="B7518" s="904" t="s">
        <v>863</v>
      </c>
      <c r="C7518" s="904"/>
      <c r="D7518" s="904" t="s">
        <v>2594</v>
      </c>
      <c r="E7518" s="904"/>
      <c r="F7518" s="904" t="s">
        <v>4139</v>
      </c>
      <c r="G7518" s="905" t="s">
        <v>2595</v>
      </c>
      <c r="H7518" s="902">
        <v>960</v>
      </c>
      <c r="I7518" s="904" t="s">
        <v>2596</v>
      </c>
      <c r="J7518" s="904"/>
      <c r="K7518" s="904"/>
      <c r="L7518" s="904"/>
      <c r="M7518" s="904"/>
      <c r="N7518" s="904"/>
      <c r="O7518" s="902">
        <v>4</v>
      </c>
      <c r="P7518" s="906">
        <v>38274</v>
      </c>
      <c r="Q7518" s="1415">
        <f>1.05*60*0.9</f>
        <v>56.7</v>
      </c>
      <c r="R7518" s="908">
        <f>$A7518*Q7518</f>
        <v>283.5</v>
      </c>
      <c r="S7518" s="907"/>
      <c r="T7518" s="909">
        <f>$A7518*S7518*$T$1</f>
        <v>0</v>
      </c>
      <c r="AR7518" s="903">
        <v>5</v>
      </c>
      <c r="AS7518" s="904" t="s">
        <v>3507</v>
      </c>
    </row>
    <row r="7519" spans="1:45" s="520" customFormat="1" ht="12">
      <c r="A7519" s="758"/>
      <c r="B7519" s="758"/>
      <c r="C7519" s="758"/>
      <c r="D7519" s="758"/>
      <c r="E7519" s="758"/>
      <c r="F7519" s="753"/>
      <c r="G7519" s="758"/>
      <c r="H7519" s="758"/>
      <c r="I7519" s="519"/>
      <c r="J7519" s="758"/>
      <c r="K7519" s="758"/>
      <c r="L7519" s="758"/>
      <c r="M7519" s="758"/>
      <c r="N7519" s="758"/>
      <c r="O7519" s="758"/>
      <c r="P7519" s="758"/>
      <c r="Q7519" s="519"/>
      <c r="R7519" s="759">
        <f t="shared" ref="R7519" si="702">$A7519*Q7519</f>
        <v>0</v>
      </c>
      <c r="S7519" s="519"/>
      <c r="T7519" s="760">
        <f t="shared" ref="T7519" si="703">$A7519*S7519*$T$1</f>
        <v>0</v>
      </c>
      <c r="AR7519" s="758"/>
      <c r="AS7519" s="753"/>
    </row>
    <row r="7520" spans="1:45" s="520" customFormat="1" ht="12.6" thickBot="1">
      <c r="A7520" s="761" t="s">
        <v>145</v>
      </c>
      <c r="B7520" s="762">
        <f>(R7519+T7519)</f>
        <v>0</v>
      </c>
      <c r="C7520" s="763"/>
      <c r="D7520" s="763"/>
      <c r="E7520" s="763"/>
      <c r="F7520" s="764"/>
      <c r="G7520" s="763" t="s">
        <v>146</v>
      </c>
      <c r="H7520" s="763"/>
      <c r="I7520" s="765"/>
      <c r="J7520" s="763"/>
      <c r="K7520" s="763" t="s">
        <v>5</v>
      </c>
      <c r="L7520" s="766" t="s">
        <v>143</v>
      </c>
      <c r="M7520" s="766"/>
      <c r="N7520" s="766"/>
      <c r="O7520" s="766"/>
      <c r="P7520" s="766"/>
      <c r="Q7520" s="767"/>
      <c r="R7520" s="768">
        <f>SUM(R7517:R7519)</f>
        <v>283.5</v>
      </c>
      <c r="S7520" s="763"/>
      <c r="T7520" s="768">
        <f>SUM(T7517:T7519)</f>
        <v>0</v>
      </c>
      <c r="U7520" s="531"/>
      <c r="V7520" s="531"/>
      <c r="W7520" s="531"/>
      <c r="X7520" s="531"/>
      <c r="Y7520" s="531"/>
      <c r="Z7520" s="531"/>
      <c r="AA7520" s="531"/>
      <c r="AB7520" s="531"/>
      <c r="AC7520" s="531"/>
      <c r="AD7520" s="531"/>
      <c r="AE7520" s="531"/>
      <c r="AF7520" s="531"/>
      <c r="AG7520" s="531"/>
      <c r="AH7520" s="531"/>
      <c r="AI7520" s="531"/>
      <c r="AJ7520" s="531"/>
      <c r="AK7520" s="531"/>
      <c r="AL7520" s="531"/>
      <c r="AM7520" s="531"/>
      <c r="AN7520" s="531"/>
      <c r="AO7520" s="531"/>
      <c r="AR7520" s="761" t="s">
        <v>145</v>
      </c>
      <c r="AS7520" s="764"/>
    </row>
    <row r="7521" spans="1:45" s="520" customFormat="1" ht="12" thickTop="1">
      <c r="A7521" s="51"/>
      <c r="B7521" s="41"/>
      <c r="C7521" s="51"/>
      <c r="E7521" s="42" t="s">
        <v>138</v>
      </c>
      <c r="F7521" s="42" t="s">
        <v>139</v>
      </c>
      <c r="G7521" s="51"/>
      <c r="H7521" s="51"/>
      <c r="I7521" s="51"/>
      <c r="J7521" s="51"/>
      <c r="K7521" s="51" t="s">
        <v>140</v>
      </c>
      <c r="L7521" s="51"/>
      <c r="M7521" s="51"/>
      <c r="N7521" s="51"/>
      <c r="O7521" s="52"/>
      <c r="P7521" s="51"/>
      <c r="Q7521" s="51"/>
      <c r="R7521" s="51"/>
      <c r="S7521" s="51"/>
      <c r="T7521" s="41"/>
      <c r="AG7521" s="521" t="s">
        <v>268</v>
      </c>
      <c r="AH7521" s="521" t="s">
        <v>269</v>
      </c>
      <c r="AI7521" s="521" t="s">
        <v>270</v>
      </c>
      <c r="AJ7521" s="521" t="s">
        <v>271</v>
      </c>
      <c r="AK7521" s="521" t="s">
        <v>272</v>
      </c>
      <c r="AM7521" s="745" t="s">
        <v>281</v>
      </c>
      <c r="AN7521" s="746" t="s">
        <v>282</v>
      </c>
      <c r="AO7521" s="522" t="s">
        <v>278</v>
      </c>
      <c r="AR7521" s="51"/>
      <c r="AS7521" s="42" t="s">
        <v>139</v>
      </c>
    </row>
    <row r="7522" spans="1:45" s="520" customFormat="1" ht="12" customHeight="1">
      <c r="A7522" s="747">
        <v>3</v>
      </c>
      <c r="B7522" s="523" t="s">
        <v>329</v>
      </c>
      <c r="C7522" s="748"/>
      <c r="D7522" s="749" t="s">
        <v>3981</v>
      </c>
      <c r="E7522" s="1145">
        <f>IF(AND($A7522=0,$A$1="DIF"),0, ROUND(ROUND(($R7526*$S$3+($T7526*$T$3))/$A7522,2)*$C$3,2))</f>
        <v>64</v>
      </c>
      <c r="F7522" s="1146">
        <f>ROUND($A7522*$E7522,2)</f>
        <v>192</v>
      </c>
      <c r="G7522" s="752" t="s">
        <v>142</v>
      </c>
      <c r="H7522" s="753"/>
      <c r="I7522" s="754"/>
      <c r="J7522" s="753"/>
      <c r="K7522" s="753" t="s">
        <v>5</v>
      </c>
      <c r="L7522" s="755" t="s">
        <v>143</v>
      </c>
      <c r="M7522" s="755"/>
      <c r="N7522" s="755"/>
      <c r="O7522" s="755"/>
      <c r="P7522" s="755"/>
      <c r="Q7522" s="51"/>
      <c r="T7522" s="1150" t="str">
        <f>IF(AND($R7526=0,$T7526=0),"0.00","mu: "&amp; ROUND(F7522/$C$3/($R7526+$T7526*$D$9),2))</f>
        <v>mu: 1.13</v>
      </c>
      <c r="W7522" s="524"/>
      <c r="AG7522" s="1147">
        <f>IF($E7522=0,0,ROUND($R7526*$S$3*$C$3/$A7522,2))</f>
        <v>64</v>
      </c>
      <c r="AH7522" s="1147">
        <f>$AG7522*$A7522</f>
        <v>192</v>
      </c>
      <c r="AI7522" s="1148">
        <f>$E7522-$AG7522</f>
        <v>0</v>
      </c>
      <c r="AJ7522" s="1148">
        <f>$A7522*$AI7522</f>
        <v>0</v>
      </c>
      <c r="AK7522" s="1149">
        <f>ROUND(($AG7522+$AI7522)*$A7522,2)</f>
        <v>192</v>
      </c>
      <c r="AM7522" s="527">
        <f>ROUND(R7526,2)</f>
        <v>170.1</v>
      </c>
      <c r="AN7522" s="528">
        <f>ROUND(T7526,2)</f>
        <v>0</v>
      </c>
      <c r="AO7522" s="529">
        <f>ROUND(AM7522+AN7522,2)*A7522</f>
        <v>510.29999999999995</v>
      </c>
      <c r="AR7522" s="747">
        <v>3</v>
      </c>
      <c r="AS7522" s="1146">
        <v>305.61</v>
      </c>
    </row>
    <row r="7523" spans="1:45" s="520" customFormat="1" ht="13.2">
      <c r="A7523" s="748"/>
      <c r="B7523"/>
      <c r="C7523" s="748"/>
      <c r="D7523" s="749" t="s">
        <v>950</v>
      </c>
      <c r="F7523" s="753"/>
      <c r="G7523" s="3"/>
      <c r="H7523" s="753"/>
      <c r="I7523" s="754"/>
      <c r="J7523" s="753"/>
      <c r="K7523" s="753" t="s">
        <v>144</v>
      </c>
      <c r="L7523" s="753"/>
      <c r="M7523" s="753"/>
      <c r="N7523" s="753"/>
      <c r="O7523" s="753"/>
      <c r="P7523" s="753"/>
      <c r="Q7523" s="51"/>
      <c r="R7523" s="530"/>
      <c r="S7523" s="757"/>
      <c r="T7523" s="753"/>
      <c r="AR7523" s="748"/>
      <c r="AS7523" s="753"/>
    </row>
    <row r="7524" spans="1:45" s="901" customFormat="1" ht="13.2">
      <c r="A7524" s="903">
        <v>3</v>
      </c>
      <c r="B7524" s="904" t="s">
        <v>863</v>
      </c>
      <c r="C7524" s="904"/>
      <c r="D7524" s="904" t="s">
        <v>2594</v>
      </c>
      <c r="E7524" s="904"/>
      <c r="F7524" s="904" t="s">
        <v>4139</v>
      </c>
      <c r="G7524" s="905" t="s">
        <v>2595</v>
      </c>
      <c r="H7524" s="902">
        <v>960</v>
      </c>
      <c r="I7524" s="904" t="s">
        <v>2596</v>
      </c>
      <c r="J7524" s="904"/>
      <c r="K7524" s="904"/>
      <c r="L7524" s="904"/>
      <c r="M7524" s="904"/>
      <c r="N7524" s="904"/>
      <c r="O7524" s="902">
        <v>4</v>
      </c>
      <c r="P7524" s="906">
        <v>38274</v>
      </c>
      <c r="Q7524" s="1415">
        <f>1.05*60*0.9</f>
        <v>56.7</v>
      </c>
      <c r="R7524" s="908">
        <f>$A7524*Q7524</f>
        <v>170.10000000000002</v>
      </c>
      <c r="S7524" s="907"/>
      <c r="T7524" s="909">
        <f>$A7524*S7524*$T$1</f>
        <v>0</v>
      </c>
      <c r="AR7524" s="903">
        <v>3</v>
      </c>
      <c r="AS7524" s="904" t="s">
        <v>3507</v>
      </c>
    </row>
    <row r="7525" spans="1:45" s="520" customFormat="1" ht="12">
      <c r="A7525" s="758"/>
      <c r="B7525" s="758"/>
      <c r="C7525" s="758"/>
      <c r="D7525" s="758"/>
      <c r="E7525" s="758"/>
      <c r="F7525" s="753"/>
      <c r="G7525" s="758"/>
      <c r="H7525" s="758"/>
      <c r="I7525" s="519"/>
      <c r="J7525" s="758"/>
      <c r="K7525" s="758"/>
      <c r="L7525" s="758"/>
      <c r="M7525" s="758"/>
      <c r="N7525" s="758"/>
      <c r="O7525" s="758"/>
      <c r="P7525" s="758"/>
      <c r="Q7525" s="519"/>
      <c r="R7525" s="759">
        <f t="shared" ref="R7525" si="704">$A7525*Q7525</f>
        <v>0</v>
      </c>
      <c r="S7525" s="519"/>
      <c r="T7525" s="760">
        <f t="shared" ref="T7525" si="705">$A7525*S7525*$T$1</f>
        <v>0</v>
      </c>
      <c r="AR7525" s="758"/>
      <c r="AS7525" s="753"/>
    </row>
    <row r="7526" spans="1:45" s="520" customFormat="1" ht="12.6" thickBot="1">
      <c r="A7526" s="761" t="s">
        <v>145</v>
      </c>
      <c r="B7526" s="762">
        <f>(R7525+T7525)</f>
        <v>0</v>
      </c>
      <c r="C7526" s="763"/>
      <c r="D7526" s="763"/>
      <c r="E7526" s="763"/>
      <c r="F7526" s="764"/>
      <c r="G7526" s="763" t="s">
        <v>146</v>
      </c>
      <c r="H7526" s="763"/>
      <c r="I7526" s="765"/>
      <c r="J7526" s="763"/>
      <c r="K7526" s="763" t="s">
        <v>5</v>
      </c>
      <c r="L7526" s="766" t="s">
        <v>143</v>
      </c>
      <c r="M7526" s="766"/>
      <c r="N7526" s="766"/>
      <c r="O7526" s="766"/>
      <c r="P7526" s="766"/>
      <c r="Q7526" s="767"/>
      <c r="R7526" s="768">
        <f>SUM(R7523:R7525)</f>
        <v>170.10000000000002</v>
      </c>
      <c r="S7526" s="763"/>
      <c r="T7526" s="768">
        <f>SUM(T7523:T7525)</f>
        <v>0</v>
      </c>
      <c r="U7526" s="531"/>
      <c r="V7526" s="531"/>
      <c r="W7526" s="531"/>
      <c r="X7526" s="531"/>
      <c r="Y7526" s="531"/>
      <c r="Z7526" s="531"/>
      <c r="AA7526" s="531"/>
      <c r="AB7526" s="531"/>
      <c r="AC7526" s="531"/>
      <c r="AD7526" s="531"/>
      <c r="AE7526" s="531"/>
      <c r="AF7526" s="531"/>
      <c r="AG7526" s="531"/>
      <c r="AH7526" s="531"/>
      <c r="AI7526" s="531"/>
      <c r="AJ7526" s="531"/>
      <c r="AK7526" s="531"/>
      <c r="AL7526" s="531"/>
      <c r="AM7526" s="531"/>
      <c r="AN7526" s="531"/>
      <c r="AO7526" s="531"/>
      <c r="AR7526" s="761" t="s">
        <v>145</v>
      </c>
      <c r="AS7526" s="764"/>
    </row>
    <row r="7527" spans="1:45" s="520" customFormat="1" ht="12" thickTop="1">
      <c r="A7527" s="51"/>
      <c r="B7527" s="41"/>
      <c r="C7527" s="51"/>
      <c r="E7527" s="42" t="s">
        <v>138</v>
      </c>
      <c r="F7527" s="42" t="s">
        <v>139</v>
      </c>
      <c r="G7527" s="51"/>
      <c r="H7527" s="51"/>
      <c r="I7527" s="51"/>
      <c r="J7527" s="51"/>
      <c r="K7527" s="51" t="s">
        <v>140</v>
      </c>
      <c r="L7527" s="51"/>
      <c r="M7527" s="51"/>
      <c r="N7527" s="51"/>
      <c r="O7527" s="52"/>
      <c r="P7527" s="51"/>
      <c r="Q7527" s="51"/>
      <c r="R7527" s="51"/>
      <c r="S7527" s="51"/>
      <c r="T7527" s="41"/>
      <c r="AG7527" s="521" t="s">
        <v>268</v>
      </c>
      <c r="AH7527" s="521" t="s">
        <v>269</v>
      </c>
      <c r="AI7527" s="521" t="s">
        <v>270</v>
      </c>
      <c r="AJ7527" s="521" t="s">
        <v>271</v>
      </c>
      <c r="AK7527" s="521" t="s">
        <v>272</v>
      </c>
      <c r="AM7527" s="745" t="s">
        <v>281</v>
      </c>
      <c r="AN7527" s="746" t="s">
        <v>282</v>
      </c>
      <c r="AO7527" s="522" t="s">
        <v>278</v>
      </c>
      <c r="AR7527" s="51"/>
      <c r="AS7527" s="42" t="s">
        <v>139</v>
      </c>
    </row>
    <row r="7528" spans="1:45" s="520" customFormat="1" ht="12" customHeight="1">
      <c r="A7528" s="747">
        <v>1</v>
      </c>
      <c r="B7528" s="523" t="s">
        <v>329</v>
      </c>
      <c r="C7528" s="748"/>
      <c r="D7528" s="749" t="s">
        <v>3982</v>
      </c>
      <c r="E7528" s="1145">
        <f>IF(AND($A7528=0,$A$1="DIF"),0, ROUND(ROUND(($R7532*$S$3+($T7532*$T$3))/$A7528,2)*$C$3,2))</f>
        <v>64</v>
      </c>
      <c r="F7528" s="1146">
        <f>ROUND($A7528*$E7528,2)</f>
        <v>64</v>
      </c>
      <c r="G7528" s="752" t="s">
        <v>142</v>
      </c>
      <c r="H7528" s="753"/>
      <c r="I7528" s="754"/>
      <c r="J7528" s="753"/>
      <c r="K7528" s="753" t="s">
        <v>5</v>
      </c>
      <c r="L7528" s="755" t="s">
        <v>143</v>
      </c>
      <c r="M7528" s="755"/>
      <c r="N7528" s="755"/>
      <c r="O7528" s="755"/>
      <c r="P7528" s="755"/>
      <c r="Q7528" s="51"/>
      <c r="T7528" s="1150" t="str">
        <f>IF(AND($R7532=0,$T7532=0),"0.00","mu: "&amp; ROUND(F7528/$C$3/($R7532+$T7532*$D$9),2))</f>
        <v>mu: 1.13</v>
      </c>
      <c r="W7528" s="524"/>
      <c r="AG7528" s="1147">
        <f>IF($E7528=0,0,ROUND($R7532*$S$3*$C$3/$A7528,2))</f>
        <v>64</v>
      </c>
      <c r="AH7528" s="1147">
        <f>$AG7528*$A7528</f>
        <v>64</v>
      </c>
      <c r="AI7528" s="1148">
        <f>$E7528-$AG7528</f>
        <v>0</v>
      </c>
      <c r="AJ7528" s="1148">
        <f>$A7528*$AI7528</f>
        <v>0</v>
      </c>
      <c r="AK7528" s="1149">
        <f>ROUND(($AG7528+$AI7528)*$A7528,2)</f>
        <v>64</v>
      </c>
      <c r="AM7528" s="527">
        <f>ROUND(R7532,2)</f>
        <v>56.7</v>
      </c>
      <c r="AN7528" s="528">
        <f>ROUND(T7532,2)</f>
        <v>0</v>
      </c>
      <c r="AO7528" s="529">
        <f>ROUND(AM7528+AN7528,2)*A7528</f>
        <v>56.7</v>
      </c>
      <c r="AR7528" s="747">
        <v>1</v>
      </c>
      <c r="AS7528" s="1146">
        <v>101.87</v>
      </c>
    </row>
    <row r="7529" spans="1:45" s="520" customFormat="1" ht="13.2">
      <c r="A7529" s="748"/>
      <c r="B7529"/>
      <c r="C7529" s="748"/>
      <c r="D7529" s="749" t="s">
        <v>970</v>
      </c>
      <c r="F7529" s="753"/>
      <c r="G7529" s="3"/>
      <c r="H7529" s="753"/>
      <c r="I7529" s="754"/>
      <c r="J7529" s="753"/>
      <c r="K7529" s="753" t="s">
        <v>144</v>
      </c>
      <c r="L7529" s="753"/>
      <c r="M7529" s="753"/>
      <c r="N7529" s="753"/>
      <c r="O7529" s="753"/>
      <c r="P7529" s="753"/>
      <c r="Q7529" s="51"/>
      <c r="R7529" s="530"/>
      <c r="S7529" s="757"/>
      <c r="T7529" s="753"/>
      <c r="AR7529" s="748"/>
      <c r="AS7529" s="753"/>
    </row>
    <row r="7530" spans="1:45" s="901" customFormat="1" ht="13.2">
      <c r="A7530" s="903">
        <v>1</v>
      </c>
      <c r="B7530" s="904" t="s">
        <v>863</v>
      </c>
      <c r="C7530" s="904"/>
      <c r="D7530" s="904" t="s">
        <v>2594</v>
      </c>
      <c r="E7530" s="904"/>
      <c r="F7530" s="904" t="s">
        <v>4139</v>
      </c>
      <c r="G7530" s="905" t="s">
        <v>2595</v>
      </c>
      <c r="H7530" s="902">
        <v>960</v>
      </c>
      <c r="I7530" s="904" t="s">
        <v>2596</v>
      </c>
      <c r="J7530" s="904"/>
      <c r="K7530" s="904"/>
      <c r="L7530" s="904"/>
      <c r="M7530" s="904"/>
      <c r="N7530" s="904"/>
      <c r="O7530" s="902">
        <v>4</v>
      </c>
      <c r="P7530" s="906">
        <v>38274</v>
      </c>
      <c r="Q7530" s="1415">
        <f>1.05*60*0.9</f>
        <v>56.7</v>
      </c>
      <c r="R7530" s="908">
        <f>$A7530*Q7530</f>
        <v>56.7</v>
      </c>
      <c r="S7530" s="907"/>
      <c r="T7530" s="909">
        <f>$A7530*S7530*$T$1</f>
        <v>0</v>
      </c>
      <c r="AR7530" s="903">
        <v>1</v>
      </c>
      <c r="AS7530" s="904" t="s">
        <v>3507</v>
      </c>
    </row>
    <row r="7531" spans="1:45" s="520" customFormat="1" ht="12">
      <c r="A7531" s="758"/>
      <c r="B7531" s="758"/>
      <c r="C7531" s="758"/>
      <c r="D7531" s="758"/>
      <c r="E7531" s="758"/>
      <c r="F7531" s="753"/>
      <c r="G7531" s="758"/>
      <c r="H7531" s="758"/>
      <c r="I7531" s="519"/>
      <c r="J7531" s="758"/>
      <c r="K7531" s="758"/>
      <c r="L7531" s="758"/>
      <c r="M7531" s="758"/>
      <c r="N7531" s="758"/>
      <c r="O7531" s="758"/>
      <c r="P7531" s="758"/>
      <c r="Q7531" s="519"/>
      <c r="R7531" s="759">
        <f t="shared" ref="R7531" si="706">$A7531*Q7531</f>
        <v>0</v>
      </c>
      <c r="S7531" s="519"/>
      <c r="T7531" s="760">
        <f t="shared" ref="T7531" si="707">$A7531*S7531*$T$1</f>
        <v>0</v>
      </c>
      <c r="AR7531" s="758"/>
      <c r="AS7531" s="753"/>
    </row>
    <row r="7532" spans="1:45" s="520" customFormat="1" ht="12.6" thickBot="1">
      <c r="A7532" s="761" t="s">
        <v>145</v>
      </c>
      <c r="B7532" s="762">
        <f>(R7531+T7531)</f>
        <v>0</v>
      </c>
      <c r="C7532" s="763"/>
      <c r="D7532" s="763"/>
      <c r="E7532" s="763"/>
      <c r="F7532" s="764"/>
      <c r="G7532" s="763" t="s">
        <v>146</v>
      </c>
      <c r="H7532" s="763"/>
      <c r="I7532" s="765"/>
      <c r="J7532" s="763"/>
      <c r="K7532" s="763" t="s">
        <v>5</v>
      </c>
      <c r="L7532" s="766" t="s">
        <v>143</v>
      </c>
      <c r="M7532" s="766"/>
      <c r="N7532" s="766"/>
      <c r="O7532" s="766"/>
      <c r="P7532" s="766"/>
      <c r="Q7532" s="767"/>
      <c r="R7532" s="768">
        <f>SUM(R7529:R7531)</f>
        <v>56.7</v>
      </c>
      <c r="S7532" s="763"/>
      <c r="T7532" s="768">
        <f>SUM(T7529:T7531)</f>
        <v>0</v>
      </c>
      <c r="U7532" s="531"/>
      <c r="V7532" s="531"/>
      <c r="W7532" s="531"/>
      <c r="X7532" s="531"/>
      <c r="Y7532" s="531"/>
      <c r="Z7532" s="531"/>
      <c r="AA7532" s="531"/>
      <c r="AB7532" s="531"/>
      <c r="AC7532" s="531"/>
      <c r="AD7532" s="531"/>
      <c r="AE7532" s="531"/>
      <c r="AF7532" s="531"/>
      <c r="AG7532" s="531"/>
      <c r="AH7532" s="531"/>
      <c r="AI7532" s="531"/>
      <c r="AJ7532" s="531"/>
      <c r="AK7532" s="531"/>
      <c r="AL7532" s="531"/>
      <c r="AM7532" s="531"/>
      <c r="AN7532" s="531"/>
      <c r="AO7532" s="531"/>
      <c r="AR7532" s="761" t="s">
        <v>145</v>
      </c>
      <c r="AS7532" s="764"/>
    </row>
    <row r="7533" spans="1:45" s="520" customFormat="1" ht="12" thickTop="1">
      <c r="A7533" s="51"/>
      <c r="B7533" s="41"/>
      <c r="C7533" s="51"/>
      <c r="E7533" s="42" t="s">
        <v>138</v>
      </c>
      <c r="F7533" s="42" t="s">
        <v>139</v>
      </c>
      <c r="G7533" s="51"/>
      <c r="H7533" s="51"/>
      <c r="I7533" s="51"/>
      <c r="J7533" s="51"/>
      <c r="K7533" s="51" t="s">
        <v>140</v>
      </c>
      <c r="L7533" s="51"/>
      <c r="M7533" s="51"/>
      <c r="N7533" s="51"/>
      <c r="O7533" s="52"/>
      <c r="P7533" s="51"/>
      <c r="Q7533" s="51"/>
      <c r="R7533" s="51"/>
      <c r="S7533" s="51"/>
      <c r="T7533" s="41"/>
      <c r="AG7533" s="521" t="s">
        <v>268</v>
      </c>
      <c r="AH7533" s="521" t="s">
        <v>269</v>
      </c>
      <c r="AI7533" s="521" t="s">
        <v>270</v>
      </c>
      <c r="AJ7533" s="521" t="s">
        <v>271</v>
      </c>
      <c r="AK7533" s="521" t="s">
        <v>272</v>
      </c>
      <c r="AM7533" s="745" t="s">
        <v>281</v>
      </c>
      <c r="AN7533" s="746" t="s">
        <v>282</v>
      </c>
      <c r="AO7533" s="522" t="s">
        <v>278</v>
      </c>
      <c r="AR7533" s="51"/>
      <c r="AS7533" s="42" t="s">
        <v>139</v>
      </c>
    </row>
    <row r="7534" spans="1:45" s="520" customFormat="1" ht="12" customHeight="1">
      <c r="A7534" s="747">
        <v>2</v>
      </c>
      <c r="B7534" s="523" t="s">
        <v>329</v>
      </c>
      <c r="C7534" s="748"/>
      <c r="D7534" s="749" t="s">
        <v>3983</v>
      </c>
      <c r="E7534" s="1145">
        <f>IF(AND($A7534=0,$A$1="DIF"),0, ROUND(ROUND(($R7538*$S$3+($T7538*$T$3))/$A7534,2)*$C$3,2))</f>
        <v>64</v>
      </c>
      <c r="F7534" s="1146">
        <f>ROUND($A7534*$E7534,2)</f>
        <v>128</v>
      </c>
      <c r="G7534" s="752" t="s">
        <v>142</v>
      </c>
      <c r="H7534" s="753"/>
      <c r="I7534" s="754"/>
      <c r="J7534" s="753"/>
      <c r="K7534" s="753" t="s">
        <v>5</v>
      </c>
      <c r="L7534" s="755" t="s">
        <v>143</v>
      </c>
      <c r="M7534" s="755"/>
      <c r="N7534" s="755"/>
      <c r="O7534" s="755"/>
      <c r="P7534" s="755"/>
      <c r="Q7534" s="51"/>
      <c r="T7534" s="1150" t="str">
        <f>IF(AND($R7538=0,$T7538=0),"0.00","mu: "&amp; ROUND(F7534/$C$3/($R7538+$T7538*$D$9),2))</f>
        <v>mu: 1.13</v>
      </c>
      <c r="W7534" s="524"/>
      <c r="AG7534" s="1147">
        <f>IF($E7534=0,0,ROUND($R7538*$S$3*$C$3/$A7534,2))</f>
        <v>64</v>
      </c>
      <c r="AH7534" s="1147">
        <f>$AG7534*$A7534</f>
        <v>128</v>
      </c>
      <c r="AI7534" s="1148">
        <f>$E7534-$AG7534</f>
        <v>0</v>
      </c>
      <c r="AJ7534" s="1148">
        <f>$A7534*$AI7534</f>
        <v>0</v>
      </c>
      <c r="AK7534" s="1149">
        <f>ROUND(($AG7534+$AI7534)*$A7534,2)</f>
        <v>128</v>
      </c>
      <c r="AM7534" s="527">
        <f>ROUND(R7538,2)</f>
        <v>113.4</v>
      </c>
      <c r="AN7534" s="528">
        <f>ROUND(T7538,2)</f>
        <v>0</v>
      </c>
      <c r="AO7534" s="529">
        <f>ROUND(AM7534+AN7534,2)*A7534</f>
        <v>226.8</v>
      </c>
      <c r="AR7534" s="747">
        <v>2</v>
      </c>
      <c r="AS7534" s="1146">
        <v>203.74</v>
      </c>
    </row>
    <row r="7535" spans="1:45" s="520" customFormat="1" ht="13.2">
      <c r="A7535" s="748"/>
      <c r="B7535"/>
      <c r="C7535" s="748"/>
      <c r="D7535" s="749" t="s">
        <v>972</v>
      </c>
      <c r="F7535" s="753"/>
      <c r="G7535" s="3"/>
      <c r="H7535" s="753"/>
      <c r="I7535" s="754"/>
      <c r="J7535" s="753"/>
      <c r="K7535" s="753" t="s">
        <v>144</v>
      </c>
      <c r="L7535" s="753"/>
      <c r="M7535" s="753"/>
      <c r="N7535" s="753"/>
      <c r="O7535" s="753"/>
      <c r="P7535" s="753"/>
      <c r="Q7535" s="51"/>
      <c r="R7535" s="530"/>
      <c r="S7535" s="757"/>
      <c r="T7535" s="753"/>
      <c r="AR7535" s="748"/>
      <c r="AS7535" s="753"/>
    </row>
    <row r="7536" spans="1:45" s="901" customFormat="1" ht="13.2">
      <c r="A7536" s="903">
        <v>2</v>
      </c>
      <c r="B7536" s="904" t="s">
        <v>863</v>
      </c>
      <c r="C7536" s="904"/>
      <c r="D7536" s="904" t="s">
        <v>2594</v>
      </c>
      <c r="E7536" s="904"/>
      <c r="F7536" s="904" t="s">
        <v>4139</v>
      </c>
      <c r="G7536" s="905" t="s">
        <v>2595</v>
      </c>
      <c r="H7536" s="902">
        <v>960</v>
      </c>
      <c r="I7536" s="904" t="s">
        <v>2596</v>
      </c>
      <c r="J7536" s="904"/>
      <c r="K7536" s="904"/>
      <c r="L7536" s="904"/>
      <c r="M7536" s="904"/>
      <c r="N7536" s="904"/>
      <c r="O7536" s="902">
        <v>4</v>
      </c>
      <c r="P7536" s="906">
        <v>38274</v>
      </c>
      <c r="Q7536" s="1415">
        <f>1.05*60*0.9</f>
        <v>56.7</v>
      </c>
      <c r="R7536" s="908">
        <f>$A7536*Q7536</f>
        <v>113.4</v>
      </c>
      <c r="S7536" s="907"/>
      <c r="T7536" s="909">
        <f>$A7536*S7536*$T$1</f>
        <v>0</v>
      </c>
      <c r="AR7536" s="903">
        <v>2</v>
      </c>
      <c r="AS7536" s="904" t="s">
        <v>3507</v>
      </c>
    </row>
    <row r="7537" spans="1:45" s="520" customFormat="1" ht="12">
      <c r="A7537" s="758"/>
      <c r="B7537" s="758"/>
      <c r="C7537" s="758"/>
      <c r="D7537" s="758"/>
      <c r="E7537" s="758"/>
      <c r="F7537" s="753"/>
      <c r="G7537" s="758"/>
      <c r="H7537" s="758"/>
      <c r="I7537" s="519"/>
      <c r="J7537" s="758"/>
      <c r="K7537" s="758"/>
      <c r="L7537" s="758"/>
      <c r="M7537" s="758"/>
      <c r="N7537" s="758"/>
      <c r="O7537" s="758"/>
      <c r="P7537" s="758"/>
      <c r="Q7537" s="519"/>
      <c r="R7537" s="759">
        <f t="shared" ref="R7537" si="708">$A7537*Q7537</f>
        <v>0</v>
      </c>
      <c r="S7537" s="519"/>
      <c r="T7537" s="760">
        <f t="shared" ref="T7537" si="709">$A7537*S7537*$T$1</f>
        <v>0</v>
      </c>
      <c r="AR7537" s="758"/>
      <c r="AS7537" s="753"/>
    </row>
    <row r="7538" spans="1:45" s="520" customFormat="1" ht="12.6" thickBot="1">
      <c r="A7538" s="761" t="s">
        <v>145</v>
      </c>
      <c r="B7538" s="762">
        <f>(R7537+T7537)</f>
        <v>0</v>
      </c>
      <c r="C7538" s="763"/>
      <c r="D7538" s="763"/>
      <c r="E7538" s="763"/>
      <c r="F7538" s="764"/>
      <c r="G7538" s="763" t="s">
        <v>146</v>
      </c>
      <c r="H7538" s="763"/>
      <c r="I7538" s="765"/>
      <c r="J7538" s="763"/>
      <c r="K7538" s="763" t="s">
        <v>5</v>
      </c>
      <c r="L7538" s="766" t="s">
        <v>143</v>
      </c>
      <c r="M7538" s="766"/>
      <c r="N7538" s="766"/>
      <c r="O7538" s="766"/>
      <c r="P7538" s="766"/>
      <c r="Q7538" s="767"/>
      <c r="R7538" s="768">
        <f>SUM(R7535:R7537)</f>
        <v>113.4</v>
      </c>
      <c r="S7538" s="763"/>
      <c r="T7538" s="768">
        <f>SUM(T7535:T7537)</f>
        <v>0</v>
      </c>
      <c r="U7538" s="531"/>
      <c r="V7538" s="531"/>
      <c r="W7538" s="531"/>
      <c r="X7538" s="531"/>
      <c r="Y7538" s="531"/>
      <c r="Z7538" s="531"/>
      <c r="AA7538" s="531"/>
      <c r="AB7538" s="531"/>
      <c r="AC7538" s="531"/>
      <c r="AD7538" s="531"/>
      <c r="AE7538" s="531"/>
      <c r="AF7538" s="531"/>
      <c r="AG7538" s="531"/>
      <c r="AH7538" s="531"/>
      <c r="AI7538" s="531"/>
      <c r="AJ7538" s="531"/>
      <c r="AK7538" s="531"/>
      <c r="AL7538" s="531"/>
      <c r="AM7538" s="531"/>
      <c r="AN7538" s="531"/>
      <c r="AO7538" s="531"/>
      <c r="AR7538" s="761" t="s">
        <v>145</v>
      </c>
      <c r="AS7538" s="764"/>
    </row>
    <row r="7539" spans="1:45" s="520" customFormat="1" ht="12" thickTop="1">
      <c r="A7539" s="51"/>
      <c r="B7539" s="41"/>
      <c r="C7539" s="51"/>
      <c r="E7539" s="42" t="s">
        <v>138</v>
      </c>
      <c r="F7539" s="42" t="s">
        <v>139</v>
      </c>
      <c r="G7539" s="51"/>
      <c r="H7539" s="51"/>
      <c r="I7539" s="51"/>
      <c r="J7539" s="51"/>
      <c r="K7539" s="51" t="s">
        <v>140</v>
      </c>
      <c r="L7539" s="51"/>
      <c r="M7539" s="51"/>
      <c r="N7539" s="51"/>
      <c r="O7539" s="52"/>
      <c r="P7539" s="51"/>
      <c r="Q7539" s="51"/>
      <c r="R7539" s="51"/>
      <c r="S7539" s="51"/>
      <c r="T7539" s="41"/>
      <c r="AG7539" s="521" t="s">
        <v>268</v>
      </c>
      <c r="AH7539" s="521" t="s">
        <v>269</v>
      </c>
      <c r="AI7539" s="521" t="s">
        <v>270</v>
      </c>
      <c r="AJ7539" s="521" t="s">
        <v>271</v>
      </c>
      <c r="AK7539" s="521" t="s">
        <v>272</v>
      </c>
      <c r="AM7539" s="745" t="s">
        <v>281</v>
      </c>
      <c r="AN7539" s="746" t="s">
        <v>282</v>
      </c>
      <c r="AO7539" s="522" t="s">
        <v>278</v>
      </c>
      <c r="AR7539" s="51"/>
      <c r="AS7539" s="42" t="s">
        <v>139</v>
      </c>
    </row>
    <row r="7540" spans="1:45" s="520" customFormat="1" ht="12" customHeight="1">
      <c r="A7540" s="747">
        <v>7</v>
      </c>
      <c r="B7540" s="523" t="s">
        <v>329</v>
      </c>
      <c r="C7540" s="748"/>
      <c r="D7540" s="749" t="s">
        <v>3984</v>
      </c>
      <c r="E7540" s="1145">
        <f>IF(AND($A7540=0,$A$1="DIF"),0, ROUND(ROUND(($R7544*$S$3+($T7544*$T$3))/$A7540,2)*$C$3,2))</f>
        <v>64</v>
      </c>
      <c r="F7540" s="1146">
        <f>ROUND($A7540*$E7540,2)</f>
        <v>448</v>
      </c>
      <c r="G7540" s="752" t="s">
        <v>142</v>
      </c>
      <c r="H7540" s="753"/>
      <c r="I7540" s="754"/>
      <c r="J7540" s="753"/>
      <c r="K7540" s="753" t="s">
        <v>5</v>
      </c>
      <c r="L7540" s="755" t="s">
        <v>143</v>
      </c>
      <c r="M7540" s="755"/>
      <c r="N7540" s="755"/>
      <c r="O7540" s="755"/>
      <c r="P7540" s="755"/>
      <c r="Q7540" s="51"/>
      <c r="T7540" s="1150" t="str">
        <f>IF(AND($R7544=0,$T7544=0),"0.00","mu: "&amp; ROUND(F7540/$C$3/($R7544+$T7544*$D$9),2))</f>
        <v>mu: 1.13</v>
      </c>
      <c r="W7540" s="524"/>
      <c r="AG7540" s="1147">
        <f>IF($E7540=0,0,ROUND($R7544*$S$3*$C$3/$A7540,2))</f>
        <v>64</v>
      </c>
      <c r="AH7540" s="1147">
        <f>$AG7540*$A7540</f>
        <v>448</v>
      </c>
      <c r="AI7540" s="1148">
        <f>$E7540-$AG7540</f>
        <v>0</v>
      </c>
      <c r="AJ7540" s="1148">
        <f>$A7540*$AI7540</f>
        <v>0</v>
      </c>
      <c r="AK7540" s="1149">
        <f>ROUND(($AG7540+$AI7540)*$A7540,2)</f>
        <v>448</v>
      </c>
      <c r="AM7540" s="527">
        <f>ROUND(R7544,2)</f>
        <v>396.9</v>
      </c>
      <c r="AN7540" s="528">
        <f>ROUND(T7544,2)</f>
        <v>0</v>
      </c>
      <c r="AO7540" s="529">
        <f>ROUND(AM7540+AN7540,2)*A7540</f>
        <v>2778.2999999999997</v>
      </c>
      <c r="AR7540" s="747">
        <v>7</v>
      </c>
      <c r="AS7540" s="1146">
        <v>713.09</v>
      </c>
    </row>
    <row r="7541" spans="1:45" s="520" customFormat="1" ht="13.2">
      <c r="A7541" s="748"/>
      <c r="B7541"/>
      <c r="C7541" s="748"/>
      <c r="D7541" s="749" t="s">
        <v>973</v>
      </c>
      <c r="F7541" s="753"/>
      <c r="G7541" s="3"/>
      <c r="H7541" s="753"/>
      <c r="I7541" s="754"/>
      <c r="J7541" s="753"/>
      <c r="K7541" s="753" t="s">
        <v>144</v>
      </c>
      <c r="L7541" s="753"/>
      <c r="M7541" s="753"/>
      <c r="N7541" s="753"/>
      <c r="O7541" s="753"/>
      <c r="P7541" s="753"/>
      <c r="Q7541" s="51"/>
      <c r="R7541" s="530"/>
      <c r="S7541" s="757"/>
      <c r="T7541" s="753"/>
      <c r="AR7541" s="748"/>
      <c r="AS7541" s="753"/>
    </row>
    <row r="7542" spans="1:45" s="901" customFormat="1" ht="13.2">
      <c r="A7542" s="903">
        <v>7</v>
      </c>
      <c r="B7542" s="904" t="s">
        <v>863</v>
      </c>
      <c r="C7542" s="904"/>
      <c r="D7542" s="904" t="s">
        <v>2594</v>
      </c>
      <c r="E7542" s="904"/>
      <c r="F7542" s="904" t="s">
        <v>4139</v>
      </c>
      <c r="G7542" s="905" t="s">
        <v>2595</v>
      </c>
      <c r="H7542" s="902">
        <v>960</v>
      </c>
      <c r="I7542" s="904" t="s">
        <v>2596</v>
      </c>
      <c r="J7542" s="904"/>
      <c r="K7542" s="904"/>
      <c r="L7542" s="904"/>
      <c r="M7542" s="904"/>
      <c r="N7542" s="904"/>
      <c r="O7542" s="902">
        <v>4</v>
      </c>
      <c r="P7542" s="906">
        <v>38274</v>
      </c>
      <c r="Q7542" s="1415">
        <f>1.05*60*0.9</f>
        <v>56.7</v>
      </c>
      <c r="R7542" s="908">
        <f>$A7542*Q7542</f>
        <v>396.90000000000003</v>
      </c>
      <c r="S7542" s="907"/>
      <c r="T7542" s="909">
        <f>$A7542*S7542*$T$1</f>
        <v>0</v>
      </c>
      <c r="AR7542" s="903">
        <v>7</v>
      </c>
      <c r="AS7542" s="904" t="s">
        <v>3507</v>
      </c>
    </row>
    <row r="7543" spans="1:45" s="520" customFormat="1" ht="11.4">
      <c r="A7543" s="758"/>
      <c r="B7543" s="758"/>
      <c r="C7543" s="758"/>
      <c r="D7543" s="758"/>
      <c r="E7543" s="758"/>
      <c r="F7543" s="904"/>
      <c r="G7543" s="758"/>
      <c r="H7543" s="758"/>
      <c r="I7543" s="519"/>
      <c r="J7543" s="758"/>
      <c r="K7543" s="758"/>
      <c r="L7543" s="758"/>
      <c r="M7543" s="758"/>
      <c r="N7543" s="758"/>
      <c r="O7543" s="758"/>
      <c r="P7543" s="758"/>
      <c r="Q7543" s="519"/>
      <c r="R7543" s="759">
        <f t="shared" ref="R7543" si="710">$A7543*Q7543</f>
        <v>0</v>
      </c>
      <c r="S7543" s="519"/>
      <c r="T7543" s="760">
        <f t="shared" ref="T7543" si="711">$A7543*S7543*$T$1</f>
        <v>0</v>
      </c>
      <c r="AR7543" s="758"/>
      <c r="AS7543" s="904"/>
    </row>
    <row r="7544" spans="1:45" s="520" customFormat="1" ht="12.6" thickBot="1">
      <c r="A7544" s="761" t="s">
        <v>145</v>
      </c>
      <c r="B7544" s="762">
        <f>(R7543+T7543)</f>
        <v>0</v>
      </c>
      <c r="C7544" s="763"/>
      <c r="D7544" s="763"/>
      <c r="E7544" s="763"/>
      <c r="F7544" s="764"/>
      <c r="G7544" s="763" t="s">
        <v>146</v>
      </c>
      <c r="H7544" s="763"/>
      <c r="I7544" s="765"/>
      <c r="J7544" s="763"/>
      <c r="K7544" s="763" t="s">
        <v>5</v>
      </c>
      <c r="L7544" s="766" t="s">
        <v>143</v>
      </c>
      <c r="M7544" s="766"/>
      <c r="N7544" s="766"/>
      <c r="O7544" s="766"/>
      <c r="P7544" s="766"/>
      <c r="Q7544" s="767"/>
      <c r="R7544" s="768">
        <f>SUM(R7541:R7543)</f>
        <v>396.90000000000003</v>
      </c>
      <c r="S7544" s="763"/>
      <c r="T7544" s="768">
        <f>SUM(T7541:T7543)</f>
        <v>0</v>
      </c>
      <c r="U7544" s="531"/>
      <c r="V7544" s="531"/>
      <c r="W7544" s="531"/>
      <c r="X7544" s="531"/>
      <c r="Y7544" s="531"/>
      <c r="Z7544" s="531"/>
      <c r="AA7544" s="531"/>
      <c r="AB7544" s="531"/>
      <c r="AC7544" s="531"/>
      <c r="AD7544" s="531"/>
      <c r="AE7544" s="531"/>
      <c r="AF7544" s="531"/>
      <c r="AG7544" s="531"/>
      <c r="AH7544" s="531"/>
      <c r="AI7544" s="531"/>
      <c r="AJ7544" s="531"/>
      <c r="AK7544" s="531"/>
      <c r="AL7544" s="531"/>
      <c r="AM7544" s="531"/>
      <c r="AN7544" s="531"/>
      <c r="AO7544" s="531"/>
      <c r="AR7544" s="761" t="s">
        <v>145</v>
      </c>
      <c r="AS7544" s="764"/>
    </row>
    <row r="7545" spans="1:45" s="520" customFormat="1" ht="12" thickTop="1">
      <c r="A7545" s="51"/>
      <c r="B7545" s="41"/>
      <c r="C7545" s="51"/>
      <c r="E7545" s="42" t="s">
        <v>138</v>
      </c>
      <c r="F7545" s="42" t="s">
        <v>139</v>
      </c>
      <c r="G7545" s="51"/>
      <c r="H7545" s="51"/>
      <c r="I7545" s="51"/>
      <c r="J7545" s="51"/>
      <c r="K7545" s="51" t="s">
        <v>140</v>
      </c>
      <c r="L7545" s="51"/>
      <c r="M7545" s="51"/>
      <c r="N7545" s="51"/>
      <c r="O7545" s="52"/>
      <c r="P7545" s="51"/>
      <c r="Q7545" s="51"/>
      <c r="R7545" s="51"/>
      <c r="S7545" s="51"/>
      <c r="T7545" s="41"/>
      <c r="AG7545" s="521" t="s">
        <v>268</v>
      </c>
      <c r="AH7545" s="521" t="s">
        <v>269</v>
      </c>
      <c r="AI7545" s="521" t="s">
        <v>270</v>
      </c>
      <c r="AJ7545" s="521" t="s">
        <v>271</v>
      </c>
      <c r="AK7545" s="521" t="s">
        <v>272</v>
      </c>
      <c r="AM7545" s="745" t="s">
        <v>281</v>
      </c>
      <c r="AN7545" s="746" t="s">
        <v>282</v>
      </c>
      <c r="AO7545" s="522" t="s">
        <v>278</v>
      </c>
      <c r="AR7545" s="51"/>
      <c r="AS7545" s="42" t="s">
        <v>139</v>
      </c>
    </row>
    <row r="7546" spans="1:45" s="520" customFormat="1" ht="12" customHeight="1">
      <c r="A7546" s="747">
        <v>7</v>
      </c>
      <c r="B7546" s="523" t="s">
        <v>329</v>
      </c>
      <c r="C7546" s="748"/>
      <c r="D7546" s="749" t="s">
        <v>3985</v>
      </c>
      <c r="E7546" s="1145">
        <f>IF(AND($A7546=0,$A$1="DIF"),0, ROUND(ROUND(($R7550*$S$3+($T7550*$T$3))/$A7546,2)*$C$3,2))</f>
        <v>64</v>
      </c>
      <c r="F7546" s="1146">
        <f>ROUND($A7546*$E7546,2)</f>
        <v>448</v>
      </c>
      <c r="G7546" s="752" t="s">
        <v>142</v>
      </c>
      <c r="H7546" s="753"/>
      <c r="I7546" s="754"/>
      <c r="J7546" s="753"/>
      <c r="K7546" s="753" t="s">
        <v>5</v>
      </c>
      <c r="L7546" s="755" t="s">
        <v>143</v>
      </c>
      <c r="M7546" s="755"/>
      <c r="N7546" s="755"/>
      <c r="O7546" s="755"/>
      <c r="P7546" s="755"/>
      <c r="Q7546" s="51"/>
      <c r="T7546" s="1150" t="str">
        <f>IF(AND($R7550=0,$T7550=0),"0.00","mu: "&amp; ROUND(F7546/$C$3/($R7550+$T7550*$D$9),2))</f>
        <v>mu: 1.13</v>
      </c>
      <c r="W7546" s="524"/>
      <c r="AG7546" s="1147">
        <f>IF($E7546=0,0,ROUND($R7550*$S$3*$C$3/$A7546,2))</f>
        <v>64</v>
      </c>
      <c r="AH7546" s="1147">
        <f>$AG7546*$A7546</f>
        <v>448</v>
      </c>
      <c r="AI7546" s="1148">
        <f>$E7546-$AG7546</f>
        <v>0</v>
      </c>
      <c r="AJ7546" s="1148">
        <f>$A7546*$AI7546</f>
        <v>0</v>
      </c>
      <c r="AK7546" s="1149">
        <f>ROUND(($AG7546+$AI7546)*$A7546,2)</f>
        <v>448</v>
      </c>
      <c r="AM7546" s="527">
        <f>ROUND(R7550,2)</f>
        <v>396.9</v>
      </c>
      <c r="AN7546" s="528">
        <f>ROUND(T7550,2)</f>
        <v>0</v>
      </c>
      <c r="AO7546" s="529">
        <f>ROUND(AM7546+AN7546,2)*A7546</f>
        <v>2778.2999999999997</v>
      </c>
      <c r="AR7546" s="747">
        <v>7</v>
      </c>
      <c r="AS7546" s="1146">
        <v>713.09</v>
      </c>
    </row>
    <row r="7547" spans="1:45" s="520" customFormat="1" ht="13.2">
      <c r="A7547" s="748"/>
      <c r="B7547"/>
      <c r="C7547" s="748"/>
      <c r="D7547" s="749" t="s">
        <v>975</v>
      </c>
      <c r="F7547" s="753"/>
      <c r="G7547" s="3"/>
      <c r="H7547" s="753"/>
      <c r="I7547" s="754"/>
      <c r="J7547" s="753"/>
      <c r="K7547" s="753" t="s">
        <v>144</v>
      </c>
      <c r="L7547" s="753"/>
      <c r="M7547" s="753"/>
      <c r="N7547" s="753"/>
      <c r="O7547" s="753"/>
      <c r="P7547" s="753"/>
      <c r="Q7547" s="51"/>
      <c r="R7547" s="530"/>
      <c r="S7547" s="757"/>
      <c r="T7547" s="753"/>
      <c r="AR7547" s="748"/>
      <c r="AS7547" s="753"/>
    </row>
    <row r="7548" spans="1:45" s="901" customFormat="1" ht="13.2">
      <c r="A7548" s="903">
        <v>7</v>
      </c>
      <c r="B7548" s="904" t="s">
        <v>863</v>
      </c>
      <c r="C7548" s="904"/>
      <c r="D7548" s="904" t="s">
        <v>2594</v>
      </c>
      <c r="E7548" s="904"/>
      <c r="F7548" s="904" t="s">
        <v>4139</v>
      </c>
      <c r="G7548" s="905" t="s">
        <v>2595</v>
      </c>
      <c r="H7548" s="902">
        <v>960</v>
      </c>
      <c r="I7548" s="904" t="s">
        <v>2596</v>
      </c>
      <c r="J7548" s="904"/>
      <c r="K7548" s="904"/>
      <c r="L7548" s="904"/>
      <c r="M7548" s="904"/>
      <c r="N7548" s="904"/>
      <c r="O7548" s="902">
        <v>4</v>
      </c>
      <c r="P7548" s="906">
        <v>38274</v>
      </c>
      <c r="Q7548" s="1415">
        <f>1.05*60*0.9</f>
        <v>56.7</v>
      </c>
      <c r="R7548" s="908">
        <f>$A7548*Q7548</f>
        <v>396.90000000000003</v>
      </c>
      <c r="S7548" s="907"/>
      <c r="T7548" s="909">
        <f>$A7548*S7548*$T$1</f>
        <v>0</v>
      </c>
      <c r="AR7548" s="903">
        <v>7</v>
      </c>
      <c r="AS7548" s="904" t="s">
        <v>3507</v>
      </c>
    </row>
    <row r="7549" spans="1:45" s="520" customFormat="1" ht="12">
      <c r="A7549" s="758"/>
      <c r="B7549" s="758"/>
      <c r="C7549" s="758"/>
      <c r="D7549" s="758"/>
      <c r="E7549" s="758"/>
      <c r="F7549" s="753"/>
      <c r="G7549" s="758"/>
      <c r="H7549" s="758"/>
      <c r="I7549" s="519"/>
      <c r="J7549" s="758"/>
      <c r="K7549" s="758"/>
      <c r="L7549" s="758"/>
      <c r="M7549" s="758"/>
      <c r="N7549" s="758"/>
      <c r="O7549" s="758"/>
      <c r="P7549" s="758"/>
      <c r="Q7549" s="519"/>
      <c r="R7549" s="759">
        <f t="shared" ref="R7549" si="712">$A7549*Q7549</f>
        <v>0</v>
      </c>
      <c r="S7549" s="519"/>
      <c r="T7549" s="760">
        <f t="shared" ref="T7549" si="713">$A7549*S7549*$T$1</f>
        <v>0</v>
      </c>
      <c r="AR7549" s="758"/>
      <c r="AS7549" s="753"/>
    </row>
    <row r="7550" spans="1:45" s="520" customFormat="1" ht="12.6" thickBot="1">
      <c r="A7550" s="761" t="s">
        <v>145</v>
      </c>
      <c r="B7550" s="762">
        <f>(R7549+T7549)</f>
        <v>0</v>
      </c>
      <c r="C7550" s="763"/>
      <c r="D7550" s="763"/>
      <c r="E7550" s="763"/>
      <c r="F7550" s="764"/>
      <c r="G7550" s="763" t="s">
        <v>146</v>
      </c>
      <c r="H7550" s="763"/>
      <c r="I7550" s="765"/>
      <c r="J7550" s="763"/>
      <c r="K7550" s="763" t="s">
        <v>5</v>
      </c>
      <c r="L7550" s="766" t="s">
        <v>143</v>
      </c>
      <c r="M7550" s="766"/>
      <c r="N7550" s="766"/>
      <c r="O7550" s="766"/>
      <c r="P7550" s="766"/>
      <c r="Q7550" s="767"/>
      <c r="R7550" s="768">
        <f>SUM(R7547:R7549)</f>
        <v>396.90000000000003</v>
      </c>
      <c r="S7550" s="763"/>
      <c r="T7550" s="768">
        <f>SUM(T7547:T7549)</f>
        <v>0</v>
      </c>
      <c r="U7550" s="531"/>
      <c r="V7550" s="531"/>
      <c r="W7550" s="531"/>
      <c r="X7550" s="531"/>
      <c r="Y7550" s="531"/>
      <c r="Z7550" s="531"/>
      <c r="AA7550" s="531"/>
      <c r="AB7550" s="531"/>
      <c r="AC7550" s="531"/>
      <c r="AD7550" s="531"/>
      <c r="AE7550" s="531"/>
      <c r="AF7550" s="531"/>
      <c r="AG7550" s="531"/>
      <c r="AH7550" s="531"/>
      <c r="AI7550" s="531"/>
      <c r="AJ7550" s="531"/>
      <c r="AK7550" s="531"/>
      <c r="AL7550" s="531"/>
      <c r="AM7550" s="531"/>
      <c r="AN7550" s="531"/>
      <c r="AO7550" s="531"/>
      <c r="AR7550" s="761" t="s">
        <v>145</v>
      </c>
      <c r="AS7550" s="764"/>
    </row>
    <row r="7551" spans="1:45" s="520" customFormat="1" thickTop="1">
      <c r="A7551" s="51"/>
      <c r="B7551" s="51"/>
      <c r="C7551" s="3"/>
      <c r="D7551" s="3"/>
      <c r="E7551" s="51"/>
      <c r="F7551" s="51"/>
      <c r="G7551" s="51"/>
      <c r="H7551" s="51"/>
      <c r="I7551" s="51"/>
      <c r="J7551" s="51"/>
      <c r="K7551" s="51" t="s">
        <v>134</v>
      </c>
      <c r="L7551" s="51"/>
      <c r="M7551" s="51"/>
      <c r="N7551" s="51"/>
      <c r="O7551" s="52"/>
      <c r="P7551" s="51"/>
      <c r="Q7551" s="51"/>
      <c r="R7551" s="51"/>
      <c r="S7551" s="51"/>
      <c r="T7551" s="51"/>
      <c r="AR7551" s="51"/>
      <c r="AS7551" s="51"/>
    </row>
    <row r="7552" spans="1:45" s="520" customFormat="1" ht="12">
      <c r="A7552" s="51"/>
      <c r="B7552" s="51"/>
      <c r="C7552" s="51" t="s">
        <v>135</v>
      </c>
      <c r="D7552" s="37"/>
      <c r="E7552" s="51"/>
      <c r="F7552" s="51"/>
      <c r="G7552" s="51"/>
      <c r="H7552" s="51"/>
      <c r="I7552" s="51"/>
      <c r="J7552" s="51"/>
      <c r="K7552" s="51"/>
      <c r="L7552" s="51"/>
      <c r="M7552" s="51"/>
      <c r="N7552" s="51"/>
      <c r="O7552" s="52"/>
      <c r="P7552" s="51"/>
      <c r="Q7552" s="51"/>
      <c r="R7552" s="51"/>
      <c r="S7552" s="51"/>
      <c r="T7552" s="51"/>
      <c r="AR7552" s="51"/>
      <c r="AS7552" s="51"/>
    </row>
    <row r="7553" spans="1:45" s="520" customFormat="1" ht="12">
      <c r="A7553" s="51"/>
      <c r="B7553" s="51"/>
      <c r="C7553" s="51"/>
      <c r="D7553" s="37" t="s">
        <v>1952</v>
      </c>
      <c r="E7553" s="51"/>
      <c r="F7553" s="51"/>
      <c r="G7553" s="51"/>
      <c r="H7553" s="51"/>
      <c r="I7553" s="51"/>
      <c r="J7553" s="51"/>
      <c r="K7553" s="51"/>
      <c r="L7553" s="51"/>
      <c r="M7553" s="51"/>
      <c r="N7553" s="51"/>
      <c r="O7553" s="52"/>
      <c r="P7553" s="51"/>
      <c r="Q7553" s="51"/>
      <c r="R7553" s="51"/>
      <c r="S7553" s="38"/>
      <c r="T7553" s="38"/>
      <c r="AR7553" s="51"/>
      <c r="AS7553" s="51"/>
    </row>
    <row r="7554" spans="1:45" s="3" customFormat="1" thickBot="1">
      <c r="A7554" s="531"/>
      <c r="O7554" s="107"/>
      <c r="AR7554" s="531"/>
    </row>
    <row r="7555" spans="1:45" s="520" customFormat="1" ht="12" thickTop="1">
      <c r="A7555" s="51"/>
      <c r="B7555" s="41"/>
      <c r="C7555" s="51"/>
      <c r="E7555" s="42" t="s">
        <v>138</v>
      </c>
      <c r="F7555" s="42" t="s">
        <v>139</v>
      </c>
      <c r="G7555" s="51"/>
      <c r="H7555" s="51"/>
      <c r="I7555" s="51"/>
      <c r="J7555" s="51"/>
      <c r="K7555" s="51" t="s">
        <v>140</v>
      </c>
      <c r="L7555" s="51"/>
      <c r="M7555" s="51"/>
      <c r="N7555" s="51"/>
      <c r="O7555" s="52"/>
      <c r="P7555" s="51"/>
      <c r="Q7555" s="51"/>
      <c r="R7555" s="51"/>
      <c r="S7555" s="51"/>
      <c r="T7555" s="41"/>
      <c r="AG7555" s="521" t="s">
        <v>268</v>
      </c>
      <c r="AH7555" s="521" t="s">
        <v>269</v>
      </c>
      <c r="AI7555" s="521" t="s">
        <v>270</v>
      </c>
      <c r="AJ7555" s="521" t="s">
        <v>271</v>
      </c>
      <c r="AK7555" s="521" t="s">
        <v>272</v>
      </c>
      <c r="AM7555" s="745" t="s">
        <v>281</v>
      </c>
      <c r="AN7555" s="746" t="s">
        <v>282</v>
      </c>
      <c r="AO7555" s="522" t="s">
        <v>278</v>
      </c>
      <c r="AR7555" s="51"/>
      <c r="AS7555" s="42" t="s">
        <v>139</v>
      </c>
    </row>
    <row r="7556" spans="1:45" s="520" customFormat="1" ht="12" customHeight="1">
      <c r="A7556" s="747">
        <v>11</v>
      </c>
      <c r="B7556" s="523" t="s">
        <v>329</v>
      </c>
      <c r="C7556" s="748"/>
      <c r="D7556" s="749" t="s">
        <v>3986</v>
      </c>
      <c r="E7556" s="1145">
        <f>IF(AND($A7556=0,$A$1="DIF"),0, ROUND(ROUND(($R7560*$S$3+($T7560*$T$3))/$A7556,2)*$C$3,2))</f>
        <v>5.08</v>
      </c>
      <c r="F7556" s="1146">
        <f>ROUND($A7556*$E7556,2)</f>
        <v>55.88</v>
      </c>
      <c r="G7556" s="752" t="s">
        <v>142</v>
      </c>
      <c r="H7556" s="753"/>
      <c r="I7556" s="754"/>
      <c r="J7556" s="753"/>
      <c r="K7556" s="753" t="s">
        <v>5</v>
      </c>
      <c r="L7556" s="755" t="s">
        <v>143</v>
      </c>
      <c r="M7556" s="755"/>
      <c r="N7556" s="755"/>
      <c r="O7556" s="755"/>
      <c r="P7556" s="755"/>
      <c r="Q7556" s="51"/>
      <c r="T7556" s="1150" t="str">
        <f>IF(AND($R7560=0,$T7560=0),"0.00","mu: "&amp; ROUND(F7556/$C$3/($R7560+$T7560*$D$9),2))</f>
        <v>mu: 1.13</v>
      </c>
      <c r="W7556" s="524"/>
      <c r="AG7556" s="1147">
        <f>IF($E7556=0,0,ROUND($R7560*$S$3*$C$3/$A7556,2))</f>
        <v>5.08</v>
      </c>
      <c r="AH7556" s="1147">
        <f>$AG7556*$A7556</f>
        <v>55.88</v>
      </c>
      <c r="AI7556" s="1148">
        <f>$E7556-$AG7556</f>
        <v>0</v>
      </c>
      <c r="AJ7556" s="1148">
        <f>$A7556*$AI7556</f>
        <v>0</v>
      </c>
      <c r="AK7556" s="1149">
        <f>ROUND(($AG7556+$AI7556)*$A7556,2)</f>
        <v>55.88</v>
      </c>
      <c r="AM7556" s="527">
        <f>ROUND(R7560,2)</f>
        <v>49.5</v>
      </c>
      <c r="AN7556" s="528">
        <f>ROUND(T7560,2)</f>
        <v>0</v>
      </c>
      <c r="AO7556" s="529">
        <f>ROUND(AM7556+AN7556,2)*A7556</f>
        <v>544.5</v>
      </c>
      <c r="AR7556" s="747">
        <v>11</v>
      </c>
      <c r="AS7556" s="1146">
        <v>58.96</v>
      </c>
    </row>
    <row r="7557" spans="1:45" s="520" customFormat="1" ht="13.2">
      <c r="A7557" s="748"/>
      <c r="B7557"/>
      <c r="C7557" s="748"/>
      <c r="D7557" s="749" t="s">
        <v>1924</v>
      </c>
      <c r="F7557" s="753"/>
      <c r="G7557" s="3"/>
      <c r="H7557" s="753"/>
      <c r="I7557" s="754"/>
      <c r="J7557" s="753"/>
      <c r="K7557" s="753" t="s">
        <v>144</v>
      </c>
      <c r="L7557" s="753"/>
      <c r="M7557" s="753"/>
      <c r="N7557" s="753"/>
      <c r="O7557" s="753"/>
      <c r="P7557" s="753"/>
      <c r="Q7557" s="51"/>
      <c r="R7557" s="530"/>
      <c r="S7557" s="757"/>
      <c r="T7557" s="753"/>
      <c r="AR7557" s="748"/>
      <c r="AS7557" s="753"/>
    </row>
    <row r="7558" spans="1:45" s="901" customFormat="1" ht="13.2">
      <c r="A7558" s="903">
        <v>11</v>
      </c>
      <c r="B7558" s="904" t="s">
        <v>863</v>
      </c>
      <c r="C7558" s="904"/>
      <c r="D7558" s="904" t="s">
        <v>2594</v>
      </c>
      <c r="E7558" s="904"/>
      <c r="F7558" s="904" t="s">
        <v>4139</v>
      </c>
      <c r="G7558" s="905" t="s">
        <v>2595</v>
      </c>
      <c r="H7558" s="902">
        <v>960</v>
      </c>
      <c r="I7558" s="904" t="s">
        <v>2596</v>
      </c>
      <c r="J7558" s="904"/>
      <c r="K7558" s="904"/>
      <c r="L7558" s="904"/>
      <c r="M7558" s="904"/>
      <c r="N7558" s="904"/>
      <c r="O7558" s="902">
        <v>4</v>
      </c>
      <c r="P7558" s="906">
        <v>38274</v>
      </c>
      <c r="Q7558" s="1415">
        <f>5*0.9</f>
        <v>4.5</v>
      </c>
      <c r="R7558" s="908">
        <f>$A7558*Q7558</f>
        <v>49.5</v>
      </c>
      <c r="S7558" s="907"/>
      <c r="T7558" s="909">
        <f>$A7558*S7558*$T$1</f>
        <v>0</v>
      </c>
      <c r="AR7558" s="903">
        <v>11</v>
      </c>
      <c r="AS7558" s="904" t="s">
        <v>3507</v>
      </c>
    </row>
    <row r="7559" spans="1:45" s="520" customFormat="1" ht="12">
      <c r="A7559" s="758"/>
      <c r="B7559" s="758"/>
      <c r="C7559" s="758"/>
      <c r="D7559" s="758"/>
      <c r="E7559" s="758"/>
      <c r="F7559" s="753"/>
      <c r="G7559" s="758"/>
      <c r="H7559" s="758"/>
      <c r="I7559" s="519"/>
      <c r="J7559" s="758"/>
      <c r="K7559" s="758"/>
      <c r="L7559" s="758"/>
      <c r="M7559" s="758"/>
      <c r="N7559" s="758"/>
      <c r="O7559" s="758"/>
      <c r="P7559" s="758"/>
      <c r="Q7559" s="519"/>
      <c r="R7559" s="759">
        <f t="shared" ref="R7559" si="714">$A7559*Q7559</f>
        <v>0</v>
      </c>
      <c r="S7559" s="519"/>
      <c r="T7559" s="760">
        <f t="shared" ref="T7559" si="715">$A7559*S7559*$T$1</f>
        <v>0</v>
      </c>
      <c r="AR7559" s="758"/>
      <c r="AS7559" s="753"/>
    </row>
    <row r="7560" spans="1:45" s="520" customFormat="1" ht="12.6" thickBot="1">
      <c r="A7560" s="761" t="s">
        <v>145</v>
      </c>
      <c r="B7560" s="762">
        <f>(R7559+T7559)</f>
        <v>0</v>
      </c>
      <c r="C7560" s="763"/>
      <c r="D7560" s="763"/>
      <c r="E7560" s="763"/>
      <c r="F7560" s="764"/>
      <c r="G7560" s="763" t="s">
        <v>146</v>
      </c>
      <c r="H7560" s="763"/>
      <c r="I7560" s="765"/>
      <c r="J7560" s="763"/>
      <c r="K7560" s="763" t="s">
        <v>5</v>
      </c>
      <c r="L7560" s="766" t="s">
        <v>143</v>
      </c>
      <c r="M7560" s="766"/>
      <c r="N7560" s="766"/>
      <c r="O7560" s="766"/>
      <c r="P7560" s="766"/>
      <c r="Q7560" s="767"/>
      <c r="R7560" s="768">
        <f>SUM(R7557:R7559)</f>
        <v>49.5</v>
      </c>
      <c r="S7560" s="763"/>
      <c r="T7560" s="768">
        <f>SUM(T7557:T7559)</f>
        <v>0</v>
      </c>
      <c r="U7560" s="531"/>
      <c r="V7560" s="531"/>
      <c r="W7560" s="531"/>
      <c r="X7560" s="531"/>
      <c r="Y7560" s="531"/>
      <c r="Z7560" s="531"/>
      <c r="AA7560" s="531"/>
      <c r="AB7560" s="531"/>
      <c r="AC7560" s="531"/>
      <c r="AD7560" s="531"/>
      <c r="AE7560" s="531"/>
      <c r="AF7560" s="531"/>
      <c r="AG7560" s="531"/>
      <c r="AH7560" s="531"/>
      <c r="AI7560" s="531"/>
      <c r="AJ7560" s="531"/>
      <c r="AK7560" s="531"/>
      <c r="AL7560" s="531"/>
      <c r="AM7560" s="531"/>
      <c r="AN7560" s="531"/>
      <c r="AO7560" s="531"/>
      <c r="AR7560" s="761" t="s">
        <v>145</v>
      </c>
      <c r="AS7560" s="764"/>
    </row>
    <row r="7561" spans="1:45" s="520" customFormat="1" ht="12" thickTop="1">
      <c r="A7561" s="51"/>
      <c r="B7561" s="41"/>
      <c r="C7561" s="51"/>
      <c r="E7561" s="42" t="s">
        <v>138</v>
      </c>
      <c r="F7561" s="42" t="s">
        <v>139</v>
      </c>
      <c r="G7561" s="51"/>
      <c r="H7561" s="51"/>
      <c r="I7561" s="51"/>
      <c r="J7561" s="51"/>
      <c r="K7561" s="51" t="s">
        <v>140</v>
      </c>
      <c r="L7561" s="51"/>
      <c r="M7561" s="51"/>
      <c r="N7561" s="51"/>
      <c r="O7561" s="52"/>
      <c r="P7561" s="51"/>
      <c r="Q7561" s="51"/>
      <c r="R7561" s="51"/>
      <c r="S7561" s="51"/>
      <c r="T7561" s="41"/>
      <c r="AG7561" s="521" t="s">
        <v>268</v>
      </c>
      <c r="AH7561" s="521" t="s">
        <v>269</v>
      </c>
      <c r="AI7561" s="521" t="s">
        <v>270</v>
      </c>
      <c r="AJ7561" s="521" t="s">
        <v>271</v>
      </c>
      <c r="AK7561" s="521" t="s">
        <v>272</v>
      </c>
      <c r="AM7561" s="745" t="s">
        <v>281</v>
      </c>
      <c r="AN7561" s="746" t="s">
        <v>282</v>
      </c>
      <c r="AO7561" s="522" t="s">
        <v>278</v>
      </c>
      <c r="AR7561" s="51"/>
      <c r="AS7561" s="42" t="s">
        <v>139</v>
      </c>
    </row>
    <row r="7562" spans="1:45" s="520" customFormat="1" ht="12" customHeight="1">
      <c r="A7562" s="747">
        <v>7</v>
      </c>
      <c r="B7562" s="523" t="s">
        <v>329</v>
      </c>
      <c r="C7562" s="748"/>
      <c r="D7562" s="749" t="s">
        <v>3987</v>
      </c>
      <c r="E7562" s="1145">
        <f>IF(AND($A7562=0,$A$1="DIF"),0, ROUND(ROUND(($R7566*$S$3+($T7566*$T$3))/$A7562,2)*$C$3,2))</f>
        <v>8.6300000000000008</v>
      </c>
      <c r="F7562" s="1146">
        <f>ROUND($A7562*$E7562,2)</f>
        <v>60.41</v>
      </c>
      <c r="G7562" s="752" t="s">
        <v>142</v>
      </c>
      <c r="H7562" s="753"/>
      <c r="I7562" s="754"/>
      <c r="J7562" s="753"/>
      <c r="K7562" s="753" t="s">
        <v>5</v>
      </c>
      <c r="L7562" s="755" t="s">
        <v>143</v>
      </c>
      <c r="M7562" s="755"/>
      <c r="N7562" s="755"/>
      <c r="O7562" s="755"/>
      <c r="P7562" s="755"/>
      <c r="Q7562" s="51"/>
      <c r="T7562" s="1150" t="str">
        <f>IF(AND($R7566=0,$T7566=0),"0.00","mu: "&amp; ROUND(F7562/$C$3/($R7566+$T7566*$D$9),2))</f>
        <v>mu: 1.13</v>
      </c>
      <c r="W7562" s="524"/>
      <c r="AG7562" s="1147">
        <f>IF($E7562=0,0,ROUND($R7566*$S$3*$C$3/$A7562,2))</f>
        <v>8.6300000000000008</v>
      </c>
      <c r="AH7562" s="1147">
        <f>$AG7562*$A7562</f>
        <v>60.410000000000004</v>
      </c>
      <c r="AI7562" s="1148">
        <f>$E7562-$AG7562</f>
        <v>0</v>
      </c>
      <c r="AJ7562" s="1148">
        <f>$A7562*$AI7562</f>
        <v>0</v>
      </c>
      <c r="AK7562" s="1149">
        <f>ROUND(($AG7562+$AI7562)*$A7562,2)</f>
        <v>60.41</v>
      </c>
      <c r="AM7562" s="527">
        <f>ROUND(R7566,2)</f>
        <v>53.55</v>
      </c>
      <c r="AN7562" s="528">
        <f>ROUND(T7566,2)</f>
        <v>0</v>
      </c>
      <c r="AO7562" s="529">
        <f>ROUND(AM7562+AN7562,2)*A7562</f>
        <v>374.84999999999997</v>
      </c>
      <c r="AR7562" s="747">
        <v>7</v>
      </c>
      <c r="AS7562" s="1146">
        <v>63.77</v>
      </c>
    </row>
    <row r="7563" spans="1:45" s="520" customFormat="1" ht="13.2">
      <c r="A7563" s="748"/>
      <c r="B7563"/>
      <c r="C7563" s="748"/>
      <c r="D7563" s="749" t="s">
        <v>1926</v>
      </c>
      <c r="F7563" s="753"/>
      <c r="G7563" s="3"/>
      <c r="H7563" s="753"/>
      <c r="I7563" s="754"/>
      <c r="J7563" s="753"/>
      <c r="K7563" s="753" t="s">
        <v>144</v>
      </c>
      <c r="L7563" s="753"/>
      <c r="M7563" s="753"/>
      <c r="N7563" s="753"/>
      <c r="O7563" s="753"/>
      <c r="P7563" s="753"/>
      <c r="Q7563" s="51"/>
      <c r="R7563" s="530"/>
      <c r="S7563" s="757"/>
      <c r="T7563" s="753"/>
      <c r="AR7563" s="748"/>
      <c r="AS7563" s="753"/>
    </row>
    <row r="7564" spans="1:45" s="901" customFormat="1" ht="13.2">
      <c r="A7564" s="903">
        <v>7</v>
      </c>
      <c r="B7564" s="904" t="s">
        <v>863</v>
      </c>
      <c r="C7564" s="904"/>
      <c r="D7564" s="904" t="s">
        <v>2594</v>
      </c>
      <c r="E7564" s="904"/>
      <c r="F7564" s="904" t="s">
        <v>4139</v>
      </c>
      <c r="G7564" s="905" t="s">
        <v>2595</v>
      </c>
      <c r="H7564" s="902">
        <v>960</v>
      </c>
      <c r="I7564" s="904" t="s">
        <v>2596</v>
      </c>
      <c r="J7564" s="904"/>
      <c r="K7564" s="904"/>
      <c r="L7564" s="904"/>
      <c r="M7564" s="904"/>
      <c r="N7564" s="904"/>
      <c r="O7564" s="902">
        <v>4</v>
      </c>
      <c r="P7564" s="906">
        <v>38274</v>
      </c>
      <c r="Q7564" s="1415">
        <f>8.5*0.9</f>
        <v>7.65</v>
      </c>
      <c r="R7564" s="908">
        <f>$A7564*Q7564</f>
        <v>53.550000000000004</v>
      </c>
      <c r="S7564" s="907"/>
      <c r="T7564" s="909">
        <f>$A7564*S7564*$T$1</f>
        <v>0</v>
      </c>
      <c r="AR7564" s="903">
        <v>7</v>
      </c>
      <c r="AS7564" s="904" t="s">
        <v>3507</v>
      </c>
    </row>
    <row r="7565" spans="1:45" s="520" customFormat="1" ht="12">
      <c r="A7565" s="758"/>
      <c r="B7565" s="758"/>
      <c r="C7565" s="758"/>
      <c r="D7565" s="758"/>
      <c r="E7565" s="758"/>
      <c r="F7565" s="753"/>
      <c r="G7565" s="758"/>
      <c r="H7565" s="758"/>
      <c r="I7565" s="519"/>
      <c r="J7565" s="758"/>
      <c r="K7565" s="758"/>
      <c r="L7565" s="758"/>
      <c r="M7565" s="758"/>
      <c r="N7565" s="758"/>
      <c r="O7565" s="758"/>
      <c r="P7565" s="758"/>
      <c r="Q7565" s="519"/>
      <c r="R7565" s="759">
        <f t="shared" ref="R7565" si="716">$A7565*Q7565</f>
        <v>0</v>
      </c>
      <c r="S7565" s="519"/>
      <c r="T7565" s="760">
        <f t="shared" ref="T7565" si="717">$A7565*S7565*$T$1</f>
        <v>0</v>
      </c>
      <c r="AR7565" s="758"/>
      <c r="AS7565" s="753"/>
    </row>
    <row r="7566" spans="1:45" s="520" customFormat="1" ht="12.6" thickBot="1">
      <c r="A7566" s="761" t="s">
        <v>145</v>
      </c>
      <c r="B7566" s="762">
        <f>(R7565+T7565)</f>
        <v>0</v>
      </c>
      <c r="C7566" s="763"/>
      <c r="D7566" s="763"/>
      <c r="E7566" s="763"/>
      <c r="F7566" s="764"/>
      <c r="G7566" s="763" t="s">
        <v>146</v>
      </c>
      <c r="H7566" s="763"/>
      <c r="I7566" s="765"/>
      <c r="J7566" s="763"/>
      <c r="K7566" s="763" t="s">
        <v>5</v>
      </c>
      <c r="L7566" s="766" t="s">
        <v>143</v>
      </c>
      <c r="M7566" s="766"/>
      <c r="N7566" s="766"/>
      <c r="O7566" s="766"/>
      <c r="P7566" s="766"/>
      <c r="Q7566" s="767"/>
      <c r="R7566" s="768">
        <f>SUM(R7563:R7565)</f>
        <v>53.550000000000004</v>
      </c>
      <c r="S7566" s="763"/>
      <c r="T7566" s="768">
        <f>SUM(T7563:T7565)</f>
        <v>0</v>
      </c>
      <c r="U7566" s="531"/>
      <c r="V7566" s="531"/>
      <c r="W7566" s="531"/>
      <c r="X7566" s="531"/>
      <c r="Y7566" s="531"/>
      <c r="Z7566" s="531"/>
      <c r="AA7566" s="531"/>
      <c r="AB7566" s="531"/>
      <c r="AC7566" s="531"/>
      <c r="AD7566" s="531"/>
      <c r="AE7566" s="531"/>
      <c r="AF7566" s="531"/>
      <c r="AG7566" s="531"/>
      <c r="AH7566" s="531"/>
      <c r="AI7566" s="531"/>
      <c r="AJ7566" s="531"/>
      <c r="AK7566" s="531"/>
      <c r="AL7566" s="531"/>
      <c r="AM7566" s="531"/>
      <c r="AN7566" s="531"/>
      <c r="AO7566" s="531"/>
      <c r="AR7566" s="761" t="s">
        <v>145</v>
      </c>
      <c r="AS7566" s="764"/>
    </row>
    <row r="7567" spans="1:45" s="520" customFormat="1" ht="12" thickTop="1">
      <c r="A7567" s="51"/>
      <c r="B7567" s="41"/>
      <c r="C7567" s="51"/>
      <c r="E7567" s="42" t="s">
        <v>138</v>
      </c>
      <c r="F7567" s="42" t="s">
        <v>139</v>
      </c>
      <c r="G7567" s="51"/>
      <c r="H7567" s="51"/>
      <c r="I7567" s="51"/>
      <c r="J7567" s="51"/>
      <c r="K7567" s="51" t="s">
        <v>140</v>
      </c>
      <c r="L7567" s="51"/>
      <c r="M7567" s="51"/>
      <c r="N7567" s="51"/>
      <c r="O7567" s="52"/>
      <c r="P7567" s="51"/>
      <c r="Q7567" s="51"/>
      <c r="R7567" s="51"/>
      <c r="S7567" s="51"/>
      <c r="T7567" s="41"/>
      <c r="AG7567" s="521" t="s">
        <v>268</v>
      </c>
      <c r="AH7567" s="521" t="s">
        <v>269</v>
      </c>
      <c r="AI7567" s="521" t="s">
        <v>270</v>
      </c>
      <c r="AJ7567" s="521" t="s">
        <v>271</v>
      </c>
      <c r="AK7567" s="521" t="s">
        <v>272</v>
      </c>
      <c r="AM7567" s="745" t="s">
        <v>281</v>
      </c>
      <c r="AN7567" s="746" t="s">
        <v>282</v>
      </c>
      <c r="AO7567" s="522" t="s">
        <v>278</v>
      </c>
      <c r="AR7567" s="51"/>
      <c r="AS7567" s="42" t="s">
        <v>139</v>
      </c>
    </row>
    <row r="7568" spans="1:45" s="520" customFormat="1" ht="12" customHeight="1">
      <c r="A7568" s="747">
        <v>7</v>
      </c>
      <c r="B7568" s="523" t="s">
        <v>329</v>
      </c>
      <c r="C7568" s="748"/>
      <c r="D7568" s="749" t="s">
        <v>3988</v>
      </c>
      <c r="E7568" s="1145">
        <f>IF(AND($A7568=0,$A$1="DIF"),0, ROUND(ROUND(($R7572*$S$3+($T7572*$T$3))/$A7568,2)*$C$3,2))</f>
        <v>16.25</v>
      </c>
      <c r="F7568" s="1146">
        <f>ROUND($A7568*$E7568,2)</f>
        <v>113.75</v>
      </c>
      <c r="G7568" s="752" t="s">
        <v>142</v>
      </c>
      <c r="H7568" s="753"/>
      <c r="I7568" s="754"/>
      <c r="J7568" s="753"/>
      <c r="K7568" s="753" t="s">
        <v>5</v>
      </c>
      <c r="L7568" s="755" t="s">
        <v>143</v>
      </c>
      <c r="M7568" s="755"/>
      <c r="N7568" s="755"/>
      <c r="O7568" s="755"/>
      <c r="P7568" s="755"/>
      <c r="Q7568" s="51"/>
      <c r="T7568" s="1150" t="str">
        <f>IF(AND($R7572=0,$T7572=0),"0.00","mu: "&amp; ROUND(F7568/$C$3/($R7572+$T7572*$D$9),2))</f>
        <v>mu: 1.13</v>
      </c>
      <c r="W7568" s="524"/>
      <c r="AG7568" s="1147">
        <f>IF($E7568=0,0,ROUND($R7572*$S$3*$C$3/$A7568,2))</f>
        <v>16.25</v>
      </c>
      <c r="AH7568" s="1147">
        <f>$AG7568*$A7568</f>
        <v>113.75</v>
      </c>
      <c r="AI7568" s="1148">
        <f>$E7568-$AG7568</f>
        <v>0</v>
      </c>
      <c r="AJ7568" s="1148">
        <f>$A7568*$AI7568</f>
        <v>0</v>
      </c>
      <c r="AK7568" s="1149">
        <f>ROUND(($AG7568+$AI7568)*$A7568,2)</f>
        <v>113.75</v>
      </c>
      <c r="AM7568" s="527">
        <f>ROUND(R7572,2)</f>
        <v>100.8</v>
      </c>
      <c r="AN7568" s="528">
        <f>ROUND(T7572,2)</f>
        <v>0</v>
      </c>
      <c r="AO7568" s="529">
        <f>ROUND(AM7568+AN7568,2)*A7568</f>
        <v>705.6</v>
      </c>
      <c r="AR7568" s="747">
        <v>7</v>
      </c>
      <c r="AS7568" s="1146">
        <v>120.12</v>
      </c>
    </row>
    <row r="7569" spans="1:45" s="520" customFormat="1" ht="13.2">
      <c r="A7569" s="748"/>
      <c r="B7569"/>
      <c r="C7569" s="748"/>
      <c r="D7569" s="749" t="s">
        <v>1958</v>
      </c>
      <c r="F7569" s="753"/>
      <c r="G7569" s="3"/>
      <c r="H7569" s="753"/>
      <c r="I7569" s="754"/>
      <c r="J7569" s="753"/>
      <c r="K7569" s="753" t="s">
        <v>144</v>
      </c>
      <c r="L7569" s="753"/>
      <c r="M7569" s="753"/>
      <c r="N7569" s="753"/>
      <c r="O7569" s="753"/>
      <c r="P7569" s="753"/>
      <c r="Q7569" s="51"/>
      <c r="R7569" s="530"/>
      <c r="S7569" s="757"/>
      <c r="T7569" s="753"/>
      <c r="AR7569" s="748"/>
      <c r="AS7569" s="753"/>
    </row>
    <row r="7570" spans="1:45" s="901" customFormat="1" ht="13.2">
      <c r="A7570" s="903">
        <v>7</v>
      </c>
      <c r="B7570" s="904" t="s">
        <v>863</v>
      </c>
      <c r="C7570" s="904"/>
      <c r="D7570" s="904" t="s">
        <v>2594</v>
      </c>
      <c r="E7570" s="904"/>
      <c r="F7570" s="904" t="s">
        <v>4139</v>
      </c>
      <c r="G7570" s="905" t="s">
        <v>2595</v>
      </c>
      <c r="H7570" s="902">
        <v>960</v>
      </c>
      <c r="I7570" s="904" t="s">
        <v>2596</v>
      </c>
      <c r="J7570" s="904"/>
      <c r="K7570" s="904"/>
      <c r="L7570" s="904"/>
      <c r="M7570" s="904"/>
      <c r="N7570" s="904"/>
      <c r="O7570" s="902">
        <v>4</v>
      </c>
      <c r="P7570" s="906">
        <v>38274</v>
      </c>
      <c r="Q7570" s="1415">
        <f>16*0.9</f>
        <v>14.4</v>
      </c>
      <c r="R7570" s="908">
        <f>$A7570*Q7570</f>
        <v>100.8</v>
      </c>
      <c r="S7570" s="907"/>
      <c r="T7570" s="909">
        <f>$A7570*S7570*$T$1</f>
        <v>0</v>
      </c>
      <c r="AR7570" s="903">
        <v>7</v>
      </c>
      <c r="AS7570" s="904" t="s">
        <v>3507</v>
      </c>
    </row>
    <row r="7571" spans="1:45" s="520" customFormat="1" ht="12">
      <c r="A7571" s="758"/>
      <c r="B7571" s="758"/>
      <c r="C7571" s="758"/>
      <c r="D7571" s="758"/>
      <c r="E7571" s="758"/>
      <c r="F7571" s="753"/>
      <c r="G7571" s="758"/>
      <c r="H7571" s="758"/>
      <c r="I7571" s="519"/>
      <c r="J7571" s="758"/>
      <c r="K7571" s="758"/>
      <c r="L7571" s="758"/>
      <c r="M7571" s="758"/>
      <c r="N7571" s="758"/>
      <c r="O7571" s="758"/>
      <c r="P7571" s="758"/>
      <c r="Q7571" s="519"/>
      <c r="R7571" s="759">
        <f t="shared" ref="R7571" si="718">$A7571*Q7571</f>
        <v>0</v>
      </c>
      <c r="S7571" s="519"/>
      <c r="T7571" s="760">
        <f t="shared" ref="T7571" si="719">$A7571*S7571*$T$1</f>
        <v>0</v>
      </c>
      <c r="AR7571" s="758"/>
      <c r="AS7571" s="753"/>
    </row>
    <row r="7572" spans="1:45" s="520" customFormat="1" ht="12.6" thickBot="1">
      <c r="A7572" s="761" t="s">
        <v>145</v>
      </c>
      <c r="B7572" s="762">
        <f>(R7571+T7571)</f>
        <v>0</v>
      </c>
      <c r="C7572" s="763"/>
      <c r="D7572" s="763"/>
      <c r="E7572" s="763"/>
      <c r="F7572" s="764"/>
      <c r="G7572" s="763" t="s">
        <v>146</v>
      </c>
      <c r="H7572" s="763"/>
      <c r="I7572" s="765"/>
      <c r="J7572" s="763"/>
      <c r="K7572" s="763" t="s">
        <v>5</v>
      </c>
      <c r="L7572" s="766" t="s">
        <v>143</v>
      </c>
      <c r="M7572" s="766"/>
      <c r="N7572" s="766"/>
      <c r="O7572" s="766"/>
      <c r="P7572" s="766"/>
      <c r="Q7572" s="767"/>
      <c r="R7572" s="768">
        <f>SUM(R7569:R7571)</f>
        <v>100.8</v>
      </c>
      <c r="S7572" s="763"/>
      <c r="T7572" s="768">
        <f>SUM(T7569:T7571)</f>
        <v>0</v>
      </c>
      <c r="U7572" s="531"/>
      <c r="V7572" s="531"/>
      <c r="W7572" s="531"/>
      <c r="X7572" s="531"/>
      <c r="Y7572" s="531"/>
      <c r="Z7572" s="531"/>
      <c r="AA7572" s="531"/>
      <c r="AB7572" s="531"/>
      <c r="AC7572" s="531"/>
      <c r="AD7572" s="531"/>
      <c r="AE7572" s="531"/>
      <c r="AF7572" s="531"/>
      <c r="AG7572" s="531"/>
      <c r="AH7572" s="531"/>
      <c r="AI7572" s="531"/>
      <c r="AJ7572" s="531"/>
      <c r="AK7572" s="531"/>
      <c r="AL7572" s="531"/>
      <c r="AM7572" s="531"/>
      <c r="AN7572" s="531"/>
      <c r="AO7572" s="531"/>
      <c r="AR7572" s="761" t="s">
        <v>145</v>
      </c>
      <c r="AS7572" s="764"/>
    </row>
    <row r="7573" spans="1:45" s="520" customFormat="1" ht="12" thickTop="1">
      <c r="A7573" s="51"/>
      <c r="B7573" s="41"/>
      <c r="C7573" s="51"/>
      <c r="E7573" s="42" t="s">
        <v>138</v>
      </c>
      <c r="F7573" s="42" t="s">
        <v>139</v>
      </c>
      <c r="G7573" s="51"/>
      <c r="H7573" s="51"/>
      <c r="I7573" s="51"/>
      <c r="J7573" s="51"/>
      <c r="K7573" s="51" t="s">
        <v>140</v>
      </c>
      <c r="L7573" s="51"/>
      <c r="M7573" s="51"/>
      <c r="N7573" s="51"/>
      <c r="O7573" s="52"/>
      <c r="P7573" s="51"/>
      <c r="Q7573" s="51"/>
      <c r="R7573" s="51"/>
      <c r="S7573" s="51"/>
      <c r="T7573" s="41"/>
      <c r="AG7573" s="521" t="s">
        <v>268</v>
      </c>
      <c r="AH7573" s="521" t="s">
        <v>269</v>
      </c>
      <c r="AI7573" s="521" t="s">
        <v>270</v>
      </c>
      <c r="AJ7573" s="521" t="s">
        <v>271</v>
      </c>
      <c r="AK7573" s="521" t="s">
        <v>272</v>
      </c>
      <c r="AM7573" s="745" t="s">
        <v>281</v>
      </c>
      <c r="AN7573" s="746" t="s">
        <v>282</v>
      </c>
      <c r="AO7573" s="522" t="s">
        <v>278</v>
      </c>
      <c r="AR7573" s="51"/>
      <c r="AS7573" s="42" t="s">
        <v>139</v>
      </c>
    </row>
    <row r="7574" spans="1:45" s="520" customFormat="1" ht="12" customHeight="1">
      <c r="A7574" s="747">
        <v>53</v>
      </c>
      <c r="B7574" s="523" t="s">
        <v>957</v>
      </c>
      <c r="C7574" s="748"/>
      <c r="D7574" s="749" t="s">
        <v>3989</v>
      </c>
      <c r="E7574" s="1145">
        <f>IF(AND($A7574=0,$A$1="DIF"),0, ROUND(ROUND(($R7578*$S$3+($T7578*$T$3))/$A7574,2)*$C$3,2))</f>
        <v>9.14</v>
      </c>
      <c r="F7574" s="1146">
        <f>ROUND($A7574*$E7574,2)</f>
        <v>484.42</v>
      </c>
      <c r="G7574" s="752" t="s">
        <v>142</v>
      </c>
      <c r="H7574" s="753"/>
      <c r="I7574" s="754"/>
      <c r="J7574" s="753"/>
      <c r="K7574" s="753" t="s">
        <v>5</v>
      </c>
      <c r="L7574" s="755" t="s">
        <v>143</v>
      </c>
      <c r="M7574" s="755"/>
      <c r="N7574" s="755"/>
      <c r="O7574" s="755"/>
      <c r="P7574" s="755"/>
      <c r="Q7574" s="51"/>
      <c r="T7574" s="1150" t="str">
        <f>IF(AND($R7578=0,$T7578=0),"0.00","mu: "&amp; ROUND(F7574/$C$3/($R7578+$T7578*$D$9),2))</f>
        <v>mu: 1.13</v>
      </c>
      <c r="W7574" s="524"/>
      <c r="AG7574" s="1147">
        <f>IF($E7574=0,0,ROUND($R7578*$S$3*$C$3/$A7574,2))</f>
        <v>9.14</v>
      </c>
      <c r="AH7574" s="1147">
        <f>$AG7574*$A7574</f>
        <v>484.42</v>
      </c>
      <c r="AI7574" s="1148">
        <f>$E7574-$AG7574</f>
        <v>0</v>
      </c>
      <c r="AJ7574" s="1148">
        <f>$A7574*$AI7574</f>
        <v>0</v>
      </c>
      <c r="AK7574" s="1149">
        <f>ROUND(($AG7574+$AI7574)*$A7574,2)</f>
        <v>484.42</v>
      </c>
      <c r="AM7574" s="527">
        <f>ROUND(R7578,2)</f>
        <v>429.3</v>
      </c>
      <c r="AN7574" s="528">
        <f>ROUND(T7578,2)</f>
        <v>0</v>
      </c>
      <c r="AO7574" s="529">
        <f>ROUND(AM7574+AN7574,2)*A7574</f>
        <v>22752.9</v>
      </c>
      <c r="AR7574" s="747">
        <v>53</v>
      </c>
      <c r="AS7574" s="1146">
        <v>511.45</v>
      </c>
    </row>
    <row r="7575" spans="1:45" s="520" customFormat="1" ht="13.2">
      <c r="A7575" s="748"/>
      <c r="B7575"/>
      <c r="C7575" s="748"/>
      <c r="D7575" s="749" t="s">
        <v>1928</v>
      </c>
      <c r="F7575" s="753"/>
      <c r="G7575" s="3"/>
      <c r="H7575" s="753"/>
      <c r="I7575" s="754"/>
      <c r="J7575" s="753"/>
      <c r="K7575" s="753" t="s">
        <v>144</v>
      </c>
      <c r="L7575" s="753"/>
      <c r="M7575" s="753"/>
      <c r="N7575" s="753"/>
      <c r="O7575" s="753"/>
      <c r="P7575" s="753"/>
      <c r="Q7575" s="51"/>
      <c r="R7575" s="530"/>
      <c r="S7575" s="757"/>
      <c r="T7575" s="753"/>
      <c r="AR7575" s="748"/>
      <c r="AS7575" s="753"/>
    </row>
    <row r="7576" spans="1:45" s="901" customFormat="1" ht="13.2">
      <c r="A7576" s="903">
        <v>53</v>
      </c>
      <c r="B7576" s="904" t="s">
        <v>863</v>
      </c>
      <c r="C7576" s="904"/>
      <c r="D7576" s="904" t="s">
        <v>2594</v>
      </c>
      <c r="E7576" s="904"/>
      <c r="F7576" s="904" t="s">
        <v>4139</v>
      </c>
      <c r="G7576" s="905" t="s">
        <v>2595</v>
      </c>
      <c r="H7576" s="902">
        <v>960</v>
      </c>
      <c r="I7576" s="904" t="s">
        <v>2596</v>
      </c>
      <c r="J7576" s="904"/>
      <c r="K7576" s="904"/>
      <c r="L7576" s="904"/>
      <c r="M7576" s="904"/>
      <c r="N7576" s="904"/>
      <c r="O7576" s="902">
        <v>4</v>
      </c>
      <c r="P7576" s="906">
        <v>38274</v>
      </c>
      <c r="Q7576" s="1415">
        <f>9*0.9</f>
        <v>8.1</v>
      </c>
      <c r="R7576" s="908">
        <f>$A7576*Q7576</f>
        <v>429.29999999999995</v>
      </c>
      <c r="S7576" s="907"/>
      <c r="T7576" s="909">
        <f>$A7576*S7576*$T$1</f>
        <v>0</v>
      </c>
      <c r="AR7576" s="903">
        <v>53</v>
      </c>
      <c r="AS7576" s="904" t="s">
        <v>3507</v>
      </c>
    </row>
    <row r="7577" spans="1:45" s="520" customFormat="1" ht="12">
      <c r="A7577" s="758"/>
      <c r="B7577" s="758"/>
      <c r="C7577" s="758"/>
      <c r="D7577" s="758"/>
      <c r="E7577" s="758"/>
      <c r="F7577" s="753"/>
      <c r="G7577" s="758"/>
      <c r="H7577" s="758"/>
      <c r="I7577" s="519"/>
      <c r="J7577" s="758"/>
      <c r="K7577" s="758"/>
      <c r="L7577" s="758"/>
      <c r="M7577" s="758"/>
      <c r="N7577" s="758"/>
      <c r="O7577" s="758"/>
      <c r="P7577" s="758"/>
      <c r="Q7577" s="519"/>
      <c r="R7577" s="759">
        <f t="shared" ref="R7577" si="720">$A7577*Q7577</f>
        <v>0</v>
      </c>
      <c r="S7577" s="519"/>
      <c r="T7577" s="760">
        <f t="shared" ref="T7577" si="721">$A7577*S7577*$T$1</f>
        <v>0</v>
      </c>
      <c r="AR7577" s="758"/>
      <c r="AS7577" s="753"/>
    </row>
    <row r="7578" spans="1:45" s="520" customFormat="1" ht="12.6" thickBot="1">
      <c r="A7578" s="761" t="s">
        <v>145</v>
      </c>
      <c r="B7578" s="762">
        <f>(R7577+T7577)</f>
        <v>0</v>
      </c>
      <c r="C7578" s="763"/>
      <c r="D7578" s="763"/>
      <c r="E7578" s="763"/>
      <c r="F7578" s="764"/>
      <c r="G7578" s="763" t="s">
        <v>146</v>
      </c>
      <c r="H7578" s="763"/>
      <c r="I7578" s="765"/>
      <c r="J7578" s="763"/>
      <c r="K7578" s="763" t="s">
        <v>5</v>
      </c>
      <c r="L7578" s="766" t="s">
        <v>143</v>
      </c>
      <c r="M7578" s="766"/>
      <c r="N7578" s="766"/>
      <c r="O7578" s="766"/>
      <c r="P7578" s="766"/>
      <c r="Q7578" s="767"/>
      <c r="R7578" s="768">
        <f>SUM(R7575:R7577)</f>
        <v>429.29999999999995</v>
      </c>
      <c r="S7578" s="763"/>
      <c r="T7578" s="768">
        <f>SUM(T7575:T7577)</f>
        <v>0</v>
      </c>
      <c r="U7578" s="531"/>
      <c r="V7578" s="531"/>
      <c r="W7578" s="531"/>
      <c r="X7578" s="531"/>
      <c r="Y7578" s="531"/>
      <c r="Z7578" s="531"/>
      <c r="AA7578" s="531"/>
      <c r="AB7578" s="531"/>
      <c r="AC7578" s="531"/>
      <c r="AD7578" s="531"/>
      <c r="AE7578" s="531"/>
      <c r="AF7578" s="531"/>
      <c r="AG7578" s="531"/>
      <c r="AH7578" s="531"/>
      <c r="AI7578" s="531"/>
      <c r="AJ7578" s="531"/>
      <c r="AK7578" s="531"/>
      <c r="AL7578" s="531"/>
      <c r="AM7578" s="531"/>
      <c r="AN7578" s="531"/>
      <c r="AO7578" s="531"/>
      <c r="AR7578" s="761" t="s">
        <v>145</v>
      </c>
      <c r="AS7578" s="764"/>
    </row>
    <row r="7579" spans="1:45" s="520" customFormat="1" ht="12" thickTop="1">
      <c r="A7579" s="51"/>
      <c r="B7579" s="41"/>
      <c r="C7579" s="51"/>
      <c r="E7579" s="42" t="s">
        <v>138</v>
      </c>
      <c r="F7579" s="42" t="s">
        <v>139</v>
      </c>
      <c r="G7579" s="51"/>
      <c r="H7579" s="51"/>
      <c r="I7579" s="51"/>
      <c r="J7579" s="51"/>
      <c r="K7579" s="51" t="s">
        <v>140</v>
      </c>
      <c r="L7579" s="51"/>
      <c r="M7579" s="51"/>
      <c r="N7579" s="51"/>
      <c r="O7579" s="52"/>
      <c r="P7579" s="51"/>
      <c r="Q7579" s="51"/>
      <c r="R7579" s="51"/>
      <c r="S7579" s="51"/>
      <c r="T7579" s="41"/>
      <c r="AG7579" s="521" t="s">
        <v>268</v>
      </c>
      <c r="AH7579" s="521" t="s">
        <v>269</v>
      </c>
      <c r="AI7579" s="521" t="s">
        <v>270</v>
      </c>
      <c r="AJ7579" s="521" t="s">
        <v>271</v>
      </c>
      <c r="AK7579" s="521" t="s">
        <v>272</v>
      </c>
      <c r="AM7579" s="745" t="s">
        <v>281</v>
      </c>
      <c r="AN7579" s="746" t="s">
        <v>282</v>
      </c>
      <c r="AO7579" s="522" t="s">
        <v>278</v>
      </c>
      <c r="AR7579" s="51"/>
      <c r="AS7579" s="42" t="s">
        <v>139</v>
      </c>
    </row>
    <row r="7580" spans="1:45" s="520" customFormat="1" ht="12" customHeight="1">
      <c r="A7580" s="747">
        <v>53</v>
      </c>
      <c r="B7580" s="523" t="s">
        <v>957</v>
      </c>
      <c r="C7580" s="748"/>
      <c r="D7580" s="749" t="s">
        <v>3990</v>
      </c>
      <c r="E7580" s="1145">
        <f>IF(AND($A7580=0,$A$1="DIF"),0, ROUND(ROUND(($R7584*$S$3+($T7584*$T$3))/$A7580,2)*$C$3,2))</f>
        <v>3.05</v>
      </c>
      <c r="F7580" s="1146">
        <f>ROUND($A7580*$E7580,2)</f>
        <v>161.65</v>
      </c>
      <c r="G7580" s="752" t="s">
        <v>142</v>
      </c>
      <c r="H7580" s="753"/>
      <c r="I7580" s="754"/>
      <c r="J7580" s="753"/>
      <c r="K7580" s="753" t="s">
        <v>5</v>
      </c>
      <c r="L7580" s="755" t="s">
        <v>143</v>
      </c>
      <c r="M7580" s="755"/>
      <c r="N7580" s="755"/>
      <c r="O7580" s="755"/>
      <c r="P7580" s="755"/>
      <c r="Q7580" s="51"/>
      <c r="T7580" s="1150" t="str">
        <f>IF(AND($R7584=0,$T7584=0),"0.00","mu: "&amp; ROUND(F7580/$C$3/($R7584+$T7584*$D$9),2))</f>
        <v>mu: 1.13</v>
      </c>
      <c r="W7580" s="524"/>
      <c r="AG7580" s="1147">
        <f>IF($E7580=0,0,ROUND($R7584*$S$3*$C$3/$A7580,2))</f>
        <v>3.05</v>
      </c>
      <c r="AH7580" s="1147">
        <f>$AG7580*$A7580</f>
        <v>161.64999999999998</v>
      </c>
      <c r="AI7580" s="1148">
        <f>$E7580-$AG7580</f>
        <v>0</v>
      </c>
      <c r="AJ7580" s="1148">
        <f>$A7580*$AI7580</f>
        <v>0</v>
      </c>
      <c r="AK7580" s="1149">
        <f>ROUND(($AG7580+$AI7580)*$A7580,2)</f>
        <v>161.65</v>
      </c>
      <c r="AM7580" s="527">
        <f>ROUND(R7584,2)</f>
        <v>143.1</v>
      </c>
      <c r="AN7580" s="528">
        <f>ROUND(T7584,2)</f>
        <v>0</v>
      </c>
      <c r="AO7580" s="529">
        <f>ROUND(AM7580+AN7580,2)*A7580</f>
        <v>7584.2999999999993</v>
      </c>
      <c r="AR7580" s="747">
        <v>53</v>
      </c>
      <c r="AS7580" s="1146">
        <v>170.66</v>
      </c>
    </row>
    <row r="7581" spans="1:45" s="520" customFormat="1" ht="13.2">
      <c r="A7581" s="748"/>
      <c r="B7581"/>
      <c r="C7581" s="748"/>
      <c r="D7581" s="749" t="s">
        <v>958</v>
      </c>
      <c r="F7581" s="753"/>
      <c r="G7581" s="3"/>
      <c r="H7581" s="753"/>
      <c r="I7581" s="754"/>
      <c r="J7581" s="753"/>
      <c r="K7581" s="753" t="s">
        <v>144</v>
      </c>
      <c r="L7581" s="753"/>
      <c r="M7581" s="753"/>
      <c r="N7581" s="753"/>
      <c r="O7581" s="753"/>
      <c r="P7581" s="753"/>
      <c r="Q7581" s="51"/>
      <c r="R7581" s="530"/>
      <c r="S7581" s="757"/>
      <c r="T7581" s="753"/>
      <c r="AR7581" s="748"/>
      <c r="AS7581" s="753"/>
    </row>
    <row r="7582" spans="1:45" s="901" customFormat="1" ht="13.2">
      <c r="A7582" s="903">
        <v>53</v>
      </c>
      <c r="B7582" s="904" t="s">
        <v>863</v>
      </c>
      <c r="C7582" s="904"/>
      <c r="D7582" s="904" t="s">
        <v>2594</v>
      </c>
      <c r="E7582" s="904"/>
      <c r="F7582" s="904" t="s">
        <v>4139</v>
      </c>
      <c r="G7582" s="905" t="s">
        <v>2595</v>
      </c>
      <c r="H7582" s="902">
        <v>960</v>
      </c>
      <c r="I7582" s="904" t="s">
        <v>2596</v>
      </c>
      <c r="J7582" s="904"/>
      <c r="K7582" s="904"/>
      <c r="L7582" s="904"/>
      <c r="M7582" s="904"/>
      <c r="N7582" s="904"/>
      <c r="O7582" s="902">
        <v>4</v>
      </c>
      <c r="P7582" s="906">
        <v>38274</v>
      </c>
      <c r="Q7582" s="1415">
        <f>3*0.9</f>
        <v>2.7</v>
      </c>
      <c r="R7582" s="908">
        <f>$A7582*Q7582</f>
        <v>143.10000000000002</v>
      </c>
      <c r="S7582" s="907"/>
      <c r="T7582" s="909">
        <f>$A7582*S7582*$T$1</f>
        <v>0</v>
      </c>
      <c r="AR7582" s="903">
        <v>53</v>
      </c>
      <c r="AS7582" s="904" t="s">
        <v>3507</v>
      </c>
    </row>
    <row r="7583" spans="1:45" s="520" customFormat="1" ht="12">
      <c r="A7583" s="758"/>
      <c r="B7583" s="758"/>
      <c r="C7583" s="758"/>
      <c r="D7583" s="758"/>
      <c r="E7583" s="758"/>
      <c r="F7583" s="753"/>
      <c r="G7583" s="758"/>
      <c r="H7583" s="758"/>
      <c r="I7583" s="519"/>
      <c r="J7583" s="758"/>
      <c r="K7583" s="758"/>
      <c r="L7583" s="758"/>
      <c r="M7583" s="758"/>
      <c r="N7583" s="758"/>
      <c r="O7583" s="758"/>
      <c r="P7583" s="758"/>
      <c r="Q7583" s="519"/>
      <c r="R7583" s="759">
        <f t="shared" ref="R7583" si="722">$A7583*Q7583</f>
        <v>0</v>
      </c>
      <c r="S7583" s="519"/>
      <c r="T7583" s="760">
        <f t="shared" ref="T7583" si="723">$A7583*S7583*$T$1</f>
        <v>0</v>
      </c>
      <c r="AR7583" s="758"/>
      <c r="AS7583" s="753"/>
    </row>
    <row r="7584" spans="1:45" s="520" customFormat="1" ht="12.6" thickBot="1">
      <c r="A7584" s="761" t="s">
        <v>145</v>
      </c>
      <c r="B7584" s="762">
        <f>(R7583+T7583)</f>
        <v>0</v>
      </c>
      <c r="C7584" s="763"/>
      <c r="D7584" s="763"/>
      <c r="E7584" s="763"/>
      <c r="F7584" s="764"/>
      <c r="G7584" s="763" t="s">
        <v>146</v>
      </c>
      <c r="H7584" s="763"/>
      <c r="I7584" s="765"/>
      <c r="J7584" s="763"/>
      <c r="K7584" s="763" t="s">
        <v>5</v>
      </c>
      <c r="L7584" s="766" t="s">
        <v>143</v>
      </c>
      <c r="M7584" s="766"/>
      <c r="N7584" s="766"/>
      <c r="O7584" s="766"/>
      <c r="P7584" s="766"/>
      <c r="Q7584" s="767"/>
      <c r="R7584" s="768">
        <f>SUM(R7581:R7583)</f>
        <v>143.10000000000002</v>
      </c>
      <c r="S7584" s="763"/>
      <c r="T7584" s="768">
        <f>SUM(T7581:T7583)</f>
        <v>0</v>
      </c>
      <c r="U7584" s="531"/>
      <c r="V7584" s="531"/>
      <c r="W7584" s="531"/>
      <c r="X7584" s="531"/>
      <c r="Y7584" s="531"/>
      <c r="Z7584" s="531"/>
      <c r="AA7584" s="531"/>
      <c r="AB7584" s="531"/>
      <c r="AC7584" s="531"/>
      <c r="AD7584" s="531"/>
      <c r="AE7584" s="531"/>
      <c r="AF7584" s="531"/>
      <c r="AG7584" s="531"/>
      <c r="AH7584" s="531"/>
      <c r="AI7584" s="531"/>
      <c r="AJ7584" s="531"/>
      <c r="AK7584" s="531"/>
      <c r="AL7584" s="531"/>
      <c r="AM7584" s="531"/>
      <c r="AN7584" s="531"/>
      <c r="AO7584" s="531"/>
      <c r="AR7584" s="761" t="s">
        <v>145</v>
      </c>
      <c r="AS7584" s="764"/>
    </row>
    <row r="7585" spans="1:45" s="520" customFormat="1" thickTop="1">
      <c r="A7585" s="51"/>
      <c r="B7585" s="51"/>
      <c r="C7585" s="3"/>
      <c r="D7585" s="3"/>
      <c r="E7585" s="51"/>
      <c r="F7585" s="51"/>
      <c r="G7585" s="51"/>
      <c r="H7585" s="51"/>
      <c r="I7585" s="51"/>
      <c r="J7585" s="51"/>
      <c r="K7585" s="51" t="s">
        <v>134</v>
      </c>
      <c r="L7585" s="51"/>
      <c r="M7585" s="51"/>
      <c r="N7585" s="51"/>
      <c r="O7585" s="52"/>
      <c r="P7585" s="51"/>
      <c r="Q7585" s="51"/>
      <c r="R7585" s="51"/>
      <c r="S7585" s="51"/>
      <c r="T7585" s="51"/>
      <c r="AR7585" s="51"/>
      <c r="AS7585" s="51"/>
    </row>
    <row r="7586" spans="1:45" s="520" customFormat="1" ht="12">
      <c r="A7586" s="51"/>
      <c r="B7586" s="51"/>
      <c r="C7586" s="51" t="s">
        <v>135</v>
      </c>
      <c r="D7586" s="37"/>
      <c r="E7586" s="51"/>
      <c r="F7586" s="51"/>
      <c r="G7586" s="51"/>
      <c r="H7586" s="51"/>
      <c r="I7586" s="51"/>
      <c r="J7586" s="51"/>
      <c r="K7586" s="51"/>
      <c r="L7586" s="51"/>
      <c r="M7586" s="51"/>
      <c r="N7586" s="51"/>
      <c r="O7586" s="52"/>
      <c r="P7586" s="51"/>
      <c r="Q7586" s="51"/>
      <c r="R7586" s="51"/>
      <c r="S7586" s="51"/>
      <c r="T7586" s="51"/>
      <c r="AR7586" s="51"/>
      <c r="AS7586" s="51"/>
    </row>
    <row r="7587" spans="1:45" s="520" customFormat="1" ht="12">
      <c r="A7587" s="51"/>
      <c r="B7587" s="51"/>
      <c r="C7587" s="51"/>
      <c r="D7587" s="37" t="s">
        <v>1003</v>
      </c>
      <c r="E7587" s="51"/>
      <c r="F7587" s="51"/>
      <c r="G7587" s="51"/>
      <c r="H7587" s="51"/>
      <c r="I7587" s="51"/>
      <c r="J7587" s="51"/>
      <c r="K7587" s="51"/>
      <c r="L7587" s="51"/>
      <c r="M7587" s="51"/>
      <c r="N7587" s="51"/>
      <c r="O7587" s="52"/>
      <c r="P7587" s="51"/>
      <c r="Q7587" s="51"/>
      <c r="R7587" s="51"/>
      <c r="S7587" s="38"/>
      <c r="T7587" s="38"/>
      <c r="AR7587" s="51"/>
      <c r="AS7587" s="51"/>
    </row>
    <row r="7588" spans="1:45" s="3" customFormat="1" thickBot="1">
      <c r="A7588" s="531"/>
      <c r="O7588" s="107"/>
      <c r="AR7588" s="531"/>
    </row>
    <row r="7589" spans="1:45" s="520" customFormat="1" ht="12" thickTop="1">
      <c r="A7589" s="51"/>
      <c r="B7589" s="41"/>
      <c r="C7589" s="51"/>
      <c r="E7589" s="42" t="s">
        <v>138</v>
      </c>
      <c r="F7589" s="42" t="s">
        <v>139</v>
      </c>
      <c r="G7589" s="51"/>
      <c r="H7589" s="51"/>
      <c r="I7589" s="51"/>
      <c r="J7589" s="51"/>
      <c r="K7589" s="51" t="s">
        <v>140</v>
      </c>
      <c r="L7589" s="51"/>
      <c r="M7589" s="51"/>
      <c r="N7589" s="51"/>
      <c r="O7589" s="52"/>
      <c r="P7589" s="51"/>
      <c r="Q7589" s="51"/>
      <c r="R7589" s="51"/>
      <c r="S7589" s="51"/>
      <c r="T7589" s="41"/>
      <c r="AG7589" s="521" t="s">
        <v>268</v>
      </c>
      <c r="AH7589" s="521" t="s">
        <v>269</v>
      </c>
      <c r="AI7589" s="521" t="s">
        <v>270</v>
      </c>
      <c r="AJ7589" s="521" t="s">
        <v>271</v>
      </c>
      <c r="AK7589" s="521" t="s">
        <v>272</v>
      </c>
      <c r="AM7589" s="745" t="s">
        <v>281</v>
      </c>
      <c r="AN7589" s="746" t="s">
        <v>282</v>
      </c>
      <c r="AO7589" s="522" t="s">
        <v>278</v>
      </c>
      <c r="AR7589" s="51"/>
      <c r="AS7589" s="42" t="s">
        <v>139</v>
      </c>
    </row>
    <row r="7590" spans="1:45" s="520" customFormat="1" ht="12" customHeight="1">
      <c r="A7590" s="747">
        <v>1</v>
      </c>
      <c r="B7590" s="523" t="s">
        <v>329</v>
      </c>
      <c r="C7590" s="748"/>
      <c r="D7590" s="749" t="s">
        <v>3991</v>
      </c>
      <c r="E7590" s="1145">
        <f>IF(AND($A7590=0,$A$1="DIF"),0, ROUND(ROUND(($R7594*$S$3+($T7594*$T$3))/$A7590,2)*$C$3,2))</f>
        <v>198.09</v>
      </c>
      <c r="F7590" s="1146">
        <f>ROUND($A7590*$E7590,2)</f>
        <v>198.09</v>
      </c>
      <c r="G7590" s="752" t="s">
        <v>142</v>
      </c>
      <c r="H7590" s="753"/>
      <c r="I7590" s="754"/>
      <c r="J7590" s="753"/>
      <c r="K7590" s="753" t="s">
        <v>5</v>
      </c>
      <c r="L7590" s="755" t="s">
        <v>143</v>
      </c>
      <c r="M7590" s="755"/>
      <c r="N7590" s="755"/>
      <c r="O7590" s="755"/>
      <c r="P7590" s="755"/>
      <c r="Q7590" s="51"/>
      <c r="T7590" s="1150" t="str">
        <f>IF(AND($R7594=0,$T7594=0),"0.00","mu: "&amp; ROUND(F7590/$C$3/($R7594+$T7594*$D$9),2))</f>
        <v>mu: 1.13</v>
      </c>
      <c r="W7590" s="524"/>
      <c r="AG7590" s="1147">
        <f>IF($E7590=0,0,ROUND($R7594*$S$3*$C$3/$A7590,2))</f>
        <v>198.09</v>
      </c>
      <c r="AH7590" s="1147">
        <f>$AG7590*$A7590</f>
        <v>198.09</v>
      </c>
      <c r="AI7590" s="1148">
        <f>$E7590-$AG7590</f>
        <v>0</v>
      </c>
      <c r="AJ7590" s="1148">
        <f>$A7590*$AI7590</f>
        <v>0</v>
      </c>
      <c r="AK7590" s="1149">
        <f>ROUND(($AG7590+$AI7590)*$A7590,2)</f>
        <v>198.09</v>
      </c>
      <c r="AM7590" s="527">
        <f>ROUND(R7594,2)</f>
        <v>175.5</v>
      </c>
      <c r="AN7590" s="528">
        <f>ROUND(T7594,2)</f>
        <v>0</v>
      </c>
      <c r="AO7590" s="529">
        <f>ROUND(AM7590+AN7590,2)*A7590</f>
        <v>175.5</v>
      </c>
      <c r="AR7590" s="747">
        <v>1</v>
      </c>
      <c r="AS7590" s="1146">
        <v>209.1</v>
      </c>
    </row>
    <row r="7591" spans="1:45" s="520" customFormat="1" ht="13.2">
      <c r="A7591" s="748"/>
      <c r="B7591"/>
      <c r="C7591" s="748"/>
      <c r="D7591" s="749" t="s">
        <v>1936</v>
      </c>
      <c r="F7591" s="753"/>
      <c r="G7591" s="3"/>
      <c r="H7591" s="753"/>
      <c r="I7591" s="754"/>
      <c r="J7591" s="753"/>
      <c r="K7591" s="753" t="s">
        <v>144</v>
      </c>
      <c r="L7591" s="753"/>
      <c r="M7591" s="753"/>
      <c r="N7591" s="753"/>
      <c r="O7591" s="753"/>
      <c r="P7591" s="753"/>
      <c r="Q7591" s="51"/>
      <c r="R7591" s="530"/>
      <c r="S7591" s="757"/>
      <c r="T7591" s="753"/>
      <c r="AR7591" s="748"/>
      <c r="AS7591" s="753"/>
    </row>
    <row r="7592" spans="1:45" s="901" customFormat="1" ht="13.2">
      <c r="A7592" s="903">
        <v>1</v>
      </c>
      <c r="B7592" s="904" t="s">
        <v>863</v>
      </c>
      <c r="C7592" s="904"/>
      <c r="D7592" s="904" t="s">
        <v>2594</v>
      </c>
      <c r="E7592" s="904"/>
      <c r="F7592" s="904" t="s">
        <v>4139</v>
      </c>
      <c r="G7592" s="905" t="s">
        <v>2595</v>
      </c>
      <c r="H7592" s="902">
        <v>960</v>
      </c>
      <c r="I7592" s="904" t="s">
        <v>2596</v>
      </c>
      <c r="J7592" s="904"/>
      <c r="K7592" s="904"/>
      <c r="L7592" s="904"/>
      <c r="M7592" s="904"/>
      <c r="N7592" s="904"/>
      <c r="O7592" s="902">
        <v>4</v>
      </c>
      <c r="P7592" s="906">
        <v>38274</v>
      </c>
      <c r="Q7592" s="1415">
        <f>195*0.9</f>
        <v>175.5</v>
      </c>
      <c r="R7592" s="908">
        <f>$A7592*Q7592</f>
        <v>175.5</v>
      </c>
      <c r="S7592" s="907"/>
      <c r="T7592" s="909">
        <f>$A7592*S7592*$T$1</f>
        <v>0</v>
      </c>
      <c r="AR7592" s="903">
        <v>1</v>
      </c>
      <c r="AS7592" s="904" t="s">
        <v>3507</v>
      </c>
    </row>
    <row r="7593" spans="1:45" s="520" customFormat="1" ht="12">
      <c r="A7593" s="758"/>
      <c r="B7593" s="758"/>
      <c r="C7593" s="758"/>
      <c r="D7593" s="758"/>
      <c r="E7593" s="758"/>
      <c r="F7593" s="753"/>
      <c r="G7593" s="758"/>
      <c r="H7593" s="758"/>
      <c r="I7593" s="519"/>
      <c r="J7593" s="758"/>
      <c r="K7593" s="758"/>
      <c r="L7593" s="758"/>
      <c r="M7593" s="758"/>
      <c r="N7593" s="758"/>
      <c r="O7593" s="758"/>
      <c r="P7593" s="758"/>
      <c r="Q7593" s="519"/>
      <c r="R7593" s="759">
        <f t="shared" ref="R7593" si="724">$A7593*Q7593</f>
        <v>0</v>
      </c>
      <c r="S7593" s="519"/>
      <c r="T7593" s="760">
        <f t="shared" ref="T7593" si="725">$A7593*S7593*$T$1</f>
        <v>0</v>
      </c>
      <c r="AR7593" s="758"/>
      <c r="AS7593" s="753"/>
    </row>
    <row r="7594" spans="1:45" s="520" customFormat="1" ht="12.6" thickBot="1">
      <c r="A7594" s="761" t="s">
        <v>145</v>
      </c>
      <c r="B7594" s="762">
        <f>(R7593+T7593)</f>
        <v>0</v>
      </c>
      <c r="C7594" s="763"/>
      <c r="D7594" s="763"/>
      <c r="E7594" s="763"/>
      <c r="F7594" s="764"/>
      <c r="G7594" s="763" t="s">
        <v>146</v>
      </c>
      <c r="H7594" s="763"/>
      <c r="I7594" s="765"/>
      <c r="J7594" s="763"/>
      <c r="K7594" s="763" t="s">
        <v>5</v>
      </c>
      <c r="L7594" s="766" t="s">
        <v>143</v>
      </c>
      <c r="M7594" s="766"/>
      <c r="N7594" s="766"/>
      <c r="O7594" s="766"/>
      <c r="P7594" s="766"/>
      <c r="Q7594" s="767"/>
      <c r="R7594" s="768">
        <f>SUM(R7591:R7593)</f>
        <v>175.5</v>
      </c>
      <c r="S7594" s="763"/>
      <c r="T7594" s="768">
        <f>SUM(T7591:T7593)</f>
        <v>0</v>
      </c>
      <c r="U7594" s="531"/>
      <c r="V7594" s="531"/>
      <c r="W7594" s="531"/>
      <c r="X7594" s="531"/>
      <c r="Y7594" s="531"/>
      <c r="Z7594" s="531"/>
      <c r="AA7594" s="531"/>
      <c r="AB7594" s="531"/>
      <c r="AC7594" s="531"/>
      <c r="AD7594" s="531"/>
      <c r="AE7594" s="531"/>
      <c r="AF7594" s="531"/>
      <c r="AG7594" s="531"/>
      <c r="AH7594" s="531"/>
      <c r="AI7594" s="531"/>
      <c r="AJ7594" s="531"/>
      <c r="AK7594" s="531"/>
      <c r="AL7594" s="531"/>
      <c r="AM7594" s="531"/>
      <c r="AN7594" s="531"/>
      <c r="AO7594" s="531"/>
      <c r="AR7594" s="761" t="s">
        <v>145</v>
      </c>
      <c r="AS7594" s="764"/>
    </row>
    <row r="7595" spans="1:45" s="520" customFormat="1" ht="12" thickTop="1">
      <c r="A7595" s="51"/>
      <c r="B7595" s="41"/>
      <c r="C7595" s="51"/>
      <c r="E7595" s="42" t="s">
        <v>138</v>
      </c>
      <c r="F7595" s="42" t="s">
        <v>139</v>
      </c>
      <c r="G7595" s="51"/>
      <c r="H7595" s="51"/>
      <c r="I7595" s="51"/>
      <c r="J7595" s="51"/>
      <c r="K7595" s="51" t="s">
        <v>140</v>
      </c>
      <c r="L7595" s="51"/>
      <c r="M7595" s="51"/>
      <c r="N7595" s="51"/>
      <c r="O7595" s="52"/>
      <c r="P7595" s="51"/>
      <c r="Q7595" s="51"/>
      <c r="R7595" s="51"/>
      <c r="S7595" s="51"/>
      <c r="T7595" s="41"/>
      <c r="AG7595" s="521" t="s">
        <v>268</v>
      </c>
      <c r="AH7595" s="521" t="s">
        <v>269</v>
      </c>
      <c r="AI7595" s="521" t="s">
        <v>270</v>
      </c>
      <c r="AJ7595" s="521" t="s">
        <v>271</v>
      </c>
      <c r="AK7595" s="521" t="s">
        <v>272</v>
      </c>
      <c r="AM7595" s="745" t="s">
        <v>281</v>
      </c>
      <c r="AN7595" s="746" t="s">
        <v>282</v>
      </c>
      <c r="AO7595" s="522" t="s">
        <v>278</v>
      </c>
      <c r="AR7595" s="51"/>
      <c r="AS7595" s="42" t="s">
        <v>139</v>
      </c>
    </row>
    <row r="7596" spans="1:45" s="520" customFormat="1" ht="12" customHeight="1">
      <c r="A7596" s="747">
        <v>3</v>
      </c>
      <c r="B7596" s="523" t="s">
        <v>329</v>
      </c>
      <c r="C7596" s="748"/>
      <c r="D7596" s="749" t="s">
        <v>3992</v>
      </c>
      <c r="E7596" s="1145">
        <f>IF(AND($A7596=0,$A$1="DIF"),0, ROUND(ROUND(($R7600*$S$3+($T7600*$T$3))/$A7596,2)*$C$3,2))</f>
        <v>91.43</v>
      </c>
      <c r="F7596" s="1146">
        <f>ROUND($A7596*$E7596,2)</f>
        <v>274.29000000000002</v>
      </c>
      <c r="G7596" s="752" t="s">
        <v>142</v>
      </c>
      <c r="H7596" s="753"/>
      <c r="I7596" s="754"/>
      <c r="J7596" s="753"/>
      <c r="K7596" s="753" t="s">
        <v>5</v>
      </c>
      <c r="L7596" s="755" t="s">
        <v>143</v>
      </c>
      <c r="M7596" s="755"/>
      <c r="N7596" s="755"/>
      <c r="O7596" s="755"/>
      <c r="P7596" s="755"/>
      <c r="Q7596" s="51"/>
      <c r="T7596" s="1150" t="str">
        <f>IF(AND($R7600=0,$T7600=0),"0.00","mu: "&amp; ROUND(F7596/$C$3/($R7600+$T7600*$D$9),2))</f>
        <v>mu: 1.13</v>
      </c>
      <c r="W7596" s="524"/>
      <c r="AG7596" s="1147">
        <f>IF($E7596=0,0,ROUND($R7600*$S$3*$C$3/$A7596,2))</f>
        <v>91.43</v>
      </c>
      <c r="AH7596" s="1147">
        <f>$AG7596*$A7596</f>
        <v>274.29000000000002</v>
      </c>
      <c r="AI7596" s="1148">
        <f>$E7596-$AG7596</f>
        <v>0</v>
      </c>
      <c r="AJ7596" s="1148">
        <f>$A7596*$AI7596</f>
        <v>0</v>
      </c>
      <c r="AK7596" s="1149">
        <f>ROUND(($AG7596+$AI7596)*$A7596,2)</f>
        <v>274.29000000000002</v>
      </c>
      <c r="AM7596" s="527">
        <f>ROUND(R7600,2)</f>
        <v>243</v>
      </c>
      <c r="AN7596" s="528">
        <f>ROUND(T7600,2)</f>
        <v>0</v>
      </c>
      <c r="AO7596" s="529">
        <f>ROUND(AM7596+AN7596,2)*A7596</f>
        <v>729</v>
      </c>
      <c r="AR7596" s="747">
        <v>3</v>
      </c>
      <c r="AS7596" s="1146">
        <v>289.52999999999997</v>
      </c>
    </row>
    <row r="7597" spans="1:45" s="520" customFormat="1" ht="13.2">
      <c r="A7597" s="748"/>
      <c r="B7597"/>
      <c r="C7597" s="748"/>
      <c r="D7597" s="749" t="s">
        <v>962</v>
      </c>
      <c r="F7597" s="753"/>
      <c r="G7597" s="3"/>
      <c r="H7597" s="753"/>
      <c r="I7597" s="754"/>
      <c r="J7597" s="753"/>
      <c r="K7597" s="753" t="s">
        <v>144</v>
      </c>
      <c r="L7597" s="753"/>
      <c r="M7597" s="753"/>
      <c r="N7597" s="753"/>
      <c r="O7597" s="753"/>
      <c r="P7597" s="753"/>
      <c r="Q7597" s="51"/>
      <c r="R7597" s="530"/>
      <c r="S7597" s="757"/>
      <c r="T7597" s="753"/>
      <c r="AR7597" s="748"/>
      <c r="AS7597" s="753"/>
    </row>
    <row r="7598" spans="1:45" s="901" customFormat="1" ht="13.2">
      <c r="A7598" s="903">
        <v>3</v>
      </c>
      <c r="B7598" s="904" t="s">
        <v>863</v>
      </c>
      <c r="C7598" s="904"/>
      <c r="D7598" s="904" t="s">
        <v>2594</v>
      </c>
      <c r="E7598" s="904"/>
      <c r="F7598" s="904" t="s">
        <v>4139</v>
      </c>
      <c r="G7598" s="905" t="s">
        <v>2595</v>
      </c>
      <c r="H7598" s="902">
        <v>960</v>
      </c>
      <c r="I7598" s="904" t="s">
        <v>2596</v>
      </c>
      <c r="J7598" s="904"/>
      <c r="K7598" s="904"/>
      <c r="L7598" s="904"/>
      <c r="M7598" s="904"/>
      <c r="N7598" s="904"/>
      <c r="O7598" s="902">
        <v>4</v>
      </c>
      <c r="P7598" s="906">
        <v>38274</v>
      </c>
      <c r="Q7598" s="1415">
        <f>90*0.9</f>
        <v>81</v>
      </c>
      <c r="R7598" s="908">
        <f>$A7598*Q7598</f>
        <v>243</v>
      </c>
      <c r="S7598" s="907"/>
      <c r="T7598" s="909">
        <f>$A7598*S7598*$T$1</f>
        <v>0</v>
      </c>
      <c r="AR7598" s="903">
        <v>3</v>
      </c>
      <c r="AS7598" s="904" t="s">
        <v>3507</v>
      </c>
    </row>
    <row r="7599" spans="1:45" s="520" customFormat="1" ht="12">
      <c r="A7599" s="758"/>
      <c r="B7599" s="758"/>
      <c r="C7599" s="758"/>
      <c r="D7599" s="758"/>
      <c r="E7599" s="758"/>
      <c r="F7599" s="753"/>
      <c r="G7599" s="758"/>
      <c r="H7599" s="758"/>
      <c r="I7599" s="519"/>
      <c r="J7599" s="758"/>
      <c r="K7599" s="758"/>
      <c r="L7599" s="758"/>
      <c r="M7599" s="758"/>
      <c r="N7599" s="758"/>
      <c r="O7599" s="758"/>
      <c r="P7599" s="758"/>
      <c r="Q7599" s="519"/>
      <c r="R7599" s="759">
        <f t="shared" ref="R7599" si="726">$A7599*Q7599</f>
        <v>0</v>
      </c>
      <c r="S7599" s="519"/>
      <c r="T7599" s="760">
        <f t="shared" ref="T7599" si="727">$A7599*S7599*$T$1</f>
        <v>0</v>
      </c>
      <c r="AR7599" s="758"/>
      <c r="AS7599" s="753"/>
    </row>
    <row r="7600" spans="1:45" s="520" customFormat="1" ht="12.6" thickBot="1">
      <c r="A7600" s="761" t="s">
        <v>145</v>
      </c>
      <c r="B7600" s="762">
        <f>(R7599+T7599)</f>
        <v>0</v>
      </c>
      <c r="C7600" s="763"/>
      <c r="D7600" s="763"/>
      <c r="E7600" s="763"/>
      <c r="F7600" s="764"/>
      <c r="G7600" s="763" t="s">
        <v>146</v>
      </c>
      <c r="H7600" s="763"/>
      <c r="I7600" s="765"/>
      <c r="J7600" s="763"/>
      <c r="K7600" s="763" t="s">
        <v>5</v>
      </c>
      <c r="L7600" s="766" t="s">
        <v>143</v>
      </c>
      <c r="M7600" s="766"/>
      <c r="N7600" s="766"/>
      <c r="O7600" s="766"/>
      <c r="P7600" s="766"/>
      <c r="Q7600" s="767"/>
      <c r="R7600" s="768">
        <f>SUM(R7597:R7599)</f>
        <v>243</v>
      </c>
      <c r="S7600" s="763"/>
      <c r="T7600" s="768">
        <f>SUM(T7597:T7599)</f>
        <v>0</v>
      </c>
      <c r="U7600" s="531"/>
      <c r="V7600" s="531"/>
      <c r="W7600" s="531"/>
      <c r="X7600" s="531"/>
      <c r="Y7600" s="531"/>
      <c r="Z7600" s="531"/>
      <c r="AA7600" s="531"/>
      <c r="AB7600" s="531"/>
      <c r="AC7600" s="531"/>
      <c r="AD7600" s="531"/>
      <c r="AE7600" s="531"/>
      <c r="AF7600" s="531"/>
      <c r="AG7600" s="531"/>
      <c r="AH7600" s="531"/>
      <c r="AI7600" s="531"/>
      <c r="AJ7600" s="531"/>
      <c r="AK7600" s="531"/>
      <c r="AL7600" s="531"/>
      <c r="AM7600" s="531"/>
      <c r="AN7600" s="531"/>
      <c r="AO7600" s="531"/>
      <c r="AR7600" s="761" t="s">
        <v>145</v>
      </c>
      <c r="AS7600" s="764"/>
    </row>
    <row r="7601" spans="1:45" s="520" customFormat="1" ht="12" thickTop="1">
      <c r="A7601" s="51"/>
      <c r="B7601" s="41"/>
      <c r="C7601" s="51"/>
      <c r="E7601" s="42" t="s">
        <v>138</v>
      </c>
      <c r="F7601" s="42" t="s">
        <v>139</v>
      </c>
      <c r="G7601" s="51"/>
      <c r="H7601" s="51"/>
      <c r="I7601" s="51"/>
      <c r="J7601" s="51"/>
      <c r="K7601" s="51" t="s">
        <v>140</v>
      </c>
      <c r="L7601" s="51"/>
      <c r="M7601" s="51"/>
      <c r="N7601" s="51"/>
      <c r="O7601" s="52"/>
      <c r="P7601" s="51"/>
      <c r="Q7601" s="51"/>
      <c r="R7601" s="51"/>
      <c r="S7601" s="51"/>
      <c r="T7601" s="41"/>
      <c r="AG7601" s="521" t="s">
        <v>268</v>
      </c>
      <c r="AH7601" s="521" t="s">
        <v>269</v>
      </c>
      <c r="AI7601" s="521" t="s">
        <v>270</v>
      </c>
      <c r="AJ7601" s="521" t="s">
        <v>271</v>
      </c>
      <c r="AK7601" s="521" t="s">
        <v>272</v>
      </c>
      <c r="AM7601" s="745" t="s">
        <v>281</v>
      </c>
      <c r="AN7601" s="746" t="s">
        <v>282</v>
      </c>
      <c r="AO7601" s="522" t="s">
        <v>278</v>
      </c>
      <c r="AR7601" s="51"/>
      <c r="AS7601" s="42" t="s">
        <v>139</v>
      </c>
    </row>
    <row r="7602" spans="1:45" s="520" customFormat="1" ht="12" customHeight="1">
      <c r="A7602" s="747">
        <v>3</v>
      </c>
      <c r="B7602" s="523" t="s">
        <v>329</v>
      </c>
      <c r="C7602" s="748"/>
      <c r="D7602" s="749" t="s">
        <v>3993</v>
      </c>
      <c r="E7602" s="1145">
        <f>IF(AND($A7602=0,$A$1="DIF"),0, ROUND(ROUND(($R7606*$S$3+($T7606*$T$3))/$A7602,2)*$C$3,2))</f>
        <v>15.24</v>
      </c>
      <c r="F7602" s="1146">
        <f>ROUND($A7602*$E7602,2)</f>
        <v>45.72</v>
      </c>
      <c r="G7602" s="752" t="s">
        <v>142</v>
      </c>
      <c r="H7602" s="753"/>
      <c r="I7602" s="754"/>
      <c r="J7602" s="753"/>
      <c r="K7602" s="753" t="s">
        <v>5</v>
      </c>
      <c r="L7602" s="755" t="s">
        <v>143</v>
      </c>
      <c r="M7602" s="755"/>
      <c r="N7602" s="755"/>
      <c r="O7602" s="755"/>
      <c r="P7602" s="755"/>
      <c r="Q7602" s="51"/>
      <c r="T7602" s="1150" t="str">
        <f>IF(AND($R7606=0,$T7606=0),"0.00","mu: "&amp; ROUND(F7602/$C$3/($R7606+$T7606*$D$9),2))</f>
        <v>mu: 1.13</v>
      </c>
      <c r="W7602" s="524"/>
      <c r="AG7602" s="1147">
        <f>IF($E7602=0,0,ROUND($R7606*$S$3*$C$3/$A7602,2))</f>
        <v>15.24</v>
      </c>
      <c r="AH7602" s="1147">
        <f>$AG7602*$A7602</f>
        <v>45.72</v>
      </c>
      <c r="AI7602" s="1148">
        <f>$E7602-$AG7602</f>
        <v>0</v>
      </c>
      <c r="AJ7602" s="1148">
        <f>$A7602*$AI7602</f>
        <v>0</v>
      </c>
      <c r="AK7602" s="1149">
        <f>ROUND(($AG7602+$AI7602)*$A7602,2)</f>
        <v>45.72</v>
      </c>
      <c r="AM7602" s="527">
        <f>ROUND(R7606,2)</f>
        <v>40.5</v>
      </c>
      <c r="AN7602" s="528">
        <f>ROUND(T7606,2)</f>
        <v>0</v>
      </c>
      <c r="AO7602" s="529">
        <f>ROUND(AM7602+AN7602,2)*A7602</f>
        <v>121.5</v>
      </c>
      <c r="AR7602" s="747">
        <v>3</v>
      </c>
      <c r="AS7602" s="1146">
        <v>48.24</v>
      </c>
    </row>
    <row r="7603" spans="1:45" s="520" customFormat="1" ht="13.2">
      <c r="A7603" s="748"/>
      <c r="B7603"/>
      <c r="C7603" s="748"/>
      <c r="D7603" s="749" t="s">
        <v>963</v>
      </c>
      <c r="F7603" s="753"/>
      <c r="G7603" s="3"/>
      <c r="H7603" s="753"/>
      <c r="I7603" s="754"/>
      <c r="J7603" s="753"/>
      <c r="K7603" s="753" t="s">
        <v>144</v>
      </c>
      <c r="L7603" s="753"/>
      <c r="M7603" s="753"/>
      <c r="N7603" s="753"/>
      <c r="O7603" s="753"/>
      <c r="P7603" s="753"/>
      <c r="Q7603" s="51"/>
      <c r="R7603" s="530"/>
      <c r="S7603" s="757"/>
      <c r="T7603" s="753"/>
      <c r="AR7603" s="748"/>
      <c r="AS7603" s="753"/>
    </row>
    <row r="7604" spans="1:45" s="901" customFormat="1" ht="13.2">
      <c r="A7604" s="903">
        <v>3</v>
      </c>
      <c r="B7604" s="904" t="s">
        <v>863</v>
      </c>
      <c r="C7604" s="904"/>
      <c r="D7604" s="904" t="s">
        <v>2594</v>
      </c>
      <c r="E7604" s="904"/>
      <c r="F7604" s="904" t="s">
        <v>4139</v>
      </c>
      <c r="G7604" s="905" t="s">
        <v>2595</v>
      </c>
      <c r="H7604" s="902">
        <v>960</v>
      </c>
      <c r="I7604" s="904" t="s">
        <v>2596</v>
      </c>
      <c r="J7604" s="904"/>
      <c r="K7604" s="904"/>
      <c r="L7604" s="904"/>
      <c r="M7604" s="904"/>
      <c r="N7604" s="904"/>
      <c r="O7604" s="902">
        <v>4</v>
      </c>
      <c r="P7604" s="906">
        <v>38274</v>
      </c>
      <c r="Q7604" s="1415">
        <f>15*0.9</f>
        <v>13.5</v>
      </c>
      <c r="R7604" s="908">
        <f>$A7604*Q7604</f>
        <v>40.5</v>
      </c>
      <c r="S7604" s="907"/>
      <c r="T7604" s="909">
        <f>$A7604*S7604*$T$1</f>
        <v>0</v>
      </c>
      <c r="AR7604" s="903">
        <v>3</v>
      </c>
      <c r="AS7604" s="904" t="s">
        <v>3507</v>
      </c>
    </row>
    <row r="7605" spans="1:45" s="520" customFormat="1" ht="12">
      <c r="A7605" s="758"/>
      <c r="B7605" s="758"/>
      <c r="C7605" s="758"/>
      <c r="D7605" s="758"/>
      <c r="E7605" s="758"/>
      <c r="F7605" s="753"/>
      <c r="G7605" s="758"/>
      <c r="H7605" s="758"/>
      <c r="I7605" s="519"/>
      <c r="J7605" s="758"/>
      <c r="K7605" s="758"/>
      <c r="L7605" s="758"/>
      <c r="M7605" s="758"/>
      <c r="N7605" s="758"/>
      <c r="O7605" s="758"/>
      <c r="P7605" s="758"/>
      <c r="Q7605" s="519"/>
      <c r="R7605" s="759">
        <f t="shared" ref="R7605" si="728">$A7605*Q7605</f>
        <v>0</v>
      </c>
      <c r="S7605" s="519"/>
      <c r="T7605" s="760">
        <f t="shared" ref="T7605" si="729">$A7605*S7605*$T$1</f>
        <v>0</v>
      </c>
      <c r="AR7605" s="758"/>
      <c r="AS7605" s="753"/>
    </row>
    <row r="7606" spans="1:45" s="520" customFormat="1" ht="12.6" thickBot="1">
      <c r="A7606" s="761" t="s">
        <v>145</v>
      </c>
      <c r="B7606" s="762">
        <f>(R7605+T7605)</f>
        <v>0</v>
      </c>
      <c r="C7606" s="763"/>
      <c r="D7606" s="763"/>
      <c r="E7606" s="763"/>
      <c r="F7606" s="764"/>
      <c r="G7606" s="763" t="s">
        <v>146</v>
      </c>
      <c r="H7606" s="763"/>
      <c r="I7606" s="765"/>
      <c r="J7606" s="763"/>
      <c r="K7606" s="763" t="s">
        <v>5</v>
      </c>
      <c r="L7606" s="766" t="s">
        <v>143</v>
      </c>
      <c r="M7606" s="766"/>
      <c r="N7606" s="766"/>
      <c r="O7606" s="766"/>
      <c r="P7606" s="766"/>
      <c r="Q7606" s="767"/>
      <c r="R7606" s="768">
        <f>SUM(R7603:R7605)</f>
        <v>40.5</v>
      </c>
      <c r="S7606" s="763"/>
      <c r="T7606" s="768">
        <f>SUM(T7603:T7605)</f>
        <v>0</v>
      </c>
      <c r="U7606" s="531"/>
      <c r="V7606" s="531"/>
      <c r="W7606" s="531"/>
      <c r="X7606" s="531"/>
      <c r="Y7606" s="531"/>
      <c r="Z7606" s="531"/>
      <c r="AA7606" s="531"/>
      <c r="AB7606" s="531"/>
      <c r="AC7606" s="531"/>
      <c r="AD7606" s="531"/>
      <c r="AE7606" s="531"/>
      <c r="AF7606" s="531"/>
      <c r="AG7606" s="531"/>
      <c r="AH7606" s="531"/>
      <c r="AI7606" s="531"/>
      <c r="AJ7606" s="531"/>
      <c r="AK7606" s="531"/>
      <c r="AL7606" s="531"/>
      <c r="AM7606" s="531"/>
      <c r="AN7606" s="531"/>
      <c r="AO7606" s="531"/>
      <c r="AR7606" s="761" t="s">
        <v>145</v>
      </c>
      <c r="AS7606" s="764"/>
    </row>
    <row r="7607" spans="1:45" s="520" customFormat="1" ht="12" thickTop="1">
      <c r="A7607" s="51"/>
      <c r="B7607" s="41"/>
      <c r="C7607" s="51"/>
      <c r="E7607" s="42" t="s">
        <v>138</v>
      </c>
      <c r="F7607" s="42" t="s">
        <v>139</v>
      </c>
      <c r="G7607" s="51"/>
      <c r="H7607" s="51"/>
      <c r="I7607" s="51"/>
      <c r="J7607" s="51"/>
      <c r="K7607" s="51" t="s">
        <v>140</v>
      </c>
      <c r="L7607" s="51"/>
      <c r="M7607" s="51"/>
      <c r="N7607" s="51"/>
      <c r="O7607" s="52"/>
      <c r="P7607" s="51"/>
      <c r="Q7607" s="51"/>
      <c r="R7607" s="51"/>
      <c r="S7607" s="51"/>
      <c r="T7607" s="41"/>
      <c r="AG7607" s="521" t="s">
        <v>268</v>
      </c>
      <c r="AH7607" s="521" t="s">
        <v>269</v>
      </c>
      <c r="AI7607" s="521" t="s">
        <v>270</v>
      </c>
      <c r="AJ7607" s="521" t="s">
        <v>271</v>
      </c>
      <c r="AK7607" s="521" t="s">
        <v>272</v>
      </c>
      <c r="AM7607" s="745" t="s">
        <v>281</v>
      </c>
      <c r="AN7607" s="746" t="s">
        <v>282</v>
      </c>
      <c r="AO7607" s="522" t="s">
        <v>278</v>
      </c>
      <c r="AR7607" s="51"/>
      <c r="AS7607" s="42" t="s">
        <v>139</v>
      </c>
    </row>
    <row r="7608" spans="1:45" s="520" customFormat="1" ht="12" customHeight="1">
      <c r="A7608" s="747">
        <v>4</v>
      </c>
      <c r="B7608" s="523" t="s">
        <v>329</v>
      </c>
      <c r="C7608" s="748"/>
      <c r="D7608" s="749" t="s">
        <v>3994</v>
      </c>
      <c r="E7608" s="1145">
        <f>IF(AND($A7608=0,$A$1="DIF"),0, ROUND(ROUND(($R7612*$S$3+($T7612*$T$3))/$A7608,2)*$C$3,2))</f>
        <v>0</v>
      </c>
      <c r="F7608" s="1146">
        <f>ROUND($A7608*$E7608,2)</f>
        <v>0</v>
      </c>
      <c r="G7608" s="752" t="s">
        <v>142</v>
      </c>
      <c r="H7608" s="753"/>
      <c r="I7608" s="754"/>
      <c r="J7608" s="753"/>
      <c r="K7608" s="753" t="s">
        <v>5</v>
      </c>
      <c r="L7608" s="755" t="s">
        <v>143</v>
      </c>
      <c r="M7608" s="755"/>
      <c r="N7608" s="755"/>
      <c r="O7608" s="755"/>
      <c r="P7608" s="755"/>
      <c r="Q7608" s="1058" t="s">
        <v>3687</v>
      </c>
      <c r="T7608" s="1150" t="str">
        <f>IF(AND($R7612=0,$T7612=0),"0.00","mu: "&amp; ROUND(F7608/$C$3/($R7612+$T7612*$D$9),2))</f>
        <v>0.00</v>
      </c>
      <c r="W7608" s="524"/>
      <c r="AG7608" s="1147">
        <f>IF($E7608=0,0,ROUND($R7612*$S$3*$C$3/$A7608,2))</f>
        <v>0</v>
      </c>
      <c r="AH7608" s="1147">
        <f>$AG7608*$A7608</f>
        <v>0</v>
      </c>
      <c r="AI7608" s="1148">
        <f>$E7608-$AG7608</f>
        <v>0</v>
      </c>
      <c r="AJ7608" s="1148">
        <f>$A7608*$AI7608</f>
        <v>0</v>
      </c>
      <c r="AK7608" s="1149">
        <f>ROUND(($AG7608+$AI7608)*$A7608,2)</f>
        <v>0</v>
      </c>
      <c r="AM7608" s="527">
        <f>ROUND(R7612,2)</f>
        <v>0</v>
      </c>
      <c r="AN7608" s="528">
        <f>ROUND(T7612,2)</f>
        <v>0</v>
      </c>
      <c r="AO7608" s="529">
        <f>ROUND(AM7608+AN7608,2)*A7608</f>
        <v>0</v>
      </c>
      <c r="AR7608" s="747">
        <v>4</v>
      </c>
      <c r="AS7608" s="1146">
        <v>0</v>
      </c>
    </row>
    <row r="7609" spans="1:45" s="520" customFormat="1" ht="13.2">
      <c r="A7609" s="748"/>
      <c r="B7609"/>
      <c r="C7609" s="748"/>
      <c r="D7609" s="749" t="s">
        <v>964</v>
      </c>
      <c r="F7609" s="753"/>
      <c r="G7609" s="3"/>
      <c r="H7609" s="753"/>
      <c r="I7609" s="754"/>
      <c r="J7609" s="753"/>
      <c r="K7609" s="753" t="s">
        <v>144</v>
      </c>
      <c r="L7609" s="753"/>
      <c r="M7609" s="753"/>
      <c r="N7609" s="753"/>
      <c r="O7609" s="753"/>
      <c r="P7609" s="753"/>
      <c r="Q7609" s="51"/>
      <c r="R7609" s="530"/>
      <c r="S7609" s="757"/>
      <c r="T7609" s="753"/>
      <c r="AR7609" s="748"/>
      <c r="AS7609" s="753"/>
    </row>
    <row r="7610" spans="1:45" s="901" customFormat="1" ht="13.2">
      <c r="A7610" s="903">
        <v>4</v>
      </c>
      <c r="B7610" s="904" t="s">
        <v>863</v>
      </c>
      <c r="C7610" s="904"/>
      <c r="D7610" s="904" t="s">
        <v>2594</v>
      </c>
      <c r="E7610" s="904"/>
      <c r="F7610" s="904" t="s">
        <v>4139</v>
      </c>
      <c r="G7610" s="905" t="s">
        <v>2595</v>
      </c>
      <c r="H7610" s="902">
        <v>960</v>
      </c>
      <c r="I7610" s="904" t="s">
        <v>2596</v>
      </c>
      <c r="J7610" s="904"/>
      <c r="K7610" s="904"/>
      <c r="L7610" s="904"/>
      <c r="M7610" s="904"/>
      <c r="N7610" s="904"/>
      <c r="O7610" s="902">
        <v>4</v>
      </c>
      <c r="P7610" s="906">
        <v>38274</v>
      </c>
      <c r="Q7610" s="1171"/>
      <c r="R7610" s="908">
        <f>$A7610*Q7610</f>
        <v>0</v>
      </c>
      <c r="S7610" s="907"/>
      <c r="T7610" s="909">
        <f>$A7610*S7610*$T$1</f>
        <v>0</v>
      </c>
      <c r="U7610" s="901" t="s">
        <v>2764</v>
      </c>
      <c r="AR7610" s="903">
        <v>4</v>
      </c>
      <c r="AS7610" s="904" t="s">
        <v>3507</v>
      </c>
    </row>
    <row r="7611" spans="1:45" s="520" customFormat="1" ht="12">
      <c r="A7611" s="758"/>
      <c r="B7611" s="758"/>
      <c r="C7611" s="758"/>
      <c r="D7611" s="758"/>
      <c r="E7611" s="758"/>
      <c r="F7611" s="753"/>
      <c r="G7611" s="758"/>
      <c r="H7611" s="758"/>
      <c r="I7611" s="519"/>
      <c r="J7611" s="758"/>
      <c r="K7611" s="758"/>
      <c r="L7611" s="758"/>
      <c r="M7611" s="758"/>
      <c r="N7611" s="758"/>
      <c r="O7611" s="758"/>
      <c r="P7611" s="758"/>
      <c r="Q7611" s="519"/>
      <c r="R7611" s="759">
        <f t="shared" ref="R7611" si="730">$A7611*Q7611</f>
        <v>0</v>
      </c>
      <c r="S7611" s="519"/>
      <c r="T7611" s="760">
        <f t="shared" ref="T7611" si="731">$A7611*S7611*$T$1</f>
        <v>0</v>
      </c>
      <c r="AR7611" s="758"/>
      <c r="AS7611" s="753"/>
    </row>
    <row r="7612" spans="1:45" s="520" customFormat="1" ht="12.6" thickBot="1">
      <c r="A7612" s="761" t="s">
        <v>145</v>
      </c>
      <c r="B7612" s="762">
        <f>(R7611+T7611)</f>
        <v>0</v>
      </c>
      <c r="C7612" s="763"/>
      <c r="D7612" s="763"/>
      <c r="E7612" s="763"/>
      <c r="F7612" s="764"/>
      <c r="G7612" s="763" t="s">
        <v>146</v>
      </c>
      <c r="H7612" s="763"/>
      <c r="I7612" s="765"/>
      <c r="J7612" s="763"/>
      <c r="K7612" s="763" t="s">
        <v>5</v>
      </c>
      <c r="L7612" s="766" t="s">
        <v>143</v>
      </c>
      <c r="M7612" s="766"/>
      <c r="N7612" s="766"/>
      <c r="O7612" s="766"/>
      <c r="P7612" s="766"/>
      <c r="Q7612" s="767"/>
      <c r="R7612" s="768">
        <f>SUM(R7609:R7611)</f>
        <v>0</v>
      </c>
      <c r="S7612" s="763"/>
      <c r="T7612" s="768">
        <f>SUM(T7609:T7611)</f>
        <v>0</v>
      </c>
      <c r="U7612" s="531"/>
      <c r="V7612" s="531"/>
      <c r="W7612" s="531"/>
      <c r="X7612" s="531"/>
      <c r="Y7612" s="531"/>
      <c r="Z7612" s="531"/>
      <c r="AA7612" s="531"/>
      <c r="AB7612" s="531"/>
      <c r="AC7612" s="531"/>
      <c r="AD7612" s="531"/>
      <c r="AE7612" s="531"/>
      <c r="AF7612" s="531"/>
      <c r="AG7612" s="531"/>
      <c r="AH7612" s="531"/>
      <c r="AI7612" s="531"/>
      <c r="AJ7612" s="531"/>
      <c r="AK7612" s="531"/>
      <c r="AL7612" s="531"/>
      <c r="AM7612" s="531"/>
      <c r="AN7612" s="531"/>
      <c r="AO7612" s="531"/>
      <c r="AR7612" s="761" t="s">
        <v>145</v>
      </c>
      <c r="AS7612" s="764"/>
    </row>
    <row r="7613" spans="1:45" s="520" customFormat="1" ht="12" thickTop="1">
      <c r="A7613" s="51"/>
      <c r="B7613" s="41"/>
      <c r="C7613" s="51"/>
      <c r="E7613" s="42" t="s">
        <v>138</v>
      </c>
      <c r="F7613" s="42" t="s">
        <v>139</v>
      </c>
      <c r="G7613" s="51"/>
      <c r="H7613" s="51"/>
      <c r="I7613" s="51"/>
      <c r="J7613" s="51"/>
      <c r="K7613" s="51" t="s">
        <v>140</v>
      </c>
      <c r="L7613" s="51"/>
      <c r="M7613" s="51"/>
      <c r="N7613" s="51"/>
      <c r="O7613" s="52"/>
      <c r="P7613" s="51"/>
      <c r="Q7613" s="51"/>
      <c r="R7613" s="51"/>
      <c r="S7613" s="51"/>
      <c r="T7613" s="41"/>
      <c r="AG7613" s="521" t="s">
        <v>268</v>
      </c>
      <c r="AH7613" s="521" t="s">
        <v>269</v>
      </c>
      <c r="AI7613" s="521" t="s">
        <v>270</v>
      </c>
      <c r="AJ7613" s="521" t="s">
        <v>271</v>
      </c>
      <c r="AK7613" s="521" t="s">
        <v>272</v>
      </c>
      <c r="AM7613" s="745" t="s">
        <v>281</v>
      </c>
      <c r="AN7613" s="746" t="s">
        <v>282</v>
      </c>
      <c r="AO7613" s="522" t="s">
        <v>278</v>
      </c>
      <c r="AR7613" s="51"/>
      <c r="AS7613" s="42" t="s">
        <v>139</v>
      </c>
    </row>
    <row r="7614" spans="1:45" s="520" customFormat="1" ht="12" customHeight="1">
      <c r="A7614" s="747">
        <v>1</v>
      </c>
      <c r="B7614" s="523" t="s">
        <v>329</v>
      </c>
      <c r="C7614" s="748"/>
      <c r="D7614" s="749" t="s">
        <v>3995</v>
      </c>
      <c r="E7614" s="1145">
        <f>IF(AND($A7614=0,$A$1="DIF"),0, ROUND(ROUND(($R7618*$S$3+($T7618*$T$3))/$A7614,2)*$C$3,2))</f>
        <v>45.71</v>
      </c>
      <c r="F7614" s="1146">
        <f>ROUND($A7614*$E7614,2)</f>
        <v>45.71</v>
      </c>
      <c r="G7614" s="752" t="s">
        <v>142</v>
      </c>
      <c r="H7614" s="753"/>
      <c r="I7614" s="754"/>
      <c r="J7614" s="753"/>
      <c r="K7614" s="753" t="s">
        <v>5</v>
      </c>
      <c r="L7614" s="755" t="s">
        <v>143</v>
      </c>
      <c r="M7614" s="755"/>
      <c r="N7614" s="755"/>
      <c r="O7614" s="755"/>
      <c r="P7614" s="755"/>
      <c r="Q7614" s="51"/>
      <c r="T7614" s="1150" t="str">
        <f>IF(AND($R7618=0,$T7618=0),"0.00","mu: "&amp; ROUND(F7614/$C$3/($R7618+$T7618*$D$9),2))</f>
        <v>mu: 1.13</v>
      </c>
      <c r="W7614" s="524"/>
      <c r="AG7614" s="1147">
        <f>IF($E7614=0,0,ROUND($R7618*$S$3*$C$3/$A7614,2))</f>
        <v>45.71</v>
      </c>
      <c r="AH7614" s="1147">
        <f>$AG7614*$A7614</f>
        <v>45.71</v>
      </c>
      <c r="AI7614" s="1148">
        <f>$E7614-$AG7614</f>
        <v>0</v>
      </c>
      <c r="AJ7614" s="1148">
        <f>$A7614*$AI7614</f>
        <v>0</v>
      </c>
      <c r="AK7614" s="1149">
        <f>ROUND(($AG7614+$AI7614)*$A7614,2)</f>
        <v>45.71</v>
      </c>
      <c r="AM7614" s="527">
        <f>ROUND(R7618,2)</f>
        <v>40.5</v>
      </c>
      <c r="AN7614" s="528">
        <f>ROUND(T7618,2)</f>
        <v>0</v>
      </c>
      <c r="AO7614" s="529">
        <f>ROUND(AM7614+AN7614,2)*A7614</f>
        <v>40.5</v>
      </c>
      <c r="AR7614" s="747">
        <v>1</v>
      </c>
      <c r="AS7614" s="1146">
        <v>48.25</v>
      </c>
    </row>
    <row r="7615" spans="1:45" s="520" customFormat="1" ht="13.2">
      <c r="A7615" s="748"/>
      <c r="B7615"/>
      <c r="C7615" s="748"/>
      <c r="D7615" s="749" t="s">
        <v>965</v>
      </c>
      <c r="F7615" s="753"/>
      <c r="G7615" s="3"/>
      <c r="H7615" s="753"/>
      <c r="I7615" s="754"/>
      <c r="J7615" s="753"/>
      <c r="K7615" s="753" t="s">
        <v>144</v>
      </c>
      <c r="L7615" s="753"/>
      <c r="M7615" s="753"/>
      <c r="N7615" s="753"/>
      <c r="O7615" s="753"/>
      <c r="P7615" s="753"/>
      <c r="Q7615" s="51"/>
      <c r="R7615" s="530"/>
      <c r="S7615" s="757"/>
      <c r="T7615" s="753"/>
      <c r="AR7615" s="748"/>
      <c r="AS7615" s="753"/>
    </row>
    <row r="7616" spans="1:45" s="901" customFormat="1" ht="13.2">
      <c r="A7616" s="903">
        <v>1</v>
      </c>
      <c r="B7616" s="904" t="s">
        <v>863</v>
      </c>
      <c r="C7616" s="904"/>
      <c r="D7616" s="904" t="s">
        <v>2594</v>
      </c>
      <c r="E7616" s="904"/>
      <c r="F7616" s="904" t="s">
        <v>4139</v>
      </c>
      <c r="G7616" s="905" t="s">
        <v>2595</v>
      </c>
      <c r="H7616" s="902">
        <v>960</v>
      </c>
      <c r="I7616" s="904" t="s">
        <v>2596</v>
      </c>
      <c r="J7616" s="904"/>
      <c r="K7616" s="904"/>
      <c r="L7616" s="904"/>
      <c r="M7616" s="904"/>
      <c r="N7616" s="904"/>
      <c r="O7616" s="902">
        <v>4</v>
      </c>
      <c r="P7616" s="906">
        <v>38274</v>
      </c>
      <c r="Q7616" s="1415">
        <f>45*0.9</f>
        <v>40.5</v>
      </c>
      <c r="R7616" s="908">
        <f>$A7616*Q7616</f>
        <v>40.5</v>
      </c>
      <c r="S7616" s="907"/>
      <c r="T7616" s="909">
        <f>$A7616*S7616*$T$1</f>
        <v>0</v>
      </c>
      <c r="AR7616" s="903">
        <v>1</v>
      </c>
      <c r="AS7616" s="904" t="s">
        <v>3507</v>
      </c>
    </row>
    <row r="7617" spans="1:45" s="520" customFormat="1" ht="12">
      <c r="A7617" s="758"/>
      <c r="B7617" s="758"/>
      <c r="C7617" s="758"/>
      <c r="D7617" s="758"/>
      <c r="E7617" s="758"/>
      <c r="F7617" s="753"/>
      <c r="G7617" s="758"/>
      <c r="H7617" s="758"/>
      <c r="I7617" s="519"/>
      <c r="J7617" s="758"/>
      <c r="K7617" s="758"/>
      <c r="L7617" s="758"/>
      <c r="M7617" s="758"/>
      <c r="N7617" s="758"/>
      <c r="O7617" s="758"/>
      <c r="P7617" s="758"/>
      <c r="Q7617" s="519"/>
      <c r="R7617" s="759">
        <f t="shared" ref="R7617" si="732">$A7617*Q7617</f>
        <v>0</v>
      </c>
      <c r="S7617" s="519"/>
      <c r="T7617" s="760">
        <f t="shared" ref="T7617" si="733">$A7617*S7617*$T$1</f>
        <v>0</v>
      </c>
      <c r="AR7617" s="758"/>
      <c r="AS7617" s="753"/>
    </row>
    <row r="7618" spans="1:45" s="520" customFormat="1" ht="12.6" thickBot="1">
      <c r="A7618" s="761" t="s">
        <v>145</v>
      </c>
      <c r="B7618" s="762">
        <f>(R7617+T7617)</f>
        <v>0</v>
      </c>
      <c r="C7618" s="763"/>
      <c r="D7618" s="763"/>
      <c r="E7618" s="763"/>
      <c r="F7618" s="764"/>
      <c r="G7618" s="763" t="s">
        <v>146</v>
      </c>
      <c r="H7618" s="763"/>
      <c r="I7618" s="765"/>
      <c r="J7618" s="763"/>
      <c r="K7618" s="763" t="s">
        <v>5</v>
      </c>
      <c r="L7618" s="766" t="s">
        <v>143</v>
      </c>
      <c r="M7618" s="766"/>
      <c r="N7618" s="766"/>
      <c r="O7618" s="766"/>
      <c r="P7618" s="766"/>
      <c r="Q7618" s="767"/>
      <c r="R7618" s="768">
        <f>SUM(R7615:R7617)</f>
        <v>40.5</v>
      </c>
      <c r="S7618" s="763"/>
      <c r="T7618" s="768">
        <f>SUM(T7615:T7617)</f>
        <v>0</v>
      </c>
      <c r="U7618" s="531"/>
      <c r="V7618" s="531"/>
      <c r="W7618" s="531"/>
      <c r="X7618" s="531"/>
      <c r="Y7618" s="531"/>
      <c r="Z7618" s="531"/>
      <c r="AA7618" s="531"/>
      <c r="AB7618" s="531"/>
      <c r="AC7618" s="531"/>
      <c r="AD7618" s="531"/>
      <c r="AE7618" s="531"/>
      <c r="AF7618" s="531"/>
      <c r="AG7618" s="531"/>
      <c r="AH7618" s="531"/>
      <c r="AI7618" s="531"/>
      <c r="AJ7618" s="531"/>
      <c r="AK7618" s="531"/>
      <c r="AL7618" s="531"/>
      <c r="AM7618" s="531"/>
      <c r="AN7618" s="531"/>
      <c r="AO7618" s="531"/>
      <c r="AR7618" s="761" t="s">
        <v>145</v>
      </c>
      <c r="AS7618" s="764"/>
    </row>
    <row r="7619" spans="1:45" s="520" customFormat="1" ht="12" thickTop="1">
      <c r="A7619" s="48" t="s">
        <v>148</v>
      </c>
      <c r="D7619" s="13"/>
      <c r="E7619" s="42"/>
      <c r="O7619" s="771"/>
      <c r="AR7619" s="48" t="s">
        <v>148</v>
      </c>
    </row>
    <row r="7620" spans="1:45" s="520" customFormat="1" ht="13.2">
      <c r="B7620" s="3"/>
      <c r="O7620" s="771"/>
    </row>
    <row r="7621" spans="1:45" s="520" customFormat="1" ht="12">
      <c r="B7621" s="772">
        <f ca="1">$F7621/$C$2-($R7621*$S$2+$T7621*$T$2)</f>
        <v>-965.54219496640144</v>
      </c>
      <c r="D7621" s="773" t="s">
        <v>3645</v>
      </c>
      <c r="E7621" s="774"/>
      <c r="F7621" s="775">
        <f ca="1">SUMIF($L7379:$L7619,"ITEM",F7379:F7619)</f>
        <v>16031.179999999997</v>
      </c>
      <c r="G7621" s="758"/>
      <c r="H7621" s="758"/>
      <c r="I7621" s="519"/>
      <c r="J7621" s="758"/>
      <c r="K7621" s="758"/>
      <c r="L7621" s="755" t="s">
        <v>157</v>
      </c>
      <c r="M7621" s="755"/>
      <c r="N7621" s="755"/>
      <c r="O7621" s="755"/>
      <c r="P7621" s="755"/>
      <c r="R7621" s="775">
        <f ca="1">SUMIF($L7379:$L7619,"ITEM",R7379:R7619)</f>
        <v>10793.499999999998</v>
      </c>
      <c r="S7621" s="776"/>
      <c r="T7621" s="775">
        <f ca="1">SUMIF($L7379:$L7619,"ITEM",T7379:T7619)</f>
        <v>109.60999999999999</v>
      </c>
      <c r="AS7621" s="775">
        <v>19506.239999999998</v>
      </c>
    </row>
    <row r="7622" spans="1:45" s="520" customFormat="1" ht="13.2">
      <c r="A7622" s="51"/>
      <c r="B7622" s="49" t="s">
        <v>1064</v>
      </c>
      <c r="C7622" s="51"/>
      <c r="D7622" s="3"/>
      <c r="F7622" s="777" t="s">
        <v>158</v>
      </c>
      <c r="G7622" s="758"/>
      <c r="H7622" s="758"/>
      <c r="I7622" s="519"/>
      <c r="J7622" s="758"/>
      <c r="K7622" s="758"/>
      <c r="L7622" s="758"/>
      <c r="M7622" s="758"/>
      <c r="N7622" s="758"/>
      <c r="O7622" s="758"/>
      <c r="P7622" s="758"/>
      <c r="Q7622" s="778"/>
      <c r="R7622" s="777" t="s">
        <v>159</v>
      </c>
      <c r="S7622" s="38"/>
      <c r="T7622" s="777" t="s">
        <v>160</v>
      </c>
      <c r="AR7622" s="51"/>
      <c r="AS7622" s="777" t="s">
        <v>158</v>
      </c>
    </row>
    <row r="7623" spans="1:45" s="520" customFormat="1" ht="13.2">
      <c r="A7623" s="758"/>
      <c r="B7623" s="3"/>
      <c r="C7623" s="758"/>
      <c r="D7623" s="3"/>
      <c r="E7623" s="3"/>
      <c r="G7623" s="3"/>
      <c r="H7623" s="3"/>
      <c r="I7623" s="3"/>
      <c r="J7623" s="3"/>
      <c r="K7623" s="3"/>
      <c r="L7623" s="3"/>
      <c r="M7623" s="3"/>
      <c r="N7623" s="3"/>
      <c r="O7623" s="107"/>
      <c r="P7623" s="3"/>
      <c r="Q7623" s="3"/>
      <c r="R7623" s="3"/>
      <c r="S7623" s="3"/>
      <c r="T7623" s="3"/>
      <c r="AR7623" s="758"/>
    </row>
    <row r="7624" spans="1:45" s="520" customFormat="1" ht="12" thickBot="1">
      <c r="A7624" s="531"/>
      <c r="B7624" s="763"/>
      <c r="C7624" s="763"/>
      <c r="D7624" s="531"/>
      <c r="E7624" s="39"/>
      <c r="F7624" s="779"/>
      <c r="G7624" s="763"/>
      <c r="H7624" s="763"/>
      <c r="I7624" s="765"/>
      <c r="J7624" s="763"/>
      <c r="K7624" s="763"/>
      <c r="L7624" s="766"/>
      <c r="M7624" s="766"/>
      <c r="N7624" s="766"/>
      <c r="O7624" s="766"/>
      <c r="P7624" s="766"/>
      <c r="Q7624" s="767"/>
      <c r="R7624" s="779"/>
      <c r="S7624" s="780"/>
      <c r="T7624" s="779"/>
      <c r="U7624" s="531"/>
      <c r="V7624" s="531"/>
      <c r="W7624" s="531"/>
      <c r="X7624" s="531"/>
      <c r="Y7624" s="531"/>
      <c r="Z7624" s="531"/>
      <c r="AA7624" s="531"/>
      <c r="AB7624" s="531"/>
      <c r="AC7624" s="531"/>
      <c r="AD7624" s="531"/>
      <c r="AE7624" s="531"/>
      <c r="AF7624" s="531"/>
      <c r="AG7624" s="531"/>
      <c r="AH7624" s="531"/>
      <c r="AI7624" s="531"/>
      <c r="AJ7624" s="531"/>
      <c r="AK7624" s="531"/>
      <c r="AR7624" s="531"/>
      <c r="AS7624" s="779"/>
    </row>
    <row r="7625" spans="1:45" s="520" customFormat="1" thickTop="1">
      <c r="A7625" s="51"/>
      <c r="B7625" s="51"/>
      <c r="C7625" s="3"/>
      <c r="D7625" s="3"/>
      <c r="E7625" s="51"/>
      <c r="F7625" s="51"/>
      <c r="G7625" s="51"/>
      <c r="H7625" s="51"/>
      <c r="I7625" s="51"/>
      <c r="J7625" s="51"/>
      <c r="K7625" s="51" t="s">
        <v>134</v>
      </c>
      <c r="L7625" s="51"/>
      <c r="M7625" s="51"/>
      <c r="N7625" s="51"/>
      <c r="O7625" s="52"/>
      <c r="P7625" s="51"/>
      <c r="Q7625" s="51"/>
      <c r="R7625" s="51"/>
      <c r="S7625" s="51"/>
      <c r="T7625" s="51"/>
      <c r="AR7625" s="51"/>
      <c r="AS7625" s="51"/>
    </row>
    <row r="7626" spans="1:45" s="520" customFormat="1" ht="12">
      <c r="A7626" s="51"/>
      <c r="B7626" s="51"/>
      <c r="C7626" s="51" t="s">
        <v>135</v>
      </c>
      <c r="D7626" s="37"/>
      <c r="E7626" s="51"/>
      <c r="F7626" s="51"/>
      <c r="G7626" s="51"/>
      <c r="H7626" s="51"/>
      <c r="I7626" s="51"/>
      <c r="J7626" s="51"/>
      <c r="K7626" s="51"/>
      <c r="L7626" s="51"/>
      <c r="M7626" s="51"/>
      <c r="N7626" s="51"/>
      <c r="O7626" s="52"/>
      <c r="P7626" s="51"/>
      <c r="Q7626" s="51"/>
      <c r="R7626" s="51"/>
      <c r="S7626" s="51"/>
      <c r="T7626" s="51"/>
      <c r="AR7626" s="51"/>
      <c r="AS7626" s="51"/>
    </row>
    <row r="7627" spans="1:45" s="520" customFormat="1" ht="12">
      <c r="A7627" s="51"/>
      <c r="B7627" s="51"/>
      <c r="C7627" s="51"/>
      <c r="D7627" s="37" t="s">
        <v>1005</v>
      </c>
      <c r="E7627" s="51"/>
      <c r="F7627" s="51"/>
      <c r="G7627" s="51"/>
      <c r="H7627" s="51"/>
      <c r="I7627" s="51"/>
      <c r="J7627" s="51"/>
      <c r="K7627" s="51"/>
      <c r="L7627" s="51"/>
      <c r="M7627" s="51"/>
      <c r="N7627" s="51"/>
      <c r="O7627" s="52"/>
      <c r="P7627" s="51"/>
      <c r="Q7627" s="51"/>
      <c r="R7627" s="51"/>
      <c r="S7627" s="38"/>
      <c r="T7627" s="38"/>
      <c r="AR7627" s="51"/>
      <c r="AS7627" s="51"/>
    </row>
    <row r="7628" spans="1:45" s="3" customFormat="1" thickBot="1">
      <c r="A7628" s="531"/>
      <c r="O7628" s="107"/>
      <c r="AR7628" s="531"/>
    </row>
    <row r="7629" spans="1:45" s="520" customFormat="1" ht="12" thickTop="1">
      <c r="A7629" s="51"/>
      <c r="B7629" s="41"/>
      <c r="C7629" s="51"/>
      <c r="E7629" s="42" t="s">
        <v>138</v>
      </c>
      <c r="F7629" s="42" t="s">
        <v>139</v>
      </c>
      <c r="G7629" s="51"/>
      <c r="H7629" s="51"/>
      <c r="I7629" s="51"/>
      <c r="J7629" s="51"/>
      <c r="K7629" s="51" t="s">
        <v>140</v>
      </c>
      <c r="L7629" s="51"/>
      <c r="M7629" s="51"/>
      <c r="N7629" s="51"/>
      <c r="O7629" s="52"/>
      <c r="P7629" s="51"/>
      <c r="Q7629" s="51"/>
      <c r="R7629" s="51"/>
      <c r="S7629" s="51"/>
      <c r="T7629" s="41"/>
      <c r="AG7629" s="521" t="s">
        <v>268</v>
      </c>
      <c r="AH7629" s="521" t="s">
        <v>269</v>
      </c>
      <c r="AI7629" s="521" t="s">
        <v>270</v>
      </c>
      <c r="AJ7629" s="521" t="s">
        <v>271</v>
      </c>
      <c r="AK7629" s="521" t="s">
        <v>272</v>
      </c>
      <c r="AM7629" s="745" t="s">
        <v>281</v>
      </c>
      <c r="AN7629" s="746" t="s">
        <v>282</v>
      </c>
      <c r="AO7629" s="522" t="s">
        <v>278</v>
      </c>
      <c r="AR7629" s="51"/>
      <c r="AS7629" s="42" t="s">
        <v>139</v>
      </c>
    </row>
    <row r="7630" spans="1:45" s="520" customFormat="1" ht="12" customHeight="1">
      <c r="A7630" s="747">
        <v>135</v>
      </c>
      <c r="B7630" s="523" t="s">
        <v>320</v>
      </c>
      <c r="C7630" s="748"/>
      <c r="D7630" s="749" t="s">
        <v>3996</v>
      </c>
      <c r="E7630" s="1145">
        <f>IF(AND($A7630=0,$A$1="DIF"),0, ROUND(ROUND(($R7634*$S$3+($T7634*$T$3))/$A7630,2)*$C$3,2))</f>
        <v>4.0599999999999996</v>
      </c>
      <c r="F7630" s="1146">
        <f>ROUND($A7630*$E7630,2)</f>
        <v>548.1</v>
      </c>
      <c r="G7630" s="752" t="s">
        <v>142</v>
      </c>
      <c r="H7630" s="753"/>
      <c r="I7630" s="754"/>
      <c r="J7630" s="753"/>
      <c r="K7630" s="753" t="s">
        <v>5</v>
      </c>
      <c r="L7630" s="755" t="s">
        <v>143</v>
      </c>
      <c r="M7630" s="755"/>
      <c r="N7630" s="755"/>
      <c r="O7630" s="755"/>
      <c r="P7630" s="755"/>
      <c r="Q7630" s="51"/>
      <c r="T7630" s="1150" t="str">
        <f>IF(AND($R7634=0,$T7634=0),"0.00","mu: "&amp; ROUND(F7630/$C$3/($R7634+$T7634*$D$9),2))</f>
        <v>mu: 1.13</v>
      </c>
      <c r="W7630" s="524"/>
      <c r="AG7630" s="1147">
        <f>IF($E7630=0,0,ROUND($R7634*$S$3*$C$3/$A7630,2))</f>
        <v>4.0599999999999996</v>
      </c>
      <c r="AH7630" s="1147">
        <f>$AG7630*$A7630</f>
        <v>548.09999999999991</v>
      </c>
      <c r="AI7630" s="1148">
        <f>$E7630-$AG7630</f>
        <v>0</v>
      </c>
      <c r="AJ7630" s="1148">
        <f>$A7630*$AI7630</f>
        <v>0</v>
      </c>
      <c r="AK7630" s="1149">
        <f>ROUND(($AG7630+$AI7630)*$A7630,2)</f>
        <v>548.1</v>
      </c>
      <c r="AM7630" s="527">
        <f>ROUND(R7634,2)</f>
        <v>486</v>
      </c>
      <c r="AN7630" s="528">
        <f>ROUND(T7634,2)</f>
        <v>0</v>
      </c>
      <c r="AO7630" s="529">
        <f>ROUND(AM7630+AN7630,2)*A7630</f>
        <v>65610</v>
      </c>
      <c r="AR7630" s="747">
        <v>135</v>
      </c>
      <c r="AS7630" s="1146">
        <v>579.15</v>
      </c>
    </row>
    <row r="7631" spans="1:45" s="520" customFormat="1" ht="39.9" customHeight="1">
      <c r="A7631" s="748"/>
      <c r="B7631"/>
      <c r="C7631" s="748"/>
      <c r="D7631" s="1451" t="s">
        <v>1006</v>
      </c>
      <c r="E7631" s="1452"/>
      <c r="F7631" s="1452"/>
      <c r="G7631" s="1452"/>
      <c r="H7631" s="1452"/>
      <c r="I7631" s="1452"/>
      <c r="J7631" s="1452"/>
      <c r="K7631" s="1452"/>
      <c r="L7631" s="1452"/>
      <c r="M7631" s="1452"/>
      <c r="N7631" s="1452"/>
      <c r="O7631" s="1452"/>
      <c r="P7631" s="1452"/>
      <c r="Q7631" s="1452"/>
      <c r="R7631" s="1452"/>
      <c r="S7631" s="1452"/>
      <c r="T7631" s="1452"/>
      <c r="AR7631" s="748"/>
    </row>
    <row r="7632" spans="1:45" s="901" customFormat="1" ht="13.2">
      <c r="A7632" s="903">
        <v>135</v>
      </c>
      <c r="B7632" s="904" t="s">
        <v>863</v>
      </c>
      <c r="C7632" s="904"/>
      <c r="D7632" s="904" t="s">
        <v>2594</v>
      </c>
      <c r="E7632" s="904"/>
      <c r="F7632" s="904" t="s">
        <v>4139</v>
      </c>
      <c r="G7632" s="905" t="s">
        <v>2595</v>
      </c>
      <c r="H7632" s="902">
        <v>960</v>
      </c>
      <c r="I7632" s="904" t="s">
        <v>2596</v>
      </c>
      <c r="J7632" s="904"/>
      <c r="K7632" s="904"/>
      <c r="L7632" s="904"/>
      <c r="M7632" s="904"/>
      <c r="N7632" s="904"/>
      <c r="O7632" s="902">
        <v>4</v>
      </c>
      <c r="P7632" s="906">
        <v>38274</v>
      </c>
      <c r="Q7632" s="1415">
        <f>4*0.9</f>
        <v>3.6</v>
      </c>
      <c r="R7632" s="908">
        <f>$A7632*Q7632</f>
        <v>486</v>
      </c>
      <c r="S7632" s="907"/>
      <c r="T7632" s="909">
        <f>$A7632*S7632*$T$1</f>
        <v>0</v>
      </c>
      <c r="AR7632" s="903">
        <v>135</v>
      </c>
      <c r="AS7632" s="904" t="s">
        <v>3507</v>
      </c>
    </row>
    <row r="7633" spans="1:45" s="520" customFormat="1" ht="12">
      <c r="A7633" s="758"/>
      <c r="B7633" s="758"/>
      <c r="C7633" s="758"/>
      <c r="D7633" s="758"/>
      <c r="E7633" s="758"/>
      <c r="F7633" s="753"/>
      <c r="G7633" s="758"/>
      <c r="H7633" s="758"/>
      <c r="I7633" s="519"/>
      <c r="J7633" s="758"/>
      <c r="K7633" s="758"/>
      <c r="L7633" s="758"/>
      <c r="M7633" s="758"/>
      <c r="N7633" s="758"/>
      <c r="O7633" s="758"/>
      <c r="P7633" s="758"/>
      <c r="Q7633" s="519"/>
      <c r="R7633" s="759">
        <f t="shared" ref="R7633" si="734">$A7633*Q7633</f>
        <v>0</v>
      </c>
      <c r="S7633" s="519"/>
      <c r="T7633" s="760">
        <f t="shared" ref="T7633" si="735">$A7633*S7633*$T$1</f>
        <v>0</v>
      </c>
      <c r="AR7633" s="758"/>
      <c r="AS7633" s="753"/>
    </row>
    <row r="7634" spans="1:45" s="520" customFormat="1" ht="12.6" thickBot="1">
      <c r="A7634" s="761" t="s">
        <v>145</v>
      </c>
      <c r="B7634" s="762">
        <f>(R7633+T7633)</f>
        <v>0</v>
      </c>
      <c r="C7634" s="763"/>
      <c r="D7634" s="763"/>
      <c r="E7634" s="763"/>
      <c r="F7634" s="764"/>
      <c r="G7634" s="763" t="s">
        <v>146</v>
      </c>
      <c r="H7634" s="763"/>
      <c r="I7634" s="765"/>
      <c r="J7634" s="763"/>
      <c r="K7634" s="763" t="s">
        <v>5</v>
      </c>
      <c r="L7634" s="766" t="s">
        <v>143</v>
      </c>
      <c r="M7634" s="766"/>
      <c r="N7634" s="766"/>
      <c r="O7634" s="766"/>
      <c r="P7634" s="766"/>
      <c r="Q7634" s="767"/>
      <c r="R7634" s="768">
        <f>SUM(R7631:R7633)</f>
        <v>486</v>
      </c>
      <c r="S7634" s="763"/>
      <c r="T7634" s="768">
        <f>SUM(T7631:T7633)</f>
        <v>0</v>
      </c>
      <c r="U7634" s="531"/>
      <c r="V7634" s="531"/>
      <c r="W7634" s="531"/>
      <c r="X7634" s="531"/>
      <c r="Y7634" s="531"/>
      <c r="Z7634" s="531"/>
      <c r="AA7634" s="531"/>
      <c r="AB7634" s="531"/>
      <c r="AC7634" s="531"/>
      <c r="AD7634" s="531"/>
      <c r="AE7634" s="531"/>
      <c r="AF7634" s="531"/>
      <c r="AG7634" s="531"/>
      <c r="AH7634" s="531"/>
      <c r="AI7634" s="531"/>
      <c r="AJ7634" s="531"/>
      <c r="AK7634" s="531"/>
      <c r="AL7634" s="531"/>
      <c r="AM7634" s="531"/>
      <c r="AN7634" s="531"/>
      <c r="AO7634" s="531"/>
      <c r="AR7634" s="761" t="s">
        <v>145</v>
      </c>
      <c r="AS7634" s="764"/>
    </row>
    <row r="7635" spans="1:45" s="520" customFormat="1" ht="12" thickTop="1">
      <c r="A7635" s="51"/>
      <c r="B7635" s="41"/>
      <c r="C7635" s="51"/>
      <c r="E7635" s="42" t="s">
        <v>138</v>
      </c>
      <c r="F7635" s="42" t="s">
        <v>139</v>
      </c>
      <c r="G7635" s="51"/>
      <c r="H7635" s="51"/>
      <c r="I7635" s="51"/>
      <c r="J7635" s="51"/>
      <c r="K7635" s="51" t="s">
        <v>140</v>
      </c>
      <c r="L7635" s="51"/>
      <c r="M7635" s="51"/>
      <c r="N7635" s="51"/>
      <c r="O7635" s="52"/>
      <c r="P7635" s="51"/>
      <c r="Q7635" s="51"/>
      <c r="R7635" s="51"/>
      <c r="S7635" s="51"/>
      <c r="T7635" s="41"/>
      <c r="AG7635" s="521" t="s">
        <v>268</v>
      </c>
      <c r="AH7635" s="521" t="s">
        <v>269</v>
      </c>
      <c r="AI7635" s="521" t="s">
        <v>270</v>
      </c>
      <c r="AJ7635" s="521" t="s">
        <v>271</v>
      </c>
      <c r="AK7635" s="521" t="s">
        <v>272</v>
      </c>
      <c r="AM7635" s="745" t="s">
        <v>281</v>
      </c>
      <c r="AN7635" s="746" t="s">
        <v>282</v>
      </c>
      <c r="AO7635" s="522" t="s">
        <v>278</v>
      </c>
      <c r="AR7635" s="51"/>
      <c r="AS7635" s="42" t="s">
        <v>139</v>
      </c>
    </row>
    <row r="7636" spans="1:45" s="520" customFormat="1" ht="12" customHeight="1">
      <c r="A7636" s="747">
        <v>275</v>
      </c>
      <c r="B7636" s="523" t="s">
        <v>320</v>
      </c>
      <c r="C7636" s="748"/>
      <c r="D7636" s="749" t="s">
        <v>3997</v>
      </c>
      <c r="E7636" s="1145">
        <f>IF(AND($A7636=0,$A$1="DIF"),0, ROUND(ROUND(($R7640*$S$3+($T7640*$T$3))/$A7636,2)*$C$3,2))</f>
        <v>4.0599999999999996</v>
      </c>
      <c r="F7636" s="1146">
        <f>ROUND($A7636*$E7636,2)</f>
        <v>1116.5</v>
      </c>
      <c r="G7636" s="752" t="s">
        <v>142</v>
      </c>
      <c r="H7636" s="753"/>
      <c r="I7636" s="754"/>
      <c r="J7636" s="753"/>
      <c r="K7636" s="753" t="s">
        <v>5</v>
      </c>
      <c r="L7636" s="755" t="s">
        <v>143</v>
      </c>
      <c r="M7636" s="755"/>
      <c r="N7636" s="755"/>
      <c r="O7636" s="755"/>
      <c r="P7636" s="755"/>
      <c r="Q7636" s="51"/>
      <c r="T7636" s="1150" t="str">
        <f>IF(AND($R7640=0,$T7640=0),"0.00","mu: "&amp; ROUND(F7636/$C$3/($R7640+$T7640*$D$9),2))</f>
        <v>mu: 1.13</v>
      </c>
      <c r="W7636" s="524"/>
      <c r="AG7636" s="1147">
        <f>IF($E7636=0,0,ROUND($R7640*$S$3*$C$3/$A7636,2))</f>
        <v>4.0599999999999996</v>
      </c>
      <c r="AH7636" s="1147">
        <f>$AG7636*$A7636</f>
        <v>1116.5</v>
      </c>
      <c r="AI7636" s="1148">
        <f>$E7636-$AG7636</f>
        <v>0</v>
      </c>
      <c r="AJ7636" s="1148">
        <f>$A7636*$AI7636</f>
        <v>0</v>
      </c>
      <c r="AK7636" s="1149">
        <f>ROUND(($AG7636+$AI7636)*$A7636,2)</f>
        <v>1116.5</v>
      </c>
      <c r="AM7636" s="527">
        <f>ROUND(R7640,2)</f>
        <v>990</v>
      </c>
      <c r="AN7636" s="528">
        <f>ROUND(T7640,2)</f>
        <v>0</v>
      </c>
      <c r="AO7636" s="529">
        <f>ROUND(AM7636+AN7636,2)*A7636</f>
        <v>272250</v>
      </c>
      <c r="AR7636" s="747">
        <v>275</v>
      </c>
      <c r="AS7636" s="1146">
        <v>1179.75</v>
      </c>
    </row>
    <row r="7637" spans="1:45" s="520" customFormat="1" ht="39.9" customHeight="1">
      <c r="A7637" s="748"/>
      <c r="B7637"/>
      <c r="C7637" s="748"/>
      <c r="D7637" s="1451" t="s">
        <v>1007</v>
      </c>
      <c r="E7637" s="1452"/>
      <c r="F7637" s="1452"/>
      <c r="G7637" s="1452"/>
      <c r="H7637" s="1452"/>
      <c r="I7637" s="1452"/>
      <c r="J7637" s="1452"/>
      <c r="K7637" s="1452"/>
      <c r="L7637" s="1452"/>
      <c r="M7637" s="1452"/>
      <c r="N7637" s="1452"/>
      <c r="O7637" s="1452"/>
      <c r="P7637" s="1452"/>
      <c r="Q7637" s="1452"/>
      <c r="R7637" s="1452"/>
      <c r="S7637" s="1452"/>
      <c r="T7637" s="1452"/>
      <c r="AR7637" s="748"/>
    </row>
    <row r="7638" spans="1:45" s="901" customFormat="1" ht="13.2">
      <c r="A7638" s="903">
        <v>275</v>
      </c>
      <c r="B7638" s="904" t="s">
        <v>863</v>
      </c>
      <c r="C7638" s="904"/>
      <c r="D7638" s="904" t="s">
        <v>2594</v>
      </c>
      <c r="E7638" s="904"/>
      <c r="F7638" s="904" t="s">
        <v>4139</v>
      </c>
      <c r="G7638" s="905" t="s">
        <v>2595</v>
      </c>
      <c r="H7638" s="902">
        <v>960</v>
      </c>
      <c r="I7638" s="904" t="s">
        <v>2596</v>
      </c>
      <c r="J7638" s="904"/>
      <c r="K7638" s="904"/>
      <c r="L7638" s="904"/>
      <c r="M7638" s="904"/>
      <c r="N7638" s="904"/>
      <c r="O7638" s="902">
        <v>4</v>
      </c>
      <c r="P7638" s="906">
        <v>38274</v>
      </c>
      <c r="Q7638" s="1415">
        <f>4*0.9</f>
        <v>3.6</v>
      </c>
      <c r="R7638" s="908">
        <f>$A7638*Q7638</f>
        <v>990</v>
      </c>
      <c r="S7638" s="907"/>
      <c r="T7638" s="909">
        <f>$A7638*S7638*$T$1</f>
        <v>0</v>
      </c>
      <c r="AR7638" s="903">
        <v>275</v>
      </c>
      <c r="AS7638" s="904" t="s">
        <v>3507</v>
      </c>
    </row>
    <row r="7639" spans="1:45" s="520" customFormat="1" ht="12">
      <c r="A7639" s="758"/>
      <c r="B7639" s="758"/>
      <c r="C7639" s="758"/>
      <c r="D7639" s="758"/>
      <c r="E7639" s="758"/>
      <c r="F7639" s="753"/>
      <c r="G7639" s="758"/>
      <c r="H7639" s="758"/>
      <c r="I7639" s="519"/>
      <c r="J7639" s="758"/>
      <c r="K7639" s="758"/>
      <c r="L7639" s="758"/>
      <c r="M7639" s="758"/>
      <c r="N7639" s="758"/>
      <c r="O7639" s="758"/>
      <c r="P7639" s="758"/>
      <c r="Q7639" s="519"/>
      <c r="R7639" s="759">
        <f t="shared" ref="R7639" si="736">$A7639*Q7639</f>
        <v>0</v>
      </c>
      <c r="S7639" s="519"/>
      <c r="T7639" s="760">
        <f t="shared" ref="T7639" si="737">$A7639*S7639*$T$1</f>
        <v>0</v>
      </c>
      <c r="AR7639" s="758"/>
      <c r="AS7639" s="753"/>
    </row>
    <row r="7640" spans="1:45" s="520" customFormat="1" ht="12.6" thickBot="1">
      <c r="A7640" s="761" t="s">
        <v>145</v>
      </c>
      <c r="B7640" s="762">
        <f>(R7639+T7639)</f>
        <v>0</v>
      </c>
      <c r="C7640" s="763"/>
      <c r="D7640" s="763"/>
      <c r="E7640" s="763"/>
      <c r="F7640" s="764"/>
      <c r="G7640" s="763" t="s">
        <v>146</v>
      </c>
      <c r="H7640" s="763"/>
      <c r="I7640" s="765"/>
      <c r="J7640" s="763"/>
      <c r="K7640" s="763" t="s">
        <v>5</v>
      </c>
      <c r="L7640" s="766" t="s">
        <v>143</v>
      </c>
      <c r="M7640" s="766"/>
      <c r="N7640" s="766"/>
      <c r="O7640" s="766"/>
      <c r="P7640" s="766"/>
      <c r="Q7640" s="767"/>
      <c r="R7640" s="768">
        <f>SUM(R7637:R7639)</f>
        <v>990</v>
      </c>
      <c r="S7640" s="763"/>
      <c r="T7640" s="768">
        <f>SUM(T7637:T7639)</f>
        <v>0</v>
      </c>
      <c r="U7640" s="531"/>
      <c r="V7640" s="531"/>
      <c r="W7640" s="531"/>
      <c r="X7640" s="531"/>
      <c r="Y7640" s="531"/>
      <c r="Z7640" s="531"/>
      <c r="AA7640" s="531"/>
      <c r="AB7640" s="531"/>
      <c r="AC7640" s="531"/>
      <c r="AD7640" s="531"/>
      <c r="AE7640" s="531"/>
      <c r="AF7640" s="531"/>
      <c r="AG7640" s="531"/>
      <c r="AH7640" s="531"/>
      <c r="AI7640" s="531"/>
      <c r="AJ7640" s="531"/>
      <c r="AK7640" s="531"/>
      <c r="AL7640" s="531"/>
      <c r="AM7640" s="531"/>
      <c r="AN7640" s="531"/>
      <c r="AO7640" s="531"/>
      <c r="AR7640" s="761" t="s">
        <v>145</v>
      </c>
      <c r="AS7640" s="764"/>
    </row>
    <row r="7641" spans="1:45" s="520" customFormat="1" ht="12" thickTop="1">
      <c r="A7641" s="51"/>
      <c r="B7641" s="41"/>
      <c r="C7641" s="51"/>
      <c r="E7641" s="42" t="s">
        <v>138</v>
      </c>
      <c r="F7641" s="42" t="s">
        <v>139</v>
      </c>
      <c r="G7641" s="51"/>
      <c r="H7641" s="51"/>
      <c r="I7641" s="51"/>
      <c r="J7641" s="51"/>
      <c r="K7641" s="51" t="s">
        <v>140</v>
      </c>
      <c r="L7641" s="51"/>
      <c r="M7641" s="51"/>
      <c r="N7641" s="51"/>
      <c r="O7641" s="52"/>
      <c r="P7641" s="51"/>
      <c r="Q7641" s="51"/>
      <c r="R7641" s="51"/>
      <c r="S7641" s="51"/>
      <c r="T7641" s="41"/>
      <c r="AG7641" s="521" t="s">
        <v>268</v>
      </c>
      <c r="AH7641" s="521" t="s">
        <v>269</v>
      </c>
      <c r="AI7641" s="521" t="s">
        <v>270</v>
      </c>
      <c r="AJ7641" s="521" t="s">
        <v>271</v>
      </c>
      <c r="AK7641" s="521" t="s">
        <v>272</v>
      </c>
      <c r="AM7641" s="745" t="s">
        <v>281</v>
      </c>
      <c r="AN7641" s="746" t="s">
        <v>282</v>
      </c>
      <c r="AO7641" s="522" t="s">
        <v>278</v>
      </c>
      <c r="AR7641" s="51"/>
      <c r="AS7641" s="42" t="s">
        <v>139</v>
      </c>
    </row>
    <row r="7642" spans="1:45" s="520" customFormat="1" ht="12" customHeight="1">
      <c r="A7642" s="747">
        <v>200</v>
      </c>
      <c r="B7642" s="523" t="s">
        <v>320</v>
      </c>
      <c r="C7642" s="748"/>
      <c r="D7642" s="749" t="s">
        <v>3998</v>
      </c>
      <c r="E7642" s="1145">
        <f>IF(AND($A7642=0,$A$1="DIF"),0, ROUND(ROUND(($R7646*$S$3+($T7646*$T$3))/$A7642,2)*$C$3,2))</f>
        <v>4.0599999999999996</v>
      </c>
      <c r="F7642" s="1146">
        <f>ROUND($A7642*$E7642,2)</f>
        <v>812</v>
      </c>
      <c r="G7642" s="752" t="s">
        <v>142</v>
      </c>
      <c r="H7642" s="753"/>
      <c r="I7642" s="754"/>
      <c r="J7642" s="753"/>
      <c r="K7642" s="753" t="s">
        <v>5</v>
      </c>
      <c r="L7642" s="755" t="s">
        <v>143</v>
      </c>
      <c r="M7642" s="755"/>
      <c r="N7642" s="755"/>
      <c r="O7642" s="755"/>
      <c r="P7642" s="755"/>
      <c r="Q7642" s="51"/>
      <c r="T7642" s="1150" t="str">
        <f>IF(AND($R7646=0,$T7646=0),"0.00","mu: "&amp; ROUND(F7642/$C$3/($R7646+$T7646*$D$9),2))</f>
        <v>mu: 1.13</v>
      </c>
      <c r="W7642" s="524"/>
      <c r="AG7642" s="1147">
        <f>IF($E7642=0,0,ROUND($R7646*$S$3*$C$3/$A7642,2))</f>
        <v>4.0599999999999996</v>
      </c>
      <c r="AH7642" s="1147">
        <f>$AG7642*$A7642</f>
        <v>811.99999999999989</v>
      </c>
      <c r="AI7642" s="1148">
        <f>$E7642-$AG7642</f>
        <v>0</v>
      </c>
      <c r="AJ7642" s="1148">
        <f>$A7642*$AI7642</f>
        <v>0</v>
      </c>
      <c r="AK7642" s="1149">
        <f>ROUND(($AG7642+$AI7642)*$A7642,2)</f>
        <v>812</v>
      </c>
      <c r="AM7642" s="527">
        <f>ROUND(R7646,2)</f>
        <v>720</v>
      </c>
      <c r="AN7642" s="528">
        <f>ROUND(T7646,2)</f>
        <v>0</v>
      </c>
      <c r="AO7642" s="529">
        <f>ROUND(AM7642+AN7642,2)*A7642</f>
        <v>144000</v>
      </c>
      <c r="AR7642" s="747">
        <v>200</v>
      </c>
      <c r="AS7642" s="1146">
        <v>858</v>
      </c>
    </row>
    <row r="7643" spans="1:45" s="520" customFormat="1" ht="39.9" customHeight="1">
      <c r="A7643" s="748"/>
      <c r="B7643"/>
      <c r="C7643" s="748"/>
      <c r="D7643" s="1451" t="s">
        <v>1008</v>
      </c>
      <c r="E7643" s="1452"/>
      <c r="F7643" s="1452"/>
      <c r="G7643" s="1452"/>
      <c r="H7643" s="1452"/>
      <c r="I7643" s="1452"/>
      <c r="J7643" s="1452"/>
      <c r="K7643" s="1452"/>
      <c r="L7643" s="1452"/>
      <c r="M7643" s="1452"/>
      <c r="N7643" s="1452"/>
      <c r="O7643" s="1452"/>
      <c r="P7643" s="1452"/>
      <c r="Q7643" s="1452"/>
      <c r="R7643" s="1452"/>
      <c r="S7643" s="1452"/>
      <c r="T7643" s="1452"/>
      <c r="AR7643" s="748"/>
    </row>
    <row r="7644" spans="1:45" s="901" customFormat="1" ht="13.2">
      <c r="A7644" s="903">
        <v>200</v>
      </c>
      <c r="B7644" s="904" t="s">
        <v>863</v>
      </c>
      <c r="C7644" s="904"/>
      <c r="D7644" s="904" t="s">
        <v>2594</v>
      </c>
      <c r="E7644" s="904"/>
      <c r="F7644" s="904" t="s">
        <v>4139</v>
      </c>
      <c r="G7644" s="905" t="s">
        <v>2595</v>
      </c>
      <c r="H7644" s="902">
        <v>960</v>
      </c>
      <c r="I7644" s="904" t="s">
        <v>2596</v>
      </c>
      <c r="J7644" s="904"/>
      <c r="K7644" s="904"/>
      <c r="L7644" s="904"/>
      <c r="M7644" s="904"/>
      <c r="N7644" s="904"/>
      <c r="O7644" s="902">
        <v>4</v>
      </c>
      <c r="P7644" s="906">
        <v>38274</v>
      </c>
      <c r="Q7644" s="1415">
        <f>4*0.9</f>
        <v>3.6</v>
      </c>
      <c r="R7644" s="908">
        <f>$A7644*Q7644</f>
        <v>720</v>
      </c>
      <c r="S7644" s="907"/>
      <c r="T7644" s="909">
        <f>$A7644*S7644*$T$1</f>
        <v>0</v>
      </c>
      <c r="AR7644" s="903">
        <v>200</v>
      </c>
      <c r="AS7644" s="904" t="s">
        <v>3507</v>
      </c>
    </row>
    <row r="7645" spans="1:45" s="520" customFormat="1" ht="12">
      <c r="A7645" s="758"/>
      <c r="B7645" s="758"/>
      <c r="C7645" s="758"/>
      <c r="D7645" s="758"/>
      <c r="E7645" s="758"/>
      <c r="F7645" s="753"/>
      <c r="G7645" s="758"/>
      <c r="H7645" s="758"/>
      <c r="I7645" s="519"/>
      <c r="J7645" s="758"/>
      <c r="K7645" s="758"/>
      <c r="L7645" s="758"/>
      <c r="M7645" s="758"/>
      <c r="N7645" s="758"/>
      <c r="O7645" s="758"/>
      <c r="P7645" s="758"/>
      <c r="Q7645" s="519"/>
      <c r="R7645" s="759">
        <f t="shared" ref="R7645" si="738">$A7645*Q7645</f>
        <v>0</v>
      </c>
      <c r="S7645" s="519"/>
      <c r="T7645" s="760">
        <f t="shared" ref="T7645" si="739">$A7645*S7645*$T$1</f>
        <v>0</v>
      </c>
      <c r="AR7645" s="758"/>
      <c r="AS7645" s="753"/>
    </row>
    <row r="7646" spans="1:45" s="520" customFormat="1" ht="12.6" thickBot="1">
      <c r="A7646" s="761" t="s">
        <v>145</v>
      </c>
      <c r="B7646" s="762">
        <f>(R7645+T7645)</f>
        <v>0</v>
      </c>
      <c r="C7646" s="763"/>
      <c r="D7646" s="763"/>
      <c r="E7646" s="763"/>
      <c r="F7646" s="764"/>
      <c r="G7646" s="763" t="s">
        <v>146</v>
      </c>
      <c r="H7646" s="763"/>
      <c r="I7646" s="765"/>
      <c r="J7646" s="763"/>
      <c r="K7646" s="763" t="s">
        <v>5</v>
      </c>
      <c r="L7646" s="766" t="s">
        <v>143</v>
      </c>
      <c r="M7646" s="766"/>
      <c r="N7646" s="766"/>
      <c r="O7646" s="766"/>
      <c r="P7646" s="766"/>
      <c r="Q7646" s="767"/>
      <c r="R7646" s="768">
        <f>SUM(R7643:R7645)</f>
        <v>720</v>
      </c>
      <c r="S7646" s="763"/>
      <c r="T7646" s="768">
        <f>SUM(T7643:T7645)</f>
        <v>0</v>
      </c>
      <c r="U7646" s="531"/>
      <c r="V7646" s="531"/>
      <c r="W7646" s="531"/>
      <c r="X7646" s="531"/>
      <c r="Y7646" s="531"/>
      <c r="Z7646" s="531"/>
      <c r="AA7646" s="531"/>
      <c r="AB7646" s="531"/>
      <c r="AC7646" s="531"/>
      <c r="AD7646" s="531"/>
      <c r="AE7646" s="531"/>
      <c r="AF7646" s="531"/>
      <c r="AG7646" s="531"/>
      <c r="AH7646" s="531"/>
      <c r="AI7646" s="531"/>
      <c r="AJ7646" s="531"/>
      <c r="AK7646" s="531"/>
      <c r="AL7646" s="531"/>
      <c r="AM7646" s="531"/>
      <c r="AN7646" s="531"/>
      <c r="AO7646" s="531"/>
      <c r="AR7646" s="761" t="s">
        <v>145</v>
      </c>
      <c r="AS7646" s="764"/>
    </row>
    <row r="7647" spans="1:45" s="520" customFormat="1" ht="12" thickTop="1">
      <c r="A7647" s="51"/>
      <c r="B7647" s="41"/>
      <c r="C7647" s="51"/>
      <c r="E7647" s="42" t="s">
        <v>138</v>
      </c>
      <c r="F7647" s="42" t="s">
        <v>139</v>
      </c>
      <c r="G7647" s="51"/>
      <c r="H7647" s="51"/>
      <c r="I7647" s="51"/>
      <c r="J7647" s="51"/>
      <c r="K7647" s="51" t="s">
        <v>140</v>
      </c>
      <c r="L7647" s="51"/>
      <c r="M7647" s="51"/>
      <c r="N7647" s="51"/>
      <c r="O7647" s="52"/>
      <c r="P7647" s="51"/>
      <c r="Q7647" s="51"/>
      <c r="R7647" s="51"/>
      <c r="S7647" s="51"/>
      <c r="T7647" s="41"/>
      <c r="AG7647" s="521" t="s">
        <v>268</v>
      </c>
      <c r="AH7647" s="521" t="s">
        <v>269</v>
      </c>
      <c r="AI7647" s="521" t="s">
        <v>270</v>
      </c>
      <c r="AJ7647" s="521" t="s">
        <v>271</v>
      </c>
      <c r="AK7647" s="521" t="s">
        <v>272</v>
      </c>
      <c r="AM7647" s="745" t="s">
        <v>281</v>
      </c>
      <c r="AN7647" s="746" t="s">
        <v>282</v>
      </c>
      <c r="AO7647" s="522" t="s">
        <v>278</v>
      </c>
      <c r="AR7647" s="51"/>
      <c r="AS7647" s="42" t="s">
        <v>139</v>
      </c>
    </row>
    <row r="7648" spans="1:45" s="520" customFormat="1" ht="12" customHeight="1">
      <c r="A7648" s="747">
        <v>45</v>
      </c>
      <c r="B7648" s="523" t="s">
        <v>320</v>
      </c>
      <c r="C7648" s="748"/>
      <c r="D7648" s="749" t="s">
        <v>3999</v>
      </c>
      <c r="E7648" s="1145">
        <f>IF(AND($A7648=0,$A$1="DIF"),0, ROUND(ROUND(($R7652*$S$3+($T7652*$T$3))/$A7648,2)*$C$3,2))</f>
        <v>4.0599999999999996</v>
      </c>
      <c r="F7648" s="1146">
        <f>ROUND($A7648*$E7648,2)</f>
        <v>182.7</v>
      </c>
      <c r="G7648" s="752" t="s">
        <v>142</v>
      </c>
      <c r="H7648" s="753"/>
      <c r="I7648" s="754"/>
      <c r="J7648" s="753"/>
      <c r="K7648" s="753" t="s">
        <v>5</v>
      </c>
      <c r="L7648" s="755" t="s">
        <v>143</v>
      </c>
      <c r="M7648" s="755"/>
      <c r="N7648" s="755"/>
      <c r="O7648" s="755"/>
      <c r="P7648" s="755"/>
      <c r="Q7648" s="51"/>
      <c r="T7648" s="1150" t="str">
        <f>IF(AND($R7652=0,$T7652=0),"0.00","mu: "&amp; ROUND(F7648/$C$3/($R7652+$T7652*$D$9),2))</f>
        <v>mu: 1.13</v>
      </c>
      <c r="W7648" s="524"/>
      <c r="AG7648" s="1147">
        <f>IF($E7648=0,0,ROUND($R7652*$S$3*$C$3/$A7648,2))</f>
        <v>4.0599999999999996</v>
      </c>
      <c r="AH7648" s="1147">
        <f>$AG7648*$A7648</f>
        <v>182.7</v>
      </c>
      <c r="AI7648" s="1148">
        <f>$E7648-$AG7648</f>
        <v>0</v>
      </c>
      <c r="AJ7648" s="1148">
        <f>$A7648*$AI7648</f>
        <v>0</v>
      </c>
      <c r="AK7648" s="1149">
        <f>ROUND(($AG7648+$AI7648)*$A7648,2)</f>
        <v>182.7</v>
      </c>
      <c r="AM7648" s="527">
        <f>ROUND(R7652,2)</f>
        <v>162</v>
      </c>
      <c r="AN7648" s="528">
        <f>ROUND(T7652,2)</f>
        <v>0</v>
      </c>
      <c r="AO7648" s="529">
        <f>ROUND(AM7648+AN7648,2)*A7648</f>
        <v>7290</v>
      </c>
      <c r="AR7648" s="747">
        <v>45</v>
      </c>
      <c r="AS7648" s="1146">
        <v>193.05</v>
      </c>
    </row>
    <row r="7649" spans="1:45" s="520" customFormat="1" ht="39.9" customHeight="1">
      <c r="A7649" s="748"/>
      <c r="B7649"/>
      <c r="C7649" s="748"/>
      <c r="D7649" s="1451" t="s">
        <v>1009</v>
      </c>
      <c r="E7649" s="1452"/>
      <c r="F7649" s="1452"/>
      <c r="G7649" s="1452"/>
      <c r="H7649" s="1452"/>
      <c r="I7649" s="1452"/>
      <c r="J7649" s="1452"/>
      <c r="K7649" s="1452"/>
      <c r="L7649" s="1452"/>
      <c r="M7649" s="1452"/>
      <c r="N7649" s="1452"/>
      <c r="O7649" s="1452"/>
      <c r="P7649" s="1452"/>
      <c r="Q7649" s="1452"/>
      <c r="R7649" s="1452"/>
      <c r="S7649" s="1452"/>
      <c r="T7649" s="1452"/>
      <c r="AR7649" s="748"/>
    </row>
    <row r="7650" spans="1:45" s="901" customFormat="1" ht="13.2">
      <c r="A7650" s="903">
        <v>45</v>
      </c>
      <c r="B7650" s="904" t="s">
        <v>863</v>
      </c>
      <c r="C7650" s="904"/>
      <c r="D7650" s="904" t="s">
        <v>2594</v>
      </c>
      <c r="E7650" s="904"/>
      <c r="F7650" s="904" t="s">
        <v>4139</v>
      </c>
      <c r="G7650" s="905" t="s">
        <v>2595</v>
      </c>
      <c r="H7650" s="902">
        <v>960</v>
      </c>
      <c r="I7650" s="904" t="s">
        <v>2596</v>
      </c>
      <c r="J7650" s="904"/>
      <c r="K7650" s="904"/>
      <c r="L7650" s="904"/>
      <c r="M7650" s="904"/>
      <c r="N7650" s="904"/>
      <c r="O7650" s="902">
        <v>4</v>
      </c>
      <c r="P7650" s="906">
        <v>38274</v>
      </c>
      <c r="Q7650" s="1415">
        <f>4*0.9</f>
        <v>3.6</v>
      </c>
      <c r="R7650" s="908">
        <f>$A7650*Q7650</f>
        <v>162</v>
      </c>
      <c r="S7650" s="907"/>
      <c r="T7650" s="909">
        <f>$A7650*S7650*$T$1</f>
        <v>0</v>
      </c>
      <c r="AR7650" s="903">
        <v>45</v>
      </c>
      <c r="AS7650" s="904" t="s">
        <v>3507</v>
      </c>
    </row>
    <row r="7651" spans="1:45" s="520" customFormat="1" ht="12">
      <c r="A7651" s="758"/>
      <c r="B7651" s="758"/>
      <c r="C7651" s="758"/>
      <c r="D7651" s="758"/>
      <c r="E7651" s="758"/>
      <c r="F7651" s="753"/>
      <c r="G7651" s="758"/>
      <c r="H7651" s="758"/>
      <c r="I7651" s="519"/>
      <c r="J7651" s="758"/>
      <c r="K7651" s="758"/>
      <c r="L7651" s="758"/>
      <c r="M7651" s="758"/>
      <c r="N7651" s="758"/>
      <c r="O7651" s="758"/>
      <c r="P7651" s="758"/>
      <c r="Q7651" s="519"/>
      <c r="R7651" s="759">
        <f t="shared" ref="R7651" si="740">$A7651*Q7651</f>
        <v>0</v>
      </c>
      <c r="S7651" s="519"/>
      <c r="T7651" s="760">
        <f t="shared" ref="T7651" si="741">$A7651*S7651*$T$1</f>
        <v>0</v>
      </c>
      <c r="AR7651" s="758"/>
      <c r="AS7651" s="753"/>
    </row>
    <row r="7652" spans="1:45" s="520" customFormat="1" ht="12.6" thickBot="1">
      <c r="A7652" s="761" t="s">
        <v>145</v>
      </c>
      <c r="B7652" s="762">
        <f>(R7651+T7651)</f>
        <v>0</v>
      </c>
      <c r="C7652" s="763"/>
      <c r="D7652" s="763"/>
      <c r="E7652" s="763"/>
      <c r="F7652" s="764"/>
      <c r="G7652" s="763" t="s">
        <v>146</v>
      </c>
      <c r="H7652" s="763"/>
      <c r="I7652" s="765"/>
      <c r="J7652" s="763"/>
      <c r="K7652" s="763" t="s">
        <v>5</v>
      </c>
      <c r="L7652" s="766" t="s">
        <v>143</v>
      </c>
      <c r="M7652" s="766"/>
      <c r="N7652" s="766"/>
      <c r="O7652" s="766"/>
      <c r="P7652" s="766"/>
      <c r="Q7652" s="767"/>
      <c r="R7652" s="768">
        <f>SUM(R7649:R7651)</f>
        <v>162</v>
      </c>
      <c r="S7652" s="763"/>
      <c r="T7652" s="768">
        <f>SUM(T7649:T7651)</f>
        <v>0</v>
      </c>
      <c r="U7652" s="531"/>
      <c r="V7652" s="531"/>
      <c r="W7652" s="531"/>
      <c r="X7652" s="531"/>
      <c r="Y7652" s="531"/>
      <c r="Z7652" s="531"/>
      <c r="AA7652" s="531"/>
      <c r="AB7652" s="531"/>
      <c r="AC7652" s="531"/>
      <c r="AD7652" s="531"/>
      <c r="AE7652" s="531"/>
      <c r="AF7652" s="531"/>
      <c r="AG7652" s="531"/>
      <c r="AH7652" s="531"/>
      <c r="AI7652" s="531"/>
      <c r="AJ7652" s="531"/>
      <c r="AK7652" s="531"/>
      <c r="AL7652" s="531"/>
      <c r="AM7652" s="531"/>
      <c r="AN7652" s="531"/>
      <c r="AO7652" s="531"/>
      <c r="AR7652" s="761" t="s">
        <v>145</v>
      </c>
      <c r="AS7652" s="764"/>
    </row>
    <row r="7653" spans="1:45" s="520" customFormat="1" ht="12" thickTop="1">
      <c r="A7653" s="51"/>
      <c r="B7653" s="41"/>
      <c r="C7653" s="51"/>
      <c r="E7653" s="42" t="s">
        <v>138</v>
      </c>
      <c r="F7653" s="42" t="s">
        <v>139</v>
      </c>
      <c r="G7653" s="51"/>
      <c r="H7653" s="51"/>
      <c r="I7653" s="51"/>
      <c r="J7653" s="51"/>
      <c r="K7653" s="51" t="s">
        <v>140</v>
      </c>
      <c r="L7653" s="51"/>
      <c r="M7653" s="51"/>
      <c r="N7653" s="51"/>
      <c r="O7653" s="52"/>
      <c r="P7653" s="51"/>
      <c r="Q7653" s="51"/>
      <c r="R7653" s="51"/>
      <c r="S7653" s="51"/>
      <c r="T7653" s="41"/>
      <c r="AG7653" s="521" t="s">
        <v>268</v>
      </c>
      <c r="AH7653" s="521" t="s">
        <v>269</v>
      </c>
      <c r="AI7653" s="521" t="s">
        <v>270</v>
      </c>
      <c r="AJ7653" s="521" t="s">
        <v>271</v>
      </c>
      <c r="AK7653" s="521" t="s">
        <v>272</v>
      </c>
      <c r="AM7653" s="745" t="s">
        <v>281</v>
      </c>
      <c r="AN7653" s="746" t="s">
        <v>282</v>
      </c>
      <c r="AO7653" s="522" t="s">
        <v>278</v>
      </c>
      <c r="AR7653" s="51"/>
      <c r="AS7653" s="42" t="s">
        <v>139</v>
      </c>
    </row>
    <row r="7654" spans="1:45" s="520" customFormat="1" ht="12" customHeight="1">
      <c r="A7654" s="747">
        <v>55</v>
      </c>
      <c r="B7654" s="523" t="s">
        <v>320</v>
      </c>
      <c r="C7654" s="748"/>
      <c r="D7654" s="749" t="s">
        <v>4000</v>
      </c>
      <c r="E7654" s="1145">
        <f>IF(AND($A7654=0,$A$1="DIF"),0, ROUND(ROUND(($R7658*$S$3+($T7658*$T$3))/$A7654,2)*$C$3,2))</f>
        <v>4.0599999999999996</v>
      </c>
      <c r="F7654" s="1146">
        <f>ROUND($A7654*$E7654,2)</f>
        <v>223.3</v>
      </c>
      <c r="G7654" s="752" t="s">
        <v>142</v>
      </c>
      <c r="H7654" s="753"/>
      <c r="I7654" s="754"/>
      <c r="J7654" s="753"/>
      <c r="K7654" s="753" t="s">
        <v>5</v>
      </c>
      <c r="L7654" s="755" t="s">
        <v>143</v>
      </c>
      <c r="M7654" s="755"/>
      <c r="N7654" s="755"/>
      <c r="O7654" s="755"/>
      <c r="P7654" s="755"/>
      <c r="Q7654" s="51"/>
      <c r="T7654" s="1150" t="str">
        <f>IF(AND($R7658=0,$T7658=0),"0.00","mu: "&amp; ROUND(F7654/$C$3/($R7658+$T7658*$D$9),2))</f>
        <v>mu: 1.13</v>
      </c>
      <c r="W7654" s="524"/>
      <c r="AG7654" s="1147">
        <f>IF($E7654=0,0,ROUND($R7658*$S$3*$C$3/$A7654,2))</f>
        <v>4.0599999999999996</v>
      </c>
      <c r="AH7654" s="1147">
        <f>$AG7654*$A7654</f>
        <v>223.29999999999998</v>
      </c>
      <c r="AI7654" s="1148">
        <f>$E7654-$AG7654</f>
        <v>0</v>
      </c>
      <c r="AJ7654" s="1148">
        <f>$A7654*$AI7654</f>
        <v>0</v>
      </c>
      <c r="AK7654" s="1149">
        <f>ROUND(($AG7654+$AI7654)*$A7654,2)</f>
        <v>223.3</v>
      </c>
      <c r="AM7654" s="527">
        <f>ROUND(R7658,2)</f>
        <v>198</v>
      </c>
      <c r="AN7654" s="528">
        <f>ROUND(T7658,2)</f>
        <v>0</v>
      </c>
      <c r="AO7654" s="529">
        <f>ROUND(AM7654+AN7654,2)*A7654</f>
        <v>10890</v>
      </c>
      <c r="AR7654" s="747">
        <v>55</v>
      </c>
      <c r="AS7654" s="1146">
        <v>235.95</v>
      </c>
    </row>
    <row r="7655" spans="1:45" s="520" customFormat="1" ht="39.9" customHeight="1">
      <c r="A7655" s="748"/>
      <c r="B7655"/>
      <c r="C7655" s="748"/>
      <c r="D7655" s="1451" t="s">
        <v>1010</v>
      </c>
      <c r="E7655" s="1452"/>
      <c r="F7655" s="1452"/>
      <c r="G7655" s="1452"/>
      <c r="H7655" s="1452"/>
      <c r="I7655" s="1452"/>
      <c r="J7655" s="1452"/>
      <c r="K7655" s="1452"/>
      <c r="L7655" s="1452"/>
      <c r="M7655" s="1452"/>
      <c r="N7655" s="1452"/>
      <c r="O7655" s="1452"/>
      <c r="P7655" s="1452"/>
      <c r="Q7655" s="1452"/>
      <c r="R7655" s="1452"/>
      <c r="S7655" s="1452"/>
      <c r="T7655" s="1452"/>
      <c r="AR7655" s="748"/>
    </row>
    <row r="7656" spans="1:45" s="901" customFormat="1" ht="13.2">
      <c r="A7656" s="903">
        <v>55</v>
      </c>
      <c r="B7656" s="904" t="s">
        <v>863</v>
      </c>
      <c r="C7656" s="904"/>
      <c r="D7656" s="904" t="s">
        <v>2594</v>
      </c>
      <c r="E7656" s="904"/>
      <c r="F7656" s="904" t="s">
        <v>4139</v>
      </c>
      <c r="G7656" s="905" t="s">
        <v>2595</v>
      </c>
      <c r="H7656" s="902">
        <v>960</v>
      </c>
      <c r="I7656" s="904" t="s">
        <v>2596</v>
      </c>
      <c r="J7656" s="904"/>
      <c r="K7656" s="904"/>
      <c r="L7656" s="904"/>
      <c r="M7656" s="904"/>
      <c r="N7656" s="904"/>
      <c r="O7656" s="902">
        <v>4</v>
      </c>
      <c r="P7656" s="906">
        <v>38274</v>
      </c>
      <c r="Q7656" s="1415">
        <f>4*0.9</f>
        <v>3.6</v>
      </c>
      <c r="R7656" s="908">
        <f>$A7656*Q7656</f>
        <v>198</v>
      </c>
      <c r="S7656" s="907"/>
      <c r="T7656" s="909">
        <f>$A7656*S7656*$T$1</f>
        <v>0</v>
      </c>
      <c r="AR7656" s="903">
        <v>55</v>
      </c>
      <c r="AS7656" s="904" t="s">
        <v>3507</v>
      </c>
    </row>
    <row r="7657" spans="1:45" s="520" customFormat="1" ht="12">
      <c r="A7657" s="758"/>
      <c r="B7657" s="758"/>
      <c r="C7657" s="758"/>
      <c r="D7657" s="758"/>
      <c r="E7657" s="758"/>
      <c r="F7657" s="753"/>
      <c r="G7657" s="758"/>
      <c r="H7657" s="758"/>
      <c r="I7657" s="519"/>
      <c r="J7657" s="758"/>
      <c r="K7657" s="758"/>
      <c r="L7657" s="758"/>
      <c r="M7657" s="758"/>
      <c r="N7657" s="758"/>
      <c r="O7657" s="758"/>
      <c r="P7657" s="758"/>
      <c r="Q7657" s="519"/>
      <c r="R7657" s="759">
        <f t="shared" ref="R7657" si="742">$A7657*Q7657</f>
        <v>0</v>
      </c>
      <c r="S7657" s="519"/>
      <c r="T7657" s="760">
        <f t="shared" ref="T7657" si="743">$A7657*S7657*$T$1</f>
        <v>0</v>
      </c>
      <c r="AR7657" s="758"/>
      <c r="AS7657" s="753"/>
    </row>
    <row r="7658" spans="1:45" s="520" customFormat="1" ht="12.6" thickBot="1">
      <c r="A7658" s="761" t="s">
        <v>145</v>
      </c>
      <c r="B7658" s="762">
        <f>(R7657+T7657)</f>
        <v>0</v>
      </c>
      <c r="C7658" s="763"/>
      <c r="D7658" s="763"/>
      <c r="E7658" s="763"/>
      <c r="F7658" s="764"/>
      <c r="G7658" s="763" t="s">
        <v>146</v>
      </c>
      <c r="H7658" s="763"/>
      <c r="I7658" s="765"/>
      <c r="J7658" s="763"/>
      <c r="K7658" s="763" t="s">
        <v>5</v>
      </c>
      <c r="L7658" s="766" t="s">
        <v>143</v>
      </c>
      <c r="M7658" s="766"/>
      <c r="N7658" s="766"/>
      <c r="O7658" s="766"/>
      <c r="P7658" s="766"/>
      <c r="Q7658" s="767"/>
      <c r="R7658" s="768">
        <f>SUM(R7655:R7657)</f>
        <v>198</v>
      </c>
      <c r="S7658" s="763"/>
      <c r="T7658" s="768">
        <f>SUM(T7655:T7657)</f>
        <v>0</v>
      </c>
      <c r="U7658" s="531"/>
      <c r="V7658" s="531"/>
      <c r="W7658" s="531"/>
      <c r="X7658" s="531"/>
      <c r="Y7658" s="531"/>
      <c r="Z7658" s="531"/>
      <c r="AA7658" s="531"/>
      <c r="AB7658" s="531"/>
      <c r="AC7658" s="531"/>
      <c r="AD7658" s="531"/>
      <c r="AE7658" s="531"/>
      <c r="AF7658" s="531"/>
      <c r="AG7658" s="531"/>
      <c r="AH7658" s="531"/>
      <c r="AI7658" s="531"/>
      <c r="AJ7658" s="531"/>
      <c r="AK7658" s="531"/>
      <c r="AL7658" s="531"/>
      <c r="AM7658" s="531"/>
      <c r="AN7658" s="531"/>
      <c r="AO7658" s="531"/>
      <c r="AR7658" s="761" t="s">
        <v>145</v>
      </c>
      <c r="AS7658" s="764"/>
    </row>
    <row r="7659" spans="1:45" s="520" customFormat="1" ht="12" thickTop="1">
      <c r="A7659" s="51"/>
      <c r="B7659" s="41"/>
      <c r="C7659" s="51"/>
      <c r="E7659" s="42" t="s">
        <v>138</v>
      </c>
      <c r="F7659" s="42" t="s">
        <v>139</v>
      </c>
      <c r="G7659" s="51"/>
      <c r="H7659" s="51"/>
      <c r="I7659" s="51"/>
      <c r="J7659" s="51"/>
      <c r="K7659" s="51" t="s">
        <v>140</v>
      </c>
      <c r="L7659" s="51"/>
      <c r="M7659" s="51"/>
      <c r="N7659" s="51"/>
      <c r="O7659" s="52"/>
      <c r="P7659" s="51"/>
      <c r="Q7659" s="51"/>
      <c r="R7659" s="51"/>
      <c r="S7659" s="51"/>
      <c r="T7659" s="41"/>
      <c r="AG7659" s="521" t="s">
        <v>268</v>
      </c>
      <c r="AH7659" s="521" t="s">
        <v>269</v>
      </c>
      <c r="AI7659" s="521" t="s">
        <v>270</v>
      </c>
      <c r="AJ7659" s="521" t="s">
        <v>271</v>
      </c>
      <c r="AK7659" s="521" t="s">
        <v>272</v>
      </c>
      <c r="AM7659" s="745" t="s">
        <v>281</v>
      </c>
      <c r="AN7659" s="746" t="s">
        <v>282</v>
      </c>
      <c r="AO7659" s="522" t="s">
        <v>278</v>
      </c>
      <c r="AR7659" s="51"/>
      <c r="AS7659" s="42" t="s">
        <v>139</v>
      </c>
    </row>
    <row r="7660" spans="1:45" s="520" customFormat="1" ht="12" customHeight="1">
      <c r="A7660" s="747">
        <v>95</v>
      </c>
      <c r="B7660" s="523" t="s">
        <v>320</v>
      </c>
      <c r="C7660" s="748"/>
      <c r="D7660" s="749" t="s">
        <v>4001</v>
      </c>
      <c r="E7660" s="1145">
        <f>IF(AND($A7660=0,$A$1="DIF"),0, ROUND(ROUND(($R7664*$S$3+($T7664*$T$3))/$A7660,2)*$C$3,2))</f>
        <v>4.0599999999999996</v>
      </c>
      <c r="F7660" s="1146">
        <f>ROUND($A7660*$E7660,2)</f>
        <v>385.7</v>
      </c>
      <c r="G7660" s="752" t="s">
        <v>142</v>
      </c>
      <c r="H7660" s="753"/>
      <c r="I7660" s="754"/>
      <c r="J7660" s="753"/>
      <c r="K7660" s="753" t="s">
        <v>5</v>
      </c>
      <c r="L7660" s="755" t="s">
        <v>143</v>
      </c>
      <c r="M7660" s="755"/>
      <c r="N7660" s="755"/>
      <c r="O7660" s="755"/>
      <c r="P7660" s="755"/>
      <c r="Q7660" s="51"/>
      <c r="T7660" s="1150" t="str">
        <f>IF(AND($R7664=0,$T7664=0),"0.00","mu: "&amp; ROUND(F7660/$C$3/($R7664+$T7664*$D$9),2))</f>
        <v>mu: 1.13</v>
      </c>
      <c r="W7660" s="524"/>
      <c r="AG7660" s="1147">
        <f>IF($E7660=0,0,ROUND($R7664*$S$3*$C$3/$A7660,2))</f>
        <v>4.0599999999999996</v>
      </c>
      <c r="AH7660" s="1147">
        <f>$AG7660*$A7660</f>
        <v>385.7</v>
      </c>
      <c r="AI7660" s="1148">
        <f>$E7660-$AG7660</f>
        <v>0</v>
      </c>
      <c r="AJ7660" s="1148">
        <f>$A7660*$AI7660</f>
        <v>0</v>
      </c>
      <c r="AK7660" s="1149">
        <f>ROUND(($AG7660+$AI7660)*$A7660,2)</f>
        <v>385.7</v>
      </c>
      <c r="AM7660" s="527">
        <f>ROUND(R7664,2)</f>
        <v>342</v>
      </c>
      <c r="AN7660" s="528">
        <f>ROUND(T7664,2)</f>
        <v>0</v>
      </c>
      <c r="AO7660" s="529">
        <f>ROUND(AM7660+AN7660,2)*A7660</f>
        <v>32490</v>
      </c>
      <c r="AR7660" s="747">
        <v>95</v>
      </c>
      <c r="AS7660" s="1146">
        <v>407.55</v>
      </c>
    </row>
    <row r="7661" spans="1:45" s="520" customFormat="1" ht="39.9" customHeight="1">
      <c r="A7661" s="748"/>
      <c r="B7661"/>
      <c r="C7661" s="748"/>
      <c r="D7661" s="1451" t="s">
        <v>1011</v>
      </c>
      <c r="E7661" s="1452"/>
      <c r="F7661" s="1452"/>
      <c r="G7661" s="1452"/>
      <c r="H7661" s="1452"/>
      <c r="I7661" s="1452"/>
      <c r="J7661" s="1452"/>
      <c r="K7661" s="1452"/>
      <c r="L7661" s="1452"/>
      <c r="M7661" s="1452"/>
      <c r="N7661" s="1452"/>
      <c r="O7661" s="1452"/>
      <c r="P7661" s="1452"/>
      <c r="Q7661" s="1452"/>
      <c r="R7661" s="1452"/>
      <c r="S7661" s="1452"/>
      <c r="T7661" s="1452"/>
      <c r="AR7661" s="748"/>
    </row>
    <row r="7662" spans="1:45" s="901" customFormat="1" ht="13.2">
      <c r="A7662" s="903">
        <v>95</v>
      </c>
      <c r="B7662" s="904" t="s">
        <v>863</v>
      </c>
      <c r="C7662" s="904"/>
      <c r="D7662" s="904" t="s">
        <v>2594</v>
      </c>
      <c r="E7662" s="904"/>
      <c r="F7662" s="904" t="s">
        <v>4139</v>
      </c>
      <c r="G7662" s="905" t="s">
        <v>2595</v>
      </c>
      <c r="H7662" s="902">
        <v>960</v>
      </c>
      <c r="I7662" s="904" t="s">
        <v>2596</v>
      </c>
      <c r="J7662" s="904"/>
      <c r="K7662" s="904"/>
      <c r="L7662" s="904"/>
      <c r="M7662" s="904"/>
      <c r="N7662" s="904"/>
      <c r="O7662" s="902">
        <v>4</v>
      </c>
      <c r="P7662" s="906">
        <v>38274</v>
      </c>
      <c r="Q7662" s="1415">
        <f>4*0.9</f>
        <v>3.6</v>
      </c>
      <c r="R7662" s="908">
        <f>$A7662*Q7662</f>
        <v>342</v>
      </c>
      <c r="S7662" s="907"/>
      <c r="T7662" s="909">
        <f>$A7662*S7662*$T$1</f>
        <v>0</v>
      </c>
      <c r="AR7662" s="903">
        <v>95</v>
      </c>
      <c r="AS7662" s="904" t="s">
        <v>3507</v>
      </c>
    </row>
    <row r="7663" spans="1:45" s="520" customFormat="1" ht="12">
      <c r="A7663" s="758"/>
      <c r="B7663" s="758"/>
      <c r="C7663" s="758"/>
      <c r="D7663" s="758"/>
      <c r="E7663" s="758"/>
      <c r="F7663" s="753"/>
      <c r="G7663" s="758"/>
      <c r="H7663" s="758"/>
      <c r="I7663" s="519"/>
      <c r="J7663" s="758"/>
      <c r="K7663" s="758"/>
      <c r="L7663" s="758"/>
      <c r="M7663" s="758"/>
      <c r="N7663" s="758"/>
      <c r="O7663" s="758"/>
      <c r="P7663" s="758"/>
      <c r="Q7663" s="519"/>
      <c r="R7663" s="759">
        <f t="shared" ref="R7663" si="744">$A7663*Q7663</f>
        <v>0</v>
      </c>
      <c r="S7663" s="519"/>
      <c r="T7663" s="760">
        <f t="shared" ref="T7663" si="745">$A7663*S7663*$T$1</f>
        <v>0</v>
      </c>
      <c r="AR7663" s="758"/>
      <c r="AS7663" s="753"/>
    </row>
    <row r="7664" spans="1:45" s="520" customFormat="1" ht="12.6" thickBot="1">
      <c r="A7664" s="761" t="s">
        <v>145</v>
      </c>
      <c r="B7664" s="762">
        <f>(R7663+T7663)</f>
        <v>0</v>
      </c>
      <c r="C7664" s="763"/>
      <c r="D7664" s="763"/>
      <c r="E7664" s="763"/>
      <c r="F7664" s="764"/>
      <c r="G7664" s="763" t="s">
        <v>146</v>
      </c>
      <c r="H7664" s="763"/>
      <c r="I7664" s="765"/>
      <c r="J7664" s="763"/>
      <c r="K7664" s="763" t="s">
        <v>5</v>
      </c>
      <c r="L7664" s="766" t="s">
        <v>143</v>
      </c>
      <c r="M7664" s="766"/>
      <c r="N7664" s="766"/>
      <c r="O7664" s="766"/>
      <c r="P7664" s="766"/>
      <c r="Q7664" s="767"/>
      <c r="R7664" s="768">
        <f>SUM(R7661:R7663)</f>
        <v>342</v>
      </c>
      <c r="S7664" s="763"/>
      <c r="T7664" s="768">
        <f>SUM(T7661:T7663)</f>
        <v>0</v>
      </c>
      <c r="U7664" s="531"/>
      <c r="V7664" s="531"/>
      <c r="W7664" s="531"/>
      <c r="X7664" s="531"/>
      <c r="Y7664" s="531"/>
      <c r="Z7664" s="531"/>
      <c r="AA7664" s="531"/>
      <c r="AB7664" s="531"/>
      <c r="AC7664" s="531"/>
      <c r="AD7664" s="531"/>
      <c r="AE7664" s="531"/>
      <c r="AF7664" s="531"/>
      <c r="AG7664" s="531"/>
      <c r="AH7664" s="531"/>
      <c r="AI7664" s="531"/>
      <c r="AJ7664" s="531"/>
      <c r="AK7664" s="531"/>
      <c r="AL7664" s="531"/>
      <c r="AM7664" s="531"/>
      <c r="AN7664" s="531"/>
      <c r="AO7664" s="531"/>
      <c r="AR7664" s="761" t="s">
        <v>145</v>
      </c>
      <c r="AS7664" s="764"/>
    </row>
    <row r="7665" spans="1:45" s="520" customFormat="1" ht="12" thickTop="1">
      <c r="A7665" s="51"/>
      <c r="B7665" s="41"/>
      <c r="C7665" s="51"/>
      <c r="E7665" s="42" t="s">
        <v>138</v>
      </c>
      <c r="F7665" s="42" t="s">
        <v>139</v>
      </c>
      <c r="G7665" s="51"/>
      <c r="H7665" s="51"/>
      <c r="I7665" s="51"/>
      <c r="J7665" s="51"/>
      <c r="K7665" s="51" t="s">
        <v>140</v>
      </c>
      <c r="L7665" s="51"/>
      <c r="M7665" s="51"/>
      <c r="N7665" s="51"/>
      <c r="O7665" s="52"/>
      <c r="P7665" s="51"/>
      <c r="Q7665" s="51"/>
      <c r="R7665" s="51"/>
      <c r="S7665" s="51"/>
      <c r="T7665" s="41"/>
      <c r="AG7665" s="521" t="s">
        <v>268</v>
      </c>
      <c r="AH7665" s="521" t="s">
        <v>269</v>
      </c>
      <c r="AI7665" s="521" t="s">
        <v>270</v>
      </c>
      <c r="AJ7665" s="521" t="s">
        <v>271</v>
      </c>
      <c r="AK7665" s="521" t="s">
        <v>272</v>
      </c>
      <c r="AM7665" s="745" t="s">
        <v>281</v>
      </c>
      <c r="AN7665" s="746" t="s">
        <v>282</v>
      </c>
      <c r="AO7665" s="522" t="s">
        <v>278</v>
      </c>
      <c r="AR7665" s="51"/>
      <c r="AS7665" s="42" t="s">
        <v>139</v>
      </c>
    </row>
    <row r="7666" spans="1:45" s="520" customFormat="1" ht="12" customHeight="1">
      <c r="A7666" s="747">
        <v>6</v>
      </c>
      <c r="B7666" s="523" t="s">
        <v>957</v>
      </c>
      <c r="C7666" s="748"/>
      <c r="D7666" s="749" t="s">
        <v>4002</v>
      </c>
      <c r="E7666" s="1145">
        <f>IF(AND($A7666=0,$A$1="DIF"),0, ROUND(ROUND(($R7670*$S$3+($T7670*$T$3))/$A7666,2)*$C$3,2))</f>
        <v>170.66</v>
      </c>
      <c r="F7666" s="1146">
        <f>ROUND($A7666*$E7666,2)</f>
        <v>1023.96</v>
      </c>
      <c r="G7666" s="752" t="s">
        <v>142</v>
      </c>
      <c r="H7666" s="753"/>
      <c r="I7666" s="754"/>
      <c r="J7666" s="753"/>
      <c r="K7666" s="753" t="s">
        <v>5</v>
      </c>
      <c r="L7666" s="755" t="s">
        <v>143</v>
      </c>
      <c r="M7666" s="755"/>
      <c r="N7666" s="755"/>
      <c r="O7666" s="755"/>
      <c r="P7666" s="755"/>
      <c r="Q7666" s="51"/>
      <c r="T7666" s="1150" t="str">
        <f>IF(AND($R7670=0,$T7670=0),"0.00","mu: "&amp; ROUND(F7666/$C$3/($R7670+$T7670*$D$9),2))</f>
        <v>mu: 1.13</v>
      </c>
      <c r="W7666" s="524"/>
      <c r="AG7666" s="1147">
        <f>IF($E7666=0,0,ROUND($R7670*$S$3*$C$3/$A7666,2))</f>
        <v>170.66</v>
      </c>
      <c r="AH7666" s="1147">
        <f>$AG7666*$A7666</f>
        <v>1023.96</v>
      </c>
      <c r="AI7666" s="1148">
        <f>$E7666-$AG7666</f>
        <v>0</v>
      </c>
      <c r="AJ7666" s="1148">
        <f>$A7666*$AI7666</f>
        <v>0</v>
      </c>
      <c r="AK7666" s="1149">
        <f>ROUND(($AG7666+$AI7666)*$A7666,2)</f>
        <v>1023.96</v>
      </c>
      <c r="AM7666" s="527">
        <f>ROUND(R7670,2)</f>
        <v>907.2</v>
      </c>
      <c r="AN7666" s="528">
        <f>ROUND(T7670,2)</f>
        <v>0</v>
      </c>
      <c r="AO7666" s="529">
        <f>ROUND(AM7666+AN7666,2)*A7666</f>
        <v>5443.2000000000007</v>
      </c>
      <c r="AR7666" s="747">
        <v>6</v>
      </c>
      <c r="AS7666" s="1146">
        <v>1080.9000000000001</v>
      </c>
    </row>
    <row r="7667" spans="1:45" s="520" customFormat="1" ht="13.2">
      <c r="A7667" s="748"/>
      <c r="B7667"/>
      <c r="C7667" s="748"/>
      <c r="D7667" s="749" t="s">
        <v>1012</v>
      </c>
      <c r="F7667" s="753"/>
      <c r="G7667" s="3"/>
      <c r="H7667" s="753"/>
      <c r="I7667" s="754"/>
      <c r="J7667" s="753"/>
      <c r="K7667" s="753" t="s">
        <v>144</v>
      </c>
      <c r="L7667" s="753"/>
      <c r="M7667" s="753"/>
      <c r="N7667" s="753"/>
      <c r="O7667" s="753"/>
      <c r="P7667" s="753"/>
      <c r="Q7667" s="51"/>
      <c r="R7667" s="530"/>
      <c r="S7667" s="757"/>
      <c r="T7667" s="753"/>
      <c r="AR7667" s="748"/>
      <c r="AS7667" s="753"/>
    </row>
    <row r="7668" spans="1:45" s="901" customFormat="1" ht="13.2">
      <c r="A7668" s="903">
        <v>6</v>
      </c>
      <c r="B7668" s="904" t="s">
        <v>863</v>
      </c>
      <c r="C7668" s="904"/>
      <c r="D7668" s="904" t="s">
        <v>2594</v>
      </c>
      <c r="E7668" s="904"/>
      <c r="F7668" s="904" t="s">
        <v>4139</v>
      </c>
      <c r="G7668" s="905" t="s">
        <v>2595</v>
      </c>
      <c r="H7668" s="902">
        <v>960</v>
      </c>
      <c r="I7668" s="904" t="s">
        <v>2596</v>
      </c>
      <c r="J7668" s="904"/>
      <c r="K7668" s="904"/>
      <c r="L7668" s="904"/>
      <c r="M7668" s="904"/>
      <c r="N7668" s="904"/>
      <c r="O7668" s="902">
        <v>4</v>
      </c>
      <c r="P7668" s="906">
        <v>38274</v>
      </c>
      <c r="Q7668" s="1415">
        <f>168*0.9</f>
        <v>151.20000000000002</v>
      </c>
      <c r="R7668" s="908">
        <f>$A7668*Q7668</f>
        <v>907.2</v>
      </c>
      <c r="S7668" s="907"/>
      <c r="T7668" s="909">
        <f>$A7668*S7668*$T$1</f>
        <v>0</v>
      </c>
      <c r="AR7668" s="903">
        <v>6</v>
      </c>
      <c r="AS7668" s="904" t="s">
        <v>3507</v>
      </c>
    </row>
    <row r="7669" spans="1:45" s="520" customFormat="1" ht="12">
      <c r="A7669" s="758"/>
      <c r="B7669" s="758"/>
      <c r="C7669" s="758"/>
      <c r="D7669" s="758"/>
      <c r="E7669" s="758"/>
      <c r="F7669" s="753"/>
      <c r="G7669" s="758"/>
      <c r="H7669" s="758"/>
      <c r="I7669" s="519"/>
      <c r="J7669" s="758"/>
      <c r="K7669" s="758"/>
      <c r="L7669" s="758"/>
      <c r="M7669" s="758"/>
      <c r="N7669" s="758"/>
      <c r="O7669" s="758"/>
      <c r="P7669" s="758"/>
      <c r="Q7669" s="519"/>
      <c r="R7669" s="759">
        <f t="shared" ref="R7669" si="746">$A7669*Q7669</f>
        <v>0</v>
      </c>
      <c r="S7669" s="519"/>
      <c r="T7669" s="760">
        <f t="shared" ref="T7669" si="747">$A7669*S7669*$T$1</f>
        <v>0</v>
      </c>
      <c r="AR7669" s="758"/>
      <c r="AS7669" s="753"/>
    </row>
    <row r="7670" spans="1:45" s="520" customFormat="1" ht="12.6" thickBot="1">
      <c r="A7670" s="761" t="s">
        <v>145</v>
      </c>
      <c r="B7670" s="762">
        <f>(R7669+T7669)</f>
        <v>0</v>
      </c>
      <c r="C7670" s="763"/>
      <c r="D7670" s="763"/>
      <c r="E7670" s="763"/>
      <c r="F7670" s="764"/>
      <c r="G7670" s="763" t="s">
        <v>146</v>
      </c>
      <c r="H7670" s="763"/>
      <c r="I7670" s="765"/>
      <c r="J7670" s="763"/>
      <c r="K7670" s="763" t="s">
        <v>5</v>
      </c>
      <c r="L7670" s="766" t="s">
        <v>143</v>
      </c>
      <c r="M7670" s="766"/>
      <c r="N7670" s="766"/>
      <c r="O7670" s="766"/>
      <c r="P7670" s="766"/>
      <c r="Q7670" s="767"/>
      <c r="R7670" s="768">
        <f>SUM(R7667:R7669)</f>
        <v>907.2</v>
      </c>
      <c r="S7670" s="763"/>
      <c r="T7670" s="768">
        <f>SUM(T7667:T7669)</f>
        <v>0</v>
      </c>
      <c r="U7670" s="531"/>
      <c r="V7670" s="531"/>
      <c r="W7670" s="531"/>
      <c r="X7670" s="531"/>
      <c r="Y7670" s="531"/>
      <c r="Z7670" s="531"/>
      <c r="AA7670" s="531"/>
      <c r="AB7670" s="531"/>
      <c r="AC7670" s="531"/>
      <c r="AD7670" s="531"/>
      <c r="AE7670" s="531"/>
      <c r="AF7670" s="531"/>
      <c r="AG7670" s="531"/>
      <c r="AH7670" s="531"/>
      <c r="AI7670" s="531"/>
      <c r="AJ7670" s="531"/>
      <c r="AK7670" s="531"/>
      <c r="AL7670" s="531"/>
      <c r="AM7670" s="531"/>
      <c r="AN7670" s="531"/>
      <c r="AO7670" s="531"/>
      <c r="AR7670" s="761" t="s">
        <v>145</v>
      </c>
      <c r="AS7670" s="764"/>
    </row>
    <row r="7671" spans="1:45" s="520" customFormat="1" ht="12" thickTop="1">
      <c r="A7671" s="51"/>
      <c r="B7671" s="41"/>
      <c r="C7671" s="51"/>
      <c r="E7671" s="42" t="s">
        <v>138</v>
      </c>
      <c r="F7671" s="42" t="s">
        <v>139</v>
      </c>
      <c r="G7671" s="51"/>
      <c r="H7671" s="51"/>
      <c r="I7671" s="51"/>
      <c r="J7671" s="51"/>
      <c r="K7671" s="51" t="s">
        <v>140</v>
      </c>
      <c r="L7671" s="51"/>
      <c r="M7671" s="51"/>
      <c r="N7671" s="51"/>
      <c r="O7671" s="52"/>
      <c r="P7671" s="51"/>
      <c r="Q7671" s="51"/>
      <c r="R7671" s="51"/>
      <c r="S7671" s="51"/>
      <c r="T7671" s="41"/>
      <c r="AG7671" s="521" t="s">
        <v>268</v>
      </c>
      <c r="AH7671" s="521" t="s">
        <v>269</v>
      </c>
      <c r="AI7671" s="521" t="s">
        <v>270</v>
      </c>
      <c r="AJ7671" s="521" t="s">
        <v>271</v>
      </c>
      <c r="AK7671" s="521" t="s">
        <v>272</v>
      </c>
      <c r="AM7671" s="745" t="s">
        <v>281</v>
      </c>
      <c r="AN7671" s="746" t="s">
        <v>282</v>
      </c>
      <c r="AO7671" s="522" t="s">
        <v>278</v>
      </c>
      <c r="AR7671" s="51"/>
      <c r="AS7671" s="42" t="s">
        <v>139</v>
      </c>
    </row>
    <row r="7672" spans="1:45" s="520" customFormat="1" ht="12" customHeight="1">
      <c r="A7672" s="747">
        <v>6</v>
      </c>
      <c r="B7672" s="523" t="s">
        <v>957</v>
      </c>
      <c r="C7672" s="748"/>
      <c r="D7672" s="749" t="s">
        <v>4003</v>
      </c>
      <c r="E7672" s="1145">
        <f>IF(AND($A7672=0,$A$1="DIF"),0, ROUND(ROUND(($R7676*$S$3+($T7676*$T$3))/$A7672,2)*$C$3,2))</f>
        <v>65.010000000000005</v>
      </c>
      <c r="F7672" s="1146">
        <f>ROUND($A7672*$E7672,2)</f>
        <v>390.06</v>
      </c>
      <c r="G7672" s="752" t="s">
        <v>142</v>
      </c>
      <c r="H7672" s="753"/>
      <c r="I7672" s="754"/>
      <c r="J7672" s="753"/>
      <c r="K7672" s="753" t="s">
        <v>5</v>
      </c>
      <c r="L7672" s="755" t="s">
        <v>143</v>
      </c>
      <c r="M7672" s="755"/>
      <c r="N7672" s="755"/>
      <c r="O7672" s="755"/>
      <c r="P7672" s="755"/>
      <c r="Q7672" s="51"/>
      <c r="T7672" s="1150" t="str">
        <f>IF(AND($R7676=0,$T7676=0),"0.00","mu: "&amp; ROUND(F7672/$C$3/($R7676+$T7676*$D$9),2))</f>
        <v>mu: 1.13</v>
      </c>
      <c r="W7672" s="524"/>
      <c r="AG7672" s="1147">
        <f>IF($E7672=0,0,ROUND($R7676*$S$3*$C$3/$A7672,2))</f>
        <v>65.010000000000005</v>
      </c>
      <c r="AH7672" s="1147">
        <f>$AG7672*$A7672</f>
        <v>390.06000000000006</v>
      </c>
      <c r="AI7672" s="1148">
        <f>$E7672-$AG7672</f>
        <v>0</v>
      </c>
      <c r="AJ7672" s="1148">
        <f>$A7672*$AI7672</f>
        <v>0</v>
      </c>
      <c r="AK7672" s="1149">
        <f>ROUND(($AG7672+$AI7672)*$A7672,2)</f>
        <v>390.06</v>
      </c>
      <c r="AM7672" s="527">
        <f>ROUND(R7676,2)</f>
        <v>345.6</v>
      </c>
      <c r="AN7672" s="528">
        <f>ROUND(T7676,2)</f>
        <v>0</v>
      </c>
      <c r="AO7672" s="529">
        <f>ROUND(AM7672+AN7672,2)*A7672</f>
        <v>2073.6000000000004</v>
      </c>
      <c r="AR7672" s="747">
        <v>6</v>
      </c>
      <c r="AS7672" s="1146">
        <v>411.78</v>
      </c>
    </row>
    <row r="7673" spans="1:45" s="520" customFormat="1" ht="13.2">
      <c r="A7673" s="748"/>
      <c r="B7673"/>
      <c r="C7673" s="748"/>
      <c r="D7673" s="749" t="s">
        <v>1013</v>
      </c>
      <c r="F7673" s="753"/>
      <c r="G7673" s="3"/>
      <c r="H7673" s="753"/>
      <c r="I7673" s="754"/>
      <c r="J7673" s="753"/>
      <c r="K7673" s="753" t="s">
        <v>144</v>
      </c>
      <c r="L7673" s="753"/>
      <c r="M7673" s="753"/>
      <c r="N7673" s="753"/>
      <c r="O7673" s="753"/>
      <c r="P7673" s="753"/>
      <c r="Q7673" s="51"/>
      <c r="R7673" s="530"/>
      <c r="S7673" s="757"/>
      <c r="T7673" s="753"/>
      <c r="AR7673" s="748"/>
      <c r="AS7673" s="753"/>
    </row>
    <row r="7674" spans="1:45" s="901" customFormat="1" ht="13.2">
      <c r="A7674" s="903">
        <v>6</v>
      </c>
      <c r="B7674" s="904" t="s">
        <v>863</v>
      </c>
      <c r="C7674" s="904"/>
      <c r="D7674" s="904" t="s">
        <v>2594</v>
      </c>
      <c r="E7674" s="904"/>
      <c r="F7674" s="904" t="s">
        <v>4139</v>
      </c>
      <c r="G7674" s="905" t="s">
        <v>2595</v>
      </c>
      <c r="H7674" s="902">
        <v>960</v>
      </c>
      <c r="I7674" s="904" t="s">
        <v>2596</v>
      </c>
      <c r="J7674" s="904"/>
      <c r="K7674" s="904"/>
      <c r="L7674" s="904"/>
      <c r="M7674" s="904"/>
      <c r="N7674" s="904"/>
      <c r="O7674" s="902">
        <v>4</v>
      </c>
      <c r="P7674" s="906">
        <v>38274</v>
      </c>
      <c r="Q7674" s="1415">
        <f>64*0.9</f>
        <v>57.6</v>
      </c>
      <c r="R7674" s="908">
        <f>$A7674*Q7674</f>
        <v>345.6</v>
      </c>
      <c r="S7674" s="907"/>
      <c r="T7674" s="909">
        <f>$A7674*S7674*$T$1</f>
        <v>0</v>
      </c>
      <c r="AR7674" s="903">
        <v>6</v>
      </c>
      <c r="AS7674" s="904" t="s">
        <v>3507</v>
      </c>
    </row>
    <row r="7675" spans="1:45" s="520" customFormat="1" ht="12">
      <c r="A7675" s="758"/>
      <c r="B7675" s="758"/>
      <c r="C7675" s="758"/>
      <c r="D7675" s="758"/>
      <c r="E7675" s="758"/>
      <c r="F7675" s="753"/>
      <c r="G7675" s="758"/>
      <c r="H7675" s="758"/>
      <c r="I7675" s="519"/>
      <c r="J7675" s="758"/>
      <c r="K7675" s="758"/>
      <c r="L7675" s="758"/>
      <c r="M7675" s="758"/>
      <c r="N7675" s="758"/>
      <c r="O7675" s="758"/>
      <c r="P7675" s="758"/>
      <c r="Q7675" s="519"/>
      <c r="R7675" s="759">
        <f t="shared" ref="R7675" si="748">$A7675*Q7675</f>
        <v>0</v>
      </c>
      <c r="S7675" s="519"/>
      <c r="T7675" s="760">
        <f t="shared" ref="T7675" si="749">$A7675*S7675*$T$1</f>
        <v>0</v>
      </c>
      <c r="AR7675" s="758"/>
      <c r="AS7675" s="753"/>
    </row>
    <row r="7676" spans="1:45" s="520" customFormat="1" ht="12.6" thickBot="1">
      <c r="A7676" s="761" t="s">
        <v>145</v>
      </c>
      <c r="B7676" s="762">
        <f>(R7675+T7675)</f>
        <v>0</v>
      </c>
      <c r="C7676" s="763"/>
      <c r="D7676" s="763"/>
      <c r="E7676" s="763"/>
      <c r="F7676" s="764"/>
      <c r="G7676" s="763" t="s">
        <v>146</v>
      </c>
      <c r="H7676" s="763"/>
      <c r="I7676" s="765"/>
      <c r="J7676" s="763"/>
      <c r="K7676" s="763" t="s">
        <v>5</v>
      </c>
      <c r="L7676" s="766" t="s">
        <v>143</v>
      </c>
      <c r="M7676" s="766"/>
      <c r="N7676" s="766"/>
      <c r="O7676" s="766"/>
      <c r="P7676" s="766"/>
      <c r="Q7676" s="767"/>
      <c r="R7676" s="768">
        <f>SUM(R7673:R7675)</f>
        <v>345.6</v>
      </c>
      <c r="S7676" s="763"/>
      <c r="T7676" s="768">
        <f>SUM(T7673:T7675)</f>
        <v>0</v>
      </c>
      <c r="U7676" s="531"/>
      <c r="V7676" s="531"/>
      <c r="W7676" s="531"/>
      <c r="X7676" s="531"/>
      <c r="Y7676" s="531"/>
      <c r="Z7676" s="531"/>
      <c r="AA7676" s="531"/>
      <c r="AB7676" s="531"/>
      <c r="AC7676" s="531"/>
      <c r="AD7676" s="531"/>
      <c r="AE7676" s="531"/>
      <c r="AF7676" s="531"/>
      <c r="AG7676" s="531"/>
      <c r="AH7676" s="531"/>
      <c r="AI7676" s="531"/>
      <c r="AJ7676" s="531"/>
      <c r="AK7676" s="531"/>
      <c r="AL7676" s="531"/>
      <c r="AM7676" s="531"/>
      <c r="AN7676" s="531"/>
      <c r="AO7676" s="531"/>
      <c r="AR7676" s="761" t="s">
        <v>145</v>
      </c>
      <c r="AS7676" s="764"/>
    </row>
    <row r="7677" spans="1:45" s="520" customFormat="1" ht="12" thickTop="1">
      <c r="A7677" s="51"/>
      <c r="B7677" s="41"/>
      <c r="C7677" s="51"/>
      <c r="E7677" s="42" t="s">
        <v>138</v>
      </c>
      <c r="F7677" s="42" t="s">
        <v>139</v>
      </c>
      <c r="G7677" s="51"/>
      <c r="H7677" s="51"/>
      <c r="I7677" s="51"/>
      <c r="J7677" s="51"/>
      <c r="K7677" s="51" t="s">
        <v>140</v>
      </c>
      <c r="L7677" s="51"/>
      <c r="M7677" s="51"/>
      <c r="N7677" s="51"/>
      <c r="O7677" s="52"/>
      <c r="P7677" s="51"/>
      <c r="Q7677" s="51"/>
      <c r="R7677" s="51"/>
      <c r="S7677" s="51"/>
      <c r="T7677" s="41"/>
      <c r="AG7677" s="521" t="s">
        <v>268</v>
      </c>
      <c r="AH7677" s="521" t="s">
        <v>269</v>
      </c>
      <c r="AI7677" s="521" t="s">
        <v>270</v>
      </c>
      <c r="AJ7677" s="521" t="s">
        <v>271</v>
      </c>
      <c r="AK7677" s="521" t="s">
        <v>272</v>
      </c>
      <c r="AM7677" s="745" t="s">
        <v>281</v>
      </c>
      <c r="AN7677" s="746" t="s">
        <v>282</v>
      </c>
      <c r="AO7677" s="522" t="s">
        <v>278</v>
      </c>
      <c r="AR7677" s="51"/>
      <c r="AS7677" s="42" t="s">
        <v>139</v>
      </c>
    </row>
    <row r="7678" spans="1:45" s="520" customFormat="1" ht="12" customHeight="1">
      <c r="A7678" s="747">
        <v>6</v>
      </c>
      <c r="B7678" s="523" t="s">
        <v>329</v>
      </c>
      <c r="C7678" s="748"/>
      <c r="D7678" s="749" t="s">
        <v>4004</v>
      </c>
      <c r="E7678" s="1145">
        <f>IF(AND($A7678=0,$A$1="DIF"),0, ROUND(ROUND(($R7682*$S$3+($T7682*$T$3))/$A7678,2)*$C$3,2))</f>
        <v>55.87</v>
      </c>
      <c r="F7678" s="1146">
        <f>ROUND($A7678*$E7678,2)</f>
        <v>335.22</v>
      </c>
      <c r="G7678" s="752" t="s">
        <v>142</v>
      </c>
      <c r="H7678" s="753"/>
      <c r="I7678" s="754"/>
      <c r="J7678" s="753"/>
      <c r="K7678" s="753" t="s">
        <v>5</v>
      </c>
      <c r="L7678" s="755" t="s">
        <v>143</v>
      </c>
      <c r="M7678" s="755"/>
      <c r="N7678" s="755"/>
      <c r="O7678" s="755"/>
      <c r="P7678" s="755"/>
      <c r="Q7678" s="51"/>
      <c r="T7678" s="1150" t="str">
        <f>IF(AND($R7682=0,$T7682=0),"0.00","mu: "&amp; ROUND(F7678/$C$3/($R7682+$T7682*$D$9),2))</f>
        <v>mu: 1.13</v>
      </c>
      <c r="W7678" s="524"/>
      <c r="AG7678" s="1147">
        <f>IF($E7678=0,0,ROUND($R7682*$S$3*$C$3/$A7678,2))</f>
        <v>55.87</v>
      </c>
      <c r="AH7678" s="1147">
        <f>$AG7678*$A7678</f>
        <v>335.21999999999997</v>
      </c>
      <c r="AI7678" s="1148">
        <f>$E7678-$AG7678</f>
        <v>0</v>
      </c>
      <c r="AJ7678" s="1148">
        <f>$A7678*$AI7678</f>
        <v>0</v>
      </c>
      <c r="AK7678" s="1149">
        <f>ROUND(($AG7678+$AI7678)*$A7678,2)</f>
        <v>335.22</v>
      </c>
      <c r="AM7678" s="527">
        <f>ROUND(R7682,2)</f>
        <v>297</v>
      </c>
      <c r="AN7678" s="528">
        <f>ROUND(T7682,2)</f>
        <v>0</v>
      </c>
      <c r="AO7678" s="529">
        <f>ROUND(AM7678+AN7678,2)*A7678</f>
        <v>1782</v>
      </c>
      <c r="AR7678" s="747">
        <v>6</v>
      </c>
      <c r="AS7678" s="1146">
        <v>353.88</v>
      </c>
    </row>
    <row r="7679" spans="1:45" s="520" customFormat="1" ht="39.9" customHeight="1">
      <c r="A7679" s="748"/>
      <c r="B7679"/>
      <c r="C7679" s="748"/>
      <c r="D7679" s="1451" t="s">
        <v>1014</v>
      </c>
      <c r="E7679" s="1452"/>
      <c r="F7679" s="1452"/>
      <c r="G7679" s="1452"/>
      <c r="H7679" s="1452"/>
      <c r="I7679" s="1452"/>
      <c r="J7679" s="1452"/>
      <c r="K7679" s="1452"/>
      <c r="L7679" s="1452"/>
      <c r="M7679" s="1452"/>
      <c r="N7679" s="1452"/>
      <c r="O7679" s="1452"/>
      <c r="P7679" s="1452"/>
      <c r="Q7679" s="1452"/>
      <c r="R7679" s="1452"/>
      <c r="S7679" s="1452"/>
      <c r="T7679" s="1452"/>
      <c r="AR7679" s="748"/>
    </row>
    <row r="7680" spans="1:45" s="901" customFormat="1" ht="13.2">
      <c r="A7680" s="903">
        <v>6</v>
      </c>
      <c r="B7680" s="904" t="s">
        <v>863</v>
      </c>
      <c r="C7680" s="904"/>
      <c r="D7680" s="904" t="s">
        <v>2594</v>
      </c>
      <c r="E7680" s="904"/>
      <c r="F7680" s="904" t="s">
        <v>4139</v>
      </c>
      <c r="G7680" s="905" t="s">
        <v>2595</v>
      </c>
      <c r="H7680" s="902">
        <v>960</v>
      </c>
      <c r="I7680" s="904" t="s">
        <v>2596</v>
      </c>
      <c r="J7680" s="904"/>
      <c r="K7680" s="904"/>
      <c r="L7680" s="904"/>
      <c r="M7680" s="904"/>
      <c r="N7680" s="904"/>
      <c r="O7680" s="902">
        <v>4</v>
      </c>
      <c r="P7680" s="906">
        <v>38274</v>
      </c>
      <c r="Q7680" s="1415">
        <f>55*0.9</f>
        <v>49.5</v>
      </c>
      <c r="R7680" s="908">
        <f>$A7680*Q7680</f>
        <v>297</v>
      </c>
      <c r="S7680" s="907"/>
      <c r="T7680" s="909">
        <f>$A7680*S7680*$T$1</f>
        <v>0</v>
      </c>
      <c r="AR7680" s="903">
        <v>6</v>
      </c>
      <c r="AS7680" s="904" t="s">
        <v>3507</v>
      </c>
    </row>
    <row r="7681" spans="1:45" s="520" customFormat="1" ht="12">
      <c r="A7681" s="758"/>
      <c r="B7681" s="758"/>
      <c r="C7681" s="758"/>
      <c r="D7681" s="758"/>
      <c r="E7681" s="758"/>
      <c r="F7681" s="753"/>
      <c r="G7681" s="758"/>
      <c r="H7681" s="758"/>
      <c r="I7681" s="519"/>
      <c r="J7681" s="758"/>
      <c r="K7681" s="758"/>
      <c r="L7681" s="758"/>
      <c r="M7681" s="758"/>
      <c r="N7681" s="758"/>
      <c r="O7681" s="758"/>
      <c r="P7681" s="758"/>
      <c r="Q7681" s="519"/>
      <c r="R7681" s="759">
        <f t="shared" ref="R7681" si="750">$A7681*Q7681</f>
        <v>0</v>
      </c>
      <c r="S7681" s="519"/>
      <c r="T7681" s="760">
        <f t="shared" ref="T7681" si="751">$A7681*S7681*$T$1</f>
        <v>0</v>
      </c>
      <c r="AR7681" s="758"/>
      <c r="AS7681" s="753"/>
    </row>
    <row r="7682" spans="1:45" s="520" customFormat="1" ht="12.6" thickBot="1">
      <c r="A7682" s="761" t="s">
        <v>145</v>
      </c>
      <c r="B7682" s="762">
        <f>(R7681+T7681)</f>
        <v>0</v>
      </c>
      <c r="C7682" s="763"/>
      <c r="D7682" s="763"/>
      <c r="E7682" s="763"/>
      <c r="F7682" s="764"/>
      <c r="G7682" s="763" t="s">
        <v>146</v>
      </c>
      <c r="H7682" s="763"/>
      <c r="I7682" s="765"/>
      <c r="J7682" s="763"/>
      <c r="K7682" s="763" t="s">
        <v>5</v>
      </c>
      <c r="L7682" s="766" t="s">
        <v>143</v>
      </c>
      <c r="M7682" s="766"/>
      <c r="N7682" s="766"/>
      <c r="O7682" s="766"/>
      <c r="P7682" s="766"/>
      <c r="Q7682" s="767"/>
      <c r="R7682" s="768">
        <f>SUM(R7679:R7681)</f>
        <v>297</v>
      </c>
      <c r="S7682" s="763"/>
      <c r="T7682" s="768">
        <f>SUM(T7679:T7681)</f>
        <v>0</v>
      </c>
      <c r="U7682" s="531"/>
      <c r="V7682" s="531"/>
      <c r="W7682" s="531"/>
      <c r="X7682" s="531"/>
      <c r="Y7682" s="531"/>
      <c r="Z7682" s="531"/>
      <c r="AA7682" s="531"/>
      <c r="AB7682" s="531"/>
      <c r="AC7682" s="531"/>
      <c r="AD7682" s="531"/>
      <c r="AE7682" s="531"/>
      <c r="AF7682" s="531"/>
      <c r="AG7682" s="531"/>
      <c r="AH7682" s="531"/>
      <c r="AI7682" s="531"/>
      <c r="AJ7682" s="531"/>
      <c r="AK7682" s="531"/>
      <c r="AL7682" s="531"/>
      <c r="AM7682" s="531"/>
      <c r="AN7682" s="531"/>
      <c r="AO7682" s="531"/>
      <c r="AR7682" s="761" t="s">
        <v>145</v>
      </c>
      <c r="AS7682" s="764"/>
    </row>
    <row r="7683" spans="1:45" s="520" customFormat="1" thickTop="1">
      <c r="A7683" s="51"/>
      <c r="B7683" s="51"/>
      <c r="C7683" s="3"/>
      <c r="D7683" s="3"/>
      <c r="E7683" s="51"/>
      <c r="F7683" s="51"/>
      <c r="G7683" s="51"/>
      <c r="H7683" s="51"/>
      <c r="I7683" s="51"/>
      <c r="J7683" s="51"/>
      <c r="K7683" s="51" t="s">
        <v>134</v>
      </c>
      <c r="L7683" s="51"/>
      <c r="M7683" s="51"/>
      <c r="N7683" s="51"/>
      <c r="O7683" s="52"/>
      <c r="P7683" s="51"/>
      <c r="Q7683" s="51"/>
      <c r="R7683" s="51"/>
      <c r="S7683" s="51"/>
      <c r="T7683" s="51"/>
      <c r="AR7683" s="51"/>
      <c r="AS7683" s="51"/>
    </row>
    <row r="7684" spans="1:45" s="520" customFormat="1" ht="12">
      <c r="A7684" s="51"/>
      <c r="B7684" s="51"/>
      <c r="C7684" s="51" t="s">
        <v>135</v>
      </c>
      <c r="D7684" s="37"/>
      <c r="E7684" s="51"/>
      <c r="F7684" s="51"/>
      <c r="G7684" s="51"/>
      <c r="H7684" s="51"/>
      <c r="I7684" s="51"/>
      <c r="J7684" s="51"/>
      <c r="K7684" s="51"/>
      <c r="L7684" s="51"/>
      <c r="M7684" s="51"/>
      <c r="N7684" s="51"/>
      <c r="O7684" s="52"/>
      <c r="P7684" s="51"/>
      <c r="Q7684" s="51"/>
      <c r="R7684" s="51"/>
      <c r="S7684" s="51"/>
      <c r="T7684" s="51"/>
      <c r="AR7684" s="51"/>
      <c r="AS7684" s="51"/>
    </row>
    <row r="7685" spans="1:45" s="520" customFormat="1" ht="12">
      <c r="A7685" s="51"/>
      <c r="B7685" s="51"/>
      <c r="C7685" s="51"/>
      <c r="D7685" s="37" t="s">
        <v>379</v>
      </c>
      <c r="E7685" s="51"/>
      <c r="F7685" s="51"/>
      <c r="G7685" s="51"/>
      <c r="H7685" s="51"/>
      <c r="I7685" s="51"/>
      <c r="J7685" s="51"/>
      <c r="K7685" s="51"/>
      <c r="L7685" s="51"/>
      <c r="M7685" s="51"/>
      <c r="N7685" s="51"/>
      <c r="O7685" s="52"/>
      <c r="P7685" s="51"/>
      <c r="Q7685" s="51"/>
      <c r="R7685" s="51"/>
      <c r="S7685" s="38"/>
      <c r="T7685" s="38"/>
      <c r="AR7685" s="51"/>
      <c r="AS7685" s="51"/>
    </row>
    <row r="7686" spans="1:45" s="3" customFormat="1" thickBot="1">
      <c r="A7686" s="531"/>
      <c r="O7686" s="107"/>
      <c r="AR7686" s="531"/>
    </row>
    <row r="7687" spans="1:45" s="520" customFormat="1" thickTop="1">
      <c r="A7687" s="51"/>
      <c r="B7687" s="41"/>
      <c r="C7687" s="51"/>
      <c r="E7687" s="42" t="s">
        <v>138</v>
      </c>
      <c r="F7687"/>
      <c r="G7687" s="51"/>
      <c r="H7687" s="51"/>
      <c r="I7687" s="51"/>
      <c r="J7687" s="51"/>
      <c r="K7687" s="51" t="s">
        <v>140</v>
      </c>
      <c r="L7687" s="789"/>
      <c r="M7687" s="51"/>
      <c r="N7687" s="51"/>
      <c r="O7687" s="52"/>
      <c r="P7687" s="51"/>
      <c r="Q7687" s="51"/>
      <c r="R7687" s="51"/>
      <c r="S7687" s="51"/>
      <c r="T7687" s="41"/>
      <c r="AG7687" s="521" t="s">
        <v>268</v>
      </c>
      <c r="AH7687" s="884"/>
      <c r="AI7687" s="521" t="s">
        <v>270</v>
      </c>
      <c r="AM7687" s="745" t="s">
        <v>281</v>
      </c>
      <c r="AN7687" s="746" t="s">
        <v>282</v>
      </c>
      <c r="AO7687" s="522" t="s">
        <v>278</v>
      </c>
      <c r="AR7687" s="51"/>
      <c r="AS7687"/>
    </row>
    <row r="7688" spans="1:45" s="520" customFormat="1" ht="13.2">
      <c r="A7688" s="747">
        <v>1</v>
      </c>
      <c r="B7688" s="523" t="s">
        <v>329</v>
      </c>
      <c r="C7688" s="748"/>
      <c r="D7688" s="749" t="s">
        <v>4005</v>
      </c>
      <c r="E7688" s="1151">
        <f>IF(AND($A7688=0,$A$1="DIF"),0, ROUND(ROUND(($R7692*$S$3+($T7692*$T$3))/$A7688,2)*$C$3,2))</f>
        <v>1.98</v>
      </c>
      <c r="F7688"/>
      <c r="G7688" s="752" t="s">
        <v>142</v>
      </c>
      <c r="H7688" s="753"/>
      <c r="I7688" s="754"/>
      <c r="J7688" s="753"/>
      <c r="K7688" s="784" t="s">
        <v>2267</v>
      </c>
      <c r="L7688" s="789" t="s">
        <v>143</v>
      </c>
      <c r="M7688" s="755"/>
      <c r="N7688" s="755"/>
      <c r="O7688" s="755"/>
      <c r="P7688" s="755"/>
      <c r="Q7688" s="51"/>
      <c r="T7688" s="1150" t="str">
        <f>IF(AND($R7692=0,$T7692=0),"0.00","mu: "&amp; ROUND(A7688*E7688/$C$3/($R7692+$T7692*$D$9),2))</f>
        <v>mu: 1.13</v>
      </c>
      <c r="W7688" s="524"/>
      <c r="AG7688" s="1148">
        <f>IF($E7688=0,0,ROUND($R7692*$S$3*$C$3/$A7688,2))</f>
        <v>1.98</v>
      </c>
      <c r="AH7688" s="884"/>
      <c r="AI7688" s="1148">
        <f>$E7688-$AG7688</f>
        <v>0</v>
      </c>
      <c r="AM7688" s="527">
        <f>ROUND(R7692,2)</f>
        <v>1.75</v>
      </c>
      <c r="AN7688" s="528">
        <f>ROUND(T7692,2)</f>
        <v>0</v>
      </c>
      <c r="AO7688" s="529">
        <f>ROUND(AM7688+AN7688,2)*A7688</f>
        <v>1.75</v>
      </c>
      <c r="AR7688" s="747">
        <v>1</v>
      </c>
      <c r="AS7688"/>
    </row>
    <row r="7689" spans="1:45" s="520" customFormat="1" ht="13.2">
      <c r="A7689" s="748"/>
      <c r="B7689"/>
      <c r="C7689" s="748"/>
      <c r="D7689" s="749" t="s">
        <v>1015</v>
      </c>
      <c r="F7689" s="753"/>
      <c r="G7689" s="3"/>
      <c r="H7689" s="753"/>
      <c r="I7689" s="754"/>
      <c r="J7689" s="753"/>
      <c r="K7689" s="753" t="s">
        <v>144</v>
      </c>
      <c r="L7689" s="784"/>
      <c r="M7689" s="753"/>
      <c r="N7689" s="753"/>
      <c r="O7689" s="753"/>
      <c r="P7689" s="753"/>
      <c r="Q7689" s="51"/>
      <c r="R7689" s="530"/>
      <c r="S7689" s="757"/>
      <c r="T7689" s="753"/>
      <c r="AR7689" s="748"/>
      <c r="AS7689" s="753"/>
    </row>
    <row r="7690" spans="1:45" s="901" customFormat="1" ht="13.2">
      <c r="A7690" s="903">
        <v>1</v>
      </c>
      <c r="B7690" s="904" t="s">
        <v>863</v>
      </c>
      <c r="C7690" s="904"/>
      <c r="D7690" s="904" t="s">
        <v>2594</v>
      </c>
      <c r="E7690" s="904"/>
      <c r="F7690" s="904" t="s">
        <v>4139</v>
      </c>
      <c r="G7690" s="905" t="s">
        <v>2595</v>
      </c>
      <c r="H7690" s="891" t="s">
        <v>2271</v>
      </c>
      <c r="I7690" s="904" t="s">
        <v>2596</v>
      </c>
      <c r="J7690" s="904"/>
      <c r="K7690" s="904"/>
      <c r="L7690" s="893" t="s">
        <v>2271</v>
      </c>
      <c r="M7690" s="904"/>
      <c r="N7690" s="904"/>
      <c r="O7690" s="902">
        <v>4</v>
      </c>
      <c r="P7690" s="906">
        <v>38274</v>
      </c>
      <c r="Q7690" s="907">
        <v>1.75</v>
      </c>
      <c r="R7690" s="908">
        <f>$A7690*Q7690</f>
        <v>1.75</v>
      </c>
      <c r="S7690" s="907"/>
      <c r="T7690" s="909">
        <f>$A7690*S7690*$T$1</f>
        <v>0</v>
      </c>
      <c r="AR7690" s="903">
        <v>1</v>
      </c>
      <c r="AS7690" s="904" t="s">
        <v>3507</v>
      </c>
    </row>
    <row r="7691" spans="1:45" s="520" customFormat="1" ht="12">
      <c r="A7691" s="758"/>
      <c r="B7691" s="758"/>
      <c r="C7691" s="758"/>
      <c r="D7691" s="758"/>
      <c r="E7691" s="758"/>
      <c r="F7691" s="753"/>
      <c r="G7691" s="758"/>
      <c r="H7691" s="758"/>
      <c r="I7691" s="519"/>
      <c r="J7691" s="758"/>
      <c r="K7691" s="758"/>
      <c r="L7691" s="789"/>
      <c r="M7691" s="758"/>
      <c r="N7691" s="758"/>
      <c r="O7691" s="758"/>
      <c r="P7691" s="758"/>
      <c r="Q7691" s="519"/>
      <c r="R7691" s="759">
        <f>$A7691*Q7691</f>
        <v>0</v>
      </c>
      <c r="S7691" s="519"/>
      <c r="T7691" s="760">
        <f>$A7691*S7691*$T$1</f>
        <v>0</v>
      </c>
      <c r="AR7691" s="758"/>
      <c r="AS7691" s="753"/>
    </row>
    <row r="7692" spans="1:45" s="520" customFormat="1" ht="12.6" thickBot="1">
      <c r="A7692" s="761" t="s">
        <v>145</v>
      </c>
      <c r="B7692" s="762">
        <f>(R7691+T7691)</f>
        <v>0</v>
      </c>
      <c r="C7692" s="763"/>
      <c r="D7692" s="763"/>
      <c r="E7692" s="763"/>
      <c r="F7692" s="764"/>
      <c r="G7692" s="763" t="s">
        <v>146</v>
      </c>
      <c r="H7692" s="763"/>
      <c r="I7692" s="765"/>
      <c r="J7692" s="763"/>
      <c r="K7692" s="900"/>
      <c r="L7692" s="858" t="s">
        <v>2267</v>
      </c>
      <c r="M7692" s="766"/>
      <c r="N7692" s="766"/>
      <c r="O7692" s="766"/>
      <c r="P7692" s="766"/>
      <c r="Q7692" s="767"/>
      <c r="R7692" s="768">
        <f>SUM(R7689:R7691)</f>
        <v>1.75</v>
      </c>
      <c r="S7692" s="763"/>
      <c r="T7692" s="768">
        <f>SUM(T7689:T7691)</f>
        <v>0</v>
      </c>
      <c r="U7692" s="531"/>
      <c r="V7692" s="531"/>
      <c r="W7692" s="531"/>
      <c r="X7692" s="531"/>
      <c r="Y7692" s="531"/>
      <c r="Z7692" s="531"/>
      <c r="AA7692" s="531"/>
      <c r="AB7692" s="531"/>
      <c r="AC7692" s="531"/>
      <c r="AD7692" s="531"/>
      <c r="AE7692" s="531"/>
      <c r="AF7692" s="531"/>
      <c r="AG7692" s="531"/>
      <c r="AH7692" s="531"/>
      <c r="AI7692" s="531"/>
      <c r="AJ7692" s="531"/>
      <c r="AK7692" s="531"/>
      <c r="AL7692" s="531"/>
      <c r="AM7692" s="531"/>
      <c r="AN7692" s="531"/>
      <c r="AO7692" s="531"/>
      <c r="AR7692" s="761" t="s">
        <v>145</v>
      </c>
      <c r="AS7692" s="764"/>
    </row>
    <row r="7693" spans="1:45" s="520" customFormat="1" thickTop="1">
      <c r="A7693" s="51"/>
      <c r="B7693" s="41"/>
      <c r="C7693" s="51"/>
      <c r="E7693" s="42" t="s">
        <v>138</v>
      </c>
      <c r="F7693"/>
      <c r="G7693" s="51"/>
      <c r="H7693" s="51"/>
      <c r="I7693" s="51"/>
      <c r="J7693" s="51"/>
      <c r="K7693" s="51" t="s">
        <v>140</v>
      </c>
      <c r="L7693" s="789"/>
      <c r="M7693" s="51"/>
      <c r="N7693" s="51"/>
      <c r="O7693" s="52"/>
      <c r="P7693" s="51"/>
      <c r="Q7693" s="51"/>
      <c r="R7693" s="51"/>
      <c r="S7693" s="51"/>
      <c r="T7693" s="41"/>
      <c r="AG7693" s="521" t="s">
        <v>268</v>
      </c>
      <c r="AH7693" s="884"/>
      <c r="AI7693" s="521" t="s">
        <v>270</v>
      </c>
      <c r="AM7693" s="745" t="s">
        <v>281</v>
      </c>
      <c r="AN7693" s="746" t="s">
        <v>282</v>
      </c>
      <c r="AO7693" s="522" t="s">
        <v>278</v>
      </c>
      <c r="AR7693" s="51"/>
      <c r="AS7693"/>
    </row>
    <row r="7694" spans="1:45" s="520" customFormat="1" ht="13.2">
      <c r="A7694" s="747">
        <v>1</v>
      </c>
      <c r="B7694" s="523" t="s">
        <v>329</v>
      </c>
      <c r="C7694" s="748"/>
      <c r="D7694" s="749" t="s">
        <v>4006</v>
      </c>
      <c r="E7694" s="1151">
        <f>IF(AND($A7694=0,$A$1="DIF"),0, ROUND(ROUND(($R7698*$S$3+($T7698*$T$3))/$A7694,2)*$C$3,2))</f>
        <v>2.54</v>
      </c>
      <c r="F7694"/>
      <c r="G7694" s="752" t="s">
        <v>142</v>
      </c>
      <c r="H7694" s="753"/>
      <c r="I7694" s="754"/>
      <c r="J7694" s="753"/>
      <c r="K7694" s="784" t="s">
        <v>2267</v>
      </c>
      <c r="L7694" s="789" t="s">
        <v>143</v>
      </c>
      <c r="M7694" s="755"/>
      <c r="N7694" s="755"/>
      <c r="O7694" s="755"/>
      <c r="P7694" s="755"/>
      <c r="Q7694" s="51"/>
      <c r="T7694" s="1150" t="str">
        <f>IF(AND($R7698=0,$T7698=0),"0.00","mu: "&amp; ROUND(A7694*E7694/$C$3/($R7698+$T7698*$D$9),2))</f>
        <v>mu: 1.13</v>
      </c>
      <c r="W7694" s="524"/>
      <c r="AG7694" s="1148">
        <f>IF($E7694=0,0,ROUND($R7698*$S$3*$C$3/$A7694,2))</f>
        <v>2.54</v>
      </c>
      <c r="AH7694" s="884"/>
      <c r="AI7694" s="1148">
        <f>$E7694-$AG7694</f>
        <v>0</v>
      </c>
      <c r="AM7694" s="527">
        <f>ROUND(R7698,2)</f>
        <v>2.25</v>
      </c>
      <c r="AN7694" s="528">
        <f>ROUND(T7698,2)</f>
        <v>0</v>
      </c>
      <c r="AO7694" s="529">
        <f>ROUND(AM7694+AN7694,2)*A7694</f>
        <v>2.25</v>
      </c>
      <c r="AR7694" s="747">
        <v>1</v>
      </c>
      <c r="AS7694"/>
    </row>
    <row r="7695" spans="1:45" s="520" customFormat="1" ht="13.2">
      <c r="A7695" s="748"/>
      <c r="B7695"/>
      <c r="C7695" s="748"/>
      <c r="D7695" s="749" t="s">
        <v>1017</v>
      </c>
      <c r="F7695" s="753"/>
      <c r="G7695" s="3"/>
      <c r="H7695" s="753"/>
      <c r="I7695" s="754"/>
      <c r="J7695" s="753"/>
      <c r="K7695" s="753" t="s">
        <v>144</v>
      </c>
      <c r="L7695" s="784"/>
      <c r="M7695" s="753"/>
      <c r="N7695" s="753"/>
      <c r="O7695" s="753"/>
      <c r="P7695" s="753"/>
      <c r="Q7695" s="51"/>
      <c r="R7695" s="530"/>
      <c r="S7695" s="757"/>
      <c r="T7695" s="753"/>
      <c r="AR7695" s="748"/>
      <c r="AS7695" s="753"/>
    </row>
    <row r="7696" spans="1:45" s="901" customFormat="1" ht="13.2">
      <c r="A7696" s="903">
        <v>1</v>
      </c>
      <c r="B7696" s="904" t="s">
        <v>863</v>
      </c>
      <c r="C7696" s="904"/>
      <c r="D7696" s="904" t="s">
        <v>2594</v>
      </c>
      <c r="E7696" s="904"/>
      <c r="F7696" s="904" t="s">
        <v>4139</v>
      </c>
      <c r="G7696" s="905" t="s">
        <v>2595</v>
      </c>
      <c r="H7696" s="891" t="s">
        <v>2271</v>
      </c>
      <c r="I7696" s="904" t="s">
        <v>2596</v>
      </c>
      <c r="J7696" s="904"/>
      <c r="K7696" s="904"/>
      <c r="L7696" s="893" t="s">
        <v>2271</v>
      </c>
      <c r="M7696" s="904"/>
      <c r="N7696" s="904"/>
      <c r="O7696" s="902">
        <v>4</v>
      </c>
      <c r="P7696" s="906">
        <v>38274</v>
      </c>
      <c r="Q7696" s="907">
        <v>2.25</v>
      </c>
      <c r="R7696" s="908">
        <f>$A7696*Q7696</f>
        <v>2.25</v>
      </c>
      <c r="S7696" s="907"/>
      <c r="T7696" s="909">
        <f>$A7696*S7696*$T$1</f>
        <v>0</v>
      </c>
      <c r="AR7696" s="903">
        <v>1</v>
      </c>
      <c r="AS7696" s="904" t="s">
        <v>3507</v>
      </c>
    </row>
    <row r="7697" spans="1:45" s="520" customFormat="1" ht="12">
      <c r="A7697" s="758"/>
      <c r="B7697" s="758"/>
      <c r="C7697" s="758"/>
      <c r="D7697" s="758"/>
      <c r="E7697" s="758"/>
      <c r="F7697" s="753"/>
      <c r="G7697" s="758"/>
      <c r="H7697" s="758"/>
      <c r="I7697" s="519"/>
      <c r="J7697" s="758"/>
      <c r="K7697" s="758"/>
      <c r="L7697" s="789"/>
      <c r="M7697" s="758"/>
      <c r="N7697" s="758"/>
      <c r="O7697" s="758"/>
      <c r="P7697" s="758"/>
      <c r="Q7697" s="519"/>
      <c r="R7697" s="759">
        <f>$A7697*Q7697</f>
        <v>0</v>
      </c>
      <c r="S7697" s="519"/>
      <c r="T7697" s="760">
        <f>$A7697*S7697*$T$1</f>
        <v>0</v>
      </c>
      <c r="AR7697" s="758"/>
      <c r="AS7697" s="753"/>
    </row>
    <row r="7698" spans="1:45" s="520" customFormat="1" ht="12.6" thickBot="1">
      <c r="A7698" s="761" t="s">
        <v>145</v>
      </c>
      <c r="B7698" s="762">
        <f>(R7697+T7697)</f>
        <v>0</v>
      </c>
      <c r="C7698" s="763"/>
      <c r="D7698" s="763"/>
      <c r="E7698" s="763"/>
      <c r="F7698" s="764"/>
      <c r="G7698" s="763" t="s">
        <v>146</v>
      </c>
      <c r="H7698" s="763"/>
      <c r="I7698" s="765"/>
      <c r="J7698" s="763"/>
      <c r="K7698" s="900"/>
      <c r="L7698" s="858" t="s">
        <v>2267</v>
      </c>
      <c r="M7698" s="766"/>
      <c r="N7698" s="766"/>
      <c r="O7698" s="766"/>
      <c r="P7698" s="766"/>
      <c r="Q7698" s="767"/>
      <c r="R7698" s="768">
        <f>SUM(R7695:R7697)</f>
        <v>2.25</v>
      </c>
      <c r="S7698" s="763"/>
      <c r="T7698" s="768">
        <f>SUM(T7695:T7697)</f>
        <v>0</v>
      </c>
      <c r="U7698" s="531"/>
      <c r="V7698" s="531"/>
      <c r="W7698" s="531"/>
      <c r="X7698" s="531"/>
      <c r="Y7698" s="531"/>
      <c r="Z7698" s="531"/>
      <c r="AA7698" s="531"/>
      <c r="AB7698" s="531"/>
      <c r="AC7698" s="531"/>
      <c r="AD7698" s="531"/>
      <c r="AE7698" s="531"/>
      <c r="AF7698" s="531"/>
      <c r="AG7698" s="531"/>
      <c r="AH7698" s="531"/>
      <c r="AI7698" s="531"/>
      <c r="AJ7698" s="531"/>
      <c r="AK7698" s="531"/>
      <c r="AL7698" s="531"/>
      <c r="AM7698" s="531"/>
      <c r="AN7698" s="531"/>
      <c r="AO7698" s="531"/>
      <c r="AR7698" s="761" t="s">
        <v>145</v>
      </c>
      <c r="AS7698" s="764"/>
    </row>
    <row r="7699" spans="1:45" s="520" customFormat="1" ht="12" thickTop="1">
      <c r="A7699" s="51"/>
      <c r="B7699" s="41"/>
      <c r="C7699" s="51"/>
      <c r="E7699" s="42" t="s">
        <v>138</v>
      </c>
      <c r="F7699" s="42" t="s">
        <v>139</v>
      </c>
      <c r="G7699" s="51"/>
      <c r="H7699" s="51"/>
      <c r="I7699" s="51"/>
      <c r="J7699" s="51"/>
      <c r="K7699" s="51" t="s">
        <v>140</v>
      </c>
      <c r="L7699" s="51"/>
      <c r="M7699" s="51"/>
      <c r="N7699" s="51"/>
      <c r="O7699" s="52"/>
      <c r="P7699" s="51"/>
      <c r="Q7699" s="51"/>
      <c r="R7699" s="51"/>
      <c r="S7699" s="51"/>
      <c r="T7699" s="41"/>
      <c r="AG7699" s="521" t="s">
        <v>268</v>
      </c>
      <c r="AH7699" s="521" t="s">
        <v>269</v>
      </c>
      <c r="AI7699" s="521" t="s">
        <v>270</v>
      </c>
      <c r="AJ7699" s="521" t="s">
        <v>271</v>
      </c>
      <c r="AK7699" s="521" t="s">
        <v>272</v>
      </c>
      <c r="AM7699" s="745" t="s">
        <v>281</v>
      </c>
      <c r="AN7699" s="746" t="s">
        <v>282</v>
      </c>
      <c r="AO7699" s="522" t="s">
        <v>278</v>
      </c>
      <c r="AR7699" s="51"/>
      <c r="AS7699" s="42" t="s">
        <v>139</v>
      </c>
    </row>
    <row r="7700" spans="1:45" s="520" customFormat="1" ht="12" customHeight="1">
      <c r="A7700" s="747">
        <v>1</v>
      </c>
      <c r="B7700" s="523" t="s">
        <v>299</v>
      </c>
      <c r="C7700" s="748"/>
      <c r="D7700" s="749" t="s">
        <v>4007</v>
      </c>
      <c r="E7700" s="1145">
        <f>IF(AND($A7700=0,$A$1="DIF"),0, ROUND(ROUND(($R7704*$S$3+($T7704*$T$3))/$A7700,2)*$C$3,2))</f>
        <v>0</v>
      </c>
      <c r="F7700" s="1146">
        <f>ROUND($A7700*$E7700,2)</f>
        <v>0</v>
      </c>
      <c r="G7700" s="752" t="s">
        <v>142</v>
      </c>
      <c r="H7700" s="753"/>
      <c r="I7700" s="754"/>
      <c r="J7700" s="753"/>
      <c r="K7700" s="753" t="s">
        <v>5</v>
      </c>
      <c r="L7700" s="755" t="s">
        <v>143</v>
      </c>
      <c r="M7700" s="755"/>
      <c r="N7700" s="755"/>
      <c r="O7700" s="755"/>
      <c r="P7700" s="755"/>
      <c r="Q7700" s="1058" t="s">
        <v>2895</v>
      </c>
      <c r="T7700" s="1150" t="str">
        <f>IF(AND($R7704=0,$T7704=0),"0.00","mu: "&amp; ROUND(F7700/$C$3/($R7704+$T7704*$D$9),2))</f>
        <v>0.00</v>
      </c>
      <c r="W7700" s="524"/>
      <c r="AG7700" s="1147">
        <f>IF($E7700=0,0,ROUND($R7704*$S$3*$C$3/$A7700,2))</f>
        <v>0</v>
      </c>
      <c r="AH7700" s="1147">
        <f>$AG7700*$A7700</f>
        <v>0</v>
      </c>
      <c r="AI7700" s="1148">
        <f>$E7700-$AG7700</f>
        <v>0</v>
      </c>
      <c r="AJ7700" s="1148">
        <f>$A7700*$AI7700</f>
        <v>0</v>
      </c>
      <c r="AK7700" s="1149">
        <f>ROUND(($AG7700+$AI7700)*$A7700,2)</f>
        <v>0</v>
      </c>
      <c r="AM7700" s="527">
        <f>ROUND(R7704,2)</f>
        <v>0</v>
      </c>
      <c r="AN7700" s="528">
        <f>ROUND(T7704,2)</f>
        <v>0</v>
      </c>
      <c r="AO7700" s="529">
        <f>ROUND(AM7700+AN7700,2)*A7700</f>
        <v>0</v>
      </c>
      <c r="AR7700" s="747">
        <v>1</v>
      </c>
      <c r="AS7700" s="1146">
        <v>0</v>
      </c>
    </row>
    <row r="7701" spans="1:45" s="520" customFormat="1" ht="13.2">
      <c r="A7701" s="748"/>
      <c r="B7701"/>
      <c r="C7701" s="748"/>
      <c r="D7701" s="749" t="s">
        <v>1018</v>
      </c>
      <c r="F7701" s="753"/>
      <c r="G7701" s="3"/>
      <c r="H7701" s="753"/>
      <c r="I7701" s="754"/>
      <c r="J7701" s="753"/>
      <c r="K7701" s="753" t="s">
        <v>144</v>
      </c>
      <c r="L7701" s="753"/>
      <c r="M7701" s="753"/>
      <c r="N7701" s="753"/>
      <c r="O7701" s="753"/>
      <c r="P7701" s="753"/>
      <c r="Q7701" s="51"/>
      <c r="R7701" s="530"/>
      <c r="S7701" s="757"/>
      <c r="T7701" s="753"/>
      <c r="AR7701" s="748"/>
      <c r="AS7701" s="753"/>
    </row>
    <row r="7702" spans="1:45" s="901" customFormat="1" ht="13.2">
      <c r="A7702" s="903">
        <v>1</v>
      </c>
      <c r="B7702" s="904" t="s">
        <v>863</v>
      </c>
      <c r="C7702" s="904"/>
      <c r="D7702" s="904" t="s">
        <v>2594</v>
      </c>
      <c r="E7702" s="904"/>
      <c r="F7702" s="904" t="s">
        <v>4139</v>
      </c>
      <c r="G7702" s="905" t="s">
        <v>2595</v>
      </c>
      <c r="H7702" s="902">
        <v>960</v>
      </c>
      <c r="I7702" s="904" t="s">
        <v>2596</v>
      </c>
      <c r="J7702" s="904"/>
      <c r="K7702" s="904"/>
      <c r="L7702" s="904"/>
      <c r="M7702" s="904"/>
      <c r="N7702" s="904"/>
      <c r="O7702" s="902">
        <v>4</v>
      </c>
      <c r="P7702" s="906">
        <v>38274</v>
      </c>
      <c r="Q7702" s="1171"/>
      <c r="R7702" s="908">
        <f>$A7702*Q7702</f>
        <v>0</v>
      </c>
      <c r="S7702" s="907"/>
      <c r="T7702" s="909">
        <f>$A7702*S7702*$T$1</f>
        <v>0</v>
      </c>
      <c r="U7702" s="901" t="s">
        <v>2764</v>
      </c>
      <c r="AR7702" s="903">
        <v>1</v>
      </c>
      <c r="AS7702" s="904" t="s">
        <v>3507</v>
      </c>
    </row>
    <row r="7703" spans="1:45" s="520" customFormat="1" ht="12">
      <c r="A7703" s="758"/>
      <c r="B7703" s="758"/>
      <c r="C7703" s="758"/>
      <c r="D7703" s="758"/>
      <c r="E7703" s="758"/>
      <c r="F7703" s="753"/>
      <c r="G7703" s="758"/>
      <c r="H7703" s="758"/>
      <c r="I7703" s="519"/>
      <c r="J7703" s="758"/>
      <c r="K7703" s="758"/>
      <c r="L7703" s="758"/>
      <c r="M7703" s="758"/>
      <c r="N7703" s="758"/>
      <c r="O7703" s="758"/>
      <c r="P7703" s="758"/>
      <c r="Q7703" s="519"/>
      <c r="R7703" s="759">
        <f t="shared" ref="R7703" si="752">$A7703*Q7703</f>
        <v>0</v>
      </c>
      <c r="S7703" s="519"/>
      <c r="T7703" s="760">
        <f t="shared" ref="T7703" si="753">$A7703*S7703*$T$1</f>
        <v>0</v>
      </c>
      <c r="AR7703" s="758"/>
      <c r="AS7703" s="753"/>
    </row>
    <row r="7704" spans="1:45" s="520" customFormat="1" ht="12.6" thickBot="1">
      <c r="A7704" s="761" t="s">
        <v>145</v>
      </c>
      <c r="B7704" s="762">
        <f>(R7703+T7703)</f>
        <v>0</v>
      </c>
      <c r="C7704" s="763"/>
      <c r="D7704" s="763"/>
      <c r="E7704" s="763"/>
      <c r="F7704" s="764"/>
      <c r="G7704" s="763" t="s">
        <v>146</v>
      </c>
      <c r="H7704" s="763"/>
      <c r="I7704" s="765"/>
      <c r="J7704" s="763"/>
      <c r="K7704" s="763" t="s">
        <v>5</v>
      </c>
      <c r="L7704" s="766" t="s">
        <v>143</v>
      </c>
      <c r="M7704" s="766"/>
      <c r="N7704" s="766"/>
      <c r="O7704" s="766"/>
      <c r="P7704" s="766"/>
      <c r="Q7704" s="767"/>
      <c r="R7704" s="768">
        <f>SUM(R7701:R7703)</f>
        <v>0</v>
      </c>
      <c r="S7704" s="763"/>
      <c r="T7704" s="768">
        <f>SUM(T7701:T7703)</f>
        <v>0</v>
      </c>
      <c r="U7704" s="531"/>
      <c r="V7704" s="531"/>
      <c r="W7704" s="531"/>
      <c r="X7704" s="531"/>
      <c r="Y7704" s="531"/>
      <c r="Z7704" s="531"/>
      <c r="AA7704" s="531"/>
      <c r="AB7704" s="531"/>
      <c r="AC7704" s="531"/>
      <c r="AD7704" s="531"/>
      <c r="AE7704" s="531"/>
      <c r="AF7704" s="531"/>
      <c r="AG7704" s="531"/>
      <c r="AH7704" s="531"/>
      <c r="AI7704" s="531"/>
      <c r="AJ7704" s="531"/>
      <c r="AK7704" s="531"/>
      <c r="AL7704" s="531"/>
      <c r="AM7704" s="531"/>
      <c r="AN7704" s="531"/>
      <c r="AO7704" s="531"/>
      <c r="AR7704" s="761" t="s">
        <v>145</v>
      </c>
      <c r="AS7704" s="764"/>
    </row>
    <row r="7705" spans="1:45" s="520" customFormat="1" ht="12" thickTop="1">
      <c r="A7705" s="51"/>
      <c r="B7705" s="41"/>
      <c r="C7705" s="51"/>
      <c r="E7705" s="42" t="s">
        <v>138</v>
      </c>
      <c r="F7705" s="42" t="s">
        <v>139</v>
      </c>
      <c r="G7705" s="51"/>
      <c r="H7705" s="51"/>
      <c r="I7705" s="51"/>
      <c r="J7705" s="51"/>
      <c r="K7705" s="51" t="s">
        <v>140</v>
      </c>
      <c r="L7705" s="51"/>
      <c r="M7705" s="51"/>
      <c r="N7705" s="51"/>
      <c r="O7705" s="52"/>
      <c r="P7705" s="51"/>
      <c r="Q7705" s="51"/>
      <c r="R7705" s="51"/>
      <c r="S7705" s="51"/>
      <c r="T7705" s="41"/>
      <c r="AG7705" s="521" t="s">
        <v>268</v>
      </c>
      <c r="AH7705" s="521" t="s">
        <v>269</v>
      </c>
      <c r="AI7705" s="521" t="s">
        <v>270</v>
      </c>
      <c r="AJ7705" s="521" t="s">
        <v>271</v>
      </c>
      <c r="AK7705" s="521" t="s">
        <v>272</v>
      </c>
      <c r="AM7705" s="745" t="s">
        <v>281</v>
      </c>
      <c r="AN7705" s="746" t="s">
        <v>282</v>
      </c>
      <c r="AO7705" s="522" t="s">
        <v>278</v>
      </c>
      <c r="AR7705" s="51"/>
      <c r="AS7705" s="42" t="s">
        <v>139</v>
      </c>
    </row>
    <row r="7706" spans="1:45" s="520" customFormat="1" ht="12" customHeight="1">
      <c r="A7706" s="747">
        <v>1</v>
      </c>
      <c r="B7706" s="523" t="s">
        <v>299</v>
      </c>
      <c r="C7706" s="748"/>
      <c r="D7706" s="749" t="s">
        <v>4008</v>
      </c>
      <c r="E7706" s="1145">
        <f>IF(AND($A7706=0,$A$1="DIF"),0, ROUND(ROUND(($R7710*$S$3+($T7710*$T$3))/$A7706,2)*$C$3,2))</f>
        <v>0</v>
      </c>
      <c r="F7706" s="1146">
        <f>ROUND($A7706*$E7706,2)</f>
        <v>0</v>
      </c>
      <c r="G7706" s="752" t="s">
        <v>142</v>
      </c>
      <c r="H7706" s="753"/>
      <c r="I7706" s="754"/>
      <c r="J7706" s="753"/>
      <c r="K7706" s="753" t="s">
        <v>5</v>
      </c>
      <c r="L7706" s="755" t="s">
        <v>143</v>
      </c>
      <c r="M7706" s="755"/>
      <c r="N7706" s="755"/>
      <c r="O7706" s="755"/>
      <c r="P7706" s="755"/>
      <c r="Q7706" s="1058" t="s">
        <v>3687</v>
      </c>
      <c r="T7706" s="1150" t="str">
        <f>IF(AND($R7710=0,$T7710=0),"0.00","mu: "&amp; ROUND(F7706/$C$3/($R7710+$T7710*$D$9),2))</f>
        <v>0.00</v>
      </c>
      <c r="W7706" s="524"/>
      <c r="AG7706" s="1147">
        <f>IF($E7706=0,0,ROUND($R7710*$S$3*$C$3/$A7706,2))</f>
        <v>0</v>
      </c>
      <c r="AH7706" s="1147">
        <f>$AG7706*$A7706</f>
        <v>0</v>
      </c>
      <c r="AI7706" s="1148">
        <f>$E7706-$AG7706</f>
        <v>0</v>
      </c>
      <c r="AJ7706" s="1148">
        <f>$A7706*$AI7706</f>
        <v>0</v>
      </c>
      <c r="AK7706" s="1149">
        <f>ROUND(($AG7706+$AI7706)*$A7706,2)</f>
        <v>0</v>
      </c>
      <c r="AM7706" s="527">
        <f>ROUND(R7710,2)</f>
        <v>0</v>
      </c>
      <c r="AN7706" s="528">
        <f>ROUND(T7710,2)</f>
        <v>0</v>
      </c>
      <c r="AO7706" s="529">
        <f>ROUND(AM7706+AN7706,2)*A7706</f>
        <v>0</v>
      </c>
      <c r="AR7706" s="747">
        <v>1</v>
      </c>
      <c r="AS7706" s="1146">
        <v>0</v>
      </c>
    </row>
    <row r="7707" spans="1:45" s="520" customFormat="1" ht="13.2">
      <c r="A7707" s="748"/>
      <c r="B7707"/>
      <c r="C7707" s="748"/>
      <c r="D7707" s="749" t="s">
        <v>1019</v>
      </c>
      <c r="F7707" s="753"/>
      <c r="G7707" s="3"/>
      <c r="H7707" s="753"/>
      <c r="I7707" s="754"/>
      <c r="J7707" s="753"/>
      <c r="K7707" s="753" t="s">
        <v>144</v>
      </c>
      <c r="L7707" s="753"/>
      <c r="M7707" s="753"/>
      <c r="N7707" s="753"/>
      <c r="O7707" s="753"/>
      <c r="P7707" s="753"/>
      <c r="Q7707" s="51"/>
      <c r="R7707" s="530"/>
      <c r="S7707" s="757"/>
      <c r="T7707" s="753"/>
      <c r="AR7707" s="748"/>
      <c r="AS7707" s="753"/>
    </row>
    <row r="7708" spans="1:45" s="901" customFormat="1" ht="13.2">
      <c r="A7708" s="903">
        <v>1</v>
      </c>
      <c r="B7708" s="904" t="s">
        <v>863</v>
      </c>
      <c r="C7708" s="904"/>
      <c r="D7708" s="904" t="s">
        <v>2594</v>
      </c>
      <c r="E7708" s="904"/>
      <c r="F7708" s="904" t="s">
        <v>4139</v>
      </c>
      <c r="G7708" s="905" t="s">
        <v>2595</v>
      </c>
      <c r="H7708" s="902">
        <v>960</v>
      </c>
      <c r="I7708" s="904" t="s">
        <v>2596</v>
      </c>
      <c r="J7708" s="904"/>
      <c r="K7708" s="904"/>
      <c r="L7708" s="904"/>
      <c r="M7708" s="904"/>
      <c r="N7708" s="904"/>
      <c r="O7708" s="902">
        <v>4</v>
      </c>
      <c r="P7708" s="906">
        <v>38274</v>
      </c>
      <c r="Q7708" s="1171"/>
      <c r="R7708" s="908">
        <f>$A7708*Q7708</f>
        <v>0</v>
      </c>
      <c r="S7708" s="907"/>
      <c r="T7708" s="909">
        <f>$A7708*S7708*$T$1</f>
        <v>0</v>
      </c>
      <c r="U7708" s="901" t="s">
        <v>2764</v>
      </c>
      <c r="AR7708" s="903">
        <v>1</v>
      </c>
      <c r="AS7708" s="904" t="s">
        <v>3507</v>
      </c>
    </row>
    <row r="7709" spans="1:45" s="520" customFormat="1" ht="12">
      <c r="A7709" s="758"/>
      <c r="B7709" s="758"/>
      <c r="C7709" s="758"/>
      <c r="D7709" s="758"/>
      <c r="E7709" s="758"/>
      <c r="F7709" s="753"/>
      <c r="G7709" s="758"/>
      <c r="H7709" s="758"/>
      <c r="I7709" s="519"/>
      <c r="J7709" s="758"/>
      <c r="K7709" s="758"/>
      <c r="L7709" s="758"/>
      <c r="M7709" s="758"/>
      <c r="N7709" s="758"/>
      <c r="O7709" s="758"/>
      <c r="P7709" s="758"/>
      <c r="Q7709" s="519"/>
      <c r="R7709" s="759">
        <f t="shared" ref="R7709" si="754">$A7709*Q7709</f>
        <v>0</v>
      </c>
      <c r="S7709" s="519"/>
      <c r="T7709" s="760">
        <f t="shared" ref="T7709" si="755">$A7709*S7709*$T$1</f>
        <v>0</v>
      </c>
      <c r="AR7709" s="758"/>
      <c r="AS7709" s="753"/>
    </row>
    <row r="7710" spans="1:45" s="520" customFormat="1" ht="12.6" thickBot="1">
      <c r="A7710" s="761" t="s">
        <v>145</v>
      </c>
      <c r="B7710" s="762">
        <f>(R7709+T7709)</f>
        <v>0</v>
      </c>
      <c r="C7710" s="763"/>
      <c r="D7710" s="763"/>
      <c r="E7710" s="763"/>
      <c r="F7710" s="764"/>
      <c r="G7710" s="763" t="s">
        <v>146</v>
      </c>
      <c r="H7710" s="763"/>
      <c r="I7710" s="765"/>
      <c r="J7710" s="763"/>
      <c r="K7710" s="763" t="s">
        <v>5</v>
      </c>
      <c r="L7710" s="766" t="s">
        <v>143</v>
      </c>
      <c r="M7710" s="766"/>
      <c r="N7710" s="766"/>
      <c r="O7710" s="766"/>
      <c r="P7710" s="766"/>
      <c r="Q7710" s="767"/>
      <c r="R7710" s="768">
        <f>SUM(R7707:R7709)</f>
        <v>0</v>
      </c>
      <c r="S7710" s="763"/>
      <c r="T7710" s="768">
        <f>SUM(T7707:T7709)</f>
        <v>0</v>
      </c>
      <c r="U7710" s="531"/>
      <c r="V7710" s="531"/>
      <c r="W7710" s="531"/>
      <c r="X7710" s="531"/>
      <c r="Y7710" s="531"/>
      <c r="Z7710" s="531"/>
      <c r="AA7710" s="531"/>
      <c r="AB7710" s="531"/>
      <c r="AC7710" s="531"/>
      <c r="AD7710" s="531"/>
      <c r="AE7710" s="531"/>
      <c r="AF7710" s="531"/>
      <c r="AG7710" s="531"/>
      <c r="AH7710" s="531"/>
      <c r="AI7710" s="531"/>
      <c r="AJ7710" s="531"/>
      <c r="AK7710" s="531"/>
      <c r="AL7710" s="531"/>
      <c r="AM7710" s="531"/>
      <c r="AN7710" s="531"/>
      <c r="AO7710" s="531"/>
      <c r="AR7710" s="761" t="s">
        <v>145</v>
      </c>
      <c r="AS7710" s="764"/>
    </row>
    <row r="7711" spans="1:45" s="520" customFormat="1" ht="12" thickTop="1">
      <c r="A7711" s="51"/>
      <c r="B7711" s="41"/>
      <c r="C7711" s="51"/>
      <c r="E7711" s="42" t="s">
        <v>138</v>
      </c>
      <c r="F7711" s="42" t="s">
        <v>139</v>
      </c>
      <c r="G7711" s="51"/>
      <c r="H7711" s="51"/>
      <c r="I7711" s="51"/>
      <c r="J7711" s="51"/>
      <c r="K7711" s="51" t="s">
        <v>140</v>
      </c>
      <c r="L7711" s="51"/>
      <c r="M7711" s="51"/>
      <c r="N7711" s="51"/>
      <c r="O7711" s="52"/>
      <c r="P7711" s="51"/>
      <c r="Q7711" s="51"/>
      <c r="R7711" s="51"/>
      <c r="S7711" s="51"/>
      <c r="T7711" s="41"/>
      <c r="AG7711" s="521" t="s">
        <v>268</v>
      </c>
      <c r="AH7711" s="521" t="s">
        <v>269</v>
      </c>
      <c r="AI7711" s="521" t="s">
        <v>270</v>
      </c>
      <c r="AJ7711" s="521" t="s">
        <v>271</v>
      </c>
      <c r="AK7711" s="521" t="s">
        <v>272</v>
      </c>
      <c r="AM7711" s="745" t="s">
        <v>281</v>
      </c>
      <c r="AN7711" s="746" t="s">
        <v>282</v>
      </c>
      <c r="AO7711" s="522" t="s">
        <v>278</v>
      </c>
      <c r="AR7711" s="51"/>
      <c r="AS7711" s="42" t="s">
        <v>139</v>
      </c>
    </row>
    <row r="7712" spans="1:45" s="520" customFormat="1" ht="12" customHeight="1">
      <c r="A7712" s="747">
        <v>1</v>
      </c>
      <c r="B7712" s="523" t="s">
        <v>299</v>
      </c>
      <c r="C7712" s="748"/>
      <c r="D7712" s="749" t="s">
        <v>4009</v>
      </c>
      <c r="E7712" s="1145">
        <f>IF(AND($A7712=0,$A$1="DIF"),0, ROUND(ROUND(($R7716*$S$3+($T7716*$T$3))/$A7712,2)*$C$3,2))</f>
        <v>507.93</v>
      </c>
      <c r="F7712" s="1146">
        <f>ROUND($A7712*$E7712,2)</f>
        <v>507.93</v>
      </c>
      <c r="G7712" s="752" t="s">
        <v>142</v>
      </c>
      <c r="H7712" s="753"/>
      <c r="I7712" s="754"/>
      <c r="J7712" s="753"/>
      <c r="K7712" s="753" t="s">
        <v>5</v>
      </c>
      <c r="L7712" s="755" t="s">
        <v>143</v>
      </c>
      <c r="M7712" s="755"/>
      <c r="N7712" s="755"/>
      <c r="O7712" s="755"/>
      <c r="P7712" s="755"/>
      <c r="Q7712" s="51"/>
      <c r="T7712" s="1150" t="str">
        <f>IF(AND($R7716=0,$T7716=0),"0.00","mu: "&amp; ROUND(F7712/$C$3/($R7716+$T7716*$D$9),2))</f>
        <v>mu: 1.13</v>
      </c>
      <c r="W7712" s="524"/>
      <c r="AG7712" s="1147">
        <f>IF($E7712=0,0,ROUND($R7716*$S$3*$C$3/$A7712,2))</f>
        <v>507.93</v>
      </c>
      <c r="AH7712" s="1147">
        <f>$AG7712*$A7712</f>
        <v>507.93</v>
      </c>
      <c r="AI7712" s="1148">
        <f>$E7712-$AG7712</f>
        <v>0</v>
      </c>
      <c r="AJ7712" s="1148">
        <f>$A7712*$AI7712</f>
        <v>0</v>
      </c>
      <c r="AK7712" s="1149">
        <f>ROUND(($AG7712+$AI7712)*$A7712,2)</f>
        <v>507.93</v>
      </c>
      <c r="AM7712" s="527">
        <f>ROUND(R7716,2)</f>
        <v>450</v>
      </c>
      <c r="AN7712" s="528">
        <f>ROUND(T7716,2)</f>
        <v>0</v>
      </c>
      <c r="AO7712" s="529">
        <f>ROUND(AM7712+AN7712,2)*A7712</f>
        <v>450</v>
      </c>
      <c r="AR7712" s="747">
        <v>1</v>
      </c>
      <c r="AS7712" s="1146">
        <v>536.15</v>
      </c>
    </row>
    <row r="7713" spans="1:45" s="520" customFormat="1" ht="13.2">
      <c r="A7713" s="748"/>
      <c r="B7713"/>
      <c r="C7713" s="748"/>
      <c r="D7713" s="749" t="s">
        <v>381</v>
      </c>
      <c r="F7713" s="753"/>
      <c r="G7713" s="3"/>
      <c r="H7713" s="753"/>
      <c r="I7713" s="754"/>
      <c r="J7713" s="753"/>
      <c r="K7713" s="753" t="s">
        <v>144</v>
      </c>
      <c r="L7713" s="753"/>
      <c r="M7713" s="753"/>
      <c r="N7713" s="753"/>
      <c r="O7713" s="753"/>
      <c r="P7713" s="753"/>
      <c r="Q7713" s="51"/>
      <c r="R7713" s="530"/>
      <c r="S7713" s="757"/>
      <c r="T7713" s="753"/>
      <c r="AR7713" s="748"/>
      <c r="AS7713" s="753"/>
    </row>
    <row r="7714" spans="1:45" s="901" customFormat="1" ht="13.2">
      <c r="A7714" s="903">
        <v>1</v>
      </c>
      <c r="B7714" s="904" t="s">
        <v>863</v>
      </c>
      <c r="C7714" s="904"/>
      <c r="D7714" s="904" t="s">
        <v>2594</v>
      </c>
      <c r="E7714" s="904"/>
      <c r="F7714" s="904" t="s">
        <v>4139</v>
      </c>
      <c r="G7714" s="905" t="s">
        <v>2595</v>
      </c>
      <c r="H7714" s="902">
        <v>960</v>
      </c>
      <c r="I7714" s="904" t="s">
        <v>2596</v>
      </c>
      <c r="J7714" s="904"/>
      <c r="K7714" s="904"/>
      <c r="L7714" s="904"/>
      <c r="M7714" s="904"/>
      <c r="N7714" s="904"/>
      <c r="O7714" s="902">
        <v>4</v>
      </c>
      <c r="P7714" s="906">
        <v>38274</v>
      </c>
      <c r="Q7714" s="1415">
        <f>500*0.9</f>
        <v>450</v>
      </c>
      <c r="R7714" s="908">
        <f>$A7714*Q7714</f>
        <v>450</v>
      </c>
      <c r="S7714" s="907"/>
      <c r="T7714" s="909">
        <f>$A7714*S7714*$T$1</f>
        <v>0</v>
      </c>
      <c r="AR7714" s="903">
        <v>1</v>
      </c>
      <c r="AS7714" s="904" t="s">
        <v>3507</v>
      </c>
    </row>
    <row r="7715" spans="1:45" s="520" customFormat="1" ht="12">
      <c r="A7715" s="758"/>
      <c r="B7715" s="758"/>
      <c r="C7715" s="758"/>
      <c r="D7715" s="758"/>
      <c r="E7715" s="758"/>
      <c r="F7715" s="753"/>
      <c r="G7715" s="758"/>
      <c r="H7715" s="758"/>
      <c r="I7715" s="519"/>
      <c r="J7715" s="758"/>
      <c r="K7715" s="758"/>
      <c r="L7715" s="758"/>
      <c r="M7715" s="758"/>
      <c r="N7715" s="758"/>
      <c r="O7715" s="758"/>
      <c r="P7715" s="758"/>
      <c r="Q7715" s="519"/>
      <c r="R7715" s="759">
        <f t="shared" ref="R7715" si="756">$A7715*Q7715</f>
        <v>0</v>
      </c>
      <c r="S7715" s="519"/>
      <c r="T7715" s="760">
        <f t="shared" ref="T7715" si="757">$A7715*S7715*$T$1</f>
        <v>0</v>
      </c>
      <c r="AR7715" s="758"/>
      <c r="AS7715" s="753"/>
    </row>
    <row r="7716" spans="1:45" s="520" customFormat="1" ht="12.6" thickBot="1">
      <c r="A7716" s="761" t="s">
        <v>145</v>
      </c>
      <c r="B7716" s="762">
        <f>(R7715+T7715)</f>
        <v>0</v>
      </c>
      <c r="C7716" s="763"/>
      <c r="D7716" s="763"/>
      <c r="E7716" s="763"/>
      <c r="F7716" s="764"/>
      <c r="G7716" s="763" t="s">
        <v>146</v>
      </c>
      <c r="H7716" s="763"/>
      <c r="I7716" s="765"/>
      <c r="J7716" s="763"/>
      <c r="K7716" s="763" t="s">
        <v>5</v>
      </c>
      <c r="L7716" s="766" t="s">
        <v>143</v>
      </c>
      <c r="M7716" s="766"/>
      <c r="N7716" s="766"/>
      <c r="O7716" s="766"/>
      <c r="P7716" s="766"/>
      <c r="Q7716" s="767"/>
      <c r="R7716" s="768">
        <f>SUM(R7713:R7715)</f>
        <v>450</v>
      </c>
      <c r="S7716" s="763"/>
      <c r="T7716" s="768">
        <f>SUM(T7713:T7715)</f>
        <v>0</v>
      </c>
      <c r="U7716" s="531"/>
      <c r="V7716" s="531"/>
      <c r="W7716" s="531"/>
      <c r="X7716" s="531"/>
      <c r="Y7716" s="531"/>
      <c r="Z7716" s="531"/>
      <c r="AA7716" s="531"/>
      <c r="AB7716" s="531"/>
      <c r="AC7716" s="531"/>
      <c r="AD7716" s="531"/>
      <c r="AE7716" s="531"/>
      <c r="AF7716" s="531"/>
      <c r="AG7716" s="531"/>
      <c r="AH7716" s="531"/>
      <c r="AI7716" s="531"/>
      <c r="AJ7716" s="531"/>
      <c r="AK7716" s="531"/>
      <c r="AL7716" s="531"/>
      <c r="AM7716" s="531"/>
      <c r="AN7716" s="531"/>
      <c r="AO7716" s="531"/>
      <c r="AR7716" s="761" t="s">
        <v>145</v>
      </c>
      <c r="AS7716" s="764"/>
    </row>
    <row r="7717" spans="1:45" s="520" customFormat="1" ht="12" thickTop="1">
      <c r="A7717" s="51"/>
      <c r="B7717" s="41"/>
      <c r="C7717" s="51"/>
      <c r="E7717" s="42" t="s">
        <v>138</v>
      </c>
      <c r="F7717" s="42" t="s">
        <v>139</v>
      </c>
      <c r="G7717" s="51"/>
      <c r="H7717" s="51"/>
      <c r="I7717" s="51"/>
      <c r="J7717" s="51"/>
      <c r="K7717" s="51" t="s">
        <v>140</v>
      </c>
      <c r="L7717" s="51"/>
      <c r="M7717" s="51"/>
      <c r="N7717" s="51"/>
      <c r="O7717" s="52"/>
      <c r="P7717" s="51"/>
      <c r="Q7717" s="51"/>
      <c r="R7717" s="51"/>
      <c r="S7717" s="51"/>
      <c r="T7717" s="41"/>
      <c r="AG7717" s="521" t="s">
        <v>268</v>
      </c>
      <c r="AH7717" s="521" t="s">
        <v>269</v>
      </c>
      <c r="AI7717" s="521" t="s">
        <v>270</v>
      </c>
      <c r="AJ7717" s="521" t="s">
        <v>271</v>
      </c>
      <c r="AK7717" s="521" t="s">
        <v>272</v>
      </c>
      <c r="AM7717" s="745" t="s">
        <v>281</v>
      </c>
      <c r="AN7717" s="746" t="s">
        <v>282</v>
      </c>
      <c r="AO7717" s="522" t="s">
        <v>278</v>
      </c>
      <c r="AR7717" s="51"/>
      <c r="AS7717" s="42" t="s">
        <v>139</v>
      </c>
    </row>
    <row r="7718" spans="1:45" s="520" customFormat="1" ht="12" customHeight="1">
      <c r="A7718" s="747">
        <v>2</v>
      </c>
      <c r="B7718" s="523" t="s">
        <v>1020</v>
      </c>
      <c r="C7718" s="748"/>
      <c r="D7718" s="749" t="s">
        <v>4010</v>
      </c>
      <c r="E7718" s="750">
        <f>IF(AND($A7718=0,$A$1="DIF"),0, ROUND(ROUND(($R7724*$S$2+($T7724*$T$2))/$A7718,2)*$C$2,2))</f>
        <v>174.92</v>
      </c>
      <c r="F7718" s="751">
        <f>ROUND($A7718*$E7718,2)</f>
        <v>349.84</v>
      </c>
      <c r="G7718" s="752" t="s">
        <v>142</v>
      </c>
      <c r="H7718" s="753"/>
      <c r="I7718" s="754"/>
      <c r="J7718" s="753"/>
      <c r="K7718" s="753" t="s">
        <v>3</v>
      </c>
      <c r="L7718" s="755" t="s">
        <v>143</v>
      </c>
      <c r="M7718" s="755"/>
      <c r="N7718" s="755"/>
      <c r="O7718" s="755"/>
      <c r="P7718" s="755"/>
      <c r="Q7718" s="51"/>
      <c r="T7718" s="756" t="str">
        <f>IF(AND($R7724=0,$T7724=0),"0.00","mu: "&amp; ROUND(F7718/$C$2/($R7724+$T7724*$D$9),2))</f>
        <v>mu: 1.23</v>
      </c>
      <c r="W7718" s="524"/>
      <c r="AG7718" s="481">
        <f>IF($E7718=0,0,ROUND($R7724*$S$2*$C$2/$A7718,2))</f>
        <v>87.43</v>
      </c>
      <c r="AH7718" s="481">
        <f>$AG7718*$A7718</f>
        <v>174.86</v>
      </c>
      <c r="AI7718" s="525">
        <f>$E7718-$AG7718</f>
        <v>87.489999999999981</v>
      </c>
      <c r="AJ7718" s="525">
        <f>$A7718*$AI7718</f>
        <v>174.97999999999996</v>
      </c>
      <c r="AK7718" s="526">
        <f>ROUND(($AG7718+$AI7718)*$A7718,2)</f>
        <v>349.84</v>
      </c>
      <c r="AM7718" s="527">
        <f>ROUND(R7724,2)</f>
        <v>142</v>
      </c>
      <c r="AN7718" s="528">
        <f>ROUND(T7724,2)</f>
        <v>5.18</v>
      </c>
      <c r="AO7718" s="529">
        <f>ROUND(AM7718+AN7718,2)*A7718</f>
        <v>294.36</v>
      </c>
      <c r="AR7718" s="747">
        <v>2</v>
      </c>
      <c r="AS7718" s="751">
        <v>369.28</v>
      </c>
    </row>
    <row r="7719" spans="1:45" s="520" customFormat="1" ht="39.9" customHeight="1">
      <c r="A7719" s="748"/>
      <c r="B7719"/>
      <c r="C7719" s="748"/>
      <c r="D7719" s="1451" t="s">
        <v>382</v>
      </c>
      <c r="E7719" s="1452"/>
      <c r="F7719" s="1452"/>
      <c r="G7719" s="1452"/>
      <c r="H7719" s="1452"/>
      <c r="I7719" s="1452"/>
      <c r="J7719" s="1452"/>
      <c r="K7719" s="1452"/>
      <c r="L7719" s="1452"/>
      <c r="M7719" s="1452"/>
      <c r="N7719" s="1452"/>
      <c r="O7719" s="1452"/>
      <c r="P7719" s="1452"/>
      <c r="Q7719" s="1452"/>
      <c r="R7719" s="1452"/>
      <c r="S7719" s="1452"/>
      <c r="T7719" s="1452"/>
      <c r="AR7719" s="748"/>
    </row>
    <row r="7720" spans="1:45" s="901" customFormat="1" ht="13.2">
      <c r="A7720" s="116">
        <v>14</v>
      </c>
      <c r="B7720" s="901" t="s">
        <v>141</v>
      </c>
      <c r="D7720" s="901" t="s">
        <v>3698</v>
      </c>
      <c r="G7720" s="941" t="s">
        <v>3061</v>
      </c>
      <c r="H7720" s="942">
        <v>880</v>
      </c>
      <c r="I7720" s="901" t="s">
        <v>2607</v>
      </c>
      <c r="O7720" s="943">
        <v>3</v>
      </c>
      <c r="P7720" s="944">
        <v>36220</v>
      </c>
      <c r="Q7720" s="945">
        <v>8</v>
      </c>
      <c r="R7720" s="946">
        <f>$A7720*Q7720</f>
        <v>112</v>
      </c>
      <c r="S7720" s="945">
        <v>0.25</v>
      </c>
      <c r="T7720" s="947">
        <f>$A7720*S7720*$T$1</f>
        <v>3.15</v>
      </c>
      <c r="AR7720" s="116">
        <v>14</v>
      </c>
    </row>
    <row r="7721" spans="1:45" s="901" customFormat="1" ht="13.2">
      <c r="A7721" s="116">
        <v>1</v>
      </c>
      <c r="B7721" s="901" t="s">
        <v>141</v>
      </c>
      <c r="D7721" s="901" t="s">
        <v>3063</v>
      </c>
      <c r="G7721" s="941" t="s">
        <v>3062</v>
      </c>
      <c r="H7721" s="942">
        <v>880</v>
      </c>
      <c r="I7721" s="901" t="s">
        <v>2607</v>
      </c>
      <c r="O7721" s="943">
        <v>3</v>
      </c>
      <c r="P7721" s="944"/>
      <c r="Q7721" s="945">
        <v>10</v>
      </c>
      <c r="R7721" s="946">
        <f>$A7721*Q7721</f>
        <v>10</v>
      </c>
      <c r="S7721" s="945">
        <v>0.25</v>
      </c>
      <c r="T7721" s="947">
        <f>$A7721*S7721*$T$1</f>
        <v>0.22500000000000001</v>
      </c>
      <c r="AR7721" s="116">
        <v>1</v>
      </c>
    </row>
    <row r="7722" spans="1:45" s="901" customFormat="1" ht="13.2">
      <c r="A7722" s="116">
        <v>1</v>
      </c>
      <c r="B7722" s="901" t="s">
        <v>141</v>
      </c>
      <c r="D7722" s="901" t="s">
        <v>3064</v>
      </c>
      <c r="G7722" s="941" t="s">
        <v>3065</v>
      </c>
      <c r="H7722" s="942">
        <v>880</v>
      </c>
      <c r="I7722" s="901" t="s">
        <v>2607</v>
      </c>
      <c r="O7722" s="943">
        <v>3</v>
      </c>
      <c r="P7722" s="944"/>
      <c r="Q7722" s="945">
        <v>20</v>
      </c>
      <c r="R7722" s="946">
        <f>$A7722*Q7722</f>
        <v>20</v>
      </c>
      <c r="S7722" s="945">
        <v>2</v>
      </c>
      <c r="T7722" s="947">
        <f>$A7722*S7722*$T$1</f>
        <v>1.8</v>
      </c>
      <c r="AR7722" s="116">
        <v>1</v>
      </c>
    </row>
    <row r="7723" spans="1:45" s="520" customFormat="1" ht="12">
      <c r="A7723" s="758"/>
      <c r="B7723" s="758"/>
      <c r="C7723" s="758"/>
      <c r="D7723" s="758"/>
      <c r="E7723" s="758"/>
      <c r="F7723" s="753"/>
      <c r="G7723" s="758"/>
      <c r="H7723" s="758"/>
      <c r="I7723" s="519"/>
      <c r="J7723" s="758"/>
      <c r="K7723" s="758"/>
      <c r="L7723" s="758"/>
      <c r="M7723" s="758"/>
      <c r="N7723" s="758"/>
      <c r="O7723" s="758"/>
      <c r="P7723" s="758"/>
      <c r="Q7723" s="519"/>
      <c r="R7723" s="759">
        <f t="shared" ref="R7723" si="758">$A7723*Q7723</f>
        <v>0</v>
      </c>
      <c r="S7723" s="519"/>
      <c r="T7723" s="760">
        <f t="shared" ref="T7723" si="759">$A7723*S7723*$T$1</f>
        <v>0</v>
      </c>
      <c r="AR7723" s="758"/>
      <c r="AS7723" s="753"/>
    </row>
    <row r="7724" spans="1:45" s="520" customFormat="1" ht="12.6" thickBot="1">
      <c r="A7724" s="761" t="s">
        <v>145</v>
      </c>
      <c r="B7724" s="762">
        <f>(R7723+T7723)</f>
        <v>0</v>
      </c>
      <c r="C7724" s="763"/>
      <c r="D7724" s="763"/>
      <c r="E7724" s="763"/>
      <c r="F7724" s="764"/>
      <c r="G7724" s="763" t="s">
        <v>146</v>
      </c>
      <c r="H7724" s="763"/>
      <c r="I7724" s="765"/>
      <c r="J7724" s="763"/>
      <c r="K7724" s="763" t="s">
        <v>3</v>
      </c>
      <c r="L7724" s="766" t="s">
        <v>143</v>
      </c>
      <c r="M7724" s="766"/>
      <c r="N7724" s="766"/>
      <c r="O7724" s="766"/>
      <c r="P7724" s="766"/>
      <c r="Q7724" s="767"/>
      <c r="R7724" s="768">
        <f>SUM(R7719:R7723)</f>
        <v>142</v>
      </c>
      <c r="S7724" s="763"/>
      <c r="T7724" s="768">
        <f>SUM(T7719:T7723)</f>
        <v>5.1749999999999998</v>
      </c>
      <c r="U7724" s="531"/>
      <c r="V7724" s="531"/>
      <c r="W7724" s="531"/>
      <c r="X7724" s="531"/>
      <c r="Y7724" s="531"/>
      <c r="Z7724" s="531"/>
      <c r="AA7724" s="531"/>
      <c r="AB7724" s="531"/>
      <c r="AC7724" s="531"/>
      <c r="AD7724" s="531"/>
      <c r="AE7724" s="531"/>
      <c r="AF7724" s="531"/>
      <c r="AG7724" s="531"/>
      <c r="AH7724" s="531"/>
      <c r="AI7724" s="531"/>
      <c r="AJ7724" s="531"/>
      <c r="AK7724" s="531"/>
      <c r="AL7724" s="531"/>
      <c r="AM7724" s="531"/>
      <c r="AN7724" s="531"/>
      <c r="AO7724" s="531"/>
      <c r="AR7724" s="761" t="s">
        <v>145</v>
      </c>
      <c r="AS7724" s="764"/>
    </row>
    <row r="7725" spans="1:45" s="520" customFormat="1" ht="12" thickTop="1">
      <c r="A7725" s="48" t="s">
        <v>148</v>
      </c>
      <c r="D7725" s="13"/>
      <c r="E7725" s="42"/>
      <c r="O7725" s="771"/>
      <c r="AR7725" s="48" t="s">
        <v>148</v>
      </c>
    </row>
    <row r="7726" spans="1:45" s="520" customFormat="1" ht="13.2">
      <c r="B7726" s="3"/>
      <c r="O7726" s="771"/>
    </row>
    <row r="7727" spans="1:45" s="520" customFormat="1" ht="12">
      <c r="B7727" s="772">
        <f>$F7727/$C$2-($R7727*$S$2+$T7727*$T$2)</f>
        <v>-505.39824599199892</v>
      </c>
      <c r="D7727" s="773" t="s">
        <v>3646</v>
      </c>
      <c r="E7727" s="774"/>
      <c r="F7727" s="775">
        <f>SUMIF($L7625:$L7725,"ITEM",F7625:F7725)</f>
        <v>5875.3100000000013</v>
      </c>
      <c r="G7727" s="758"/>
      <c r="H7727" s="758"/>
      <c r="I7727" s="519"/>
      <c r="J7727" s="758"/>
      <c r="K7727" s="758"/>
      <c r="L7727" s="755" t="s">
        <v>157</v>
      </c>
      <c r="M7727" s="755"/>
      <c r="N7727" s="755"/>
      <c r="O7727" s="755"/>
      <c r="P7727" s="755"/>
      <c r="R7727" s="775">
        <f>SUMIF($L7625:$L7725,"ITEM",R7625:R7725)</f>
        <v>5039.8</v>
      </c>
      <c r="S7727" s="776"/>
      <c r="T7727" s="775">
        <f>SUMIF($L7625:$L7725,"ITEM",T7625:T7725)</f>
        <v>5.1749999999999998</v>
      </c>
      <c r="AS7727" s="775">
        <v>6205.44</v>
      </c>
    </row>
    <row r="7728" spans="1:45" s="520" customFormat="1" ht="13.2">
      <c r="A7728" s="51"/>
      <c r="B7728" s="49" t="s">
        <v>1064</v>
      </c>
      <c r="C7728" s="51"/>
      <c r="D7728" s="3"/>
      <c r="F7728" s="777" t="s">
        <v>158</v>
      </c>
      <c r="G7728" s="758"/>
      <c r="H7728" s="758"/>
      <c r="I7728" s="519"/>
      <c r="J7728" s="758"/>
      <c r="K7728" s="758"/>
      <c r="L7728" s="758"/>
      <c r="M7728" s="758"/>
      <c r="N7728" s="758"/>
      <c r="O7728" s="758"/>
      <c r="P7728" s="758"/>
      <c r="Q7728" s="778"/>
      <c r="R7728" s="777" t="s">
        <v>159</v>
      </c>
      <c r="S7728" s="38"/>
      <c r="T7728" s="777" t="s">
        <v>160</v>
      </c>
      <c r="AR7728" s="51"/>
      <c r="AS7728" s="777" t="s">
        <v>158</v>
      </c>
    </row>
    <row r="7729" spans="1:45" s="520" customFormat="1" ht="13.2">
      <c r="A7729" s="758"/>
      <c r="B7729" s="3"/>
      <c r="C7729" s="758"/>
      <c r="D7729" s="3"/>
      <c r="E7729" s="3"/>
      <c r="G7729" s="3"/>
      <c r="H7729" s="3"/>
      <c r="I7729" s="3"/>
      <c r="J7729" s="3"/>
      <c r="K7729" s="3"/>
      <c r="L7729" s="3"/>
      <c r="M7729" s="3"/>
      <c r="N7729" s="3"/>
      <c r="O7729" s="107"/>
      <c r="P7729" s="3"/>
      <c r="Q7729" s="3"/>
      <c r="R7729" s="3"/>
      <c r="S7729" s="3"/>
      <c r="T7729" s="3"/>
      <c r="AR7729" s="758"/>
    </row>
    <row r="7730" spans="1:45" s="520" customFormat="1" ht="12" thickBot="1">
      <c r="A7730" s="531"/>
      <c r="B7730" s="763"/>
      <c r="C7730" s="763"/>
      <c r="D7730" s="531"/>
      <c r="E7730" s="39"/>
      <c r="F7730" s="779"/>
      <c r="G7730" s="763"/>
      <c r="H7730" s="763"/>
      <c r="I7730" s="765"/>
      <c r="J7730" s="763"/>
      <c r="K7730" s="763"/>
      <c r="L7730" s="766"/>
      <c r="M7730" s="766"/>
      <c r="N7730" s="766"/>
      <c r="O7730" s="766"/>
      <c r="P7730" s="766"/>
      <c r="Q7730" s="767"/>
      <c r="R7730" s="779"/>
      <c r="S7730" s="780"/>
      <c r="T7730" s="779"/>
      <c r="U7730" s="531"/>
      <c r="V7730" s="531"/>
      <c r="W7730" s="531"/>
      <c r="X7730" s="531"/>
      <c r="Y7730" s="531"/>
      <c r="Z7730" s="531"/>
      <c r="AA7730" s="531"/>
      <c r="AB7730" s="531"/>
      <c r="AC7730" s="531"/>
      <c r="AD7730" s="531"/>
      <c r="AE7730" s="531"/>
      <c r="AF7730" s="531"/>
      <c r="AG7730" s="531"/>
      <c r="AH7730" s="531"/>
      <c r="AI7730" s="531"/>
      <c r="AJ7730" s="531"/>
      <c r="AK7730" s="531"/>
      <c r="AR7730" s="531"/>
      <c r="AS7730" s="779"/>
    </row>
    <row r="7731" spans="1:45" s="520" customFormat="1" thickTop="1">
      <c r="A7731" s="48" t="s">
        <v>148</v>
      </c>
      <c r="B7731" s="3"/>
      <c r="C7731" s="51"/>
      <c r="D7731" s="51"/>
      <c r="E7731" s="51"/>
      <c r="F7731" s="51"/>
      <c r="G7731" s="51"/>
      <c r="H7731" s="51"/>
      <c r="I7731" s="51"/>
      <c r="J7731" s="51"/>
      <c r="K7731" s="51"/>
      <c r="L7731" s="51"/>
      <c r="M7731" s="51"/>
      <c r="N7731" s="51"/>
      <c r="O7731" s="52"/>
      <c r="P7731" s="51"/>
      <c r="Q7731" s="51"/>
      <c r="R7731" s="51"/>
      <c r="S7731" s="51"/>
      <c r="T7731" s="51"/>
      <c r="AR7731" s="48" t="s">
        <v>148</v>
      </c>
      <c r="AS7731" s="51"/>
    </row>
    <row r="7732" spans="1:45" s="520" customFormat="1" ht="13.2">
      <c r="A7732" s="51"/>
      <c r="B7732" s="3"/>
      <c r="C7732" s="3"/>
      <c r="E7732" s="3"/>
      <c r="F7732" s="3"/>
      <c r="G7732" s="3"/>
      <c r="H7732" s="3"/>
      <c r="I7732" s="3"/>
      <c r="J7732" s="3"/>
      <c r="K7732" s="3"/>
      <c r="L7732" s="3"/>
      <c r="M7732" s="3"/>
      <c r="N7732" s="3"/>
      <c r="O7732" s="107"/>
      <c r="P7732" s="3"/>
      <c r="Q7732" s="3"/>
      <c r="R7732" s="3"/>
      <c r="S7732" s="3"/>
      <c r="T7732" s="3"/>
      <c r="AR7732" s="51"/>
      <c r="AS7732" s="3"/>
    </row>
    <row r="7733" spans="1:45" s="520" customFormat="1" ht="12">
      <c r="A7733" s="51"/>
      <c r="B7733" s="772">
        <f ca="1">$F7733/$C$2-($R7733*$S$2+$T7733*$T$2)</f>
        <v>-3592.4166574560513</v>
      </c>
      <c r="C7733" s="51"/>
      <c r="D7733" s="121" t="s">
        <v>1022</v>
      </c>
      <c r="E7733" s="774"/>
      <c r="F7733" s="782">
        <f ca="1">SUMIF($L6638:$L7731,"PAGE",F6638:F7731)</f>
        <v>84169.579999999987</v>
      </c>
      <c r="G7733" s="758"/>
      <c r="H7733" s="758"/>
      <c r="I7733" s="519"/>
      <c r="J7733" s="758"/>
      <c r="K7733" s="758"/>
      <c r="L7733" s="121" t="s">
        <v>1075</v>
      </c>
      <c r="M7733" s="121"/>
      <c r="N7733" s="121"/>
      <c r="O7733" s="122"/>
      <c r="P7733" s="121"/>
      <c r="Q7733" s="51"/>
      <c r="R7733" s="782">
        <f ca="1">SUMIF($L6638:$L7731,"PAGE",R6638:R7731)</f>
        <v>58033.444909420294</v>
      </c>
      <c r="S7733" s="51"/>
      <c r="T7733" s="782">
        <f ca="1">SUMIF($L6638:$L7731,"PAGE",T6638:T7731)</f>
        <v>482.15195652173901</v>
      </c>
      <c r="AR7733" s="51"/>
      <c r="AS7733" s="782">
        <v>101298.06999999998</v>
      </c>
    </row>
    <row r="7734" spans="1:45" s="520" customFormat="1" ht="12">
      <c r="A7734" s="51"/>
      <c r="B7734" s="49" t="s">
        <v>1064</v>
      </c>
      <c r="C7734" s="51"/>
      <c r="D7734" s="781"/>
      <c r="F7734" s="783" t="s">
        <v>1076</v>
      </c>
      <c r="G7734" s="758"/>
      <c r="H7734" s="758"/>
      <c r="I7734" s="519"/>
      <c r="J7734" s="758"/>
      <c r="K7734" s="758"/>
      <c r="L7734" s="51"/>
      <c r="M7734" s="51"/>
      <c r="N7734" s="51"/>
      <c r="O7734" s="52"/>
      <c r="P7734" s="51"/>
      <c r="Q7734" s="51"/>
      <c r="R7734" s="783" t="s">
        <v>1077</v>
      </c>
      <c r="S7734" s="38"/>
      <c r="T7734" s="783" t="s">
        <v>1078</v>
      </c>
      <c r="AR7734" s="51"/>
      <c r="AS7734" s="783" t="s">
        <v>1076</v>
      </c>
    </row>
    <row r="7735" spans="1:45" s="520" customFormat="1" ht="11.4">
      <c r="O7735" s="771"/>
    </row>
    <row r="7736" spans="1:45" s="520" customFormat="1" ht="12" thickBot="1">
      <c r="A7736" s="763"/>
      <c r="B7736" s="763"/>
      <c r="C7736" s="763"/>
      <c r="D7736" s="763"/>
      <c r="E7736" s="763"/>
      <c r="F7736" s="39"/>
      <c r="G7736" s="531"/>
      <c r="H7736" s="531"/>
      <c r="I7736" s="531"/>
      <c r="J7736" s="531"/>
      <c r="K7736" s="531"/>
      <c r="L7736" s="763"/>
      <c r="M7736" s="763"/>
      <c r="N7736" s="763"/>
      <c r="O7736" s="763"/>
      <c r="P7736" s="763"/>
      <c r="Q7736" s="767"/>
      <c r="R7736" s="39"/>
      <c r="S7736" s="39"/>
      <c r="T7736" s="39"/>
      <c r="U7736" s="531"/>
      <c r="V7736" s="531"/>
      <c r="W7736" s="531"/>
      <c r="X7736" s="531"/>
      <c r="Y7736" s="531"/>
      <c r="Z7736" s="531"/>
      <c r="AA7736" s="531"/>
      <c r="AB7736" s="531"/>
      <c r="AC7736" s="531"/>
      <c r="AD7736" s="531"/>
      <c r="AE7736" s="531"/>
      <c r="AF7736" s="531"/>
      <c r="AG7736" s="531"/>
      <c r="AH7736" s="531"/>
      <c r="AI7736" s="531"/>
      <c r="AJ7736" s="531"/>
      <c r="AK7736" s="531"/>
      <c r="AR7736" s="763"/>
      <c r="AS7736" s="39"/>
    </row>
    <row r="7737" spans="1:45" s="520" customFormat="1" thickTop="1">
      <c r="A7737" s="51"/>
      <c r="B7737" s="51"/>
      <c r="C7737" s="3"/>
      <c r="D7737" s="3"/>
      <c r="E7737" s="51"/>
      <c r="F7737" s="51"/>
      <c r="G7737" s="51"/>
      <c r="H7737" s="51"/>
      <c r="I7737" s="51"/>
      <c r="J7737" s="51"/>
      <c r="K7737" s="51" t="s">
        <v>134</v>
      </c>
      <c r="L7737" s="51"/>
      <c r="M7737" s="51"/>
      <c r="N7737" s="51"/>
      <c r="O7737" s="52"/>
      <c r="P7737" s="51"/>
      <c r="Q7737" s="51"/>
      <c r="R7737" s="51"/>
      <c r="S7737" s="51"/>
      <c r="T7737" s="51"/>
      <c r="AR7737" s="51"/>
      <c r="AS7737" s="51"/>
    </row>
    <row r="7738" spans="1:45" s="520" customFormat="1" ht="12">
      <c r="A7738" s="51"/>
      <c r="B7738" s="51"/>
      <c r="C7738" s="51" t="s">
        <v>135</v>
      </c>
      <c r="D7738" s="37" t="s">
        <v>2027</v>
      </c>
      <c r="E7738" s="51"/>
      <c r="F7738" s="51"/>
      <c r="G7738" s="51"/>
      <c r="H7738" s="51"/>
      <c r="I7738" s="51"/>
      <c r="J7738" s="51"/>
      <c r="K7738" s="51"/>
      <c r="L7738" s="51"/>
      <c r="M7738" s="51"/>
      <c r="N7738" s="51"/>
      <c r="O7738" s="52"/>
      <c r="P7738" s="51"/>
      <c r="Q7738" s="51"/>
      <c r="R7738" s="51"/>
      <c r="S7738" s="51"/>
      <c r="T7738" s="51"/>
      <c r="AR7738" s="51"/>
      <c r="AS7738" s="51"/>
    </row>
    <row r="7739" spans="1:45" s="520" customFormat="1" ht="12">
      <c r="A7739" s="51"/>
      <c r="B7739" s="51"/>
      <c r="C7739" s="51"/>
      <c r="D7739" s="37" t="s">
        <v>1024</v>
      </c>
      <c r="E7739" s="51"/>
      <c r="F7739" s="904" t="s">
        <v>3505</v>
      </c>
      <c r="G7739" s="51"/>
      <c r="H7739" s="51"/>
      <c r="I7739" s="51"/>
      <c r="J7739" s="51"/>
      <c r="K7739" s="51"/>
      <c r="L7739" s="51"/>
      <c r="M7739" s="51"/>
      <c r="N7739" s="51"/>
      <c r="O7739" s="52"/>
      <c r="P7739" s="51"/>
      <c r="Q7739" s="51"/>
      <c r="R7739" s="51"/>
      <c r="S7739" s="38"/>
      <c r="T7739" s="38"/>
      <c r="AR7739" s="51"/>
      <c r="AS7739" s="904" t="s">
        <v>3505</v>
      </c>
    </row>
    <row r="7740" spans="1:45" s="3" customFormat="1" thickBot="1">
      <c r="A7740" s="531"/>
      <c r="O7740" s="107"/>
      <c r="AR7740" s="531"/>
    </row>
    <row r="7741" spans="1:45" s="520" customFormat="1" ht="12" thickTop="1">
      <c r="A7741" s="51"/>
      <c r="B7741" s="41"/>
      <c r="C7741" s="51"/>
      <c r="E7741" s="42" t="s">
        <v>138</v>
      </c>
      <c r="F7741" s="42" t="s">
        <v>139</v>
      </c>
      <c r="G7741" s="51"/>
      <c r="H7741" s="51"/>
      <c r="I7741" s="51"/>
      <c r="J7741" s="51"/>
      <c r="K7741" s="51" t="s">
        <v>140</v>
      </c>
      <c r="L7741" s="51"/>
      <c r="M7741" s="51"/>
      <c r="N7741" s="51"/>
      <c r="O7741" s="52"/>
      <c r="P7741" s="51"/>
      <c r="Q7741" s="51"/>
      <c r="R7741" s="51"/>
      <c r="S7741" s="51"/>
      <c r="T7741" s="41"/>
      <c r="AG7741" s="521" t="s">
        <v>268</v>
      </c>
      <c r="AH7741" s="521" t="s">
        <v>269</v>
      </c>
      <c r="AI7741" s="521" t="s">
        <v>270</v>
      </c>
      <c r="AJ7741" s="521" t="s">
        <v>271</v>
      </c>
      <c r="AK7741" s="521" t="s">
        <v>272</v>
      </c>
      <c r="AM7741" s="745" t="s">
        <v>281</v>
      </c>
      <c r="AN7741" s="746" t="s">
        <v>282</v>
      </c>
      <c r="AO7741" s="522" t="s">
        <v>278</v>
      </c>
      <c r="AR7741" s="51"/>
      <c r="AS7741" s="42" t="s">
        <v>139</v>
      </c>
    </row>
    <row r="7742" spans="1:45" s="520" customFormat="1" ht="12" customHeight="1">
      <c r="A7742" s="747">
        <v>1050</v>
      </c>
      <c r="B7742" s="523" t="s">
        <v>320</v>
      </c>
      <c r="C7742" s="748"/>
      <c r="D7742" s="749" t="s">
        <v>2028</v>
      </c>
      <c r="E7742" s="1164">
        <f>IF(AND($A7742=0,$A$1="DIF"),0, ROUND(ROUND(($R7746*$S$4+($T7746*$T$4))/$A7742,2)*$C$4,2))</f>
        <v>20.07</v>
      </c>
      <c r="F7742" s="1165">
        <f>ROUND($A7742*$E7742,2)</f>
        <v>21073.5</v>
      </c>
      <c r="G7742" s="752" t="s">
        <v>142</v>
      </c>
      <c r="H7742" s="753"/>
      <c r="I7742" s="754"/>
      <c r="J7742" s="753"/>
      <c r="K7742" s="753" t="s">
        <v>8</v>
      </c>
      <c r="L7742" s="755" t="s">
        <v>143</v>
      </c>
      <c r="M7742" s="755"/>
      <c r="N7742" s="755"/>
      <c r="O7742" s="755"/>
      <c r="P7742" s="755"/>
      <c r="Q7742" s="51"/>
      <c r="T7742" s="1169" t="str">
        <f>IF(AND($R7746=0,$T7746=0),"0.00","mu: "&amp; ROUND(F7742/$C$4/($R7746+$T7746*$D$9),2))</f>
        <v>mu: 1.13</v>
      </c>
      <c r="W7742" s="524"/>
      <c r="AG7742" s="1166">
        <f>IF($E7742=0,0,ROUND($R7746*$S$4*$C$4/$A7742,2))</f>
        <v>20.07</v>
      </c>
      <c r="AH7742" s="1166">
        <f>$AG7742*$A7742</f>
        <v>21073.5</v>
      </c>
      <c r="AI7742" s="1167">
        <f>$E7742-$AG7742</f>
        <v>0</v>
      </c>
      <c r="AJ7742" s="1167">
        <f>$A7742*$AI7742</f>
        <v>0</v>
      </c>
      <c r="AK7742" s="1168">
        <f>ROUND(($AG7742+$AI7742)*$A7742,2)</f>
        <v>21073.5</v>
      </c>
      <c r="AM7742" s="527">
        <f>ROUND(R7746,2)</f>
        <v>18669</v>
      </c>
      <c r="AN7742" s="528">
        <f>ROUND(T7746,2)</f>
        <v>0</v>
      </c>
      <c r="AO7742" s="529">
        <f>ROUND(AM7742+AN7742,2)*A7742</f>
        <v>19602450</v>
      </c>
      <c r="AR7742" s="747">
        <v>1050</v>
      </c>
      <c r="AS7742" s="1165">
        <v>21073.5</v>
      </c>
    </row>
    <row r="7743" spans="1:45" s="520" customFormat="1" ht="39.9" customHeight="1">
      <c r="A7743" s="748"/>
      <c r="B7743"/>
      <c r="C7743" s="748"/>
      <c r="D7743" s="1451" t="s">
        <v>1025</v>
      </c>
      <c r="E7743" s="1452"/>
      <c r="F7743" s="1452"/>
      <c r="G7743" s="1452"/>
      <c r="H7743" s="1452"/>
      <c r="I7743" s="1452"/>
      <c r="J7743" s="1452"/>
      <c r="K7743" s="1452"/>
      <c r="L7743" s="1452"/>
      <c r="M7743" s="1452"/>
      <c r="N7743" s="1452"/>
      <c r="O7743" s="1452"/>
      <c r="P7743" s="1452"/>
      <c r="Q7743" s="1452"/>
      <c r="R7743" s="1452"/>
      <c r="S7743" s="1452"/>
      <c r="T7743" s="1452"/>
      <c r="AR7743" s="748"/>
    </row>
    <row r="7744" spans="1:45" s="901" customFormat="1" ht="13.2">
      <c r="A7744" s="903">
        <v>1050</v>
      </c>
      <c r="B7744" s="904" t="s">
        <v>863</v>
      </c>
      <c r="C7744" s="904"/>
      <c r="D7744" s="904" t="s">
        <v>2594</v>
      </c>
      <c r="E7744" s="904"/>
      <c r="F7744" s="904" t="s">
        <v>3505</v>
      </c>
      <c r="G7744" s="905" t="s">
        <v>2595</v>
      </c>
      <c r="H7744" s="902">
        <v>960</v>
      </c>
      <c r="I7744" s="904" t="s">
        <v>2596</v>
      </c>
      <c r="J7744" s="904"/>
      <c r="K7744" s="904"/>
      <c r="L7744" s="904"/>
      <c r="M7744" s="904"/>
      <c r="N7744" s="904"/>
      <c r="O7744" s="902">
        <v>4</v>
      </c>
      <c r="P7744" s="906">
        <v>38274</v>
      </c>
      <c r="Q7744" s="907">
        <v>17.78</v>
      </c>
      <c r="R7744" s="908">
        <f>$A7744*Q7744</f>
        <v>18669</v>
      </c>
      <c r="S7744" s="907"/>
      <c r="T7744" s="909">
        <f>$A7744*S7744*$T$1</f>
        <v>0</v>
      </c>
      <c r="AR7744" s="903">
        <v>1050</v>
      </c>
      <c r="AS7744" s="904" t="s">
        <v>3505</v>
      </c>
    </row>
    <row r="7745" spans="1:45" s="520" customFormat="1" ht="12">
      <c r="A7745" s="758"/>
      <c r="B7745" s="758"/>
      <c r="C7745" s="758"/>
      <c r="D7745" s="758"/>
      <c r="E7745" s="758"/>
      <c r="F7745" s="753"/>
      <c r="G7745" s="758"/>
      <c r="H7745" s="758"/>
      <c r="I7745" s="519"/>
      <c r="J7745" s="758"/>
      <c r="K7745" s="758"/>
      <c r="L7745" s="758"/>
      <c r="M7745" s="758"/>
      <c r="N7745" s="758"/>
      <c r="O7745" s="758"/>
      <c r="P7745" s="758"/>
      <c r="Q7745" s="519"/>
      <c r="R7745" s="759">
        <f t="shared" ref="R7745" si="760">$A7745*Q7745</f>
        <v>0</v>
      </c>
      <c r="S7745" s="519"/>
      <c r="T7745" s="760">
        <f t="shared" ref="T7745" si="761">$A7745*S7745*$T$1</f>
        <v>0</v>
      </c>
      <c r="AR7745" s="758"/>
      <c r="AS7745" s="753"/>
    </row>
    <row r="7746" spans="1:45" s="520" customFormat="1" ht="12.6" thickBot="1">
      <c r="A7746" s="761" t="s">
        <v>145</v>
      </c>
      <c r="B7746" s="762">
        <f>(R7745+T7745)</f>
        <v>0</v>
      </c>
      <c r="C7746" s="763"/>
      <c r="D7746" s="763"/>
      <c r="E7746" s="763"/>
      <c r="F7746" s="764"/>
      <c r="G7746" s="763" t="s">
        <v>146</v>
      </c>
      <c r="H7746" s="763"/>
      <c r="I7746" s="765"/>
      <c r="J7746" s="763"/>
      <c r="K7746" s="763" t="s">
        <v>8</v>
      </c>
      <c r="L7746" s="766" t="s">
        <v>143</v>
      </c>
      <c r="M7746" s="766"/>
      <c r="N7746" s="766"/>
      <c r="O7746" s="766"/>
      <c r="P7746" s="766"/>
      <c r="Q7746" s="767"/>
      <c r="R7746" s="768">
        <f>SUM(R7743:R7745)</f>
        <v>18669</v>
      </c>
      <c r="S7746" s="763"/>
      <c r="T7746" s="768">
        <f>SUM(T7743:T7745)</f>
        <v>0</v>
      </c>
      <c r="U7746" s="531"/>
      <c r="V7746" s="531"/>
      <c r="W7746" s="531"/>
      <c r="X7746" s="531"/>
      <c r="Y7746" s="531"/>
      <c r="Z7746" s="531"/>
      <c r="AA7746" s="531"/>
      <c r="AB7746" s="531"/>
      <c r="AC7746" s="531"/>
      <c r="AD7746" s="531"/>
      <c r="AE7746" s="531"/>
      <c r="AF7746" s="531"/>
      <c r="AG7746" s="531"/>
      <c r="AH7746" s="531"/>
      <c r="AI7746" s="531"/>
      <c r="AJ7746" s="531"/>
      <c r="AK7746" s="531"/>
      <c r="AL7746" s="531"/>
      <c r="AM7746" s="531"/>
      <c r="AN7746" s="531"/>
      <c r="AO7746" s="531"/>
      <c r="AR7746" s="761" t="s">
        <v>145</v>
      </c>
      <c r="AS7746" s="764"/>
    </row>
    <row r="7747" spans="1:45" s="520" customFormat="1" thickTop="1">
      <c r="A7747" s="51"/>
      <c r="B7747" s="41"/>
      <c r="C7747" s="51"/>
      <c r="E7747" s="42" t="s">
        <v>138</v>
      </c>
      <c r="F7747" s="42" t="s">
        <v>139</v>
      </c>
      <c r="G7747" s="51"/>
      <c r="H7747" s="51"/>
      <c r="I7747" s="51"/>
      <c r="J7747" s="51"/>
      <c r="K7747" s="51" t="s">
        <v>140</v>
      </c>
      <c r="L7747" s="785"/>
      <c r="M7747" s="51"/>
      <c r="N7747" s="51"/>
      <c r="O7747" s="52"/>
      <c r="P7747" s="51"/>
      <c r="Q7747"/>
      <c r="R7747"/>
      <c r="S7747"/>
      <c r="T7747" s="41"/>
      <c r="AG7747" s="521" t="s">
        <v>268</v>
      </c>
      <c r="AH7747" s="521" t="s">
        <v>269</v>
      </c>
      <c r="AI7747" s="521" t="s">
        <v>270</v>
      </c>
      <c r="AJ7747" s="521" t="s">
        <v>271</v>
      </c>
      <c r="AK7747" s="521" t="s">
        <v>272</v>
      </c>
      <c r="AM7747" s="745" t="s">
        <v>281</v>
      </c>
      <c r="AN7747" s="746" t="s">
        <v>282</v>
      </c>
      <c r="AO7747" s="522" t="s">
        <v>278</v>
      </c>
      <c r="AR7747" s="51"/>
      <c r="AS7747" s="42" t="s">
        <v>139</v>
      </c>
    </row>
    <row r="7748" spans="1:45" s="520" customFormat="1" ht="13.2">
      <c r="A7748" s="747">
        <v>650</v>
      </c>
      <c r="B7748" s="523" t="s">
        <v>320</v>
      </c>
      <c r="C7748" s="748"/>
      <c r="D7748" s="749" t="s">
        <v>2029</v>
      </c>
      <c r="E7748" s="786">
        <f>IF(AND($A7748=0,$A$1="DIF"),0, ROUND(ROUND(SUMIF($L7750:$L7758,"SUBI",$E7750:$E7758)/$A7748,2)*$C$12,2))</f>
        <v>25.66</v>
      </c>
      <c r="F7748" s="787">
        <f>ROUND($A7748*$E7748,2)</f>
        <v>16679</v>
      </c>
      <c r="G7748" s="752" t="s">
        <v>142</v>
      </c>
      <c r="H7748" s="753"/>
      <c r="I7748" s="754"/>
      <c r="J7748" s="753"/>
      <c r="K7748" s="788"/>
      <c r="L7748" s="789" t="s">
        <v>143</v>
      </c>
      <c r="M7748" s="755"/>
      <c r="N7748" s="755"/>
      <c r="O7748" s="755"/>
      <c r="P7748" s="755"/>
      <c r="Q7748"/>
      <c r="R7748"/>
      <c r="S7748"/>
      <c r="T7748" s="790" t="str">
        <f>IF(AND($R7763=0,$T7763=0),"0.00","mu :" &amp; ROUND($F7748/$C$12/($R7763+$T7763*$D$9),2))</f>
        <v>mu :1.14</v>
      </c>
      <c r="W7748" s="524"/>
      <c r="AG7748" s="791">
        <f>IF(A7748=0,0,ROUND(SUM(AG7750:AG7763)/A7748,2))</f>
        <v>25.66</v>
      </c>
      <c r="AH7748" s="791">
        <f>$AG7748*$A7748</f>
        <v>16679</v>
      </c>
      <c r="AI7748" s="791">
        <f>$E7748-$AG7748</f>
        <v>0</v>
      </c>
      <c r="AJ7748" s="791">
        <f>$A7748*$AI7748</f>
        <v>0</v>
      </c>
      <c r="AK7748" s="792">
        <f>ROUND(($AG7748+$AI7748)*$A7748,2)</f>
        <v>16679</v>
      </c>
      <c r="AM7748" s="527">
        <f>ROUND(R7763,2)</f>
        <v>14643.5</v>
      </c>
      <c r="AN7748" s="528">
        <f>ROUND(T7763,2)</f>
        <v>0</v>
      </c>
      <c r="AO7748" s="529">
        <f>ROUND(AM7748+AN7748,2)*A7748</f>
        <v>9518275</v>
      </c>
      <c r="AR7748" s="747">
        <v>650</v>
      </c>
      <c r="AS7748" s="787">
        <v>16679</v>
      </c>
    </row>
    <row r="7749" spans="1:45" s="520" customFormat="1" ht="20.100000000000001" customHeight="1">
      <c r="A7749" s="793"/>
      <c r="B7749" s="794"/>
      <c r="C7749" s="748"/>
      <c r="D7749" s="1451" t="s">
        <v>1026</v>
      </c>
      <c r="E7749" s="1452"/>
      <c r="F7749" s="1452"/>
      <c r="G7749" s="1452"/>
      <c r="H7749" s="1452"/>
      <c r="I7749" s="1452"/>
      <c r="J7749" s="1452"/>
      <c r="K7749" s="1452"/>
      <c r="L7749" s="1452"/>
      <c r="M7749" s="1452"/>
      <c r="N7749" s="1452"/>
      <c r="O7749" s="1452"/>
      <c r="P7749" s="1452"/>
      <c r="Q7749" s="1452"/>
      <c r="R7749" s="1452"/>
      <c r="S7749" s="1452"/>
      <c r="T7749" s="1452"/>
      <c r="AR7749" s="793"/>
    </row>
    <row r="7750" spans="1:45" s="520" customFormat="1" ht="12">
      <c r="A7750" s="795"/>
      <c r="B7750" s="796"/>
      <c r="C7750" s="758"/>
      <c r="D7750" s="753"/>
      <c r="E7750" s="797">
        <f>F7748/$C$12-SUMIF($L7747:$L7763,"SUBI",$E7747:$E7763)</f>
        <v>0.43999999999869033</v>
      </c>
      <c r="F7750" s="798" t="s">
        <v>2054</v>
      </c>
      <c r="G7750" s="799"/>
      <c r="H7750" s="799"/>
      <c r="I7750" s="800"/>
      <c r="J7750" s="799"/>
      <c r="K7750" s="799"/>
      <c r="L7750" s="801"/>
      <c r="M7750" s="802"/>
      <c r="N7750" s="802"/>
      <c r="O7750" s="802"/>
      <c r="P7750" s="802"/>
      <c r="Q7750" s="803"/>
      <c r="R7750" s="804"/>
      <c r="S7750" s="803"/>
      <c r="T7750" s="805"/>
      <c r="AR7750" s="795"/>
      <c r="AS7750" s="798" t="s">
        <v>2054</v>
      </c>
    </row>
    <row r="7751" spans="1:45" s="520" customFormat="1" ht="12" customHeight="1">
      <c r="A7751" s="806"/>
      <c r="B7751" s="807"/>
      <c r="C7751" s="808"/>
      <c r="D7751" s="808" t="str">
        <f>$F$2</f>
        <v>Electrical</v>
      </c>
      <c r="E7751" s="808">
        <f>ROUND(($R7757*$S$2 + ($T7757*$T$2)), 2)</f>
        <v>1799.61</v>
      </c>
      <c r="F7751" s="809">
        <f>$E7751*$C$12</f>
        <v>1799.61</v>
      </c>
      <c r="G7751" s="530"/>
      <c r="H7751" s="810"/>
      <c r="I7751" s="530"/>
      <c r="J7751" s="52"/>
      <c r="K7751" s="811" t="s">
        <v>3</v>
      </c>
      <c r="L7751" s="812" t="s">
        <v>2055</v>
      </c>
      <c r="M7751" s="530"/>
      <c r="N7751" s="530"/>
      <c r="O7751" s="52"/>
      <c r="P7751" s="530"/>
      <c r="Q7751" s="530"/>
      <c r="R7751"/>
      <c r="S7751"/>
      <c r="T7751"/>
      <c r="AR7751" s="806"/>
      <c r="AS7751" s="809">
        <v>1799.61</v>
      </c>
    </row>
    <row r="7752" spans="1:45" s="901" customFormat="1" ht="13.2">
      <c r="A7752" s="116">
        <v>6</v>
      </c>
      <c r="B7752" s="901" t="s">
        <v>3723</v>
      </c>
      <c r="D7752" s="901" t="s">
        <v>2752</v>
      </c>
      <c r="G7752" s="941" t="s">
        <v>2754</v>
      </c>
      <c r="H7752" s="942">
        <v>962</v>
      </c>
      <c r="I7752" s="901" t="s">
        <v>2596</v>
      </c>
      <c r="O7752" s="943">
        <v>2</v>
      </c>
      <c r="P7752" s="944">
        <v>38129</v>
      </c>
      <c r="Q7752" s="945">
        <f>120</f>
        <v>120</v>
      </c>
      <c r="R7752" s="946">
        <f>$A7752*Q7752</f>
        <v>720</v>
      </c>
      <c r="S7752" s="945"/>
      <c r="T7752" s="947">
        <f>$A7752*S7752*$T$1</f>
        <v>0</v>
      </c>
      <c r="AR7752" s="116">
        <v>6</v>
      </c>
    </row>
    <row r="7753" spans="1:45" s="901" customFormat="1" ht="13.2">
      <c r="A7753">
        <v>6</v>
      </c>
      <c r="B7753" s="901" t="s">
        <v>2755</v>
      </c>
      <c r="D7753" s="901" t="s">
        <v>3325</v>
      </c>
      <c r="F7753" s="901" t="s">
        <v>3666</v>
      </c>
      <c r="G7753" s="941" t="s">
        <v>3324</v>
      </c>
      <c r="H7753" s="942">
        <v>845</v>
      </c>
      <c r="I7753" s="901" t="s">
        <v>2607</v>
      </c>
      <c r="O7753" s="943">
        <v>3</v>
      </c>
      <c r="P7753" s="944">
        <v>39713</v>
      </c>
      <c r="Q7753" s="945">
        <f>0.41 *(25)</f>
        <v>10.25</v>
      </c>
      <c r="R7753" s="946">
        <f>$A7753*Q7753</f>
        <v>61.5</v>
      </c>
      <c r="S7753" s="945"/>
      <c r="T7753" s="947">
        <f>$A7753*S7753*$T$1</f>
        <v>0</v>
      </c>
      <c r="AR7753">
        <v>6</v>
      </c>
      <c r="AS7753" s="901" t="s">
        <v>3666</v>
      </c>
    </row>
    <row r="7754" spans="1:45" s="901" customFormat="1" ht="13.2">
      <c r="A7754" s="116">
        <v>2</v>
      </c>
      <c r="B7754" s="901" t="s">
        <v>3727</v>
      </c>
      <c r="D7754" s="901" t="s">
        <v>2752</v>
      </c>
      <c r="E7754" s="901" t="s">
        <v>3725</v>
      </c>
      <c r="G7754" s="941" t="s">
        <v>2754</v>
      </c>
      <c r="H7754" s="942">
        <v>962</v>
      </c>
      <c r="I7754" s="901" t="s">
        <v>2596</v>
      </c>
      <c r="O7754" s="943">
        <v>2</v>
      </c>
      <c r="P7754" s="944">
        <v>38129</v>
      </c>
      <c r="Q7754" s="945">
        <v>250</v>
      </c>
      <c r="R7754" s="946">
        <f>$A7754*Q7754</f>
        <v>500</v>
      </c>
      <c r="S7754" s="945"/>
      <c r="T7754" s="947">
        <f>$A7754*S7754*$T$1</f>
        <v>0</v>
      </c>
      <c r="AR7754" s="116">
        <v>2</v>
      </c>
    </row>
    <row r="7755" spans="1:45" s="901" customFormat="1" ht="13.2">
      <c r="A7755" s="116">
        <v>6</v>
      </c>
      <c r="B7755" s="901" t="s">
        <v>3723</v>
      </c>
      <c r="D7755" s="901" t="s">
        <v>2752</v>
      </c>
      <c r="E7755" s="901" t="s">
        <v>3724</v>
      </c>
      <c r="G7755" s="941" t="s">
        <v>2754</v>
      </c>
      <c r="H7755" s="942">
        <v>962</v>
      </c>
      <c r="I7755" s="901" t="s">
        <v>2596</v>
      </c>
      <c r="O7755" s="943">
        <v>2</v>
      </c>
      <c r="P7755" s="944">
        <v>38129</v>
      </c>
      <c r="Q7755" s="945">
        <v>30</v>
      </c>
      <c r="R7755" s="946">
        <f>$A7755*Q7755</f>
        <v>180</v>
      </c>
      <c r="S7755" s="945"/>
      <c r="T7755" s="947">
        <f>$A7755*S7755*$T$1</f>
        <v>0</v>
      </c>
      <c r="AR7755" s="116">
        <v>6</v>
      </c>
    </row>
    <row r="7756" spans="1:45" s="520" customFormat="1" ht="14.1" customHeight="1">
      <c r="A7756" s="813"/>
      <c r="B7756" s="530"/>
      <c r="C7756" s="530"/>
      <c r="D7756" s="530"/>
      <c r="E7756" s="530"/>
      <c r="F7756" s="530"/>
      <c r="G7756" s="530"/>
      <c r="H7756" s="810"/>
      <c r="I7756" s="530"/>
      <c r="J7756" s="52"/>
      <c r="K7756" s="815"/>
      <c r="L7756" s="816"/>
      <c r="M7756" s="530"/>
      <c r="N7756" s="530"/>
      <c r="O7756" s="52"/>
      <c r="P7756" s="530"/>
      <c r="Q7756" s="530"/>
      <c r="R7756" s="817">
        <f>$A7756*Q7756</f>
        <v>0</v>
      </c>
      <c r="S7756" s="530"/>
      <c r="T7756" s="760">
        <f>$A7756*S7756*$T$1</f>
        <v>0</v>
      </c>
      <c r="AR7756" s="813"/>
      <c r="AS7756" s="530"/>
    </row>
    <row r="7757" spans="1:45" s="520" customFormat="1" ht="12">
      <c r="A7757" s="818" t="s">
        <v>145</v>
      </c>
      <c r="B7757" s="819">
        <f>(R7756+T7756)</f>
        <v>0</v>
      </c>
      <c r="C7757" s="758"/>
      <c r="G7757" s="820"/>
      <c r="H7757" s="820"/>
      <c r="I7757" s="820"/>
      <c r="J7757" s="820"/>
      <c r="K7757" s="821" t="s">
        <v>3</v>
      </c>
      <c r="L7757" s="822" t="s">
        <v>2055</v>
      </c>
      <c r="M7757" s="820"/>
      <c r="N7757" s="820"/>
      <c r="O7757" s="820"/>
      <c r="P7757" s="820"/>
      <c r="Q7757" s="823"/>
      <c r="R7757" s="824">
        <f>SUM(R7751:R7756)</f>
        <v>1461.5</v>
      </c>
      <c r="S7757" s="825"/>
      <c r="T7757" s="824">
        <f>SUM(T7751:T7756)</f>
        <v>0</v>
      </c>
      <c r="AG7757" s="826">
        <f>ROUND($R7757*$S$2,2)</f>
        <v>1799.61</v>
      </c>
      <c r="AR7757" s="818" t="s">
        <v>145</v>
      </c>
    </row>
    <row r="7758" spans="1:45" s="520" customFormat="1" ht="12" customHeight="1">
      <c r="A7758" s="827"/>
      <c r="B7758" s="1441"/>
      <c r="C7758" s="1442"/>
      <c r="D7758" s="1442" t="str">
        <f>$F$4</f>
        <v>Lightning Protection System (MCE Ltd)</v>
      </c>
      <c r="E7758" s="1442">
        <f>ROUND(($R7761*$S$4 + ($T7761*$T$4)),2)</f>
        <v>14878.95</v>
      </c>
      <c r="F7758" s="1443">
        <f ca="1">$F7748-SUMIF($L7750:$P7752,"SUBI",$F7750:$F7752)</f>
        <v>14879.39</v>
      </c>
      <c r="G7758" s="519"/>
      <c r="H7758" s="519"/>
      <c r="I7758" s="519"/>
      <c r="J7758" s="519"/>
      <c r="K7758" s="811" t="s">
        <v>8</v>
      </c>
      <c r="L7758" s="812" t="s">
        <v>2055</v>
      </c>
      <c r="M7758" s="519"/>
      <c r="N7758" s="519"/>
      <c r="O7758" s="519"/>
      <c r="P7758" s="519"/>
      <c r="Q7758" s="519"/>
      <c r="R7758" s="831"/>
      <c r="S7758" s="519"/>
      <c r="T7758" s="831"/>
      <c r="AR7758" s="827"/>
      <c r="AS7758" s="830">
        <v>14879.39</v>
      </c>
    </row>
    <row r="7759" spans="1:45" s="901" customFormat="1" ht="13.2">
      <c r="A7759" s="903">
        <v>650</v>
      </c>
      <c r="B7759" s="904" t="s">
        <v>863</v>
      </c>
      <c r="C7759" s="904"/>
      <c r="D7759" s="904" t="s">
        <v>2594</v>
      </c>
      <c r="E7759" s="904"/>
      <c r="F7759" s="904" t="s">
        <v>3505</v>
      </c>
      <c r="G7759" s="905" t="s">
        <v>2595</v>
      </c>
      <c r="H7759" s="902">
        <v>960</v>
      </c>
      <c r="I7759" s="904" t="s">
        <v>2596</v>
      </c>
      <c r="J7759" s="904"/>
      <c r="K7759" s="904"/>
      <c r="L7759" s="904"/>
      <c r="M7759" s="904"/>
      <c r="N7759" s="904"/>
      <c r="O7759" s="902">
        <v>4</v>
      </c>
      <c r="P7759" s="906">
        <v>38274</v>
      </c>
      <c r="Q7759" s="907">
        <v>20.28</v>
      </c>
      <c r="R7759" s="908">
        <f>$A7759*Q7759</f>
        <v>13182</v>
      </c>
      <c r="S7759" s="907"/>
      <c r="T7759" s="909">
        <f>$A7759*S7759*$T$1</f>
        <v>0</v>
      </c>
      <c r="AR7759" s="903">
        <v>650</v>
      </c>
      <c r="AS7759" s="904" t="s">
        <v>3505</v>
      </c>
    </row>
    <row r="7760" spans="1:45" s="520" customFormat="1" ht="13.2">
      <c r="A7760" s="813"/>
      <c r="B7760" s="530"/>
      <c r="C7760" s="530"/>
      <c r="D7760" s="3"/>
      <c r="E7760" s="530"/>
      <c r="F7760" s="530"/>
      <c r="G7760" s="530"/>
      <c r="H7760" s="530"/>
      <c r="I7760" s="530"/>
      <c r="J7760" s="530"/>
      <c r="K7760" s="530"/>
      <c r="L7760" s="816"/>
      <c r="M7760" s="530"/>
      <c r="N7760" s="530"/>
      <c r="O7760" s="530"/>
      <c r="P7760" s="530"/>
      <c r="Q7760" s="530"/>
      <c r="R7760" s="817">
        <f>$A7760*Q7760</f>
        <v>0</v>
      </c>
      <c r="S7760" s="530"/>
      <c r="T7760" s="760">
        <f>$A7760*S7760*$T$1</f>
        <v>0</v>
      </c>
      <c r="AR7760" s="813"/>
      <c r="AS7760" s="530"/>
    </row>
    <row r="7761" spans="1:45" s="520" customFormat="1" ht="12" customHeight="1">
      <c r="A7761" s="845" t="s">
        <v>145</v>
      </c>
      <c r="B7761" s="846">
        <f>(R7760+T7760)</f>
        <v>0</v>
      </c>
      <c r="C7761" s="847"/>
      <c r="D7761" s="847"/>
      <c r="E7761" s="847"/>
      <c r="F7761" s="847"/>
      <c r="G7761" s="823"/>
      <c r="H7761" s="823"/>
      <c r="I7761" s="823"/>
      <c r="J7761" s="823"/>
      <c r="K7761" s="848" t="s">
        <v>8</v>
      </c>
      <c r="L7761" s="849" t="s">
        <v>2055</v>
      </c>
      <c r="M7761" s="823"/>
      <c r="N7761" s="823"/>
      <c r="O7761" s="823"/>
      <c r="P7761" s="823"/>
      <c r="Q7761" s="823"/>
      <c r="R7761" s="824">
        <f>SUM(R7758:R7760)</f>
        <v>13182</v>
      </c>
      <c r="S7761" s="825"/>
      <c r="T7761" s="824">
        <f>SUM(T7758:T7760)</f>
        <v>0</v>
      </c>
      <c r="AG7761" s="1444">
        <f>ROUND($R7761*$S$4,2)</f>
        <v>14878.95</v>
      </c>
      <c r="AR7761" s="845" t="s">
        <v>145</v>
      </c>
      <c r="AS7761" s="847"/>
    </row>
    <row r="7762" spans="1:45" s="520" customFormat="1" ht="12.75" customHeight="1">
      <c r="A7762" s="851"/>
      <c r="B7762" s="852"/>
      <c r="E7762" s="758"/>
      <c r="F7762" s="853"/>
      <c r="G7762" s="758"/>
      <c r="H7762" s="758"/>
      <c r="I7762" s="519"/>
      <c r="J7762" s="758"/>
      <c r="K7762" s="758"/>
      <c r="L7762" s="854"/>
      <c r="M7762" s="855"/>
      <c r="N7762" s="855"/>
      <c r="O7762" s="855"/>
      <c r="P7762" s="855"/>
      <c r="Q7762" s="778"/>
      <c r="R7762" s="831"/>
      <c r="S7762" s="758"/>
      <c r="T7762" s="831"/>
      <c r="AR7762" s="851"/>
      <c r="AS7762" s="853"/>
    </row>
    <row r="7763" spans="1:45" s="520" customFormat="1" ht="13.5" customHeight="1" thickBot="1">
      <c r="A7763" s="856"/>
      <c r="B7763" s="857"/>
      <c r="C7763" s="531"/>
      <c r="D7763" s="531"/>
      <c r="E7763" s="763"/>
      <c r="F7763" s="764"/>
      <c r="G7763" s="763" t="s">
        <v>146</v>
      </c>
      <c r="H7763" s="763"/>
      <c r="I7763" s="765"/>
      <c r="J7763" s="763"/>
      <c r="K7763" s="763"/>
      <c r="L7763" s="858" t="s">
        <v>143</v>
      </c>
      <c r="M7763" s="766"/>
      <c r="N7763" s="766"/>
      <c r="O7763" s="766"/>
      <c r="P7763" s="766"/>
      <c r="Q7763" s="767"/>
      <c r="R7763" s="859">
        <f>SUMIF($L7749:$L7762,"SUBI",R7749:R7762)</f>
        <v>14643.5</v>
      </c>
      <c r="S7763" s="763"/>
      <c r="T7763" s="859">
        <f>SUMIF($L7749:$L7762,"SUBI",T7749:T7762)</f>
        <v>0</v>
      </c>
      <c r="U7763" s="531"/>
      <c r="V7763" s="531"/>
      <c r="W7763" s="531"/>
      <c r="X7763" s="531"/>
      <c r="Y7763" s="531"/>
      <c r="Z7763" s="531"/>
      <c r="AA7763" s="531"/>
      <c r="AB7763" s="531"/>
      <c r="AC7763" s="531"/>
      <c r="AD7763" s="531"/>
      <c r="AE7763" s="531"/>
      <c r="AF7763" s="531"/>
      <c r="AG7763" s="531"/>
      <c r="AH7763" s="531"/>
      <c r="AI7763" s="531"/>
      <c r="AJ7763" s="531"/>
      <c r="AK7763" s="531"/>
      <c r="AL7763" s="531"/>
      <c r="AM7763" s="531"/>
      <c r="AN7763" s="531"/>
      <c r="AO7763" s="531"/>
      <c r="AR7763" s="856"/>
      <c r="AS7763" s="764"/>
    </row>
    <row r="7764" spans="1:45" s="520" customFormat="1" ht="12" thickTop="1">
      <c r="A7764" s="51"/>
      <c r="B7764" s="41"/>
      <c r="C7764" s="51"/>
      <c r="E7764" s="42" t="s">
        <v>138</v>
      </c>
      <c r="F7764" s="42" t="s">
        <v>139</v>
      </c>
      <c r="G7764" s="51"/>
      <c r="H7764" s="51"/>
      <c r="I7764" s="51"/>
      <c r="J7764" s="51"/>
      <c r="K7764" s="51" t="s">
        <v>140</v>
      </c>
      <c r="L7764" s="51"/>
      <c r="M7764" s="51"/>
      <c r="N7764" s="51"/>
      <c r="O7764" s="52"/>
      <c r="P7764" s="51"/>
      <c r="Q7764" s="51"/>
      <c r="R7764" s="51"/>
      <c r="S7764" s="51"/>
      <c r="T7764" s="41"/>
      <c r="AG7764" s="521" t="s">
        <v>268</v>
      </c>
      <c r="AH7764" s="521" t="s">
        <v>269</v>
      </c>
      <c r="AI7764" s="521" t="s">
        <v>270</v>
      </c>
      <c r="AJ7764" s="521" t="s">
        <v>271</v>
      </c>
      <c r="AK7764" s="521" t="s">
        <v>272</v>
      </c>
      <c r="AM7764" s="745" t="s">
        <v>281</v>
      </c>
      <c r="AN7764" s="746" t="s">
        <v>282</v>
      </c>
      <c r="AO7764" s="522" t="s">
        <v>278</v>
      </c>
      <c r="AR7764" s="51"/>
      <c r="AS7764" s="42" t="s">
        <v>139</v>
      </c>
    </row>
    <row r="7765" spans="1:45" s="520" customFormat="1" ht="12" customHeight="1">
      <c r="A7765" s="747">
        <v>4</v>
      </c>
      <c r="B7765" s="523" t="s">
        <v>329</v>
      </c>
      <c r="C7765" s="748"/>
      <c r="D7765" s="749" t="s">
        <v>2030</v>
      </c>
      <c r="E7765" s="1164">
        <f>IF(AND($A7765=0,$A$1="DIF"),0, ROUND(ROUND(($R7769*$S$4+($T7769*$T$4))/$A7765,2)*$C$4,2))</f>
        <v>260.17</v>
      </c>
      <c r="F7765" s="1165">
        <f>ROUND($A7765*$E7765,2)</f>
        <v>1040.68</v>
      </c>
      <c r="G7765" s="752" t="s">
        <v>142</v>
      </c>
      <c r="H7765" s="753"/>
      <c r="I7765" s="754"/>
      <c r="J7765" s="753"/>
      <c r="K7765" s="753" t="s">
        <v>8</v>
      </c>
      <c r="L7765" s="755" t="s">
        <v>143</v>
      </c>
      <c r="M7765" s="755"/>
      <c r="N7765" s="755"/>
      <c r="O7765" s="755"/>
      <c r="P7765" s="755"/>
      <c r="Q7765" s="51"/>
      <c r="T7765" s="1169" t="str">
        <f>IF(AND($R7769=0,$T7769=0),"0.00","mu: "&amp; ROUND(F7765/$C$4/($R7769+$T7769*$D$9),2))</f>
        <v>mu: 1.13</v>
      </c>
      <c r="W7765" s="524"/>
      <c r="AG7765" s="1166">
        <f>IF($E7765=0,0,ROUND($R7769*$S$4*$C$4/$A7765,2))</f>
        <v>260.17</v>
      </c>
      <c r="AH7765" s="1166">
        <f>$AG7765*$A7765</f>
        <v>1040.68</v>
      </c>
      <c r="AI7765" s="1167">
        <f>$E7765-$AG7765</f>
        <v>0</v>
      </c>
      <c r="AJ7765" s="1167">
        <f>$A7765*$AI7765</f>
        <v>0</v>
      </c>
      <c r="AK7765" s="1168">
        <f>ROUND(($AG7765+$AI7765)*$A7765,2)</f>
        <v>1040.68</v>
      </c>
      <c r="AM7765" s="527">
        <f>ROUND(R7769,2)</f>
        <v>922</v>
      </c>
      <c r="AN7765" s="528">
        <f>ROUND(T7769,2)</f>
        <v>0</v>
      </c>
      <c r="AO7765" s="529">
        <f>ROUND(AM7765+AN7765,2)*A7765</f>
        <v>3688</v>
      </c>
      <c r="AR7765" s="747">
        <v>4</v>
      </c>
      <c r="AS7765" s="1165">
        <v>1040.68</v>
      </c>
    </row>
    <row r="7766" spans="1:45" s="520" customFormat="1" ht="39.9" customHeight="1">
      <c r="A7766" s="748"/>
      <c r="B7766"/>
      <c r="C7766" s="748"/>
      <c r="D7766" s="1451" t="s">
        <v>1027</v>
      </c>
      <c r="E7766" s="1452"/>
      <c r="F7766" s="1452"/>
      <c r="G7766" s="1452"/>
      <c r="H7766" s="1452"/>
      <c r="I7766" s="1452"/>
      <c r="J7766" s="1452"/>
      <c r="K7766" s="1452"/>
      <c r="L7766" s="1452"/>
      <c r="M7766" s="1452"/>
      <c r="N7766" s="1452"/>
      <c r="O7766" s="1452"/>
      <c r="P7766" s="1452"/>
      <c r="Q7766" s="1452"/>
      <c r="R7766" s="1452"/>
      <c r="S7766" s="1452"/>
      <c r="T7766" s="1452"/>
      <c r="AR7766" s="748"/>
    </row>
    <row r="7767" spans="1:45" s="901" customFormat="1" ht="13.2">
      <c r="A7767" s="903">
        <v>4</v>
      </c>
      <c r="B7767" s="904" t="s">
        <v>863</v>
      </c>
      <c r="C7767" s="904"/>
      <c r="D7767" s="904" t="s">
        <v>2594</v>
      </c>
      <c r="E7767" s="904"/>
      <c r="F7767" s="904" t="s">
        <v>3505</v>
      </c>
      <c r="G7767" s="905" t="s">
        <v>2595</v>
      </c>
      <c r="H7767" s="902">
        <v>960</v>
      </c>
      <c r="I7767" s="904" t="s">
        <v>2596</v>
      </c>
      <c r="J7767" s="904"/>
      <c r="K7767" s="904"/>
      <c r="L7767" s="904"/>
      <c r="M7767" s="904"/>
      <c r="N7767" s="904"/>
      <c r="O7767" s="902">
        <v>4</v>
      </c>
      <c r="P7767" s="906">
        <v>38274</v>
      </c>
      <c r="Q7767" s="907">
        <v>230.5</v>
      </c>
      <c r="R7767" s="908">
        <f>$A7767*Q7767</f>
        <v>922</v>
      </c>
      <c r="S7767" s="907"/>
      <c r="T7767" s="909">
        <f>$A7767*S7767*$T$1</f>
        <v>0</v>
      </c>
      <c r="AR7767" s="903">
        <v>4</v>
      </c>
      <c r="AS7767" s="904" t="s">
        <v>3505</v>
      </c>
    </row>
    <row r="7768" spans="1:45" s="520" customFormat="1" ht="12">
      <c r="A7768" s="758"/>
      <c r="B7768" s="758"/>
      <c r="C7768" s="758"/>
      <c r="D7768" s="758"/>
      <c r="E7768" s="758"/>
      <c r="F7768" s="753"/>
      <c r="G7768" s="758"/>
      <c r="H7768" s="758"/>
      <c r="I7768" s="519"/>
      <c r="J7768" s="758"/>
      <c r="K7768" s="758"/>
      <c r="L7768" s="758"/>
      <c r="M7768" s="758"/>
      <c r="N7768" s="758"/>
      <c r="O7768" s="758"/>
      <c r="P7768" s="758"/>
      <c r="Q7768" s="519"/>
      <c r="R7768" s="759">
        <f t="shared" ref="R7768" si="762">$A7768*Q7768</f>
        <v>0</v>
      </c>
      <c r="S7768" s="519"/>
      <c r="T7768" s="760">
        <f t="shared" ref="T7768" si="763">$A7768*S7768*$T$1</f>
        <v>0</v>
      </c>
      <c r="AR7768" s="758"/>
      <c r="AS7768" s="753"/>
    </row>
    <row r="7769" spans="1:45" s="520" customFormat="1" ht="12.6" thickBot="1">
      <c r="A7769" s="761" t="s">
        <v>145</v>
      </c>
      <c r="B7769" s="762">
        <f>(R7768+T7768)</f>
        <v>0</v>
      </c>
      <c r="C7769" s="763"/>
      <c r="D7769" s="763"/>
      <c r="E7769" s="763"/>
      <c r="F7769" s="764"/>
      <c r="G7769" s="763" t="s">
        <v>146</v>
      </c>
      <c r="H7769" s="763"/>
      <c r="I7769" s="765"/>
      <c r="J7769" s="763"/>
      <c r="K7769" s="763" t="s">
        <v>8</v>
      </c>
      <c r="L7769" s="766" t="s">
        <v>143</v>
      </c>
      <c r="M7769" s="766"/>
      <c r="N7769" s="766"/>
      <c r="O7769" s="766"/>
      <c r="P7769" s="766"/>
      <c r="Q7769" s="767"/>
      <c r="R7769" s="768">
        <f>SUM(R7766:R7768)</f>
        <v>922</v>
      </c>
      <c r="S7769" s="763"/>
      <c r="T7769" s="768">
        <f>SUM(T7766:T7768)</f>
        <v>0</v>
      </c>
      <c r="U7769" s="531"/>
      <c r="V7769" s="531"/>
      <c r="W7769" s="531"/>
      <c r="X7769" s="531"/>
      <c r="Y7769" s="531"/>
      <c r="Z7769" s="531"/>
      <c r="AA7769" s="531"/>
      <c r="AB7769" s="531"/>
      <c r="AC7769" s="531"/>
      <c r="AD7769" s="531"/>
      <c r="AE7769" s="531"/>
      <c r="AF7769" s="531"/>
      <c r="AG7769" s="531"/>
      <c r="AH7769" s="531"/>
      <c r="AI7769" s="531"/>
      <c r="AJ7769" s="531"/>
      <c r="AK7769" s="531"/>
      <c r="AL7769" s="531"/>
      <c r="AM7769" s="531"/>
      <c r="AN7769" s="531"/>
      <c r="AO7769" s="531"/>
      <c r="AR7769" s="761" t="s">
        <v>145</v>
      </c>
      <c r="AS7769" s="764"/>
    </row>
    <row r="7770" spans="1:45" s="520" customFormat="1" ht="12" thickTop="1">
      <c r="A7770" s="51"/>
      <c r="B7770" s="41"/>
      <c r="C7770" s="51"/>
      <c r="E7770" s="42" t="s">
        <v>138</v>
      </c>
      <c r="F7770" s="42" t="s">
        <v>139</v>
      </c>
      <c r="G7770" s="51"/>
      <c r="H7770" s="51"/>
      <c r="I7770" s="51"/>
      <c r="J7770" s="51"/>
      <c r="K7770" s="51" t="s">
        <v>140</v>
      </c>
      <c r="L7770" s="51"/>
      <c r="M7770" s="51"/>
      <c r="N7770" s="51"/>
      <c r="O7770" s="52"/>
      <c r="P7770" s="51"/>
      <c r="Q7770" s="51"/>
      <c r="R7770" s="51"/>
      <c r="S7770" s="51"/>
      <c r="T7770" s="41"/>
      <c r="AG7770" s="521" t="s">
        <v>268</v>
      </c>
      <c r="AH7770" s="521" t="s">
        <v>269</v>
      </c>
      <c r="AI7770" s="521" t="s">
        <v>270</v>
      </c>
      <c r="AJ7770" s="521" t="s">
        <v>271</v>
      </c>
      <c r="AK7770" s="521" t="s">
        <v>272</v>
      </c>
      <c r="AM7770" s="745" t="s">
        <v>281</v>
      </c>
      <c r="AN7770" s="746" t="s">
        <v>282</v>
      </c>
      <c r="AO7770" s="522" t="s">
        <v>278</v>
      </c>
      <c r="AR7770" s="51"/>
      <c r="AS7770" s="42" t="s">
        <v>139</v>
      </c>
    </row>
    <row r="7771" spans="1:45" s="520" customFormat="1" ht="12" customHeight="1">
      <c r="A7771" s="747">
        <v>24</v>
      </c>
      <c r="B7771" s="523" t="s">
        <v>329</v>
      </c>
      <c r="C7771" s="748"/>
      <c r="D7771" s="749" t="s">
        <v>2031</v>
      </c>
      <c r="E7771" s="1164">
        <f>IF(AND($A7771=0,$A$1="DIF"),0, ROUND(ROUND(($R7775*$S$4+($T7775*$T$4))/$A7771,2)*$C$4,2))</f>
        <v>386.11</v>
      </c>
      <c r="F7771" s="1165">
        <f>ROUND($A7771*$E7771,2)</f>
        <v>9266.64</v>
      </c>
      <c r="G7771" s="752" t="s">
        <v>142</v>
      </c>
      <c r="H7771" s="753"/>
      <c r="I7771" s="754"/>
      <c r="J7771" s="753"/>
      <c r="K7771" s="753" t="s">
        <v>8</v>
      </c>
      <c r="L7771" s="755" t="s">
        <v>143</v>
      </c>
      <c r="M7771" s="755"/>
      <c r="N7771" s="755"/>
      <c r="O7771" s="755"/>
      <c r="P7771" s="755"/>
      <c r="Q7771" s="51"/>
      <c r="T7771" s="1169" t="str">
        <f>IF(AND($R7775=0,$T7775=0),"0.00","mu: "&amp; ROUND(F7771/$C$4/($R7775+$T7775*$D$9),2))</f>
        <v>mu: 1.13</v>
      </c>
      <c r="W7771" s="524"/>
      <c r="AG7771" s="1166">
        <f>IF($E7771=0,0,ROUND($R7775*$S$4*$C$4/$A7771,2))</f>
        <v>386.11</v>
      </c>
      <c r="AH7771" s="1166">
        <f>$AG7771*$A7771</f>
        <v>9266.64</v>
      </c>
      <c r="AI7771" s="1167">
        <f>$E7771-$AG7771</f>
        <v>0</v>
      </c>
      <c r="AJ7771" s="1167">
        <f>$A7771*$AI7771</f>
        <v>0</v>
      </c>
      <c r="AK7771" s="1168">
        <f>ROUND(($AG7771+$AI7771)*$A7771,2)</f>
        <v>9266.64</v>
      </c>
      <c r="AM7771" s="527">
        <f>ROUND(R7775,2)</f>
        <v>8209.68</v>
      </c>
      <c r="AN7771" s="528">
        <f>ROUND(T7775,2)</f>
        <v>0</v>
      </c>
      <c r="AO7771" s="529">
        <f>ROUND(AM7771+AN7771,2)*A7771</f>
        <v>197032.32000000001</v>
      </c>
      <c r="AR7771" s="747">
        <v>24</v>
      </c>
      <c r="AS7771" s="1165">
        <v>9266.64</v>
      </c>
    </row>
    <row r="7772" spans="1:45" s="520" customFormat="1" ht="39.9" customHeight="1">
      <c r="A7772" s="748"/>
      <c r="B7772"/>
      <c r="C7772" s="748"/>
      <c r="D7772" s="1451" t="s">
        <v>1028</v>
      </c>
      <c r="E7772" s="1452"/>
      <c r="F7772" s="1452"/>
      <c r="G7772" s="1452"/>
      <c r="H7772" s="1452"/>
      <c r="I7772" s="1452"/>
      <c r="J7772" s="1452"/>
      <c r="K7772" s="1452"/>
      <c r="L7772" s="1452"/>
      <c r="M7772" s="1452"/>
      <c r="N7772" s="1452"/>
      <c r="O7772" s="1452"/>
      <c r="P7772" s="1452"/>
      <c r="Q7772" s="1452"/>
      <c r="R7772" s="1452"/>
      <c r="S7772" s="1452"/>
      <c r="T7772" s="1452"/>
      <c r="AR7772" s="748"/>
    </row>
    <row r="7773" spans="1:45" s="901" customFormat="1" ht="13.2">
      <c r="A7773" s="903">
        <v>24</v>
      </c>
      <c r="B7773" s="904" t="s">
        <v>863</v>
      </c>
      <c r="C7773" s="904"/>
      <c r="D7773" s="904" t="s">
        <v>2594</v>
      </c>
      <c r="E7773" s="904"/>
      <c r="F7773" s="904" t="s">
        <v>3505</v>
      </c>
      <c r="G7773" s="905" t="s">
        <v>2595</v>
      </c>
      <c r="H7773" s="902">
        <v>960</v>
      </c>
      <c r="I7773" s="904" t="s">
        <v>2596</v>
      </c>
      <c r="J7773" s="904"/>
      <c r="K7773" s="904"/>
      <c r="L7773" s="904"/>
      <c r="M7773" s="904"/>
      <c r="N7773" s="904"/>
      <c r="O7773" s="902">
        <v>4</v>
      </c>
      <c r="P7773" s="906">
        <v>38274</v>
      </c>
      <c r="Q7773" s="907">
        <v>342.07</v>
      </c>
      <c r="R7773" s="908">
        <f>$A7773*Q7773</f>
        <v>8209.68</v>
      </c>
      <c r="S7773" s="907"/>
      <c r="T7773" s="909">
        <f>$A7773*S7773*$T$1</f>
        <v>0</v>
      </c>
      <c r="AR7773" s="903">
        <v>24</v>
      </c>
      <c r="AS7773" s="904" t="s">
        <v>3505</v>
      </c>
    </row>
    <row r="7774" spans="1:45" s="520" customFormat="1" ht="12">
      <c r="A7774" s="758"/>
      <c r="B7774" s="758"/>
      <c r="C7774" s="758"/>
      <c r="D7774" s="758"/>
      <c r="E7774" s="758"/>
      <c r="F7774" s="753"/>
      <c r="G7774" s="758"/>
      <c r="H7774" s="758"/>
      <c r="I7774" s="519"/>
      <c r="J7774" s="758"/>
      <c r="K7774" s="758"/>
      <c r="L7774" s="758"/>
      <c r="M7774" s="758"/>
      <c r="N7774" s="758"/>
      <c r="O7774" s="758"/>
      <c r="P7774" s="758"/>
      <c r="Q7774" s="519"/>
      <c r="R7774" s="759">
        <f t="shared" ref="R7774" si="764">$A7774*Q7774</f>
        <v>0</v>
      </c>
      <c r="S7774" s="519"/>
      <c r="T7774" s="760">
        <f t="shared" ref="T7774" si="765">$A7774*S7774*$T$1</f>
        <v>0</v>
      </c>
      <c r="AR7774" s="758"/>
      <c r="AS7774" s="753"/>
    </row>
    <row r="7775" spans="1:45" s="520" customFormat="1" ht="12.6" thickBot="1">
      <c r="A7775" s="761" t="s">
        <v>145</v>
      </c>
      <c r="B7775" s="762">
        <f>(R7774+T7774)</f>
        <v>0</v>
      </c>
      <c r="C7775" s="763"/>
      <c r="D7775" s="763"/>
      <c r="E7775" s="763"/>
      <c r="F7775" s="764"/>
      <c r="G7775" s="763" t="s">
        <v>146</v>
      </c>
      <c r="H7775" s="763"/>
      <c r="I7775" s="765"/>
      <c r="J7775" s="763"/>
      <c r="K7775" s="763" t="s">
        <v>8</v>
      </c>
      <c r="L7775" s="766" t="s">
        <v>143</v>
      </c>
      <c r="M7775" s="766"/>
      <c r="N7775" s="766"/>
      <c r="O7775" s="766"/>
      <c r="P7775" s="766"/>
      <c r="Q7775" s="767"/>
      <c r="R7775" s="768">
        <f>SUM(R7772:R7774)</f>
        <v>8209.68</v>
      </c>
      <c r="S7775" s="763"/>
      <c r="T7775" s="768">
        <f>SUM(T7772:T7774)</f>
        <v>0</v>
      </c>
      <c r="U7775" s="531"/>
      <c r="V7775" s="531"/>
      <c r="W7775" s="531"/>
      <c r="X7775" s="531"/>
      <c r="Y7775" s="531"/>
      <c r="Z7775" s="531"/>
      <c r="AA7775" s="531"/>
      <c r="AB7775" s="531"/>
      <c r="AC7775" s="531"/>
      <c r="AD7775" s="531"/>
      <c r="AE7775" s="531"/>
      <c r="AF7775" s="531"/>
      <c r="AG7775" s="531"/>
      <c r="AH7775" s="531"/>
      <c r="AI7775" s="531"/>
      <c r="AJ7775" s="531"/>
      <c r="AK7775" s="531"/>
      <c r="AL7775" s="531"/>
      <c r="AM7775" s="531"/>
      <c r="AN7775" s="531"/>
      <c r="AO7775" s="531"/>
      <c r="AR7775" s="761" t="s">
        <v>145</v>
      </c>
      <c r="AS7775" s="764"/>
    </row>
    <row r="7776" spans="1:45" s="520" customFormat="1" ht="12" thickTop="1">
      <c r="A7776" s="51"/>
      <c r="B7776" s="41"/>
      <c r="C7776" s="51"/>
      <c r="E7776" s="42" t="s">
        <v>138</v>
      </c>
      <c r="F7776" s="42" t="s">
        <v>139</v>
      </c>
      <c r="G7776" s="51"/>
      <c r="H7776" s="51"/>
      <c r="I7776" s="51"/>
      <c r="J7776" s="51"/>
      <c r="K7776" s="51" t="s">
        <v>140</v>
      </c>
      <c r="L7776" s="51"/>
      <c r="M7776" s="51"/>
      <c r="N7776" s="51"/>
      <c r="O7776" s="52"/>
      <c r="P7776" s="51"/>
      <c r="Q7776" s="51"/>
      <c r="R7776" s="51"/>
      <c r="S7776" s="51"/>
      <c r="T7776" s="41"/>
      <c r="AG7776" s="521" t="s">
        <v>268</v>
      </c>
      <c r="AH7776" s="521" t="s">
        <v>269</v>
      </c>
      <c r="AI7776" s="521" t="s">
        <v>270</v>
      </c>
      <c r="AJ7776" s="521" t="s">
        <v>271</v>
      </c>
      <c r="AK7776" s="521" t="s">
        <v>272</v>
      </c>
      <c r="AM7776" s="745" t="s">
        <v>281</v>
      </c>
      <c r="AN7776" s="746" t="s">
        <v>282</v>
      </c>
      <c r="AO7776" s="522" t="s">
        <v>278</v>
      </c>
      <c r="AR7776" s="51"/>
      <c r="AS7776" s="42" t="s">
        <v>139</v>
      </c>
    </row>
    <row r="7777" spans="1:45" s="520" customFormat="1" ht="12" customHeight="1">
      <c r="A7777" s="747">
        <v>26</v>
      </c>
      <c r="B7777" s="523" t="s">
        <v>329</v>
      </c>
      <c r="C7777" s="748"/>
      <c r="D7777" s="749" t="s">
        <v>2032</v>
      </c>
      <c r="E7777" s="1164">
        <f>IF(AND($A7777=0,$A$1="DIF"),0, ROUND(ROUND(($R7781*$S$4+($T7781*$T$4))/$A7777,2)*$C$4,2))</f>
        <v>41.48</v>
      </c>
      <c r="F7777" s="1165">
        <f>ROUND($A7777*$E7777,2)</f>
        <v>1078.48</v>
      </c>
      <c r="G7777" s="752" t="s">
        <v>142</v>
      </c>
      <c r="H7777" s="753"/>
      <c r="I7777" s="754"/>
      <c r="J7777" s="753"/>
      <c r="K7777" s="753" t="s">
        <v>8</v>
      </c>
      <c r="L7777" s="755" t="s">
        <v>143</v>
      </c>
      <c r="M7777" s="755"/>
      <c r="N7777" s="755"/>
      <c r="O7777" s="755"/>
      <c r="P7777" s="755"/>
      <c r="Q7777" s="51"/>
      <c r="T7777" s="1169" t="str">
        <f>IF(AND($R7781=0,$T7781=0),"0.00","mu: "&amp; ROUND(F7777/$C$4/($R7781+$T7781*$D$9),2))</f>
        <v>mu: 1.13</v>
      </c>
      <c r="W7777" s="524"/>
      <c r="AG7777" s="1166">
        <f>IF($E7777=0,0,ROUND($R7781*$S$4*$C$4/$A7777,2))</f>
        <v>41.48</v>
      </c>
      <c r="AH7777" s="1166">
        <f>$AG7777*$A7777</f>
        <v>1078.48</v>
      </c>
      <c r="AI7777" s="1167">
        <f>$E7777-$AG7777</f>
        <v>0</v>
      </c>
      <c r="AJ7777" s="1167">
        <f>$A7777*$AI7777</f>
        <v>0</v>
      </c>
      <c r="AK7777" s="1168">
        <f>ROUND(($AG7777+$AI7777)*$A7777,2)</f>
        <v>1078.48</v>
      </c>
      <c r="AM7777" s="527">
        <f>ROUND(R7781,2)</f>
        <v>955.5</v>
      </c>
      <c r="AN7777" s="528">
        <f>ROUND(T7781,2)</f>
        <v>0</v>
      </c>
      <c r="AO7777" s="529">
        <f>ROUND(AM7777+AN7777,2)*A7777</f>
        <v>24843</v>
      </c>
      <c r="AR7777" s="747">
        <v>26</v>
      </c>
      <c r="AS7777" s="1165">
        <v>1078.48</v>
      </c>
    </row>
    <row r="7778" spans="1:45" s="520" customFormat="1" ht="39.9" customHeight="1">
      <c r="A7778" s="748"/>
      <c r="B7778"/>
      <c r="C7778" s="748"/>
      <c r="D7778" s="1451" t="s">
        <v>1029</v>
      </c>
      <c r="E7778" s="1452"/>
      <c r="F7778" s="1452"/>
      <c r="G7778" s="1452"/>
      <c r="H7778" s="1452"/>
      <c r="I7778" s="1452"/>
      <c r="J7778" s="1452"/>
      <c r="K7778" s="1452"/>
      <c r="L7778" s="1452"/>
      <c r="M7778" s="1452"/>
      <c r="N7778" s="1452"/>
      <c r="O7778" s="1452"/>
      <c r="P7778" s="1452"/>
      <c r="Q7778" s="1452"/>
      <c r="R7778" s="1452"/>
      <c r="S7778" s="1452"/>
      <c r="T7778" s="1452"/>
      <c r="AR7778" s="748"/>
    </row>
    <row r="7779" spans="1:45" s="901" customFormat="1" ht="13.2">
      <c r="A7779" s="903">
        <v>26</v>
      </c>
      <c r="B7779" s="904" t="s">
        <v>863</v>
      </c>
      <c r="C7779" s="904"/>
      <c r="D7779" s="904" t="s">
        <v>2594</v>
      </c>
      <c r="E7779" s="904"/>
      <c r="F7779" s="904" t="s">
        <v>3505</v>
      </c>
      <c r="G7779" s="905" t="s">
        <v>2595</v>
      </c>
      <c r="H7779" s="902">
        <v>960</v>
      </c>
      <c r="I7779" s="904" t="s">
        <v>2596</v>
      </c>
      <c r="J7779" s="904"/>
      <c r="K7779" s="904"/>
      <c r="L7779" s="904"/>
      <c r="M7779" s="904"/>
      <c r="N7779" s="904"/>
      <c r="O7779" s="902">
        <v>4</v>
      </c>
      <c r="P7779" s="906">
        <v>38274</v>
      </c>
      <c r="Q7779" s="907">
        <v>36.75</v>
      </c>
      <c r="R7779" s="908">
        <f>$A7779*Q7779</f>
        <v>955.5</v>
      </c>
      <c r="S7779" s="907"/>
      <c r="T7779" s="909">
        <f>$A7779*S7779*$T$1</f>
        <v>0</v>
      </c>
      <c r="AR7779" s="903">
        <v>26</v>
      </c>
      <c r="AS7779" s="904" t="s">
        <v>3505</v>
      </c>
    </row>
    <row r="7780" spans="1:45" s="520" customFormat="1" ht="12">
      <c r="A7780" s="758"/>
      <c r="B7780" s="758"/>
      <c r="C7780" s="758"/>
      <c r="D7780" s="758"/>
      <c r="E7780" s="758"/>
      <c r="F7780" s="753"/>
      <c r="G7780" s="758"/>
      <c r="H7780" s="758"/>
      <c r="I7780" s="519"/>
      <c r="J7780" s="758"/>
      <c r="K7780" s="758"/>
      <c r="L7780" s="758"/>
      <c r="M7780" s="758"/>
      <c r="N7780" s="758"/>
      <c r="O7780" s="758"/>
      <c r="P7780" s="758"/>
      <c r="Q7780" s="519"/>
      <c r="R7780" s="759">
        <f t="shared" ref="R7780" si="766">$A7780*Q7780</f>
        <v>0</v>
      </c>
      <c r="S7780" s="519"/>
      <c r="T7780" s="760">
        <f t="shared" ref="T7780" si="767">$A7780*S7780*$T$1</f>
        <v>0</v>
      </c>
      <c r="AR7780" s="758"/>
      <c r="AS7780" s="753"/>
    </row>
    <row r="7781" spans="1:45" s="520" customFormat="1" ht="12.6" thickBot="1">
      <c r="A7781" s="761" t="s">
        <v>145</v>
      </c>
      <c r="B7781" s="762">
        <f>(R7780+T7780)</f>
        <v>0</v>
      </c>
      <c r="C7781" s="763"/>
      <c r="D7781" s="763"/>
      <c r="E7781" s="763"/>
      <c r="F7781" s="764"/>
      <c r="G7781" s="763" t="s">
        <v>146</v>
      </c>
      <c r="H7781" s="763"/>
      <c r="I7781" s="765"/>
      <c r="J7781" s="763"/>
      <c r="K7781" s="763" t="s">
        <v>8</v>
      </c>
      <c r="L7781" s="766" t="s">
        <v>143</v>
      </c>
      <c r="M7781" s="766"/>
      <c r="N7781" s="766"/>
      <c r="O7781" s="766"/>
      <c r="P7781" s="766"/>
      <c r="Q7781" s="767"/>
      <c r="R7781" s="768">
        <f>SUM(R7778:R7780)</f>
        <v>955.5</v>
      </c>
      <c r="S7781" s="763"/>
      <c r="T7781" s="768">
        <f>SUM(T7778:T7780)</f>
        <v>0</v>
      </c>
      <c r="U7781" s="531"/>
      <c r="V7781" s="531"/>
      <c r="W7781" s="531"/>
      <c r="X7781" s="531"/>
      <c r="Y7781" s="531"/>
      <c r="Z7781" s="531"/>
      <c r="AA7781" s="531"/>
      <c r="AB7781" s="531"/>
      <c r="AC7781" s="531"/>
      <c r="AD7781" s="531"/>
      <c r="AE7781" s="531"/>
      <c r="AF7781" s="531"/>
      <c r="AG7781" s="531"/>
      <c r="AH7781" s="531"/>
      <c r="AI7781" s="531"/>
      <c r="AJ7781" s="531"/>
      <c r="AK7781" s="531"/>
      <c r="AL7781" s="531"/>
      <c r="AM7781" s="531"/>
      <c r="AN7781" s="531"/>
      <c r="AO7781" s="531"/>
      <c r="AR7781" s="761" t="s">
        <v>145</v>
      </c>
      <c r="AS7781" s="764"/>
    </row>
    <row r="7782" spans="1:45" s="520" customFormat="1" ht="12" thickTop="1">
      <c r="A7782" s="51"/>
      <c r="B7782" s="41"/>
      <c r="C7782" s="51"/>
      <c r="E7782" s="42" t="s">
        <v>138</v>
      </c>
      <c r="F7782" s="42" t="s">
        <v>139</v>
      </c>
      <c r="G7782" s="51"/>
      <c r="H7782" s="51"/>
      <c r="I7782" s="51"/>
      <c r="J7782" s="51"/>
      <c r="K7782" s="51" t="s">
        <v>140</v>
      </c>
      <c r="L7782" s="51"/>
      <c r="M7782" s="51"/>
      <c r="N7782" s="51"/>
      <c r="O7782" s="52"/>
      <c r="P7782" s="51"/>
      <c r="Q7782" s="51"/>
      <c r="R7782" s="51"/>
      <c r="S7782" s="51"/>
      <c r="T7782" s="41"/>
      <c r="AG7782" s="521" t="s">
        <v>268</v>
      </c>
      <c r="AH7782" s="521" t="s">
        <v>269</v>
      </c>
      <c r="AI7782" s="521" t="s">
        <v>270</v>
      </c>
      <c r="AJ7782" s="521" t="s">
        <v>271</v>
      </c>
      <c r="AK7782" s="521" t="s">
        <v>272</v>
      </c>
      <c r="AM7782" s="745" t="s">
        <v>281</v>
      </c>
      <c r="AN7782" s="746" t="s">
        <v>282</v>
      </c>
      <c r="AO7782" s="522" t="s">
        <v>278</v>
      </c>
      <c r="AR7782" s="51"/>
      <c r="AS7782" s="42" t="s">
        <v>139</v>
      </c>
    </row>
    <row r="7783" spans="1:45" s="520" customFormat="1" ht="12" customHeight="1">
      <c r="A7783" s="747">
        <v>1</v>
      </c>
      <c r="B7783" s="523" t="s">
        <v>299</v>
      </c>
      <c r="C7783" s="748"/>
      <c r="D7783" s="749" t="s">
        <v>2033</v>
      </c>
      <c r="E7783" s="1164">
        <f>IF(AND($A7783=0,$A$1="DIF"),0, ROUND(ROUND(($R7787*$S$4+($T7787*$T$4))/$A7783,2)*$C$4,2))</f>
        <v>829.62</v>
      </c>
      <c r="F7783" s="1165">
        <f>ROUND($A7783*$E7783,2)</f>
        <v>829.62</v>
      </c>
      <c r="G7783" s="752" t="s">
        <v>142</v>
      </c>
      <c r="H7783" s="753"/>
      <c r="I7783" s="754"/>
      <c r="J7783" s="753"/>
      <c r="K7783" s="753" t="s">
        <v>8</v>
      </c>
      <c r="L7783" s="755" t="s">
        <v>143</v>
      </c>
      <c r="M7783" s="755"/>
      <c r="N7783" s="755"/>
      <c r="O7783" s="755"/>
      <c r="P7783" s="755"/>
      <c r="Q7783" s="51"/>
      <c r="T7783" s="1169" t="str">
        <f>IF(AND($R7787=0,$T7787=0),"0.00","mu: "&amp; ROUND(F7783/$C$4/($R7787+$T7787*$D$9),2))</f>
        <v>mu: 1.13</v>
      </c>
      <c r="W7783" s="524"/>
      <c r="AG7783" s="1166">
        <f>IF($E7783=0,0,ROUND($R7787*$S$4*$C$4/$A7783,2))</f>
        <v>829.62</v>
      </c>
      <c r="AH7783" s="1166">
        <f>$AG7783*$A7783</f>
        <v>829.62</v>
      </c>
      <c r="AI7783" s="1167">
        <f>$E7783-$AG7783</f>
        <v>0</v>
      </c>
      <c r="AJ7783" s="1167">
        <f>$A7783*$AI7783</f>
        <v>0</v>
      </c>
      <c r="AK7783" s="1168">
        <f>ROUND(($AG7783+$AI7783)*$A7783,2)</f>
        <v>829.62</v>
      </c>
      <c r="AM7783" s="527">
        <f>ROUND(R7787,2)</f>
        <v>735</v>
      </c>
      <c r="AN7783" s="528">
        <f>ROUND(T7787,2)</f>
        <v>0</v>
      </c>
      <c r="AO7783" s="529">
        <f>ROUND(AM7783+AN7783,2)*A7783</f>
        <v>735</v>
      </c>
      <c r="AR7783" s="747">
        <v>1</v>
      </c>
      <c r="AS7783" s="1165">
        <v>829.62</v>
      </c>
    </row>
    <row r="7784" spans="1:45" s="520" customFormat="1" ht="13.2">
      <c r="A7784" s="748"/>
      <c r="B7784"/>
      <c r="C7784" s="748"/>
      <c r="D7784" s="749" t="s">
        <v>1030</v>
      </c>
      <c r="F7784" s="753"/>
      <c r="G7784" s="3"/>
      <c r="H7784" s="753"/>
      <c r="I7784" s="754"/>
      <c r="J7784" s="753"/>
      <c r="K7784" s="753" t="s">
        <v>144</v>
      </c>
      <c r="L7784" s="753"/>
      <c r="M7784" s="753"/>
      <c r="N7784" s="753"/>
      <c r="O7784" s="753"/>
      <c r="P7784" s="753"/>
      <c r="Q7784" s="51"/>
      <c r="R7784" s="530"/>
      <c r="S7784" s="757"/>
      <c r="T7784" s="753"/>
      <c r="AR7784" s="748"/>
      <c r="AS7784" s="753"/>
    </row>
    <row r="7785" spans="1:45" s="901" customFormat="1" ht="13.2">
      <c r="A7785" s="903">
        <v>1</v>
      </c>
      <c r="B7785" s="904" t="s">
        <v>863</v>
      </c>
      <c r="C7785" s="904"/>
      <c r="D7785" s="904" t="s">
        <v>2594</v>
      </c>
      <c r="E7785" s="904"/>
      <c r="F7785" s="904" t="s">
        <v>3505</v>
      </c>
      <c r="G7785" s="905" t="s">
        <v>2595</v>
      </c>
      <c r="H7785" s="902">
        <v>960</v>
      </c>
      <c r="I7785" s="904" t="s">
        <v>2596</v>
      </c>
      <c r="J7785" s="904"/>
      <c r="K7785" s="904"/>
      <c r="L7785" s="904"/>
      <c r="M7785" s="904"/>
      <c r="N7785" s="904"/>
      <c r="O7785" s="902">
        <v>4</v>
      </c>
      <c r="P7785" s="906">
        <v>38274</v>
      </c>
      <c r="Q7785" s="907">
        <v>735</v>
      </c>
      <c r="R7785" s="908">
        <f>$A7785*Q7785</f>
        <v>735</v>
      </c>
      <c r="S7785" s="907"/>
      <c r="T7785" s="909">
        <f>$A7785*S7785*$T$1</f>
        <v>0</v>
      </c>
      <c r="AR7785" s="903">
        <v>1</v>
      </c>
      <c r="AS7785" s="904" t="s">
        <v>3505</v>
      </c>
    </row>
    <row r="7786" spans="1:45" s="520" customFormat="1" ht="12">
      <c r="A7786" s="758"/>
      <c r="B7786" s="758"/>
      <c r="C7786" s="758"/>
      <c r="D7786" s="758"/>
      <c r="E7786" s="758"/>
      <c r="F7786" s="753"/>
      <c r="G7786" s="758"/>
      <c r="H7786" s="758"/>
      <c r="I7786" s="519"/>
      <c r="J7786" s="758"/>
      <c r="K7786" s="758"/>
      <c r="L7786" s="758"/>
      <c r="M7786" s="758"/>
      <c r="N7786" s="758"/>
      <c r="O7786" s="758"/>
      <c r="P7786" s="758"/>
      <c r="Q7786" s="519"/>
      <c r="R7786" s="759">
        <f t="shared" ref="R7786" si="768">$A7786*Q7786</f>
        <v>0</v>
      </c>
      <c r="S7786" s="519"/>
      <c r="T7786" s="760">
        <f t="shared" ref="T7786" si="769">$A7786*S7786*$T$1</f>
        <v>0</v>
      </c>
      <c r="AR7786" s="758"/>
      <c r="AS7786" s="753"/>
    </row>
    <row r="7787" spans="1:45" s="520" customFormat="1" ht="12.6" thickBot="1">
      <c r="A7787" s="761" t="s">
        <v>145</v>
      </c>
      <c r="B7787" s="762">
        <f>(R7786+T7786)</f>
        <v>0</v>
      </c>
      <c r="C7787" s="763"/>
      <c r="D7787" s="763"/>
      <c r="E7787" s="763"/>
      <c r="F7787" s="764"/>
      <c r="G7787" s="763" t="s">
        <v>146</v>
      </c>
      <c r="H7787" s="763"/>
      <c r="I7787" s="765"/>
      <c r="J7787" s="763"/>
      <c r="K7787" s="763" t="s">
        <v>8</v>
      </c>
      <c r="L7787" s="766" t="s">
        <v>143</v>
      </c>
      <c r="M7787" s="766"/>
      <c r="N7787" s="766"/>
      <c r="O7787" s="766"/>
      <c r="P7787" s="766"/>
      <c r="Q7787" s="767"/>
      <c r="R7787" s="768">
        <f>SUM(R7784:R7786)</f>
        <v>735</v>
      </c>
      <c r="S7787" s="763"/>
      <c r="T7787" s="768">
        <f>SUM(T7784:T7786)</f>
        <v>0</v>
      </c>
      <c r="U7787" s="531"/>
      <c r="V7787" s="531"/>
      <c r="W7787" s="531"/>
      <c r="X7787" s="531"/>
      <c r="Y7787" s="531"/>
      <c r="Z7787" s="531"/>
      <c r="AA7787" s="531"/>
      <c r="AB7787" s="531"/>
      <c r="AC7787" s="531"/>
      <c r="AD7787" s="531"/>
      <c r="AE7787" s="531"/>
      <c r="AF7787" s="531"/>
      <c r="AG7787" s="531"/>
      <c r="AH7787" s="531"/>
      <c r="AI7787" s="531"/>
      <c r="AJ7787" s="531"/>
      <c r="AK7787" s="531"/>
      <c r="AL7787" s="531"/>
      <c r="AM7787" s="531"/>
      <c r="AN7787" s="531"/>
      <c r="AO7787" s="531"/>
      <c r="AR7787" s="761" t="s">
        <v>145</v>
      </c>
      <c r="AS7787" s="764"/>
    </row>
    <row r="7788" spans="1:45" s="520" customFormat="1" ht="12" thickTop="1">
      <c r="A7788" s="51"/>
      <c r="B7788" s="41"/>
      <c r="C7788" s="51"/>
      <c r="E7788" s="42" t="s">
        <v>138</v>
      </c>
      <c r="F7788" s="42" t="s">
        <v>139</v>
      </c>
      <c r="G7788" s="51"/>
      <c r="H7788" s="51"/>
      <c r="I7788" s="51"/>
      <c r="J7788" s="51"/>
      <c r="K7788" s="51" t="s">
        <v>140</v>
      </c>
      <c r="L7788" s="51"/>
      <c r="M7788" s="51"/>
      <c r="N7788" s="51"/>
      <c r="O7788" s="52"/>
      <c r="P7788" s="51"/>
      <c r="Q7788" s="51"/>
      <c r="R7788" s="51"/>
      <c r="S7788" s="51"/>
      <c r="T7788" s="41"/>
      <c r="AG7788" s="521" t="s">
        <v>268</v>
      </c>
      <c r="AH7788" s="521" t="s">
        <v>269</v>
      </c>
      <c r="AI7788" s="521" t="s">
        <v>270</v>
      </c>
      <c r="AJ7788" s="521" t="s">
        <v>271</v>
      </c>
      <c r="AK7788" s="521" t="s">
        <v>272</v>
      </c>
      <c r="AM7788" s="745" t="s">
        <v>281</v>
      </c>
      <c r="AN7788" s="746" t="s">
        <v>282</v>
      </c>
      <c r="AO7788" s="522" t="s">
        <v>278</v>
      </c>
      <c r="AR7788" s="51"/>
      <c r="AS7788" s="42" t="s">
        <v>139</v>
      </c>
    </row>
    <row r="7789" spans="1:45" s="520" customFormat="1" ht="12" customHeight="1">
      <c r="A7789" s="747">
        <v>1</v>
      </c>
      <c r="B7789" s="523" t="s">
        <v>299</v>
      </c>
      <c r="C7789" s="748"/>
      <c r="D7789" s="749" t="s">
        <v>2034</v>
      </c>
      <c r="E7789" s="1164">
        <f>IF(AND($A7789=0,$A$1="DIF"),0, ROUND(ROUND(($R7793*$S$4+($T7793*$T$4))/$A7789,2)*$C$4,2))</f>
        <v>829.62</v>
      </c>
      <c r="F7789" s="1165">
        <f>ROUND($A7789*$E7789,2)</f>
        <v>829.62</v>
      </c>
      <c r="G7789" s="752" t="s">
        <v>142</v>
      </c>
      <c r="H7789" s="753"/>
      <c r="I7789" s="754"/>
      <c r="J7789" s="753"/>
      <c r="K7789" s="753" t="s">
        <v>8</v>
      </c>
      <c r="L7789" s="755" t="s">
        <v>143</v>
      </c>
      <c r="M7789" s="755"/>
      <c r="N7789" s="755"/>
      <c r="O7789" s="755"/>
      <c r="P7789" s="755"/>
      <c r="Q7789" s="51"/>
      <c r="T7789" s="1169" t="str">
        <f>IF(AND($R7793=0,$T7793=0),"0.00","mu: "&amp; ROUND(F7789/$C$4/($R7793+$T7793*$D$9),2))</f>
        <v>mu: 1.13</v>
      </c>
      <c r="W7789" s="524"/>
      <c r="AG7789" s="1166">
        <f>IF($E7789=0,0,ROUND($R7793*$S$4*$C$4/$A7789,2))</f>
        <v>829.62</v>
      </c>
      <c r="AH7789" s="1166">
        <f>$AG7789*$A7789</f>
        <v>829.62</v>
      </c>
      <c r="AI7789" s="1167">
        <f>$E7789-$AG7789</f>
        <v>0</v>
      </c>
      <c r="AJ7789" s="1167">
        <f>$A7789*$AI7789</f>
        <v>0</v>
      </c>
      <c r="AK7789" s="1168">
        <f>ROUND(($AG7789+$AI7789)*$A7789,2)</f>
        <v>829.62</v>
      </c>
      <c r="AM7789" s="527">
        <f>ROUND(R7793,2)</f>
        <v>735</v>
      </c>
      <c r="AN7789" s="528">
        <f>ROUND(T7793,2)</f>
        <v>0</v>
      </c>
      <c r="AO7789" s="529">
        <f>ROUND(AM7789+AN7789,2)*A7789</f>
        <v>735</v>
      </c>
      <c r="AR7789" s="747">
        <v>1</v>
      </c>
      <c r="AS7789" s="1165">
        <v>829.62</v>
      </c>
    </row>
    <row r="7790" spans="1:45" s="520" customFormat="1" ht="13.2">
      <c r="A7790" s="748"/>
      <c r="B7790"/>
      <c r="C7790" s="748"/>
      <c r="D7790" s="749" t="s">
        <v>1031</v>
      </c>
      <c r="F7790" s="753"/>
      <c r="G7790" s="3"/>
      <c r="H7790" s="753"/>
      <c r="I7790" s="754"/>
      <c r="J7790" s="753"/>
      <c r="K7790" s="753" t="s">
        <v>144</v>
      </c>
      <c r="L7790" s="753"/>
      <c r="M7790" s="753"/>
      <c r="N7790" s="753"/>
      <c r="O7790" s="753"/>
      <c r="P7790" s="753"/>
      <c r="Q7790" s="51"/>
      <c r="R7790" s="530"/>
      <c r="S7790" s="757"/>
      <c r="T7790" s="753"/>
      <c r="AR7790" s="748"/>
      <c r="AS7790" s="753"/>
    </row>
    <row r="7791" spans="1:45" s="901" customFormat="1" ht="13.2">
      <c r="A7791" s="903">
        <v>1</v>
      </c>
      <c r="B7791" s="904" t="s">
        <v>863</v>
      </c>
      <c r="C7791" s="904"/>
      <c r="D7791" s="904" t="s">
        <v>2594</v>
      </c>
      <c r="E7791" s="904"/>
      <c r="F7791" s="904" t="s">
        <v>3505</v>
      </c>
      <c r="G7791" s="905" t="s">
        <v>2595</v>
      </c>
      <c r="H7791" s="902">
        <v>960</v>
      </c>
      <c r="I7791" s="904" t="s">
        <v>2596</v>
      </c>
      <c r="J7791" s="904"/>
      <c r="K7791" s="904"/>
      <c r="L7791" s="904"/>
      <c r="M7791" s="904"/>
      <c r="N7791" s="904"/>
      <c r="O7791" s="902">
        <v>4</v>
      </c>
      <c r="P7791" s="906">
        <v>38274</v>
      </c>
      <c r="Q7791" s="907">
        <v>735</v>
      </c>
      <c r="R7791" s="908">
        <f>$A7791*Q7791</f>
        <v>735</v>
      </c>
      <c r="S7791" s="907"/>
      <c r="T7791" s="909">
        <f>$A7791*S7791*$T$1</f>
        <v>0</v>
      </c>
      <c r="AR7791" s="903">
        <v>1</v>
      </c>
      <c r="AS7791" s="904" t="s">
        <v>3505</v>
      </c>
    </row>
    <row r="7792" spans="1:45" s="520" customFormat="1" ht="12">
      <c r="A7792" s="758"/>
      <c r="B7792" s="758"/>
      <c r="C7792" s="758"/>
      <c r="D7792" s="758"/>
      <c r="E7792" s="758"/>
      <c r="F7792" s="753"/>
      <c r="G7792" s="758"/>
      <c r="H7792" s="758"/>
      <c r="I7792" s="519"/>
      <c r="J7792" s="758"/>
      <c r="K7792" s="758"/>
      <c r="L7792" s="758"/>
      <c r="M7792" s="758"/>
      <c r="N7792" s="758"/>
      <c r="O7792" s="758"/>
      <c r="P7792" s="758"/>
      <c r="Q7792" s="519"/>
      <c r="R7792" s="759">
        <f t="shared" ref="R7792" si="770">$A7792*Q7792</f>
        <v>0</v>
      </c>
      <c r="S7792" s="519"/>
      <c r="T7792" s="760">
        <f t="shared" ref="T7792" si="771">$A7792*S7792*$T$1</f>
        <v>0</v>
      </c>
      <c r="AR7792" s="758"/>
      <c r="AS7792" s="753"/>
    </row>
    <row r="7793" spans="1:45" s="520" customFormat="1" ht="12.6" thickBot="1">
      <c r="A7793" s="761" t="s">
        <v>145</v>
      </c>
      <c r="B7793" s="762">
        <f>(R7792+T7792)</f>
        <v>0</v>
      </c>
      <c r="C7793" s="763"/>
      <c r="D7793" s="763"/>
      <c r="E7793" s="763"/>
      <c r="F7793" s="764"/>
      <c r="G7793" s="763" t="s">
        <v>146</v>
      </c>
      <c r="H7793" s="763"/>
      <c r="I7793" s="765"/>
      <c r="J7793" s="763"/>
      <c r="K7793" s="763" t="s">
        <v>8</v>
      </c>
      <c r="L7793" s="766" t="s">
        <v>143</v>
      </c>
      <c r="M7793" s="766"/>
      <c r="N7793" s="766"/>
      <c r="O7793" s="766"/>
      <c r="P7793" s="766"/>
      <c r="Q7793" s="767"/>
      <c r="R7793" s="768">
        <f>SUM(R7790:R7792)</f>
        <v>735</v>
      </c>
      <c r="S7793" s="763"/>
      <c r="T7793" s="768">
        <f>SUM(T7790:T7792)</f>
        <v>0</v>
      </c>
      <c r="U7793" s="531"/>
      <c r="V7793" s="531"/>
      <c r="W7793" s="531"/>
      <c r="X7793" s="531"/>
      <c r="Y7793" s="531"/>
      <c r="Z7793" s="531"/>
      <c r="AA7793" s="531"/>
      <c r="AB7793" s="531"/>
      <c r="AC7793" s="531"/>
      <c r="AD7793" s="531"/>
      <c r="AE7793" s="531"/>
      <c r="AF7793" s="531"/>
      <c r="AG7793" s="531"/>
      <c r="AH7793" s="531"/>
      <c r="AI7793" s="531"/>
      <c r="AJ7793" s="531"/>
      <c r="AK7793" s="531"/>
      <c r="AL7793" s="531"/>
      <c r="AM7793" s="531"/>
      <c r="AN7793" s="531"/>
      <c r="AO7793" s="531"/>
      <c r="AR7793" s="761" t="s">
        <v>145</v>
      </c>
      <c r="AS7793" s="764"/>
    </row>
    <row r="7794" spans="1:45" s="520" customFormat="1" ht="12" thickTop="1">
      <c r="A7794" s="51"/>
      <c r="B7794" s="41"/>
      <c r="C7794" s="51"/>
      <c r="E7794" s="42" t="s">
        <v>138</v>
      </c>
      <c r="F7794" s="42" t="s">
        <v>139</v>
      </c>
      <c r="G7794" s="51"/>
      <c r="H7794" s="51"/>
      <c r="I7794" s="51"/>
      <c r="J7794" s="51"/>
      <c r="K7794" s="51" t="s">
        <v>140</v>
      </c>
      <c r="L7794" s="51"/>
      <c r="M7794" s="51"/>
      <c r="N7794" s="51"/>
      <c r="O7794" s="52"/>
      <c r="P7794" s="51"/>
      <c r="Q7794" s="51"/>
      <c r="R7794" s="51"/>
      <c r="S7794" s="51"/>
      <c r="T7794" s="41"/>
      <c r="AG7794" s="521" t="s">
        <v>268</v>
      </c>
      <c r="AH7794" s="521" t="s">
        <v>269</v>
      </c>
      <c r="AI7794" s="521" t="s">
        <v>270</v>
      </c>
      <c r="AJ7794" s="521" t="s">
        <v>271</v>
      </c>
      <c r="AK7794" s="521" t="s">
        <v>272</v>
      </c>
      <c r="AM7794" s="745" t="s">
        <v>281</v>
      </c>
      <c r="AN7794" s="746" t="s">
        <v>282</v>
      </c>
      <c r="AO7794" s="522" t="s">
        <v>278</v>
      </c>
      <c r="AR7794" s="51"/>
      <c r="AS7794" s="42" t="s">
        <v>139</v>
      </c>
    </row>
    <row r="7795" spans="1:45" s="520" customFormat="1" ht="12" customHeight="1">
      <c r="A7795" s="747">
        <v>1</v>
      </c>
      <c r="B7795" s="523" t="s">
        <v>299</v>
      </c>
      <c r="C7795" s="748"/>
      <c r="D7795" s="749" t="s">
        <v>2035</v>
      </c>
      <c r="E7795" s="1164">
        <f>IF(AND($A7795=0,$A$1="DIF"),0, ROUND(ROUND(($R7799*$S$4+($T7799*$T$4))/$A7795,2)*$C$4,2))</f>
        <v>829.62</v>
      </c>
      <c r="F7795" s="1165">
        <f>ROUND($A7795*$E7795,2)</f>
        <v>829.62</v>
      </c>
      <c r="G7795" s="752" t="s">
        <v>142</v>
      </c>
      <c r="H7795" s="753"/>
      <c r="I7795" s="754"/>
      <c r="J7795" s="753"/>
      <c r="K7795" s="753" t="s">
        <v>8</v>
      </c>
      <c r="L7795" s="755" t="s">
        <v>143</v>
      </c>
      <c r="M7795" s="755"/>
      <c r="N7795" s="755"/>
      <c r="O7795" s="755"/>
      <c r="P7795" s="755"/>
      <c r="Q7795" s="51"/>
      <c r="T7795" s="1169" t="str">
        <f>IF(AND($R7799=0,$T7799=0),"0.00","mu: "&amp; ROUND(F7795/$C$4/($R7799+$T7799*$D$9),2))</f>
        <v>mu: 1.13</v>
      </c>
      <c r="W7795" s="524"/>
      <c r="AG7795" s="1166">
        <f>IF($E7795=0,0,ROUND($R7799*$S$4*$C$4/$A7795,2))</f>
        <v>829.62</v>
      </c>
      <c r="AH7795" s="1166">
        <f>$AG7795*$A7795</f>
        <v>829.62</v>
      </c>
      <c r="AI7795" s="1167">
        <f>$E7795-$AG7795</f>
        <v>0</v>
      </c>
      <c r="AJ7795" s="1167">
        <f>$A7795*$AI7795</f>
        <v>0</v>
      </c>
      <c r="AK7795" s="1168">
        <f>ROUND(($AG7795+$AI7795)*$A7795,2)</f>
        <v>829.62</v>
      </c>
      <c r="AM7795" s="527">
        <f>ROUND(R7799,2)</f>
        <v>735</v>
      </c>
      <c r="AN7795" s="528">
        <f>ROUND(T7799,2)</f>
        <v>0</v>
      </c>
      <c r="AO7795" s="529">
        <f>ROUND(AM7795+AN7795,2)*A7795</f>
        <v>735</v>
      </c>
      <c r="AR7795" s="747">
        <v>1</v>
      </c>
      <c r="AS7795" s="1165">
        <v>829.62</v>
      </c>
    </row>
    <row r="7796" spans="1:45" s="520" customFormat="1" ht="13.2">
      <c r="A7796" s="748"/>
      <c r="B7796"/>
      <c r="C7796" s="748"/>
      <c r="D7796" s="749" t="s">
        <v>1032</v>
      </c>
      <c r="F7796" s="753"/>
      <c r="G7796" s="3"/>
      <c r="H7796" s="753"/>
      <c r="I7796" s="754"/>
      <c r="J7796" s="753"/>
      <c r="K7796" s="753" t="s">
        <v>144</v>
      </c>
      <c r="L7796" s="753"/>
      <c r="M7796" s="753"/>
      <c r="N7796" s="753"/>
      <c r="O7796" s="753"/>
      <c r="P7796" s="753"/>
      <c r="Q7796" s="51"/>
      <c r="R7796" s="530"/>
      <c r="S7796" s="757"/>
      <c r="T7796" s="753"/>
      <c r="AR7796" s="748"/>
      <c r="AS7796" s="753"/>
    </row>
    <row r="7797" spans="1:45" s="901" customFormat="1" ht="13.2">
      <c r="A7797" s="903">
        <v>1</v>
      </c>
      <c r="B7797" s="904" t="s">
        <v>863</v>
      </c>
      <c r="C7797" s="904"/>
      <c r="D7797" s="904" t="s">
        <v>2594</v>
      </c>
      <c r="E7797" s="904"/>
      <c r="F7797" s="904" t="s">
        <v>3505</v>
      </c>
      <c r="G7797" s="905" t="s">
        <v>2595</v>
      </c>
      <c r="H7797" s="902">
        <v>960</v>
      </c>
      <c r="I7797" s="904" t="s">
        <v>2596</v>
      </c>
      <c r="J7797" s="904"/>
      <c r="K7797" s="904"/>
      <c r="L7797" s="904"/>
      <c r="M7797" s="904"/>
      <c r="N7797" s="904"/>
      <c r="O7797" s="902">
        <v>4</v>
      </c>
      <c r="P7797" s="906">
        <v>38274</v>
      </c>
      <c r="Q7797" s="907">
        <v>735</v>
      </c>
      <c r="R7797" s="908">
        <f>$A7797*Q7797</f>
        <v>735</v>
      </c>
      <c r="S7797" s="907"/>
      <c r="T7797" s="909">
        <f>$A7797*S7797*$T$1</f>
        <v>0</v>
      </c>
      <c r="AR7797" s="903">
        <v>1</v>
      </c>
      <c r="AS7797" s="904" t="s">
        <v>3505</v>
      </c>
    </row>
    <row r="7798" spans="1:45" s="520" customFormat="1" ht="12">
      <c r="A7798" s="758"/>
      <c r="B7798" s="758"/>
      <c r="C7798" s="758"/>
      <c r="D7798" s="758"/>
      <c r="E7798" s="758"/>
      <c r="F7798" s="753"/>
      <c r="G7798" s="758"/>
      <c r="H7798" s="758"/>
      <c r="I7798" s="519"/>
      <c r="J7798" s="758"/>
      <c r="K7798" s="758"/>
      <c r="L7798" s="758"/>
      <c r="M7798" s="758"/>
      <c r="N7798" s="758"/>
      <c r="O7798" s="758"/>
      <c r="P7798" s="758"/>
      <c r="Q7798" s="519"/>
      <c r="R7798" s="759">
        <f t="shared" ref="R7798" si="772">$A7798*Q7798</f>
        <v>0</v>
      </c>
      <c r="S7798" s="519"/>
      <c r="T7798" s="760">
        <f t="shared" ref="T7798" si="773">$A7798*S7798*$T$1</f>
        <v>0</v>
      </c>
      <c r="AR7798" s="758"/>
      <c r="AS7798" s="753"/>
    </row>
    <row r="7799" spans="1:45" s="520" customFormat="1" ht="12.6" thickBot="1">
      <c r="A7799" s="761" t="s">
        <v>145</v>
      </c>
      <c r="B7799" s="762">
        <f>(R7798+T7798)</f>
        <v>0</v>
      </c>
      <c r="C7799" s="763"/>
      <c r="D7799" s="763"/>
      <c r="E7799" s="763"/>
      <c r="F7799" s="764"/>
      <c r="G7799" s="763" t="s">
        <v>146</v>
      </c>
      <c r="H7799" s="763"/>
      <c r="I7799" s="765"/>
      <c r="J7799" s="763"/>
      <c r="K7799" s="763" t="s">
        <v>8</v>
      </c>
      <c r="L7799" s="766" t="s">
        <v>143</v>
      </c>
      <c r="M7799" s="766"/>
      <c r="N7799" s="766"/>
      <c r="O7799" s="766"/>
      <c r="P7799" s="766"/>
      <c r="Q7799" s="767"/>
      <c r="R7799" s="768">
        <f>SUM(R7796:R7798)</f>
        <v>735</v>
      </c>
      <c r="S7799" s="763"/>
      <c r="T7799" s="768">
        <f>SUM(T7796:T7798)</f>
        <v>0</v>
      </c>
      <c r="U7799" s="531"/>
      <c r="V7799" s="531"/>
      <c r="W7799" s="531"/>
      <c r="X7799" s="531"/>
      <c r="Y7799" s="531"/>
      <c r="Z7799" s="531"/>
      <c r="AA7799" s="531"/>
      <c r="AB7799" s="531"/>
      <c r="AC7799" s="531"/>
      <c r="AD7799" s="531"/>
      <c r="AE7799" s="531"/>
      <c r="AF7799" s="531"/>
      <c r="AG7799" s="531"/>
      <c r="AH7799" s="531"/>
      <c r="AI7799" s="531"/>
      <c r="AJ7799" s="531"/>
      <c r="AK7799" s="531"/>
      <c r="AL7799" s="531"/>
      <c r="AM7799" s="531"/>
      <c r="AN7799" s="531"/>
      <c r="AO7799" s="531"/>
      <c r="AR7799" s="761" t="s">
        <v>145</v>
      </c>
      <c r="AS7799" s="764"/>
    </row>
    <row r="7800" spans="1:45" s="520" customFormat="1" ht="12" thickTop="1">
      <c r="A7800" s="51"/>
      <c r="B7800" s="41"/>
      <c r="C7800" s="51"/>
      <c r="E7800" s="42" t="s">
        <v>138</v>
      </c>
      <c r="F7800" s="42" t="s">
        <v>139</v>
      </c>
      <c r="G7800" s="51"/>
      <c r="H7800" s="51"/>
      <c r="I7800" s="51"/>
      <c r="J7800" s="51"/>
      <c r="K7800" s="51" t="s">
        <v>140</v>
      </c>
      <c r="L7800" s="51"/>
      <c r="M7800" s="51"/>
      <c r="N7800" s="51"/>
      <c r="O7800" s="52"/>
      <c r="P7800" s="51"/>
      <c r="Q7800" s="51"/>
      <c r="R7800" s="51"/>
      <c r="S7800" s="51"/>
      <c r="T7800" s="41"/>
      <c r="AG7800" s="521" t="s">
        <v>268</v>
      </c>
      <c r="AH7800" s="521" t="s">
        <v>269</v>
      </c>
      <c r="AI7800" s="521" t="s">
        <v>270</v>
      </c>
      <c r="AJ7800" s="521" t="s">
        <v>271</v>
      </c>
      <c r="AK7800" s="521" t="s">
        <v>272</v>
      </c>
      <c r="AM7800" s="745" t="s">
        <v>281</v>
      </c>
      <c r="AN7800" s="746" t="s">
        <v>282</v>
      </c>
      <c r="AO7800" s="522" t="s">
        <v>278</v>
      </c>
      <c r="AR7800" s="51"/>
      <c r="AS7800" s="42" t="s">
        <v>139</v>
      </c>
    </row>
    <row r="7801" spans="1:45" s="520" customFormat="1" ht="12" customHeight="1">
      <c r="A7801" s="747">
        <v>1</v>
      </c>
      <c r="B7801" s="523" t="s">
        <v>299</v>
      </c>
      <c r="C7801" s="748"/>
      <c r="D7801" s="749" t="s">
        <v>2036</v>
      </c>
      <c r="E7801" s="1164">
        <f>IF(AND($A7801=0,$A$1="DIF"),0, ROUND(ROUND(($R7805*$S$4+($T7805*$T$4))/$A7801,2)*$C$4,2))</f>
        <v>414.81</v>
      </c>
      <c r="F7801" s="1165">
        <f>ROUND($A7801*$E7801,2)</f>
        <v>414.81</v>
      </c>
      <c r="G7801" s="752" t="s">
        <v>142</v>
      </c>
      <c r="H7801" s="753"/>
      <c r="I7801" s="754"/>
      <c r="J7801" s="753"/>
      <c r="K7801" s="753" t="s">
        <v>8</v>
      </c>
      <c r="L7801" s="755" t="s">
        <v>143</v>
      </c>
      <c r="M7801" s="755"/>
      <c r="N7801" s="755"/>
      <c r="O7801" s="755"/>
      <c r="P7801" s="755"/>
      <c r="Q7801" s="51"/>
      <c r="T7801" s="1169" t="str">
        <f>IF(AND($R7805=0,$T7805=0),"0.00","mu: "&amp; ROUND(F7801/$C$4/($R7805+$T7805*$D$9),2))</f>
        <v>mu: 1.13</v>
      </c>
      <c r="W7801" s="524"/>
      <c r="AG7801" s="1166">
        <f>IF($E7801=0,0,ROUND($R7805*$S$4*$C$4/$A7801,2))</f>
        <v>414.81</v>
      </c>
      <c r="AH7801" s="1166">
        <f>$AG7801*$A7801</f>
        <v>414.81</v>
      </c>
      <c r="AI7801" s="1167">
        <f>$E7801-$AG7801</f>
        <v>0</v>
      </c>
      <c r="AJ7801" s="1167">
        <f>$A7801*$AI7801</f>
        <v>0</v>
      </c>
      <c r="AK7801" s="1168">
        <f>ROUND(($AG7801+$AI7801)*$A7801,2)</f>
        <v>414.81</v>
      </c>
      <c r="AM7801" s="527">
        <f>ROUND(R7805,2)</f>
        <v>367.5</v>
      </c>
      <c r="AN7801" s="528">
        <f>ROUND(T7805,2)</f>
        <v>0</v>
      </c>
      <c r="AO7801" s="529">
        <f>ROUND(AM7801+AN7801,2)*A7801</f>
        <v>367.5</v>
      </c>
      <c r="AR7801" s="747">
        <v>1</v>
      </c>
      <c r="AS7801" s="1165">
        <v>414.81</v>
      </c>
    </row>
    <row r="7802" spans="1:45" s="520" customFormat="1" ht="13.2">
      <c r="A7802" s="748"/>
      <c r="B7802"/>
      <c r="C7802" s="748"/>
      <c r="D7802" s="749" t="s">
        <v>1033</v>
      </c>
      <c r="F7802" s="753"/>
      <c r="G7802" s="3"/>
      <c r="H7802" s="753"/>
      <c r="I7802" s="754"/>
      <c r="J7802" s="753"/>
      <c r="K7802" s="753" t="s">
        <v>144</v>
      </c>
      <c r="L7802" s="753"/>
      <c r="M7802" s="753"/>
      <c r="N7802" s="753"/>
      <c r="O7802" s="753"/>
      <c r="P7802" s="753"/>
      <c r="Q7802" s="51"/>
      <c r="R7802" s="530"/>
      <c r="S7802" s="757"/>
      <c r="T7802" s="753"/>
      <c r="AR7802" s="748"/>
      <c r="AS7802" s="753"/>
    </row>
    <row r="7803" spans="1:45" s="901" customFormat="1" ht="13.2">
      <c r="A7803" s="903">
        <v>1</v>
      </c>
      <c r="B7803" s="904" t="s">
        <v>863</v>
      </c>
      <c r="C7803" s="904"/>
      <c r="D7803" s="904" t="s">
        <v>2594</v>
      </c>
      <c r="E7803" s="904"/>
      <c r="F7803" s="904" t="s">
        <v>3505</v>
      </c>
      <c r="G7803" s="905" t="s">
        <v>2595</v>
      </c>
      <c r="H7803" s="902">
        <v>960</v>
      </c>
      <c r="I7803" s="904" t="s">
        <v>2596</v>
      </c>
      <c r="J7803" s="904"/>
      <c r="K7803" s="904"/>
      <c r="L7803" s="904"/>
      <c r="M7803" s="904"/>
      <c r="N7803" s="904"/>
      <c r="O7803" s="902">
        <v>4</v>
      </c>
      <c r="P7803" s="906">
        <v>38274</v>
      </c>
      <c r="Q7803" s="907">
        <v>367.5</v>
      </c>
      <c r="R7803" s="908">
        <f>$A7803*Q7803</f>
        <v>367.5</v>
      </c>
      <c r="S7803" s="907"/>
      <c r="T7803" s="909">
        <f>$A7803*S7803*$T$1</f>
        <v>0</v>
      </c>
      <c r="AR7803" s="903">
        <v>1</v>
      </c>
      <c r="AS7803" s="904" t="s">
        <v>3505</v>
      </c>
    </row>
    <row r="7804" spans="1:45" s="520" customFormat="1" ht="12">
      <c r="A7804" s="758"/>
      <c r="B7804" s="758"/>
      <c r="C7804" s="758"/>
      <c r="D7804" s="758"/>
      <c r="E7804" s="758"/>
      <c r="F7804" s="753"/>
      <c r="G7804" s="758"/>
      <c r="H7804" s="758"/>
      <c r="I7804" s="519"/>
      <c r="J7804" s="758"/>
      <c r="K7804" s="758"/>
      <c r="L7804" s="758"/>
      <c r="M7804" s="758"/>
      <c r="N7804" s="758"/>
      <c r="O7804" s="758"/>
      <c r="P7804" s="758"/>
      <c r="Q7804" s="519"/>
      <c r="R7804" s="759">
        <f t="shared" ref="R7804" si="774">$A7804*Q7804</f>
        <v>0</v>
      </c>
      <c r="S7804" s="519"/>
      <c r="T7804" s="760">
        <f t="shared" ref="T7804" si="775">$A7804*S7804*$T$1</f>
        <v>0</v>
      </c>
      <c r="AR7804" s="758"/>
      <c r="AS7804" s="753"/>
    </row>
    <row r="7805" spans="1:45" s="520" customFormat="1" ht="12.6" thickBot="1">
      <c r="A7805" s="761" t="s">
        <v>145</v>
      </c>
      <c r="B7805" s="762">
        <f>(R7804+T7804)</f>
        <v>0</v>
      </c>
      <c r="C7805" s="763"/>
      <c r="D7805" s="763"/>
      <c r="E7805" s="763"/>
      <c r="F7805" s="764"/>
      <c r="G7805" s="763" t="s">
        <v>146</v>
      </c>
      <c r="H7805" s="763"/>
      <c r="I7805" s="765"/>
      <c r="J7805" s="763"/>
      <c r="K7805" s="763" t="s">
        <v>8</v>
      </c>
      <c r="L7805" s="766" t="s">
        <v>143</v>
      </c>
      <c r="M7805" s="766"/>
      <c r="N7805" s="766"/>
      <c r="O7805" s="766"/>
      <c r="P7805" s="766"/>
      <c r="Q7805" s="767"/>
      <c r="R7805" s="768">
        <f>SUM(R7802:R7804)</f>
        <v>367.5</v>
      </c>
      <c r="S7805" s="763"/>
      <c r="T7805" s="768">
        <f>SUM(T7802:T7804)</f>
        <v>0</v>
      </c>
      <c r="U7805" s="531"/>
      <c r="V7805" s="531"/>
      <c r="W7805" s="531"/>
      <c r="X7805" s="531"/>
      <c r="Y7805" s="531"/>
      <c r="Z7805" s="531"/>
      <c r="AA7805" s="531"/>
      <c r="AB7805" s="531"/>
      <c r="AC7805" s="531"/>
      <c r="AD7805" s="531"/>
      <c r="AE7805" s="531"/>
      <c r="AF7805" s="531"/>
      <c r="AG7805" s="531"/>
      <c r="AH7805" s="531"/>
      <c r="AI7805" s="531"/>
      <c r="AJ7805" s="531"/>
      <c r="AK7805" s="531"/>
      <c r="AL7805" s="531"/>
      <c r="AM7805" s="531"/>
      <c r="AN7805" s="531"/>
      <c r="AO7805" s="531"/>
      <c r="AR7805" s="761" t="s">
        <v>145</v>
      </c>
      <c r="AS7805" s="764"/>
    </row>
    <row r="7806" spans="1:45" s="520" customFormat="1" ht="12" thickTop="1">
      <c r="A7806" s="51"/>
      <c r="B7806" s="41"/>
      <c r="C7806" s="51"/>
      <c r="E7806" s="42" t="s">
        <v>138</v>
      </c>
      <c r="F7806" s="42" t="s">
        <v>139</v>
      </c>
      <c r="G7806" s="51"/>
      <c r="H7806" s="51"/>
      <c r="I7806" s="51"/>
      <c r="J7806" s="51"/>
      <c r="K7806" s="51" t="s">
        <v>140</v>
      </c>
      <c r="L7806" s="51"/>
      <c r="M7806" s="51"/>
      <c r="N7806" s="51"/>
      <c r="O7806" s="52"/>
      <c r="P7806" s="51"/>
      <c r="Q7806" s="51"/>
      <c r="R7806" s="51"/>
      <c r="S7806" s="51"/>
      <c r="T7806" s="41"/>
      <c r="AG7806" s="521" t="s">
        <v>268</v>
      </c>
      <c r="AH7806" s="521" t="s">
        <v>269</v>
      </c>
      <c r="AI7806" s="521" t="s">
        <v>270</v>
      </c>
      <c r="AJ7806" s="521" t="s">
        <v>271</v>
      </c>
      <c r="AK7806" s="521" t="s">
        <v>272</v>
      </c>
      <c r="AM7806" s="745" t="s">
        <v>281</v>
      </c>
      <c r="AN7806" s="746" t="s">
        <v>282</v>
      </c>
      <c r="AO7806" s="522" t="s">
        <v>278</v>
      </c>
      <c r="AR7806" s="51"/>
      <c r="AS7806" s="42" t="s">
        <v>139</v>
      </c>
    </row>
    <row r="7807" spans="1:45" s="520" customFormat="1" ht="12" customHeight="1">
      <c r="A7807" s="747">
        <v>1</v>
      </c>
      <c r="B7807" s="523" t="s">
        <v>299</v>
      </c>
      <c r="C7807" s="748"/>
      <c r="D7807" s="749" t="s">
        <v>2037</v>
      </c>
      <c r="E7807" s="1164">
        <f>IF(AND($A7807=0,$A$1="DIF"),0, ROUND(ROUND(($R7811*$S$4+($T7811*$T$4))/$A7807,2)*$C$4,2))</f>
        <v>1128.73</v>
      </c>
      <c r="F7807" s="1165">
        <f>ROUND($A7807*$E7807,2)</f>
        <v>1128.73</v>
      </c>
      <c r="G7807" s="752" t="s">
        <v>142</v>
      </c>
      <c r="H7807" s="753"/>
      <c r="I7807" s="754"/>
      <c r="J7807" s="753"/>
      <c r="K7807" s="753" t="s">
        <v>8</v>
      </c>
      <c r="L7807" s="755" t="s">
        <v>143</v>
      </c>
      <c r="M7807" s="755"/>
      <c r="N7807" s="755"/>
      <c r="O7807" s="755"/>
      <c r="P7807" s="755"/>
      <c r="Q7807" s="51"/>
      <c r="T7807" s="1169" t="str">
        <f>IF(AND($R7811=0,$T7811=0),"0.00","mu: "&amp; ROUND(F7807/$C$4/($R7811+$T7811*$D$9),2))</f>
        <v>mu: 1.13</v>
      </c>
      <c r="W7807" s="524"/>
      <c r="AG7807" s="1166">
        <f>IF($E7807=0,0,ROUND($R7811*$S$4*$C$4/$A7807,2))</f>
        <v>1128.73</v>
      </c>
      <c r="AH7807" s="1166">
        <f>$AG7807*$A7807</f>
        <v>1128.73</v>
      </c>
      <c r="AI7807" s="1167">
        <f>$E7807-$AG7807</f>
        <v>0</v>
      </c>
      <c r="AJ7807" s="1167">
        <f>$A7807*$AI7807</f>
        <v>0</v>
      </c>
      <c r="AK7807" s="1168">
        <f>ROUND(($AG7807+$AI7807)*$A7807,2)</f>
        <v>1128.73</v>
      </c>
      <c r="AM7807" s="527">
        <f>ROUND(R7811,2)</f>
        <v>1000</v>
      </c>
      <c r="AN7807" s="528">
        <f>ROUND(T7811,2)</f>
        <v>0</v>
      </c>
      <c r="AO7807" s="529">
        <f>ROUND(AM7807+AN7807,2)*A7807</f>
        <v>1000</v>
      </c>
      <c r="AR7807" s="747">
        <v>1</v>
      </c>
      <c r="AS7807" s="1165">
        <v>1128.73</v>
      </c>
    </row>
    <row r="7808" spans="1:45" s="520" customFormat="1" ht="13.2">
      <c r="A7808" s="748"/>
      <c r="B7808"/>
      <c r="C7808" s="748"/>
      <c r="D7808" s="749" t="s">
        <v>1034</v>
      </c>
      <c r="F7808" s="753"/>
      <c r="G7808" s="3"/>
      <c r="H7808" s="753"/>
      <c r="I7808" s="754"/>
      <c r="J7808" s="753"/>
      <c r="K7808" s="753" t="s">
        <v>144</v>
      </c>
      <c r="L7808" s="753"/>
      <c r="M7808" s="753"/>
      <c r="N7808" s="753"/>
      <c r="O7808" s="753"/>
      <c r="P7808" s="753"/>
      <c r="Q7808" s="51"/>
      <c r="R7808" s="530"/>
      <c r="S7808" s="757"/>
      <c r="T7808" s="753"/>
      <c r="AR7808" s="748"/>
      <c r="AS7808" s="753"/>
    </row>
    <row r="7809" spans="1:45" s="901" customFormat="1" ht="13.2">
      <c r="A7809" s="903">
        <v>1</v>
      </c>
      <c r="B7809" s="904" t="s">
        <v>863</v>
      </c>
      <c r="C7809" s="904"/>
      <c r="D7809" s="904" t="s">
        <v>2594</v>
      </c>
      <c r="E7809" s="904"/>
      <c r="F7809" s="904" t="s">
        <v>3505</v>
      </c>
      <c r="G7809" s="905" t="s">
        <v>2595</v>
      </c>
      <c r="H7809" s="902">
        <v>960</v>
      </c>
      <c r="I7809" s="904" t="s">
        <v>2596</v>
      </c>
      <c r="J7809" s="904"/>
      <c r="K7809" s="904"/>
      <c r="L7809" s="904"/>
      <c r="M7809" s="904"/>
      <c r="N7809" s="904"/>
      <c r="O7809" s="902">
        <v>4</v>
      </c>
      <c r="P7809" s="906">
        <v>38274</v>
      </c>
      <c r="Q7809" s="907">
        <v>1000</v>
      </c>
      <c r="R7809" s="908">
        <f>$A7809*Q7809</f>
        <v>1000</v>
      </c>
      <c r="S7809" s="907"/>
      <c r="T7809" s="909">
        <f>$A7809*S7809*$T$1</f>
        <v>0</v>
      </c>
      <c r="AR7809" s="903">
        <v>1</v>
      </c>
      <c r="AS7809" s="904" t="s">
        <v>3505</v>
      </c>
    </row>
    <row r="7810" spans="1:45" s="520" customFormat="1" ht="12">
      <c r="A7810" s="758"/>
      <c r="B7810" s="758"/>
      <c r="C7810" s="758"/>
      <c r="D7810" s="758"/>
      <c r="E7810" s="758"/>
      <c r="F7810" s="753"/>
      <c r="G7810" s="758"/>
      <c r="H7810" s="758"/>
      <c r="I7810" s="519"/>
      <c r="J7810" s="758"/>
      <c r="K7810" s="758"/>
      <c r="L7810" s="758"/>
      <c r="M7810" s="758"/>
      <c r="N7810" s="758"/>
      <c r="O7810" s="758"/>
      <c r="P7810" s="758"/>
      <c r="Q7810" s="519"/>
      <c r="R7810" s="759">
        <f t="shared" ref="R7810" si="776">$A7810*Q7810</f>
        <v>0</v>
      </c>
      <c r="S7810" s="519"/>
      <c r="T7810" s="760">
        <f t="shared" ref="T7810" si="777">$A7810*S7810*$T$1</f>
        <v>0</v>
      </c>
      <c r="AR7810" s="758"/>
      <c r="AS7810" s="753"/>
    </row>
    <row r="7811" spans="1:45" s="520" customFormat="1" ht="12.6" thickBot="1">
      <c r="A7811" s="761" t="s">
        <v>145</v>
      </c>
      <c r="B7811" s="762">
        <f>(R7810+T7810)</f>
        <v>0</v>
      </c>
      <c r="C7811" s="763"/>
      <c r="D7811" s="763"/>
      <c r="E7811" s="763"/>
      <c r="F7811" s="764"/>
      <c r="G7811" s="763" t="s">
        <v>146</v>
      </c>
      <c r="H7811" s="763"/>
      <c r="I7811" s="765"/>
      <c r="J7811" s="763"/>
      <c r="K7811" s="763" t="s">
        <v>8</v>
      </c>
      <c r="L7811" s="766" t="s">
        <v>143</v>
      </c>
      <c r="M7811" s="766"/>
      <c r="N7811" s="766"/>
      <c r="O7811" s="766"/>
      <c r="P7811" s="766"/>
      <c r="Q7811" s="767"/>
      <c r="R7811" s="768">
        <f>SUM(R7808:R7810)</f>
        <v>1000</v>
      </c>
      <c r="S7811" s="763"/>
      <c r="T7811" s="768">
        <f>SUM(T7808:T7810)</f>
        <v>0</v>
      </c>
      <c r="U7811" s="531"/>
      <c r="V7811" s="531"/>
      <c r="W7811" s="531"/>
      <c r="X7811" s="531"/>
      <c r="Y7811" s="531"/>
      <c r="Z7811" s="531"/>
      <c r="AA7811" s="531"/>
      <c r="AB7811" s="531"/>
      <c r="AC7811" s="531"/>
      <c r="AD7811" s="531"/>
      <c r="AE7811" s="531"/>
      <c r="AF7811" s="531"/>
      <c r="AG7811" s="531"/>
      <c r="AH7811" s="531"/>
      <c r="AI7811" s="531"/>
      <c r="AJ7811" s="531"/>
      <c r="AK7811" s="531"/>
      <c r="AL7811" s="531"/>
      <c r="AM7811" s="531"/>
      <c r="AN7811" s="531"/>
      <c r="AO7811" s="531"/>
      <c r="AR7811" s="761" t="s">
        <v>145</v>
      </c>
      <c r="AS7811" s="764"/>
    </row>
    <row r="7812" spans="1:45" s="520" customFormat="1" thickTop="1">
      <c r="A7812" s="51"/>
      <c r="B7812" s="51"/>
      <c r="C7812" s="3"/>
      <c r="D7812" s="3"/>
      <c r="E7812" s="51"/>
      <c r="F7812" s="51"/>
      <c r="G7812" s="51"/>
      <c r="H7812" s="51"/>
      <c r="I7812" s="51"/>
      <c r="J7812" s="51"/>
      <c r="K7812" s="51" t="s">
        <v>134</v>
      </c>
      <c r="L7812" s="51"/>
      <c r="M7812" s="51"/>
      <c r="N7812" s="51"/>
      <c r="O7812" s="52"/>
      <c r="P7812" s="51"/>
      <c r="Q7812" s="51"/>
      <c r="R7812" s="51"/>
      <c r="S7812" s="51"/>
      <c r="T7812" s="51"/>
      <c r="AR7812" s="51"/>
      <c r="AS7812" s="51"/>
    </row>
    <row r="7813" spans="1:45" s="520" customFormat="1" ht="12">
      <c r="A7813" s="51"/>
      <c r="B7813" s="51"/>
      <c r="C7813" s="51" t="s">
        <v>135</v>
      </c>
      <c r="D7813" s="37"/>
      <c r="E7813" s="51"/>
      <c r="F7813" s="51"/>
      <c r="G7813" s="51"/>
      <c r="H7813" s="51"/>
      <c r="I7813" s="51"/>
      <c r="J7813" s="51"/>
      <c r="K7813" s="51"/>
      <c r="L7813" s="51"/>
      <c r="M7813" s="51"/>
      <c r="N7813" s="51"/>
      <c r="O7813" s="52"/>
      <c r="P7813" s="51"/>
      <c r="Q7813" s="51"/>
      <c r="R7813" s="51"/>
      <c r="S7813" s="51"/>
      <c r="T7813" s="51"/>
      <c r="AR7813" s="51"/>
      <c r="AS7813" s="51"/>
    </row>
    <row r="7814" spans="1:45" s="520" customFormat="1" ht="12">
      <c r="A7814" s="51"/>
      <c r="B7814" s="51"/>
      <c r="C7814" s="51"/>
      <c r="D7814" s="37" t="s">
        <v>379</v>
      </c>
      <c r="E7814" s="51"/>
      <c r="F7814" s="51"/>
      <c r="G7814" s="51"/>
      <c r="H7814" s="51"/>
      <c r="I7814" s="51"/>
      <c r="J7814" s="51"/>
      <c r="K7814" s="51"/>
      <c r="L7814" s="51"/>
      <c r="M7814" s="51"/>
      <c r="N7814" s="51"/>
      <c r="O7814" s="52"/>
      <c r="P7814" s="51"/>
      <c r="Q7814" s="51"/>
      <c r="R7814" s="51"/>
      <c r="S7814" s="38"/>
      <c r="T7814" s="38"/>
      <c r="AR7814" s="51"/>
      <c r="AS7814" s="51"/>
    </row>
    <row r="7815" spans="1:45" s="3" customFormat="1" thickBot="1">
      <c r="A7815" s="531"/>
      <c r="O7815" s="107"/>
      <c r="AR7815" s="531"/>
    </row>
    <row r="7816" spans="1:45" s="520" customFormat="1" ht="12" thickTop="1">
      <c r="A7816" s="51"/>
      <c r="B7816" s="41"/>
      <c r="C7816" s="51"/>
      <c r="E7816" s="42" t="s">
        <v>138</v>
      </c>
      <c r="F7816" s="42" t="s">
        <v>139</v>
      </c>
      <c r="G7816" s="51"/>
      <c r="H7816" s="51"/>
      <c r="I7816" s="51"/>
      <c r="J7816" s="51"/>
      <c r="K7816" s="51" t="s">
        <v>140</v>
      </c>
      <c r="L7816" s="51"/>
      <c r="M7816" s="51"/>
      <c r="N7816" s="51"/>
      <c r="O7816" s="52"/>
      <c r="P7816" s="51"/>
      <c r="Q7816" s="51"/>
      <c r="R7816" s="51"/>
      <c r="S7816" s="51"/>
      <c r="T7816" s="41"/>
      <c r="AG7816" s="521" t="s">
        <v>268</v>
      </c>
      <c r="AH7816" s="521" t="s">
        <v>269</v>
      </c>
      <c r="AI7816" s="521" t="s">
        <v>270</v>
      </c>
      <c r="AJ7816" s="521" t="s">
        <v>271</v>
      </c>
      <c r="AK7816" s="521" t="s">
        <v>272</v>
      </c>
      <c r="AM7816" s="745" t="s">
        <v>281</v>
      </c>
      <c r="AN7816" s="746" t="s">
        <v>282</v>
      </c>
      <c r="AO7816" s="522" t="s">
        <v>278</v>
      </c>
      <c r="AR7816" s="51"/>
      <c r="AS7816" s="42" t="s">
        <v>139</v>
      </c>
    </row>
    <row r="7817" spans="1:45" s="520" customFormat="1" ht="12" customHeight="1">
      <c r="A7817" s="747">
        <v>1</v>
      </c>
      <c r="B7817" s="523" t="s">
        <v>299</v>
      </c>
      <c r="C7817" s="748"/>
      <c r="D7817" s="749" t="s">
        <v>2038</v>
      </c>
      <c r="E7817" s="1164">
        <f>IF(AND($A7817=0,$A$1="DIF"),0, ROUND(ROUND(($R7821*$S$4+($T7821*$T$4))/$A7817,2)*$C$4,2))</f>
        <v>846.55</v>
      </c>
      <c r="F7817" s="1165">
        <f>ROUND($A7817*$E7817,2)</f>
        <v>846.55</v>
      </c>
      <c r="G7817" s="752" t="s">
        <v>142</v>
      </c>
      <c r="H7817" s="753"/>
      <c r="I7817" s="754"/>
      <c r="J7817" s="753"/>
      <c r="K7817" s="753" t="s">
        <v>8</v>
      </c>
      <c r="L7817" s="755" t="s">
        <v>143</v>
      </c>
      <c r="M7817" s="755"/>
      <c r="N7817" s="755"/>
      <c r="O7817" s="755"/>
      <c r="P7817" s="755"/>
      <c r="Q7817" s="51"/>
      <c r="T7817" s="1169" t="str">
        <f>IF(AND($R7821=0,$T7821=0),"0.00","mu: "&amp; ROUND(F7817/$C$4/($R7821+$T7821*$D$9),2))</f>
        <v>mu: 1.13</v>
      </c>
      <c r="W7817" s="524"/>
      <c r="AG7817" s="1166">
        <f>IF($E7817=0,0,ROUND($R7821*$S$4*$C$4/$A7817,2))</f>
        <v>846.55</v>
      </c>
      <c r="AH7817" s="1166">
        <f>$AG7817*$A7817</f>
        <v>846.55</v>
      </c>
      <c r="AI7817" s="1167">
        <f>$E7817-$AG7817</f>
        <v>0</v>
      </c>
      <c r="AJ7817" s="1167">
        <f>$A7817*$AI7817</f>
        <v>0</v>
      </c>
      <c r="AK7817" s="1168">
        <f>ROUND(($AG7817+$AI7817)*$A7817,2)</f>
        <v>846.55</v>
      </c>
      <c r="AM7817" s="527">
        <f>ROUND(R7821,2)</f>
        <v>750</v>
      </c>
      <c r="AN7817" s="528">
        <f>ROUND(T7821,2)</f>
        <v>0</v>
      </c>
      <c r="AO7817" s="529">
        <f>ROUND(AM7817+AN7817,2)*A7817</f>
        <v>750</v>
      </c>
      <c r="AR7817" s="747">
        <v>1</v>
      </c>
      <c r="AS7817" s="1165">
        <v>846.55</v>
      </c>
    </row>
    <row r="7818" spans="1:45" s="520" customFormat="1" ht="13.2">
      <c r="A7818" s="748"/>
      <c r="B7818"/>
      <c r="C7818" s="748"/>
      <c r="D7818" s="749" t="s">
        <v>381</v>
      </c>
      <c r="F7818" s="753"/>
      <c r="G7818" s="3"/>
      <c r="H7818" s="753"/>
      <c r="I7818" s="754"/>
      <c r="J7818" s="753"/>
      <c r="K7818" s="753" t="s">
        <v>144</v>
      </c>
      <c r="L7818" s="753"/>
      <c r="M7818" s="753"/>
      <c r="N7818" s="753"/>
      <c r="O7818" s="753"/>
      <c r="P7818" s="753"/>
      <c r="Q7818" s="51"/>
      <c r="R7818" s="530"/>
      <c r="S7818" s="757"/>
      <c r="T7818" s="753"/>
      <c r="AR7818" s="748"/>
      <c r="AS7818" s="753"/>
    </row>
    <row r="7819" spans="1:45" s="901" customFormat="1" ht="13.2">
      <c r="A7819" s="903">
        <v>1</v>
      </c>
      <c r="B7819" s="904" t="s">
        <v>863</v>
      </c>
      <c r="C7819" s="904"/>
      <c r="D7819" s="904" t="s">
        <v>2594</v>
      </c>
      <c r="E7819" s="904"/>
      <c r="F7819" s="904" t="s">
        <v>3505</v>
      </c>
      <c r="G7819" s="905" t="s">
        <v>2595</v>
      </c>
      <c r="H7819" s="902">
        <v>960</v>
      </c>
      <c r="I7819" s="904" t="s">
        <v>2596</v>
      </c>
      <c r="J7819" s="904"/>
      <c r="K7819" s="904"/>
      <c r="L7819" s="904"/>
      <c r="M7819" s="904"/>
      <c r="N7819" s="904"/>
      <c r="O7819" s="902">
        <v>4</v>
      </c>
      <c r="P7819" s="906">
        <v>38274</v>
      </c>
      <c r="Q7819" s="907">
        <v>750</v>
      </c>
      <c r="R7819" s="908">
        <f>$A7819*Q7819</f>
        <v>750</v>
      </c>
      <c r="S7819" s="907"/>
      <c r="T7819" s="909">
        <f>$A7819*S7819*$T$1</f>
        <v>0</v>
      </c>
      <c r="AR7819" s="903">
        <v>1</v>
      </c>
      <c r="AS7819" s="904" t="s">
        <v>3505</v>
      </c>
    </row>
    <row r="7820" spans="1:45" s="520" customFormat="1" ht="12">
      <c r="A7820" s="758"/>
      <c r="B7820" s="758"/>
      <c r="C7820" s="758"/>
      <c r="D7820" s="758"/>
      <c r="E7820" s="758"/>
      <c r="F7820" s="753"/>
      <c r="G7820" s="758"/>
      <c r="H7820" s="758"/>
      <c r="I7820" s="519"/>
      <c r="J7820" s="758"/>
      <c r="K7820" s="758"/>
      <c r="L7820" s="758"/>
      <c r="M7820" s="758"/>
      <c r="N7820" s="758"/>
      <c r="O7820" s="758"/>
      <c r="P7820" s="758"/>
      <c r="Q7820" s="519"/>
      <c r="R7820" s="759">
        <f t="shared" ref="R7820" si="778">$A7820*Q7820</f>
        <v>0</v>
      </c>
      <c r="S7820" s="519"/>
      <c r="T7820" s="760">
        <f t="shared" ref="T7820" si="779">$A7820*S7820*$T$1</f>
        <v>0</v>
      </c>
      <c r="AR7820" s="758"/>
      <c r="AS7820" s="753"/>
    </row>
    <row r="7821" spans="1:45" s="520" customFormat="1" ht="12.6" thickBot="1">
      <c r="A7821" s="761" t="s">
        <v>145</v>
      </c>
      <c r="B7821" s="762">
        <f>(R7820+T7820)</f>
        <v>0</v>
      </c>
      <c r="C7821" s="763"/>
      <c r="D7821" s="763"/>
      <c r="E7821" s="763"/>
      <c r="F7821" s="764"/>
      <c r="G7821" s="763" t="s">
        <v>146</v>
      </c>
      <c r="H7821" s="763"/>
      <c r="I7821" s="765"/>
      <c r="J7821" s="763"/>
      <c r="K7821" s="763" t="s">
        <v>8</v>
      </c>
      <c r="L7821" s="766" t="s">
        <v>143</v>
      </c>
      <c r="M7821" s="766"/>
      <c r="N7821" s="766"/>
      <c r="O7821" s="766"/>
      <c r="P7821" s="766"/>
      <c r="Q7821" s="767"/>
      <c r="R7821" s="768">
        <f>SUM(R7818:R7820)</f>
        <v>750</v>
      </c>
      <c r="S7821" s="763"/>
      <c r="T7821" s="768">
        <f>SUM(T7818:T7820)</f>
        <v>0</v>
      </c>
      <c r="U7821" s="531"/>
      <c r="V7821" s="531"/>
      <c r="W7821" s="531"/>
      <c r="X7821" s="531"/>
      <c r="Y7821" s="531"/>
      <c r="Z7821" s="531"/>
      <c r="AA7821" s="531"/>
      <c r="AB7821" s="531"/>
      <c r="AC7821" s="531"/>
      <c r="AD7821" s="531"/>
      <c r="AE7821" s="531"/>
      <c r="AF7821" s="531"/>
      <c r="AG7821" s="531"/>
      <c r="AH7821" s="531"/>
      <c r="AI7821" s="531"/>
      <c r="AJ7821" s="531"/>
      <c r="AK7821" s="531"/>
      <c r="AL7821" s="531"/>
      <c r="AM7821" s="531"/>
      <c r="AN7821" s="531"/>
      <c r="AO7821" s="531"/>
      <c r="AR7821" s="761" t="s">
        <v>145</v>
      </c>
      <c r="AS7821" s="764"/>
    </row>
    <row r="7822" spans="1:45" s="520" customFormat="1" ht="12" thickTop="1">
      <c r="A7822" s="51"/>
      <c r="B7822" s="41"/>
      <c r="C7822" s="51"/>
      <c r="E7822" s="42" t="s">
        <v>138</v>
      </c>
      <c r="F7822" s="42" t="s">
        <v>139</v>
      </c>
      <c r="G7822" s="51"/>
      <c r="H7822" s="51"/>
      <c r="I7822" s="51"/>
      <c r="J7822" s="51"/>
      <c r="K7822" s="51" t="s">
        <v>140</v>
      </c>
      <c r="L7822" s="51"/>
      <c r="M7822" s="51"/>
      <c r="N7822" s="51"/>
      <c r="O7822" s="52"/>
      <c r="P7822" s="51"/>
      <c r="Q7822" s="51"/>
      <c r="R7822" s="51"/>
      <c r="S7822" s="51"/>
      <c r="T7822" s="41"/>
      <c r="AG7822" s="521" t="s">
        <v>268</v>
      </c>
      <c r="AH7822" s="521" t="s">
        <v>269</v>
      </c>
      <c r="AI7822" s="521" t="s">
        <v>270</v>
      </c>
      <c r="AJ7822" s="521" t="s">
        <v>271</v>
      </c>
      <c r="AK7822" s="521" t="s">
        <v>272</v>
      </c>
      <c r="AM7822" s="745" t="s">
        <v>281</v>
      </c>
      <c r="AN7822" s="746" t="s">
        <v>282</v>
      </c>
      <c r="AO7822" s="522" t="s">
        <v>278</v>
      </c>
      <c r="AR7822" s="51"/>
      <c r="AS7822" s="42" t="s">
        <v>139</v>
      </c>
    </row>
    <row r="7823" spans="1:45" s="520" customFormat="1" ht="12" customHeight="1">
      <c r="A7823" s="747">
        <v>1</v>
      </c>
      <c r="B7823" s="523" t="s">
        <v>383</v>
      </c>
      <c r="C7823" s="748"/>
      <c r="D7823" s="749" t="s">
        <v>2039</v>
      </c>
      <c r="E7823" s="750">
        <f>IF(AND($A7823=0,$A$1="DIF"),0, ROUND(ROUND(($R7829*$S$2+($T7829*$T$2))/$A7823,2)*$C$2,2))</f>
        <v>97.58</v>
      </c>
      <c r="F7823" s="751">
        <f>ROUND($A7823*$E7823,2)</f>
        <v>97.58</v>
      </c>
      <c r="G7823" s="752" t="s">
        <v>142</v>
      </c>
      <c r="H7823" s="753"/>
      <c r="I7823" s="754"/>
      <c r="J7823" s="753"/>
      <c r="K7823" s="753" t="s">
        <v>3</v>
      </c>
      <c r="L7823" s="755" t="s">
        <v>143</v>
      </c>
      <c r="M7823" s="755"/>
      <c r="N7823" s="755"/>
      <c r="O7823" s="755"/>
      <c r="P7823" s="755"/>
      <c r="Q7823" s="51"/>
      <c r="T7823" s="756" t="str">
        <f>IF(AND($R7829=0,$T7829=0),"0.00","mu: "&amp; ROUND(F7823/$C$2/($R7829+$T7829*$D$9),2))</f>
        <v>mu: 1.23</v>
      </c>
      <c r="W7823" s="524"/>
      <c r="AG7823" s="481">
        <f>IF($E7823=0,0,ROUND($R7829*$S$2*$C$2/$A7823,2))</f>
        <v>44.33</v>
      </c>
      <c r="AH7823" s="481">
        <f>$AG7823*$A7823</f>
        <v>44.33</v>
      </c>
      <c r="AI7823" s="525">
        <f>$E7823-$AG7823</f>
        <v>53.25</v>
      </c>
      <c r="AJ7823" s="525">
        <f>$A7823*$AI7823</f>
        <v>53.25</v>
      </c>
      <c r="AK7823" s="526">
        <f>ROUND(($AG7823+$AI7823)*$A7823,2)</f>
        <v>97.58</v>
      </c>
      <c r="AM7823" s="527">
        <f>ROUND(R7829,2)</f>
        <v>36</v>
      </c>
      <c r="AN7823" s="528">
        <f>ROUND(T7829,2)</f>
        <v>1.58</v>
      </c>
      <c r="AO7823" s="529">
        <f>ROUND(AM7823+AN7823,2)*A7823</f>
        <v>37.58</v>
      </c>
      <c r="AR7823" s="747">
        <v>1</v>
      </c>
      <c r="AS7823" s="751">
        <v>103.5</v>
      </c>
    </row>
    <row r="7824" spans="1:45" s="520" customFormat="1" ht="39.9" customHeight="1">
      <c r="A7824" s="748"/>
      <c r="B7824"/>
      <c r="C7824" s="748"/>
      <c r="D7824" s="1451" t="s">
        <v>382</v>
      </c>
      <c r="E7824" s="1452"/>
      <c r="F7824" s="1452"/>
      <c r="G7824" s="1452"/>
      <c r="H7824" s="1452"/>
      <c r="I7824" s="1452"/>
      <c r="J7824" s="1452"/>
      <c r="K7824" s="1452"/>
      <c r="L7824" s="1452"/>
      <c r="M7824" s="1452"/>
      <c r="N7824" s="1452"/>
      <c r="O7824" s="1452"/>
      <c r="P7824" s="1452"/>
      <c r="Q7824" s="1452"/>
      <c r="R7824" s="1452"/>
      <c r="S7824" s="1452"/>
      <c r="T7824" s="1452"/>
      <c r="AR7824" s="748"/>
    </row>
    <row r="7825" spans="1:45" s="901" customFormat="1" ht="13.2">
      <c r="A7825" s="116">
        <v>2</v>
      </c>
      <c r="B7825" s="901" t="s">
        <v>141</v>
      </c>
      <c r="D7825" s="901" t="s">
        <v>3698</v>
      </c>
      <c r="G7825" s="941" t="s">
        <v>3061</v>
      </c>
      <c r="H7825" s="942">
        <v>880</v>
      </c>
      <c r="I7825" s="901" t="s">
        <v>2607</v>
      </c>
      <c r="O7825" s="943">
        <v>3</v>
      </c>
      <c r="P7825" s="944">
        <v>36220</v>
      </c>
      <c r="Q7825" s="945">
        <v>8</v>
      </c>
      <c r="R7825" s="946">
        <f>$A7825*Q7825</f>
        <v>16</v>
      </c>
      <c r="S7825" s="945">
        <v>0.25</v>
      </c>
      <c r="T7825" s="947">
        <f>$A7825*S7825*$T$1</f>
        <v>0.45</v>
      </c>
      <c r="AR7825" s="116">
        <v>2</v>
      </c>
    </row>
    <row r="7826" spans="1:45" s="901" customFormat="1" ht="13.2">
      <c r="A7826" s="116">
        <v>1</v>
      </c>
      <c r="B7826" s="901" t="s">
        <v>141</v>
      </c>
      <c r="D7826" s="901" t="s">
        <v>3063</v>
      </c>
      <c r="G7826" s="941" t="s">
        <v>3062</v>
      </c>
      <c r="H7826" s="942">
        <v>880</v>
      </c>
      <c r="I7826" s="901" t="s">
        <v>2607</v>
      </c>
      <c r="O7826" s="943">
        <v>3</v>
      </c>
      <c r="P7826" s="944"/>
      <c r="Q7826" s="945">
        <v>10</v>
      </c>
      <c r="R7826" s="946">
        <f>$A7826*Q7826</f>
        <v>10</v>
      </c>
      <c r="S7826" s="945">
        <v>0.25</v>
      </c>
      <c r="T7826" s="947">
        <f>$A7826*S7826*$T$1</f>
        <v>0.22500000000000001</v>
      </c>
      <c r="AR7826" s="116">
        <v>1</v>
      </c>
    </row>
    <row r="7827" spans="1:45" s="901" customFormat="1" ht="13.2">
      <c r="A7827" s="116">
        <v>1</v>
      </c>
      <c r="B7827" s="901" t="s">
        <v>141</v>
      </c>
      <c r="D7827" s="901" t="s">
        <v>3064</v>
      </c>
      <c r="G7827" s="941" t="s">
        <v>3065</v>
      </c>
      <c r="H7827" s="942">
        <v>880</v>
      </c>
      <c r="I7827" s="901" t="s">
        <v>2607</v>
      </c>
      <c r="O7827" s="943">
        <v>3</v>
      </c>
      <c r="P7827" s="944"/>
      <c r="Q7827" s="945">
        <v>10</v>
      </c>
      <c r="R7827" s="946">
        <f>$A7827*Q7827</f>
        <v>10</v>
      </c>
      <c r="S7827" s="945">
        <v>1</v>
      </c>
      <c r="T7827" s="947">
        <f>$A7827*S7827*$T$1</f>
        <v>0.9</v>
      </c>
      <c r="AR7827" s="116">
        <v>1</v>
      </c>
    </row>
    <row r="7828" spans="1:45" s="520" customFormat="1" ht="12">
      <c r="A7828" s="758"/>
      <c r="B7828" s="758"/>
      <c r="C7828" s="758"/>
      <c r="D7828" s="758"/>
      <c r="E7828" s="758"/>
      <c r="F7828" s="753"/>
      <c r="G7828" s="758"/>
      <c r="H7828" s="758"/>
      <c r="I7828" s="519"/>
      <c r="J7828" s="758"/>
      <c r="K7828" s="758"/>
      <c r="L7828" s="758"/>
      <c r="M7828" s="758"/>
      <c r="N7828" s="758"/>
      <c r="O7828" s="758"/>
      <c r="P7828" s="758"/>
      <c r="Q7828" s="519"/>
      <c r="R7828" s="759">
        <f t="shared" ref="R7828" si="780">$A7828*Q7828</f>
        <v>0</v>
      </c>
      <c r="S7828" s="519"/>
      <c r="T7828" s="760">
        <f t="shared" ref="T7828" si="781">$A7828*S7828*$T$1</f>
        <v>0</v>
      </c>
      <c r="AR7828" s="758"/>
      <c r="AS7828" s="753"/>
    </row>
    <row r="7829" spans="1:45" s="520" customFormat="1" ht="12.6" thickBot="1">
      <c r="A7829" s="761" t="s">
        <v>145</v>
      </c>
      <c r="B7829" s="762">
        <f>(R7828+T7828)</f>
        <v>0</v>
      </c>
      <c r="C7829" s="763"/>
      <c r="D7829" s="763"/>
      <c r="E7829" s="763"/>
      <c r="F7829" s="764"/>
      <c r="G7829" s="763" t="s">
        <v>146</v>
      </c>
      <c r="H7829" s="763"/>
      <c r="I7829" s="765"/>
      <c r="J7829" s="763"/>
      <c r="K7829" s="763" t="s">
        <v>3</v>
      </c>
      <c r="L7829" s="766" t="s">
        <v>143</v>
      </c>
      <c r="M7829" s="766"/>
      <c r="N7829" s="766"/>
      <c r="O7829" s="766"/>
      <c r="P7829" s="766"/>
      <c r="Q7829" s="767"/>
      <c r="R7829" s="768">
        <f>SUM(R7824:R7828)</f>
        <v>36</v>
      </c>
      <c r="S7829" s="763"/>
      <c r="T7829" s="768">
        <f>SUM(T7824:T7828)</f>
        <v>1.5750000000000002</v>
      </c>
      <c r="U7829" s="531"/>
      <c r="V7829" s="531"/>
      <c r="W7829" s="531"/>
      <c r="X7829" s="531"/>
      <c r="Y7829" s="531"/>
      <c r="Z7829" s="531"/>
      <c r="AA7829" s="531"/>
      <c r="AB7829" s="531"/>
      <c r="AC7829" s="531"/>
      <c r="AD7829" s="531"/>
      <c r="AE7829" s="531"/>
      <c r="AF7829" s="531"/>
      <c r="AG7829" s="531"/>
      <c r="AH7829" s="531"/>
      <c r="AI7829" s="531"/>
      <c r="AJ7829" s="531"/>
      <c r="AK7829" s="531"/>
      <c r="AL7829" s="531"/>
      <c r="AM7829" s="531"/>
      <c r="AN7829" s="531"/>
      <c r="AO7829" s="531"/>
      <c r="AR7829" s="761" t="s">
        <v>145</v>
      </c>
      <c r="AS7829" s="764"/>
    </row>
    <row r="7830" spans="1:45" s="520" customFormat="1" ht="12" thickTop="1">
      <c r="A7830" s="48" t="s">
        <v>148</v>
      </c>
      <c r="D7830" s="13"/>
      <c r="E7830" s="42"/>
      <c r="O7830" s="771"/>
      <c r="AR7830" s="48" t="s">
        <v>148</v>
      </c>
    </row>
    <row r="7831" spans="1:45" s="520" customFormat="1" ht="13.2">
      <c r="B7831" s="3"/>
      <c r="O7831" s="771"/>
    </row>
    <row r="7832" spans="1:45" s="520" customFormat="1" ht="12">
      <c r="B7832" s="772">
        <f>$F7832/$C$2-($R7832*$S$2+$T7832*$T$2)</f>
        <v>-4745.1734062479882</v>
      </c>
      <c r="D7832" s="773" t="s">
        <v>3647</v>
      </c>
      <c r="E7832" s="774"/>
      <c r="F7832" s="775">
        <f>SUMIF($L7731:$L7830,"ITEM",F7731:F7830)</f>
        <v>54114.830000000016</v>
      </c>
      <c r="G7832" s="758"/>
      <c r="H7832" s="758"/>
      <c r="I7832" s="519"/>
      <c r="J7832" s="758"/>
      <c r="K7832" s="758"/>
      <c r="L7832" s="755" t="s">
        <v>157</v>
      </c>
      <c r="M7832" s="755"/>
      <c r="N7832" s="755"/>
      <c r="O7832" s="755"/>
      <c r="P7832" s="755"/>
      <c r="R7832" s="775">
        <f>SUMIF($L7731:$L7830,"ITEM",R7731:R7830)</f>
        <v>47758.18</v>
      </c>
      <c r="S7832" s="776"/>
      <c r="T7832" s="775">
        <f>SUMIF($L7731:$L7830,"ITEM",T7731:T7830)</f>
        <v>1.5750000000000002</v>
      </c>
      <c r="AS7832" s="775">
        <v>54120.750000000015</v>
      </c>
    </row>
    <row r="7833" spans="1:45" s="520" customFormat="1" ht="13.2">
      <c r="A7833" s="51"/>
      <c r="B7833" s="49" t="s">
        <v>1064</v>
      </c>
      <c r="C7833" s="51"/>
      <c r="D7833" s="3"/>
      <c r="F7833" s="777" t="s">
        <v>158</v>
      </c>
      <c r="G7833" s="758"/>
      <c r="H7833" s="758"/>
      <c r="I7833" s="519"/>
      <c r="J7833" s="758"/>
      <c r="K7833" s="758"/>
      <c r="L7833" s="758"/>
      <c r="M7833" s="758"/>
      <c r="N7833" s="758"/>
      <c r="O7833" s="758"/>
      <c r="P7833" s="758"/>
      <c r="Q7833" s="778"/>
      <c r="R7833" s="777" t="s">
        <v>159</v>
      </c>
      <c r="S7833" s="38"/>
      <c r="T7833" s="777" t="s">
        <v>160</v>
      </c>
      <c r="AR7833" s="51"/>
      <c r="AS7833" s="777" t="s">
        <v>158</v>
      </c>
    </row>
    <row r="7834" spans="1:45" s="520" customFormat="1" ht="13.2">
      <c r="A7834" s="758"/>
      <c r="B7834" s="3"/>
      <c r="C7834" s="758"/>
      <c r="D7834" s="3"/>
      <c r="E7834" s="3"/>
      <c r="G7834" s="3"/>
      <c r="H7834" s="3"/>
      <c r="I7834" s="3"/>
      <c r="J7834" s="3"/>
      <c r="K7834" s="3"/>
      <c r="L7834" s="3"/>
      <c r="M7834" s="3"/>
      <c r="N7834" s="3"/>
      <c r="O7834" s="107"/>
      <c r="P7834" s="3"/>
      <c r="Q7834" s="3"/>
      <c r="R7834" s="3"/>
      <c r="S7834" s="3"/>
      <c r="T7834" s="3"/>
      <c r="AR7834" s="758"/>
    </row>
    <row r="7835" spans="1:45" s="520" customFormat="1" ht="12" thickBot="1">
      <c r="A7835" s="531"/>
      <c r="B7835" s="763"/>
      <c r="C7835" s="763"/>
      <c r="D7835" s="531"/>
      <c r="E7835" s="39"/>
      <c r="F7835" s="779"/>
      <c r="G7835" s="763"/>
      <c r="H7835" s="763"/>
      <c r="I7835" s="765"/>
      <c r="J7835" s="763"/>
      <c r="K7835" s="763"/>
      <c r="L7835" s="766"/>
      <c r="M7835" s="766"/>
      <c r="N7835" s="766"/>
      <c r="O7835" s="766"/>
      <c r="P7835" s="766"/>
      <c r="Q7835" s="767"/>
      <c r="R7835" s="779"/>
      <c r="S7835" s="780"/>
      <c r="T7835" s="779"/>
      <c r="U7835" s="531"/>
      <c r="V7835" s="531"/>
      <c r="W7835" s="531"/>
      <c r="X7835" s="531"/>
      <c r="Y7835" s="531"/>
      <c r="Z7835" s="531"/>
      <c r="AA7835" s="531"/>
      <c r="AB7835" s="531"/>
      <c r="AC7835" s="531"/>
      <c r="AD7835" s="531"/>
      <c r="AE7835" s="531"/>
      <c r="AF7835" s="531"/>
      <c r="AG7835" s="531"/>
      <c r="AH7835" s="531"/>
      <c r="AI7835" s="531"/>
      <c r="AJ7835" s="531"/>
      <c r="AK7835" s="531"/>
      <c r="AR7835" s="531"/>
      <c r="AS7835" s="779"/>
    </row>
    <row r="7836" spans="1:45" s="520" customFormat="1" thickTop="1">
      <c r="A7836" s="48" t="s">
        <v>148</v>
      </c>
      <c r="B7836" s="3"/>
      <c r="C7836" s="51"/>
      <c r="D7836" s="51"/>
      <c r="E7836" s="51"/>
      <c r="F7836" s="51"/>
      <c r="G7836" s="51"/>
      <c r="H7836" s="51"/>
      <c r="I7836" s="51"/>
      <c r="J7836" s="51"/>
      <c r="K7836" s="51"/>
      <c r="L7836" s="51"/>
      <c r="M7836" s="51"/>
      <c r="N7836" s="51"/>
      <c r="O7836" s="52"/>
      <c r="P7836" s="51"/>
      <c r="Q7836" s="51"/>
      <c r="R7836" s="51"/>
      <c r="S7836" s="51"/>
      <c r="T7836" s="51"/>
      <c r="AR7836" s="48" t="s">
        <v>148</v>
      </c>
      <c r="AS7836" s="51"/>
    </row>
    <row r="7837" spans="1:45" s="520" customFormat="1" ht="13.2">
      <c r="A7837" s="51"/>
      <c r="B7837" s="3"/>
      <c r="C7837" s="3"/>
      <c r="E7837" s="3"/>
      <c r="F7837" s="3"/>
      <c r="G7837" s="3"/>
      <c r="H7837" s="3"/>
      <c r="I7837" s="3"/>
      <c r="J7837" s="3"/>
      <c r="K7837" s="3"/>
      <c r="L7837" s="3"/>
      <c r="M7837" s="3"/>
      <c r="N7837" s="3"/>
      <c r="O7837" s="107"/>
      <c r="P7837" s="3"/>
      <c r="Q7837" s="3"/>
      <c r="R7837" s="3"/>
      <c r="S7837" s="3"/>
      <c r="T7837" s="3"/>
      <c r="AR7837" s="51"/>
      <c r="AS7837" s="3"/>
    </row>
    <row r="7838" spans="1:45" s="520" customFormat="1" ht="12">
      <c r="A7838" s="51"/>
      <c r="B7838" s="772">
        <f>$F7838/$C$2-($R7838*$S$2+$T7838*$T$2)</f>
        <v>-4745.1734062479882</v>
      </c>
      <c r="C7838" s="51"/>
      <c r="D7838" s="121" t="s">
        <v>1036</v>
      </c>
      <c r="E7838" s="774"/>
      <c r="F7838" s="782">
        <f>SUMIF($L7737:$L7836,"PAGE",F7737:F7836)</f>
        <v>54114.830000000016</v>
      </c>
      <c r="G7838" s="758"/>
      <c r="H7838" s="758"/>
      <c r="I7838" s="519"/>
      <c r="J7838" s="758"/>
      <c r="K7838" s="758"/>
      <c r="L7838" s="121" t="s">
        <v>1075</v>
      </c>
      <c r="M7838" s="121"/>
      <c r="N7838" s="121"/>
      <c r="O7838" s="122"/>
      <c r="P7838" s="121"/>
      <c r="Q7838" s="51"/>
      <c r="R7838" s="782">
        <f>SUMIF($L7737:$L7836,"PAGE",R7737:R7836)</f>
        <v>47758.18</v>
      </c>
      <c r="S7838" s="51"/>
      <c r="T7838" s="782">
        <f>SUMIF($L7737:$L7836,"PAGE",T7737:T7836)</f>
        <v>1.5750000000000002</v>
      </c>
      <c r="AR7838" s="51"/>
      <c r="AS7838" s="782">
        <v>54120.750000000015</v>
      </c>
    </row>
    <row r="7839" spans="1:45" s="520" customFormat="1" ht="12">
      <c r="A7839" s="51"/>
      <c r="B7839" s="49" t="s">
        <v>1064</v>
      </c>
      <c r="C7839" s="51"/>
      <c r="D7839" s="781"/>
      <c r="F7839" s="783" t="s">
        <v>1076</v>
      </c>
      <c r="G7839" s="758"/>
      <c r="H7839" s="758"/>
      <c r="I7839" s="519"/>
      <c r="J7839" s="758"/>
      <c r="K7839" s="758"/>
      <c r="L7839" s="51"/>
      <c r="M7839" s="51"/>
      <c r="N7839" s="51"/>
      <c r="O7839" s="52"/>
      <c r="P7839" s="51"/>
      <c r="Q7839" s="51"/>
      <c r="R7839" s="783" t="s">
        <v>1077</v>
      </c>
      <c r="S7839" s="38"/>
      <c r="T7839" s="783" t="s">
        <v>1078</v>
      </c>
      <c r="AR7839" s="51"/>
      <c r="AS7839" s="783" t="s">
        <v>1076</v>
      </c>
    </row>
    <row r="7840" spans="1:45" s="520" customFormat="1" ht="11.4">
      <c r="O7840" s="771"/>
    </row>
    <row r="7841" spans="1:45" s="520" customFormat="1" ht="12" thickBot="1">
      <c r="A7841" s="763"/>
      <c r="B7841" s="763"/>
      <c r="C7841" s="763"/>
      <c r="D7841" s="763"/>
      <c r="E7841" s="763"/>
      <c r="F7841" s="39"/>
      <c r="G7841" s="531"/>
      <c r="H7841" s="531"/>
      <c r="I7841" s="531"/>
      <c r="J7841" s="531"/>
      <c r="K7841" s="531"/>
      <c r="L7841" s="763"/>
      <c r="M7841" s="763"/>
      <c r="N7841" s="763"/>
      <c r="O7841" s="763"/>
      <c r="P7841" s="763"/>
      <c r="Q7841" s="767"/>
      <c r="R7841" s="39"/>
      <c r="S7841" s="39"/>
      <c r="T7841" s="39"/>
      <c r="U7841" s="531"/>
      <c r="V7841" s="531"/>
      <c r="W7841" s="531"/>
      <c r="X7841" s="531"/>
      <c r="Y7841" s="531"/>
      <c r="Z7841" s="531"/>
      <c r="AA7841" s="531"/>
      <c r="AB7841" s="531"/>
      <c r="AC7841" s="531"/>
      <c r="AD7841" s="531"/>
      <c r="AE7841" s="531"/>
      <c r="AF7841" s="531"/>
      <c r="AG7841" s="531"/>
      <c r="AH7841" s="531"/>
      <c r="AI7841" s="531"/>
      <c r="AJ7841" s="531"/>
      <c r="AK7841" s="531"/>
      <c r="AR7841" s="763"/>
      <c r="AS7841" s="39"/>
    </row>
    <row r="7842" spans="1:45" s="520" customFormat="1" thickTop="1">
      <c r="A7842" s="51"/>
      <c r="B7842" s="51"/>
      <c r="C7842" s="3"/>
      <c r="D7842" s="3"/>
      <c r="E7842" s="51"/>
      <c r="F7842" s="51"/>
      <c r="G7842" s="51"/>
      <c r="H7842" s="51"/>
      <c r="I7842" s="51"/>
      <c r="J7842" s="51"/>
      <c r="K7842" s="51" t="s">
        <v>134</v>
      </c>
      <c r="L7842" s="51"/>
      <c r="M7842" s="51"/>
      <c r="N7842" s="51"/>
      <c r="O7842" s="52"/>
      <c r="P7842" s="51"/>
      <c r="Q7842" s="51"/>
      <c r="R7842" s="51"/>
      <c r="S7842" s="51"/>
      <c r="T7842" s="51"/>
      <c r="AR7842" s="51"/>
      <c r="AS7842" s="51"/>
    </row>
    <row r="7843" spans="1:45" s="520" customFormat="1" ht="12">
      <c r="A7843" s="51"/>
      <c r="B7843" s="51"/>
      <c r="C7843" s="51" t="s">
        <v>135</v>
      </c>
      <c r="D7843" s="37" t="s">
        <v>2040</v>
      </c>
      <c r="E7843" s="51"/>
      <c r="F7843" s="51"/>
      <c r="G7843" s="51"/>
      <c r="H7843" s="51"/>
      <c r="I7843" s="51"/>
      <c r="J7843" s="51"/>
      <c r="K7843" s="51"/>
      <c r="L7843" s="51"/>
      <c r="M7843" s="51"/>
      <c r="N7843" s="51"/>
      <c r="O7843" s="52"/>
      <c r="P7843" s="51"/>
      <c r="Q7843" s="51"/>
      <c r="R7843" s="51"/>
      <c r="S7843" s="51"/>
      <c r="T7843" s="51"/>
      <c r="AR7843" s="51"/>
      <c r="AS7843" s="51"/>
    </row>
    <row r="7844" spans="1:45" s="520" customFormat="1" ht="12">
      <c r="A7844" s="51"/>
      <c r="B7844" s="51"/>
      <c r="C7844" s="51"/>
      <c r="D7844" s="37" t="s">
        <v>1037</v>
      </c>
      <c r="E7844" s="51"/>
      <c r="F7844" s="51"/>
      <c r="G7844" s="51"/>
      <c r="H7844" s="51"/>
      <c r="I7844" s="51"/>
      <c r="J7844" s="51"/>
      <c r="K7844" s="51"/>
      <c r="L7844" s="51"/>
      <c r="M7844" s="51"/>
      <c r="N7844" s="51"/>
      <c r="O7844" s="52"/>
      <c r="P7844" s="51"/>
      <c r="Q7844" s="51"/>
      <c r="R7844" s="51"/>
      <c r="S7844" s="38"/>
      <c r="T7844" s="38"/>
      <c r="AR7844" s="51"/>
      <c r="AS7844" s="51"/>
    </row>
    <row r="7845" spans="1:45" s="3" customFormat="1" thickBot="1">
      <c r="A7845" s="531"/>
      <c r="O7845" s="107"/>
      <c r="AR7845" s="531"/>
    </row>
    <row r="7846" spans="1:45" s="520" customFormat="1" ht="12" thickTop="1">
      <c r="A7846" s="51"/>
      <c r="B7846" s="41"/>
      <c r="C7846" s="51"/>
      <c r="E7846" s="42" t="s">
        <v>138</v>
      </c>
      <c r="F7846" s="42" t="s">
        <v>139</v>
      </c>
      <c r="G7846" s="51"/>
      <c r="H7846" s="51"/>
      <c r="I7846" s="51"/>
      <c r="J7846" s="51"/>
      <c r="K7846" s="51" t="s">
        <v>140</v>
      </c>
      <c r="L7846" s="51"/>
      <c r="M7846" s="51"/>
      <c r="N7846" s="51"/>
      <c r="O7846" s="52"/>
      <c r="P7846" s="51"/>
      <c r="Q7846" s="51"/>
      <c r="R7846" s="51"/>
      <c r="S7846" s="51"/>
      <c r="T7846" s="41"/>
      <c r="AG7846" s="521" t="s">
        <v>268</v>
      </c>
      <c r="AH7846" s="521" t="s">
        <v>269</v>
      </c>
      <c r="AI7846" s="521" t="s">
        <v>270</v>
      </c>
      <c r="AJ7846" s="521" t="s">
        <v>271</v>
      </c>
      <c r="AK7846" s="521" t="s">
        <v>272</v>
      </c>
      <c r="AM7846" s="745" t="s">
        <v>281</v>
      </c>
      <c r="AN7846" s="746" t="s">
        <v>282</v>
      </c>
      <c r="AO7846" s="522" t="s">
        <v>278</v>
      </c>
      <c r="AR7846" s="51"/>
      <c r="AS7846" s="42" t="s">
        <v>139</v>
      </c>
    </row>
    <row r="7847" spans="1:45" s="520" customFormat="1" ht="12" customHeight="1">
      <c r="A7847" s="747">
        <v>1</v>
      </c>
      <c r="B7847" s="523" t="s">
        <v>299</v>
      </c>
      <c r="C7847" s="748"/>
      <c r="D7847" s="749" t="s">
        <v>2041</v>
      </c>
      <c r="E7847" s="750">
        <f>IF(AND($A7847=0,$A$1="DIF"),0, ROUND(ROUND(($R7861*$S$2+($T7861*$T$2))/A7847,2)*$C$2,2))</f>
        <v>1907</v>
      </c>
      <c r="F7847" s="751">
        <f>ROUND($A7847*$E7847,2)</f>
        <v>1907</v>
      </c>
      <c r="G7847" s="752" t="s">
        <v>142</v>
      </c>
      <c r="H7847" s="753"/>
      <c r="I7847" s="754"/>
      <c r="J7847" s="753"/>
      <c r="K7847" s="753" t="s">
        <v>3</v>
      </c>
      <c r="L7847" s="755" t="s">
        <v>143</v>
      </c>
      <c r="M7847" s="755"/>
      <c r="N7847" s="755"/>
      <c r="O7847" s="755"/>
      <c r="P7847" s="755"/>
      <c r="Q7847" s="1058" t="s">
        <v>3785</v>
      </c>
      <c r="T7847" s="756" t="str">
        <f>IF(AND($R7861=0,$T7861=0),"0.00","mu :" &amp; ROUND($F7847/$C$2/($R7861+$T7861*$D$9),2))</f>
        <v>mu :1.23</v>
      </c>
      <c r="W7847" s="524"/>
      <c r="AG7847" s="481">
        <f>IF($E7847=0,0,ROUND($R7861*$S$2*$C$2/$A7847,2))</f>
        <v>923.05</v>
      </c>
      <c r="AH7847" s="481">
        <f>$AG7847*$A7847</f>
        <v>923.05</v>
      </c>
      <c r="AI7847" s="525">
        <f>$E7847-$AG7847</f>
        <v>983.95</v>
      </c>
      <c r="AJ7847" s="525">
        <f>$A7847*$AI7847</f>
        <v>983.95</v>
      </c>
      <c r="AK7847" s="526">
        <f>ROUND(($AG7847+$AI7847)*$A7847,2)</f>
        <v>1907</v>
      </c>
      <c r="AM7847" s="527">
        <f>ROUND(R7861,2)</f>
        <v>749.63</v>
      </c>
      <c r="AN7847" s="528">
        <f>ROUND(T7861,2)</f>
        <v>29.1</v>
      </c>
      <c r="AO7847" s="529">
        <f>ROUND(AM7847+AN7847,2)*A7847</f>
        <v>778.73</v>
      </c>
      <c r="AR7847" s="747">
        <v>1</v>
      </c>
      <c r="AS7847" s="751">
        <v>2016.32</v>
      </c>
    </row>
    <row r="7848" spans="1:45" s="520" customFormat="1" ht="39.9" customHeight="1">
      <c r="A7848" s="748"/>
      <c r="B7848"/>
      <c r="C7848" s="748"/>
      <c r="D7848" s="1451" t="s">
        <v>1038</v>
      </c>
      <c r="E7848" s="1452"/>
      <c r="F7848" s="1452"/>
      <c r="G7848" s="1452"/>
      <c r="H7848" s="1452"/>
      <c r="I7848" s="1452"/>
      <c r="J7848" s="1452"/>
      <c r="K7848" s="1452"/>
      <c r="L7848" s="1452"/>
      <c r="M7848" s="1452"/>
      <c r="N7848" s="1452"/>
      <c r="O7848" s="1452"/>
      <c r="P7848" s="1452"/>
      <c r="Q7848" s="1452"/>
      <c r="R7848" s="1452"/>
      <c r="S7848" s="1452"/>
      <c r="T7848" s="1452"/>
      <c r="AR7848" s="748"/>
    </row>
    <row r="7849" spans="1:45" s="901" customFormat="1" ht="13.2">
      <c r="A7849" s="1223">
        <f>2/3 *(2)</f>
        <v>1.3333333333333333</v>
      </c>
      <c r="B7849" s="901" t="s">
        <v>863</v>
      </c>
      <c r="D7849" s="901" t="s">
        <v>3503</v>
      </c>
      <c r="E7849" s="1142" t="s">
        <v>3442</v>
      </c>
      <c r="G7849" s="941" t="s">
        <v>3504</v>
      </c>
      <c r="H7849" s="942">
        <v>726</v>
      </c>
      <c r="I7849" s="901" t="s">
        <v>2607</v>
      </c>
      <c r="O7849" s="943">
        <v>3</v>
      </c>
      <c r="P7849" s="944"/>
      <c r="Q7849" s="1197">
        <f>1.1 *(8.4)</f>
        <v>9.240000000000002</v>
      </c>
      <c r="R7849" s="946">
        <f t="shared" ref="R7849:R7857" si="782">$A7849*Q7849</f>
        <v>12.320000000000002</v>
      </c>
      <c r="S7849" s="1197">
        <v>1.5</v>
      </c>
      <c r="T7849" s="947">
        <f t="shared" ref="T7849:T7857" si="783">$A7849*S7849*$T$1</f>
        <v>1.8</v>
      </c>
      <c r="W7849" s="901">
        <v>2</v>
      </c>
      <c r="AR7849" s="1223">
        <v>1.3333333333333333</v>
      </c>
    </row>
    <row r="7850" spans="1:45" s="901" customFormat="1" ht="13.2">
      <c r="A7850" s="1223">
        <f>2/3 *(1)</f>
        <v>0.66666666666666663</v>
      </c>
      <c r="B7850" s="901" t="s">
        <v>863</v>
      </c>
      <c r="D7850" s="901" t="s">
        <v>3503</v>
      </c>
      <c r="E7850" s="1142" t="s">
        <v>3444</v>
      </c>
      <c r="G7850" s="941" t="s">
        <v>3504</v>
      </c>
      <c r="H7850" s="942">
        <v>726</v>
      </c>
      <c r="I7850" s="901" t="s">
        <v>2607</v>
      </c>
      <c r="O7850" s="943">
        <v>3</v>
      </c>
      <c r="P7850" s="944"/>
      <c r="Q7850" s="1197">
        <f>1.1 *(11.19)</f>
        <v>12.309000000000001</v>
      </c>
      <c r="R7850" s="946">
        <f t="shared" si="782"/>
        <v>8.2059999999999995</v>
      </c>
      <c r="S7850" s="1197">
        <v>1.5</v>
      </c>
      <c r="T7850" s="947">
        <f t="shared" si="783"/>
        <v>0.9</v>
      </c>
      <c r="W7850" s="901">
        <v>2</v>
      </c>
      <c r="AR7850" s="1223">
        <v>0.66666666666666663</v>
      </c>
    </row>
    <row r="7851" spans="1:45" s="901" customFormat="1" ht="13.2">
      <c r="A7851" s="1223">
        <f>2/3 *(4)</f>
        <v>2.6666666666666665</v>
      </c>
      <c r="B7851" s="901" t="s">
        <v>863</v>
      </c>
      <c r="D7851" s="901" t="s">
        <v>3503</v>
      </c>
      <c r="E7851" s="1142" t="s">
        <v>3445</v>
      </c>
      <c r="G7851" s="941" t="s">
        <v>3504</v>
      </c>
      <c r="H7851" s="942">
        <v>726</v>
      </c>
      <c r="I7851" s="901" t="s">
        <v>2607</v>
      </c>
      <c r="O7851" s="943">
        <v>3</v>
      </c>
      <c r="P7851" s="944"/>
      <c r="Q7851" s="1197">
        <f>1.1 *(22.39)</f>
        <v>24.629000000000001</v>
      </c>
      <c r="R7851" s="946">
        <f t="shared" si="782"/>
        <v>65.677333333333337</v>
      </c>
      <c r="S7851" s="1197">
        <v>1.5</v>
      </c>
      <c r="T7851" s="947">
        <f t="shared" si="783"/>
        <v>3.6</v>
      </c>
      <c r="W7851" s="901">
        <v>2</v>
      </c>
      <c r="AR7851" s="1223">
        <v>2.6666666666666665</v>
      </c>
    </row>
    <row r="7852" spans="1:45" s="901" customFormat="1" ht="13.2">
      <c r="A7852" s="1223">
        <f>2/3 *(4)</f>
        <v>2.6666666666666665</v>
      </c>
      <c r="B7852" s="901" t="s">
        <v>863</v>
      </c>
      <c r="D7852" s="901" t="s">
        <v>3503</v>
      </c>
      <c r="E7852" s="1142" t="s">
        <v>933</v>
      </c>
      <c r="G7852" s="941" t="s">
        <v>3504</v>
      </c>
      <c r="H7852" s="942">
        <v>726</v>
      </c>
      <c r="I7852" s="901" t="s">
        <v>2607</v>
      </c>
      <c r="O7852" s="943">
        <v>3</v>
      </c>
      <c r="P7852" s="944"/>
      <c r="Q7852" s="1197">
        <f>1.1 *(14.93)</f>
        <v>16.423000000000002</v>
      </c>
      <c r="R7852" s="946">
        <f t="shared" si="782"/>
        <v>43.794666666666672</v>
      </c>
      <c r="S7852" s="1197">
        <v>2</v>
      </c>
      <c r="T7852" s="947">
        <f t="shared" si="783"/>
        <v>4.8</v>
      </c>
      <c r="W7852" s="901">
        <v>3</v>
      </c>
      <c r="AR7852" s="1223">
        <v>2.6666666666666665</v>
      </c>
    </row>
    <row r="7853" spans="1:45" s="901" customFormat="1" ht="13.2">
      <c r="A7853" s="1223">
        <f>2/3 *(5)</f>
        <v>3.333333333333333</v>
      </c>
      <c r="B7853" s="901" t="s">
        <v>863</v>
      </c>
      <c r="D7853" s="901" t="s">
        <v>3503</v>
      </c>
      <c r="E7853" s="1142" t="s">
        <v>3447</v>
      </c>
      <c r="G7853" s="941" t="s">
        <v>3504</v>
      </c>
      <c r="H7853" s="942">
        <v>726</v>
      </c>
      <c r="I7853" s="901" t="s">
        <v>2607</v>
      </c>
      <c r="O7853" s="943">
        <v>3</v>
      </c>
      <c r="P7853" s="944"/>
      <c r="Q7853" s="1197">
        <f>1.1 *(29.85)</f>
        <v>32.835000000000001</v>
      </c>
      <c r="R7853" s="946">
        <f t="shared" si="782"/>
        <v>109.44999999999999</v>
      </c>
      <c r="S7853" s="1197">
        <v>2</v>
      </c>
      <c r="T7853" s="947">
        <f t="shared" si="783"/>
        <v>6</v>
      </c>
      <c r="W7853" s="901">
        <v>3</v>
      </c>
      <c r="AR7853" s="1223">
        <v>3.333333333333333</v>
      </c>
    </row>
    <row r="7854" spans="1:45" s="901" customFormat="1" ht="13.2">
      <c r="A7854" s="1223">
        <f>2/3 *(2)</f>
        <v>1.3333333333333333</v>
      </c>
      <c r="B7854" s="901" t="s">
        <v>863</v>
      </c>
      <c r="D7854" s="901" t="s">
        <v>3503</v>
      </c>
      <c r="E7854" s="1142" t="s">
        <v>3451</v>
      </c>
      <c r="G7854" s="941" t="s">
        <v>3504</v>
      </c>
      <c r="H7854" s="942">
        <v>726</v>
      </c>
      <c r="I7854" s="901" t="s">
        <v>2607</v>
      </c>
      <c r="O7854" s="943">
        <v>3</v>
      </c>
      <c r="P7854" s="944"/>
      <c r="Q7854" s="1197">
        <f>1.1 *(37.31)</f>
        <v>41.041000000000004</v>
      </c>
      <c r="R7854" s="946">
        <f t="shared" si="782"/>
        <v>54.721333333333334</v>
      </c>
      <c r="S7854" s="1197">
        <v>2.5</v>
      </c>
      <c r="T7854" s="947">
        <f t="shared" si="783"/>
        <v>3</v>
      </c>
      <c r="W7854" s="901">
        <v>4</v>
      </c>
      <c r="AR7854" s="1223">
        <v>1.3333333333333333</v>
      </c>
    </row>
    <row r="7855" spans="1:45" s="901" customFormat="1" ht="13.2">
      <c r="A7855" s="1223">
        <f>2/3 *(1)</f>
        <v>0.66666666666666663</v>
      </c>
      <c r="B7855" s="901" t="s">
        <v>863</v>
      </c>
      <c r="D7855" s="901" t="s">
        <v>3503</v>
      </c>
      <c r="E7855" s="1142" t="s">
        <v>3452</v>
      </c>
      <c r="G7855" s="941" t="s">
        <v>3504</v>
      </c>
      <c r="H7855" s="942">
        <v>726</v>
      </c>
      <c r="I7855" s="901" t="s">
        <v>2607</v>
      </c>
      <c r="O7855" s="943">
        <v>3</v>
      </c>
      <c r="P7855" s="944"/>
      <c r="Q7855" s="1197">
        <f>1.1 *(55.97)</f>
        <v>61.567</v>
      </c>
      <c r="R7855" s="946">
        <f t="shared" si="782"/>
        <v>41.044666666666664</v>
      </c>
      <c r="S7855" s="1197">
        <v>2.5</v>
      </c>
      <c r="T7855" s="947">
        <f t="shared" si="783"/>
        <v>1.5</v>
      </c>
      <c r="W7855" s="901">
        <v>4</v>
      </c>
      <c r="AR7855" s="1223">
        <v>0.66666666666666663</v>
      </c>
    </row>
    <row r="7856" spans="1:45" s="901" customFormat="1" ht="13.2">
      <c r="A7856" s="1223">
        <f>2/3 *(2)</f>
        <v>1.3333333333333333</v>
      </c>
      <c r="B7856" s="901" t="s">
        <v>863</v>
      </c>
      <c r="D7856" s="901" t="s">
        <v>3503</v>
      </c>
      <c r="E7856" s="1142" t="s">
        <v>3457</v>
      </c>
      <c r="G7856" s="941" t="s">
        <v>3504</v>
      </c>
      <c r="H7856" s="942">
        <v>726</v>
      </c>
      <c r="I7856" s="901" t="s">
        <v>2607</v>
      </c>
      <c r="O7856" s="943">
        <v>3</v>
      </c>
      <c r="P7856" s="944"/>
      <c r="Q7856" s="1197">
        <f>1.1 *(67.16)</f>
        <v>73.876000000000005</v>
      </c>
      <c r="R7856" s="946">
        <f t="shared" si="782"/>
        <v>98.501333333333335</v>
      </c>
      <c r="S7856" s="1197">
        <v>2.5</v>
      </c>
      <c r="T7856" s="947">
        <f t="shared" si="783"/>
        <v>3</v>
      </c>
      <c r="W7856" s="901">
        <v>4</v>
      </c>
      <c r="AR7856" s="1223">
        <v>1.3333333333333333</v>
      </c>
    </row>
    <row r="7857" spans="1:45" s="901" customFormat="1" ht="13.2">
      <c r="A7857" s="1223">
        <f>2/3 *(3)</f>
        <v>2</v>
      </c>
      <c r="B7857" s="901" t="s">
        <v>863</v>
      </c>
      <c r="D7857" s="901" t="s">
        <v>3503</v>
      </c>
      <c r="E7857" s="1142" t="s">
        <v>3458</v>
      </c>
      <c r="G7857" s="941" t="s">
        <v>3504</v>
      </c>
      <c r="H7857" s="942">
        <v>726</v>
      </c>
      <c r="I7857" s="901" t="s">
        <v>2607</v>
      </c>
      <c r="O7857" s="943">
        <v>3</v>
      </c>
      <c r="P7857" s="944"/>
      <c r="Q7857" s="1197">
        <f>1.1 *(89.55)</f>
        <v>98.50500000000001</v>
      </c>
      <c r="R7857" s="946">
        <f t="shared" si="782"/>
        <v>197.01000000000002</v>
      </c>
      <c r="S7857" s="1197">
        <v>2.5</v>
      </c>
      <c r="T7857" s="947">
        <f t="shared" si="783"/>
        <v>4.5</v>
      </c>
      <c r="W7857" s="901">
        <v>4</v>
      </c>
      <c r="AR7857" s="1223">
        <v>2</v>
      </c>
    </row>
    <row r="7858" spans="1:45" s="901" customFormat="1" ht="13.2">
      <c r="A7858" s="1223">
        <f>2/3 *(1)</f>
        <v>0.66666666666666663</v>
      </c>
      <c r="B7858" s="1084" t="s">
        <v>863</v>
      </c>
      <c r="C7858" s="1084"/>
      <c r="D7858" s="1084" t="s">
        <v>2752</v>
      </c>
      <c r="E7858" s="1084"/>
      <c r="F7858" s="1084" t="s">
        <v>3326</v>
      </c>
      <c r="G7858" s="1091" t="s">
        <v>2754</v>
      </c>
      <c r="H7858" s="1092">
        <v>962</v>
      </c>
      <c r="I7858" s="1084" t="s">
        <v>2596</v>
      </c>
      <c r="J7858" s="1084"/>
      <c r="K7858" s="1084"/>
      <c r="L7858" s="1084"/>
      <c r="M7858" s="1084"/>
      <c r="N7858" s="1084"/>
      <c r="O7858" s="1093">
        <v>2</v>
      </c>
      <c r="P7858" s="1094">
        <v>38129</v>
      </c>
      <c r="Q7858" s="945">
        <f>0.41 *(1 *(24/8*120))</f>
        <v>147.6</v>
      </c>
      <c r="R7858" s="1096">
        <f>$A7858*Q7858</f>
        <v>98.399999999999991</v>
      </c>
      <c r="S7858" s="1095"/>
      <c r="T7858" s="1097">
        <f>$A7858*S7858*$T$1</f>
        <v>0</v>
      </c>
      <c r="AR7858" s="1223">
        <v>0.66666666666666663</v>
      </c>
      <c r="AS7858" s="1084" t="s">
        <v>3326</v>
      </c>
    </row>
    <row r="7859" spans="1:45" s="901" customFormat="1" ht="13.2">
      <c r="A7859" s="1223">
        <f>2/3 *(1)</f>
        <v>0.66666666666666663</v>
      </c>
      <c r="B7859" s="901" t="s">
        <v>2755</v>
      </c>
      <c r="D7859" s="901" t="s">
        <v>3325</v>
      </c>
      <c r="F7859" s="901" t="s">
        <v>3666</v>
      </c>
      <c r="G7859" s="941" t="s">
        <v>3324</v>
      </c>
      <c r="H7859" s="942">
        <v>845</v>
      </c>
      <c r="I7859" s="901" t="s">
        <v>2607</v>
      </c>
      <c r="O7859" s="943">
        <v>3</v>
      </c>
      <c r="P7859" s="944">
        <v>39713</v>
      </c>
      <c r="Q7859" s="945">
        <f>0.41 *(24/8*25)</f>
        <v>30.749999999999996</v>
      </c>
      <c r="R7859" s="946">
        <f>$A7859*Q7859</f>
        <v>20.499999999999996</v>
      </c>
      <c r="S7859" s="945"/>
      <c r="T7859" s="947">
        <f>$A7859*S7859*$T$1</f>
        <v>0</v>
      </c>
      <c r="AR7859" s="1223">
        <v>0.66666666666666663</v>
      </c>
      <c r="AS7859" s="901" t="s">
        <v>3666</v>
      </c>
    </row>
    <row r="7860" spans="1:45" s="520" customFormat="1" ht="12">
      <c r="A7860" s="758"/>
      <c r="B7860" s="758"/>
      <c r="C7860" s="758"/>
      <c r="D7860" s="758"/>
      <c r="E7860" s="758"/>
      <c r="F7860" s="753"/>
      <c r="G7860" s="758"/>
      <c r="H7860" s="758"/>
      <c r="I7860" s="519"/>
      <c r="J7860" s="758"/>
      <c r="K7860" s="758"/>
      <c r="L7860" s="758"/>
      <c r="M7860" s="758"/>
      <c r="N7860" s="758"/>
      <c r="O7860" s="758"/>
      <c r="P7860" s="758"/>
      <c r="Q7860" s="519"/>
      <c r="R7860" s="759">
        <f t="shared" ref="R7860" si="784">$A7860*Q7860</f>
        <v>0</v>
      </c>
      <c r="S7860" s="519"/>
      <c r="T7860" s="760">
        <f t="shared" ref="T7860" si="785">$A7860*S7860*$T$1</f>
        <v>0</v>
      </c>
      <c r="AR7860" s="758"/>
      <c r="AS7860" s="753"/>
    </row>
    <row r="7861" spans="1:45" s="520" customFormat="1" ht="12.6" thickBot="1">
      <c r="A7861" s="761" t="s">
        <v>145</v>
      </c>
      <c r="B7861" s="762">
        <f>(R7860+T7860)</f>
        <v>0</v>
      </c>
      <c r="C7861" s="763"/>
      <c r="D7861" s="763"/>
      <c r="E7861" s="763"/>
      <c r="F7861" s="764"/>
      <c r="G7861" s="763" t="s">
        <v>146</v>
      </c>
      <c r="H7861" s="763"/>
      <c r="I7861" s="765"/>
      <c r="J7861" s="763"/>
      <c r="K7861" s="763" t="s">
        <v>3</v>
      </c>
      <c r="L7861" s="766" t="s">
        <v>143</v>
      </c>
      <c r="M7861" s="766"/>
      <c r="N7861" s="766"/>
      <c r="O7861" s="766"/>
      <c r="P7861" s="766"/>
      <c r="Q7861" s="767"/>
      <c r="R7861" s="768">
        <f>SUM(R7848:R7860)</f>
        <v>749.62533333333329</v>
      </c>
      <c r="S7861" s="763"/>
      <c r="T7861" s="768">
        <f>SUM(T7848:T7860)</f>
        <v>29.1</v>
      </c>
      <c r="U7861" s="531"/>
      <c r="V7861" s="531"/>
      <c r="W7861" s="531"/>
      <c r="X7861" s="531"/>
      <c r="Y7861" s="531"/>
      <c r="Z7861" s="531"/>
      <c r="AA7861" s="531"/>
      <c r="AB7861" s="531"/>
      <c r="AC7861" s="531"/>
      <c r="AD7861" s="531"/>
      <c r="AE7861" s="531"/>
      <c r="AF7861" s="531"/>
      <c r="AG7861" s="531"/>
      <c r="AH7861" s="531"/>
      <c r="AI7861" s="531"/>
      <c r="AJ7861" s="531"/>
      <c r="AK7861" s="531"/>
      <c r="AL7861" s="531"/>
      <c r="AM7861" s="531"/>
      <c r="AN7861" s="531"/>
      <c r="AO7861" s="531"/>
      <c r="AR7861" s="761" t="s">
        <v>145</v>
      </c>
      <c r="AS7861" s="764"/>
    </row>
    <row r="7862" spans="1:45" s="520" customFormat="1" ht="12" thickTop="1">
      <c r="A7862" s="51"/>
      <c r="B7862" s="41"/>
      <c r="C7862" s="51"/>
      <c r="E7862" s="42" t="s">
        <v>138</v>
      </c>
      <c r="F7862" s="42" t="s">
        <v>139</v>
      </c>
      <c r="G7862" s="51"/>
      <c r="H7862" s="51"/>
      <c r="I7862" s="51"/>
      <c r="J7862" s="51"/>
      <c r="K7862" s="51" t="s">
        <v>140</v>
      </c>
      <c r="L7862" s="51"/>
      <c r="M7862" s="51"/>
      <c r="N7862" s="51"/>
      <c r="O7862" s="52"/>
      <c r="P7862" s="51"/>
      <c r="Q7862" s="51"/>
      <c r="R7862" s="51"/>
      <c r="S7862" s="51"/>
      <c r="T7862" s="41"/>
      <c r="AG7862" s="521" t="s">
        <v>268</v>
      </c>
      <c r="AH7862" s="521" t="s">
        <v>269</v>
      </c>
      <c r="AI7862" s="521" t="s">
        <v>270</v>
      </c>
      <c r="AJ7862" s="521" t="s">
        <v>271</v>
      </c>
      <c r="AK7862" s="521" t="s">
        <v>272</v>
      </c>
      <c r="AM7862" s="745" t="s">
        <v>281</v>
      </c>
      <c r="AN7862" s="746" t="s">
        <v>282</v>
      </c>
      <c r="AO7862" s="522" t="s">
        <v>278</v>
      </c>
      <c r="AR7862" s="51"/>
      <c r="AS7862" s="42" t="s">
        <v>139</v>
      </c>
    </row>
    <row r="7863" spans="1:45" s="520" customFormat="1" ht="12" customHeight="1">
      <c r="A7863" s="747">
        <v>1</v>
      </c>
      <c r="B7863" s="523" t="s">
        <v>299</v>
      </c>
      <c r="C7863" s="748"/>
      <c r="D7863" s="749" t="s">
        <v>2042</v>
      </c>
      <c r="E7863" s="750">
        <f>IF(AND($A7863=0,$A$1="DIF"),0, ROUND(ROUND(($R7867*$S$2+($T7867*$T$2))/A7863,2)*$C$2,2))</f>
        <v>0</v>
      </c>
      <c r="F7863" s="751">
        <f>ROUND($A7863*$E7863,2)</f>
        <v>0</v>
      </c>
      <c r="G7863" s="752" t="s">
        <v>142</v>
      </c>
      <c r="H7863" s="753"/>
      <c r="I7863" s="754"/>
      <c r="J7863" s="753"/>
      <c r="K7863" s="753" t="s">
        <v>3</v>
      </c>
      <c r="L7863" s="755" t="s">
        <v>143</v>
      </c>
      <c r="M7863" s="755"/>
      <c r="N7863" s="755"/>
      <c r="O7863" s="755"/>
      <c r="P7863" s="755"/>
      <c r="Q7863" s="1058" t="s">
        <v>3732</v>
      </c>
      <c r="T7863" s="756" t="str">
        <f>IF(AND($R7867=0,$T7867=0),"0.00","mu :" &amp; ROUND($F7863/$C$2/($R7867+$T7867*$D$9),2))</f>
        <v>0.00</v>
      </c>
      <c r="W7863" s="524"/>
      <c r="AG7863" s="481">
        <f>IF($E7863=0,0,ROUND($R7867*$S$2*$C$2/$A7863,2))</f>
        <v>0</v>
      </c>
      <c r="AH7863" s="481">
        <f>$AG7863*$A7863</f>
        <v>0</v>
      </c>
      <c r="AI7863" s="525">
        <f>$E7863-$AG7863</f>
        <v>0</v>
      </c>
      <c r="AJ7863" s="525">
        <f>$A7863*$AI7863</f>
        <v>0</v>
      </c>
      <c r="AK7863" s="526">
        <f>ROUND(($AG7863+$AI7863)*$A7863,2)</f>
        <v>0</v>
      </c>
      <c r="AM7863" s="527">
        <f>ROUND(R7867,2)</f>
        <v>0</v>
      </c>
      <c r="AN7863" s="528">
        <f>ROUND(T7867,2)</f>
        <v>0</v>
      </c>
      <c r="AO7863" s="529">
        <f>ROUND(AM7863+AN7863,2)*A7863</f>
        <v>0</v>
      </c>
      <c r="AR7863" s="747">
        <v>1</v>
      </c>
      <c r="AS7863" s="751">
        <v>0</v>
      </c>
    </row>
    <row r="7864" spans="1:45" s="520" customFormat="1" ht="39.9" customHeight="1">
      <c r="A7864" s="748"/>
      <c r="B7864"/>
      <c r="C7864" s="748"/>
      <c r="D7864" s="1451" t="s">
        <v>1039</v>
      </c>
      <c r="E7864" s="1452"/>
      <c r="F7864" s="1452"/>
      <c r="G7864" s="1452"/>
      <c r="H7864" s="1452"/>
      <c r="I7864" s="1452"/>
      <c r="J7864" s="1452"/>
      <c r="K7864" s="1452"/>
      <c r="L7864" s="1452"/>
      <c r="M7864" s="1452"/>
      <c r="N7864" s="1452"/>
      <c r="O7864" s="1452"/>
      <c r="P7864" s="1452"/>
      <c r="Q7864" s="1452"/>
      <c r="R7864" s="1452"/>
      <c r="S7864" s="1452"/>
      <c r="T7864" s="1452"/>
      <c r="AR7864" s="748"/>
    </row>
    <row r="7865" spans="1:45" s="520" customFormat="1" ht="12">
      <c r="A7865" s="51"/>
      <c r="B7865" s="758"/>
      <c r="C7865" s="758"/>
      <c r="D7865" s="758"/>
      <c r="E7865" s="758"/>
      <c r="F7865" s="753"/>
      <c r="G7865" s="758"/>
      <c r="H7865" s="758"/>
      <c r="I7865" s="519"/>
      <c r="J7865" s="758"/>
      <c r="K7865" s="758"/>
      <c r="L7865" s="758"/>
      <c r="M7865" s="758"/>
      <c r="N7865" s="758"/>
      <c r="O7865" s="758"/>
      <c r="P7865" s="758"/>
      <c r="Q7865" s="519"/>
      <c r="R7865" s="759">
        <f t="shared" ref="R7865:R7866" si="786">$A7865*Q7865</f>
        <v>0</v>
      </c>
      <c r="S7865" s="519"/>
      <c r="T7865" s="760">
        <f t="shared" ref="T7865:T7866" si="787">$A7865*S7865*$T$1</f>
        <v>0</v>
      </c>
      <c r="AR7865" s="51"/>
      <c r="AS7865" s="753"/>
    </row>
    <row r="7866" spans="1:45" s="520" customFormat="1" ht="12">
      <c r="A7866" s="758"/>
      <c r="B7866" s="758"/>
      <c r="C7866" s="758"/>
      <c r="D7866" s="758"/>
      <c r="E7866" s="758"/>
      <c r="F7866" s="753"/>
      <c r="G7866" s="758"/>
      <c r="H7866" s="758"/>
      <c r="I7866" s="519"/>
      <c r="J7866" s="758"/>
      <c r="K7866" s="758"/>
      <c r="L7866" s="758"/>
      <c r="M7866" s="758"/>
      <c r="N7866" s="758"/>
      <c r="O7866" s="758"/>
      <c r="P7866" s="758"/>
      <c r="Q7866" s="519"/>
      <c r="R7866" s="759">
        <f t="shared" si="786"/>
        <v>0</v>
      </c>
      <c r="S7866" s="519"/>
      <c r="T7866" s="760">
        <f t="shared" si="787"/>
        <v>0</v>
      </c>
      <c r="AR7866" s="758"/>
      <c r="AS7866" s="753"/>
    </row>
    <row r="7867" spans="1:45" s="520" customFormat="1" ht="12.6" thickBot="1">
      <c r="A7867" s="761" t="s">
        <v>145</v>
      </c>
      <c r="B7867" s="762">
        <f>(R7866+T7866)</f>
        <v>0</v>
      </c>
      <c r="C7867" s="763"/>
      <c r="D7867" s="763"/>
      <c r="E7867" s="763"/>
      <c r="F7867" s="764"/>
      <c r="G7867" s="763" t="s">
        <v>146</v>
      </c>
      <c r="H7867" s="763"/>
      <c r="I7867" s="765"/>
      <c r="J7867" s="763"/>
      <c r="K7867" s="763" t="s">
        <v>3</v>
      </c>
      <c r="L7867" s="766" t="s">
        <v>143</v>
      </c>
      <c r="M7867" s="766"/>
      <c r="N7867" s="766"/>
      <c r="O7867" s="766"/>
      <c r="P7867" s="766"/>
      <c r="Q7867" s="767"/>
      <c r="R7867" s="768">
        <f>SUM(R7864:R7866)</f>
        <v>0</v>
      </c>
      <c r="S7867" s="763"/>
      <c r="T7867" s="768">
        <f>SUM(T7864:T7866)</f>
        <v>0</v>
      </c>
      <c r="U7867" s="531"/>
      <c r="V7867" s="531"/>
      <c r="W7867" s="531"/>
      <c r="X7867" s="531"/>
      <c r="Y7867" s="531"/>
      <c r="Z7867" s="531"/>
      <c r="AA7867" s="531"/>
      <c r="AB7867" s="531"/>
      <c r="AC7867" s="531"/>
      <c r="AD7867" s="531"/>
      <c r="AE7867" s="531"/>
      <c r="AF7867" s="531"/>
      <c r="AG7867" s="531"/>
      <c r="AH7867" s="531"/>
      <c r="AI7867" s="531"/>
      <c r="AJ7867" s="531"/>
      <c r="AK7867" s="531"/>
      <c r="AL7867" s="531"/>
      <c r="AM7867" s="531"/>
      <c r="AN7867" s="531"/>
      <c r="AO7867" s="531"/>
      <c r="AR7867" s="761" t="s">
        <v>145</v>
      </c>
      <c r="AS7867" s="764"/>
    </row>
    <row r="7868" spans="1:45" s="520" customFormat="1" thickTop="1">
      <c r="A7868" s="51"/>
      <c r="B7868" s="51"/>
      <c r="C7868" s="3"/>
      <c r="D7868" s="3"/>
      <c r="E7868" s="51"/>
      <c r="F7868" s="51"/>
      <c r="G7868" s="51"/>
      <c r="H7868" s="51"/>
      <c r="I7868" s="51"/>
      <c r="J7868" s="51"/>
      <c r="K7868" s="51" t="s">
        <v>134</v>
      </c>
      <c r="L7868" s="51"/>
      <c r="M7868" s="51"/>
      <c r="N7868" s="51"/>
      <c r="O7868" s="52"/>
      <c r="P7868" s="51"/>
      <c r="Q7868" s="51"/>
      <c r="R7868" s="51"/>
      <c r="S7868" s="51"/>
      <c r="T7868" s="51"/>
      <c r="AR7868" s="51"/>
      <c r="AS7868" s="51"/>
    </row>
    <row r="7869" spans="1:45" s="520" customFormat="1" ht="12">
      <c r="A7869" s="51"/>
      <c r="B7869" s="51"/>
      <c r="C7869" s="51" t="s">
        <v>135</v>
      </c>
      <c r="D7869" s="37"/>
      <c r="E7869" s="51"/>
      <c r="F7869" s="51"/>
      <c r="G7869" s="51"/>
      <c r="H7869" s="51"/>
      <c r="I7869" s="51"/>
      <c r="J7869" s="51"/>
      <c r="K7869" s="51"/>
      <c r="L7869" s="51"/>
      <c r="M7869" s="51"/>
      <c r="N7869" s="51"/>
      <c r="O7869" s="52"/>
      <c r="P7869" s="51"/>
      <c r="Q7869" s="51"/>
      <c r="R7869" s="51"/>
      <c r="S7869" s="51"/>
      <c r="T7869" s="51"/>
      <c r="AR7869" s="51"/>
      <c r="AS7869" s="51"/>
    </row>
    <row r="7870" spans="1:45" s="520" customFormat="1" ht="12">
      <c r="A7870" s="51"/>
      <c r="B7870" s="51"/>
      <c r="C7870" s="51"/>
      <c r="D7870" s="37" t="s">
        <v>379</v>
      </c>
      <c r="E7870" s="51"/>
      <c r="F7870" s="51"/>
      <c r="G7870" s="51"/>
      <c r="H7870" s="51"/>
      <c r="I7870" s="51"/>
      <c r="J7870" s="51"/>
      <c r="K7870" s="51"/>
      <c r="L7870" s="51"/>
      <c r="M7870" s="51"/>
      <c r="N7870" s="51"/>
      <c r="O7870" s="52"/>
      <c r="P7870" s="51"/>
      <c r="Q7870" s="51"/>
      <c r="R7870" s="51"/>
      <c r="S7870" s="38"/>
      <c r="T7870" s="38"/>
      <c r="AR7870" s="51"/>
      <c r="AS7870" s="51"/>
    </row>
    <row r="7871" spans="1:45" s="3" customFormat="1" thickBot="1">
      <c r="A7871" s="531"/>
      <c r="O7871" s="107"/>
      <c r="AR7871" s="531"/>
    </row>
    <row r="7872" spans="1:45" s="520" customFormat="1" ht="12" thickTop="1">
      <c r="A7872" s="51"/>
      <c r="B7872" s="41"/>
      <c r="C7872" s="51"/>
      <c r="E7872" s="42" t="s">
        <v>138</v>
      </c>
      <c r="F7872" s="42" t="s">
        <v>139</v>
      </c>
      <c r="G7872" s="51"/>
      <c r="H7872" s="51"/>
      <c r="I7872" s="51"/>
      <c r="J7872" s="51"/>
      <c r="K7872" s="51" t="s">
        <v>140</v>
      </c>
      <c r="L7872" s="51"/>
      <c r="M7872" s="51"/>
      <c r="N7872" s="51"/>
      <c r="O7872" s="52"/>
      <c r="P7872" s="51"/>
      <c r="Q7872" s="51"/>
      <c r="R7872" s="51"/>
      <c r="S7872" s="51"/>
      <c r="T7872" s="41"/>
      <c r="AG7872" s="521" t="s">
        <v>268</v>
      </c>
      <c r="AH7872" s="521" t="s">
        <v>269</v>
      </c>
      <c r="AI7872" s="521" t="s">
        <v>270</v>
      </c>
      <c r="AJ7872" s="521" t="s">
        <v>271</v>
      </c>
      <c r="AK7872" s="521" t="s">
        <v>272</v>
      </c>
      <c r="AM7872" s="745" t="s">
        <v>281</v>
      </c>
      <c r="AN7872" s="746" t="s">
        <v>282</v>
      </c>
      <c r="AO7872" s="522" t="s">
        <v>278</v>
      </c>
      <c r="AR7872" s="51"/>
      <c r="AS7872" s="42" t="s">
        <v>139</v>
      </c>
    </row>
    <row r="7873" spans="1:45" s="520" customFormat="1" ht="12" customHeight="1">
      <c r="A7873" s="747">
        <v>1</v>
      </c>
      <c r="B7873" s="523" t="s">
        <v>383</v>
      </c>
      <c r="C7873" s="748"/>
      <c r="D7873" s="749" t="s">
        <v>2043</v>
      </c>
      <c r="E7873" s="750">
        <f>IF(AND($A7873=0,$A$1="DIF"),0, ROUND(ROUND(($R7879*$S$2+($T7879*$T$2))/A7873,2)*$C$2,2))</f>
        <v>307.08999999999997</v>
      </c>
      <c r="F7873" s="751">
        <f>ROUND($A7873*$E7873,2)</f>
        <v>307.08999999999997</v>
      </c>
      <c r="G7873" s="752" t="s">
        <v>142</v>
      </c>
      <c r="H7873" s="753"/>
      <c r="I7873" s="754"/>
      <c r="J7873" s="753"/>
      <c r="K7873" s="753" t="s">
        <v>3</v>
      </c>
      <c r="L7873" s="755" t="s">
        <v>143</v>
      </c>
      <c r="M7873" s="755"/>
      <c r="N7873" s="755"/>
      <c r="O7873" s="755"/>
      <c r="P7873" s="755"/>
      <c r="Q7873" s="51"/>
      <c r="T7873" s="756" t="str">
        <f>IF(AND($R7879=0,$T7879=0),"0.00","mu :" &amp; ROUND($F7873/$C$2/($R7879+$T7879*$D$9),2))</f>
        <v>mu :1.23</v>
      </c>
      <c r="W7873" s="524"/>
      <c r="AG7873" s="481">
        <f>IF($E7873=0,0,ROUND($R7879*$S$2*$C$2/$A7873,2))</f>
        <v>162.54</v>
      </c>
      <c r="AH7873" s="481">
        <f>$AG7873*$A7873</f>
        <v>162.54</v>
      </c>
      <c r="AI7873" s="525">
        <f>$E7873-$AG7873</f>
        <v>144.54999999999998</v>
      </c>
      <c r="AJ7873" s="525">
        <f>$A7873*$AI7873</f>
        <v>144.54999999999998</v>
      </c>
      <c r="AK7873" s="526">
        <f>ROUND(($AG7873+$AI7873)*$A7873,2)</f>
        <v>307.08999999999997</v>
      </c>
      <c r="AM7873" s="527">
        <f>ROUND(R7879,2)</f>
        <v>132</v>
      </c>
      <c r="AN7873" s="528">
        <f>ROUND(T7879,2)</f>
        <v>4.28</v>
      </c>
      <c r="AO7873" s="529">
        <f>ROUND(AM7873+AN7873,2)*A7873</f>
        <v>136.28</v>
      </c>
      <c r="AR7873" s="747">
        <v>1</v>
      </c>
      <c r="AS7873" s="751">
        <v>323.14999999999998</v>
      </c>
    </row>
    <row r="7874" spans="1:45" s="520" customFormat="1" ht="39.9" customHeight="1">
      <c r="A7874" s="748"/>
      <c r="B7874"/>
      <c r="C7874" s="748"/>
      <c r="D7874" s="1451" t="s">
        <v>382</v>
      </c>
      <c r="E7874" s="1452"/>
      <c r="F7874" s="1452"/>
      <c r="G7874" s="1452"/>
      <c r="H7874" s="1452"/>
      <c r="I7874" s="1452"/>
      <c r="J7874" s="1452"/>
      <c r="K7874" s="1452"/>
      <c r="L7874" s="1452"/>
      <c r="M7874" s="1452"/>
      <c r="N7874" s="1452"/>
      <c r="O7874" s="1452"/>
      <c r="P7874" s="1452"/>
      <c r="Q7874" s="1452"/>
      <c r="R7874" s="1452"/>
      <c r="S7874" s="1452"/>
      <c r="T7874" s="1452"/>
      <c r="AR7874" s="748"/>
    </row>
    <row r="7875" spans="1:45" s="901" customFormat="1" ht="13.2">
      <c r="A7875" s="116">
        <v>14</v>
      </c>
      <c r="B7875" s="901" t="s">
        <v>141</v>
      </c>
      <c r="D7875" s="901" t="s">
        <v>3698</v>
      </c>
      <c r="G7875" s="941" t="s">
        <v>3061</v>
      </c>
      <c r="H7875" s="942">
        <v>880</v>
      </c>
      <c r="I7875" s="901" t="s">
        <v>2607</v>
      </c>
      <c r="O7875" s="943">
        <v>3</v>
      </c>
      <c r="P7875" s="944">
        <v>36220</v>
      </c>
      <c r="Q7875" s="945">
        <v>8</v>
      </c>
      <c r="R7875" s="946">
        <f>$A7875*Q7875</f>
        <v>112</v>
      </c>
      <c r="S7875" s="945">
        <v>0.25</v>
      </c>
      <c r="T7875" s="947">
        <f>$A7875*S7875*$T$1</f>
        <v>3.15</v>
      </c>
      <c r="AR7875" s="116">
        <v>14</v>
      </c>
    </row>
    <row r="7876" spans="1:45" s="901" customFormat="1" ht="13.2">
      <c r="A7876" s="116">
        <v>1</v>
      </c>
      <c r="B7876" s="901" t="s">
        <v>141</v>
      </c>
      <c r="D7876" s="901" t="s">
        <v>3063</v>
      </c>
      <c r="G7876" s="941" t="s">
        <v>3062</v>
      </c>
      <c r="H7876" s="942">
        <v>880</v>
      </c>
      <c r="I7876" s="901" t="s">
        <v>2607</v>
      </c>
      <c r="O7876" s="943">
        <v>3</v>
      </c>
      <c r="P7876" s="944"/>
      <c r="Q7876" s="945">
        <v>10</v>
      </c>
      <c r="R7876" s="946">
        <f>$A7876*Q7876</f>
        <v>10</v>
      </c>
      <c r="S7876" s="945">
        <v>0.25</v>
      </c>
      <c r="T7876" s="947">
        <f>$A7876*S7876*$T$1</f>
        <v>0.22500000000000001</v>
      </c>
      <c r="AR7876" s="116">
        <v>1</v>
      </c>
    </row>
    <row r="7877" spans="1:45" s="901" customFormat="1" ht="13.2">
      <c r="A7877" s="116">
        <v>1</v>
      </c>
      <c r="B7877" s="901" t="s">
        <v>141</v>
      </c>
      <c r="D7877" s="901" t="s">
        <v>3064</v>
      </c>
      <c r="G7877" s="941" t="s">
        <v>3065</v>
      </c>
      <c r="H7877" s="942">
        <v>880</v>
      </c>
      <c r="I7877" s="901" t="s">
        <v>2607</v>
      </c>
      <c r="O7877" s="943">
        <v>3</v>
      </c>
      <c r="P7877" s="944"/>
      <c r="Q7877" s="945">
        <v>10</v>
      </c>
      <c r="R7877" s="946">
        <f>$A7877*Q7877</f>
        <v>10</v>
      </c>
      <c r="S7877" s="945">
        <v>1</v>
      </c>
      <c r="T7877" s="947">
        <f>$A7877*S7877*$T$1</f>
        <v>0.9</v>
      </c>
      <c r="AR7877" s="116">
        <v>1</v>
      </c>
    </row>
    <row r="7878" spans="1:45" s="520" customFormat="1" ht="12">
      <c r="A7878" s="758"/>
      <c r="B7878" s="758"/>
      <c r="C7878" s="758"/>
      <c r="D7878" s="758"/>
      <c r="E7878" s="758"/>
      <c r="F7878" s="753"/>
      <c r="G7878" s="758"/>
      <c r="H7878" s="758"/>
      <c r="I7878" s="519"/>
      <c r="J7878" s="758"/>
      <c r="K7878" s="758"/>
      <c r="L7878" s="758"/>
      <c r="M7878" s="758"/>
      <c r="N7878" s="758"/>
      <c r="O7878" s="758"/>
      <c r="P7878" s="758"/>
      <c r="Q7878" s="519"/>
      <c r="R7878" s="759">
        <f t="shared" ref="R7878" si="788">$A7878*Q7878</f>
        <v>0</v>
      </c>
      <c r="S7878" s="519"/>
      <c r="T7878" s="760">
        <f t="shared" ref="T7878" si="789">$A7878*S7878*$T$1</f>
        <v>0</v>
      </c>
      <c r="AR7878" s="758"/>
      <c r="AS7878" s="753"/>
    </row>
    <row r="7879" spans="1:45" s="520" customFormat="1" ht="12.6" thickBot="1">
      <c r="A7879" s="761" t="s">
        <v>145</v>
      </c>
      <c r="B7879" s="762">
        <f>(R7878+T7878)</f>
        <v>0</v>
      </c>
      <c r="C7879" s="763"/>
      <c r="D7879" s="763"/>
      <c r="E7879" s="763"/>
      <c r="F7879" s="764"/>
      <c r="G7879" s="763" t="s">
        <v>146</v>
      </c>
      <c r="H7879" s="763"/>
      <c r="I7879" s="765"/>
      <c r="J7879" s="763"/>
      <c r="K7879" s="763" t="s">
        <v>3</v>
      </c>
      <c r="L7879" s="766" t="s">
        <v>143</v>
      </c>
      <c r="M7879" s="766"/>
      <c r="N7879" s="766"/>
      <c r="O7879" s="766"/>
      <c r="P7879" s="766"/>
      <c r="Q7879" s="767"/>
      <c r="R7879" s="768">
        <f>SUM(R7874:R7878)</f>
        <v>132</v>
      </c>
      <c r="S7879" s="763"/>
      <c r="T7879" s="768">
        <f>SUM(T7874:T7878)</f>
        <v>4.2750000000000004</v>
      </c>
      <c r="U7879" s="531"/>
      <c r="V7879" s="531"/>
      <c r="W7879" s="531"/>
      <c r="X7879" s="531"/>
      <c r="Y7879" s="531"/>
      <c r="Z7879" s="531"/>
      <c r="AA7879" s="531"/>
      <c r="AB7879" s="531"/>
      <c r="AC7879" s="531"/>
      <c r="AD7879" s="531"/>
      <c r="AE7879" s="531"/>
      <c r="AF7879" s="531"/>
      <c r="AG7879" s="531"/>
      <c r="AH7879" s="531"/>
      <c r="AI7879" s="531"/>
      <c r="AJ7879" s="531"/>
      <c r="AK7879" s="531"/>
      <c r="AL7879" s="531"/>
      <c r="AM7879" s="531"/>
      <c r="AN7879" s="531"/>
      <c r="AO7879" s="531"/>
      <c r="AR7879" s="761" t="s">
        <v>145</v>
      </c>
      <c r="AS7879" s="764"/>
    </row>
    <row r="7880" spans="1:45" s="520" customFormat="1" ht="12" thickTop="1">
      <c r="A7880" s="48" t="s">
        <v>148</v>
      </c>
      <c r="D7880" s="13"/>
      <c r="E7880" s="42"/>
      <c r="O7880" s="771"/>
      <c r="AR7880" s="48" t="s">
        <v>148</v>
      </c>
    </row>
    <row r="7881" spans="1:45" s="520" customFormat="1" ht="13.2">
      <c r="B7881" s="3"/>
      <c r="O7881" s="771"/>
    </row>
    <row r="7882" spans="1:45" s="520" customFormat="1" ht="12">
      <c r="B7882" s="772">
        <f>$F7882/$C$2-($R7882*$S$2+$T7882*$T$2)</f>
        <v>6.8647919997602003E-3</v>
      </c>
      <c r="D7882" s="773" t="s">
        <v>3649</v>
      </c>
      <c r="E7882" s="774"/>
      <c r="F7882" s="775">
        <f>SUMIF($L7836:$L7880,"ITEM",F7836:F7880)</f>
        <v>2214.09</v>
      </c>
      <c r="G7882" s="758"/>
      <c r="H7882" s="758"/>
      <c r="I7882" s="519"/>
      <c r="J7882" s="758"/>
      <c r="K7882" s="758"/>
      <c r="L7882" s="755" t="s">
        <v>157</v>
      </c>
      <c r="M7882" s="755"/>
      <c r="N7882" s="755"/>
      <c r="O7882" s="755"/>
      <c r="P7882" s="755"/>
      <c r="R7882" s="775">
        <f>SUMIF($L7836:$L7880,"ITEM",R7836:R7880)</f>
        <v>881.62533333333329</v>
      </c>
      <c r="S7882" s="776"/>
      <c r="T7882" s="775">
        <f>SUMIF($L7836:$L7880,"ITEM",T7836:T7880)</f>
        <v>33.375</v>
      </c>
      <c r="AS7882" s="775">
        <v>2339.4699999999998</v>
      </c>
    </row>
    <row r="7883" spans="1:45" s="520" customFormat="1" ht="13.2">
      <c r="A7883" s="51"/>
      <c r="B7883" s="49" t="s">
        <v>1064</v>
      </c>
      <c r="C7883" s="51"/>
      <c r="D7883" s="3"/>
      <c r="F7883" s="777" t="s">
        <v>158</v>
      </c>
      <c r="G7883" s="758"/>
      <c r="H7883" s="758"/>
      <c r="I7883" s="519"/>
      <c r="J7883" s="758"/>
      <c r="K7883" s="758"/>
      <c r="L7883" s="758"/>
      <c r="M7883" s="758"/>
      <c r="N7883" s="758"/>
      <c r="O7883" s="758"/>
      <c r="P7883" s="758"/>
      <c r="Q7883" s="778"/>
      <c r="R7883" s="777" t="s">
        <v>159</v>
      </c>
      <c r="S7883" s="38"/>
      <c r="T7883" s="777" t="s">
        <v>160</v>
      </c>
      <c r="AR7883" s="51"/>
      <c r="AS7883" s="777" t="s">
        <v>158</v>
      </c>
    </row>
    <row r="7884" spans="1:45" s="520" customFormat="1" ht="13.2">
      <c r="A7884" s="758"/>
      <c r="B7884" s="3"/>
      <c r="C7884" s="758"/>
      <c r="D7884" s="3"/>
      <c r="E7884" s="3"/>
      <c r="G7884" s="3"/>
      <c r="H7884" s="3"/>
      <c r="I7884" s="3"/>
      <c r="J7884" s="3"/>
      <c r="K7884" s="3"/>
      <c r="L7884" s="3"/>
      <c r="M7884" s="3"/>
      <c r="N7884" s="3"/>
      <c r="O7884" s="107"/>
      <c r="P7884" s="3"/>
      <c r="Q7884" s="3"/>
      <c r="R7884" s="3"/>
      <c r="S7884" s="3"/>
      <c r="T7884" s="3"/>
      <c r="AR7884" s="758"/>
    </row>
    <row r="7885" spans="1:45" s="520" customFormat="1" ht="12" thickBot="1">
      <c r="A7885" s="531"/>
      <c r="B7885" s="763"/>
      <c r="C7885" s="763"/>
      <c r="D7885" s="531"/>
      <c r="E7885" s="39"/>
      <c r="F7885" s="779"/>
      <c r="G7885" s="763"/>
      <c r="H7885" s="763"/>
      <c r="I7885" s="765"/>
      <c r="J7885" s="763"/>
      <c r="K7885" s="763"/>
      <c r="L7885" s="766"/>
      <c r="M7885" s="766"/>
      <c r="N7885" s="766"/>
      <c r="O7885" s="766"/>
      <c r="P7885" s="766"/>
      <c r="Q7885" s="767"/>
      <c r="R7885" s="779"/>
      <c r="S7885" s="780"/>
      <c r="T7885" s="779"/>
      <c r="U7885" s="531"/>
      <c r="V7885" s="531"/>
      <c r="W7885" s="531"/>
      <c r="X7885" s="531"/>
      <c r="Y7885" s="531"/>
      <c r="Z7885" s="531"/>
      <c r="AA7885" s="531"/>
      <c r="AB7885" s="531"/>
      <c r="AC7885" s="531"/>
      <c r="AD7885" s="531"/>
      <c r="AE7885" s="531"/>
      <c r="AF7885" s="531"/>
      <c r="AG7885" s="531"/>
      <c r="AH7885" s="531"/>
      <c r="AI7885" s="531"/>
      <c r="AJ7885" s="531"/>
      <c r="AK7885" s="531"/>
      <c r="AR7885" s="531"/>
      <c r="AS7885" s="779"/>
    </row>
    <row r="7886" spans="1:45" s="520" customFormat="1" thickTop="1">
      <c r="A7886" s="48" t="s">
        <v>148</v>
      </c>
      <c r="B7886" s="3"/>
      <c r="C7886" s="51"/>
      <c r="D7886" s="51"/>
      <c r="E7886" s="51"/>
      <c r="F7886" s="51"/>
      <c r="G7886" s="51"/>
      <c r="H7886" s="51"/>
      <c r="I7886" s="51"/>
      <c r="J7886" s="51"/>
      <c r="K7886" s="51"/>
      <c r="L7886" s="51"/>
      <c r="M7886" s="51"/>
      <c r="N7886" s="51"/>
      <c r="O7886" s="52"/>
      <c r="P7886" s="51"/>
      <c r="Q7886" s="51"/>
      <c r="R7886" s="51"/>
      <c r="S7886" s="51"/>
      <c r="T7886" s="51"/>
      <c r="AR7886" s="48" t="s">
        <v>148</v>
      </c>
      <c r="AS7886" s="51"/>
    </row>
    <row r="7887" spans="1:45" s="520" customFormat="1" ht="13.2">
      <c r="A7887" s="51"/>
      <c r="B7887" s="3"/>
      <c r="C7887" s="3"/>
      <c r="E7887" s="3"/>
      <c r="F7887" s="3"/>
      <c r="G7887" s="3"/>
      <c r="H7887" s="3"/>
      <c r="I7887" s="3"/>
      <c r="J7887" s="3"/>
      <c r="K7887" s="3"/>
      <c r="L7887" s="3"/>
      <c r="M7887" s="3"/>
      <c r="N7887" s="3"/>
      <c r="O7887" s="107"/>
      <c r="P7887" s="3"/>
      <c r="Q7887" s="3"/>
      <c r="R7887" s="3"/>
      <c r="S7887" s="3"/>
      <c r="T7887" s="3"/>
      <c r="AR7887" s="51"/>
      <c r="AS7887" s="3"/>
    </row>
    <row r="7888" spans="1:45" s="520" customFormat="1" ht="12">
      <c r="A7888" s="51"/>
      <c r="B7888" s="772">
        <f>$F7888/$C$2-($R7888*$S$2+$T7888*$T$2)</f>
        <v>6.8647919997602003E-3</v>
      </c>
      <c r="C7888" s="51"/>
      <c r="D7888" s="121" t="s">
        <v>1041</v>
      </c>
      <c r="E7888" s="774"/>
      <c r="F7888" s="782">
        <f>SUMIF($L7842:$L7886,"PAGE",F7842:F7886)</f>
        <v>2214.09</v>
      </c>
      <c r="G7888" s="758"/>
      <c r="H7888" s="758"/>
      <c r="I7888" s="519"/>
      <c r="J7888" s="758"/>
      <c r="K7888" s="758"/>
      <c r="L7888" s="121" t="s">
        <v>1075</v>
      </c>
      <c r="M7888" s="121"/>
      <c r="N7888" s="121"/>
      <c r="O7888" s="122"/>
      <c r="P7888" s="121"/>
      <c r="Q7888" s="51"/>
      <c r="R7888" s="782">
        <f>SUMIF($L7842:$L7886,"PAGE",R7842:R7886)</f>
        <v>881.62533333333329</v>
      </c>
      <c r="S7888" s="51"/>
      <c r="T7888" s="782">
        <f>SUMIF($L7842:$L7886,"PAGE",T7842:T7886)</f>
        <v>33.375</v>
      </c>
      <c r="AR7888" s="51"/>
      <c r="AS7888" s="782">
        <v>2339.4699999999998</v>
      </c>
    </row>
    <row r="7889" spans="1:45" s="520" customFormat="1" ht="12">
      <c r="A7889" s="51"/>
      <c r="B7889" s="49" t="s">
        <v>1064</v>
      </c>
      <c r="C7889" s="51"/>
      <c r="D7889" s="781"/>
      <c r="F7889" s="783" t="s">
        <v>1076</v>
      </c>
      <c r="G7889" s="758"/>
      <c r="H7889" s="758"/>
      <c r="I7889" s="519"/>
      <c r="J7889" s="758"/>
      <c r="K7889" s="758"/>
      <c r="L7889" s="51"/>
      <c r="M7889" s="51"/>
      <c r="N7889" s="51"/>
      <c r="O7889" s="52"/>
      <c r="P7889" s="51"/>
      <c r="Q7889" s="51"/>
      <c r="R7889" s="783" t="s">
        <v>1077</v>
      </c>
      <c r="S7889" s="38"/>
      <c r="T7889" s="783" t="s">
        <v>1078</v>
      </c>
      <c r="AR7889" s="51"/>
      <c r="AS7889" s="783" t="s">
        <v>1076</v>
      </c>
    </row>
    <row r="7890" spans="1:45" s="520" customFormat="1" ht="11.4">
      <c r="O7890" s="771"/>
    </row>
    <row r="7891" spans="1:45" s="520" customFormat="1" ht="12" thickBot="1">
      <c r="A7891" s="763"/>
      <c r="B7891" s="763"/>
      <c r="C7891" s="763"/>
      <c r="D7891" s="763"/>
      <c r="E7891" s="763"/>
      <c r="F7891" s="39"/>
      <c r="G7891" s="531"/>
      <c r="H7891" s="531"/>
      <c r="I7891" s="531"/>
      <c r="J7891" s="531"/>
      <c r="K7891" s="531"/>
      <c r="L7891" s="763"/>
      <c r="M7891" s="763"/>
      <c r="N7891" s="763"/>
      <c r="O7891" s="763"/>
      <c r="P7891" s="763"/>
      <c r="Q7891" s="767"/>
      <c r="R7891" s="39"/>
      <c r="S7891" s="39"/>
      <c r="T7891" s="39"/>
      <c r="U7891" s="531"/>
      <c r="V7891" s="531"/>
      <c r="W7891" s="531"/>
      <c r="X7891" s="531"/>
      <c r="Y7891" s="531"/>
      <c r="Z7891" s="531"/>
      <c r="AA7891" s="531"/>
      <c r="AB7891" s="531"/>
      <c r="AC7891" s="531"/>
      <c r="AD7891" s="531"/>
      <c r="AE7891" s="531"/>
      <c r="AF7891" s="531"/>
      <c r="AG7891" s="531"/>
      <c r="AH7891" s="531"/>
      <c r="AI7891" s="531"/>
      <c r="AJ7891" s="531"/>
      <c r="AK7891" s="531"/>
      <c r="AR7891" s="763"/>
      <c r="AS7891" s="39"/>
    </row>
    <row r="7892" spans="1:45" s="520" customFormat="1" thickTop="1">
      <c r="A7892" s="51"/>
      <c r="B7892" s="51"/>
      <c r="C7892" s="3"/>
      <c r="D7892" s="3"/>
      <c r="E7892" s="51"/>
      <c r="F7892" s="51"/>
      <c r="G7892" s="51"/>
      <c r="H7892" s="51"/>
      <c r="I7892" s="51"/>
      <c r="J7892" s="51"/>
      <c r="K7892" s="51" t="s">
        <v>134</v>
      </c>
      <c r="L7892" s="51"/>
      <c r="M7892" s="51"/>
      <c r="N7892" s="51"/>
      <c r="O7892" s="52"/>
      <c r="P7892" s="51"/>
      <c r="Q7892" s="51"/>
      <c r="R7892" s="51"/>
      <c r="S7892" s="51"/>
      <c r="T7892" s="51"/>
      <c r="AR7892" s="51"/>
      <c r="AS7892" s="51"/>
    </row>
    <row r="7893" spans="1:45" s="520" customFormat="1" ht="12">
      <c r="A7893" s="51"/>
      <c r="B7893" s="51"/>
      <c r="C7893" s="51" t="s">
        <v>135</v>
      </c>
      <c r="D7893" s="37"/>
      <c r="E7893" s="51"/>
      <c r="F7893" s="51"/>
      <c r="G7893" s="51"/>
      <c r="H7893" s="51"/>
      <c r="I7893" s="51"/>
      <c r="J7893" s="51"/>
      <c r="K7893" s="51"/>
      <c r="L7893" s="51"/>
      <c r="M7893" s="51"/>
      <c r="N7893" s="51"/>
      <c r="O7893" s="52"/>
      <c r="P7893" s="51"/>
      <c r="Q7893" s="51"/>
      <c r="R7893" s="51"/>
      <c r="S7893" s="51"/>
      <c r="T7893" s="51"/>
      <c r="AR7893" s="51"/>
      <c r="AS7893" s="51"/>
    </row>
    <row r="7894" spans="1:45" s="520" customFormat="1" ht="12">
      <c r="A7894" s="51"/>
      <c r="B7894" s="51"/>
      <c r="C7894" s="51"/>
      <c r="D7894" s="37" t="s">
        <v>1043</v>
      </c>
      <c r="E7894" s="51"/>
      <c r="F7894" s="51"/>
      <c r="G7894" s="51"/>
      <c r="H7894" s="51"/>
      <c r="I7894" s="51"/>
      <c r="J7894" s="51"/>
      <c r="K7894" s="51"/>
      <c r="L7894" s="51"/>
      <c r="M7894" s="51"/>
      <c r="N7894" s="51"/>
      <c r="O7894" s="52"/>
      <c r="P7894" s="51"/>
      <c r="Q7894" s="51"/>
      <c r="R7894" s="51"/>
      <c r="S7894" s="38"/>
      <c r="T7894" s="38"/>
      <c r="AR7894" s="51"/>
      <c r="AS7894" s="51"/>
    </row>
    <row r="7895" spans="1:45" s="3" customFormat="1" thickBot="1">
      <c r="A7895" s="531"/>
      <c r="O7895" s="107"/>
      <c r="AR7895" s="531"/>
    </row>
    <row r="7896" spans="1:45" s="520" customFormat="1" thickTop="1">
      <c r="A7896" s="51"/>
      <c r="B7896" s="41"/>
      <c r="C7896" s="51"/>
      <c r="E7896" s="42" t="s">
        <v>138</v>
      </c>
      <c r="F7896"/>
      <c r="G7896" s="51"/>
      <c r="H7896" s="51"/>
      <c r="I7896" s="51"/>
      <c r="J7896" s="51"/>
      <c r="K7896" s="51" t="s">
        <v>140</v>
      </c>
      <c r="L7896" s="789"/>
      <c r="M7896" s="51"/>
      <c r="N7896" s="51"/>
      <c r="O7896" s="52"/>
      <c r="P7896" s="51"/>
      <c r="Q7896" s="51"/>
      <c r="R7896" s="51"/>
      <c r="S7896" s="51"/>
      <c r="T7896" s="41"/>
      <c r="AG7896" s="521" t="s">
        <v>268</v>
      </c>
      <c r="AH7896" s="884"/>
      <c r="AI7896" s="521" t="s">
        <v>270</v>
      </c>
      <c r="AM7896" s="745" t="s">
        <v>281</v>
      </c>
      <c r="AN7896" s="746" t="s">
        <v>282</v>
      </c>
      <c r="AO7896" s="522" t="s">
        <v>278</v>
      </c>
      <c r="AR7896" s="51"/>
      <c r="AS7896"/>
    </row>
    <row r="7897" spans="1:45" s="520" customFormat="1" ht="13.2">
      <c r="A7897" s="747">
        <v>1</v>
      </c>
      <c r="B7897" s="523" t="s">
        <v>1045</v>
      </c>
      <c r="C7897" s="748"/>
      <c r="D7897" s="749" t="s">
        <v>2044</v>
      </c>
      <c r="E7897" s="885">
        <f>IF(AND($A7897=0,$A$1="DIF"),0, ROUND(ROUND(($R7904*$S$2+($T7904*$T$2))/A7897,2)*$C$2,2))</f>
        <v>0</v>
      </c>
      <c r="F7897"/>
      <c r="G7897" s="752" t="s">
        <v>142</v>
      </c>
      <c r="H7897" s="753"/>
      <c r="I7897" s="754"/>
      <c r="J7897" s="753"/>
      <c r="K7897" s="784" t="s">
        <v>2267</v>
      </c>
      <c r="L7897" s="789" t="s">
        <v>143</v>
      </c>
      <c r="M7897" s="755"/>
      <c r="N7897" s="755"/>
      <c r="O7897" s="755"/>
      <c r="P7897" s="755"/>
      <c r="Q7897" s="51"/>
      <c r="T7897" s="756" t="str">
        <f>IF(AND($R7904=0,$T7904=0),"0.00","mu :" &amp; ROUND($A7897*$E7897/$C$2/($R7904+$T7904*$D$9),2))</f>
        <v>0.00</v>
      </c>
      <c r="W7897" s="524"/>
      <c r="AG7897" s="525">
        <f>IF($E7897=0,0,ROUND($R7904*$S$2*$C$2/$A7897,2))</f>
        <v>0</v>
      </c>
      <c r="AH7897" s="884"/>
      <c r="AI7897" s="525">
        <f>$E7897-$AG7897</f>
        <v>0</v>
      </c>
      <c r="AM7897" s="527">
        <f>ROUND(R7904,2)</f>
        <v>0</v>
      </c>
      <c r="AN7897" s="528">
        <f>ROUND(T7904,2)</f>
        <v>0</v>
      </c>
      <c r="AO7897" s="529">
        <f>ROUND(AM7897+AN7897,2)*A7897</f>
        <v>0</v>
      </c>
      <c r="AR7897" s="747">
        <v>1</v>
      </c>
      <c r="AS7897"/>
    </row>
    <row r="7898" spans="1:45" s="520" customFormat="1" ht="13.2">
      <c r="A7898" s="748"/>
      <c r="B7898"/>
      <c r="C7898" s="748"/>
      <c r="D7898" s="749" t="s">
        <v>1044</v>
      </c>
      <c r="F7898" s="753"/>
      <c r="G7898" s="3"/>
      <c r="H7898" s="753"/>
      <c r="I7898" s="754"/>
      <c r="J7898" s="753"/>
      <c r="K7898" s="753" t="s">
        <v>144</v>
      </c>
      <c r="L7898" s="784"/>
      <c r="M7898" s="753"/>
      <c r="N7898" s="753"/>
      <c r="O7898" s="753"/>
      <c r="P7898" s="753"/>
      <c r="Q7898" s="51"/>
      <c r="R7898" s="530"/>
      <c r="S7898" s="757"/>
      <c r="T7898" s="753"/>
      <c r="AR7898" s="748"/>
      <c r="AS7898" s="753"/>
    </row>
    <row r="7899" spans="1:45" s="887" customFormat="1" ht="12">
      <c r="A7899" s="886"/>
      <c r="E7899" s="888"/>
      <c r="F7899" s="889"/>
      <c r="H7899" s="755"/>
      <c r="L7899" s="789"/>
      <c r="N7899" s="894"/>
      <c r="O7899" s="894"/>
      <c r="P7899" s="896"/>
      <c r="Q7899" s="897"/>
      <c r="R7899" s="898"/>
      <c r="S7899" s="897"/>
      <c r="T7899" s="899"/>
      <c r="AR7899" s="886"/>
      <c r="AS7899" s="889"/>
    </row>
    <row r="7900" spans="1:45" s="520" customFormat="1" ht="12">
      <c r="A7900" s="51"/>
      <c r="B7900" s="758"/>
      <c r="C7900" s="758"/>
      <c r="D7900" s="758"/>
      <c r="E7900" s="758"/>
      <c r="F7900" s="753"/>
      <c r="G7900" s="758"/>
      <c r="H7900" s="758"/>
      <c r="I7900" s="519"/>
      <c r="J7900" s="758"/>
      <c r="K7900" s="758"/>
      <c r="L7900" s="789"/>
      <c r="M7900" s="758"/>
      <c r="N7900" s="758"/>
      <c r="O7900" s="758"/>
      <c r="P7900" s="758"/>
      <c r="Q7900" s="519"/>
      <c r="R7900" s="759">
        <f>$A7900*Q7900</f>
        <v>0</v>
      </c>
      <c r="S7900" s="519"/>
      <c r="T7900" s="760">
        <f>$A7900*S7900*$T$1</f>
        <v>0</v>
      </c>
      <c r="AR7900" s="51"/>
      <c r="AS7900" s="753"/>
    </row>
    <row r="7901" spans="1:45" s="520" customFormat="1" ht="12">
      <c r="A7901" s="51"/>
      <c r="B7901" s="758"/>
      <c r="C7901" s="758"/>
      <c r="D7901" s="758"/>
      <c r="E7901" s="758"/>
      <c r="F7901" s="753"/>
      <c r="G7901" s="758"/>
      <c r="H7901" s="758"/>
      <c r="I7901" s="519"/>
      <c r="J7901" s="758"/>
      <c r="K7901" s="758"/>
      <c r="L7901" s="789"/>
      <c r="M7901" s="758"/>
      <c r="N7901" s="758"/>
      <c r="O7901" s="758"/>
      <c r="P7901" s="758"/>
      <c r="Q7901" s="519"/>
      <c r="R7901" s="759">
        <f>$A7901*Q7901</f>
        <v>0</v>
      </c>
      <c r="S7901" s="519"/>
      <c r="T7901" s="760">
        <f>$A7901*S7901*$T$1</f>
        <v>0</v>
      </c>
      <c r="AR7901" s="51"/>
      <c r="AS7901" s="753"/>
    </row>
    <row r="7902" spans="1:45" s="520" customFormat="1" ht="12">
      <c r="A7902" s="51"/>
      <c r="B7902" s="758"/>
      <c r="C7902" s="758"/>
      <c r="D7902" s="758"/>
      <c r="E7902" s="758"/>
      <c r="F7902" s="753"/>
      <c r="G7902" s="758"/>
      <c r="H7902" s="758"/>
      <c r="I7902" s="519"/>
      <c r="J7902" s="758"/>
      <c r="K7902" s="758"/>
      <c r="L7902" s="789"/>
      <c r="M7902" s="758"/>
      <c r="N7902" s="758"/>
      <c r="O7902" s="758"/>
      <c r="P7902" s="758"/>
      <c r="Q7902" s="519"/>
      <c r="R7902" s="759">
        <f>$A7902*Q7902</f>
        <v>0</v>
      </c>
      <c r="S7902" s="519"/>
      <c r="T7902" s="760">
        <f>$A7902*S7902*$T$1</f>
        <v>0</v>
      </c>
      <c r="AR7902" s="51"/>
      <c r="AS7902" s="753"/>
    </row>
    <row r="7903" spans="1:45" s="520" customFormat="1" ht="12">
      <c r="A7903" s="758"/>
      <c r="B7903" s="758"/>
      <c r="C7903" s="758"/>
      <c r="D7903" s="758"/>
      <c r="E7903" s="758"/>
      <c r="F7903" s="753"/>
      <c r="G7903" s="758"/>
      <c r="H7903" s="758"/>
      <c r="I7903" s="519"/>
      <c r="J7903" s="758"/>
      <c r="K7903" s="758"/>
      <c r="L7903" s="789"/>
      <c r="M7903" s="758"/>
      <c r="N7903" s="758"/>
      <c r="O7903" s="758"/>
      <c r="P7903" s="758"/>
      <c r="Q7903" s="519"/>
      <c r="R7903" s="759">
        <f>$A7903*Q7903</f>
        <v>0</v>
      </c>
      <c r="S7903" s="519"/>
      <c r="T7903" s="760">
        <f>$A7903*S7903*$T$1</f>
        <v>0</v>
      </c>
      <c r="AR7903" s="758"/>
      <c r="AS7903" s="753"/>
    </row>
    <row r="7904" spans="1:45" s="520" customFormat="1" ht="12.6" thickBot="1">
      <c r="A7904" s="761" t="s">
        <v>145</v>
      </c>
      <c r="B7904" s="762">
        <f>(R7903+T7903)</f>
        <v>0</v>
      </c>
      <c r="C7904" s="763"/>
      <c r="D7904" s="763"/>
      <c r="E7904" s="763"/>
      <c r="F7904" s="764"/>
      <c r="G7904" s="763" t="s">
        <v>146</v>
      </c>
      <c r="H7904" s="763"/>
      <c r="I7904" s="765"/>
      <c r="J7904" s="763"/>
      <c r="K7904" s="900"/>
      <c r="L7904" s="858" t="s">
        <v>2267</v>
      </c>
      <c r="M7904" s="766"/>
      <c r="N7904" s="766"/>
      <c r="O7904" s="766"/>
      <c r="P7904" s="766"/>
      <c r="Q7904" s="767"/>
      <c r="R7904" s="768">
        <f>SUM(R7898:R7903)</f>
        <v>0</v>
      </c>
      <c r="S7904" s="763"/>
      <c r="T7904" s="768">
        <f>SUM(T7898:T7903)</f>
        <v>0</v>
      </c>
      <c r="U7904" s="531"/>
      <c r="V7904" s="531"/>
      <c r="W7904" s="531"/>
      <c r="X7904" s="531"/>
      <c r="Y7904" s="531"/>
      <c r="Z7904" s="531"/>
      <c r="AA7904" s="531"/>
      <c r="AB7904" s="531"/>
      <c r="AC7904" s="531"/>
      <c r="AD7904" s="531"/>
      <c r="AE7904" s="531"/>
      <c r="AF7904" s="531"/>
      <c r="AG7904" s="531"/>
      <c r="AH7904" s="531"/>
      <c r="AI7904" s="531"/>
      <c r="AJ7904" s="531"/>
      <c r="AK7904" s="531"/>
      <c r="AL7904" s="531"/>
      <c r="AM7904" s="531"/>
      <c r="AN7904" s="531"/>
      <c r="AO7904" s="531"/>
      <c r="AR7904" s="761" t="s">
        <v>145</v>
      </c>
      <c r="AS7904" s="764"/>
    </row>
    <row r="7905" spans="1:45" s="520" customFormat="1" thickTop="1">
      <c r="A7905" s="51"/>
      <c r="B7905" s="41"/>
      <c r="C7905" s="51"/>
      <c r="E7905" s="42" t="s">
        <v>138</v>
      </c>
      <c r="F7905"/>
      <c r="G7905" s="51"/>
      <c r="H7905" s="51"/>
      <c r="I7905" s="51"/>
      <c r="J7905" s="51"/>
      <c r="K7905" s="51" t="s">
        <v>140</v>
      </c>
      <c r="L7905" s="789"/>
      <c r="M7905" s="51"/>
      <c r="N7905" s="51"/>
      <c r="O7905" s="52"/>
      <c r="P7905" s="51"/>
      <c r="Q7905" s="51"/>
      <c r="R7905" s="51"/>
      <c r="S7905" s="51"/>
      <c r="T7905" s="41"/>
      <c r="AG7905" s="521" t="s">
        <v>268</v>
      </c>
      <c r="AH7905" s="884"/>
      <c r="AI7905" s="521" t="s">
        <v>270</v>
      </c>
      <c r="AM7905" s="745" t="s">
        <v>281</v>
      </c>
      <c r="AN7905" s="746" t="s">
        <v>282</v>
      </c>
      <c r="AO7905" s="522" t="s">
        <v>278</v>
      </c>
      <c r="AR7905" s="51"/>
      <c r="AS7905"/>
    </row>
    <row r="7906" spans="1:45" s="520" customFormat="1" ht="13.2">
      <c r="A7906" s="747">
        <v>1</v>
      </c>
      <c r="B7906" s="523" t="s">
        <v>1045</v>
      </c>
      <c r="C7906" s="748"/>
      <c r="D7906" s="749" t="s">
        <v>2045</v>
      </c>
      <c r="E7906" s="885">
        <f>IF(AND($A7906=0,$A$1="DIF"),0, ROUND(ROUND(($R7914*$S$2+($T7914*$T$2))/A7906,2)*$C$2,2))</f>
        <v>0</v>
      </c>
      <c r="F7906"/>
      <c r="G7906" s="752" t="s">
        <v>142</v>
      </c>
      <c r="H7906" s="753"/>
      <c r="I7906" s="754"/>
      <c r="J7906" s="753"/>
      <c r="K7906" s="784" t="s">
        <v>2267</v>
      </c>
      <c r="L7906" s="789" t="s">
        <v>143</v>
      </c>
      <c r="M7906" s="755"/>
      <c r="N7906" s="755"/>
      <c r="O7906" s="755"/>
      <c r="P7906" s="755"/>
      <c r="Q7906" s="51"/>
      <c r="T7906" s="756" t="str">
        <f>IF(AND($R7914=0,$T7914=0),"0.00","mu :" &amp; ROUND($A7906*$E7906/$C$2/($R7914+$T7914*$D$9),2))</f>
        <v>0.00</v>
      </c>
      <c r="W7906" s="524"/>
      <c r="AG7906" s="525">
        <f>IF($E7906=0,0,ROUND($R7914*$S$2*$C$2/$A7906,2))</f>
        <v>0</v>
      </c>
      <c r="AH7906" s="884"/>
      <c r="AI7906" s="525">
        <f>$E7906-$AG7906</f>
        <v>0</v>
      </c>
      <c r="AM7906" s="527">
        <f>ROUND(R7914,2)</f>
        <v>0</v>
      </c>
      <c r="AN7906" s="528">
        <f>ROUND(T7914,2)</f>
        <v>0</v>
      </c>
      <c r="AO7906" s="529">
        <f>ROUND(AM7906+AN7906,2)*A7906</f>
        <v>0</v>
      </c>
      <c r="AR7906" s="747">
        <v>1</v>
      </c>
      <c r="AS7906"/>
    </row>
    <row r="7907" spans="1:45" s="520" customFormat="1" ht="13.2">
      <c r="A7907" s="748"/>
      <c r="B7907"/>
      <c r="C7907" s="748"/>
      <c r="D7907" s="749" t="s">
        <v>1046</v>
      </c>
      <c r="F7907" s="753"/>
      <c r="G7907" s="3"/>
      <c r="H7907" s="753"/>
      <c r="I7907" s="754"/>
      <c r="J7907" s="753"/>
      <c r="K7907" s="753" t="s">
        <v>144</v>
      </c>
      <c r="L7907" s="784"/>
      <c r="M7907" s="753"/>
      <c r="N7907" s="753"/>
      <c r="O7907" s="753"/>
      <c r="P7907" s="753"/>
      <c r="Q7907" s="51"/>
      <c r="R7907" s="530"/>
      <c r="S7907" s="757"/>
      <c r="T7907" s="753"/>
      <c r="AR7907" s="748"/>
      <c r="AS7907" s="753"/>
    </row>
    <row r="7908" spans="1:45" s="887" customFormat="1" ht="12">
      <c r="A7908" s="886">
        <v>0</v>
      </c>
      <c r="B7908" s="887" t="s">
        <v>320</v>
      </c>
      <c r="D7908" s="887" t="s">
        <v>2268</v>
      </c>
      <c r="E7908" s="888" t="s">
        <v>2269</v>
      </c>
      <c r="F7908" s="889"/>
      <c r="G7908" s="890" t="s">
        <v>2270</v>
      </c>
      <c r="H7908" s="891" t="s">
        <v>2271</v>
      </c>
      <c r="I7908" s="887" t="s">
        <v>2272</v>
      </c>
      <c r="K7908" s="892"/>
      <c r="L7908" s="893" t="s">
        <v>2271</v>
      </c>
      <c r="N7908" s="894"/>
      <c r="O7908" s="895">
        <v>2</v>
      </c>
      <c r="P7908" s="896">
        <v>38434</v>
      </c>
      <c r="Q7908" s="897">
        <v>0.3</v>
      </c>
      <c r="R7908" s="817">
        <f>$A7908*Q7908</f>
        <v>0</v>
      </c>
      <c r="S7908" s="897">
        <v>3.5000000000000003E-2</v>
      </c>
      <c r="T7908" s="760">
        <f>$A7908*S7908*$T$1</f>
        <v>0</v>
      </c>
      <c r="AG7908" s="520"/>
      <c r="AH7908" s="520"/>
      <c r="AI7908" s="520"/>
      <c r="AJ7908" s="520"/>
      <c r="AK7908" s="520"/>
      <c r="AR7908" s="886">
        <v>22</v>
      </c>
      <c r="AS7908" s="889"/>
    </row>
    <row r="7909" spans="1:45" s="887" customFormat="1" ht="12">
      <c r="A7909" s="886"/>
      <c r="E7909" s="888"/>
      <c r="F7909" s="889"/>
      <c r="H7909" s="755"/>
      <c r="L7909" s="789"/>
      <c r="N7909" s="894"/>
      <c r="O7909" s="894"/>
      <c r="P7909" s="896"/>
      <c r="Q7909" s="897"/>
      <c r="R7909" s="898"/>
      <c r="S7909" s="897"/>
      <c r="T7909" s="899"/>
      <c r="AR7909" s="886"/>
      <c r="AS7909" s="889"/>
    </row>
    <row r="7910" spans="1:45" s="520" customFormat="1" ht="12">
      <c r="A7910" s="51"/>
      <c r="B7910" s="758"/>
      <c r="C7910" s="758"/>
      <c r="D7910" s="758"/>
      <c r="E7910" s="758"/>
      <c r="F7910" s="753"/>
      <c r="G7910" s="758"/>
      <c r="H7910" s="758"/>
      <c r="I7910" s="519"/>
      <c r="J7910" s="758"/>
      <c r="K7910" s="758"/>
      <c r="L7910" s="789"/>
      <c r="M7910" s="758"/>
      <c r="N7910" s="758"/>
      <c r="O7910" s="758"/>
      <c r="P7910" s="758"/>
      <c r="Q7910" s="519"/>
      <c r="R7910" s="759">
        <f>$A7910*Q7910</f>
        <v>0</v>
      </c>
      <c r="S7910" s="519"/>
      <c r="T7910" s="760">
        <f>$A7910*S7910*$T$1</f>
        <v>0</v>
      </c>
      <c r="AR7910" s="51"/>
      <c r="AS7910" s="753"/>
    </row>
    <row r="7911" spans="1:45" s="520" customFormat="1" ht="12">
      <c r="A7911" s="51"/>
      <c r="B7911" s="758"/>
      <c r="C7911" s="758"/>
      <c r="D7911" s="758"/>
      <c r="E7911" s="758"/>
      <c r="F7911" s="753"/>
      <c r="G7911" s="758"/>
      <c r="H7911" s="758"/>
      <c r="I7911" s="519"/>
      <c r="J7911" s="758"/>
      <c r="K7911" s="758"/>
      <c r="L7911" s="789"/>
      <c r="M7911" s="758"/>
      <c r="N7911" s="758"/>
      <c r="O7911" s="758"/>
      <c r="P7911" s="758"/>
      <c r="Q7911" s="519"/>
      <c r="R7911" s="759">
        <f>$A7911*Q7911</f>
        <v>0</v>
      </c>
      <c r="S7911" s="519"/>
      <c r="T7911" s="760">
        <f>$A7911*S7911*$T$1</f>
        <v>0</v>
      </c>
      <c r="AR7911" s="51"/>
      <c r="AS7911" s="753"/>
    </row>
    <row r="7912" spans="1:45" s="520" customFormat="1" ht="12">
      <c r="A7912" s="51"/>
      <c r="B7912" s="758"/>
      <c r="C7912" s="758"/>
      <c r="D7912" s="758"/>
      <c r="E7912" s="758"/>
      <c r="F7912" s="753"/>
      <c r="G7912" s="758"/>
      <c r="H7912" s="758"/>
      <c r="I7912" s="519"/>
      <c r="J7912" s="758"/>
      <c r="K7912" s="758"/>
      <c r="L7912" s="789"/>
      <c r="M7912" s="758"/>
      <c r="N7912" s="758"/>
      <c r="O7912" s="758"/>
      <c r="P7912" s="758"/>
      <c r="Q7912" s="519"/>
      <c r="R7912" s="759">
        <f>$A7912*Q7912</f>
        <v>0</v>
      </c>
      <c r="S7912" s="519"/>
      <c r="T7912" s="760">
        <f>$A7912*S7912*$T$1</f>
        <v>0</v>
      </c>
      <c r="AR7912" s="51"/>
      <c r="AS7912" s="753"/>
    </row>
    <row r="7913" spans="1:45" s="520" customFormat="1" ht="12">
      <c r="A7913" s="758"/>
      <c r="B7913" s="758"/>
      <c r="C7913" s="758"/>
      <c r="D7913" s="758"/>
      <c r="E7913" s="758"/>
      <c r="F7913" s="753"/>
      <c r="G7913" s="758"/>
      <c r="H7913" s="758"/>
      <c r="I7913" s="519"/>
      <c r="J7913" s="758"/>
      <c r="K7913" s="758"/>
      <c r="L7913" s="789"/>
      <c r="M7913" s="758"/>
      <c r="N7913" s="758"/>
      <c r="O7913" s="758"/>
      <c r="P7913" s="758"/>
      <c r="Q7913" s="519"/>
      <c r="R7913" s="759">
        <f>$A7913*Q7913</f>
        <v>0</v>
      </c>
      <c r="S7913" s="519"/>
      <c r="T7913" s="760">
        <f>$A7913*S7913*$T$1</f>
        <v>0</v>
      </c>
      <c r="AR7913" s="758"/>
      <c r="AS7913" s="753"/>
    </row>
    <row r="7914" spans="1:45" s="520" customFormat="1" ht="12.6" thickBot="1">
      <c r="A7914" s="761" t="s">
        <v>145</v>
      </c>
      <c r="B7914" s="762">
        <f>(R7913+T7913)</f>
        <v>0</v>
      </c>
      <c r="C7914" s="763"/>
      <c r="D7914" s="763"/>
      <c r="E7914" s="763"/>
      <c r="F7914" s="764"/>
      <c r="G7914" s="763" t="s">
        <v>146</v>
      </c>
      <c r="H7914" s="763"/>
      <c r="I7914" s="765"/>
      <c r="J7914" s="763"/>
      <c r="K7914" s="900"/>
      <c r="L7914" s="858" t="s">
        <v>2267</v>
      </c>
      <c r="M7914" s="766"/>
      <c r="N7914" s="766"/>
      <c r="O7914" s="766"/>
      <c r="P7914" s="766"/>
      <c r="Q7914" s="767"/>
      <c r="R7914" s="768">
        <f>SUM(R7907:R7913)</f>
        <v>0</v>
      </c>
      <c r="S7914" s="763"/>
      <c r="T7914" s="768">
        <f>SUM(T7907:T7913)</f>
        <v>0</v>
      </c>
      <c r="U7914" s="531"/>
      <c r="V7914" s="531"/>
      <c r="W7914" s="531"/>
      <c r="X7914" s="531"/>
      <c r="Y7914" s="531"/>
      <c r="Z7914" s="531"/>
      <c r="AA7914" s="531"/>
      <c r="AB7914" s="531"/>
      <c r="AC7914" s="531"/>
      <c r="AD7914" s="531"/>
      <c r="AE7914" s="531"/>
      <c r="AF7914" s="531"/>
      <c r="AG7914" s="531"/>
      <c r="AH7914" s="531"/>
      <c r="AI7914" s="531"/>
      <c r="AJ7914" s="531"/>
      <c r="AK7914" s="531"/>
      <c r="AL7914" s="531"/>
      <c r="AM7914" s="531"/>
      <c r="AN7914" s="531"/>
      <c r="AO7914" s="531"/>
      <c r="AR7914" s="761" t="s">
        <v>145</v>
      </c>
      <c r="AS7914" s="764"/>
    </row>
    <row r="7915" spans="1:45" s="520" customFormat="1" thickTop="1">
      <c r="A7915" s="51"/>
      <c r="B7915" s="41"/>
      <c r="C7915" s="51"/>
      <c r="E7915" s="42" t="s">
        <v>138</v>
      </c>
      <c r="F7915"/>
      <c r="G7915" s="51"/>
      <c r="H7915" s="51"/>
      <c r="I7915" s="51"/>
      <c r="J7915" s="51"/>
      <c r="K7915" s="51" t="s">
        <v>140</v>
      </c>
      <c r="L7915" s="789"/>
      <c r="M7915" s="51"/>
      <c r="N7915" s="51"/>
      <c r="O7915" s="52"/>
      <c r="P7915" s="51"/>
      <c r="Q7915" s="51"/>
      <c r="R7915" s="51"/>
      <c r="S7915" s="51"/>
      <c r="T7915" s="41"/>
      <c r="AG7915" s="521" t="s">
        <v>268</v>
      </c>
      <c r="AH7915" s="884"/>
      <c r="AI7915" s="521" t="s">
        <v>270</v>
      </c>
      <c r="AM7915" s="745" t="s">
        <v>281</v>
      </c>
      <c r="AN7915" s="746" t="s">
        <v>282</v>
      </c>
      <c r="AO7915" s="522" t="s">
        <v>278</v>
      </c>
      <c r="AR7915" s="51"/>
      <c r="AS7915"/>
    </row>
    <row r="7916" spans="1:45" s="520" customFormat="1" ht="13.2">
      <c r="A7916" s="747">
        <v>1</v>
      </c>
      <c r="B7916" s="523" t="s">
        <v>1045</v>
      </c>
      <c r="C7916" s="748"/>
      <c r="D7916" s="749" t="s">
        <v>2046</v>
      </c>
      <c r="E7916" s="885">
        <f>IF(AND($A7916=0,$A$1="DIF"),0, ROUND(ROUND(($R7924*$S$2+($T7924*$T$2))/A7916,2)*$C$2,2))</f>
        <v>0</v>
      </c>
      <c r="F7916"/>
      <c r="G7916" s="752" t="s">
        <v>142</v>
      </c>
      <c r="H7916" s="753"/>
      <c r="I7916" s="754"/>
      <c r="J7916" s="753"/>
      <c r="K7916" s="784" t="s">
        <v>2267</v>
      </c>
      <c r="L7916" s="789" t="s">
        <v>143</v>
      </c>
      <c r="M7916" s="755"/>
      <c r="N7916" s="755"/>
      <c r="O7916" s="755"/>
      <c r="P7916" s="755"/>
      <c r="Q7916" s="51"/>
      <c r="T7916" s="756" t="str">
        <f>IF(AND($R7924=0,$T7924=0),"0.00","mu :" &amp; ROUND($A7916*$E7916/$C$2/($R7924+$T7924*$D$9),2))</f>
        <v>0.00</v>
      </c>
      <c r="W7916" s="524"/>
      <c r="AG7916" s="525">
        <f>IF($E7916=0,0,ROUND($R7924*$S$2*$C$2/$A7916,2))</f>
        <v>0</v>
      </c>
      <c r="AH7916" s="884"/>
      <c r="AI7916" s="525">
        <f>$E7916-$AG7916</f>
        <v>0</v>
      </c>
      <c r="AM7916" s="527">
        <f>ROUND(R7924,2)</f>
        <v>0</v>
      </c>
      <c r="AN7916" s="528">
        <f>ROUND(T7924,2)</f>
        <v>0</v>
      </c>
      <c r="AO7916" s="529">
        <f>ROUND(AM7916+AN7916,2)*A7916</f>
        <v>0</v>
      </c>
      <c r="AR7916" s="747">
        <v>1</v>
      </c>
      <c r="AS7916"/>
    </row>
    <row r="7917" spans="1:45" s="520" customFormat="1" ht="13.2">
      <c r="A7917" s="748"/>
      <c r="B7917"/>
      <c r="C7917" s="748"/>
      <c r="D7917" s="749" t="s">
        <v>1047</v>
      </c>
      <c r="F7917" s="753"/>
      <c r="G7917" s="3"/>
      <c r="H7917" s="753"/>
      <c r="I7917" s="754"/>
      <c r="J7917" s="753"/>
      <c r="K7917" s="753" t="s">
        <v>144</v>
      </c>
      <c r="L7917" s="784"/>
      <c r="M7917" s="753"/>
      <c r="N7917" s="753"/>
      <c r="O7917" s="753"/>
      <c r="P7917" s="753"/>
      <c r="Q7917" s="51"/>
      <c r="R7917" s="530"/>
      <c r="S7917" s="757"/>
      <c r="T7917" s="753"/>
      <c r="AR7917" s="748"/>
      <c r="AS7917" s="753"/>
    </row>
    <row r="7918" spans="1:45" s="887" customFormat="1" ht="12">
      <c r="A7918" s="886">
        <v>0</v>
      </c>
      <c r="B7918" s="887" t="s">
        <v>320</v>
      </c>
      <c r="D7918" s="887" t="s">
        <v>2268</v>
      </c>
      <c r="E7918" s="888" t="s">
        <v>2269</v>
      </c>
      <c r="F7918" s="889"/>
      <c r="G7918" s="890" t="s">
        <v>2270</v>
      </c>
      <c r="H7918" s="891" t="s">
        <v>2271</v>
      </c>
      <c r="I7918" s="887" t="s">
        <v>2272</v>
      </c>
      <c r="K7918" s="892"/>
      <c r="L7918" s="893" t="s">
        <v>2271</v>
      </c>
      <c r="N7918" s="894"/>
      <c r="O7918" s="895">
        <v>2</v>
      </c>
      <c r="P7918" s="896">
        <v>38434</v>
      </c>
      <c r="Q7918" s="897">
        <v>0.3</v>
      </c>
      <c r="R7918" s="817">
        <f>$A7918*Q7918</f>
        <v>0</v>
      </c>
      <c r="S7918" s="897">
        <v>3.5000000000000003E-2</v>
      </c>
      <c r="T7918" s="760">
        <f>$A7918*S7918*$T$1</f>
        <v>0</v>
      </c>
      <c r="AG7918" s="520"/>
      <c r="AH7918" s="520"/>
      <c r="AI7918" s="520"/>
      <c r="AJ7918" s="520"/>
      <c r="AK7918" s="520"/>
      <c r="AR7918" s="886">
        <v>22</v>
      </c>
      <c r="AS7918" s="889"/>
    </row>
    <row r="7919" spans="1:45" s="887" customFormat="1" ht="12">
      <c r="A7919" s="886"/>
      <c r="E7919" s="888"/>
      <c r="F7919" s="889"/>
      <c r="H7919" s="755"/>
      <c r="L7919" s="789"/>
      <c r="N7919" s="894"/>
      <c r="O7919" s="894"/>
      <c r="P7919" s="896"/>
      <c r="Q7919" s="897"/>
      <c r="R7919" s="898"/>
      <c r="S7919" s="897"/>
      <c r="T7919" s="899"/>
      <c r="AR7919" s="886"/>
      <c r="AS7919" s="889"/>
    </row>
    <row r="7920" spans="1:45" s="520" customFormat="1" ht="12">
      <c r="A7920" s="51"/>
      <c r="B7920" s="758"/>
      <c r="C7920" s="758"/>
      <c r="D7920" s="758"/>
      <c r="E7920" s="758"/>
      <c r="F7920" s="753"/>
      <c r="G7920" s="758"/>
      <c r="H7920" s="758"/>
      <c r="I7920" s="519"/>
      <c r="J7920" s="758"/>
      <c r="K7920" s="758"/>
      <c r="L7920" s="789"/>
      <c r="M7920" s="758"/>
      <c r="N7920" s="758"/>
      <c r="O7920" s="758"/>
      <c r="P7920" s="758"/>
      <c r="Q7920" s="519"/>
      <c r="R7920" s="759">
        <f>$A7920*Q7920</f>
        <v>0</v>
      </c>
      <c r="S7920" s="519"/>
      <c r="T7920" s="760">
        <f>$A7920*S7920*$T$1</f>
        <v>0</v>
      </c>
      <c r="AR7920" s="51"/>
      <c r="AS7920" s="753"/>
    </row>
    <row r="7921" spans="1:45" s="520" customFormat="1" ht="12">
      <c r="A7921" s="51"/>
      <c r="B7921" s="758"/>
      <c r="C7921" s="758"/>
      <c r="D7921" s="758"/>
      <c r="E7921" s="758"/>
      <c r="F7921" s="753"/>
      <c r="G7921" s="758"/>
      <c r="H7921" s="758"/>
      <c r="I7921" s="519"/>
      <c r="J7921" s="758"/>
      <c r="K7921" s="758"/>
      <c r="L7921" s="789"/>
      <c r="M7921" s="758"/>
      <c r="N7921" s="758"/>
      <c r="O7921" s="758"/>
      <c r="P7921" s="758"/>
      <c r="Q7921" s="519"/>
      <c r="R7921" s="759">
        <f>$A7921*Q7921</f>
        <v>0</v>
      </c>
      <c r="S7921" s="519"/>
      <c r="T7921" s="760">
        <f>$A7921*S7921*$T$1</f>
        <v>0</v>
      </c>
      <c r="AR7921" s="51"/>
      <c r="AS7921" s="753"/>
    </row>
    <row r="7922" spans="1:45" s="520" customFormat="1" ht="12">
      <c r="A7922" s="51"/>
      <c r="B7922" s="758"/>
      <c r="C7922" s="758"/>
      <c r="D7922" s="758"/>
      <c r="E7922" s="758"/>
      <c r="F7922" s="753"/>
      <c r="G7922" s="758"/>
      <c r="H7922" s="758"/>
      <c r="I7922" s="519"/>
      <c r="J7922" s="758"/>
      <c r="K7922" s="758"/>
      <c r="L7922" s="789"/>
      <c r="M7922" s="758"/>
      <c r="N7922" s="758"/>
      <c r="O7922" s="758"/>
      <c r="P7922" s="758"/>
      <c r="Q7922" s="519"/>
      <c r="R7922" s="759">
        <f>$A7922*Q7922</f>
        <v>0</v>
      </c>
      <c r="S7922" s="519"/>
      <c r="T7922" s="760">
        <f>$A7922*S7922*$T$1</f>
        <v>0</v>
      </c>
      <c r="AR7922" s="51"/>
      <c r="AS7922" s="753"/>
    </row>
    <row r="7923" spans="1:45" s="520" customFormat="1" ht="12">
      <c r="A7923" s="758"/>
      <c r="B7923" s="758"/>
      <c r="C7923" s="758"/>
      <c r="D7923" s="758"/>
      <c r="E7923" s="758"/>
      <c r="F7923" s="753"/>
      <c r="G7923" s="758"/>
      <c r="H7923" s="758"/>
      <c r="I7923" s="519"/>
      <c r="J7923" s="758"/>
      <c r="K7923" s="758"/>
      <c r="L7923" s="789"/>
      <c r="M7923" s="758"/>
      <c r="N7923" s="758"/>
      <c r="O7923" s="758"/>
      <c r="P7923" s="758"/>
      <c r="Q7923" s="519"/>
      <c r="R7923" s="759">
        <f>$A7923*Q7923</f>
        <v>0</v>
      </c>
      <c r="S7923" s="519"/>
      <c r="T7923" s="760">
        <f>$A7923*S7923*$T$1</f>
        <v>0</v>
      </c>
      <c r="AR7923" s="758"/>
      <c r="AS7923" s="753"/>
    </row>
    <row r="7924" spans="1:45" s="520" customFormat="1" ht="12.6" thickBot="1">
      <c r="A7924" s="761" t="s">
        <v>145</v>
      </c>
      <c r="B7924" s="762">
        <f>(R7923+T7923)</f>
        <v>0</v>
      </c>
      <c r="C7924" s="763"/>
      <c r="D7924" s="763"/>
      <c r="E7924" s="763"/>
      <c r="F7924" s="764"/>
      <c r="G7924" s="763" t="s">
        <v>146</v>
      </c>
      <c r="H7924" s="763"/>
      <c r="I7924" s="765"/>
      <c r="J7924" s="763"/>
      <c r="K7924" s="900"/>
      <c r="L7924" s="858" t="s">
        <v>2267</v>
      </c>
      <c r="M7924" s="766"/>
      <c r="N7924" s="766"/>
      <c r="O7924" s="766"/>
      <c r="P7924" s="766"/>
      <c r="Q7924" s="767"/>
      <c r="R7924" s="768">
        <f>SUM(R7917:R7923)</f>
        <v>0</v>
      </c>
      <c r="S7924" s="763"/>
      <c r="T7924" s="768">
        <f>SUM(T7917:T7923)</f>
        <v>0</v>
      </c>
      <c r="U7924" s="531"/>
      <c r="V7924" s="531"/>
      <c r="W7924" s="531"/>
      <c r="X7924" s="531"/>
      <c r="Y7924" s="531"/>
      <c r="Z7924" s="531"/>
      <c r="AA7924" s="531"/>
      <c r="AB7924" s="531"/>
      <c r="AC7924" s="531"/>
      <c r="AD7924" s="531"/>
      <c r="AE7924" s="531"/>
      <c r="AF7924" s="531"/>
      <c r="AG7924" s="531"/>
      <c r="AH7924" s="531"/>
      <c r="AI7924" s="531"/>
      <c r="AJ7924" s="531"/>
      <c r="AK7924" s="531"/>
      <c r="AL7924" s="531"/>
      <c r="AM7924" s="531"/>
      <c r="AN7924" s="531"/>
      <c r="AO7924" s="531"/>
      <c r="AR7924" s="761" t="s">
        <v>145</v>
      </c>
      <c r="AS7924" s="764"/>
    </row>
    <row r="7925" spans="1:45" s="520" customFormat="1" thickTop="1">
      <c r="A7925" s="51"/>
      <c r="B7925" s="41"/>
      <c r="C7925" s="51"/>
      <c r="E7925" s="42" t="s">
        <v>138</v>
      </c>
      <c r="F7925"/>
      <c r="G7925" s="51"/>
      <c r="H7925" s="51"/>
      <c r="I7925" s="51"/>
      <c r="J7925" s="51"/>
      <c r="K7925" s="51" t="s">
        <v>140</v>
      </c>
      <c r="L7925" s="789"/>
      <c r="M7925" s="51"/>
      <c r="N7925" s="51"/>
      <c r="O7925" s="52"/>
      <c r="P7925" s="51"/>
      <c r="Q7925" s="51"/>
      <c r="R7925" s="51"/>
      <c r="S7925" s="51"/>
      <c r="T7925" s="41"/>
      <c r="AG7925" s="521" t="s">
        <v>268</v>
      </c>
      <c r="AH7925" s="884"/>
      <c r="AI7925" s="521" t="s">
        <v>270</v>
      </c>
      <c r="AM7925" s="745" t="s">
        <v>281</v>
      </c>
      <c r="AN7925" s="746" t="s">
        <v>282</v>
      </c>
      <c r="AO7925" s="522" t="s">
        <v>278</v>
      </c>
      <c r="AR7925" s="51"/>
      <c r="AS7925"/>
    </row>
    <row r="7926" spans="1:45" s="520" customFormat="1" ht="13.2">
      <c r="A7926" s="747">
        <v>1</v>
      </c>
      <c r="B7926" s="523" t="s">
        <v>1045</v>
      </c>
      <c r="C7926" s="748"/>
      <c r="D7926" s="749" t="s">
        <v>2047</v>
      </c>
      <c r="E7926" s="885">
        <f>IF(AND($A7926=0,$A$1="DIF"),0, ROUND(ROUND(($R7934*$S$2+($T7934*$T$2))/A7926,2)*$C$2,2))</f>
        <v>0</v>
      </c>
      <c r="F7926"/>
      <c r="G7926" s="752" t="s">
        <v>142</v>
      </c>
      <c r="H7926" s="753"/>
      <c r="I7926" s="754"/>
      <c r="J7926" s="753"/>
      <c r="K7926" s="784" t="s">
        <v>2267</v>
      </c>
      <c r="L7926" s="789" t="s">
        <v>143</v>
      </c>
      <c r="M7926" s="755"/>
      <c r="N7926" s="755"/>
      <c r="O7926" s="755"/>
      <c r="P7926" s="755"/>
      <c r="Q7926" s="51"/>
      <c r="T7926" s="756" t="str">
        <f>IF(AND($R7934=0,$T7934=0),"0.00","mu :" &amp; ROUND($A7926*$E7926/$C$2/($R7934+$T7934*$D$9),2))</f>
        <v>0.00</v>
      </c>
      <c r="W7926" s="524"/>
      <c r="AG7926" s="525">
        <f>IF($E7926=0,0,ROUND($R7934*$S$2*$C$2/$A7926,2))</f>
        <v>0</v>
      </c>
      <c r="AH7926" s="884"/>
      <c r="AI7926" s="525">
        <f>$E7926-$AG7926</f>
        <v>0</v>
      </c>
      <c r="AM7926" s="527">
        <f>ROUND(R7934,2)</f>
        <v>0</v>
      </c>
      <c r="AN7926" s="528">
        <f>ROUND(T7934,2)</f>
        <v>0</v>
      </c>
      <c r="AO7926" s="529">
        <f>ROUND(AM7926+AN7926,2)*A7926</f>
        <v>0</v>
      </c>
      <c r="AR7926" s="747">
        <v>1</v>
      </c>
      <c r="AS7926"/>
    </row>
    <row r="7927" spans="1:45" s="520" customFormat="1" ht="13.2">
      <c r="A7927" s="748"/>
      <c r="B7927"/>
      <c r="C7927" s="748"/>
      <c r="D7927" s="749" t="s">
        <v>1048</v>
      </c>
      <c r="F7927" s="753"/>
      <c r="G7927" s="3"/>
      <c r="H7927" s="753"/>
      <c r="I7927" s="754"/>
      <c r="J7927" s="753"/>
      <c r="K7927" s="753" t="s">
        <v>144</v>
      </c>
      <c r="L7927" s="784"/>
      <c r="M7927" s="753"/>
      <c r="N7927" s="753"/>
      <c r="O7927" s="753"/>
      <c r="P7927" s="753"/>
      <c r="Q7927" s="51"/>
      <c r="R7927" s="530"/>
      <c r="S7927" s="757"/>
      <c r="T7927" s="753"/>
      <c r="AR7927" s="748"/>
      <c r="AS7927" s="753"/>
    </row>
    <row r="7928" spans="1:45" s="887" customFormat="1" ht="12">
      <c r="A7928" s="886">
        <v>0</v>
      </c>
      <c r="B7928" s="887" t="s">
        <v>320</v>
      </c>
      <c r="D7928" s="887" t="s">
        <v>2268</v>
      </c>
      <c r="E7928" s="888" t="s">
        <v>2269</v>
      </c>
      <c r="F7928" s="889"/>
      <c r="G7928" s="890" t="s">
        <v>2270</v>
      </c>
      <c r="H7928" s="891" t="s">
        <v>2271</v>
      </c>
      <c r="I7928" s="887" t="s">
        <v>2272</v>
      </c>
      <c r="K7928" s="892"/>
      <c r="L7928" s="893" t="s">
        <v>2271</v>
      </c>
      <c r="N7928" s="894"/>
      <c r="O7928" s="895">
        <v>2</v>
      </c>
      <c r="P7928" s="896">
        <v>38434</v>
      </c>
      <c r="Q7928" s="897">
        <v>0.3</v>
      </c>
      <c r="R7928" s="817">
        <f>$A7928*Q7928</f>
        <v>0</v>
      </c>
      <c r="S7928" s="897">
        <v>3.5000000000000003E-2</v>
      </c>
      <c r="T7928" s="760">
        <f>$A7928*S7928*$T$1</f>
        <v>0</v>
      </c>
      <c r="AG7928" s="520"/>
      <c r="AH7928" s="520"/>
      <c r="AI7928" s="520"/>
      <c r="AJ7928" s="520"/>
      <c r="AK7928" s="520"/>
      <c r="AR7928" s="886">
        <v>22</v>
      </c>
      <c r="AS7928" s="889"/>
    </row>
    <row r="7929" spans="1:45" s="887" customFormat="1" ht="12">
      <c r="A7929" s="886"/>
      <c r="E7929" s="888"/>
      <c r="F7929" s="889"/>
      <c r="H7929" s="755"/>
      <c r="L7929" s="789"/>
      <c r="N7929" s="894"/>
      <c r="O7929" s="894"/>
      <c r="P7929" s="896"/>
      <c r="Q7929" s="897"/>
      <c r="R7929" s="898"/>
      <c r="S7929" s="897"/>
      <c r="T7929" s="899"/>
      <c r="AR7929" s="886"/>
      <c r="AS7929" s="889"/>
    </row>
    <row r="7930" spans="1:45" s="520" customFormat="1" ht="12">
      <c r="A7930" s="51"/>
      <c r="B7930" s="758"/>
      <c r="C7930" s="758"/>
      <c r="D7930" s="758"/>
      <c r="E7930" s="758"/>
      <c r="F7930" s="753"/>
      <c r="G7930" s="758"/>
      <c r="H7930" s="758"/>
      <c r="I7930" s="519"/>
      <c r="J7930" s="758"/>
      <c r="K7930" s="758"/>
      <c r="L7930" s="789"/>
      <c r="M7930" s="758"/>
      <c r="N7930" s="758"/>
      <c r="O7930" s="758"/>
      <c r="P7930" s="758"/>
      <c r="Q7930" s="519"/>
      <c r="R7930" s="759">
        <f>$A7930*Q7930</f>
        <v>0</v>
      </c>
      <c r="S7930" s="519"/>
      <c r="T7930" s="760">
        <f>$A7930*S7930*$T$1</f>
        <v>0</v>
      </c>
      <c r="AR7930" s="51"/>
      <c r="AS7930" s="753"/>
    </row>
    <row r="7931" spans="1:45" s="520" customFormat="1" ht="12">
      <c r="A7931" s="51"/>
      <c r="B7931" s="758"/>
      <c r="C7931" s="758"/>
      <c r="D7931" s="758"/>
      <c r="E7931" s="758"/>
      <c r="F7931" s="753"/>
      <c r="G7931" s="758"/>
      <c r="H7931" s="758"/>
      <c r="I7931" s="519"/>
      <c r="J7931" s="758"/>
      <c r="K7931" s="758"/>
      <c r="L7931" s="789"/>
      <c r="M7931" s="758"/>
      <c r="N7931" s="758"/>
      <c r="O7931" s="758"/>
      <c r="P7931" s="758"/>
      <c r="Q7931" s="519"/>
      <c r="R7931" s="759">
        <f>$A7931*Q7931</f>
        <v>0</v>
      </c>
      <c r="S7931" s="519"/>
      <c r="T7931" s="760">
        <f>$A7931*S7931*$T$1</f>
        <v>0</v>
      </c>
      <c r="AR7931" s="51"/>
      <c r="AS7931" s="753"/>
    </row>
    <row r="7932" spans="1:45" s="520" customFormat="1" ht="12">
      <c r="A7932" s="51"/>
      <c r="B7932" s="758"/>
      <c r="C7932" s="758"/>
      <c r="D7932" s="758"/>
      <c r="E7932" s="758"/>
      <c r="F7932" s="753"/>
      <c r="G7932" s="758"/>
      <c r="H7932" s="758"/>
      <c r="I7932" s="519"/>
      <c r="J7932" s="758"/>
      <c r="K7932" s="758"/>
      <c r="L7932" s="789"/>
      <c r="M7932" s="758"/>
      <c r="N7932" s="758"/>
      <c r="O7932" s="758"/>
      <c r="P7932" s="758"/>
      <c r="Q7932" s="519"/>
      <c r="R7932" s="759">
        <f>$A7932*Q7932</f>
        <v>0</v>
      </c>
      <c r="S7932" s="519"/>
      <c r="T7932" s="760">
        <f>$A7932*S7932*$T$1</f>
        <v>0</v>
      </c>
      <c r="AR7932" s="51"/>
      <c r="AS7932" s="753"/>
    </row>
    <row r="7933" spans="1:45" s="520" customFormat="1" ht="12">
      <c r="A7933" s="758"/>
      <c r="B7933" s="758"/>
      <c r="C7933" s="758"/>
      <c r="D7933" s="758"/>
      <c r="E7933" s="758"/>
      <c r="F7933" s="753"/>
      <c r="G7933" s="758"/>
      <c r="H7933" s="758"/>
      <c r="I7933" s="519"/>
      <c r="J7933" s="758"/>
      <c r="K7933" s="758"/>
      <c r="L7933" s="789"/>
      <c r="M7933" s="758"/>
      <c r="N7933" s="758"/>
      <c r="O7933" s="758"/>
      <c r="P7933" s="758"/>
      <c r="Q7933" s="519"/>
      <c r="R7933" s="759">
        <f>$A7933*Q7933</f>
        <v>0</v>
      </c>
      <c r="S7933" s="519"/>
      <c r="T7933" s="760">
        <f>$A7933*S7933*$T$1</f>
        <v>0</v>
      </c>
      <c r="AR7933" s="758"/>
      <c r="AS7933" s="753"/>
    </row>
    <row r="7934" spans="1:45" s="520" customFormat="1" ht="12.6" thickBot="1">
      <c r="A7934" s="761" t="s">
        <v>145</v>
      </c>
      <c r="B7934" s="762">
        <f>(R7933+T7933)</f>
        <v>0</v>
      </c>
      <c r="C7934" s="763"/>
      <c r="D7934" s="763"/>
      <c r="E7934" s="763"/>
      <c r="F7934" s="764"/>
      <c r="G7934" s="763" t="s">
        <v>146</v>
      </c>
      <c r="H7934" s="763"/>
      <c r="I7934" s="765"/>
      <c r="J7934" s="763"/>
      <c r="K7934" s="900"/>
      <c r="L7934" s="858" t="s">
        <v>2267</v>
      </c>
      <c r="M7934" s="766"/>
      <c r="N7934" s="766"/>
      <c r="O7934" s="766"/>
      <c r="P7934" s="766"/>
      <c r="Q7934" s="767"/>
      <c r="R7934" s="768">
        <f>SUM(R7927:R7933)</f>
        <v>0</v>
      </c>
      <c r="S7934" s="763"/>
      <c r="T7934" s="768">
        <f>SUM(T7927:T7933)</f>
        <v>0</v>
      </c>
      <c r="U7934" s="531"/>
      <c r="V7934" s="531"/>
      <c r="W7934" s="531"/>
      <c r="X7934" s="531"/>
      <c r="Y7934" s="531"/>
      <c r="Z7934" s="531"/>
      <c r="AA7934" s="531"/>
      <c r="AB7934" s="531"/>
      <c r="AC7934" s="531"/>
      <c r="AD7934" s="531"/>
      <c r="AE7934" s="531"/>
      <c r="AF7934" s="531"/>
      <c r="AG7934" s="531"/>
      <c r="AH7934" s="531"/>
      <c r="AI7934" s="531"/>
      <c r="AJ7934" s="531"/>
      <c r="AK7934" s="531"/>
      <c r="AL7934" s="531"/>
      <c r="AM7934" s="531"/>
      <c r="AN7934" s="531"/>
      <c r="AO7934" s="531"/>
      <c r="AR7934" s="761" t="s">
        <v>145</v>
      </c>
      <c r="AS7934" s="764"/>
    </row>
    <row r="7935" spans="1:45" s="520" customFormat="1" thickTop="1">
      <c r="A7935" s="51"/>
      <c r="B7935" s="41"/>
      <c r="C7935" s="51"/>
      <c r="E7935" s="42" t="s">
        <v>138</v>
      </c>
      <c r="F7935"/>
      <c r="G7935" s="51"/>
      <c r="H7935" s="51"/>
      <c r="I7935" s="51"/>
      <c r="J7935" s="51"/>
      <c r="K7935" s="51" t="s">
        <v>140</v>
      </c>
      <c r="L7935" s="789"/>
      <c r="M7935" s="51"/>
      <c r="N7935" s="51"/>
      <c r="O7935" s="52"/>
      <c r="P7935" s="51"/>
      <c r="Q7935" s="51"/>
      <c r="R7935" s="51"/>
      <c r="S7935" s="51"/>
      <c r="T7935" s="41"/>
      <c r="AG7935" s="521" t="s">
        <v>268</v>
      </c>
      <c r="AH7935" s="884"/>
      <c r="AI7935" s="521" t="s">
        <v>270</v>
      </c>
      <c r="AM7935" s="745" t="s">
        <v>281</v>
      </c>
      <c r="AN7935" s="746" t="s">
        <v>282</v>
      </c>
      <c r="AO7935" s="522" t="s">
        <v>278</v>
      </c>
      <c r="AR7935" s="51"/>
      <c r="AS7935"/>
    </row>
    <row r="7936" spans="1:45" s="520" customFormat="1" ht="13.2">
      <c r="A7936" s="747">
        <v>1</v>
      </c>
      <c r="B7936" s="523" t="s">
        <v>1045</v>
      </c>
      <c r="C7936" s="748"/>
      <c r="D7936" s="749" t="s">
        <v>2048</v>
      </c>
      <c r="E7936" s="885">
        <f>IF(AND($A7936=0,$A$1="DIF"),0, ROUND(ROUND(($R7944*$S$2+($T7944*$T$2))/A7936,2)*$C$2,2))</f>
        <v>0</v>
      </c>
      <c r="F7936"/>
      <c r="G7936" s="752" t="s">
        <v>142</v>
      </c>
      <c r="H7936" s="753"/>
      <c r="I7936" s="754"/>
      <c r="J7936" s="753"/>
      <c r="K7936" s="784" t="s">
        <v>2267</v>
      </c>
      <c r="L7936" s="789" t="s">
        <v>143</v>
      </c>
      <c r="M7936" s="755"/>
      <c r="N7936" s="755"/>
      <c r="O7936" s="755"/>
      <c r="P7936" s="755"/>
      <c r="Q7936" s="51"/>
      <c r="T7936" s="756" t="str">
        <f>IF(AND($R7944=0,$T7944=0),"0.00","mu :" &amp; ROUND($A7936*$E7936/$C$2/($R7944+$T7944*$D$9),2))</f>
        <v>0.00</v>
      </c>
      <c r="W7936" s="524"/>
      <c r="AG7936" s="525">
        <f>IF($E7936=0,0,ROUND($R7944*$S$2*$C$2/$A7936,2))</f>
        <v>0</v>
      </c>
      <c r="AH7936" s="884"/>
      <c r="AI7936" s="525">
        <f>$E7936-$AG7936</f>
        <v>0</v>
      </c>
      <c r="AM7936" s="527">
        <f>ROUND(R7944,2)</f>
        <v>0</v>
      </c>
      <c r="AN7936" s="528">
        <f>ROUND(T7944,2)</f>
        <v>0</v>
      </c>
      <c r="AO7936" s="529">
        <f>ROUND(AM7936+AN7936,2)*A7936</f>
        <v>0</v>
      </c>
      <c r="AR7936" s="747">
        <v>1</v>
      </c>
      <c r="AS7936"/>
    </row>
    <row r="7937" spans="1:45" s="520" customFormat="1" ht="13.2">
      <c r="A7937" s="748"/>
      <c r="B7937"/>
      <c r="C7937" s="748"/>
      <c r="D7937" s="749" t="s">
        <v>1049</v>
      </c>
      <c r="F7937" s="753"/>
      <c r="G7937" s="3"/>
      <c r="H7937" s="753"/>
      <c r="I7937" s="754"/>
      <c r="J7937" s="753"/>
      <c r="K7937" s="753" t="s">
        <v>144</v>
      </c>
      <c r="L7937" s="784"/>
      <c r="M7937" s="753"/>
      <c r="N7937" s="753"/>
      <c r="O7937" s="753"/>
      <c r="P7937" s="753"/>
      <c r="Q7937" s="51"/>
      <c r="R7937" s="530"/>
      <c r="S7937" s="757"/>
      <c r="T7937" s="753"/>
      <c r="AR7937" s="748"/>
      <c r="AS7937" s="753"/>
    </row>
    <row r="7938" spans="1:45" s="887" customFormat="1" ht="12">
      <c r="A7938" s="886">
        <v>0</v>
      </c>
      <c r="B7938" s="887" t="s">
        <v>320</v>
      </c>
      <c r="D7938" s="887" t="s">
        <v>2268</v>
      </c>
      <c r="E7938" s="888" t="s">
        <v>2269</v>
      </c>
      <c r="F7938" s="889"/>
      <c r="G7938" s="890" t="s">
        <v>2270</v>
      </c>
      <c r="H7938" s="891" t="s">
        <v>2271</v>
      </c>
      <c r="I7938" s="887" t="s">
        <v>2272</v>
      </c>
      <c r="K7938" s="892"/>
      <c r="L7938" s="893" t="s">
        <v>2271</v>
      </c>
      <c r="N7938" s="894"/>
      <c r="O7938" s="895">
        <v>2</v>
      </c>
      <c r="P7938" s="896">
        <v>38434</v>
      </c>
      <c r="Q7938" s="897">
        <v>0.3</v>
      </c>
      <c r="R7938" s="817">
        <f>$A7938*Q7938</f>
        <v>0</v>
      </c>
      <c r="S7938" s="897">
        <v>3.5000000000000003E-2</v>
      </c>
      <c r="T7938" s="760">
        <f>$A7938*S7938*$T$1</f>
        <v>0</v>
      </c>
      <c r="AG7938" s="520"/>
      <c r="AH7938" s="520"/>
      <c r="AI7938" s="520"/>
      <c r="AJ7938" s="520"/>
      <c r="AK7938" s="520"/>
      <c r="AR7938" s="886">
        <v>22</v>
      </c>
      <c r="AS7938" s="889"/>
    </row>
    <row r="7939" spans="1:45" s="887" customFormat="1" ht="12">
      <c r="A7939" s="886"/>
      <c r="E7939" s="888"/>
      <c r="F7939" s="889"/>
      <c r="H7939" s="755"/>
      <c r="L7939" s="789"/>
      <c r="N7939" s="894"/>
      <c r="O7939" s="894"/>
      <c r="P7939" s="896"/>
      <c r="Q7939" s="897"/>
      <c r="R7939" s="898"/>
      <c r="S7939" s="897"/>
      <c r="T7939" s="899"/>
      <c r="AR7939" s="886"/>
      <c r="AS7939" s="889"/>
    </row>
    <row r="7940" spans="1:45" s="520" customFormat="1" ht="12">
      <c r="A7940" s="51"/>
      <c r="B7940" s="758"/>
      <c r="C7940" s="758"/>
      <c r="D7940" s="758"/>
      <c r="E7940" s="758"/>
      <c r="F7940" s="753"/>
      <c r="G7940" s="758"/>
      <c r="H7940" s="758"/>
      <c r="I7940" s="519"/>
      <c r="J7940" s="758"/>
      <c r="K7940" s="758"/>
      <c r="L7940" s="789"/>
      <c r="M7940" s="758"/>
      <c r="N7940" s="758"/>
      <c r="O7940" s="758"/>
      <c r="P7940" s="758"/>
      <c r="Q7940" s="519"/>
      <c r="R7940" s="759">
        <f>$A7940*Q7940</f>
        <v>0</v>
      </c>
      <c r="S7940" s="519"/>
      <c r="T7940" s="760">
        <f>$A7940*S7940*$T$1</f>
        <v>0</v>
      </c>
      <c r="AR7940" s="51"/>
      <c r="AS7940" s="753"/>
    </row>
    <row r="7941" spans="1:45" s="520" customFormat="1" ht="12">
      <c r="A7941" s="51"/>
      <c r="B7941" s="758"/>
      <c r="C7941" s="758"/>
      <c r="D7941" s="758"/>
      <c r="E7941" s="758"/>
      <c r="F7941" s="753"/>
      <c r="G7941" s="758"/>
      <c r="H7941" s="758"/>
      <c r="I7941" s="519"/>
      <c r="J7941" s="758"/>
      <c r="K7941" s="758"/>
      <c r="L7941" s="789"/>
      <c r="M7941" s="758"/>
      <c r="N7941" s="758"/>
      <c r="O7941" s="758"/>
      <c r="P7941" s="758"/>
      <c r="Q7941" s="519"/>
      <c r="R7941" s="759">
        <f>$A7941*Q7941</f>
        <v>0</v>
      </c>
      <c r="S7941" s="519"/>
      <c r="T7941" s="760">
        <f>$A7941*S7941*$T$1</f>
        <v>0</v>
      </c>
      <c r="AR7941" s="51"/>
      <c r="AS7941" s="753"/>
    </row>
    <row r="7942" spans="1:45" s="520" customFormat="1" ht="12">
      <c r="A7942" s="51"/>
      <c r="B7942" s="758"/>
      <c r="C7942" s="758"/>
      <c r="D7942" s="758"/>
      <c r="E7942" s="758"/>
      <c r="F7942" s="753"/>
      <c r="G7942" s="758"/>
      <c r="H7942" s="758"/>
      <c r="I7942" s="519"/>
      <c r="J7942" s="758"/>
      <c r="K7942" s="758"/>
      <c r="L7942" s="789"/>
      <c r="M7942" s="758"/>
      <c r="N7942" s="758"/>
      <c r="O7942" s="758"/>
      <c r="P7942" s="758"/>
      <c r="Q7942" s="519"/>
      <c r="R7942" s="759">
        <f>$A7942*Q7942</f>
        <v>0</v>
      </c>
      <c r="S7942" s="519"/>
      <c r="T7942" s="760">
        <f>$A7942*S7942*$T$1</f>
        <v>0</v>
      </c>
      <c r="AR7942" s="51"/>
      <c r="AS7942" s="753"/>
    </row>
    <row r="7943" spans="1:45" s="520" customFormat="1" ht="12">
      <c r="A7943" s="758"/>
      <c r="B7943" s="758"/>
      <c r="C7943" s="758"/>
      <c r="D7943" s="758"/>
      <c r="E7943" s="758"/>
      <c r="F7943" s="753"/>
      <c r="G7943" s="758"/>
      <c r="H7943" s="758"/>
      <c r="I7943" s="519"/>
      <c r="J7943" s="758"/>
      <c r="K7943" s="758"/>
      <c r="L7943" s="789"/>
      <c r="M7943" s="758"/>
      <c r="N7943" s="758"/>
      <c r="O7943" s="758"/>
      <c r="P7943" s="758"/>
      <c r="Q7943" s="519"/>
      <c r="R7943" s="759">
        <f>$A7943*Q7943</f>
        <v>0</v>
      </c>
      <c r="S7943" s="519"/>
      <c r="T7943" s="760">
        <f>$A7943*S7943*$T$1</f>
        <v>0</v>
      </c>
      <c r="AR7943" s="758"/>
      <c r="AS7943" s="753"/>
    </row>
    <row r="7944" spans="1:45" s="520" customFormat="1" ht="12.6" thickBot="1">
      <c r="A7944" s="761" t="s">
        <v>145</v>
      </c>
      <c r="B7944" s="762">
        <f>(R7943+T7943)</f>
        <v>0</v>
      </c>
      <c r="C7944" s="763"/>
      <c r="D7944" s="763"/>
      <c r="E7944" s="763"/>
      <c r="F7944" s="764"/>
      <c r="G7944" s="763" t="s">
        <v>146</v>
      </c>
      <c r="H7944" s="763"/>
      <c r="I7944" s="765"/>
      <c r="J7944" s="763"/>
      <c r="K7944" s="900"/>
      <c r="L7944" s="858" t="s">
        <v>2267</v>
      </c>
      <c r="M7944" s="766"/>
      <c r="N7944" s="766"/>
      <c r="O7944" s="766"/>
      <c r="P7944" s="766"/>
      <c r="Q7944" s="767"/>
      <c r="R7944" s="768">
        <f>SUM(R7937:R7943)</f>
        <v>0</v>
      </c>
      <c r="S7944" s="763"/>
      <c r="T7944" s="768">
        <f>SUM(T7937:T7943)</f>
        <v>0</v>
      </c>
      <c r="U7944" s="531"/>
      <c r="V7944" s="531"/>
      <c r="W7944" s="531"/>
      <c r="X7944" s="531"/>
      <c r="Y7944" s="531"/>
      <c r="Z7944" s="531"/>
      <c r="AA7944" s="531"/>
      <c r="AB7944" s="531"/>
      <c r="AC7944" s="531"/>
      <c r="AD7944" s="531"/>
      <c r="AE7944" s="531"/>
      <c r="AF7944" s="531"/>
      <c r="AG7944" s="531"/>
      <c r="AH7944" s="531"/>
      <c r="AI7944" s="531"/>
      <c r="AJ7944" s="531"/>
      <c r="AK7944" s="531"/>
      <c r="AL7944" s="531"/>
      <c r="AM7944" s="531"/>
      <c r="AN7944" s="531"/>
      <c r="AO7944" s="531"/>
      <c r="AR7944" s="761" t="s">
        <v>145</v>
      </c>
      <c r="AS7944" s="764"/>
    </row>
    <row r="7945" spans="1:45" s="520" customFormat="1" thickTop="1">
      <c r="A7945" s="51"/>
      <c r="B7945" s="51"/>
      <c r="C7945" s="3"/>
      <c r="D7945" s="3"/>
      <c r="E7945" s="51"/>
      <c r="F7945" s="51"/>
      <c r="G7945" s="51"/>
      <c r="H7945" s="51"/>
      <c r="I7945" s="51"/>
      <c r="J7945" s="51"/>
      <c r="K7945" s="51" t="s">
        <v>134</v>
      </c>
      <c r="L7945" s="51"/>
      <c r="M7945" s="51"/>
      <c r="N7945" s="51"/>
      <c r="O7945" s="52"/>
      <c r="P7945" s="51"/>
      <c r="Q7945" s="51"/>
      <c r="R7945" s="51"/>
      <c r="S7945" s="51"/>
      <c r="T7945" s="51"/>
      <c r="AR7945" s="51"/>
      <c r="AS7945" s="51"/>
    </row>
    <row r="7946" spans="1:45" s="520" customFormat="1" ht="12">
      <c r="A7946" s="51"/>
      <c r="B7946" s="51"/>
      <c r="C7946" s="51" t="s">
        <v>135</v>
      </c>
      <c r="D7946" s="37" t="s">
        <v>136</v>
      </c>
      <c r="E7946" s="51"/>
      <c r="F7946" s="51"/>
      <c r="G7946" s="51"/>
      <c r="H7946" s="51"/>
      <c r="I7946" s="51"/>
      <c r="J7946" s="51"/>
      <c r="K7946" s="51"/>
      <c r="L7946" s="51"/>
      <c r="M7946" s="51"/>
      <c r="N7946" s="51"/>
      <c r="O7946" s="52"/>
      <c r="P7946" s="51"/>
      <c r="Q7946" s="51"/>
      <c r="R7946" s="51"/>
      <c r="S7946" s="51"/>
      <c r="T7946" s="51"/>
      <c r="AR7946" s="51"/>
      <c r="AS7946" s="51"/>
    </row>
    <row r="7947" spans="1:45" s="520" customFormat="1" ht="12">
      <c r="A7947" s="51"/>
      <c r="B7947" s="51"/>
      <c r="C7947" s="51"/>
      <c r="D7947" s="37" t="s">
        <v>1050</v>
      </c>
      <c r="E7947" s="51"/>
      <c r="F7947" s="51"/>
      <c r="G7947" s="51"/>
      <c r="H7947" s="51"/>
      <c r="I7947" s="51"/>
      <c r="J7947" s="51"/>
      <c r="K7947" s="51"/>
      <c r="L7947" s="51"/>
      <c r="M7947" s="51"/>
      <c r="N7947" s="51"/>
      <c r="O7947" s="52"/>
      <c r="P7947" s="51"/>
      <c r="Q7947" s="51"/>
      <c r="R7947" s="51"/>
      <c r="S7947" s="38"/>
      <c r="T7947" s="38"/>
      <c r="AR7947" s="51"/>
      <c r="AS7947" s="51"/>
    </row>
    <row r="7948" spans="1:45" s="3" customFormat="1" thickBot="1">
      <c r="A7948" s="531"/>
      <c r="O7948" s="107"/>
      <c r="AR7948" s="531"/>
    </row>
    <row r="7949" spans="1:45" s="520" customFormat="1" thickTop="1">
      <c r="A7949" s="51"/>
      <c r="B7949" s="41"/>
      <c r="C7949" s="51"/>
      <c r="E7949" s="42" t="s">
        <v>138</v>
      </c>
      <c r="F7949"/>
      <c r="G7949" s="51"/>
      <c r="H7949" s="51"/>
      <c r="I7949" s="51"/>
      <c r="J7949" s="51"/>
      <c r="K7949" s="51" t="s">
        <v>140</v>
      </c>
      <c r="L7949" s="789"/>
      <c r="M7949" s="51"/>
      <c r="N7949" s="51"/>
      <c r="O7949" s="52"/>
      <c r="P7949" s="51"/>
      <c r="Q7949" s="51"/>
      <c r="R7949" s="51"/>
      <c r="S7949" s="51"/>
      <c r="T7949" s="41"/>
      <c r="AG7949" s="521" t="s">
        <v>268</v>
      </c>
      <c r="AH7949" s="884"/>
      <c r="AI7949" s="521" t="s">
        <v>270</v>
      </c>
      <c r="AM7949" s="745" t="s">
        <v>281</v>
      </c>
      <c r="AN7949" s="746" t="s">
        <v>282</v>
      </c>
      <c r="AO7949" s="522" t="s">
        <v>278</v>
      </c>
      <c r="AR7949" s="51"/>
      <c r="AS7949"/>
    </row>
    <row r="7950" spans="1:45" s="520" customFormat="1" ht="13.2">
      <c r="A7950" s="747">
        <v>1</v>
      </c>
      <c r="B7950" s="523" t="s">
        <v>1045</v>
      </c>
      <c r="C7950" s="748"/>
      <c r="D7950" s="749" t="s">
        <v>2049</v>
      </c>
      <c r="E7950" s="885">
        <f>IF(AND($A7950=0,$A$1="DIF"),0, ROUND(ROUND(($R7958*$S$2+($T7958*$T$2))/A7950,2)*$C$2,2))</f>
        <v>0</v>
      </c>
      <c r="F7950"/>
      <c r="G7950" s="752" t="s">
        <v>142</v>
      </c>
      <c r="H7950" s="753"/>
      <c r="I7950" s="754"/>
      <c r="J7950" s="753"/>
      <c r="K7950" s="784" t="s">
        <v>2267</v>
      </c>
      <c r="L7950" s="789" t="s">
        <v>143</v>
      </c>
      <c r="M7950" s="755"/>
      <c r="N7950" s="755"/>
      <c r="O7950" s="755"/>
      <c r="P7950" s="755"/>
      <c r="Q7950" s="51"/>
      <c r="T7950" s="756" t="str">
        <f>IF(AND($R7958=0,$T7958=0),"0.00","mu :" &amp; ROUND($A7950*$E7950/$C$2/($R7958+$T7958*$D$9),2))</f>
        <v>0.00</v>
      </c>
      <c r="W7950" s="524"/>
      <c r="AG7950" s="525">
        <f>IF($E7950=0,0,ROUND($R7958*$S$2*$C$2/$A7950,2))</f>
        <v>0</v>
      </c>
      <c r="AH7950" s="884"/>
      <c r="AI7950" s="525">
        <f>$E7950-$AG7950</f>
        <v>0</v>
      </c>
      <c r="AM7950" s="527">
        <f>ROUND(R7958,2)</f>
        <v>0</v>
      </c>
      <c r="AN7950" s="528">
        <f>ROUND(T7958,2)</f>
        <v>0</v>
      </c>
      <c r="AO7950" s="529">
        <f>ROUND(AM7950+AN7950,2)*A7950</f>
        <v>0</v>
      </c>
      <c r="AR7950" s="747">
        <v>1</v>
      </c>
      <c r="AS7950"/>
    </row>
    <row r="7951" spans="1:45" s="520" customFormat="1" ht="13.2">
      <c r="A7951" s="748"/>
      <c r="B7951"/>
      <c r="C7951" s="748"/>
      <c r="D7951" s="749" t="s">
        <v>1044</v>
      </c>
      <c r="F7951" s="753"/>
      <c r="G7951" s="3"/>
      <c r="H7951" s="753"/>
      <c r="I7951" s="754"/>
      <c r="J7951" s="753"/>
      <c r="K7951" s="753" t="s">
        <v>144</v>
      </c>
      <c r="L7951" s="784"/>
      <c r="M7951" s="753"/>
      <c r="N7951" s="753"/>
      <c r="O7951" s="753"/>
      <c r="P7951" s="753"/>
      <c r="Q7951" s="51"/>
      <c r="R7951" s="530"/>
      <c r="S7951" s="757"/>
      <c r="T7951" s="753"/>
      <c r="AR7951" s="748"/>
      <c r="AS7951" s="753"/>
    </row>
    <row r="7952" spans="1:45" s="887" customFormat="1" ht="12">
      <c r="A7952" s="886">
        <v>0</v>
      </c>
      <c r="B7952" s="887" t="s">
        <v>320</v>
      </c>
      <c r="D7952" s="887" t="s">
        <v>2268</v>
      </c>
      <c r="E7952" s="888" t="s">
        <v>2269</v>
      </c>
      <c r="F7952" s="889"/>
      <c r="G7952" s="890" t="s">
        <v>2270</v>
      </c>
      <c r="H7952" s="891" t="s">
        <v>2271</v>
      </c>
      <c r="I7952" s="887" t="s">
        <v>2272</v>
      </c>
      <c r="K7952" s="892"/>
      <c r="L7952" s="893" t="s">
        <v>2271</v>
      </c>
      <c r="N7952" s="894"/>
      <c r="O7952" s="895">
        <v>2</v>
      </c>
      <c r="P7952" s="896">
        <v>38434</v>
      </c>
      <c r="Q7952" s="897">
        <v>0.3</v>
      </c>
      <c r="R7952" s="817">
        <f>$A7952*Q7952</f>
        <v>0</v>
      </c>
      <c r="S7952" s="897">
        <v>3.5000000000000003E-2</v>
      </c>
      <c r="T7952" s="760">
        <f>$A7952*S7952*$T$1</f>
        <v>0</v>
      </c>
      <c r="AG7952" s="520"/>
      <c r="AH7952" s="520"/>
      <c r="AI7952" s="520"/>
      <c r="AJ7952" s="520"/>
      <c r="AK7952" s="520"/>
      <c r="AR7952" s="886">
        <v>22</v>
      </c>
      <c r="AS7952" s="889"/>
    </row>
    <row r="7953" spans="1:45" s="887" customFormat="1" ht="12">
      <c r="A7953" s="886"/>
      <c r="E7953" s="888"/>
      <c r="F7953" s="889"/>
      <c r="H7953" s="755"/>
      <c r="L7953" s="789"/>
      <c r="N7953" s="894"/>
      <c r="O7953" s="894"/>
      <c r="P7953" s="896"/>
      <c r="Q7953" s="897"/>
      <c r="R7953" s="898"/>
      <c r="S7953" s="897"/>
      <c r="T7953" s="899"/>
      <c r="AR7953" s="886"/>
      <c r="AS7953" s="889"/>
    </row>
    <row r="7954" spans="1:45" s="520" customFormat="1" ht="12">
      <c r="A7954" s="51"/>
      <c r="B7954" s="758"/>
      <c r="C7954" s="758"/>
      <c r="D7954" s="758"/>
      <c r="E7954" s="758"/>
      <c r="F7954" s="753"/>
      <c r="G7954" s="758"/>
      <c r="H7954" s="758"/>
      <c r="I7954" s="519"/>
      <c r="J7954" s="758"/>
      <c r="K7954" s="758"/>
      <c r="L7954" s="789"/>
      <c r="M7954" s="758"/>
      <c r="N7954" s="758"/>
      <c r="O7954" s="758"/>
      <c r="P7954" s="758"/>
      <c r="Q7954" s="519"/>
      <c r="R7954" s="759">
        <f>$A7954*Q7954</f>
        <v>0</v>
      </c>
      <c r="S7954" s="519"/>
      <c r="T7954" s="760">
        <f>$A7954*S7954*$T$1</f>
        <v>0</v>
      </c>
      <c r="AR7954" s="51"/>
      <c r="AS7954" s="753"/>
    </row>
    <row r="7955" spans="1:45" s="520" customFormat="1" ht="12">
      <c r="A7955" s="51"/>
      <c r="B7955" s="758"/>
      <c r="C7955" s="758"/>
      <c r="D7955" s="758"/>
      <c r="E7955" s="758"/>
      <c r="F7955" s="753"/>
      <c r="G7955" s="758"/>
      <c r="H7955" s="758"/>
      <c r="I7955" s="519"/>
      <c r="J7955" s="758"/>
      <c r="K7955" s="758"/>
      <c r="L7955" s="789"/>
      <c r="M7955" s="758"/>
      <c r="N7955" s="758"/>
      <c r="O7955" s="758"/>
      <c r="P7955" s="758"/>
      <c r="Q7955" s="519"/>
      <c r="R7955" s="759">
        <f>$A7955*Q7955</f>
        <v>0</v>
      </c>
      <c r="S7955" s="519"/>
      <c r="T7955" s="760">
        <f>$A7955*S7955*$T$1</f>
        <v>0</v>
      </c>
      <c r="AR7955" s="51"/>
      <c r="AS7955" s="753"/>
    </row>
    <row r="7956" spans="1:45" s="520" customFormat="1" ht="12">
      <c r="A7956" s="51"/>
      <c r="B7956" s="758"/>
      <c r="C7956" s="758"/>
      <c r="D7956" s="758"/>
      <c r="E7956" s="758"/>
      <c r="F7956" s="753"/>
      <c r="G7956" s="758"/>
      <c r="H7956" s="758"/>
      <c r="I7956" s="519"/>
      <c r="J7956" s="758"/>
      <c r="K7956" s="758"/>
      <c r="L7956" s="789"/>
      <c r="M7956" s="758"/>
      <c r="N7956" s="758"/>
      <c r="O7956" s="758"/>
      <c r="P7956" s="758"/>
      <c r="Q7956" s="519"/>
      <c r="R7956" s="759">
        <f>$A7956*Q7956</f>
        <v>0</v>
      </c>
      <c r="S7956" s="519"/>
      <c r="T7956" s="760">
        <f>$A7956*S7956*$T$1</f>
        <v>0</v>
      </c>
      <c r="AR7956" s="51"/>
      <c r="AS7956" s="753"/>
    </row>
    <row r="7957" spans="1:45" s="520" customFormat="1" ht="12">
      <c r="A7957" s="758"/>
      <c r="B7957" s="758"/>
      <c r="C7957" s="758"/>
      <c r="D7957" s="758"/>
      <c r="E7957" s="758"/>
      <c r="F7957" s="753"/>
      <c r="G7957" s="758"/>
      <c r="H7957" s="758"/>
      <c r="I7957" s="519"/>
      <c r="J7957" s="758"/>
      <c r="K7957" s="758"/>
      <c r="L7957" s="789"/>
      <c r="M7957" s="758"/>
      <c r="N7957" s="758"/>
      <c r="O7957" s="758"/>
      <c r="P7957" s="758"/>
      <c r="Q7957" s="519"/>
      <c r="R7957" s="759">
        <f>$A7957*Q7957</f>
        <v>0</v>
      </c>
      <c r="S7957" s="519"/>
      <c r="T7957" s="760">
        <f>$A7957*S7957*$T$1</f>
        <v>0</v>
      </c>
      <c r="AR7957" s="758"/>
      <c r="AS7957" s="753"/>
    </row>
    <row r="7958" spans="1:45" s="520" customFormat="1" ht="12.6" thickBot="1">
      <c r="A7958" s="761" t="s">
        <v>145</v>
      </c>
      <c r="B7958" s="762">
        <f>(R7957+T7957)</f>
        <v>0</v>
      </c>
      <c r="C7958" s="763"/>
      <c r="D7958" s="763"/>
      <c r="E7958" s="763"/>
      <c r="F7958" s="764"/>
      <c r="G7958" s="763" t="s">
        <v>146</v>
      </c>
      <c r="H7958" s="763"/>
      <c r="I7958" s="765"/>
      <c r="J7958" s="763"/>
      <c r="K7958" s="900"/>
      <c r="L7958" s="858" t="s">
        <v>2267</v>
      </c>
      <c r="M7958" s="766"/>
      <c r="N7958" s="766"/>
      <c r="O7958" s="766"/>
      <c r="P7958" s="766"/>
      <c r="Q7958" s="767"/>
      <c r="R7958" s="768">
        <f>SUM(R7951:R7957)</f>
        <v>0</v>
      </c>
      <c r="S7958" s="763"/>
      <c r="T7958" s="768">
        <f>SUM(T7951:T7957)</f>
        <v>0</v>
      </c>
      <c r="U7958" s="531"/>
      <c r="V7958" s="531"/>
      <c r="W7958" s="531"/>
      <c r="X7958" s="531"/>
      <c r="Y7958" s="531"/>
      <c r="Z7958" s="531"/>
      <c r="AA7958" s="531"/>
      <c r="AB7958" s="531"/>
      <c r="AC7958" s="531"/>
      <c r="AD7958" s="531"/>
      <c r="AE7958" s="531"/>
      <c r="AF7958" s="531"/>
      <c r="AG7958" s="531"/>
      <c r="AH7958" s="531"/>
      <c r="AI7958" s="531"/>
      <c r="AJ7958" s="531"/>
      <c r="AK7958" s="531"/>
      <c r="AL7958" s="531"/>
      <c r="AM7958" s="531"/>
      <c r="AN7958" s="531"/>
      <c r="AO7958" s="531"/>
      <c r="AR7958" s="761" t="s">
        <v>145</v>
      </c>
      <c r="AS7958" s="764"/>
    </row>
    <row r="7959" spans="1:45" s="520" customFormat="1" thickTop="1">
      <c r="A7959" s="51"/>
      <c r="B7959" s="41"/>
      <c r="C7959" s="51"/>
      <c r="E7959" s="42" t="s">
        <v>138</v>
      </c>
      <c r="F7959"/>
      <c r="G7959" s="51"/>
      <c r="H7959" s="51"/>
      <c r="I7959" s="51"/>
      <c r="J7959" s="51"/>
      <c r="K7959" s="51" t="s">
        <v>140</v>
      </c>
      <c r="L7959" s="789"/>
      <c r="M7959" s="51"/>
      <c r="N7959" s="51"/>
      <c r="O7959" s="52"/>
      <c r="P7959" s="51"/>
      <c r="Q7959" s="51"/>
      <c r="R7959" s="51"/>
      <c r="S7959" s="51"/>
      <c r="T7959" s="41"/>
      <c r="AG7959" s="521" t="s">
        <v>268</v>
      </c>
      <c r="AH7959" s="884"/>
      <c r="AI7959" s="521" t="s">
        <v>270</v>
      </c>
      <c r="AM7959" s="745" t="s">
        <v>281</v>
      </c>
      <c r="AN7959" s="746" t="s">
        <v>282</v>
      </c>
      <c r="AO7959" s="522" t="s">
        <v>278</v>
      </c>
      <c r="AR7959" s="51"/>
      <c r="AS7959"/>
    </row>
    <row r="7960" spans="1:45" s="520" customFormat="1" ht="13.2">
      <c r="A7960" s="747">
        <v>1</v>
      </c>
      <c r="B7960" s="523" t="s">
        <v>1045</v>
      </c>
      <c r="C7960" s="748"/>
      <c r="D7960" s="749" t="s">
        <v>2050</v>
      </c>
      <c r="E7960" s="885">
        <f>IF(AND($A7960=0,$A$1="DIF"),0, ROUND(ROUND(($R7968*$S$2+($T7968*$T$2))/A7960,2)*$C$2,2))</f>
        <v>0</v>
      </c>
      <c r="F7960"/>
      <c r="G7960" s="752" t="s">
        <v>142</v>
      </c>
      <c r="H7960" s="753"/>
      <c r="I7960" s="754"/>
      <c r="J7960" s="753"/>
      <c r="K7960" s="784" t="s">
        <v>2267</v>
      </c>
      <c r="L7960" s="789" t="s">
        <v>143</v>
      </c>
      <c r="M7960" s="755"/>
      <c r="N7960" s="755"/>
      <c r="O7960" s="755"/>
      <c r="P7960" s="755"/>
      <c r="Q7960" s="51"/>
      <c r="T7960" s="756" t="str">
        <f>IF(AND($R7968=0,$T7968=0),"0.00","mu :" &amp; ROUND($A7960*$E7960/$C$2/($R7968+$T7968*$D$9),2))</f>
        <v>0.00</v>
      </c>
      <c r="W7960" s="524"/>
      <c r="AG7960" s="525">
        <f>IF($E7960=0,0,ROUND($R7968*$S$2*$C$2/$A7960,2))</f>
        <v>0</v>
      </c>
      <c r="AH7960" s="884"/>
      <c r="AI7960" s="525">
        <f>$E7960-$AG7960</f>
        <v>0</v>
      </c>
      <c r="AM7960" s="527">
        <f>ROUND(R7968,2)</f>
        <v>0</v>
      </c>
      <c r="AN7960" s="528">
        <f>ROUND(T7968,2)</f>
        <v>0</v>
      </c>
      <c r="AO7960" s="529">
        <f>ROUND(AM7960+AN7960,2)*A7960</f>
        <v>0</v>
      </c>
      <c r="AR7960" s="747">
        <v>1</v>
      </c>
      <c r="AS7960"/>
    </row>
    <row r="7961" spans="1:45" s="520" customFormat="1" ht="13.2">
      <c r="A7961" s="748"/>
      <c r="B7961"/>
      <c r="C7961" s="748"/>
      <c r="D7961" s="749" t="s">
        <v>1046</v>
      </c>
      <c r="F7961" s="753"/>
      <c r="G7961" s="3"/>
      <c r="H7961" s="753"/>
      <c r="I7961" s="754"/>
      <c r="J7961" s="753"/>
      <c r="K7961" s="753" t="s">
        <v>144</v>
      </c>
      <c r="L7961" s="784"/>
      <c r="M7961" s="753"/>
      <c r="N7961" s="753"/>
      <c r="O7961" s="753"/>
      <c r="P7961" s="753"/>
      <c r="Q7961" s="51"/>
      <c r="R7961" s="530"/>
      <c r="S7961" s="757"/>
      <c r="T7961" s="753"/>
      <c r="AR7961" s="748"/>
      <c r="AS7961" s="753"/>
    </row>
    <row r="7962" spans="1:45" s="887" customFormat="1" ht="12">
      <c r="A7962" s="886">
        <v>0</v>
      </c>
      <c r="B7962" s="887" t="s">
        <v>320</v>
      </c>
      <c r="D7962" s="887" t="s">
        <v>2268</v>
      </c>
      <c r="E7962" s="888" t="s">
        <v>2269</v>
      </c>
      <c r="F7962" s="889"/>
      <c r="G7962" s="890" t="s">
        <v>2270</v>
      </c>
      <c r="H7962" s="891" t="s">
        <v>2271</v>
      </c>
      <c r="I7962" s="887" t="s">
        <v>2272</v>
      </c>
      <c r="K7962" s="892"/>
      <c r="L7962" s="893" t="s">
        <v>2271</v>
      </c>
      <c r="N7962" s="894"/>
      <c r="O7962" s="895">
        <v>2</v>
      </c>
      <c r="P7962" s="896">
        <v>38434</v>
      </c>
      <c r="Q7962" s="897">
        <v>0.3</v>
      </c>
      <c r="R7962" s="817">
        <f>$A7962*Q7962</f>
        <v>0</v>
      </c>
      <c r="S7962" s="897">
        <v>3.5000000000000003E-2</v>
      </c>
      <c r="T7962" s="760">
        <f>$A7962*S7962*$T$1</f>
        <v>0</v>
      </c>
      <c r="AG7962" s="520"/>
      <c r="AH7962" s="520"/>
      <c r="AI7962" s="520"/>
      <c r="AJ7962" s="520"/>
      <c r="AK7962" s="520"/>
      <c r="AR7962" s="886">
        <v>22</v>
      </c>
      <c r="AS7962" s="889"/>
    </row>
    <row r="7963" spans="1:45" s="887" customFormat="1" ht="12">
      <c r="A7963" s="886"/>
      <c r="E7963" s="888"/>
      <c r="F7963" s="889"/>
      <c r="H7963" s="755"/>
      <c r="L7963" s="789"/>
      <c r="N7963" s="894"/>
      <c r="O7963" s="894"/>
      <c r="P7963" s="896"/>
      <c r="Q7963" s="897"/>
      <c r="R7963" s="898"/>
      <c r="S7963" s="897"/>
      <c r="T7963" s="899"/>
      <c r="AR7963" s="886"/>
      <c r="AS7963" s="889"/>
    </row>
    <row r="7964" spans="1:45" s="520" customFormat="1" ht="12">
      <c r="A7964" s="51"/>
      <c r="B7964" s="758"/>
      <c r="C7964" s="758"/>
      <c r="D7964" s="758"/>
      <c r="E7964" s="758"/>
      <c r="F7964" s="753"/>
      <c r="G7964" s="758"/>
      <c r="H7964" s="758"/>
      <c r="I7964" s="519"/>
      <c r="J7964" s="758"/>
      <c r="K7964" s="758"/>
      <c r="L7964" s="789"/>
      <c r="M7964" s="758"/>
      <c r="N7964" s="758"/>
      <c r="O7964" s="758"/>
      <c r="P7964" s="758"/>
      <c r="Q7964" s="519"/>
      <c r="R7964" s="759">
        <f>$A7964*Q7964</f>
        <v>0</v>
      </c>
      <c r="S7964" s="519"/>
      <c r="T7964" s="760">
        <f>$A7964*S7964*$T$1</f>
        <v>0</v>
      </c>
      <c r="AR7964" s="51"/>
      <c r="AS7964" s="753"/>
    </row>
    <row r="7965" spans="1:45" s="520" customFormat="1" ht="12">
      <c r="A7965" s="51"/>
      <c r="B7965" s="758"/>
      <c r="C7965" s="758"/>
      <c r="D7965" s="758"/>
      <c r="E7965" s="758"/>
      <c r="F7965" s="753"/>
      <c r="G7965" s="758"/>
      <c r="H7965" s="758"/>
      <c r="I7965" s="519"/>
      <c r="J7965" s="758"/>
      <c r="K7965" s="758"/>
      <c r="L7965" s="789"/>
      <c r="M7965" s="758"/>
      <c r="N7965" s="758"/>
      <c r="O7965" s="758"/>
      <c r="P7965" s="758"/>
      <c r="Q7965" s="519"/>
      <c r="R7965" s="759">
        <f>$A7965*Q7965</f>
        <v>0</v>
      </c>
      <c r="S7965" s="519"/>
      <c r="T7965" s="760">
        <f>$A7965*S7965*$T$1</f>
        <v>0</v>
      </c>
      <c r="AR7965" s="51"/>
      <c r="AS7965" s="753"/>
    </row>
    <row r="7966" spans="1:45" s="520" customFormat="1" ht="12">
      <c r="A7966" s="51"/>
      <c r="B7966" s="758"/>
      <c r="C7966" s="758"/>
      <c r="D7966" s="758"/>
      <c r="E7966" s="758"/>
      <c r="F7966" s="753"/>
      <c r="G7966" s="758"/>
      <c r="H7966" s="758"/>
      <c r="I7966" s="519"/>
      <c r="J7966" s="758"/>
      <c r="K7966" s="758"/>
      <c r="L7966" s="789"/>
      <c r="M7966" s="758"/>
      <c r="N7966" s="758"/>
      <c r="O7966" s="758"/>
      <c r="P7966" s="758"/>
      <c r="Q7966" s="519"/>
      <c r="R7966" s="759">
        <f>$A7966*Q7966</f>
        <v>0</v>
      </c>
      <c r="S7966" s="519"/>
      <c r="T7966" s="760">
        <f>$A7966*S7966*$T$1</f>
        <v>0</v>
      </c>
      <c r="AR7966" s="51"/>
      <c r="AS7966" s="753"/>
    </row>
    <row r="7967" spans="1:45" s="520" customFormat="1" ht="12">
      <c r="A7967" s="758"/>
      <c r="B7967" s="758"/>
      <c r="C7967" s="758"/>
      <c r="D7967" s="758"/>
      <c r="E7967" s="758"/>
      <c r="F7967" s="753"/>
      <c r="G7967" s="758"/>
      <c r="H7967" s="758"/>
      <c r="I7967" s="519"/>
      <c r="J7967" s="758"/>
      <c r="K7967" s="758"/>
      <c r="L7967" s="789"/>
      <c r="M7967" s="758"/>
      <c r="N7967" s="758"/>
      <c r="O7967" s="758"/>
      <c r="P7967" s="758"/>
      <c r="Q7967" s="519"/>
      <c r="R7967" s="759">
        <f>$A7967*Q7967</f>
        <v>0</v>
      </c>
      <c r="S7967" s="519"/>
      <c r="T7967" s="760">
        <f>$A7967*S7967*$T$1</f>
        <v>0</v>
      </c>
      <c r="AR7967" s="758"/>
      <c r="AS7967" s="753"/>
    </row>
    <row r="7968" spans="1:45" s="520" customFormat="1" ht="12.6" thickBot="1">
      <c r="A7968" s="761" t="s">
        <v>145</v>
      </c>
      <c r="B7968" s="762">
        <f>(R7967+T7967)</f>
        <v>0</v>
      </c>
      <c r="C7968" s="763"/>
      <c r="D7968" s="763"/>
      <c r="E7968" s="763"/>
      <c r="F7968" s="764"/>
      <c r="G7968" s="763" t="s">
        <v>146</v>
      </c>
      <c r="H7968" s="763"/>
      <c r="I7968" s="765"/>
      <c r="J7968" s="763"/>
      <c r="K7968" s="900"/>
      <c r="L7968" s="858" t="s">
        <v>2267</v>
      </c>
      <c r="M7968" s="766"/>
      <c r="N7968" s="766"/>
      <c r="O7968" s="766"/>
      <c r="P7968" s="766"/>
      <c r="Q7968" s="767"/>
      <c r="R7968" s="768">
        <f>SUM(R7961:R7967)</f>
        <v>0</v>
      </c>
      <c r="S7968" s="763"/>
      <c r="T7968" s="768">
        <f>SUM(T7961:T7967)</f>
        <v>0</v>
      </c>
      <c r="U7968" s="531"/>
      <c r="V7968" s="531"/>
      <c r="W7968" s="531"/>
      <c r="X7968" s="531"/>
      <c r="Y7968" s="531"/>
      <c r="Z7968" s="531"/>
      <c r="AA7968" s="531"/>
      <c r="AB7968" s="531"/>
      <c r="AC7968" s="531"/>
      <c r="AD7968" s="531"/>
      <c r="AE7968" s="531"/>
      <c r="AF7968" s="531"/>
      <c r="AG7968" s="531"/>
      <c r="AH7968" s="531"/>
      <c r="AI7968" s="531"/>
      <c r="AJ7968" s="531"/>
      <c r="AK7968" s="531"/>
      <c r="AL7968" s="531"/>
      <c r="AM7968" s="531"/>
      <c r="AN7968" s="531"/>
      <c r="AO7968" s="531"/>
      <c r="AR7968" s="761" t="s">
        <v>145</v>
      </c>
      <c r="AS7968" s="764"/>
    </row>
    <row r="7969" spans="1:45" s="520" customFormat="1" thickTop="1">
      <c r="A7969" s="51"/>
      <c r="B7969" s="41"/>
      <c r="C7969" s="51"/>
      <c r="E7969" s="42" t="s">
        <v>138</v>
      </c>
      <c r="F7969"/>
      <c r="G7969" s="51"/>
      <c r="H7969" s="51"/>
      <c r="I7969" s="51"/>
      <c r="J7969" s="51"/>
      <c r="K7969" s="51" t="s">
        <v>140</v>
      </c>
      <c r="L7969" s="789"/>
      <c r="M7969" s="51"/>
      <c r="N7969" s="51"/>
      <c r="O7969" s="52"/>
      <c r="P7969" s="51"/>
      <c r="Q7969" s="51"/>
      <c r="R7969" s="51"/>
      <c r="S7969" s="51"/>
      <c r="T7969" s="41"/>
      <c r="AG7969" s="521" t="s">
        <v>268</v>
      </c>
      <c r="AH7969" s="884"/>
      <c r="AI7969" s="521" t="s">
        <v>270</v>
      </c>
      <c r="AM7969" s="745" t="s">
        <v>281</v>
      </c>
      <c r="AN7969" s="746" t="s">
        <v>282</v>
      </c>
      <c r="AO7969" s="522" t="s">
        <v>278</v>
      </c>
      <c r="AR7969" s="51"/>
      <c r="AS7969"/>
    </row>
    <row r="7970" spans="1:45" s="520" customFormat="1" ht="13.2">
      <c r="A7970" s="747">
        <v>1</v>
      </c>
      <c r="B7970" s="523" t="s">
        <v>1045</v>
      </c>
      <c r="C7970" s="748"/>
      <c r="D7970" s="749" t="s">
        <v>2051</v>
      </c>
      <c r="E7970" s="885">
        <f>IF(AND($A7970=0,$A$1="DIF"),0, ROUND(ROUND(($R7978*$S$2+($T7978*$T$2))/A7970,2)*$C$2,2))</f>
        <v>0</v>
      </c>
      <c r="F7970"/>
      <c r="G7970" s="752" t="s">
        <v>142</v>
      </c>
      <c r="H7970" s="753"/>
      <c r="I7970" s="754"/>
      <c r="J7970" s="753"/>
      <c r="K7970" s="784" t="s">
        <v>2267</v>
      </c>
      <c r="L7970" s="789" t="s">
        <v>143</v>
      </c>
      <c r="M7970" s="755"/>
      <c r="N7970" s="755"/>
      <c r="O7970" s="755"/>
      <c r="P7970" s="755"/>
      <c r="Q7970" s="51"/>
      <c r="T7970" s="756" t="str">
        <f>IF(AND($R7978=0,$T7978=0),"0.00","mu :" &amp; ROUND($A7970*$E7970/$C$2/($R7978+$T7978*$D$9),2))</f>
        <v>0.00</v>
      </c>
      <c r="W7970" s="524"/>
      <c r="AG7970" s="525">
        <f>IF($E7970=0,0,ROUND($R7978*$S$2*$C$2/$A7970,2))</f>
        <v>0</v>
      </c>
      <c r="AH7970" s="884"/>
      <c r="AI7970" s="525">
        <f>$E7970-$AG7970</f>
        <v>0</v>
      </c>
      <c r="AM7970" s="527">
        <f>ROUND(R7978,2)</f>
        <v>0</v>
      </c>
      <c r="AN7970" s="528">
        <f>ROUND(T7978,2)</f>
        <v>0</v>
      </c>
      <c r="AO7970" s="529">
        <f>ROUND(AM7970+AN7970,2)*A7970</f>
        <v>0</v>
      </c>
      <c r="AR7970" s="747">
        <v>1</v>
      </c>
      <c r="AS7970"/>
    </row>
    <row r="7971" spans="1:45" s="520" customFormat="1" ht="13.2">
      <c r="A7971" s="748"/>
      <c r="B7971"/>
      <c r="C7971" s="748"/>
      <c r="D7971" s="749" t="s">
        <v>1047</v>
      </c>
      <c r="F7971" s="753"/>
      <c r="G7971" s="3"/>
      <c r="H7971" s="753"/>
      <c r="I7971" s="754"/>
      <c r="J7971" s="753"/>
      <c r="K7971" s="753" t="s">
        <v>144</v>
      </c>
      <c r="L7971" s="784"/>
      <c r="M7971" s="753"/>
      <c r="N7971" s="753"/>
      <c r="O7971" s="753"/>
      <c r="P7971" s="753"/>
      <c r="Q7971" s="51"/>
      <c r="R7971" s="530"/>
      <c r="S7971" s="757"/>
      <c r="T7971" s="753"/>
      <c r="AR7971" s="748"/>
      <c r="AS7971" s="753"/>
    </row>
    <row r="7972" spans="1:45" s="887" customFormat="1" ht="12">
      <c r="A7972" s="886">
        <v>0</v>
      </c>
      <c r="B7972" s="887" t="s">
        <v>320</v>
      </c>
      <c r="D7972" s="887" t="s">
        <v>2268</v>
      </c>
      <c r="E7972" s="888" t="s">
        <v>2269</v>
      </c>
      <c r="F7972" s="889"/>
      <c r="G7972" s="890" t="s">
        <v>2270</v>
      </c>
      <c r="H7972" s="891" t="s">
        <v>2271</v>
      </c>
      <c r="I7972" s="887" t="s">
        <v>2272</v>
      </c>
      <c r="K7972" s="892"/>
      <c r="L7972" s="893" t="s">
        <v>2271</v>
      </c>
      <c r="N7972" s="894"/>
      <c r="O7972" s="895">
        <v>2</v>
      </c>
      <c r="P7972" s="896">
        <v>38434</v>
      </c>
      <c r="Q7972" s="897">
        <v>0.3</v>
      </c>
      <c r="R7972" s="817">
        <f>$A7972*Q7972</f>
        <v>0</v>
      </c>
      <c r="S7972" s="897">
        <v>3.5000000000000003E-2</v>
      </c>
      <c r="T7972" s="760">
        <f>$A7972*S7972*$T$1</f>
        <v>0</v>
      </c>
      <c r="AG7972" s="520"/>
      <c r="AH7972" s="520"/>
      <c r="AI7972" s="520"/>
      <c r="AJ7972" s="520"/>
      <c r="AK7972" s="520"/>
      <c r="AR7972" s="886">
        <v>22</v>
      </c>
      <c r="AS7972" s="889"/>
    </row>
    <row r="7973" spans="1:45" s="887" customFormat="1" ht="12">
      <c r="A7973" s="886"/>
      <c r="E7973" s="888"/>
      <c r="F7973" s="889"/>
      <c r="H7973" s="755"/>
      <c r="L7973" s="789"/>
      <c r="N7973" s="894"/>
      <c r="O7973" s="894"/>
      <c r="P7973" s="896"/>
      <c r="Q7973" s="897"/>
      <c r="R7973" s="898"/>
      <c r="S7973" s="897"/>
      <c r="T7973" s="899"/>
      <c r="AR7973" s="886"/>
      <c r="AS7973" s="889"/>
    </row>
    <row r="7974" spans="1:45" s="520" customFormat="1" ht="12">
      <c r="A7974" s="51"/>
      <c r="B7974" s="758"/>
      <c r="C7974" s="758"/>
      <c r="D7974" s="758"/>
      <c r="E7974" s="758"/>
      <c r="F7974" s="753"/>
      <c r="G7974" s="758"/>
      <c r="H7974" s="758"/>
      <c r="I7974" s="519"/>
      <c r="J7974" s="758"/>
      <c r="K7974" s="758"/>
      <c r="L7974" s="789"/>
      <c r="M7974" s="758"/>
      <c r="N7974" s="758"/>
      <c r="O7974" s="758"/>
      <c r="P7974" s="758"/>
      <c r="Q7974" s="519"/>
      <c r="R7974" s="759">
        <f>$A7974*Q7974</f>
        <v>0</v>
      </c>
      <c r="S7974" s="519"/>
      <c r="T7974" s="760">
        <f>$A7974*S7974*$T$1</f>
        <v>0</v>
      </c>
      <c r="AR7974" s="51"/>
      <c r="AS7974" s="753"/>
    </row>
    <row r="7975" spans="1:45" s="520" customFormat="1" ht="12">
      <c r="A7975" s="51"/>
      <c r="B7975" s="758"/>
      <c r="C7975" s="758"/>
      <c r="D7975" s="758"/>
      <c r="E7975" s="758"/>
      <c r="F7975" s="753"/>
      <c r="G7975" s="758"/>
      <c r="H7975" s="758"/>
      <c r="I7975" s="519"/>
      <c r="J7975" s="758"/>
      <c r="K7975" s="758"/>
      <c r="L7975" s="789"/>
      <c r="M7975" s="758"/>
      <c r="N7975" s="758"/>
      <c r="O7975" s="758"/>
      <c r="P7975" s="758"/>
      <c r="Q7975" s="519"/>
      <c r="R7975" s="759">
        <f>$A7975*Q7975</f>
        <v>0</v>
      </c>
      <c r="S7975" s="519"/>
      <c r="T7975" s="760">
        <f>$A7975*S7975*$T$1</f>
        <v>0</v>
      </c>
      <c r="AR7975" s="51"/>
      <c r="AS7975" s="753"/>
    </row>
    <row r="7976" spans="1:45" s="520" customFormat="1" ht="12">
      <c r="A7976" s="51"/>
      <c r="B7976" s="758"/>
      <c r="C7976" s="758"/>
      <c r="D7976" s="758"/>
      <c r="E7976" s="758"/>
      <c r="F7976" s="753"/>
      <c r="G7976" s="758"/>
      <c r="H7976" s="758"/>
      <c r="I7976" s="519"/>
      <c r="J7976" s="758"/>
      <c r="K7976" s="758"/>
      <c r="L7976" s="789"/>
      <c r="M7976" s="758"/>
      <c r="N7976" s="758"/>
      <c r="O7976" s="758"/>
      <c r="P7976" s="758"/>
      <c r="Q7976" s="519"/>
      <c r="R7976" s="759">
        <f>$A7976*Q7976</f>
        <v>0</v>
      </c>
      <c r="S7976" s="519"/>
      <c r="T7976" s="760">
        <f>$A7976*S7976*$T$1</f>
        <v>0</v>
      </c>
      <c r="AR7976" s="51"/>
      <c r="AS7976" s="753"/>
    </row>
    <row r="7977" spans="1:45" s="520" customFormat="1" ht="12">
      <c r="A7977" s="758"/>
      <c r="B7977" s="758"/>
      <c r="C7977" s="758"/>
      <c r="D7977" s="758"/>
      <c r="E7977" s="758"/>
      <c r="F7977" s="753"/>
      <c r="G7977" s="758"/>
      <c r="H7977" s="758"/>
      <c r="I7977" s="519"/>
      <c r="J7977" s="758"/>
      <c r="K7977" s="758"/>
      <c r="L7977" s="789"/>
      <c r="M7977" s="758"/>
      <c r="N7977" s="758"/>
      <c r="O7977" s="758"/>
      <c r="P7977" s="758"/>
      <c r="Q7977" s="519"/>
      <c r="R7977" s="759">
        <f>$A7977*Q7977</f>
        <v>0</v>
      </c>
      <c r="S7977" s="519"/>
      <c r="T7977" s="760">
        <f>$A7977*S7977*$T$1</f>
        <v>0</v>
      </c>
      <c r="AR7977" s="758"/>
      <c r="AS7977" s="753"/>
    </row>
    <row r="7978" spans="1:45" s="520" customFormat="1" ht="12.6" thickBot="1">
      <c r="A7978" s="761" t="s">
        <v>145</v>
      </c>
      <c r="B7978" s="762">
        <f>(R7977+T7977)</f>
        <v>0</v>
      </c>
      <c r="C7978" s="763"/>
      <c r="D7978" s="763"/>
      <c r="E7978" s="763"/>
      <c r="F7978" s="764"/>
      <c r="G7978" s="763" t="s">
        <v>146</v>
      </c>
      <c r="H7978" s="763"/>
      <c r="I7978" s="765"/>
      <c r="J7978" s="763"/>
      <c r="K7978" s="900"/>
      <c r="L7978" s="858" t="s">
        <v>2267</v>
      </c>
      <c r="M7978" s="766"/>
      <c r="N7978" s="766"/>
      <c r="O7978" s="766"/>
      <c r="P7978" s="766"/>
      <c r="Q7978" s="767"/>
      <c r="R7978" s="768">
        <f>SUM(R7971:R7977)</f>
        <v>0</v>
      </c>
      <c r="S7978" s="763"/>
      <c r="T7978" s="768">
        <f>SUM(T7971:T7977)</f>
        <v>0</v>
      </c>
      <c r="U7978" s="531"/>
      <c r="V7978" s="531"/>
      <c r="W7978" s="531"/>
      <c r="X7978" s="531"/>
      <c r="Y7978" s="531"/>
      <c r="Z7978" s="531"/>
      <c r="AA7978" s="531"/>
      <c r="AB7978" s="531"/>
      <c r="AC7978" s="531"/>
      <c r="AD7978" s="531"/>
      <c r="AE7978" s="531"/>
      <c r="AF7978" s="531"/>
      <c r="AG7978" s="531"/>
      <c r="AH7978" s="531"/>
      <c r="AI7978" s="531"/>
      <c r="AJ7978" s="531"/>
      <c r="AK7978" s="531"/>
      <c r="AL7978" s="531"/>
      <c r="AM7978" s="531"/>
      <c r="AN7978" s="531"/>
      <c r="AO7978" s="531"/>
      <c r="AR7978" s="761" t="s">
        <v>145</v>
      </c>
      <c r="AS7978" s="764"/>
    </row>
    <row r="7979" spans="1:45" s="520" customFormat="1" thickTop="1">
      <c r="A7979" s="51"/>
      <c r="B7979" s="41"/>
      <c r="C7979" s="51"/>
      <c r="E7979" s="42" t="s">
        <v>138</v>
      </c>
      <c r="F7979"/>
      <c r="G7979" s="51"/>
      <c r="H7979" s="51"/>
      <c r="I7979" s="51"/>
      <c r="J7979" s="51"/>
      <c r="K7979" s="51" t="s">
        <v>140</v>
      </c>
      <c r="L7979" s="789"/>
      <c r="M7979" s="51"/>
      <c r="N7979" s="51"/>
      <c r="O7979" s="52"/>
      <c r="P7979" s="51"/>
      <c r="Q7979" s="51"/>
      <c r="R7979" s="51"/>
      <c r="S7979" s="51"/>
      <c r="T7979" s="41"/>
      <c r="AG7979" s="521" t="s">
        <v>268</v>
      </c>
      <c r="AH7979" s="884"/>
      <c r="AI7979" s="521" t="s">
        <v>270</v>
      </c>
      <c r="AM7979" s="745" t="s">
        <v>281</v>
      </c>
      <c r="AN7979" s="746" t="s">
        <v>282</v>
      </c>
      <c r="AO7979" s="522" t="s">
        <v>278</v>
      </c>
      <c r="AR7979" s="51"/>
      <c r="AS7979"/>
    </row>
    <row r="7980" spans="1:45" s="520" customFormat="1" ht="13.2">
      <c r="A7980" s="747">
        <v>1</v>
      </c>
      <c r="B7980" s="523" t="s">
        <v>1045</v>
      </c>
      <c r="C7980" s="748"/>
      <c r="D7980" s="749" t="s">
        <v>2052</v>
      </c>
      <c r="E7980" s="885">
        <f>IF(AND($A7980=0,$A$1="DIF"),0, ROUND(ROUND(($R7988*$S$2+($T7988*$T$2))/A7980,2)*$C$2,2))</f>
        <v>0</v>
      </c>
      <c r="F7980"/>
      <c r="G7980" s="752" t="s">
        <v>142</v>
      </c>
      <c r="H7980" s="753"/>
      <c r="I7980" s="754"/>
      <c r="J7980" s="753"/>
      <c r="K7980" s="784" t="s">
        <v>2267</v>
      </c>
      <c r="L7980" s="789" t="s">
        <v>143</v>
      </c>
      <c r="M7980" s="755"/>
      <c r="N7980" s="755"/>
      <c r="O7980" s="755"/>
      <c r="P7980" s="755"/>
      <c r="Q7980" s="51"/>
      <c r="T7980" s="756" t="str">
        <f>IF(AND($R7988=0,$T7988=0),"0.00","mu :" &amp; ROUND($A7980*$E7980/$C$2/($R7988+$T7988*$D$9),2))</f>
        <v>0.00</v>
      </c>
      <c r="W7980" s="524"/>
      <c r="AG7980" s="525">
        <f>IF($E7980=0,0,ROUND($R7988*$S$2*$C$2/$A7980,2))</f>
        <v>0</v>
      </c>
      <c r="AH7980" s="884"/>
      <c r="AI7980" s="525">
        <f>$E7980-$AG7980</f>
        <v>0</v>
      </c>
      <c r="AM7980" s="527">
        <f>ROUND(R7988,2)</f>
        <v>0</v>
      </c>
      <c r="AN7980" s="528">
        <f>ROUND(T7988,2)</f>
        <v>0</v>
      </c>
      <c r="AO7980" s="529">
        <f>ROUND(AM7980+AN7980,2)*A7980</f>
        <v>0</v>
      </c>
      <c r="AR7980" s="747">
        <v>1</v>
      </c>
      <c r="AS7980"/>
    </row>
    <row r="7981" spans="1:45" s="520" customFormat="1" ht="13.2">
      <c r="A7981" s="748"/>
      <c r="B7981"/>
      <c r="C7981" s="748"/>
      <c r="D7981" s="749" t="s">
        <v>1048</v>
      </c>
      <c r="F7981" s="753"/>
      <c r="G7981" s="3"/>
      <c r="H7981" s="753"/>
      <c r="I7981" s="754"/>
      <c r="J7981" s="753"/>
      <c r="K7981" s="753" t="s">
        <v>144</v>
      </c>
      <c r="L7981" s="784"/>
      <c r="M7981" s="753"/>
      <c r="N7981" s="753"/>
      <c r="O7981" s="753"/>
      <c r="P7981" s="753"/>
      <c r="Q7981" s="51"/>
      <c r="R7981" s="530"/>
      <c r="S7981" s="757"/>
      <c r="T7981" s="753"/>
      <c r="AR7981" s="748"/>
      <c r="AS7981" s="753"/>
    </row>
    <row r="7982" spans="1:45" s="887" customFormat="1" ht="12">
      <c r="A7982" s="886">
        <v>0</v>
      </c>
      <c r="B7982" s="887" t="s">
        <v>320</v>
      </c>
      <c r="D7982" s="887" t="s">
        <v>2268</v>
      </c>
      <c r="E7982" s="888" t="s">
        <v>2269</v>
      </c>
      <c r="F7982" s="889"/>
      <c r="G7982" s="890" t="s">
        <v>2270</v>
      </c>
      <c r="H7982" s="891" t="s">
        <v>2271</v>
      </c>
      <c r="I7982" s="887" t="s">
        <v>2272</v>
      </c>
      <c r="K7982" s="892"/>
      <c r="L7982" s="893" t="s">
        <v>2271</v>
      </c>
      <c r="N7982" s="894"/>
      <c r="O7982" s="895">
        <v>2</v>
      </c>
      <c r="P7982" s="896">
        <v>38434</v>
      </c>
      <c r="Q7982" s="897">
        <v>0.3</v>
      </c>
      <c r="R7982" s="817">
        <f>$A7982*Q7982</f>
        <v>0</v>
      </c>
      <c r="S7982" s="897">
        <v>3.5000000000000003E-2</v>
      </c>
      <c r="T7982" s="760">
        <f>$A7982*S7982*$T$1</f>
        <v>0</v>
      </c>
      <c r="AG7982" s="520"/>
      <c r="AH7982" s="520"/>
      <c r="AI7982" s="520"/>
      <c r="AJ7982" s="520"/>
      <c r="AK7982" s="520"/>
      <c r="AR7982" s="886">
        <v>22</v>
      </c>
      <c r="AS7982" s="889"/>
    </row>
    <row r="7983" spans="1:45" s="887" customFormat="1" ht="12">
      <c r="A7983" s="886"/>
      <c r="E7983" s="888"/>
      <c r="F7983" s="889"/>
      <c r="H7983" s="755"/>
      <c r="L7983" s="789"/>
      <c r="N7983" s="894"/>
      <c r="O7983" s="894"/>
      <c r="P7983" s="896"/>
      <c r="Q7983" s="897"/>
      <c r="R7983" s="898"/>
      <c r="S7983" s="897"/>
      <c r="T7983" s="899"/>
      <c r="AR7983" s="886"/>
      <c r="AS7983" s="889"/>
    </row>
    <row r="7984" spans="1:45" s="520" customFormat="1" ht="12">
      <c r="A7984" s="51"/>
      <c r="B7984" s="758"/>
      <c r="C7984" s="758"/>
      <c r="D7984" s="758"/>
      <c r="E7984" s="758"/>
      <c r="F7984" s="753"/>
      <c r="G7984" s="758"/>
      <c r="H7984" s="758"/>
      <c r="I7984" s="519"/>
      <c r="J7984" s="758"/>
      <c r="K7984" s="758"/>
      <c r="L7984" s="789"/>
      <c r="M7984" s="758"/>
      <c r="N7984" s="758"/>
      <c r="O7984" s="758"/>
      <c r="P7984" s="758"/>
      <c r="Q7984" s="519"/>
      <c r="R7984" s="759">
        <f>$A7984*Q7984</f>
        <v>0</v>
      </c>
      <c r="S7984" s="519"/>
      <c r="T7984" s="760">
        <f>$A7984*S7984*$T$1</f>
        <v>0</v>
      </c>
      <c r="AR7984" s="51"/>
      <c r="AS7984" s="753"/>
    </row>
    <row r="7985" spans="1:45" s="520" customFormat="1" ht="12">
      <c r="A7985" s="51"/>
      <c r="B7985" s="758"/>
      <c r="C7985" s="758"/>
      <c r="D7985" s="758"/>
      <c r="E7985" s="758"/>
      <c r="F7985" s="753"/>
      <c r="G7985" s="758"/>
      <c r="H7985" s="758"/>
      <c r="I7985" s="519"/>
      <c r="J7985" s="758"/>
      <c r="K7985" s="758"/>
      <c r="L7985" s="789"/>
      <c r="M7985" s="758"/>
      <c r="N7985" s="758"/>
      <c r="O7985" s="758"/>
      <c r="P7985" s="758"/>
      <c r="Q7985" s="519"/>
      <c r="R7985" s="759">
        <f>$A7985*Q7985</f>
        <v>0</v>
      </c>
      <c r="S7985" s="519"/>
      <c r="T7985" s="760">
        <f>$A7985*S7985*$T$1</f>
        <v>0</v>
      </c>
      <c r="AR7985" s="51"/>
      <c r="AS7985" s="753"/>
    </row>
    <row r="7986" spans="1:45" s="520" customFormat="1" ht="12">
      <c r="A7986" s="51"/>
      <c r="B7986" s="758"/>
      <c r="C7986" s="758"/>
      <c r="D7986" s="758"/>
      <c r="E7986" s="758"/>
      <c r="F7986" s="753"/>
      <c r="G7986" s="758"/>
      <c r="H7986" s="758"/>
      <c r="I7986" s="519"/>
      <c r="J7986" s="758"/>
      <c r="K7986" s="758"/>
      <c r="L7986" s="789"/>
      <c r="M7986" s="758"/>
      <c r="N7986" s="758"/>
      <c r="O7986" s="758"/>
      <c r="P7986" s="758"/>
      <c r="Q7986" s="519"/>
      <c r="R7986" s="759">
        <f>$A7986*Q7986</f>
        <v>0</v>
      </c>
      <c r="S7986" s="519"/>
      <c r="T7986" s="760">
        <f>$A7986*S7986*$T$1</f>
        <v>0</v>
      </c>
      <c r="AR7986" s="51"/>
      <c r="AS7986" s="753"/>
    </row>
    <row r="7987" spans="1:45" s="520" customFormat="1" ht="12">
      <c r="A7987" s="758"/>
      <c r="B7987" s="758"/>
      <c r="C7987" s="758"/>
      <c r="D7987" s="758"/>
      <c r="E7987" s="758"/>
      <c r="F7987" s="753"/>
      <c r="G7987" s="758"/>
      <c r="H7987" s="758"/>
      <c r="I7987" s="519"/>
      <c r="J7987" s="758"/>
      <c r="K7987" s="758"/>
      <c r="L7987" s="789"/>
      <c r="M7987" s="758"/>
      <c r="N7987" s="758"/>
      <c r="O7987" s="758"/>
      <c r="P7987" s="758"/>
      <c r="Q7987" s="519"/>
      <c r="R7987" s="759">
        <f>$A7987*Q7987</f>
        <v>0</v>
      </c>
      <c r="S7987" s="519"/>
      <c r="T7987" s="760">
        <f>$A7987*S7987*$T$1</f>
        <v>0</v>
      </c>
      <c r="AR7987" s="758"/>
      <c r="AS7987" s="753"/>
    </row>
    <row r="7988" spans="1:45" s="520" customFormat="1" ht="12.6" thickBot="1">
      <c r="A7988" s="761" t="s">
        <v>145</v>
      </c>
      <c r="B7988" s="762">
        <f>(R7987+T7987)</f>
        <v>0</v>
      </c>
      <c r="C7988" s="763"/>
      <c r="D7988" s="763"/>
      <c r="E7988" s="763"/>
      <c r="F7988" s="764"/>
      <c r="G7988" s="763" t="s">
        <v>146</v>
      </c>
      <c r="H7988" s="763"/>
      <c r="I7988" s="765"/>
      <c r="J7988" s="763"/>
      <c r="K7988" s="900"/>
      <c r="L7988" s="858" t="s">
        <v>2267</v>
      </c>
      <c r="M7988" s="766"/>
      <c r="N7988" s="766"/>
      <c r="O7988" s="766"/>
      <c r="P7988" s="766"/>
      <c r="Q7988" s="767"/>
      <c r="R7988" s="768">
        <f>SUM(R7981:R7987)</f>
        <v>0</v>
      </c>
      <c r="S7988" s="763"/>
      <c r="T7988" s="768">
        <f>SUM(T7981:T7987)</f>
        <v>0</v>
      </c>
      <c r="U7988" s="531"/>
      <c r="V7988" s="531"/>
      <c r="W7988" s="531"/>
      <c r="X7988" s="531"/>
      <c r="Y7988" s="531"/>
      <c r="Z7988" s="531"/>
      <c r="AA7988" s="531"/>
      <c r="AB7988" s="531"/>
      <c r="AC7988" s="531"/>
      <c r="AD7988" s="531"/>
      <c r="AE7988" s="531"/>
      <c r="AF7988" s="531"/>
      <c r="AG7988" s="531"/>
      <c r="AH7988" s="531"/>
      <c r="AI7988" s="531"/>
      <c r="AJ7988" s="531"/>
      <c r="AK7988" s="531"/>
      <c r="AL7988" s="531"/>
      <c r="AM7988" s="531"/>
      <c r="AN7988" s="531"/>
      <c r="AO7988" s="531"/>
      <c r="AR7988" s="761" t="s">
        <v>145</v>
      </c>
      <c r="AS7988" s="764"/>
    </row>
    <row r="7989" spans="1:45" s="520" customFormat="1" thickTop="1">
      <c r="A7989" s="51"/>
      <c r="B7989" s="41"/>
      <c r="C7989" s="51"/>
      <c r="E7989" s="42" t="s">
        <v>138</v>
      </c>
      <c r="F7989"/>
      <c r="G7989" s="51"/>
      <c r="H7989" s="51"/>
      <c r="I7989" s="51"/>
      <c r="J7989" s="51"/>
      <c r="K7989" s="51" t="s">
        <v>140</v>
      </c>
      <c r="L7989" s="789"/>
      <c r="M7989" s="51"/>
      <c r="N7989" s="51"/>
      <c r="O7989" s="52"/>
      <c r="P7989" s="51"/>
      <c r="Q7989" s="51"/>
      <c r="R7989" s="51"/>
      <c r="S7989" s="51"/>
      <c r="T7989" s="41"/>
      <c r="AG7989" s="521" t="s">
        <v>268</v>
      </c>
      <c r="AH7989" s="884"/>
      <c r="AI7989" s="521" t="s">
        <v>270</v>
      </c>
      <c r="AM7989" s="745" t="s">
        <v>281</v>
      </c>
      <c r="AN7989" s="746" t="s">
        <v>282</v>
      </c>
      <c r="AO7989" s="522" t="s">
        <v>278</v>
      </c>
      <c r="AR7989" s="51"/>
      <c r="AS7989"/>
    </row>
    <row r="7990" spans="1:45" s="520" customFormat="1" ht="13.2">
      <c r="A7990" s="747">
        <v>1</v>
      </c>
      <c r="B7990" s="523" t="s">
        <v>1045</v>
      </c>
      <c r="C7990" s="748"/>
      <c r="D7990" s="749" t="s">
        <v>2053</v>
      </c>
      <c r="E7990" s="885">
        <f>IF(AND($A7990=0,$A$1="DIF"),0, ROUND(ROUND(($R7998*$S$2+($T7998*$T$2))/A7990,2)*$C$2,2))</f>
        <v>0</v>
      </c>
      <c r="F7990"/>
      <c r="G7990" s="752" t="s">
        <v>142</v>
      </c>
      <c r="H7990" s="753"/>
      <c r="I7990" s="754"/>
      <c r="J7990" s="753"/>
      <c r="K7990" s="784" t="s">
        <v>2267</v>
      </c>
      <c r="L7990" s="789" t="s">
        <v>143</v>
      </c>
      <c r="M7990" s="755"/>
      <c r="N7990" s="755"/>
      <c r="O7990" s="755"/>
      <c r="P7990" s="755"/>
      <c r="Q7990" s="51"/>
      <c r="T7990" s="756" t="str">
        <f>IF(AND($R7998=0,$T7998=0),"0.00","mu :" &amp; ROUND($A7990*$E7990/$C$2/($R7998+$T7998*$D$9),2))</f>
        <v>0.00</v>
      </c>
      <c r="W7990" s="524"/>
      <c r="AG7990" s="525">
        <f>IF($E7990=0,0,ROUND($R7998*$S$2*$C$2/$A7990,2))</f>
        <v>0</v>
      </c>
      <c r="AH7990" s="884"/>
      <c r="AI7990" s="525">
        <f>$E7990-$AG7990</f>
        <v>0</v>
      </c>
      <c r="AM7990" s="527">
        <f>ROUND(R7998,2)</f>
        <v>0</v>
      </c>
      <c r="AN7990" s="528">
        <f>ROUND(T7998,2)</f>
        <v>0</v>
      </c>
      <c r="AO7990" s="529">
        <f>ROUND(AM7990+AN7990,2)*A7990</f>
        <v>0</v>
      </c>
      <c r="AR7990" s="747">
        <v>1</v>
      </c>
      <c r="AS7990"/>
    </row>
    <row r="7991" spans="1:45" s="520" customFormat="1" ht="13.2">
      <c r="A7991" s="748"/>
      <c r="B7991"/>
      <c r="C7991" s="748"/>
      <c r="D7991" s="749" t="s">
        <v>1049</v>
      </c>
      <c r="F7991" s="753"/>
      <c r="G7991" s="3"/>
      <c r="H7991" s="753"/>
      <c r="I7991" s="754"/>
      <c r="J7991" s="753"/>
      <c r="K7991" s="753" t="s">
        <v>144</v>
      </c>
      <c r="L7991" s="784"/>
      <c r="M7991" s="753"/>
      <c r="N7991" s="753"/>
      <c r="O7991" s="753"/>
      <c r="P7991" s="753"/>
      <c r="Q7991" s="51"/>
      <c r="R7991" s="530"/>
      <c r="S7991" s="757"/>
      <c r="T7991" s="753"/>
      <c r="AR7991" s="748"/>
      <c r="AS7991" s="753"/>
    </row>
    <row r="7992" spans="1:45" s="887" customFormat="1" ht="12">
      <c r="A7992" s="886">
        <v>0</v>
      </c>
      <c r="B7992" s="887" t="s">
        <v>320</v>
      </c>
      <c r="D7992" s="887" t="s">
        <v>2268</v>
      </c>
      <c r="E7992" s="888" t="s">
        <v>2269</v>
      </c>
      <c r="F7992" s="889"/>
      <c r="G7992" s="890" t="s">
        <v>2270</v>
      </c>
      <c r="H7992" s="891" t="s">
        <v>2271</v>
      </c>
      <c r="I7992" s="887" t="s">
        <v>2272</v>
      </c>
      <c r="K7992" s="892"/>
      <c r="L7992" s="893" t="s">
        <v>2271</v>
      </c>
      <c r="N7992" s="894"/>
      <c r="O7992" s="895">
        <v>2</v>
      </c>
      <c r="P7992" s="896">
        <v>38434</v>
      </c>
      <c r="Q7992" s="897">
        <v>0.3</v>
      </c>
      <c r="R7992" s="817">
        <f>$A7992*Q7992</f>
        <v>0</v>
      </c>
      <c r="S7992" s="897">
        <v>3.5000000000000003E-2</v>
      </c>
      <c r="T7992" s="760">
        <f>$A7992*S7992*$T$1</f>
        <v>0</v>
      </c>
      <c r="AG7992" s="520"/>
      <c r="AH7992" s="520"/>
      <c r="AI7992" s="520"/>
      <c r="AJ7992" s="520"/>
      <c r="AK7992" s="520"/>
      <c r="AR7992" s="886">
        <v>22</v>
      </c>
      <c r="AS7992" s="889"/>
    </row>
    <row r="7993" spans="1:45" s="887" customFormat="1" ht="12">
      <c r="A7993" s="886"/>
      <c r="E7993" s="888"/>
      <c r="F7993" s="889"/>
      <c r="H7993" s="755"/>
      <c r="L7993" s="789"/>
      <c r="N7993" s="894"/>
      <c r="O7993" s="894"/>
      <c r="P7993" s="896"/>
      <c r="Q7993" s="897"/>
      <c r="R7993" s="898"/>
      <c r="S7993" s="897"/>
      <c r="T7993" s="899"/>
      <c r="AR7993" s="886"/>
      <c r="AS7993" s="889"/>
    </row>
    <row r="7994" spans="1:45" s="520" customFormat="1" ht="12">
      <c r="A7994" s="51"/>
      <c r="B7994" s="758"/>
      <c r="C7994" s="758"/>
      <c r="D7994" s="758"/>
      <c r="E7994" s="758"/>
      <c r="F7994" s="753"/>
      <c r="G7994" s="758"/>
      <c r="H7994" s="758"/>
      <c r="I7994" s="519"/>
      <c r="J7994" s="758"/>
      <c r="K7994" s="758"/>
      <c r="L7994" s="789"/>
      <c r="M7994" s="758"/>
      <c r="N7994" s="758"/>
      <c r="O7994" s="758"/>
      <c r="P7994" s="758"/>
      <c r="Q7994" s="519"/>
      <c r="R7994" s="759">
        <f>$A7994*Q7994</f>
        <v>0</v>
      </c>
      <c r="S7994" s="519"/>
      <c r="T7994" s="760">
        <f>$A7994*S7994*$T$1</f>
        <v>0</v>
      </c>
      <c r="AR7994" s="51"/>
      <c r="AS7994" s="753"/>
    </row>
    <row r="7995" spans="1:45" s="520" customFormat="1" ht="12">
      <c r="A7995" s="51"/>
      <c r="B7995" s="758"/>
      <c r="C7995" s="758"/>
      <c r="D7995" s="758"/>
      <c r="E7995" s="758"/>
      <c r="F7995" s="753"/>
      <c r="G7995" s="758"/>
      <c r="H7995" s="758"/>
      <c r="I7995" s="519"/>
      <c r="J7995" s="758"/>
      <c r="K7995" s="758"/>
      <c r="L7995" s="789"/>
      <c r="M7995" s="758"/>
      <c r="N7995" s="758"/>
      <c r="O7995" s="758"/>
      <c r="P7995" s="758"/>
      <c r="Q7995" s="519"/>
      <c r="R7995" s="759">
        <f>$A7995*Q7995</f>
        <v>0</v>
      </c>
      <c r="S7995" s="519"/>
      <c r="T7995" s="760">
        <f>$A7995*S7995*$T$1</f>
        <v>0</v>
      </c>
      <c r="AR7995" s="51"/>
      <c r="AS7995" s="753"/>
    </row>
    <row r="7996" spans="1:45" s="520" customFormat="1" ht="12">
      <c r="A7996" s="51"/>
      <c r="B7996" s="758"/>
      <c r="C7996" s="758"/>
      <c r="D7996" s="758"/>
      <c r="E7996" s="758"/>
      <c r="F7996" s="753"/>
      <c r="G7996" s="758"/>
      <c r="H7996" s="758"/>
      <c r="I7996" s="519"/>
      <c r="J7996" s="758"/>
      <c r="K7996" s="758"/>
      <c r="L7996" s="789"/>
      <c r="M7996" s="758"/>
      <c r="N7996" s="758"/>
      <c r="O7996" s="758"/>
      <c r="P7996" s="758"/>
      <c r="Q7996" s="519"/>
      <c r="R7996" s="759">
        <f>$A7996*Q7996</f>
        <v>0</v>
      </c>
      <c r="S7996" s="519"/>
      <c r="T7996" s="760">
        <f>$A7996*S7996*$T$1</f>
        <v>0</v>
      </c>
      <c r="AR7996" s="51"/>
      <c r="AS7996" s="753"/>
    </row>
    <row r="7997" spans="1:45" s="520" customFormat="1" ht="12">
      <c r="A7997" s="758"/>
      <c r="B7997" s="758"/>
      <c r="C7997" s="758"/>
      <c r="D7997" s="758"/>
      <c r="E7997" s="758"/>
      <c r="F7997" s="753"/>
      <c r="G7997" s="758"/>
      <c r="H7997" s="758"/>
      <c r="I7997" s="519"/>
      <c r="J7997" s="758"/>
      <c r="K7997" s="758"/>
      <c r="L7997" s="789"/>
      <c r="M7997" s="758"/>
      <c r="N7997" s="758"/>
      <c r="O7997" s="758"/>
      <c r="P7997" s="758"/>
      <c r="Q7997" s="519"/>
      <c r="R7997" s="759">
        <f>$A7997*Q7997</f>
        <v>0</v>
      </c>
      <c r="S7997" s="519"/>
      <c r="T7997" s="760">
        <f>$A7997*S7997*$T$1</f>
        <v>0</v>
      </c>
      <c r="AR7997" s="758"/>
      <c r="AS7997" s="753"/>
    </row>
    <row r="7998" spans="1:45" s="520" customFormat="1" ht="12.6" thickBot="1">
      <c r="A7998" s="761" t="s">
        <v>145</v>
      </c>
      <c r="B7998" s="762">
        <f>(R7997+T7997)</f>
        <v>0</v>
      </c>
      <c r="C7998" s="763"/>
      <c r="D7998" s="763"/>
      <c r="E7998" s="763"/>
      <c r="F7998" s="764"/>
      <c r="G7998" s="763" t="s">
        <v>146</v>
      </c>
      <c r="H7998" s="763"/>
      <c r="I7998" s="765"/>
      <c r="J7998" s="763"/>
      <c r="K7998" s="900"/>
      <c r="L7998" s="858" t="s">
        <v>2267</v>
      </c>
      <c r="M7998" s="766"/>
      <c r="N7998" s="766"/>
      <c r="O7998" s="766"/>
      <c r="P7998" s="766"/>
      <c r="Q7998" s="767"/>
      <c r="R7998" s="768">
        <f>SUM(R7991:R7997)</f>
        <v>0</v>
      </c>
      <c r="S7998" s="763"/>
      <c r="T7998" s="768">
        <f>SUM(T7991:T7997)</f>
        <v>0</v>
      </c>
      <c r="U7998" s="531"/>
      <c r="V7998" s="531"/>
      <c r="W7998" s="531"/>
      <c r="X7998" s="531"/>
      <c r="Y7998" s="531"/>
      <c r="Z7998" s="531"/>
      <c r="AA7998" s="531"/>
      <c r="AB7998" s="531"/>
      <c r="AC7998" s="531"/>
      <c r="AD7998" s="531"/>
      <c r="AE7998" s="531"/>
      <c r="AF7998" s="531"/>
      <c r="AG7998" s="531"/>
      <c r="AH7998" s="531"/>
      <c r="AI7998" s="531"/>
      <c r="AJ7998" s="531"/>
      <c r="AK7998" s="531"/>
      <c r="AL7998" s="531"/>
      <c r="AM7998" s="531"/>
      <c r="AN7998" s="531"/>
      <c r="AO7998" s="531"/>
      <c r="AR7998" s="761" t="s">
        <v>145</v>
      </c>
      <c r="AS7998" s="764"/>
    </row>
    <row r="7999" spans="1:45" s="520" customFormat="1" ht="12" thickTop="1">
      <c r="A7999" s="48" t="s">
        <v>148</v>
      </c>
      <c r="D7999" s="13"/>
      <c r="E7999" s="42"/>
      <c r="O7999" s="771"/>
      <c r="AR7999" s="48" t="s">
        <v>148</v>
      </c>
    </row>
    <row r="8000" spans="1:45" s="520" customFormat="1" ht="13.2">
      <c r="B8000" s="3"/>
      <c r="O8000" s="771"/>
    </row>
    <row r="8001" spans="1:45" s="520" customFormat="1" ht="12">
      <c r="B8001" s="772">
        <f>$F8001/$C$2-($R8001*$S$2+$T8001*$T$2)</f>
        <v>0</v>
      </c>
      <c r="D8001" s="773" t="s">
        <v>2273</v>
      </c>
      <c r="E8001" s="774"/>
      <c r="F8001" s="775">
        <f>SUMIF($L7886:$L7999,"ITEM",F7886:F7999)</f>
        <v>0</v>
      </c>
      <c r="G8001" s="758"/>
      <c r="H8001" s="758"/>
      <c r="I8001" s="519"/>
      <c r="J8001" s="758"/>
      <c r="K8001" s="758"/>
      <c r="L8001" s="755" t="s">
        <v>157</v>
      </c>
      <c r="M8001" s="755"/>
      <c r="N8001" s="755"/>
      <c r="O8001" s="755"/>
      <c r="P8001" s="755"/>
      <c r="R8001" s="775">
        <f>SUMIF($L7886:$L7999,"ITEM",R7886:R7999)</f>
        <v>0</v>
      </c>
      <c r="S8001" s="776"/>
      <c r="T8001" s="775">
        <f>SUMIF($L7886:$L7999,"ITEM",T7886:T7999)</f>
        <v>0</v>
      </c>
      <c r="AS8001" s="775">
        <v>0</v>
      </c>
    </row>
    <row r="8002" spans="1:45" s="520" customFormat="1" ht="13.2">
      <c r="A8002" s="51"/>
      <c r="B8002" s="49" t="s">
        <v>1064</v>
      </c>
      <c r="C8002" s="51"/>
      <c r="D8002" s="3"/>
      <c r="F8002" s="777" t="s">
        <v>158</v>
      </c>
      <c r="G8002" s="758"/>
      <c r="H8002" s="758"/>
      <c r="I8002" s="519"/>
      <c r="J8002" s="758"/>
      <c r="K8002" s="758"/>
      <c r="L8002" s="758"/>
      <c r="M8002" s="758"/>
      <c r="N8002" s="758"/>
      <c r="O8002" s="758"/>
      <c r="P8002" s="758"/>
      <c r="Q8002" s="778"/>
      <c r="R8002" s="777" t="s">
        <v>159</v>
      </c>
      <c r="S8002" s="38"/>
      <c r="T8002" s="777" t="s">
        <v>160</v>
      </c>
      <c r="AR8002" s="51"/>
      <c r="AS8002" s="777" t="s">
        <v>158</v>
      </c>
    </row>
    <row r="8003" spans="1:45" s="520" customFormat="1" ht="13.2">
      <c r="A8003" s="758"/>
      <c r="B8003" s="3"/>
      <c r="C8003" s="758"/>
      <c r="D8003" s="3"/>
      <c r="E8003" s="3"/>
      <c r="G8003" s="3"/>
      <c r="H8003" s="3"/>
      <c r="I8003" s="3"/>
      <c r="J8003" s="3"/>
      <c r="K8003" s="3"/>
      <c r="L8003" s="3"/>
      <c r="M8003" s="3"/>
      <c r="N8003" s="3"/>
      <c r="O8003" s="107"/>
      <c r="P8003" s="3"/>
      <c r="Q8003" s="3"/>
      <c r="R8003" s="3"/>
      <c r="S8003" s="3"/>
      <c r="T8003" s="3"/>
      <c r="AR8003" s="758"/>
    </row>
    <row r="8004" spans="1:45" s="520" customFormat="1" ht="12" thickBot="1">
      <c r="A8004" s="531"/>
      <c r="B8004" s="763"/>
      <c r="C8004" s="763"/>
      <c r="D8004" s="531"/>
      <c r="E8004" s="39"/>
      <c r="F8004" s="779"/>
      <c r="G8004" s="763"/>
      <c r="H8004" s="763"/>
      <c r="I8004" s="765"/>
      <c r="J8004" s="763"/>
      <c r="K8004" s="763"/>
      <c r="L8004" s="766"/>
      <c r="M8004" s="766"/>
      <c r="N8004" s="766"/>
      <c r="O8004" s="766"/>
      <c r="P8004" s="766"/>
      <c r="Q8004" s="767"/>
      <c r="R8004" s="779"/>
      <c r="S8004" s="780"/>
      <c r="T8004" s="779"/>
      <c r="U8004" s="531"/>
      <c r="V8004" s="531"/>
      <c r="W8004" s="531"/>
      <c r="X8004" s="531"/>
      <c r="Y8004" s="531"/>
      <c r="Z8004" s="531"/>
      <c r="AA8004" s="531"/>
      <c r="AB8004" s="531"/>
      <c r="AC8004" s="531"/>
      <c r="AD8004" s="531"/>
      <c r="AE8004" s="531"/>
      <c r="AF8004" s="531"/>
      <c r="AG8004" s="531"/>
      <c r="AH8004" s="531"/>
      <c r="AI8004" s="531"/>
      <c r="AJ8004" s="531"/>
      <c r="AK8004" s="531"/>
      <c r="AR8004" s="531"/>
      <c r="AS8004" s="779"/>
    </row>
    <row r="8005" spans="1:45" s="520" customFormat="1" thickTop="1">
      <c r="A8005" s="51"/>
      <c r="B8005" s="51"/>
      <c r="C8005" s="3"/>
      <c r="D8005" s="3"/>
      <c r="E8005" s="51"/>
      <c r="F8005" s="51"/>
      <c r="G8005" s="51"/>
      <c r="H8005" s="51"/>
      <c r="I8005" s="51"/>
      <c r="J8005" s="51"/>
      <c r="K8005" s="51" t="s">
        <v>134</v>
      </c>
      <c r="L8005" s="51"/>
      <c r="M8005" s="51"/>
      <c r="N8005" s="51"/>
      <c r="O8005" s="52"/>
      <c r="P8005" s="51"/>
      <c r="Q8005" s="51"/>
      <c r="R8005" s="51"/>
      <c r="S8005" s="51"/>
      <c r="T8005" s="51"/>
      <c r="AR8005" s="51"/>
      <c r="AS8005" s="51"/>
    </row>
    <row r="8006" spans="1:45" s="520" customFormat="1" ht="12">
      <c r="A8006" s="51"/>
      <c r="B8006" s="51"/>
      <c r="C8006" s="51" t="s">
        <v>135</v>
      </c>
      <c r="D8006" s="37" t="s">
        <v>1058</v>
      </c>
      <c r="E8006" s="51"/>
      <c r="F8006" s="51"/>
      <c r="G8006" s="51"/>
      <c r="H8006" s="51"/>
      <c r="I8006" s="51"/>
      <c r="J8006" s="51"/>
      <c r="K8006" s="51"/>
      <c r="L8006" s="51"/>
      <c r="M8006" s="51"/>
      <c r="N8006" s="51"/>
      <c r="O8006" s="52"/>
      <c r="P8006" s="51"/>
      <c r="Q8006" s="51"/>
      <c r="R8006" s="51"/>
      <c r="S8006" s="51"/>
      <c r="T8006" s="51"/>
      <c r="AR8006" s="51"/>
      <c r="AS8006" s="51"/>
    </row>
    <row r="8007" spans="1:45" s="520" customFormat="1" ht="12">
      <c r="A8007" s="51"/>
      <c r="B8007" s="51"/>
      <c r="C8007" s="51"/>
      <c r="D8007" s="37" t="s">
        <v>296</v>
      </c>
      <c r="E8007" s="51"/>
      <c r="F8007" s="51"/>
      <c r="G8007" s="51"/>
      <c r="H8007" s="51"/>
      <c r="I8007" s="51"/>
      <c r="J8007" s="51"/>
      <c r="K8007" s="51"/>
      <c r="L8007" s="51"/>
      <c r="M8007" s="51"/>
      <c r="N8007" s="51"/>
      <c r="O8007" s="52"/>
      <c r="P8007" s="51"/>
      <c r="Q8007" s="51"/>
      <c r="R8007" s="51"/>
      <c r="S8007" s="38"/>
      <c r="T8007" s="38"/>
      <c r="AR8007" s="51"/>
      <c r="AS8007" s="51"/>
    </row>
    <row r="8008" spans="1:45" s="3" customFormat="1" thickBot="1">
      <c r="A8008" s="531"/>
      <c r="O8008" s="107"/>
      <c r="AR8008" s="531"/>
    </row>
    <row r="8009" spans="1:45" s="520" customFormat="1" thickTop="1">
      <c r="A8009" s="51"/>
      <c r="B8009" s="51"/>
      <c r="C8009" s="3"/>
      <c r="D8009" s="3"/>
      <c r="E8009" s="51"/>
      <c r="F8009" s="51"/>
      <c r="G8009" s="51"/>
      <c r="H8009" s="51"/>
      <c r="I8009" s="51"/>
      <c r="J8009" s="51"/>
      <c r="K8009" s="51" t="s">
        <v>134</v>
      </c>
      <c r="L8009" s="51"/>
      <c r="M8009" s="51"/>
      <c r="N8009" s="51"/>
      <c r="O8009" s="52"/>
      <c r="P8009" s="51"/>
      <c r="Q8009" s="51"/>
      <c r="R8009" s="51"/>
      <c r="S8009" s="51"/>
      <c r="T8009" s="51"/>
      <c r="AR8009" s="51"/>
      <c r="AS8009" s="51"/>
    </row>
    <row r="8010" spans="1:45" s="520" customFormat="1" ht="12">
      <c r="A8010" s="51"/>
      <c r="B8010" s="51"/>
      <c r="C8010" s="51" t="s">
        <v>135</v>
      </c>
      <c r="D8010" s="37"/>
      <c r="E8010" s="51"/>
      <c r="F8010" s="51"/>
      <c r="G8010" s="51"/>
      <c r="H8010" s="51"/>
      <c r="I8010" s="51"/>
      <c r="J8010" s="51"/>
      <c r="K8010" s="51"/>
      <c r="L8010" s="51"/>
      <c r="M8010" s="51"/>
      <c r="N8010" s="51"/>
      <c r="O8010" s="52"/>
      <c r="P8010" s="51"/>
      <c r="Q8010" s="51"/>
      <c r="R8010" s="51"/>
      <c r="S8010" s="51"/>
      <c r="T8010" s="51"/>
      <c r="AR8010" s="51"/>
      <c r="AS8010" s="51"/>
    </row>
    <row r="8011" spans="1:45" s="520" customFormat="1" ht="12">
      <c r="A8011" s="51"/>
      <c r="B8011" s="51"/>
      <c r="C8011" s="51"/>
      <c r="D8011" s="37" t="s">
        <v>297</v>
      </c>
      <c r="E8011" s="51"/>
      <c r="F8011" s="51"/>
      <c r="G8011" s="51"/>
      <c r="H8011" s="51"/>
      <c r="I8011" s="51"/>
      <c r="J8011" s="51"/>
      <c r="K8011" s="51"/>
      <c r="L8011" s="51"/>
      <c r="M8011" s="51"/>
      <c r="N8011" s="51"/>
      <c r="O8011" s="52"/>
      <c r="P8011" s="51"/>
      <c r="Q8011" s="51"/>
      <c r="R8011" s="51"/>
      <c r="S8011" s="38"/>
      <c r="T8011" s="38"/>
      <c r="AR8011" s="51"/>
      <c r="AS8011" s="51"/>
    </row>
    <row r="8012" spans="1:45" s="3" customFormat="1" thickBot="1">
      <c r="A8012" s="531"/>
      <c r="O8012" s="107"/>
      <c r="AR8012" s="531"/>
    </row>
    <row r="8013" spans="1:45" s="520" customFormat="1" ht="12" thickTop="1">
      <c r="A8013" s="51"/>
      <c r="B8013" s="41"/>
      <c r="C8013" s="51"/>
      <c r="E8013" s="42" t="s">
        <v>138</v>
      </c>
      <c r="F8013" s="42" t="s">
        <v>139</v>
      </c>
      <c r="G8013" s="51"/>
      <c r="H8013" s="51"/>
      <c r="I8013" s="51"/>
      <c r="J8013" s="51"/>
      <c r="K8013" s="51" t="s">
        <v>140</v>
      </c>
      <c r="L8013" s="51"/>
      <c r="M8013" s="51"/>
      <c r="N8013" s="51"/>
      <c r="O8013" s="52"/>
      <c r="P8013" s="51"/>
      <c r="Q8013" s="51"/>
      <c r="R8013" s="51"/>
      <c r="S8013" s="51"/>
      <c r="T8013" s="41"/>
      <c r="AG8013" s="521" t="s">
        <v>268</v>
      </c>
      <c r="AH8013" s="521" t="s">
        <v>269</v>
      </c>
      <c r="AI8013" s="521" t="s">
        <v>270</v>
      </c>
      <c r="AJ8013" s="521" t="s">
        <v>271</v>
      </c>
      <c r="AK8013" s="521" t="s">
        <v>272</v>
      </c>
      <c r="AM8013" s="745" t="s">
        <v>281</v>
      </c>
      <c r="AN8013" s="746" t="s">
        <v>282</v>
      </c>
      <c r="AO8013" s="522" t="s">
        <v>278</v>
      </c>
      <c r="AR8013" s="51"/>
      <c r="AS8013" s="42" t="s">
        <v>139</v>
      </c>
    </row>
    <row r="8014" spans="1:45" s="520" customFormat="1" ht="12" customHeight="1">
      <c r="A8014" s="747">
        <v>1</v>
      </c>
      <c r="B8014" s="523" t="s">
        <v>299</v>
      </c>
      <c r="C8014" s="748"/>
      <c r="D8014" s="749" t="s">
        <v>1059</v>
      </c>
      <c r="E8014" s="750">
        <f>IF(AND($A8014=0,$A$1="DIF"),0, ROUND(ROUND(($R8022*$S$2+($T8022*$T$2))/A8014,2)*$C$2,2))</f>
        <v>0</v>
      </c>
      <c r="F8014" s="751">
        <f>ROUND($A8014*$E8014,2)</f>
        <v>0</v>
      </c>
      <c r="G8014" s="752" t="s">
        <v>142</v>
      </c>
      <c r="H8014" s="753"/>
      <c r="I8014" s="754"/>
      <c r="J8014" s="753"/>
      <c r="K8014" s="753" t="s">
        <v>3</v>
      </c>
      <c r="L8014" s="755" t="s">
        <v>143</v>
      </c>
      <c r="M8014" s="755"/>
      <c r="N8014" s="755"/>
      <c r="O8014" s="755"/>
      <c r="P8014" s="755"/>
      <c r="Q8014" s="1058" t="s">
        <v>3695</v>
      </c>
      <c r="T8014" s="756" t="str">
        <f>IF(AND($R8022=0,$T8022=0),"0.00","mu :" &amp; ROUND($F8014/$C$2/($R8022+$T8022*$D$9),2))</f>
        <v>0.00</v>
      </c>
      <c r="W8014" s="524"/>
      <c r="AG8014" s="481">
        <f>IF($E8014=0,0,ROUND($R8022*$S$2*$C$2/$A8014,2))</f>
        <v>0</v>
      </c>
      <c r="AH8014" s="481">
        <f>$AG8014*$A8014</f>
        <v>0</v>
      </c>
      <c r="AI8014" s="525">
        <f>$E8014-$AG8014</f>
        <v>0</v>
      </c>
      <c r="AJ8014" s="525">
        <f>$A8014*$AI8014</f>
        <v>0</v>
      </c>
      <c r="AK8014" s="526">
        <f>ROUND(($AG8014+$AI8014)*$A8014,2)</f>
        <v>0</v>
      </c>
      <c r="AM8014" s="527">
        <f>ROUND(R8022,2)</f>
        <v>0</v>
      </c>
      <c r="AN8014" s="528">
        <f>ROUND(T8022,2)</f>
        <v>0</v>
      </c>
      <c r="AO8014" s="529">
        <f>ROUND(AM8014+AN8014,2)*A8014</f>
        <v>0</v>
      </c>
      <c r="AR8014" s="747">
        <v>1</v>
      </c>
      <c r="AS8014" s="751">
        <v>0</v>
      </c>
    </row>
    <row r="8015" spans="1:45" s="520" customFormat="1" ht="39.9" customHeight="1">
      <c r="A8015" s="748"/>
      <c r="B8015"/>
      <c r="C8015" s="748"/>
      <c r="D8015" s="1451" t="s">
        <v>298</v>
      </c>
      <c r="E8015" s="1452"/>
      <c r="F8015" s="1452"/>
      <c r="G8015" s="1452"/>
      <c r="H8015" s="1452"/>
      <c r="I8015" s="1452"/>
      <c r="J8015" s="1452"/>
      <c r="K8015" s="1452"/>
      <c r="L8015" s="1452"/>
      <c r="M8015" s="1452"/>
      <c r="N8015" s="1452"/>
      <c r="O8015" s="1452"/>
      <c r="P8015" s="1452"/>
      <c r="Q8015" s="1452"/>
      <c r="R8015" s="1452"/>
      <c r="S8015" s="1452"/>
      <c r="T8015" s="1452"/>
      <c r="AR8015" s="748"/>
    </row>
    <row r="8016" spans="1:45" s="520" customFormat="1" ht="12">
      <c r="A8016" s="51"/>
      <c r="B8016" s="758"/>
      <c r="C8016" s="758"/>
      <c r="D8016" s="758"/>
      <c r="E8016" s="758"/>
      <c r="F8016" s="753"/>
      <c r="G8016" s="758"/>
      <c r="H8016" s="758"/>
      <c r="I8016" s="519"/>
      <c r="J8016" s="758"/>
      <c r="K8016" s="758"/>
      <c r="L8016" s="758"/>
      <c r="M8016" s="758"/>
      <c r="N8016" s="758"/>
      <c r="O8016" s="758"/>
      <c r="P8016" s="758"/>
      <c r="Q8016" s="519"/>
      <c r="R8016" s="759">
        <f t="shared" ref="R8016:R8021" si="790">$A8016*Q8016</f>
        <v>0</v>
      </c>
      <c r="S8016" s="519"/>
      <c r="T8016" s="760">
        <f t="shared" ref="T8016:T8021" si="791">$A8016*S8016*$T$1</f>
        <v>0</v>
      </c>
      <c r="AR8016" s="51"/>
      <c r="AS8016" s="753"/>
    </row>
    <row r="8017" spans="1:45" s="520" customFormat="1" ht="12">
      <c r="A8017" s="51"/>
      <c r="B8017" s="758"/>
      <c r="C8017" s="758"/>
      <c r="D8017" s="758"/>
      <c r="E8017" s="758"/>
      <c r="F8017" s="753"/>
      <c r="G8017" s="758"/>
      <c r="H8017" s="758"/>
      <c r="I8017" s="519"/>
      <c r="J8017" s="758"/>
      <c r="K8017" s="758"/>
      <c r="L8017" s="758"/>
      <c r="M8017" s="758"/>
      <c r="N8017" s="758"/>
      <c r="O8017" s="758"/>
      <c r="P8017" s="758"/>
      <c r="Q8017" s="519"/>
      <c r="R8017" s="759">
        <f t="shared" si="790"/>
        <v>0</v>
      </c>
      <c r="S8017" s="519"/>
      <c r="T8017" s="760">
        <f t="shared" si="791"/>
        <v>0</v>
      </c>
      <c r="AR8017" s="51"/>
      <c r="AS8017" s="753"/>
    </row>
    <row r="8018" spans="1:45" s="520" customFormat="1" ht="12">
      <c r="A8018" s="51"/>
      <c r="B8018" s="758"/>
      <c r="C8018" s="758"/>
      <c r="D8018" s="758"/>
      <c r="E8018" s="758"/>
      <c r="F8018" s="753"/>
      <c r="G8018" s="758"/>
      <c r="H8018" s="758"/>
      <c r="I8018" s="519"/>
      <c r="J8018" s="758"/>
      <c r="K8018" s="758"/>
      <c r="L8018" s="758"/>
      <c r="M8018" s="758"/>
      <c r="N8018" s="758"/>
      <c r="O8018" s="758"/>
      <c r="P8018" s="758"/>
      <c r="Q8018" s="519"/>
      <c r="R8018" s="759">
        <f t="shared" si="790"/>
        <v>0</v>
      </c>
      <c r="S8018" s="519"/>
      <c r="T8018" s="760">
        <f t="shared" si="791"/>
        <v>0</v>
      </c>
      <c r="AR8018" s="51"/>
      <c r="AS8018" s="753"/>
    </row>
    <row r="8019" spans="1:45" s="520" customFormat="1" ht="12">
      <c r="A8019" s="51"/>
      <c r="B8019" s="758"/>
      <c r="C8019" s="758"/>
      <c r="D8019" s="758"/>
      <c r="E8019" s="758"/>
      <c r="F8019" s="753"/>
      <c r="G8019" s="758"/>
      <c r="H8019" s="758"/>
      <c r="I8019" s="519"/>
      <c r="J8019" s="758"/>
      <c r="K8019" s="758"/>
      <c r="L8019" s="758"/>
      <c r="M8019" s="758"/>
      <c r="N8019" s="758"/>
      <c r="O8019" s="758"/>
      <c r="P8019" s="758"/>
      <c r="Q8019" s="519"/>
      <c r="R8019" s="759">
        <f t="shared" si="790"/>
        <v>0</v>
      </c>
      <c r="S8019" s="519"/>
      <c r="T8019" s="760">
        <f t="shared" si="791"/>
        <v>0</v>
      </c>
      <c r="AR8019" s="51"/>
      <c r="AS8019" s="753"/>
    </row>
    <row r="8020" spans="1:45" s="520" customFormat="1" ht="12">
      <c r="A8020" s="51"/>
      <c r="B8020" s="758"/>
      <c r="C8020" s="758"/>
      <c r="D8020" s="758"/>
      <c r="E8020" s="758"/>
      <c r="F8020" s="753"/>
      <c r="G8020" s="758"/>
      <c r="H8020" s="758"/>
      <c r="I8020" s="519"/>
      <c r="J8020" s="758"/>
      <c r="K8020" s="758"/>
      <c r="L8020" s="758"/>
      <c r="M8020" s="758"/>
      <c r="N8020" s="758"/>
      <c r="O8020" s="758"/>
      <c r="P8020" s="758"/>
      <c r="Q8020" s="519"/>
      <c r="R8020" s="759">
        <f t="shared" si="790"/>
        <v>0</v>
      </c>
      <c r="S8020" s="519"/>
      <c r="T8020" s="760">
        <f t="shared" si="791"/>
        <v>0</v>
      </c>
      <c r="AR8020" s="51"/>
      <c r="AS8020" s="753"/>
    </row>
    <row r="8021" spans="1:45" s="520" customFormat="1" ht="12">
      <c r="A8021" s="758"/>
      <c r="B8021" s="758"/>
      <c r="C8021" s="758"/>
      <c r="D8021" s="758"/>
      <c r="E8021" s="758"/>
      <c r="F8021" s="753"/>
      <c r="G8021" s="758"/>
      <c r="H8021" s="758"/>
      <c r="I8021" s="519"/>
      <c r="J8021" s="758"/>
      <c r="K8021" s="758"/>
      <c r="L8021" s="758"/>
      <c r="M8021" s="758"/>
      <c r="N8021" s="758"/>
      <c r="O8021" s="758"/>
      <c r="P8021" s="758"/>
      <c r="Q8021" s="519"/>
      <c r="R8021" s="759">
        <f t="shared" si="790"/>
        <v>0</v>
      </c>
      <c r="S8021" s="519"/>
      <c r="T8021" s="760">
        <f t="shared" si="791"/>
        <v>0</v>
      </c>
      <c r="AR8021" s="758"/>
      <c r="AS8021" s="753"/>
    </row>
    <row r="8022" spans="1:45" s="520" customFormat="1" ht="12.6" thickBot="1">
      <c r="A8022" s="761" t="s">
        <v>145</v>
      </c>
      <c r="B8022" s="762">
        <f>(R8021+T8021)</f>
        <v>0</v>
      </c>
      <c r="C8022" s="763"/>
      <c r="D8022" s="763"/>
      <c r="E8022" s="763"/>
      <c r="F8022" s="764"/>
      <c r="G8022" s="763" t="s">
        <v>146</v>
      </c>
      <c r="H8022" s="763"/>
      <c r="I8022" s="765"/>
      <c r="J8022" s="763"/>
      <c r="K8022" s="763" t="s">
        <v>3</v>
      </c>
      <c r="L8022" s="766" t="s">
        <v>143</v>
      </c>
      <c r="M8022" s="766"/>
      <c r="N8022" s="766"/>
      <c r="O8022" s="766"/>
      <c r="P8022" s="766"/>
      <c r="Q8022" s="767"/>
      <c r="R8022" s="768">
        <f>SUM(R8015:R8021)</f>
        <v>0</v>
      </c>
      <c r="S8022" s="763"/>
      <c r="T8022" s="768">
        <f>SUM(T8015:T8021)</f>
        <v>0</v>
      </c>
      <c r="U8022" s="531"/>
      <c r="V8022" s="531"/>
      <c r="W8022" s="531"/>
      <c r="X8022" s="531"/>
      <c r="Y8022" s="531"/>
      <c r="Z8022" s="531"/>
      <c r="AA8022" s="531"/>
      <c r="AB8022" s="531"/>
      <c r="AC8022" s="531"/>
      <c r="AD8022" s="531"/>
      <c r="AE8022" s="531"/>
      <c r="AF8022" s="531"/>
      <c r="AG8022" s="531"/>
      <c r="AH8022" s="531"/>
      <c r="AI8022" s="531"/>
      <c r="AJ8022" s="531"/>
      <c r="AK8022" s="531"/>
      <c r="AL8022" s="531"/>
      <c r="AM8022" s="531"/>
      <c r="AN8022" s="531"/>
      <c r="AO8022" s="531"/>
      <c r="AR8022" s="761" t="s">
        <v>145</v>
      </c>
      <c r="AS8022" s="764"/>
    </row>
    <row r="8023" spans="1:45" s="520" customFormat="1" ht="12" thickTop="1">
      <c r="A8023" s="51"/>
      <c r="B8023" s="41"/>
      <c r="C8023" s="51"/>
      <c r="E8023" s="42" t="s">
        <v>138</v>
      </c>
      <c r="F8023" s="42" t="s">
        <v>139</v>
      </c>
      <c r="G8023" s="51"/>
      <c r="H8023" s="51"/>
      <c r="I8023" s="51"/>
      <c r="J8023" s="51"/>
      <c r="K8023" s="51" t="s">
        <v>140</v>
      </c>
      <c r="L8023" s="51"/>
      <c r="M8023" s="51"/>
      <c r="N8023" s="51"/>
      <c r="O8023" s="52"/>
      <c r="P8023" s="51"/>
      <c r="Q8023" s="51"/>
      <c r="R8023" s="51"/>
      <c r="S8023" s="51"/>
      <c r="T8023" s="41"/>
      <c r="AG8023" s="521" t="s">
        <v>268</v>
      </c>
      <c r="AH8023" s="521" t="s">
        <v>269</v>
      </c>
      <c r="AI8023" s="521" t="s">
        <v>270</v>
      </c>
      <c r="AJ8023" s="521" t="s">
        <v>271</v>
      </c>
      <c r="AK8023" s="521" t="s">
        <v>272</v>
      </c>
      <c r="AM8023" s="745" t="s">
        <v>281</v>
      </c>
      <c r="AN8023" s="746" t="s">
        <v>282</v>
      </c>
      <c r="AO8023" s="522" t="s">
        <v>278</v>
      </c>
      <c r="AR8023" s="51"/>
      <c r="AS8023" s="42" t="s">
        <v>139</v>
      </c>
    </row>
    <row r="8024" spans="1:45" s="520" customFormat="1" ht="12" customHeight="1">
      <c r="A8024" s="747">
        <v>1</v>
      </c>
      <c r="B8024" s="523" t="s">
        <v>299</v>
      </c>
      <c r="C8024" s="748"/>
      <c r="D8024" s="749" t="s">
        <v>1060</v>
      </c>
      <c r="E8024" s="750">
        <f>IF(AND($A8024=0,$A$1="DIF"),0, ROUND(ROUND(($R8032*$S$2+($T8032*$T$2))/A8024,2)*$C$2,2))</f>
        <v>0</v>
      </c>
      <c r="F8024" s="751">
        <f>ROUND($A8024*$E8024,2)</f>
        <v>0</v>
      </c>
      <c r="G8024" s="752" t="s">
        <v>142</v>
      </c>
      <c r="H8024" s="753"/>
      <c r="I8024" s="754"/>
      <c r="J8024" s="753"/>
      <c r="K8024" s="753" t="s">
        <v>3</v>
      </c>
      <c r="L8024" s="755" t="s">
        <v>143</v>
      </c>
      <c r="M8024" s="755"/>
      <c r="N8024" s="755"/>
      <c r="O8024" s="755"/>
      <c r="P8024" s="755"/>
      <c r="Q8024" s="1058" t="s">
        <v>3695</v>
      </c>
      <c r="T8024" s="756" t="str">
        <f>IF(AND($R8032=0,$T8032=0),"0.00","mu :" &amp; ROUND($F8024/$C$2/($R8032+$T8032*$D$9),2))</f>
        <v>0.00</v>
      </c>
      <c r="W8024" s="524"/>
      <c r="AG8024" s="481">
        <f>IF($E8024=0,0,ROUND($R8032*$S$2*$C$2/$A8024,2))</f>
        <v>0</v>
      </c>
      <c r="AH8024" s="481">
        <f>$AG8024*$A8024</f>
        <v>0</v>
      </c>
      <c r="AI8024" s="525">
        <f>$E8024-$AG8024</f>
        <v>0</v>
      </c>
      <c r="AJ8024" s="525">
        <f>$A8024*$AI8024</f>
        <v>0</v>
      </c>
      <c r="AK8024" s="526">
        <f>ROUND(($AG8024+$AI8024)*$A8024,2)</f>
        <v>0</v>
      </c>
      <c r="AM8024" s="527">
        <f>ROUND(R8032,2)</f>
        <v>0</v>
      </c>
      <c r="AN8024" s="528">
        <f>ROUND(T8032,2)</f>
        <v>0</v>
      </c>
      <c r="AO8024" s="529">
        <f>ROUND(AM8024+AN8024,2)*A8024</f>
        <v>0</v>
      </c>
      <c r="AR8024" s="747">
        <v>1</v>
      </c>
      <c r="AS8024" s="751">
        <v>0</v>
      </c>
    </row>
    <row r="8025" spans="1:45" s="520" customFormat="1" ht="39.9" customHeight="1">
      <c r="A8025" s="748"/>
      <c r="B8025"/>
      <c r="C8025" s="748"/>
      <c r="D8025" s="1451" t="s">
        <v>300</v>
      </c>
      <c r="E8025" s="1452"/>
      <c r="F8025" s="1452"/>
      <c r="G8025" s="1452"/>
      <c r="H8025" s="1452"/>
      <c r="I8025" s="1452"/>
      <c r="J8025" s="1452"/>
      <c r="K8025" s="1452"/>
      <c r="L8025" s="1452"/>
      <c r="M8025" s="1452"/>
      <c r="N8025" s="1452"/>
      <c r="O8025" s="1452"/>
      <c r="P8025" s="1452"/>
      <c r="Q8025" s="1452"/>
      <c r="R8025" s="1452"/>
      <c r="S8025" s="1452"/>
      <c r="T8025" s="1452"/>
      <c r="AR8025" s="748"/>
    </row>
    <row r="8026" spans="1:45" s="520" customFormat="1" ht="12">
      <c r="A8026" s="51"/>
      <c r="B8026" s="758"/>
      <c r="C8026" s="758"/>
      <c r="D8026" s="758"/>
      <c r="E8026" s="758"/>
      <c r="F8026" s="753"/>
      <c r="G8026" s="758"/>
      <c r="H8026" s="758"/>
      <c r="I8026" s="519"/>
      <c r="J8026" s="758"/>
      <c r="K8026" s="758"/>
      <c r="L8026" s="758"/>
      <c r="M8026" s="758"/>
      <c r="N8026" s="758"/>
      <c r="O8026" s="758"/>
      <c r="P8026" s="758"/>
      <c r="Q8026" s="519"/>
      <c r="R8026" s="759">
        <f t="shared" ref="R8026:R8031" si="792">$A8026*Q8026</f>
        <v>0</v>
      </c>
      <c r="S8026" s="519"/>
      <c r="T8026" s="760">
        <f t="shared" ref="T8026:T8031" si="793">$A8026*S8026*$T$1</f>
        <v>0</v>
      </c>
      <c r="AR8026" s="51"/>
      <c r="AS8026" s="753"/>
    </row>
    <row r="8027" spans="1:45" s="520" customFormat="1" ht="12">
      <c r="A8027" s="51"/>
      <c r="B8027" s="758"/>
      <c r="C8027" s="758"/>
      <c r="D8027" s="758"/>
      <c r="E8027" s="758"/>
      <c r="F8027" s="753"/>
      <c r="G8027" s="758"/>
      <c r="H8027" s="758"/>
      <c r="I8027" s="519"/>
      <c r="J8027" s="758"/>
      <c r="K8027" s="758"/>
      <c r="L8027" s="758"/>
      <c r="M8027" s="758"/>
      <c r="N8027" s="758"/>
      <c r="O8027" s="758"/>
      <c r="P8027" s="758"/>
      <c r="Q8027" s="519"/>
      <c r="R8027" s="759">
        <f t="shared" si="792"/>
        <v>0</v>
      </c>
      <c r="S8027" s="519"/>
      <c r="T8027" s="760">
        <f t="shared" si="793"/>
        <v>0</v>
      </c>
      <c r="AR8027" s="51"/>
      <c r="AS8027" s="753"/>
    </row>
    <row r="8028" spans="1:45" s="520" customFormat="1" ht="12">
      <c r="A8028" s="51"/>
      <c r="B8028" s="758"/>
      <c r="C8028" s="758"/>
      <c r="D8028" s="758"/>
      <c r="E8028" s="758"/>
      <c r="F8028" s="753"/>
      <c r="G8028" s="758"/>
      <c r="H8028" s="758"/>
      <c r="I8028" s="519"/>
      <c r="J8028" s="758"/>
      <c r="K8028" s="758"/>
      <c r="L8028" s="758"/>
      <c r="M8028" s="758"/>
      <c r="N8028" s="758"/>
      <c r="O8028" s="758"/>
      <c r="P8028" s="758"/>
      <c r="Q8028" s="519"/>
      <c r="R8028" s="759">
        <f t="shared" si="792"/>
        <v>0</v>
      </c>
      <c r="S8028" s="519"/>
      <c r="T8028" s="760">
        <f t="shared" si="793"/>
        <v>0</v>
      </c>
      <c r="AR8028" s="51"/>
      <c r="AS8028" s="753"/>
    </row>
    <row r="8029" spans="1:45" s="520" customFormat="1" ht="12">
      <c r="A8029" s="51"/>
      <c r="B8029" s="758"/>
      <c r="C8029" s="758"/>
      <c r="D8029" s="758"/>
      <c r="E8029" s="758"/>
      <c r="F8029" s="753"/>
      <c r="G8029" s="758"/>
      <c r="H8029" s="758"/>
      <c r="I8029" s="519"/>
      <c r="J8029" s="758"/>
      <c r="K8029" s="758"/>
      <c r="L8029" s="758"/>
      <c r="M8029" s="758"/>
      <c r="N8029" s="758"/>
      <c r="O8029" s="758"/>
      <c r="P8029" s="758"/>
      <c r="Q8029" s="519"/>
      <c r="R8029" s="759">
        <f t="shared" si="792"/>
        <v>0</v>
      </c>
      <c r="S8029" s="519"/>
      <c r="T8029" s="760">
        <f t="shared" si="793"/>
        <v>0</v>
      </c>
      <c r="AR8029" s="51"/>
      <c r="AS8029" s="753"/>
    </row>
    <row r="8030" spans="1:45" s="520" customFormat="1" ht="12">
      <c r="A8030" s="51"/>
      <c r="B8030" s="758"/>
      <c r="C8030" s="758"/>
      <c r="D8030" s="758"/>
      <c r="E8030" s="758"/>
      <c r="F8030" s="753"/>
      <c r="G8030" s="758"/>
      <c r="H8030" s="758"/>
      <c r="I8030" s="519"/>
      <c r="J8030" s="758"/>
      <c r="K8030" s="758"/>
      <c r="L8030" s="758"/>
      <c r="M8030" s="758"/>
      <c r="N8030" s="758"/>
      <c r="O8030" s="758"/>
      <c r="P8030" s="758"/>
      <c r="Q8030" s="519"/>
      <c r="R8030" s="759">
        <f t="shared" si="792"/>
        <v>0</v>
      </c>
      <c r="S8030" s="519"/>
      <c r="T8030" s="760">
        <f t="shared" si="793"/>
        <v>0</v>
      </c>
      <c r="AR8030" s="51"/>
      <c r="AS8030" s="753"/>
    </row>
    <row r="8031" spans="1:45" s="520" customFormat="1" ht="12">
      <c r="A8031" s="758"/>
      <c r="B8031" s="758"/>
      <c r="C8031" s="758"/>
      <c r="D8031" s="758"/>
      <c r="E8031" s="758"/>
      <c r="F8031" s="753"/>
      <c r="G8031" s="758"/>
      <c r="H8031" s="758"/>
      <c r="I8031" s="519"/>
      <c r="J8031" s="758"/>
      <c r="K8031" s="758"/>
      <c r="L8031" s="758"/>
      <c r="M8031" s="758"/>
      <c r="N8031" s="758"/>
      <c r="O8031" s="758"/>
      <c r="P8031" s="758"/>
      <c r="Q8031" s="519"/>
      <c r="R8031" s="759">
        <f t="shared" si="792"/>
        <v>0</v>
      </c>
      <c r="S8031" s="519"/>
      <c r="T8031" s="760">
        <f t="shared" si="793"/>
        <v>0</v>
      </c>
      <c r="AR8031" s="758"/>
      <c r="AS8031" s="753"/>
    </row>
    <row r="8032" spans="1:45" s="520" customFormat="1" ht="12.6" thickBot="1">
      <c r="A8032" s="761" t="s">
        <v>145</v>
      </c>
      <c r="B8032" s="762">
        <f>(R8031+T8031)</f>
        <v>0</v>
      </c>
      <c r="C8032" s="763"/>
      <c r="D8032" s="763"/>
      <c r="E8032" s="763"/>
      <c r="F8032" s="764"/>
      <c r="G8032" s="763" t="s">
        <v>146</v>
      </c>
      <c r="H8032" s="763"/>
      <c r="I8032" s="765"/>
      <c r="J8032" s="763"/>
      <c r="K8032" s="763" t="s">
        <v>3</v>
      </c>
      <c r="L8032" s="766" t="s">
        <v>143</v>
      </c>
      <c r="M8032" s="766"/>
      <c r="N8032" s="766"/>
      <c r="O8032" s="766"/>
      <c r="P8032" s="766"/>
      <c r="Q8032" s="767"/>
      <c r="R8032" s="768">
        <f>SUM(R8025:R8031)</f>
        <v>0</v>
      </c>
      <c r="S8032" s="763"/>
      <c r="T8032" s="768">
        <f>SUM(T8025:T8031)</f>
        <v>0</v>
      </c>
      <c r="U8032" s="531"/>
      <c r="V8032" s="531"/>
      <c r="W8032" s="531"/>
      <c r="X8032" s="531"/>
      <c r="Y8032" s="531"/>
      <c r="Z8032" s="531"/>
      <c r="AA8032" s="531"/>
      <c r="AB8032" s="531"/>
      <c r="AC8032" s="531"/>
      <c r="AD8032" s="531"/>
      <c r="AE8032" s="531"/>
      <c r="AF8032" s="531"/>
      <c r="AG8032" s="531"/>
      <c r="AH8032" s="531"/>
      <c r="AI8032" s="531"/>
      <c r="AJ8032" s="531"/>
      <c r="AK8032" s="531"/>
      <c r="AL8032" s="531"/>
      <c r="AM8032" s="531"/>
      <c r="AN8032" s="531"/>
      <c r="AO8032" s="531"/>
      <c r="AR8032" s="761" t="s">
        <v>145</v>
      </c>
      <c r="AS8032" s="764"/>
    </row>
    <row r="8033" spans="1:45" s="520" customFormat="1" ht="12" thickTop="1">
      <c r="A8033" s="51"/>
      <c r="B8033" s="41"/>
      <c r="C8033" s="51"/>
      <c r="E8033" s="42" t="s">
        <v>138</v>
      </c>
      <c r="F8033" s="42" t="s">
        <v>139</v>
      </c>
      <c r="G8033" s="51"/>
      <c r="H8033" s="51"/>
      <c r="I8033" s="51"/>
      <c r="J8033" s="51"/>
      <c r="K8033" s="51" t="s">
        <v>140</v>
      </c>
      <c r="L8033" s="51"/>
      <c r="M8033" s="51"/>
      <c r="N8033" s="51"/>
      <c r="O8033" s="52"/>
      <c r="P8033" s="51"/>
      <c r="Q8033" s="51"/>
      <c r="R8033" s="51"/>
      <c r="S8033" s="51"/>
      <c r="T8033" s="41"/>
      <c r="AG8033" s="521" t="s">
        <v>268</v>
      </c>
      <c r="AH8033" s="521" t="s">
        <v>269</v>
      </c>
      <c r="AI8033" s="521" t="s">
        <v>270</v>
      </c>
      <c r="AJ8033" s="521" t="s">
        <v>271</v>
      </c>
      <c r="AK8033" s="521" t="s">
        <v>272</v>
      </c>
      <c r="AM8033" s="745" t="s">
        <v>281</v>
      </c>
      <c r="AN8033" s="746" t="s">
        <v>282</v>
      </c>
      <c r="AO8033" s="522" t="s">
        <v>278</v>
      </c>
      <c r="AR8033" s="51"/>
      <c r="AS8033" s="42" t="s">
        <v>139</v>
      </c>
    </row>
    <row r="8034" spans="1:45" s="520" customFormat="1" ht="12" customHeight="1">
      <c r="A8034" s="747">
        <v>1</v>
      </c>
      <c r="B8034" s="523" t="s">
        <v>299</v>
      </c>
      <c r="C8034" s="748"/>
      <c r="D8034" s="749" t="s">
        <v>1061</v>
      </c>
      <c r="E8034" s="750">
        <f>IF(AND($A8034=0,$A$1="DIF"),0, ROUND(ROUND(($R8042*$S$2+($T8042*$T$2))/A8034,2)*$C$2,2))</f>
        <v>0</v>
      </c>
      <c r="F8034" s="751">
        <f>ROUND($A8034*$E8034,2)</f>
        <v>0</v>
      </c>
      <c r="G8034" s="752" t="s">
        <v>142</v>
      </c>
      <c r="H8034" s="753"/>
      <c r="I8034" s="754"/>
      <c r="J8034" s="753"/>
      <c r="K8034" s="753" t="s">
        <v>3</v>
      </c>
      <c r="L8034" s="755" t="s">
        <v>143</v>
      </c>
      <c r="M8034" s="755"/>
      <c r="N8034" s="755"/>
      <c r="O8034" s="755"/>
      <c r="P8034" s="755"/>
      <c r="Q8034" s="1058" t="s">
        <v>3695</v>
      </c>
      <c r="T8034" s="756" t="str">
        <f>IF(AND($R8042=0,$T8042=0),"0.00","mu :" &amp; ROUND($F8034/$C$2/($R8042+$T8042*$D$9),2))</f>
        <v>0.00</v>
      </c>
      <c r="W8034" s="524"/>
      <c r="AG8034" s="481">
        <f>IF($E8034=0,0,ROUND($R8042*$S$2*$C$2/$A8034,2))</f>
        <v>0</v>
      </c>
      <c r="AH8034" s="481">
        <f>$AG8034*$A8034</f>
        <v>0</v>
      </c>
      <c r="AI8034" s="525">
        <f>$E8034-$AG8034</f>
        <v>0</v>
      </c>
      <c r="AJ8034" s="525">
        <f>$A8034*$AI8034</f>
        <v>0</v>
      </c>
      <c r="AK8034" s="526">
        <f>ROUND(($AG8034+$AI8034)*$A8034,2)</f>
        <v>0</v>
      </c>
      <c r="AM8034" s="527">
        <f>ROUND(R8042,2)</f>
        <v>0</v>
      </c>
      <c r="AN8034" s="528">
        <f>ROUND(T8042,2)</f>
        <v>0</v>
      </c>
      <c r="AO8034" s="529">
        <f>ROUND(AM8034+AN8034,2)*A8034</f>
        <v>0</v>
      </c>
      <c r="AR8034" s="747">
        <v>1</v>
      </c>
      <c r="AS8034" s="751">
        <v>0</v>
      </c>
    </row>
    <row r="8035" spans="1:45" s="520" customFormat="1" ht="39.9" customHeight="1">
      <c r="A8035" s="748"/>
      <c r="B8035"/>
      <c r="C8035" s="748"/>
      <c r="D8035" s="1451" t="s">
        <v>301</v>
      </c>
      <c r="E8035" s="1452"/>
      <c r="F8035" s="1452"/>
      <c r="G8035" s="1452"/>
      <c r="H8035" s="1452"/>
      <c r="I8035" s="1452"/>
      <c r="J8035" s="1452"/>
      <c r="K8035" s="1452"/>
      <c r="L8035" s="1452"/>
      <c r="M8035" s="1452"/>
      <c r="N8035" s="1452"/>
      <c r="O8035" s="1452"/>
      <c r="P8035" s="1452"/>
      <c r="Q8035" s="1452"/>
      <c r="R8035" s="1452"/>
      <c r="S8035" s="1452"/>
      <c r="T8035" s="1452"/>
      <c r="AR8035" s="748"/>
    </row>
    <row r="8036" spans="1:45" s="520" customFormat="1" ht="12">
      <c r="A8036" s="51"/>
      <c r="B8036" s="758"/>
      <c r="C8036" s="758"/>
      <c r="D8036" s="758"/>
      <c r="E8036" s="758"/>
      <c r="F8036" s="753"/>
      <c r="G8036" s="758"/>
      <c r="H8036" s="758"/>
      <c r="I8036" s="519"/>
      <c r="J8036" s="758"/>
      <c r="K8036" s="758"/>
      <c r="L8036" s="758"/>
      <c r="M8036" s="758"/>
      <c r="N8036" s="758"/>
      <c r="O8036" s="758"/>
      <c r="P8036" s="758"/>
      <c r="Q8036" s="519"/>
      <c r="R8036" s="759">
        <f t="shared" ref="R8036:R8041" si="794">$A8036*Q8036</f>
        <v>0</v>
      </c>
      <c r="S8036" s="519"/>
      <c r="T8036" s="760">
        <f t="shared" ref="T8036:T8041" si="795">$A8036*S8036*$T$1</f>
        <v>0</v>
      </c>
      <c r="AR8036" s="51"/>
      <c r="AS8036" s="753"/>
    </row>
    <row r="8037" spans="1:45" s="520" customFormat="1" ht="12">
      <c r="A8037" s="51"/>
      <c r="B8037" s="758"/>
      <c r="C8037" s="758"/>
      <c r="D8037" s="758"/>
      <c r="E8037" s="758"/>
      <c r="F8037" s="753"/>
      <c r="G8037" s="758"/>
      <c r="H8037" s="758"/>
      <c r="I8037" s="519"/>
      <c r="J8037" s="758"/>
      <c r="K8037" s="758"/>
      <c r="L8037" s="758"/>
      <c r="M8037" s="758"/>
      <c r="N8037" s="758"/>
      <c r="O8037" s="758"/>
      <c r="P8037" s="758"/>
      <c r="Q8037" s="519"/>
      <c r="R8037" s="759">
        <f t="shared" si="794"/>
        <v>0</v>
      </c>
      <c r="S8037" s="519"/>
      <c r="T8037" s="760">
        <f t="shared" si="795"/>
        <v>0</v>
      </c>
      <c r="AR8037" s="51"/>
      <c r="AS8037" s="753"/>
    </row>
    <row r="8038" spans="1:45" s="520" customFormat="1" ht="12">
      <c r="A8038" s="51"/>
      <c r="B8038" s="758"/>
      <c r="C8038" s="758"/>
      <c r="D8038" s="758"/>
      <c r="E8038" s="758"/>
      <c r="F8038" s="753"/>
      <c r="G8038" s="758"/>
      <c r="H8038" s="758"/>
      <c r="I8038" s="519"/>
      <c r="J8038" s="758"/>
      <c r="K8038" s="758"/>
      <c r="L8038" s="758"/>
      <c r="M8038" s="758"/>
      <c r="N8038" s="758"/>
      <c r="O8038" s="758"/>
      <c r="P8038" s="758"/>
      <c r="Q8038" s="519"/>
      <c r="R8038" s="759">
        <f t="shared" si="794"/>
        <v>0</v>
      </c>
      <c r="S8038" s="519"/>
      <c r="T8038" s="760">
        <f t="shared" si="795"/>
        <v>0</v>
      </c>
      <c r="AR8038" s="51"/>
      <c r="AS8038" s="753"/>
    </row>
    <row r="8039" spans="1:45" s="520" customFormat="1" ht="12">
      <c r="A8039" s="51"/>
      <c r="B8039" s="758"/>
      <c r="C8039" s="758"/>
      <c r="D8039" s="758"/>
      <c r="E8039" s="758"/>
      <c r="F8039" s="753"/>
      <c r="G8039" s="758"/>
      <c r="H8039" s="758"/>
      <c r="I8039" s="519"/>
      <c r="J8039" s="758"/>
      <c r="K8039" s="758"/>
      <c r="L8039" s="758"/>
      <c r="M8039" s="758"/>
      <c r="N8039" s="758"/>
      <c r="O8039" s="758"/>
      <c r="P8039" s="758"/>
      <c r="Q8039" s="519"/>
      <c r="R8039" s="759">
        <f t="shared" si="794"/>
        <v>0</v>
      </c>
      <c r="S8039" s="519"/>
      <c r="T8039" s="760">
        <f t="shared" si="795"/>
        <v>0</v>
      </c>
      <c r="AR8039" s="51"/>
      <c r="AS8039" s="753"/>
    </row>
    <row r="8040" spans="1:45" s="520" customFormat="1" ht="12">
      <c r="A8040" s="51"/>
      <c r="B8040" s="758"/>
      <c r="C8040" s="758"/>
      <c r="D8040" s="758"/>
      <c r="E8040" s="758"/>
      <c r="F8040" s="753"/>
      <c r="G8040" s="758"/>
      <c r="H8040" s="758"/>
      <c r="I8040" s="519"/>
      <c r="J8040" s="758"/>
      <c r="K8040" s="758"/>
      <c r="L8040" s="758"/>
      <c r="M8040" s="758"/>
      <c r="N8040" s="758"/>
      <c r="O8040" s="758"/>
      <c r="P8040" s="758"/>
      <c r="Q8040" s="519"/>
      <c r="R8040" s="759">
        <f t="shared" si="794"/>
        <v>0</v>
      </c>
      <c r="S8040" s="519"/>
      <c r="T8040" s="760">
        <f t="shared" si="795"/>
        <v>0</v>
      </c>
      <c r="AR8040" s="51"/>
      <c r="AS8040" s="753"/>
    </row>
    <row r="8041" spans="1:45" s="520" customFormat="1" ht="12">
      <c r="A8041" s="758"/>
      <c r="B8041" s="758"/>
      <c r="C8041" s="758"/>
      <c r="D8041" s="758"/>
      <c r="E8041" s="758"/>
      <c r="F8041" s="753"/>
      <c r="G8041" s="758"/>
      <c r="H8041" s="758"/>
      <c r="I8041" s="519"/>
      <c r="J8041" s="758"/>
      <c r="K8041" s="758"/>
      <c r="L8041" s="758"/>
      <c r="M8041" s="758"/>
      <c r="N8041" s="758"/>
      <c r="O8041" s="758"/>
      <c r="P8041" s="758"/>
      <c r="Q8041" s="519"/>
      <c r="R8041" s="759">
        <f t="shared" si="794"/>
        <v>0</v>
      </c>
      <c r="S8041" s="519"/>
      <c r="T8041" s="760">
        <f t="shared" si="795"/>
        <v>0</v>
      </c>
      <c r="AR8041" s="758"/>
      <c r="AS8041" s="753"/>
    </row>
    <row r="8042" spans="1:45" s="520" customFormat="1" ht="12.6" thickBot="1">
      <c r="A8042" s="761" t="s">
        <v>145</v>
      </c>
      <c r="B8042" s="762">
        <f>(R8041+T8041)</f>
        <v>0</v>
      </c>
      <c r="C8042" s="763"/>
      <c r="D8042" s="763"/>
      <c r="E8042" s="763"/>
      <c r="F8042" s="764"/>
      <c r="G8042" s="763" t="s">
        <v>146</v>
      </c>
      <c r="H8042" s="763"/>
      <c r="I8042" s="765"/>
      <c r="J8042" s="763"/>
      <c r="K8042" s="763" t="s">
        <v>3</v>
      </c>
      <c r="L8042" s="766" t="s">
        <v>143</v>
      </c>
      <c r="M8042" s="766"/>
      <c r="N8042" s="766"/>
      <c r="O8042" s="766"/>
      <c r="P8042" s="766"/>
      <c r="Q8042" s="767"/>
      <c r="R8042" s="768">
        <f>SUM(R8035:R8041)</f>
        <v>0</v>
      </c>
      <c r="S8042" s="763"/>
      <c r="T8042" s="768">
        <f>SUM(T8035:T8041)</f>
        <v>0</v>
      </c>
      <c r="U8042" s="531"/>
      <c r="V8042" s="531"/>
      <c r="W8042" s="531"/>
      <c r="X8042" s="531"/>
      <c r="Y8042" s="531"/>
      <c r="Z8042" s="531"/>
      <c r="AA8042" s="531"/>
      <c r="AB8042" s="531"/>
      <c r="AC8042" s="531"/>
      <c r="AD8042" s="531"/>
      <c r="AE8042" s="531"/>
      <c r="AF8042" s="531"/>
      <c r="AG8042" s="531"/>
      <c r="AH8042" s="531"/>
      <c r="AI8042" s="531"/>
      <c r="AJ8042" s="531"/>
      <c r="AK8042" s="531"/>
      <c r="AL8042" s="531"/>
      <c r="AM8042" s="531"/>
      <c r="AN8042" s="531"/>
      <c r="AO8042" s="531"/>
      <c r="AR8042" s="761" t="s">
        <v>145</v>
      </c>
      <c r="AS8042" s="764"/>
    </row>
    <row r="8043" spans="1:45" s="520" customFormat="1" ht="12" thickTop="1">
      <c r="A8043" s="51"/>
      <c r="B8043" s="41"/>
      <c r="C8043" s="51"/>
      <c r="E8043" s="42" t="s">
        <v>138</v>
      </c>
      <c r="F8043" s="42" t="s">
        <v>139</v>
      </c>
      <c r="G8043" s="51"/>
      <c r="H8043" s="51"/>
      <c r="I8043" s="51"/>
      <c r="J8043" s="51"/>
      <c r="K8043" s="51" t="s">
        <v>140</v>
      </c>
      <c r="L8043" s="51"/>
      <c r="M8043" s="51"/>
      <c r="N8043" s="51"/>
      <c r="O8043" s="52"/>
      <c r="P8043" s="51"/>
      <c r="Q8043" s="51"/>
      <c r="R8043" s="51"/>
      <c r="S8043" s="51"/>
      <c r="T8043" s="41"/>
      <c r="AG8043" s="521" t="s">
        <v>268</v>
      </c>
      <c r="AH8043" s="521" t="s">
        <v>269</v>
      </c>
      <c r="AI8043" s="521" t="s">
        <v>270</v>
      </c>
      <c r="AJ8043" s="521" t="s">
        <v>271</v>
      </c>
      <c r="AK8043" s="521" t="s">
        <v>272</v>
      </c>
      <c r="AM8043" s="745" t="s">
        <v>281</v>
      </c>
      <c r="AN8043" s="746" t="s">
        <v>282</v>
      </c>
      <c r="AO8043" s="522" t="s">
        <v>278</v>
      </c>
      <c r="AR8043" s="51"/>
      <c r="AS8043" s="42" t="s">
        <v>139</v>
      </c>
    </row>
    <row r="8044" spans="1:45" s="520" customFormat="1" ht="12" customHeight="1">
      <c r="A8044" s="747">
        <v>1</v>
      </c>
      <c r="B8044" s="523" t="s">
        <v>299</v>
      </c>
      <c r="C8044" s="748"/>
      <c r="D8044" s="749" t="s">
        <v>1062</v>
      </c>
      <c r="E8044" s="750">
        <f>IF(AND($A8044=0,$A$1="DIF"),0, ROUND(ROUND(($R8052*$S$2+($T8052*$T$2))/A8044,2)*$C$2,2))</f>
        <v>0</v>
      </c>
      <c r="F8044" s="751">
        <f>ROUND($A8044*$E8044,2)</f>
        <v>0</v>
      </c>
      <c r="G8044" s="752" t="s">
        <v>142</v>
      </c>
      <c r="H8044" s="753"/>
      <c r="I8044" s="754"/>
      <c r="J8044" s="753"/>
      <c r="K8044" s="753" t="s">
        <v>3</v>
      </c>
      <c r="L8044" s="755" t="s">
        <v>143</v>
      </c>
      <c r="M8044" s="755"/>
      <c r="N8044" s="755"/>
      <c r="O8044" s="755"/>
      <c r="P8044" s="755"/>
      <c r="Q8044" s="1058" t="s">
        <v>3695</v>
      </c>
      <c r="T8044" s="756" t="str">
        <f>IF(AND($R8052=0,$T8052=0),"0.00","mu :" &amp; ROUND($F8044/$C$2/($R8052+$T8052*$D$9),2))</f>
        <v>0.00</v>
      </c>
      <c r="W8044" s="524"/>
      <c r="AG8044" s="481">
        <f>IF($E8044=0,0,ROUND($R8052*$S$2*$C$2/$A8044,2))</f>
        <v>0</v>
      </c>
      <c r="AH8044" s="481">
        <f>$AG8044*$A8044</f>
        <v>0</v>
      </c>
      <c r="AI8044" s="525">
        <f>$E8044-$AG8044</f>
        <v>0</v>
      </c>
      <c r="AJ8044" s="525">
        <f>$A8044*$AI8044</f>
        <v>0</v>
      </c>
      <c r="AK8044" s="526">
        <f>ROUND(($AG8044+$AI8044)*$A8044,2)</f>
        <v>0</v>
      </c>
      <c r="AM8044" s="527">
        <f>ROUND(R8052,2)</f>
        <v>0</v>
      </c>
      <c r="AN8044" s="528">
        <f>ROUND(T8052,2)</f>
        <v>0</v>
      </c>
      <c r="AO8044" s="529">
        <f>ROUND(AM8044+AN8044,2)*A8044</f>
        <v>0</v>
      </c>
      <c r="AR8044" s="747">
        <v>1</v>
      </c>
      <c r="AS8044" s="751">
        <v>0</v>
      </c>
    </row>
    <row r="8045" spans="1:45" s="520" customFormat="1" ht="39.9" customHeight="1">
      <c r="A8045" s="748"/>
      <c r="B8045"/>
      <c r="C8045" s="748"/>
      <c r="D8045" s="1451" t="s">
        <v>302</v>
      </c>
      <c r="E8045" s="1452"/>
      <c r="F8045" s="1452"/>
      <c r="G8045" s="1452"/>
      <c r="H8045" s="1452"/>
      <c r="I8045" s="1452"/>
      <c r="J8045" s="1452"/>
      <c r="K8045" s="1452"/>
      <c r="L8045" s="1452"/>
      <c r="M8045" s="1452"/>
      <c r="N8045" s="1452"/>
      <c r="O8045" s="1452"/>
      <c r="P8045" s="1452"/>
      <c r="Q8045" s="1452"/>
      <c r="R8045" s="1452"/>
      <c r="S8045" s="1452"/>
      <c r="T8045" s="1452"/>
      <c r="AR8045" s="748"/>
    </row>
    <row r="8046" spans="1:45" s="520" customFormat="1" ht="12">
      <c r="A8046" s="51"/>
      <c r="B8046" s="758"/>
      <c r="C8046" s="758"/>
      <c r="D8046" s="758"/>
      <c r="E8046" s="758"/>
      <c r="F8046" s="753"/>
      <c r="G8046" s="758"/>
      <c r="H8046" s="758"/>
      <c r="I8046" s="519"/>
      <c r="J8046" s="758"/>
      <c r="K8046" s="758"/>
      <c r="L8046" s="758"/>
      <c r="M8046" s="758"/>
      <c r="N8046" s="758"/>
      <c r="O8046" s="758"/>
      <c r="P8046" s="758"/>
      <c r="Q8046" s="519"/>
      <c r="R8046" s="759">
        <f t="shared" ref="R8046:R8051" si="796">$A8046*Q8046</f>
        <v>0</v>
      </c>
      <c r="S8046" s="519"/>
      <c r="T8046" s="760">
        <f t="shared" ref="T8046:T8051" si="797">$A8046*S8046*$T$1</f>
        <v>0</v>
      </c>
      <c r="AR8046" s="51"/>
      <c r="AS8046" s="753"/>
    </row>
    <row r="8047" spans="1:45" s="520" customFormat="1" ht="12">
      <c r="A8047" s="51"/>
      <c r="B8047" s="758"/>
      <c r="C8047" s="758"/>
      <c r="D8047" s="758"/>
      <c r="E8047" s="758"/>
      <c r="F8047" s="753"/>
      <c r="G8047" s="758"/>
      <c r="H8047" s="758"/>
      <c r="I8047" s="519"/>
      <c r="J8047" s="758"/>
      <c r="K8047" s="758"/>
      <c r="L8047" s="758"/>
      <c r="M8047" s="758"/>
      <c r="N8047" s="758"/>
      <c r="O8047" s="758"/>
      <c r="P8047" s="758"/>
      <c r="Q8047" s="519"/>
      <c r="R8047" s="759">
        <f t="shared" si="796"/>
        <v>0</v>
      </c>
      <c r="S8047" s="519"/>
      <c r="T8047" s="760">
        <f t="shared" si="797"/>
        <v>0</v>
      </c>
      <c r="AR8047" s="51"/>
      <c r="AS8047" s="753"/>
    </row>
    <row r="8048" spans="1:45" s="520" customFormat="1" ht="12">
      <c r="A8048" s="51"/>
      <c r="B8048" s="758"/>
      <c r="C8048" s="758"/>
      <c r="D8048" s="758"/>
      <c r="E8048" s="758"/>
      <c r="F8048" s="753"/>
      <c r="G8048" s="758"/>
      <c r="H8048" s="758"/>
      <c r="I8048" s="519"/>
      <c r="J8048" s="758"/>
      <c r="K8048" s="758"/>
      <c r="L8048" s="758"/>
      <c r="M8048" s="758"/>
      <c r="N8048" s="758"/>
      <c r="O8048" s="758"/>
      <c r="P8048" s="758"/>
      <c r="Q8048" s="519"/>
      <c r="R8048" s="759">
        <f t="shared" si="796"/>
        <v>0</v>
      </c>
      <c r="S8048" s="519"/>
      <c r="T8048" s="760">
        <f t="shared" si="797"/>
        <v>0</v>
      </c>
      <c r="AR8048" s="51"/>
      <c r="AS8048" s="753"/>
    </row>
    <row r="8049" spans="1:45" s="520" customFormat="1" ht="12">
      <c r="A8049" s="51"/>
      <c r="B8049" s="758"/>
      <c r="C8049" s="758"/>
      <c r="D8049" s="758"/>
      <c r="E8049" s="758"/>
      <c r="F8049" s="753"/>
      <c r="G8049" s="758"/>
      <c r="H8049" s="758"/>
      <c r="I8049" s="519"/>
      <c r="J8049" s="758"/>
      <c r="K8049" s="758"/>
      <c r="L8049" s="758"/>
      <c r="M8049" s="758"/>
      <c r="N8049" s="758"/>
      <c r="O8049" s="758"/>
      <c r="P8049" s="758"/>
      <c r="Q8049" s="519"/>
      <c r="R8049" s="759">
        <f t="shared" si="796"/>
        <v>0</v>
      </c>
      <c r="S8049" s="519"/>
      <c r="T8049" s="760">
        <f t="shared" si="797"/>
        <v>0</v>
      </c>
      <c r="AR8049" s="51"/>
      <c r="AS8049" s="753"/>
    </row>
    <row r="8050" spans="1:45" s="520" customFormat="1" ht="12">
      <c r="A8050" s="51"/>
      <c r="B8050" s="758"/>
      <c r="C8050" s="758"/>
      <c r="D8050" s="758"/>
      <c r="E8050" s="758"/>
      <c r="F8050" s="753"/>
      <c r="G8050" s="758"/>
      <c r="H8050" s="758"/>
      <c r="I8050" s="519"/>
      <c r="J8050" s="758"/>
      <c r="K8050" s="758"/>
      <c r="L8050" s="758"/>
      <c r="M8050" s="758"/>
      <c r="N8050" s="758"/>
      <c r="O8050" s="758"/>
      <c r="P8050" s="758"/>
      <c r="Q8050" s="519"/>
      <c r="R8050" s="759">
        <f t="shared" si="796"/>
        <v>0</v>
      </c>
      <c r="S8050" s="519"/>
      <c r="T8050" s="760">
        <f t="shared" si="797"/>
        <v>0</v>
      </c>
      <c r="AR8050" s="51"/>
      <c r="AS8050" s="753"/>
    </row>
    <row r="8051" spans="1:45" s="520" customFormat="1" ht="12">
      <c r="A8051" s="758"/>
      <c r="B8051" s="758"/>
      <c r="C8051" s="758"/>
      <c r="D8051" s="758"/>
      <c r="E8051" s="758"/>
      <c r="F8051" s="753"/>
      <c r="G8051" s="758"/>
      <c r="H8051" s="758"/>
      <c r="I8051" s="519"/>
      <c r="J8051" s="758"/>
      <c r="K8051" s="758"/>
      <c r="L8051" s="758"/>
      <c r="M8051" s="758"/>
      <c r="N8051" s="758"/>
      <c r="O8051" s="758"/>
      <c r="P8051" s="758"/>
      <c r="Q8051" s="519"/>
      <c r="R8051" s="759">
        <f t="shared" si="796"/>
        <v>0</v>
      </c>
      <c r="S8051" s="519"/>
      <c r="T8051" s="760">
        <f t="shared" si="797"/>
        <v>0</v>
      </c>
      <c r="AR8051" s="758"/>
      <c r="AS8051" s="753"/>
    </row>
    <row r="8052" spans="1:45" s="520" customFormat="1" ht="12.6" thickBot="1">
      <c r="A8052" s="761" t="s">
        <v>145</v>
      </c>
      <c r="B8052" s="762">
        <f>(R8051+T8051)</f>
        <v>0</v>
      </c>
      <c r="C8052" s="763"/>
      <c r="D8052" s="763"/>
      <c r="E8052" s="763"/>
      <c r="F8052" s="764"/>
      <c r="G8052" s="763" t="s">
        <v>146</v>
      </c>
      <c r="H8052" s="763"/>
      <c r="I8052" s="765"/>
      <c r="J8052" s="763"/>
      <c r="K8052" s="763" t="s">
        <v>3</v>
      </c>
      <c r="L8052" s="766" t="s">
        <v>143</v>
      </c>
      <c r="M8052" s="766"/>
      <c r="N8052" s="766"/>
      <c r="O8052" s="766"/>
      <c r="P8052" s="766"/>
      <c r="Q8052" s="767"/>
      <c r="R8052" s="768">
        <f>SUM(R8045:R8051)</f>
        <v>0</v>
      </c>
      <c r="S8052" s="763"/>
      <c r="T8052" s="768">
        <f>SUM(T8045:T8051)</f>
        <v>0</v>
      </c>
      <c r="U8052" s="531"/>
      <c r="V8052" s="531"/>
      <c r="W8052" s="531"/>
      <c r="X8052" s="531"/>
      <c r="Y8052" s="531"/>
      <c r="Z8052" s="531"/>
      <c r="AA8052" s="531"/>
      <c r="AB8052" s="531"/>
      <c r="AC8052" s="531"/>
      <c r="AD8052" s="531"/>
      <c r="AE8052" s="531"/>
      <c r="AF8052" s="531"/>
      <c r="AG8052" s="531"/>
      <c r="AH8052" s="531"/>
      <c r="AI8052" s="531"/>
      <c r="AJ8052" s="531"/>
      <c r="AK8052" s="531"/>
      <c r="AL8052" s="531"/>
      <c r="AM8052" s="531"/>
      <c r="AN8052" s="531"/>
      <c r="AO8052" s="531"/>
      <c r="AR8052" s="761" t="s">
        <v>145</v>
      </c>
      <c r="AS8052" s="764"/>
    </row>
    <row r="8053" spans="1:45" s="520" customFormat="1" ht="12" thickTop="1">
      <c r="A8053" s="51"/>
      <c r="B8053" s="41"/>
      <c r="C8053" s="51"/>
      <c r="E8053" s="42" t="s">
        <v>138</v>
      </c>
      <c r="F8053" s="42" t="s">
        <v>139</v>
      </c>
      <c r="G8053" s="51"/>
      <c r="H8053" s="51"/>
      <c r="I8053" s="51"/>
      <c r="J8053" s="51"/>
      <c r="K8053" s="51" t="s">
        <v>140</v>
      </c>
      <c r="L8053" s="51"/>
      <c r="M8053" s="51"/>
      <c r="N8053" s="51"/>
      <c r="O8053" s="52"/>
      <c r="P8053" s="51"/>
      <c r="Q8053" s="51"/>
      <c r="R8053" s="51"/>
      <c r="S8053" s="51"/>
      <c r="T8053" s="41"/>
      <c r="AG8053" s="521" t="s">
        <v>268</v>
      </c>
      <c r="AH8053" s="521" t="s">
        <v>269</v>
      </c>
      <c r="AI8053" s="521" t="s">
        <v>270</v>
      </c>
      <c r="AJ8053" s="521" t="s">
        <v>271</v>
      </c>
      <c r="AK8053" s="521" t="s">
        <v>272</v>
      </c>
      <c r="AM8053" s="745" t="s">
        <v>281</v>
      </c>
      <c r="AN8053" s="746" t="s">
        <v>282</v>
      </c>
      <c r="AO8053" s="522" t="s">
        <v>278</v>
      </c>
      <c r="AR8053" s="51"/>
      <c r="AS8053" s="42" t="s">
        <v>139</v>
      </c>
    </row>
    <row r="8054" spans="1:45" s="520" customFormat="1" ht="12" customHeight="1">
      <c r="A8054" s="747">
        <v>1</v>
      </c>
      <c r="B8054" s="523" t="s">
        <v>299</v>
      </c>
      <c r="C8054" s="748"/>
      <c r="D8054" s="749" t="s">
        <v>1063</v>
      </c>
      <c r="E8054" s="750">
        <f>IF(AND($A8054=0,$A$1="DIF"),0, ROUND(ROUND(($R8062*$S$2+($T8062*$T$2))/A8054,2)*$C$2,2))</f>
        <v>0</v>
      </c>
      <c r="F8054" s="751">
        <f>ROUND($A8054*$E8054,2)</f>
        <v>0</v>
      </c>
      <c r="G8054" s="752" t="s">
        <v>142</v>
      </c>
      <c r="H8054" s="753"/>
      <c r="I8054" s="754"/>
      <c r="J8054" s="753"/>
      <c r="K8054" s="753" t="s">
        <v>3</v>
      </c>
      <c r="L8054" s="755" t="s">
        <v>143</v>
      </c>
      <c r="M8054" s="755"/>
      <c r="N8054" s="755"/>
      <c r="O8054" s="755"/>
      <c r="P8054" s="755"/>
      <c r="Q8054" s="1058" t="s">
        <v>3695</v>
      </c>
      <c r="T8054" s="756" t="str">
        <f>IF(AND($R8062=0,$T8062=0),"0.00","mu :" &amp; ROUND($F8054/$C$2/($R8062+$T8062*$D$9),2))</f>
        <v>0.00</v>
      </c>
      <c r="W8054" s="524"/>
      <c r="AG8054" s="481">
        <f>IF($E8054=0,0,ROUND($R8062*$S$2*$C$2/$A8054,2))</f>
        <v>0</v>
      </c>
      <c r="AH8054" s="481">
        <f>$AG8054*$A8054</f>
        <v>0</v>
      </c>
      <c r="AI8054" s="525">
        <f>$E8054-$AG8054</f>
        <v>0</v>
      </c>
      <c r="AJ8054" s="525">
        <f>$A8054*$AI8054</f>
        <v>0</v>
      </c>
      <c r="AK8054" s="526">
        <f>ROUND(($AG8054+$AI8054)*$A8054,2)</f>
        <v>0</v>
      </c>
      <c r="AM8054" s="527">
        <f>ROUND(R8062,2)</f>
        <v>0</v>
      </c>
      <c r="AN8054" s="528">
        <f>ROUND(T8062,2)</f>
        <v>0</v>
      </c>
      <c r="AO8054" s="529">
        <f>ROUND(AM8054+AN8054,2)*A8054</f>
        <v>0</v>
      </c>
      <c r="AR8054" s="747">
        <v>1</v>
      </c>
      <c r="AS8054" s="751">
        <v>0</v>
      </c>
    </row>
    <row r="8055" spans="1:45" s="520" customFormat="1" ht="39.9" customHeight="1">
      <c r="A8055" s="748"/>
      <c r="B8055"/>
      <c r="C8055" s="748"/>
      <c r="D8055" s="1451" t="s">
        <v>303</v>
      </c>
      <c r="E8055" s="1452"/>
      <c r="F8055" s="1452"/>
      <c r="G8055" s="1452"/>
      <c r="H8055" s="1452"/>
      <c r="I8055" s="1452"/>
      <c r="J8055" s="1452"/>
      <c r="K8055" s="1452"/>
      <c r="L8055" s="1452"/>
      <c r="M8055" s="1452"/>
      <c r="N8055" s="1452"/>
      <c r="O8055" s="1452"/>
      <c r="P8055" s="1452"/>
      <c r="Q8055" s="1452"/>
      <c r="R8055" s="1452"/>
      <c r="S8055" s="1452"/>
      <c r="T8055" s="1452"/>
      <c r="AR8055" s="748"/>
    </row>
    <row r="8056" spans="1:45" s="520" customFormat="1" ht="12">
      <c r="A8056" s="51"/>
      <c r="B8056" s="758"/>
      <c r="C8056" s="758"/>
      <c r="D8056" s="758"/>
      <c r="E8056" s="758"/>
      <c r="F8056" s="753"/>
      <c r="G8056" s="758"/>
      <c r="H8056" s="758"/>
      <c r="I8056" s="519"/>
      <c r="J8056" s="758"/>
      <c r="K8056" s="758"/>
      <c r="L8056" s="758"/>
      <c r="M8056" s="758"/>
      <c r="N8056" s="758"/>
      <c r="O8056" s="758"/>
      <c r="P8056" s="758"/>
      <c r="Q8056" s="519"/>
      <c r="R8056" s="759">
        <f t="shared" ref="R8056:R8061" si="798">$A8056*Q8056</f>
        <v>0</v>
      </c>
      <c r="S8056" s="519"/>
      <c r="T8056" s="760">
        <f t="shared" ref="T8056:T8061" si="799">$A8056*S8056*$T$1</f>
        <v>0</v>
      </c>
      <c r="AR8056" s="51"/>
      <c r="AS8056" s="753"/>
    </row>
    <row r="8057" spans="1:45" s="520" customFormat="1" ht="12">
      <c r="A8057" s="51"/>
      <c r="B8057" s="758"/>
      <c r="C8057" s="758"/>
      <c r="D8057" s="758"/>
      <c r="E8057" s="758"/>
      <c r="F8057" s="753"/>
      <c r="G8057" s="758"/>
      <c r="H8057" s="758"/>
      <c r="I8057" s="519"/>
      <c r="J8057" s="758"/>
      <c r="K8057" s="758"/>
      <c r="L8057" s="758"/>
      <c r="M8057" s="758"/>
      <c r="N8057" s="758"/>
      <c r="O8057" s="758"/>
      <c r="P8057" s="758"/>
      <c r="Q8057" s="519"/>
      <c r="R8057" s="759">
        <f t="shared" si="798"/>
        <v>0</v>
      </c>
      <c r="S8057" s="519"/>
      <c r="T8057" s="760">
        <f t="shared" si="799"/>
        <v>0</v>
      </c>
      <c r="AR8057" s="51"/>
      <c r="AS8057" s="753"/>
    </row>
    <row r="8058" spans="1:45" s="520" customFormat="1" ht="12">
      <c r="A8058" s="51"/>
      <c r="B8058" s="758"/>
      <c r="C8058" s="758"/>
      <c r="D8058" s="758"/>
      <c r="E8058" s="758"/>
      <c r="F8058" s="753"/>
      <c r="G8058" s="758"/>
      <c r="H8058" s="758"/>
      <c r="I8058" s="519"/>
      <c r="J8058" s="758"/>
      <c r="K8058" s="758"/>
      <c r="L8058" s="758"/>
      <c r="M8058" s="758"/>
      <c r="N8058" s="758"/>
      <c r="O8058" s="758"/>
      <c r="P8058" s="758"/>
      <c r="Q8058" s="519"/>
      <c r="R8058" s="759">
        <f t="shared" si="798"/>
        <v>0</v>
      </c>
      <c r="S8058" s="519"/>
      <c r="T8058" s="760">
        <f t="shared" si="799"/>
        <v>0</v>
      </c>
      <c r="AR8058" s="51"/>
      <c r="AS8058" s="753"/>
    </row>
    <row r="8059" spans="1:45" s="520" customFormat="1" ht="12">
      <c r="A8059" s="51"/>
      <c r="B8059" s="758"/>
      <c r="C8059" s="758"/>
      <c r="D8059" s="758"/>
      <c r="E8059" s="758"/>
      <c r="F8059" s="753"/>
      <c r="G8059" s="758"/>
      <c r="H8059" s="758"/>
      <c r="I8059" s="519"/>
      <c r="J8059" s="758"/>
      <c r="K8059" s="758"/>
      <c r="L8059" s="758"/>
      <c r="M8059" s="758"/>
      <c r="N8059" s="758"/>
      <c r="O8059" s="758"/>
      <c r="P8059" s="758"/>
      <c r="Q8059" s="519"/>
      <c r="R8059" s="759">
        <f t="shared" si="798"/>
        <v>0</v>
      </c>
      <c r="S8059" s="519"/>
      <c r="T8059" s="760">
        <f t="shared" si="799"/>
        <v>0</v>
      </c>
      <c r="AR8059" s="51"/>
      <c r="AS8059" s="753"/>
    </row>
    <row r="8060" spans="1:45" s="520" customFormat="1" ht="12">
      <c r="A8060" s="51"/>
      <c r="B8060" s="758"/>
      <c r="C8060" s="758"/>
      <c r="D8060" s="758"/>
      <c r="E8060" s="758"/>
      <c r="F8060" s="753"/>
      <c r="G8060" s="758"/>
      <c r="H8060" s="758"/>
      <c r="I8060" s="519"/>
      <c r="J8060" s="758"/>
      <c r="K8060" s="758"/>
      <c r="L8060" s="758"/>
      <c r="M8060" s="758"/>
      <c r="N8060" s="758"/>
      <c r="O8060" s="758"/>
      <c r="P8060" s="758"/>
      <c r="Q8060" s="519"/>
      <c r="R8060" s="759">
        <f t="shared" si="798"/>
        <v>0</v>
      </c>
      <c r="S8060" s="519"/>
      <c r="T8060" s="760">
        <f t="shared" si="799"/>
        <v>0</v>
      </c>
      <c r="AR8060" s="51"/>
      <c r="AS8060" s="753"/>
    </row>
    <row r="8061" spans="1:45" s="520" customFormat="1" ht="12">
      <c r="A8061" s="758"/>
      <c r="B8061" s="758"/>
      <c r="C8061" s="758"/>
      <c r="D8061" s="758"/>
      <c r="E8061" s="758"/>
      <c r="F8061" s="753"/>
      <c r="G8061" s="758"/>
      <c r="H8061" s="758"/>
      <c r="I8061" s="519"/>
      <c r="J8061" s="758"/>
      <c r="K8061" s="758"/>
      <c r="L8061" s="758"/>
      <c r="M8061" s="758"/>
      <c r="N8061" s="758"/>
      <c r="O8061" s="758"/>
      <c r="P8061" s="758"/>
      <c r="Q8061" s="519"/>
      <c r="R8061" s="759">
        <f t="shared" si="798"/>
        <v>0</v>
      </c>
      <c r="S8061" s="519"/>
      <c r="T8061" s="760">
        <f t="shared" si="799"/>
        <v>0</v>
      </c>
      <c r="AR8061" s="758"/>
      <c r="AS8061" s="753"/>
    </row>
    <row r="8062" spans="1:45" s="520" customFormat="1" ht="12.6" thickBot="1">
      <c r="A8062" s="761" t="s">
        <v>145</v>
      </c>
      <c r="B8062" s="762">
        <f>(R8061+T8061)</f>
        <v>0</v>
      </c>
      <c r="C8062" s="763"/>
      <c r="D8062" s="763"/>
      <c r="E8062" s="763"/>
      <c r="F8062" s="764"/>
      <c r="G8062" s="763" t="s">
        <v>146</v>
      </c>
      <c r="H8062" s="763"/>
      <c r="I8062" s="765"/>
      <c r="J8062" s="763"/>
      <c r="K8062" s="763" t="s">
        <v>3</v>
      </c>
      <c r="L8062" s="766" t="s">
        <v>143</v>
      </c>
      <c r="M8062" s="766"/>
      <c r="N8062" s="766"/>
      <c r="O8062" s="766"/>
      <c r="P8062" s="766"/>
      <c r="Q8062" s="767"/>
      <c r="R8062" s="768">
        <f>SUM(R8055:R8061)</f>
        <v>0</v>
      </c>
      <c r="S8062" s="763"/>
      <c r="T8062" s="768">
        <f>SUM(T8055:T8061)</f>
        <v>0</v>
      </c>
      <c r="U8062" s="531"/>
      <c r="V8062" s="531"/>
      <c r="W8062" s="531"/>
      <c r="X8062" s="531"/>
      <c r="Y8062" s="531"/>
      <c r="Z8062" s="531"/>
      <c r="AA8062" s="531"/>
      <c r="AB8062" s="531"/>
      <c r="AC8062" s="531"/>
      <c r="AD8062" s="531"/>
      <c r="AE8062" s="531"/>
      <c r="AF8062" s="531"/>
      <c r="AG8062" s="531"/>
      <c r="AH8062" s="531"/>
      <c r="AI8062" s="531"/>
      <c r="AJ8062" s="531"/>
      <c r="AK8062" s="531"/>
      <c r="AL8062" s="531"/>
      <c r="AM8062" s="531"/>
      <c r="AN8062" s="531"/>
      <c r="AO8062" s="531"/>
      <c r="AR8062" s="761" t="s">
        <v>145</v>
      </c>
      <c r="AS8062" s="764"/>
    </row>
    <row r="8063" spans="1:45" s="520" customFormat="1" ht="12" thickTop="1">
      <c r="A8063" s="51"/>
      <c r="B8063" s="41"/>
      <c r="C8063" s="51"/>
      <c r="E8063" s="42" t="s">
        <v>138</v>
      </c>
      <c r="F8063" s="42" t="s">
        <v>139</v>
      </c>
      <c r="G8063" s="51"/>
      <c r="H8063" s="51"/>
      <c r="I8063" s="51"/>
      <c r="J8063" s="51"/>
      <c r="K8063" s="51" t="s">
        <v>140</v>
      </c>
      <c r="L8063" s="51"/>
      <c r="M8063" s="51"/>
      <c r="N8063" s="51"/>
      <c r="O8063" s="52"/>
      <c r="P8063" s="51"/>
      <c r="Q8063" s="51"/>
      <c r="R8063" s="51"/>
      <c r="S8063" s="51"/>
      <c r="T8063" s="41"/>
      <c r="AG8063" s="521" t="s">
        <v>268</v>
      </c>
      <c r="AH8063" s="521" t="s">
        <v>269</v>
      </c>
      <c r="AI8063" s="521" t="s">
        <v>270</v>
      </c>
      <c r="AJ8063" s="521" t="s">
        <v>271</v>
      </c>
      <c r="AK8063" s="521" t="s">
        <v>272</v>
      </c>
      <c r="AM8063" s="745" t="s">
        <v>281</v>
      </c>
      <c r="AN8063" s="746" t="s">
        <v>282</v>
      </c>
      <c r="AO8063" s="522" t="s">
        <v>278</v>
      </c>
      <c r="AR8063" s="51"/>
      <c r="AS8063" s="42" t="s">
        <v>139</v>
      </c>
    </row>
    <row r="8064" spans="1:45" s="520" customFormat="1" ht="12" customHeight="1">
      <c r="A8064" s="747">
        <v>1</v>
      </c>
      <c r="B8064" s="523" t="s">
        <v>299</v>
      </c>
      <c r="C8064" s="748"/>
      <c r="D8064" s="749" t="s">
        <v>1066</v>
      </c>
      <c r="E8064" s="750">
        <f>IF(AND($A8064=0,$A$1="DIF"),0, ROUND(ROUND(($R8072*$S$2+($T8072*$T$2))/A8064,2)*$C$2,2))</f>
        <v>0</v>
      </c>
      <c r="F8064" s="751">
        <f>ROUND($A8064*$E8064,2)</f>
        <v>0</v>
      </c>
      <c r="G8064" s="752" t="s">
        <v>142</v>
      </c>
      <c r="H8064" s="753"/>
      <c r="I8064" s="754"/>
      <c r="J8064" s="753"/>
      <c r="K8064" s="753" t="s">
        <v>3</v>
      </c>
      <c r="L8064" s="755" t="s">
        <v>143</v>
      </c>
      <c r="M8064" s="755"/>
      <c r="N8064" s="755"/>
      <c r="O8064" s="755"/>
      <c r="P8064" s="755"/>
      <c r="Q8064" s="1058" t="s">
        <v>3695</v>
      </c>
      <c r="T8064" s="756" t="str">
        <f>IF(AND($R8072=0,$T8072=0),"0.00","mu :" &amp; ROUND($F8064/$C$2/($R8072+$T8072*$D$9),2))</f>
        <v>0.00</v>
      </c>
      <c r="W8064" s="524"/>
      <c r="AG8064" s="481">
        <f>IF($E8064=0,0,ROUND($R8072*$S$2*$C$2/$A8064,2))</f>
        <v>0</v>
      </c>
      <c r="AH8064" s="481">
        <f>$AG8064*$A8064</f>
        <v>0</v>
      </c>
      <c r="AI8064" s="525">
        <f>$E8064-$AG8064</f>
        <v>0</v>
      </c>
      <c r="AJ8064" s="525">
        <f>$A8064*$AI8064</f>
        <v>0</v>
      </c>
      <c r="AK8064" s="526">
        <f>ROUND(($AG8064+$AI8064)*$A8064,2)</f>
        <v>0</v>
      </c>
      <c r="AM8064" s="527">
        <f>ROUND(R8072,2)</f>
        <v>0</v>
      </c>
      <c r="AN8064" s="528">
        <f>ROUND(T8072,2)</f>
        <v>0</v>
      </c>
      <c r="AO8064" s="529">
        <f>ROUND(AM8064+AN8064,2)*A8064</f>
        <v>0</v>
      </c>
      <c r="AR8064" s="747">
        <v>1</v>
      </c>
      <c r="AS8064" s="751">
        <v>0</v>
      </c>
    </row>
    <row r="8065" spans="1:45" s="520" customFormat="1" ht="39.9" customHeight="1">
      <c r="A8065" s="748"/>
      <c r="B8065"/>
      <c r="C8065" s="748"/>
      <c r="D8065" s="1451" t="s">
        <v>306</v>
      </c>
      <c r="E8065" s="1452"/>
      <c r="F8065" s="1452"/>
      <c r="G8065" s="1452"/>
      <c r="H8065" s="1452"/>
      <c r="I8065" s="1452"/>
      <c r="J8065" s="1452"/>
      <c r="K8065" s="1452"/>
      <c r="L8065" s="1452"/>
      <c r="M8065" s="1452"/>
      <c r="N8065" s="1452"/>
      <c r="O8065" s="1452"/>
      <c r="P8065" s="1452"/>
      <c r="Q8065" s="1452"/>
      <c r="R8065" s="1452"/>
      <c r="S8065" s="1452"/>
      <c r="T8065" s="1452"/>
      <c r="AR8065" s="748"/>
    </row>
    <row r="8066" spans="1:45" s="520" customFormat="1" ht="12">
      <c r="A8066" s="51"/>
      <c r="B8066" s="758"/>
      <c r="C8066" s="758"/>
      <c r="D8066" s="758"/>
      <c r="E8066" s="758"/>
      <c r="F8066" s="753"/>
      <c r="G8066" s="758"/>
      <c r="H8066" s="758"/>
      <c r="I8066" s="519"/>
      <c r="J8066" s="758"/>
      <c r="K8066" s="758"/>
      <c r="L8066" s="758"/>
      <c r="M8066" s="758"/>
      <c r="N8066" s="758"/>
      <c r="O8066" s="758"/>
      <c r="P8066" s="758"/>
      <c r="Q8066" s="519"/>
      <c r="R8066" s="759">
        <f t="shared" ref="R8066:R8071" si="800">$A8066*Q8066</f>
        <v>0</v>
      </c>
      <c r="S8066" s="519"/>
      <c r="T8066" s="760">
        <f t="shared" ref="T8066:T8071" si="801">$A8066*S8066*$T$1</f>
        <v>0</v>
      </c>
      <c r="AR8066" s="51"/>
      <c r="AS8066" s="753"/>
    </row>
    <row r="8067" spans="1:45" s="520" customFormat="1" ht="12">
      <c r="A8067" s="51"/>
      <c r="B8067" s="758"/>
      <c r="C8067" s="758"/>
      <c r="D8067" s="758"/>
      <c r="E8067" s="758"/>
      <c r="F8067" s="753"/>
      <c r="G8067" s="758"/>
      <c r="H8067" s="758"/>
      <c r="I8067" s="519"/>
      <c r="J8067" s="758"/>
      <c r="K8067" s="758"/>
      <c r="L8067" s="758"/>
      <c r="M8067" s="758"/>
      <c r="N8067" s="758"/>
      <c r="O8067" s="758"/>
      <c r="P8067" s="758"/>
      <c r="Q8067" s="519"/>
      <c r="R8067" s="759">
        <f t="shared" si="800"/>
        <v>0</v>
      </c>
      <c r="S8067" s="519"/>
      <c r="T8067" s="760">
        <f t="shared" si="801"/>
        <v>0</v>
      </c>
      <c r="AR8067" s="51"/>
      <c r="AS8067" s="753"/>
    </row>
    <row r="8068" spans="1:45" s="520" customFormat="1" ht="12">
      <c r="A8068" s="51"/>
      <c r="B8068" s="758"/>
      <c r="C8068" s="758"/>
      <c r="D8068" s="758"/>
      <c r="E8068" s="758"/>
      <c r="F8068" s="753"/>
      <c r="G8068" s="758"/>
      <c r="H8068" s="758"/>
      <c r="I8068" s="519"/>
      <c r="J8068" s="758"/>
      <c r="K8068" s="758"/>
      <c r="L8068" s="758"/>
      <c r="M8068" s="758"/>
      <c r="N8068" s="758"/>
      <c r="O8068" s="758"/>
      <c r="P8068" s="758"/>
      <c r="Q8068" s="519"/>
      <c r="R8068" s="759">
        <f t="shared" si="800"/>
        <v>0</v>
      </c>
      <c r="S8068" s="519"/>
      <c r="T8068" s="760">
        <f t="shared" si="801"/>
        <v>0</v>
      </c>
      <c r="AR8068" s="51"/>
      <c r="AS8068" s="753"/>
    </row>
    <row r="8069" spans="1:45" s="520" customFormat="1" ht="12">
      <c r="A8069" s="51"/>
      <c r="B8069" s="758"/>
      <c r="C8069" s="758"/>
      <c r="D8069" s="758"/>
      <c r="E8069" s="758"/>
      <c r="F8069" s="753"/>
      <c r="G8069" s="758"/>
      <c r="H8069" s="758"/>
      <c r="I8069" s="519"/>
      <c r="J8069" s="758"/>
      <c r="K8069" s="758"/>
      <c r="L8069" s="758"/>
      <c r="M8069" s="758"/>
      <c r="N8069" s="758"/>
      <c r="O8069" s="758"/>
      <c r="P8069" s="758"/>
      <c r="Q8069" s="519"/>
      <c r="R8069" s="759">
        <f t="shared" si="800"/>
        <v>0</v>
      </c>
      <c r="S8069" s="519"/>
      <c r="T8069" s="760">
        <f t="shared" si="801"/>
        <v>0</v>
      </c>
      <c r="AR8069" s="51"/>
      <c r="AS8069" s="753"/>
    </row>
    <row r="8070" spans="1:45" s="520" customFormat="1" ht="12">
      <c r="A8070" s="51"/>
      <c r="B8070" s="758"/>
      <c r="C8070" s="758"/>
      <c r="D8070" s="758"/>
      <c r="E8070" s="758"/>
      <c r="F8070" s="753"/>
      <c r="G8070" s="758"/>
      <c r="H8070" s="758"/>
      <c r="I8070" s="519"/>
      <c r="J8070" s="758"/>
      <c r="K8070" s="758"/>
      <c r="L8070" s="758"/>
      <c r="M8070" s="758"/>
      <c r="N8070" s="758"/>
      <c r="O8070" s="758"/>
      <c r="P8070" s="758"/>
      <c r="Q8070" s="519"/>
      <c r="R8070" s="759">
        <f t="shared" si="800"/>
        <v>0</v>
      </c>
      <c r="S8070" s="519"/>
      <c r="T8070" s="760">
        <f t="shared" si="801"/>
        <v>0</v>
      </c>
      <c r="AR8070" s="51"/>
      <c r="AS8070" s="753"/>
    </row>
    <row r="8071" spans="1:45" s="520" customFormat="1" ht="12">
      <c r="A8071" s="758"/>
      <c r="B8071" s="758"/>
      <c r="C8071" s="758"/>
      <c r="D8071" s="758"/>
      <c r="E8071" s="758"/>
      <c r="F8071" s="753"/>
      <c r="G8071" s="758"/>
      <c r="H8071" s="758"/>
      <c r="I8071" s="519"/>
      <c r="J8071" s="758"/>
      <c r="K8071" s="758"/>
      <c r="L8071" s="758"/>
      <c r="M8071" s="758"/>
      <c r="N8071" s="758"/>
      <c r="O8071" s="758"/>
      <c r="P8071" s="758"/>
      <c r="Q8071" s="519"/>
      <c r="R8071" s="759">
        <f t="shared" si="800"/>
        <v>0</v>
      </c>
      <c r="S8071" s="519"/>
      <c r="T8071" s="760">
        <f t="shared" si="801"/>
        <v>0</v>
      </c>
      <c r="AR8071" s="758"/>
      <c r="AS8071" s="753"/>
    </row>
    <row r="8072" spans="1:45" s="520" customFormat="1" ht="12.6" thickBot="1">
      <c r="A8072" s="761" t="s">
        <v>145</v>
      </c>
      <c r="B8072" s="762">
        <f>(R8071+T8071)</f>
        <v>0</v>
      </c>
      <c r="C8072" s="763"/>
      <c r="D8072" s="763"/>
      <c r="E8072" s="763"/>
      <c r="F8072" s="764"/>
      <c r="G8072" s="763" t="s">
        <v>146</v>
      </c>
      <c r="H8072" s="763"/>
      <c r="I8072" s="765"/>
      <c r="J8072" s="763"/>
      <c r="K8072" s="763" t="s">
        <v>3</v>
      </c>
      <c r="L8072" s="766" t="s">
        <v>143</v>
      </c>
      <c r="M8072" s="766"/>
      <c r="N8072" s="766"/>
      <c r="O8072" s="766"/>
      <c r="P8072" s="766"/>
      <c r="Q8072" s="767"/>
      <c r="R8072" s="768">
        <f>SUM(R8065:R8071)</f>
        <v>0</v>
      </c>
      <c r="S8072" s="763"/>
      <c r="T8072" s="768">
        <f>SUM(T8065:T8071)</f>
        <v>0</v>
      </c>
      <c r="U8072" s="531"/>
      <c r="V8072" s="531"/>
      <c r="W8072" s="531"/>
      <c r="X8072" s="531"/>
      <c r="Y8072" s="531"/>
      <c r="Z8072" s="531"/>
      <c r="AA8072" s="531"/>
      <c r="AB8072" s="531"/>
      <c r="AC8072" s="531"/>
      <c r="AD8072" s="531"/>
      <c r="AE8072" s="531"/>
      <c r="AF8072" s="531"/>
      <c r="AG8072" s="531"/>
      <c r="AH8072" s="531"/>
      <c r="AI8072" s="531"/>
      <c r="AJ8072" s="531"/>
      <c r="AK8072" s="531"/>
      <c r="AL8072" s="531"/>
      <c r="AM8072" s="531"/>
      <c r="AN8072" s="531"/>
      <c r="AO8072" s="531"/>
      <c r="AR8072" s="761" t="s">
        <v>145</v>
      </c>
      <c r="AS8072" s="764"/>
    </row>
    <row r="8073" spans="1:45" s="520" customFormat="1" ht="12" thickTop="1">
      <c r="A8073" s="51"/>
      <c r="B8073" s="41"/>
      <c r="C8073" s="51"/>
      <c r="E8073" s="42" t="s">
        <v>138</v>
      </c>
      <c r="F8073" s="42" t="s">
        <v>139</v>
      </c>
      <c r="G8073" s="51"/>
      <c r="H8073" s="51"/>
      <c r="I8073" s="51"/>
      <c r="J8073" s="51"/>
      <c r="K8073" s="51" t="s">
        <v>140</v>
      </c>
      <c r="L8073" s="51"/>
      <c r="M8073" s="51"/>
      <c r="N8073" s="51"/>
      <c r="O8073" s="52"/>
      <c r="P8073" s="51"/>
      <c r="Q8073" s="51"/>
      <c r="R8073" s="51"/>
      <c r="S8073" s="51"/>
      <c r="T8073" s="41"/>
      <c r="AG8073" s="521" t="s">
        <v>268</v>
      </c>
      <c r="AH8073" s="521" t="s">
        <v>269</v>
      </c>
      <c r="AI8073" s="521" t="s">
        <v>270</v>
      </c>
      <c r="AJ8073" s="521" t="s">
        <v>271</v>
      </c>
      <c r="AK8073" s="521" t="s">
        <v>272</v>
      </c>
      <c r="AM8073" s="745" t="s">
        <v>281</v>
      </c>
      <c r="AN8073" s="746" t="s">
        <v>282</v>
      </c>
      <c r="AO8073" s="522" t="s">
        <v>278</v>
      </c>
      <c r="AR8073" s="51"/>
      <c r="AS8073" s="42" t="s">
        <v>139</v>
      </c>
    </row>
    <row r="8074" spans="1:45" s="520" customFormat="1" ht="12" customHeight="1">
      <c r="A8074" s="747">
        <v>1</v>
      </c>
      <c r="B8074" s="523" t="s">
        <v>299</v>
      </c>
      <c r="C8074" s="748"/>
      <c r="D8074" s="749" t="s">
        <v>1067</v>
      </c>
      <c r="E8074" s="750">
        <f>IF(AND($A8074=0,$A$1="DIF"),0, ROUND(ROUND(($R8082*$S$2+($T8082*$T$2))/A8074,2)*$C$2,2))</f>
        <v>0</v>
      </c>
      <c r="F8074" s="751">
        <f>ROUND($A8074*$E8074,2)</f>
        <v>0</v>
      </c>
      <c r="G8074" s="752" t="s">
        <v>142</v>
      </c>
      <c r="H8074" s="753"/>
      <c r="I8074" s="754"/>
      <c r="J8074" s="753"/>
      <c r="K8074" s="753" t="s">
        <v>3</v>
      </c>
      <c r="L8074" s="755" t="s">
        <v>143</v>
      </c>
      <c r="M8074" s="755"/>
      <c r="N8074" s="755"/>
      <c r="O8074" s="755"/>
      <c r="P8074" s="755"/>
      <c r="Q8074" s="1058" t="s">
        <v>3695</v>
      </c>
      <c r="T8074" s="756" t="str">
        <f>IF(AND($R8082=0,$T8082=0),"0.00","mu :" &amp; ROUND($F8074/$C$2/($R8082+$T8082*$D$9),2))</f>
        <v>0.00</v>
      </c>
      <c r="W8074" s="524"/>
      <c r="AG8074" s="481">
        <f>IF($E8074=0,0,ROUND($R8082*$S$2*$C$2/$A8074,2))</f>
        <v>0</v>
      </c>
      <c r="AH8074" s="481">
        <f>$AG8074*$A8074</f>
        <v>0</v>
      </c>
      <c r="AI8074" s="525">
        <f>$E8074-$AG8074</f>
        <v>0</v>
      </c>
      <c r="AJ8074" s="525">
        <f>$A8074*$AI8074</f>
        <v>0</v>
      </c>
      <c r="AK8074" s="526">
        <f>ROUND(($AG8074+$AI8074)*$A8074,2)</f>
        <v>0</v>
      </c>
      <c r="AM8074" s="527">
        <f>ROUND(R8082,2)</f>
        <v>0</v>
      </c>
      <c r="AN8074" s="528">
        <f>ROUND(T8082,2)</f>
        <v>0</v>
      </c>
      <c r="AO8074" s="529">
        <f>ROUND(AM8074+AN8074,2)*A8074</f>
        <v>0</v>
      </c>
      <c r="AR8074" s="747">
        <v>1</v>
      </c>
      <c r="AS8074" s="751">
        <v>0</v>
      </c>
    </row>
    <row r="8075" spans="1:45" s="520" customFormat="1" ht="39.9" customHeight="1">
      <c r="A8075" s="748"/>
      <c r="B8075"/>
      <c r="C8075" s="748"/>
      <c r="D8075" s="1451" t="s">
        <v>307</v>
      </c>
      <c r="E8075" s="1452"/>
      <c r="F8075" s="1452"/>
      <c r="G8075" s="1452"/>
      <c r="H8075" s="1452"/>
      <c r="I8075" s="1452"/>
      <c r="J8075" s="1452"/>
      <c r="K8075" s="1452"/>
      <c r="L8075" s="1452"/>
      <c r="M8075" s="1452"/>
      <c r="N8075" s="1452"/>
      <c r="O8075" s="1452"/>
      <c r="P8075" s="1452"/>
      <c r="Q8075" s="1452"/>
      <c r="R8075" s="1452"/>
      <c r="S8075" s="1452"/>
      <c r="T8075" s="1452"/>
      <c r="AR8075" s="748"/>
    </row>
    <row r="8076" spans="1:45" s="520" customFormat="1" ht="12">
      <c r="A8076" s="51"/>
      <c r="B8076" s="758"/>
      <c r="C8076" s="758"/>
      <c r="D8076" s="758"/>
      <c r="E8076" s="758"/>
      <c r="F8076" s="753"/>
      <c r="G8076" s="758"/>
      <c r="H8076" s="758"/>
      <c r="I8076" s="519"/>
      <c r="J8076" s="758"/>
      <c r="K8076" s="758"/>
      <c r="L8076" s="758"/>
      <c r="M8076" s="758"/>
      <c r="N8076" s="758"/>
      <c r="O8076" s="758"/>
      <c r="P8076" s="758"/>
      <c r="Q8076" s="519"/>
      <c r="R8076" s="759">
        <f t="shared" ref="R8076:R8081" si="802">$A8076*Q8076</f>
        <v>0</v>
      </c>
      <c r="S8076" s="519"/>
      <c r="T8076" s="760">
        <f t="shared" ref="T8076:T8081" si="803">$A8076*S8076*$T$1</f>
        <v>0</v>
      </c>
      <c r="AR8076" s="51"/>
      <c r="AS8076" s="753"/>
    </row>
    <row r="8077" spans="1:45" s="520" customFormat="1" ht="12">
      <c r="A8077" s="51"/>
      <c r="B8077" s="758"/>
      <c r="C8077" s="758"/>
      <c r="D8077" s="758"/>
      <c r="E8077" s="758"/>
      <c r="F8077" s="753"/>
      <c r="G8077" s="758"/>
      <c r="H8077" s="758"/>
      <c r="I8077" s="519"/>
      <c r="J8077" s="758"/>
      <c r="K8077" s="758"/>
      <c r="L8077" s="758"/>
      <c r="M8077" s="758"/>
      <c r="N8077" s="758"/>
      <c r="O8077" s="758"/>
      <c r="P8077" s="758"/>
      <c r="Q8077" s="519"/>
      <c r="R8077" s="759">
        <f t="shared" si="802"/>
        <v>0</v>
      </c>
      <c r="S8077" s="519"/>
      <c r="T8077" s="760">
        <f t="shared" si="803"/>
        <v>0</v>
      </c>
      <c r="AR8077" s="51"/>
      <c r="AS8077" s="753"/>
    </row>
    <row r="8078" spans="1:45" s="520" customFormat="1" ht="12">
      <c r="A8078" s="51"/>
      <c r="B8078" s="758"/>
      <c r="C8078" s="758"/>
      <c r="D8078" s="758"/>
      <c r="E8078" s="758"/>
      <c r="F8078" s="753"/>
      <c r="G8078" s="758"/>
      <c r="H8078" s="758"/>
      <c r="I8078" s="519"/>
      <c r="J8078" s="758"/>
      <c r="K8078" s="758"/>
      <c r="L8078" s="758"/>
      <c r="M8078" s="758"/>
      <c r="N8078" s="758"/>
      <c r="O8078" s="758"/>
      <c r="P8078" s="758"/>
      <c r="Q8078" s="519"/>
      <c r="R8078" s="759">
        <f t="shared" si="802"/>
        <v>0</v>
      </c>
      <c r="S8078" s="519"/>
      <c r="T8078" s="760">
        <f t="shared" si="803"/>
        <v>0</v>
      </c>
      <c r="AR8078" s="51"/>
      <c r="AS8078" s="753"/>
    </row>
    <row r="8079" spans="1:45" s="520" customFormat="1" ht="12">
      <c r="A8079" s="51"/>
      <c r="B8079" s="758"/>
      <c r="C8079" s="758"/>
      <c r="D8079" s="758"/>
      <c r="E8079" s="758"/>
      <c r="F8079" s="753"/>
      <c r="G8079" s="758"/>
      <c r="H8079" s="758"/>
      <c r="I8079" s="519"/>
      <c r="J8079" s="758"/>
      <c r="K8079" s="758"/>
      <c r="L8079" s="758"/>
      <c r="M8079" s="758"/>
      <c r="N8079" s="758"/>
      <c r="O8079" s="758"/>
      <c r="P8079" s="758"/>
      <c r="Q8079" s="519"/>
      <c r="R8079" s="759">
        <f t="shared" si="802"/>
        <v>0</v>
      </c>
      <c r="S8079" s="519"/>
      <c r="T8079" s="760">
        <f t="shared" si="803"/>
        <v>0</v>
      </c>
      <c r="AR8079" s="51"/>
      <c r="AS8079" s="753"/>
    </row>
    <row r="8080" spans="1:45" s="520" customFormat="1" ht="12">
      <c r="A8080" s="51"/>
      <c r="B8080" s="758"/>
      <c r="C8080" s="758"/>
      <c r="D8080" s="758"/>
      <c r="E8080" s="758"/>
      <c r="F8080" s="753"/>
      <c r="G8080" s="758"/>
      <c r="H8080" s="758"/>
      <c r="I8080" s="519"/>
      <c r="J8080" s="758"/>
      <c r="K8080" s="758"/>
      <c r="L8080" s="758"/>
      <c r="M8080" s="758"/>
      <c r="N8080" s="758"/>
      <c r="O8080" s="758"/>
      <c r="P8080" s="758"/>
      <c r="Q8080" s="519"/>
      <c r="R8080" s="759">
        <f t="shared" si="802"/>
        <v>0</v>
      </c>
      <c r="S8080" s="519"/>
      <c r="T8080" s="760">
        <f t="shared" si="803"/>
        <v>0</v>
      </c>
      <c r="AR8080" s="51"/>
      <c r="AS8080" s="753"/>
    </row>
    <row r="8081" spans="1:45" s="520" customFormat="1" ht="12">
      <c r="A8081" s="758"/>
      <c r="B8081" s="758"/>
      <c r="C8081" s="758"/>
      <c r="D8081" s="758"/>
      <c r="E8081" s="758"/>
      <c r="F8081" s="753"/>
      <c r="G8081" s="758"/>
      <c r="H8081" s="758"/>
      <c r="I8081" s="519"/>
      <c r="J8081" s="758"/>
      <c r="K8081" s="758"/>
      <c r="L8081" s="758"/>
      <c r="M8081" s="758"/>
      <c r="N8081" s="758"/>
      <c r="O8081" s="758"/>
      <c r="P8081" s="758"/>
      <c r="Q8081" s="519"/>
      <c r="R8081" s="759">
        <f t="shared" si="802"/>
        <v>0</v>
      </c>
      <c r="S8081" s="519"/>
      <c r="T8081" s="760">
        <f t="shared" si="803"/>
        <v>0</v>
      </c>
      <c r="AR8081" s="758"/>
      <c r="AS8081" s="753"/>
    </row>
    <row r="8082" spans="1:45" s="520" customFormat="1" ht="12.6" thickBot="1">
      <c r="A8082" s="761" t="s">
        <v>145</v>
      </c>
      <c r="B8082" s="762">
        <f>(R8081+T8081)</f>
        <v>0</v>
      </c>
      <c r="C8082" s="763"/>
      <c r="D8082" s="763"/>
      <c r="E8082" s="763"/>
      <c r="F8082" s="764"/>
      <c r="G8082" s="763" t="s">
        <v>146</v>
      </c>
      <c r="H8082" s="763"/>
      <c r="I8082" s="765"/>
      <c r="J8082" s="763"/>
      <c r="K8082" s="763" t="s">
        <v>3</v>
      </c>
      <c r="L8082" s="766" t="s">
        <v>143</v>
      </c>
      <c r="M8082" s="766"/>
      <c r="N8082" s="766"/>
      <c r="O8082" s="766"/>
      <c r="P8082" s="766"/>
      <c r="Q8082" s="767"/>
      <c r="R8082" s="768">
        <f>SUM(R8075:R8081)</f>
        <v>0</v>
      </c>
      <c r="S8082" s="763"/>
      <c r="T8082" s="768">
        <f>SUM(T8075:T8081)</f>
        <v>0</v>
      </c>
      <c r="U8082" s="531"/>
      <c r="V8082" s="531"/>
      <c r="W8082" s="531"/>
      <c r="X8082" s="531"/>
      <c r="Y8082" s="531"/>
      <c r="Z8082" s="531"/>
      <c r="AA8082" s="531"/>
      <c r="AB8082" s="531"/>
      <c r="AC8082" s="531"/>
      <c r="AD8082" s="531"/>
      <c r="AE8082" s="531"/>
      <c r="AF8082" s="531"/>
      <c r="AG8082" s="531"/>
      <c r="AH8082" s="531"/>
      <c r="AI8082" s="531"/>
      <c r="AJ8082" s="531"/>
      <c r="AK8082" s="531"/>
      <c r="AL8082" s="531"/>
      <c r="AM8082" s="531"/>
      <c r="AN8082" s="531"/>
      <c r="AO8082" s="531"/>
      <c r="AR8082" s="761" t="s">
        <v>145</v>
      </c>
      <c r="AS8082" s="764"/>
    </row>
    <row r="8083" spans="1:45" s="520" customFormat="1" ht="12" thickTop="1">
      <c r="A8083" s="51"/>
      <c r="B8083" s="41"/>
      <c r="C8083" s="51"/>
      <c r="E8083" s="42" t="s">
        <v>138</v>
      </c>
      <c r="F8083" s="42" t="s">
        <v>139</v>
      </c>
      <c r="G8083" s="51"/>
      <c r="H8083" s="51"/>
      <c r="I8083" s="51"/>
      <c r="J8083" s="51"/>
      <c r="K8083" s="51" t="s">
        <v>140</v>
      </c>
      <c r="L8083" s="51"/>
      <c r="M8083" s="51"/>
      <c r="N8083" s="51"/>
      <c r="O8083" s="52"/>
      <c r="P8083" s="51"/>
      <c r="Q8083" s="51"/>
      <c r="R8083" s="51"/>
      <c r="S8083" s="51"/>
      <c r="T8083" s="41"/>
      <c r="AG8083" s="521" t="s">
        <v>268</v>
      </c>
      <c r="AH8083" s="521" t="s">
        <v>269</v>
      </c>
      <c r="AI8083" s="521" t="s">
        <v>270</v>
      </c>
      <c r="AJ8083" s="521" t="s">
        <v>271</v>
      </c>
      <c r="AK8083" s="521" t="s">
        <v>272</v>
      </c>
      <c r="AM8083" s="745" t="s">
        <v>281</v>
      </c>
      <c r="AN8083" s="746" t="s">
        <v>282</v>
      </c>
      <c r="AO8083" s="522" t="s">
        <v>278</v>
      </c>
      <c r="AR8083" s="51"/>
      <c r="AS8083" s="42" t="s">
        <v>139</v>
      </c>
    </row>
    <row r="8084" spans="1:45" s="520" customFormat="1" ht="12" customHeight="1">
      <c r="A8084" s="747">
        <v>1</v>
      </c>
      <c r="B8084" s="523" t="s">
        <v>299</v>
      </c>
      <c r="C8084" s="748"/>
      <c r="D8084" s="749" t="s">
        <v>1068</v>
      </c>
      <c r="E8084" s="750">
        <f>IF(AND($A8084=0,$A$1="DIF"),0, ROUND(ROUND(($R8092*$S$2+($T8092*$T$2))/A8084,2)*$C$2,2))</f>
        <v>0</v>
      </c>
      <c r="F8084" s="751">
        <f>ROUND($A8084*$E8084,2)</f>
        <v>0</v>
      </c>
      <c r="G8084" s="752" t="s">
        <v>142</v>
      </c>
      <c r="H8084" s="753"/>
      <c r="I8084" s="754"/>
      <c r="J8084" s="753"/>
      <c r="K8084" s="753" t="s">
        <v>3</v>
      </c>
      <c r="L8084" s="755" t="s">
        <v>143</v>
      </c>
      <c r="M8084" s="755"/>
      <c r="N8084" s="755"/>
      <c r="O8084" s="755"/>
      <c r="P8084" s="755"/>
      <c r="Q8084" s="1058" t="s">
        <v>3695</v>
      </c>
      <c r="T8084" s="756" t="str">
        <f>IF(AND($R8092=0,$T8092=0),"0.00","mu :" &amp; ROUND($F8084/$C$2/($R8092+$T8092*$D$9),2))</f>
        <v>0.00</v>
      </c>
      <c r="W8084" s="524"/>
      <c r="AG8084" s="481">
        <f>IF($E8084=0,0,ROUND($R8092*$S$2*$C$2/$A8084,2))</f>
        <v>0</v>
      </c>
      <c r="AH8084" s="481">
        <f>$AG8084*$A8084</f>
        <v>0</v>
      </c>
      <c r="AI8084" s="525">
        <f>$E8084-$AG8084</f>
        <v>0</v>
      </c>
      <c r="AJ8084" s="525">
        <f>$A8084*$AI8084</f>
        <v>0</v>
      </c>
      <c r="AK8084" s="526">
        <f>ROUND(($AG8084+$AI8084)*$A8084,2)</f>
        <v>0</v>
      </c>
      <c r="AM8084" s="527">
        <f>ROUND(R8092,2)</f>
        <v>0</v>
      </c>
      <c r="AN8084" s="528">
        <f>ROUND(T8092,2)</f>
        <v>0</v>
      </c>
      <c r="AO8084" s="529">
        <f>ROUND(AM8084+AN8084,2)*A8084</f>
        <v>0</v>
      </c>
      <c r="AR8084" s="747">
        <v>1</v>
      </c>
      <c r="AS8084" s="751">
        <v>0</v>
      </c>
    </row>
    <row r="8085" spans="1:45" s="520" customFormat="1" ht="39.9" customHeight="1">
      <c r="A8085" s="748"/>
      <c r="B8085"/>
      <c r="C8085" s="748"/>
      <c r="D8085" s="1451" t="s">
        <v>308</v>
      </c>
      <c r="E8085" s="1452"/>
      <c r="F8085" s="1452"/>
      <c r="G8085" s="1452"/>
      <c r="H8085" s="1452"/>
      <c r="I8085" s="1452"/>
      <c r="J8085" s="1452"/>
      <c r="K8085" s="1452"/>
      <c r="L8085" s="1452"/>
      <c r="M8085" s="1452"/>
      <c r="N8085" s="1452"/>
      <c r="O8085" s="1452"/>
      <c r="P8085" s="1452"/>
      <c r="Q8085" s="1452"/>
      <c r="R8085" s="1452"/>
      <c r="S8085" s="1452"/>
      <c r="T8085" s="1452"/>
      <c r="AR8085" s="748"/>
    </row>
    <row r="8086" spans="1:45" s="520" customFormat="1" ht="12">
      <c r="A8086" s="51"/>
      <c r="B8086" s="758"/>
      <c r="C8086" s="758"/>
      <c r="D8086" s="758"/>
      <c r="E8086" s="758"/>
      <c r="F8086" s="753"/>
      <c r="G8086" s="758"/>
      <c r="H8086" s="758"/>
      <c r="I8086" s="519"/>
      <c r="J8086" s="758"/>
      <c r="K8086" s="758"/>
      <c r="L8086" s="758"/>
      <c r="M8086" s="758"/>
      <c r="N8086" s="758"/>
      <c r="O8086" s="758"/>
      <c r="P8086" s="758"/>
      <c r="Q8086" s="519"/>
      <c r="R8086" s="759">
        <f t="shared" ref="R8086:R8091" si="804">$A8086*Q8086</f>
        <v>0</v>
      </c>
      <c r="S8086" s="519"/>
      <c r="T8086" s="760">
        <f t="shared" ref="T8086:T8091" si="805">$A8086*S8086*$T$1</f>
        <v>0</v>
      </c>
      <c r="AR8086" s="51"/>
      <c r="AS8086" s="753"/>
    </row>
    <row r="8087" spans="1:45" s="520" customFormat="1" ht="12">
      <c r="A8087" s="51"/>
      <c r="B8087" s="758"/>
      <c r="C8087" s="758"/>
      <c r="D8087" s="758"/>
      <c r="E8087" s="758"/>
      <c r="F8087" s="753"/>
      <c r="G8087" s="758"/>
      <c r="H8087" s="758"/>
      <c r="I8087" s="519"/>
      <c r="J8087" s="758"/>
      <c r="K8087" s="758"/>
      <c r="L8087" s="758"/>
      <c r="M8087" s="758"/>
      <c r="N8087" s="758"/>
      <c r="O8087" s="758"/>
      <c r="P8087" s="758"/>
      <c r="Q8087" s="519"/>
      <c r="R8087" s="759">
        <f t="shared" si="804"/>
        <v>0</v>
      </c>
      <c r="S8087" s="519"/>
      <c r="T8087" s="760">
        <f t="shared" si="805"/>
        <v>0</v>
      </c>
      <c r="AR8087" s="51"/>
      <c r="AS8087" s="753"/>
    </row>
    <row r="8088" spans="1:45" s="520" customFormat="1" ht="12">
      <c r="A8088" s="51"/>
      <c r="B8088" s="758"/>
      <c r="C8088" s="758"/>
      <c r="D8088" s="758"/>
      <c r="E8088" s="758"/>
      <c r="F8088" s="753"/>
      <c r="G8088" s="758"/>
      <c r="H8088" s="758"/>
      <c r="I8088" s="519"/>
      <c r="J8088" s="758"/>
      <c r="K8088" s="758"/>
      <c r="L8088" s="758"/>
      <c r="M8088" s="758"/>
      <c r="N8088" s="758"/>
      <c r="O8088" s="758"/>
      <c r="P8088" s="758"/>
      <c r="Q8088" s="519"/>
      <c r="R8088" s="759">
        <f t="shared" si="804"/>
        <v>0</v>
      </c>
      <c r="S8088" s="519"/>
      <c r="T8088" s="760">
        <f t="shared" si="805"/>
        <v>0</v>
      </c>
      <c r="AR8088" s="51"/>
      <c r="AS8088" s="753"/>
    </row>
    <row r="8089" spans="1:45" s="520" customFormat="1" ht="12">
      <c r="A8089" s="51"/>
      <c r="B8089" s="758"/>
      <c r="C8089" s="758"/>
      <c r="D8089" s="758"/>
      <c r="E8089" s="758"/>
      <c r="F8089" s="753"/>
      <c r="G8089" s="758"/>
      <c r="H8089" s="758"/>
      <c r="I8089" s="519"/>
      <c r="J8089" s="758"/>
      <c r="K8089" s="758"/>
      <c r="L8089" s="758"/>
      <c r="M8089" s="758"/>
      <c r="N8089" s="758"/>
      <c r="O8089" s="758"/>
      <c r="P8089" s="758"/>
      <c r="Q8089" s="519"/>
      <c r="R8089" s="759">
        <f t="shared" si="804"/>
        <v>0</v>
      </c>
      <c r="S8089" s="519"/>
      <c r="T8089" s="760">
        <f t="shared" si="805"/>
        <v>0</v>
      </c>
      <c r="AR8089" s="51"/>
      <c r="AS8089" s="753"/>
    </row>
    <row r="8090" spans="1:45" s="520" customFormat="1" ht="12">
      <c r="A8090" s="51"/>
      <c r="B8090" s="758"/>
      <c r="C8090" s="758"/>
      <c r="D8090" s="758"/>
      <c r="E8090" s="758"/>
      <c r="F8090" s="753"/>
      <c r="G8090" s="758"/>
      <c r="H8090" s="758"/>
      <c r="I8090" s="519"/>
      <c r="J8090" s="758"/>
      <c r="K8090" s="758"/>
      <c r="L8090" s="758"/>
      <c r="M8090" s="758"/>
      <c r="N8090" s="758"/>
      <c r="O8090" s="758"/>
      <c r="P8090" s="758"/>
      <c r="Q8090" s="519"/>
      <c r="R8090" s="759">
        <f t="shared" si="804"/>
        <v>0</v>
      </c>
      <c r="S8090" s="519"/>
      <c r="T8090" s="760">
        <f t="shared" si="805"/>
        <v>0</v>
      </c>
      <c r="AR8090" s="51"/>
      <c r="AS8090" s="753"/>
    </row>
    <row r="8091" spans="1:45" s="520" customFormat="1" ht="12">
      <c r="A8091" s="758"/>
      <c r="B8091" s="758"/>
      <c r="C8091" s="758"/>
      <c r="D8091" s="758"/>
      <c r="E8091" s="758"/>
      <c r="F8091" s="753"/>
      <c r="G8091" s="758"/>
      <c r="H8091" s="758"/>
      <c r="I8091" s="519"/>
      <c r="J8091" s="758"/>
      <c r="K8091" s="758"/>
      <c r="L8091" s="758"/>
      <c r="M8091" s="758"/>
      <c r="N8091" s="758"/>
      <c r="O8091" s="758"/>
      <c r="P8091" s="758"/>
      <c r="Q8091" s="519"/>
      <c r="R8091" s="759">
        <f t="shared" si="804"/>
        <v>0</v>
      </c>
      <c r="S8091" s="519"/>
      <c r="T8091" s="760">
        <f t="shared" si="805"/>
        <v>0</v>
      </c>
      <c r="AR8091" s="758"/>
      <c r="AS8091" s="753"/>
    </row>
    <row r="8092" spans="1:45" s="520" customFormat="1" ht="12.6" thickBot="1">
      <c r="A8092" s="761" t="s">
        <v>145</v>
      </c>
      <c r="B8092" s="762">
        <f>(R8091+T8091)</f>
        <v>0</v>
      </c>
      <c r="C8092" s="763"/>
      <c r="D8092" s="763"/>
      <c r="E8092" s="763"/>
      <c r="F8092" s="764"/>
      <c r="G8092" s="763" t="s">
        <v>146</v>
      </c>
      <c r="H8092" s="763"/>
      <c r="I8092" s="765"/>
      <c r="J8092" s="763"/>
      <c r="K8092" s="763" t="s">
        <v>3</v>
      </c>
      <c r="L8092" s="766" t="s">
        <v>143</v>
      </c>
      <c r="M8092" s="766"/>
      <c r="N8092" s="766"/>
      <c r="O8092" s="766"/>
      <c r="P8092" s="766"/>
      <c r="Q8092" s="767"/>
      <c r="R8092" s="768">
        <f>SUM(R8085:R8091)</f>
        <v>0</v>
      </c>
      <c r="S8092" s="763"/>
      <c r="T8092" s="768">
        <f>SUM(T8085:T8091)</f>
        <v>0</v>
      </c>
      <c r="U8092" s="531"/>
      <c r="V8092" s="531"/>
      <c r="W8092" s="531"/>
      <c r="X8092" s="531"/>
      <c r="Y8092" s="531"/>
      <c r="Z8092" s="531"/>
      <c r="AA8092" s="531"/>
      <c r="AB8092" s="531"/>
      <c r="AC8092" s="531"/>
      <c r="AD8092" s="531"/>
      <c r="AE8092" s="531"/>
      <c r="AF8092" s="531"/>
      <c r="AG8092" s="531"/>
      <c r="AH8092" s="531"/>
      <c r="AI8092" s="531"/>
      <c r="AJ8092" s="531"/>
      <c r="AK8092" s="531"/>
      <c r="AL8092" s="531"/>
      <c r="AM8092" s="531"/>
      <c r="AN8092" s="531"/>
      <c r="AO8092" s="531"/>
      <c r="AR8092" s="761" t="s">
        <v>145</v>
      </c>
      <c r="AS8092" s="764"/>
    </row>
    <row r="8093" spans="1:45" s="520" customFormat="1" ht="12" thickTop="1">
      <c r="A8093" s="51"/>
      <c r="B8093" s="41"/>
      <c r="C8093" s="51"/>
      <c r="E8093" s="42" t="s">
        <v>138</v>
      </c>
      <c r="F8093" s="42" t="s">
        <v>139</v>
      </c>
      <c r="G8093" s="51"/>
      <c r="H8093" s="51"/>
      <c r="I8093" s="51"/>
      <c r="J8093" s="51"/>
      <c r="K8093" s="51" t="s">
        <v>140</v>
      </c>
      <c r="L8093" s="51"/>
      <c r="M8093" s="51"/>
      <c r="N8093" s="51"/>
      <c r="O8093" s="52"/>
      <c r="P8093" s="51"/>
      <c r="Q8093" s="51"/>
      <c r="R8093" s="51"/>
      <c r="S8093" s="51"/>
      <c r="T8093" s="41"/>
      <c r="AG8093" s="521" t="s">
        <v>268</v>
      </c>
      <c r="AH8093" s="521" t="s">
        <v>269</v>
      </c>
      <c r="AI8093" s="521" t="s">
        <v>270</v>
      </c>
      <c r="AJ8093" s="521" t="s">
        <v>271</v>
      </c>
      <c r="AK8093" s="521" t="s">
        <v>272</v>
      </c>
      <c r="AM8093" s="745" t="s">
        <v>281</v>
      </c>
      <c r="AN8093" s="746" t="s">
        <v>282</v>
      </c>
      <c r="AO8093" s="522" t="s">
        <v>278</v>
      </c>
      <c r="AR8093" s="51"/>
      <c r="AS8093" s="42" t="s">
        <v>139</v>
      </c>
    </row>
    <row r="8094" spans="1:45" s="520" customFormat="1" ht="12" customHeight="1">
      <c r="A8094" s="747">
        <v>1</v>
      </c>
      <c r="B8094" s="523" t="s">
        <v>299</v>
      </c>
      <c r="C8094" s="748"/>
      <c r="D8094" s="749" t="s">
        <v>1069</v>
      </c>
      <c r="E8094" s="750">
        <f>IF(AND($A8094=0,$A$1="DIF"),0, ROUND(ROUND(($R8102*$S$2+($T8102*$T$2))/A8094,2)*$C$2,2))</f>
        <v>0</v>
      </c>
      <c r="F8094" s="751">
        <f>ROUND($A8094*$E8094,2)</f>
        <v>0</v>
      </c>
      <c r="G8094" s="752" t="s">
        <v>142</v>
      </c>
      <c r="H8094" s="753"/>
      <c r="I8094" s="754"/>
      <c r="J8094" s="753"/>
      <c r="K8094" s="753" t="s">
        <v>3</v>
      </c>
      <c r="L8094" s="755" t="s">
        <v>143</v>
      </c>
      <c r="M8094" s="755"/>
      <c r="N8094" s="755"/>
      <c r="O8094" s="755"/>
      <c r="P8094" s="755"/>
      <c r="Q8094" s="1058" t="s">
        <v>3695</v>
      </c>
      <c r="T8094" s="756" t="str">
        <f>IF(AND($R8102=0,$T8102=0),"0.00","mu :" &amp; ROUND($F8094/$C$2/($R8102+$T8102*$D$9),2))</f>
        <v>0.00</v>
      </c>
      <c r="W8094" s="524"/>
      <c r="AG8094" s="481">
        <f>IF($E8094=0,0,ROUND($R8102*$S$2*$C$2/$A8094,2))</f>
        <v>0</v>
      </c>
      <c r="AH8094" s="481">
        <f>$AG8094*$A8094</f>
        <v>0</v>
      </c>
      <c r="AI8094" s="525">
        <f>$E8094-$AG8094</f>
        <v>0</v>
      </c>
      <c r="AJ8094" s="525">
        <f>$A8094*$AI8094</f>
        <v>0</v>
      </c>
      <c r="AK8094" s="526">
        <f>ROUND(($AG8094+$AI8094)*$A8094,2)</f>
        <v>0</v>
      </c>
      <c r="AM8094" s="527">
        <f>ROUND(R8102,2)</f>
        <v>0</v>
      </c>
      <c r="AN8094" s="528">
        <f>ROUND(T8102,2)</f>
        <v>0</v>
      </c>
      <c r="AO8094" s="529">
        <f>ROUND(AM8094+AN8094,2)*A8094</f>
        <v>0</v>
      </c>
      <c r="AR8094" s="747">
        <v>1</v>
      </c>
      <c r="AS8094" s="751">
        <v>0</v>
      </c>
    </row>
    <row r="8095" spans="1:45" s="520" customFormat="1" ht="39.9" customHeight="1">
      <c r="A8095" s="748"/>
      <c r="B8095"/>
      <c r="C8095" s="748"/>
      <c r="D8095" s="1451" t="s">
        <v>309</v>
      </c>
      <c r="E8095" s="1452"/>
      <c r="F8095" s="1452"/>
      <c r="G8095" s="1452"/>
      <c r="H8095" s="1452"/>
      <c r="I8095" s="1452"/>
      <c r="J8095" s="1452"/>
      <c r="K8095" s="1452"/>
      <c r="L8095" s="1452"/>
      <c r="M8095" s="1452"/>
      <c r="N8095" s="1452"/>
      <c r="O8095" s="1452"/>
      <c r="P8095" s="1452"/>
      <c r="Q8095" s="1452"/>
      <c r="R8095" s="1452"/>
      <c r="S8095" s="1452"/>
      <c r="T8095" s="1452"/>
      <c r="AR8095" s="748"/>
    </row>
    <row r="8096" spans="1:45" s="520" customFormat="1" ht="12">
      <c r="A8096" s="51"/>
      <c r="B8096" s="758"/>
      <c r="C8096" s="758"/>
      <c r="D8096" s="758"/>
      <c r="E8096" s="758"/>
      <c r="F8096" s="753"/>
      <c r="G8096" s="758"/>
      <c r="H8096" s="758"/>
      <c r="I8096" s="519"/>
      <c r="J8096" s="758"/>
      <c r="K8096" s="758"/>
      <c r="L8096" s="758"/>
      <c r="M8096" s="758"/>
      <c r="N8096" s="758"/>
      <c r="O8096" s="758"/>
      <c r="P8096" s="758"/>
      <c r="Q8096" s="519"/>
      <c r="R8096" s="759">
        <f t="shared" ref="R8096:R8101" si="806">$A8096*Q8096</f>
        <v>0</v>
      </c>
      <c r="S8096" s="519"/>
      <c r="T8096" s="760">
        <f t="shared" ref="T8096:T8101" si="807">$A8096*S8096*$T$1</f>
        <v>0</v>
      </c>
      <c r="AR8096" s="51"/>
      <c r="AS8096" s="753"/>
    </row>
    <row r="8097" spans="1:45" s="520" customFormat="1" ht="12">
      <c r="A8097" s="51"/>
      <c r="B8097" s="758"/>
      <c r="C8097" s="758"/>
      <c r="D8097" s="758"/>
      <c r="E8097" s="758"/>
      <c r="F8097" s="753"/>
      <c r="G8097" s="758"/>
      <c r="H8097" s="758"/>
      <c r="I8097" s="519"/>
      <c r="J8097" s="758"/>
      <c r="K8097" s="758"/>
      <c r="L8097" s="758"/>
      <c r="M8097" s="758"/>
      <c r="N8097" s="758"/>
      <c r="O8097" s="758"/>
      <c r="P8097" s="758"/>
      <c r="Q8097" s="519"/>
      <c r="R8097" s="759">
        <f t="shared" si="806"/>
        <v>0</v>
      </c>
      <c r="S8097" s="519"/>
      <c r="T8097" s="760">
        <f t="shared" si="807"/>
        <v>0</v>
      </c>
      <c r="AR8097" s="51"/>
      <c r="AS8097" s="753"/>
    </row>
    <row r="8098" spans="1:45" s="520" customFormat="1" ht="12">
      <c r="A8098" s="51"/>
      <c r="B8098" s="758"/>
      <c r="C8098" s="758"/>
      <c r="D8098" s="758"/>
      <c r="E8098" s="758"/>
      <c r="F8098" s="753"/>
      <c r="G8098" s="758"/>
      <c r="H8098" s="758"/>
      <c r="I8098" s="519"/>
      <c r="J8098" s="758"/>
      <c r="K8098" s="758"/>
      <c r="L8098" s="758"/>
      <c r="M8098" s="758"/>
      <c r="N8098" s="758"/>
      <c r="O8098" s="758"/>
      <c r="P8098" s="758"/>
      <c r="Q8098" s="519"/>
      <c r="R8098" s="759">
        <f t="shared" si="806"/>
        <v>0</v>
      </c>
      <c r="S8098" s="519"/>
      <c r="T8098" s="760">
        <f t="shared" si="807"/>
        <v>0</v>
      </c>
      <c r="AR8098" s="51"/>
      <c r="AS8098" s="753"/>
    </row>
    <row r="8099" spans="1:45" s="520" customFormat="1" ht="12">
      <c r="A8099" s="51"/>
      <c r="B8099" s="758"/>
      <c r="C8099" s="758"/>
      <c r="D8099" s="758"/>
      <c r="E8099" s="758"/>
      <c r="F8099" s="753"/>
      <c r="G8099" s="758"/>
      <c r="H8099" s="758"/>
      <c r="I8099" s="519"/>
      <c r="J8099" s="758"/>
      <c r="K8099" s="758"/>
      <c r="L8099" s="758"/>
      <c r="M8099" s="758"/>
      <c r="N8099" s="758"/>
      <c r="O8099" s="758"/>
      <c r="P8099" s="758"/>
      <c r="Q8099" s="519"/>
      <c r="R8099" s="759">
        <f t="shared" si="806"/>
        <v>0</v>
      </c>
      <c r="S8099" s="519"/>
      <c r="T8099" s="760">
        <f t="shared" si="807"/>
        <v>0</v>
      </c>
      <c r="AR8099" s="51"/>
      <c r="AS8099" s="753"/>
    </row>
    <row r="8100" spans="1:45" s="520" customFormat="1" ht="12">
      <c r="A8100" s="51"/>
      <c r="B8100" s="758"/>
      <c r="C8100" s="758"/>
      <c r="D8100" s="758"/>
      <c r="E8100" s="758"/>
      <c r="F8100" s="753"/>
      <c r="G8100" s="758"/>
      <c r="H8100" s="758"/>
      <c r="I8100" s="519"/>
      <c r="J8100" s="758"/>
      <c r="K8100" s="758"/>
      <c r="L8100" s="758"/>
      <c r="M8100" s="758"/>
      <c r="N8100" s="758"/>
      <c r="O8100" s="758"/>
      <c r="P8100" s="758"/>
      <c r="Q8100" s="519"/>
      <c r="R8100" s="759">
        <f t="shared" si="806"/>
        <v>0</v>
      </c>
      <c r="S8100" s="519"/>
      <c r="T8100" s="760">
        <f t="shared" si="807"/>
        <v>0</v>
      </c>
      <c r="AR8100" s="51"/>
      <c r="AS8100" s="753"/>
    </row>
    <row r="8101" spans="1:45" s="520" customFormat="1" ht="12">
      <c r="A8101" s="758"/>
      <c r="B8101" s="758"/>
      <c r="C8101" s="758"/>
      <c r="D8101" s="758"/>
      <c r="E8101" s="758"/>
      <c r="F8101" s="753"/>
      <c r="G8101" s="758"/>
      <c r="H8101" s="758"/>
      <c r="I8101" s="519"/>
      <c r="J8101" s="758"/>
      <c r="K8101" s="758"/>
      <c r="L8101" s="758"/>
      <c r="M8101" s="758"/>
      <c r="N8101" s="758"/>
      <c r="O8101" s="758"/>
      <c r="P8101" s="758"/>
      <c r="Q8101" s="519"/>
      <c r="R8101" s="759">
        <f t="shared" si="806"/>
        <v>0</v>
      </c>
      <c r="S8101" s="519"/>
      <c r="T8101" s="760">
        <f t="shared" si="807"/>
        <v>0</v>
      </c>
      <c r="AR8101" s="758"/>
      <c r="AS8101" s="753"/>
    </row>
    <row r="8102" spans="1:45" s="520" customFormat="1" ht="12.6" thickBot="1">
      <c r="A8102" s="761" t="s">
        <v>145</v>
      </c>
      <c r="B8102" s="762">
        <f>(R8101+T8101)</f>
        <v>0</v>
      </c>
      <c r="C8102" s="763"/>
      <c r="D8102" s="763"/>
      <c r="E8102" s="763"/>
      <c r="F8102" s="764"/>
      <c r="G8102" s="763" t="s">
        <v>146</v>
      </c>
      <c r="H8102" s="763"/>
      <c r="I8102" s="765"/>
      <c r="J8102" s="763"/>
      <c r="K8102" s="763" t="s">
        <v>3</v>
      </c>
      <c r="L8102" s="766" t="s">
        <v>143</v>
      </c>
      <c r="M8102" s="766"/>
      <c r="N8102" s="766"/>
      <c r="O8102" s="766"/>
      <c r="P8102" s="766"/>
      <c r="Q8102" s="767"/>
      <c r="R8102" s="768">
        <f>SUM(R8095:R8101)</f>
        <v>0</v>
      </c>
      <c r="S8102" s="763"/>
      <c r="T8102" s="768">
        <f>SUM(T8095:T8101)</f>
        <v>0</v>
      </c>
      <c r="U8102" s="531"/>
      <c r="V8102" s="531"/>
      <c r="W8102" s="531"/>
      <c r="X8102" s="531"/>
      <c r="Y8102" s="531"/>
      <c r="Z8102" s="531"/>
      <c r="AA8102" s="531"/>
      <c r="AB8102" s="531"/>
      <c r="AC8102" s="531"/>
      <c r="AD8102" s="531"/>
      <c r="AE8102" s="531"/>
      <c r="AF8102" s="531"/>
      <c r="AG8102" s="531"/>
      <c r="AH8102" s="531"/>
      <c r="AI8102" s="531"/>
      <c r="AJ8102" s="531"/>
      <c r="AK8102" s="531"/>
      <c r="AL8102" s="531"/>
      <c r="AM8102" s="531"/>
      <c r="AN8102" s="531"/>
      <c r="AO8102" s="531"/>
      <c r="AR8102" s="761" t="s">
        <v>145</v>
      </c>
      <c r="AS8102" s="764"/>
    </row>
    <row r="8103" spans="1:45" s="520" customFormat="1" ht="12" thickTop="1">
      <c r="A8103" s="51"/>
      <c r="B8103" s="41"/>
      <c r="C8103" s="51"/>
      <c r="E8103" s="42" t="s">
        <v>138</v>
      </c>
      <c r="F8103" s="42" t="s">
        <v>139</v>
      </c>
      <c r="G8103" s="51"/>
      <c r="H8103" s="51"/>
      <c r="I8103" s="51"/>
      <c r="J8103" s="51"/>
      <c r="K8103" s="51" t="s">
        <v>140</v>
      </c>
      <c r="L8103" s="51"/>
      <c r="M8103" s="51"/>
      <c r="N8103" s="51"/>
      <c r="O8103" s="52"/>
      <c r="P8103" s="51"/>
      <c r="Q8103" s="51"/>
      <c r="R8103" s="51"/>
      <c r="S8103" s="51"/>
      <c r="T8103" s="41"/>
      <c r="AG8103" s="521" t="s">
        <v>268</v>
      </c>
      <c r="AH8103" s="521" t="s">
        <v>269</v>
      </c>
      <c r="AI8103" s="521" t="s">
        <v>270</v>
      </c>
      <c r="AJ8103" s="521" t="s">
        <v>271</v>
      </c>
      <c r="AK8103" s="521" t="s">
        <v>272</v>
      </c>
      <c r="AM8103" s="745" t="s">
        <v>281</v>
      </c>
      <c r="AN8103" s="746" t="s">
        <v>282</v>
      </c>
      <c r="AO8103" s="522" t="s">
        <v>278</v>
      </c>
      <c r="AR8103" s="51"/>
      <c r="AS8103" s="42" t="s">
        <v>139</v>
      </c>
    </row>
    <row r="8104" spans="1:45" s="520" customFormat="1" ht="12" customHeight="1">
      <c r="A8104" s="747">
        <v>1</v>
      </c>
      <c r="B8104" s="523" t="s">
        <v>299</v>
      </c>
      <c r="C8104" s="748"/>
      <c r="D8104" s="749" t="s">
        <v>1070</v>
      </c>
      <c r="E8104" s="750">
        <f>IF(AND($A8104=0,$A$1="DIF"),0, ROUND(ROUND(($R8112*$S$2+($T8112*$T$2))/A8104,2)*$C$2,2))</f>
        <v>0</v>
      </c>
      <c r="F8104" s="751">
        <f>ROUND($A8104*$E8104,2)</f>
        <v>0</v>
      </c>
      <c r="G8104" s="752" t="s">
        <v>142</v>
      </c>
      <c r="H8104" s="753"/>
      <c r="I8104" s="754"/>
      <c r="J8104" s="753"/>
      <c r="K8104" s="753" t="s">
        <v>3</v>
      </c>
      <c r="L8104" s="755" t="s">
        <v>143</v>
      </c>
      <c r="M8104" s="755"/>
      <c r="N8104" s="755"/>
      <c r="O8104" s="755"/>
      <c r="P8104" s="755"/>
      <c r="Q8104" s="1058" t="s">
        <v>3695</v>
      </c>
      <c r="T8104" s="756" t="str">
        <f>IF(AND($R8112=0,$T8112=0),"0.00","mu :" &amp; ROUND($F8104/$C$2/($R8112+$T8112*$D$9),2))</f>
        <v>0.00</v>
      </c>
      <c r="W8104" s="524"/>
      <c r="AG8104" s="481">
        <f>IF($E8104=0,0,ROUND($R8112*$S$2*$C$2/$A8104,2))</f>
        <v>0</v>
      </c>
      <c r="AH8104" s="481">
        <f>$AG8104*$A8104</f>
        <v>0</v>
      </c>
      <c r="AI8104" s="525">
        <f>$E8104-$AG8104</f>
        <v>0</v>
      </c>
      <c r="AJ8104" s="525">
        <f>$A8104*$AI8104</f>
        <v>0</v>
      </c>
      <c r="AK8104" s="526">
        <f>ROUND(($AG8104+$AI8104)*$A8104,2)</f>
        <v>0</v>
      </c>
      <c r="AM8104" s="527">
        <f>ROUND(R8112,2)</f>
        <v>0</v>
      </c>
      <c r="AN8104" s="528">
        <f>ROUND(T8112,2)</f>
        <v>0</v>
      </c>
      <c r="AO8104" s="529">
        <f>ROUND(AM8104+AN8104,2)*A8104</f>
        <v>0</v>
      </c>
      <c r="AR8104" s="747">
        <v>1</v>
      </c>
      <c r="AS8104" s="751">
        <v>0</v>
      </c>
    </row>
    <row r="8105" spans="1:45" s="520" customFormat="1" ht="39.9" customHeight="1">
      <c r="A8105" s="748"/>
      <c r="B8105"/>
      <c r="C8105" s="748"/>
      <c r="D8105" s="1451" t="s">
        <v>310</v>
      </c>
      <c r="E8105" s="1452"/>
      <c r="F8105" s="1452"/>
      <c r="G8105" s="1452"/>
      <c r="H8105" s="1452"/>
      <c r="I8105" s="1452"/>
      <c r="J8105" s="1452"/>
      <c r="K8105" s="1452"/>
      <c r="L8105" s="1452"/>
      <c r="M8105" s="1452"/>
      <c r="N8105" s="1452"/>
      <c r="O8105" s="1452"/>
      <c r="P8105" s="1452"/>
      <c r="Q8105" s="1452"/>
      <c r="R8105" s="1452"/>
      <c r="S8105" s="1452"/>
      <c r="T8105" s="1452"/>
      <c r="AR8105" s="748"/>
    </row>
    <row r="8106" spans="1:45" s="520" customFormat="1" ht="12">
      <c r="A8106" s="51"/>
      <c r="B8106" s="758"/>
      <c r="C8106" s="758"/>
      <c r="D8106" s="758"/>
      <c r="E8106" s="758"/>
      <c r="F8106" s="753"/>
      <c r="G8106" s="758"/>
      <c r="H8106" s="758"/>
      <c r="I8106" s="519"/>
      <c r="J8106" s="758"/>
      <c r="K8106" s="758"/>
      <c r="L8106" s="758"/>
      <c r="M8106" s="758"/>
      <c r="N8106" s="758"/>
      <c r="O8106" s="758"/>
      <c r="P8106" s="758"/>
      <c r="Q8106" s="519"/>
      <c r="R8106" s="759">
        <f t="shared" ref="R8106:R8111" si="808">$A8106*Q8106</f>
        <v>0</v>
      </c>
      <c r="S8106" s="519"/>
      <c r="T8106" s="760">
        <f t="shared" ref="T8106:T8111" si="809">$A8106*S8106*$T$1</f>
        <v>0</v>
      </c>
      <c r="AR8106" s="51"/>
      <c r="AS8106" s="753"/>
    </row>
    <row r="8107" spans="1:45" s="520" customFormat="1" ht="12">
      <c r="A8107" s="51"/>
      <c r="B8107" s="758"/>
      <c r="C8107" s="758"/>
      <c r="D8107" s="758"/>
      <c r="E8107" s="758"/>
      <c r="F8107" s="753"/>
      <c r="G8107" s="758"/>
      <c r="H8107" s="758"/>
      <c r="I8107" s="519"/>
      <c r="J8107" s="758"/>
      <c r="K8107" s="758"/>
      <c r="L8107" s="758"/>
      <c r="M8107" s="758"/>
      <c r="N8107" s="758"/>
      <c r="O8107" s="758"/>
      <c r="P8107" s="758"/>
      <c r="Q8107" s="519"/>
      <c r="R8107" s="759">
        <f t="shared" si="808"/>
        <v>0</v>
      </c>
      <c r="S8107" s="519"/>
      <c r="T8107" s="760">
        <f t="shared" si="809"/>
        <v>0</v>
      </c>
      <c r="AR8107" s="51"/>
      <c r="AS8107" s="753"/>
    </row>
    <row r="8108" spans="1:45" s="520" customFormat="1" ht="12">
      <c r="A8108" s="51"/>
      <c r="B8108" s="758"/>
      <c r="C8108" s="758"/>
      <c r="D8108" s="758"/>
      <c r="E8108" s="758"/>
      <c r="F8108" s="753"/>
      <c r="G8108" s="758"/>
      <c r="H8108" s="758"/>
      <c r="I8108" s="519"/>
      <c r="J8108" s="758"/>
      <c r="K8108" s="758"/>
      <c r="L8108" s="758"/>
      <c r="M8108" s="758"/>
      <c r="N8108" s="758"/>
      <c r="O8108" s="758"/>
      <c r="P8108" s="758"/>
      <c r="Q8108" s="519"/>
      <c r="R8108" s="759">
        <f t="shared" si="808"/>
        <v>0</v>
      </c>
      <c r="S8108" s="519"/>
      <c r="T8108" s="760">
        <f t="shared" si="809"/>
        <v>0</v>
      </c>
      <c r="AR8108" s="51"/>
      <c r="AS8108" s="753"/>
    </row>
    <row r="8109" spans="1:45" s="520" customFormat="1" ht="12">
      <c r="A8109" s="51"/>
      <c r="B8109" s="758"/>
      <c r="C8109" s="758"/>
      <c r="D8109" s="758"/>
      <c r="E8109" s="758"/>
      <c r="F8109" s="753"/>
      <c r="G8109" s="758"/>
      <c r="H8109" s="758"/>
      <c r="I8109" s="519"/>
      <c r="J8109" s="758"/>
      <c r="K8109" s="758"/>
      <c r="L8109" s="758"/>
      <c r="M8109" s="758"/>
      <c r="N8109" s="758"/>
      <c r="O8109" s="758"/>
      <c r="P8109" s="758"/>
      <c r="Q8109" s="519"/>
      <c r="R8109" s="759">
        <f t="shared" si="808"/>
        <v>0</v>
      </c>
      <c r="S8109" s="519"/>
      <c r="T8109" s="760">
        <f t="shared" si="809"/>
        <v>0</v>
      </c>
      <c r="AR8109" s="51"/>
      <c r="AS8109" s="753"/>
    </row>
    <row r="8110" spans="1:45" s="520" customFormat="1" ht="12">
      <c r="A8110" s="51"/>
      <c r="B8110" s="758"/>
      <c r="C8110" s="758"/>
      <c r="D8110" s="758"/>
      <c r="E8110" s="758"/>
      <c r="F8110" s="753"/>
      <c r="G8110" s="758"/>
      <c r="H8110" s="758"/>
      <c r="I8110" s="519"/>
      <c r="J8110" s="758"/>
      <c r="K8110" s="758"/>
      <c r="L8110" s="758"/>
      <c r="M8110" s="758"/>
      <c r="N8110" s="758"/>
      <c r="O8110" s="758"/>
      <c r="P8110" s="758"/>
      <c r="Q8110" s="519"/>
      <c r="R8110" s="759">
        <f t="shared" si="808"/>
        <v>0</v>
      </c>
      <c r="S8110" s="519"/>
      <c r="T8110" s="760">
        <f t="shared" si="809"/>
        <v>0</v>
      </c>
      <c r="AR8110" s="51"/>
      <c r="AS8110" s="753"/>
    </row>
    <row r="8111" spans="1:45" s="520" customFormat="1" ht="12">
      <c r="A8111" s="758"/>
      <c r="B8111" s="758"/>
      <c r="C8111" s="758"/>
      <c r="D8111" s="758"/>
      <c r="E8111" s="758"/>
      <c r="F8111" s="753"/>
      <c r="G8111" s="758"/>
      <c r="H8111" s="758"/>
      <c r="I8111" s="519"/>
      <c r="J8111" s="758"/>
      <c r="K8111" s="758"/>
      <c r="L8111" s="758"/>
      <c r="M8111" s="758"/>
      <c r="N8111" s="758"/>
      <c r="O8111" s="758"/>
      <c r="P8111" s="758"/>
      <c r="Q8111" s="519"/>
      <c r="R8111" s="759">
        <f t="shared" si="808"/>
        <v>0</v>
      </c>
      <c r="S8111" s="519"/>
      <c r="T8111" s="760">
        <f t="shared" si="809"/>
        <v>0</v>
      </c>
      <c r="AR8111" s="758"/>
      <c r="AS8111" s="753"/>
    </row>
    <row r="8112" spans="1:45" s="520" customFormat="1" ht="12.6" thickBot="1">
      <c r="A8112" s="761" t="s">
        <v>145</v>
      </c>
      <c r="B8112" s="762">
        <f>(R8111+T8111)</f>
        <v>0</v>
      </c>
      <c r="C8112" s="763"/>
      <c r="D8112" s="763"/>
      <c r="E8112" s="763"/>
      <c r="F8112" s="764"/>
      <c r="G8112" s="763" t="s">
        <v>146</v>
      </c>
      <c r="H8112" s="763"/>
      <c r="I8112" s="765"/>
      <c r="J8112" s="763"/>
      <c r="K8112" s="763" t="s">
        <v>3</v>
      </c>
      <c r="L8112" s="766" t="s">
        <v>143</v>
      </c>
      <c r="M8112" s="766"/>
      <c r="N8112" s="766"/>
      <c r="O8112" s="766"/>
      <c r="P8112" s="766"/>
      <c r="Q8112" s="767"/>
      <c r="R8112" s="768">
        <f>SUM(R8105:R8111)</f>
        <v>0</v>
      </c>
      <c r="S8112" s="763"/>
      <c r="T8112" s="768">
        <f>SUM(T8105:T8111)</f>
        <v>0</v>
      </c>
      <c r="U8112" s="531"/>
      <c r="V8112" s="531"/>
      <c r="W8112" s="531"/>
      <c r="X8112" s="531"/>
      <c r="Y8112" s="531"/>
      <c r="Z8112" s="531"/>
      <c r="AA8112" s="531"/>
      <c r="AB8112" s="531"/>
      <c r="AC8112" s="531"/>
      <c r="AD8112" s="531"/>
      <c r="AE8112" s="531"/>
      <c r="AF8112" s="531"/>
      <c r="AG8112" s="531"/>
      <c r="AH8112" s="531"/>
      <c r="AI8112" s="531"/>
      <c r="AJ8112" s="531"/>
      <c r="AK8112" s="531"/>
      <c r="AL8112" s="531"/>
      <c r="AM8112" s="531"/>
      <c r="AN8112" s="531"/>
      <c r="AO8112" s="531"/>
      <c r="AR8112" s="761" t="s">
        <v>145</v>
      </c>
      <c r="AS8112" s="764"/>
    </row>
    <row r="8113" spans="1:45" s="520" customFormat="1" ht="12" thickTop="1">
      <c r="A8113" s="51"/>
      <c r="B8113" s="41"/>
      <c r="C8113" s="51"/>
      <c r="E8113" s="42" t="s">
        <v>138</v>
      </c>
      <c r="F8113" s="42" t="s">
        <v>139</v>
      </c>
      <c r="G8113" s="51"/>
      <c r="H8113" s="51"/>
      <c r="I8113" s="51"/>
      <c r="J8113" s="51"/>
      <c r="K8113" s="51" t="s">
        <v>140</v>
      </c>
      <c r="L8113" s="51"/>
      <c r="M8113" s="51"/>
      <c r="N8113" s="51"/>
      <c r="O8113" s="52"/>
      <c r="P8113" s="51"/>
      <c r="Q8113" s="51"/>
      <c r="R8113" s="51"/>
      <c r="S8113" s="51"/>
      <c r="T8113" s="41"/>
      <c r="AG8113" s="521" t="s">
        <v>268</v>
      </c>
      <c r="AH8113" s="521" t="s">
        <v>269</v>
      </c>
      <c r="AI8113" s="521" t="s">
        <v>270</v>
      </c>
      <c r="AJ8113" s="521" t="s">
        <v>271</v>
      </c>
      <c r="AK8113" s="521" t="s">
        <v>272</v>
      </c>
      <c r="AM8113" s="745" t="s">
        <v>281</v>
      </c>
      <c r="AN8113" s="746" t="s">
        <v>282</v>
      </c>
      <c r="AO8113" s="522" t="s">
        <v>278</v>
      </c>
      <c r="AR8113" s="51"/>
      <c r="AS8113" s="42" t="s">
        <v>139</v>
      </c>
    </row>
    <row r="8114" spans="1:45" s="520" customFormat="1" ht="12" customHeight="1">
      <c r="A8114" s="747">
        <v>1</v>
      </c>
      <c r="B8114" s="523" t="s">
        <v>299</v>
      </c>
      <c r="C8114" s="748"/>
      <c r="D8114" s="749" t="s">
        <v>1071</v>
      </c>
      <c r="E8114" s="750">
        <f>IF(AND($A8114=0,$A$1="DIF"),0, ROUND(ROUND(($R8122*$S$2+($T8122*$T$2))/A8114,2)*$C$2,2))</f>
        <v>0</v>
      </c>
      <c r="F8114" s="751">
        <f>ROUND($A8114*$E8114,2)</f>
        <v>0</v>
      </c>
      <c r="G8114" s="752" t="s">
        <v>142</v>
      </c>
      <c r="H8114" s="753"/>
      <c r="I8114" s="754"/>
      <c r="J8114" s="753"/>
      <c r="K8114" s="753" t="s">
        <v>3</v>
      </c>
      <c r="L8114" s="755" t="s">
        <v>143</v>
      </c>
      <c r="M8114" s="755"/>
      <c r="N8114" s="755"/>
      <c r="O8114" s="755"/>
      <c r="P8114" s="755"/>
      <c r="Q8114" s="1058" t="s">
        <v>3695</v>
      </c>
      <c r="T8114" s="756" t="str">
        <f>IF(AND($R8122=0,$T8122=0),"0.00","mu :" &amp; ROUND($F8114/$C$2/($R8122+$T8122*$D$9),2))</f>
        <v>0.00</v>
      </c>
      <c r="W8114" s="524"/>
      <c r="AG8114" s="481">
        <f>IF($E8114=0,0,ROUND($R8122*$S$2*$C$2/$A8114,2))</f>
        <v>0</v>
      </c>
      <c r="AH8114" s="481">
        <f>$AG8114*$A8114</f>
        <v>0</v>
      </c>
      <c r="AI8114" s="525">
        <f>$E8114-$AG8114</f>
        <v>0</v>
      </c>
      <c r="AJ8114" s="525">
        <f>$A8114*$AI8114</f>
        <v>0</v>
      </c>
      <c r="AK8114" s="526">
        <f>ROUND(($AG8114+$AI8114)*$A8114,2)</f>
        <v>0</v>
      </c>
      <c r="AM8114" s="527">
        <f>ROUND(R8122,2)</f>
        <v>0</v>
      </c>
      <c r="AN8114" s="528">
        <f>ROUND(T8122,2)</f>
        <v>0</v>
      </c>
      <c r="AO8114" s="529">
        <f>ROUND(AM8114+AN8114,2)*A8114</f>
        <v>0</v>
      </c>
      <c r="AR8114" s="747">
        <v>1</v>
      </c>
      <c r="AS8114" s="751">
        <v>0</v>
      </c>
    </row>
    <row r="8115" spans="1:45" s="520" customFormat="1" ht="39.9" customHeight="1">
      <c r="A8115" s="748"/>
      <c r="B8115"/>
      <c r="C8115" s="748"/>
      <c r="D8115" s="1451" t="s">
        <v>311</v>
      </c>
      <c r="E8115" s="1452"/>
      <c r="F8115" s="1452"/>
      <c r="G8115" s="1452"/>
      <c r="H8115" s="1452"/>
      <c r="I8115" s="1452"/>
      <c r="J8115" s="1452"/>
      <c r="K8115" s="1452"/>
      <c r="L8115" s="1452"/>
      <c r="M8115" s="1452"/>
      <c r="N8115" s="1452"/>
      <c r="O8115" s="1452"/>
      <c r="P8115" s="1452"/>
      <c r="Q8115" s="1452"/>
      <c r="R8115" s="1452"/>
      <c r="S8115" s="1452"/>
      <c r="T8115" s="1452"/>
      <c r="AR8115" s="748"/>
    </row>
    <row r="8116" spans="1:45" s="520" customFormat="1" ht="12">
      <c r="A8116" s="51"/>
      <c r="B8116" s="758"/>
      <c r="C8116" s="758"/>
      <c r="D8116" s="758"/>
      <c r="E8116" s="758"/>
      <c r="F8116" s="753"/>
      <c r="G8116" s="758"/>
      <c r="H8116" s="758"/>
      <c r="I8116" s="519"/>
      <c r="J8116" s="758"/>
      <c r="K8116" s="758"/>
      <c r="L8116" s="758"/>
      <c r="M8116" s="758"/>
      <c r="N8116" s="758"/>
      <c r="O8116" s="758"/>
      <c r="P8116" s="758"/>
      <c r="Q8116" s="519"/>
      <c r="R8116" s="759">
        <f t="shared" ref="R8116:R8121" si="810">$A8116*Q8116</f>
        <v>0</v>
      </c>
      <c r="S8116" s="519"/>
      <c r="T8116" s="760">
        <f t="shared" ref="T8116:T8121" si="811">$A8116*S8116*$T$1</f>
        <v>0</v>
      </c>
      <c r="AR8116" s="51"/>
      <c r="AS8116" s="753"/>
    </row>
    <row r="8117" spans="1:45" s="520" customFormat="1" ht="12">
      <c r="A8117" s="51"/>
      <c r="B8117" s="758"/>
      <c r="C8117" s="758"/>
      <c r="D8117" s="758"/>
      <c r="E8117" s="758"/>
      <c r="F8117" s="753"/>
      <c r="G8117" s="758"/>
      <c r="H8117" s="758"/>
      <c r="I8117" s="519"/>
      <c r="J8117" s="758"/>
      <c r="K8117" s="758"/>
      <c r="L8117" s="758"/>
      <c r="M8117" s="758"/>
      <c r="N8117" s="758"/>
      <c r="O8117" s="758"/>
      <c r="P8117" s="758"/>
      <c r="Q8117" s="519"/>
      <c r="R8117" s="759">
        <f t="shared" si="810"/>
        <v>0</v>
      </c>
      <c r="S8117" s="519"/>
      <c r="T8117" s="760">
        <f t="shared" si="811"/>
        <v>0</v>
      </c>
      <c r="AR8117" s="51"/>
      <c r="AS8117" s="753"/>
    </row>
    <row r="8118" spans="1:45" s="520" customFormat="1" ht="12">
      <c r="A8118" s="51"/>
      <c r="B8118" s="758"/>
      <c r="C8118" s="758"/>
      <c r="D8118" s="758"/>
      <c r="E8118" s="758"/>
      <c r="F8118" s="753"/>
      <c r="G8118" s="758"/>
      <c r="H8118" s="758"/>
      <c r="I8118" s="519"/>
      <c r="J8118" s="758"/>
      <c r="K8118" s="758"/>
      <c r="L8118" s="758"/>
      <c r="M8118" s="758"/>
      <c r="N8118" s="758"/>
      <c r="O8118" s="758"/>
      <c r="P8118" s="758"/>
      <c r="Q8118" s="519"/>
      <c r="R8118" s="759">
        <f t="shared" si="810"/>
        <v>0</v>
      </c>
      <c r="S8118" s="519"/>
      <c r="T8118" s="760">
        <f t="shared" si="811"/>
        <v>0</v>
      </c>
      <c r="AR8118" s="51"/>
      <c r="AS8118" s="753"/>
    </row>
    <row r="8119" spans="1:45" s="520" customFormat="1" ht="12">
      <c r="A8119" s="51"/>
      <c r="B8119" s="758"/>
      <c r="C8119" s="758"/>
      <c r="D8119" s="758"/>
      <c r="E8119" s="758"/>
      <c r="F8119" s="753"/>
      <c r="G8119" s="758"/>
      <c r="H8119" s="758"/>
      <c r="I8119" s="519"/>
      <c r="J8119" s="758"/>
      <c r="K8119" s="758"/>
      <c r="L8119" s="758"/>
      <c r="M8119" s="758"/>
      <c r="N8119" s="758"/>
      <c r="O8119" s="758"/>
      <c r="P8119" s="758"/>
      <c r="Q8119" s="519"/>
      <c r="R8119" s="759">
        <f t="shared" si="810"/>
        <v>0</v>
      </c>
      <c r="S8119" s="519"/>
      <c r="T8119" s="760">
        <f t="shared" si="811"/>
        <v>0</v>
      </c>
      <c r="AR8119" s="51"/>
      <c r="AS8119" s="753"/>
    </row>
    <row r="8120" spans="1:45" s="520" customFormat="1" ht="12">
      <c r="A8120" s="51"/>
      <c r="B8120" s="758"/>
      <c r="C8120" s="758"/>
      <c r="D8120" s="758"/>
      <c r="E8120" s="758"/>
      <c r="F8120" s="753"/>
      <c r="G8120" s="758"/>
      <c r="H8120" s="758"/>
      <c r="I8120" s="519"/>
      <c r="J8120" s="758"/>
      <c r="K8120" s="758"/>
      <c r="L8120" s="758"/>
      <c r="M8120" s="758"/>
      <c r="N8120" s="758"/>
      <c r="O8120" s="758"/>
      <c r="P8120" s="758"/>
      <c r="Q8120" s="519"/>
      <c r="R8120" s="759">
        <f t="shared" si="810"/>
        <v>0</v>
      </c>
      <c r="S8120" s="519"/>
      <c r="T8120" s="760">
        <f t="shared" si="811"/>
        <v>0</v>
      </c>
      <c r="AR8120" s="51"/>
      <c r="AS8120" s="753"/>
    </row>
    <row r="8121" spans="1:45" s="520" customFormat="1" ht="12">
      <c r="A8121" s="758"/>
      <c r="B8121" s="758"/>
      <c r="C8121" s="758"/>
      <c r="D8121" s="758"/>
      <c r="E8121" s="758"/>
      <c r="F8121" s="753"/>
      <c r="G8121" s="758"/>
      <c r="H8121" s="758"/>
      <c r="I8121" s="519"/>
      <c r="J8121" s="758"/>
      <c r="K8121" s="758"/>
      <c r="L8121" s="758"/>
      <c r="M8121" s="758"/>
      <c r="N8121" s="758"/>
      <c r="O8121" s="758"/>
      <c r="P8121" s="758"/>
      <c r="Q8121" s="519"/>
      <c r="R8121" s="759">
        <f t="shared" si="810"/>
        <v>0</v>
      </c>
      <c r="S8121" s="519"/>
      <c r="T8121" s="760">
        <f t="shared" si="811"/>
        <v>0</v>
      </c>
      <c r="AR8121" s="758"/>
      <c r="AS8121" s="753"/>
    </row>
    <row r="8122" spans="1:45" s="520" customFormat="1" ht="12.6" thickBot="1">
      <c r="A8122" s="761" t="s">
        <v>145</v>
      </c>
      <c r="B8122" s="762">
        <f>(R8121+T8121)</f>
        <v>0</v>
      </c>
      <c r="C8122" s="763"/>
      <c r="D8122" s="763"/>
      <c r="E8122" s="763"/>
      <c r="F8122" s="764"/>
      <c r="G8122" s="763" t="s">
        <v>146</v>
      </c>
      <c r="H8122" s="763"/>
      <c r="I8122" s="765"/>
      <c r="J8122" s="763"/>
      <c r="K8122" s="763" t="s">
        <v>3</v>
      </c>
      <c r="L8122" s="766" t="s">
        <v>143</v>
      </c>
      <c r="M8122" s="766"/>
      <c r="N8122" s="766"/>
      <c r="O8122" s="766"/>
      <c r="P8122" s="766"/>
      <c r="Q8122" s="767"/>
      <c r="R8122" s="768">
        <f>SUM(R8115:R8121)</f>
        <v>0</v>
      </c>
      <c r="S8122" s="763"/>
      <c r="T8122" s="768">
        <f>SUM(T8115:T8121)</f>
        <v>0</v>
      </c>
      <c r="U8122" s="531"/>
      <c r="V8122" s="531"/>
      <c r="W8122" s="531"/>
      <c r="X8122" s="531"/>
      <c r="Y8122" s="531"/>
      <c r="Z8122" s="531"/>
      <c r="AA8122" s="531"/>
      <c r="AB8122" s="531"/>
      <c r="AC8122" s="531"/>
      <c r="AD8122" s="531"/>
      <c r="AE8122" s="531"/>
      <c r="AF8122" s="531"/>
      <c r="AG8122" s="531"/>
      <c r="AH8122" s="531"/>
      <c r="AI8122" s="531"/>
      <c r="AJ8122" s="531"/>
      <c r="AK8122" s="531"/>
      <c r="AL8122" s="531"/>
      <c r="AM8122" s="531"/>
      <c r="AN8122" s="531"/>
      <c r="AO8122" s="531"/>
      <c r="AR8122" s="761" t="s">
        <v>145</v>
      </c>
      <c r="AS8122" s="764"/>
    </row>
    <row r="8123" spans="1:45" s="520" customFormat="1" ht="12" thickTop="1">
      <c r="A8123" s="51"/>
      <c r="B8123" s="41"/>
      <c r="C8123" s="51"/>
      <c r="E8123" s="42" t="s">
        <v>138</v>
      </c>
      <c r="F8123" s="42" t="s">
        <v>139</v>
      </c>
      <c r="G8123" s="51"/>
      <c r="H8123" s="51"/>
      <c r="I8123" s="51"/>
      <c r="J8123" s="51"/>
      <c r="K8123" s="51" t="s">
        <v>140</v>
      </c>
      <c r="L8123" s="51"/>
      <c r="M8123" s="51"/>
      <c r="N8123" s="51"/>
      <c r="O8123" s="52"/>
      <c r="P8123" s="51"/>
      <c r="Q8123" s="51"/>
      <c r="R8123" s="51"/>
      <c r="S8123" s="51"/>
      <c r="T8123" s="41"/>
      <c r="AG8123" s="521" t="s">
        <v>268</v>
      </c>
      <c r="AH8123" s="521" t="s">
        <v>269</v>
      </c>
      <c r="AI8123" s="521" t="s">
        <v>270</v>
      </c>
      <c r="AJ8123" s="521" t="s">
        <v>271</v>
      </c>
      <c r="AK8123" s="521" t="s">
        <v>272</v>
      </c>
      <c r="AM8123" s="745" t="s">
        <v>281</v>
      </c>
      <c r="AN8123" s="746" t="s">
        <v>282</v>
      </c>
      <c r="AO8123" s="522" t="s">
        <v>278</v>
      </c>
      <c r="AR8123" s="51"/>
      <c r="AS8123" s="42" t="s">
        <v>139</v>
      </c>
    </row>
    <row r="8124" spans="1:45" s="520" customFormat="1" ht="12" customHeight="1">
      <c r="A8124" s="747">
        <v>1</v>
      </c>
      <c r="B8124" s="523" t="s">
        <v>299</v>
      </c>
      <c r="C8124" s="748"/>
      <c r="D8124" s="749" t="s">
        <v>1072</v>
      </c>
      <c r="E8124" s="750">
        <f>IF(AND($A8124=0,$A$1="DIF"),0, ROUND(ROUND(($R8132*$S$2+($T8132*$T$2))/A8124,2)*$C$2,2))</f>
        <v>0</v>
      </c>
      <c r="F8124" s="751">
        <f>ROUND($A8124*$E8124,2)</f>
        <v>0</v>
      </c>
      <c r="G8124" s="752" t="s">
        <v>142</v>
      </c>
      <c r="H8124" s="753"/>
      <c r="I8124" s="754"/>
      <c r="J8124" s="753"/>
      <c r="K8124" s="753" t="s">
        <v>3</v>
      </c>
      <c r="L8124" s="755" t="s">
        <v>143</v>
      </c>
      <c r="M8124" s="755"/>
      <c r="N8124" s="755"/>
      <c r="O8124" s="755"/>
      <c r="P8124" s="755"/>
      <c r="Q8124" s="1058" t="s">
        <v>3695</v>
      </c>
      <c r="T8124" s="756" t="str">
        <f>IF(AND($R8132=0,$T8132=0),"0.00","mu :" &amp; ROUND($F8124/$C$2/($R8132+$T8132*$D$9),2))</f>
        <v>0.00</v>
      </c>
      <c r="W8124" s="524"/>
      <c r="AG8124" s="481">
        <f>IF($E8124=0,0,ROUND($R8132*$S$2*$C$2/$A8124,2))</f>
        <v>0</v>
      </c>
      <c r="AH8124" s="481">
        <f>$AG8124*$A8124</f>
        <v>0</v>
      </c>
      <c r="AI8124" s="525">
        <f>$E8124-$AG8124</f>
        <v>0</v>
      </c>
      <c r="AJ8124" s="525">
        <f>$A8124*$AI8124</f>
        <v>0</v>
      </c>
      <c r="AK8124" s="526">
        <f>ROUND(($AG8124+$AI8124)*$A8124,2)</f>
        <v>0</v>
      </c>
      <c r="AM8124" s="527">
        <f>ROUND(R8132,2)</f>
        <v>0</v>
      </c>
      <c r="AN8124" s="528">
        <f>ROUND(T8132,2)</f>
        <v>0</v>
      </c>
      <c r="AO8124" s="529">
        <f>ROUND(AM8124+AN8124,2)*A8124</f>
        <v>0</v>
      </c>
      <c r="AR8124" s="747">
        <v>1</v>
      </c>
      <c r="AS8124" s="751">
        <v>0</v>
      </c>
    </row>
    <row r="8125" spans="1:45" s="520" customFormat="1" ht="39.9" customHeight="1">
      <c r="A8125" s="748"/>
      <c r="B8125"/>
      <c r="C8125" s="748"/>
      <c r="D8125" s="1451" t="s">
        <v>312</v>
      </c>
      <c r="E8125" s="1452"/>
      <c r="F8125" s="1452"/>
      <c r="G8125" s="1452"/>
      <c r="H8125" s="1452"/>
      <c r="I8125" s="1452"/>
      <c r="J8125" s="1452"/>
      <c r="K8125" s="1452"/>
      <c r="L8125" s="1452"/>
      <c r="M8125" s="1452"/>
      <c r="N8125" s="1452"/>
      <c r="O8125" s="1452"/>
      <c r="P8125" s="1452"/>
      <c r="Q8125" s="1452"/>
      <c r="R8125" s="1452"/>
      <c r="S8125" s="1452"/>
      <c r="T8125" s="1452"/>
      <c r="AR8125" s="748"/>
    </row>
    <row r="8126" spans="1:45" s="520" customFormat="1" ht="12">
      <c r="A8126" s="51"/>
      <c r="B8126" s="758"/>
      <c r="C8126" s="758"/>
      <c r="D8126" s="758"/>
      <c r="E8126" s="758"/>
      <c r="F8126" s="753"/>
      <c r="G8126" s="758"/>
      <c r="H8126" s="758"/>
      <c r="I8126" s="519"/>
      <c r="J8126" s="758"/>
      <c r="K8126" s="758"/>
      <c r="L8126" s="758"/>
      <c r="M8126" s="758"/>
      <c r="N8126" s="758"/>
      <c r="O8126" s="758"/>
      <c r="P8126" s="758"/>
      <c r="Q8126" s="519"/>
      <c r="R8126" s="759">
        <f t="shared" ref="R8126:R8131" si="812">$A8126*Q8126</f>
        <v>0</v>
      </c>
      <c r="S8126" s="519"/>
      <c r="T8126" s="760">
        <f t="shared" ref="T8126:T8131" si="813">$A8126*S8126*$T$1</f>
        <v>0</v>
      </c>
      <c r="AR8126" s="51"/>
      <c r="AS8126" s="753"/>
    </row>
    <row r="8127" spans="1:45" s="520" customFormat="1" ht="12">
      <c r="A8127" s="51"/>
      <c r="B8127" s="758"/>
      <c r="C8127" s="758"/>
      <c r="D8127" s="758"/>
      <c r="E8127" s="758"/>
      <c r="F8127" s="753"/>
      <c r="G8127" s="758"/>
      <c r="H8127" s="758"/>
      <c r="I8127" s="519"/>
      <c r="J8127" s="758"/>
      <c r="K8127" s="758"/>
      <c r="L8127" s="758"/>
      <c r="M8127" s="758"/>
      <c r="N8127" s="758"/>
      <c r="O8127" s="758"/>
      <c r="P8127" s="758"/>
      <c r="Q8127" s="519"/>
      <c r="R8127" s="759">
        <f t="shared" si="812"/>
        <v>0</v>
      </c>
      <c r="S8127" s="519"/>
      <c r="T8127" s="760">
        <f t="shared" si="813"/>
        <v>0</v>
      </c>
      <c r="AR8127" s="51"/>
      <c r="AS8127" s="753"/>
    </row>
    <row r="8128" spans="1:45" s="520" customFormat="1" ht="12">
      <c r="A8128" s="51"/>
      <c r="B8128" s="758"/>
      <c r="C8128" s="758"/>
      <c r="D8128" s="758"/>
      <c r="E8128" s="758"/>
      <c r="F8128" s="753"/>
      <c r="G8128" s="758"/>
      <c r="H8128" s="758"/>
      <c r="I8128" s="519"/>
      <c r="J8128" s="758"/>
      <c r="K8128" s="758"/>
      <c r="L8128" s="758"/>
      <c r="M8128" s="758"/>
      <c r="N8128" s="758"/>
      <c r="O8128" s="758"/>
      <c r="P8128" s="758"/>
      <c r="Q8128" s="519"/>
      <c r="R8128" s="759">
        <f t="shared" si="812"/>
        <v>0</v>
      </c>
      <c r="S8128" s="519"/>
      <c r="T8128" s="760">
        <f t="shared" si="813"/>
        <v>0</v>
      </c>
      <c r="AR8128" s="51"/>
      <c r="AS8128" s="753"/>
    </row>
    <row r="8129" spans="1:45" s="520" customFormat="1" ht="12">
      <c r="A8129" s="51"/>
      <c r="B8129" s="758"/>
      <c r="C8129" s="758"/>
      <c r="D8129" s="758"/>
      <c r="E8129" s="758"/>
      <c r="F8129" s="753"/>
      <c r="G8129" s="758"/>
      <c r="H8129" s="758"/>
      <c r="I8129" s="519"/>
      <c r="J8129" s="758"/>
      <c r="K8129" s="758"/>
      <c r="L8129" s="758"/>
      <c r="M8129" s="758"/>
      <c r="N8129" s="758"/>
      <c r="O8129" s="758"/>
      <c r="P8129" s="758"/>
      <c r="Q8129" s="519"/>
      <c r="R8129" s="759">
        <f t="shared" si="812"/>
        <v>0</v>
      </c>
      <c r="S8129" s="519"/>
      <c r="T8129" s="760">
        <f t="shared" si="813"/>
        <v>0</v>
      </c>
      <c r="AR8129" s="51"/>
      <c r="AS8129" s="753"/>
    </row>
    <row r="8130" spans="1:45" s="520" customFormat="1" ht="12">
      <c r="A8130" s="51"/>
      <c r="B8130" s="758"/>
      <c r="C8130" s="758"/>
      <c r="D8130" s="758"/>
      <c r="E8130" s="758"/>
      <c r="F8130" s="753"/>
      <c r="G8130" s="758"/>
      <c r="H8130" s="758"/>
      <c r="I8130" s="519"/>
      <c r="J8130" s="758"/>
      <c r="K8130" s="758"/>
      <c r="L8130" s="758"/>
      <c r="M8130" s="758"/>
      <c r="N8130" s="758"/>
      <c r="O8130" s="758"/>
      <c r="P8130" s="758"/>
      <c r="Q8130" s="519"/>
      <c r="R8130" s="759">
        <f t="shared" si="812"/>
        <v>0</v>
      </c>
      <c r="S8130" s="519"/>
      <c r="T8130" s="760">
        <f t="shared" si="813"/>
        <v>0</v>
      </c>
      <c r="AR8130" s="51"/>
      <c r="AS8130" s="753"/>
    </row>
    <row r="8131" spans="1:45" s="520" customFormat="1" ht="12">
      <c r="A8131" s="758"/>
      <c r="B8131" s="758"/>
      <c r="C8131" s="758"/>
      <c r="D8131" s="758"/>
      <c r="E8131" s="758"/>
      <c r="F8131" s="753"/>
      <c r="G8131" s="758"/>
      <c r="H8131" s="758"/>
      <c r="I8131" s="519"/>
      <c r="J8131" s="758"/>
      <c r="K8131" s="758"/>
      <c r="L8131" s="758"/>
      <c r="M8131" s="758"/>
      <c r="N8131" s="758"/>
      <c r="O8131" s="758"/>
      <c r="P8131" s="758"/>
      <c r="Q8131" s="519"/>
      <c r="R8131" s="759">
        <f t="shared" si="812"/>
        <v>0</v>
      </c>
      <c r="S8131" s="519"/>
      <c r="T8131" s="760">
        <f t="shared" si="813"/>
        <v>0</v>
      </c>
      <c r="AR8131" s="758"/>
      <c r="AS8131" s="753"/>
    </row>
    <row r="8132" spans="1:45" s="520" customFormat="1" ht="12.6" thickBot="1">
      <c r="A8132" s="761" t="s">
        <v>145</v>
      </c>
      <c r="B8132" s="762">
        <f>(R8131+T8131)</f>
        <v>0</v>
      </c>
      <c r="C8132" s="763"/>
      <c r="D8132" s="763"/>
      <c r="E8132" s="763"/>
      <c r="F8132" s="764"/>
      <c r="G8132" s="763" t="s">
        <v>146</v>
      </c>
      <c r="H8132" s="763"/>
      <c r="I8132" s="765"/>
      <c r="J8132" s="763"/>
      <c r="K8132" s="763" t="s">
        <v>3</v>
      </c>
      <c r="L8132" s="766" t="s">
        <v>143</v>
      </c>
      <c r="M8132" s="766"/>
      <c r="N8132" s="766"/>
      <c r="O8132" s="766"/>
      <c r="P8132" s="766"/>
      <c r="Q8132" s="767"/>
      <c r="R8132" s="768">
        <f>SUM(R8125:R8131)</f>
        <v>0</v>
      </c>
      <c r="S8132" s="763"/>
      <c r="T8132" s="768">
        <f>SUM(T8125:T8131)</f>
        <v>0</v>
      </c>
      <c r="U8132" s="531"/>
      <c r="V8132" s="531"/>
      <c r="W8132" s="531"/>
      <c r="X8132" s="531"/>
      <c r="Y8132" s="531"/>
      <c r="Z8132" s="531"/>
      <c r="AA8132" s="531"/>
      <c r="AB8132" s="531"/>
      <c r="AC8132" s="531"/>
      <c r="AD8132" s="531"/>
      <c r="AE8132" s="531"/>
      <c r="AF8132" s="531"/>
      <c r="AG8132" s="531"/>
      <c r="AH8132" s="531"/>
      <c r="AI8132" s="531"/>
      <c r="AJ8132" s="531"/>
      <c r="AK8132" s="531"/>
      <c r="AL8132" s="531"/>
      <c r="AM8132" s="531"/>
      <c r="AN8132" s="531"/>
      <c r="AO8132" s="531"/>
      <c r="AR8132" s="761" t="s">
        <v>145</v>
      </c>
      <c r="AS8132" s="764"/>
    </row>
    <row r="8133" spans="1:45" s="520" customFormat="1" ht="12" thickTop="1">
      <c r="A8133" s="51"/>
      <c r="B8133" s="41"/>
      <c r="C8133" s="51"/>
      <c r="E8133" s="42" t="s">
        <v>138</v>
      </c>
      <c r="F8133" s="42" t="s">
        <v>139</v>
      </c>
      <c r="G8133" s="51"/>
      <c r="H8133" s="51"/>
      <c r="I8133" s="51"/>
      <c r="J8133" s="51"/>
      <c r="K8133" s="51" t="s">
        <v>140</v>
      </c>
      <c r="L8133" s="51"/>
      <c r="M8133" s="51"/>
      <c r="N8133" s="51"/>
      <c r="O8133" s="52"/>
      <c r="P8133" s="51"/>
      <c r="Q8133" s="51"/>
      <c r="R8133" s="51"/>
      <c r="S8133" s="51"/>
      <c r="T8133" s="41"/>
      <c r="AG8133" s="521" t="s">
        <v>268</v>
      </c>
      <c r="AH8133" s="521" t="s">
        <v>269</v>
      </c>
      <c r="AI8133" s="521" t="s">
        <v>270</v>
      </c>
      <c r="AJ8133" s="521" t="s">
        <v>271</v>
      </c>
      <c r="AK8133" s="521" t="s">
        <v>272</v>
      </c>
      <c r="AM8133" s="745" t="s">
        <v>281</v>
      </c>
      <c r="AN8133" s="746" t="s">
        <v>282</v>
      </c>
      <c r="AO8133" s="522" t="s">
        <v>278</v>
      </c>
      <c r="AR8133" s="51"/>
      <c r="AS8133" s="42" t="s">
        <v>139</v>
      </c>
    </row>
    <row r="8134" spans="1:45" s="520" customFormat="1" ht="12" customHeight="1">
      <c r="A8134" s="747">
        <v>1</v>
      </c>
      <c r="B8134" s="523" t="s">
        <v>299</v>
      </c>
      <c r="C8134" s="748"/>
      <c r="D8134" s="749" t="s">
        <v>1073</v>
      </c>
      <c r="E8134" s="750">
        <f>IF(AND($A8134=0,$A$1="DIF"),0, ROUND(ROUND(($R8142*$S$2+($T8142*$T$2))/A8134,2)*$C$2,2))</f>
        <v>0</v>
      </c>
      <c r="F8134" s="751">
        <f>ROUND($A8134*$E8134,2)</f>
        <v>0</v>
      </c>
      <c r="G8134" s="752" t="s">
        <v>142</v>
      </c>
      <c r="H8134" s="753"/>
      <c r="I8134" s="754"/>
      <c r="J8134" s="753"/>
      <c r="K8134" s="753" t="s">
        <v>3</v>
      </c>
      <c r="L8134" s="755" t="s">
        <v>143</v>
      </c>
      <c r="M8134" s="755"/>
      <c r="N8134" s="755"/>
      <c r="O8134" s="755"/>
      <c r="P8134" s="755"/>
      <c r="Q8134" s="1058" t="s">
        <v>3695</v>
      </c>
      <c r="T8134" s="756" t="str">
        <f>IF(AND($R8142=0,$T8142=0),"0.00","mu :" &amp; ROUND($F8134/$C$2/($R8142+$T8142*$D$9),2))</f>
        <v>0.00</v>
      </c>
      <c r="W8134" s="524"/>
      <c r="AG8134" s="481">
        <f>IF($E8134=0,0,ROUND($R8142*$S$2*$C$2/$A8134,2))</f>
        <v>0</v>
      </c>
      <c r="AH8134" s="481">
        <f>$AG8134*$A8134</f>
        <v>0</v>
      </c>
      <c r="AI8134" s="525">
        <f>$E8134-$AG8134</f>
        <v>0</v>
      </c>
      <c r="AJ8134" s="525">
        <f>$A8134*$AI8134</f>
        <v>0</v>
      </c>
      <c r="AK8134" s="526">
        <f>ROUND(($AG8134+$AI8134)*$A8134,2)</f>
        <v>0</v>
      </c>
      <c r="AM8134" s="527">
        <f>ROUND(R8142,2)</f>
        <v>0</v>
      </c>
      <c r="AN8134" s="528">
        <f>ROUND(T8142,2)</f>
        <v>0</v>
      </c>
      <c r="AO8134" s="529">
        <f>ROUND(AM8134+AN8134,2)*A8134</f>
        <v>0</v>
      </c>
      <c r="AR8134" s="747">
        <v>1</v>
      </c>
      <c r="AS8134" s="751">
        <v>0</v>
      </c>
    </row>
    <row r="8135" spans="1:45" s="520" customFormat="1" ht="39.9" customHeight="1">
      <c r="A8135" s="748"/>
      <c r="B8135"/>
      <c r="C8135" s="748"/>
      <c r="D8135" s="1451" t="s">
        <v>313</v>
      </c>
      <c r="E8135" s="1452"/>
      <c r="F8135" s="1452"/>
      <c r="G8135" s="1452"/>
      <c r="H8135" s="1452"/>
      <c r="I8135" s="1452"/>
      <c r="J8135" s="1452"/>
      <c r="K8135" s="1452"/>
      <c r="L8135" s="1452"/>
      <c r="M8135" s="1452"/>
      <c r="N8135" s="1452"/>
      <c r="O8135" s="1452"/>
      <c r="P8135" s="1452"/>
      <c r="Q8135" s="1452"/>
      <c r="R8135" s="1452"/>
      <c r="S8135" s="1452"/>
      <c r="T8135" s="1452"/>
      <c r="AR8135" s="748"/>
    </row>
    <row r="8136" spans="1:45" s="520" customFormat="1" ht="12">
      <c r="A8136" s="51"/>
      <c r="B8136" s="758"/>
      <c r="C8136" s="758"/>
      <c r="D8136" s="758"/>
      <c r="E8136" s="758"/>
      <c r="F8136" s="753"/>
      <c r="G8136" s="758"/>
      <c r="H8136" s="758"/>
      <c r="I8136" s="519"/>
      <c r="J8136" s="758"/>
      <c r="K8136" s="758"/>
      <c r="L8136" s="758"/>
      <c r="M8136" s="758"/>
      <c r="N8136" s="758"/>
      <c r="O8136" s="758"/>
      <c r="P8136" s="758"/>
      <c r="Q8136" s="519"/>
      <c r="R8136" s="759">
        <f t="shared" ref="R8136:R8141" si="814">$A8136*Q8136</f>
        <v>0</v>
      </c>
      <c r="S8136" s="519"/>
      <c r="T8136" s="760">
        <f t="shared" ref="T8136:T8141" si="815">$A8136*S8136*$T$1</f>
        <v>0</v>
      </c>
      <c r="AR8136" s="51"/>
      <c r="AS8136" s="753"/>
    </row>
    <row r="8137" spans="1:45" s="520" customFormat="1" ht="12">
      <c r="A8137" s="51"/>
      <c r="B8137" s="758"/>
      <c r="C8137" s="758"/>
      <c r="D8137" s="758"/>
      <c r="E8137" s="758"/>
      <c r="F8137" s="753"/>
      <c r="G8137" s="758"/>
      <c r="H8137" s="758"/>
      <c r="I8137" s="519"/>
      <c r="J8137" s="758"/>
      <c r="K8137" s="758"/>
      <c r="L8137" s="758"/>
      <c r="M8137" s="758"/>
      <c r="N8137" s="758"/>
      <c r="O8137" s="758"/>
      <c r="P8137" s="758"/>
      <c r="Q8137" s="519"/>
      <c r="R8137" s="759">
        <f t="shared" si="814"/>
        <v>0</v>
      </c>
      <c r="S8137" s="519"/>
      <c r="T8137" s="760">
        <f t="shared" si="815"/>
        <v>0</v>
      </c>
      <c r="AR8137" s="51"/>
      <c r="AS8137" s="753"/>
    </row>
    <row r="8138" spans="1:45" s="520" customFormat="1" ht="12">
      <c r="A8138" s="51"/>
      <c r="B8138" s="758"/>
      <c r="C8138" s="758"/>
      <c r="D8138" s="758"/>
      <c r="E8138" s="758"/>
      <c r="F8138" s="753"/>
      <c r="G8138" s="758"/>
      <c r="H8138" s="758"/>
      <c r="I8138" s="519"/>
      <c r="J8138" s="758"/>
      <c r="K8138" s="758"/>
      <c r="L8138" s="758"/>
      <c r="M8138" s="758"/>
      <c r="N8138" s="758"/>
      <c r="O8138" s="758"/>
      <c r="P8138" s="758"/>
      <c r="Q8138" s="519"/>
      <c r="R8138" s="759">
        <f t="shared" si="814"/>
        <v>0</v>
      </c>
      <c r="S8138" s="519"/>
      <c r="T8138" s="760">
        <f t="shared" si="815"/>
        <v>0</v>
      </c>
      <c r="AR8138" s="51"/>
      <c r="AS8138" s="753"/>
    </row>
    <row r="8139" spans="1:45" s="520" customFormat="1" ht="12">
      <c r="A8139" s="51"/>
      <c r="B8139" s="758"/>
      <c r="C8139" s="758"/>
      <c r="D8139" s="758"/>
      <c r="E8139" s="758"/>
      <c r="F8139" s="753"/>
      <c r="G8139" s="758"/>
      <c r="H8139" s="758"/>
      <c r="I8139" s="519"/>
      <c r="J8139" s="758"/>
      <c r="K8139" s="758"/>
      <c r="L8139" s="758"/>
      <c r="M8139" s="758"/>
      <c r="N8139" s="758"/>
      <c r="O8139" s="758"/>
      <c r="P8139" s="758"/>
      <c r="Q8139" s="519"/>
      <c r="R8139" s="759">
        <f t="shared" si="814"/>
        <v>0</v>
      </c>
      <c r="S8139" s="519"/>
      <c r="T8139" s="760">
        <f t="shared" si="815"/>
        <v>0</v>
      </c>
      <c r="AR8139" s="51"/>
      <c r="AS8139" s="753"/>
    </row>
    <row r="8140" spans="1:45" s="520" customFormat="1" ht="12">
      <c r="A8140" s="51"/>
      <c r="B8140" s="758"/>
      <c r="C8140" s="758"/>
      <c r="D8140" s="758"/>
      <c r="E8140" s="758"/>
      <c r="F8140" s="753"/>
      <c r="G8140" s="758"/>
      <c r="H8140" s="758"/>
      <c r="I8140" s="519"/>
      <c r="J8140" s="758"/>
      <c r="K8140" s="758"/>
      <c r="L8140" s="758"/>
      <c r="M8140" s="758"/>
      <c r="N8140" s="758"/>
      <c r="O8140" s="758"/>
      <c r="P8140" s="758"/>
      <c r="Q8140" s="519"/>
      <c r="R8140" s="759">
        <f t="shared" si="814"/>
        <v>0</v>
      </c>
      <c r="S8140" s="519"/>
      <c r="T8140" s="760">
        <f t="shared" si="815"/>
        <v>0</v>
      </c>
      <c r="AR8140" s="51"/>
      <c r="AS8140" s="753"/>
    </row>
    <row r="8141" spans="1:45" s="520" customFormat="1" ht="12">
      <c r="A8141" s="758"/>
      <c r="B8141" s="758"/>
      <c r="C8141" s="758"/>
      <c r="D8141" s="758"/>
      <c r="E8141" s="758"/>
      <c r="F8141" s="753"/>
      <c r="G8141" s="758"/>
      <c r="H8141" s="758"/>
      <c r="I8141" s="519"/>
      <c r="J8141" s="758"/>
      <c r="K8141" s="758"/>
      <c r="L8141" s="758"/>
      <c r="M8141" s="758"/>
      <c r="N8141" s="758"/>
      <c r="O8141" s="758"/>
      <c r="P8141" s="758"/>
      <c r="Q8141" s="519"/>
      <c r="R8141" s="759">
        <f t="shared" si="814"/>
        <v>0</v>
      </c>
      <c r="S8141" s="519"/>
      <c r="T8141" s="760">
        <f t="shared" si="815"/>
        <v>0</v>
      </c>
      <c r="AR8141" s="758"/>
      <c r="AS8141" s="753"/>
    </row>
    <row r="8142" spans="1:45" s="520" customFormat="1" ht="12.6" thickBot="1">
      <c r="A8142" s="761" t="s">
        <v>145</v>
      </c>
      <c r="B8142" s="762">
        <f>(R8141+T8141)</f>
        <v>0</v>
      </c>
      <c r="C8142" s="763"/>
      <c r="D8142" s="763"/>
      <c r="E8142" s="763"/>
      <c r="F8142" s="764"/>
      <c r="G8142" s="763" t="s">
        <v>146</v>
      </c>
      <c r="H8142" s="763"/>
      <c r="I8142" s="765"/>
      <c r="J8142" s="763"/>
      <c r="K8142" s="763" t="s">
        <v>3</v>
      </c>
      <c r="L8142" s="766" t="s">
        <v>143</v>
      </c>
      <c r="M8142" s="766"/>
      <c r="N8142" s="766"/>
      <c r="O8142" s="766"/>
      <c r="P8142" s="766"/>
      <c r="Q8142" s="767"/>
      <c r="R8142" s="768">
        <f>SUM(R8135:R8141)</f>
        <v>0</v>
      </c>
      <c r="S8142" s="763"/>
      <c r="T8142" s="768">
        <f>SUM(T8135:T8141)</f>
        <v>0</v>
      </c>
      <c r="U8142" s="531"/>
      <c r="V8142" s="531"/>
      <c r="W8142" s="531"/>
      <c r="X8142" s="531"/>
      <c r="Y8142" s="531"/>
      <c r="Z8142" s="531"/>
      <c r="AA8142" s="531"/>
      <c r="AB8142" s="531"/>
      <c r="AC8142" s="531"/>
      <c r="AD8142" s="531"/>
      <c r="AE8142" s="531"/>
      <c r="AF8142" s="531"/>
      <c r="AG8142" s="531"/>
      <c r="AH8142" s="531"/>
      <c r="AI8142" s="531"/>
      <c r="AJ8142" s="531"/>
      <c r="AK8142" s="531"/>
      <c r="AL8142" s="531"/>
      <c r="AM8142" s="531"/>
      <c r="AN8142" s="531"/>
      <c r="AO8142" s="531"/>
      <c r="AR8142" s="761" t="s">
        <v>145</v>
      </c>
      <c r="AS8142" s="764"/>
    </row>
    <row r="8143" spans="1:45" s="520" customFormat="1" ht="12" thickTop="1">
      <c r="A8143" s="48" t="s">
        <v>148</v>
      </c>
      <c r="D8143" s="13"/>
      <c r="E8143" s="42"/>
      <c r="O8143" s="771"/>
      <c r="AR8143" s="48" t="s">
        <v>148</v>
      </c>
    </row>
    <row r="8144" spans="1:45" s="520" customFormat="1" ht="13.2">
      <c r="B8144" s="3"/>
      <c r="O8144" s="771"/>
    </row>
    <row r="8145" spans="1:45" s="520" customFormat="1" ht="12">
      <c r="B8145" s="772">
        <f>$F8145/$C$2-($R8145*$S$2+$T8145*$T$2)</f>
        <v>0</v>
      </c>
      <c r="D8145" s="773" t="s">
        <v>1065</v>
      </c>
      <c r="E8145" s="774"/>
      <c r="F8145" s="775">
        <f>SUMIF($L8005:$L8143,"ITEM",F8005:F8143)</f>
        <v>0</v>
      </c>
      <c r="G8145" s="758"/>
      <c r="H8145" s="758"/>
      <c r="I8145" s="519"/>
      <c r="J8145" s="758"/>
      <c r="K8145" s="758"/>
      <c r="L8145" s="755" t="s">
        <v>157</v>
      </c>
      <c r="M8145" s="755"/>
      <c r="N8145" s="755"/>
      <c r="O8145" s="755"/>
      <c r="P8145" s="755"/>
      <c r="R8145" s="775">
        <f>SUMIF($L8005:$L8143,"ITEM",R8005:R8143)</f>
        <v>0</v>
      </c>
      <c r="S8145" s="776"/>
      <c r="T8145" s="775">
        <f>SUMIF($L8005:$L8143,"ITEM",T8005:T8143)</f>
        <v>0</v>
      </c>
      <c r="AS8145" s="775">
        <v>0</v>
      </c>
    </row>
    <row r="8146" spans="1:45" s="520" customFormat="1" ht="13.2">
      <c r="A8146" s="51"/>
      <c r="B8146" s="49" t="s">
        <v>1064</v>
      </c>
      <c r="C8146" s="51"/>
      <c r="D8146" s="3"/>
      <c r="F8146" s="777" t="s">
        <v>158</v>
      </c>
      <c r="G8146" s="758"/>
      <c r="H8146" s="758"/>
      <c r="I8146" s="519"/>
      <c r="J8146" s="758"/>
      <c r="K8146" s="758"/>
      <c r="L8146" s="758"/>
      <c r="M8146" s="758"/>
      <c r="N8146" s="758"/>
      <c r="O8146" s="758"/>
      <c r="P8146" s="758"/>
      <c r="Q8146" s="778"/>
      <c r="R8146" s="777" t="s">
        <v>159</v>
      </c>
      <c r="S8146" s="38"/>
      <c r="T8146" s="777" t="s">
        <v>160</v>
      </c>
      <c r="AR8146" s="51"/>
      <c r="AS8146" s="777" t="s">
        <v>158</v>
      </c>
    </row>
    <row r="8147" spans="1:45" s="520" customFormat="1" ht="13.2">
      <c r="A8147" s="758"/>
      <c r="B8147" s="3"/>
      <c r="C8147" s="758"/>
      <c r="D8147" s="3"/>
      <c r="E8147" s="3"/>
      <c r="G8147" s="3"/>
      <c r="H8147" s="3"/>
      <c r="I8147" s="3"/>
      <c r="J8147" s="3"/>
      <c r="K8147" s="3"/>
      <c r="L8147" s="3"/>
      <c r="M8147" s="3"/>
      <c r="N8147" s="3"/>
      <c r="O8147" s="107"/>
      <c r="P8147" s="3"/>
      <c r="Q8147" s="3"/>
      <c r="R8147" s="3"/>
      <c r="S8147" s="3"/>
      <c r="T8147" s="3"/>
      <c r="AR8147" s="758"/>
    </row>
    <row r="8148" spans="1:45" s="520" customFormat="1" ht="12" thickBot="1">
      <c r="A8148" s="531"/>
      <c r="B8148" s="763"/>
      <c r="C8148" s="763"/>
      <c r="D8148" s="531"/>
      <c r="E8148" s="39"/>
      <c r="F8148" s="779"/>
      <c r="G8148" s="763"/>
      <c r="H8148" s="763"/>
      <c r="I8148" s="765"/>
      <c r="J8148" s="763"/>
      <c r="K8148" s="763"/>
      <c r="L8148" s="766"/>
      <c r="M8148" s="766"/>
      <c r="N8148" s="766"/>
      <c r="O8148" s="766"/>
      <c r="P8148" s="766"/>
      <c r="Q8148" s="767"/>
      <c r="R8148" s="779"/>
      <c r="S8148" s="780"/>
      <c r="T8148" s="779"/>
      <c r="U8148" s="531"/>
      <c r="V8148" s="531"/>
      <c r="W8148" s="531"/>
      <c r="X8148" s="531"/>
      <c r="Y8148" s="531"/>
      <c r="Z8148" s="531"/>
      <c r="AA8148" s="531"/>
      <c r="AB8148" s="531"/>
      <c r="AC8148" s="531"/>
      <c r="AD8148" s="531"/>
      <c r="AE8148" s="531"/>
      <c r="AF8148" s="531"/>
      <c r="AG8148" s="531"/>
      <c r="AH8148" s="531"/>
      <c r="AI8148" s="531"/>
      <c r="AJ8148" s="531"/>
      <c r="AK8148" s="531"/>
      <c r="AR8148" s="531"/>
      <c r="AS8148" s="779"/>
    </row>
    <row r="8149" spans="1:45" s="520" customFormat="1" thickTop="1">
      <c r="A8149" s="48" t="s">
        <v>148</v>
      </c>
      <c r="B8149" s="3"/>
      <c r="C8149" s="51"/>
      <c r="D8149" s="51"/>
      <c r="E8149" s="51"/>
      <c r="F8149" s="51"/>
      <c r="G8149" s="51"/>
      <c r="H8149" s="51"/>
      <c r="I8149" s="51"/>
      <c r="J8149" s="51"/>
      <c r="K8149" s="51"/>
      <c r="L8149" s="51"/>
      <c r="M8149" s="51"/>
      <c r="N8149" s="51"/>
      <c r="O8149" s="52"/>
      <c r="P8149" s="51"/>
      <c r="Q8149" s="51"/>
      <c r="R8149" s="51"/>
      <c r="S8149" s="51"/>
      <c r="T8149" s="51"/>
      <c r="AR8149" s="48" t="s">
        <v>148</v>
      </c>
      <c r="AS8149" s="51"/>
    </row>
    <row r="8150" spans="1:45" s="520" customFormat="1" ht="13.2">
      <c r="A8150" s="51"/>
      <c r="B8150" s="3"/>
      <c r="C8150" s="3"/>
      <c r="E8150" s="3"/>
      <c r="F8150" s="3"/>
      <c r="G8150" s="3"/>
      <c r="H8150" s="3"/>
      <c r="I8150" s="3"/>
      <c r="J8150" s="3"/>
      <c r="K8150" s="3"/>
      <c r="L8150" s="3"/>
      <c r="M8150" s="3"/>
      <c r="N8150" s="3"/>
      <c r="O8150" s="107"/>
      <c r="P8150" s="3"/>
      <c r="Q8150" s="3"/>
      <c r="R8150" s="3"/>
      <c r="S8150" s="3"/>
      <c r="T8150" s="3"/>
      <c r="AR8150" s="51"/>
      <c r="AS8150" s="3"/>
    </row>
    <row r="8151" spans="1:45" s="520" customFormat="1" ht="12">
      <c r="A8151" s="51"/>
      <c r="B8151" s="772">
        <f>$F8151/$C$2-($R8151*$S$2+$T8151*$T$2)</f>
        <v>0</v>
      </c>
      <c r="C8151" s="51"/>
      <c r="D8151" s="121" t="s">
        <v>315</v>
      </c>
      <c r="E8151" s="774"/>
      <c r="F8151" s="782">
        <f>SUMIF($L7892:$L8149,"PAGE",F7892:F8149)</f>
        <v>0</v>
      </c>
      <c r="G8151" s="758"/>
      <c r="H8151" s="758"/>
      <c r="I8151" s="519"/>
      <c r="J8151" s="758"/>
      <c r="K8151" s="758"/>
      <c r="L8151" s="121" t="s">
        <v>1075</v>
      </c>
      <c r="M8151" s="121"/>
      <c r="N8151" s="121"/>
      <c r="O8151" s="122"/>
      <c r="P8151" s="121"/>
      <c r="Q8151" s="51"/>
      <c r="R8151" s="782">
        <f>SUMIF($L7892:$L8149,"PAGE",R7892:R8149)</f>
        <v>0</v>
      </c>
      <c r="S8151" s="51"/>
      <c r="T8151" s="782">
        <f>SUMIF($L7892:$L8149,"PAGE",T7892:T8149)</f>
        <v>0</v>
      </c>
      <c r="AR8151" s="51"/>
      <c r="AS8151" s="782">
        <v>0</v>
      </c>
    </row>
    <row r="8152" spans="1:45" s="520" customFormat="1" ht="12">
      <c r="A8152" s="51"/>
      <c r="B8152" s="49" t="s">
        <v>1064</v>
      </c>
      <c r="C8152" s="51"/>
      <c r="D8152" s="781"/>
      <c r="F8152" s="783" t="s">
        <v>1076</v>
      </c>
      <c r="G8152" s="758"/>
      <c r="H8152" s="758"/>
      <c r="I8152" s="519"/>
      <c r="J8152" s="758"/>
      <c r="K8152" s="758"/>
      <c r="L8152" s="51"/>
      <c r="M8152" s="51"/>
      <c r="N8152" s="51"/>
      <c r="O8152" s="52"/>
      <c r="P8152" s="51"/>
      <c r="Q8152" s="51"/>
      <c r="R8152" s="783" t="s">
        <v>1077</v>
      </c>
      <c r="S8152" s="38"/>
      <c r="T8152" s="783" t="s">
        <v>1078</v>
      </c>
      <c r="AR8152" s="51"/>
      <c r="AS8152" s="783" t="s">
        <v>1076</v>
      </c>
    </row>
    <row r="8153" spans="1:45" s="520" customFormat="1" ht="11.4">
      <c r="O8153" s="771"/>
    </row>
    <row r="8154" spans="1:45" s="520" customFormat="1" ht="12" thickBot="1">
      <c r="A8154" s="763"/>
      <c r="B8154" s="763"/>
      <c r="C8154" s="763"/>
      <c r="D8154" s="763"/>
      <c r="E8154" s="763"/>
      <c r="F8154" s="39"/>
      <c r="G8154" s="531"/>
      <c r="H8154" s="531"/>
      <c r="I8154" s="531"/>
      <c r="J8154" s="531"/>
      <c r="K8154" s="531"/>
      <c r="L8154" s="763"/>
      <c r="M8154" s="763"/>
      <c r="N8154" s="763"/>
      <c r="O8154" s="763"/>
      <c r="P8154" s="763"/>
      <c r="Q8154" s="767"/>
      <c r="R8154" s="39"/>
      <c r="S8154" s="39"/>
      <c r="T8154" s="39"/>
      <c r="U8154" s="531"/>
      <c r="V8154" s="531"/>
      <c r="W8154" s="531"/>
      <c r="X8154" s="531"/>
      <c r="Y8154" s="531"/>
      <c r="Z8154" s="531"/>
      <c r="AA8154" s="531"/>
      <c r="AB8154" s="531"/>
      <c r="AC8154" s="531"/>
      <c r="AD8154" s="531"/>
      <c r="AE8154" s="531"/>
      <c r="AF8154" s="531"/>
      <c r="AG8154" s="531"/>
      <c r="AH8154" s="531"/>
      <c r="AI8154" s="531"/>
      <c r="AJ8154" s="531"/>
      <c r="AK8154" s="531"/>
      <c r="AR8154" s="763"/>
      <c r="AS8154" s="39"/>
    </row>
    <row r="8155" spans="1:45" s="520" customFormat="1" thickTop="1">
      <c r="A8155" s="51"/>
      <c r="B8155" s="51"/>
      <c r="C8155" s="3"/>
      <c r="D8155" s="3"/>
      <c r="E8155" s="51"/>
      <c r="F8155" s="51"/>
      <c r="G8155" s="51"/>
      <c r="H8155" s="51"/>
      <c r="I8155" s="51"/>
      <c r="J8155" s="51"/>
      <c r="K8155" s="51" t="s">
        <v>134</v>
      </c>
      <c r="L8155" s="51"/>
      <c r="M8155" s="51"/>
      <c r="N8155" s="51"/>
      <c r="O8155" s="52"/>
      <c r="P8155" s="51"/>
      <c r="Q8155" s="51"/>
      <c r="R8155" s="51"/>
      <c r="S8155" s="51"/>
      <c r="T8155" s="51"/>
      <c r="AR8155" s="51"/>
      <c r="AS8155" s="51"/>
    </row>
    <row r="8156" spans="1:45" s="520" customFormat="1" ht="12">
      <c r="A8156" s="51"/>
      <c r="B8156" s="51"/>
      <c r="C8156" s="51" t="s">
        <v>135</v>
      </c>
      <c r="D8156" s="37" t="s">
        <v>2274</v>
      </c>
      <c r="E8156" s="51"/>
      <c r="F8156" s="51"/>
      <c r="G8156" s="51"/>
      <c r="H8156" s="51"/>
      <c r="I8156" s="51"/>
      <c r="J8156" s="51"/>
      <c r="K8156" s="51"/>
      <c r="L8156" s="51"/>
      <c r="M8156" s="51"/>
      <c r="N8156" s="51"/>
      <c r="O8156" s="52"/>
      <c r="P8156" s="51"/>
      <c r="Q8156" s="51"/>
      <c r="R8156" s="51"/>
      <c r="S8156" s="51"/>
      <c r="T8156" s="51"/>
      <c r="AR8156" s="51"/>
      <c r="AS8156" s="51"/>
    </row>
    <row r="8157" spans="1:45" s="520" customFormat="1" ht="12">
      <c r="A8157" s="51"/>
      <c r="B8157" s="51"/>
      <c r="C8157" s="51"/>
      <c r="D8157" s="37" t="s">
        <v>2058</v>
      </c>
      <c r="E8157" s="51"/>
      <c r="F8157" s="904" t="s">
        <v>4128</v>
      </c>
      <c r="G8157" s="51"/>
      <c r="H8157" s="51"/>
      <c r="I8157" s="51"/>
      <c r="J8157" s="51"/>
      <c r="K8157" s="51"/>
      <c r="L8157" s="51"/>
      <c r="M8157" s="51"/>
      <c r="N8157" s="51"/>
      <c r="O8157" s="52"/>
      <c r="P8157" s="51"/>
      <c r="Q8157" s="51"/>
      <c r="R8157" s="51"/>
      <c r="S8157" s="38"/>
      <c r="T8157" s="38"/>
      <c r="AR8157" s="51"/>
      <c r="AS8157" s="904" t="s">
        <v>3507</v>
      </c>
    </row>
    <row r="8158" spans="1:45" s="3" customFormat="1" thickBot="1">
      <c r="A8158" s="531"/>
      <c r="O8158" s="107"/>
      <c r="AR8158" s="531"/>
    </row>
    <row r="8159" spans="1:45" s="520" customFormat="1" thickTop="1">
      <c r="A8159" s="51"/>
      <c r="B8159" s="51"/>
      <c r="C8159" s="3"/>
      <c r="D8159" s="3"/>
      <c r="E8159" s="51"/>
      <c r="F8159" s="51"/>
      <c r="G8159" s="51"/>
      <c r="H8159" s="51"/>
      <c r="I8159" s="51"/>
      <c r="J8159" s="51"/>
      <c r="K8159" s="51" t="s">
        <v>134</v>
      </c>
      <c r="L8159" s="51"/>
      <c r="M8159" s="51"/>
      <c r="N8159" s="51"/>
      <c r="O8159" s="52"/>
      <c r="P8159" s="51"/>
      <c r="Q8159" s="51"/>
      <c r="R8159" s="51"/>
      <c r="S8159" s="51"/>
      <c r="T8159" s="51"/>
      <c r="AR8159" s="51"/>
      <c r="AS8159" s="51"/>
    </row>
    <row r="8160" spans="1:45" s="520" customFormat="1" ht="12">
      <c r="A8160" s="51"/>
      <c r="B8160" s="51"/>
      <c r="C8160" s="51" t="s">
        <v>135</v>
      </c>
      <c r="D8160" s="37"/>
      <c r="E8160" s="51"/>
      <c r="F8160" s="51"/>
      <c r="G8160" s="51"/>
      <c r="H8160" s="51"/>
      <c r="I8160" s="51"/>
      <c r="J8160" s="51"/>
      <c r="K8160" s="51"/>
      <c r="L8160" s="51"/>
      <c r="M8160" s="51"/>
      <c r="N8160" s="51"/>
      <c r="O8160" s="52"/>
      <c r="P8160" s="51"/>
      <c r="Q8160" s="51"/>
      <c r="R8160" s="51"/>
      <c r="S8160" s="51"/>
      <c r="T8160" s="51"/>
      <c r="AR8160" s="51"/>
      <c r="AS8160" s="51"/>
    </row>
    <row r="8161" spans="1:45" s="520" customFormat="1" ht="39.9" customHeight="1">
      <c r="A8161" s="51"/>
      <c r="B8161" s="51"/>
      <c r="C8161" s="51"/>
      <c r="D8161" s="1453" t="s">
        <v>2275</v>
      </c>
      <c r="E8161" s="1452"/>
      <c r="F8161" s="1452"/>
      <c r="G8161" s="1452"/>
      <c r="H8161" s="1452"/>
      <c r="I8161" s="1452"/>
      <c r="J8161" s="1452"/>
      <c r="K8161" s="1452"/>
      <c r="L8161" s="1452"/>
      <c r="M8161" s="1452"/>
      <c r="N8161" s="1452"/>
      <c r="O8161" s="1452"/>
      <c r="P8161" s="1452"/>
      <c r="Q8161" s="1452"/>
      <c r="R8161" s="1452"/>
      <c r="S8161" s="1452"/>
      <c r="T8161" s="1452"/>
      <c r="AR8161" s="51"/>
    </row>
    <row r="8162" spans="1:45" s="3" customFormat="1" thickBot="1">
      <c r="A8162" s="531"/>
      <c r="O8162" s="107"/>
      <c r="AR8162" s="531"/>
    </row>
    <row r="8163" spans="1:45" s="520" customFormat="1" thickTop="1">
      <c r="A8163" s="51"/>
      <c r="B8163" s="51"/>
      <c r="C8163" s="3"/>
      <c r="D8163" s="3"/>
      <c r="E8163" s="51"/>
      <c r="F8163" s="51"/>
      <c r="G8163" s="51"/>
      <c r="H8163" s="51"/>
      <c r="I8163" s="51"/>
      <c r="J8163" s="51"/>
      <c r="K8163" s="51" t="s">
        <v>134</v>
      </c>
      <c r="L8163" s="51"/>
      <c r="M8163" s="51"/>
      <c r="N8163" s="51"/>
      <c r="O8163" s="52"/>
      <c r="P8163" s="51"/>
      <c r="Q8163" s="51"/>
      <c r="R8163" s="51"/>
      <c r="S8163" s="51"/>
      <c r="T8163" s="51"/>
      <c r="AR8163" s="51"/>
      <c r="AS8163" s="51"/>
    </row>
    <row r="8164" spans="1:45" s="520" customFormat="1" ht="12">
      <c r="A8164" s="51"/>
      <c r="B8164" s="51"/>
      <c r="C8164" s="51" t="s">
        <v>135</v>
      </c>
      <c r="D8164" s="37"/>
      <c r="E8164" s="51"/>
      <c r="F8164" s="51"/>
      <c r="G8164" s="51"/>
      <c r="H8164" s="51"/>
      <c r="I8164" s="51"/>
      <c r="J8164" s="51"/>
      <c r="K8164" s="51"/>
      <c r="L8164" s="51"/>
      <c r="M8164" s="51"/>
      <c r="N8164" s="51"/>
      <c r="O8164" s="52"/>
      <c r="P8164" s="51"/>
      <c r="Q8164" s="51"/>
      <c r="R8164" s="51"/>
      <c r="S8164" s="51"/>
      <c r="T8164" s="51"/>
      <c r="AR8164" s="51"/>
      <c r="AS8164" s="51"/>
    </row>
    <row r="8165" spans="1:45" s="520" customFormat="1" ht="12">
      <c r="A8165" s="51"/>
      <c r="B8165" s="51"/>
      <c r="C8165" s="51"/>
      <c r="D8165" s="37" t="s">
        <v>2060</v>
      </c>
      <c r="E8165" s="51"/>
      <c r="F8165" s="51"/>
      <c r="G8165" s="51"/>
      <c r="H8165" s="51"/>
      <c r="I8165" s="51"/>
      <c r="J8165" s="51"/>
      <c r="K8165" s="51"/>
      <c r="L8165" s="51"/>
      <c r="M8165" s="51"/>
      <c r="N8165" s="51"/>
      <c r="O8165" s="52"/>
      <c r="P8165" s="51"/>
      <c r="Q8165" s="51"/>
      <c r="R8165" s="51"/>
      <c r="S8165" s="38"/>
      <c r="T8165" s="38"/>
      <c r="AR8165" s="51"/>
      <c r="AS8165" s="51"/>
    </row>
    <row r="8166" spans="1:45" s="3" customFormat="1" thickBot="1">
      <c r="A8166" s="531"/>
      <c r="O8166" s="107"/>
      <c r="AR8166" s="531"/>
    </row>
    <row r="8167" spans="1:45" s="520" customFormat="1" thickTop="1">
      <c r="A8167" s="51"/>
      <c r="B8167" s="51"/>
      <c r="C8167" s="3"/>
      <c r="D8167" s="3"/>
      <c r="E8167" s="51"/>
      <c r="F8167" s="51"/>
      <c r="G8167" s="51"/>
      <c r="H8167" s="51"/>
      <c r="I8167" s="51"/>
      <c r="J8167" s="51"/>
      <c r="K8167" s="51" t="s">
        <v>134</v>
      </c>
      <c r="L8167" s="51"/>
      <c r="M8167" s="51"/>
      <c r="N8167" s="51"/>
      <c r="O8167" s="52"/>
      <c r="P8167" s="51"/>
      <c r="Q8167" s="51"/>
      <c r="R8167" s="51"/>
      <c r="S8167" s="51"/>
      <c r="T8167" s="51"/>
      <c r="AR8167" s="51"/>
      <c r="AS8167" s="51"/>
    </row>
    <row r="8168" spans="1:45" s="520" customFormat="1" ht="12">
      <c r="A8168" s="51"/>
      <c r="B8168" s="51"/>
      <c r="C8168" s="51" t="s">
        <v>135</v>
      </c>
      <c r="D8168" s="37"/>
      <c r="E8168" s="51"/>
      <c r="F8168" s="51"/>
      <c r="G8168" s="51"/>
      <c r="H8168" s="51"/>
      <c r="I8168" s="51"/>
      <c r="J8168" s="51"/>
      <c r="K8168" s="51"/>
      <c r="L8168" s="51"/>
      <c r="M8168" s="51"/>
      <c r="N8168" s="51"/>
      <c r="O8168" s="52"/>
      <c r="P8168" s="51"/>
      <c r="Q8168" s="51"/>
      <c r="R8168" s="51"/>
      <c r="S8168" s="51"/>
      <c r="T8168" s="51"/>
      <c r="AR8168" s="51"/>
      <c r="AS8168" s="51"/>
    </row>
    <row r="8169" spans="1:45" s="520" customFormat="1" ht="39.9" customHeight="1">
      <c r="A8169" s="51"/>
      <c r="B8169" s="51"/>
      <c r="C8169" s="51"/>
      <c r="D8169" s="1453" t="s">
        <v>2276</v>
      </c>
      <c r="E8169" s="1452"/>
      <c r="F8169" s="1452"/>
      <c r="G8169" s="1452"/>
      <c r="H8169" s="1452"/>
      <c r="I8169" s="1452"/>
      <c r="J8169" s="1452"/>
      <c r="K8169" s="1452"/>
      <c r="L8169" s="1452"/>
      <c r="M8169" s="1452"/>
      <c r="N8169" s="1452"/>
      <c r="O8169" s="1452"/>
      <c r="P8169" s="1452"/>
      <c r="Q8169" s="1452"/>
      <c r="R8169" s="1452"/>
      <c r="S8169" s="1452"/>
      <c r="T8169" s="1452"/>
      <c r="AR8169" s="51"/>
    </row>
    <row r="8170" spans="1:45" s="3" customFormat="1" thickBot="1">
      <c r="A8170" s="531"/>
      <c r="O8170" s="107"/>
      <c r="AR8170" s="531"/>
    </row>
    <row r="8171" spans="1:45" s="520" customFormat="1" ht="12" thickTop="1">
      <c r="A8171" s="51"/>
      <c r="B8171" s="41"/>
      <c r="C8171" s="51"/>
      <c r="E8171" s="42" t="s">
        <v>138</v>
      </c>
      <c r="F8171" s="42" t="s">
        <v>139</v>
      </c>
      <c r="G8171" s="51"/>
      <c r="H8171" s="51"/>
      <c r="I8171" s="51"/>
      <c r="J8171" s="51"/>
      <c r="K8171" s="51" t="s">
        <v>140</v>
      </c>
      <c r="L8171" s="51"/>
      <c r="M8171" s="51"/>
      <c r="N8171" s="51"/>
      <c r="O8171" s="52"/>
      <c r="P8171" s="51"/>
      <c r="Q8171" s="51"/>
      <c r="R8171" s="51"/>
      <c r="S8171" s="51"/>
      <c r="T8171" s="41"/>
      <c r="AG8171" s="521" t="s">
        <v>268</v>
      </c>
      <c r="AH8171" s="521" t="s">
        <v>269</v>
      </c>
      <c r="AI8171" s="521" t="s">
        <v>270</v>
      </c>
      <c r="AJ8171" s="521" t="s">
        <v>271</v>
      </c>
      <c r="AK8171" s="521" t="s">
        <v>272</v>
      </c>
      <c r="AM8171" s="745" t="s">
        <v>281</v>
      </c>
      <c r="AN8171" s="746" t="s">
        <v>282</v>
      </c>
      <c r="AO8171" s="522" t="s">
        <v>278</v>
      </c>
      <c r="AR8171" s="51"/>
      <c r="AS8171" s="42" t="s">
        <v>139</v>
      </c>
    </row>
    <row r="8172" spans="1:45" s="520" customFormat="1" ht="12" customHeight="1">
      <c r="A8172" s="747">
        <v>14</v>
      </c>
      <c r="B8172" s="523" t="s">
        <v>141</v>
      </c>
      <c r="C8172" s="748"/>
      <c r="D8172" s="749" t="s">
        <v>2277</v>
      </c>
      <c r="E8172" s="750">
        <f ca="1">IF(AND($A8172=0,$A$1="DIF"),0, ROUND(ROUND(($R8177*$S$2+($T8177*$T$2))/A8172,2)*$C$2,2))</f>
        <v>98.17</v>
      </c>
      <c r="F8172" s="751">
        <f ca="1">ROUND($A8172*$E8172,2)</f>
        <v>1374.38</v>
      </c>
      <c r="G8172" s="752" t="s">
        <v>142</v>
      </c>
      <c r="H8172" s="753"/>
      <c r="I8172" s="754"/>
      <c r="J8172" s="753"/>
      <c r="K8172" s="753" t="s">
        <v>3</v>
      </c>
      <c r="L8172" s="755" t="s">
        <v>143</v>
      </c>
      <c r="M8172" s="755"/>
      <c r="N8172" s="755"/>
      <c r="O8172" s="755"/>
      <c r="P8172" s="755"/>
      <c r="Q8172" s="51"/>
      <c r="T8172" s="756" t="str">
        <f ca="1">IF(AND($R8177=0,$T8177=0),"0.00","mu :" &amp; ROUND($F8172/$C$2/($R8177+$T8177*$D$9),2))</f>
        <v>mu :1.23</v>
      </c>
      <c r="W8172" s="524"/>
      <c r="AG8172" s="481">
        <f ca="1">IF($E8172=0,0,ROUND($R8177*$S$2*$C$2/$A8172,2))</f>
        <v>37.31</v>
      </c>
      <c r="AH8172" s="481">
        <f ca="1">$AG8172*$A8172</f>
        <v>522.34</v>
      </c>
      <c r="AI8172" s="525">
        <f ca="1">$E8172-$AG8172</f>
        <v>60.86</v>
      </c>
      <c r="AJ8172" s="525">
        <f ca="1">$A8172*$AI8172</f>
        <v>852.04</v>
      </c>
      <c r="AK8172" s="526">
        <f ca="1">ROUND(($AG8172+$AI8172)*$A8172,2)</f>
        <v>1374.38</v>
      </c>
      <c r="AM8172" s="527">
        <f ca="1">ROUND(R8177,2)</f>
        <v>424.2</v>
      </c>
      <c r="AN8172" s="528">
        <f ca="1">ROUND(T8177,2)</f>
        <v>25.2</v>
      </c>
      <c r="AO8172" s="529">
        <f ca="1">ROUND(AM8172+AN8172,2)*A8172</f>
        <v>6291.5999999999995</v>
      </c>
      <c r="AR8172" s="747">
        <v>14</v>
      </c>
      <c r="AS8172" s="751">
        <v>1469.16</v>
      </c>
    </row>
    <row r="8173" spans="1:45" s="520" customFormat="1" ht="13.2">
      <c r="A8173" s="748"/>
      <c r="B8173"/>
      <c r="C8173" s="748"/>
      <c r="D8173" s="749" t="s">
        <v>2061</v>
      </c>
      <c r="F8173" s="753"/>
      <c r="G8173" s="3"/>
      <c r="H8173" s="753"/>
      <c r="I8173" s="754"/>
      <c r="J8173" s="753"/>
      <c r="K8173" s="753" t="s">
        <v>144</v>
      </c>
      <c r="L8173" s="753"/>
      <c r="M8173" s="753"/>
      <c r="N8173" s="753"/>
      <c r="O8173" s="753"/>
      <c r="P8173" s="753"/>
      <c r="Q8173" s="51"/>
      <c r="R8173" s="530"/>
      <c r="S8173" s="757"/>
      <c r="T8173" s="753"/>
      <c r="AR8173" s="748"/>
      <c r="AS8173" s="753"/>
    </row>
    <row r="8174" spans="1:45" s="886" customFormat="1" ht="13.2">
      <c r="A8174"/>
      <c r="B8174" s="910"/>
      <c r="C8174" s="910" t="s">
        <v>2597</v>
      </c>
      <c r="D8174" s="910" t="str">
        <f ca="1">CELL("Address",Elec_Rates!D$1023)</f>
        <v>[E25_0062_Quintano_Foods_Elec_ELV_As_Awarded.xlsx]Elec_Rates!$D$1023</v>
      </c>
      <c r="E8174" s="911"/>
      <c r="F8174" s="911"/>
      <c r="G8174" s="912" t="s">
        <v>2598</v>
      </c>
      <c r="H8174" s="912"/>
      <c r="I8174" s="912"/>
      <c r="J8174" s="912"/>
      <c r="K8174" s="913"/>
      <c r="L8174" s="911"/>
      <c r="M8174" s="911"/>
      <c r="N8174" s="911"/>
      <c r="O8174" s="914"/>
      <c r="P8174" s="911"/>
      <c r="Q8174" s="915"/>
      <c r="R8174" s="916"/>
      <c r="S8174" s="915"/>
      <c r="T8174" s="917"/>
      <c r="U8174" s="918"/>
      <c r="AR8174"/>
      <c r="AS8174" s="911"/>
    </row>
    <row r="8175" spans="1:45" s="886" customFormat="1" ht="11.4">
      <c r="A8175" s="919">
        <v>14</v>
      </c>
      <c r="B8175" s="920">
        <v>1</v>
      </c>
      <c r="C8175" s="920">
        <f>$A8175*$B8175</f>
        <v>14</v>
      </c>
      <c r="D8175" s="921" t="str">
        <f>Elec_Rates!$D$1023</f>
        <v>091# Galvanised Conduit points for Fire alarm devices</v>
      </c>
      <c r="E8175" s="921"/>
      <c r="F8175" s="921" t="s">
        <v>2599</v>
      </c>
      <c r="G8175" s="922" t="s">
        <v>2601</v>
      </c>
      <c r="H8175" s="922"/>
      <c r="I8175" s="922"/>
      <c r="J8175" s="922"/>
      <c r="K8175" s="923"/>
      <c r="L8175" s="918"/>
      <c r="M8175" s="918"/>
      <c r="N8175" s="918"/>
      <c r="O8175" s="924"/>
      <c r="P8175" s="921"/>
      <c r="Q8175" s="925">
        <f ca="1">$B8175*Elec_Rates!$R$1023</f>
        <v>30.3</v>
      </c>
      <c r="R8175" s="916">
        <f ca="1">$A8175*Q8175</f>
        <v>424.2</v>
      </c>
      <c r="S8175" s="925">
        <f ca="1">$B8175*Elec_Rates!$T$1023</f>
        <v>1.8</v>
      </c>
      <c r="T8175" s="917">
        <f ca="1">$A8175*S8175</f>
        <v>25.2</v>
      </c>
      <c r="U8175" s="926"/>
      <c r="AR8175" s="919">
        <v>14</v>
      </c>
      <c r="AS8175" s="921" t="s">
        <v>2599</v>
      </c>
    </row>
    <row r="8176" spans="1:45" s="520" customFormat="1" ht="12">
      <c r="A8176" s="758"/>
      <c r="B8176" s="758"/>
      <c r="C8176" s="758"/>
      <c r="D8176" s="758"/>
      <c r="E8176" s="758"/>
      <c r="F8176" s="753"/>
      <c r="G8176" s="758"/>
      <c r="H8176" s="758"/>
      <c r="I8176" s="519"/>
      <c r="J8176" s="758"/>
      <c r="K8176" s="758"/>
      <c r="L8176" s="758"/>
      <c r="M8176" s="758"/>
      <c r="N8176" s="758"/>
      <c r="O8176" s="758"/>
      <c r="P8176" s="758"/>
      <c r="Q8176" s="519"/>
      <c r="R8176" s="759">
        <f>$A8176*Q8176</f>
        <v>0</v>
      </c>
      <c r="S8176" s="519"/>
      <c r="T8176" s="760">
        <f>$A8176*S8176*$T$1</f>
        <v>0</v>
      </c>
      <c r="AR8176" s="758"/>
      <c r="AS8176" s="753"/>
    </row>
    <row r="8177" spans="1:45" s="520" customFormat="1" ht="12.6" thickBot="1">
      <c r="A8177" s="761" t="s">
        <v>145</v>
      </c>
      <c r="B8177" s="762">
        <f>(R8176+T8176)</f>
        <v>0</v>
      </c>
      <c r="C8177" s="763"/>
      <c r="D8177" s="763"/>
      <c r="E8177" s="763"/>
      <c r="F8177" s="764"/>
      <c r="G8177" s="763" t="s">
        <v>146</v>
      </c>
      <c r="H8177" s="763"/>
      <c r="I8177" s="765"/>
      <c r="J8177" s="763"/>
      <c r="K8177" s="763" t="s">
        <v>3</v>
      </c>
      <c r="L8177" s="766" t="s">
        <v>143</v>
      </c>
      <c r="M8177" s="766"/>
      <c r="N8177" s="766"/>
      <c r="O8177" s="766"/>
      <c r="P8177" s="766"/>
      <c r="Q8177" s="767"/>
      <c r="R8177" s="768">
        <f ca="1">SUM(R8173:R8176)</f>
        <v>424.2</v>
      </c>
      <c r="S8177" s="763"/>
      <c r="T8177" s="768">
        <f ca="1">SUM(T8173:T8176)</f>
        <v>25.2</v>
      </c>
      <c r="U8177" s="531"/>
      <c r="V8177" s="531"/>
      <c r="W8177" s="531"/>
      <c r="X8177" s="531"/>
      <c r="Y8177" s="531"/>
      <c r="Z8177" s="531"/>
      <c r="AA8177" s="531"/>
      <c r="AB8177" s="531"/>
      <c r="AC8177" s="531"/>
      <c r="AD8177" s="531"/>
      <c r="AE8177" s="531"/>
      <c r="AF8177" s="531"/>
      <c r="AG8177" s="531"/>
      <c r="AH8177" s="531"/>
      <c r="AI8177" s="531"/>
      <c r="AJ8177" s="531"/>
      <c r="AK8177" s="531"/>
      <c r="AL8177" s="531"/>
      <c r="AM8177" s="531"/>
      <c r="AN8177" s="531"/>
      <c r="AO8177" s="531"/>
      <c r="AR8177" s="761" t="s">
        <v>145</v>
      </c>
      <c r="AS8177" s="764"/>
    </row>
    <row r="8178" spans="1:45" s="520" customFormat="1" ht="12" thickTop="1">
      <c r="A8178" s="51"/>
      <c r="B8178" s="41"/>
      <c r="C8178" s="51"/>
      <c r="E8178" s="42" t="s">
        <v>138</v>
      </c>
      <c r="F8178" s="42" t="s">
        <v>139</v>
      </c>
      <c r="G8178" s="51"/>
      <c r="H8178" s="51"/>
      <c r="I8178" s="51"/>
      <c r="J8178" s="51"/>
      <c r="K8178" s="51" t="s">
        <v>140</v>
      </c>
      <c r="L8178" s="51"/>
      <c r="M8178" s="51"/>
      <c r="N8178" s="51"/>
      <c r="O8178" s="52"/>
      <c r="P8178" s="51"/>
      <c r="Q8178" s="51"/>
      <c r="R8178" s="51"/>
      <c r="S8178" s="51"/>
      <c r="T8178" s="41"/>
      <c r="AG8178" s="521" t="s">
        <v>268</v>
      </c>
      <c r="AH8178" s="521" t="s">
        <v>269</v>
      </c>
      <c r="AI8178" s="521" t="s">
        <v>270</v>
      </c>
      <c r="AJ8178" s="521" t="s">
        <v>271</v>
      </c>
      <c r="AK8178" s="521" t="s">
        <v>272</v>
      </c>
      <c r="AM8178" s="745" t="s">
        <v>281</v>
      </c>
      <c r="AN8178" s="746" t="s">
        <v>282</v>
      </c>
      <c r="AO8178" s="522" t="s">
        <v>278</v>
      </c>
      <c r="AR8178" s="51"/>
      <c r="AS8178" s="42" t="s">
        <v>139</v>
      </c>
    </row>
    <row r="8179" spans="1:45" s="520" customFormat="1" ht="12" customHeight="1">
      <c r="A8179" s="747">
        <v>5</v>
      </c>
      <c r="B8179" s="523" t="s">
        <v>141</v>
      </c>
      <c r="C8179" s="748"/>
      <c r="D8179" s="749" t="s">
        <v>2278</v>
      </c>
      <c r="E8179" s="750">
        <f ca="1">IF(AND($A8179=0,$A$1="DIF"),0, ROUND(ROUND(($R8184*$S$2+($T8184*$T$2))/A8179,2)*$C$2,2))</f>
        <v>98.17</v>
      </c>
      <c r="F8179" s="751">
        <f ca="1">ROUND($A8179*$E8179,2)</f>
        <v>490.85</v>
      </c>
      <c r="G8179" s="752" t="s">
        <v>142</v>
      </c>
      <c r="H8179" s="753"/>
      <c r="I8179" s="754"/>
      <c r="J8179" s="753"/>
      <c r="K8179" s="753" t="s">
        <v>3</v>
      </c>
      <c r="L8179" s="755" t="s">
        <v>143</v>
      </c>
      <c r="M8179" s="755"/>
      <c r="N8179" s="755"/>
      <c r="O8179" s="755"/>
      <c r="P8179" s="755"/>
      <c r="Q8179" s="51"/>
      <c r="T8179" s="756" t="str">
        <f ca="1">IF(AND($R8184=0,$T8184=0),"0.00","mu :" &amp; ROUND($F8179/$C$2/($R8184+$T8184*$D$9),2))</f>
        <v>mu :1.23</v>
      </c>
      <c r="W8179" s="524"/>
      <c r="AG8179" s="481">
        <f ca="1">IF($E8179=0,0,ROUND($R8184*$S$2*$C$2/$A8179,2))</f>
        <v>37.31</v>
      </c>
      <c r="AH8179" s="481">
        <f ca="1">$AG8179*$A8179</f>
        <v>186.55</v>
      </c>
      <c r="AI8179" s="525">
        <f ca="1">$E8179-$AG8179</f>
        <v>60.86</v>
      </c>
      <c r="AJ8179" s="525">
        <f ca="1">$A8179*$AI8179</f>
        <v>304.3</v>
      </c>
      <c r="AK8179" s="526">
        <f ca="1">ROUND(($AG8179+$AI8179)*$A8179,2)</f>
        <v>490.85</v>
      </c>
      <c r="AM8179" s="527">
        <f ca="1">ROUND(R8184,2)</f>
        <v>151.5</v>
      </c>
      <c r="AN8179" s="528">
        <f ca="1">ROUND(T8184,2)</f>
        <v>9</v>
      </c>
      <c r="AO8179" s="529">
        <f ca="1">ROUND(AM8179+AN8179,2)*A8179</f>
        <v>802.5</v>
      </c>
      <c r="AR8179" s="747">
        <v>5</v>
      </c>
      <c r="AS8179" s="751">
        <v>524.70000000000005</v>
      </c>
    </row>
    <row r="8180" spans="1:45" s="520" customFormat="1" ht="13.2">
      <c r="A8180" s="748"/>
      <c r="B8180"/>
      <c r="C8180" s="748"/>
      <c r="D8180" s="749" t="s">
        <v>2062</v>
      </c>
      <c r="F8180" s="753"/>
      <c r="G8180" s="3"/>
      <c r="H8180" s="753"/>
      <c r="I8180" s="754"/>
      <c r="J8180" s="753"/>
      <c r="K8180" s="753" t="s">
        <v>144</v>
      </c>
      <c r="L8180" s="753"/>
      <c r="M8180" s="753"/>
      <c r="N8180" s="753"/>
      <c r="O8180" s="753"/>
      <c r="P8180" s="753"/>
      <c r="Q8180" s="51"/>
      <c r="R8180" s="530"/>
      <c r="S8180" s="757"/>
      <c r="T8180" s="753"/>
      <c r="AR8180" s="748"/>
      <c r="AS8180" s="753"/>
    </row>
    <row r="8181" spans="1:45" s="886" customFormat="1" ht="13.2">
      <c r="A8181"/>
      <c r="B8181" s="910"/>
      <c r="C8181" s="910" t="s">
        <v>2597</v>
      </c>
      <c r="D8181" s="910" t="str">
        <f ca="1">CELL("Address",Elec_Rates!D$1023)</f>
        <v>[E25_0062_Quintano_Foods_Elec_ELV_As_Awarded.xlsx]Elec_Rates!$D$1023</v>
      </c>
      <c r="E8181" s="911"/>
      <c r="F8181" s="911"/>
      <c r="G8181" s="912" t="s">
        <v>2598</v>
      </c>
      <c r="H8181" s="912"/>
      <c r="I8181" s="912"/>
      <c r="J8181" s="912"/>
      <c r="K8181" s="913"/>
      <c r="L8181" s="911"/>
      <c r="M8181" s="911"/>
      <c r="N8181" s="911"/>
      <c r="O8181" s="914"/>
      <c r="P8181" s="911"/>
      <c r="Q8181" s="915"/>
      <c r="R8181" s="916"/>
      <c r="S8181" s="915"/>
      <c r="T8181" s="917"/>
      <c r="U8181" s="918"/>
      <c r="AR8181"/>
      <c r="AS8181" s="911"/>
    </row>
    <row r="8182" spans="1:45" s="886" customFormat="1" ht="11.4">
      <c r="A8182" s="919">
        <v>5</v>
      </c>
      <c r="B8182" s="920">
        <v>1</v>
      </c>
      <c r="C8182" s="920">
        <f>$A8182*$B8182</f>
        <v>5</v>
      </c>
      <c r="D8182" s="921" t="str">
        <f>Elec_Rates!$D$1023</f>
        <v>091# Galvanised Conduit points for Fire alarm devices</v>
      </c>
      <c r="E8182" s="921"/>
      <c r="F8182" s="921" t="s">
        <v>2599</v>
      </c>
      <c r="G8182" s="922" t="s">
        <v>2601</v>
      </c>
      <c r="H8182" s="922"/>
      <c r="I8182" s="922"/>
      <c r="J8182" s="922"/>
      <c r="K8182" s="923"/>
      <c r="L8182" s="918"/>
      <c r="M8182" s="918"/>
      <c r="N8182" s="918"/>
      <c r="O8182" s="924"/>
      <c r="P8182" s="921"/>
      <c r="Q8182" s="925">
        <f ca="1">$B8182*Elec_Rates!$R$1023</f>
        <v>30.3</v>
      </c>
      <c r="R8182" s="916">
        <f ca="1">$A8182*Q8182</f>
        <v>151.5</v>
      </c>
      <c r="S8182" s="925">
        <f ca="1">$B8182*Elec_Rates!$T$1023</f>
        <v>1.8</v>
      </c>
      <c r="T8182" s="917">
        <f ca="1">$A8182*S8182</f>
        <v>9</v>
      </c>
      <c r="U8182" s="926"/>
      <c r="AR8182" s="919">
        <v>5</v>
      </c>
      <c r="AS8182" s="921" t="s">
        <v>2599</v>
      </c>
    </row>
    <row r="8183" spans="1:45" s="520" customFormat="1" ht="12">
      <c r="A8183" s="758"/>
      <c r="B8183" s="758"/>
      <c r="C8183" s="758"/>
      <c r="D8183" s="758"/>
      <c r="E8183" s="758"/>
      <c r="F8183" s="753"/>
      <c r="G8183" s="758"/>
      <c r="H8183" s="758"/>
      <c r="I8183" s="519"/>
      <c r="J8183" s="758"/>
      <c r="K8183" s="758"/>
      <c r="L8183" s="758"/>
      <c r="M8183" s="758"/>
      <c r="N8183" s="758"/>
      <c r="O8183" s="758"/>
      <c r="P8183" s="758"/>
      <c r="Q8183" s="519"/>
      <c r="R8183" s="759">
        <f>$A8183*Q8183</f>
        <v>0</v>
      </c>
      <c r="S8183" s="519"/>
      <c r="T8183" s="760">
        <f>$A8183*S8183*$T$1</f>
        <v>0</v>
      </c>
      <c r="AR8183" s="758"/>
      <c r="AS8183" s="753"/>
    </row>
    <row r="8184" spans="1:45" s="520" customFormat="1" ht="12.6" thickBot="1">
      <c r="A8184" s="761" t="s">
        <v>145</v>
      </c>
      <c r="B8184" s="762">
        <f>(R8183+T8183)</f>
        <v>0</v>
      </c>
      <c r="C8184" s="763"/>
      <c r="D8184" s="763"/>
      <c r="E8184" s="763"/>
      <c r="F8184" s="764"/>
      <c r="G8184" s="763" t="s">
        <v>146</v>
      </c>
      <c r="H8184" s="763"/>
      <c r="I8184" s="765"/>
      <c r="J8184" s="763"/>
      <c r="K8184" s="763" t="s">
        <v>3</v>
      </c>
      <c r="L8184" s="766" t="s">
        <v>143</v>
      </c>
      <c r="M8184" s="766"/>
      <c r="N8184" s="766"/>
      <c r="O8184" s="766"/>
      <c r="P8184" s="766"/>
      <c r="Q8184" s="767"/>
      <c r="R8184" s="768">
        <f ca="1">SUM(R8180:R8183)</f>
        <v>151.5</v>
      </c>
      <c r="S8184" s="763"/>
      <c r="T8184" s="768">
        <f ca="1">SUM(T8180:T8183)</f>
        <v>9</v>
      </c>
      <c r="U8184" s="531"/>
      <c r="V8184" s="531"/>
      <c r="W8184" s="531"/>
      <c r="X8184" s="531"/>
      <c r="Y8184" s="531"/>
      <c r="Z8184" s="531"/>
      <c r="AA8184" s="531"/>
      <c r="AB8184" s="531"/>
      <c r="AC8184" s="531"/>
      <c r="AD8184" s="531"/>
      <c r="AE8184" s="531"/>
      <c r="AF8184" s="531"/>
      <c r="AG8184" s="531"/>
      <c r="AH8184" s="531"/>
      <c r="AI8184" s="531"/>
      <c r="AJ8184" s="531"/>
      <c r="AK8184" s="531"/>
      <c r="AL8184" s="531"/>
      <c r="AM8184" s="531"/>
      <c r="AN8184" s="531"/>
      <c r="AO8184" s="531"/>
      <c r="AR8184" s="761" t="s">
        <v>145</v>
      </c>
      <c r="AS8184" s="764"/>
    </row>
    <row r="8185" spans="1:45" s="520" customFormat="1" ht="12" thickTop="1">
      <c r="A8185" s="51"/>
      <c r="B8185" s="41"/>
      <c r="C8185" s="51"/>
      <c r="E8185" s="42" t="s">
        <v>138</v>
      </c>
      <c r="F8185" s="42" t="s">
        <v>139</v>
      </c>
      <c r="G8185" s="51"/>
      <c r="H8185" s="51"/>
      <c r="I8185" s="51"/>
      <c r="J8185" s="51"/>
      <c r="K8185" s="51" t="s">
        <v>140</v>
      </c>
      <c r="L8185" s="51"/>
      <c r="M8185" s="51"/>
      <c r="N8185" s="51"/>
      <c r="O8185" s="52"/>
      <c r="P8185" s="51"/>
      <c r="Q8185" s="51"/>
      <c r="R8185" s="51"/>
      <c r="S8185" s="51"/>
      <c r="T8185" s="41"/>
      <c r="AG8185" s="521" t="s">
        <v>268</v>
      </c>
      <c r="AH8185" s="521" t="s">
        <v>269</v>
      </c>
      <c r="AI8185" s="521" t="s">
        <v>270</v>
      </c>
      <c r="AJ8185" s="521" t="s">
        <v>271</v>
      </c>
      <c r="AK8185" s="521" t="s">
        <v>272</v>
      </c>
      <c r="AM8185" s="745" t="s">
        <v>281</v>
      </c>
      <c r="AN8185" s="746" t="s">
        <v>282</v>
      </c>
      <c r="AO8185" s="522" t="s">
        <v>278</v>
      </c>
      <c r="AR8185" s="51"/>
      <c r="AS8185" s="42" t="s">
        <v>139</v>
      </c>
    </row>
    <row r="8186" spans="1:45" s="520" customFormat="1" ht="12" customHeight="1">
      <c r="A8186" s="747">
        <v>77</v>
      </c>
      <c r="B8186" s="523" t="s">
        <v>141</v>
      </c>
      <c r="C8186" s="748"/>
      <c r="D8186" s="749" t="s">
        <v>2279</v>
      </c>
      <c r="E8186" s="750">
        <f ca="1">IF(AND($A8186=0,$A$1="DIF"),0, ROUND(ROUND(($R8191*$S$2+($T8191*$T$2))/A8186,2)*$C$2,2))</f>
        <v>98.17</v>
      </c>
      <c r="F8186" s="751">
        <f ca="1">ROUND($A8186*$E8186,2)</f>
        <v>7559.09</v>
      </c>
      <c r="G8186" s="752" t="s">
        <v>142</v>
      </c>
      <c r="H8186" s="753"/>
      <c r="I8186" s="754"/>
      <c r="J8186" s="753"/>
      <c r="K8186" s="753" t="s">
        <v>3</v>
      </c>
      <c r="L8186" s="755" t="s">
        <v>143</v>
      </c>
      <c r="M8186" s="755"/>
      <c r="N8186" s="755"/>
      <c r="O8186" s="755"/>
      <c r="P8186" s="755"/>
      <c r="Q8186" s="51"/>
      <c r="T8186" s="756" t="str">
        <f ca="1">IF(AND($R8191=0,$T8191=0),"0.00","mu :" &amp; ROUND($F8186/$C$2/($R8191+$T8191*$D$9),2))</f>
        <v>mu :1.23</v>
      </c>
      <c r="W8186" s="524"/>
      <c r="AG8186" s="481">
        <f ca="1">IF($E8186=0,0,ROUND($R8191*$S$2*$C$2/$A8186,2))</f>
        <v>37.31</v>
      </c>
      <c r="AH8186" s="481">
        <f ca="1">$AG8186*$A8186</f>
        <v>2872.8700000000003</v>
      </c>
      <c r="AI8186" s="525">
        <f ca="1">$E8186-$AG8186</f>
        <v>60.86</v>
      </c>
      <c r="AJ8186" s="525">
        <f ca="1">$A8186*$AI8186</f>
        <v>4686.22</v>
      </c>
      <c r="AK8186" s="526">
        <f ca="1">ROUND(($AG8186+$AI8186)*$A8186,2)</f>
        <v>7559.09</v>
      </c>
      <c r="AM8186" s="527">
        <f ca="1">ROUND(R8191,2)</f>
        <v>2333.1</v>
      </c>
      <c r="AN8186" s="528">
        <f ca="1">ROUND(T8191,2)</f>
        <v>138.6</v>
      </c>
      <c r="AO8186" s="529">
        <f ca="1">ROUND(AM8186+AN8186,2)*A8186</f>
        <v>190320.9</v>
      </c>
      <c r="AR8186" s="747">
        <v>77</v>
      </c>
      <c r="AS8186" s="751">
        <v>8080.38</v>
      </c>
    </row>
    <row r="8187" spans="1:45" s="520" customFormat="1" ht="13.2">
      <c r="A8187" s="748"/>
      <c r="B8187"/>
      <c r="C8187" s="748"/>
      <c r="D8187" s="749" t="s">
        <v>2063</v>
      </c>
      <c r="F8187" s="753"/>
      <c r="G8187" s="3"/>
      <c r="H8187" s="753"/>
      <c r="I8187" s="754"/>
      <c r="J8187" s="753"/>
      <c r="K8187" s="753" t="s">
        <v>144</v>
      </c>
      <c r="L8187" s="753"/>
      <c r="M8187" s="753"/>
      <c r="N8187" s="753"/>
      <c r="O8187" s="753"/>
      <c r="P8187" s="753"/>
      <c r="Q8187" s="51"/>
      <c r="R8187" s="530"/>
      <c r="S8187" s="757"/>
      <c r="T8187" s="753"/>
      <c r="AR8187" s="748"/>
      <c r="AS8187" s="753"/>
    </row>
    <row r="8188" spans="1:45" s="886" customFormat="1" ht="15.6" customHeight="1">
      <c r="A8188"/>
      <c r="B8188" s="910"/>
      <c r="C8188" s="910" t="s">
        <v>2597</v>
      </c>
      <c r="D8188" s="910" t="str">
        <f ca="1">CELL("Address",Elec_Rates!D$1023)</f>
        <v>[E25_0062_Quintano_Foods_Elec_ELV_As_Awarded.xlsx]Elec_Rates!$D$1023</v>
      </c>
      <c r="E8188" s="911"/>
      <c r="F8188" s="911"/>
      <c r="G8188" s="912" t="s">
        <v>2598</v>
      </c>
      <c r="H8188" s="912"/>
      <c r="I8188" s="912"/>
      <c r="J8188" s="912"/>
      <c r="K8188" s="913"/>
      <c r="L8188" s="911"/>
      <c r="M8188" s="911"/>
      <c r="N8188" s="911"/>
      <c r="O8188" s="914"/>
      <c r="P8188" s="911"/>
      <c r="Q8188" s="915"/>
      <c r="R8188" s="916"/>
      <c r="S8188" s="915"/>
      <c r="T8188" s="917"/>
      <c r="U8188" s="918"/>
      <c r="AR8188"/>
      <c r="AS8188" s="911"/>
    </row>
    <row r="8189" spans="1:45" s="886" customFormat="1" ht="11.4">
      <c r="A8189" s="919">
        <v>77</v>
      </c>
      <c r="B8189" s="920">
        <v>1</v>
      </c>
      <c r="C8189" s="920">
        <f>$A8189*$B8189</f>
        <v>77</v>
      </c>
      <c r="D8189" s="921" t="str">
        <f>Elec_Rates!$D$1023</f>
        <v>091# Galvanised Conduit points for Fire alarm devices</v>
      </c>
      <c r="E8189" s="921"/>
      <c r="F8189" s="921" t="s">
        <v>2599</v>
      </c>
      <c r="G8189" s="922" t="s">
        <v>2601</v>
      </c>
      <c r="H8189" s="922"/>
      <c r="I8189" s="922"/>
      <c r="J8189" s="922"/>
      <c r="K8189" s="923"/>
      <c r="L8189" s="918"/>
      <c r="M8189" s="918"/>
      <c r="N8189" s="918"/>
      <c r="O8189" s="924"/>
      <c r="P8189" s="921"/>
      <c r="Q8189" s="925">
        <f ca="1">$B8189*Elec_Rates!$R$1023</f>
        <v>30.3</v>
      </c>
      <c r="R8189" s="916">
        <f ca="1">$A8189*Q8189</f>
        <v>2333.1</v>
      </c>
      <c r="S8189" s="925">
        <f ca="1">$B8189*Elec_Rates!$T$1023</f>
        <v>1.8</v>
      </c>
      <c r="T8189" s="917">
        <f ca="1">$A8189*S8189</f>
        <v>138.6</v>
      </c>
      <c r="U8189" s="926"/>
      <c r="AR8189" s="919">
        <v>77</v>
      </c>
      <c r="AS8189" s="921" t="s">
        <v>2599</v>
      </c>
    </row>
    <row r="8190" spans="1:45" s="520" customFormat="1" ht="12">
      <c r="A8190" s="758"/>
      <c r="B8190" s="758"/>
      <c r="C8190" s="758"/>
      <c r="D8190" s="758"/>
      <c r="E8190" s="758"/>
      <c r="F8190" s="753"/>
      <c r="G8190" s="758"/>
      <c r="H8190" s="758"/>
      <c r="I8190" s="519"/>
      <c r="J8190" s="758"/>
      <c r="K8190" s="758"/>
      <c r="L8190" s="758"/>
      <c r="M8190" s="758"/>
      <c r="N8190" s="758"/>
      <c r="O8190" s="758"/>
      <c r="P8190" s="758"/>
      <c r="Q8190" s="519"/>
      <c r="R8190" s="759">
        <f>$A8190*Q8190</f>
        <v>0</v>
      </c>
      <c r="S8190" s="519"/>
      <c r="T8190" s="760">
        <f>$A8190*S8190*$T$1</f>
        <v>0</v>
      </c>
      <c r="AR8190" s="758"/>
      <c r="AS8190" s="753"/>
    </row>
    <row r="8191" spans="1:45" s="520" customFormat="1" ht="12.6" thickBot="1">
      <c r="A8191" s="761" t="s">
        <v>145</v>
      </c>
      <c r="B8191" s="762">
        <f>(R8190+T8190)</f>
        <v>0</v>
      </c>
      <c r="C8191" s="763"/>
      <c r="D8191" s="763"/>
      <c r="E8191" s="763"/>
      <c r="F8191" s="764"/>
      <c r="G8191" s="763" t="s">
        <v>146</v>
      </c>
      <c r="H8191" s="763"/>
      <c r="I8191" s="765"/>
      <c r="J8191" s="763"/>
      <c r="K8191" s="763" t="s">
        <v>3</v>
      </c>
      <c r="L8191" s="766" t="s">
        <v>143</v>
      </c>
      <c r="M8191" s="766"/>
      <c r="N8191" s="766"/>
      <c r="O8191" s="766"/>
      <c r="P8191" s="766"/>
      <c r="Q8191" s="767"/>
      <c r="R8191" s="768">
        <f ca="1">SUM(R8187:R8190)</f>
        <v>2333.1</v>
      </c>
      <c r="S8191" s="763"/>
      <c r="T8191" s="768">
        <f ca="1">SUM(T8187:T8190)</f>
        <v>138.6</v>
      </c>
      <c r="U8191" s="531"/>
      <c r="V8191" s="531"/>
      <c r="W8191" s="531"/>
      <c r="X8191" s="531"/>
      <c r="Y8191" s="531"/>
      <c r="Z8191" s="531"/>
      <c r="AA8191" s="531"/>
      <c r="AB8191" s="531"/>
      <c r="AC8191" s="531"/>
      <c r="AD8191" s="531"/>
      <c r="AE8191" s="531"/>
      <c r="AF8191" s="531"/>
      <c r="AG8191" s="531"/>
      <c r="AH8191" s="531"/>
      <c r="AI8191" s="531"/>
      <c r="AJ8191" s="531"/>
      <c r="AK8191" s="531"/>
      <c r="AL8191" s="531"/>
      <c r="AM8191" s="531"/>
      <c r="AN8191" s="531"/>
      <c r="AO8191" s="531"/>
      <c r="AR8191" s="761" t="s">
        <v>145</v>
      </c>
      <c r="AS8191" s="764"/>
    </row>
    <row r="8192" spans="1:45" s="520" customFormat="1" ht="12" thickTop="1">
      <c r="A8192" s="51"/>
      <c r="B8192" s="41"/>
      <c r="C8192" s="51"/>
      <c r="E8192" s="42" t="s">
        <v>138</v>
      </c>
      <c r="F8192" s="42" t="s">
        <v>139</v>
      </c>
      <c r="G8192" s="51"/>
      <c r="H8192" s="51"/>
      <c r="I8192" s="51"/>
      <c r="J8192" s="51"/>
      <c r="K8192" s="51" t="s">
        <v>140</v>
      </c>
      <c r="L8192" s="51"/>
      <c r="M8192" s="51"/>
      <c r="N8192" s="51"/>
      <c r="O8192" s="52"/>
      <c r="P8192" s="51"/>
      <c r="Q8192" s="51"/>
      <c r="R8192" s="51"/>
      <c r="S8192" s="51"/>
      <c r="T8192" s="41"/>
      <c r="AG8192" s="521" t="s">
        <v>268</v>
      </c>
      <c r="AH8192" s="521" t="s">
        <v>269</v>
      </c>
      <c r="AI8192" s="521" t="s">
        <v>270</v>
      </c>
      <c r="AJ8192" s="521" t="s">
        <v>271</v>
      </c>
      <c r="AK8192" s="521" t="s">
        <v>272</v>
      </c>
      <c r="AM8192" s="745" t="s">
        <v>281</v>
      </c>
      <c r="AN8192" s="746" t="s">
        <v>282</v>
      </c>
      <c r="AO8192" s="522" t="s">
        <v>278</v>
      </c>
      <c r="AR8192" s="51"/>
      <c r="AS8192" s="42" t="s">
        <v>139</v>
      </c>
    </row>
    <row r="8193" spans="1:45" s="520" customFormat="1" ht="12" customHeight="1">
      <c r="A8193" s="747">
        <v>8</v>
      </c>
      <c r="B8193" s="523" t="s">
        <v>141</v>
      </c>
      <c r="C8193" s="748"/>
      <c r="D8193" s="749" t="s">
        <v>2280</v>
      </c>
      <c r="E8193" s="750">
        <f ca="1">IF(AND($A8193=0,$A$1="DIF"),0, ROUND(ROUND(($R8198*$S$2+($T8198*$T$2))/A8193,2)*$C$2,2))</f>
        <v>98.17</v>
      </c>
      <c r="F8193" s="751">
        <f ca="1">ROUND($A8193*$E8193,2)</f>
        <v>785.36</v>
      </c>
      <c r="G8193" s="752" t="s">
        <v>142</v>
      </c>
      <c r="H8193" s="753"/>
      <c r="I8193" s="754"/>
      <c r="J8193" s="753"/>
      <c r="K8193" s="753" t="s">
        <v>3</v>
      </c>
      <c r="L8193" s="755" t="s">
        <v>143</v>
      </c>
      <c r="M8193" s="755"/>
      <c r="N8193" s="755"/>
      <c r="O8193" s="755"/>
      <c r="P8193" s="755"/>
      <c r="Q8193" s="51"/>
      <c r="T8193" s="756" t="str">
        <f ca="1">IF(AND($R8198=0,$T8198=0),"0.00","mu :" &amp; ROUND($F8193/$C$2/($R8198+$T8198*$D$9),2))</f>
        <v>mu :1.23</v>
      </c>
      <c r="W8193" s="524"/>
      <c r="AG8193" s="481">
        <f ca="1">IF($E8193=0,0,ROUND($R8198*$S$2*$C$2/$A8193,2))</f>
        <v>37.31</v>
      </c>
      <c r="AH8193" s="481">
        <f ca="1">$AG8193*$A8193</f>
        <v>298.48</v>
      </c>
      <c r="AI8193" s="525">
        <f ca="1">$E8193-$AG8193</f>
        <v>60.86</v>
      </c>
      <c r="AJ8193" s="525">
        <f ca="1">$A8193*$AI8193</f>
        <v>486.88</v>
      </c>
      <c r="AK8193" s="526">
        <f ca="1">ROUND(($AG8193+$AI8193)*$A8193,2)</f>
        <v>785.36</v>
      </c>
      <c r="AM8193" s="527">
        <f ca="1">ROUND(R8198,2)</f>
        <v>242.4</v>
      </c>
      <c r="AN8193" s="528">
        <f ca="1">ROUND(T8198,2)</f>
        <v>14.4</v>
      </c>
      <c r="AO8193" s="529">
        <f ca="1">ROUND(AM8193+AN8193,2)*A8193</f>
        <v>2054.4</v>
      </c>
      <c r="AR8193" s="747">
        <v>8</v>
      </c>
      <c r="AS8193" s="751">
        <v>839.52</v>
      </c>
    </row>
    <row r="8194" spans="1:45" s="520" customFormat="1" ht="13.2">
      <c r="A8194" s="748"/>
      <c r="B8194"/>
      <c r="C8194" s="748"/>
      <c r="D8194" s="749" t="s">
        <v>2064</v>
      </c>
      <c r="F8194" s="753"/>
      <c r="G8194" s="3"/>
      <c r="H8194" s="753"/>
      <c r="I8194" s="754"/>
      <c r="J8194" s="753"/>
      <c r="K8194" s="753" t="s">
        <v>144</v>
      </c>
      <c r="L8194" s="753"/>
      <c r="M8194" s="753"/>
      <c r="N8194" s="753"/>
      <c r="O8194" s="753"/>
      <c r="P8194" s="753"/>
      <c r="Q8194" s="51"/>
      <c r="R8194" s="530"/>
      <c r="S8194" s="757"/>
      <c r="T8194" s="753"/>
      <c r="AR8194" s="748"/>
      <c r="AS8194" s="753"/>
    </row>
    <row r="8195" spans="1:45" s="886" customFormat="1" ht="15.6" customHeight="1">
      <c r="A8195"/>
      <c r="B8195" s="910"/>
      <c r="C8195" s="910" t="s">
        <v>2597</v>
      </c>
      <c r="D8195" s="910" t="str">
        <f ca="1">CELL("Address",Elec_Rates!D$1023)</f>
        <v>[E25_0062_Quintano_Foods_Elec_ELV_As_Awarded.xlsx]Elec_Rates!$D$1023</v>
      </c>
      <c r="E8195" s="911"/>
      <c r="F8195" s="911"/>
      <c r="G8195" s="912" t="s">
        <v>2598</v>
      </c>
      <c r="H8195" s="912"/>
      <c r="I8195" s="912"/>
      <c r="J8195" s="912"/>
      <c r="K8195" s="913"/>
      <c r="L8195" s="911"/>
      <c r="M8195" s="911"/>
      <c r="N8195" s="911"/>
      <c r="O8195" s="914"/>
      <c r="P8195" s="911"/>
      <c r="Q8195" s="915"/>
      <c r="R8195" s="916"/>
      <c r="S8195" s="915"/>
      <c r="T8195" s="917"/>
      <c r="U8195" s="918"/>
      <c r="AR8195"/>
      <c r="AS8195" s="911"/>
    </row>
    <row r="8196" spans="1:45" s="886" customFormat="1" ht="11.4">
      <c r="A8196" s="919">
        <v>8</v>
      </c>
      <c r="B8196" s="920">
        <v>1</v>
      </c>
      <c r="C8196" s="920">
        <f>$A8196*$B8196</f>
        <v>8</v>
      </c>
      <c r="D8196" s="921" t="str">
        <f>Elec_Rates!$D$1023</f>
        <v>091# Galvanised Conduit points for Fire alarm devices</v>
      </c>
      <c r="E8196" s="921"/>
      <c r="F8196" s="921" t="s">
        <v>2599</v>
      </c>
      <c r="G8196" s="922" t="s">
        <v>2601</v>
      </c>
      <c r="H8196" s="922"/>
      <c r="I8196" s="922"/>
      <c r="J8196" s="922"/>
      <c r="K8196" s="923"/>
      <c r="L8196" s="918"/>
      <c r="M8196" s="918"/>
      <c r="N8196" s="918"/>
      <c r="O8196" s="924"/>
      <c r="P8196" s="921"/>
      <c r="Q8196" s="925">
        <f ca="1">$B8196*Elec_Rates!$R$1023</f>
        <v>30.3</v>
      </c>
      <c r="R8196" s="916">
        <f ca="1">$A8196*Q8196</f>
        <v>242.4</v>
      </c>
      <c r="S8196" s="925">
        <f ca="1">$B8196*Elec_Rates!$T$1023</f>
        <v>1.8</v>
      </c>
      <c r="T8196" s="917">
        <f ca="1">$A8196*S8196</f>
        <v>14.4</v>
      </c>
      <c r="U8196" s="926"/>
      <c r="AR8196" s="919">
        <v>8</v>
      </c>
      <c r="AS8196" s="921" t="s">
        <v>2599</v>
      </c>
    </row>
    <row r="8197" spans="1:45" s="520" customFormat="1" ht="12">
      <c r="A8197" s="758"/>
      <c r="B8197" s="758"/>
      <c r="C8197" s="758"/>
      <c r="D8197" s="758"/>
      <c r="E8197" s="758"/>
      <c r="F8197" s="753"/>
      <c r="G8197" s="758"/>
      <c r="H8197" s="758"/>
      <c r="I8197" s="519"/>
      <c r="J8197" s="758"/>
      <c r="K8197" s="758"/>
      <c r="L8197" s="758"/>
      <c r="M8197" s="758"/>
      <c r="N8197" s="758"/>
      <c r="O8197" s="758"/>
      <c r="P8197" s="758"/>
      <c r="Q8197" s="519"/>
      <c r="R8197" s="759">
        <f>$A8197*Q8197</f>
        <v>0</v>
      </c>
      <c r="S8197" s="519"/>
      <c r="T8197" s="760">
        <f>$A8197*S8197*$T$1</f>
        <v>0</v>
      </c>
      <c r="AR8197" s="758"/>
      <c r="AS8197" s="753"/>
    </row>
    <row r="8198" spans="1:45" s="520" customFormat="1" ht="12.6" thickBot="1">
      <c r="A8198" s="761" t="s">
        <v>145</v>
      </c>
      <c r="B8198" s="762">
        <f>(R8197+T8197)</f>
        <v>0</v>
      </c>
      <c r="C8198" s="763"/>
      <c r="D8198" s="763"/>
      <c r="E8198" s="763"/>
      <c r="F8198" s="764"/>
      <c r="G8198" s="763" t="s">
        <v>146</v>
      </c>
      <c r="H8198" s="763"/>
      <c r="I8198" s="765"/>
      <c r="J8198" s="763"/>
      <c r="K8198" s="763" t="s">
        <v>3</v>
      </c>
      <c r="L8198" s="766" t="s">
        <v>143</v>
      </c>
      <c r="M8198" s="766"/>
      <c r="N8198" s="766"/>
      <c r="O8198" s="766"/>
      <c r="P8198" s="766"/>
      <c r="Q8198" s="767"/>
      <c r="R8198" s="768">
        <f ca="1">SUM(R8194:R8197)</f>
        <v>242.4</v>
      </c>
      <c r="S8198" s="763"/>
      <c r="T8198" s="768">
        <f ca="1">SUM(T8194:T8197)</f>
        <v>14.4</v>
      </c>
      <c r="U8198" s="531"/>
      <c r="V8198" s="531"/>
      <c r="W8198" s="531"/>
      <c r="X8198" s="531"/>
      <c r="Y8198" s="531"/>
      <c r="Z8198" s="531"/>
      <c r="AA8198" s="531"/>
      <c r="AB8198" s="531"/>
      <c r="AC8198" s="531"/>
      <c r="AD8198" s="531"/>
      <c r="AE8198" s="531"/>
      <c r="AF8198" s="531"/>
      <c r="AG8198" s="531"/>
      <c r="AH8198" s="531"/>
      <c r="AI8198" s="531"/>
      <c r="AJ8198" s="531"/>
      <c r="AK8198" s="531"/>
      <c r="AL8198" s="531"/>
      <c r="AM8198" s="531"/>
      <c r="AN8198" s="531"/>
      <c r="AO8198" s="531"/>
      <c r="AR8198" s="761" t="s">
        <v>145</v>
      </c>
      <c r="AS8198" s="764"/>
    </row>
    <row r="8199" spans="1:45" s="520" customFormat="1" ht="12" thickTop="1">
      <c r="A8199" s="51"/>
      <c r="B8199" s="41"/>
      <c r="C8199" s="51"/>
      <c r="E8199" s="42" t="s">
        <v>138</v>
      </c>
      <c r="F8199" s="42" t="s">
        <v>139</v>
      </c>
      <c r="G8199" s="51"/>
      <c r="H8199" s="51"/>
      <c r="I8199" s="51"/>
      <c r="J8199" s="51"/>
      <c r="K8199" s="51" t="s">
        <v>140</v>
      </c>
      <c r="L8199" s="51"/>
      <c r="M8199" s="51"/>
      <c r="N8199" s="51"/>
      <c r="O8199" s="52"/>
      <c r="P8199" s="51"/>
      <c r="Q8199" s="51"/>
      <c r="R8199" s="51"/>
      <c r="S8199" s="51"/>
      <c r="T8199" s="41"/>
      <c r="AG8199" s="521" t="s">
        <v>268</v>
      </c>
      <c r="AH8199" s="521" t="s">
        <v>269</v>
      </c>
      <c r="AI8199" s="521" t="s">
        <v>270</v>
      </c>
      <c r="AJ8199" s="521" t="s">
        <v>271</v>
      </c>
      <c r="AK8199" s="521" t="s">
        <v>272</v>
      </c>
      <c r="AM8199" s="745" t="s">
        <v>281</v>
      </c>
      <c r="AN8199" s="746" t="s">
        <v>282</v>
      </c>
      <c r="AO8199" s="522" t="s">
        <v>278</v>
      </c>
      <c r="AR8199" s="51"/>
      <c r="AS8199" s="42" t="s">
        <v>139</v>
      </c>
    </row>
    <row r="8200" spans="1:45" s="520" customFormat="1" ht="12" customHeight="1">
      <c r="A8200" s="747">
        <v>2</v>
      </c>
      <c r="B8200" s="523" t="s">
        <v>141</v>
      </c>
      <c r="C8200" s="748"/>
      <c r="D8200" s="749" t="s">
        <v>2281</v>
      </c>
      <c r="E8200" s="750">
        <f ca="1">IF(AND($A8200=0,$A$1="DIF"),0, ROUND(ROUND(($R8205*$S$2+($T8205*$T$2))/A8200,2)*$C$2,2))</f>
        <v>98.17</v>
      </c>
      <c r="F8200" s="751">
        <f ca="1">ROUND($A8200*$E8200,2)</f>
        <v>196.34</v>
      </c>
      <c r="G8200" s="752" t="s">
        <v>142</v>
      </c>
      <c r="H8200" s="753"/>
      <c r="I8200" s="754"/>
      <c r="J8200" s="753"/>
      <c r="K8200" s="753" t="s">
        <v>3</v>
      </c>
      <c r="L8200" s="755" t="s">
        <v>143</v>
      </c>
      <c r="M8200" s="755"/>
      <c r="N8200" s="755"/>
      <c r="O8200" s="755"/>
      <c r="P8200" s="755"/>
      <c r="Q8200" s="51"/>
      <c r="T8200" s="756" t="str">
        <f ca="1">IF(AND($R8205=0,$T8205=0),"0.00","mu :" &amp; ROUND($F8200/$C$2/($R8205+$T8205*$D$9),2))</f>
        <v>mu :1.23</v>
      </c>
      <c r="W8200" s="524"/>
      <c r="AG8200" s="481">
        <f ca="1">IF($E8200=0,0,ROUND($R8205*$S$2*$C$2/$A8200,2))</f>
        <v>37.31</v>
      </c>
      <c r="AH8200" s="481">
        <f ca="1">$AG8200*$A8200</f>
        <v>74.62</v>
      </c>
      <c r="AI8200" s="525">
        <f ca="1">$E8200-$AG8200</f>
        <v>60.86</v>
      </c>
      <c r="AJ8200" s="525">
        <f ca="1">$A8200*$AI8200</f>
        <v>121.72</v>
      </c>
      <c r="AK8200" s="526">
        <f ca="1">ROUND(($AG8200+$AI8200)*$A8200,2)</f>
        <v>196.34</v>
      </c>
      <c r="AM8200" s="527">
        <f ca="1">ROUND(R8205,2)</f>
        <v>60.6</v>
      </c>
      <c r="AN8200" s="528">
        <f ca="1">ROUND(T8205,2)</f>
        <v>3.6</v>
      </c>
      <c r="AO8200" s="529">
        <f ca="1">ROUND(AM8200+AN8200,2)*A8200</f>
        <v>128.4</v>
      </c>
      <c r="AR8200" s="747">
        <v>2</v>
      </c>
      <c r="AS8200" s="751">
        <v>209.88</v>
      </c>
    </row>
    <row r="8201" spans="1:45" s="520" customFormat="1" ht="13.2">
      <c r="A8201" s="748"/>
      <c r="B8201"/>
      <c r="C8201" s="748"/>
      <c r="D8201" s="749" t="s">
        <v>2065</v>
      </c>
      <c r="F8201" s="753"/>
      <c r="G8201" s="3"/>
      <c r="H8201" s="753"/>
      <c r="I8201" s="754"/>
      <c r="J8201" s="753"/>
      <c r="K8201" s="753" t="s">
        <v>144</v>
      </c>
      <c r="L8201" s="753"/>
      <c r="M8201" s="753"/>
      <c r="N8201" s="753"/>
      <c r="O8201" s="753"/>
      <c r="P8201" s="753"/>
      <c r="Q8201" s="51"/>
      <c r="R8201" s="530"/>
      <c r="S8201" s="757"/>
      <c r="T8201" s="753"/>
      <c r="AR8201" s="748"/>
      <c r="AS8201" s="753"/>
    </row>
    <row r="8202" spans="1:45" s="886" customFormat="1" ht="15.6" customHeight="1">
      <c r="A8202"/>
      <c r="B8202" s="910"/>
      <c r="C8202" s="910" t="s">
        <v>2597</v>
      </c>
      <c r="D8202" s="910" t="str">
        <f ca="1">CELL("Address",Elec_Rates!D$1023)</f>
        <v>[E25_0062_Quintano_Foods_Elec_ELV_As_Awarded.xlsx]Elec_Rates!$D$1023</v>
      </c>
      <c r="E8202" s="911"/>
      <c r="F8202" s="911"/>
      <c r="G8202" s="912" t="s">
        <v>2598</v>
      </c>
      <c r="H8202" s="912"/>
      <c r="I8202" s="912"/>
      <c r="J8202" s="912"/>
      <c r="K8202" s="913"/>
      <c r="L8202" s="911"/>
      <c r="M8202" s="911"/>
      <c r="N8202" s="911"/>
      <c r="O8202" s="914"/>
      <c r="P8202" s="911"/>
      <c r="Q8202" s="915"/>
      <c r="R8202" s="916"/>
      <c r="S8202" s="915"/>
      <c r="T8202" s="917"/>
      <c r="U8202" s="918"/>
      <c r="AR8202"/>
      <c r="AS8202" s="911"/>
    </row>
    <row r="8203" spans="1:45" s="886" customFormat="1" ht="11.4">
      <c r="A8203" s="919">
        <v>2</v>
      </c>
      <c r="B8203" s="920">
        <v>1</v>
      </c>
      <c r="C8203" s="920">
        <f>$A8203*$B8203</f>
        <v>2</v>
      </c>
      <c r="D8203" s="921" t="str">
        <f>Elec_Rates!$D$1023</f>
        <v>091# Galvanised Conduit points for Fire alarm devices</v>
      </c>
      <c r="E8203" s="921"/>
      <c r="F8203" s="921" t="s">
        <v>2599</v>
      </c>
      <c r="G8203" s="922" t="s">
        <v>2601</v>
      </c>
      <c r="H8203" s="922"/>
      <c r="I8203" s="922"/>
      <c r="J8203" s="922"/>
      <c r="K8203" s="923"/>
      <c r="L8203" s="918"/>
      <c r="M8203" s="918"/>
      <c r="N8203" s="918"/>
      <c r="O8203" s="924"/>
      <c r="P8203" s="921"/>
      <c r="Q8203" s="925">
        <f ca="1">$B8203*Elec_Rates!$R$1023</f>
        <v>30.3</v>
      </c>
      <c r="R8203" s="916">
        <f ca="1">$A8203*Q8203</f>
        <v>60.6</v>
      </c>
      <c r="S8203" s="925">
        <f ca="1">$B8203*Elec_Rates!$T$1023</f>
        <v>1.8</v>
      </c>
      <c r="T8203" s="917">
        <f ca="1">$A8203*S8203</f>
        <v>3.6</v>
      </c>
      <c r="U8203" s="926"/>
      <c r="AR8203" s="919">
        <v>2</v>
      </c>
      <c r="AS8203" s="921" t="s">
        <v>2599</v>
      </c>
    </row>
    <row r="8204" spans="1:45" s="520" customFormat="1" ht="12">
      <c r="A8204" s="758"/>
      <c r="B8204" s="758"/>
      <c r="C8204" s="758"/>
      <c r="D8204" s="758"/>
      <c r="E8204" s="758"/>
      <c r="F8204" s="753"/>
      <c r="G8204" s="758"/>
      <c r="H8204" s="758"/>
      <c r="I8204" s="519"/>
      <c r="J8204" s="758"/>
      <c r="K8204" s="758"/>
      <c r="L8204" s="758"/>
      <c r="M8204" s="758"/>
      <c r="N8204" s="758"/>
      <c r="O8204" s="758"/>
      <c r="P8204" s="758"/>
      <c r="Q8204" s="519"/>
      <c r="R8204" s="759">
        <f>$A8204*Q8204</f>
        <v>0</v>
      </c>
      <c r="S8204" s="519"/>
      <c r="T8204" s="760">
        <f>$A8204*S8204*$T$1</f>
        <v>0</v>
      </c>
      <c r="AR8204" s="758"/>
      <c r="AS8204" s="753"/>
    </row>
    <row r="8205" spans="1:45" s="520" customFormat="1" ht="12.6" thickBot="1">
      <c r="A8205" s="761" t="s">
        <v>145</v>
      </c>
      <c r="B8205" s="762">
        <f>(R8204+T8204)</f>
        <v>0</v>
      </c>
      <c r="C8205" s="763"/>
      <c r="D8205" s="763"/>
      <c r="E8205" s="763"/>
      <c r="F8205" s="764"/>
      <c r="G8205" s="763" t="s">
        <v>146</v>
      </c>
      <c r="H8205" s="763"/>
      <c r="I8205" s="765"/>
      <c r="J8205" s="763"/>
      <c r="K8205" s="763" t="s">
        <v>3</v>
      </c>
      <c r="L8205" s="766" t="s">
        <v>143</v>
      </c>
      <c r="M8205" s="766"/>
      <c r="N8205" s="766"/>
      <c r="O8205" s="766"/>
      <c r="P8205" s="766"/>
      <c r="Q8205" s="767"/>
      <c r="R8205" s="768">
        <f ca="1">SUM(R8201:R8204)</f>
        <v>60.6</v>
      </c>
      <c r="S8205" s="763"/>
      <c r="T8205" s="768">
        <f ca="1">SUM(T8201:T8204)</f>
        <v>3.6</v>
      </c>
      <c r="U8205" s="531"/>
      <c r="V8205" s="531"/>
      <c r="W8205" s="531"/>
      <c r="X8205" s="531"/>
      <c r="Y8205" s="531"/>
      <c r="Z8205" s="531"/>
      <c r="AA8205" s="531"/>
      <c r="AB8205" s="531"/>
      <c r="AC8205" s="531"/>
      <c r="AD8205" s="531"/>
      <c r="AE8205" s="531"/>
      <c r="AF8205" s="531"/>
      <c r="AG8205" s="531"/>
      <c r="AH8205" s="531"/>
      <c r="AI8205" s="531"/>
      <c r="AJ8205" s="531"/>
      <c r="AK8205" s="531"/>
      <c r="AL8205" s="531"/>
      <c r="AM8205" s="531"/>
      <c r="AN8205" s="531"/>
      <c r="AO8205" s="531"/>
      <c r="AR8205" s="761" t="s">
        <v>145</v>
      </c>
      <c r="AS8205" s="764"/>
    </row>
    <row r="8206" spans="1:45" s="520" customFormat="1" ht="12" thickTop="1">
      <c r="A8206" s="51"/>
      <c r="B8206" s="41"/>
      <c r="C8206" s="51"/>
      <c r="E8206" s="42" t="s">
        <v>138</v>
      </c>
      <c r="F8206" s="42" t="s">
        <v>139</v>
      </c>
      <c r="G8206" s="51"/>
      <c r="H8206" s="51"/>
      <c r="I8206" s="51"/>
      <c r="J8206" s="51"/>
      <c r="K8206" s="51" t="s">
        <v>140</v>
      </c>
      <c r="L8206" s="51"/>
      <c r="M8206" s="51"/>
      <c r="N8206" s="51"/>
      <c r="O8206" s="52"/>
      <c r="P8206" s="51"/>
      <c r="Q8206" s="51"/>
      <c r="R8206" s="51"/>
      <c r="S8206" s="51"/>
      <c r="T8206" s="41"/>
      <c r="AG8206" s="521" t="s">
        <v>268</v>
      </c>
      <c r="AH8206" s="521" t="s">
        <v>269</v>
      </c>
      <c r="AI8206" s="521" t="s">
        <v>270</v>
      </c>
      <c r="AJ8206" s="521" t="s">
        <v>271</v>
      </c>
      <c r="AK8206" s="521" t="s">
        <v>272</v>
      </c>
      <c r="AM8206" s="745" t="s">
        <v>281</v>
      </c>
      <c r="AN8206" s="746" t="s">
        <v>282</v>
      </c>
      <c r="AO8206" s="522" t="s">
        <v>278</v>
      </c>
      <c r="AR8206" s="51"/>
      <c r="AS8206" s="42" t="s">
        <v>139</v>
      </c>
    </row>
    <row r="8207" spans="1:45" s="520" customFormat="1" ht="12" customHeight="1">
      <c r="A8207" s="747">
        <v>1</v>
      </c>
      <c r="B8207" s="523" t="s">
        <v>141</v>
      </c>
      <c r="C8207" s="748"/>
      <c r="D8207" s="749" t="s">
        <v>2282</v>
      </c>
      <c r="E8207" s="750">
        <f ca="1">IF(AND($A8207=0,$A$1="DIF"),0, ROUND(ROUND(($R8212*$S$2+($T8212*$T$2))/A8207,2)*$C$2,2))</f>
        <v>98.17</v>
      </c>
      <c r="F8207" s="751">
        <f ca="1">ROUND($A8207*$E8207,2)</f>
        <v>98.17</v>
      </c>
      <c r="G8207" s="752" t="s">
        <v>142</v>
      </c>
      <c r="H8207" s="753"/>
      <c r="I8207" s="754"/>
      <c r="J8207" s="753"/>
      <c r="K8207" s="753" t="s">
        <v>3</v>
      </c>
      <c r="L8207" s="755" t="s">
        <v>143</v>
      </c>
      <c r="M8207" s="755"/>
      <c r="N8207" s="755"/>
      <c r="O8207" s="755"/>
      <c r="P8207" s="755"/>
      <c r="Q8207" s="51"/>
      <c r="T8207" s="756" t="str">
        <f ca="1">IF(AND($R8212=0,$T8212=0),"0.00","mu :" &amp; ROUND($F8207/$C$2/($R8212+$T8212*$D$9),2))</f>
        <v>mu :1.23</v>
      </c>
      <c r="W8207" s="524"/>
      <c r="AG8207" s="481">
        <f ca="1">IF($E8207=0,0,ROUND($R8212*$S$2*$C$2/$A8207,2))</f>
        <v>37.31</v>
      </c>
      <c r="AH8207" s="481">
        <f ca="1">$AG8207*$A8207</f>
        <v>37.31</v>
      </c>
      <c r="AI8207" s="525">
        <f ca="1">$E8207-$AG8207</f>
        <v>60.86</v>
      </c>
      <c r="AJ8207" s="525">
        <f ca="1">$A8207*$AI8207</f>
        <v>60.86</v>
      </c>
      <c r="AK8207" s="526">
        <f ca="1">ROUND(($AG8207+$AI8207)*$A8207,2)</f>
        <v>98.17</v>
      </c>
      <c r="AM8207" s="527">
        <f ca="1">ROUND(R8212,2)</f>
        <v>30.3</v>
      </c>
      <c r="AN8207" s="528">
        <f ca="1">ROUND(T8212,2)</f>
        <v>1.8</v>
      </c>
      <c r="AO8207" s="529">
        <f ca="1">ROUND(AM8207+AN8207,2)*A8207</f>
        <v>32.1</v>
      </c>
      <c r="AR8207" s="747">
        <v>1</v>
      </c>
      <c r="AS8207" s="751">
        <v>104.94</v>
      </c>
    </row>
    <row r="8208" spans="1:45" s="520" customFormat="1" ht="13.2">
      <c r="A8208" s="748"/>
      <c r="B8208"/>
      <c r="C8208" s="748"/>
      <c r="D8208" s="749" t="s">
        <v>2066</v>
      </c>
      <c r="F8208" s="753"/>
      <c r="G8208" s="3"/>
      <c r="H8208" s="753"/>
      <c r="I8208" s="754"/>
      <c r="J8208" s="753"/>
      <c r="K8208" s="753" t="s">
        <v>144</v>
      </c>
      <c r="L8208" s="753"/>
      <c r="M8208" s="753"/>
      <c r="N8208" s="753"/>
      <c r="O8208" s="753"/>
      <c r="P8208" s="753"/>
      <c r="Q8208" s="51"/>
      <c r="R8208" s="530"/>
      <c r="S8208" s="757"/>
      <c r="T8208" s="753"/>
      <c r="AR8208" s="748"/>
      <c r="AS8208" s="753"/>
    </row>
    <row r="8209" spans="1:45" s="886" customFormat="1" ht="15.6" customHeight="1">
      <c r="A8209"/>
      <c r="B8209" s="910"/>
      <c r="C8209" s="910" t="s">
        <v>2597</v>
      </c>
      <c r="D8209" s="910" t="str">
        <f ca="1">CELL("Address",Elec_Rates!D$1023)</f>
        <v>[E25_0062_Quintano_Foods_Elec_ELV_As_Awarded.xlsx]Elec_Rates!$D$1023</v>
      </c>
      <c r="E8209" s="911"/>
      <c r="F8209" s="911"/>
      <c r="G8209" s="912" t="s">
        <v>2598</v>
      </c>
      <c r="H8209" s="912"/>
      <c r="I8209" s="912"/>
      <c r="J8209" s="912"/>
      <c r="K8209" s="913"/>
      <c r="L8209" s="911"/>
      <c r="M8209" s="911"/>
      <c r="N8209" s="911"/>
      <c r="O8209" s="914"/>
      <c r="P8209" s="911"/>
      <c r="Q8209" s="915"/>
      <c r="R8209" s="916"/>
      <c r="S8209" s="915"/>
      <c r="T8209" s="917"/>
      <c r="U8209" s="918"/>
      <c r="AR8209"/>
      <c r="AS8209" s="911"/>
    </row>
    <row r="8210" spans="1:45" s="886" customFormat="1" ht="11.4">
      <c r="A8210" s="919">
        <v>1</v>
      </c>
      <c r="B8210" s="920">
        <v>1</v>
      </c>
      <c r="C8210" s="920">
        <f>$A8210*$B8210</f>
        <v>1</v>
      </c>
      <c r="D8210" s="921" t="str">
        <f>Elec_Rates!$D$1023</f>
        <v>091# Galvanised Conduit points for Fire alarm devices</v>
      </c>
      <c r="E8210" s="921"/>
      <c r="F8210" s="921" t="s">
        <v>2599</v>
      </c>
      <c r="G8210" s="922" t="s">
        <v>2601</v>
      </c>
      <c r="H8210" s="922"/>
      <c r="I8210" s="922"/>
      <c r="J8210" s="922"/>
      <c r="K8210" s="923"/>
      <c r="L8210" s="918"/>
      <c r="M8210" s="918"/>
      <c r="N8210" s="918"/>
      <c r="O8210" s="924"/>
      <c r="P8210" s="921"/>
      <c r="Q8210" s="925">
        <f ca="1">$B8210*Elec_Rates!$R$1023</f>
        <v>30.3</v>
      </c>
      <c r="R8210" s="916">
        <f ca="1">$A8210*Q8210</f>
        <v>30.3</v>
      </c>
      <c r="S8210" s="925">
        <f ca="1">$B8210*Elec_Rates!$T$1023</f>
        <v>1.8</v>
      </c>
      <c r="T8210" s="917">
        <f ca="1">$A8210*S8210</f>
        <v>1.8</v>
      </c>
      <c r="U8210" s="926"/>
      <c r="AR8210" s="919">
        <v>1</v>
      </c>
      <c r="AS8210" s="921" t="s">
        <v>2599</v>
      </c>
    </row>
    <row r="8211" spans="1:45" s="520" customFormat="1" ht="12">
      <c r="A8211" s="758"/>
      <c r="B8211" s="758"/>
      <c r="C8211" s="758"/>
      <c r="D8211" s="758"/>
      <c r="E8211" s="758"/>
      <c r="F8211" s="753"/>
      <c r="G8211" s="758"/>
      <c r="H8211" s="758"/>
      <c r="I8211" s="519"/>
      <c r="J8211" s="758"/>
      <c r="K8211" s="758"/>
      <c r="L8211" s="758"/>
      <c r="M8211" s="758"/>
      <c r="N8211" s="758"/>
      <c r="O8211" s="758"/>
      <c r="P8211" s="758"/>
      <c r="Q8211" s="519"/>
      <c r="R8211" s="759">
        <f>$A8211*Q8211</f>
        <v>0</v>
      </c>
      <c r="S8211" s="519"/>
      <c r="T8211" s="760">
        <f>$A8211*S8211*$T$1</f>
        <v>0</v>
      </c>
      <c r="AR8211" s="758"/>
      <c r="AS8211" s="753"/>
    </row>
    <row r="8212" spans="1:45" s="520" customFormat="1" ht="12.6" thickBot="1">
      <c r="A8212" s="761" t="s">
        <v>145</v>
      </c>
      <c r="B8212" s="762">
        <f>(R8211+T8211)</f>
        <v>0</v>
      </c>
      <c r="C8212" s="763"/>
      <c r="D8212" s="763"/>
      <c r="E8212" s="763"/>
      <c r="F8212" s="764"/>
      <c r="G8212" s="763" t="s">
        <v>146</v>
      </c>
      <c r="H8212" s="763"/>
      <c r="I8212" s="765"/>
      <c r="J8212" s="763"/>
      <c r="K8212" s="763" t="s">
        <v>3</v>
      </c>
      <c r="L8212" s="766" t="s">
        <v>143</v>
      </c>
      <c r="M8212" s="766"/>
      <c r="N8212" s="766"/>
      <c r="O8212" s="766"/>
      <c r="P8212" s="766"/>
      <c r="Q8212" s="767"/>
      <c r="R8212" s="768">
        <f ca="1">SUM(R8208:R8211)</f>
        <v>30.3</v>
      </c>
      <c r="S8212" s="763"/>
      <c r="T8212" s="768">
        <f ca="1">SUM(T8208:T8211)</f>
        <v>1.8</v>
      </c>
      <c r="U8212" s="531"/>
      <c r="V8212" s="531"/>
      <c r="W8212" s="531"/>
      <c r="X8212" s="531"/>
      <c r="Y8212" s="531"/>
      <c r="Z8212" s="531"/>
      <c r="AA8212" s="531"/>
      <c r="AB8212" s="531"/>
      <c r="AC8212" s="531"/>
      <c r="AD8212" s="531"/>
      <c r="AE8212" s="531"/>
      <c r="AF8212" s="531"/>
      <c r="AG8212" s="531"/>
      <c r="AH8212" s="531"/>
      <c r="AI8212" s="531"/>
      <c r="AJ8212" s="531"/>
      <c r="AK8212" s="531"/>
      <c r="AL8212" s="531"/>
      <c r="AM8212" s="531"/>
      <c r="AN8212" s="531"/>
      <c r="AO8212" s="531"/>
      <c r="AR8212" s="761" t="s">
        <v>145</v>
      </c>
      <c r="AS8212" s="764"/>
    </row>
    <row r="8213" spans="1:45" s="520" customFormat="1" ht="12" thickTop="1">
      <c r="A8213" s="51"/>
      <c r="B8213" s="41"/>
      <c r="C8213" s="51"/>
      <c r="E8213" s="42" t="s">
        <v>138</v>
      </c>
      <c r="F8213" s="42" t="s">
        <v>139</v>
      </c>
      <c r="G8213" s="51"/>
      <c r="H8213" s="51"/>
      <c r="I8213" s="51"/>
      <c r="J8213" s="51"/>
      <c r="K8213" s="51" t="s">
        <v>140</v>
      </c>
      <c r="L8213" s="51"/>
      <c r="M8213" s="51"/>
      <c r="N8213" s="51"/>
      <c r="O8213" s="52"/>
      <c r="P8213" s="51"/>
      <c r="Q8213" s="51"/>
      <c r="R8213" s="51"/>
      <c r="S8213" s="51"/>
      <c r="T8213" s="41"/>
      <c r="AG8213" s="521" t="s">
        <v>268</v>
      </c>
      <c r="AH8213" s="521" t="s">
        <v>269</v>
      </c>
      <c r="AI8213" s="521" t="s">
        <v>270</v>
      </c>
      <c r="AJ8213" s="521" t="s">
        <v>271</v>
      </c>
      <c r="AK8213" s="521" t="s">
        <v>272</v>
      </c>
      <c r="AM8213" s="745" t="s">
        <v>281</v>
      </c>
      <c r="AN8213" s="746" t="s">
        <v>282</v>
      </c>
      <c r="AO8213" s="522" t="s">
        <v>278</v>
      </c>
      <c r="AR8213" s="51"/>
      <c r="AS8213" s="42" t="s">
        <v>139</v>
      </c>
    </row>
    <row r="8214" spans="1:45" s="520" customFormat="1" ht="12" customHeight="1">
      <c r="A8214" s="747">
        <v>3</v>
      </c>
      <c r="B8214" s="523" t="s">
        <v>141</v>
      </c>
      <c r="C8214" s="748"/>
      <c r="D8214" s="749" t="s">
        <v>2283</v>
      </c>
      <c r="E8214" s="750">
        <f ca="1">IF(AND($A8214=0,$A$1="DIF"),0, ROUND(ROUND(($R8219*$S$2+($T8219*$T$2))/A8214,2)*$C$2,2))</f>
        <v>98.17</v>
      </c>
      <c r="F8214" s="751">
        <f ca="1">ROUND($A8214*$E8214,2)</f>
        <v>294.51</v>
      </c>
      <c r="G8214" s="752" t="s">
        <v>142</v>
      </c>
      <c r="H8214" s="753"/>
      <c r="I8214" s="754"/>
      <c r="J8214" s="753"/>
      <c r="K8214" s="753" t="s">
        <v>3</v>
      </c>
      <c r="L8214" s="755" t="s">
        <v>143</v>
      </c>
      <c r="M8214" s="755"/>
      <c r="N8214" s="755"/>
      <c r="O8214" s="755"/>
      <c r="P8214" s="755"/>
      <c r="Q8214" s="51"/>
      <c r="T8214" s="756" t="str">
        <f ca="1">IF(AND($R8219=0,$T8219=0),"0.00","mu :" &amp; ROUND($F8214/$C$2/($R8219+$T8219*$D$9),2))</f>
        <v>mu :1.23</v>
      </c>
      <c r="W8214" s="524"/>
      <c r="AG8214" s="481">
        <f ca="1">IF($E8214=0,0,ROUND($R8219*$S$2*$C$2/$A8214,2))</f>
        <v>37.31</v>
      </c>
      <c r="AH8214" s="481">
        <f ca="1">$AG8214*$A8214</f>
        <v>111.93</v>
      </c>
      <c r="AI8214" s="525">
        <f ca="1">$E8214-$AG8214</f>
        <v>60.86</v>
      </c>
      <c r="AJ8214" s="525">
        <f ca="1">$A8214*$AI8214</f>
        <v>182.57999999999998</v>
      </c>
      <c r="AK8214" s="526">
        <f ca="1">ROUND(($AG8214+$AI8214)*$A8214,2)</f>
        <v>294.51</v>
      </c>
      <c r="AM8214" s="527">
        <f ca="1">ROUND(R8219,2)</f>
        <v>90.9</v>
      </c>
      <c r="AN8214" s="528">
        <f ca="1">ROUND(T8219,2)</f>
        <v>5.4</v>
      </c>
      <c r="AO8214" s="529">
        <f ca="1">ROUND(AM8214+AN8214,2)*A8214</f>
        <v>288.89999999999998</v>
      </c>
      <c r="AR8214" s="747">
        <v>3</v>
      </c>
      <c r="AS8214" s="751">
        <v>314.82</v>
      </c>
    </row>
    <row r="8215" spans="1:45" s="520" customFormat="1" ht="13.2">
      <c r="A8215" s="748"/>
      <c r="B8215"/>
      <c r="C8215" s="748"/>
      <c r="D8215" s="749" t="s">
        <v>2067</v>
      </c>
      <c r="F8215" s="753"/>
      <c r="G8215" s="3"/>
      <c r="H8215" s="753"/>
      <c r="I8215" s="754"/>
      <c r="J8215" s="753"/>
      <c r="K8215" s="753" t="s">
        <v>144</v>
      </c>
      <c r="L8215" s="753"/>
      <c r="M8215" s="753"/>
      <c r="N8215" s="753"/>
      <c r="O8215" s="753"/>
      <c r="P8215" s="753"/>
      <c r="Q8215" s="51"/>
      <c r="R8215" s="530"/>
      <c r="S8215" s="757"/>
      <c r="T8215" s="753"/>
      <c r="AR8215" s="748"/>
      <c r="AS8215" s="753"/>
    </row>
    <row r="8216" spans="1:45" s="886" customFormat="1" ht="15.6" customHeight="1">
      <c r="A8216"/>
      <c r="B8216" s="910"/>
      <c r="C8216" s="910" t="s">
        <v>2597</v>
      </c>
      <c r="D8216" s="910" t="str">
        <f ca="1">CELL("Address",Elec_Rates!D$1023)</f>
        <v>[E25_0062_Quintano_Foods_Elec_ELV_As_Awarded.xlsx]Elec_Rates!$D$1023</v>
      </c>
      <c r="E8216" s="911"/>
      <c r="F8216" s="911"/>
      <c r="G8216" s="912" t="s">
        <v>2598</v>
      </c>
      <c r="H8216" s="912"/>
      <c r="I8216" s="912"/>
      <c r="J8216" s="912"/>
      <c r="K8216" s="913"/>
      <c r="L8216" s="911"/>
      <c r="M8216" s="911"/>
      <c r="N8216" s="911"/>
      <c r="O8216" s="914"/>
      <c r="P8216" s="911"/>
      <c r="Q8216" s="915"/>
      <c r="R8216" s="916"/>
      <c r="S8216" s="915"/>
      <c r="T8216" s="917"/>
      <c r="U8216" s="918"/>
      <c r="AR8216"/>
      <c r="AS8216" s="911"/>
    </row>
    <row r="8217" spans="1:45" s="886" customFormat="1" ht="11.4">
      <c r="A8217" s="919">
        <v>3</v>
      </c>
      <c r="B8217" s="920">
        <v>1</v>
      </c>
      <c r="C8217" s="920">
        <f>$A8217*$B8217</f>
        <v>3</v>
      </c>
      <c r="D8217" s="921" t="str">
        <f>Elec_Rates!$D$1023</f>
        <v>091# Galvanised Conduit points for Fire alarm devices</v>
      </c>
      <c r="E8217" s="921"/>
      <c r="F8217" s="921" t="s">
        <v>2599</v>
      </c>
      <c r="G8217" s="922" t="s">
        <v>2601</v>
      </c>
      <c r="H8217" s="922"/>
      <c r="I8217" s="922"/>
      <c r="J8217" s="922"/>
      <c r="K8217" s="923"/>
      <c r="L8217" s="918"/>
      <c r="M8217" s="918"/>
      <c r="N8217" s="918"/>
      <c r="O8217" s="924"/>
      <c r="P8217" s="921"/>
      <c r="Q8217" s="925">
        <f ca="1">$B8217*Elec_Rates!$R$1023</f>
        <v>30.3</v>
      </c>
      <c r="R8217" s="916">
        <f ca="1">$A8217*Q8217</f>
        <v>90.9</v>
      </c>
      <c r="S8217" s="925">
        <f ca="1">$B8217*Elec_Rates!$T$1023</f>
        <v>1.8</v>
      </c>
      <c r="T8217" s="917">
        <f ca="1">$A8217*S8217</f>
        <v>5.4</v>
      </c>
      <c r="U8217" s="926"/>
      <c r="AR8217" s="919">
        <v>3</v>
      </c>
      <c r="AS8217" s="921" t="s">
        <v>2599</v>
      </c>
    </row>
    <row r="8218" spans="1:45" s="520" customFormat="1" ht="12">
      <c r="A8218" s="758"/>
      <c r="B8218" s="758"/>
      <c r="C8218" s="758"/>
      <c r="D8218" s="758"/>
      <c r="E8218" s="758"/>
      <c r="F8218" s="753"/>
      <c r="G8218" s="758"/>
      <c r="H8218" s="758"/>
      <c r="I8218" s="519"/>
      <c r="J8218" s="758"/>
      <c r="K8218" s="758"/>
      <c r="L8218" s="758"/>
      <c r="M8218" s="758"/>
      <c r="N8218" s="758"/>
      <c r="O8218" s="758"/>
      <c r="P8218" s="758"/>
      <c r="Q8218" s="519"/>
      <c r="R8218" s="759">
        <f>$A8218*Q8218</f>
        <v>0</v>
      </c>
      <c r="S8218" s="519"/>
      <c r="T8218" s="760">
        <f>$A8218*S8218*$T$1</f>
        <v>0</v>
      </c>
      <c r="AR8218" s="758"/>
      <c r="AS8218" s="753"/>
    </row>
    <row r="8219" spans="1:45" s="520" customFormat="1" ht="12.6" thickBot="1">
      <c r="A8219" s="761" t="s">
        <v>145</v>
      </c>
      <c r="B8219" s="762">
        <f>(R8218+T8218)</f>
        <v>0</v>
      </c>
      <c r="C8219" s="763"/>
      <c r="D8219" s="763"/>
      <c r="E8219" s="763"/>
      <c r="F8219" s="764"/>
      <c r="G8219" s="763" t="s">
        <v>146</v>
      </c>
      <c r="H8219" s="763"/>
      <c r="I8219" s="765"/>
      <c r="J8219" s="763"/>
      <c r="K8219" s="763" t="s">
        <v>3</v>
      </c>
      <c r="L8219" s="766" t="s">
        <v>143</v>
      </c>
      <c r="M8219" s="766"/>
      <c r="N8219" s="766"/>
      <c r="O8219" s="766"/>
      <c r="P8219" s="766"/>
      <c r="Q8219" s="767"/>
      <c r="R8219" s="768">
        <f ca="1">SUM(R8215:R8218)</f>
        <v>90.9</v>
      </c>
      <c r="S8219" s="763"/>
      <c r="T8219" s="768">
        <f ca="1">SUM(T8215:T8218)</f>
        <v>5.4</v>
      </c>
      <c r="U8219" s="531"/>
      <c r="V8219" s="531"/>
      <c r="W8219" s="531"/>
      <c r="X8219" s="531"/>
      <c r="Y8219" s="531"/>
      <c r="Z8219" s="531"/>
      <c r="AA8219" s="531"/>
      <c r="AB8219" s="531"/>
      <c r="AC8219" s="531"/>
      <c r="AD8219" s="531"/>
      <c r="AE8219" s="531"/>
      <c r="AF8219" s="531"/>
      <c r="AG8219" s="531"/>
      <c r="AH8219" s="531"/>
      <c r="AI8219" s="531"/>
      <c r="AJ8219" s="531"/>
      <c r="AK8219" s="531"/>
      <c r="AL8219" s="531"/>
      <c r="AM8219" s="531"/>
      <c r="AN8219" s="531"/>
      <c r="AO8219" s="531"/>
      <c r="AR8219" s="761" t="s">
        <v>145</v>
      </c>
      <c r="AS8219" s="764"/>
    </row>
    <row r="8220" spans="1:45" s="520" customFormat="1" ht="12" thickTop="1">
      <c r="A8220" s="51"/>
      <c r="B8220" s="41"/>
      <c r="C8220" s="51"/>
      <c r="E8220" s="42" t="s">
        <v>138</v>
      </c>
      <c r="F8220" s="42" t="s">
        <v>139</v>
      </c>
      <c r="G8220" s="51"/>
      <c r="H8220" s="51"/>
      <c r="I8220" s="51"/>
      <c r="J8220" s="51"/>
      <c r="K8220" s="51" t="s">
        <v>140</v>
      </c>
      <c r="L8220" s="51"/>
      <c r="M8220" s="51"/>
      <c r="N8220" s="51"/>
      <c r="O8220" s="52"/>
      <c r="P8220" s="51"/>
      <c r="Q8220" s="51"/>
      <c r="R8220" s="51"/>
      <c r="S8220" s="51"/>
      <c r="T8220" s="41"/>
      <c r="AG8220" s="521" t="s">
        <v>268</v>
      </c>
      <c r="AH8220" s="521" t="s">
        <v>269</v>
      </c>
      <c r="AI8220" s="521" t="s">
        <v>270</v>
      </c>
      <c r="AJ8220" s="521" t="s">
        <v>271</v>
      </c>
      <c r="AK8220" s="521" t="s">
        <v>272</v>
      </c>
      <c r="AM8220" s="745" t="s">
        <v>281</v>
      </c>
      <c r="AN8220" s="746" t="s">
        <v>282</v>
      </c>
      <c r="AO8220" s="522" t="s">
        <v>278</v>
      </c>
      <c r="AR8220" s="51"/>
      <c r="AS8220" s="42" t="s">
        <v>139</v>
      </c>
    </row>
    <row r="8221" spans="1:45" s="520" customFormat="1" ht="12" customHeight="1">
      <c r="A8221" s="747">
        <v>1</v>
      </c>
      <c r="B8221" s="523" t="s">
        <v>141</v>
      </c>
      <c r="C8221" s="748"/>
      <c r="D8221" s="749" t="s">
        <v>2284</v>
      </c>
      <c r="E8221" s="750">
        <f ca="1">IF(AND($A8221=0,$A$1="DIF"),0, ROUND(ROUND(($R8226*$S$2+($T8226*$T$2))/A8221,2)*$C$2,2))</f>
        <v>98.17</v>
      </c>
      <c r="F8221" s="751">
        <f ca="1">ROUND($A8221*$E8221,2)</f>
        <v>98.17</v>
      </c>
      <c r="G8221" s="752" t="s">
        <v>142</v>
      </c>
      <c r="H8221" s="753"/>
      <c r="I8221" s="754"/>
      <c r="J8221" s="753"/>
      <c r="K8221" s="753" t="s">
        <v>3</v>
      </c>
      <c r="L8221" s="755" t="s">
        <v>143</v>
      </c>
      <c r="M8221" s="755"/>
      <c r="N8221" s="755"/>
      <c r="O8221" s="755"/>
      <c r="P8221" s="755"/>
      <c r="Q8221" s="51"/>
      <c r="T8221" s="756" t="str">
        <f ca="1">IF(AND($R8226=0,$T8226=0),"0.00","mu :" &amp; ROUND($F8221/$C$2/($R8226+$T8226*$D$9),2))</f>
        <v>mu :1.23</v>
      </c>
      <c r="W8221" s="524"/>
      <c r="AG8221" s="481">
        <f ca="1">IF($E8221=0,0,ROUND($R8226*$S$2*$C$2/$A8221,2))</f>
        <v>37.31</v>
      </c>
      <c r="AH8221" s="481">
        <f ca="1">$AG8221*$A8221</f>
        <v>37.31</v>
      </c>
      <c r="AI8221" s="525">
        <f ca="1">$E8221-$AG8221</f>
        <v>60.86</v>
      </c>
      <c r="AJ8221" s="525">
        <f ca="1">$A8221*$AI8221</f>
        <v>60.86</v>
      </c>
      <c r="AK8221" s="526">
        <f ca="1">ROUND(($AG8221+$AI8221)*$A8221,2)</f>
        <v>98.17</v>
      </c>
      <c r="AM8221" s="527">
        <f ca="1">ROUND(R8226,2)</f>
        <v>30.3</v>
      </c>
      <c r="AN8221" s="528">
        <f ca="1">ROUND(T8226,2)</f>
        <v>1.8</v>
      </c>
      <c r="AO8221" s="529">
        <f ca="1">ROUND(AM8221+AN8221,2)*A8221</f>
        <v>32.1</v>
      </c>
      <c r="AR8221" s="747">
        <v>1</v>
      </c>
      <c r="AS8221" s="751">
        <v>104.94</v>
      </c>
    </row>
    <row r="8222" spans="1:45" s="520" customFormat="1" ht="13.2">
      <c r="A8222" s="748"/>
      <c r="B8222"/>
      <c r="C8222" s="748"/>
      <c r="D8222" s="749" t="s">
        <v>2068</v>
      </c>
      <c r="F8222" s="753"/>
      <c r="G8222" s="3"/>
      <c r="H8222" s="753"/>
      <c r="I8222" s="754"/>
      <c r="J8222" s="753"/>
      <c r="K8222" s="753" t="s">
        <v>144</v>
      </c>
      <c r="L8222" s="753"/>
      <c r="M8222" s="753"/>
      <c r="N8222" s="753"/>
      <c r="O8222" s="753"/>
      <c r="P8222" s="753"/>
      <c r="Q8222" s="51"/>
      <c r="R8222" s="530"/>
      <c r="S8222" s="757"/>
      <c r="T8222" s="753"/>
      <c r="AR8222" s="748"/>
      <c r="AS8222" s="753"/>
    </row>
    <row r="8223" spans="1:45" s="886" customFormat="1" ht="15.6" customHeight="1">
      <c r="A8223"/>
      <c r="B8223" s="910"/>
      <c r="C8223" s="910" t="s">
        <v>2597</v>
      </c>
      <c r="D8223" s="910" t="str">
        <f ca="1">CELL("Address",Elec_Rates!D$1023)</f>
        <v>[E25_0062_Quintano_Foods_Elec_ELV_As_Awarded.xlsx]Elec_Rates!$D$1023</v>
      </c>
      <c r="E8223" s="911"/>
      <c r="F8223" s="911"/>
      <c r="G8223" s="912" t="s">
        <v>2598</v>
      </c>
      <c r="H8223" s="912"/>
      <c r="I8223" s="912"/>
      <c r="J8223" s="912"/>
      <c r="K8223" s="913"/>
      <c r="L8223" s="911"/>
      <c r="M8223" s="911"/>
      <c r="N8223" s="911"/>
      <c r="O8223" s="914"/>
      <c r="P8223" s="911"/>
      <c r="Q8223" s="915"/>
      <c r="R8223" s="916"/>
      <c r="S8223" s="915"/>
      <c r="T8223" s="917"/>
      <c r="U8223" s="918"/>
      <c r="AR8223"/>
      <c r="AS8223" s="911"/>
    </row>
    <row r="8224" spans="1:45" s="886" customFormat="1" ht="11.4">
      <c r="A8224" s="919">
        <v>1</v>
      </c>
      <c r="B8224" s="920">
        <v>1</v>
      </c>
      <c r="C8224" s="920">
        <f>$A8224*$B8224</f>
        <v>1</v>
      </c>
      <c r="D8224" s="921" t="str">
        <f>Elec_Rates!$D$1023</f>
        <v>091# Galvanised Conduit points for Fire alarm devices</v>
      </c>
      <c r="E8224" s="921"/>
      <c r="F8224" s="921" t="s">
        <v>2599</v>
      </c>
      <c r="G8224" s="922" t="s">
        <v>2601</v>
      </c>
      <c r="H8224" s="922"/>
      <c r="I8224" s="922"/>
      <c r="J8224" s="922"/>
      <c r="K8224" s="923"/>
      <c r="L8224" s="918"/>
      <c r="M8224" s="918"/>
      <c r="N8224" s="918"/>
      <c r="O8224" s="924"/>
      <c r="P8224" s="921"/>
      <c r="Q8224" s="925">
        <f ca="1">$B8224*Elec_Rates!$R$1023</f>
        <v>30.3</v>
      </c>
      <c r="R8224" s="916">
        <f ca="1">$A8224*Q8224</f>
        <v>30.3</v>
      </c>
      <c r="S8224" s="925">
        <f ca="1">$B8224*Elec_Rates!$T$1023</f>
        <v>1.8</v>
      </c>
      <c r="T8224" s="917">
        <f ca="1">$A8224*S8224</f>
        <v>1.8</v>
      </c>
      <c r="U8224" s="926"/>
      <c r="AR8224" s="919">
        <v>1</v>
      </c>
      <c r="AS8224" s="921" t="s">
        <v>2599</v>
      </c>
    </row>
    <row r="8225" spans="1:45" s="520" customFormat="1" ht="12">
      <c r="A8225" s="758"/>
      <c r="B8225" s="758"/>
      <c r="C8225" s="758"/>
      <c r="D8225" s="758"/>
      <c r="E8225" s="758"/>
      <c r="F8225" s="753"/>
      <c r="G8225" s="758"/>
      <c r="H8225" s="758"/>
      <c r="I8225" s="519"/>
      <c r="J8225" s="758"/>
      <c r="K8225" s="758"/>
      <c r="L8225" s="758"/>
      <c r="M8225" s="758"/>
      <c r="N8225" s="758"/>
      <c r="O8225" s="758"/>
      <c r="P8225" s="758"/>
      <c r="Q8225" s="519"/>
      <c r="R8225" s="759">
        <f>$A8225*Q8225</f>
        <v>0</v>
      </c>
      <c r="S8225" s="519"/>
      <c r="T8225" s="760">
        <f>$A8225*S8225*$T$1</f>
        <v>0</v>
      </c>
      <c r="AR8225" s="758"/>
      <c r="AS8225" s="753"/>
    </row>
    <row r="8226" spans="1:45" s="520" customFormat="1" ht="12.6" thickBot="1">
      <c r="A8226" s="761" t="s">
        <v>145</v>
      </c>
      <c r="B8226" s="762">
        <f>(R8225+T8225)</f>
        <v>0</v>
      </c>
      <c r="C8226" s="763"/>
      <c r="D8226" s="763"/>
      <c r="E8226" s="763"/>
      <c r="F8226" s="764"/>
      <c r="G8226" s="763" t="s">
        <v>146</v>
      </c>
      <c r="H8226" s="763"/>
      <c r="I8226" s="765"/>
      <c r="J8226" s="763"/>
      <c r="K8226" s="763" t="s">
        <v>3</v>
      </c>
      <c r="L8226" s="766" t="s">
        <v>143</v>
      </c>
      <c r="M8226" s="766"/>
      <c r="N8226" s="766"/>
      <c r="O8226" s="766"/>
      <c r="P8226" s="766"/>
      <c r="Q8226" s="767"/>
      <c r="R8226" s="768">
        <f ca="1">SUM(R8222:R8225)</f>
        <v>30.3</v>
      </c>
      <c r="S8226" s="763"/>
      <c r="T8226" s="768">
        <f ca="1">SUM(T8222:T8225)</f>
        <v>1.8</v>
      </c>
      <c r="U8226" s="531"/>
      <c r="V8226" s="531"/>
      <c r="W8226" s="531"/>
      <c r="X8226" s="531"/>
      <c r="Y8226" s="531"/>
      <c r="Z8226" s="531"/>
      <c r="AA8226" s="531"/>
      <c r="AB8226" s="531"/>
      <c r="AC8226" s="531"/>
      <c r="AD8226" s="531"/>
      <c r="AE8226" s="531"/>
      <c r="AF8226" s="531"/>
      <c r="AG8226" s="531"/>
      <c r="AH8226" s="531"/>
      <c r="AI8226" s="531"/>
      <c r="AJ8226" s="531"/>
      <c r="AK8226" s="531"/>
      <c r="AL8226" s="531"/>
      <c r="AM8226" s="531"/>
      <c r="AN8226" s="531"/>
      <c r="AO8226" s="531"/>
      <c r="AR8226" s="761" t="s">
        <v>145</v>
      </c>
      <c r="AS8226" s="764"/>
    </row>
    <row r="8227" spans="1:45" s="520" customFormat="1" ht="12" thickTop="1">
      <c r="A8227" s="51"/>
      <c r="B8227" s="41"/>
      <c r="C8227" s="51"/>
      <c r="E8227" s="42" t="s">
        <v>138</v>
      </c>
      <c r="F8227" s="42" t="s">
        <v>139</v>
      </c>
      <c r="G8227" s="51"/>
      <c r="H8227" s="51"/>
      <c r="I8227" s="51"/>
      <c r="J8227" s="51"/>
      <c r="K8227" s="51" t="s">
        <v>140</v>
      </c>
      <c r="L8227" s="51"/>
      <c r="M8227" s="51"/>
      <c r="N8227" s="51"/>
      <c r="O8227" s="52"/>
      <c r="P8227" s="51"/>
      <c r="Q8227" s="51"/>
      <c r="R8227" s="51"/>
      <c r="S8227" s="51"/>
      <c r="T8227" s="41"/>
      <c r="AG8227" s="521" t="s">
        <v>268</v>
      </c>
      <c r="AH8227" s="521" t="s">
        <v>269</v>
      </c>
      <c r="AI8227" s="521" t="s">
        <v>270</v>
      </c>
      <c r="AJ8227" s="521" t="s">
        <v>271</v>
      </c>
      <c r="AK8227" s="521" t="s">
        <v>272</v>
      </c>
      <c r="AM8227" s="745" t="s">
        <v>281</v>
      </c>
      <c r="AN8227" s="746" t="s">
        <v>282</v>
      </c>
      <c r="AO8227" s="522" t="s">
        <v>278</v>
      </c>
      <c r="AR8227" s="51"/>
      <c r="AS8227" s="42" t="s">
        <v>139</v>
      </c>
    </row>
    <row r="8228" spans="1:45" s="520" customFormat="1" ht="12" customHeight="1">
      <c r="A8228" s="747">
        <v>1</v>
      </c>
      <c r="B8228" s="523" t="s">
        <v>141</v>
      </c>
      <c r="C8228" s="748"/>
      <c r="D8228" s="749" t="s">
        <v>2285</v>
      </c>
      <c r="E8228" s="750">
        <f ca="1">IF(AND($A8228=0,$A$1="DIF"),0, ROUND(ROUND(($R8233*$S$2+($T8233*$T$2))/A8228,2)*$C$2,2))</f>
        <v>98.17</v>
      </c>
      <c r="F8228" s="751">
        <f ca="1">ROUND($A8228*$E8228,2)</f>
        <v>98.17</v>
      </c>
      <c r="G8228" s="752" t="s">
        <v>142</v>
      </c>
      <c r="H8228" s="753"/>
      <c r="I8228" s="754"/>
      <c r="J8228" s="753"/>
      <c r="K8228" s="753" t="s">
        <v>3</v>
      </c>
      <c r="L8228" s="755" t="s">
        <v>143</v>
      </c>
      <c r="M8228" s="755"/>
      <c r="N8228" s="755"/>
      <c r="O8228" s="755"/>
      <c r="P8228" s="755"/>
      <c r="Q8228" s="51"/>
      <c r="T8228" s="756" t="str">
        <f ca="1">IF(AND($R8233=0,$T8233=0),"0.00","mu :" &amp; ROUND($F8228/$C$2/($R8233+$T8233*$D$9),2))</f>
        <v>mu :1.23</v>
      </c>
      <c r="W8228" s="524"/>
      <c r="AG8228" s="481">
        <f ca="1">IF($E8228=0,0,ROUND($R8233*$S$2*$C$2/$A8228,2))</f>
        <v>37.31</v>
      </c>
      <c r="AH8228" s="481">
        <f ca="1">$AG8228*$A8228</f>
        <v>37.31</v>
      </c>
      <c r="AI8228" s="525">
        <f ca="1">$E8228-$AG8228</f>
        <v>60.86</v>
      </c>
      <c r="AJ8228" s="525">
        <f ca="1">$A8228*$AI8228</f>
        <v>60.86</v>
      </c>
      <c r="AK8228" s="526">
        <f ca="1">ROUND(($AG8228+$AI8228)*$A8228,2)</f>
        <v>98.17</v>
      </c>
      <c r="AM8228" s="527">
        <f ca="1">ROUND(R8233,2)</f>
        <v>30.3</v>
      </c>
      <c r="AN8228" s="528">
        <f ca="1">ROUND(T8233,2)</f>
        <v>1.8</v>
      </c>
      <c r="AO8228" s="529">
        <f ca="1">ROUND(AM8228+AN8228,2)*A8228</f>
        <v>32.1</v>
      </c>
      <c r="AR8228" s="747">
        <v>1</v>
      </c>
      <c r="AS8228" s="751">
        <v>104.94</v>
      </c>
    </row>
    <row r="8229" spans="1:45" s="520" customFormat="1" ht="13.2">
      <c r="A8229" s="748"/>
      <c r="B8229"/>
      <c r="C8229" s="748"/>
      <c r="D8229" s="749" t="s">
        <v>2069</v>
      </c>
      <c r="F8229" s="753"/>
      <c r="G8229" s="3"/>
      <c r="H8229" s="753"/>
      <c r="I8229" s="754"/>
      <c r="J8229" s="753"/>
      <c r="K8229" s="753" t="s">
        <v>144</v>
      </c>
      <c r="L8229" s="753"/>
      <c r="M8229" s="753"/>
      <c r="N8229" s="753"/>
      <c r="O8229" s="753"/>
      <c r="P8229" s="753"/>
      <c r="Q8229" s="51"/>
      <c r="R8229" s="530"/>
      <c r="S8229" s="757"/>
      <c r="T8229" s="753"/>
      <c r="AR8229" s="748"/>
      <c r="AS8229" s="753"/>
    </row>
    <row r="8230" spans="1:45" s="886" customFormat="1" ht="15.6" customHeight="1">
      <c r="A8230"/>
      <c r="B8230" s="910"/>
      <c r="C8230" s="910" t="s">
        <v>2597</v>
      </c>
      <c r="D8230" s="910" t="str">
        <f ca="1">CELL("Address",Elec_Rates!D$1023)</f>
        <v>[E25_0062_Quintano_Foods_Elec_ELV_As_Awarded.xlsx]Elec_Rates!$D$1023</v>
      </c>
      <c r="E8230" s="911"/>
      <c r="F8230" s="911"/>
      <c r="G8230" s="912" t="s">
        <v>2598</v>
      </c>
      <c r="H8230" s="912"/>
      <c r="I8230" s="912"/>
      <c r="J8230" s="912"/>
      <c r="K8230" s="913"/>
      <c r="L8230" s="911"/>
      <c r="M8230" s="911"/>
      <c r="N8230" s="911"/>
      <c r="O8230" s="914"/>
      <c r="P8230" s="911"/>
      <c r="Q8230" s="915"/>
      <c r="R8230" s="916"/>
      <c r="S8230" s="915"/>
      <c r="T8230" s="917"/>
      <c r="U8230" s="918"/>
      <c r="AR8230"/>
      <c r="AS8230" s="911"/>
    </row>
    <row r="8231" spans="1:45" s="886" customFormat="1" ht="11.4">
      <c r="A8231" s="919">
        <v>1</v>
      </c>
      <c r="B8231" s="920">
        <v>1</v>
      </c>
      <c r="C8231" s="920">
        <f>$A8231*$B8231</f>
        <v>1</v>
      </c>
      <c r="D8231" s="921" t="str">
        <f>Elec_Rates!$D$1023</f>
        <v>091# Galvanised Conduit points for Fire alarm devices</v>
      </c>
      <c r="E8231" s="921"/>
      <c r="F8231" s="921" t="s">
        <v>2599</v>
      </c>
      <c r="G8231" s="922" t="s">
        <v>2601</v>
      </c>
      <c r="H8231" s="922"/>
      <c r="I8231" s="922"/>
      <c r="J8231" s="922"/>
      <c r="K8231" s="923"/>
      <c r="L8231" s="918"/>
      <c r="M8231" s="918"/>
      <c r="N8231" s="918"/>
      <c r="O8231" s="924"/>
      <c r="P8231" s="921"/>
      <c r="Q8231" s="925">
        <f ca="1">$B8231*Elec_Rates!$R$1023</f>
        <v>30.3</v>
      </c>
      <c r="R8231" s="916">
        <f ca="1">$A8231*Q8231</f>
        <v>30.3</v>
      </c>
      <c r="S8231" s="925">
        <f ca="1">$B8231*Elec_Rates!$T$1023</f>
        <v>1.8</v>
      </c>
      <c r="T8231" s="917">
        <f ca="1">$A8231*S8231</f>
        <v>1.8</v>
      </c>
      <c r="U8231" s="926"/>
      <c r="AR8231" s="919">
        <v>1</v>
      </c>
      <c r="AS8231" s="921" t="s">
        <v>2599</v>
      </c>
    </row>
    <row r="8232" spans="1:45" s="520" customFormat="1" ht="12">
      <c r="A8232" s="758"/>
      <c r="B8232" s="758"/>
      <c r="C8232" s="758"/>
      <c r="D8232" s="758"/>
      <c r="E8232" s="758"/>
      <c r="F8232" s="753"/>
      <c r="G8232" s="758"/>
      <c r="H8232" s="758"/>
      <c r="I8232" s="519"/>
      <c r="J8232" s="758"/>
      <c r="K8232" s="758"/>
      <c r="L8232" s="758"/>
      <c r="M8232" s="758"/>
      <c r="N8232" s="758"/>
      <c r="O8232" s="758"/>
      <c r="P8232" s="758"/>
      <c r="Q8232" s="519"/>
      <c r="R8232" s="759">
        <f>$A8232*Q8232</f>
        <v>0</v>
      </c>
      <c r="S8232" s="519"/>
      <c r="T8232" s="760">
        <f>$A8232*S8232*$T$1</f>
        <v>0</v>
      </c>
      <c r="AR8232" s="758"/>
      <c r="AS8232" s="753"/>
    </row>
    <row r="8233" spans="1:45" s="520" customFormat="1" ht="12.6" thickBot="1">
      <c r="A8233" s="761" t="s">
        <v>145</v>
      </c>
      <c r="B8233" s="762">
        <f>(R8232+T8232)</f>
        <v>0</v>
      </c>
      <c r="C8233" s="763"/>
      <c r="D8233" s="763"/>
      <c r="E8233" s="763"/>
      <c r="F8233" s="764"/>
      <c r="G8233" s="763" t="s">
        <v>146</v>
      </c>
      <c r="H8233" s="763"/>
      <c r="I8233" s="765"/>
      <c r="J8233" s="763"/>
      <c r="K8233" s="763" t="s">
        <v>3</v>
      </c>
      <c r="L8233" s="766" t="s">
        <v>143</v>
      </c>
      <c r="M8233" s="766"/>
      <c r="N8233" s="766"/>
      <c r="O8233" s="766"/>
      <c r="P8233" s="766"/>
      <c r="Q8233" s="767"/>
      <c r="R8233" s="768">
        <f ca="1">SUM(R8229:R8232)</f>
        <v>30.3</v>
      </c>
      <c r="S8233" s="763"/>
      <c r="T8233" s="768">
        <f ca="1">SUM(T8229:T8232)</f>
        <v>1.8</v>
      </c>
      <c r="U8233" s="531"/>
      <c r="V8233" s="531"/>
      <c r="W8233" s="531"/>
      <c r="X8233" s="531"/>
      <c r="Y8233" s="531"/>
      <c r="Z8233" s="531"/>
      <c r="AA8233" s="531"/>
      <c r="AB8233" s="531"/>
      <c r="AC8233" s="531"/>
      <c r="AD8233" s="531"/>
      <c r="AE8233" s="531"/>
      <c r="AF8233" s="531"/>
      <c r="AG8233" s="531"/>
      <c r="AH8233" s="531"/>
      <c r="AI8233" s="531"/>
      <c r="AJ8233" s="531"/>
      <c r="AK8233" s="531"/>
      <c r="AL8233" s="531"/>
      <c r="AM8233" s="531"/>
      <c r="AN8233" s="531"/>
      <c r="AO8233" s="531"/>
      <c r="AR8233" s="761" t="s">
        <v>145</v>
      </c>
      <c r="AS8233" s="764"/>
    </row>
    <row r="8234" spans="1:45" s="520" customFormat="1" thickTop="1">
      <c r="A8234" s="51"/>
      <c r="B8234" s="51"/>
      <c r="C8234" s="3"/>
      <c r="D8234" s="3"/>
      <c r="E8234" s="51"/>
      <c r="F8234" s="51"/>
      <c r="G8234" s="51"/>
      <c r="H8234" s="51"/>
      <c r="I8234" s="51"/>
      <c r="J8234" s="51"/>
      <c r="K8234" s="51" t="s">
        <v>134</v>
      </c>
      <c r="L8234" s="51"/>
      <c r="M8234" s="51"/>
      <c r="N8234" s="51"/>
      <c r="O8234" s="52"/>
      <c r="P8234" s="51"/>
      <c r="Q8234" s="51"/>
      <c r="R8234" s="51"/>
      <c r="S8234" s="51"/>
      <c r="T8234" s="51"/>
      <c r="AR8234" s="51"/>
      <c r="AS8234" s="51"/>
    </row>
    <row r="8235" spans="1:45" s="520" customFormat="1" ht="12">
      <c r="A8235" s="51"/>
      <c r="B8235" s="51"/>
      <c r="C8235" s="51" t="s">
        <v>135</v>
      </c>
      <c r="D8235" s="37"/>
      <c r="E8235" s="51"/>
      <c r="F8235" s="51"/>
      <c r="G8235" s="51"/>
      <c r="H8235" s="51"/>
      <c r="I8235" s="51"/>
      <c r="J8235" s="51"/>
      <c r="K8235" s="51"/>
      <c r="L8235" s="51"/>
      <c r="M8235" s="51"/>
      <c r="N8235" s="51"/>
      <c r="O8235" s="52"/>
      <c r="P8235" s="51"/>
      <c r="Q8235" s="51"/>
      <c r="R8235" s="51"/>
      <c r="S8235" s="51"/>
      <c r="T8235" s="51"/>
      <c r="AR8235" s="51"/>
      <c r="AS8235" s="51"/>
    </row>
    <row r="8236" spans="1:45" s="520" customFormat="1" ht="39.9" customHeight="1">
      <c r="A8236" s="51"/>
      <c r="B8236" s="51"/>
      <c r="C8236" s="51"/>
      <c r="D8236" s="1453" t="s">
        <v>2286</v>
      </c>
      <c r="E8236" s="1452"/>
      <c r="F8236" s="1452"/>
      <c r="G8236" s="1452"/>
      <c r="H8236" s="1452"/>
      <c r="I8236" s="1452"/>
      <c r="J8236" s="1452"/>
      <c r="K8236" s="1452"/>
      <c r="L8236" s="1452"/>
      <c r="M8236" s="1452"/>
      <c r="N8236" s="1452"/>
      <c r="O8236" s="1452"/>
      <c r="P8236" s="1452"/>
      <c r="Q8236" s="1452"/>
      <c r="R8236" s="1452"/>
      <c r="S8236" s="1452"/>
      <c r="T8236" s="1452"/>
      <c r="AR8236" s="51"/>
    </row>
    <row r="8237" spans="1:45" s="3" customFormat="1" thickBot="1">
      <c r="A8237" s="531"/>
      <c r="O8237" s="107"/>
      <c r="AR8237" s="531"/>
    </row>
    <row r="8238" spans="1:45" s="520" customFormat="1" ht="12" thickTop="1">
      <c r="A8238" s="51"/>
      <c r="B8238" s="41"/>
      <c r="C8238" s="51"/>
      <c r="E8238" s="42" t="s">
        <v>138</v>
      </c>
      <c r="F8238" s="42" t="s">
        <v>139</v>
      </c>
      <c r="G8238" s="51"/>
      <c r="H8238" s="51"/>
      <c r="I8238" s="51"/>
      <c r="J8238" s="51"/>
      <c r="K8238" s="51" t="s">
        <v>140</v>
      </c>
      <c r="L8238" s="51"/>
      <c r="M8238" s="51"/>
      <c r="N8238" s="51"/>
      <c r="O8238" s="52"/>
      <c r="P8238" s="51"/>
      <c r="Q8238" s="51"/>
      <c r="R8238" s="51"/>
      <c r="S8238" s="51"/>
      <c r="T8238" s="41"/>
      <c r="AG8238" s="521" t="s">
        <v>268</v>
      </c>
      <c r="AH8238" s="521" t="s">
        <v>269</v>
      </c>
      <c r="AI8238" s="521" t="s">
        <v>270</v>
      </c>
      <c r="AJ8238" s="521" t="s">
        <v>271</v>
      </c>
      <c r="AK8238" s="521" t="s">
        <v>272</v>
      </c>
      <c r="AM8238" s="745" t="s">
        <v>281</v>
      </c>
      <c r="AN8238" s="746" t="s">
        <v>282</v>
      </c>
      <c r="AO8238" s="522" t="s">
        <v>278</v>
      </c>
      <c r="AR8238" s="51"/>
      <c r="AS8238" s="42" t="s">
        <v>139</v>
      </c>
    </row>
    <row r="8239" spans="1:45" s="520" customFormat="1" ht="12" customHeight="1">
      <c r="A8239" s="747">
        <v>14</v>
      </c>
      <c r="B8239" s="523" t="s">
        <v>141</v>
      </c>
      <c r="C8239" s="748"/>
      <c r="D8239" s="749" t="s">
        <v>2287</v>
      </c>
      <c r="E8239" s="1145">
        <f>IF(AND($A8239=0,$A$1="DIF"),0, ROUND(ROUND(($R8243*$S$3+($T8243*$T$3))/$A8239,2)*$C$3,2))</f>
        <v>36.950000000000003</v>
      </c>
      <c r="F8239" s="1146">
        <f>ROUND($A8239*$E8239,2)</f>
        <v>517.29999999999995</v>
      </c>
      <c r="G8239" s="752" t="s">
        <v>142</v>
      </c>
      <c r="H8239" s="753"/>
      <c r="I8239" s="754"/>
      <c r="J8239" s="753"/>
      <c r="K8239" s="753" t="s">
        <v>5</v>
      </c>
      <c r="L8239" s="755" t="s">
        <v>143</v>
      </c>
      <c r="M8239" s="755"/>
      <c r="N8239" s="755"/>
      <c r="O8239" s="755"/>
      <c r="P8239" s="755"/>
      <c r="Q8239" s="51"/>
      <c r="T8239" s="1150" t="str">
        <f>IF(AND($R8243=0,$T8243=0),"0.00","mu: "&amp; ROUND(F8239/$C$3/($R8243+$T8243*$D$9),2))</f>
        <v>mu: 1.13</v>
      </c>
      <c r="W8239" s="524"/>
      <c r="AG8239" s="1147">
        <f>IF($E8239=0,0,ROUND($R8243*$S$3*$C$3/$A8239,2))</f>
        <v>36.950000000000003</v>
      </c>
      <c r="AH8239" s="1147">
        <f>$AG8239*$A8239</f>
        <v>517.30000000000007</v>
      </c>
      <c r="AI8239" s="1148">
        <f>$E8239-$AG8239</f>
        <v>0</v>
      </c>
      <c r="AJ8239" s="1148">
        <f>$A8239*$AI8239</f>
        <v>0</v>
      </c>
      <c r="AK8239" s="1149">
        <f>ROUND(($AG8239+$AI8239)*$A8239,2)</f>
        <v>517.29999999999995</v>
      </c>
      <c r="AM8239" s="527">
        <f>ROUND(R8243,2)</f>
        <v>458.33</v>
      </c>
      <c r="AN8239" s="528">
        <f>ROUND(T8243,2)</f>
        <v>0</v>
      </c>
      <c r="AO8239" s="529">
        <f>ROUND(AM8239+AN8239,2)*A8239</f>
        <v>6416.62</v>
      </c>
      <c r="AR8239" s="747">
        <v>14</v>
      </c>
      <c r="AS8239" s="1146">
        <v>562.94000000000005</v>
      </c>
    </row>
    <row r="8240" spans="1:45" s="520" customFormat="1" ht="13.2">
      <c r="A8240" s="748"/>
      <c r="B8240"/>
      <c r="C8240" s="748"/>
      <c r="D8240" s="749" t="s">
        <v>2061</v>
      </c>
      <c r="F8240" s="753"/>
      <c r="G8240" s="3"/>
      <c r="H8240" s="753"/>
      <c r="I8240" s="754"/>
      <c r="J8240" s="753"/>
      <c r="K8240" s="753" t="s">
        <v>144</v>
      </c>
      <c r="L8240" s="753"/>
      <c r="M8240" s="753"/>
      <c r="N8240" s="753"/>
      <c r="O8240" s="753"/>
      <c r="P8240" s="753"/>
      <c r="Q8240" s="51"/>
      <c r="R8240" s="530"/>
      <c r="S8240" s="757"/>
      <c r="T8240" s="753"/>
      <c r="AR8240" s="748"/>
      <c r="AS8240" s="753"/>
    </row>
    <row r="8241" spans="1:45" s="901" customFormat="1" ht="13.2">
      <c r="A8241" s="903">
        <v>14</v>
      </c>
      <c r="B8241" s="904" t="s">
        <v>863</v>
      </c>
      <c r="C8241" s="904"/>
      <c r="D8241" s="904" t="s">
        <v>2594</v>
      </c>
      <c r="E8241" s="904"/>
      <c r="F8241" s="904" t="s">
        <v>4128</v>
      </c>
      <c r="G8241" s="905" t="s">
        <v>2595</v>
      </c>
      <c r="H8241" s="902">
        <v>960</v>
      </c>
      <c r="I8241" s="904" t="s">
        <v>2596</v>
      </c>
      <c r="J8241" s="904"/>
      <c r="K8241" s="904"/>
      <c r="L8241" s="904"/>
      <c r="M8241" s="904"/>
      <c r="N8241" s="904"/>
      <c r="O8241" s="902">
        <v>4</v>
      </c>
      <c r="P8241" s="906">
        <v>38274</v>
      </c>
      <c r="Q8241" s="1415">
        <f>37.5*0.873</f>
        <v>32.737499999999997</v>
      </c>
      <c r="R8241" s="908">
        <f>$A8241*Q8241</f>
        <v>458.32499999999993</v>
      </c>
      <c r="S8241" s="907"/>
      <c r="T8241" s="909">
        <f>$A8241*S8241*$T$1</f>
        <v>0</v>
      </c>
      <c r="AR8241" s="903">
        <v>14</v>
      </c>
      <c r="AS8241" s="904" t="s">
        <v>3507</v>
      </c>
    </row>
    <row r="8242" spans="1:45" s="520" customFormat="1" ht="12">
      <c r="A8242" s="758"/>
      <c r="B8242" s="758"/>
      <c r="C8242" s="758"/>
      <c r="D8242" s="758"/>
      <c r="E8242" s="758"/>
      <c r="F8242" s="753"/>
      <c r="G8242" s="758"/>
      <c r="H8242" s="758"/>
      <c r="I8242" s="519"/>
      <c r="J8242" s="758"/>
      <c r="K8242" s="758"/>
      <c r="L8242" s="758"/>
      <c r="M8242" s="758"/>
      <c r="N8242" s="758"/>
      <c r="O8242" s="758"/>
      <c r="P8242" s="758"/>
      <c r="Q8242" s="519"/>
      <c r="R8242" s="759">
        <f>$A8242*Q8242</f>
        <v>0</v>
      </c>
      <c r="S8242" s="519"/>
      <c r="T8242" s="760">
        <f>$A8242*S8242*$T$1</f>
        <v>0</v>
      </c>
      <c r="AR8242" s="758"/>
      <c r="AS8242" s="753"/>
    </row>
    <row r="8243" spans="1:45" s="520" customFormat="1" ht="12.6" thickBot="1">
      <c r="A8243" s="761" t="s">
        <v>145</v>
      </c>
      <c r="B8243" s="762">
        <f>(R8242+T8242)</f>
        <v>0</v>
      </c>
      <c r="C8243" s="763"/>
      <c r="D8243" s="763"/>
      <c r="E8243" s="763"/>
      <c r="F8243" s="764"/>
      <c r="G8243" s="763" t="s">
        <v>146</v>
      </c>
      <c r="H8243" s="763"/>
      <c r="I8243" s="765"/>
      <c r="J8243" s="763"/>
      <c r="K8243" s="763" t="s">
        <v>5</v>
      </c>
      <c r="L8243" s="766" t="s">
        <v>143</v>
      </c>
      <c r="M8243" s="766"/>
      <c r="N8243" s="766"/>
      <c r="O8243" s="766"/>
      <c r="P8243" s="766"/>
      <c r="Q8243" s="767"/>
      <c r="R8243" s="768">
        <f>SUM(R8240:R8242)</f>
        <v>458.32499999999993</v>
      </c>
      <c r="S8243" s="763"/>
      <c r="T8243" s="768">
        <f>SUM(T8240:T8242)</f>
        <v>0</v>
      </c>
      <c r="U8243" s="531"/>
      <c r="V8243" s="531"/>
      <c r="W8243" s="531"/>
      <c r="X8243" s="531"/>
      <c r="Y8243" s="531"/>
      <c r="Z8243" s="531"/>
      <c r="AA8243" s="531"/>
      <c r="AB8243" s="531"/>
      <c r="AC8243" s="531"/>
      <c r="AD8243" s="531"/>
      <c r="AE8243" s="531"/>
      <c r="AF8243" s="531"/>
      <c r="AG8243" s="531"/>
      <c r="AH8243" s="531"/>
      <c r="AI8243" s="531"/>
      <c r="AJ8243" s="531"/>
      <c r="AK8243" s="531"/>
      <c r="AL8243" s="531"/>
      <c r="AM8243" s="531"/>
      <c r="AN8243" s="531"/>
      <c r="AO8243" s="531"/>
      <c r="AR8243" s="761" t="s">
        <v>145</v>
      </c>
      <c r="AS8243" s="764"/>
    </row>
    <row r="8244" spans="1:45" s="520" customFormat="1" ht="12" thickTop="1">
      <c r="A8244" s="51"/>
      <c r="B8244" s="41"/>
      <c r="C8244" s="51"/>
      <c r="E8244" s="42" t="s">
        <v>138</v>
      </c>
      <c r="F8244" s="42" t="s">
        <v>139</v>
      </c>
      <c r="G8244" s="51"/>
      <c r="H8244" s="51"/>
      <c r="I8244" s="51"/>
      <c r="J8244" s="51"/>
      <c r="K8244" s="51" t="s">
        <v>140</v>
      </c>
      <c r="L8244" s="51"/>
      <c r="M8244" s="51"/>
      <c r="N8244" s="51"/>
      <c r="O8244" s="52"/>
      <c r="P8244" s="51"/>
      <c r="Q8244" s="51"/>
      <c r="R8244" s="51"/>
      <c r="S8244" s="51"/>
      <c r="T8244" s="41"/>
      <c r="AG8244" s="521" t="s">
        <v>268</v>
      </c>
      <c r="AH8244" s="521" t="s">
        <v>269</v>
      </c>
      <c r="AI8244" s="521" t="s">
        <v>270</v>
      </c>
      <c r="AJ8244" s="521" t="s">
        <v>271</v>
      </c>
      <c r="AK8244" s="521" t="s">
        <v>272</v>
      </c>
      <c r="AM8244" s="745" t="s">
        <v>281</v>
      </c>
      <c r="AN8244" s="746" t="s">
        <v>282</v>
      </c>
      <c r="AO8244" s="522" t="s">
        <v>278</v>
      </c>
      <c r="AR8244" s="51"/>
      <c r="AS8244" s="42" t="s">
        <v>139</v>
      </c>
    </row>
    <row r="8245" spans="1:45" s="520" customFormat="1" ht="12" customHeight="1">
      <c r="A8245" s="747">
        <v>5</v>
      </c>
      <c r="B8245" s="523" t="s">
        <v>141</v>
      </c>
      <c r="C8245" s="748"/>
      <c r="D8245" s="749" t="s">
        <v>2288</v>
      </c>
      <c r="E8245" s="1145">
        <f>IF(AND($A8245=0,$A$1="DIF"),0, ROUND(ROUND(($R8249*$S$3+($T8249*$T$3))/$A8245,2)*$C$3,2))</f>
        <v>36.950000000000003</v>
      </c>
      <c r="F8245" s="1146">
        <f>ROUND($A8245*$E8245,2)</f>
        <v>184.75</v>
      </c>
      <c r="G8245" s="752" t="s">
        <v>142</v>
      </c>
      <c r="H8245" s="753"/>
      <c r="I8245" s="754"/>
      <c r="J8245" s="753"/>
      <c r="K8245" s="753" t="s">
        <v>5</v>
      </c>
      <c r="L8245" s="755" t="s">
        <v>143</v>
      </c>
      <c r="M8245" s="755"/>
      <c r="N8245" s="755"/>
      <c r="O8245" s="755"/>
      <c r="P8245" s="755"/>
      <c r="Q8245" s="51"/>
      <c r="T8245" s="1150" t="str">
        <f>IF(AND($R8249=0,$T8249=0),"0.00","mu: "&amp; ROUND(F8245/$C$3/($R8249+$T8249*$D$9),2))</f>
        <v>mu: 1.13</v>
      </c>
      <c r="W8245" s="524"/>
      <c r="AG8245" s="1147">
        <f>IF($E8245=0,0,ROUND($R8249*$S$3*$C$3/$A8245,2))</f>
        <v>36.950000000000003</v>
      </c>
      <c r="AH8245" s="1147">
        <f>$AG8245*$A8245</f>
        <v>184.75</v>
      </c>
      <c r="AI8245" s="1148">
        <f>$E8245-$AG8245</f>
        <v>0</v>
      </c>
      <c r="AJ8245" s="1148">
        <f>$A8245*$AI8245</f>
        <v>0</v>
      </c>
      <c r="AK8245" s="1149">
        <f>ROUND(($AG8245+$AI8245)*$A8245,2)</f>
        <v>184.75</v>
      </c>
      <c r="AM8245" s="527">
        <f>ROUND(R8249,2)</f>
        <v>163.69</v>
      </c>
      <c r="AN8245" s="528">
        <f>ROUND(T8249,2)</f>
        <v>0</v>
      </c>
      <c r="AO8245" s="529">
        <f>ROUND(AM8245+AN8245,2)*A8245</f>
        <v>818.45</v>
      </c>
      <c r="AR8245" s="747">
        <v>5</v>
      </c>
      <c r="AS8245" s="1146">
        <v>201.05</v>
      </c>
    </row>
    <row r="8246" spans="1:45" s="520" customFormat="1" ht="13.2">
      <c r="A8246" s="748"/>
      <c r="B8246"/>
      <c r="C8246" s="748"/>
      <c r="D8246" s="749" t="s">
        <v>2062</v>
      </c>
      <c r="F8246" s="753"/>
      <c r="G8246" s="3"/>
      <c r="H8246" s="753"/>
      <c r="I8246" s="754"/>
      <c r="J8246" s="753"/>
      <c r="K8246" s="753" t="s">
        <v>144</v>
      </c>
      <c r="L8246" s="753"/>
      <c r="M8246" s="753"/>
      <c r="N8246" s="753"/>
      <c r="O8246" s="753"/>
      <c r="P8246" s="753"/>
      <c r="Q8246" s="51"/>
      <c r="R8246" s="530"/>
      <c r="S8246" s="757"/>
      <c r="T8246" s="753"/>
      <c r="AR8246" s="748"/>
      <c r="AS8246" s="753"/>
    </row>
    <row r="8247" spans="1:45" s="901" customFormat="1" ht="13.2">
      <c r="A8247" s="903">
        <v>5</v>
      </c>
      <c r="B8247" s="904" t="s">
        <v>863</v>
      </c>
      <c r="C8247" s="904"/>
      <c r="D8247" s="904" t="s">
        <v>2594</v>
      </c>
      <c r="E8247" s="904"/>
      <c r="F8247" s="904" t="s">
        <v>4128</v>
      </c>
      <c r="G8247" s="905" t="s">
        <v>2595</v>
      </c>
      <c r="H8247" s="902">
        <v>960</v>
      </c>
      <c r="I8247" s="904" t="s">
        <v>2596</v>
      </c>
      <c r="J8247" s="904"/>
      <c r="K8247" s="904"/>
      <c r="L8247" s="904"/>
      <c r="M8247" s="904"/>
      <c r="N8247" s="904"/>
      <c r="O8247" s="902">
        <v>4</v>
      </c>
      <c r="P8247" s="906">
        <v>38274</v>
      </c>
      <c r="Q8247" s="1415">
        <f>37.5*0.873</f>
        <v>32.737499999999997</v>
      </c>
      <c r="R8247" s="908">
        <f>$A8247*Q8247</f>
        <v>163.6875</v>
      </c>
      <c r="S8247" s="907"/>
      <c r="T8247" s="909">
        <f>$A8247*S8247*$T$1</f>
        <v>0</v>
      </c>
      <c r="AR8247" s="903">
        <v>5</v>
      </c>
      <c r="AS8247" s="904" t="s">
        <v>3507</v>
      </c>
    </row>
    <row r="8248" spans="1:45" s="520" customFormat="1" ht="12">
      <c r="A8248" s="758"/>
      <c r="B8248" s="758"/>
      <c r="C8248" s="758"/>
      <c r="D8248" s="758"/>
      <c r="E8248" s="758"/>
      <c r="F8248" s="753"/>
      <c r="G8248" s="758"/>
      <c r="H8248" s="758"/>
      <c r="I8248" s="519"/>
      <c r="J8248" s="758"/>
      <c r="K8248" s="758"/>
      <c r="L8248" s="758"/>
      <c r="M8248" s="758"/>
      <c r="N8248" s="758"/>
      <c r="O8248" s="758"/>
      <c r="P8248" s="758"/>
      <c r="Q8248" s="519"/>
      <c r="R8248" s="759">
        <f>$A8248*Q8248</f>
        <v>0</v>
      </c>
      <c r="S8248" s="519"/>
      <c r="T8248" s="760">
        <f>$A8248*S8248*$T$1</f>
        <v>0</v>
      </c>
      <c r="AR8248" s="758"/>
      <c r="AS8248" s="753"/>
    </row>
    <row r="8249" spans="1:45" s="520" customFormat="1" ht="12.6" thickBot="1">
      <c r="A8249" s="761" t="s">
        <v>145</v>
      </c>
      <c r="B8249" s="762">
        <f>(R8248+T8248)</f>
        <v>0</v>
      </c>
      <c r="C8249" s="763"/>
      <c r="D8249" s="763"/>
      <c r="E8249" s="763"/>
      <c r="F8249" s="764"/>
      <c r="G8249" s="763" t="s">
        <v>146</v>
      </c>
      <c r="H8249" s="763"/>
      <c r="I8249" s="765"/>
      <c r="J8249" s="763"/>
      <c r="K8249" s="763" t="s">
        <v>5</v>
      </c>
      <c r="L8249" s="766" t="s">
        <v>143</v>
      </c>
      <c r="M8249" s="766"/>
      <c r="N8249" s="766"/>
      <c r="O8249" s="766"/>
      <c r="P8249" s="766"/>
      <c r="Q8249" s="767"/>
      <c r="R8249" s="768">
        <f>SUM(R8246:R8248)</f>
        <v>163.6875</v>
      </c>
      <c r="S8249" s="763"/>
      <c r="T8249" s="768">
        <f>SUM(T8246:T8248)</f>
        <v>0</v>
      </c>
      <c r="U8249" s="531"/>
      <c r="V8249" s="531"/>
      <c r="W8249" s="531"/>
      <c r="X8249" s="531"/>
      <c r="Y8249" s="531"/>
      <c r="Z8249" s="531"/>
      <c r="AA8249" s="531"/>
      <c r="AB8249" s="531"/>
      <c r="AC8249" s="531"/>
      <c r="AD8249" s="531"/>
      <c r="AE8249" s="531"/>
      <c r="AF8249" s="531"/>
      <c r="AG8249" s="531"/>
      <c r="AH8249" s="531"/>
      <c r="AI8249" s="531"/>
      <c r="AJ8249" s="531"/>
      <c r="AK8249" s="531"/>
      <c r="AL8249" s="531"/>
      <c r="AM8249" s="531"/>
      <c r="AN8249" s="531"/>
      <c r="AO8249" s="531"/>
      <c r="AR8249" s="761" t="s">
        <v>145</v>
      </c>
      <c r="AS8249" s="764"/>
    </row>
    <row r="8250" spans="1:45" s="520" customFormat="1" ht="12" thickTop="1">
      <c r="A8250" s="51"/>
      <c r="B8250" s="41"/>
      <c r="C8250" s="51"/>
      <c r="E8250" s="42" t="s">
        <v>138</v>
      </c>
      <c r="F8250" s="42" t="s">
        <v>139</v>
      </c>
      <c r="G8250" s="51"/>
      <c r="H8250" s="51"/>
      <c r="I8250" s="51"/>
      <c r="J8250" s="51"/>
      <c r="K8250" s="51" t="s">
        <v>140</v>
      </c>
      <c r="L8250" s="51"/>
      <c r="M8250" s="51"/>
      <c r="N8250" s="51"/>
      <c r="O8250" s="52"/>
      <c r="P8250" s="51"/>
      <c r="Q8250" s="51"/>
      <c r="R8250" s="51"/>
      <c r="S8250" s="51"/>
      <c r="T8250" s="41"/>
      <c r="AG8250" s="521" t="s">
        <v>268</v>
      </c>
      <c r="AH8250" s="521" t="s">
        <v>269</v>
      </c>
      <c r="AI8250" s="521" t="s">
        <v>270</v>
      </c>
      <c r="AJ8250" s="521" t="s">
        <v>271</v>
      </c>
      <c r="AK8250" s="521" t="s">
        <v>272</v>
      </c>
      <c r="AM8250" s="745" t="s">
        <v>281</v>
      </c>
      <c r="AN8250" s="746" t="s">
        <v>282</v>
      </c>
      <c r="AO8250" s="522" t="s">
        <v>278</v>
      </c>
      <c r="AR8250" s="51"/>
      <c r="AS8250" s="42" t="s">
        <v>139</v>
      </c>
    </row>
    <row r="8251" spans="1:45" s="520" customFormat="1" ht="12" customHeight="1">
      <c r="A8251" s="747">
        <v>77</v>
      </c>
      <c r="B8251" s="523" t="s">
        <v>141</v>
      </c>
      <c r="C8251" s="748"/>
      <c r="D8251" s="749" t="s">
        <v>2289</v>
      </c>
      <c r="E8251" s="1145">
        <f>IF(AND($A8251=0,$A$1="DIF"),0, ROUND(ROUND(($R8255*$S$3+($T8255*$T$3))/$A8251,2)*$C$3,2))</f>
        <v>36.950000000000003</v>
      </c>
      <c r="F8251" s="1146">
        <f>ROUND($A8251*$E8251,2)</f>
        <v>2845.15</v>
      </c>
      <c r="G8251" s="752" t="s">
        <v>142</v>
      </c>
      <c r="H8251" s="753"/>
      <c r="I8251" s="754"/>
      <c r="J8251" s="753"/>
      <c r="K8251" s="753" t="s">
        <v>5</v>
      </c>
      <c r="L8251" s="755" t="s">
        <v>143</v>
      </c>
      <c r="M8251" s="755"/>
      <c r="N8251" s="755"/>
      <c r="O8251" s="755"/>
      <c r="P8251" s="755"/>
      <c r="Q8251" s="51"/>
      <c r="T8251" s="1150" t="str">
        <f>IF(AND($R8255=0,$T8255=0),"0.00","mu: "&amp; ROUND(F8251/$C$3/($R8255+$T8255*$D$9),2))</f>
        <v>mu: 1.13</v>
      </c>
      <c r="W8251" s="524"/>
      <c r="AG8251" s="1147">
        <f>IF($E8251=0,0,ROUND($R8255*$S$3*$C$3/$A8251,2))</f>
        <v>36.950000000000003</v>
      </c>
      <c r="AH8251" s="1147">
        <f>$AG8251*$A8251</f>
        <v>2845.15</v>
      </c>
      <c r="AI8251" s="1148">
        <f>$E8251-$AG8251</f>
        <v>0</v>
      </c>
      <c r="AJ8251" s="1148">
        <f>$A8251*$AI8251</f>
        <v>0</v>
      </c>
      <c r="AK8251" s="1149">
        <f>ROUND(($AG8251+$AI8251)*$A8251,2)</f>
        <v>2845.15</v>
      </c>
      <c r="AM8251" s="527">
        <f>ROUND(R8255,2)</f>
        <v>2520.79</v>
      </c>
      <c r="AN8251" s="528">
        <f>ROUND(T8255,2)</f>
        <v>0</v>
      </c>
      <c r="AO8251" s="529">
        <f>ROUND(AM8251+AN8251,2)*A8251</f>
        <v>194100.83</v>
      </c>
      <c r="AR8251" s="747">
        <v>77</v>
      </c>
      <c r="AS8251" s="1146">
        <v>3096.17</v>
      </c>
    </row>
    <row r="8252" spans="1:45" s="520" customFormat="1" ht="13.2">
      <c r="A8252" s="748"/>
      <c r="B8252"/>
      <c r="C8252" s="748"/>
      <c r="D8252" s="749" t="s">
        <v>2063</v>
      </c>
      <c r="F8252" s="753"/>
      <c r="G8252" s="3"/>
      <c r="H8252" s="753"/>
      <c r="I8252" s="754"/>
      <c r="J8252" s="753"/>
      <c r="K8252" s="753" t="s">
        <v>144</v>
      </c>
      <c r="L8252" s="753"/>
      <c r="M8252" s="753"/>
      <c r="N8252" s="753"/>
      <c r="O8252" s="753"/>
      <c r="P8252" s="753"/>
      <c r="Q8252" s="51"/>
      <c r="R8252" s="530"/>
      <c r="S8252" s="757"/>
      <c r="T8252" s="753"/>
      <c r="AR8252" s="748"/>
      <c r="AS8252" s="753"/>
    </row>
    <row r="8253" spans="1:45" s="901" customFormat="1" ht="13.2">
      <c r="A8253" s="903">
        <v>77</v>
      </c>
      <c r="B8253" s="904" t="s">
        <v>863</v>
      </c>
      <c r="C8253" s="904"/>
      <c r="D8253" s="904" t="s">
        <v>2594</v>
      </c>
      <c r="E8253" s="904"/>
      <c r="F8253" s="904" t="s">
        <v>4128</v>
      </c>
      <c r="G8253" s="905" t="s">
        <v>2595</v>
      </c>
      <c r="H8253" s="902">
        <v>960</v>
      </c>
      <c r="I8253" s="904" t="s">
        <v>2596</v>
      </c>
      <c r="J8253" s="904"/>
      <c r="K8253" s="904"/>
      <c r="L8253" s="904"/>
      <c r="M8253" s="904"/>
      <c r="N8253" s="904"/>
      <c r="O8253" s="902">
        <v>4</v>
      </c>
      <c r="P8253" s="906">
        <v>38274</v>
      </c>
      <c r="Q8253" s="1415">
        <f>37.5*0.873</f>
        <v>32.737499999999997</v>
      </c>
      <c r="R8253" s="908">
        <f>$A8253*Q8253</f>
        <v>2520.7874999999999</v>
      </c>
      <c r="S8253" s="907"/>
      <c r="T8253" s="909">
        <f>$A8253*S8253*$T$1</f>
        <v>0</v>
      </c>
      <c r="AR8253" s="903">
        <v>77</v>
      </c>
      <c r="AS8253" s="904" t="s">
        <v>3507</v>
      </c>
    </row>
    <row r="8254" spans="1:45" s="520" customFormat="1" ht="12">
      <c r="A8254" s="758"/>
      <c r="B8254" s="758"/>
      <c r="C8254" s="758"/>
      <c r="D8254" s="758"/>
      <c r="E8254" s="758"/>
      <c r="F8254" s="753"/>
      <c r="G8254" s="758"/>
      <c r="H8254" s="758"/>
      <c r="I8254" s="519"/>
      <c r="J8254" s="758"/>
      <c r="K8254" s="758"/>
      <c r="L8254" s="758"/>
      <c r="M8254" s="758"/>
      <c r="N8254" s="758"/>
      <c r="O8254" s="758"/>
      <c r="P8254" s="758"/>
      <c r="Q8254" s="519"/>
      <c r="R8254" s="759">
        <f>$A8254*Q8254</f>
        <v>0</v>
      </c>
      <c r="S8254" s="519"/>
      <c r="T8254" s="760">
        <f>$A8254*S8254*$T$1</f>
        <v>0</v>
      </c>
      <c r="AR8254" s="758"/>
      <c r="AS8254" s="753"/>
    </row>
    <row r="8255" spans="1:45" s="520" customFormat="1" ht="12.6" thickBot="1">
      <c r="A8255" s="761" t="s">
        <v>145</v>
      </c>
      <c r="B8255" s="762">
        <f>(R8254+T8254)</f>
        <v>0</v>
      </c>
      <c r="C8255" s="763"/>
      <c r="D8255" s="763"/>
      <c r="E8255" s="763"/>
      <c r="F8255" s="764"/>
      <c r="G8255" s="763" t="s">
        <v>146</v>
      </c>
      <c r="H8255" s="763"/>
      <c r="I8255" s="765"/>
      <c r="J8255" s="763"/>
      <c r="K8255" s="763" t="s">
        <v>5</v>
      </c>
      <c r="L8255" s="766" t="s">
        <v>143</v>
      </c>
      <c r="M8255" s="766"/>
      <c r="N8255" s="766"/>
      <c r="O8255" s="766"/>
      <c r="P8255" s="766"/>
      <c r="Q8255" s="767"/>
      <c r="R8255" s="768">
        <f>SUM(R8252:R8254)</f>
        <v>2520.7874999999999</v>
      </c>
      <c r="S8255" s="763"/>
      <c r="T8255" s="768">
        <f>SUM(T8252:T8254)</f>
        <v>0</v>
      </c>
      <c r="U8255" s="531"/>
      <c r="V8255" s="531"/>
      <c r="W8255" s="531"/>
      <c r="X8255" s="531"/>
      <c r="Y8255" s="531"/>
      <c r="Z8255" s="531"/>
      <c r="AA8255" s="531"/>
      <c r="AB8255" s="531"/>
      <c r="AC8255" s="531"/>
      <c r="AD8255" s="531"/>
      <c r="AE8255" s="531"/>
      <c r="AF8255" s="531"/>
      <c r="AG8255" s="531"/>
      <c r="AH8255" s="531"/>
      <c r="AI8255" s="531"/>
      <c r="AJ8255" s="531"/>
      <c r="AK8255" s="531"/>
      <c r="AL8255" s="531"/>
      <c r="AM8255" s="531"/>
      <c r="AN8255" s="531"/>
      <c r="AO8255" s="531"/>
      <c r="AR8255" s="761" t="s">
        <v>145</v>
      </c>
      <c r="AS8255" s="764"/>
    </row>
    <row r="8256" spans="1:45" s="520" customFormat="1" ht="12" thickTop="1">
      <c r="A8256" s="51"/>
      <c r="B8256" s="41"/>
      <c r="C8256" s="51"/>
      <c r="E8256" s="42" t="s">
        <v>138</v>
      </c>
      <c r="F8256" s="42" t="s">
        <v>139</v>
      </c>
      <c r="G8256" s="51"/>
      <c r="H8256" s="51"/>
      <c r="I8256" s="51"/>
      <c r="J8256" s="51"/>
      <c r="K8256" s="51" t="s">
        <v>140</v>
      </c>
      <c r="L8256" s="51"/>
      <c r="M8256" s="51"/>
      <c r="N8256" s="51"/>
      <c r="O8256" s="52"/>
      <c r="P8256" s="51"/>
      <c r="Q8256" s="51"/>
      <c r="R8256" s="51"/>
      <c r="S8256" s="51"/>
      <c r="T8256" s="41"/>
      <c r="AG8256" s="521" t="s">
        <v>268</v>
      </c>
      <c r="AH8256" s="521" t="s">
        <v>269</v>
      </c>
      <c r="AI8256" s="521" t="s">
        <v>270</v>
      </c>
      <c r="AJ8256" s="521" t="s">
        <v>271</v>
      </c>
      <c r="AK8256" s="521" t="s">
        <v>272</v>
      </c>
      <c r="AM8256" s="745" t="s">
        <v>281</v>
      </c>
      <c r="AN8256" s="746" t="s">
        <v>282</v>
      </c>
      <c r="AO8256" s="522" t="s">
        <v>278</v>
      </c>
      <c r="AR8256" s="51"/>
      <c r="AS8256" s="42" t="s">
        <v>139</v>
      </c>
    </row>
    <row r="8257" spans="1:45" s="520" customFormat="1" ht="12" customHeight="1">
      <c r="A8257" s="747">
        <v>8</v>
      </c>
      <c r="B8257" s="523" t="s">
        <v>141</v>
      </c>
      <c r="C8257" s="748"/>
      <c r="D8257" s="749" t="s">
        <v>2290</v>
      </c>
      <c r="E8257" s="1145">
        <f>IF(AND($A8257=0,$A$1="DIF"),0, ROUND(ROUND(($R8261*$S$3+($T8261*$T$3))/$A8257,2)*$C$3,2))</f>
        <v>36.950000000000003</v>
      </c>
      <c r="F8257" s="1146">
        <f>ROUND($A8257*$E8257,2)</f>
        <v>295.60000000000002</v>
      </c>
      <c r="G8257" s="752" t="s">
        <v>142</v>
      </c>
      <c r="H8257" s="753"/>
      <c r="I8257" s="754"/>
      <c r="J8257" s="753"/>
      <c r="K8257" s="753" t="s">
        <v>5</v>
      </c>
      <c r="L8257" s="755" t="s">
        <v>143</v>
      </c>
      <c r="M8257" s="755"/>
      <c r="N8257" s="755"/>
      <c r="O8257" s="755"/>
      <c r="P8257" s="755"/>
      <c r="Q8257" s="51"/>
      <c r="T8257" s="1150" t="str">
        <f>IF(AND($R8261=0,$T8261=0),"0.00","mu: "&amp; ROUND(F8257/$C$3/($R8261+$T8261*$D$9),2))</f>
        <v>mu: 1.13</v>
      </c>
      <c r="W8257" s="524"/>
      <c r="AG8257" s="1147">
        <f>IF($E8257=0,0,ROUND($R8261*$S$3*$C$3/$A8257,2))</f>
        <v>36.950000000000003</v>
      </c>
      <c r="AH8257" s="1147">
        <f>$AG8257*$A8257</f>
        <v>295.60000000000002</v>
      </c>
      <c r="AI8257" s="1148">
        <f>$E8257-$AG8257</f>
        <v>0</v>
      </c>
      <c r="AJ8257" s="1148">
        <f>$A8257*$AI8257</f>
        <v>0</v>
      </c>
      <c r="AK8257" s="1149">
        <f>ROUND(($AG8257+$AI8257)*$A8257,2)</f>
        <v>295.60000000000002</v>
      </c>
      <c r="AM8257" s="527">
        <f>ROUND(R8261,2)</f>
        <v>261.89999999999998</v>
      </c>
      <c r="AN8257" s="528">
        <f>ROUND(T8261,2)</f>
        <v>0</v>
      </c>
      <c r="AO8257" s="529">
        <f>ROUND(AM8257+AN8257,2)*A8257</f>
        <v>2095.1999999999998</v>
      </c>
      <c r="AR8257" s="747">
        <v>8</v>
      </c>
      <c r="AS8257" s="1146">
        <v>321.68</v>
      </c>
    </row>
    <row r="8258" spans="1:45" s="520" customFormat="1" ht="13.2">
      <c r="A8258" s="748"/>
      <c r="B8258"/>
      <c r="C8258" s="748"/>
      <c r="D8258" s="749" t="s">
        <v>2064</v>
      </c>
      <c r="F8258" s="753"/>
      <c r="G8258" s="3"/>
      <c r="H8258" s="753"/>
      <c r="I8258" s="754"/>
      <c r="J8258" s="753"/>
      <c r="K8258" s="753" t="s">
        <v>144</v>
      </c>
      <c r="L8258" s="753"/>
      <c r="M8258" s="753"/>
      <c r="N8258" s="753"/>
      <c r="O8258" s="753"/>
      <c r="P8258" s="753"/>
      <c r="Q8258" s="51"/>
      <c r="R8258" s="530"/>
      <c r="S8258" s="757"/>
      <c r="T8258" s="753"/>
      <c r="AR8258" s="748"/>
      <c r="AS8258" s="753"/>
    </row>
    <row r="8259" spans="1:45" s="901" customFormat="1" ht="13.2">
      <c r="A8259" s="903">
        <v>8</v>
      </c>
      <c r="B8259" s="904" t="s">
        <v>863</v>
      </c>
      <c r="C8259" s="904"/>
      <c r="D8259" s="904" t="s">
        <v>2594</v>
      </c>
      <c r="E8259" s="904"/>
      <c r="F8259" s="904" t="s">
        <v>4128</v>
      </c>
      <c r="G8259" s="905" t="s">
        <v>2595</v>
      </c>
      <c r="H8259" s="902">
        <v>960</v>
      </c>
      <c r="I8259" s="904" t="s">
        <v>2596</v>
      </c>
      <c r="J8259" s="904"/>
      <c r="K8259" s="904"/>
      <c r="L8259" s="904"/>
      <c r="M8259" s="904"/>
      <c r="N8259" s="904"/>
      <c r="O8259" s="902">
        <v>4</v>
      </c>
      <c r="P8259" s="906">
        <v>38274</v>
      </c>
      <c r="Q8259" s="1415">
        <f>37.5*0.873</f>
        <v>32.737499999999997</v>
      </c>
      <c r="R8259" s="908">
        <f>$A8259*Q8259</f>
        <v>261.89999999999998</v>
      </c>
      <c r="S8259" s="907"/>
      <c r="T8259" s="909">
        <f>$A8259*S8259*$T$1</f>
        <v>0</v>
      </c>
      <c r="AR8259" s="903">
        <v>8</v>
      </c>
      <c r="AS8259" s="904" t="s">
        <v>3507</v>
      </c>
    </row>
    <row r="8260" spans="1:45" s="520" customFormat="1" ht="12">
      <c r="A8260" s="758"/>
      <c r="B8260" s="758"/>
      <c r="C8260" s="758"/>
      <c r="D8260" s="758"/>
      <c r="E8260" s="758"/>
      <c r="F8260" s="753"/>
      <c r="G8260" s="758"/>
      <c r="H8260" s="758"/>
      <c r="I8260" s="519"/>
      <c r="J8260" s="758"/>
      <c r="K8260" s="758"/>
      <c r="L8260" s="758"/>
      <c r="M8260" s="758"/>
      <c r="N8260" s="758"/>
      <c r="O8260" s="758"/>
      <c r="P8260" s="758"/>
      <c r="Q8260" s="519"/>
      <c r="R8260" s="759">
        <f>$A8260*Q8260</f>
        <v>0</v>
      </c>
      <c r="S8260" s="519"/>
      <c r="T8260" s="760">
        <f>$A8260*S8260*$T$1</f>
        <v>0</v>
      </c>
      <c r="AR8260" s="758"/>
      <c r="AS8260" s="753"/>
    </row>
    <row r="8261" spans="1:45" s="520" customFormat="1" ht="12.6" thickBot="1">
      <c r="A8261" s="761" t="s">
        <v>145</v>
      </c>
      <c r="B8261" s="762">
        <f>(R8260+T8260)</f>
        <v>0</v>
      </c>
      <c r="C8261" s="763"/>
      <c r="D8261" s="763"/>
      <c r="E8261" s="763"/>
      <c r="F8261" s="764"/>
      <c r="G8261" s="763" t="s">
        <v>146</v>
      </c>
      <c r="H8261" s="763"/>
      <c r="I8261" s="765"/>
      <c r="J8261" s="763"/>
      <c r="K8261" s="763" t="s">
        <v>5</v>
      </c>
      <c r="L8261" s="766" t="s">
        <v>143</v>
      </c>
      <c r="M8261" s="766"/>
      <c r="N8261" s="766"/>
      <c r="O8261" s="766"/>
      <c r="P8261" s="766"/>
      <c r="Q8261" s="767"/>
      <c r="R8261" s="768">
        <f>SUM(R8258:R8260)</f>
        <v>261.89999999999998</v>
      </c>
      <c r="S8261" s="763"/>
      <c r="T8261" s="768">
        <f>SUM(T8258:T8260)</f>
        <v>0</v>
      </c>
      <c r="U8261" s="531"/>
      <c r="V8261" s="531"/>
      <c r="W8261" s="531"/>
      <c r="X8261" s="531"/>
      <c r="Y8261" s="531"/>
      <c r="Z8261" s="531"/>
      <c r="AA8261" s="531"/>
      <c r="AB8261" s="531"/>
      <c r="AC8261" s="531"/>
      <c r="AD8261" s="531"/>
      <c r="AE8261" s="531"/>
      <c r="AF8261" s="531"/>
      <c r="AG8261" s="531"/>
      <c r="AH8261" s="531"/>
      <c r="AI8261" s="531"/>
      <c r="AJ8261" s="531"/>
      <c r="AK8261" s="531"/>
      <c r="AL8261" s="531"/>
      <c r="AM8261" s="531"/>
      <c r="AN8261" s="531"/>
      <c r="AO8261" s="531"/>
      <c r="AR8261" s="761" t="s">
        <v>145</v>
      </c>
      <c r="AS8261" s="764"/>
    </row>
    <row r="8262" spans="1:45" s="520" customFormat="1" ht="12" thickTop="1">
      <c r="A8262" s="51"/>
      <c r="B8262" s="41"/>
      <c r="C8262" s="51"/>
      <c r="E8262" s="42" t="s">
        <v>138</v>
      </c>
      <c r="F8262" s="42" t="s">
        <v>139</v>
      </c>
      <c r="G8262" s="51"/>
      <c r="H8262" s="51"/>
      <c r="I8262" s="51"/>
      <c r="J8262" s="51"/>
      <c r="K8262" s="51" t="s">
        <v>140</v>
      </c>
      <c r="L8262" s="51"/>
      <c r="M8262" s="51"/>
      <c r="N8262" s="51"/>
      <c r="O8262" s="52"/>
      <c r="P8262" s="51"/>
      <c r="Q8262" s="51"/>
      <c r="R8262" s="51"/>
      <c r="S8262" s="51"/>
      <c r="T8262" s="41"/>
      <c r="AG8262" s="521" t="s">
        <v>268</v>
      </c>
      <c r="AH8262" s="521" t="s">
        <v>269</v>
      </c>
      <c r="AI8262" s="521" t="s">
        <v>270</v>
      </c>
      <c r="AJ8262" s="521" t="s">
        <v>271</v>
      </c>
      <c r="AK8262" s="521" t="s">
        <v>272</v>
      </c>
      <c r="AM8262" s="745" t="s">
        <v>281</v>
      </c>
      <c r="AN8262" s="746" t="s">
        <v>282</v>
      </c>
      <c r="AO8262" s="522" t="s">
        <v>278</v>
      </c>
      <c r="AR8262" s="51"/>
      <c r="AS8262" s="42" t="s">
        <v>139</v>
      </c>
    </row>
    <row r="8263" spans="1:45" s="520" customFormat="1" ht="12" customHeight="1">
      <c r="A8263" s="747">
        <v>2</v>
      </c>
      <c r="B8263" s="523" t="s">
        <v>141</v>
      </c>
      <c r="C8263" s="748"/>
      <c r="D8263" s="749" t="s">
        <v>2291</v>
      </c>
      <c r="E8263" s="1145">
        <f>IF(AND($A8263=0,$A$1="DIF"),0, ROUND(ROUND(($R8267*$S$3+($T8267*$T$3))/$A8263,2)*$C$3,2))</f>
        <v>36.950000000000003</v>
      </c>
      <c r="F8263" s="1146">
        <f>ROUND($A8263*$E8263,2)</f>
        <v>73.900000000000006</v>
      </c>
      <c r="G8263" s="752" t="s">
        <v>142</v>
      </c>
      <c r="H8263" s="753"/>
      <c r="I8263" s="754"/>
      <c r="J8263" s="753"/>
      <c r="K8263" s="753" t="s">
        <v>5</v>
      </c>
      <c r="L8263" s="755" t="s">
        <v>143</v>
      </c>
      <c r="M8263" s="755"/>
      <c r="N8263" s="755"/>
      <c r="O8263" s="755"/>
      <c r="P8263" s="755"/>
      <c r="Q8263" s="51"/>
      <c r="T8263" s="1150" t="str">
        <f>IF(AND($R8267=0,$T8267=0),"0.00","mu: "&amp; ROUND(F8263/$C$3/($R8267+$T8267*$D$9),2))</f>
        <v>mu: 1.13</v>
      </c>
      <c r="W8263" s="524"/>
      <c r="AG8263" s="1147">
        <f>IF($E8263=0,0,ROUND($R8267*$S$3*$C$3/$A8263,2))</f>
        <v>36.950000000000003</v>
      </c>
      <c r="AH8263" s="1147">
        <f>$AG8263*$A8263</f>
        <v>73.900000000000006</v>
      </c>
      <c r="AI8263" s="1148">
        <f>$E8263-$AG8263</f>
        <v>0</v>
      </c>
      <c r="AJ8263" s="1148">
        <f>$A8263*$AI8263</f>
        <v>0</v>
      </c>
      <c r="AK8263" s="1149">
        <f>ROUND(($AG8263+$AI8263)*$A8263,2)</f>
        <v>73.900000000000006</v>
      </c>
      <c r="AM8263" s="527">
        <f>ROUND(R8267,2)</f>
        <v>65.48</v>
      </c>
      <c r="AN8263" s="528">
        <f>ROUND(T8267,2)</f>
        <v>0</v>
      </c>
      <c r="AO8263" s="529">
        <f>ROUND(AM8263+AN8263,2)*A8263</f>
        <v>130.96</v>
      </c>
      <c r="AR8263" s="747">
        <v>2</v>
      </c>
      <c r="AS8263" s="1146">
        <v>80.42</v>
      </c>
    </row>
    <row r="8264" spans="1:45" s="520" customFormat="1" ht="13.2">
      <c r="A8264" s="748"/>
      <c r="B8264"/>
      <c r="C8264" s="748"/>
      <c r="D8264" s="749" t="s">
        <v>2065</v>
      </c>
      <c r="F8264" s="753"/>
      <c r="G8264" s="3"/>
      <c r="H8264" s="753"/>
      <c r="I8264" s="754"/>
      <c r="J8264" s="753"/>
      <c r="K8264" s="753" t="s">
        <v>144</v>
      </c>
      <c r="L8264" s="753"/>
      <c r="M8264" s="753"/>
      <c r="N8264" s="753"/>
      <c r="O8264" s="753"/>
      <c r="P8264" s="753"/>
      <c r="Q8264" s="51"/>
      <c r="R8264" s="530"/>
      <c r="S8264" s="757"/>
      <c r="T8264" s="753"/>
      <c r="AR8264" s="748"/>
      <c r="AS8264" s="753"/>
    </row>
    <row r="8265" spans="1:45" s="901" customFormat="1" ht="13.2">
      <c r="A8265" s="903">
        <v>2</v>
      </c>
      <c r="B8265" s="904" t="s">
        <v>863</v>
      </c>
      <c r="C8265" s="904"/>
      <c r="D8265" s="904" t="s">
        <v>2594</v>
      </c>
      <c r="E8265" s="904"/>
      <c r="F8265" s="904" t="s">
        <v>4128</v>
      </c>
      <c r="G8265" s="905" t="s">
        <v>2595</v>
      </c>
      <c r="H8265" s="902">
        <v>960</v>
      </c>
      <c r="I8265" s="904" t="s">
        <v>2596</v>
      </c>
      <c r="J8265" s="904"/>
      <c r="K8265" s="904"/>
      <c r="L8265" s="904"/>
      <c r="M8265" s="904"/>
      <c r="N8265" s="904"/>
      <c r="O8265" s="902">
        <v>4</v>
      </c>
      <c r="P8265" s="906">
        <v>38274</v>
      </c>
      <c r="Q8265" s="1415">
        <f>37.5*0.873</f>
        <v>32.737499999999997</v>
      </c>
      <c r="R8265" s="908">
        <f>$A8265*Q8265</f>
        <v>65.474999999999994</v>
      </c>
      <c r="S8265" s="907"/>
      <c r="T8265" s="909">
        <f>$A8265*S8265*$T$1</f>
        <v>0</v>
      </c>
      <c r="AR8265" s="903">
        <v>2</v>
      </c>
      <c r="AS8265" s="904" t="s">
        <v>3507</v>
      </c>
    </row>
    <row r="8266" spans="1:45" s="520" customFormat="1" ht="12">
      <c r="A8266" s="758"/>
      <c r="B8266" s="758"/>
      <c r="C8266" s="758"/>
      <c r="D8266" s="758"/>
      <c r="E8266" s="758"/>
      <c r="F8266" s="753"/>
      <c r="G8266" s="758"/>
      <c r="H8266" s="758"/>
      <c r="I8266" s="519"/>
      <c r="J8266" s="758"/>
      <c r="K8266" s="758"/>
      <c r="L8266" s="758"/>
      <c r="M8266" s="758"/>
      <c r="N8266" s="758"/>
      <c r="O8266" s="758"/>
      <c r="P8266" s="758"/>
      <c r="Q8266" s="519"/>
      <c r="R8266" s="759">
        <f>$A8266*Q8266</f>
        <v>0</v>
      </c>
      <c r="S8266" s="519"/>
      <c r="T8266" s="760">
        <f>$A8266*S8266*$T$1</f>
        <v>0</v>
      </c>
      <c r="AR8266" s="758"/>
      <c r="AS8266" s="753"/>
    </row>
    <row r="8267" spans="1:45" s="520" customFormat="1" ht="12.6" thickBot="1">
      <c r="A8267" s="761" t="s">
        <v>145</v>
      </c>
      <c r="B8267" s="762">
        <f>(R8266+T8266)</f>
        <v>0</v>
      </c>
      <c r="C8267" s="763"/>
      <c r="D8267" s="763"/>
      <c r="E8267" s="763"/>
      <c r="F8267" s="764"/>
      <c r="G8267" s="763" t="s">
        <v>146</v>
      </c>
      <c r="H8267" s="763"/>
      <c r="I8267" s="765"/>
      <c r="J8267" s="763"/>
      <c r="K8267" s="763" t="s">
        <v>5</v>
      </c>
      <c r="L8267" s="766" t="s">
        <v>143</v>
      </c>
      <c r="M8267" s="766"/>
      <c r="N8267" s="766"/>
      <c r="O8267" s="766"/>
      <c r="P8267" s="766"/>
      <c r="Q8267" s="767"/>
      <c r="R8267" s="768">
        <f>SUM(R8264:R8266)</f>
        <v>65.474999999999994</v>
      </c>
      <c r="S8267" s="763"/>
      <c r="T8267" s="768">
        <f>SUM(T8264:T8266)</f>
        <v>0</v>
      </c>
      <c r="U8267" s="531"/>
      <c r="V8267" s="531"/>
      <c r="W8267" s="531"/>
      <c r="X8267" s="531"/>
      <c r="Y8267" s="531"/>
      <c r="Z8267" s="531"/>
      <c r="AA8267" s="531"/>
      <c r="AB8267" s="531"/>
      <c r="AC8267" s="531"/>
      <c r="AD8267" s="531"/>
      <c r="AE8267" s="531"/>
      <c r="AF8267" s="531"/>
      <c r="AG8267" s="531"/>
      <c r="AH8267" s="531"/>
      <c r="AI8267" s="531"/>
      <c r="AJ8267" s="531"/>
      <c r="AK8267" s="531"/>
      <c r="AL8267" s="531"/>
      <c r="AM8267" s="531"/>
      <c r="AN8267" s="531"/>
      <c r="AO8267" s="531"/>
      <c r="AR8267" s="761" t="s">
        <v>145</v>
      </c>
      <c r="AS8267" s="764"/>
    </row>
    <row r="8268" spans="1:45" s="520" customFormat="1" ht="12" thickTop="1">
      <c r="A8268" s="51"/>
      <c r="B8268" s="41"/>
      <c r="C8268" s="51"/>
      <c r="E8268" s="42" t="s">
        <v>138</v>
      </c>
      <c r="F8268" s="42" t="s">
        <v>139</v>
      </c>
      <c r="G8268" s="51"/>
      <c r="H8268" s="51"/>
      <c r="I8268" s="51"/>
      <c r="J8268" s="51"/>
      <c r="K8268" s="51" t="s">
        <v>140</v>
      </c>
      <c r="L8268" s="51"/>
      <c r="M8268" s="51"/>
      <c r="N8268" s="51"/>
      <c r="O8268" s="52"/>
      <c r="P8268" s="51"/>
      <c r="Q8268" s="51"/>
      <c r="R8268" s="51"/>
      <c r="S8268" s="51"/>
      <c r="T8268" s="41"/>
      <c r="AG8268" s="521" t="s">
        <v>268</v>
      </c>
      <c r="AH8268" s="521" t="s">
        <v>269</v>
      </c>
      <c r="AI8268" s="521" t="s">
        <v>270</v>
      </c>
      <c r="AJ8268" s="521" t="s">
        <v>271</v>
      </c>
      <c r="AK8268" s="521" t="s">
        <v>272</v>
      </c>
      <c r="AM8268" s="745" t="s">
        <v>281</v>
      </c>
      <c r="AN8268" s="746" t="s">
        <v>282</v>
      </c>
      <c r="AO8268" s="522" t="s">
        <v>278</v>
      </c>
      <c r="AR8268" s="51"/>
      <c r="AS8268" s="42" t="s">
        <v>139</v>
      </c>
    </row>
    <row r="8269" spans="1:45" s="520" customFormat="1" ht="12" customHeight="1">
      <c r="A8269" s="747">
        <v>1</v>
      </c>
      <c r="B8269" s="523" t="s">
        <v>141</v>
      </c>
      <c r="C8269" s="748"/>
      <c r="D8269" s="749" t="s">
        <v>2292</v>
      </c>
      <c r="E8269" s="1145">
        <f>IF(AND($A8269=0,$A$1="DIF"),0, ROUND(ROUND(($R8273*$S$3+($T8273*$T$3))/$A8269,2)*$C$3,2))</f>
        <v>36.950000000000003</v>
      </c>
      <c r="F8269" s="1146">
        <f>ROUND($A8269*$E8269,2)</f>
        <v>36.950000000000003</v>
      </c>
      <c r="G8269" s="752" t="s">
        <v>142</v>
      </c>
      <c r="H8269" s="753"/>
      <c r="I8269" s="754"/>
      <c r="J8269" s="753"/>
      <c r="K8269" s="753" t="s">
        <v>5</v>
      </c>
      <c r="L8269" s="755" t="s">
        <v>143</v>
      </c>
      <c r="M8269" s="755"/>
      <c r="N8269" s="755"/>
      <c r="O8269" s="755"/>
      <c r="P8269" s="755"/>
      <c r="Q8269" s="51"/>
      <c r="T8269" s="1150" t="str">
        <f>IF(AND($R8273=0,$T8273=0),"0.00","mu: "&amp; ROUND(F8269/$C$3/($R8273+$T8273*$D$9),2))</f>
        <v>mu: 1.13</v>
      </c>
      <c r="W8269" s="524"/>
      <c r="AG8269" s="1147">
        <f>IF($E8269=0,0,ROUND($R8273*$S$3*$C$3/$A8269,2))</f>
        <v>36.950000000000003</v>
      </c>
      <c r="AH8269" s="1147">
        <f>$AG8269*$A8269</f>
        <v>36.950000000000003</v>
      </c>
      <c r="AI8269" s="1148">
        <f>$E8269-$AG8269</f>
        <v>0</v>
      </c>
      <c r="AJ8269" s="1148">
        <f>$A8269*$AI8269</f>
        <v>0</v>
      </c>
      <c r="AK8269" s="1149">
        <f>ROUND(($AG8269+$AI8269)*$A8269,2)</f>
        <v>36.950000000000003</v>
      </c>
      <c r="AM8269" s="527">
        <f>ROUND(R8273,2)</f>
        <v>32.74</v>
      </c>
      <c r="AN8269" s="528">
        <f>ROUND(T8273,2)</f>
        <v>0</v>
      </c>
      <c r="AO8269" s="529">
        <f>ROUND(AM8269+AN8269,2)*A8269</f>
        <v>32.74</v>
      </c>
      <c r="AR8269" s="747">
        <v>1</v>
      </c>
      <c r="AS8269" s="1146">
        <v>40.21</v>
      </c>
    </row>
    <row r="8270" spans="1:45" s="520" customFormat="1" ht="13.2">
      <c r="A8270" s="748"/>
      <c r="B8270"/>
      <c r="C8270" s="748"/>
      <c r="D8270" s="749" t="s">
        <v>2066</v>
      </c>
      <c r="F8270" s="753"/>
      <c r="G8270" s="3"/>
      <c r="H8270" s="753"/>
      <c r="I8270" s="754"/>
      <c r="J8270" s="753"/>
      <c r="K8270" s="753" t="s">
        <v>144</v>
      </c>
      <c r="L8270" s="753"/>
      <c r="M8270" s="753"/>
      <c r="N8270" s="753"/>
      <c r="O8270" s="753"/>
      <c r="P8270" s="753"/>
      <c r="Q8270" s="51"/>
      <c r="R8270" s="530"/>
      <c r="S8270" s="757"/>
      <c r="T8270" s="753"/>
      <c r="AR8270" s="748"/>
      <c r="AS8270" s="753"/>
    </row>
    <row r="8271" spans="1:45" s="901" customFormat="1" ht="13.2">
      <c r="A8271" s="903">
        <v>1</v>
      </c>
      <c r="B8271" s="904" t="s">
        <v>863</v>
      </c>
      <c r="C8271" s="904"/>
      <c r="D8271" s="904" t="s">
        <v>2594</v>
      </c>
      <c r="E8271" s="904"/>
      <c r="F8271" s="904" t="s">
        <v>4128</v>
      </c>
      <c r="G8271" s="905" t="s">
        <v>2595</v>
      </c>
      <c r="H8271" s="902">
        <v>960</v>
      </c>
      <c r="I8271" s="904" t="s">
        <v>2596</v>
      </c>
      <c r="J8271" s="904"/>
      <c r="K8271" s="904"/>
      <c r="L8271" s="904"/>
      <c r="M8271" s="904"/>
      <c r="N8271" s="904"/>
      <c r="O8271" s="902">
        <v>4</v>
      </c>
      <c r="P8271" s="906">
        <v>38274</v>
      </c>
      <c r="Q8271" s="1415">
        <f>37.5*0.873</f>
        <v>32.737499999999997</v>
      </c>
      <c r="R8271" s="908">
        <f>$A8271*Q8271</f>
        <v>32.737499999999997</v>
      </c>
      <c r="S8271" s="907"/>
      <c r="T8271" s="909">
        <f>$A8271*S8271*$T$1</f>
        <v>0</v>
      </c>
      <c r="AR8271" s="903">
        <v>1</v>
      </c>
      <c r="AS8271" s="904" t="s">
        <v>3507</v>
      </c>
    </row>
    <row r="8272" spans="1:45" s="520" customFormat="1" ht="12">
      <c r="A8272" s="758"/>
      <c r="B8272" s="758"/>
      <c r="C8272" s="758"/>
      <c r="D8272" s="758"/>
      <c r="E8272" s="758"/>
      <c r="F8272" s="753"/>
      <c r="G8272" s="758"/>
      <c r="H8272" s="758"/>
      <c r="I8272" s="519"/>
      <c r="J8272" s="758"/>
      <c r="K8272" s="758"/>
      <c r="L8272" s="758"/>
      <c r="M8272" s="758"/>
      <c r="N8272" s="758"/>
      <c r="O8272" s="758"/>
      <c r="P8272" s="758"/>
      <c r="Q8272" s="519"/>
      <c r="R8272" s="759">
        <f>$A8272*Q8272</f>
        <v>0</v>
      </c>
      <c r="S8272" s="519"/>
      <c r="T8272" s="760">
        <f>$A8272*S8272*$T$1</f>
        <v>0</v>
      </c>
      <c r="AR8272" s="758"/>
      <c r="AS8272" s="753"/>
    </row>
    <row r="8273" spans="1:45" s="520" customFormat="1" ht="12.6" thickBot="1">
      <c r="A8273" s="761" t="s">
        <v>145</v>
      </c>
      <c r="B8273" s="762">
        <f>(R8272+T8272)</f>
        <v>0</v>
      </c>
      <c r="C8273" s="763"/>
      <c r="D8273" s="763"/>
      <c r="E8273" s="763"/>
      <c r="F8273" s="764"/>
      <c r="G8273" s="763" t="s">
        <v>146</v>
      </c>
      <c r="H8273" s="763"/>
      <c r="I8273" s="765"/>
      <c r="J8273" s="763"/>
      <c r="K8273" s="763" t="s">
        <v>5</v>
      </c>
      <c r="L8273" s="766" t="s">
        <v>143</v>
      </c>
      <c r="M8273" s="766"/>
      <c r="N8273" s="766"/>
      <c r="O8273" s="766"/>
      <c r="P8273" s="766"/>
      <c r="Q8273" s="767"/>
      <c r="R8273" s="768">
        <f>SUM(R8270:R8272)</f>
        <v>32.737499999999997</v>
      </c>
      <c r="S8273" s="763"/>
      <c r="T8273" s="768">
        <f>SUM(T8270:T8272)</f>
        <v>0</v>
      </c>
      <c r="U8273" s="531"/>
      <c r="V8273" s="531"/>
      <c r="W8273" s="531"/>
      <c r="X8273" s="531"/>
      <c r="Y8273" s="531"/>
      <c r="Z8273" s="531"/>
      <c r="AA8273" s="531"/>
      <c r="AB8273" s="531"/>
      <c r="AC8273" s="531"/>
      <c r="AD8273" s="531"/>
      <c r="AE8273" s="531"/>
      <c r="AF8273" s="531"/>
      <c r="AG8273" s="531"/>
      <c r="AH8273" s="531"/>
      <c r="AI8273" s="531"/>
      <c r="AJ8273" s="531"/>
      <c r="AK8273" s="531"/>
      <c r="AL8273" s="531"/>
      <c r="AM8273" s="531"/>
      <c r="AN8273" s="531"/>
      <c r="AO8273" s="531"/>
      <c r="AR8273" s="761" t="s">
        <v>145</v>
      </c>
      <c r="AS8273" s="764"/>
    </row>
    <row r="8274" spans="1:45" s="520" customFormat="1" ht="12" thickTop="1">
      <c r="A8274" s="51"/>
      <c r="B8274" s="41"/>
      <c r="C8274" s="51"/>
      <c r="E8274" s="42" t="s">
        <v>138</v>
      </c>
      <c r="F8274" s="42" t="s">
        <v>139</v>
      </c>
      <c r="G8274" s="51"/>
      <c r="H8274" s="51"/>
      <c r="I8274" s="51"/>
      <c r="J8274" s="51"/>
      <c r="K8274" s="51" t="s">
        <v>140</v>
      </c>
      <c r="L8274" s="51"/>
      <c r="M8274" s="51"/>
      <c r="N8274" s="51"/>
      <c r="O8274" s="52"/>
      <c r="P8274" s="51"/>
      <c r="Q8274" s="51"/>
      <c r="R8274" s="51"/>
      <c r="S8274" s="51"/>
      <c r="T8274" s="41"/>
      <c r="AG8274" s="521" t="s">
        <v>268</v>
      </c>
      <c r="AH8274" s="521" t="s">
        <v>269</v>
      </c>
      <c r="AI8274" s="521" t="s">
        <v>270</v>
      </c>
      <c r="AJ8274" s="521" t="s">
        <v>271</v>
      </c>
      <c r="AK8274" s="521" t="s">
        <v>272</v>
      </c>
      <c r="AM8274" s="745" t="s">
        <v>281</v>
      </c>
      <c r="AN8274" s="746" t="s">
        <v>282</v>
      </c>
      <c r="AO8274" s="522" t="s">
        <v>278</v>
      </c>
      <c r="AR8274" s="51"/>
      <c r="AS8274" s="42" t="s">
        <v>139</v>
      </c>
    </row>
    <row r="8275" spans="1:45" s="520" customFormat="1" ht="12" customHeight="1">
      <c r="A8275" s="747">
        <v>3</v>
      </c>
      <c r="B8275" s="523" t="s">
        <v>141</v>
      </c>
      <c r="C8275" s="748"/>
      <c r="D8275" s="749" t="s">
        <v>2293</v>
      </c>
      <c r="E8275" s="1145">
        <f>IF(AND($A8275=0,$A$1="DIF"),0, ROUND(ROUND(($R8279*$S$3+($T8279*$T$3))/$A8275,2)*$C$3,2))</f>
        <v>36.950000000000003</v>
      </c>
      <c r="F8275" s="1146">
        <f>ROUND($A8275*$E8275,2)</f>
        <v>110.85</v>
      </c>
      <c r="G8275" s="752" t="s">
        <v>142</v>
      </c>
      <c r="H8275" s="753"/>
      <c r="I8275" s="754"/>
      <c r="J8275" s="753"/>
      <c r="K8275" s="753" t="s">
        <v>5</v>
      </c>
      <c r="L8275" s="755" t="s">
        <v>143</v>
      </c>
      <c r="M8275" s="755"/>
      <c r="N8275" s="755"/>
      <c r="O8275" s="755"/>
      <c r="P8275" s="755"/>
      <c r="Q8275" s="51"/>
      <c r="T8275" s="1150" t="str">
        <f>IF(AND($R8279=0,$T8279=0),"0.00","mu: "&amp; ROUND(F8275/$C$3/($R8279+$T8279*$D$9),2))</f>
        <v>mu: 1.13</v>
      </c>
      <c r="W8275" s="524"/>
      <c r="AG8275" s="1147">
        <f>IF($E8275=0,0,ROUND($R8279*$S$3*$C$3/$A8275,2))</f>
        <v>36.950000000000003</v>
      </c>
      <c r="AH8275" s="1147">
        <f>$AG8275*$A8275</f>
        <v>110.85000000000001</v>
      </c>
      <c r="AI8275" s="1148">
        <f>$E8275-$AG8275</f>
        <v>0</v>
      </c>
      <c r="AJ8275" s="1148">
        <f>$A8275*$AI8275</f>
        <v>0</v>
      </c>
      <c r="AK8275" s="1149">
        <f>ROUND(($AG8275+$AI8275)*$A8275,2)</f>
        <v>110.85</v>
      </c>
      <c r="AM8275" s="527">
        <f>ROUND(R8279,2)</f>
        <v>98.21</v>
      </c>
      <c r="AN8275" s="528">
        <f>ROUND(T8279,2)</f>
        <v>0</v>
      </c>
      <c r="AO8275" s="529">
        <f>ROUND(AM8275+AN8275,2)*A8275</f>
        <v>294.63</v>
      </c>
      <c r="AR8275" s="747">
        <v>3</v>
      </c>
      <c r="AS8275" s="1146">
        <v>120.63</v>
      </c>
    </row>
    <row r="8276" spans="1:45" s="520" customFormat="1" ht="13.2">
      <c r="A8276" s="748"/>
      <c r="B8276"/>
      <c r="C8276" s="748"/>
      <c r="D8276" s="749" t="s">
        <v>2067</v>
      </c>
      <c r="F8276" s="753"/>
      <c r="G8276" s="3"/>
      <c r="H8276" s="753"/>
      <c r="I8276" s="754"/>
      <c r="J8276" s="753"/>
      <c r="K8276" s="753" t="s">
        <v>144</v>
      </c>
      <c r="L8276" s="753"/>
      <c r="M8276" s="753"/>
      <c r="N8276" s="753"/>
      <c r="O8276" s="753"/>
      <c r="P8276" s="753"/>
      <c r="Q8276" s="51"/>
      <c r="R8276" s="530"/>
      <c r="S8276" s="757"/>
      <c r="T8276" s="753"/>
      <c r="AR8276" s="748"/>
      <c r="AS8276" s="753"/>
    </row>
    <row r="8277" spans="1:45" s="901" customFormat="1" ht="13.2">
      <c r="A8277" s="903">
        <v>3</v>
      </c>
      <c r="B8277" s="904" t="s">
        <v>863</v>
      </c>
      <c r="C8277" s="904"/>
      <c r="D8277" s="904" t="s">
        <v>2594</v>
      </c>
      <c r="E8277" s="904"/>
      <c r="F8277" s="904" t="s">
        <v>4128</v>
      </c>
      <c r="G8277" s="905" t="s">
        <v>2595</v>
      </c>
      <c r="H8277" s="902">
        <v>960</v>
      </c>
      <c r="I8277" s="904" t="s">
        <v>2596</v>
      </c>
      <c r="J8277" s="904"/>
      <c r="K8277" s="904"/>
      <c r="L8277" s="904"/>
      <c r="M8277" s="904"/>
      <c r="N8277" s="904"/>
      <c r="O8277" s="902">
        <v>4</v>
      </c>
      <c r="P8277" s="906">
        <v>38274</v>
      </c>
      <c r="Q8277" s="1415">
        <f>37.5*0.873</f>
        <v>32.737499999999997</v>
      </c>
      <c r="R8277" s="908">
        <f>$A8277*Q8277</f>
        <v>98.212499999999991</v>
      </c>
      <c r="S8277" s="907"/>
      <c r="T8277" s="909">
        <f>$A8277*S8277*$T$1</f>
        <v>0</v>
      </c>
      <c r="AR8277" s="903">
        <v>3</v>
      </c>
      <c r="AS8277" s="904" t="s">
        <v>3507</v>
      </c>
    </row>
    <row r="8278" spans="1:45" s="520" customFormat="1" ht="12">
      <c r="A8278" s="758"/>
      <c r="B8278" s="758"/>
      <c r="C8278" s="758"/>
      <c r="D8278" s="758"/>
      <c r="E8278" s="758"/>
      <c r="F8278" s="753"/>
      <c r="G8278" s="758"/>
      <c r="H8278" s="758"/>
      <c r="I8278" s="519"/>
      <c r="J8278" s="758"/>
      <c r="K8278" s="758"/>
      <c r="L8278" s="758"/>
      <c r="M8278" s="758"/>
      <c r="N8278" s="758"/>
      <c r="O8278" s="758"/>
      <c r="P8278" s="758"/>
      <c r="Q8278" s="519"/>
      <c r="R8278" s="759">
        <f>$A8278*Q8278</f>
        <v>0</v>
      </c>
      <c r="S8278" s="519"/>
      <c r="T8278" s="760">
        <f>$A8278*S8278*$T$1</f>
        <v>0</v>
      </c>
      <c r="AR8278" s="758"/>
      <c r="AS8278" s="753"/>
    </row>
    <row r="8279" spans="1:45" s="520" customFormat="1" ht="12.6" thickBot="1">
      <c r="A8279" s="761" t="s">
        <v>145</v>
      </c>
      <c r="B8279" s="762">
        <f>(R8278+T8278)</f>
        <v>0</v>
      </c>
      <c r="C8279" s="763"/>
      <c r="D8279" s="763"/>
      <c r="E8279" s="763"/>
      <c r="F8279" s="764"/>
      <c r="G8279" s="763" t="s">
        <v>146</v>
      </c>
      <c r="H8279" s="763"/>
      <c r="I8279" s="765"/>
      <c r="J8279" s="763"/>
      <c r="K8279" s="763" t="s">
        <v>5</v>
      </c>
      <c r="L8279" s="766" t="s">
        <v>143</v>
      </c>
      <c r="M8279" s="766"/>
      <c r="N8279" s="766"/>
      <c r="O8279" s="766"/>
      <c r="P8279" s="766"/>
      <c r="Q8279" s="767"/>
      <c r="R8279" s="768">
        <f>SUM(R8276:R8278)</f>
        <v>98.212499999999991</v>
      </c>
      <c r="S8279" s="763"/>
      <c r="T8279" s="768">
        <f>SUM(T8276:T8278)</f>
        <v>0</v>
      </c>
      <c r="U8279" s="531"/>
      <c r="V8279" s="531"/>
      <c r="W8279" s="531"/>
      <c r="X8279" s="531"/>
      <c r="Y8279" s="531"/>
      <c r="Z8279" s="531"/>
      <c r="AA8279" s="531"/>
      <c r="AB8279" s="531"/>
      <c r="AC8279" s="531"/>
      <c r="AD8279" s="531"/>
      <c r="AE8279" s="531"/>
      <c r="AF8279" s="531"/>
      <c r="AG8279" s="531"/>
      <c r="AH8279" s="531"/>
      <c r="AI8279" s="531"/>
      <c r="AJ8279" s="531"/>
      <c r="AK8279" s="531"/>
      <c r="AL8279" s="531"/>
      <c r="AM8279" s="531"/>
      <c r="AN8279" s="531"/>
      <c r="AO8279" s="531"/>
      <c r="AR8279" s="761" t="s">
        <v>145</v>
      </c>
      <c r="AS8279" s="764"/>
    </row>
    <row r="8280" spans="1:45" s="520" customFormat="1" ht="12" thickTop="1">
      <c r="A8280" s="51"/>
      <c r="B8280" s="41"/>
      <c r="C8280" s="51"/>
      <c r="E8280" s="42" t="s">
        <v>138</v>
      </c>
      <c r="F8280" s="42" t="s">
        <v>139</v>
      </c>
      <c r="G8280" s="51"/>
      <c r="H8280" s="51"/>
      <c r="I8280" s="51"/>
      <c r="J8280" s="51"/>
      <c r="K8280" s="51" t="s">
        <v>140</v>
      </c>
      <c r="L8280" s="51"/>
      <c r="M8280" s="51"/>
      <c r="N8280" s="51"/>
      <c r="O8280" s="52"/>
      <c r="P8280" s="51"/>
      <c r="Q8280" s="51"/>
      <c r="R8280" s="51"/>
      <c r="S8280" s="51"/>
      <c r="T8280" s="41"/>
      <c r="AG8280" s="521" t="s">
        <v>268</v>
      </c>
      <c r="AH8280" s="521" t="s">
        <v>269</v>
      </c>
      <c r="AI8280" s="521" t="s">
        <v>270</v>
      </c>
      <c r="AJ8280" s="521" t="s">
        <v>271</v>
      </c>
      <c r="AK8280" s="521" t="s">
        <v>272</v>
      </c>
      <c r="AM8280" s="745" t="s">
        <v>281</v>
      </c>
      <c r="AN8280" s="746" t="s">
        <v>282</v>
      </c>
      <c r="AO8280" s="522" t="s">
        <v>278</v>
      </c>
      <c r="AR8280" s="51"/>
      <c r="AS8280" s="42" t="s">
        <v>139</v>
      </c>
    </row>
    <row r="8281" spans="1:45" s="520" customFormat="1" ht="12" customHeight="1">
      <c r="A8281" s="747">
        <v>1</v>
      </c>
      <c r="B8281" s="523" t="s">
        <v>141</v>
      </c>
      <c r="C8281" s="748"/>
      <c r="D8281" s="749" t="s">
        <v>2294</v>
      </c>
      <c r="E8281" s="1145">
        <f>IF(AND($A8281=0,$A$1="DIF"),0, ROUND(ROUND(($R8285*$S$3+($T8285*$T$3))/$A8281,2)*$C$3,2))</f>
        <v>36.950000000000003</v>
      </c>
      <c r="F8281" s="1146">
        <f>ROUND($A8281*$E8281,2)</f>
        <v>36.950000000000003</v>
      </c>
      <c r="G8281" s="752" t="s">
        <v>142</v>
      </c>
      <c r="H8281" s="753"/>
      <c r="I8281" s="754"/>
      <c r="J8281" s="753"/>
      <c r="K8281" s="753" t="s">
        <v>5</v>
      </c>
      <c r="L8281" s="755" t="s">
        <v>143</v>
      </c>
      <c r="M8281" s="755"/>
      <c r="N8281" s="755"/>
      <c r="O8281" s="755"/>
      <c r="P8281" s="755"/>
      <c r="Q8281" s="51"/>
      <c r="T8281" s="1150" t="str">
        <f>IF(AND($R8285=0,$T8285=0),"0.00","mu: "&amp; ROUND(F8281/$C$3/($R8285+$T8285*$D$9),2))</f>
        <v>mu: 1.13</v>
      </c>
      <c r="W8281" s="524"/>
      <c r="AG8281" s="1147">
        <f>IF($E8281=0,0,ROUND($R8285*$S$3*$C$3/$A8281,2))</f>
        <v>36.950000000000003</v>
      </c>
      <c r="AH8281" s="1147">
        <f>$AG8281*$A8281</f>
        <v>36.950000000000003</v>
      </c>
      <c r="AI8281" s="1148">
        <f>$E8281-$AG8281</f>
        <v>0</v>
      </c>
      <c r="AJ8281" s="1148">
        <f>$A8281*$AI8281</f>
        <v>0</v>
      </c>
      <c r="AK8281" s="1149">
        <f>ROUND(($AG8281+$AI8281)*$A8281,2)</f>
        <v>36.950000000000003</v>
      </c>
      <c r="AM8281" s="527">
        <f>ROUND(R8285,2)</f>
        <v>32.74</v>
      </c>
      <c r="AN8281" s="528">
        <f>ROUND(T8285,2)</f>
        <v>0</v>
      </c>
      <c r="AO8281" s="529">
        <f>ROUND(AM8281+AN8281,2)*A8281</f>
        <v>32.74</v>
      </c>
      <c r="AR8281" s="747">
        <v>1</v>
      </c>
      <c r="AS8281" s="1146">
        <v>40.21</v>
      </c>
    </row>
    <row r="8282" spans="1:45" s="520" customFormat="1" ht="13.2">
      <c r="A8282" s="748"/>
      <c r="B8282"/>
      <c r="C8282" s="748"/>
      <c r="D8282" s="749" t="s">
        <v>2068</v>
      </c>
      <c r="F8282" s="753"/>
      <c r="G8282" s="3"/>
      <c r="H8282" s="753"/>
      <c r="I8282" s="754"/>
      <c r="J8282" s="753"/>
      <c r="K8282" s="753" t="s">
        <v>144</v>
      </c>
      <c r="L8282" s="753"/>
      <c r="M8282" s="753"/>
      <c r="N8282" s="753"/>
      <c r="O8282" s="753"/>
      <c r="P8282" s="753"/>
      <c r="Q8282" s="51"/>
      <c r="R8282" s="530"/>
      <c r="S8282" s="757"/>
      <c r="T8282" s="753"/>
      <c r="AR8282" s="748"/>
      <c r="AS8282" s="753"/>
    </row>
    <row r="8283" spans="1:45" s="901" customFormat="1" ht="13.2">
      <c r="A8283" s="903">
        <v>1</v>
      </c>
      <c r="B8283" s="904" t="s">
        <v>863</v>
      </c>
      <c r="C8283" s="904"/>
      <c r="D8283" s="904" t="s">
        <v>2594</v>
      </c>
      <c r="E8283" s="904"/>
      <c r="F8283" s="904" t="s">
        <v>4128</v>
      </c>
      <c r="G8283" s="905" t="s">
        <v>2595</v>
      </c>
      <c r="H8283" s="902">
        <v>960</v>
      </c>
      <c r="I8283" s="904" t="s">
        <v>2596</v>
      </c>
      <c r="J8283" s="904"/>
      <c r="K8283" s="904"/>
      <c r="L8283" s="904"/>
      <c r="M8283" s="904"/>
      <c r="N8283" s="904"/>
      <c r="O8283" s="902">
        <v>4</v>
      </c>
      <c r="P8283" s="906">
        <v>38274</v>
      </c>
      <c r="Q8283" s="1415">
        <f>37.5*0.873</f>
        <v>32.737499999999997</v>
      </c>
      <c r="R8283" s="908">
        <f>$A8283*Q8283</f>
        <v>32.737499999999997</v>
      </c>
      <c r="S8283" s="907"/>
      <c r="T8283" s="909">
        <f>$A8283*S8283*$T$1</f>
        <v>0</v>
      </c>
      <c r="AR8283" s="903">
        <v>1</v>
      </c>
      <c r="AS8283" s="904" t="s">
        <v>3507</v>
      </c>
    </row>
    <row r="8284" spans="1:45" s="520" customFormat="1" ht="12">
      <c r="A8284" s="758"/>
      <c r="B8284" s="758"/>
      <c r="C8284" s="758"/>
      <c r="D8284" s="758"/>
      <c r="E8284" s="758"/>
      <c r="F8284" s="753"/>
      <c r="G8284" s="758"/>
      <c r="H8284" s="758"/>
      <c r="I8284" s="519"/>
      <c r="J8284" s="758"/>
      <c r="K8284" s="758"/>
      <c r="L8284" s="758"/>
      <c r="M8284" s="758"/>
      <c r="N8284" s="758"/>
      <c r="O8284" s="758"/>
      <c r="P8284" s="758"/>
      <c r="Q8284" s="519"/>
      <c r="R8284" s="759">
        <f>$A8284*Q8284</f>
        <v>0</v>
      </c>
      <c r="S8284" s="519"/>
      <c r="T8284" s="760">
        <f>$A8284*S8284*$T$1</f>
        <v>0</v>
      </c>
      <c r="AR8284" s="758"/>
      <c r="AS8284" s="753"/>
    </row>
    <row r="8285" spans="1:45" s="520" customFormat="1" ht="12.6" thickBot="1">
      <c r="A8285" s="761" t="s">
        <v>145</v>
      </c>
      <c r="B8285" s="762">
        <f>(R8284+T8284)</f>
        <v>0</v>
      </c>
      <c r="C8285" s="763"/>
      <c r="D8285" s="763"/>
      <c r="E8285" s="763"/>
      <c r="F8285" s="764"/>
      <c r="G8285" s="763" t="s">
        <v>146</v>
      </c>
      <c r="H8285" s="763"/>
      <c r="I8285" s="765"/>
      <c r="J8285" s="763"/>
      <c r="K8285" s="763" t="s">
        <v>5</v>
      </c>
      <c r="L8285" s="766" t="s">
        <v>143</v>
      </c>
      <c r="M8285" s="766"/>
      <c r="N8285" s="766"/>
      <c r="O8285" s="766"/>
      <c r="P8285" s="766"/>
      <c r="Q8285" s="767"/>
      <c r="R8285" s="768">
        <f>SUM(R8282:R8284)</f>
        <v>32.737499999999997</v>
      </c>
      <c r="S8285" s="763"/>
      <c r="T8285" s="768">
        <f>SUM(T8282:T8284)</f>
        <v>0</v>
      </c>
      <c r="U8285" s="531"/>
      <c r="V8285" s="531"/>
      <c r="W8285" s="531"/>
      <c r="X8285" s="531"/>
      <c r="Y8285" s="531"/>
      <c r="Z8285" s="531"/>
      <c r="AA8285" s="531"/>
      <c r="AB8285" s="531"/>
      <c r="AC8285" s="531"/>
      <c r="AD8285" s="531"/>
      <c r="AE8285" s="531"/>
      <c r="AF8285" s="531"/>
      <c r="AG8285" s="531"/>
      <c r="AH8285" s="531"/>
      <c r="AI8285" s="531"/>
      <c r="AJ8285" s="531"/>
      <c r="AK8285" s="531"/>
      <c r="AL8285" s="531"/>
      <c r="AM8285" s="531"/>
      <c r="AN8285" s="531"/>
      <c r="AO8285" s="531"/>
      <c r="AR8285" s="761" t="s">
        <v>145</v>
      </c>
      <c r="AS8285" s="764"/>
    </row>
    <row r="8286" spans="1:45" s="520" customFormat="1" ht="12" thickTop="1">
      <c r="A8286" s="51"/>
      <c r="B8286" s="41"/>
      <c r="C8286" s="51"/>
      <c r="E8286" s="42" t="s">
        <v>138</v>
      </c>
      <c r="F8286" s="42" t="s">
        <v>139</v>
      </c>
      <c r="G8286" s="51"/>
      <c r="H8286" s="51"/>
      <c r="I8286" s="51"/>
      <c r="J8286" s="51"/>
      <c r="K8286" s="51" t="s">
        <v>140</v>
      </c>
      <c r="L8286" s="51"/>
      <c r="M8286" s="51"/>
      <c r="N8286" s="51"/>
      <c r="O8286" s="52"/>
      <c r="P8286" s="51"/>
      <c r="Q8286" s="51"/>
      <c r="R8286" s="51"/>
      <c r="S8286" s="51"/>
      <c r="T8286" s="41"/>
      <c r="AG8286" s="521" t="s">
        <v>268</v>
      </c>
      <c r="AH8286" s="521" t="s">
        <v>269</v>
      </c>
      <c r="AI8286" s="521" t="s">
        <v>270</v>
      </c>
      <c r="AJ8286" s="521" t="s">
        <v>271</v>
      </c>
      <c r="AK8286" s="521" t="s">
        <v>272</v>
      </c>
      <c r="AM8286" s="745" t="s">
        <v>281</v>
      </c>
      <c r="AN8286" s="746" t="s">
        <v>282</v>
      </c>
      <c r="AO8286" s="522" t="s">
        <v>278</v>
      </c>
      <c r="AR8286" s="51"/>
      <c r="AS8286" s="42" t="s">
        <v>139</v>
      </c>
    </row>
    <row r="8287" spans="1:45" s="520" customFormat="1" ht="12" customHeight="1">
      <c r="A8287" s="747">
        <v>1</v>
      </c>
      <c r="B8287" s="523" t="s">
        <v>141</v>
      </c>
      <c r="C8287" s="748"/>
      <c r="D8287" s="749" t="s">
        <v>2295</v>
      </c>
      <c r="E8287" s="1145">
        <f>IF(AND($A8287=0,$A$1="DIF"),0, ROUND(ROUND(($R8291*$S$3+($T8291*$T$3))/$A8287,2)*$C$3,2))</f>
        <v>36.950000000000003</v>
      </c>
      <c r="F8287" s="1146">
        <f>ROUND($A8287*$E8287,2)</f>
        <v>36.950000000000003</v>
      </c>
      <c r="G8287" s="752" t="s">
        <v>142</v>
      </c>
      <c r="H8287" s="753"/>
      <c r="I8287" s="754"/>
      <c r="J8287" s="753"/>
      <c r="K8287" s="753" t="s">
        <v>5</v>
      </c>
      <c r="L8287" s="755" t="s">
        <v>143</v>
      </c>
      <c r="M8287" s="755"/>
      <c r="N8287" s="755"/>
      <c r="O8287" s="755"/>
      <c r="P8287" s="755"/>
      <c r="Q8287" s="51"/>
      <c r="T8287" s="1150" t="str">
        <f>IF(AND($R8291=0,$T8291=0),"0.00","mu: "&amp; ROUND(F8287/$C$3/($R8291+$T8291*$D$9),2))</f>
        <v>mu: 1.13</v>
      </c>
      <c r="W8287" s="524"/>
      <c r="AG8287" s="1147">
        <f>IF($E8287=0,0,ROUND($R8291*$S$3*$C$3/$A8287,2))</f>
        <v>36.950000000000003</v>
      </c>
      <c r="AH8287" s="1147">
        <f>$AG8287*$A8287</f>
        <v>36.950000000000003</v>
      </c>
      <c r="AI8287" s="1148">
        <f>$E8287-$AG8287</f>
        <v>0</v>
      </c>
      <c r="AJ8287" s="1148">
        <f>$A8287*$AI8287</f>
        <v>0</v>
      </c>
      <c r="AK8287" s="1149">
        <f>ROUND(($AG8287+$AI8287)*$A8287,2)</f>
        <v>36.950000000000003</v>
      </c>
      <c r="AM8287" s="527">
        <f>ROUND(R8291,2)</f>
        <v>32.74</v>
      </c>
      <c r="AN8287" s="528">
        <f>ROUND(T8291,2)</f>
        <v>0</v>
      </c>
      <c r="AO8287" s="529">
        <f>ROUND(AM8287+AN8287,2)*A8287</f>
        <v>32.74</v>
      </c>
      <c r="AR8287" s="747">
        <v>1</v>
      </c>
      <c r="AS8287" s="1146">
        <v>40.21</v>
      </c>
    </row>
    <row r="8288" spans="1:45" s="520" customFormat="1" ht="13.2">
      <c r="A8288" s="748"/>
      <c r="B8288"/>
      <c r="C8288" s="748"/>
      <c r="D8288" s="749" t="s">
        <v>2069</v>
      </c>
      <c r="F8288" s="753"/>
      <c r="G8288" s="3"/>
      <c r="H8288" s="753"/>
      <c r="I8288" s="754"/>
      <c r="J8288" s="753"/>
      <c r="K8288" s="753" t="s">
        <v>144</v>
      </c>
      <c r="L8288" s="753"/>
      <c r="M8288" s="753"/>
      <c r="N8288" s="753"/>
      <c r="O8288" s="753"/>
      <c r="P8288" s="753"/>
      <c r="Q8288" s="51"/>
      <c r="R8288" s="530"/>
      <c r="S8288" s="757"/>
      <c r="T8288" s="753"/>
      <c r="AR8288" s="748"/>
      <c r="AS8288" s="753"/>
    </row>
    <row r="8289" spans="1:45" s="901" customFormat="1" ht="13.2">
      <c r="A8289" s="903">
        <v>1</v>
      </c>
      <c r="B8289" s="904" t="s">
        <v>863</v>
      </c>
      <c r="C8289" s="904"/>
      <c r="D8289" s="904" t="s">
        <v>2594</v>
      </c>
      <c r="E8289" s="904"/>
      <c r="F8289" s="904" t="s">
        <v>4128</v>
      </c>
      <c r="G8289" s="905" t="s">
        <v>2595</v>
      </c>
      <c r="H8289" s="902">
        <v>960</v>
      </c>
      <c r="I8289" s="904" t="s">
        <v>2596</v>
      </c>
      <c r="J8289" s="904"/>
      <c r="K8289" s="904"/>
      <c r="L8289" s="904"/>
      <c r="M8289" s="904"/>
      <c r="N8289" s="904"/>
      <c r="O8289" s="902">
        <v>4</v>
      </c>
      <c r="P8289" s="906">
        <v>38274</v>
      </c>
      <c r="Q8289" s="1415">
        <f>37.5*0.873</f>
        <v>32.737499999999997</v>
      </c>
      <c r="R8289" s="908">
        <f>$A8289*Q8289</f>
        <v>32.737499999999997</v>
      </c>
      <c r="S8289" s="907"/>
      <c r="T8289" s="909">
        <f>$A8289*S8289*$T$1</f>
        <v>0</v>
      </c>
      <c r="AR8289" s="903">
        <v>1</v>
      </c>
      <c r="AS8289" s="904" t="s">
        <v>3507</v>
      </c>
    </row>
    <row r="8290" spans="1:45" s="520" customFormat="1" ht="12">
      <c r="A8290" s="758"/>
      <c r="B8290" s="758"/>
      <c r="C8290" s="758"/>
      <c r="D8290" s="758"/>
      <c r="E8290" s="758"/>
      <c r="F8290" s="753"/>
      <c r="G8290" s="758"/>
      <c r="H8290" s="758"/>
      <c r="I8290" s="519"/>
      <c r="J8290" s="758"/>
      <c r="K8290" s="758"/>
      <c r="L8290" s="758"/>
      <c r="M8290" s="758"/>
      <c r="N8290" s="758"/>
      <c r="O8290" s="758"/>
      <c r="P8290" s="758"/>
      <c r="Q8290" s="519"/>
      <c r="R8290" s="759">
        <f>$A8290*Q8290</f>
        <v>0</v>
      </c>
      <c r="S8290" s="519"/>
      <c r="T8290" s="760">
        <f>$A8290*S8290*$T$1</f>
        <v>0</v>
      </c>
      <c r="AR8290" s="758"/>
      <c r="AS8290" s="753"/>
    </row>
    <row r="8291" spans="1:45" s="520" customFormat="1" ht="12.6" thickBot="1">
      <c r="A8291" s="761" t="s">
        <v>145</v>
      </c>
      <c r="B8291" s="762">
        <f>(R8290+T8290)</f>
        <v>0</v>
      </c>
      <c r="C8291" s="763"/>
      <c r="D8291" s="763"/>
      <c r="E8291" s="763"/>
      <c r="F8291" s="764"/>
      <c r="G8291" s="763" t="s">
        <v>146</v>
      </c>
      <c r="H8291" s="763"/>
      <c r="I8291" s="765"/>
      <c r="J8291" s="763"/>
      <c r="K8291" s="763" t="s">
        <v>5</v>
      </c>
      <c r="L8291" s="766" t="s">
        <v>143</v>
      </c>
      <c r="M8291" s="766"/>
      <c r="N8291" s="766"/>
      <c r="O8291" s="766"/>
      <c r="P8291" s="766"/>
      <c r="Q8291" s="767"/>
      <c r="R8291" s="768">
        <f>SUM(R8288:R8290)</f>
        <v>32.737499999999997</v>
      </c>
      <c r="S8291" s="763"/>
      <c r="T8291" s="768">
        <f>SUM(T8288:T8290)</f>
        <v>0</v>
      </c>
      <c r="U8291" s="531"/>
      <c r="V8291" s="531"/>
      <c r="W8291" s="531"/>
      <c r="X8291" s="531"/>
      <c r="Y8291" s="531"/>
      <c r="Z8291" s="531"/>
      <c r="AA8291" s="531"/>
      <c r="AB8291" s="531"/>
      <c r="AC8291" s="531"/>
      <c r="AD8291" s="531"/>
      <c r="AE8291" s="531"/>
      <c r="AF8291" s="531"/>
      <c r="AG8291" s="531"/>
      <c r="AH8291" s="531"/>
      <c r="AI8291" s="531"/>
      <c r="AJ8291" s="531"/>
      <c r="AK8291" s="531"/>
      <c r="AL8291" s="531"/>
      <c r="AM8291" s="531"/>
      <c r="AN8291" s="531"/>
      <c r="AO8291" s="531"/>
      <c r="AR8291" s="761" t="s">
        <v>145</v>
      </c>
      <c r="AS8291" s="764"/>
    </row>
    <row r="8292" spans="1:45" s="520" customFormat="1" thickTop="1">
      <c r="A8292" s="51"/>
      <c r="B8292" s="51"/>
      <c r="C8292" s="3"/>
      <c r="D8292" s="3"/>
      <c r="E8292" s="51"/>
      <c r="F8292" s="51"/>
      <c r="G8292" s="51"/>
      <c r="H8292" s="51"/>
      <c r="I8292" s="51"/>
      <c r="J8292" s="51"/>
      <c r="K8292" s="51" t="s">
        <v>134</v>
      </c>
      <c r="L8292" s="51"/>
      <c r="M8292" s="51"/>
      <c r="N8292" s="51"/>
      <c r="O8292" s="52"/>
      <c r="P8292" s="51"/>
      <c r="Q8292" s="51"/>
      <c r="R8292" s="51"/>
      <c r="S8292" s="51"/>
      <c r="T8292" s="51"/>
      <c r="AR8292" s="51"/>
      <c r="AS8292" s="51"/>
    </row>
    <row r="8293" spans="1:45" s="520" customFormat="1" ht="12">
      <c r="A8293" s="51"/>
      <c r="B8293" s="51"/>
      <c r="C8293" s="51" t="s">
        <v>135</v>
      </c>
      <c r="D8293" s="37"/>
      <c r="E8293" s="51"/>
      <c r="F8293" s="51"/>
      <c r="G8293" s="51"/>
      <c r="H8293" s="51"/>
      <c r="I8293" s="51"/>
      <c r="J8293" s="51"/>
      <c r="K8293" s="51"/>
      <c r="L8293" s="51"/>
      <c r="M8293" s="51"/>
      <c r="N8293" s="51"/>
      <c r="O8293" s="52"/>
      <c r="P8293" s="51"/>
      <c r="Q8293" s="51"/>
      <c r="R8293" s="51"/>
      <c r="S8293" s="51"/>
      <c r="T8293" s="51"/>
      <c r="AR8293" s="51"/>
      <c r="AS8293" s="51"/>
    </row>
    <row r="8294" spans="1:45" s="520" customFormat="1" ht="12">
      <c r="A8294" s="51"/>
      <c r="B8294" s="51"/>
      <c r="C8294" s="51"/>
      <c r="D8294" s="37" t="s">
        <v>2070</v>
      </c>
      <c r="E8294" s="51"/>
      <c r="F8294" s="51"/>
      <c r="G8294" s="51"/>
      <c r="H8294" s="51"/>
      <c r="I8294" s="51"/>
      <c r="J8294" s="51"/>
      <c r="K8294" s="51"/>
      <c r="L8294" s="51"/>
      <c r="M8294" s="51"/>
      <c r="N8294" s="51"/>
      <c r="O8294" s="52"/>
      <c r="P8294" s="51"/>
      <c r="Q8294" s="51"/>
      <c r="R8294" s="51"/>
      <c r="S8294" s="38"/>
      <c r="T8294" s="38"/>
      <c r="AR8294" s="51"/>
      <c r="AS8294" s="51"/>
    </row>
    <row r="8295" spans="1:45" s="3" customFormat="1" thickBot="1">
      <c r="A8295" s="531"/>
      <c r="O8295" s="107"/>
      <c r="AR8295" s="531"/>
    </row>
    <row r="8296" spans="1:45" s="520" customFormat="1" ht="12" thickTop="1">
      <c r="A8296" s="51"/>
      <c r="B8296" s="41"/>
      <c r="C8296" s="51"/>
      <c r="E8296" s="42" t="s">
        <v>138</v>
      </c>
      <c r="F8296" s="42" t="s">
        <v>139</v>
      </c>
      <c r="G8296" s="51"/>
      <c r="H8296" s="51"/>
      <c r="I8296" s="51"/>
      <c r="J8296" s="51"/>
      <c r="K8296" s="51" t="s">
        <v>140</v>
      </c>
      <c r="L8296" s="51"/>
      <c r="M8296" s="51"/>
      <c r="N8296" s="51"/>
      <c r="O8296" s="52"/>
      <c r="P8296" s="51"/>
      <c r="Q8296" s="51"/>
      <c r="R8296" s="51"/>
      <c r="S8296" s="51"/>
      <c r="T8296" s="41"/>
      <c r="AG8296" s="521" t="s">
        <v>268</v>
      </c>
      <c r="AH8296" s="521" t="s">
        <v>269</v>
      </c>
      <c r="AI8296" s="521" t="s">
        <v>270</v>
      </c>
      <c r="AJ8296" s="521" t="s">
        <v>271</v>
      </c>
      <c r="AK8296" s="521" t="s">
        <v>272</v>
      </c>
      <c r="AM8296" s="745" t="s">
        <v>281</v>
      </c>
      <c r="AN8296" s="746" t="s">
        <v>282</v>
      </c>
      <c r="AO8296" s="522" t="s">
        <v>278</v>
      </c>
      <c r="AR8296" s="51"/>
      <c r="AS8296" s="42" t="s">
        <v>139</v>
      </c>
    </row>
    <row r="8297" spans="1:45" s="520" customFormat="1" ht="12" customHeight="1">
      <c r="A8297" s="747">
        <v>14</v>
      </c>
      <c r="B8297" s="523" t="s">
        <v>141</v>
      </c>
      <c r="C8297" s="748"/>
      <c r="D8297" s="749" t="s">
        <v>2296</v>
      </c>
      <c r="E8297" s="1145">
        <f>IF(AND($A8297=0,$A$1="DIF"),0, ROUND(ROUND(($R8301*$S$3+($T8301*$T$3))/$A8297,2)*$C$3,2))</f>
        <v>52.23</v>
      </c>
      <c r="F8297" s="1146">
        <f>ROUND($A8297*$E8297,2)</f>
        <v>731.22</v>
      </c>
      <c r="G8297" s="752" t="s">
        <v>142</v>
      </c>
      <c r="H8297" s="753"/>
      <c r="I8297" s="754"/>
      <c r="J8297" s="753"/>
      <c r="K8297" s="753" t="s">
        <v>5</v>
      </c>
      <c r="L8297" s="755" t="s">
        <v>143</v>
      </c>
      <c r="M8297" s="755"/>
      <c r="N8297" s="755"/>
      <c r="O8297" s="755"/>
      <c r="P8297" s="755"/>
      <c r="Q8297" s="51"/>
      <c r="T8297" s="1150" t="str">
        <f>IF(AND($R8301=0,$T8301=0),"0.00","mu: "&amp; ROUND(F8297/$C$3/($R8301+$T8301*$D$9),2))</f>
        <v>mu: 1.13</v>
      </c>
      <c r="W8297" s="524"/>
      <c r="AG8297" s="1147">
        <f>IF($E8297=0,0,ROUND($R8301*$S$3*$C$3/$A8297,2))</f>
        <v>52.23</v>
      </c>
      <c r="AH8297" s="1147">
        <f>$AG8297*$A8297</f>
        <v>731.21999999999991</v>
      </c>
      <c r="AI8297" s="1148">
        <f>$E8297-$AG8297</f>
        <v>0</v>
      </c>
      <c r="AJ8297" s="1148">
        <f>$A8297*$AI8297</f>
        <v>0</v>
      </c>
      <c r="AK8297" s="1149">
        <f>ROUND(($AG8297+$AI8297)*$A8297,2)</f>
        <v>731.22</v>
      </c>
      <c r="AM8297" s="527">
        <f>ROUND(R8301,2)</f>
        <v>647.77</v>
      </c>
      <c r="AN8297" s="528">
        <f>ROUND(T8301,2)</f>
        <v>0</v>
      </c>
      <c r="AO8297" s="529">
        <f>ROUND(AM8297+AN8297,2)*A8297</f>
        <v>9068.7799999999988</v>
      </c>
      <c r="AR8297" s="747">
        <v>14</v>
      </c>
      <c r="AS8297" s="1146">
        <v>795.62</v>
      </c>
    </row>
    <row r="8298" spans="1:45" s="520" customFormat="1" ht="13.2">
      <c r="A8298" s="748"/>
      <c r="B8298"/>
      <c r="C8298" s="748"/>
      <c r="D8298" s="749" t="s">
        <v>2061</v>
      </c>
      <c r="F8298" s="753"/>
      <c r="G8298" s="3"/>
      <c r="H8298" s="753"/>
      <c r="I8298" s="754"/>
      <c r="J8298" s="753"/>
      <c r="K8298" s="753" t="s">
        <v>144</v>
      </c>
      <c r="L8298" s="753"/>
      <c r="M8298" s="753"/>
      <c r="N8298" s="753"/>
      <c r="O8298" s="753"/>
      <c r="P8298" s="753"/>
      <c r="Q8298" s="51"/>
      <c r="R8298" s="530"/>
      <c r="S8298" s="757"/>
      <c r="T8298" s="753"/>
      <c r="AR8298" s="748"/>
      <c r="AS8298" s="753"/>
    </row>
    <row r="8299" spans="1:45" s="901" customFormat="1" ht="13.2">
      <c r="A8299" s="903">
        <v>14</v>
      </c>
      <c r="B8299" s="904" t="s">
        <v>863</v>
      </c>
      <c r="C8299" s="904"/>
      <c r="D8299" s="904" t="s">
        <v>2594</v>
      </c>
      <c r="E8299" s="904"/>
      <c r="F8299" s="904" t="s">
        <v>4128</v>
      </c>
      <c r="G8299" s="905" t="s">
        <v>2595</v>
      </c>
      <c r="H8299" s="902">
        <v>960</v>
      </c>
      <c r="I8299" s="904" t="s">
        <v>2596</v>
      </c>
      <c r="J8299" s="904"/>
      <c r="K8299" s="904"/>
      <c r="L8299" s="904"/>
      <c r="M8299" s="904"/>
      <c r="N8299" s="904"/>
      <c r="O8299" s="902">
        <v>4</v>
      </c>
      <c r="P8299" s="906">
        <v>38274</v>
      </c>
      <c r="Q8299" s="1415">
        <f>53*0.873</f>
        <v>46.268999999999998</v>
      </c>
      <c r="R8299" s="908">
        <f>$A8299*Q8299</f>
        <v>647.76599999999996</v>
      </c>
      <c r="S8299" s="907"/>
      <c r="T8299" s="909">
        <f>$A8299*S8299*$T$1</f>
        <v>0</v>
      </c>
      <c r="AR8299" s="903">
        <v>14</v>
      </c>
      <c r="AS8299" s="904" t="s">
        <v>3507</v>
      </c>
    </row>
    <row r="8300" spans="1:45" s="520" customFormat="1" ht="12">
      <c r="A8300" s="758"/>
      <c r="B8300" s="758"/>
      <c r="C8300" s="758"/>
      <c r="D8300" s="758"/>
      <c r="E8300" s="758"/>
      <c r="F8300" s="753"/>
      <c r="G8300" s="758"/>
      <c r="H8300" s="758"/>
      <c r="I8300" s="519"/>
      <c r="J8300" s="758"/>
      <c r="K8300" s="758"/>
      <c r="L8300" s="758"/>
      <c r="M8300" s="758"/>
      <c r="N8300" s="758"/>
      <c r="O8300" s="758"/>
      <c r="P8300" s="758"/>
      <c r="Q8300" s="519"/>
      <c r="R8300" s="759">
        <f>$A8300*Q8300</f>
        <v>0</v>
      </c>
      <c r="S8300" s="519"/>
      <c r="T8300" s="760">
        <f>$A8300*S8300*$T$1</f>
        <v>0</v>
      </c>
      <c r="AR8300" s="758"/>
      <c r="AS8300" s="753"/>
    </row>
    <row r="8301" spans="1:45" s="520" customFormat="1" ht="12.6" thickBot="1">
      <c r="A8301" s="761" t="s">
        <v>145</v>
      </c>
      <c r="B8301" s="762">
        <f>(R8300+T8300)</f>
        <v>0</v>
      </c>
      <c r="C8301" s="763"/>
      <c r="D8301" s="763"/>
      <c r="E8301" s="763"/>
      <c r="F8301" s="764"/>
      <c r="G8301" s="763" t="s">
        <v>146</v>
      </c>
      <c r="H8301" s="763"/>
      <c r="I8301" s="765"/>
      <c r="J8301" s="763"/>
      <c r="K8301" s="763" t="s">
        <v>5</v>
      </c>
      <c r="L8301" s="766" t="s">
        <v>143</v>
      </c>
      <c r="M8301" s="766"/>
      <c r="N8301" s="766"/>
      <c r="O8301" s="766"/>
      <c r="P8301" s="766"/>
      <c r="Q8301" s="767"/>
      <c r="R8301" s="768">
        <f>SUM(R8298:R8300)</f>
        <v>647.76599999999996</v>
      </c>
      <c r="S8301" s="763"/>
      <c r="T8301" s="768">
        <f>SUM(T8298:T8300)</f>
        <v>0</v>
      </c>
      <c r="U8301" s="531"/>
      <c r="V8301" s="531"/>
      <c r="W8301" s="531"/>
      <c r="X8301" s="531"/>
      <c r="Y8301" s="531"/>
      <c r="Z8301" s="531"/>
      <c r="AA8301" s="531"/>
      <c r="AB8301" s="531"/>
      <c r="AC8301" s="531"/>
      <c r="AD8301" s="531"/>
      <c r="AE8301" s="531"/>
      <c r="AF8301" s="531"/>
      <c r="AG8301" s="531"/>
      <c r="AH8301" s="531"/>
      <c r="AI8301" s="531"/>
      <c r="AJ8301" s="531"/>
      <c r="AK8301" s="531"/>
      <c r="AL8301" s="531"/>
      <c r="AM8301" s="531"/>
      <c r="AN8301" s="531"/>
      <c r="AO8301" s="531"/>
      <c r="AR8301" s="761" t="s">
        <v>145</v>
      </c>
      <c r="AS8301" s="764"/>
    </row>
    <row r="8302" spans="1:45" s="520" customFormat="1" ht="12" thickTop="1">
      <c r="A8302" s="51"/>
      <c r="B8302" s="41"/>
      <c r="C8302" s="51"/>
      <c r="E8302" s="42" t="s">
        <v>138</v>
      </c>
      <c r="F8302" s="42" t="s">
        <v>139</v>
      </c>
      <c r="G8302" s="51"/>
      <c r="H8302" s="51"/>
      <c r="I8302" s="51"/>
      <c r="J8302" s="51"/>
      <c r="K8302" s="51" t="s">
        <v>140</v>
      </c>
      <c r="L8302" s="51"/>
      <c r="M8302" s="51"/>
      <c r="N8302" s="51"/>
      <c r="O8302" s="52"/>
      <c r="P8302" s="51"/>
      <c r="Q8302" s="51"/>
      <c r="R8302" s="51"/>
      <c r="S8302" s="51"/>
      <c r="T8302" s="41"/>
      <c r="AG8302" s="521" t="s">
        <v>268</v>
      </c>
      <c r="AH8302" s="521" t="s">
        <v>269</v>
      </c>
      <c r="AI8302" s="521" t="s">
        <v>270</v>
      </c>
      <c r="AJ8302" s="521" t="s">
        <v>271</v>
      </c>
      <c r="AK8302" s="521" t="s">
        <v>272</v>
      </c>
      <c r="AM8302" s="745" t="s">
        <v>281</v>
      </c>
      <c r="AN8302" s="746" t="s">
        <v>282</v>
      </c>
      <c r="AO8302" s="522" t="s">
        <v>278</v>
      </c>
      <c r="AR8302" s="51"/>
      <c r="AS8302" s="42" t="s">
        <v>139</v>
      </c>
    </row>
    <row r="8303" spans="1:45" s="520" customFormat="1" ht="12" customHeight="1">
      <c r="A8303" s="747">
        <v>5</v>
      </c>
      <c r="B8303" s="523" t="s">
        <v>141</v>
      </c>
      <c r="C8303" s="748"/>
      <c r="D8303" s="749" t="s">
        <v>2297</v>
      </c>
      <c r="E8303" s="1145">
        <f>IF(AND($A8303=0,$A$1="DIF"),0, ROUND(ROUND(($R8307*$S$3+($T8307*$T$3))/$A8303,2)*$C$3,2))</f>
        <v>93.61</v>
      </c>
      <c r="F8303" s="1146">
        <f>ROUND($A8303*$E8303,2)</f>
        <v>468.05</v>
      </c>
      <c r="G8303" s="752" t="s">
        <v>142</v>
      </c>
      <c r="H8303" s="753"/>
      <c r="I8303" s="754"/>
      <c r="J8303" s="753"/>
      <c r="K8303" s="753" t="s">
        <v>5</v>
      </c>
      <c r="L8303" s="755" t="s">
        <v>143</v>
      </c>
      <c r="M8303" s="755"/>
      <c r="N8303" s="755"/>
      <c r="O8303" s="755"/>
      <c r="P8303" s="755"/>
      <c r="Q8303" s="51"/>
      <c r="T8303" s="1150" t="str">
        <f>IF(AND($R8307=0,$T8307=0),"0.00","mu: "&amp; ROUND(F8303/$C$3/($R8307+$T8307*$D$9),2))</f>
        <v>mu: 1.13</v>
      </c>
      <c r="W8303" s="524"/>
      <c r="AG8303" s="1147">
        <f>IF($E8303=0,0,ROUND($R8307*$S$3*$C$3/$A8303,2))</f>
        <v>93.61</v>
      </c>
      <c r="AH8303" s="1147">
        <f>$AG8303*$A8303</f>
        <v>468.05</v>
      </c>
      <c r="AI8303" s="1148">
        <f>$E8303-$AG8303</f>
        <v>0</v>
      </c>
      <c r="AJ8303" s="1148">
        <f>$A8303*$AI8303</f>
        <v>0</v>
      </c>
      <c r="AK8303" s="1149">
        <f>ROUND(($AG8303+$AI8303)*$A8303,2)</f>
        <v>468.05</v>
      </c>
      <c r="AM8303" s="527">
        <f>ROUND(R8307,2)</f>
        <v>414.68</v>
      </c>
      <c r="AN8303" s="528">
        <f>ROUND(T8307,2)</f>
        <v>0</v>
      </c>
      <c r="AO8303" s="529">
        <f>ROUND(AM8303+AN8303,2)*A8303</f>
        <v>2073.4</v>
      </c>
      <c r="AR8303" s="747">
        <v>5</v>
      </c>
      <c r="AS8303" s="1146">
        <v>509.35</v>
      </c>
    </row>
    <row r="8304" spans="1:45" s="520" customFormat="1" ht="13.2">
      <c r="A8304" s="748"/>
      <c r="B8304"/>
      <c r="C8304" s="748"/>
      <c r="D8304" s="749" t="s">
        <v>2062</v>
      </c>
      <c r="F8304" s="753"/>
      <c r="G8304" s="3"/>
      <c r="H8304" s="753"/>
      <c r="I8304" s="754"/>
      <c r="J8304" s="753"/>
      <c r="K8304" s="753" t="s">
        <v>144</v>
      </c>
      <c r="L8304" s="753"/>
      <c r="M8304" s="753"/>
      <c r="N8304" s="753"/>
      <c r="O8304" s="753"/>
      <c r="P8304" s="753"/>
      <c r="Q8304" s="51"/>
      <c r="R8304" s="530"/>
      <c r="S8304" s="757"/>
      <c r="T8304" s="753"/>
      <c r="AR8304" s="748"/>
      <c r="AS8304" s="753"/>
    </row>
    <row r="8305" spans="1:45" s="901" customFormat="1" ht="13.2">
      <c r="A8305" s="903">
        <v>5</v>
      </c>
      <c r="B8305" s="904" t="s">
        <v>863</v>
      </c>
      <c r="C8305" s="904"/>
      <c r="D8305" s="904" t="s">
        <v>2594</v>
      </c>
      <c r="E8305" s="904"/>
      <c r="F8305" s="904" t="s">
        <v>4128</v>
      </c>
      <c r="G8305" s="905" t="s">
        <v>2595</v>
      </c>
      <c r="H8305" s="902">
        <v>960</v>
      </c>
      <c r="I8305" s="904" t="s">
        <v>2596</v>
      </c>
      <c r="J8305" s="904"/>
      <c r="K8305" s="904"/>
      <c r="L8305" s="904"/>
      <c r="M8305" s="904"/>
      <c r="N8305" s="904"/>
      <c r="O8305" s="902">
        <v>4</v>
      </c>
      <c r="P8305" s="906">
        <v>38274</v>
      </c>
      <c r="Q8305" s="1415">
        <f>95*0.873</f>
        <v>82.935000000000002</v>
      </c>
      <c r="R8305" s="908">
        <f>$A8305*Q8305</f>
        <v>414.67500000000001</v>
      </c>
      <c r="S8305" s="907"/>
      <c r="T8305" s="909">
        <f>$A8305*S8305*$T$1</f>
        <v>0</v>
      </c>
      <c r="AR8305" s="903">
        <v>5</v>
      </c>
      <c r="AS8305" s="904" t="s">
        <v>3507</v>
      </c>
    </row>
    <row r="8306" spans="1:45" s="520" customFormat="1" ht="12">
      <c r="A8306" s="758"/>
      <c r="B8306" s="758"/>
      <c r="C8306" s="758"/>
      <c r="D8306" s="758"/>
      <c r="E8306" s="758"/>
      <c r="F8306" s="753"/>
      <c r="G8306" s="758"/>
      <c r="H8306" s="758"/>
      <c r="I8306" s="519"/>
      <c r="J8306" s="758"/>
      <c r="K8306" s="758"/>
      <c r="L8306" s="758"/>
      <c r="M8306" s="758"/>
      <c r="N8306" s="758"/>
      <c r="O8306" s="758"/>
      <c r="P8306" s="758"/>
      <c r="Q8306" s="519"/>
      <c r="R8306" s="759">
        <f>$A8306*Q8306</f>
        <v>0</v>
      </c>
      <c r="S8306" s="519"/>
      <c r="T8306" s="760">
        <f>$A8306*S8306*$T$1</f>
        <v>0</v>
      </c>
      <c r="AR8306" s="758"/>
      <c r="AS8306" s="753"/>
    </row>
    <row r="8307" spans="1:45" s="520" customFormat="1" ht="12.6" thickBot="1">
      <c r="A8307" s="761" t="s">
        <v>145</v>
      </c>
      <c r="B8307" s="762">
        <f>(R8306+T8306)</f>
        <v>0</v>
      </c>
      <c r="C8307" s="763"/>
      <c r="D8307" s="763"/>
      <c r="E8307" s="763"/>
      <c r="F8307" s="764"/>
      <c r="G8307" s="763" t="s">
        <v>146</v>
      </c>
      <c r="H8307" s="763"/>
      <c r="I8307" s="765"/>
      <c r="J8307" s="763"/>
      <c r="K8307" s="763" t="s">
        <v>5</v>
      </c>
      <c r="L8307" s="766" t="s">
        <v>143</v>
      </c>
      <c r="M8307" s="766"/>
      <c r="N8307" s="766"/>
      <c r="O8307" s="766"/>
      <c r="P8307" s="766"/>
      <c r="Q8307" s="767"/>
      <c r="R8307" s="768">
        <f>SUM(R8304:R8306)</f>
        <v>414.67500000000001</v>
      </c>
      <c r="S8307" s="763"/>
      <c r="T8307" s="768">
        <f>SUM(T8304:T8306)</f>
        <v>0</v>
      </c>
      <c r="U8307" s="531"/>
      <c r="V8307" s="531"/>
      <c r="W8307" s="531"/>
      <c r="X8307" s="531"/>
      <c r="Y8307" s="531"/>
      <c r="Z8307" s="531"/>
      <c r="AA8307" s="531"/>
      <c r="AB8307" s="531"/>
      <c r="AC8307" s="531"/>
      <c r="AD8307" s="531"/>
      <c r="AE8307" s="531"/>
      <c r="AF8307" s="531"/>
      <c r="AG8307" s="531"/>
      <c r="AH8307" s="531"/>
      <c r="AI8307" s="531"/>
      <c r="AJ8307" s="531"/>
      <c r="AK8307" s="531"/>
      <c r="AL8307" s="531"/>
      <c r="AM8307" s="531"/>
      <c r="AN8307" s="531"/>
      <c r="AO8307" s="531"/>
      <c r="AR8307" s="761" t="s">
        <v>145</v>
      </c>
      <c r="AS8307" s="764"/>
    </row>
    <row r="8308" spans="1:45" s="520" customFormat="1" ht="12" thickTop="1">
      <c r="A8308" s="51"/>
      <c r="B8308" s="41"/>
      <c r="C8308" s="51"/>
      <c r="E8308" s="42" t="s">
        <v>138</v>
      </c>
      <c r="F8308" s="42" t="s">
        <v>139</v>
      </c>
      <c r="G8308" s="51"/>
      <c r="H8308" s="51"/>
      <c r="I8308" s="51"/>
      <c r="J8308" s="51"/>
      <c r="K8308" s="51" t="s">
        <v>140</v>
      </c>
      <c r="L8308" s="51"/>
      <c r="M8308" s="51"/>
      <c r="N8308" s="51"/>
      <c r="O8308" s="52"/>
      <c r="P8308" s="51"/>
      <c r="Q8308" s="51"/>
      <c r="R8308" s="51"/>
      <c r="S8308" s="51"/>
      <c r="T8308" s="41"/>
      <c r="AG8308" s="521" t="s">
        <v>268</v>
      </c>
      <c r="AH8308" s="521" t="s">
        <v>269</v>
      </c>
      <c r="AI8308" s="521" t="s">
        <v>270</v>
      </c>
      <c r="AJ8308" s="521" t="s">
        <v>271</v>
      </c>
      <c r="AK8308" s="521" t="s">
        <v>272</v>
      </c>
      <c r="AM8308" s="745" t="s">
        <v>281</v>
      </c>
      <c r="AN8308" s="746" t="s">
        <v>282</v>
      </c>
      <c r="AO8308" s="522" t="s">
        <v>278</v>
      </c>
      <c r="AR8308" s="51"/>
      <c r="AS8308" s="42" t="s">
        <v>139</v>
      </c>
    </row>
    <row r="8309" spans="1:45" s="520" customFormat="1" ht="12" customHeight="1">
      <c r="A8309" s="747">
        <v>77</v>
      </c>
      <c r="B8309" s="523" t="s">
        <v>141</v>
      </c>
      <c r="C8309" s="748"/>
      <c r="D8309" s="749" t="s">
        <v>2298</v>
      </c>
      <c r="E8309" s="1145">
        <f>IF(AND($A8309=0,$A$1="DIF"),0, ROUND(ROUND(($R8313*$S$3+($T8313*$T$3))/$A8309,2)*$C$3,2))</f>
        <v>51.24</v>
      </c>
      <c r="F8309" s="1146">
        <f>ROUND($A8309*$E8309,2)</f>
        <v>3945.48</v>
      </c>
      <c r="G8309" s="752" t="s">
        <v>142</v>
      </c>
      <c r="H8309" s="753"/>
      <c r="I8309" s="754"/>
      <c r="J8309" s="753"/>
      <c r="K8309" s="753" t="s">
        <v>5</v>
      </c>
      <c r="L8309" s="755" t="s">
        <v>143</v>
      </c>
      <c r="M8309" s="755"/>
      <c r="N8309" s="755"/>
      <c r="O8309" s="755"/>
      <c r="P8309" s="755"/>
      <c r="Q8309" s="51"/>
      <c r="T8309" s="1150" t="str">
        <f>IF(AND($R8313=0,$T8313=0),"0.00","mu: "&amp; ROUND(F8309/$C$3/($R8313+$T8313*$D$9),2))</f>
        <v>mu: 1.13</v>
      </c>
      <c r="W8309" s="524"/>
      <c r="AG8309" s="1147">
        <f>IF($E8309=0,0,ROUND($R8313*$S$3*$C$3/$A8309,2))</f>
        <v>51.24</v>
      </c>
      <c r="AH8309" s="1147">
        <f>$AG8309*$A8309</f>
        <v>3945.48</v>
      </c>
      <c r="AI8309" s="1148">
        <f>$E8309-$AG8309</f>
        <v>0</v>
      </c>
      <c r="AJ8309" s="1148">
        <f>$A8309*$AI8309</f>
        <v>0</v>
      </c>
      <c r="AK8309" s="1149">
        <f>ROUND(($AG8309+$AI8309)*$A8309,2)</f>
        <v>3945.48</v>
      </c>
      <c r="AM8309" s="527">
        <f>ROUND(R8313,2)</f>
        <v>3495.49</v>
      </c>
      <c r="AN8309" s="528">
        <f>ROUND(T8313,2)</f>
        <v>0</v>
      </c>
      <c r="AO8309" s="529">
        <f>ROUND(AM8309+AN8309,2)*A8309</f>
        <v>269152.73</v>
      </c>
      <c r="AR8309" s="747">
        <v>77</v>
      </c>
      <c r="AS8309" s="1146">
        <v>4293.5200000000004</v>
      </c>
    </row>
    <row r="8310" spans="1:45" s="520" customFormat="1" ht="13.2">
      <c r="A8310" s="748"/>
      <c r="B8310"/>
      <c r="C8310" s="748"/>
      <c r="D8310" s="749" t="s">
        <v>2063</v>
      </c>
      <c r="F8310" s="753"/>
      <c r="G8310" s="3"/>
      <c r="H8310" s="753"/>
      <c r="I8310" s="754"/>
      <c r="J8310" s="753"/>
      <c r="K8310" s="753" t="s">
        <v>144</v>
      </c>
      <c r="L8310" s="753"/>
      <c r="M8310" s="753"/>
      <c r="N8310" s="753"/>
      <c r="O8310" s="753"/>
      <c r="P8310" s="753"/>
      <c r="Q8310" s="51"/>
      <c r="R8310" s="530"/>
      <c r="S8310" s="757"/>
      <c r="T8310" s="753"/>
      <c r="AR8310" s="748"/>
      <c r="AS8310" s="753"/>
    </row>
    <row r="8311" spans="1:45" s="901" customFormat="1" ht="13.2">
      <c r="A8311" s="903">
        <v>77</v>
      </c>
      <c r="B8311" s="904" t="s">
        <v>863</v>
      </c>
      <c r="C8311" s="904"/>
      <c r="D8311" s="904" t="s">
        <v>2594</v>
      </c>
      <c r="E8311" s="904"/>
      <c r="F8311" s="904" t="s">
        <v>4128</v>
      </c>
      <c r="G8311" s="905" t="s">
        <v>2595</v>
      </c>
      <c r="H8311" s="902">
        <v>960</v>
      </c>
      <c r="I8311" s="904" t="s">
        <v>2596</v>
      </c>
      <c r="J8311" s="904"/>
      <c r="K8311" s="904"/>
      <c r="L8311" s="904"/>
      <c r="M8311" s="904"/>
      <c r="N8311" s="904"/>
      <c r="O8311" s="902">
        <v>4</v>
      </c>
      <c r="P8311" s="906">
        <v>38274</v>
      </c>
      <c r="Q8311" s="1415">
        <f>52*0.873</f>
        <v>45.396000000000001</v>
      </c>
      <c r="R8311" s="908">
        <f>$A8311*Q8311</f>
        <v>3495.4920000000002</v>
      </c>
      <c r="S8311" s="907"/>
      <c r="T8311" s="909">
        <f>$A8311*S8311*$T$1</f>
        <v>0</v>
      </c>
      <c r="AR8311" s="903">
        <v>77</v>
      </c>
      <c r="AS8311" s="904" t="s">
        <v>3507</v>
      </c>
    </row>
    <row r="8312" spans="1:45" s="520" customFormat="1" ht="12">
      <c r="A8312" s="758"/>
      <c r="B8312" s="758"/>
      <c r="C8312" s="758"/>
      <c r="D8312" s="758"/>
      <c r="E8312" s="758"/>
      <c r="F8312" s="753"/>
      <c r="G8312" s="758"/>
      <c r="H8312" s="758"/>
      <c r="I8312" s="519"/>
      <c r="J8312" s="758"/>
      <c r="K8312" s="758"/>
      <c r="L8312" s="758"/>
      <c r="M8312" s="758"/>
      <c r="N8312" s="758"/>
      <c r="O8312" s="758"/>
      <c r="P8312" s="758"/>
      <c r="Q8312" s="519"/>
      <c r="R8312" s="759">
        <f>$A8312*Q8312</f>
        <v>0</v>
      </c>
      <c r="S8312" s="519"/>
      <c r="T8312" s="760">
        <f>$A8312*S8312*$T$1</f>
        <v>0</v>
      </c>
      <c r="AR8312" s="758"/>
      <c r="AS8312" s="753"/>
    </row>
    <row r="8313" spans="1:45" s="520" customFormat="1" ht="12.6" thickBot="1">
      <c r="A8313" s="761" t="s">
        <v>145</v>
      </c>
      <c r="B8313" s="762">
        <f>(R8312+T8312)</f>
        <v>0</v>
      </c>
      <c r="C8313" s="763"/>
      <c r="D8313" s="763"/>
      <c r="E8313" s="763"/>
      <c r="F8313" s="764"/>
      <c r="G8313" s="763" t="s">
        <v>146</v>
      </c>
      <c r="H8313" s="763"/>
      <c r="I8313" s="765"/>
      <c r="J8313" s="763"/>
      <c r="K8313" s="763" t="s">
        <v>5</v>
      </c>
      <c r="L8313" s="766" t="s">
        <v>143</v>
      </c>
      <c r="M8313" s="766"/>
      <c r="N8313" s="766"/>
      <c r="O8313" s="766"/>
      <c r="P8313" s="766"/>
      <c r="Q8313" s="767"/>
      <c r="R8313" s="768">
        <f>SUM(R8310:R8312)</f>
        <v>3495.4920000000002</v>
      </c>
      <c r="S8313" s="763"/>
      <c r="T8313" s="768">
        <f>SUM(T8310:T8312)</f>
        <v>0</v>
      </c>
      <c r="U8313" s="531"/>
      <c r="V8313" s="531"/>
      <c r="W8313" s="531"/>
      <c r="X8313" s="531"/>
      <c r="Y8313" s="531"/>
      <c r="Z8313" s="531"/>
      <c r="AA8313" s="531"/>
      <c r="AB8313" s="531"/>
      <c r="AC8313" s="531"/>
      <c r="AD8313" s="531"/>
      <c r="AE8313" s="531"/>
      <c r="AF8313" s="531"/>
      <c r="AG8313" s="531"/>
      <c r="AH8313" s="531"/>
      <c r="AI8313" s="531"/>
      <c r="AJ8313" s="531"/>
      <c r="AK8313" s="531"/>
      <c r="AL8313" s="531"/>
      <c r="AM8313" s="531"/>
      <c r="AN8313" s="531"/>
      <c r="AO8313" s="531"/>
      <c r="AR8313" s="761" t="s">
        <v>145</v>
      </c>
      <c r="AS8313" s="764"/>
    </row>
    <row r="8314" spans="1:45" s="520" customFormat="1" ht="12" thickTop="1">
      <c r="A8314" s="51"/>
      <c r="B8314" s="41"/>
      <c r="C8314" s="51"/>
      <c r="E8314" s="42" t="s">
        <v>138</v>
      </c>
      <c r="F8314" s="42" t="s">
        <v>139</v>
      </c>
      <c r="G8314" s="51"/>
      <c r="H8314" s="51"/>
      <c r="I8314" s="51"/>
      <c r="J8314" s="51"/>
      <c r="K8314" s="51" t="s">
        <v>140</v>
      </c>
      <c r="L8314" s="51"/>
      <c r="M8314" s="51"/>
      <c r="N8314" s="51"/>
      <c r="O8314" s="52"/>
      <c r="P8314" s="51"/>
      <c r="Q8314" s="51"/>
      <c r="R8314" s="51"/>
      <c r="S8314" s="51"/>
      <c r="T8314" s="41"/>
      <c r="AG8314" s="521" t="s">
        <v>268</v>
      </c>
      <c r="AH8314" s="521" t="s">
        <v>269</v>
      </c>
      <c r="AI8314" s="521" t="s">
        <v>270</v>
      </c>
      <c r="AJ8314" s="521" t="s">
        <v>271</v>
      </c>
      <c r="AK8314" s="521" t="s">
        <v>272</v>
      </c>
      <c r="AM8314" s="745" t="s">
        <v>281</v>
      </c>
      <c r="AN8314" s="746" t="s">
        <v>282</v>
      </c>
      <c r="AO8314" s="522" t="s">
        <v>278</v>
      </c>
      <c r="AR8314" s="51"/>
      <c r="AS8314" s="42" t="s">
        <v>139</v>
      </c>
    </row>
    <row r="8315" spans="1:45" s="520" customFormat="1" ht="12" customHeight="1">
      <c r="A8315" s="747">
        <v>8</v>
      </c>
      <c r="B8315" s="523" t="s">
        <v>141</v>
      </c>
      <c r="C8315" s="748"/>
      <c r="D8315" s="749" t="s">
        <v>2299</v>
      </c>
      <c r="E8315" s="1145">
        <f>IF(AND($A8315=0,$A$1="DIF"),0, ROUND(ROUND(($R8319*$S$3+($T8319*$T$3))/$A8315,2)*$C$3,2))</f>
        <v>92.63</v>
      </c>
      <c r="F8315" s="1146">
        <f>ROUND($A8315*$E8315,2)</f>
        <v>741.04</v>
      </c>
      <c r="G8315" s="752" t="s">
        <v>142</v>
      </c>
      <c r="H8315" s="753"/>
      <c r="I8315" s="754"/>
      <c r="J8315" s="753"/>
      <c r="K8315" s="753" t="s">
        <v>5</v>
      </c>
      <c r="L8315" s="755" t="s">
        <v>143</v>
      </c>
      <c r="M8315" s="755"/>
      <c r="N8315" s="755"/>
      <c r="O8315" s="755"/>
      <c r="P8315" s="755"/>
      <c r="Q8315" s="51"/>
      <c r="T8315" s="1150" t="str">
        <f>IF(AND($R8319=0,$T8319=0),"0.00","mu: "&amp; ROUND(F8315/$C$3/($R8319+$T8319*$D$9),2))</f>
        <v>mu: 1.13</v>
      </c>
      <c r="W8315" s="524"/>
      <c r="AG8315" s="1147">
        <f>IF($E8315=0,0,ROUND($R8319*$S$3*$C$3/$A8315,2))</f>
        <v>92.63</v>
      </c>
      <c r="AH8315" s="1147">
        <f>$AG8315*$A8315</f>
        <v>741.04</v>
      </c>
      <c r="AI8315" s="1148">
        <f>$E8315-$AG8315</f>
        <v>0</v>
      </c>
      <c r="AJ8315" s="1148">
        <f>$A8315*$AI8315</f>
        <v>0</v>
      </c>
      <c r="AK8315" s="1149">
        <f>ROUND(($AG8315+$AI8315)*$A8315,2)</f>
        <v>741.04</v>
      </c>
      <c r="AM8315" s="527">
        <f>ROUND(R8319,2)</f>
        <v>656.5</v>
      </c>
      <c r="AN8315" s="528">
        <f>ROUND(T8319,2)</f>
        <v>0</v>
      </c>
      <c r="AO8315" s="529">
        <f>ROUND(AM8315+AN8315,2)*A8315</f>
        <v>5252</v>
      </c>
      <c r="AR8315" s="747">
        <v>8</v>
      </c>
      <c r="AS8315" s="1146">
        <v>806.4</v>
      </c>
    </row>
    <row r="8316" spans="1:45" s="520" customFormat="1" ht="13.2">
      <c r="A8316" s="748"/>
      <c r="B8316"/>
      <c r="C8316" s="748"/>
      <c r="D8316" s="749" t="s">
        <v>2064</v>
      </c>
      <c r="F8316" s="753"/>
      <c r="G8316" s="3"/>
      <c r="H8316" s="753"/>
      <c r="I8316" s="754"/>
      <c r="J8316" s="753"/>
      <c r="K8316" s="753" t="s">
        <v>144</v>
      </c>
      <c r="L8316" s="753"/>
      <c r="M8316" s="753"/>
      <c r="N8316" s="753"/>
      <c r="O8316" s="753"/>
      <c r="P8316" s="753"/>
      <c r="Q8316" s="51"/>
      <c r="R8316" s="530"/>
      <c r="S8316" s="757"/>
      <c r="T8316" s="753"/>
      <c r="AR8316" s="748"/>
      <c r="AS8316" s="753"/>
    </row>
    <row r="8317" spans="1:45" s="901" customFormat="1" ht="13.2">
      <c r="A8317" s="903">
        <v>8</v>
      </c>
      <c r="B8317" s="904" t="s">
        <v>863</v>
      </c>
      <c r="C8317" s="904"/>
      <c r="D8317" s="904" t="s">
        <v>2594</v>
      </c>
      <c r="E8317" s="904"/>
      <c r="F8317" s="904" t="s">
        <v>4128</v>
      </c>
      <c r="G8317" s="905" t="s">
        <v>2595</v>
      </c>
      <c r="H8317" s="902">
        <v>960</v>
      </c>
      <c r="I8317" s="904" t="s">
        <v>2596</v>
      </c>
      <c r="J8317" s="904"/>
      <c r="K8317" s="904"/>
      <c r="L8317" s="904"/>
      <c r="M8317" s="904"/>
      <c r="N8317" s="904"/>
      <c r="O8317" s="902">
        <v>4</v>
      </c>
      <c r="P8317" s="906">
        <v>38274</v>
      </c>
      <c r="Q8317" s="1415">
        <f>94*0.873</f>
        <v>82.061999999999998</v>
      </c>
      <c r="R8317" s="908">
        <f>$A8317*Q8317</f>
        <v>656.49599999999998</v>
      </c>
      <c r="S8317" s="907"/>
      <c r="T8317" s="909">
        <f>$A8317*S8317*$T$1</f>
        <v>0</v>
      </c>
      <c r="AR8317" s="903">
        <v>8</v>
      </c>
      <c r="AS8317" s="904" t="s">
        <v>3507</v>
      </c>
    </row>
    <row r="8318" spans="1:45" s="520" customFormat="1" ht="12">
      <c r="A8318" s="758"/>
      <c r="B8318" s="758"/>
      <c r="C8318" s="758"/>
      <c r="D8318" s="758"/>
      <c r="E8318" s="758"/>
      <c r="F8318" s="753"/>
      <c r="G8318" s="758"/>
      <c r="H8318" s="758"/>
      <c r="I8318" s="519"/>
      <c r="J8318" s="758"/>
      <c r="K8318" s="758"/>
      <c r="L8318" s="758"/>
      <c r="M8318" s="758"/>
      <c r="N8318" s="758"/>
      <c r="O8318" s="758"/>
      <c r="P8318" s="758"/>
      <c r="Q8318" s="519"/>
      <c r="R8318" s="759">
        <f>$A8318*Q8318</f>
        <v>0</v>
      </c>
      <c r="S8318" s="519"/>
      <c r="T8318" s="760">
        <f>$A8318*S8318*$T$1</f>
        <v>0</v>
      </c>
      <c r="AR8318" s="758"/>
      <c r="AS8318" s="753"/>
    </row>
    <row r="8319" spans="1:45" s="520" customFormat="1" ht="12.6" thickBot="1">
      <c r="A8319" s="761" t="s">
        <v>145</v>
      </c>
      <c r="B8319" s="762">
        <f>(R8318+T8318)</f>
        <v>0</v>
      </c>
      <c r="C8319" s="763"/>
      <c r="D8319" s="763"/>
      <c r="E8319" s="763"/>
      <c r="F8319" s="764"/>
      <c r="G8319" s="763" t="s">
        <v>146</v>
      </c>
      <c r="H8319" s="763"/>
      <c r="I8319" s="765"/>
      <c r="J8319" s="763"/>
      <c r="K8319" s="763" t="s">
        <v>5</v>
      </c>
      <c r="L8319" s="766" t="s">
        <v>143</v>
      </c>
      <c r="M8319" s="766"/>
      <c r="N8319" s="766"/>
      <c r="O8319" s="766"/>
      <c r="P8319" s="766"/>
      <c r="Q8319" s="767"/>
      <c r="R8319" s="768">
        <f>SUM(R8316:R8318)</f>
        <v>656.49599999999998</v>
      </c>
      <c r="S8319" s="763"/>
      <c r="T8319" s="768">
        <f>SUM(T8316:T8318)</f>
        <v>0</v>
      </c>
      <c r="U8319" s="531"/>
      <c r="V8319" s="531"/>
      <c r="W8319" s="531"/>
      <c r="X8319" s="531"/>
      <c r="Y8319" s="531"/>
      <c r="Z8319" s="531"/>
      <c r="AA8319" s="531"/>
      <c r="AB8319" s="531"/>
      <c r="AC8319" s="531"/>
      <c r="AD8319" s="531"/>
      <c r="AE8319" s="531"/>
      <c r="AF8319" s="531"/>
      <c r="AG8319" s="531"/>
      <c r="AH8319" s="531"/>
      <c r="AI8319" s="531"/>
      <c r="AJ8319" s="531"/>
      <c r="AK8319" s="531"/>
      <c r="AL8319" s="531"/>
      <c r="AM8319" s="531"/>
      <c r="AN8319" s="531"/>
      <c r="AO8319" s="531"/>
      <c r="AR8319" s="761" t="s">
        <v>145</v>
      </c>
      <c r="AS8319" s="764"/>
    </row>
    <row r="8320" spans="1:45" s="520" customFormat="1" ht="12" thickTop="1">
      <c r="A8320" s="51"/>
      <c r="B8320" s="41"/>
      <c r="C8320" s="51"/>
      <c r="E8320" s="42" t="s">
        <v>138</v>
      </c>
      <c r="F8320" s="42" t="s">
        <v>139</v>
      </c>
      <c r="G8320" s="51"/>
      <c r="H8320" s="51"/>
      <c r="I8320" s="51"/>
      <c r="J8320" s="51"/>
      <c r="K8320" s="51" t="s">
        <v>140</v>
      </c>
      <c r="L8320" s="51"/>
      <c r="M8320" s="51"/>
      <c r="N8320" s="51"/>
      <c r="O8320" s="52"/>
      <c r="P8320" s="51"/>
      <c r="Q8320" s="51"/>
      <c r="R8320" s="51"/>
      <c r="S8320" s="51"/>
      <c r="T8320" s="41"/>
      <c r="AG8320" s="521" t="s">
        <v>268</v>
      </c>
      <c r="AH8320" s="521" t="s">
        <v>269</v>
      </c>
      <c r="AI8320" s="521" t="s">
        <v>270</v>
      </c>
      <c r="AJ8320" s="521" t="s">
        <v>271</v>
      </c>
      <c r="AK8320" s="521" t="s">
        <v>272</v>
      </c>
      <c r="AM8320" s="745" t="s">
        <v>281</v>
      </c>
      <c r="AN8320" s="746" t="s">
        <v>282</v>
      </c>
      <c r="AO8320" s="522" t="s">
        <v>278</v>
      </c>
      <c r="AR8320" s="51"/>
      <c r="AS8320" s="42" t="s">
        <v>139</v>
      </c>
    </row>
    <row r="8321" spans="1:45" s="520" customFormat="1" ht="12" customHeight="1">
      <c r="A8321" s="747">
        <v>2</v>
      </c>
      <c r="B8321" s="523" t="s">
        <v>141</v>
      </c>
      <c r="C8321" s="748"/>
      <c r="D8321" s="749" t="s">
        <v>2300</v>
      </c>
      <c r="E8321" s="1145">
        <f>IF(AND($A8321=0,$A$1="DIF"),0, ROUND(ROUND(($R8325*$S$3+($T8325*$T$3))/$A8321,2)*$C$3,2))</f>
        <v>54.2</v>
      </c>
      <c r="F8321" s="1146">
        <f>ROUND($A8321*$E8321,2)</f>
        <v>108.4</v>
      </c>
      <c r="G8321" s="752" t="s">
        <v>142</v>
      </c>
      <c r="H8321" s="753"/>
      <c r="I8321" s="754"/>
      <c r="J8321" s="753"/>
      <c r="K8321" s="753" t="s">
        <v>5</v>
      </c>
      <c r="L8321" s="755" t="s">
        <v>143</v>
      </c>
      <c r="M8321" s="755"/>
      <c r="N8321" s="755"/>
      <c r="O8321" s="755"/>
      <c r="P8321" s="755"/>
      <c r="Q8321" s="51"/>
      <c r="T8321" s="1150" t="str">
        <f>IF(AND($R8325=0,$T8325=0),"0.00","mu: "&amp; ROUND(F8321/$C$3/($R8325+$T8325*$D$9),2))</f>
        <v>mu: 1.13</v>
      </c>
      <c r="W8321" s="524"/>
      <c r="AG8321" s="1147">
        <f>IF($E8321=0,0,ROUND($R8325*$S$3*$C$3/$A8321,2))</f>
        <v>54.2</v>
      </c>
      <c r="AH8321" s="1147">
        <f>$AG8321*$A8321</f>
        <v>108.4</v>
      </c>
      <c r="AI8321" s="1148">
        <f>$E8321-$AG8321</f>
        <v>0</v>
      </c>
      <c r="AJ8321" s="1148">
        <f>$A8321*$AI8321</f>
        <v>0</v>
      </c>
      <c r="AK8321" s="1149">
        <f>ROUND(($AG8321+$AI8321)*$A8321,2)</f>
        <v>108.4</v>
      </c>
      <c r="AM8321" s="527">
        <f>ROUND(R8325,2)</f>
        <v>96.03</v>
      </c>
      <c r="AN8321" s="528">
        <f>ROUND(T8325,2)</f>
        <v>0</v>
      </c>
      <c r="AO8321" s="529">
        <f>ROUND(AM8321+AN8321,2)*A8321</f>
        <v>192.06</v>
      </c>
      <c r="AR8321" s="747">
        <v>2</v>
      </c>
      <c r="AS8321" s="1146">
        <v>117.96</v>
      </c>
    </row>
    <row r="8322" spans="1:45" s="520" customFormat="1" ht="13.2">
      <c r="A8322" s="748"/>
      <c r="B8322"/>
      <c r="C8322" s="748"/>
      <c r="D8322" s="749" t="s">
        <v>2071</v>
      </c>
      <c r="F8322" s="753"/>
      <c r="G8322" s="3"/>
      <c r="H8322" s="753"/>
      <c r="I8322" s="754"/>
      <c r="J8322" s="753"/>
      <c r="K8322" s="753" t="s">
        <v>144</v>
      </c>
      <c r="L8322" s="753"/>
      <c r="M8322" s="753"/>
      <c r="N8322" s="753"/>
      <c r="O8322" s="753"/>
      <c r="P8322" s="753"/>
      <c r="Q8322" s="51"/>
      <c r="R8322" s="530"/>
      <c r="S8322" s="757"/>
      <c r="T8322" s="753"/>
      <c r="AR8322" s="748"/>
      <c r="AS8322" s="753"/>
    </row>
    <row r="8323" spans="1:45" s="901" customFormat="1" ht="13.2">
      <c r="A8323" s="903">
        <v>2</v>
      </c>
      <c r="B8323" s="904" t="s">
        <v>863</v>
      </c>
      <c r="C8323" s="904"/>
      <c r="D8323" s="904" t="s">
        <v>2594</v>
      </c>
      <c r="E8323" s="904"/>
      <c r="F8323" s="904" t="s">
        <v>4128</v>
      </c>
      <c r="G8323" s="905" t="s">
        <v>2595</v>
      </c>
      <c r="H8323" s="902">
        <v>960</v>
      </c>
      <c r="I8323" s="904" t="s">
        <v>2596</v>
      </c>
      <c r="J8323" s="904"/>
      <c r="K8323" s="904"/>
      <c r="L8323" s="904"/>
      <c r="M8323" s="904"/>
      <c r="N8323" s="904"/>
      <c r="O8323" s="902">
        <v>4</v>
      </c>
      <c r="P8323" s="906">
        <v>38274</v>
      </c>
      <c r="Q8323" s="1415">
        <f>55*0.873</f>
        <v>48.015000000000001</v>
      </c>
      <c r="R8323" s="908">
        <f>$A8323*Q8323</f>
        <v>96.03</v>
      </c>
      <c r="S8323" s="907"/>
      <c r="T8323" s="909">
        <f>$A8323*S8323*$T$1</f>
        <v>0</v>
      </c>
      <c r="AR8323" s="903">
        <v>2</v>
      </c>
      <c r="AS8323" s="904" t="s">
        <v>3507</v>
      </c>
    </row>
    <row r="8324" spans="1:45" s="520" customFormat="1" ht="12">
      <c r="A8324" s="758"/>
      <c r="B8324" s="758"/>
      <c r="C8324" s="758"/>
      <c r="D8324" s="758"/>
      <c r="E8324" s="758"/>
      <c r="F8324" s="753"/>
      <c r="G8324" s="758"/>
      <c r="H8324" s="758"/>
      <c r="I8324" s="519"/>
      <c r="J8324" s="758"/>
      <c r="K8324" s="758"/>
      <c r="L8324" s="758"/>
      <c r="M8324" s="758"/>
      <c r="N8324" s="758"/>
      <c r="O8324" s="758"/>
      <c r="P8324" s="758"/>
      <c r="Q8324" s="519"/>
      <c r="R8324" s="759">
        <f>$A8324*Q8324</f>
        <v>0</v>
      </c>
      <c r="S8324" s="519"/>
      <c r="T8324" s="760">
        <f>$A8324*S8324*$T$1</f>
        <v>0</v>
      </c>
      <c r="AR8324" s="758"/>
      <c r="AS8324" s="753"/>
    </row>
    <row r="8325" spans="1:45" s="520" customFormat="1" ht="12.6" thickBot="1">
      <c r="A8325" s="761" t="s">
        <v>145</v>
      </c>
      <c r="B8325" s="762">
        <f>(R8324+T8324)</f>
        <v>0</v>
      </c>
      <c r="C8325" s="763"/>
      <c r="D8325" s="763"/>
      <c r="E8325" s="763"/>
      <c r="F8325" s="764"/>
      <c r="G8325" s="763" t="s">
        <v>146</v>
      </c>
      <c r="H8325" s="763"/>
      <c r="I8325" s="765"/>
      <c r="J8325" s="763"/>
      <c r="K8325" s="763" t="s">
        <v>5</v>
      </c>
      <c r="L8325" s="766" t="s">
        <v>143</v>
      </c>
      <c r="M8325" s="766"/>
      <c r="N8325" s="766"/>
      <c r="O8325" s="766"/>
      <c r="P8325" s="766"/>
      <c r="Q8325" s="767"/>
      <c r="R8325" s="768">
        <f>SUM(R8322:R8324)</f>
        <v>96.03</v>
      </c>
      <c r="S8325" s="763"/>
      <c r="T8325" s="768">
        <f>SUM(T8322:T8324)</f>
        <v>0</v>
      </c>
      <c r="U8325" s="531"/>
      <c r="V8325" s="531"/>
      <c r="W8325" s="531"/>
      <c r="X8325" s="531"/>
      <c r="Y8325" s="531"/>
      <c r="Z8325" s="531"/>
      <c r="AA8325" s="531"/>
      <c r="AB8325" s="531"/>
      <c r="AC8325" s="531"/>
      <c r="AD8325" s="531"/>
      <c r="AE8325" s="531"/>
      <c r="AF8325" s="531"/>
      <c r="AG8325" s="531"/>
      <c r="AH8325" s="531"/>
      <c r="AI8325" s="531"/>
      <c r="AJ8325" s="531"/>
      <c r="AK8325" s="531"/>
      <c r="AL8325" s="531"/>
      <c r="AM8325" s="531"/>
      <c r="AN8325" s="531"/>
      <c r="AO8325" s="531"/>
      <c r="AR8325" s="761" t="s">
        <v>145</v>
      </c>
      <c r="AS8325" s="764"/>
    </row>
    <row r="8326" spans="1:45" s="520" customFormat="1" ht="12" thickTop="1">
      <c r="A8326" s="51"/>
      <c r="B8326" s="41"/>
      <c r="C8326" s="51"/>
      <c r="E8326" s="42" t="s">
        <v>138</v>
      </c>
      <c r="F8326" s="42" t="s">
        <v>139</v>
      </c>
      <c r="G8326" s="51"/>
      <c r="H8326" s="51"/>
      <c r="I8326" s="51"/>
      <c r="J8326" s="51"/>
      <c r="K8326" s="51" t="s">
        <v>140</v>
      </c>
      <c r="L8326" s="51"/>
      <c r="M8326" s="51"/>
      <c r="N8326" s="51"/>
      <c r="O8326" s="52"/>
      <c r="P8326" s="51"/>
      <c r="Q8326" s="51"/>
      <c r="R8326" s="51"/>
      <c r="S8326" s="51"/>
      <c r="T8326" s="41"/>
      <c r="AG8326" s="521" t="s">
        <v>268</v>
      </c>
      <c r="AH8326" s="521" t="s">
        <v>269</v>
      </c>
      <c r="AI8326" s="521" t="s">
        <v>270</v>
      </c>
      <c r="AJ8326" s="521" t="s">
        <v>271</v>
      </c>
      <c r="AK8326" s="521" t="s">
        <v>272</v>
      </c>
      <c r="AM8326" s="745" t="s">
        <v>281</v>
      </c>
      <c r="AN8326" s="746" t="s">
        <v>282</v>
      </c>
      <c r="AO8326" s="522" t="s">
        <v>278</v>
      </c>
      <c r="AR8326" s="51"/>
      <c r="AS8326" s="42" t="s">
        <v>139</v>
      </c>
    </row>
    <row r="8327" spans="1:45" s="520" customFormat="1" ht="12" customHeight="1">
      <c r="A8327" s="747">
        <v>1</v>
      </c>
      <c r="B8327" s="523" t="s">
        <v>141</v>
      </c>
      <c r="C8327" s="748"/>
      <c r="D8327" s="749" t="s">
        <v>2301</v>
      </c>
      <c r="E8327" s="1145">
        <f>IF(AND($A8327=0,$A$1="DIF"),0, ROUND(ROUND(($R8331*$S$3+($T8331*$T$3))/$A8327,2)*$C$3,2))</f>
        <v>77.849999999999994</v>
      </c>
      <c r="F8327" s="1146">
        <f>ROUND($A8327*$E8327,2)</f>
        <v>77.849999999999994</v>
      </c>
      <c r="G8327" s="752" t="s">
        <v>142</v>
      </c>
      <c r="H8327" s="753"/>
      <c r="I8327" s="754"/>
      <c r="J8327" s="753"/>
      <c r="K8327" s="753" t="s">
        <v>5</v>
      </c>
      <c r="L8327" s="755" t="s">
        <v>143</v>
      </c>
      <c r="M8327" s="755"/>
      <c r="N8327" s="755"/>
      <c r="O8327" s="755"/>
      <c r="P8327" s="755"/>
      <c r="Q8327" s="51"/>
      <c r="T8327" s="1150" t="str">
        <f>IF(AND($R8331=0,$T8331=0),"0.00","mu: "&amp; ROUND(F8327/$C$3/($R8331+$T8331*$D$9),2))</f>
        <v>mu: 1.13</v>
      </c>
      <c r="W8327" s="524"/>
      <c r="AG8327" s="1147">
        <f>IF($E8327=0,0,ROUND($R8331*$S$3*$C$3/$A8327,2))</f>
        <v>77.849999999999994</v>
      </c>
      <c r="AH8327" s="1147">
        <f>$AG8327*$A8327</f>
        <v>77.849999999999994</v>
      </c>
      <c r="AI8327" s="1148">
        <f>$E8327-$AG8327</f>
        <v>0</v>
      </c>
      <c r="AJ8327" s="1148">
        <f>$A8327*$AI8327</f>
        <v>0</v>
      </c>
      <c r="AK8327" s="1149">
        <f>ROUND(($AG8327+$AI8327)*$A8327,2)</f>
        <v>77.849999999999994</v>
      </c>
      <c r="AM8327" s="527">
        <f>ROUND(R8331,2)</f>
        <v>68.97</v>
      </c>
      <c r="AN8327" s="528">
        <f>ROUND(T8331,2)</f>
        <v>0</v>
      </c>
      <c r="AO8327" s="529">
        <f>ROUND(AM8327+AN8327,2)*A8327</f>
        <v>68.97</v>
      </c>
      <c r="AR8327" s="747">
        <v>1</v>
      </c>
      <c r="AS8327" s="1146">
        <v>84.71</v>
      </c>
    </row>
    <row r="8328" spans="1:45" s="520" customFormat="1" ht="13.2">
      <c r="A8328" s="748"/>
      <c r="B8328"/>
      <c r="C8328" s="748"/>
      <c r="D8328" s="749" t="s">
        <v>2066</v>
      </c>
      <c r="F8328" s="753"/>
      <c r="G8328" s="3"/>
      <c r="H8328" s="753"/>
      <c r="I8328" s="754"/>
      <c r="J8328" s="753"/>
      <c r="K8328" s="753" t="s">
        <v>144</v>
      </c>
      <c r="L8328" s="753"/>
      <c r="M8328" s="753"/>
      <c r="N8328" s="753"/>
      <c r="O8328" s="753"/>
      <c r="P8328" s="753"/>
      <c r="Q8328" s="51"/>
      <c r="R8328" s="530"/>
      <c r="S8328" s="757"/>
      <c r="T8328" s="753"/>
      <c r="AR8328" s="748"/>
      <c r="AS8328" s="753"/>
    </row>
    <row r="8329" spans="1:45" s="901" customFormat="1" ht="13.2">
      <c r="A8329" s="903">
        <v>1</v>
      </c>
      <c r="B8329" s="904" t="s">
        <v>863</v>
      </c>
      <c r="C8329" s="904"/>
      <c r="D8329" s="904" t="s">
        <v>2594</v>
      </c>
      <c r="E8329" s="904"/>
      <c r="F8329" s="904" t="s">
        <v>4128</v>
      </c>
      <c r="G8329" s="905" t="s">
        <v>2595</v>
      </c>
      <c r="H8329" s="902">
        <v>960</v>
      </c>
      <c r="I8329" s="904" t="s">
        <v>2596</v>
      </c>
      <c r="J8329" s="904"/>
      <c r="K8329" s="904"/>
      <c r="L8329" s="904"/>
      <c r="M8329" s="904"/>
      <c r="N8329" s="904"/>
      <c r="O8329" s="902">
        <v>4</v>
      </c>
      <c r="P8329" s="906">
        <v>38274</v>
      </c>
      <c r="Q8329" s="1415">
        <f>79*0.873</f>
        <v>68.966999999999999</v>
      </c>
      <c r="R8329" s="908">
        <f>$A8329*Q8329</f>
        <v>68.966999999999999</v>
      </c>
      <c r="S8329" s="907"/>
      <c r="T8329" s="909">
        <f>$A8329*S8329*$T$1</f>
        <v>0</v>
      </c>
      <c r="AR8329" s="903">
        <v>1</v>
      </c>
      <c r="AS8329" s="904" t="s">
        <v>3507</v>
      </c>
    </row>
    <row r="8330" spans="1:45" s="520" customFormat="1" ht="12">
      <c r="A8330" s="758"/>
      <c r="B8330" s="758"/>
      <c r="C8330" s="758"/>
      <c r="D8330" s="758"/>
      <c r="E8330" s="758"/>
      <c r="F8330" s="753"/>
      <c r="G8330" s="758"/>
      <c r="H8330" s="758"/>
      <c r="I8330" s="519"/>
      <c r="J8330" s="758"/>
      <c r="K8330" s="758"/>
      <c r="L8330" s="758"/>
      <c r="M8330" s="758"/>
      <c r="N8330" s="758"/>
      <c r="O8330" s="758"/>
      <c r="P8330" s="758"/>
      <c r="Q8330" s="519"/>
      <c r="R8330" s="759">
        <f>$A8330*Q8330</f>
        <v>0</v>
      </c>
      <c r="S8330" s="519"/>
      <c r="T8330" s="760">
        <f>$A8330*S8330*$T$1</f>
        <v>0</v>
      </c>
      <c r="AR8330" s="758"/>
      <c r="AS8330" s="753"/>
    </row>
    <row r="8331" spans="1:45" s="520" customFormat="1" ht="12.6" thickBot="1">
      <c r="A8331" s="761" t="s">
        <v>145</v>
      </c>
      <c r="B8331" s="762">
        <f>(R8330+T8330)</f>
        <v>0</v>
      </c>
      <c r="C8331" s="763"/>
      <c r="D8331" s="763"/>
      <c r="E8331" s="763"/>
      <c r="F8331" s="764"/>
      <c r="G8331" s="763" t="s">
        <v>146</v>
      </c>
      <c r="H8331" s="763"/>
      <c r="I8331" s="765"/>
      <c r="J8331" s="763"/>
      <c r="K8331" s="763" t="s">
        <v>5</v>
      </c>
      <c r="L8331" s="766" t="s">
        <v>143</v>
      </c>
      <c r="M8331" s="766"/>
      <c r="N8331" s="766"/>
      <c r="O8331" s="766"/>
      <c r="P8331" s="766"/>
      <c r="Q8331" s="767"/>
      <c r="R8331" s="768">
        <f>SUM(R8328:R8330)</f>
        <v>68.966999999999999</v>
      </c>
      <c r="S8331" s="763"/>
      <c r="T8331" s="768">
        <f>SUM(T8328:T8330)</f>
        <v>0</v>
      </c>
      <c r="U8331" s="531"/>
      <c r="V8331" s="531"/>
      <c r="W8331" s="531"/>
      <c r="X8331" s="531"/>
      <c r="Y8331" s="531"/>
      <c r="Z8331" s="531"/>
      <c r="AA8331" s="531"/>
      <c r="AB8331" s="531"/>
      <c r="AC8331" s="531"/>
      <c r="AD8331" s="531"/>
      <c r="AE8331" s="531"/>
      <c r="AF8331" s="531"/>
      <c r="AG8331" s="531"/>
      <c r="AH8331" s="531"/>
      <c r="AI8331" s="531"/>
      <c r="AJ8331" s="531"/>
      <c r="AK8331" s="531"/>
      <c r="AL8331" s="531"/>
      <c r="AM8331" s="531"/>
      <c r="AN8331" s="531"/>
      <c r="AO8331" s="531"/>
      <c r="AR8331" s="761" t="s">
        <v>145</v>
      </c>
      <c r="AS8331" s="764"/>
    </row>
    <row r="8332" spans="1:45" s="520" customFormat="1" ht="12" thickTop="1">
      <c r="A8332" s="51"/>
      <c r="B8332" s="41"/>
      <c r="C8332" s="51"/>
      <c r="E8332" s="42" t="s">
        <v>138</v>
      </c>
      <c r="F8332" s="42" t="s">
        <v>139</v>
      </c>
      <c r="G8332" s="51"/>
      <c r="H8332" s="51"/>
      <c r="I8332" s="51"/>
      <c r="J8332" s="51"/>
      <c r="K8332" s="51" t="s">
        <v>140</v>
      </c>
      <c r="L8332" s="51"/>
      <c r="M8332" s="51"/>
      <c r="N8332" s="51"/>
      <c r="O8332" s="52"/>
      <c r="P8332" s="51"/>
      <c r="Q8332" s="51"/>
      <c r="R8332" s="51"/>
      <c r="S8332" s="51"/>
      <c r="T8332" s="41"/>
      <c r="AG8332" s="521" t="s">
        <v>268</v>
      </c>
      <c r="AH8332" s="521" t="s">
        <v>269</v>
      </c>
      <c r="AI8332" s="521" t="s">
        <v>270</v>
      </c>
      <c r="AJ8332" s="521" t="s">
        <v>271</v>
      </c>
      <c r="AK8332" s="521" t="s">
        <v>272</v>
      </c>
      <c r="AM8332" s="745" t="s">
        <v>281</v>
      </c>
      <c r="AN8332" s="746" t="s">
        <v>282</v>
      </c>
      <c r="AO8332" s="522" t="s">
        <v>278</v>
      </c>
      <c r="AR8332" s="51"/>
      <c r="AS8332" s="42" t="s">
        <v>139</v>
      </c>
    </row>
    <row r="8333" spans="1:45" s="520" customFormat="1" ht="12" customHeight="1">
      <c r="A8333" s="747">
        <v>3</v>
      </c>
      <c r="B8333" s="523" t="s">
        <v>141</v>
      </c>
      <c r="C8333" s="748"/>
      <c r="D8333" s="749" t="s">
        <v>2302</v>
      </c>
      <c r="E8333" s="1145">
        <f>IF(AND($A8333=0,$A$1="DIF"),0, ROUND(ROUND(($R8337*$S$3+($T8337*$T$3))/$A8333,2)*$C$3,2))</f>
        <v>77.849999999999994</v>
      </c>
      <c r="F8333" s="1146">
        <f>ROUND($A8333*$E8333,2)</f>
        <v>233.55</v>
      </c>
      <c r="G8333" s="752" t="s">
        <v>142</v>
      </c>
      <c r="H8333" s="753"/>
      <c r="I8333" s="754"/>
      <c r="J8333" s="753"/>
      <c r="K8333" s="753" t="s">
        <v>5</v>
      </c>
      <c r="L8333" s="755" t="s">
        <v>143</v>
      </c>
      <c r="M8333" s="755"/>
      <c r="N8333" s="755"/>
      <c r="O8333" s="755"/>
      <c r="P8333" s="755"/>
      <c r="Q8333" s="51"/>
      <c r="T8333" s="1150" t="str">
        <f>IF(AND($R8337=0,$T8337=0),"0.00","mu: "&amp; ROUND(F8333/$C$3/($R8337+$T8337*$D$9),2))</f>
        <v>mu: 1.13</v>
      </c>
      <c r="W8333" s="524"/>
      <c r="AG8333" s="1147">
        <f>IF($E8333=0,0,ROUND($R8337*$S$3*$C$3/$A8333,2))</f>
        <v>77.849999999999994</v>
      </c>
      <c r="AH8333" s="1147">
        <f>$AG8333*$A8333</f>
        <v>233.54999999999998</v>
      </c>
      <c r="AI8333" s="1148">
        <f>$E8333-$AG8333</f>
        <v>0</v>
      </c>
      <c r="AJ8333" s="1148">
        <f>$A8333*$AI8333</f>
        <v>0</v>
      </c>
      <c r="AK8333" s="1149">
        <f>ROUND(($AG8333+$AI8333)*$A8333,2)</f>
        <v>233.55</v>
      </c>
      <c r="AM8333" s="527">
        <f>ROUND(R8337,2)</f>
        <v>206.9</v>
      </c>
      <c r="AN8333" s="528">
        <f>ROUND(T8337,2)</f>
        <v>0</v>
      </c>
      <c r="AO8333" s="529">
        <f>ROUND(AM8333+AN8333,2)*A8333</f>
        <v>620.70000000000005</v>
      </c>
      <c r="AR8333" s="747">
        <v>3</v>
      </c>
      <c r="AS8333" s="1146">
        <v>254.13</v>
      </c>
    </row>
    <row r="8334" spans="1:45" s="520" customFormat="1" ht="13.2">
      <c r="A8334" s="748"/>
      <c r="B8334"/>
      <c r="C8334" s="748"/>
      <c r="D8334" s="749" t="s">
        <v>2067</v>
      </c>
      <c r="F8334" s="753"/>
      <c r="G8334" s="3"/>
      <c r="H8334" s="753"/>
      <c r="I8334" s="754"/>
      <c r="J8334" s="753"/>
      <c r="K8334" s="753" t="s">
        <v>144</v>
      </c>
      <c r="L8334" s="753"/>
      <c r="M8334" s="753"/>
      <c r="N8334" s="753"/>
      <c r="O8334" s="753"/>
      <c r="P8334" s="753"/>
      <c r="Q8334" s="51"/>
      <c r="R8334" s="530"/>
      <c r="S8334" s="757"/>
      <c r="T8334" s="753"/>
      <c r="AR8334" s="748"/>
      <c r="AS8334" s="753"/>
    </row>
    <row r="8335" spans="1:45" s="901" customFormat="1" ht="13.2">
      <c r="A8335" s="903">
        <v>3</v>
      </c>
      <c r="B8335" s="904" t="s">
        <v>863</v>
      </c>
      <c r="C8335" s="904"/>
      <c r="D8335" s="904" t="s">
        <v>2594</v>
      </c>
      <c r="E8335" s="904"/>
      <c r="F8335" s="904" t="s">
        <v>4128</v>
      </c>
      <c r="G8335" s="905" t="s">
        <v>2595</v>
      </c>
      <c r="H8335" s="902">
        <v>960</v>
      </c>
      <c r="I8335" s="904" t="s">
        <v>2596</v>
      </c>
      <c r="J8335" s="904"/>
      <c r="K8335" s="904"/>
      <c r="L8335" s="904"/>
      <c r="M8335" s="904"/>
      <c r="N8335" s="904"/>
      <c r="O8335" s="902">
        <v>4</v>
      </c>
      <c r="P8335" s="906">
        <v>38274</v>
      </c>
      <c r="Q8335" s="1415">
        <f>79*0.873</f>
        <v>68.966999999999999</v>
      </c>
      <c r="R8335" s="908">
        <f>$A8335*Q8335</f>
        <v>206.90100000000001</v>
      </c>
      <c r="S8335" s="907"/>
      <c r="T8335" s="909">
        <f>$A8335*S8335*$T$1</f>
        <v>0</v>
      </c>
      <c r="AR8335" s="903">
        <v>3</v>
      </c>
      <c r="AS8335" s="904" t="s">
        <v>3507</v>
      </c>
    </row>
    <row r="8336" spans="1:45" s="520" customFormat="1" ht="12">
      <c r="A8336" s="758"/>
      <c r="B8336" s="758"/>
      <c r="C8336" s="758"/>
      <c r="D8336" s="758"/>
      <c r="E8336" s="758"/>
      <c r="F8336" s="753"/>
      <c r="G8336" s="758"/>
      <c r="H8336" s="758"/>
      <c r="I8336" s="519"/>
      <c r="J8336" s="758"/>
      <c r="K8336" s="758"/>
      <c r="L8336" s="758"/>
      <c r="M8336" s="758"/>
      <c r="N8336" s="758"/>
      <c r="O8336" s="758"/>
      <c r="P8336" s="758"/>
      <c r="Q8336" s="519"/>
      <c r="R8336" s="759">
        <f>$A8336*Q8336</f>
        <v>0</v>
      </c>
      <c r="S8336" s="519"/>
      <c r="T8336" s="760">
        <f>$A8336*S8336*$T$1</f>
        <v>0</v>
      </c>
      <c r="AR8336" s="758"/>
      <c r="AS8336" s="753"/>
    </row>
    <row r="8337" spans="1:45" s="520" customFormat="1" ht="12.6" thickBot="1">
      <c r="A8337" s="761" t="s">
        <v>145</v>
      </c>
      <c r="B8337" s="762">
        <f>(R8336+T8336)</f>
        <v>0</v>
      </c>
      <c r="C8337" s="763"/>
      <c r="D8337" s="763"/>
      <c r="E8337" s="763"/>
      <c r="F8337" s="764"/>
      <c r="G8337" s="763" t="s">
        <v>146</v>
      </c>
      <c r="H8337" s="763"/>
      <c r="I8337" s="765"/>
      <c r="J8337" s="763"/>
      <c r="K8337" s="763" t="s">
        <v>5</v>
      </c>
      <c r="L8337" s="766" t="s">
        <v>143</v>
      </c>
      <c r="M8337" s="766"/>
      <c r="N8337" s="766"/>
      <c r="O8337" s="766"/>
      <c r="P8337" s="766"/>
      <c r="Q8337" s="767"/>
      <c r="R8337" s="768">
        <f>SUM(R8334:R8336)</f>
        <v>206.90100000000001</v>
      </c>
      <c r="S8337" s="763"/>
      <c r="T8337" s="768">
        <f>SUM(T8334:T8336)</f>
        <v>0</v>
      </c>
      <c r="U8337" s="531"/>
      <c r="V8337" s="531"/>
      <c r="W8337" s="531"/>
      <c r="X8337" s="531"/>
      <c r="Y8337" s="531"/>
      <c r="Z8337" s="531"/>
      <c r="AA8337" s="531"/>
      <c r="AB8337" s="531"/>
      <c r="AC8337" s="531"/>
      <c r="AD8337" s="531"/>
      <c r="AE8337" s="531"/>
      <c r="AF8337" s="531"/>
      <c r="AG8337" s="531"/>
      <c r="AH8337" s="531"/>
      <c r="AI8337" s="531"/>
      <c r="AJ8337" s="531"/>
      <c r="AK8337" s="531"/>
      <c r="AL8337" s="531"/>
      <c r="AM8337" s="531"/>
      <c r="AN8337" s="531"/>
      <c r="AO8337" s="531"/>
      <c r="AR8337" s="761" t="s">
        <v>145</v>
      </c>
      <c r="AS8337" s="764"/>
    </row>
    <row r="8338" spans="1:45" s="520" customFormat="1" ht="12" thickTop="1">
      <c r="A8338" s="51"/>
      <c r="B8338" s="41"/>
      <c r="C8338" s="51"/>
      <c r="E8338" s="42" t="s">
        <v>138</v>
      </c>
      <c r="F8338" s="42" t="s">
        <v>139</v>
      </c>
      <c r="G8338" s="51"/>
      <c r="H8338" s="51"/>
      <c r="I8338" s="51"/>
      <c r="J8338" s="51"/>
      <c r="K8338" s="51" t="s">
        <v>140</v>
      </c>
      <c r="L8338" s="51"/>
      <c r="M8338" s="51"/>
      <c r="N8338" s="51"/>
      <c r="O8338" s="52"/>
      <c r="P8338" s="51"/>
      <c r="Q8338" s="51"/>
      <c r="R8338" s="51"/>
      <c r="S8338" s="51"/>
      <c r="T8338" s="41"/>
      <c r="AG8338" s="521" t="s">
        <v>268</v>
      </c>
      <c r="AH8338" s="521" t="s">
        <v>269</v>
      </c>
      <c r="AI8338" s="521" t="s">
        <v>270</v>
      </c>
      <c r="AJ8338" s="521" t="s">
        <v>271</v>
      </c>
      <c r="AK8338" s="521" t="s">
        <v>272</v>
      </c>
      <c r="AM8338" s="745" t="s">
        <v>281</v>
      </c>
      <c r="AN8338" s="746" t="s">
        <v>282</v>
      </c>
      <c r="AO8338" s="522" t="s">
        <v>278</v>
      </c>
      <c r="AR8338" s="51"/>
      <c r="AS8338" s="42" t="s">
        <v>139</v>
      </c>
    </row>
    <row r="8339" spans="1:45" s="520" customFormat="1" ht="12" customHeight="1">
      <c r="A8339" s="747">
        <v>1</v>
      </c>
      <c r="B8339" s="523" t="s">
        <v>141</v>
      </c>
      <c r="C8339" s="748"/>
      <c r="D8339" s="749" t="s">
        <v>2303</v>
      </c>
      <c r="E8339" s="1145">
        <f>IF(AND($A8339=0,$A$1="DIF"),0, ROUND(ROUND(($R8343*$S$3+($T8343*$T$3))/$A8339,2)*$C$3,2))</f>
        <v>77.849999999999994</v>
      </c>
      <c r="F8339" s="1146">
        <f>ROUND($A8339*$E8339,2)</f>
        <v>77.849999999999994</v>
      </c>
      <c r="G8339" s="752" t="s">
        <v>142</v>
      </c>
      <c r="H8339" s="753"/>
      <c r="I8339" s="754"/>
      <c r="J8339" s="753"/>
      <c r="K8339" s="753" t="s">
        <v>5</v>
      </c>
      <c r="L8339" s="755" t="s">
        <v>143</v>
      </c>
      <c r="M8339" s="755"/>
      <c r="N8339" s="755"/>
      <c r="O8339" s="755"/>
      <c r="P8339" s="755"/>
      <c r="Q8339" s="51"/>
      <c r="T8339" s="1150" t="str">
        <f>IF(AND($R8343=0,$T8343=0),"0.00","mu: "&amp; ROUND(F8339/$C$3/($R8343+$T8343*$D$9),2))</f>
        <v>mu: 1.13</v>
      </c>
      <c r="W8339" s="524"/>
      <c r="AG8339" s="1147">
        <f>IF($E8339=0,0,ROUND($R8343*$S$3*$C$3/$A8339,2))</f>
        <v>77.849999999999994</v>
      </c>
      <c r="AH8339" s="1147">
        <f>$AG8339*$A8339</f>
        <v>77.849999999999994</v>
      </c>
      <c r="AI8339" s="1148">
        <f>$E8339-$AG8339</f>
        <v>0</v>
      </c>
      <c r="AJ8339" s="1148">
        <f>$A8339*$AI8339</f>
        <v>0</v>
      </c>
      <c r="AK8339" s="1149">
        <f>ROUND(($AG8339+$AI8339)*$A8339,2)</f>
        <v>77.849999999999994</v>
      </c>
      <c r="AM8339" s="527">
        <f>ROUND(R8343,2)</f>
        <v>68.97</v>
      </c>
      <c r="AN8339" s="528">
        <f>ROUND(T8343,2)</f>
        <v>0</v>
      </c>
      <c r="AO8339" s="529">
        <f>ROUND(AM8339+AN8339,2)*A8339</f>
        <v>68.97</v>
      </c>
      <c r="AR8339" s="747">
        <v>1</v>
      </c>
      <c r="AS8339" s="1146">
        <v>84.71</v>
      </c>
    </row>
    <row r="8340" spans="1:45" s="520" customFormat="1" ht="13.2">
      <c r="A8340" s="748"/>
      <c r="B8340"/>
      <c r="C8340" s="748"/>
      <c r="D8340" s="749" t="s">
        <v>2068</v>
      </c>
      <c r="F8340" s="753"/>
      <c r="G8340" s="3"/>
      <c r="H8340" s="753"/>
      <c r="I8340" s="754"/>
      <c r="J8340" s="753"/>
      <c r="K8340" s="753" t="s">
        <v>144</v>
      </c>
      <c r="L8340" s="753"/>
      <c r="M8340" s="753"/>
      <c r="N8340" s="753"/>
      <c r="O8340" s="753"/>
      <c r="P8340" s="753"/>
      <c r="Q8340" s="51"/>
      <c r="R8340" s="530"/>
      <c r="S8340" s="757"/>
      <c r="T8340" s="753"/>
      <c r="AR8340" s="748"/>
      <c r="AS8340" s="753"/>
    </row>
    <row r="8341" spans="1:45" s="901" customFormat="1" ht="13.2">
      <c r="A8341" s="903">
        <v>1</v>
      </c>
      <c r="B8341" s="904" t="s">
        <v>863</v>
      </c>
      <c r="C8341" s="904"/>
      <c r="D8341" s="904" t="s">
        <v>2594</v>
      </c>
      <c r="E8341" s="904"/>
      <c r="F8341" s="904" t="s">
        <v>4128</v>
      </c>
      <c r="G8341" s="905" t="s">
        <v>2595</v>
      </c>
      <c r="H8341" s="902">
        <v>960</v>
      </c>
      <c r="I8341" s="904" t="s">
        <v>2596</v>
      </c>
      <c r="J8341" s="904"/>
      <c r="K8341" s="904"/>
      <c r="L8341" s="904"/>
      <c r="M8341" s="904"/>
      <c r="N8341" s="904"/>
      <c r="O8341" s="902">
        <v>4</v>
      </c>
      <c r="P8341" s="906">
        <v>38274</v>
      </c>
      <c r="Q8341" s="1415">
        <f>79*0.873</f>
        <v>68.966999999999999</v>
      </c>
      <c r="R8341" s="908">
        <f>$A8341*Q8341</f>
        <v>68.966999999999999</v>
      </c>
      <c r="S8341" s="907"/>
      <c r="T8341" s="909">
        <f>$A8341*S8341*$T$1</f>
        <v>0</v>
      </c>
      <c r="AR8341" s="903">
        <v>1</v>
      </c>
      <c r="AS8341" s="904" t="s">
        <v>3507</v>
      </c>
    </row>
    <row r="8342" spans="1:45" s="520" customFormat="1" ht="12">
      <c r="A8342" s="758"/>
      <c r="B8342" s="758"/>
      <c r="C8342" s="758"/>
      <c r="D8342" s="758"/>
      <c r="E8342" s="758"/>
      <c r="F8342" s="753"/>
      <c r="G8342" s="758"/>
      <c r="H8342" s="758"/>
      <c r="I8342" s="519"/>
      <c r="J8342" s="758"/>
      <c r="K8342" s="758"/>
      <c r="L8342" s="758"/>
      <c r="M8342" s="758"/>
      <c r="N8342" s="758"/>
      <c r="O8342" s="758"/>
      <c r="P8342" s="758"/>
      <c r="Q8342" s="519"/>
      <c r="R8342" s="759">
        <f>$A8342*Q8342</f>
        <v>0</v>
      </c>
      <c r="S8342" s="519"/>
      <c r="T8342" s="760">
        <f>$A8342*S8342*$T$1</f>
        <v>0</v>
      </c>
      <c r="AR8342" s="758"/>
      <c r="AS8342" s="753"/>
    </row>
    <row r="8343" spans="1:45" s="520" customFormat="1" ht="12.6" thickBot="1">
      <c r="A8343" s="761" t="s">
        <v>145</v>
      </c>
      <c r="B8343" s="762">
        <f>(R8342+T8342)</f>
        <v>0</v>
      </c>
      <c r="C8343" s="763"/>
      <c r="D8343" s="763"/>
      <c r="E8343" s="763"/>
      <c r="F8343" s="764"/>
      <c r="G8343" s="763" t="s">
        <v>146</v>
      </c>
      <c r="H8343" s="763"/>
      <c r="I8343" s="765"/>
      <c r="J8343" s="763"/>
      <c r="K8343" s="763" t="s">
        <v>5</v>
      </c>
      <c r="L8343" s="766" t="s">
        <v>143</v>
      </c>
      <c r="M8343" s="766"/>
      <c r="N8343" s="766"/>
      <c r="O8343" s="766"/>
      <c r="P8343" s="766"/>
      <c r="Q8343" s="767"/>
      <c r="R8343" s="768">
        <f>SUM(R8340:R8342)</f>
        <v>68.966999999999999</v>
      </c>
      <c r="S8343" s="763"/>
      <c r="T8343" s="768">
        <f>SUM(T8340:T8342)</f>
        <v>0</v>
      </c>
      <c r="U8343" s="531"/>
      <c r="V8343" s="531"/>
      <c r="W8343" s="531"/>
      <c r="X8343" s="531"/>
      <c r="Y8343" s="531"/>
      <c r="Z8343" s="531"/>
      <c r="AA8343" s="531"/>
      <c r="AB8343" s="531"/>
      <c r="AC8343" s="531"/>
      <c r="AD8343" s="531"/>
      <c r="AE8343" s="531"/>
      <c r="AF8343" s="531"/>
      <c r="AG8343" s="531"/>
      <c r="AH8343" s="531"/>
      <c r="AI8343" s="531"/>
      <c r="AJ8343" s="531"/>
      <c r="AK8343" s="531"/>
      <c r="AL8343" s="531"/>
      <c r="AM8343" s="531"/>
      <c r="AN8343" s="531"/>
      <c r="AO8343" s="531"/>
      <c r="AR8343" s="761" t="s">
        <v>145</v>
      </c>
      <c r="AS8343" s="764"/>
    </row>
    <row r="8344" spans="1:45" s="520" customFormat="1" ht="12" thickTop="1">
      <c r="A8344" s="51"/>
      <c r="B8344" s="41"/>
      <c r="C8344" s="51"/>
      <c r="E8344" s="42" t="s">
        <v>138</v>
      </c>
      <c r="F8344" s="42" t="s">
        <v>139</v>
      </c>
      <c r="G8344" s="51"/>
      <c r="H8344" s="51"/>
      <c r="I8344" s="51"/>
      <c r="J8344" s="51"/>
      <c r="K8344" s="51" t="s">
        <v>140</v>
      </c>
      <c r="L8344" s="51"/>
      <c r="M8344" s="51"/>
      <c r="N8344" s="51"/>
      <c r="O8344" s="52"/>
      <c r="P8344" s="51"/>
      <c r="Q8344" s="51"/>
      <c r="R8344" s="51"/>
      <c r="S8344" s="51"/>
      <c r="T8344" s="41"/>
      <c r="AG8344" s="521" t="s">
        <v>268</v>
      </c>
      <c r="AH8344" s="521" t="s">
        <v>269</v>
      </c>
      <c r="AI8344" s="521" t="s">
        <v>270</v>
      </c>
      <c r="AJ8344" s="521" t="s">
        <v>271</v>
      </c>
      <c r="AK8344" s="521" t="s">
        <v>272</v>
      </c>
      <c r="AM8344" s="745" t="s">
        <v>281</v>
      </c>
      <c r="AN8344" s="746" t="s">
        <v>282</v>
      </c>
      <c r="AO8344" s="522" t="s">
        <v>278</v>
      </c>
      <c r="AR8344" s="51"/>
      <c r="AS8344" s="42" t="s">
        <v>139</v>
      </c>
    </row>
    <row r="8345" spans="1:45" s="520" customFormat="1" ht="12" customHeight="1">
      <c r="A8345" s="747">
        <v>1</v>
      </c>
      <c r="B8345" s="523" t="s">
        <v>141</v>
      </c>
      <c r="C8345" s="748"/>
      <c r="D8345" s="749" t="s">
        <v>2304</v>
      </c>
      <c r="E8345" s="1145">
        <f>IF(AND($A8345=0,$A$1="DIF"),0, ROUND(ROUND(($R8349*$S$3+($T8349*$T$3))/$A8345,2)*$C$3,2))</f>
        <v>88.04</v>
      </c>
      <c r="F8345" s="1146">
        <f>ROUND($A8345*$E8345,2)</f>
        <v>88.04</v>
      </c>
      <c r="G8345" s="752" t="s">
        <v>142</v>
      </c>
      <c r="H8345" s="753"/>
      <c r="I8345" s="754"/>
      <c r="J8345" s="753"/>
      <c r="K8345" s="753" t="s">
        <v>5</v>
      </c>
      <c r="L8345" s="755" t="s">
        <v>143</v>
      </c>
      <c r="M8345" s="755"/>
      <c r="N8345" s="755"/>
      <c r="O8345" s="755"/>
      <c r="P8345" s="755"/>
      <c r="Q8345" s="51"/>
      <c r="T8345" s="1150" t="str">
        <f>IF(AND($R8349=0,$T8349=0),"0.00","mu: "&amp; ROUND(F8345/$C$3/($R8349+$T8349*$D$9),2))</f>
        <v>mu: 1.13</v>
      </c>
      <c r="W8345" s="524"/>
      <c r="AG8345" s="1147">
        <f>IF($E8345=0,0,ROUND($R8349*$S$3*$C$3/$A8345,2))</f>
        <v>88.04</v>
      </c>
      <c r="AH8345" s="1147">
        <f>$AG8345*$A8345</f>
        <v>88.04</v>
      </c>
      <c r="AI8345" s="1148">
        <f>$E8345-$AG8345</f>
        <v>0</v>
      </c>
      <c r="AJ8345" s="1148">
        <f>$A8345*$AI8345</f>
        <v>0</v>
      </c>
      <c r="AK8345" s="1149">
        <f>ROUND(($AG8345+$AI8345)*$A8345,2)</f>
        <v>88.04</v>
      </c>
      <c r="AM8345" s="527">
        <f>ROUND(R8349,2)</f>
        <v>78</v>
      </c>
      <c r="AN8345" s="528">
        <f>ROUND(T8349,2)</f>
        <v>0</v>
      </c>
      <c r="AO8345" s="529">
        <f>ROUND(AM8345+AN8345,2)*A8345</f>
        <v>78</v>
      </c>
      <c r="AR8345" s="747">
        <v>1</v>
      </c>
      <c r="AS8345" s="1146">
        <v>84.71</v>
      </c>
    </row>
    <row r="8346" spans="1:45" s="520" customFormat="1" ht="13.2">
      <c r="A8346" s="748"/>
      <c r="B8346"/>
      <c r="C8346" s="748"/>
      <c r="D8346" s="749" t="s">
        <v>2069</v>
      </c>
      <c r="F8346" s="753"/>
      <c r="G8346" s="3"/>
      <c r="H8346" s="753"/>
      <c r="I8346" s="754"/>
      <c r="J8346" s="753"/>
      <c r="K8346" s="753" t="s">
        <v>144</v>
      </c>
      <c r="L8346" s="753"/>
      <c r="M8346" s="753"/>
      <c r="N8346" s="753"/>
      <c r="O8346" s="753"/>
      <c r="P8346" s="753"/>
      <c r="Q8346" s="51"/>
      <c r="R8346" s="530"/>
      <c r="S8346" s="757"/>
      <c r="T8346" s="753"/>
      <c r="AR8346" s="748"/>
      <c r="AS8346" s="753"/>
    </row>
    <row r="8347" spans="1:45" s="901" customFormat="1" ht="13.2">
      <c r="A8347" s="903">
        <v>1</v>
      </c>
      <c r="B8347" s="904" t="s">
        <v>863</v>
      </c>
      <c r="C8347" s="904"/>
      <c r="D8347" s="904" t="s">
        <v>2594</v>
      </c>
      <c r="E8347" s="904"/>
      <c r="F8347" s="904" t="s">
        <v>4128</v>
      </c>
      <c r="G8347" s="905" t="s">
        <v>2595</v>
      </c>
      <c r="H8347" s="902">
        <v>960</v>
      </c>
      <c r="I8347" s="904" t="s">
        <v>2596</v>
      </c>
      <c r="J8347" s="904"/>
      <c r="K8347" s="904"/>
      <c r="L8347" s="904"/>
      <c r="M8347" s="904"/>
      <c r="N8347" s="904"/>
      <c r="O8347" s="902">
        <v>4</v>
      </c>
      <c r="P8347" s="906">
        <v>38274</v>
      </c>
      <c r="Q8347" s="1415">
        <f>79*0.9873</f>
        <v>77.99669999999999</v>
      </c>
      <c r="R8347" s="908">
        <f>$A8347*Q8347</f>
        <v>77.99669999999999</v>
      </c>
      <c r="S8347" s="907"/>
      <c r="T8347" s="909">
        <f>$A8347*S8347*$T$1</f>
        <v>0</v>
      </c>
      <c r="AR8347" s="903">
        <v>1</v>
      </c>
      <c r="AS8347" s="904" t="s">
        <v>3507</v>
      </c>
    </row>
    <row r="8348" spans="1:45" s="520" customFormat="1" ht="12">
      <c r="A8348" s="758"/>
      <c r="B8348" s="758"/>
      <c r="C8348" s="758"/>
      <c r="D8348" s="758"/>
      <c r="E8348" s="758"/>
      <c r="F8348" s="753"/>
      <c r="G8348" s="758"/>
      <c r="H8348" s="758"/>
      <c r="I8348" s="519"/>
      <c r="J8348" s="758"/>
      <c r="K8348" s="758"/>
      <c r="L8348" s="758"/>
      <c r="M8348" s="758"/>
      <c r="N8348" s="758"/>
      <c r="O8348" s="758"/>
      <c r="P8348" s="758"/>
      <c r="Q8348" s="519"/>
      <c r="R8348" s="759">
        <f>$A8348*Q8348</f>
        <v>0</v>
      </c>
      <c r="S8348" s="519"/>
      <c r="T8348" s="760">
        <f>$A8348*S8348*$T$1</f>
        <v>0</v>
      </c>
      <c r="AR8348" s="758"/>
      <c r="AS8348" s="753"/>
    </row>
    <row r="8349" spans="1:45" s="520" customFormat="1" ht="12.6" thickBot="1">
      <c r="A8349" s="761" t="s">
        <v>145</v>
      </c>
      <c r="B8349" s="762">
        <f>(R8348+T8348)</f>
        <v>0</v>
      </c>
      <c r="C8349" s="763"/>
      <c r="D8349" s="763"/>
      <c r="E8349" s="763"/>
      <c r="F8349" s="764"/>
      <c r="G8349" s="763" t="s">
        <v>146</v>
      </c>
      <c r="H8349" s="763"/>
      <c r="I8349" s="765"/>
      <c r="J8349" s="763"/>
      <c r="K8349" s="763" t="s">
        <v>5</v>
      </c>
      <c r="L8349" s="766" t="s">
        <v>143</v>
      </c>
      <c r="M8349" s="766"/>
      <c r="N8349" s="766"/>
      <c r="O8349" s="766"/>
      <c r="P8349" s="766"/>
      <c r="Q8349" s="767"/>
      <c r="R8349" s="768">
        <f>SUM(R8346:R8348)</f>
        <v>77.99669999999999</v>
      </c>
      <c r="S8349" s="763"/>
      <c r="T8349" s="768">
        <f>SUM(T8346:T8348)</f>
        <v>0</v>
      </c>
      <c r="U8349" s="531"/>
      <c r="V8349" s="531"/>
      <c r="W8349" s="531"/>
      <c r="X8349" s="531"/>
      <c r="Y8349" s="531"/>
      <c r="Z8349" s="531"/>
      <c r="AA8349" s="531"/>
      <c r="AB8349" s="531"/>
      <c r="AC8349" s="531"/>
      <c r="AD8349" s="531"/>
      <c r="AE8349" s="531"/>
      <c r="AF8349" s="531"/>
      <c r="AG8349" s="531"/>
      <c r="AH8349" s="531"/>
      <c r="AI8349" s="531"/>
      <c r="AJ8349" s="531"/>
      <c r="AK8349" s="531"/>
      <c r="AL8349" s="531"/>
      <c r="AM8349" s="531"/>
      <c r="AN8349" s="531"/>
      <c r="AO8349" s="531"/>
      <c r="AR8349" s="761" t="s">
        <v>145</v>
      </c>
      <c r="AS8349" s="764"/>
    </row>
    <row r="8350" spans="1:45" s="520" customFormat="1" ht="12" thickTop="1">
      <c r="A8350" s="48" t="s">
        <v>148</v>
      </c>
      <c r="D8350" s="13"/>
      <c r="E8350" s="42"/>
      <c r="O8350" s="771"/>
      <c r="AR8350" s="48" t="s">
        <v>148</v>
      </c>
    </row>
    <row r="8351" spans="1:45" s="520" customFormat="1" ht="13.2">
      <c r="B8351" s="3"/>
      <c r="O8351" s="771"/>
    </row>
    <row r="8352" spans="1:45" s="520" customFormat="1" ht="12">
      <c r="B8352" s="772">
        <f ca="1">$F8352/$C$2-($R8352*$S$2+$T8352*$T$2)</f>
        <v>-964.90959048480363</v>
      </c>
      <c r="D8352" s="773" t="s">
        <v>1065</v>
      </c>
      <c r="E8352" s="774"/>
      <c r="F8352" s="775">
        <f ca="1">SUMIF($L8149:$L8350,"ITEM",F8149:F8350)</f>
        <v>21604.920000000002</v>
      </c>
      <c r="G8352" s="758"/>
      <c r="H8352" s="758"/>
      <c r="I8352" s="519"/>
      <c r="J8352" s="758"/>
      <c r="K8352" s="758"/>
      <c r="L8352" s="755" t="s">
        <v>157</v>
      </c>
      <c r="M8352" s="755"/>
      <c r="N8352" s="755"/>
      <c r="O8352" s="755"/>
      <c r="P8352" s="755"/>
      <c r="R8352" s="775">
        <f ca="1">SUMIF($L8149:$L8350,"ITEM",R8149:R8350)</f>
        <v>12793.490700000002</v>
      </c>
      <c r="S8352" s="776"/>
      <c r="T8352" s="775">
        <f ca="1">SUMIF($L8149:$L8350,"ITEM",T8149:T8350)</f>
        <v>201.60000000000005</v>
      </c>
      <c r="AS8352" s="775">
        <v>23287.909999999996</v>
      </c>
    </row>
    <row r="8353" spans="1:45" s="520" customFormat="1" ht="13.2">
      <c r="A8353" s="51"/>
      <c r="B8353" s="49" t="s">
        <v>1064</v>
      </c>
      <c r="C8353" s="51"/>
      <c r="D8353" s="3"/>
      <c r="F8353" s="777" t="s">
        <v>158</v>
      </c>
      <c r="G8353" s="758"/>
      <c r="H8353" s="758"/>
      <c r="I8353" s="519"/>
      <c r="J8353" s="758"/>
      <c r="K8353" s="758"/>
      <c r="L8353" s="758"/>
      <c r="M8353" s="758"/>
      <c r="N8353" s="758"/>
      <c r="O8353" s="758"/>
      <c r="P8353" s="758"/>
      <c r="Q8353" s="778"/>
      <c r="R8353" s="777" t="s">
        <v>159</v>
      </c>
      <c r="S8353" s="38"/>
      <c r="T8353" s="777" t="s">
        <v>160</v>
      </c>
      <c r="AR8353" s="51"/>
      <c r="AS8353" s="777" t="s">
        <v>158</v>
      </c>
    </row>
    <row r="8354" spans="1:45" s="520" customFormat="1" ht="13.2">
      <c r="A8354" s="758"/>
      <c r="B8354" s="3"/>
      <c r="C8354" s="758"/>
      <c r="D8354" s="3"/>
      <c r="E8354" s="3"/>
      <c r="G8354" s="3"/>
      <c r="H8354" s="3"/>
      <c r="I8354" s="3"/>
      <c r="J8354" s="3"/>
      <c r="K8354" s="3"/>
      <c r="L8354" s="3"/>
      <c r="M8354" s="3"/>
      <c r="N8354" s="3"/>
      <c r="O8354" s="107"/>
      <c r="P8354" s="3"/>
      <c r="Q8354" s="3"/>
      <c r="R8354" s="3"/>
      <c r="S8354" s="3"/>
      <c r="T8354" s="3"/>
      <c r="AR8354" s="758"/>
    </row>
    <row r="8355" spans="1:45" s="520" customFormat="1" ht="12" thickBot="1">
      <c r="A8355" s="531"/>
      <c r="B8355" s="763"/>
      <c r="C8355" s="763"/>
      <c r="D8355" s="531"/>
      <c r="E8355" s="39"/>
      <c r="F8355" s="779"/>
      <c r="G8355" s="763"/>
      <c r="H8355" s="763"/>
      <c r="I8355" s="765"/>
      <c r="J8355" s="763"/>
      <c r="K8355" s="763"/>
      <c r="L8355" s="766"/>
      <c r="M8355" s="766"/>
      <c r="N8355" s="766"/>
      <c r="O8355" s="766"/>
      <c r="P8355" s="766"/>
      <c r="Q8355" s="767"/>
      <c r="R8355" s="779"/>
      <c r="S8355" s="780"/>
      <c r="T8355" s="779"/>
      <c r="U8355" s="531"/>
      <c r="V8355" s="531"/>
      <c r="W8355" s="531"/>
      <c r="X8355" s="531"/>
      <c r="Y8355" s="531"/>
      <c r="Z8355" s="531"/>
      <c r="AA8355" s="531"/>
      <c r="AB8355" s="531"/>
      <c r="AC8355" s="531"/>
      <c r="AD8355" s="531"/>
      <c r="AE8355" s="531"/>
      <c r="AF8355" s="531"/>
      <c r="AG8355" s="531"/>
      <c r="AH8355" s="531"/>
      <c r="AI8355" s="531"/>
      <c r="AJ8355" s="531"/>
      <c r="AK8355" s="531"/>
      <c r="AR8355" s="531"/>
      <c r="AS8355" s="779"/>
    </row>
    <row r="8356" spans="1:45" s="520" customFormat="1" thickTop="1">
      <c r="A8356" s="51"/>
      <c r="B8356" s="51"/>
      <c r="C8356" s="3"/>
      <c r="D8356" s="3"/>
      <c r="E8356" s="51"/>
      <c r="F8356" s="51"/>
      <c r="G8356" s="51"/>
      <c r="H8356" s="51"/>
      <c r="I8356" s="51"/>
      <c r="J8356" s="51"/>
      <c r="K8356" s="51" t="s">
        <v>134</v>
      </c>
      <c r="L8356" s="51"/>
      <c r="M8356" s="51"/>
      <c r="N8356" s="51"/>
      <c r="O8356" s="52"/>
      <c r="P8356" s="51"/>
      <c r="Q8356" s="51"/>
      <c r="R8356" s="51"/>
      <c r="S8356" s="51"/>
      <c r="T8356" s="51"/>
      <c r="AR8356" s="51"/>
      <c r="AS8356" s="51"/>
    </row>
    <row r="8357" spans="1:45" s="520" customFormat="1" ht="12">
      <c r="A8357" s="51"/>
      <c r="B8357" s="51"/>
      <c r="C8357" s="51" t="s">
        <v>135</v>
      </c>
      <c r="D8357" s="37"/>
      <c r="E8357" s="51"/>
      <c r="F8357" s="51"/>
      <c r="G8357" s="51"/>
      <c r="H8357" s="51"/>
      <c r="I8357" s="51"/>
      <c r="J8357" s="51"/>
      <c r="K8357" s="51"/>
      <c r="L8357" s="51"/>
      <c r="M8357" s="51"/>
      <c r="N8357" s="51"/>
      <c r="O8357" s="52"/>
      <c r="P8357" s="51"/>
      <c r="Q8357" s="51"/>
      <c r="R8357" s="51"/>
      <c r="S8357" s="51"/>
      <c r="T8357" s="51"/>
      <c r="AR8357" s="51"/>
      <c r="AS8357" s="51"/>
    </row>
    <row r="8358" spans="1:45" s="520" customFormat="1" ht="12">
      <c r="A8358" s="51"/>
      <c r="B8358" s="51"/>
      <c r="C8358" s="51"/>
      <c r="D8358" s="37" t="s">
        <v>2072</v>
      </c>
      <c r="E8358" s="51"/>
      <c r="F8358" s="51"/>
      <c r="G8358" s="51"/>
      <c r="H8358" s="51"/>
      <c r="I8358" s="51"/>
      <c r="J8358" s="51"/>
      <c r="K8358" s="51"/>
      <c r="L8358" s="51"/>
      <c r="M8358" s="51"/>
      <c r="N8358" s="51"/>
      <c r="O8358" s="52"/>
      <c r="P8358" s="51"/>
      <c r="Q8358" s="51"/>
      <c r="R8358" s="51"/>
      <c r="S8358" s="38"/>
      <c r="T8358" s="38"/>
      <c r="AR8358" s="51"/>
      <c r="AS8358" s="51"/>
    </row>
    <row r="8359" spans="1:45" s="3" customFormat="1" thickBot="1">
      <c r="A8359" s="531"/>
      <c r="O8359" s="107"/>
      <c r="AR8359" s="531"/>
    </row>
    <row r="8360" spans="1:45" s="520" customFormat="1" thickTop="1">
      <c r="A8360" s="51"/>
      <c r="B8360" s="51"/>
      <c r="C8360" s="3"/>
      <c r="D8360" s="3"/>
      <c r="E8360" s="51"/>
      <c r="F8360" s="51"/>
      <c r="G8360" s="51"/>
      <c r="H8360" s="51"/>
      <c r="I8360" s="51"/>
      <c r="J8360" s="51"/>
      <c r="K8360" s="51" t="s">
        <v>134</v>
      </c>
      <c r="L8360" s="51"/>
      <c r="M8360" s="51"/>
      <c r="N8360" s="51"/>
      <c r="O8360" s="52"/>
      <c r="P8360" s="51"/>
      <c r="Q8360" s="51"/>
      <c r="R8360" s="51"/>
      <c r="S8360" s="51"/>
      <c r="T8360" s="51"/>
      <c r="AR8360" s="51"/>
      <c r="AS8360" s="51"/>
    </row>
    <row r="8361" spans="1:45" s="520" customFormat="1" ht="12">
      <c r="A8361" s="51"/>
      <c r="B8361" s="51"/>
      <c r="C8361" s="51" t="s">
        <v>135</v>
      </c>
      <c r="D8361" s="37"/>
      <c r="E8361" s="51"/>
      <c r="F8361" s="51"/>
      <c r="G8361" s="51"/>
      <c r="H8361" s="51"/>
      <c r="I8361" s="51"/>
      <c r="J8361" s="51"/>
      <c r="K8361" s="51"/>
      <c r="L8361" s="51"/>
      <c r="M8361" s="51"/>
      <c r="N8361" s="51"/>
      <c r="O8361" s="52"/>
      <c r="P8361" s="51"/>
      <c r="Q8361" s="51"/>
      <c r="R8361" s="51"/>
      <c r="S8361" s="51"/>
      <c r="T8361" s="51"/>
      <c r="AR8361" s="51"/>
      <c r="AS8361" s="51"/>
    </row>
    <row r="8362" spans="1:45" s="520" customFormat="1" ht="39.9" customHeight="1">
      <c r="A8362" s="51"/>
      <c r="B8362" s="51"/>
      <c r="C8362" s="51"/>
      <c r="D8362" s="1453" t="s">
        <v>2276</v>
      </c>
      <c r="E8362" s="1452"/>
      <c r="F8362" s="1452"/>
      <c r="G8362" s="1452"/>
      <c r="H8362" s="1452"/>
      <c r="I8362" s="1452"/>
      <c r="J8362" s="1452"/>
      <c r="K8362" s="1452"/>
      <c r="L8362" s="1452"/>
      <c r="M8362" s="1452"/>
      <c r="N8362" s="1452"/>
      <c r="O8362" s="1452"/>
      <c r="P8362" s="1452"/>
      <c r="Q8362" s="1452"/>
      <c r="R8362" s="1452"/>
      <c r="S8362" s="1452"/>
      <c r="T8362" s="1452"/>
      <c r="AR8362" s="51"/>
    </row>
    <row r="8363" spans="1:45" s="3" customFormat="1" thickBot="1">
      <c r="A8363" s="531"/>
      <c r="O8363" s="107"/>
      <c r="AR8363" s="531"/>
    </row>
    <row r="8364" spans="1:45" s="520" customFormat="1" ht="12" thickTop="1">
      <c r="A8364" s="51"/>
      <c r="B8364" s="41"/>
      <c r="C8364" s="51"/>
      <c r="E8364" s="42" t="s">
        <v>138</v>
      </c>
      <c r="F8364" s="42" t="s">
        <v>139</v>
      </c>
      <c r="G8364" s="51"/>
      <c r="H8364" s="51"/>
      <c r="I8364" s="51"/>
      <c r="J8364" s="51"/>
      <c r="K8364" s="51" t="s">
        <v>140</v>
      </c>
      <c r="L8364" s="51"/>
      <c r="M8364" s="51"/>
      <c r="N8364" s="51"/>
      <c r="O8364" s="52"/>
      <c r="P8364" s="51"/>
      <c r="Q8364" s="51"/>
      <c r="R8364" s="51"/>
      <c r="S8364" s="51"/>
      <c r="T8364" s="41"/>
      <c r="AG8364" s="521" t="s">
        <v>268</v>
      </c>
      <c r="AH8364" s="521" t="s">
        <v>269</v>
      </c>
      <c r="AI8364" s="521" t="s">
        <v>270</v>
      </c>
      <c r="AJ8364" s="521" t="s">
        <v>271</v>
      </c>
      <c r="AK8364" s="521" t="s">
        <v>272</v>
      </c>
      <c r="AM8364" s="745" t="s">
        <v>281</v>
      </c>
      <c r="AN8364" s="746" t="s">
        <v>282</v>
      </c>
      <c r="AO8364" s="522" t="s">
        <v>278</v>
      </c>
      <c r="AR8364" s="51"/>
      <c r="AS8364" s="42" t="s">
        <v>139</v>
      </c>
    </row>
    <row r="8365" spans="1:45" s="520" customFormat="1" ht="12" customHeight="1">
      <c r="A8365" s="747">
        <v>8</v>
      </c>
      <c r="B8365" s="523" t="s">
        <v>141</v>
      </c>
      <c r="C8365" s="748"/>
      <c r="D8365" s="749" t="s">
        <v>2305</v>
      </c>
      <c r="E8365" s="750">
        <f ca="1">IF(AND($A8365=0,$A$1="DIF"),0, ROUND(ROUND(($R8370*$S$2+($T8370*$T$2))/A8365,2)*$C$2,2))</f>
        <v>98.17</v>
      </c>
      <c r="F8365" s="751">
        <f ca="1">ROUND($A8365*$E8365,2)</f>
        <v>785.36</v>
      </c>
      <c r="G8365" s="752" t="s">
        <v>142</v>
      </c>
      <c r="H8365" s="753"/>
      <c r="I8365" s="754"/>
      <c r="J8365" s="753"/>
      <c r="K8365" s="753" t="s">
        <v>3</v>
      </c>
      <c r="L8365" s="755" t="s">
        <v>143</v>
      </c>
      <c r="M8365" s="755"/>
      <c r="N8365" s="755"/>
      <c r="O8365" s="755"/>
      <c r="P8365" s="755"/>
      <c r="Q8365" s="51"/>
      <c r="T8365" s="756" t="str">
        <f ca="1">IF(AND($R8370=0,$T8370=0),"0.00","mu :" &amp; ROUND($F8365/$C$2/($R8370+$T8370*$D$9),2))</f>
        <v>mu :1.23</v>
      </c>
      <c r="W8365" s="524"/>
      <c r="AG8365" s="481">
        <f ca="1">IF($E8365=0,0,ROUND($R8370*$S$2*$C$2/$A8365,2))</f>
        <v>37.31</v>
      </c>
      <c r="AH8365" s="481">
        <f ca="1">$AG8365*$A8365</f>
        <v>298.48</v>
      </c>
      <c r="AI8365" s="525">
        <f ca="1">$E8365-$AG8365</f>
        <v>60.86</v>
      </c>
      <c r="AJ8365" s="525">
        <f ca="1">$A8365*$AI8365</f>
        <v>486.88</v>
      </c>
      <c r="AK8365" s="526">
        <f ca="1">ROUND(($AG8365+$AI8365)*$A8365,2)</f>
        <v>785.36</v>
      </c>
      <c r="AM8365" s="527">
        <f ca="1">ROUND(R8370,2)</f>
        <v>242.4</v>
      </c>
      <c r="AN8365" s="528">
        <f ca="1">ROUND(T8370,2)</f>
        <v>14.4</v>
      </c>
      <c r="AO8365" s="529">
        <f ca="1">ROUND(AM8365+AN8365,2)*A8365</f>
        <v>2054.4</v>
      </c>
      <c r="AR8365" s="747">
        <v>7</v>
      </c>
      <c r="AS8365" s="751">
        <v>734.58</v>
      </c>
    </row>
    <row r="8366" spans="1:45" s="520" customFormat="1" ht="13.2">
      <c r="A8366" s="748"/>
      <c r="B8366"/>
      <c r="C8366" s="748"/>
      <c r="D8366" s="749" t="s">
        <v>2061</v>
      </c>
      <c r="F8366" s="753"/>
      <c r="G8366" s="3"/>
      <c r="H8366" s="753"/>
      <c r="I8366" s="754"/>
      <c r="J8366" s="753"/>
      <c r="K8366" s="753" t="s">
        <v>144</v>
      </c>
      <c r="L8366" s="753"/>
      <c r="M8366" s="753"/>
      <c r="N8366" s="753"/>
      <c r="O8366" s="753"/>
      <c r="P8366" s="753"/>
      <c r="Q8366" s="51"/>
      <c r="R8366" s="530"/>
      <c r="S8366" s="757"/>
      <c r="T8366" s="753"/>
      <c r="AR8366" s="748"/>
      <c r="AS8366" s="753"/>
    </row>
    <row r="8367" spans="1:45" s="886" customFormat="1" ht="15.6" customHeight="1">
      <c r="A8367"/>
      <c r="B8367" s="910"/>
      <c r="C8367" s="910" t="s">
        <v>2597</v>
      </c>
      <c r="D8367" s="910" t="str">
        <f ca="1">CELL("Address",Elec_Rates!D$1023)</f>
        <v>[E25_0062_Quintano_Foods_Elec_ELV_As_Awarded.xlsx]Elec_Rates!$D$1023</v>
      </c>
      <c r="E8367" s="911"/>
      <c r="F8367" s="911"/>
      <c r="G8367" s="912" t="s">
        <v>2598</v>
      </c>
      <c r="H8367" s="912"/>
      <c r="I8367" s="912"/>
      <c r="J8367" s="912"/>
      <c r="K8367" s="913"/>
      <c r="L8367" s="911"/>
      <c r="M8367" s="911"/>
      <c r="N8367" s="911"/>
      <c r="O8367" s="914"/>
      <c r="P8367" s="911"/>
      <c r="Q8367" s="915"/>
      <c r="R8367" s="916"/>
      <c r="S8367" s="915"/>
      <c r="T8367" s="917"/>
      <c r="U8367" s="918"/>
      <c r="AR8367"/>
      <c r="AS8367" s="911"/>
    </row>
    <row r="8368" spans="1:45" s="886" customFormat="1" ht="11.4">
      <c r="A8368" s="919">
        <v>8</v>
      </c>
      <c r="B8368" s="920">
        <v>1</v>
      </c>
      <c r="C8368" s="920">
        <f>$A8368*$B8368</f>
        <v>8</v>
      </c>
      <c r="D8368" s="921" t="str">
        <f>Elec_Rates!$D$1023</f>
        <v>091# Galvanised Conduit points for Fire alarm devices</v>
      </c>
      <c r="E8368" s="921"/>
      <c r="F8368" s="921" t="s">
        <v>2599</v>
      </c>
      <c r="G8368" s="922" t="s">
        <v>2601</v>
      </c>
      <c r="H8368" s="922"/>
      <c r="I8368" s="922"/>
      <c r="J8368" s="922"/>
      <c r="K8368" s="923"/>
      <c r="L8368" s="918"/>
      <c r="M8368" s="918"/>
      <c r="N8368" s="918"/>
      <c r="O8368" s="924"/>
      <c r="P8368" s="921"/>
      <c r="Q8368" s="925">
        <f ca="1">$B8368*Elec_Rates!$R$1023</f>
        <v>30.3</v>
      </c>
      <c r="R8368" s="916">
        <f ca="1">$A8368*Q8368</f>
        <v>242.4</v>
      </c>
      <c r="S8368" s="925">
        <f ca="1">$B8368*Elec_Rates!$T$1023</f>
        <v>1.8</v>
      </c>
      <c r="T8368" s="917">
        <f ca="1">$A8368*S8368</f>
        <v>14.4</v>
      </c>
      <c r="U8368" s="926"/>
      <c r="AR8368" s="919">
        <v>7</v>
      </c>
      <c r="AS8368" s="921" t="s">
        <v>2599</v>
      </c>
    </row>
    <row r="8369" spans="1:45" s="520" customFormat="1" ht="12">
      <c r="A8369" s="758"/>
      <c r="B8369" s="758"/>
      <c r="C8369" s="758"/>
      <c r="D8369" s="758"/>
      <c r="E8369" s="758"/>
      <c r="F8369" s="753"/>
      <c r="G8369" s="758"/>
      <c r="H8369" s="758"/>
      <c r="I8369" s="519"/>
      <c r="J8369" s="758"/>
      <c r="K8369" s="758"/>
      <c r="L8369" s="758"/>
      <c r="M8369" s="758"/>
      <c r="N8369" s="758"/>
      <c r="O8369" s="758"/>
      <c r="P8369" s="758"/>
      <c r="Q8369" s="519"/>
      <c r="R8369" s="759">
        <f>$A8369*Q8369</f>
        <v>0</v>
      </c>
      <c r="S8369" s="519"/>
      <c r="T8369" s="760">
        <f>$A8369*S8369*$T$1</f>
        <v>0</v>
      </c>
      <c r="AR8369" s="758"/>
      <c r="AS8369" s="753"/>
    </row>
    <row r="8370" spans="1:45" s="520" customFormat="1" ht="12.6" thickBot="1">
      <c r="A8370" s="761" t="s">
        <v>145</v>
      </c>
      <c r="B8370" s="762">
        <f>(R8369+T8369)</f>
        <v>0</v>
      </c>
      <c r="C8370" s="763"/>
      <c r="D8370" s="763"/>
      <c r="E8370" s="763"/>
      <c r="F8370" s="764"/>
      <c r="G8370" s="763" t="s">
        <v>146</v>
      </c>
      <c r="H8370" s="763"/>
      <c r="I8370" s="765"/>
      <c r="J8370" s="763"/>
      <c r="K8370" s="763" t="s">
        <v>3</v>
      </c>
      <c r="L8370" s="766" t="s">
        <v>143</v>
      </c>
      <c r="M8370" s="766"/>
      <c r="N8370" s="766"/>
      <c r="O8370" s="766"/>
      <c r="P8370" s="766"/>
      <c r="Q8370" s="767"/>
      <c r="R8370" s="768">
        <f ca="1">SUM(R8366:R8369)</f>
        <v>242.4</v>
      </c>
      <c r="S8370" s="763"/>
      <c r="T8370" s="768">
        <f ca="1">SUM(T8366:T8369)</f>
        <v>14.4</v>
      </c>
      <c r="U8370" s="531"/>
      <c r="V8370" s="531"/>
      <c r="W8370" s="531"/>
      <c r="X8370" s="531"/>
      <c r="Y8370" s="531"/>
      <c r="Z8370" s="531"/>
      <c r="AA8370" s="531"/>
      <c r="AB8370" s="531"/>
      <c r="AC8370" s="531"/>
      <c r="AD8370" s="531"/>
      <c r="AE8370" s="531"/>
      <c r="AF8370" s="531"/>
      <c r="AG8370" s="531"/>
      <c r="AH8370" s="531"/>
      <c r="AI8370" s="531"/>
      <c r="AJ8370" s="531"/>
      <c r="AK8370" s="531"/>
      <c r="AL8370" s="531"/>
      <c r="AM8370" s="531"/>
      <c r="AN8370" s="531"/>
      <c r="AO8370" s="531"/>
      <c r="AR8370" s="761" t="s">
        <v>145</v>
      </c>
      <c r="AS8370" s="764"/>
    </row>
    <row r="8371" spans="1:45" s="520" customFormat="1" ht="12" thickTop="1">
      <c r="A8371" s="51"/>
      <c r="B8371" s="41"/>
      <c r="C8371" s="51"/>
      <c r="E8371" s="42" t="s">
        <v>138</v>
      </c>
      <c r="F8371" s="42" t="s">
        <v>139</v>
      </c>
      <c r="G8371" s="51"/>
      <c r="H8371" s="51"/>
      <c r="I8371" s="51"/>
      <c r="J8371" s="51"/>
      <c r="K8371" s="51" t="s">
        <v>140</v>
      </c>
      <c r="L8371" s="51"/>
      <c r="M8371" s="51"/>
      <c r="N8371" s="51"/>
      <c r="O8371" s="52"/>
      <c r="P8371" s="51"/>
      <c r="Q8371" s="51"/>
      <c r="R8371" s="51"/>
      <c r="S8371" s="51"/>
      <c r="T8371" s="41"/>
      <c r="AG8371" s="521" t="s">
        <v>268</v>
      </c>
      <c r="AH8371" s="521" t="s">
        <v>269</v>
      </c>
      <c r="AI8371" s="521" t="s">
        <v>270</v>
      </c>
      <c r="AJ8371" s="521" t="s">
        <v>271</v>
      </c>
      <c r="AK8371" s="521" t="s">
        <v>272</v>
      </c>
      <c r="AM8371" s="745" t="s">
        <v>281</v>
      </c>
      <c r="AN8371" s="746" t="s">
        <v>282</v>
      </c>
      <c r="AO8371" s="522" t="s">
        <v>278</v>
      </c>
      <c r="AR8371" s="51"/>
      <c r="AS8371" s="42" t="s">
        <v>139</v>
      </c>
    </row>
    <row r="8372" spans="1:45" s="520" customFormat="1" ht="12" customHeight="1">
      <c r="A8372" s="747">
        <v>5</v>
      </c>
      <c r="B8372" s="523" t="s">
        <v>141</v>
      </c>
      <c r="C8372" s="748"/>
      <c r="D8372" s="749" t="s">
        <v>2306</v>
      </c>
      <c r="E8372" s="750">
        <f ca="1">IF(AND($A8372=0,$A$1="DIF"),0, ROUND(ROUND(($R8377*$S$2+($T8377*$T$2))/A8372,2)*$C$2,2))</f>
        <v>98.17</v>
      </c>
      <c r="F8372" s="751">
        <f ca="1">ROUND($A8372*$E8372,2)</f>
        <v>490.85</v>
      </c>
      <c r="G8372" s="752" t="s">
        <v>142</v>
      </c>
      <c r="H8372" s="753"/>
      <c r="I8372" s="754"/>
      <c r="J8372" s="753"/>
      <c r="K8372" s="753" t="s">
        <v>3</v>
      </c>
      <c r="L8372" s="755" t="s">
        <v>143</v>
      </c>
      <c r="M8372" s="755"/>
      <c r="N8372" s="755"/>
      <c r="O8372" s="755"/>
      <c r="P8372" s="755"/>
      <c r="Q8372" s="51"/>
      <c r="T8372" s="756" t="str">
        <f ca="1">IF(AND($R8377=0,$T8377=0),"0.00","mu :" &amp; ROUND($F8372/$C$2/($R8377+$T8377*$D$9),2))</f>
        <v>mu :1.23</v>
      </c>
      <c r="W8372" s="524"/>
      <c r="AG8372" s="481">
        <f ca="1">IF($E8372=0,0,ROUND($R8377*$S$2*$C$2/$A8372,2))</f>
        <v>37.31</v>
      </c>
      <c r="AH8372" s="481">
        <f ca="1">$AG8372*$A8372</f>
        <v>186.55</v>
      </c>
      <c r="AI8372" s="525">
        <f ca="1">$E8372-$AG8372</f>
        <v>60.86</v>
      </c>
      <c r="AJ8372" s="525">
        <f ca="1">$A8372*$AI8372</f>
        <v>304.3</v>
      </c>
      <c r="AK8372" s="526">
        <f ca="1">ROUND(($AG8372+$AI8372)*$A8372,2)</f>
        <v>490.85</v>
      </c>
      <c r="AM8372" s="527">
        <f ca="1">ROUND(R8377,2)</f>
        <v>151.5</v>
      </c>
      <c r="AN8372" s="528">
        <f ca="1">ROUND(T8377,2)</f>
        <v>9</v>
      </c>
      <c r="AO8372" s="529">
        <f ca="1">ROUND(AM8372+AN8372,2)*A8372</f>
        <v>802.5</v>
      </c>
      <c r="AR8372" s="747">
        <v>4</v>
      </c>
      <c r="AS8372" s="751">
        <v>419.76</v>
      </c>
    </row>
    <row r="8373" spans="1:45" s="520" customFormat="1" ht="13.2">
      <c r="A8373" s="748"/>
      <c r="B8373"/>
      <c r="C8373" s="748"/>
      <c r="D8373" s="749" t="s">
        <v>2062</v>
      </c>
      <c r="F8373" s="753"/>
      <c r="G8373" s="3"/>
      <c r="H8373" s="753"/>
      <c r="I8373" s="754"/>
      <c r="J8373" s="753"/>
      <c r="K8373" s="753" t="s">
        <v>144</v>
      </c>
      <c r="L8373" s="753"/>
      <c r="M8373" s="753"/>
      <c r="N8373" s="753"/>
      <c r="O8373" s="753"/>
      <c r="P8373" s="753"/>
      <c r="Q8373" s="51"/>
      <c r="R8373" s="530"/>
      <c r="S8373" s="757"/>
      <c r="T8373" s="753"/>
      <c r="AR8373" s="748"/>
      <c r="AS8373" s="753"/>
    </row>
    <row r="8374" spans="1:45" s="886" customFormat="1" ht="15.6" customHeight="1">
      <c r="A8374"/>
      <c r="B8374" s="910"/>
      <c r="C8374" s="910" t="s">
        <v>2597</v>
      </c>
      <c r="D8374" s="910" t="str">
        <f ca="1">CELL("Address",Elec_Rates!D$1023)</f>
        <v>[E25_0062_Quintano_Foods_Elec_ELV_As_Awarded.xlsx]Elec_Rates!$D$1023</v>
      </c>
      <c r="E8374" s="911"/>
      <c r="F8374" s="911"/>
      <c r="G8374" s="912" t="s">
        <v>2598</v>
      </c>
      <c r="H8374" s="912"/>
      <c r="I8374" s="912"/>
      <c r="J8374" s="912"/>
      <c r="K8374" s="913"/>
      <c r="L8374" s="911"/>
      <c r="M8374" s="911"/>
      <c r="N8374" s="911"/>
      <c r="O8374" s="914"/>
      <c r="P8374" s="911"/>
      <c r="Q8374" s="915"/>
      <c r="R8374" s="916"/>
      <c r="S8374" s="915"/>
      <c r="T8374" s="917"/>
      <c r="U8374" s="918"/>
      <c r="AR8374"/>
      <c r="AS8374" s="911"/>
    </row>
    <row r="8375" spans="1:45" s="886" customFormat="1" ht="11.4">
      <c r="A8375" s="919">
        <v>5</v>
      </c>
      <c r="B8375" s="920">
        <v>1</v>
      </c>
      <c r="C8375" s="920">
        <f>$A8375*$B8375</f>
        <v>5</v>
      </c>
      <c r="D8375" s="921" t="str">
        <f>Elec_Rates!$D$1023</f>
        <v>091# Galvanised Conduit points for Fire alarm devices</v>
      </c>
      <c r="E8375" s="921"/>
      <c r="F8375" s="921" t="s">
        <v>2599</v>
      </c>
      <c r="G8375" s="922" t="s">
        <v>2601</v>
      </c>
      <c r="H8375" s="922"/>
      <c r="I8375" s="922"/>
      <c r="J8375" s="922"/>
      <c r="K8375" s="923"/>
      <c r="L8375" s="918"/>
      <c r="M8375" s="918"/>
      <c r="N8375" s="918"/>
      <c r="O8375" s="924"/>
      <c r="P8375" s="921"/>
      <c r="Q8375" s="925">
        <f ca="1">$B8375*Elec_Rates!$R$1023</f>
        <v>30.3</v>
      </c>
      <c r="R8375" s="916">
        <f ca="1">$A8375*Q8375</f>
        <v>151.5</v>
      </c>
      <c r="S8375" s="925">
        <f ca="1">$B8375*Elec_Rates!$T$1023</f>
        <v>1.8</v>
      </c>
      <c r="T8375" s="917">
        <f ca="1">$A8375*S8375</f>
        <v>9</v>
      </c>
      <c r="U8375" s="926"/>
      <c r="AR8375" s="919">
        <v>4</v>
      </c>
      <c r="AS8375" s="921" t="s">
        <v>2599</v>
      </c>
    </row>
    <row r="8376" spans="1:45" s="520" customFormat="1" ht="12">
      <c r="A8376" s="758"/>
      <c r="B8376" s="758"/>
      <c r="C8376" s="758"/>
      <c r="D8376" s="758"/>
      <c r="E8376" s="758"/>
      <c r="F8376" s="753"/>
      <c r="G8376" s="758"/>
      <c r="H8376" s="758"/>
      <c r="I8376" s="519"/>
      <c r="J8376" s="758"/>
      <c r="K8376" s="758"/>
      <c r="L8376" s="758"/>
      <c r="M8376" s="758"/>
      <c r="N8376" s="758"/>
      <c r="O8376" s="758"/>
      <c r="P8376" s="758"/>
      <c r="Q8376" s="519"/>
      <c r="R8376" s="759">
        <f>$A8376*Q8376</f>
        <v>0</v>
      </c>
      <c r="S8376" s="519"/>
      <c r="T8376" s="760">
        <f>$A8376*S8376*$T$1</f>
        <v>0</v>
      </c>
      <c r="AR8376" s="758"/>
      <c r="AS8376" s="753"/>
    </row>
    <row r="8377" spans="1:45" s="520" customFormat="1" ht="12.6" thickBot="1">
      <c r="A8377" s="761" t="s">
        <v>145</v>
      </c>
      <c r="B8377" s="762">
        <f>(R8376+T8376)</f>
        <v>0</v>
      </c>
      <c r="C8377" s="763"/>
      <c r="D8377" s="763"/>
      <c r="E8377" s="763"/>
      <c r="F8377" s="764"/>
      <c r="G8377" s="763" t="s">
        <v>146</v>
      </c>
      <c r="H8377" s="763"/>
      <c r="I8377" s="765"/>
      <c r="J8377" s="763"/>
      <c r="K8377" s="763" t="s">
        <v>3</v>
      </c>
      <c r="L8377" s="766" t="s">
        <v>143</v>
      </c>
      <c r="M8377" s="766"/>
      <c r="N8377" s="766"/>
      <c r="O8377" s="766"/>
      <c r="P8377" s="766"/>
      <c r="Q8377" s="767"/>
      <c r="R8377" s="768">
        <f ca="1">SUM(R8373:R8376)</f>
        <v>151.5</v>
      </c>
      <c r="S8377" s="763"/>
      <c r="T8377" s="768">
        <f ca="1">SUM(T8373:T8376)</f>
        <v>9</v>
      </c>
      <c r="U8377" s="531"/>
      <c r="V8377" s="531"/>
      <c r="W8377" s="531"/>
      <c r="X8377" s="531"/>
      <c r="Y8377" s="531"/>
      <c r="Z8377" s="531"/>
      <c r="AA8377" s="531"/>
      <c r="AB8377" s="531"/>
      <c r="AC8377" s="531"/>
      <c r="AD8377" s="531"/>
      <c r="AE8377" s="531"/>
      <c r="AF8377" s="531"/>
      <c r="AG8377" s="531"/>
      <c r="AH8377" s="531"/>
      <c r="AI8377" s="531"/>
      <c r="AJ8377" s="531"/>
      <c r="AK8377" s="531"/>
      <c r="AL8377" s="531"/>
      <c r="AM8377" s="531"/>
      <c r="AN8377" s="531"/>
      <c r="AO8377" s="531"/>
      <c r="AR8377" s="761" t="s">
        <v>145</v>
      </c>
      <c r="AS8377" s="764"/>
    </row>
    <row r="8378" spans="1:45" s="520" customFormat="1" ht="12" thickTop="1">
      <c r="A8378" s="51"/>
      <c r="B8378" s="41"/>
      <c r="C8378" s="51"/>
      <c r="E8378" s="42" t="s">
        <v>138</v>
      </c>
      <c r="F8378" s="42" t="s">
        <v>139</v>
      </c>
      <c r="G8378" s="51"/>
      <c r="H8378" s="51"/>
      <c r="I8378" s="51"/>
      <c r="J8378" s="51"/>
      <c r="K8378" s="51" t="s">
        <v>140</v>
      </c>
      <c r="L8378" s="51"/>
      <c r="M8378" s="51"/>
      <c r="N8378" s="51"/>
      <c r="O8378" s="52"/>
      <c r="P8378" s="51"/>
      <c r="Q8378" s="51"/>
      <c r="R8378" s="51"/>
      <c r="S8378" s="51"/>
      <c r="T8378" s="41"/>
      <c r="AG8378" s="521" t="s">
        <v>268</v>
      </c>
      <c r="AH8378" s="521" t="s">
        <v>269</v>
      </c>
      <c r="AI8378" s="521" t="s">
        <v>270</v>
      </c>
      <c r="AJ8378" s="521" t="s">
        <v>271</v>
      </c>
      <c r="AK8378" s="521" t="s">
        <v>272</v>
      </c>
      <c r="AM8378" s="745" t="s">
        <v>281</v>
      </c>
      <c r="AN8378" s="746" t="s">
        <v>282</v>
      </c>
      <c r="AO8378" s="522" t="s">
        <v>278</v>
      </c>
      <c r="AR8378" s="51"/>
      <c r="AS8378" s="42" t="s">
        <v>139</v>
      </c>
    </row>
    <row r="8379" spans="1:45" s="520" customFormat="1" ht="12" customHeight="1">
      <c r="A8379" s="747">
        <v>52</v>
      </c>
      <c r="B8379" s="523" t="s">
        <v>141</v>
      </c>
      <c r="C8379" s="748"/>
      <c r="D8379" s="749" t="s">
        <v>2307</v>
      </c>
      <c r="E8379" s="750">
        <f ca="1">IF(AND($A8379=0,$A$1="DIF"),0, ROUND(ROUND(($R8384*$S$2+($T8384*$T$2))/A8379,2)*$C$2,2))</f>
        <v>98.17</v>
      </c>
      <c r="F8379" s="751">
        <f ca="1">ROUND($A8379*$E8379,2)</f>
        <v>5104.84</v>
      </c>
      <c r="G8379" s="752" t="s">
        <v>142</v>
      </c>
      <c r="H8379" s="753"/>
      <c r="I8379" s="754"/>
      <c r="J8379" s="753"/>
      <c r="K8379" s="753" t="s">
        <v>3</v>
      </c>
      <c r="L8379" s="755" t="s">
        <v>143</v>
      </c>
      <c r="M8379" s="755"/>
      <c r="N8379" s="755"/>
      <c r="O8379" s="755"/>
      <c r="P8379" s="755"/>
      <c r="Q8379" s="51"/>
      <c r="T8379" s="756" t="str">
        <f ca="1">IF(AND($R8384=0,$T8384=0),"0.00","mu :" &amp; ROUND($F8379/$C$2/($R8384+$T8384*$D$9),2))</f>
        <v>mu :1.23</v>
      </c>
      <c r="W8379" s="524"/>
      <c r="AG8379" s="481">
        <f ca="1">IF($E8379=0,0,ROUND($R8384*$S$2*$C$2/$A8379,2))</f>
        <v>37.31</v>
      </c>
      <c r="AH8379" s="481">
        <f ca="1">$AG8379*$A8379</f>
        <v>1940.1200000000001</v>
      </c>
      <c r="AI8379" s="525">
        <f ca="1">$E8379-$AG8379</f>
        <v>60.86</v>
      </c>
      <c r="AJ8379" s="525">
        <f ca="1">$A8379*$AI8379</f>
        <v>3164.72</v>
      </c>
      <c r="AK8379" s="526">
        <f ca="1">ROUND(($AG8379+$AI8379)*$A8379,2)</f>
        <v>5104.84</v>
      </c>
      <c r="AM8379" s="527">
        <f ca="1">ROUND(R8384,2)</f>
        <v>1575.6</v>
      </c>
      <c r="AN8379" s="528">
        <f ca="1">ROUND(T8384,2)</f>
        <v>93.6</v>
      </c>
      <c r="AO8379" s="529">
        <f ca="1">ROUND(AM8379+AN8379,2)*A8379</f>
        <v>86798.400000000009</v>
      </c>
      <c r="AR8379" s="747">
        <v>52</v>
      </c>
      <c r="AS8379" s="751">
        <v>5456.88</v>
      </c>
    </row>
    <row r="8380" spans="1:45" s="520" customFormat="1" ht="13.2">
      <c r="A8380" s="748"/>
      <c r="B8380"/>
      <c r="C8380" s="748"/>
      <c r="D8380" s="749" t="s">
        <v>2063</v>
      </c>
      <c r="F8380" s="753"/>
      <c r="G8380" s="3"/>
      <c r="H8380" s="753"/>
      <c r="I8380" s="754"/>
      <c r="J8380" s="753"/>
      <c r="K8380" s="753" t="s">
        <v>144</v>
      </c>
      <c r="L8380" s="753"/>
      <c r="M8380" s="753"/>
      <c r="N8380" s="753"/>
      <c r="O8380" s="753"/>
      <c r="P8380" s="753"/>
      <c r="Q8380" s="51"/>
      <c r="R8380" s="530"/>
      <c r="S8380" s="757"/>
      <c r="T8380" s="753"/>
      <c r="AR8380" s="748"/>
      <c r="AS8380" s="753"/>
    </row>
    <row r="8381" spans="1:45" s="886" customFormat="1" ht="15.6" customHeight="1">
      <c r="A8381"/>
      <c r="B8381" s="910"/>
      <c r="C8381" s="910" t="s">
        <v>2597</v>
      </c>
      <c r="D8381" s="910" t="str">
        <f ca="1">CELL("Address",Elec_Rates!D$1023)</f>
        <v>[E25_0062_Quintano_Foods_Elec_ELV_As_Awarded.xlsx]Elec_Rates!$D$1023</v>
      </c>
      <c r="E8381" s="911"/>
      <c r="F8381" s="911"/>
      <c r="G8381" s="912" t="s">
        <v>2598</v>
      </c>
      <c r="H8381" s="912"/>
      <c r="I8381" s="912"/>
      <c r="J8381" s="912"/>
      <c r="K8381" s="913"/>
      <c r="L8381" s="911"/>
      <c r="M8381" s="911"/>
      <c r="N8381" s="911"/>
      <c r="O8381" s="914"/>
      <c r="P8381" s="911"/>
      <c r="Q8381" s="915"/>
      <c r="R8381" s="916"/>
      <c r="S8381" s="915"/>
      <c r="T8381" s="917"/>
      <c r="U8381" s="918"/>
      <c r="AR8381"/>
      <c r="AS8381" s="911"/>
    </row>
    <row r="8382" spans="1:45" s="886" customFormat="1" ht="11.4">
      <c r="A8382" s="919">
        <v>52</v>
      </c>
      <c r="B8382" s="920">
        <v>1</v>
      </c>
      <c r="C8382" s="920">
        <f>$A8382*$B8382</f>
        <v>52</v>
      </c>
      <c r="D8382" s="921" t="str">
        <f>Elec_Rates!$D$1023</f>
        <v>091# Galvanised Conduit points for Fire alarm devices</v>
      </c>
      <c r="E8382" s="921"/>
      <c r="F8382" s="921" t="s">
        <v>2599</v>
      </c>
      <c r="G8382" s="922" t="s">
        <v>2601</v>
      </c>
      <c r="H8382" s="922"/>
      <c r="I8382" s="922"/>
      <c r="J8382" s="922"/>
      <c r="K8382" s="923"/>
      <c r="L8382" s="918"/>
      <c r="M8382" s="918"/>
      <c r="N8382" s="918"/>
      <c r="O8382" s="924"/>
      <c r="P8382" s="921"/>
      <c r="Q8382" s="925">
        <f ca="1">$B8382*Elec_Rates!$R$1023</f>
        <v>30.3</v>
      </c>
      <c r="R8382" s="916">
        <f ca="1">$A8382*Q8382</f>
        <v>1575.6000000000001</v>
      </c>
      <c r="S8382" s="925">
        <f ca="1">$B8382*Elec_Rates!$T$1023</f>
        <v>1.8</v>
      </c>
      <c r="T8382" s="917">
        <f ca="1">$A8382*S8382</f>
        <v>93.600000000000009</v>
      </c>
      <c r="U8382" s="926"/>
      <c r="AR8382" s="919">
        <v>52</v>
      </c>
      <c r="AS8382" s="921" t="s">
        <v>2599</v>
      </c>
    </row>
    <row r="8383" spans="1:45" s="520" customFormat="1" ht="12">
      <c r="A8383" s="758"/>
      <c r="B8383" s="758"/>
      <c r="C8383" s="758"/>
      <c r="D8383" s="758"/>
      <c r="E8383" s="758"/>
      <c r="F8383" s="753"/>
      <c r="G8383" s="758"/>
      <c r="H8383" s="758"/>
      <c r="I8383" s="519"/>
      <c r="J8383" s="758"/>
      <c r="K8383" s="758"/>
      <c r="L8383" s="758"/>
      <c r="M8383" s="758"/>
      <c r="N8383" s="758"/>
      <c r="O8383" s="758"/>
      <c r="P8383" s="758"/>
      <c r="Q8383" s="519"/>
      <c r="R8383" s="759">
        <f>$A8383*Q8383</f>
        <v>0</v>
      </c>
      <c r="S8383" s="519"/>
      <c r="T8383" s="760">
        <f>$A8383*S8383*$T$1</f>
        <v>0</v>
      </c>
      <c r="AR8383" s="758"/>
      <c r="AS8383" s="753"/>
    </row>
    <row r="8384" spans="1:45" s="520" customFormat="1" ht="12.6" thickBot="1">
      <c r="A8384" s="761" t="s">
        <v>145</v>
      </c>
      <c r="B8384" s="762">
        <f>(R8383+T8383)</f>
        <v>0</v>
      </c>
      <c r="C8384" s="763"/>
      <c r="D8384" s="763"/>
      <c r="E8384" s="763"/>
      <c r="F8384" s="764"/>
      <c r="G8384" s="763" t="s">
        <v>146</v>
      </c>
      <c r="H8384" s="763"/>
      <c r="I8384" s="765"/>
      <c r="J8384" s="763"/>
      <c r="K8384" s="763" t="s">
        <v>3</v>
      </c>
      <c r="L8384" s="766" t="s">
        <v>143</v>
      </c>
      <c r="M8384" s="766"/>
      <c r="N8384" s="766"/>
      <c r="O8384" s="766"/>
      <c r="P8384" s="766"/>
      <c r="Q8384" s="767"/>
      <c r="R8384" s="768">
        <f ca="1">SUM(R8380:R8383)</f>
        <v>1575.6000000000001</v>
      </c>
      <c r="S8384" s="763"/>
      <c r="T8384" s="768">
        <f ca="1">SUM(T8380:T8383)</f>
        <v>93.600000000000009</v>
      </c>
      <c r="U8384" s="531"/>
      <c r="V8384" s="531"/>
      <c r="W8384" s="531"/>
      <c r="X8384" s="531"/>
      <c r="Y8384" s="531"/>
      <c r="Z8384" s="531"/>
      <c r="AA8384" s="531"/>
      <c r="AB8384" s="531"/>
      <c r="AC8384" s="531"/>
      <c r="AD8384" s="531"/>
      <c r="AE8384" s="531"/>
      <c r="AF8384" s="531"/>
      <c r="AG8384" s="531"/>
      <c r="AH8384" s="531"/>
      <c r="AI8384" s="531"/>
      <c r="AJ8384" s="531"/>
      <c r="AK8384" s="531"/>
      <c r="AL8384" s="531"/>
      <c r="AM8384" s="531"/>
      <c r="AN8384" s="531"/>
      <c r="AO8384" s="531"/>
      <c r="AR8384" s="761" t="s">
        <v>145</v>
      </c>
      <c r="AS8384" s="764"/>
    </row>
    <row r="8385" spans="1:45" s="520" customFormat="1" ht="12" thickTop="1">
      <c r="A8385" s="51"/>
      <c r="B8385" s="41"/>
      <c r="C8385" s="51"/>
      <c r="E8385" s="42" t="s">
        <v>138</v>
      </c>
      <c r="F8385" s="42" t="s">
        <v>139</v>
      </c>
      <c r="G8385" s="51"/>
      <c r="H8385" s="51"/>
      <c r="I8385" s="51"/>
      <c r="J8385" s="51"/>
      <c r="K8385" s="51" t="s">
        <v>140</v>
      </c>
      <c r="L8385" s="51"/>
      <c r="M8385" s="51"/>
      <c r="N8385" s="51"/>
      <c r="O8385" s="52"/>
      <c r="P8385" s="51"/>
      <c r="Q8385" s="51"/>
      <c r="R8385" s="51"/>
      <c r="S8385" s="51"/>
      <c r="T8385" s="41"/>
      <c r="AG8385" s="521" t="s">
        <v>268</v>
      </c>
      <c r="AH8385" s="521" t="s">
        <v>269</v>
      </c>
      <c r="AI8385" s="521" t="s">
        <v>270</v>
      </c>
      <c r="AJ8385" s="521" t="s">
        <v>271</v>
      </c>
      <c r="AK8385" s="521" t="s">
        <v>272</v>
      </c>
      <c r="AM8385" s="745" t="s">
        <v>281</v>
      </c>
      <c r="AN8385" s="746" t="s">
        <v>282</v>
      </c>
      <c r="AO8385" s="522" t="s">
        <v>278</v>
      </c>
      <c r="AR8385" s="51"/>
      <c r="AS8385" s="42" t="s">
        <v>139</v>
      </c>
    </row>
    <row r="8386" spans="1:45" s="520" customFormat="1" ht="12" customHeight="1">
      <c r="A8386" s="747">
        <v>9</v>
      </c>
      <c r="B8386" s="523" t="s">
        <v>141</v>
      </c>
      <c r="C8386" s="748"/>
      <c r="D8386" s="749" t="s">
        <v>2308</v>
      </c>
      <c r="E8386" s="750">
        <f ca="1">IF(AND($A8386=0,$A$1="DIF"),0, ROUND(ROUND(($R8391*$S$2+($T8391*$T$2))/A8386,2)*$C$2,2))</f>
        <v>98.17</v>
      </c>
      <c r="F8386" s="751">
        <f ca="1">ROUND($A8386*$E8386,2)</f>
        <v>883.53</v>
      </c>
      <c r="G8386" s="752" t="s">
        <v>142</v>
      </c>
      <c r="H8386" s="753"/>
      <c r="I8386" s="754"/>
      <c r="J8386" s="753"/>
      <c r="K8386" s="753" t="s">
        <v>3</v>
      </c>
      <c r="L8386" s="755" t="s">
        <v>143</v>
      </c>
      <c r="M8386" s="755"/>
      <c r="N8386" s="755"/>
      <c r="O8386" s="755"/>
      <c r="P8386" s="755"/>
      <c r="Q8386" s="51"/>
      <c r="T8386" s="756" t="str">
        <f ca="1">IF(AND($R8391=0,$T8391=0),"0.00","mu :" &amp; ROUND($F8386/$C$2/($R8391+$T8391*$D$9),2))</f>
        <v>mu :1.23</v>
      </c>
      <c r="W8386" s="524"/>
      <c r="AG8386" s="481">
        <f ca="1">IF($E8386=0,0,ROUND($R8391*$S$2*$C$2/$A8386,2))</f>
        <v>37.31</v>
      </c>
      <c r="AH8386" s="481">
        <f ca="1">$AG8386*$A8386</f>
        <v>335.79</v>
      </c>
      <c r="AI8386" s="525">
        <f ca="1">$E8386-$AG8386</f>
        <v>60.86</v>
      </c>
      <c r="AJ8386" s="525">
        <f ca="1">$A8386*$AI8386</f>
        <v>547.74</v>
      </c>
      <c r="AK8386" s="526">
        <f ca="1">ROUND(($AG8386+$AI8386)*$A8386,2)</f>
        <v>883.53</v>
      </c>
      <c r="AM8386" s="527">
        <f ca="1">ROUND(R8391,2)</f>
        <v>272.7</v>
      </c>
      <c r="AN8386" s="528">
        <f ca="1">ROUND(T8391,2)</f>
        <v>16.2</v>
      </c>
      <c r="AO8386" s="529">
        <f ca="1">ROUND(AM8386+AN8386,2)*A8386</f>
        <v>2600.1</v>
      </c>
      <c r="AR8386" s="747">
        <v>9</v>
      </c>
      <c r="AS8386" s="751">
        <v>944.46</v>
      </c>
    </row>
    <row r="8387" spans="1:45" s="520" customFormat="1" ht="13.2">
      <c r="A8387" s="748"/>
      <c r="B8387"/>
      <c r="C8387" s="748"/>
      <c r="D8387" s="749" t="s">
        <v>2064</v>
      </c>
      <c r="F8387" s="753"/>
      <c r="G8387" s="3"/>
      <c r="H8387" s="753"/>
      <c r="I8387" s="754"/>
      <c r="J8387" s="753"/>
      <c r="K8387" s="753" t="s">
        <v>144</v>
      </c>
      <c r="L8387" s="753"/>
      <c r="M8387" s="753"/>
      <c r="N8387" s="753"/>
      <c r="O8387" s="753"/>
      <c r="P8387" s="753"/>
      <c r="Q8387" s="51"/>
      <c r="R8387" s="530"/>
      <c r="S8387" s="757"/>
      <c r="T8387" s="753"/>
      <c r="AR8387" s="748"/>
      <c r="AS8387" s="753"/>
    </row>
    <row r="8388" spans="1:45" s="886" customFormat="1" ht="15.6" customHeight="1">
      <c r="A8388"/>
      <c r="B8388" s="910"/>
      <c r="C8388" s="910" t="s">
        <v>2597</v>
      </c>
      <c r="D8388" s="910" t="str">
        <f ca="1">CELL("Address",Elec_Rates!D$1023)</f>
        <v>[E25_0062_Quintano_Foods_Elec_ELV_As_Awarded.xlsx]Elec_Rates!$D$1023</v>
      </c>
      <c r="E8388" s="911"/>
      <c r="F8388" s="911"/>
      <c r="G8388" s="912" t="s">
        <v>2598</v>
      </c>
      <c r="H8388" s="912"/>
      <c r="I8388" s="912"/>
      <c r="J8388" s="912"/>
      <c r="K8388" s="913"/>
      <c r="L8388" s="911"/>
      <c r="M8388" s="911"/>
      <c r="N8388" s="911"/>
      <c r="O8388" s="914"/>
      <c r="P8388" s="911"/>
      <c r="Q8388" s="915"/>
      <c r="R8388" s="916"/>
      <c r="S8388" s="915"/>
      <c r="T8388" s="917"/>
      <c r="U8388" s="918"/>
      <c r="AR8388"/>
      <c r="AS8388" s="911"/>
    </row>
    <row r="8389" spans="1:45" s="886" customFormat="1" ht="11.4">
      <c r="A8389" s="919">
        <v>9</v>
      </c>
      <c r="B8389" s="920">
        <v>1</v>
      </c>
      <c r="C8389" s="920">
        <f>$A8389*$B8389</f>
        <v>9</v>
      </c>
      <c r="D8389" s="921" t="str">
        <f>Elec_Rates!$D$1023</f>
        <v>091# Galvanised Conduit points for Fire alarm devices</v>
      </c>
      <c r="E8389" s="921"/>
      <c r="F8389" s="921" t="s">
        <v>2599</v>
      </c>
      <c r="G8389" s="922" t="s">
        <v>2601</v>
      </c>
      <c r="H8389" s="922"/>
      <c r="I8389" s="922"/>
      <c r="J8389" s="922"/>
      <c r="K8389" s="923"/>
      <c r="L8389" s="918"/>
      <c r="M8389" s="918"/>
      <c r="N8389" s="918"/>
      <c r="O8389" s="924"/>
      <c r="P8389" s="921"/>
      <c r="Q8389" s="925">
        <f ca="1">$B8389*Elec_Rates!$R$1023</f>
        <v>30.3</v>
      </c>
      <c r="R8389" s="916">
        <f ca="1">$A8389*Q8389</f>
        <v>272.7</v>
      </c>
      <c r="S8389" s="925">
        <f ca="1">$B8389*Elec_Rates!$T$1023</f>
        <v>1.8</v>
      </c>
      <c r="T8389" s="917">
        <f ca="1">$A8389*S8389</f>
        <v>16.2</v>
      </c>
      <c r="U8389" s="926"/>
      <c r="AR8389" s="919">
        <v>9</v>
      </c>
      <c r="AS8389" s="921" t="s">
        <v>2599</v>
      </c>
    </row>
    <row r="8390" spans="1:45" s="520" customFormat="1" ht="12">
      <c r="A8390" s="758"/>
      <c r="B8390" s="758"/>
      <c r="C8390" s="758"/>
      <c r="D8390" s="758"/>
      <c r="E8390" s="758"/>
      <c r="F8390" s="753"/>
      <c r="G8390" s="758"/>
      <c r="H8390" s="758"/>
      <c r="I8390" s="519"/>
      <c r="J8390" s="758"/>
      <c r="K8390" s="758"/>
      <c r="L8390" s="758"/>
      <c r="M8390" s="758"/>
      <c r="N8390" s="758"/>
      <c r="O8390" s="758"/>
      <c r="P8390" s="758"/>
      <c r="Q8390" s="519"/>
      <c r="R8390" s="759">
        <f>$A8390*Q8390</f>
        <v>0</v>
      </c>
      <c r="S8390" s="519"/>
      <c r="T8390" s="760">
        <f>$A8390*S8390*$T$1</f>
        <v>0</v>
      </c>
      <c r="AR8390" s="758"/>
      <c r="AS8390" s="753"/>
    </row>
    <row r="8391" spans="1:45" s="520" customFormat="1" ht="12.6" thickBot="1">
      <c r="A8391" s="761" t="s">
        <v>145</v>
      </c>
      <c r="B8391" s="762">
        <f>(R8390+T8390)</f>
        <v>0</v>
      </c>
      <c r="C8391" s="763"/>
      <c r="D8391" s="763"/>
      <c r="E8391" s="763"/>
      <c r="F8391" s="764"/>
      <c r="G8391" s="763" t="s">
        <v>146</v>
      </c>
      <c r="H8391" s="763"/>
      <c r="I8391" s="765"/>
      <c r="J8391" s="763"/>
      <c r="K8391" s="763" t="s">
        <v>3</v>
      </c>
      <c r="L8391" s="766" t="s">
        <v>143</v>
      </c>
      <c r="M8391" s="766"/>
      <c r="N8391" s="766"/>
      <c r="O8391" s="766"/>
      <c r="P8391" s="766"/>
      <c r="Q8391" s="767"/>
      <c r="R8391" s="768">
        <f ca="1">SUM(R8387:R8390)</f>
        <v>272.7</v>
      </c>
      <c r="S8391" s="763"/>
      <c r="T8391" s="768">
        <f ca="1">SUM(T8387:T8390)</f>
        <v>16.2</v>
      </c>
      <c r="U8391" s="531"/>
      <c r="V8391" s="531"/>
      <c r="W8391" s="531"/>
      <c r="X8391" s="531"/>
      <c r="Y8391" s="531"/>
      <c r="Z8391" s="531"/>
      <c r="AA8391" s="531"/>
      <c r="AB8391" s="531"/>
      <c r="AC8391" s="531"/>
      <c r="AD8391" s="531"/>
      <c r="AE8391" s="531"/>
      <c r="AF8391" s="531"/>
      <c r="AG8391" s="531"/>
      <c r="AH8391" s="531"/>
      <c r="AI8391" s="531"/>
      <c r="AJ8391" s="531"/>
      <c r="AK8391" s="531"/>
      <c r="AL8391" s="531"/>
      <c r="AM8391" s="531"/>
      <c r="AN8391" s="531"/>
      <c r="AO8391" s="531"/>
      <c r="AR8391" s="761" t="s">
        <v>145</v>
      </c>
      <c r="AS8391" s="764"/>
    </row>
    <row r="8392" spans="1:45" s="520" customFormat="1" ht="12" thickTop="1">
      <c r="A8392" s="51"/>
      <c r="B8392" s="41"/>
      <c r="C8392" s="51"/>
      <c r="E8392" s="42" t="s">
        <v>138</v>
      </c>
      <c r="F8392" s="42" t="s">
        <v>139</v>
      </c>
      <c r="G8392" s="51"/>
      <c r="H8392" s="51"/>
      <c r="I8392" s="51"/>
      <c r="J8392" s="51"/>
      <c r="K8392" s="51" t="s">
        <v>140</v>
      </c>
      <c r="L8392" s="51"/>
      <c r="M8392" s="51"/>
      <c r="N8392" s="51"/>
      <c r="O8392" s="52"/>
      <c r="P8392" s="51"/>
      <c r="Q8392" s="51"/>
      <c r="R8392" s="51"/>
      <c r="S8392" s="51"/>
      <c r="T8392" s="41"/>
      <c r="AG8392" s="521" t="s">
        <v>268</v>
      </c>
      <c r="AH8392" s="521" t="s">
        <v>269</v>
      </c>
      <c r="AI8392" s="521" t="s">
        <v>270</v>
      </c>
      <c r="AJ8392" s="521" t="s">
        <v>271</v>
      </c>
      <c r="AK8392" s="521" t="s">
        <v>272</v>
      </c>
      <c r="AM8392" s="745" t="s">
        <v>281</v>
      </c>
      <c r="AN8392" s="746" t="s">
        <v>282</v>
      </c>
      <c r="AO8392" s="522" t="s">
        <v>278</v>
      </c>
      <c r="AR8392" s="51"/>
      <c r="AS8392" s="42" t="s">
        <v>139</v>
      </c>
    </row>
    <row r="8393" spans="1:45" s="520" customFormat="1" ht="12" customHeight="1">
      <c r="A8393" s="747">
        <v>1</v>
      </c>
      <c r="B8393" s="523" t="s">
        <v>141</v>
      </c>
      <c r="C8393" s="748"/>
      <c r="D8393" s="749" t="s">
        <v>2309</v>
      </c>
      <c r="E8393" s="750">
        <f ca="1">IF(AND($A8393=0,$A$1="DIF"),0, ROUND(ROUND(($R8398*$S$2+($T8398*$T$2))/A8393,2)*$C$2,2))</f>
        <v>98.17</v>
      </c>
      <c r="F8393" s="751">
        <f ca="1">ROUND($A8393*$E8393,2)</f>
        <v>98.17</v>
      </c>
      <c r="G8393" s="752" t="s">
        <v>142</v>
      </c>
      <c r="H8393" s="753"/>
      <c r="I8393" s="754"/>
      <c r="J8393" s="753"/>
      <c r="K8393" s="753" t="s">
        <v>3</v>
      </c>
      <c r="L8393" s="755" t="s">
        <v>143</v>
      </c>
      <c r="M8393" s="755"/>
      <c r="N8393" s="755"/>
      <c r="O8393" s="755"/>
      <c r="P8393" s="755"/>
      <c r="Q8393" s="51"/>
      <c r="T8393" s="756" t="str">
        <f ca="1">IF(AND($R8398=0,$T8398=0),"0.00","mu :" &amp; ROUND($F8393/$C$2/($R8398+$T8398*$D$9),2))</f>
        <v>mu :1.23</v>
      </c>
      <c r="W8393" s="524"/>
      <c r="AG8393" s="481">
        <f ca="1">IF($E8393=0,0,ROUND($R8398*$S$2*$C$2/$A8393,2))</f>
        <v>37.31</v>
      </c>
      <c r="AH8393" s="481">
        <f ca="1">$AG8393*$A8393</f>
        <v>37.31</v>
      </c>
      <c r="AI8393" s="525">
        <f ca="1">$E8393-$AG8393</f>
        <v>60.86</v>
      </c>
      <c r="AJ8393" s="525">
        <f ca="1">$A8393*$AI8393</f>
        <v>60.86</v>
      </c>
      <c r="AK8393" s="526">
        <f ca="1">ROUND(($AG8393+$AI8393)*$A8393,2)</f>
        <v>98.17</v>
      </c>
      <c r="AM8393" s="527">
        <f ca="1">ROUND(R8398,2)</f>
        <v>30.3</v>
      </c>
      <c r="AN8393" s="528">
        <f ca="1">ROUND(T8398,2)</f>
        <v>1.8</v>
      </c>
      <c r="AO8393" s="529">
        <f ca="1">ROUND(AM8393+AN8393,2)*A8393</f>
        <v>32.1</v>
      </c>
      <c r="AR8393" s="747">
        <v>1</v>
      </c>
      <c r="AS8393" s="751">
        <v>104.94</v>
      </c>
    </row>
    <row r="8394" spans="1:45" s="520" customFormat="1" ht="13.2">
      <c r="A8394" s="748"/>
      <c r="B8394"/>
      <c r="C8394" s="748"/>
      <c r="D8394" s="749" t="s">
        <v>2065</v>
      </c>
      <c r="F8394" s="753"/>
      <c r="G8394" s="3"/>
      <c r="H8394" s="753"/>
      <c r="I8394" s="754"/>
      <c r="J8394" s="753"/>
      <c r="K8394" s="753" t="s">
        <v>144</v>
      </c>
      <c r="L8394" s="753"/>
      <c r="M8394" s="753"/>
      <c r="N8394" s="753"/>
      <c r="O8394" s="753"/>
      <c r="P8394" s="753"/>
      <c r="Q8394" s="51"/>
      <c r="R8394" s="530"/>
      <c r="S8394" s="757"/>
      <c r="T8394" s="753"/>
      <c r="AR8394" s="748"/>
      <c r="AS8394" s="753"/>
    </row>
    <row r="8395" spans="1:45" s="886" customFormat="1" ht="15.6" customHeight="1">
      <c r="A8395"/>
      <c r="B8395" s="910"/>
      <c r="C8395" s="910" t="s">
        <v>2597</v>
      </c>
      <c r="D8395" s="910" t="str">
        <f ca="1">CELL("Address",Elec_Rates!D$1023)</f>
        <v>[E25_0062_Quintano_Foods_Elec_ELV_As_Awarded.xlsx]Elec_Rates!$D$1023</v>
      </c>
      <c r="E8395" s="911"/>
      <c r="F8395" s="911"/>
      <c r="G8395" s="912" t="s">
        <v>2598</v>
      </c>
      <c r="H8395" s="912"/>
      <c r="I8395" s="912"/>
      <c r="J8395" s="912"/>
      <c r="K8395" s="913"/>
      <c r="L8395" s="911"/>
      <c r="M8395" s="911"/>
      <c r="N8395" s="911"/>
      <c r="O8395" s="914"/>
      <c r="P8395" s="911"/>
      <c r="Q8395" s="915"/>
      <c r="R8395" s="916"/>
      <c r="S8395" s="915"/>
      <c r="T8395" s="917"/>
      <c r="U8395" s="918"/>
      <c r="AR8395"/>
      <c r="AS8395" s="911"/>
    </row>
    <row r="8396" spans="1:45" s="886" customFormat="1" ht="11.4">
      <c r="A8396" s="919">
        <v>1</v>
      </c>
      <c r="B8396" s="920">
        <v>1</v>
      </c>
      <c r="C8396" s="920">
        <f>$A8396*$B8396</f>
        <v>1</v>
      </c>
      <c r="D8396" s="921" t="str">
        <f>Elec_Rates!$D$1023</f>
        <v>091# Galvanised Conduit points for Fire alarm devices</v>
      </c>
      <c r="E8396" s="921"/>
      <c r="F8396" s="921" t="s">
        <v>2599</v>
      </c>
      <c r="G8396" s="922" t="s">
        <v>2601</v>
      </c>
      <c r="H8396" s="922"/>
      <c r="I8396" s="922"/>
      <c r="J8396" s="922"/>
      <c r="K8396" s="923"/>
      <c r="L8396" s="918"/>
      <c r="M8396" s="918"/>
      <c r="N8396" s="918"/>
      <c r="O8396" s="924"/>
      <c r="P8396" s="921"/>
      <c r="Q8396" s="925">
        <f ca="1">$B8396*Elec_Rates!$R$1023</f>
        <v>30.3</v>
      </c>
      <c r="R8396" s="916">
        <f ca="1">$A8396*Q8396</f>
        <v>30.3</v>
      </c>
      <c r="S8396" s="925">
        <f ca="1">$B8396*Elec_Rates!$T$1023</f>
        <v>1.8</v>
      </c>
      <c r="T8396" s="917">
        <f ca="1">$A8396*S8396</f>
        <v>1.8</v>
      </c>
      <c r="U8396" s="926"/>
      <c r="AR8396" s="919">
        <v>1</v>
      </c>
      <c r="AS8396" s="921" t="s">
        <v>2599</v>
      </c>
    </row>
    <row r="8397" spans="1:45" s="520" customFormat="1" ht="12">
      <c r="A8397" s="758"/>
      <c r="B8397" s="758"/>
      <c r="C8397" s="758"/>
      <c r="D8397" s="758"/>
      <c r="E8397" s="758"/>
      <c r="F8397" s="753"/>
      <c r="G8397" s="758"/>
      <c r="H8397" s="758"/>
      <c r="I8397" s="519"/>
      <c r="J8397" s="758"/>
      <c r="K8397" s="758"/>
      <c r="L8397" s="758"/>
      <c r="M8397" s="758"/>
      <c r="N8397" s="758"/>
      <c r="O8397" s="758"/>
      <c r="P8397" s="758"/>
      <c r="Q8397" s="519"/>
      <c r="R8397" s="759">
        <f>$A8397*Q8397</f>
        <v>0</v>
      </c>
      <c r="S8397" s="519"/>
      <c r="T8397" s="760">
        <f>$A8397*S8397*$T$1</f>
        <v>0</v>
      </c>
      <c r="AR8397" s="758"/>
      <c r="AS8397" s="753"/>
    </row>
    <row r="8398" spans="1:45" s="520" customFormat="1" ht="12.6" thickBot="1">
      <c r="A8398" s="761" t="s">
        <v>145</v>
      </c>
      <c r="B8398" s="762">
        <f>(R8397+T8397)</f>
        <v>0</v>
      </c>
      <c r="C8398" s="763"/>
      <c r="D8398" s="763"/>
      <c r="E8398" s="763"/>
      <c r="F8398" s="764"/>
      <c r="G8398" s="763" t="s">
        <v>146</v>
      </c>
      <c r="H8398" s="763"/>
      <c r="I8398" s="765"/>
      <c r="J8398" s="763"/>
      <c r="K8398" s="763" t="s">
        <v>3</v>
      </c>
      <c r="L8398" s="766" t="s">
        <v>143</v>
      </c>
      <c r="M8398" s="766"/>
      <c r="N8398" s="766"/>
      <c r="O8398" s="766"/>
      <c r="P8398" s="766"/>
      <c r="Q8398" s="767"/>
      <c r="R8398" s="768">
        <f ca="1">SUM(R8394:R8397)</f>
        <v>30.3</v>
      </c>
      <c r="S8398" s="763"/>
      <c r="T8398" s="768">
        <f ca="1">SUM(T8394:T8397)</f>
        <v>1.8</v>
      </c>
      <c r="U8398" s="531"/>
      <c r="V8398" s="531"/>
      <c r="W8398" s="531"/>
      <c r="X8398" s="531"/>
      <c r="Y8398" s="531"/>
      <c r="Z8398" s="531"/>
      <c r="AA8398" s="531"/>
      <c r="AB8398" s="531"/>
      <c r="AC8398" s="531"/>
      <c r="AD8398" s="531"/>
      <c r="AE8398" s="531"/>
      <c r="AF8398" s="531"/>
      <c r="AG8398" s="531"/>
      <c r="AH8398" s="531"/>
      <c r="AI8398" s="531"/>
      <c r="AJ8398" s="531"/>
      <c r="AK8398" s="531"/>
      <c r="AL8398" s="531"/>
      <c r="AM8398" s="531"/>
      <c r="AN8398" s="531"/>
      <c r="AO8398" s="531"/>
      <c r="AR8398" s="761" t="s">
        <v>145</v>
      </c>
      <c r="AS8398" s="764"/>
    </row>
    <row r="8399" spans="1:45" s="520" customFormat="1" ht="12" thickTop="1">
      <c r="A8399" s="51"/>
      <c r="B8399" s="41"/>
      <c r="C8399" s="51"/>
      <c r="E8399" s="42" t="s">
        <v>138</v>
      </c>
      <c r="F8399" s="42" t="s">
        <v>139</v>
      </c>
      <c r="G8399" s="51"/>
      <c r="H8399" s="51"/>
      <c r="I8399" s="51"/>
      <c r="J8399" s="51"/>
      <c r="K8399" s="51" t="s">
        <v>140</v>
      </c>
      <c r="L8399" s="51"/>
      <c r="M8399" s="51"/>
      <c r="N8399" s="51"/>
      <c r="O8399" s="52"/>
      <c r="P8399" s="51"/>
      <c r="Q8399" s="51"/>
      <c r="R8399" s="51"/>
      <c r="S8399" s="51"/>
      <c r="T8399" s="41"/>
      <c r="AG8399" s="521" t="s">
        <v>268</v>
      </c>
      <c r="AH8399" s="521" t="s">
        <v>269</v>
      </c>
      <c r="AI8399" s="521" t="s">
        <v>270</v>
      </c>
      <c r="AJ8399" s="521" t="s">
        <v>271</v>
      </c>
      <c r="AK8399" s="521" t="s">
        <v>272</v>
      </c>
      <c r="AM8399" s="745" t="s">
        <v>281</v>
      </c>
      <c r="AN8399" s="746" t="s">
        <v>282</v>
      </c>
      <c r="AO8399" s="522" t="s">
        <v>278</v>
      </c>
      <c r="AR8399" s="51"/>
      <c r="AS8399" s="42" t="s">
        <v>139</v>
      </c>
    </row>
    <row r="8400" spans="1:45" s="520" customFormat="1" ht="12" customHeight="1">
      <c r="A8400" s="747">
        <v>4</v>
      </c>
      <c r="B8400" s="523" t="s">
        <v>141</v>
      </c>
      <c r="C8400" s="748"/>
      <c r="D8400" s="749" t="s">
        <v>2310</v>
      </c>
      <c r="E8400" s="750">
        <f ca="1">IF(AND($A8400=0,$A$1="DIF"),0, ROUND(ROUND(($R8405*$S$2+($T8405*$T$2))/A8400,2)*$C$2,2))</f>
        <v>98.17</v>
      </c>
      <c r="F8400" s="751">
        <f ca="1">ROUND($A8400*$E8400,2)</f>
        <v>392.68</v>
      </c>
      <c r="G8400" s="752" t="s">
        <v>142</v>
      </c>
      <c r="H8400" s="753"/>
      <c r="I8400" s="754"/>
      <c r="J8400" s="753"/>
      <c r="K8400" s="753" t="s">
        <v>3</v>
      </c>
      <c r="L8400" s="755" t="s">
        <v>143</v>
      </c>
      <c r="M8400" s="755"/>
      <c r="N8400" s="755"/>
      <c r="O8400" s="755"/>
      <c r="P8400" s="755"/>
      <c r="Q8400" s="51"/>
      <c r="T8400" s="756" t="str">
        <f ca="1">IF(AND($R8405=0,$T8405=0),"0.00","mu :" &amp; ROUND($F8400/$C$2/($R8405+$T8405*$D$9),2))</f>
        <v>mu :1.23</v>
      </c>
      <c r="W8400" s="524"/>
      <c r="AG8400" s="481">
        <f ca="1">IF($E8400=0,0,ROUND($R8405*$S$2*$C$2/$A8400,2))</f>
        <v>37.31</v>
      </c>
      <c r="AH8400" s="481">
        <f ca="1">$AG8400*$A8400</f>
        <v>149.24</v>
      </c>
      <c r="AI8400" s="525">
        <f ca="1">$E8400-$AG8400</f>
        <v>60.86</v>
      </c>
      <c r="AJ8400" s="525">
        <f ca="1">$A8400*$AI8400</f>
        <v>243.44</v>
      </c>
      <c r="AK8400" s="526">
        <f ca="1">ROUND(($AG8400+$AI8400)*$A8400,2)</f>
        <v>392.68</v>
      </c>
      <c r="AM8400" s="527">
        <f ca="1">ROUND(R8405,2)</f>
        <v>121.2</v>
      </c>
      <c r="AN8400" s="528">
        <f ca="1">ROUND(T8405,2)</f>
        <v>7.2</v>
      </c>
      <c r="AO8400" s="529">
        <f ca="1">ROUND(AM8400+AN8400,2)*A8400</f>
        <v>513.6</v>
      </c>
      <c r="AR8400" s="747">
        <v>4</v>
      </c>
      <c r="AS8400" s="751">
        <v>419.76</v>
      </c>
    </row>
    <row r="8401" spans="1:45" s="520" customFormat="1" ht="13.2">
      <c r="A8401" s="748"/>
      <c r="B8401"/>
      <c r="C8401" s="748"/>
      <c r="D8401" s="749" t="s">
        <v>2073</v>
      </c>
      <c r="F8401" s="753"/>
      <c r="G8401" s="3"/>
      <c r="H8401" s="753"/>
      <c r="I8401" s="754"/>
      <c r="J8401" s="753"/>
      <c r="K8401" s="753" t="s">
        <v>144</v>
      </c>
      <c r="L8401" s="753"/>
      <c r="M8401" s="753"/>
      <c r="N8401" s="753"/>
      <c r="O8401" s="753"/>
      <c r="P8401" s="753"/>
      <c r="Q8401" s="51"/>
      <c r="R8401" s="530"/>
      <c r="S8401" s="757"/>
      <c r="T8401" s="753"/>
      <c r="AR8401" s="748"/>
      <c r="AS8401" s="753"/>
    </row>
    <row r="8402" spans="1:45" s="886" customFormat="1" ht="15.6" customHeight="1">
      <c r="A8402"/>
      <c r="B8402" s="910"/>
      <c r="C8402" s="910" t="s">
        <v>2597</v>
      </c>
      <c r="D8402" s="910" t="str">
        <f ca="1">CELL("Address",Elec_Rates!D$1023)</f>
        <v>[E25_0062_Quintano_Foods_Elec_ELV_As_Awarded.xlsx]Elec_Rates!$D$1023</v>
      </c>
      <c r="E8402" s="911"/>
      <c r="F8402" s="911"/>
      <c r="G8402" s="912" t="s">
        <v>2598</v>
      </c>
      <c r="H8402" s="912"/>
      <c r="I8402" s="912"/>
      <c r="J8402" s="912"/>
      <c r="K8402" s="913"/>
      <c r="L8402" s="911"/>
      <c r="M8402" s="911"/>
      <c r="N8402" s="911"/>
      <c r="O8402" s="914"/>
      <c r="P8402" s="911"/>
      <c r="Q8402" s="915"/>
      <c r="R8402" s="916"/>
      <c r="S8402" s="915"/>
      <c r="T8402" s="917"/>
      <c r="U8402" s="918"/>
      <c r="AR8402"/>
      <c r="AS8402" s="911"/>
    </row>
    <row r="8403" spans="1:45" s="886" customFormat="1" ht="11.4">
      <c r="A8403" s="919">
        <v>4</v>
      </c>
      <c r="B8403" s="920">
        <v>1</v>
      </c>
      <c r="C8403" s="920">
        <f>$A8403*$B8403</f>
        <v>4</v>
      </c>
      <c r="D8403" s="921" t="str">
        <f>Elec_Rates!$D$1023</f>
        <v>091# Galvanised Conduit points for Fire alarm devices</v>
      </c>
      <c r="E8403" s="921"/>
      <c r="F8403" s="921" t="s">
        <v>2599</v>
      </c>
      <c r="G8403" s="922" t="s">
        <v>2601</v>
      </c>
      <c r="H8403" s="922"/>
      <c r="I8403" s="922"/>
      <c r="J8403" s="922"/>
      <c r="K8403" s="923"/>
      <c r="L8403" s="918"/>
      <c r="M8403" s="918"/>
      <c r="N8403" s="918"/>
      <c r="O8403" s="924"/>
      <c r="P8403" s="921"/>
      <c r="Q8403" s="925">
        <f ca="1">$B8403*Elec_Rates!$R$1023</f>
        <v>30.3</v>
      </c>
      <c r="R8403" s="916">
        <f ca="1">$A8403*Q8403</f>
        <v>121.2</v>
      </c>
      <c r="S8403" s="925">
        <f ca="1">$B8403*Elec_Rates!$T$1023</f>
        <v>1.8</v>
      </c>
      <c r="T8403" s="917">
        <f ca="1">$A8403*S8403</f>
        <v>7.2</v>
      </c>
      <c r="U8403" s="926"/>
      <c r="AR8403" s="919">
        <v>4</v>
      </c>
      <c r="AS8403" s="921" t="s">
        <v>2599</v>
      </c>
    </row>
    <row r="8404" spans="1:45" s="520" customFormat="1" ht="12">
      <c r="A8404" s="758"/>
      <c r="B8404" s="758"/>
      <c r="C8404" s="758"/>
      <c r="D8404" s="758"/>
      <c r="E8404" s="758"/>
      <c r="F8404" s="753"/>
      <c r="G8404" s="758"/>
      <c r="H8404" s="758"/>
      <c r="I8404" s="519"/>
      <c r="J8404" s="758"/>
      <c r="K8404" s="758"/>
      <c r="L8404" s="758"/>
      <c r="M8404" s="758"/>
      <c r="N8404" s="758"/>
      <c r="O8404" s="758"/>
      <c r="P8404" s="758"/>
      <c r="Q8404" s="519"/>
      <c r="R8404" s="759">
        <f>$A8404*Q8404</f>
        <v>0</v>
      </c>
      <c r="S8404" s="519"/>
      <c r="T8404" s="760">
        <f>$A8404*S8404*$T$1</f>
        <v>0</v>
      </c>
      <c r="AR8404" s="758"/>
      <c r="AS8404" s="753"/>
    </row>
    <row r="8405" spans="1:45" s="520" customFormat="1" ht="12.6" thickBot="1">
      <c r="A8405" s="761" t="s">
        <v>145</v>
      </c>
      <c r="B8405" s="762">
        <f>(R8404+T8404)</f>
        <v>0</v>
      </c>
      <c r="C8405" s="763"/>
      <c r="D8405" s="763"/>
      <c r="E8405" s="763"/>
      <c r="F8405" s="764"/>
      <c r="G8405" s="763" t="s">
        <v>146</v>
      </c>
      <c r="H8405" s="763"/>
      <c r="I8405" s="765"/>
      <c r="J8405" s="763"/>
      <c r="K8405" s="763" t="s">
        <v>3</v>
      </c>
      <c r="L8405" s="766" t="s">
        <v>143</v>
      </c>
      <c r="M8405" s="766"/>
      <c r="N8405" s="766"/>
      <c r="O8405" s="766"/>
      <c r="P8405" s="766"/>
      <c r="Q8405" s="767"/>
      <c r="R8405" s="768">
        <f ca="1">SUM(R8401:R8404)</f>
        <v>121.2</v>
      </c>
      <c r="S8405" s="763"/>
      <c r="T8405" s="768">
        <f ca="1">SUM(T8401:T8404)</f>
        <v>7.2</v>
      </c>
      <c r="U8405" s="531"/>
      <c r="V8405" s="531"/>
      <c r="W8405" s="531"/>
      <c r="X8405" s="531"/>
      <c r="Y8405" s="531"/>
      <c r="Z8405" s="531"/>
      <c r="AA8405" s="531"/>
      <c r="AB8405" s="531"/>
      <c r="AC8405" s="531"/>
      <c r="AD8405" s="531"/>
      <c r="AE8405" s="531"/>
      <c r="AF8405" s="531"/>
      <c r="AG8405" s="531"/>
      <c r="AH8405" s="531"/>
      <c r="AI8405" s="531"/>
      <c r="AJ8405" s="531"/>
      <c r="AK8405" s="531"/>
      <c r="AL8405" s="531"/>
      <c r="AM8405" s="531"/>
      <c r="AN8405" s="531"/>
      <c r="AO8405" s="531"/>
      <c r="AR8405" s="761" t="s">
        <v>145</v>
      </c>
      <c r="AS8405" s="764"/>
    </row>
    <row r="8406" spans="1:45" s="520" customFormat="1" ht="12" thickTop="1">
      <c r="A8406" s="51"/>
      <c r="B8406" s="41"/>
      <c r="C8406" s="51"/>
      <c r="E8406" s="42" t="s">
        <v>138</v>
      </c>
      <c r="F8406" s="42" t="s">
        <v>139</v>
      </c>
      <c r="G8406" s="51"/>
      <c r="H8406" s="51"/>
      <c r="I8406" s="51"/>
      <c r="J8406" s="51"/>
      <c r="K8406" s="51" t="s">
        <v>140</v>
      </c>
      <c r="L8406" s="51"/>
      <c r="M8406" s="51"/>
      <c r="N8406" s="51"/>
      <c r="O8406" s="52"/>
      <c r="P8406" s="51"/>
      <c r="Q8406" s="51"/>
      <c r="R8406" s="51"/>
      <c r="S8406" s="51"/>
      <c r="T8406" s="41"/>
      <c r="AG8406" s="521" t="s">
        <v>268</v>
      </c>
      <c r="AH8406" s="521" t="s">
        <v>269</v>
      </c>
      <c r="AI8406" s="521" t="s">
        <v>270</v>
      </c>
      <c r="AJ8406" s="521" t="s">
        <v>271</v>
      </c>
      <c r="AK8406" s="521" t="s">
        <v>272</v>
      </c>
      <c r="AM8406" s="745" t="s">
        <v>281</v>
      </c>
      <c r="AN8406" s="746" t="s">
        <v>282</v>
      </c>
      <c r="AO8406" s="522" t="s">
        <v>278</v>
      </c>
      <c r="AR8406" s="51"/>
      <c r="AS8406" s="42" t="s">
        <v>139</v>
      </c>
    </row>
    <row r="8407" spans="1:45" s="520" customFormat="1" ht="12" customHeight="1">
      <c r="A8407" s="747">
        <v>4</v>
      </c>
      <c r="B8407" s="523" t="s">
        <v>141</v>
      </c>
      <c r="C8407" s="748"/>
      <c r="D8407" s="749" t="s">
        <v>2311</v>
      </c>
      <c r="E8407" s="750">
        <f ca="1">IF(AND($A8407=0,$A$1="DIF"),0, ROUND(ROUND(($R8412*$S$2+($T8412*$T$2))/A8407,2)*$C$2,2))</f>
        <v>98.17</v>
      </c>
      <c r="F8407" s="751">
        <f ca="1">ROUND($A8407*$E8407,2)</f>
        <v>392.68</v>
      </c>
      <c r="G8407" s="752" t="s">
        <v>142</v>
      </c>
      <c r="H8407" s="753"/>
      <c r="I8407" s="754"/>
      <c r="J8407" s="753"/>
      <c r="K8407" s="753" t="s">
        <v>3</v>
      </c>
      <c r="L8407" s="755" t="s">
        <v>143</v>
      </c>
      <c r="M8407" s="755"/>
      <c r="N8407" s="755"/>
      <c r="O8407" s="755"/>
      <c r="P8407" s="755"/>
      <c r="Q8407" s="51"/>
      <c r="T8407" s="756" t="str">
        <f ca="1">IF(AND($R8412=0,$T8412=0),"0.00","mu :" &amp; ROUND($F8407/$C$2/($R8412+$T8412*$D$9),2))</f>
        <v>mu :1.23</v>
      </c>
      <c r="W8407" s="524"/>
      <c r="AG8407" s="481">
        <f ca="1">IF($E8407=0,0,ROUND($R8412*$S$2*$C$2/$A8407,2))</f>
        <v>37.31</v>
      </c>
      <c r="AH8407" s="481">
        <f ca="1">$AG8407*$A8407</f>
        <v>149.24</v>
      </c>
      <c r="AI8407" s="525">
        <f ca="1">$E8407-$AG8407</f>
        <v>60.86</v>
      </c>
      <c r="AJ8407" s="525">
        <f ca="1">$A8407*$AI8407</f>
        <v>243.44</v>
      </c>
      <c r="AK8407" s="526">
        <f ca="1">ROUND(($AG8407+$AI8407)*$A8407,2)</f>
        <v>392.68</v>
      </c>
      <c r="AM8407" s="527">
        <f ca="1">ROUND(R8412,2)</f>
        <v>121.2</v>
      </c>
      <c r="AN8407" s="528">
        <f ca="1">ROUND(T8412,2)</f>
        <v>7.2</v>
      </c>
      <c r="AO8407" s="529">
        <f ca="1">ROUND(AM8407+AN8407,2)*A8407</f>
        <v>513.6</v>
      </c>
      <c r="AR8407" s="747">
        <v>4</v>
      </c>
      <c r="AS8407" s="751">
        <v>419.76</v>
      </c>
    </row>
    <row r="8408" spans="1:45" s="520" customFormat="1" ht="13.2">
      <c r="A8408" s="748"/>
      <c r="B8408"/>
      <c r="C8408" s="748"/>
      <c r="D8408" s="749" t="s">
        <v>2074</v>
      </c>
      <c r="F8408" s="753"/>
      <c r="G8408" s="3"/>
      <c r="H8408" s="753"/>
      <c r="I8408" s="754"/>
      <c r="J8408" s="753"/>
      <c r="K8408" s="753" t="s">
        <v>144</v>
      </c>
      <c r="L8408" s="753"/>
      <c r="M8408" s="753"/>
      <c r="N8408" s="753"/>
      <c r="O8408" s="753"/>
      <c r="P8408" s="753"/>
      <c r="Q8408" s="51"/>
      <c r="R8408" s="530"/>
      <c r="S8408" s="757"/>
      <c r="T8408" s="753"/>
      <c r="AR8408" s="748"/>
      <c r="AS8408" s="753"/>
    </row>
    <row r="8409" spans="1:45" s="886" customFormat="1" ht="15.6" customHeight="1">
      <c r="A8409"/>
      <c r="B8409" s="910"/>
      <c r="C8409" s="910" t="s">
        <v>2597</v>
      </c>
      <c r="D8409" s="910" t="str">
        <f ca="1">CELL("Address",Elec_Rates!D$1023)</f>
        <v>[E25_0062_Quintano_Foods_Elec_ELV_As_Awarded.xlsx]Elec_Rates!$D$1023</v>
      </c>
      <c r="E8409" s="911"/>
      <c r="F8409" s="911"/>
      <c r="G8409" s="912" t="s">
        <v>2598</v>
      </c>
      <c r="H8409" s="912"/>
      <c r="I8409" s="912"/>
      <c r="J8409" s="912"/>
      <c r="K8409" s="913"/>
      <c r="L8409" s="911"/>
      <c r="M8409" s="911"/>
      <c r="N8409" s="911"/>
      <c r="O8409" s="914"/>
      <c r="P8409" s="911"/>
      <c r="Q8409" s="915"/>
      <c r="R8409" s="916"/>
      <c r="S8409" s="915"/>
      <c r="T8409" s="917"/>
      <c r="U8409" s="918"/>
      <c r="AR8409"/>
      <c r="AS8409" s="911"/>
    </row>
    <row r="8410" spans="1:45" s="886" customFormat="1" ht="11.4">
      <c r="A8410" s="919">
        <v>4</v>
      </c>
      <c r="B8410" s="920">
        <v>1</v>
      </c>
      <c r="C8410" s="920">
        <f>$A8410*$B8410</f>
        <v>4</v>
      </c>
      <c r="D8410" s="921" t="str">
        <f>Elec_Rates!$D$1023</f>
        <v>091# Galvanised Conduit points for Fire alarm devices</v>
      </c>
      <c r="E8410" s="921"/>
      <c r="F8410" s="921" t="s">
        <v>2599</v>
      </c>
      <c r="G8410" s="922" t="s">
        <v>2601</v>
      </c>
      <c r="H8410" s="922"/>
      <c r="I8410" s="922"/>
      <c r="J8410" s="922"/>
      <c r="K8410" s="923"/>
      <c r="L8410" s="918"/>
      <c r="M8410" s="918"/>
      <c r="N8410" s="918"/>
      <c r="O8410" s="924"/>
      <c r="P8410" s="921"/>
      <c r="Q8410" s="925">
        <f ca="1">$B8410*Elec_Rates!$R$1023</f>
        <v>30.3</v>
      </c>
      <c r="R8410" s="916">
        <f ca="1">$A8410*Q8410</f>
        <v>121.2</v>
      </c>
      <c r="S8410" s="925">
        <f ca="1">$B8410*Elec_Rates!$T$1023</f>
        <v>1.8</v>
      </c>
      <c r="T8410" s="917">
        <f ca="1">$A8410*S8410</f>
        <v>7.2</v>
      </c>
      <c r="U8410" s="926"/>
      <c r="AR8410" s="919">
        <v>4</v>
      </c>
      <c r="AS8410" s="921" t="s">
        <v>2599</v>
      </c>
    </row>
    <row r="8411" spans="1:45" s="520" customFormat="1" ht="12">
      <c r="A8411" s="758"/>
      <c r="B8411" s="758"/>
      <c r="C8411" s="758"/>
      <c r="D8411" s="758"/>
      <c r="E8411" s="758"/>
      <c r="F8411" s="753"/>
      <c r="G8411" s="758"/>
      <c r="H8411" s="758"/>
      <c r="I8411" s="519"/>
      <c r="J8411" s="758"/>
      <c r="K8411" s="758"/>
      <c r="L8411" s="758"/>
      <c r="M8411" s="758"/>
      <c r="N8411" s="758"/>
      <c r="O8411" s="758"/>
      <c r="P8411" s="758"/>
      <c r="Q8411" s="519"/>
      <c r="R8411" s="759">
        <f>$A8411*Q8411</f>
        <v>0</v>
      </c>
      <c r="S8411" s="519"/>
      <c r="T8411" s="760">
        <f>$A8411*S8411*$T$1</f>
        <v>0</v>
      </c>
      <c r="AR8411" s="758"/>
      <c r="AS8411" s="753"/>
    </row>
    <row r="8412" spans="1:45" s="520" customFormat="1" ht="12.6" thickBot="1">
      <c r="A8412" s="761" t="s">
        <v>145</v>
      </c>
      <c r="B8412" s="762">
        <f>(R8411+T8411)</f>
        <v>0</v>
      </c>
      <c r="C8412" s="763"/>
      <c r="D8412" s="763"/>
      <c r="E8412" s="763"/>
      <c r="F8412" s="764"/>
      <c r="G8412" s="763" t="s">
        <v>146</v>
      </c>
      <c r="H8412" s="763"/>
      <c r="I8412" s="765"/>
      <c r="J8412" s="763"/>
      <c r="K8412" s="763" t="s">
        <v>3</v>
      </c>
      <c r="L8412" s="766" t="s">
        <v>143</v>
      </c>
      <c r="M8412" s="766"/>
      <c r="N8412" s="766"/>
      <c r="O8412" s="766"/>
      <c r="P8412" s="766"/>
      <c r="Q8412" s="767"/>
      <c r="R8412" s="768">
        <f ca="1">SUM(R8408:R8411)</f>
        <v>121.2</v>
      </c>
      <c r="S8412" s="763"/>
      <c r="T8412" s="768">
        <f ca="1">SUM(T8408:T8411)</f>
        <v>7.2</v>
      </c>
      <c r="U8412" s="531"/>
      <c r="V8412" s="531"/>
      <c r="W8412" s="531"/>
      <c r="X8412" s="531"/>
      <c r="Y8412" s="531"/>
      <c r="Z8412" s="531"/>
      <c r="AA8412" s="531"/>
      <c r="AB8412" s="531"/>
      <c r="AC8412" s="531"/>
      <c r="AD8412" s="531"/>
      <c r="AE8412" s="531"/>
      <c r="AF8412" s="531"/>
      <c r="AG8412" s="531"/>
      <c r="AH8412" s="531"/>
      <c r="AI8412" s="531"/>
      <c r="AJ8412" s="531"/>
      <c r="AK8412" s="531"/>
      <c r="AL8412" s="531"/>
      <c r="AM8412" s="531"/>
      <c r="AN8412" s="531"/>
      <c r="AO8412" s="531"/>
      <c r="AR8412" s="761" t="s">
        <v>145</v>
      </c>
      <c r="AS8412" s="764"/>
    </row>
    <row r="8413" spans="1:45" s="520" customFormat="1" ht="12" thickTop="1">
      <c r="A8413" s="51"/>
      <c r="B8413" s="41"/>
      <c r="C8413" s="51"/>
      <c r="E8413" s="42" t="s">
        <v>138</v>
      </c>
      <c r="F8413" s="42" t="s">
        <v>139</v>
      </c>
      <c r="G8413" s="51"/>
      <c r="H8413" s="51"/>
      <c r="I8413" s="51"/>
      <c r="J8413" s="51"/>
      <c r="K8413" s="51" t="s">
        <v>140</v>
      </c>
      <c r="L8413" s="51"/>
      <c r="M8413" s="51"/>
      <c r="N8413" s="51"/>
      <c r="O8413" s="52"/>
      <c r="P8413" s="51"/>
      <c r="Q8413" s="51"/>
      <c r="R8413" s="51"/>
      <c r="S8413" s="51"/>
      <c r="T8413" s="41"/>
      <c r="AG8413" s="521" t="s">
        <v>268</v>
      </c>
      <c r="AH8413" s="521" t="s">
        <v>269</v>
      </c>
      <c r="AI8413" s="521" t="s">
        <v>270</v>
      </c>
      <c r="AJ8413" s="521" t="s">
        <v>271</v>
      </c>
      <c r="AK8413" s="521" t="s">
        <v>272</v>
      </c>
      <c r="AM8413" s="745" t="s">
        <v>281</v>
      </c>
      <c r="AN8413" s="746" t="s">
        <v>282</v>
      </c>
      <c r="AO8413" s="522" t="s">
        <v>278</v>
      </c>
      <c r="AR8413" s="51"/>
      <c r="AS8413" s="42" t="s">
        <v>139</v>
      </c>
    </row>
    <row r="8414" spans="1:45" s="520" customFormat="1" ht="12" customHeight="1">
      <c r="A8414" s="747">
        <v>4</v>
      </c>
      <c r="B8414" s="523" t="s">
        <v>141</v>
      </c>
      <c r="C8414" s="748"/>
      <c r="D8414" s="749" t="s">
        <v>2312</v>
      </c>
      <c r="E8414" s="750">
        <f ca="1">IF(AND($A8414=0,$A$1="DIF"),0, ROUND(ROUND(($R8419*$S$2+($T8419*$T$2))/A8414,2)*$C$2,2))</f>
        <v>98.17</v>
      </c>
      <c r="F8414" s="751">
        <f ca="1">ROUND($A8414*$E8414,2)</f>
        <v>392.68</v>
      </c>
      <c r="G8414" s="752" t="s">
        <v>142</v>
      </c>
      <c r="H8414" s="753"/>
      <c r="I8414" s="754"/>
      <c r="J8414" s="753"/>
      <c r="K8414" s="753" t="s">
        <v>3</v>
      </c>
      <c r="L8414" s="755" t="s">
        <v>143</v>
      </c>
      <c r="M8414" s="755"/>
      <c r="N8414" s="755"/>
      <c r="O8414" s="755"/>
      <c r="P8414" s="755"/>
      <c r="Q8414" s="51"/>
      <c r="T8414" s="756" t="str">
        <f ca="1">IF(AND($R8419=0,$T8419=0),"0.00","mu :" &amp; ROUND($F8414/$C$2/($R8419+$T8419*$D$9),2))</f>
        <v>mu :1.23</v>
      </c>
      <c r="W8414" s="524"/>
      <c r="AG8414" s="481">
        <f ca="1">IF($E8414=0,0,ROUND($R8419*$S$2*$C$2/$A8414,2))</f>
        <v>37.31</v>
      </c>
      <c r="AH8414" s="481">
        <f ca="1">$AG8414*$A8414</f>
        <v>149.24</v>
      </c>
      <c r="AI8414" s="525">
        <f ca="1">$E8414-$AG8414</f>
        <v>60.86</v>
      </c>
      <c r="AJ8414" s="525">
        <f ca="1">$A8414*$AI8414</f>
        <v>243.44</v>
      </c>
      <c r="AK8414" s="526">
        <f ca="1">ROUND(($AG8414+$AI8414)*$A8414,2)</f>
        <v>392.68</v>
      </c>
      <c r="AM8414" s="527">
        <f ca="1">ROUND(R8419,2)</f>
        <v>121.2</v>
      </c>
      <c r="AN8414" s="528">
        <f ca="1">ROUND(T8419,2)</f>
        <v>7.2</v>
      </c>
      <c r="AO8414" s="529">
        <f ca="1">ROUND(AM8414+AN8414,2)*A8414</f>
        <v>513.6</v>
      </c>
      <c r="AR8414" s="747">
        <v>4</v>
      </c>
      <c r="AS8414" s="751">
        <v>419.76</v>
      </c>
    </row>
    <row r="8415" spans="1:45" s="520" customFormat="1" ht="13.2">
      <c r="A8415" s="748"/>
      <c r="B8415"/>
      <c r="C8415" s="748"/>
      <c r="D8415" s="749" t="s">
        <v>2075</v>
      </c>
      <c r="F8415" s="753"/>
      <c r="G8415" s="3"/>
      <c r="H8415" s="753"/>
      <c r="I8415" s="754"/>
      <c r="J8415" s="753"/>
      <c r="K8415" s="753" t="s">
        <v>144</v>
      </c>
      <c r="L8415" s="753"/>
      <c r="M8415" s="753"/>
      <c r="N8415" s="753"/>
      <c r="O8415" s="753"/>
      <c r="P8415" s="753"/>
      <c r="Q8415" s="51"/>
      <c r="R8415" s="530"/>
      <c r="S8415" s="757"/>
      <c r="T8415" s="753"/>
      <c r="AR8415" s="748"/>
      <c r="AS8415" s="753"/>
    </row>
    <row r="8416" spans="1:45" s="886" customFormat="1" ht="15.6" customHeight="1">
      <c r="A8416"/>
      <c r="B8416" s="910"/>
      <c r="C8416" s="910" t="s">
        <v>2597</v>
      </c>
      <c r="D8416" s="910" t="str">
        <f ca="1">CELL("Address",Elec_Rates!D$1023)</f>
        <v>[E25_0062_Quintano_Foods_Elec_ELV_As_Awarded.xlsx]Elec_Rates!$D$1023</v>
      </c>
      <c r="E8416" s="911"/>
      <c r="F8416" s="911"/>
      <c r="G8416" s="912" t="s">
        <v>2598</v>
      </c>
      <c r="H8416" s="912"/>
      <c r="I8416" s="912"/>
      <c r="J8416" s="912"/>
      <c r="K8416" s="913"/>
      <c r="L8416" s="911"/>
      <c r="M8416" s="911"/>
      <c r="N8416" s="911"/>
      <c r="O8416" s="914"/>
      <c r="P8416" s="911"/>
      <c r="Q8416" s="915"/>
      <c r="R8416" s="916"/>
      <c r="S8416" s="915"/>
      <c r="T8416" s="917"/>
      <c r="U8416" s="918"/>
      <c r="AR8416"/>
      <c r="AS8416" s="911"/>
    </row>
    <row r="8417" spans="1:45" s="886" customFormat="1" ht="11.4">
      <c r="A8417" s="919">
        <v>4</v>
      </c>
      <c r="B8417" s="920">
        <v>1</v>
      </c>
      <c r="C8417" s="920">
        <f>$A8417*$B8417</f>
        <v>4</v>
      </c>
      <c r="D8417" s="921" t="str">
        <f>Elec_Rates!$D$1023</f>
        <v>091# Galvanised Conduit points for Fire alarm devices</v>
      </c>
      <c r="E8417" s="921"/>
      <c r="F8417" s="921" t="s">
        <v>2599</v>
      </c>
      <c r="G8417" s="922" t="s">
        <v>2601</v>
      </c>
      <c r="H8417" s="922"/>
      <c r="I8417" s="922"/>
      <c r="J8417" s="922"/>
      <c r="K8417" s="923"/>
      <c r="L8417" s="918"/>
      <c r="M8417" s="918"/>
      <c r="N8417" s="918"/>
      <c r="O8417" s="924"/>
      <c r="P8417" s="921"/>
      <c r="Q8417" s="925">
        <f ca="1">$B8417*Elec_Rates!$R$1023</f>
        <v>30.3</v>
      </c>
      <c r="R8417" s="916">
        <f ca="1">$A8417*Q8417</f>
        <v>121.2</v>
      </c>
      <c r="S8417" s="925">
        <f ca="1">$B8417*Elec_Rates!$T$1023</f>
        <v>1.8</v>
      </c>
      <c r="T8417" s="917">
        <f ca="1">$A8417*S8417</f>
        <v>7.2</v>
      </c>
      <c r="U8417" s="926"/>
      <c r="AR8417" s="919">
        <v>4</v>
      </c>
      <c r="AS8417" s="921" t="s">
        <v>2599</v>
      </c>
    </row>
    <row r="8418" spans="1:45" s="520" customFormat="1" ht="12">
      <c r="A8418" s="758"/>
      <c r="B8418" s="758"/>
      <c r="C8418" s="758"/>
      <c r="D8418" s="758"/>
      <c r="E8418" s="758"/>
      <c r="F8418" s="753"/>
      <c r="G8418" s="758"/>
      <c r="H8418" s="758"/>
      <c r="I8418" s="519"/>
      <c r="J8418" s="758"/>
      <c r="K8418" s="758"/>
      <c r="L8418" s="758"/>
      <c r="M8418" s="758"/>
      <c r="N8418" s="758"/>
      <c r="O8418" s="758"/>
      <c r="P8418" s="758"/>
      <c r="Q8418" s="519"/>
      <c r="R8418" s="759">
        <f>$A8418*Q8418</f>
        <v>0</v>
      </c>
      <c r="S8418" s="519"/>
      <c r="T8418" s="760">
        <f>$A8418*S8418*$T$1</f>
        <v>0</v>
      </c>
      <c r="AR8418" s="758"/>
      <c r="AS8418" s="753"/>
    </row>
    <row r="8419" spans="1:45" s="520" customFormat="1" ht="12.6" thickBot="1">
      <c r="A8419" s="761" t="s">
        <v>145</v>
      </c>
      <c r="B8419" s="762">
        <f>(R8418+T8418)</f>
        <v>0</v>
      </c>
      <c r="C8419" s="763"/>
      <c r="D8419" s="763"/>
      <c r="E8419" s="763"/>
      <c r="F8419" s="764"/>
      <c r="G8419" s="763" t="s">
        <v>146</v>
      </c>
      <c r="H8419" s="763"/>
      <c r="I8419" s="765"/>
      <c r="J8419" s="763"/>
      <c r="K8419" s="763" t="s">
        <v>3</v>
      </c>
      <c r="L8419" s="766" t="s">
        <v>143</v>
      </c>
      <c r="M8419" s="766"/>
      <c r="N8419" s="766"/>
      <c r="O8419" s="766"/>
      <c r="P8419" s="766"/>
      <c r="Q8419" s="767"/>
      <c r="R8419" s="768">
        <f ca="1">SUM(R8415:R8418)</f>
        <v>121.2</v>
      </c>
      <c r="S8419" s="763"/>
      <c r="T8419" s="768">
        <f ca="1">SUM(T8415:T8418)</f>
        <v>7.2</v>
      </c>
      <c r="U8419" s="531"/>
      <c r="V8419" s="531"/>
      <c r="W8419" s="531"/>
      <c r="X8419" s="531"/>
      <c r="Y8419" s="531"/>
      <c r="Z8419" s="531"/>
      <c r="AA8419" s="531"/>
      <c r="AB8419" s="531"/>
      <c r="AC8419" s="531"/>
      <c r="AD8419" s="531"/>
      <c r="AE8419" s="531"/>
      <c r="AF8419" s="531"/>
      <c r="AG8419" s="531"/>
      <c r="AH8419" s="531"/>
      <c r="AI8419" s="531"/>
      <c r="AJ8419" s="531"/>
      <c r="AK8419" s="531"/>
      <c r="AL8419" s="531"/>
      <c r="AM8419" s="531"/>
      <c r="AN8419" s="531"/>
      <c r="AO8419" s="531"/>
      <c r="AR8419" s="761" t="s">
        <v>145</v>
      </c>
      <c r="AS8419" s="764"/>
    </row>
    <row r="8420" spans="1:45" s="520" customFormat="1" ht="12" thickTop="1">
      <c r="A8420" s="51"/>
      <c r="B8420" s="41"/>
      <c r="C8420" s="51"/>
      <c r="E8420" s="42" t="s">
        <v>138</v>
      </c>
      <c r="F8420" s="42" t="s">
        <v>139</v>
      </c>
      <c r="G8420" s="51"/>
      <c r="H8420" s="51"/>
      <c r="I8420" s="51"/>
      <c r="J8420" s="51"/>
      <c r="K8420" s="51" t="s">
        <v>140</v>
      </c>
      <c r="L8420" s="51"/>
      <c r="M8420" s="51"/>
      <c r="N8420" s="51"/>
      <c r="O8420" s="52"/>
      <c r="P8420" s="51"/>
      <c r="Q8420" s="51"/>
      <c r="R8420" s="51"/>
      <c r="S8420" s="51"/>
      <c r="T8420" s="41"/>
      <c r="AG8420" s="521" t="s">
        <v>268</v>
      </c>
      <c r="AH8420" s="521" t="s">
        <v>269</v>
      </c>
      <c r="AI8420" s="521" t="s">
        <v>270</v>
      </c>
      <c r="AJ8420" s="521" t="s">
        <v>271</v>
      </c>
      <c r="AK8420" s="521" t="s">
        <v>272</v>
      </c>
      <c r="AM8420" s="745" t="s">
        <v>281</v>
      </c>
      <c r="AN8420" s="746" t="s">
        <v>282</v>
      </c>
      <c r="AO8420" s="522" t="s">
        <v>278</v>
      </c>
      <c r="AR8420" s="51"/>
      <c r="AS8420" s="42" t="s">
        <v>139</v>
      </c>
    </row>
    <row r="8421" spans="1:45" s="520" customFormat="1" ht="12" customHeight="1">
      <c r="A8421" s="747">
        <v>1</v>
      </c>
      <c r="B8421" s="523" t="s">
        <v>141</v>
      </c>
      <c r="C8421" s="748"/>
      <c r="D8421" s="749" t="s">
        <v>2313</v>
      </c>
      <c r="E8421" s="750">
        <f ca="1">IF(AND($A8421=0,$A$1="DIF"),0, ROUND(ROUND(($R8426*$S$2+($T8426*$T$2))/A8421,2)*$C$2,2))</f>
        <v>98.17</v>
      </c>
      <c r="F8421" s="751">
        <f ca="1">ROUND($A8421*$E8421,2)</f>
        <v>98.17</v>
      </c>
      <c r="G8421" s="752" t="s">
        <v>142</v>
      </c>
      <c r="H8421" s="753"/>
      <c r="I8421" s="754"/>
      <c r="J8421" s="753"/>
      <c r="K8421" s="753" t="s">
        <v>3</v>
      </c>
      <c r="L8421" s="755" t="s">
        <v>143</v>
      </c>
      <c r="M8421" s="755"/>
      <c r="N8421" s="755"/>
      <c r="O8421" s="755"/>
      <c r="P8421" s="755"/>
      <c r="Q8421" s="51"/>
      <c r="T8421" s="756" t="str">
        <f ca="1">IF(AND($R8426=0,$T8426=0),"0.00","mu :" &amp; ROUND($F8421/$C$2/($R8426+$T8426*$D$9),2))</f>
        <v>mu :1.23</v>
      </c>
      <c r="W8421" s="524"/>
      <c r="AG8421" s="481">
        <f ca="1">IF($E8421=0,0,ROUND($R8426*$S$2*$C$2/$A8421,2))</f>
        <v>37.31</v>
      </c>
      <c r="AH8421" s="481">
        <f ca="1">$AG8421*$A8421</f>
        <v>37.31</v>
      </c>
      <c r="AI8421" s="525">
        <f ca="1">$E8421-$AG8421</f>
        <v>60.86</v>
      </c>
      <c r="AJ8421" s="525">
        <f ca="1">$A8421*$AI8421</f>
        <v>60.86</v>
      </c>
      <c r="AK8421" s="526">
        <f ca="1">ROUND(($AG8421+$AI8421)*$A8421,2)</f>
        <v>98.17</v>
      </c>
      <c r="AM8421" s="527">
        <f ca="1">ROUND(R8426,2)</f>
        <v>30.3</v>
      </c>
      <c r="AN8421" s="528">
        <f ca="1">ROUND(T8426,2)</f>
        <v>1.8</v>
      </c>
      <c r="AO8421" s="529">
        <f ca="1">ROUND(AM8421+AN8421,2)*A8421</f>
        <v>32.1</v>
      </c>
      <c r="AR8421" s="747">
        <v>1</v>
      </c>
      <c r="AS8421" s="751">
        <v>104.94</v>
      </c>
    </row>
    <row r="8422" spans="1:45" s="520" customFormat="1" ht="13.2">
      <c r="A8422" s="748"/>
      <c r="B8422"/>
      <c r="C8422" s="748"/>
      <c r="D8422" s="749" t="s">
        <v>2066</v>
      </c>
      <c r="F8422" s="753"/>
      <c r="G8422" s="3"/>
      <c r="H8422" s="753"/>
      <c r="I8422" s="754"/>
      <c r="J8422" s="753"/>
      <c r="K8422" s="753" t="s">
        <v>144</v>
      </c>
      <c r="L8422" s="753"/>
      <c r="M8422" s="753"/>
      <c r="N8422" s="753"/>
      <c r="O8422" s="753"/>
      <c r="P8422" s="753"/>
      <c r="Q8422" s="51"/>
      <c r="R8422" s="530"/>
      <c r="S8422" s="757"/>
      <c r="T8422" s="753"/>
      <c r="AR8422" s="748"/>
      <c r="AS8422" s="753"/>
    </row>
    <row r="8423" spans="1:45" s="886" customFormat="1" ht="15.6" customHeight="1">
      <c r="A8423"/>
      <c r="B8423" s="910"/>
      <c r="C8423" s="910" t="s">
        <v>2597</v>
      </c>
      <c r="D8423" s="910" t="str">
        <f ca="1">CELL("Address",Elec_Rates!D$1023)</f>
        <v>[E25_0062_Quintano_Foods_Elec_ELV_As_Awarded.xlsx]Elec_Rates!$D$1023</v>
      </c>
      <c r="E8423" s="911"/>
      <c r="F8423" s="911"/>
      <c r="G8423" s="912" t="s">
        <v>2598</v>
      </c>
      <c r="H8423" s="912"/>
      <c r="I8423" s="912"/>
      <c r="J8423" s="912"/>
      <c r="K8423" s="913"/>
      <c r="L8423" s="911"/>
      <c r="M8423" s="911"/>
      <c r="N8423" s="911"/>
      <c r="O8423" s="914"/>
      <c r="P8423" s="911"/>
      <c r="Q8423" s="915"/>
      <c r="R8423" s="916"/>
      <c r="S8423" s="915"/>
      <c r="T8423" s="917"/>
      <c r="U8423" s="918"/>
      <c r="AR8423"/>
      <c r="AS8423" s="911"/>
    </row>
    <row r="8424" spans="1:45" s="886" customFormat="1" ht="11.4">
      <c r="A8424" s="919">
        <v>1</v>
      </c>
      <c r="B8424" s="920">
        <v>1</v>
      </c>
      <c r="C8424" s="920">
        <f>$A8424*$B8424</f>
        <v>1</v>
      </c>
      <c r="D8424" s="921" t="str">
        <f>Elec_Rates!$D$1023</f>
        <v>091# Galvanised Conduit points for Fire alarm devices</v>
      </c>
      <c r="E8424" s="921"/>
      <c r="F8424" s="921" t="s">
        <v>2599</v>
      </c>
      <c r="G8424" s="922" t="s">
        <v>2601</v>
      </c>
      <c r="H8424" s="922"/>
      <c r="I8424" s="922"/>
      <c r="J8424" s="922"/>
      <c r="K8424" s="923"/>
      <c r="L8424" s="918"/>
      <c r="M8424" s="918"/>
      <c r="N8424" s="918"/>
      <c r="O8424" s="924"/>
      <c r="P8424" s="921"/>
      <c r="Q8424" s="925">
        <f ca="1">$B8424*Elec_Rates!$R$1023</f>
        <v>30.3</v>
      </c>
      <c r="R8424" s="916">
        <f ca="1">$A8424*Q8424</f>
        <v>30.3</v>
      </c>
      <c r="S8424" s="925">
        <f ca="1">$B8424*Elec_Rates!$T$1023</f>
        <v>1.8</v>
      </c>
      <c r="T8424" s="917">
        <f ca="1">$A8424*S8424</f>
        <v>1.8</v>
      </c>
      <c r="U8424" s="926"/>
      <c r="AR8424" s="919">
        <v>1</v>
      </c>
      <c r="AS8424" s="921" t="s">
        <v>2599</v>
      </c>
    </row>
    <row r="8425" spans="1:45" s="520" customFormat="1" ht="12">
      <c r="A8425" s="758"/>
      <c r="B8425" s="758"/>
      <c r="C8425" s="758"/>
      <c r="D8425" s="758"/>
      <c r="E8425" s="758"/>
      <c r="F8425" s="753"/>
      <c r="G8425" s="758"/>
      <c r="H8425" s="758"/>
      <c r="I8425" s="519"/>
      <c r="J8425" s="758"/>
      <c r="K8425" s="758"/>
      <c r="L8425" s="758"/>
      <c r="M8425" s="758"/>
      <c r="N8425" s="758"/>
      <c r="O8425" s="758"/>
      <c r="P8425" s="758"/>
      <c r="Q8425" s="519"/>
      <c r="R8425" s="759">
        <f>$A8425*Q8425</f>
        <v>0</v>
      </c>
      <c r="S8425" s="519"/>
      <c r="T8425" s="760">
        <f>$A8425*S8425*$T$1</f>
        <v>0</v>
      </c>
      <c r="AR8425" s="758"/>
      <c r="AS8425" s="753"/>
    </row>
    <row r="8426" spans="1:45" s="520" customFormat="1" ht="12.6" thickBot="1">
      <c r="A8426" s="761" t="s">
        <v>145</v>
      </c>
      <c r="B8426" s="762">
        <f>(R8425+T8425)</f>
        <v>0</v>
      </c>
      <c r="C8426" s="763"/>
      <c r="D8426" s="763"/>
      <c r="E8426" s="763"/>
      <c r="F8426" s="764"/>
      <c r="G8426" s="763" t="s">
        <v>146</v>
      </c>
      <c r="H8426" s="763"/>
      <c r="I8426" s="765"/>
      <c r="J8426" s="763"/>
      <c r="K8426" s="763" t="s">
        <v>3</v>
      </c>
      <c r="L8426" s="766" t="s">
        <v>143</v>
      </c>
      <c r="M8426" s="766"/>
      <c r="N8426" s="766"/>
      <c r="O8426" s="766"/>
      <c r="P8426" s="766"/>
      <c r="Q8426" s="767"/>
      <c r="R8426" s="768">
        <f ca="1">SUM(R8422:R8425)</f>
        <v>30.3</v>
      </c>
      <c r="S8426" s="763"/>
      <c r="T8426" s="768">
        <f ca="1">SUM(T8422:T8425)</f>
        <v>1.8</v>
      </c>
      <c r="U8426" s="531"/>
      <c r="V8426" s="531"/>
      <c r="W8426" s="531"/>
      <c r="X8426" s="531"/>
      <c r="Y8426" s="531"/>
      <c r="Z8426" s="531"/>
      <c r="AA8426" s="531"/>
      <c r="AB8426" s="531"/>
      <c r="AC8426" s="531"/>
      <c r="AD8426" s="531"/>
      <c r="AE8426" s="531"/>
      <c r="AF8426" s="531"/>
      <c r="AG8426" s="531"/>
      <c r="AH8426" s="531"/>
      <c r="AI8426" s="531"/>
      <c r="AJ8426" s="531"/>
      <c r="AK8426" s="531"/>
      <c r="AL8426" s="531"/>
      <c r="AM8426" s="531"/>
      <c r="AN8426" s="531"/>
      <c r="AO8426" s="531"/>
      <c r="AR8426" s="761" t="s">
        <v>145</v>
      </c>
      <c r="AS8426" s="764"/>
    </row>
    <row r="8427" spans="1:45" s="520" customFormat="1" ht="12" thickTop="1">
      <c r="A8427" s="51"/>
      <c r="B8427" s="41"/>
      <c r="C8427" s="51"/>
      <c r="E8427" s="42" t="s">
        <v>138</v>
      </c>
      <c r="F8427" s="42" t="s">
        <v>139</v>
      </c>
      <c r="G8427" s="51"/>
      <c r="H8427" s="51"/>
      <c r="I8427" s="51"/>
      <c r="J8427" s="51"/>
      <c r="K8427" s="51" t="s">
        <v>140</v>
      </c>
      <c r="L8427" s="51"/>
      <c r="M8427" s="51"/>
      <c r="N8427" s="51"/>
      <c r="O8427" s="52"/>
      <c r="P8427" s="51"/>
      <c r="Q8427" s="51"/>
      <c r="R8427" s="51"/>
      <c r="S8427" s="51"/>
      <c r="T8427" s="41"/>
      <c r="AG8427" s="521" t="s">
        <v>268</v>
      </c>
      <c r="AH8427" s="521" t="s">
        <v>269</v>
      </c>
      <c r="AI8427" s="521" t="s">
        <v>270</v>
      </c>
      <c r="AJ8427" s="521" t="s">
        <v>271</v>
      </c>
      <c r="AK8427" s="521" t="s">
        <v>272</v>
      </c>
      <c r="AM8427" s="745" t="s">
        <v>281</v>
      </c>
      <c r="AN8427" s="746" t="s">
        <v>282</v>
      </c>
      <c r="AO8427" s="522" t="s">
        <v>278</v>
      </c>
      <c r="AR8427" s="51"/>
      <c r="AS8427" s="42" t="s">
        <v>139</v>
      </c>
    </row>
    <row r="8428" spans="1:45" s="520" customFormat="1" ht="12" customHeight="1">
      <c r="A8428" s="747">
        <v>1</v>
      </c>
      <c r="B8428" s="523" t="s">
        <v>141</v>
      </c>
      <c r="C8428" s="748"/>
      <c r="D8428" s="749" t="s">
        <v>2314</v>
      </c>
      <c r="E8428" s="750">
        <f ca="1">IF(AND($A8428=0,$A$1="DIF"),0, ROUND(ROUND(($R8433*$S$2+($T8433*$T$2))/A8428,2)*$C$2,2))</f>
        <v>98.17</v>
      </c>
      <c r="F8428" s="751">
        <f ca="1">ROUND($A8428*$E8428,2)</f>
        <v>98.17</v>
      </c>
      <c r="G8428" s="752" t="s">
        <v>142</v>
      </c>
      <c r="H8428" s="753"/>
      <c r="I8428" s="754"/>
      <c r="J8428" s="753"/>
      <c r="K8428" s="753" t="s">
        <v>3</v>
      </c>
      <c r="L8428" s="755" t="s">
        <v>143</v>
      </c>
      <c r="M8428" s="755"/>
      <c r="N8428" s="755"/>
      <c r="O8428" s="755"/>
      <c r="P8428" s="755"/>
      <c r="Q8428" s="51"/>
      <c r="T8428" s="756" t="str">
        <f ca="1">IF(AND($R8433=0,$T8433=0),"0.00","mu :" &amp; ROUND($F8428/$C$2/($R8433+$T8433*$D$9),2))</f>
        <v>mu :1.23</v>
      </c>
      <c r="W8428" s="524"/>
      <c r="AG8428" s="481">
        <f ca="1">IF($E8428=0,0,ROUND($R8433*$S$2*$C$2/$A8428,2))</f>
        <v>37.31</v>
      </c>
      <c r="AH8428" s="481">
        <f ca="1">$AG8428*$A8428</f>
        <v>37.31</v>
      </c>
      <c r="AI8428" s="525">
        <f ca="1">$E8428-$AG8428</f>
        <v>60.86</v>
      </c>
      <c r="AJ8428" s="525">
        <f ca="1">$A8428*$AI8428</f>
        <v>60.86</v>
      </c>
      <c r="AK8428" s="526">
        <f ca="1">ROUND(($AG8428+$AI8428)*$A8428,2)</f>
        <v>98.17</v>
      </c>
      <c r="AM8428" s="527">
        <f ca="1">ROUND(R8433,2)</f>
        <v>30.3</v>
      </c>
      <c r="AN8428" s="528">
        <f ca="1">ROUND(T8433,2)</f>
        <v>1.8</v>
      </c>
      <c r="AO8428" s="529">
        <f ca="1">ROUND(AM8428+AN8428,2)*A8428</f>
        <v>32.1</v>
      </c>
      <c r="AR8428" s="747">
        <v>1</v>
      </c>
      <c r="AS8428" s="751">
        <v>104.94</v>
      </c>
    </row>
    <row r="8429" spans="1:45" s="520" customFormat="1" ht="13.2">
      <c r="A8429" s="748"/>
      <c r="B8429"/>
      <c r="C8429" s="748"/>
      <c r="D8429" s="749" t="s">
        <v>2068</v>
      </c>
      <c r="F8429" s="753"/>
      <c r="G8429" s="3"/>
      <c r="H8429" s="753"/>
      <c r="I8429" s="754"/>
      <c r="J8429" s="753"/>
      <c r="K8429" s="753" t="s">
        <v>144</v>
      </c>
      <c r="L8429" s="753"/>
      <c r="M8429" s="753"/>
      <c r="N8429" s="753"/>
      <c r="O8429" s="753"/>
      <c r="P8429" s="753"/>
      <c r="Q8429" s="51"/>
      <c r="R8429" s="530"/>
      <c r="S8429" s="757"/>
      <c r="T8429" s="753"/>
      <c r="AR8429" s="748"/>
      <c r="AS8429" s="753"/>
    </row>
    <row r="8430" spans="1:45" s="886" customFormat="1" ht="15.6" customHeight="1">
      <c r="A8430"/>
      <c r="B8430" s="910"/>
      <c r="C8430" s="910" t="s">
        <v>2597</v>
      </c>
      <c r="D8430" s="910" t="str">
        <f ca="1">CELL("Address",Elec_Rates!D$1023)</f>
        <v>[E25_0062_Quintano_Foods_Elec_ELV_As_Awarded.xlsx]Elec_Rates!$D$1023</v>
      </c>
      <c r="E8430" s="911"/>
      <c r="F8430" s="911"/>
      <c r="G8430" s="912" t="s">
        <v>2598</v>
      </c>
      <c r="H8430" s="912"/>
      <c r="I8430" s="912"/>
      <c r="J8430" s="912"/>
      <c r="K8430" s="913"/>
      <c r="L8430" s="911"/>
      <c r="M8430" s="911"/>
      <c r="N8430" s="911"/>
      <c r="O8430" s="914"/>
      <c r="P8430" s="911"/>
      <c r="Q8430" s="915"/>
      <c r="R8430" s="916"/>
      <c r="S8430" s="915"/>
      <c r="T8430" s="917"/>
      <c r="U8430" s="918"/>
      <c r="AR8430"/>
      <c r="AS8430" s="911"/>
    </row>
    <row r="8431" spans="1:45" s="886" customFormat="1" ht="11.4">
      <c r="A8431" s="919">
        <v>1</v>
      </c>
      <c r="B8431" s="920">
        <v>1</v>
      </c>
      <c r="C8431" s="920">
        <f>$A8431*$B8431</f>
        <v>1</v>
      </c>
      <c r="D8431" s="921" t="str">
        <f>Elec_Rates!$D$1023</f>
        <v>091# Galvanised Conduit points for Fire alarm devices</v>
      </c>
      <c r="E8431" s="921"/>
      <c r="F8431" s="921" t="s">
        <v>2599</v>
      </c>
      <c r="G8431" s="922" t="s">
        <v>2601</v>
      </c>
      <c r="H8431" s="922"/>
      <c r="I8431" s="922"/>
      <c r="J8431" s="922"/>
      <c r="K8431" s="923"/>
      <c r="L8431" s="918"/>
      <c r="M8431" s="918"/>
      <c r="N8431" s="918"/>
      <c r="O8431" s="924"/>
      <c r="P8431" s="921"/>
      <c r="Q8431" s="925">
        <f ca="1">$B8431*Elec_Rates!$R$1023</f>
        <v>30.3</v>
      </c>
      <c r="R8431" s="916">
        <f ca="1">$A8431*Q8431</f>
        <v>30.3</v>
      </c>
      <c r="S8431" s="925">
        <f ca="1">$B8431*Elec_Rates!$T$1023</f>
        <v>1.8</v>
      </c>
      <c r="T8431" s="917">
        <f ca="1">$A8431*S8431</f>
        <v>1.8</v>
      </c>
      <c r="U8431" s="926"/>
      <c r="AR8431" s="919">
        <v>1</v>
      </c>
      <c r="AS8431" s="921" t="s">
        <v>2599</v>
      </c>
    </row>
    <row r="8432" spans="1:45" s="520" customFormat="1" ht="12">
      <c r="A8432" s="758"/>
      <c r="B8432" s="758"/>
      <c r="C8432" s="758"/>
      <c r="D8432" s="758"/>
      <c r="E8432" s="758"/>
      <c r="F8432" s="753"/>
      <c r="G8432" s="758"/>
      <c r="H8432" s="758"/>
      <c r="I8432" s="519"/>
      <c r="J8432" s="758"/>
      <c r="K8432" s="758"/>
      <c r="L8432" s="758"/>
      <c r="M8432" s="758"/>
      <c r="N8432" s="758"/>
      <c r="O8432" s="758"/>
      <c r="P8432" s="758"/>
      <c r="Q8432" s="519"/>
      <c r="R8432" s="759">
        <f>$A8432*Q8432</f>
        <v>0</v>
      </c>
      <c r="S8432" s="519"/>
      <c r="T8432" s="760">
        <f>$A8432*S8432*$T$1</f>
        <v>0</v>
      </c>
      <c r="AR8432" s="758"/>
      <c r="AS8432" s="753"/>
    </row>
    <row r="8433" spans="1:45" s="520" customFormat="1" ht="12.6" thickBot="1">
      <c r="A8433" s="761" t="s">
        <v>145</v>
      </c>
      <c r="B8433" s="762">
        <f>(R8432+T8432)</f>
        <v>0</v>
      </c>
      <c r="C8433" s="763"/>
      <c r="D8433" s="763"/>
      <c r="E8433" s="763"/>
      <c r="F8433" s="764"/>
      <c r="G8433" s="763" t="s">
        <v>146</v>
      </c>
      <c r="H8433" s="763"/>
      <c r="I8433" s="765"/>
      <c r="J8433" s="763"/>
      <c r="K8433" s="763" t="s">
        <v>3</v>
      </c>
      <c r="L8433" s="766" t="s">
        <v>143</v>
      </c>
      <c r="M8433" s="766"/>
      <c r="N8433" s="766"/>
      <c r="O8433" s="766"/>
      <c r="P8433" s="766"/>
      <c r="Q8433" s="767"/>
      <c r="R8433" s="768">
        <f ca="1">SUM(R8429:R8432)</f>
        <v>30.3</v>
      </c>
      <c r="S8433" s="763"/>
      <c r="T8433" s="768">
        <f ca="1">SUM(T8429:T8432)</f>
        <v>1.8</v>
      </c>
      <c r="U8433" s="531"/>
      <c r="V8433" s="531"/>
      <c r="W8433" s="531"/>
      <c r="X8433" s="531"/>
      <c r="Y8433" s="531"/>
      <c r="Z8433" s="531"/>
      <c r="AA8433" s="531"/>
      <c r="AB8433" s="531"/>
      <c r="AC8433" s="531"/>
      <c r="AD8433" s="531"/>
      <c r="AE8433" s="531"/>
      <c r="AF8433" s="531"/>
      <c r="AG8433" s="531"/>
      <c r="AH8433" s="531"/>
      <c r="AI8433" s="531"/>
      <c r="AJ8433" s="531"/>
      <c r="AK8433" s="531"/>
      <c r="AL8433" s="531"/>
      <c r="AM8433" s="531"/>
      <c r="AN8433" s="531"/>
      <c r="AO8433" s="531"/>
      <c r="AR8433" s="761" t="s">
        <v>145</v>
      </c>
      <c r="AS8433" s="764"/>
    </row>
    <row r="8434" spans="1:45" s="520" customFormat="1" thickTop="1">
      <c r="A8434" s="51"/>
      <c r="B8434" s="51"/>
      <c r="C8434" s="3"/>
      <c r="D8434" s="3"/>
      <c r="E8434" s="51"/>
      <c r="F8434" s="51"/>
      <c r="G8434" s="51"/>
      <c r="H8434" s="51"/>
      <c r="I8434" s="51"/>
      <c r="J8434" s="51"/>
      <c r="K8434" s="51" t="s">
        <v>134</v>
      </c>
      <c r="L8434" s="51"/>
      <c r="M8434" s="51"/>
      <c r="N8434" s="51"/>
      <c r="O8434" s="52"/>
      <c r="P8434" s="51"/>
      <c r="Q8434" s="51"/>
      <c r="R8434" s="51"/>
      <c r="S8434" s="51"/>
      <c r="T8434" s="51"/>
      <c r="AR8434" s="51"/>
      <c r="AS8434" s="51"/>
    </row>
    <row r="8435" spans="1:45" s="520" customFormat="1" ht="12">
      <c r="A8435" s="51"/>
      <c r="B8435" s="51"/>
      <c r="C8435" s="51" t="s">
        <v>135</v>
      </c>
      <c r="D8435" s="37"/>
      <c r="E8435" s="51"/>
      <c r="F8435" s="51"/>
      <c r="G8435" s="51"/>
      <c r="H8435" s="51"/>
      <c r="I8435" s="51"/>
      <c r="J8435" s="51"/>
      <c r="K8435" s="51"/>
      <c r="L8435" s="51"/>
      <c r="M8435" s="51"/>
      <c r="N8435" s="51"/>
      <c r="O8435" s="52"/>
      <c r="P8435" s="51"/>
      <c r="Q8435" s="51"/>
      <c r="R8435" s="51"/>
      <c r="S8435" s="51"/>
      <c r="T8435" s="51"/>
      <c r="AR8435" s="51"/>
      <c r="AS8435" s="51"/>
    </row>
    <row r="8436" spans="1:45" s="520" customFormat="1" ht="39.9" customHeight="1">
      <c r="A8436" s="51"/>
      <c r="B8436" s="51"/>
      <c r="C8436" s="51"/>
      <c r="D8436" s="1453" t="s">
        <v>2286</v>
      </c>
      <c r="E8436" s="1452"/>
      <c r="F8436" s="1452"/>
      <c r="G8436" s="1452"/>
      <c r="H8436" s="1452"/>
      <c r="I8436" s="1452"/>
      <c r="J8436" s="1452"/>
      <c r="K8436" s="1452"/>
      <c r="L8436" s="1452"/>
      <c r="M8436" s="1452"/>
      <c r="N8436" s="1452"/>
      <c r="O8436" s="1452"/>
      <c r="P8436" s="1452"/>
      <c r="Q8436" s="1452"/>
      <c r="R8436" s="1452"/>
      <c r="S8436" s="1452"/>
      <c r="T8436" s="1452"/>
      <c r="AR8436" s="51"/>
    </row>
    <row r="8437" spans="1:45" s="3" customFormat="1" thickBot="1">
      <c r="A8437" s="531"/>
      <c r="O8437" s="107"/>
      <c r="AR8437" s="531"/>
    </row>
    <row r="8438" spans="1:45" s="520" customFormat="1" ht="12" thickTop="1">
      <c r="A8438" s="51"/>
      <c r="B8438" s="41"/>
      <c r="C8438" s="51"/>
      <c r="E8438" s="42" t="s">
        <v>138</v>
      </c>
      <c r="F8438" s="42" t="s">
        <v>139</v>
      </c>
      <c r="G8438" s="51"/>
      <c r="H8438" s="51"/>
      <c r="I8438" s="51"/>
      <c r="J8438" s="51"/>
      <c r="K8438" s="51" t="s">
        <v>140</v>
      </c>
      <c r="L8438" s="51"/>
      <c r="M8438" s="51"/>
      <c r="N8438" s="51"/>
      <c r="O8438" s="52"/>
      <c r="P8438" s="51"/>
      <c r="Q8438" s="51"/>
      <c r="R8438" s="51"/>
      <c r="S8438" s="51"/>
      <c r="T8438" s="41"/>
      <c r="AG8438" s="521" t="s">
        <v>268</v>
      </c>
      <c r="AH8438" s="521" t="s">
        <v>269</v>
      </c>
      <c r="AI8438" s="521" t="s">
        <v>270</v>
      </c>
      <c r="AJ8438" s="521" t="s">
        <v>271</v>
      </c>
      <c r="AK8438" s="521" t="s">
        <v>272</v>
      </c>
      <c r="AM8438" s="745" t="s">
        <v>281</v>
      </c>
      <c r="AN8438" s="746" t="s">
        <v>282</v>
      </c>
      <c r="AO8438" s="522" t="s">
        <v>278</v>
      </c>
      <c r="AR8438" s="51"/>
      <c r="AS8438" s="42" t="s">
        <v>139</v>
      </c>
    </row>
    <row r="8439" spans="1:45" s="520" customFormat="1" ht="12" customHeight="1">
      <c r="A8439" s="747">
        <v>8</v>
      </c>
      <c r="B8439" s="523" t="s">
        <v>141</v>
      </c>
      <c r="C8439" s="748"/>
      <c r="D8439" s="749" t="s">
        <v>2315</v>
      </c>
      <c r="E8439" s="1145">
        <f>IF(AND($A8439=0,$A$1="DIF"),0, ROUND(ROUND(($R8443*$S$3+($T8443*$T$3))/$A8439,2)*$C$3,2))</f>
        <v>36.950000000000003</v>
      </c>
      <c r="F8439" s="1146">
        <f>ROUND($A8439*$E8439,2)</f>
        <v>295.60000000000002</v>
      </c>
      <c r="G8439" s="752" t="s">
        <v>142</v>
      </c>
      <c r="H8439" s="753"/>
      <c r="I8439" s="754"/>
      <c r="J8439" s="753"/>
      <c r="K8439" s="753" t="s">
        <v>5</v>
      </c>
      <c r="L8439" s="755" t="s">
        <v>143</v>
      </c>
      <c r="M8439" s="755"/>
      <c r="N8439" s="755"/>
      <c r="O8439" s="755"/>
      <c r="P8439" s="755"/>
      <c r="Q8439" s="51"/>
      <c r="T8439" s="1150" t="str">
        <f>IF(AND($R8443=0,$T8443=0),"0.00","mu: "&amp; ROUND(F8439/$C$3/($R8443+$T8443*$D$9),2))</f>
        <v>mu: 1.13</v>
      </c>
      <c r="W8439" s="524"/>
      <c r="AG8439" s="1147">
        <f>IF($E8439=0,0,ROUND($R8443*$S$3*$C$3/$A8439,2))</f>
        <v>36.950000000000003</v>
      </c>
      <c r="AH8439" s="1147">
        <f>$AG8439*$A8439</f>
        <v>295.60000000000002</v>
      </c>
      <c r="AI8439" s="1148">
        <f>$E8439-$AG8439</f>
        <v>0</v>
      </c>
      <c r="AJ8439" s="1148">
        <f>$A8439*$AI8439</f>
        <v>0</v>
      </c>
      <c r="AK8439" s="1149">
        <f>ROUND(($AG8439+$AI8439)*$A8439,2)</f>
        <v>295.60000000000002</v>
      </c>
      <c r="AM8439" s="527">
        <f>ROUND(R8443,2)</f>
        <v>261.89999999999998</v>
      </c>
      <c r="AN8439" s="528">
        <f>ROUND(T8443,2)</f>
        <v>0</v>
      </c>
      <c r="AO8439" s="529">
        <f>ROUND(AM8439+AN8439,2)*A8439</f>
        <v>2095.1999999999998</v>
      </c>
      <c r="AR8439" s="747">
        <v>7</v>
      </c>
      <c r="AS8439" s="1146">
        <v>281.47000000000003</v>
      </c>
    </row>
    <row r="8440" spans="1:45" s="520" customFormat="1" ht="13.2">
      <c r="A8440" s="748"/>
      <c r="B8440"/>
      <c r="C8440" s="748"/>
      <c r="D8440" s="749" t="s">
        <v>2061</v>
      </c>
      <c r="F8440" s="753"/>
      <c r="G8440" s="3"/>
      <c r="H8440" s="753"/>
      <c r="I8440" s="754"/>
      <c r="J8440" s="753"/>
      <c r="K8440" s="753" t="s">
        <v>144</v>
      </c>
      <c r="L8440" s="753"/>
      <c r="M8440" s="753"/>
      <c r="N8440" s="753"/>
      <c r="O8440" s="753"/>
      <c r="P8440" s="753"/>
      <c r="Q8440" s="51"/>
      <c r="R8440" s="530"/>
      <c r="S8440" s="757"/>
      <c r="T8440" s="753"/>
      <c r="AR8440" s="748"/>
      <c r="AS8440" s="753"/>
    </row>
    <row r="8441" spans="1:45" s="901" customFormat="1" ht="13.2">
      <c r="A8441" s="903">
        <v>8</v>
      </c>
      <c r="B8441" s="904" t="s">
        <v>863</v>
      </c>
      <c r="C8441" s="904"/>
      <c r="D8441" s="904" t="s">
        <v>2594</v>
      </c>
      <c r="E8441" s="904"/>
      <c r="F8441" s="904" t="s">
        <v>4128</v>
      </c>
      <c r="G8441" s="905" t="s">
        <v>2595</v>
      </c>
      <c r="H8441" s="902">
        <v>960</v>
      </c>
      <c r="I8441" s="904" t="s">
        <v>2596</v>
      </c>
      <c r="J8441" s="904"/>
      <c r="K8441" s="904"/>
      <c r="L8441" s="904"/>
      <c r="M8441" s="904"/>
      <c r="N8441" s="904"/>
      <c r="O8441" s="902">
        <v>4</v>
      </c>
      <c r="P8441" s="906">
        <v>38274</v>
      </c>
      <c r="Q8441" s="1415">
        <f>37.5*0.873</f>
        <v>32.737499999999997</v>
      </c>
      <c r="R8441" s="908">
        <f>$A8441*Q8441</f>
        <v>261.89999999999998</v>
      </c>
      <c r="S8441" s="907"/>
      <c r="T8441" s="909">
        <f>$A8441*S8441*$T$1</f>
        <v>0</v>
      </c>
      <c r="AR8441" s="903">
        <v>7</v>
      </c>
      <c r="AS8441" s="904" t="s">
        <v>3507</v>
      </c>
    </row>
    <row r="8442" spans="1:45" s="520" customFormat="1" ht="12">
      <c r="A8442" s="758"/>
      <c r="B8442" s="758"/>
      <c r="C8442" s="758"/>
      <c r="D8442" s="758"/>
      <c r="E8442" s="758"/>
      <c r="F8442" s="753"/>
      <c r="G8442" s="758"/>
      <c r="H8442" s="758"/>
      <c r="I8442" s="519"/>
      <c r="J8442" s="758"/>
      <c r="K8442" s="758"/>
      <c r="L8442" s="758"/>
      <c r="M8442" s="758"/>
      <c r="N8442" s="758"/>
      <c r="O8442" s="758"/>
      <c r="P8442" s="758"/>
      <c r="Q8442" s="519"/>
      <c r="R8442" s="759">
        <f>$A8442*Q8442</f>
        <v>0</v>
      </c>
      <c r="S8442" s="519"/>
      <c r="T8442" s="760">
        <f>$A8442*S8442*$T$1</f>
        <v>0</v>
      </c>
      <c r="AR8442" s="758"/>
      <c r="AS8442" s="753"/>
    </row>
    <row r="8443" spans="1:45" s="520" customFormat="1" ht="12.6" thickBot="1">
      <c r="A8443" s="761" t="s">
        <v>145</v>
      </c>
      <c r="B8443" s="762">
        <f>(R8442+T8442)</f>
        <v>0</v>
      </c>
      <c r="C8443" s="763"/>
      <c r="D8443" s="763"/>
      <c r="E8443" s="763"/>
      <c r="F8443" s="764"/>
      <c r="G8443" s="763" t="s">
        <v>146</v>
      </c>
      <c r="H8443" s="763"/>
      <c r="I8443" s="765"/>
      <c r="J8443" s="763"/>
      <c r="K8443" s="763" t="s">
        <v>5</v>
      </c>
      <c r="L8443" s="766" t="s">
        <v>143</v>
      </c>
      <c r="M8443" s="766"/>
      <c r="N8443" s="766"/>
      <c r="O8443" s="766"/>
      <c r="P8443" s="766"/>
      <c r="Q8443" s="767"/>
      <c r="R8443" s="768">
        <f>SUM(R8440:R8442)</f>
        <v>261.89999999999998</v>
      </c>
      <c r="S8443" s="763"/>
      <c r="T8443" s="768">
        <f>SUM(T8440:T8442)</f>
        <v>0</v>
      </c>
      <c r="U8443" s="531"/>
      <c r="V8443" s="531"/>
      <c r="W8443" s="531"/>
      <c r="X8443" s="531"/>
      <c r="Y8443" s="531"/>
      <c r="Z8443" s="531"/>
      <c r="AA8443" s="531"/>
      <c r="AB8443" s="531"/>
      <c r="AC8443" s="531"/>
      <c r="AD8443" s="531"/>
      <c r="AE8443" s="531"/>
      <c r="AF8443" s="531"/>
      <c r="AG8443" s="531"/>
      <c r="AH8443" s="531"/>
      <c r="AI8443" s="531"/>
      <c r="AJ8443" s="531"/>
      <c r="AK8443" s="531"/>
      <c r="AL8443" s="531"/>
      <c r="AM8443" s="531"/>
      <c r="AN8443" s="531"/>
      <c r="AO8443" s="531"/>
      <c r="AR8443" s="761" t="s">
        <v>145</v>
      </c>
      <c r="AS8443" s="764"/>
    </row>
    <row r="8444" spans="1:45" s="520" customFormat="1" ht="12" thickTop="1">
      <c r="A8444" s="51"/>
      <c r="B8444" s="41"/>
      <c r="C8444" s="51"/>
      <c r="E8444" s="42" t="s">
        <v>138</v>
      </c>
      <c r="F8444" s="42" t="s">
        <v>139</v>
      </c>
      <c r="G8444" s="51"/>
      <c r="H8444" s="51"/>
      <c r="I8444" s="51"/>
      <c r="J8444" s="51"/>
      <c r="K8444" s="51" t="s">
        <v>140</v>
      </c>
      <c r="L8444" s="51"/>
      <c r="M8444" s="51"/>
      <c r="N8444" s="51"/>
      <c r="O8444" s="52"/>
      <c r="P8444" s="51"/>
      <c r="Q8444" s="51"/>
      <c r="R8444" s="51"/>
      <c r="S8444" s="51"/>
      <c r="T8444" s="41"/>
      <c r="AG8444" s="521" t="s">
        <v>268</v>
      </c>
      <c r="AH8444" s="521" t="s">
        <v>269</v>
      </c>
      <c r="AI8444" s="521" t="s">
        <v>270</v>
      </c>
      <c r="AJ8444" s="521" t="s">
        <v>271</v>
      </c>
      <c r="AK8444" s="521" t="s">
        <v>272</v>
      </c>
      <c r="AM8444" s="745" t="s">
        <v>281</v>
      </c>
      <c r="AN8444" s="746" t="s">
        <v>282</v>
      </c>
      <c r="AO8444" s="522" t="s">
        <v>278</v>
      </c>
      <c r="AR8444" s="51"/>
      <c r="AS8444" s="42" t="s">
        <v>139</v>
      </c>
    </row>
    <row r="8445" spans="1:45" s="520" customFormat="1" ht="12" customHeight="1">
      <c r="A8445" s="747">
        <v>5</v>
      </c>
      <c r="B8445" s="523" t="s">
        <v>141</v>
      </c>
      <c r="C8445" s="748"/>
      <c r="D8445" s="749" t="s">
        <v>2316</v>
      </c>
      <c r="E8445" s="1145">
        <f>IF(AND($A8445=0,$A$1="DIF"),0, ROUND(ROUND(($R8449*$S$3+($T8449*$T$3))/$A8445,2)*$C$3,2))</f>
        <v>36.950000000000003</v>
      </c>
      <c r="F8445" s="1146">
        <f>ROUND($A8445*$E8445,2)</f>
        <v>184.75</v>
      </c>
      <c r="G8445" s="752" t="s">
        <v>142</v>
      </c>
      <c r="H8445" s="753"/>
      <c r="I8445" s="754"/>
      <c r="J8445" s="753"/>
      <c r="K8445" s="753" t="s">
        <v>5</v>
      </c>
      <c r="L8445" s="755" t="s">
        <v>143</v>
      </c>
      <c r="M8445" s="755"/>
      <c r="N8445" s="755"/>
      <c r="O8445" s="755"/>
      <c r="P8445" s="755"/>
      <c r="Q8445" s="51"/>
      <c r="T8445" s="1150" t="str">
        <f>IF(AND($R8449=0,$T8449=0),"0.00","mu: "&amp; ROUND(F8445/$C$3/($R8449+$T8449*$D$9),2))</f>
        <v>mu: 1.13</v>
      </c>
      <c r="W8445" s="524"/>
      <c r="AG8445" s="1147">
        <f>IF($E8445=0,0,ROUND($R8449*$S$3*$C$3/$A8445,2))</f>
        <v>36.950000000000003</v>
      </c>
      <c r="AH8445" s="1147">
        <f>$AG8445*$A8445</f>
        <v>184.75</v>
      </c>
      <c r="AI8445" s="1148">
        <f>$E8445-$AG8445</f>
        <v>0</v>
      </c>
      <c r="AJ8445" s="1148">
        <f>$A8445*$AI8445</f>
        <v>0</v>
      </c>
      <c r="AK8445" s="1149">
        <f>ROUND(($AG8445+$AI8445)*$A8445,2)</f>
        <v>184.75</v>
      </c>
      <c r="AM8445" s="527">
        <f>ROUND(R8449,2)</f>
        <v>163.69</v>
      </c>
      <c r="AN8445" s="528">
        <f>ROUND(T8449,2)</f>
        <v>0</v>
      </c>
      <c r="AO8445" s="529">
        <f>ROUND(AM8445+AN8445,2)*A8445</f>
        <v>818.45</v>
      </c>
      <c r="AR8445" s="747">
        <v>4</v>
      </c>
      <c r="AS8445" s="1146">
        <v>160.84</v>
      </c>
    </row>
    <row r="8446" spans="1:45" s="520" customFormat="1" ht="13.2">
      <c r="A8446" s="748"/>
      <c r="B8446"/>
      <c r="C8446" s="748"/>
      <c r="D8446" s="749" t="s">
        <v>2062</v>
      </c>
      <c r="F8446" s="753"/>
      <c r="G8446" s="3"/>
      <c r="H8446" s="753"/>
      <c r="I8446" s="754"/>
      <c r="J8446" s="753"/>
      <c r="K8446" s="753" t="s">
        <v>144</v>
      </c>
      <c r="L8446" s="753"/>
      <c r="M8446" s="753"/>
      <c r="N8446" s="753"/>
      <c r="O8446" s="753"/>
      <c r="P8446" s="753"/>
      <c r="Q8446" s="51"/>
      <c r="R8446" s="530"/>
      <c r="S8446" s="757"/>
      <c r="T8446" s="753"/>
      <c r="AR8446" s="748"/>
      <c r="AS8446" s="753"/>
    </row>
    <row r="8447" spans="1:45" s="901" customFormat="1" ht="13.2">
      <c r="A8447" s="903">
        <v>5</v>
      </c>
      <c r="B8447" s="904" t="s">
        <v>863</v>
      </c>
      <c r="C8447" s="904"/>
      <c r="D8447" s="904" t="s">
        <v>2594</v>
      </c>
      <c r="E8447" s="904"/>
      <c r="F8447" s="904" t="s">
        <v>4128</v>
      </c>
      <c r="G8447" s="905" t="s">
        <v>2595</v>
      </c>
      <c r="H8447" s="902">
        <v>960</v>
      </c>
      <c r="I8447" s="904" t="s">
        <v>2596</v>
      </c>
      <c r="J8447" s="904"/>
      <c r="K8447" s="904"/>
      <c r="L8447" s="904"/>
      <c r="M8447" s="904"/>
      <c r="N8447" s="904"/>
      <c r="O8447" s="902">
        <v>4</v>
      </c>
      <c r="P8447" s="906">
        <v>38274</v>
      </c>
      <c r="Q8447" s="1415">
        <f>37.5*0.873</f>
        <v>32.737499999999997</v>
      </c>
      <c r="R8447" s="908">
        <f>$A8447*Q8447</f>
        <v>163.6875</v>
      </c>
      <c r="S8447" s="907"/>
      <c r="T8447" s="909">
        <f>$A8447*S8447*$T$1</f>
        <v>0</v>
      </c>
      <c r="AR8447" s="903">
        <v>4</v>
      </c>
      <c r="AS8447" s="904" t="s">
        <v>3507</v>
      </c>
    </row>
    <row r="8448" spans="1:45" s="520" customFormat="1" ht="12">
      <c r="A8448" s="758"/>
      <c r="B8448" s="758"/>
      <c r="C8448" s="758"/>
      <c r="D8448" s="758"/>
      <c r="E8448" s="758"/>
      <c r="F8448" s="753"/>
      <c r="G8448" s="758"/>
      <c r="H8448" s="758"/>
      <c r="I8448" s="519"/>
      <c r="J8448" s="758"/>
      <c r="K8448" s="758"/>
      <c r="L8448" s="758"/>
      <c r="M8448" s="758"/>
      <c r="N8448" s="758"/>
      <c r="O8448" s="758"/>
      <c r="P8448" s="758"/>
      <c r="Q8448" s="519"/>
      <c r="R8448" s="759">
        <f>$A8448*Q8448</f>
        <v>0</v>
      </c>
      <c r="S8448" s="519"/>
      <c r="T8448" s="760">
        <f>$A8448*S8448*$T$1</f>
        <v>0</v>
      </c>
      <c r="AR8448" s="758"/>
      <c r="AS8448" s="753"/>
    </row>
    <row r="8449" spans="1:45" s="520" customFormat="1" ht="12.6" thickBot="1">
      <c r="A8449" s="761" t="s">
        <v>145</v>
      </c>
      <c r="B8449" s="762">
        <f>(R8448+T8448)</f>
        <v>0</v>
      </c>
      <c r="C8449" s="763"/>
      <c r="D8449" s="763"/>
      <c r="E8449" s="763"/>
      <c r="F8449" s="764"/>
      <c r="G8449" s="763" t="s">
        <v>146</v>
      </c>
      <c r="H8449" s="763"/>
      <c r="I8449" s="765"/>
      <c r="J8449" s="763"/>
      <c r="K8449" s="763" t="s">
        <v>5</v>
      </c>
      <c r="L8449" s="766" t="s">
        <v>143</v>
      </c>
      <c r="M8449" s="766"/>
      <c r="N8449" s="766"/>
      <c r="O8449" s="766"/>
      <c r="P8449" s="766"/>
      <c r="Q8449" s="767"/>
      <c r="R8449" s="768">
        <f>SUM(R8446:R8448)</f>
        <v>163.6875</v>
      </c>
      <c r="S8449" s="763"/>
      <c r="T8449" s="768">
        <f>SUM(T8446:T8448)</f>
        <v>0</v>
      </c>
      <c r="U8449" s="531"/>
      <c r="V8449" s="531"/>
      <c r="W8449" s="531"/>
      <c r="X8449" s="531"/>
      <c r="Y8449" s="531"/>
      <c r="Z8449" s="531"/>
      <c r="AA8449" s="531"/>
      <c r="AB8449" s="531"/>
      <c r="AC8449" s="531"/>
      <c r="AD8449" s="531"/>
      <c r="AE8449" s="531"/>
      <c r="AF8449" s="531"/>
      <c r="AG8449" s="531"/>
      <c r="AH8449" s="531"/>
      <c r="AI8449" s="531"/>
      <c r="AJ8449" s="531"/>
      <c r="AK8449" s="531"/>
      <c r="AL8449" s="531"/>
      <c r="AM8449" s="531"/>
      <c r="AN8449" s="531"/>
      <c r="AO8449" s="531"/>
      <c r="AR8449" s="761" t="s">
        <v>145</v>
      </c>
      <c r="AS8449" s="764"/>
    </row>
    <row r="8450" spans="1:45" s="520" customFormat="1" ht="12" thickTop="1">
      <c r="A8450" s="51"/>
      <c r="B8450" s="41"/>
      <c r="C8450" s="51"/>
      <c r="E8450" s="42" t="s">
        <v>138</v>
      </c>
      <c r="F8450" s="42" t="s">
        <v>139</v>
      </c>
      <c r="G8450" s="51"/>
      <c r="H8450" s="51"/>
      <c r="I8450" s="51"/>
      <c r="J8450" s="51"/>
      <c r="K8450" s="51" t="s">
        <v>140</v>
      </c>
      <c r="L8450" s="51"/>
      <c r="M8450" s="51"/>
      <c r="N8450" s="51"/>
      <c r="O8450" s="52"/>
      <c r="P8450" s="51"/>
      <c r="Q8450" s="51"/>
      <c r="R8450" s="51"/>
      <c r="S8450" s="51"/>
      <c r="T8450" s="41"/>
      <c r="AG8450" s="521" t="s">
        <v>268</v>
      </c>
      <c r="AH8450" s="521" t="s">
        <v>269</v>
      </c>
      <c r="AI8450" s="521" t="s">
        <v>270</v>
      </c>
      <c r="AJ8450" s="521" t="s">
        <v>271</v>
      </c>
      <c r="AK8450" s="521" t="s">
        <v>272</v>
      </c>
      <c r="AM8450" s="745" t="s">
        <v>281</v>
      </c>
      <c r="AN8450" s="746" t="s">
        <v>282</v>
      </c>
      <c r="AO8450" s="522" t="s">
        <v>278</v>
      </c>
      <c r="AR8450" s="51"/>
      <c r="AS8450" s="42" t="s">
        <v>139</v>
      </c>
    </row>
    <row r="8451" spans="1:45" s="520" customFormat="1" ht="12" customHeight="1">
      <c r="A8451" s="747">
        <v>52</v>
      </c>
      <c r="B8451" s="523" t="s">
        <v>141</v>
      </c>
      <c r="C8451" s="748"/>
      <c r="D8451" s="749" t="s">
        <v>2317</v>
      </c>
      <c r="E8451" s="1145">
        <f>IF(AND($A8451=0,$A$1="DIF"),0, ROUND(ROUND(($R8455*$S$3+($T8455*$T$3))/$A8451,2)*$C$3,2))</f>
        <v>36.950000000000003</v>
      </c>
      <c r="F8451" s="1146">
        <f>ROUND($A8451*$E8451,2)</f>
        <v>1921.4</v>
      </c>
      <c r="G8451" s="752" t="s">
        <v>142</v>
      </c>
      <c r="H8451" s="753"/>
      <c r="I8451" s="754"/>
      <c r="J8451" s="753"/>
      <c r="K8451" s="753" t="s">
        <v>5</v>
      </c>
      <c r="L8451" s="755" t="s">
        <v>143</v>
      </c>
      <c r="M8451" s="755"/>
      <c r="N8451" s="755"/>
      <c r="O8451" s="755"/>
      <c r="P8451" s="755"/>
      <c r="Q8451" s="51"/>
      <c r="T8451" s="1150" t="str">
        <f>IF(AND($R8455=0,$T8455=0),"0.00","mu: "&amp; ROUND(F8451/$C$3/($R8455+$T8455*$D$9),2))</f>
        <v>mu: 1.13</v>
      </c>
      <c r="W8451" s="524"/>
      <c r="AG8451" s="1147">
        <f>IF($E8451=0,0,ROUND($R8455*$S$3*$C$3/$A8451,2))</f>
        <v>36.950000000000003</v>
      </c>
      <c r="AH8451" s="1147">
        <f>$AG8451*$A8451</f>
        <v>1921.4</v>
      </c>
      <c r="AI8451" s="1148">
        <f>$E8451-$AG8451</f>
        <v>0</v>
      </c>
      <c r="AJ8451" s="1148">
        <f>$A8451*$AI8451</f>
        <v>0</v>
      </c>
      <c r="AK8451" s="1149">
        <f>ROUND(($AG8451+$AI8451)*$A8451,2)</f>
        <v>1921.4</v>
      </c>
      <c r="AM8451" s="527">
        <f>ROUND(R8455,2)</f>
        <v>1702.48</v>
      </c>
      <c r="AN8451" s="528">
        <f>ROUND(T8455,2)</f>
        <v>0</v>
      </c>
      <c r="AO8451" s="529">
        <f>ROUND(AM8451+AN8451,2)*A8451</f>
        <v>88528.960000000006</v>
      </c>
      <c r="AR8451" s="747">
        <v>52</v>
      </c>
      <c r="AS8451" s="1146">
        <v>2090.92</v>
      </c>
    </row>
    <row r="8452" spans="1:45" s="520" customFormat="1" ht="13.2">
      <c r="A8452" s="748"/>
      <c r="B8452"/>
      <c r="C8452" s="748"/>
      <c r="D8452" s="749" t="s">
        <v>2063</v>
      </c>
      <c r="F8452" s="753"/>
      <c r="G8452" s="3"/>
      <c r="H8452" s="753"/>
      <c r="I8452" s="754"/>
      <c r="J8452" s="753"/>
      <c r="K8452" s="753" t="s">
        <v>144</v>
      </c>
      <c r="L8452" s="753"/>
      <c r="M8452" s="753"/>
      <c r="N8452" s="753"/>
      <c r="O8452" s="753"/>
      <c r="P8452" s="753"/>
      <c r="Q8452" s="51"/>
      <c r="R8452" s="530"/>
      <c r="S8452" s="757"/>
      <c r="T8452" s="753"/>
      <c r="AR8452" s="748"/>
      <c r="AS8452" s="753"/>
    </row>
    <row r="8453" spans="1:45" s="901" customFormat="1" ht="13.2">
      <c r="A8453" s="903">
        <v>52</v>
      </c>
      <c r="B8453" s="904" t="s">
        <v>863</v>
      </c>
      <c r="C8453" s="904"/>
      <c r="D8453" s="904" t="s">
        <v>2594</v>
      </c>
      <c r="E8453" s="904"/>
      <c r="F8453" s="904" t="s">
        <v>4128</v>
      </c>
      <c r="G8453" s="905" t="s">
        <v>2595</v>
      </c>
      <c r="H8453" s="902">
        <v>960</v>
      </c>
      <c r="I8453" s="904" t="s">
        <v>2596</v>
      </c>
      <c r="J8453" s="904"/>
      <c r="K8453" s="904"/>
      <c r="L8453" s="904"/>
      <c r="M8453" s="904"/>
      <c r="N8453" s="904"/>
      <c r="O8453" s="902">
        <v>4</v>
      </c>
      <c r="P8453" s="906">
        <v>38274</v>
      </c>
      <c r="Q8453" s="1415">
        <v>32.74</v>
      </c>
      <c r="R8453" s="908">
        <f>$A8453*Q8453</f>
        <v>1702.48</v>
      </c>
      <c r="S8453" s="907"/>
      <c r="T8453" s="909">
        <f>$A8453*S8453*$T$1</f>
        <v>0</v>
      </c>
      <c r="AR8453" s="903">
        <v>52</v>
      </c>
      <c r="AS8453" s="904" t="s">
        <v>3507</v>
      </c>
    </row>
    <row r="8454" spans="1:45" s="520" customFormat="1" ht="12">
      <c r="A8454" s="758"/>
      <c r="B8454" s="758"/>
      <c r="C8454" s="758"/>
      <c r="D8454" s="758"/>
      <c r="E8454" s="758"/>
      <c r="F8454" s="753"/>
      <c r="G8454" s="758"/>
      <c r="H8454" s="758"/>
      <c r="I8454" s="519"/>
      <c r="J8454" s="758"/>
      <c r="K8454" s="758"/>
      <c r="L8454" s="758"/>
      <c r="M8454" s="758"/>
      <c r="N8454" s="758"/>
      <c r="O8454" s="758"/>
      <c r="P8454" s="758"/>
      <c r="Q8454" s="519"/>
      <c r="R8454" s="759">
        <f>$A8454*Q8454</f>
        <v>0</v>
      </c>
      <c r="S8454" s="519"/>
      <c r="T8454" s="760">
        <f>$A8454*S8454*$T$1</f>
        <v>0</v>
      </c>
      <c r="AR8454" s="758"/>
      <c r="AS8454" s="753"/>
    </row>
    <row r="8455" spans="1:45" s="520" customFormat="1" ht="12.6" thickBot="1">
      <c r="A8455" s="761" t="s">
        <v>145</v>
      </c>
      <c r="B8455" s="762">
        <f>(R8454+T8454)</f>
        <v>0</v>
      </c>
      <c r="C8455" s="763"/>
      <c r="D8455" s="763"/>
      <c r="E8455" s="763"/>
      <c r="F8455" s="764"/>
      <c r="G8455" s="763" t="s">
        <v>146</v>
      </c>
      <c r="H8455" s="763"/>
      <c r="I8455" s="765"/>
      <c r="J8455" s="763"/>
      <c r="K8455" s="763" t="s">
        <v>5</v>
      </c>
      <c r="L8455" s="766" t="s">
        <v>143</v>
      </c>
      <c r="M8455" s="766"/>
      <c r="N8455" s="766"/>
      <c r="O8455" s="766"/>
      <c r="P8455" s="766"/>
      <c r="Q8455" s="767"/>
      <c r="R8455" s="768">
        <f>SUM(R8452:R8454)</f>
        <v>1702.48</v>
      </c>
      <c r="S8455" s="763"/>
      <c r="T8455" s="768">
        <f>SUM(T8452:T8454)</f>
        <v>0</v>
      </c>
      <c r="U8455" s="531"/>
      <c r="V8455" s="531"/>
      <c r="W8455" s="531"/>
      <c r="X8455" s="531"/>
      <c r="Y8455" s="531"/>
      <c r="Z8455" s="531"/>
      <c r="AA8455" s="531"/>
      <c r="AB8455" s="531"/>
      <c r="AC8455" s="531"/>
      <c r="AD8455" s="531"/>
      <c r="AE8455" s="531"/>
      <c r="AF8455" s="531"/>
      <c r="AG8455" s="531"/>
      <c r="AH8455" s="531"/>
      <c r="AI8455" s="531"/>
      <c r="AJ8455" s="531"/>
      <c r="AK8455" s="531"/>
      <c r="AL8455" s="531"/>
      <c r="AM8455" s="531"/>
      <c r="AN8455" s="531"/>
      <c r="AO8455" s="531"/>
      <c r="AR8455" s="761" t="s">
        <v>145</v>
      </c>
      <c r="AS8455" s="764"/>
    </row>
    <row r="8456" spans="1:45" s="520" customFormat="1" ht="12" thickTop="1">
      <c r="A8456" s="51"/>
      <c r="B8456" s="41"/>
      <c r="C8456" s="51"/>
      <c r="E8456" s="42" t="s">
        <v>138</v>
      </c>
      <c r="F8456" s="42" t="s">
        <v>139</v>
      </c>
      <c r="G8456" s="51"/>
      <c r="H8456" s="51"/>
      <c r="I8456" s="51"/>
      <c r="J8456" s="51"/>
      <c r="K8456" s="51" t="s">
        <v>140</v>
      </c>
      <c r="L8456" s="51"/>
      <c r="M8456" s="51"/>
      <c r="N8456" s="51"/>
      <c r="O8456" s="52"/>
      <c r="P8456" s="51"/>
      <c r="Q8456" s="51"/>
      <c r="R8456" s="51"/>
      <c r="S8456" s="51"/>
      <c r="T8456" s="41"/>
      <c r="AG8456" s="521" t="s">
        <v>268</v>
      </c>
      <c r="AH8456" s="521" t="s">
        <v>269</v>
      </c>
      <c r="AI8456" s="521" t="s">
        <v>270</v>
      </c>
      <c r="AJ8456" s="521" t="s">
        <v>271</v>
      </c>
      <c r="AK8456" s="521" t="s">
        <v>272</v>
      </c>
      <c r="AM8456" s="745" t="s">
        <v>281</v>
      </c>
      <c r="AN8456" s="746" t="s">
        <v>282</v>
      </c>
      <c r="AO8456" s="522" t="s">
        <v>278</v>
      </c>
      <c r="AR8456" s="51"/>
      <c r="AS8456" s="42" t="s">
        <v>139</v>
      </c>
    </row>
    <row r="8457" spans="1:45" s="520" customFormat="1" ht="12" customHeight="1">
      <c r="A8457" s="747">
        <v>9</v>
      </c>
      <c r="B8457" s="523" t="s">
        <v>141</v>
      </c>
      <c r="C8457" s="748"/>
      <c r="D8457" s="749" t="s">
        <v>2318</v>
      </c>
      <c r="E8457" s="1145">
        <f>IF(AND($A8457=0,$A$1="DIF"),0, ROUND(ROUND(($R8461*$S$3+($T8461*$T$3))/$A8457,2)*$C$3,2))</f>
        <v>36.950000000000003</v>
      </c>
      <c r="F8457" s="1146">
        <f>ROUND($A8457*$E8457,2)</f>
        <v>332.55</v>
      </c>
      <c r="G8457" s="752" t="s">
        <v>142</v>
      </c>
      <c r="H8457" s="753"/>
      <c r="I8457" s="754"/>
      <c r="J8457" s="753"/>
      <c r="K8457" s="753" t="s">
        <v>5</v>
      </c>
      <c r="L8457" s="755" t="s">
        <v>143</v>
      </c>
      <c r="M8457" s="755"/>
      <c r="N8457" s="755"/>
      <c r="O8457" s="755"/>
      <c r="P8457" s="755"/>
      <c r="Q8457" s="51"/>
      <c r="T8457" s="1150" t="str">
        <f>IF(AND($R8461=0,$T8461=0),"0.00","mu: "&amp; ROUND(F8457/$C$3/($R8461+$T8461*$D$9),2))</f>
        <v>mu: 1.13</v>
      </c>
      <c r="W8457" s="524"/>
      <c r="AG8457" s="1147">
        <f>IF($E8457=0,0,ROUND($R8461*$S$3*$C$3/$A8457,2))</f>
        <v>36.950000000000003</v>
      </c>
      <c r="AH8457" s="1147">
        <f>$AG8457*$A8457</f>
        <v>332.55</v>
      </c>
      <c r="AI8457" s="1148">
        <f>$E8457-$AG8457</f>
        <v>0</v>
      </c>
      <c r="AJ8457" s="1148">
        <f>$A8457*$AI8457</f>
        <v>0</v>
      </c>
      <c r="AK8457" s="1149">
        <f>ROUND(($AG8457+$AI8457)*$A8457,2)</f>
        <v>332.55</v>
      </c>
      <c r="AM8457" s="527">
        <f>ROUND(R8461,2)</f>
        <v>294.64</v>
      </c>
      <c r="AN8457" s="528">
        <f>ROUND(T8461,2)</f>
        <v>0</v>
      </c>
      <c r="AO8457" s="529">
        <f>ROUND(AM8457+AN8457,2)*A8457</f>
        <v>2651.7599999999998</v>
      </c>
      <c r="AR8457" s="747">
        <v>9</v>
      </c>
      <c r="AS8457" s="1146">
        <v>361.89</v>
      </c>
    </row>
    <row r="8458" spans="1:45" s="520" customFormat="1" ht="13.2">
      <c r="A8458" s="748"/>
      <c r="B8458"/>
      <c r="C8458" s="748"/>
      <c r="D8458" s="749" t="s">
        <v>2064</v>
      </c>
      <c r="F8458" s="753"/>
      <c r="G8458" s="3"/>
      <c r="H8458" s="753"/>
      <c r="I8458" s="754"/>
      <c r="J8458" s="753"/>
      <c r="K8458" s="753" t="s">
        <v>144</v>
      </c>
      <c r="L8458" s="753"/>
      <c r="M8458" s="753"/>
      <c r="N8458" s="753"/>
      <c r="O8458" s="753"/>
      <c r="P8458" s="753"/>
      <c r="Q8458" s="51"/>
      <c r="R8458" s="530"/>
      <c r="S8458" s="757"/>
      <c r="T8458" s="753"/>
      <c r="AR8458" s="748"/>
      <c r="AS8458" s="753"/>
    </row>
    <row r="8459" spans="1:45" s="901" customFormat="1" ht="13.2">
      <c r="A8459" s="903">
        <v>9</v>
      </c>
      <c r="B8459" s="904" t="s">
        <v>863</v>
      </c>
      <c r="C8459" s="904"/>
      <c r="D8459" s="904" t="s">
        <v>2594</v>
      </c>
      <c r="E8459" s="904"/>
      <c r="F8459" s="904" t="s">
        <v>4128</v>
      </c>
      <c r="G8459" s="905" t="s">
        <v>2595</v>
      </c>
      <c r="H8459" s="902">
        <v>960</v>
      </c>
      <c r="I8459" s="904" t="s">
        <v>2596</v>
      </c>
      <c r="J8459" s="904"/>
      <c r="K8459" s="904"/>
      <c r="L8459" s="904"/>
      <c r="M8459" s="904"/>
      <c r="N8459" s="904"/>
      <c r="O8459" s="902">
        <v>4</v>
      </c>
      <c r="P8459" s="906">
        <v>38274</v>
      </c>
      <c r="Q8459" s="1415">
        <f>37.5*0.873</f>
        <v>32.737499999999997</v>
      </c>
      <c r="R8459" s="908">
        <f>$A8459*Q8459</f>
        <v>294.63749999999999</v>
      </c>
      <c r="S8459" s="907"/>
      <c r="T8459" s="909">
        <f>$A8459*S8459*$T$1</f>
        <v>0</v>
      </c>
      <c r="AR8459" s="903">
        <v>9</v>
      </c>
      <c r="AS8459" s="904" t="s">
        <v>3507</v>
      </c>
    </row>
    <row r="8460" spans="1:45" s="520" customFormat="1" ht="12">
      <c r="A8460" s="758"/>
      <c r="B8460" s="758"/>
      <c r="C8460" s="758"/>
      <c r="D8460" s="758"/>
      <c r="E8460" s="758"/>
      <c r="F8460" s="753"/>
      <c r="G8460" s="758"/>
      <c r="H8460" s="758"/>
      <c r="I8460" s="519"/>
      <c r="J8460" s="758"/>
      <c r="K8460" s="758"/>
      <c r="L8460" s="758"/>
      <c r="M8460" s="758"/>
      <c r="N8460" s="758"/>
      <c r="O8460" s="758"/>
      <c r="P8460" s="758"/>
      <c r="Q8460" s="519"/>
      <c r="R8460" s="759">
        <f>$A8460*Q8460</f>
        <v>0</v>
      </c>
      <c r="S8460" s="519"/>
      <c r="T8460" s="760">
        <f>$A8460*S8460*$T$1</f>
        <v>0</v>
      </c>
      <c r="AR8460" s="758"/>
      <c r="AS8460" s="753"/>
    </row>
    <row r="8461" spans="1:45" s="520" customFormat="1" ht="12.6" thickBot="1">
      <c r="A8461" s="761" t="s">
        <v>145</v>
      </c>
      <c r="B8461" s="762">
        <f>(R8460+T8460)</f>
        <v>0</v>
      </c>
      <c r="C8461" s="763"/>
      <c r="D8461" s="763"/>
      <c r="E8461" s="763"/>
      <c r="F8461" s="764"/>
      <c r="G8461" s="763" t="s">
        <v>146</v>
      </c>
      <c r="H8461" s="763"/>
      <c r="I8461" s="765"/>
      <c r="J8461" s="763"/>
      <c r="K8461" s="763" t="s">
        <v>5</v>
      </c>
      <c r="L8461" s="766" t="s">
        <v>143</v>
      </c>
      <c r="M8461" s="766"/>
      <c r="N8461" s="766"/>
      <c r="O8461" s="766"/>
      <c r="P8461" s="766"/>
      <c r="Q8461" s="767"/>
      <c r="R8461" s="768">
        <f>SUM(R8458:R8460)</f>
        <v>294.63749999999999</v>
      </c>
      <c r="S8461" s="763"/>
      <c r="T8461" s="768">
        <f>SUM(T8458:T8460)</f>
        <v>0</v>
      </c>
      <c r="U8461" s="531"/>
      <c r="V8461" s="531"/>
      <c r="W8461" s="531"/>
      <c r="X8461" s="531"/>
      <c r="Y8461" s="531"/>
      <c r="Z8461" s="531"/>
      <c r="AA8461" s="531"/>
      <c r="AB8461" s="531"/>
      <c r="AC8461" s="531"/>
      <c r="AD8461" s="531"/>
      <c r="AE8461" s="531"/>
      <c r="AF8461" s="531"/>
      <c r="AG8461" s="531"/>
      <c r="AH8461" s="531"/>
      <c r="AI8461" s="531"/>
      <c r="AJ8461" s="531"/>
      <c r="AK8461" s="531"/>
      <c r="AL8461" s="531"/>
      <c r="AM8461" s="531"/>
      <c r="AN8461" s="531"/>
      <c r="AO8461" s="531"/>
      <c r="AR8461" s="761" t="s">
        <v>145</v>
      </c>
      <c r="AS8461" s="764"/>
    </row>
    <row r="8462" spans="1:45" s="520" customFormat="1" ht="12" thickTop="1">
      <c r="A8462" s="51"/>
      <c r="B8462" s="41"/>
      <c r="C8462" s="51"/>
      <c r="E8462" s="42" t="s">
        <v>138</v>
      </c>
      <c r="F8462" s="42" t="s">
        <v>139</v>
      </c>
      <c r="G8462" s="51"/>
      <c r="H8462" s="51"/>
      <c r="I8462" s="51"/>
      <c r="J8462" s="51"/>
      <c r="K8462" s="51" t="s">
        <v>140</v>
      </c>
      <c r="L8462" s="51"/>
      <c r="M8462" s="51"/>
      <c r="N8462" s="51"/>
      <c r="O8462" s="52"/>
      <c r="P8462" s="51"/>
      <c r="Q8462" s="51"/>
      <c r="R8462" s="51"/>
      <c r="S8462" s="51"/>
      <c r="T8462" s="41"/>
      <c r="AG8462" s="521" t="s">
        <v>268</v>
      </c>
      <c r="AH8462" s="521" t="s">
        <v>269</v>
      </c>
      <c r="AI8462" s="521" t="s">
        <v>270</v>
      </c>
      <c r="AJ8462" s="521" t="s">
        <v>271</v>
      </c>
      <c r="AK8462" s="521" t="s">
        <v>272</v>
      </c>
      <c r="AM8462" s="745" t="s">
        <v>281</v>
      </c>
      <c r="AN8462" s="746" t="s">
        <v>282</v>
      </c>
      <c r="AO8462" s="522" t="s">
        <v>278</v>
      </c>
      <c r="AR8462" s="51"/>
      <c r="AS8462" s="42" t="s">
        <v>139</v>
      </c>
    </row>
    <row r="8463" spans="1:45" s="520" customFormat="1" ht="12" customHeight="1">
      <c r="A8463" s="747">
        <v>1</v>
      </c>
      <c r="B8463" s="523" t="s">
        <v>141</v>
      </c>
      <c r="C8463" s="748"/>
      <c r="D8463" s="749" t="s">
        <v>2319</v>
      </c>
      <c r="E8463" s="1145">
        <f>IF(AND($A8463=0,$A$1="DIF"),0, ROUND(ROUND(($R8467*$S$3+($T8467*$T$3))/$A8463,2)*$C$3,2))</f>
        <v>36.950000000000003</v>
      </c>
      <c r="F8463" s="1146">
        <f>ROUND($A8463*$E8463,2)</f>
        <v>36.950000000000003</v>
      </c>
      <c r="G8463" s="752" t="s">
        <v>142</v>
      </c>
      <c r="H8463" s="753"/>
      <c r="I8463" s="754"/>
      <c r="J8463" s="753"/>
      <c r="K8463" s="753" t="s">
        <v>5</v>
      </c>
      <c r="L8463" s="755" t="s">
        <v>143</v>
      </c>
      <c r="M8463" s="755"/>
      <c r="N8463" s="755"/>
      <c r="O8463" s="755"/>
      <c r="P8463" s="755"/>
      <c r="Q8463" s="51"/>
      <c r="T8463" s="1150" t="str">
        <f>IF(AND($R8467=0,$T8467=0),"0.00","mu: "&amp; ROUND(F8463/$C$3/($R8467+$T8467*$D$9),2))</f>
        <v>mu: 1.13</v>
      </c>
      <c r="W8463" s="524"/>
      <c r="AG8463" s="1147">
        <f>IF($E8463=0,0,ROUND($R8467*$S$3*$C$3/$A8463,2))</f>
        <v>36.950000000000003</v>
      </c>
      <c r="AH8463" s="1147">
        <f>$AG8463*$A8463</f>
        <v>36.950000000000003</v>
      </c>
      <c r="AI8463" s="1148">
        <f>$E8463-$AG8463</f>
        <v>0</v>
      </c>
      <c r="AJ8463" s="1148">
        <f>$A8463*$AI8463</f>
        <v>0</v>
      </c>
      <c r="AK8463" s="1149">
        <f>ROUND(($AG8463+$AI8463)*$A8463,2)</f>
        <v>36.950000000000003</v>
      </c>
      <c r="AM8463" s="527">
        <f>ROUND(R8467,2)</f>
        <v>32.74</v>
      </c>
      <c r="AN8463" s="528">
        <f>ROUND(T8467,2)</f>
        <v>0</v>
      </c>
      <c r="AO8463" s="529">
        <f>ROUND(AM8463+AN8463,2)*A8463</f>
        <v>32.74</v>
      </c>
      <c r="AR8463" s="747">
        <v>1</v>
      </c>
      <c r="AS8463" s="1146">
        <v>40.21</v>
      </c>
    </row>
    <row r="8464" spans="1:45" s="520" customFormat="1" ht="13.2">
      <c r="A8464" s="748"/>
      <c r="B8464"/>
      <c r="C8464" s="748"/>
      <c r="D8464" s="749" t="s">
        <v>2065</v>
      </c>
      <c r="F8464" s="753"/>
      <c r="G8464" s="3"/>
      <c r="H8464" s="753"/>
      <c r="I8464" s="754"/>
      <c r="J8464" s="753"/>
      <c r="K8464" s="753" t="s">
        <v>144</v>
      </c>
      <c r="L8464" s="753"/>
      <c r="M8464" s="753"/>
      <c r="N8464" s="753"/>
      <c r="O8464" s="753"/>
      <c r="P8464" s="753"/>
      <c r="Q8464" s="51"/>
      <c r="R8464" s="530"/>
      <c r="S8464" s="757"/>
      <c r="T8464" s="753"/>
      <c r="AR8464" s="748"/>
      <c r="AS8464" s="753"/>
    </row>
    <row r="8465" spans="1:45" s="901" customFormat="1" ht="13.2">
      <c r="A8465" s="903">
        <v>1</v>
      </c>
      <c r="B8465" s="904" t="s">
        <v>863</v>
      </c>
      <c r="C8465" s="904"/>
      <c r="D8465" s="904" t="s">
        <v>2594</v>
      </c>
      <c r="E8465" s="904"/>
      <c r="F8465" s="904" t="s">
        <v>4128</v>
      </c>
      <c r="G8465" s="905" t="s">
        <v>2595</v>
      </c>
      <c r="H8465" s="902">
        <v>960</v>
      </c>
      <c r="I8465" s="904" t="s">
        <v>2596</v>
      </c>
      <c r="J8465" s="904"/>
      <c r="K8465" s="904"/>
      <c r="L8465" s="904"/>
      <c r="M8465" s="904"/>
      <c r="N8465" s="904"/>
      <c r="O8465" s="902">
        <v>4</v>
      </c>
      <c r="P8465" s="906">
        <v>38274</v>
      </c>
      <c r="Q8465" s="1415">
        <f>37.5*0.873</f>
        <v>32.737499999999997</v>
      </c>
      <c r="R8465" s="908">
        <f>$A8465*Q8465</f>
        <v>32.737499999999997</v>
      </c>
      <c r="S8465" s="907"/>
      <c r="T8465" s="909">
        <f>$A8465*S8465*$T$1</f>
        <v>0</v>
      </c>
      <c r="AR8465" s="903">
        <v>1</v>
      </c>
      <c r="AS8465" s="904" t="s">
        <v>3507</v>
      </c>
    </row>
    <row r="8466" spans="1:45" s="520" customFormat="1" ht="12">
      <c r="A8466" s="758"/>
      <c r="B8466" s="758"/>
      <c r="C8466" s="758"/>
      <c r="D8466" s="758"/>
      <c r="E8466" s="758"/>
      <c r="F8466" s="753"/>
      <c r="G8466" s="758"/>
      <c r="H8466" s="758"/>
      <c r="I8466" s="519"/>
      <c r="J8466" s="758"/>
      <c r="K8466" s="758"/>
      <c r="L8466" s="758"/>
      <c r="M8466" s="758"/>
      <c r="N8466" s="758"/>
      <c r="O8466" s="758"/>
      <c r="P8466" s="758"/>
      <c r="Q8466" s="519"/>
      <c r="R8466" s="759">
        <f>$A8466*Q8466</f>
        <v>0</v>
      </c>
      <c r="S8466" s="519"/>
      <c r="T8466" s="760">
        <f>$A8466*S8466*$T$1</f>
        <v>0</v>
      </c>
      <c r="AR8466" s="758"/>
      <c r="AS8466" s="753"/>
    </row>
    <row r="8467" spans="1:45" s="520" customFormat="1" ht="12.6" thickBot="1">
      <c r="A8467" s="761" t="s">
        <v>145</v>
      </c>
      <c r="B8467" s="762">
        <f>(R8466+T8466)</f>
        <v>0</v>
      </c>
      <c r="C8467" s="763"/>
      <c r="D8467" s="763"/>
      <c r="E8467" s="763"/>
      <c r="F8467" s="764"/>
      <c r="G8467" s="763" t="s">
        <v>146</v>
      </c>
      <c r="H8467" s="763"/>
      <c r="I8467" s="765"/>
      <c r="J8467" s="763"/>
      <c r="K8467" s="763" t="s">
        <v>5</v>
      </c>
      <c r="L8467" s="766" t="s">
        <v>143</v>
      </c>
      <c r="M8467" s="766"/>
      <c r="N8467" s="766"/>
      <c r="O8467" s="766"/>
      <c r="P8467" s="766"/>
      <c r="Q8467" s="767"/>
      <c r="R8467" s="768">
        <f>SUM(R8464:R8466)</f>
        <v>32.737499999999997</v>
      </c>
      <c r="S8467" s="763"/>
      <c r="T8467" s="768">
        <f>SUM(T8464:T8466)</f>
        <v>0</v>
      </c>
      <c r="U8467" s="531"/>
      <c r="V8467" s="531"/>
      <c r="W8467" s="531"/>
      <c r="X8467" s="531"/>
      <c r="Y8467" s="531"/>
      <c r="Z8467" s="531"/>
      <c r="AA8467" s="531"/>
      <c r="AB8467" s="531"/>
      <c r="AC8467" s="531"/>
      <c r="AD8467" s="531"/>
      <c r="AE8467" s="531"/>
      <c r="AF8467" s="531"/>
      <c r="AG8467" s="531"/>
      <c r="AH8467" s="531"/>
      <c r="AI8467" s="531"/>
      <c r="AJ8467" s="531"/>
      <c r="AK8467" s="531"/>
      <c r="AL8467" s="531"/>
      <c r="AM8467" s="531"/>
      <c r="AN8467" s="531"/>
      <c r="AO8467" s="531"/>
      <c r="AR8467" s="761" t="s">
        <v>145</v>
      </c>
      <c r="AS8467" s="764"/>
    </row>
    <row r="8468" spans="1:45" s="520" customFormat="1" ht="12" thickTop="1">
      <c r="A8468" s="51"/>
      <c r="B8468" s="41"/>
      <c r="C8468" s="51"/>
      <c r="E8468" s="42" t="s">
        <v>138</v>
      </c>
      <c r="F8468" s="42" t="s">
        <v>139</v>
      </c>
      <c r="G8468" s="51"/>
      <c r="H8468" s="51"/>
      <c r="I8468" s="51"/>
      <c r="J8468" s="51"/>
      <c r="K8468" s="51" t="s">
        <v>140</v>
      </c>
      <c r="L8468" s="51"/>
      <c r="M8468" s="51"/>
      <c r="N8468" s="51"/>
      <c r="O8468" s="52"/>
      <c r="P8468" s="51"/>
      <c r="Q8468" s="51"/>
      <c r="R8468" s="51"/>
      <c r="S8468" s="51"/>
      <c r="T8468" s="41"/>
      <c r="AG8468" s="521" t="s">
        <v>268</v>
      </c>
      <c r="AH8468" s="521" t="s">
        <v>269</v>
      </c>
      <c r="AI8468" s="521" t="s">
        <v>270</v>
      </c>
      <c r="AJ8468" s="521" t="s">
        <v>271</v>
      </c>
      <c r="AK8468" s="521" t="s">
        <v>272</v>
      </c>
      <c r="AM8468" s="745" t="s">
        <v>281</v>
      </c>
      <c r="AN8468" s="746" t="s">
        <v>282</v>
      </c>
      <c r="AO8468" s="522" t="s">
        <v>278</v>
      </c>
      <c r="AR8468" s="51"/>
      <c r="AS8468" s="42" t="s">
        <v>139</v>
      </c>
    </row>
    <row r="8469" spans="1:45" s="520" customFormat="1" ht="12" customHeight="1">
      <c r="A8469" s="747">
        <v>4</v>
      </c>
      <c r="B8469" s="523" t="s">
        <v>141</v>
      </c>
      <c r="C8469" s="748"/>
      <c r="D8469" s="749" t="s">
        <v>2320</v>
      </c>
      <c r="E8469" s="1145">
        <f>IF(AND($A8469=0,$A$1="DIF"),0, ROUND(ROUND(($R8473*$S$3+($T8473*$T$3))/$A8469,2)*$C$3,2))</f>
        <v>36.950000000000003</v>
      </c>
      <c r="F8469" s="1146">
        <f>ROUND($A8469*$E8469,2)</f>
        <v>147.80000000000001</v>
      </c>
      <c r="G8469" s="752" t="s">
        <v>142</v>
      </c>
      <c r="H8469" s="753"/>
      <c r="I8469" s="754"/>
      <c r="J8469" s="753"/>
      <c r="K8469" s="753" t="s">
        <v>5</v>
      </c>
      <c r="L8469" s="755" t="s">
        <v>143</v>
      </c>
      <c r="M8469" s="755"/>
      <c r="N8469" s="755"/>
      <c r="O8469" s="755"/>
      <c r="P8469" s="755"/>
      <c r="Q8469" s="51"/>
      <c r="T8469" s="1150" t="str">
        <f>IF(AND($R8473=0,$T8473=0),"0.00","mu: "&amp; ROUND(F8469/$C$3/($R8473+$T8473*$D$9),2))</f>
        <v>mu: 1.13</v>
      </c>
      <c r="W8469" s="524"/>
      <c r="AG8469" s="1147">
        <f>IF($E8469=0,0,ROUND($R8473*$S$3*$C$3/$A8469,2))</f>
        <v>36.950000000000003</v>
      </c>
      <c r="AH8469" s="1147">
        <f>$AG8469*$A8469</f>
        <v>147.80000000000001</v>
      </c>
      <c r="AI8469" s="1148">
        <f>$E8469-$AG8469</f>
        <v>0</v>
      </c>
      <c r="AJ8469" s="1148">
        <f>$A8469*$AI8469</f>
        <v>0</v>
      </c>
      <c r="AK8469" s="1149">
        <f>ROUND(($AG8469+$AI8469)*$A8469,2)</f>
        <v>147.80000000000001</v>
      </c>
      <c r="AM8469" s="527">
        <f>ROUND(R8473,2)</f>
        <v>130.94999999999999</v>
      </c>
      <c r="AN8469" s="528">
        <f>ROUND(T8473,2)</f>
        <v>0</v>
      </c>
      <c r="AO8469" s="529">
        <f>ROUND(AM8469+AN8469,2)*A8469</f>
        <v>523.79999999999995</v>
      </c>
      <c r="AR8469" s="747">
        <v>4</v>
      </c>
      <c r="AS8469" s="1146">
        <v>160.84</v>
      </c>
    </row>
    <row r="8470" spans="1:45" s="520" customFormat="1" ht="13.2">
      <c r="A8470" s="748"/>
      <c r="B8470"/>
      <c r="C8470" s="748"/>
      <c r="D8470" s="749" t="s">
        <v>2073</v>
      </c>
      <c r="F8470" s="753"/>
      <c r="G8470" s="3"/>
      <c r="H8470" s="753"/>
      <c r="I8470" s="754"/>
      <c r="J8470" s="753"/>
      <c r="K8470" s="753" t="s">
        <v>144</v>
      </c>
      <c r="L8470" s="753"/>
      <c r="M8470" s="753"/>
      <c r="N8470" s="753"/>
      <c r="O8470" s="753"/>
      <c r="P8470" s="753"/>
      <c r="Q8470" s="51"/>
      <c r="R8470" s="530"/>
      <c r="S8470" s="757"/>
      <c r="T8470" s="753"/>
      <c r="AR8470" s="748"/>
      <c r="AS8470" s="753"/>
    </row>
    <row r="8471" spans="1:45" s="901" customFormat="1" ht="13.2">
      <c r="A8471" s="903">
        <v>4</v>
      </c>
      <c r="B8471" s="904" t="s">
        <v>863</v>
      </c>
      <c r="C8471" s="904"/>
      <c r="D8471" s="904" t="s">
        <v>2594</v>
      </c>
      <c r="E8471" s="904"/>
      <c r="F8471" s="904" t="s">
        <v>4128</v>
      </c>
      <c r="G8471" s="905" t="s">
        <v>2595</v>
      </c>
      <c r="H8471" s="902">
        <v>960</v>
      </c>
      <c r="I8471" s="904" t="s">
        <v>2596</v>
      </c>
      <c r="J8471" s="904"/>
      <c r="K8471" s="904"/>
      <c r="L8471" s="904"/>
      <c r="M8471" s="904"/>
      <c r="N8471" s="904"/>
      <c r="O8471" s="902">
        <v>4</v>
      </c>
      <c r="P8471" s="906">
        <v>38274</v>
      </c>
      <c r="Q8471" s="1415">
        <f>37.5*0.873</f>
        <v>32.737499999999997</v>
      </c>
      <c r="R8471" s="908">
        <f>$A8471*Q8471</f>
        <v>130.94999999999999</v>
      </c>
      <c r="S8471" s="907"/>
      <c r="T8471" s="909">
        <f>$A8471*S8471*$T$1</f>
        <v>0</v>
      </c>
      <c r="AR8471" s="903">
        <v>4</v>
      </c>
      <c r="AS8471" s="904" t="s">
        <v>3507</v>
      </c>
    </row>
    <row r="8472" spans="1:45" s="520" customFormat="1" ht="12">
      <c r="A8472" s="758"/>
      <c r="B8472" s="758"/>
      <c r="C8472" s="758"/>
      <c r="D8472" s="758"/>
      <c r="E8472" s="758"/>
      <c r="F8472" s="753"/>
      <c r="G8472" s="758"/>
      <c r="H8472" s="758"/>
      <c r="I8472" s="519"/>
      <c r="J8472" s="758"/>
      <c r="K8472" s="758"/>
      <c r="L8472" s="758"/>
      <c r="M8472" s="758"/>
      <c r="N8472" s="758"/>
      <c r="O8472" s="758"/>
      <c r="P8472" s="758"/>
      <c r="Q8472" s="519"/>
      <c r="R8472" s="759">
        <f>$A8472*Q8472</f>
        <v>0</v>
      </c>
      <c r="S8472" s="519"/>
      <c r="T8472" s="760">
        <f>$A8472*S8472*$T$1</f>
        <v>0</v>
      </c>
      <c r="AR8472" s="758"/>
      <c r="AS8472" s="753"/>
    </row>
    <row r="8473" spans="1:45" s="520" customFormat="1" ht="12.6" thickBot="1">
      <c r="A8473" s="761" t="s">
        <v>145</v>
      </c>
      <c r="B8473" s="762">
        <f>(R8472+T8472)</f>
        <v>0</v>
      </c>
      <c r="C8473" s="763"/>
      <c r="D8473" s="763"/>
      <c r="E8473" s="763"/>
      <c r="F8473" s="764"/>
      <c r="G8473" s="763" t="s">
        <v>146</v>
      </c>
      <c r="H8473" s="763"/>
      <c r="I8473" s="765"/>
      <c r="J8473" s="763"/>
      <c r="K8473" s="763" t="s">
        <v>5</v>
      </c>
      <c r="L8473" s="766" t="s">
        <v>143</v>
      </c>
      <c r="M8473" s="766"/>
      <c r="N8473" s="766"/>
      <c r="O8473" s="766"/>
      <c r="P8473" s="766"/>
      <c r="Q8473" s="767"/>
      <c r="R8473" s="768">
        <f>SUM(R8470:R8472)</f>
        <v>130.94999999999999</v>
      </c>
      <c r="S8473" s="763"/>
      <c r="T8473" s="768">
        <f>SUM(T8470:T8472)</f>
        <v>0</v>
      </c>
      <c r="U8473" s="531"/>
      <c r="V8473" s="531"/>
      <c r="W8473" s="531"/>
      <c r="X8473" s="531"/>
      <c r="Y8473" s="531"/>
      <c r="Z8473" s="531"/>
      <c r="AA8473" s="531"/>
      <c r="AB8473" s="531"/>
      <c r="AC8473" s="531"/>
      <c r="AD8473" s="531"/>
      <c r="AE8473" s="531"/>
      <c r="AF8473" s="531"/>
      <c r="AG8473" s="531"/>
      <c r="AH8473" s="531"/>
      <c r="AI8473" s="531"/>
      <c r="AJ8473" s="531"/>
      <c r="AK8473" s="531"/>
      <c r="AL8473" s="531"/>
      <c r="AM8473" s="531"/>
      <c r="AN8473" s="531"/>
      <c r="AO8473" s="531"/>
      <c r="AR8473" s="761" t="s">
        <v>145</v>
      </c>
      <c r="AS8473" s="764"/>
    </row>
    <row r="8474" spans="1:45" s="520" customFormat="1" ht="12" thickTop="1">
      <c r="A8474" s="51"/>
      <c r="B8474" s="41"/>
      <c r="C8474" s="51"/>
      <c r="E8474" s="42" t="s">
        <v>138</v>
      </c>
      <c r="F8474" s="42" t="s">
        <v>139</v>
      </c>
      <c r="G8474" s="51"/>
      <c r="H8474" s="51"/>
      <c r="I8474" s="51"/>
      <c r="J8474" s="51"/>
      <c r="K8474" s="51" t="s">
        <v>140</v>
      </c>
      <c r="L8474" s="51"/>
      <c r="M8474" s="51"/>
      <c r="N8474" s="51"/>
      <c r="O8474" s="52"/>
      <c r="P8474" s="51"/>
      <c r="Q8474" s="51"/>
      <c r="R8474" s="51"/>
      <c r="S8474" s="51"/>
      <c r="T8474" s="41"/>
      <c r="AG8474" s="521" t="s">
        <v>268</v>
      </c>
      <c r="AH8474" s="521" t="s">
        <v>269</v>
      </c>
      <c r="AI8474" s="521" t="s">
        <v>270</v>
      </c>
      <c r="AJ8474" s="521" t="s">
        <v>271</v>
      </c>
      <c r="AK8474" s="521" t="s">
        <v>272</v>
      </c>
      <c r="AM8474" s="745" t="s">
        <v>281</v>
      </c>
      <c r="AN8474" s="746" t="s">
        <v>282</v>
      </c>
      <c r="AO8474" s="522" t="s">
        <v>278</v>
      </c>
      <c r="AR8474" s="51"/>
      <c r="AS8474" s="42" t="s">
        <v>139</v>
      </c>
    </row>
    <row r="8475" spans="1:45" s="520" customFormat="1" ht="12" customHeight="1">
      <c r="A8475" s="747">
        <v>4</v>
      </c>
      <c r="B8475" s="523" t="s">
        <v>141</v>
      </c>
      <c r="C8475" s="748"/>
      <c r="D8475" s="749" t="s">
        <v>2321</v>
      </c>
      <c r="E8475" s="1145">
        <f>IF(AND($A8475=0,$A$1="DIF"),0, ROUND(ROUND(($R8479*$S$3+($T8479*$T$3))/$A8475,2)*$C$3,2))</f>
        <v>36.950000000000003</v>
      </c>
      <c r="F8475" s="1146">
        <f>ROUND($A8475*$E8475,2)</f>
        <v>147.80000000000001</v>
      </c>
      <c r="G8475" s="752" t="s">
        <v>142</v>
      </c>
      <c r="H8475" s="753"/>
      <c r="I8475" s="754"/>
      <c r="J8475" s="753"/>
      <c r="K8475" s="753" t="s">
        <v>5</v>
      </c>
      <c r="L8475" s="755" t="s">
        <v>143</v>
      </c>
      <c r="M8475" s="755"/>
      <c r="N8475" s="755"/>
      <c r="O8475" s="755"/>
      <c r="P8475" s="755"/>
      <c r="Q8475" s="51"/>
      <c r="T8475" s="1150" t="str">
        <f>IF(AND($R8479=0,$T8479=0),"0.00","mu: "&amp; ROUND(F8475/$C$3/($R8479+$T8479*$D$9),2))</f>
        <v>mu: 1.13</v>
      </c>
      <c r="W8475" s="524"/>
      <c r="AG8475" s="1147">
        <f>IF($E8475=0,0,ROUND($R8479*$S$3*$C$3/$A8475,2))</f>
        <v>36.950000000000003</v>
      </c>
      <c r="AH8475" s="1147">
        <f>$AG8475*$A8475</f>
        <v>147.80000000000001</v>
      </c>
      <c r="AI8475" s="1148">
        <f>$E8475-$AG8475</f>
        <v>0</v>
      </c>
      <c r="AJ8475" s="1148">
        <f>$A8475*$AI8475</f>
        <v>0</v>
      </c>
      <c r="AK8475" s="1149">
        <f>ROUND(($AG8475+$AI8475)*$A8475,2)</f>
        <v>147.80000000000001</v>
      </c>
      <c r="AM8475" s="527">
        <f>ROUND(R8479,2)</f>
        <v>130.94999999999999</v>
      </c>
      <c r="AN8475" s="528">
        <f>ROUND(T8479,2)</f>
        <v>0</v>
      </c>
      <c r="AO8475" s="529">
        <f>ROUND(AM8475+AN8475,2)*A8475</f>
        <v>523.79999999999995</v>
      </c>
      <c r="AR8475" s="747">
        <v>4</v>
      </c>
      <c r="AS8475" s="1146">
        <v>160.84</v>
      </c>
    </row>
    <row r="8476" spans="1:45" s="520" customFormat="1" ht="13.2">
      <c r="A8476" s="748"/>
      <c r="B8476"/>
      <c r="C8476" s="748"/>
      <c r="D8476" s="749" t="s">
        <v>2074</v>
      </c>
      <c r="F8476" s="753"/>
      <c r="G8476" s="3"/>
      <c r="H8476" s="753"/>
      <c r="I8476" s="754"/>
      <c r="J8476" s="753"/>
      <c r="K8476" s="753" t="s">
        <v>144</v>
      </c>
      <c r="L8476" s="753"/>
      <c r="M8476" s="753"/>
      <c r="N8476" s="753"/>
      <c r="O8476" s="753"/>
      <c r="P8476" s="753"/>
      <c r="Q8476" s="51"/>
      <c r="R8476" s="530"/>
      <c r="S8476" s="757"/>
      <c r="T8476" s="753"/>
      <c r="AR8476" s="748"/>
      <c r="AS8476" s="753"/>
    </row>
    <row r="8477" spans="1:45" s="901" customFormat="1" ht="13.2">
      <c r="A8477" s="903">
        <v>4</v>
      </c>
      <c r="B8477" s="904" t="s">
        <v>863</v>
      </c>
      <c r="C8477" s="904"/>
      <c r="D8477" s="904" t="s">
        <v>2594</v>
      </c>
      <c r="E8477" s="904"/>
      <c r="F8477" s="904" t="s">
        <v>4128</v>
      </c>
      <c r="G8477" s="905" t="s">
        <v>2595</v>
      </c>
      <c r="H8477" s="902">
        <v>960</v>
      </c>
      <c r="I8477" s="904" t="s">
        <v>2596</v>
      </c>
      <c r="J8477" s="904"/>
      <c r="K8477" s="904"/>
      <c r="L8477" s="904"/>
      <c r="M8477" s="904"/>
      <c r="N8477" s="904"/>
      <c r="O8477" s="902">
        <v>4</v>
      </c>
      <c r="P8477" s="906">
        <v>38274</v>
      </c>
      <c r="Q8477" s="1415">
        <f>37.5*0.873</f>
        <v>32.737499999999997</v>
      </c>
      <c r="R8477" s="908">
        <f>$A8477*Q8477</f>
        <v>130.94999999999999</v>
      </c>
      <c r="S8477" s="907"/>
      <c r="T8477" s="909">
        <f>$A8477*S8477*$T$1</f>
        <v>0</v>
      </c>
      <c r="AR8477" s="903">
        <v>4</v>
      </c>
      <c r="AS8477" s="904" t="s">
        <v>3507</v>
      </c>
    </row>
    <row r="8478" spans="1:45" s="520" customFormat="1" ht="12">
      <c r="A8478" s="758"/>
      <c r="B8478" s="758"/>
      <c r="C8478" s="758"/>
      <c r="D8478" s="758"/>
      <c r="E8478" s="758"/>
      <c r="F8478" s="753"/>
      <c r="G8478" s="758"/>
      <c r="H8478" s="758"/>
      <c r="I8478" s="519"/>
      <c r="J8478" s="758"/>
      <c r="K8478" s="758"/>
      <c r="L8478" s="758"/>
      <c r="M8478" s="758"/>
      <c r="N8478" s="758"/>
      <c r="O8478" s="758"/>
      <c r="P8478" s="758"/>
      <c r="Q8478" s="519"/>
      <c r="R8478" s="759">
        <f>$A8478*Q8478</f>
        <v>0</v>
      </c>
      <c r="S8478" s="519"/>
      <c r="T8478" s="760">
        <f>$A8478*S8478*$T$1</f>
        <v>0</v>
      </c>
      <c r="AR8478" s="758"/>
      <c r="AS8478" s="753"/>
    </row>
    <row r="8479" spans="1:45" s="520" customFormat="1" ht="12.6" thickBot="1">
      <c r="A8479" s="761" t="s">
        <v>145</v>
      </c>
      <c r="B8479" s="762">
        <f>(R8478+T8478)</f>
        <v>0</v>
      </c>
      <c r="C8479" s="763"/>
      <c r="D8479" s="763"/>
      <c r="E8479" s="763"/>
      <c r="F8479" s="764"/>
      <c r="G8479" s="763" t="s">
        <v>146</v>
      </c>
      <c r="H8479" s="763"/>
      <c r="I8479" s="765"/>
      <c r="J8479" s="763"/>
      <c r="K8479" s="763" t="s">
        <v>5</v>
      </c>
      <c r="L8479" s="766" t="s">
        <v>143</v>
      </c>
      <c r="M8479" s="766"/>
      <c r="N8479" s="766"/>
      <c r="O8479" s="766"/>
      <c r="P8479" s="766"/>
      <c r="Q8479" s="767"/>
      <c r="R8479" s="768">
        <f>SUM(R8476:R8478)</f>
        <v>130.94999999999999</v>
      </c>
      <c r="S8479" s="763"/>
      <c r="T8479" s="768">
        <f>SUM(T8476:T8478)</f>
        <v>0</v>
      </c>
      <c r="U8479" s="531"/>
      <c r="V8479" s="531"/>
      <c r="W8479" s="531"/>
      <c r="X8479" s="531"/>
      <c r="Y8479" s="531"/>
      <c r="Z8479" s="531"/>
      <c r="AA8479" s="531"/>
      <c r="AB8479" s="531"/>
      <c r="AC8479" s="531"/>
      <c r="AD8479" s="531"/>
      <c r="AE8479" s="531"/>
      <c r="AF8479" s="531"/>
      <c r="AG8479" s="531"/>
      <c r="AH8479" s="531"/>
      <c r="AI8479" s="531"/>
      <c r="AJ8479" s="531"/>
      <c r="AK8479" s="531"/>
      <c r="AL8479" s="531"/>
      <c r="AM8479" s="531"/>
      <c r="AN8479" s="531"/>
      <c r="AO8479" s="531"/>
      <c r="AR8479" s="761" t="s">
        <v>145</v>
      </c>
      <c r="AS8479" s="764"/>
    </row>
    <row r="8480" spans="1:45" s="520" customFormat="1" ht="12" thickTop="1">
      <c r="A8480" s="51"/>
      <c r="B8480" s="41"/>
      <c r="C8480" s="51"/>
      <c r="E8480" s="42" t="s">
        <v>138</v>
      </c>
      <c r="F8480" s="42" t="s">
        <v>139</v>
      </c>
      <c r="G8480" s="51"/>
      <c r="H8480" s="51"/>
      <c r="I8480" s="51"/>
      <c r="J8480" s="51"/>
      <c r="K8480" s="51" t="s">
        <v>140</v>
      </c>
      <c r="L8480" s="51"/>
      <c r="M8480" s="51"/>
      <c r="N8480" s="51"/>
      <c r="O8480" s="52"/>
      <c r="P8480" s="51"/>
      <c r="Q8480" s="51"/>
      <c r="R8480" s="51"/>
      <c r="S8480" s="51"/>
      <c r="T8480" s="41"/>
      <c r="AG8480" s="521" t="s">
        <v>268</v>
      </c>
      <c r="AH8480" s="521" t="s">
        <v>269</v>
      </c>
      <c r="AI8480" s="521" t="s">
        <v>270</v>
      </c>
      <c r="AJ8480" s="521" t="s">
        <v>271</v>
      </c>
      <c r="AK8480" s="521" t="s">
        <v>272</v>
      </c>
      <c r="AM8480" s="745" t="s">
        <v>281</v>
      </c>
      <c r="AN8480" s="746" t="s">
        <v>282</v>
      </c>
      <c r="AO8480" s="522" t="s">
        <v>278</v>
      </c>
      <c r="AR8480" s="51"/>
      <c r="AS8480" s="42" t="s">
        <v>139</v>
      </c>
    </row>
    <row r="8481" spans="1:45" s="520" customFormat="1" ht="12" customHeight="1">
      <c r="A8481" s="747">
        <v>4</v>
      </c>
      <c r="B8481" s="523" t="s">
        <v>141</v>
      </c>
      <c r="C8481" s="748"/>
      <c r="D8481" s="749" t="s">
        <v>2322</v>
      </c>
      <c r="E8481" s="1145">
        <f>IF(AND($A8481=0,$A$1="DIF"),0, ROUND(ROUND(($R8485*$S$3+($T8485*$T$3))/$A8481,2)*$C$3,2))</f>
        <v>36.950000000000003</v>
      </c>
      <c r="F8481" s="1146">
        <f>ROUND($A8481*$E8481,2)</f>
        <v>147.80000000000001</v>
      </c>
      <c r="G8481" s="752" t="s">
        <v>142</v>
      </c>
      <c r="H8481" s="753"/>
      <c r="I8481" s="754"/>
      <c r="J8481" s="753"/>
      <c r="K8481" s="753" t="s">
        <v>5</v>
      </c>
      <c r="L8481" s="755" t="s">
        <v>143</v>
      </c>
      <c r="M8481" s="755"/>
      <c r="N8481" s="755"/>
      <c r="O8481" s="755"/>
      <c r="P8481" s="755"/>
      <c r="Q8481" s="51"/>
      <c r="T8481" s="1150" t="str">
        <f>IF(AND($R8485=0,$T8485=0),"0.00","mu: "&amp; ROUND(F8481/$C$3/($R8485+$T8485*$D$9),2))</f>
        <v>mu: 1.13</v>
      </c>
      <c r="W8481" s="524"/>
      <c r="AG8481" s="1147">
        <f>IF($E8481=0,0,ROUND($R8485*$S$3*$C$3/$A8481,2))</f>
        <v>36.950000000000003</v>
      </c>
      <c r="AH8481" s="1147">
        <f>$AG8481*$A8481</f>
        <v>147.80000000000001</v>
      </c>
      <c r="AI8481" s="1148">
        <f>$E8481-$AG8481</f>
        <v>0</v>
      </c>
      <c r="AJ8481" s="1148">
        <f>$A8481*$AI8481</f>
        <v>0</v>
      </c>
      <c r="AK8481" s="1149">
        <f>ROUND(($AG8481+$AI8481)*$A8481,2)</f>
        <v>147.80000000000001</v>
      </c>
      <c r="AM8481" s="527">
        <f>ROUND(R8485,2)</f>
        <v>130.94999999999999</v>
      </c>
      <c r="AN8481" s="528">
        <f>ROUND(T8485,2)</f>
        <v>0</v>
      </c>
      <c r="AO8481" s="529">
        <f>ROUND(AM8481+AN8481,2)*A8481</f>
        <v>523.79999999999995</v>
      </c>
      <c r="AR8481" s="747">
        <v>4</v>
      </c>
      <c r="AS8481" s="1146">
        <v>160.84</v>
      </c>
    </row>
    <row r="8482" spans="1:45" s="520" customFormat="1" ht="13.2">
      <c r="A8482" s="748"/>
      <c r="B8482"/>
      <c r="C8482" s="748"/>
      <c r="D8482" s="749" t="s">
        <v>2075</v>
      </c>
      <c r="F8482" s="753"/>
      <c r="G8482" s="3"/>
      <c r="H8482" s="753"/>
      <c r="I8482" s="754"/>
      <c r="J8482" s="753"/>
      <c r="K8482" s="753" t="s">
        <v>144</v>
      </c>
      <c r="L8482" s="753"/>
      <c r="M8482" s="753"/>
      <c r="N8482" s="753"/>
      <c r="O8482" s="753"/>
      <c r="P8482" s="753"/>
      <c r="Q8482" s="51"/>
      <c r="R8482" s="530"/>
      <c r="S8482" s="757"/>
      <c r="T8482" s="753"/>
      <c r="AR8482" s="748"/>
      <c r="AS8482" s="753"/>
    </row>
    <row r="8483" spans="1:45" s="901" customFormat="1" ht="13.2">
      <c r="A8483" s="903">
        <v>4</v>
      </c>
      <c r="B8483" s="904" t="s">
        <v>863</v>
      </c>
      <c r="C8483" s="904"/>
      <c r="D8483" s="904" t="s">
        <v>2594</v>
      </c>
      <c r="E8483" s="904"/>
      <c r="F8483" s="904" t="s">
        <v>4128</v>
      </c>
      <c r="G8483" s="905" t="s">
        <v>2595</v>
      </c>
      <c r="H8483" s="902">
        <v>960</v>
      </c>
      <c r="I8483" s="904" t="s">
        <v>2596</v>
      </c>
      <c r="J8483" s="904"/>
      <c r="K8483" s="904"/>
      <c r="L8483" s="904"/>
      <c r="M8483" s="904"/>
      <c r="N8483" s="904"/>
      <c r="O8483" s="902">
        <v>4</v>
      </c>
      <c r="P8483" s="906">
        <v>38274</v>
      </c>
      <c r="Q8483" s="1415">
        <f>37.5*0.873</f>
        <v>32.737499999999997</v>
      </c>
      <c r="R8483" s="908">
        <f>$A8483*Q8483</f>
        <v>130.94999999999999</v>
      </c>
      <c r="S8483" s="907"/>
      <c r="T8483" s="909">
        <f>$A8483*S8483*$T$1</f>
        <v>0</v>
      </c>
      <c r="AR8483" s="903">
        <v>4</v>
      </c>
      <c r="AS8483" s="904" t="s">
        <v>3507</v>
      </c>
    </row>
    <row r="8484" spans="1:45" s="520" customFormat="1" ht="12">
      <c r="A8484" s="758"/>
      <c r="B8484" s="758"/>
      <c r="C8484" s="758"/>
      <c r="D8484" s="758"/>
      <c r="E8484" s="758"/>
      <c r="F8484" s="753"/>
      <c r="G8484" s="758"/>
      <c r="H8484" s="758"/>
      <c r="I8484" s="519"/>
      <c r="J8484" s="758"/>
      <c r="K8484" s="758"/>
      <c r="L8484" s="758"/>
      <c r="M8484" s="758"/>
      <c r="N8484" s="758"/>
      <c r="O8484" s="758"/>
      <c r="P8484" s="758"/>
      <c r="Q8484" s="519"/>
      <c r="R8484" s="759">
        <f>$A8484*Q8484</f>
        <v>0</v>
      </c>
      <c r="S8484" s="519"/>
      <c r="T8484" s="760">
        <f>$A8484*S8484*$T$1</f>
        <v>0</v>
      </c>
      <c r="AR8484" s="758"/>
      <c r="AS8484" s="753"/>
    </row>
    <row r="8485" spans="1:45" s="520" customFormat="1" ht="12.6" thickBot="1">
      <c r="A8485" s="761" t="s">
        <v>145</v>
      </c>
      <c r="B8485" s="762">
        <f>(R8484+T8484)</f>
        <v>0</v>
      </c>
      <c r="C8485" s="763"/>
      <c r="D8485" s="763"/>
      <c r="E8485" s="763"/>
      <c r="F8485" s="764"/>
      <c r="G8485" s="763" t="s">
        <v>146</v>
      </c>
      <c r="H8485" s="763"/>
      <c r="I8485" s="765"/>
      <c r="J8485" s="763"/>
      <c r="K8485" s="763" t="s">
        <v>5</v>
      </c>
      <c r="L8485" s="766" t="s">
        <v>143</v>
      </c>
      <c r="M8485" s="766"/>
      <c r="N8485" s="766"/>
      <c r="O8485" s="766"/>
      <c r="P8485" s="766"/>
      <c r="Q8485" s="767"/>
      <c r="R8485" s="768">
        <f>SUM(R8482:R8484)</f>
        <v>130.94999999999999</v>
      </c>
      <c r="S8485" s="763"/>
      <c r="T8485" s="768">
        <f>SUM(T8482:T8484)</f>
        <v>0</v>
      </c>
      <c r="U8485" s="531"/>
      <c r="V8485" s="531"/>
      <c r="W8485" s="531"/>
      <c r="X8485" s="531"/>
      <c r="Y8485" s="531"/>
      <c r="Z8485" s="531"/>
      <c r="AA8485" s="531"/>
      <c r="AB8485" s="531"/>
      <c r="AC8485" s="531"/>
      <c r="AD8485" s="531"/>
      <c r="AE8485" s="531"/>
      <c r="AF8485" s="531"/>
      <c r="AG8485" s="531"/>
      <c r="AH8485" s="531"/>
      <c r="AI8485" s="531"/>
      <c r="AJ8485" s="531"/>
      <c r="AK8485" s="531"/>
      <c r="AL8485" s="531"/>
      <c r="AM8485" s="531"/>
      <c r="AN8485" s="531"/>
      <c r="AO8485" s="531"/>
      <c r="AR8485" s="761" t="s">
        <v>145</v>
      </c>
      <c r="AS8485" s="764"/>
    </row>
    <row r="8486" spans="1:45" s="520" customFormat="1" ht="12" thickTop="1">
      <c r="A8486" s="51"/>
      <c r="B8486" s="41"/>
      <c r="C8486" s="51"/>
      <c r="E8486" s="42" t="s">
        <v>138</v>
      </c>
      <c r="F8486" s="42" t="s">
        <v>139</v>
      </c>
      <c r="G8486" s="51"/>
      <c r="H8486" s="51"/>
      <c r="I8486" s="51"/>
      <c r="J8486" s="51"/>
      <c r="K8486" s="51" t="s">
        <v>140</v>
      </c>
      <c r="L8486" s="51"/>
      <c r="M8486" s="51"/>
      <c r="N8486" s="51"/>
      <c r="O8486" s="52"/>
      <c r="P8486" s="51"/>
      <c r="Q8486" s="51"/>
      <c r="R8486" s="51"/>
      <c r="S8486" s="51"/>
      <c r="T8486" s="41"/>
      <c r="AG8486" s="521" t="s">
        <v>268</v>
      </c>
      <c r="AH8486" s="521" t="s">
        <v>269</v>
      </c>
      <c r="AI8486" s="521" t="s">
        <v>270</v>
      </c>
      <c r="AJ8486" s="521" t="s">
        <v>271</v>
      </c>
      <c r="AK8486" s="521" t="s">
        <v>272</v>
      </c>
      <c r="AM8486" s="745" t="s">
        <v>281</v>
      </c>
      <c r="AN8486" s="746" t="s">
        <v>282</v>
      </c>
      <c r="AO8486" s="522" t="s">
        <v>278</v>
      </c>
      <c r="AR8486" s="51"/>
      <c r="AS8486" s="42" t="s">
        <v>139</v>
      </c>
    </row>
    <row r="8487" spans="1:45" s="520" customFormat="1" ht="12" customHeight="1">
      <c r="A8487" s="747">
        <v>1</v>
      </c>
      <c r="B8487" s="523" t="s">
        <v>141</v>
      </c>
      <c r="C8487" s="748"/>
      <c r="D8487" s="749" t="s">
        <v>2323</v>
      </c>
      <c r="E8487" s="1145">
        <f>IF(AND($A8487=0,$A$1="DIF"),0, ROUND(ROUND(($R8491*$S$3+($T8491*$T$3))/$A8487,2)*$C$3,2))</f>
        <v>36.950000000000003</v>
      </c>
      <c r="F8487" s="1146">
        <f>ROUND($A8487*$E8487,2)</f>
        <v>36.950000000000003</v>
      </c>
      <c r="G8487" s="752" t="s">
        <v>142</v>
      </c>
      <c r="H8487" s="753"/>
      <c r="I8487" s="754"/>
      <c r="J8487" s="753"/>
      <c r="K8487" s="753" t="s">
        <v>5</v>
      </c>
      <c r="L8487" s="755" t="s">
        <v>143</v>
      </c>
      <c r="M8487" s="755"/>
      <c r="N8487" s="755"/>
      <c r="O8487" s="755"/>
      <c r="P8487" s="755"/>
      <c r="Q8487" s="51"/>
      <c r="T8487" s="1150" t="str">
        <f>IF(AND($R8491=0,$T8491=0),"0.00","mu: "&amp; ROUND(F8487/$C$3/($R8491+$T8491*$D$9),2))</f>
        <v>mu: 1.13</v>
      </c>
      <c r="W8487" s="524"/>
      <c r="AG8487" s="1147">
        <f>IF($E8487=0,0,ROUND($R8491*$S$3*$C$3/$A8487,2))</f>
        <v>36.950000000000003</v>
      </c>
      <c r="AH8487" s="1147">
        <f>$AG8487*$A8487</f>
        <v>36.950000000000003</v>
      </c>
      <c r="AI8487" s="1148">
        <f>$E8487-$AG8487</f>
        <v>0</v>
      </c>
      <c r="AJ8487" s="1148">
        <f>$A8487*$AI8487</f>
        <v>0</v>
      </c>
      <c r="AK8487" s="1149">
        <f>ROUND(($AG8487+$AI8487)*$A8487,2)</f>
        <v>36.950000000000003</v>
      </c>
      <c r="AM8487" s="527">
        <f>ROUND(R8491,2)</f>
        <v>32.74</v>
      </c>
      <c r="AN8487" s="528">
        <f>ROUND(T8491,2)</f>
        <v>0</v>
      </c>
      <c r="AO8487" s="529">
        <f>ROUND(AM8487+AN8487,2)*A8487</f>
        <v>32.74</v>
      </c>
      <c r="AR8487" s="747">
        <v>1</v>
      </c>
      <c r="AS8487" s="1146">
        <v>40.21</v>
      </c>
    </row>
    <row r="8488" spans="1:45" s="520" customFormat="1" ht="13.2">
      <c r="A8488" s="748"/>
      <c r="B8488"/>
      <c r="C8488" s="748"/>
      <c r="D8488" s="749" t="s">
        <v>2066</v>
      </c>
      <c r="F8488" s="753"/>
      <c r="G8488" s="3"/>
      <c r="H8488" s="753"/>
      <c r="I8488" s="754"/>
      <c r="J8488" s="753"/>
      <c r="K8488" s="753" t="s">
        <v>144</v>
      </c>
      <c r="L8488" s="753"/>
      <c r="M8488" s="753"/>
      <c r="N8488" s="753"/>
      <c r="O8488" s="753"/>
      <c r="P8488" s="753"/>
      <c r="Q8488" s="51"/>
      <c r="R8488" s="530"/>
      <c r="S8488" s="757"/>
      <c r="T8488" s="753"/>
      <c r="AR8488" s="748"/>
      <c r="AS8488" s="753"/>
    </row>
    <row r="8489" spans="1:45" s="901" customFormat="1" ht="13.2">
      <c r="A8489" s="903">
        <v>1</v>
      </c>
      <c r="B8489" s="904" t="s">
        <v>863</v>
      </c>
      <c r="C8489" s="904"/>
      <c r="D8489" s="904" t="s">
        <v>2594</v>
      </c>
      <c r="E8489" s="904"/>
      <c r="F8489" s="904" t="s">
        <v>4128</v>
      </c>
      <c r="G8489" s="905" t="s">
        <v>2595</v>
      </c>
      <c r="H8489" s="902">
        <v>960</v>
      </c>
      <c r="I8489" s="904" t="s">
        <v>2596</v>
      </c>
      <c r="J8489" s="904"/>
      <c r="K8489" s="904"/>
      <c r="L8489" s="904"/>
      <c r="M8489" s="904"/>
      <c r="N8489" s="904"/>
      <c r="O8489" s="902">
        <v>4</v>
      </c>
      <c r="P8489" s="906">
        <v>38274</v>
      </c>
      <c r="Q8489" s="1415">
        <f>37.5*0.873</f>
        <v>32.737499999999997</v>
      </c>
      <c r="R8489" s="908">
        <f>$A8489*Q8489</f>
        <v>32.737499999999997</v>
      </c>
      <c r="S8489" s="907"/>
      <c r="T8489" s="909">
        <f>$A8489*S8489*$T$1</f>
        <v>0</v>
      </c>
      <c r="AR8489" s="903">
        <v>1</v>
      </c>
      <c r="AS8489" s="904" t="s">
        <v>3507</v>
      </c>
    </row>
    <row r="8490" spans="1:45" s="520" customFormat="1" ht="12">
      <c r="A8490" s="758"/>
      <c r="B8490" s="758"/>
      <c r="C8490" s="758"/>
      <c r="D8490" s="758"/>
      <c r="E8490" s="758"/>
      <c r="F8490" s="753"/>
      <c r="G8490" s="758"/>
      <c r="H8490" s="758"/>
      <c r="I8490" s="519"/>
      <c r="J8490" s="758"/>
      <c r="K8490" s="758"/>
      <c r="L8490" s="758"/>
      <c r="M8490" s="758"/>
      <c r="N8490" s="758"/>
      <c r="O8490" s="758"/>
      <c r="P8490" s="758"/>
      <c r="Q8490" s="519"/>
      <c r="R8490" s="759">
        <f>$A8490*Q8490</f>
        <v>0</v>
      </c>
      <c r="S8490" s="519"/>
      <c r="T8490" s="760">
        <f>$A8490*S8490*$T$1</f>
        <v>0</v>
      </c>
      <c r="AR8490" s="758"/>
      <c r="AS8490" s="753"/>
    </row>
    <row r="8491" spans="1:45" s="520" customFormat="1" ht="12.6" thickBot="1">
      <c r="A8491" s="761" t="s">
        <v>145</v>
      </c>
      <c r="B8491" s="762">
        <f>(R8490+T8490)</f>
        <v>0</v>
      </c>
      <c r="C8491" s="763"/>
      <c r="D8491" s="763"/>
      <c r="E8491" s="763"/>
      <c r="F8491" s="764"/>
      <c r="G8491" s="763" t="s">
        <v>146</v>
      </c>
      <c r="H8491" s="763"/>
      <c r="I8491" s="765"/>
      <c r="J8491" s="763"/>
      <c r="K8491" s="763" t="s">
        <v>5</v>
      </c>
      <c r="L8491" s="766" t="s">
        <v>143</v>
      </c>
      <c r="M8491" s="766"/>
      <c r="N8491" s="766"/>
      <c r="O8491" s="766"/>
      <c r="P8491" s="766"/>
      <c r="Q8491" s="767"/>
      <c r="R8491" s="768">
        <f>SUM(R8488:R8490)</f>
        <v>32.737499999999997</v>
      </c>
      <c r="S8491" s="763"/>
      <c r="T8491" s="768">
        <f>SUM(T8488:T8490)</f>
        <v>0</v>
      </c>
      <c r="U8491" s="531"/>
      <c r="V8491" s="531"/>
      <c r="W8491" s="531"/>
      <c r="X8491" s="531"/>
      <c r="Y8491" s="531"/>
      <c r="Z8491" s="531"/>
      <c r="AA8491" s="531"/>
      <c r="AB8491" s="531"/>
      <c r="AC8491" s="531"/>
      <c r="AD8491" s="531"/>
      <c r="AE8491" s="531"/>
      <c r="AF8491" s="531"/>
      <c r="AG8491" s="531"/>
      <c r="AH8491" s="531"/>
      <c r="AI8491" s="531"/>
      <c r="AJ8491" s="531"/>
      <c r="AK8491" s="531"/>
      <c r="AL8491" s="531"/>
      <c r="AM8491" s="531"/>
      <c r="AN8491" s="531"/>
      <c r="AO8491" s="531"/>
      <c r="AR8491" s="761" t="s">
        <v>145</v>
      </c>
      <c r="AS8491" s="764"/>
    </row>
    <row r="8492" spans="1:45" s="520" customFormat="1" ht="12" thickTop="1">
      <c r="A8492" s="51"/>
      <c r="B8492" s="41"/>
      <c r="C8492" s="51"/>
      <c r="E8492" s="42" t="s">
        <v>138</v>
      </c>
      <c r="F8492" s="42" t="s">
        <v>139</v>
      </c>
      <c r="G8492" s="51"/>
      <c r="H8492" s="51"/>
      <c r="I8492" s="51"/>
      <c r="J8492" s="51"/>
      <c r="K8492" s="51" t="s">
        <v>140</v>
      </c>
      <c r="L8492" s="51"/>
      <c r="M8492" s="51"/>
      <c r="N8492" s="51"/>
      <c r="O8492" s="52"/>
      <c r="P8492" s="51"/>
      <c r="Q8492" s="51"/>
      <c r="R8492" s="51"/>
      <c r="S8492" s="51"/>
      <c r="T8492" s="41"/>
      <c r="AG8492" s="521" t="s">
        <v>268</v>
      </c>
      <c r="AH8492" s="521" t="s">
        <v>269</v>
      </c>
      <c r="AI8492" s="521" t="s">
        <v>270</v>
      </c>
      <c r="AJ8492" s="521" t="s">
        <v>271</v>
      </c>
      <c r="AK8492" s="521" t="s">
        <v>272</v>
      </c>
      <c r="AM8492" s="745" t="s">
        <v>281</v>
      </c>
      <c r="AN8492" s="746" t="s">
        <v>282</v>
      </c>
      <c r="AO8492" s="522" t="s">
        <v>278</v>
      </c>
      <c r="AR8492" s="51"/>
      <c r="AS8492" s="42" t="s">
        <v>139</v>
      </c>
    </row>
    <row r="8493" spans="1:45" s="520" customFormat="1" ht="12" customHeight="1">
      <c r="A8493" s="747">
        <v>1</v>
      </c>
      <c r="B8493" s="523" t="s">
        <v>141</v>
      </c>
      <c r="C8493" s="748"/>
      <c r="D8493" s="749" t="s">
        <v>2324</v>
      </c>
      <c r="E8493" s="1145">
        <f>IF(AND($A8493=0,$A$1="DIF"),0, ROUND(ROUND(($R8497*$S$3+($T8497*$T$3))/$A8493,2)*$C$3,2))</f>
        <v>36.950000000000003</v>
      </c>
      <c r="F8493" s="1146">
        <f>ROUND($A8493*$E8493,2)</f>
        <v>36.950000000000003</v>
      </c>
      <c r="G8493" s="752" t="s">
        <v>142</v>
      </c>
      <c r="H8493" s="753"/>
      <c r="I8493" s="754"/>
      <c r="J8493" s="753"/>
      <c r="K8493" s="753" t="s">
        <v>5</v>
      </c>
      <c r="L8493" s="755" t="s">
        <v>143</v>
      </c>
      <c r="M8493" s="755"/>
      <c r="N8493" s="755"/>
      <c r="O8493" s="755"/>
      <c r="P8493" s="755"/>
      <c r="Q8493" s="51"/>
      <c r="T8493" s="1150" t="str">
        <f>IF(AND($R8497=0,$T8497=0),"0.00","mu: "&amp; ROUND(F8493/$C$3/($R8497+$T8497*$D$9),2))</f>
        <v>mu: 1.13</v>
      </c>
      <c r="W8493" s="524"/>
      <c r="AG8493" s="1147">
        <f>IF($E8493=0,0,ROUND($R8497*$S$3*$C$3/$A8493,2))</f>
        <v>36.950000000000003</v>
      </c>
      <c r="AH8493" s="1147">
        <f>$AG8493*$A8493</f>
        <v>36.950000000000003</v>
      </c>
      <c r="AI8493" s="1148">
        <f>$E8493-$AG8493</f>
        <v>0</v>
      </c>
      <c r="AJ8493" s="1148">
        <f>$A8493*$AI8493</f>
        <v>0</v>
      </c>
      <c r="AK8493" s="1149">
        <f>ROUND(($AG8493+$AI8493)*$A8493,2)</f>
        <v>36.950000000000003</v>
      </c>
      <c r="AM8493" s="527">
        <f>ROUND(R8497,2)</f>
        <v>32.74</v>
      </c>
      <c r="AN8493" s="528">
        <f>ROUND(T8497,2)</f>
        <v>0</v>
      </c>
      <c r="AO8493" s="529">
        <f>ROUND(AM8493+AN8493,2)*A8493</f>
        <v>32.74</v>
      </c>
      <c r="AR8493" s="747">
        <v>1</v>
      </c>
      <c r="AS8493" s="1146">
        <v>40.21</v>
      </c>
    </row>
    <row r="8494" spans="1:45" s="520" customFormat="1" ht="13.2">
      <c r="A8494" s="748"/>
      <c r="B8494"/>
      <c r="C8494" s="748"/>
      <c r="D8494" s="749" t="s">
        <v>2068</v>
      </c>
      <c r="F8494" s="753"/>
      <c r="G8494" s="3"/>
      <c r="H8494" s="753"/>
      <c r="I8494" s="754"/>
      <c r="J8494" s="753"/>
      <c r="K8494" s="753" t="s">
        <v>144</v>
      </c>
      <c r="L8494" s="753"/>
      <c r="M8494" s="753"/>
      <c r="N8494" s="753"/>
      <c r="O8494" s="753"/>
      <c r="P8494" s="753"/>
      <c r="Q8494" s="51"/>
      <c r="R8494" s="530"/>
      <c r="S8494" s="757"/>
      <c r="T8494" s="753"/>
      <c r="AR8494" s="748"/>
      <c r="AS8494" s="753"/>
    </row>
    <row r="8495" spans="1:45" s="901" customFormat="1" ht="13.2">
      <c r="A8495" s="903">
        <v>1</v>
      </c>
      <c r="B8495" s="904" t="s">
        <v>863</v>
      </c>
      <c r="C8495" s="904"/>
      <c r="D8495" s="904" t="s">
        <v>2594</v>
      </c>
      <c r="E8495" s="904"/>
      <c r="F8495" s="904" t="s">
        <v>4128</v>
      </c>
      <c r="G8495" s="905" t="s">
        <v>2595</v>
      </c>
      <c r="H8495" s="902">
        <v>960</v>
      </c>
      <c r="I8495" s="904" t="s">
        <v>2596</v>
      </c>
      <c r="J8495" s="904"/>
      <c r="K8495" s="904"/>
      <c r="L8495" s="904"/>
      <c r="M8495" s="904"/>
      <c r="N8495" s="904"/>
      <c r="O8495" s="902">
        <v>4</v>
      </c>
      <c r="P8495" s="906">
        <v>38274</v>
      </c>
      <c r="Q8495" s="1415">
        <f>37.5*0.873</f>
        <v>32.737499999999997</v>
      </c>
      <c r="R8495" s="908">
        <f>$A8495*Q8495</f>
        <v>32.737499999999997</v>
      </c>
      <c r="S8495" s="907"/>
      <c r="T8495" s="909">
        <f>$A8495*S8495*$T$1</f>
        <v>0</v>
      </c>
      <c r="AR8495" s="903">
        <v>1</v>
      </c>
      <c r="AS8495" s="904" t="s">
        <v>3507</v>
      </c>
    </row>
    <row r="8496" spans="1:45" s="520" customFormat="1" ht="12">
      <c r="A8496" s="758"/>
      <c r="B8496" s="758"/>
      <c r="C8496" s="758"/>
      <c r="D8496" s="758"/>
      <c r="E8496" s="758"/>
      <c r="F8496" s="753"/>
      <c r="G8496" s="758"/>
      <c r="H8496" s="758"/>
      <c r="I8496" s="519"/>
      <c r="J8496" s="758"/>
      <c r="K8496" s="758"/>
      <c r="L8496" s="758"/>
      <c r="M8496" s="758"/>
      <c r="N8496" s="758"/>
      <c r="O8496" s="758"/>
      <c r="P8496" s="758"/>
      <c r="Q8496" s="519"/>
      <c r="R8496" s="759">
        <f>$A8496*Q8496</f>
        <v>0</v>
      </c>
      <c r="S8496" s="519"/>
      <c r="T8496" s="760">
        <f>$A8496*S8496*$T$1</f>
        <v>0</v>
      </c>
      <c r="AR8496" s="758"/>
      <c r="AS8496" s="753"/>
    </row>
    <row r="8497" spans="1:45" s="520" customFormat="1" ht="12.6" thickBot="1">
      <c r="A8497" s="761" t="s">
        <v>145</v>
      </c>
      <c r="B8497" s="762">
        <f>(R8496+T8496)</f>
        <v>0</v>
      </c>
      <c r="C8497" s="763"/>
      <c r="D8497" s="763"/>
      <c r="E8497" s="763"/>
      <c r="F8497" s="764"/>
      <c r="G8497" s="763" t="s">
        <v>146</v>
      </c>
      <c r="H8497" s="763"/>
      <c r="I8497" s="765"/>
      <c r="J8497" s="763"/>
      <c r="K8497" s="763" t="s">
        <v>5</v>
      </c>
      <c r="L8497" s="766" t="s">
        <v>143</v>
      </c>
      <c r="M8497" s="766"/>
      <c r="N8497" s="766"/>
      <c r="O8497" s="766"/>
      <c r="P8497" s="766"/>
      <c r="Q8497" s="767"/>
      <c r="R8497" s="768">
        <f>SUM(R8494:R8496)</f>
        <v>32.737499999999997</v>
      </c>
      <c r="S8497" s="763"/>
      <c r="T8497" s="768">
        <f>SUM(T8494:T8496)</f>
        <v>0</v>
      </c>
      <c r="U8497" s="531"/>
      <c r="V8497" s="531"/>
      <c r="W8497" s="531"/>
      <c r="X8497" s="531"/>
      <c r="Y8497" s="531"/>
      <c r="Z8497" s="531"/>
      <c r="AA8497" s="531"/>
      <c r="AB8497" s="531"/>
      <c r="AC8497" s="531"/>
      <c r="AD8497" s="531"/>
      <c r="AE8497" s="531"/>
      <c r="AF8497" s="531"/>
      <c r="AG8497" s="531"/>
      <c r="AH8497" s="531"/>
      <c r="AI8497" s="531"/>
      <c r="AJ8497" s="531"/>
      <c r="AK8497" s="531"/>
      <c r="AL8497" s="531"/>
      <c r="AM8497" s="531"/>
      <c r="AN8497" s="531"/>
      <c r="AO8497" s="531"/>
      <c r="AR8497" s="761" t="s">
        <v>145</v>
      </c>
      <c r="AS8497" s="764"/>
    </row>
    <row r="8498" spans="1:45" s="520" customFormat="1" thickTop="1">
      <c r="A8498" s="51"/>
      <c r="B8498" s="51"/>
      <c r="C8498" s="3"/>
      <c r="D8498" s="3"/>
      <c r="E8498" s="51"/>
      <c r="F8498" s="51"/>
      <c r="G8498" s="51"/>
      <c r="H8498" s="51"/>
      <c r="I8498" s="51"/>
      <c r="J8498" s="51"/>
      <c r="K8498" s="51" t="s">
        <v>134</v>
      </c>
      <c r="L8498" s="51"/>
      <c r="M8498" s="51"/>
      <c r="N8498" s="51"/>
      <c r="O8498" s="52"/>
      <c r="P8498" s="51"/>
      <c r="Q8498" s="51"/>
      <c r="R8498" s="51"/>
      <c r="S8498" s="51"/>
      <c r="T8498" s="51"/>
      <c r="AR8498" s="51"/>
      <c r="AS8498" s="51"/>
    </row>
    <row r="8499" spans="1:45" s="520" customFormat="1" ht="12">
      <c r="A8499" s="51"/>
      <c r="B8499" s="51"/>
      <c r="C8499" s="51" t="s">
        <v>135</v>
      </c>
      <c r="D8499" s="37"/>
      <c r="E8499" s="51"/>
      <c r="F8499" s="51"/>
      <c r="G8499" s="51"/>
      <c r="H8499" s="51"/>
      <c r="I8499" s="51"/>
      <c r="J8499" s="51"/>
      <c r="K8499" s="51"/>
      <c r="L8499" s="51"/>
      <c r="M8499" s="51"/>
      <c r="N8499" s="51"/>
      <c r="O8499" s="52"/>
      <c r="P8499" s="51"/>
      <c r="Q8499" s="51"/>
      <c r="R8499" s="51"/>
      <c r="S8499" s="51"/>
      <c r="T8499" s="51"/>
      <c r="AR8499" s="51"/>
      <c r="AS8499" s="51"/>
    </row>
    <row r="8500" spans="1:45" s="520" customFormat="1" ht="12">
      <c r="A8500" s="51"/>
      <c r="B8500" s="51"/>
      <c r="C8500" s="51"/>
      <c r="D8500" s="37" t="s">
        <v>2070</v>
      </c>
      <c r="E8500" s="51"/>
      <c r="F8500" s="51"/>
      <c r="G8500" s="51"/>
      <c r="H8500" s="51"/>
      <c r="I8500" s="51"/>
      <c r="J8500" s="51"/>
      <c r="K8500" s="51"/>
      <c r="L8500" s="51"/>
      <c r="M8500" s="51"/>
      <c r="N8500" s="51"/>
      <c r="O8500" s="52"/>
      <c r="P8500" s="51"/>
      <c r="Q8500" s="51"/>
      <c r="R8500" s="51"/>
      <c r="S8500" s="38"/>
      <c r="T8500" s="38"/>
      <c r="AR8500" s="51"/>
      <c r="AS8500" s="51"/>
    </row>
    <row r="8501" spans="1:45" s="3" customFormat="1" thickBot="1">
      <c r="A8501" s="531"/>
      <c r="O8501" s="107"/>
      <c r="AR8501" s="531"/>
    </row>
    <row r="8502" spans="1:45" s="520" customFormat="1" ht="12" thickTop="1">
      <c r="A8502" s="51"/>
      <c r="B8502" s="41"/>
      <c r="C8502" s="51"/>
      <c r="E8502" s="42" t="s">
        <v>138</v>
      </c>
      <c r="F8502" s="42" t="s">
        <v>139</v>
      </c>
      <c r="G8502" s="51"/>
      <c r="H8502" s="51"/>
      <c r="I8502" s="51"/>
      <c r="J8502" s="51"/>
      <c r="K8502" s="51" t="s">
        <v>140</v>
      </c>
      <c r="L8502" s="51"/>
      <c r="M8502" s="51"/>
      <c r="N8502" s="51"/>
      <c r="O8502" s="52"/>
      <c r="P8502" s="51"/>
      <c r="Q8502" s="51"/>
      <c r="R8502" s="51"/>
      <c r="S8502" s="51"/>
      <c r="T8502" s="41"/>
      <c r="AG8502" s="521" t="s">
        <v>268</v>
      </c>
      <c r="AH8502" s="521" t="s">
        <v>269</v>
      </c>
      <c r="AI8502" s="521" t="s">
        <v>270</v>
      </c>
      <c r="AJ8502" s="521" t="s">
        <v>271</v>
      </c>
      <c r="AK8502" s="521" t="s">
        <v>272</v>
      </c>
      <c r="AM8502" s="745" t="s">
        <v>281</v>
      </c>
      <c r="AN8502" s="746" t="s">
        <v>282</v>
      </c>
      <c r="AO8502" s="522" t="s">
        <v>278</v>
      </c>
      <c r="AR8502" s="51"/>
      <c r="AS8502" s="42" t="s">
        <v>139</v>
      </c>
    </row>
    <row r="8503" spans="1:45" s="520" customFormat="1" ht="12" customHeight="1">
      <c r="A8503" s="747">
        <v>8</v>
      </c>
      <c r="B8503" s="523" t="s">
        <v>141</v>
      </c>
      <c r="C8503" s="748"/>
      <c r="D8503" s="749" t="s">
        <v>2325</v>
      </c>
      <c r="E8503" s="1145">
        <f>IF(AND($A8503=0,$A$1="DIF"),0, ROUND(ROUND(($R8507*$S$3+($T8507*$T$3))/$A8503,2)*$C$3,2))</f>
        <v>52.23</v>
      </c>
      <c r="F8503" s="1146">
        <f>ROUND($A8503*$E8503,2)</f>
        <v>417.84</v>
      </c>
      <c r="G8503" s="752" t="s">
        <v>142</v>
      </c>
      <c r="H8503" s="753"/>
      <c r="I8503" s="754"/>
      <c r="J8503" s="753"/>
      <c r="K8503" s="753" t="s">
        <v>5</v>
      </c>
      <c r="L8503" s="755" t="s">
        <v>143</v>
      </c>
      <c r="M8503" s="755"/>
      <c r="N8503" s="755"/>
      <c r="O8503" s="755"/>
      <c r="P8503" s="755"/>
      <c r="Q8503" s="51"/>
      <c r="T8503" s="1150" t="str">
        <f>IF(AND($R8507=0,$T8507=0),"0.00","mu: "&amp; ROUND(F8503/$C$3/($R8507+$T8507*$D$9),2))</f>
        <v>mu: 1.13</v>
      </c>
      <c r="W8503" s="524"/>
      <c r="AG8503" s="1147">
        <f>IF($E8503=0,0,ROUND($R8507*$S$3*$C$3/$A8503,2))</f>
        <v>52.23</v>
      </c>
      <c r="AH8503" s="1147">
        <f>$AG8503*$A8503</f>
        <v>417.84</v>
      </c>
      <c r="AI8503" s="1148">
        <f>$E8503-$AG8503</f>
        <v>0</v>
      </c>
      <c r="AJ8503" s="1148">
        <f>$A8503*$AI8503</f>
        <v>0</v>
      </c>
      <c r="AK8503" s="1149">
        <f>ROUND(($AG8503+$AI8503)*$A8503,2)</f>
        <v>417.84</v>
      </c>
      <c r="AM8503" s="527">
        <f>ROUND(R8507,2)</f>
        <v>370.15</v>
      </c>
      <c r="AN8503" s="528">
        <f>ROUND(T8507,2)</f>
        <v>0</v>
      </c>
      <c r="AO8503" s="529">
        <f>ROUND(AM8503+AN8503,2)*A8503</f>
        <v>2961.2</v>
      </c>
      <c r="AR8503" s="747">
        <v>7</v>
      </c>
      <c r="AS8503" s="1146">
        <v>397.81</v>
      </c>
    </row>
    <row r="8504" spans="1:45" s="520" customFormat="1" ht="13.2">
      <c r="A8504" s="748"/>
      <c r="B8504"/>
      <c r="C8504" s="748"/>
      <c r="D8504" s="749" t="s">
        <v>2061</v>
      </c>
      <c r="F8504" s="753"/>
      <c r="G8504" s="3"/>
      <c r="H8504" s="753"/>
      <c r="I8504" s="754"/>
      <c r="J8504" s="753"/>
      <c r="K8504" s="753" t="s">
        <v>144</v>
      </c>
      <c r="L8504" s="753"/>
      <c r="M8504" s="753"/>
      <c r="N8504" s="753"/>
      <c r="O8504" s="753"/>
      <c r="P8504" s="753"/>
      <c r="Q8504" s="51"/>
      <c r="R8504" s="530"/>
      <c r="S8504" s="757"/>
      <c r="T8504" s="753"/>
      <c r="AR8504" s="748"/>
      <c r="AS8504" s="753"/>
    </row>
    <row r="8505" spans="1:45" s="901" customFormat="1" ht="13.2">
      <c r="A8505" s="903">
        <v>8</v>
      </c>
      <c r="B8505" s="904" t="s">
        <v>863</v>
      </c>
      <c r="C8505" s="904"/>
      <c r="D8505" s="904" t="s">
        <v>2594</v>
      </c>
      <c r="E8505" s="904"/>
      <c r="F8505" s="904" t="s">
        <v>4128</v>
      </c>
      <c r="G8505" s="905" t="s">
        <v>2595</v>
      </c>
      <c r="H8505" s="902">
        <v>960</v>
      </c>
      <c r="I8505" s="904" t="s">
        <v>2596</v>
      </c>
      <c r="J8505" s="904"/>
      <c r="K8505" s="904"/>
      <c r="L8505" s="904"/>
      <c r="M8505" s="904"/>
      <c r="N8505" s="904"/>
      <c r="O8505" s="902">
        <v>4</v>
      </c>
      <c r="P8505" s="906">
        <v>38274</v>
      </c>
      <c r="Q8505" s="1415">
        <f>53*0.873</f>
        <v>46.268999999999998</v>
      </c>
      <c r="R8505" s="908">
        <f>$A8505*Q8505</f>
        <v>370.15199999999999</v>
      </c>
      <c r="S8505" s="907"/>
      <c r="T8505" s="909">
        <f>$A8505*S8505*$T$1</f>
        <v>0</v>
      </c>
      <c r="AR8505" s="903">
        <v>7</v>
      </c>
      <c r="AS8505" s="904" t="s">
        <v>3507</v>
      </c>
    </row>
    <row r="8506" spans="1:45" s="520" customFormat="1" ht="12">
      <c r="A8506" s="758"/>
      <c r="B8506" s="758"/>
      <c r="C8506" s="758"/>
      <c r="D8506" s="758"/>
      <c r="E8506" s="758"/>
      <c r="F8506" s="753"/>
      <c r="G8506" s="758"/>
      <c r="H8506" s="758"/>
      <c r="I8506" s="519"/>
      <c r="J8506" s="758"/>
      <c r="K8506" s="758"/>
      <c r="L8506" s="758"/>
      <c r="M8506" s="758"/>
      <c r="N8506" s="758"/>
      <c r="O8506" s="758"/>
      <c r="P8506" s="758"/>
      <c r="Q8506" s="519"/>
      <c r="R8506" s="759">
        <f>$A8506*Q8506</f>
        <v>0</v>
      </c>
      <c r="S8506" s="519"/>
      <c r="T8506" s="760">
        <f>$A8506*S8506*$T$1</f>
        <v>0</v>
      </c>
      <c r="AR8506" s="758"/>
      <c r="AS8506" s="753"/>
    </row>
    <row r="8507" spans="1:45" s="520" customFormat="1" ht="12.6" thickBot="1">
      <c r="A8507" s="761" t="s">
        <v>145</v>
      </c>
      <c r="B8507" s="762">
        <f>(R8506+T8506)</f>
        <v>0</v>
      </c>
      <c r="C8507" s="763"/>
      <c r="D8507" s="763"/>
      <c r="E8507" s="763"/>
      <c r="F8507" s="764"/>
      <c r="G8507" s="763" t="s">
        <v>146</v>
      </c>
      <c r="H8507" s="763"/>
      <c r="I8507" s="765"/>
      <c r="J8507" s="763"/>
      <c r="K8507" s="763" t="s">
        <v>5</v>
      </c>
      <c r="L8507" s="766" t="s">
        <v>143</v>
      </c>
      <c r="M8507" s="766"/>
      <c r="N8507" s="766"/>
      <c r="O8507" s="766"/>
      <c r="P8507" s="766"/>
      <c r="Q8507" s="767"/>
      <c r="R8507" s="768">
        <f>SUM(R8504:R8506)</f>
        <v>370.15199999999999</v>
      </c>
      <c r="S8507" s="763"/>
      <c r="T8507" s="768">
        <f>SUM(T8504:T8506)</f>
        <v>0</v>
      </c>
      <c r="U8507" s="531"/>
      <c r="V8507" s="531"/>
      <c r="W8507" s="531"/>
      <c r="X8507" s="531"/>
      <c r="Y8507" s="531"/>
      <c r="Z8507" s="531"/>
      <c r="AA8507" s="531"/>
      <c r="AB8507" s="531"/>
      <c r="AC8507" s="531"/>
      <c r="AD8507" s="531"/>
      <c r="AE8507" s="531"/>
      <c r="AF8507" s="531"/>
      <c r="AG8507" s="531"/>
      <c r="AH8507" s="531"/>
      <c r="AI8507" s="531"/>
      <c r="AJ8507" s="531"/>
      <c r="AK8507" s="531"/>
      <c r="AL8507" s="531"/>
      <c r="AM8507" s="531"/>
      <c r="AN8507" s="531"/>
      <c r="AO8507" s="531"/>
      <c r="AR8507" s="761" t="s">
        <v>145</v>
      </c>
      <c r="AS8507" s="764"/>
    </row>
    <row r="8508" spans="1:45" s="520" customFormat="1" ht="12" thickTop="1">
      <c r="A8508" s="51"/>
      <c r="B8508" s="41"/>
      <c r="C8508" s="51"/>
      <c r="E8508" s="42" t="s">
        <v>138</v>
      </c>
      <c r="F8508" s="42" t="s">
        <v>139</v>
      </c>
      <c r="G8508" s="51"/>
      <c r="H8508" s="51"/>
      <c r="I8508" s="51"/>
      <c r="J8508" s="51"/>
      <c r="K8508" s="51" t="s">
        <v>140</v>
      </c>
      <c r="L8508" s="51"/>
      <c r="M8508" s="51"/>
      <c r="N8508" s="51"/>
      <c r="O8508" s="52"/>
      <c r="P8508" s="51"/>
      <c r="Q8508" s="51"/>
      <c r="R8508" s="51"/>
      <c r="S8508" s="51"/>
      <c r="T8508" s="41"/>
      <c r="AG8508" s="521" t="s">
        <v>268</v>
      </c>
      <c r="AH8508" s="521" t="s">
        <v>269</v>
      </c>
      <c r="AI8508" s="521" t="s">
        <v>270</v>
      </c>
      <c r="AJ8508" s="521" t="s">
        <v>271</v>
      </c>
      <c r="AK8508" s="521" t="s">
        <v>272</v>
      </c>
      <c r="AM8508" s="745" t="s">
        <v>281</v>
      </c>
      <c r="AN8508" s="746" t="s">
        <v>282</v>
      </c>
      <c r="AO8508" s="522" t="s">
        <v>278</v>
      </c>
      <c r="AR8508" s="51"/>
      <c r="AS8508" s="42" t="s">
        <v>139</v>
      </c>
    </row>
    <row r="8509" spans="1:45" s="520" customFormat="1" ht="12" customHeight="1">
      <c r="A8509" s="747">
        <v>5</v>
      </c>
      <c r="B8509" s="523" t="s">
        <v>141</v>
      </c>
      <c r="C8509" s="748"/>
      <c r="D8509" s="749" t="s">
        <v>2326</v>
      </c>
      <c r="E8509" s="1145">
        <f>IF(AND($A8509=0,$A$1="DIF"),0, ROUND(ROUND(($R8513*$S$3+($T8513*$T$3))/$A8509,2)*$C$3,2))</f>
        <v>93.61</v>
      </c>
      <c r="F8509" s="1146">
        <f>ROUND($A8509*$E8509,2)</f>
        <v>468.05</v>
      </c>
      <c r="G8509" s="752" t="s">
        <v>142</v>
      </c>
      <c r="H8509" s="753"/>
      <c r="I8509" s="754"/>
      <c r="J8509" s="753"/>
      <c r="K8509" s="753" t="s">
        <v>5</v>
      </c>
      <c r="L8509" s="755" t="s">
        <v>143</v>
      </c>
      <c r="M8509" s="755"/>
      <c r="N8509" s="755"/>
      <c r="O8509" s="755"/>
      <c r="P8509" s="755"/>
      <c r="Q8509" s="51"/>
      <c r="T8509" s="1150" t="str">
        <f>IF(AND($R8513=0,$T8513=0),"0.00","mu: "&amp; ROUND(F8509/$C$3/($R8513+$T8513*$D$9),2))</f>
        <v>mu: 1.13</v>
      </c>
      <c r="W8509" s="524"/>
      <c r="AG8509" s="1147">
        <f>IF($E8509=0,0,ROUND($R8513*$S$3*$C$3/$A8509,2))</f>
        <v>93.61</v>
      </c>
      <c r="AH8509" s="1147">
        <f>$AG8509*$A8509</f>
        <v>468.05</v>
      </c>
      <c r="AI8509" s="1148">
        <f>$E8509-$AG8509</f>
        <v>0</v>
      </c>
      <c r="AJ8509" s="1148">
        <f>$A8509*$AI8509</f>
        <v>0</v>
      </c>
      <c r="AK8509" s="1149">
        <f>ROUND(($AG8509+$AI8509)*$A8509,2)</f>
        <v>468.05</v>
      </c>
      <c r="AM8509" s="527">
        <f>ROUND(R8513,2)</f>
        <v>414.68</v>
      </c>
      <c r="AN8509" s="528">
        <f>ROUND(T8513,2)</f>
        <v>0</v>
      </c>
      <c r="AO8509" s="529">
        <f>ROUND(AM8509+AN8509,2)*A8509</f>
        <v>2073.4</v>
      </c>
      <c r="AR8509" s="747">
        <v>4</v>
      </c>
      <c r="AS8509" s="1146">
        <v>407.48</v>
      </c>
    </row>
    <row r="8510" spans="1:45" s="520" customFormat="1" ht="13.2">
      <c r="A8510" s="748"/>
      <c r="B8510"/>
      <c r="C8510" s="748"/>
      <c r="D8510" s="749" t="s">
        <v>2062</v>
      </c>
      <c r="F8510" s="753"/>
      <c r="G8510" s="3"/>
      <c r="H8510" s="753"/>
      <c r="I8510" s="754"/>
      <c r="J8510" s="753"/>
      <c r="K8510" s="753" t="s">
        <v>144</v>
      </c>
      <c r="L8510" s="753"/>
      <c r="M8510" s="753"/>
      <c r="N8510" s="753"/>
      <c r="O8510" s="753"/>
      <c r="P8510" s="753"/>
      <c r="Q8510" s="51"/>
      <c r="R8510" s="530"/>
      <c r="S8510" s="757"/>
      <c r="T8510" s="753"/>
      <c r="AR8510" s="748"/>
      <c r="AS8510" s="753"/>
    </row>
    <row r="8511" spans="1:45" s="901" customFormat="1" ht="13.2">
      <c r="A8511" s="903">
        <v>5</v>
      </c>
      <c r="B8511" s="904" t="s">
        <v>863</v>
      </c>
      <c r="C8511" s="904"/>
      <c r="D8511" s="904" t="s">
        <v>2594</v>
      </c>
      <c r="E8511" s="904"/>
      <c r="F8511" s="904" t="s">
        <v>4128</v>
      </c>
      <c r="G8511" s="905" t="s">
        <v>2595</v>
      </c>
      <c r="H8511" s="902">
        <v>960</v>
      </c>
      <c r="I8511" s="904" t="s">
        <v>2596</v>
      </c>
      <c r="J8511" s="904"/>
      <c r="K8511" s="904"/>
      <c r="L8511" s="904"/>
      <c r="M8511" s="904"/>
      <c r="N8511" s="904"/>
      <c r="O8511" s="902">
        <v>4</v>
      </c>
      <c r="P8511" s="906">
        <v>38274</v>
      </c>
      <c r="Q8511" s="1415">
        <f>95*0.873</f>
        <v>82.935000000000002</v>
      </c>
      <c r="R8511" s="908">
        <f>$A8511*Q8511</f>
        <v>414.67500000000001</v>
      </c>
      <c r="S8511" s="907"/>
      <c r="T8511" s="909">
        <f>$A8511*S8511*$T$1</f>
        <v>0</v>
      </c>
      <c r="AR8511" s="903">
        <v>4</v>
      </c>
      <c r="AS8511" s="904" t="s">
        <v>3507</v>
      </c>
    </row>
    <row r="8512" spans="1:45" s="520" customFormat="1" ht="12">
      <c r="A8512" s="758"/>
      <c r="B8512" s="758"/>
      <c r="C8512" s="758"/>
      <c r="D8512" s="758"/>
      <c r="E8512" s="758"/>
      <c r="F8512" s="753"/>
      <c r="G8512" s="758"/>
      <c r="H8512" s="758"/>
      <c r="I8512" s="519"/>
      <c r="J8512" s="758"/>
      <c r="K8512" s="758"/>
      <c r="L8512" s="758"/>
      <c r="M8512" s="758"/>
      <c r="N8512" s="758"/>
      <c r="O8512" s="758"/>
      <c r="P8512" s="758"/>
      <c r="Q8512" s="519"/>
      <c r="R8512" s="759">
        <f>$A8512*Q8512</f>
        <v>0</v>
      </c>
      <c r="S8512" s="519"/>
      <c r="T8512" s="760">
        <f>$A8512*S8512*$T$1</f>
        <v>0</v>
      </c>
      <c r="AR8512" s="758"/>
      <c r="AS8512" s="753"/>
    </row>
    <row r="8513" spans="1:45" s="520" customFormat="1" ht="12.6" thickBot="1">
      <c r="A8513" s="761" t="s">
        <v>145</v>
      </c>
      <c r="B8513" s="762">
        <f>(R8512+T8512)</f>
        <v>0</v>
      </c>
      <c r="C8513" s="763"/>
      <c r="D8513" s="763"/>
      <c r="E8513" s="763"/>
      <c r="F8513" s="764"/>
      <c r="G8513" s="763" t="s">
        <v>146</v>
      </c>
      <c r="H8513" s="763"/>
      <c r="I8513" s="765"/>
      <c r="J8513" s="763"/>
      <c r="K8513" s="763" t="s">
        <v>5</v>
      </c>
      <c r="L8513" s="766" t="s">
        <v>143</v>
      </c>
      <c r="M8513" s="766"/>
      <c r="N8513" s="766"/>
      <c r="O8513" s="766"/>
      <c r="P8513" s="766"/>
      <c r="Q8513" s="767"/>
      <c r="R8513" s="768">
        <f>SUM(R8510:R8512)</f>
        <v>414.67500000000001</v>
      </c>
      <c r="S8513" s="763"/>
      <c r="T8513" s="768">
        <f>SUM(T8510:T8512)</f>
        <v>0</v>
      </c>
      <c r="U8513" s="531"/>
      <c r="V8513" s="531"/>
      <c r="W8513" s="531"/>
      <c r="X8513" s="531"/>
      <c r="Y8513" s="531"/>
      <c r="Z8513" s="531"/>
      <c r="AA8513" s="531"/>
      <c r="AB8513" s="531"/>
      <c r="AC8513" s="531"/>
      <c r="AD8513" s="531"/>
      <c r="AE8513" s="531"/>
      <c r="AF8513" s="531"/>
      <c r="AG8513" s="531"/>
      <c r="AH8513" s="531"/>
      <c r="AI8513" s="531"/>
      <c r="AJ8513" s="531"/>
      <c r="AK8513" s="531"/>
      <c r="AL8513" s="531"/>
      <c r="AM8513" s="531"/>
      <c r="AN8513" s="531"/>
      <c r="AO8513" s="531"/>
      <c r="AR8513" s="761" t="s">
        <v>145</v>
      </c>
      <c r="AS8513" s="764"/>
    </row>
    <row r="8514" spans="1:45" s="520" customFormat="1" ht="12" thickTop="1">
      <c r="A8514" s="51"/>
      <c r="B8514" s="41"/>
      <c r="C8514" s="51"/>
      <c r="E8514" s="42" t="s">
        <v>138</v>
      </c>
      <c r="F8514" s="42" t="s">
        <v>139</v>
      </c>
      <c r="G8514" s="51"/>
      <c r="H8514" s="51"/>
      <c r="I8514" s="51"/>
      <c r="J8514" s="51"/>
      <c r="K8514" s="51" t="s">
        <v>140</v>
      </c>
      <c r="L8514" s="51"/>
      <c r="M8514" s="51"/>
      <c r="N8514" s="51"/>
      <c r="O8514" s="52"/>
      <c r="P8514" s="51"/>
      <c r="Q8514" s="51"/>
      <c r="R8514" s="51"/>
      <c r="S8514" s="51"/>
      <c r="T8514" s="41"/>
      <c r="AG8514" s="521" t="s">
        <v>268</v>
      </c>
      <c r="AH8514" s="521" t="s">
        <v>269</v>
      </c>
      <c r="AI8514" s="521" t="s">
        <v>270</v>
      </c>
      <c r="AJ8514" s="521" t="s">
        <v>271</v>
      </c>
      <c r="AK8514" s="521" t="s">
        <v>272</v>
      </c>
      <c r="AM8514" s="745" t="s">
        <v>281</v>
      </c>
      <c r="AN8514" s="746" t="s">
        <v>282</v>
      </c>
      <c r="AO8514" s="522" t="s">
        <v>278</v>
      </c>
      <c r="AR8514" s="51"/>
      <c r="AS8514" s="42" t="s">
        <v>139</v>
      </c>
    </row>
    <row r="8515" spans="1:45" s="520" customFormat="1" ht="12" customHeight="1">
      <c r="A8515" s="747">
        <v>52</v>
      </c>
      <c r="B8515" s="523" t="s">
        <v>141</v>
      </c>
      <c r="C8515" s="748"/>
      <c r="D8515" s="749" t="s">
        <v>2327</v>
      </c>
      <c r="E8515" s="1145">
        <f>IF(AND($A8515=0,$A$1="DIF"),0, ROUND(ROUND(($R8519*$S$3+($T8519*$T$3))/$A8515,2)*$C$3,2))</f>
        <v>51.24</v>
      </c>
      <c r="F8515" s="1146">
        <f>ROUND($A8515*$E8515,2)</f>
        <v>2664.48</v>
      </c>
      <c r="G8515" s="752" t="s">
        <v>142</v>
      </c>
      <c r="H8515" s="753"/>
      <c r="I8515" s="754"/>
      <c r="J8515" s="753"/>
      <c r="K8515" s="753" t="s">
        <v>5</v>
      </c>
      <c r="L8515" s="755" t="s">
        <v>143</v>
      </c>
      <c r="M8515" s="755"/>
      <c r="N8515" s="755"/>
      <c r="O8515" s="755"/>
      <c r="P8515" s="755"/>
      <c r="Q8515" s="51"/>
      <c r="T8515" s="1150" t="str">
        <f>IF(AND($R8519=0,$T8519=0),"0.00","mu: "&amp; ROUND(F8515/$C$3/($R8519+$T8519*$D$9),2))</f>
        <v>mu: 1.13</v>
      </c>
      <c r="W8515" s="524"/>
      <c r="AG8515" s="1147">
        <f>IF($E8515=0,0,ROUND($R8519*$S$3*$C$3/$A8515,2))</f>
        <v>51.24</v>
      </c>
      <c r="AH8515" s="1147">
        <f>$AG8515*$A8515</f>
        <v>2664.48</v>
      </c>
      <c r="AI8515" s="1148">
        <f>$E8515-$AG8515</f>
        <v>0</v>
      </c>
      <c r="AJ8515" s="1148">
        <f>$A8515*$AI8515</f>
        <v>0</v>
      </c>
      <c r="AK8515" s="1149">
        <f>ROUND(($AG8515+$AI8515)*$A8515,2)</f>
        <v>2664.48</v>
      </c>
      <c r="AM8515" s="527">
        <f>ROUND(R8519,2)</f>
        <v>2360.59</v>
      </c>
      <c r="AN8515" s="528">
        <f>ROUND(T8519,2)</f>
        <v>0</v>
      </c>
      <c r="AO8515" s="529">
        <f>ROUND(AM8515+AN8515,2)*A8515</f>
        <v>122750.68000000001</v>
      </c>
      <c r="AR8515" s="747">
        <v>52</v>
      </c>
      <c r="AS8515" s="1146">
        <v>2899.52</v>
      </c>
    </row>
    <row r="8516" spans="1:45" s="520" customFormat="1" ht="13.2">
      <c r="A8516" s="748"/>
      <c r="B8516"/>
      <c r="C8516" s="748"/>
      <c r="D8516" s="749" t="s">
        <v>2063</v>
      </c>
      <c r="F8516" s="753"/>
      <c r="G8516" s="3"/>
      <c r="H8516" s="753"/>
      <c r="I8516" s="754"/>
      <c r="J8516" s="753"/>
      <c r="K8516" s="753" t="s">
        <v>144</v>
      </c>
      <c r="L8516" s="753"/>
      <c r="M8516" s="753"/>
      <c r="N8516" s="753"/>
      <c r="O8516" s="753"/>
      <c r="P8516" s="753"/>
      <c r="Q8516" s="51"/>
      <c r="R8516" s="530"/>
      <c r="S8516" s="757"/>
      <c r="T8516" s="753"/>
      <c r="AR8516" s="748"/>
      <c r="AS8516" s="753"/>
    </row>
    <row r="8517" spans="1:45" s="901" customFormat="1" ht="13.2">
      <c r="A8517" s="903">
        <v>52</v>
      </c>
      <c r="B8517" s="904" t="s">
        <v>863</v>
      </c>
      <c r="C8517" s="904"/>
      <c r="D8517" s="904" t="s">
        <v>2594</v>
      </c>
      <c r="E8517" s="904"/>
      <c r="F8517" s="904" t="s">
        <v>4128</v>
      </c>
      <c r="G8517" s="905" t="s">
        <v>2595</v>
      </c>
      <c r="H8517" s="902">
        <v>960</v>
      </c>
      <c r="I8517" s="904" t="s">
        <v>2596</v>
      </c>
      <c r="J8517" s="904"/>
      <c r="K8517" s="904"/>
      <c r="L8517" s="904"/>
      <c r="M8517" s="904"/>
      <c r="N8517" s="904"/>
      <c r="O8517" s="902">
        <v>4</v>
      </c>
      <c r="P8517" s="906">
        <v>38274</v>
      </c>
      <c r="Q8517" s="1415">
        <f>52*0.873</f>
        <v>45.396000000000001</v>
      </c>
      <c r="R8517" s="908">
        <f>$A8517*Q8517</f>
        <v>2360.5920000000001</v>
      </c>
      <c r="S8517" s="907"/>
      <c r="T8517" s="909">
        <f>$A8517*S8517*$T$1</f>
        <v>0</v>
      </c>
      <c r="AR8517" s="903">
        <v>52</v>
      </c>
      <c r="AS8517" s="904" t="s">
        <v>3507</v>
      </c>
    </row>
    <row r="8518" spans="1:45" s="520" customFormat="1" ht="12">
      <c r="A8518" s="758"/>
      <c r="B8518" s="758"/>
      <c r="C8518" s="758"/>
      <c r="D8518" s="758"/>
      <c r="E8518" s="758"/>
      <c r="F8518" s="753"/>
      <c r="G8518" s="758"/>
      <c r="H8518" s="758"/>
      <c r="I8518" s="519"/>
      <c r="J8518" s="758"/>
      <c r="K8518" s="758"/>
      <c r="L8518" s="758"/>
      <c r="M8518" s="758"/>
      <c r="N8518" s="758"/>
      <c r="O8518" s="758"/>
      <c r="P8518" s="758"/>
      <c r="Q8518" s="519"/>
      <c r="R8518" s="759">
        <f>$A8518*Q8518</f>
        <v>0</v>
      </c>
      <c r="S8518" s="519"/>
      <c r="T8518" s="760">
        <f>$A8518*S8518*$T$1</f>
        <v>0</v>
      </c>
      <c r="AR8518" s="758"/>
      <c r="AS8518" s="753"/>
    </row>
    <row r="8519" spans="1:45" s="520" customFormat="1" ht="12.6" thickBot="1">
      <c r="A8519" s="761" t="s">
        <v>145</v>
      </c>
      <c r="B8519" s="762">
        <f>(R8518+T8518)</f>
        <v>0</v>
      </c>
      <c r="C8519" s="763"/>
      <c r="D8519" s="763"/>
      <c r="E8519" s="763"/>
      <c r="F8519" s="764"/>
      <c r="G8519" s="763" t="s">
        <v>146</v>
      </c>
      <c r="H8519" s="763"/>
      <c r="I8519" s="765"/>
      <c r="J8519" s="763"/>
      <c r="K8519" s="763" t="s">
        <v>5</v>
      </c>
      <c r="L8519" s="766" t="s">
        <v>143</v>
      </c>
      <c r="M8519" s="766"/>
      <c r="N8519" s="766"/>
      <c r="O8519" s="766"/>
      <c r="P8519" s="766"/>
      <c r="Q8519" s="767"/>
      <c r="R8519" s="768">
        <f>SUM(R8516:R8518)</f>
        <v>2360.5920000000001</v>
      </c>
      <c r="S8519" s="763"/>
      <c r="T8519" s="768">
        <f>SUM(T8516:T8518)</f>
        <v>0</v>
      </c>
      <c r="U8519" s="531"/>
      <c r="V8519" s="531"/>
      <c r="W8519" s="531"/>
      <c r="X8519" s="531"/>
      <c r="Y8519" s="531"/>
      <c r="Z8519" s="531"/>
      <c r="AA8519" s="531"/>
      <c r="AB8519" s="531"/>
      <c r="AC8519" s="531"/>
      <c r="AD8519" s="531"/>
      <c r="AE8519" s="531"/>
      <c r="AF8519" s="531"/>
      <c r="AG8519" s="531"/>
      <c r="AH8519" s="531"/>
      <c r="AI8519" s="531"/>
      <c r="AJ8519" s="531"/>
      <c r="AK8519" s="531"/>
      <c r="AL8519" s="531"/>
      <c r="AM8519" s="531"/>
      <c r="AN8519" s="531"/>
      <c r="AO8519" s="531"/>
      <c r="AR8519" s="761" t="s">
        <v>145</v>
      </c>
      <c r="AS8519" s="764"/>
    </row>
    <row r="8520" spans="1:45" s="520" customFormat="1" ht="12" thickTop="1">
      <c r="A8520" s="51"/>
      <c r="B8520" s="41"/>
      <c r="C8520" s="51"/>
      <c r="E8520" s="42" t="s">
        <v>138</v>
      </c>
      <c r="F8520" s="42" t="s">
        <v>139</v>
      </c>
      <c r="G8520" s="51"/>
      <c r="H8520" s="51"/>
      <c r="I8520" s="51"/>
      <c r="J8520" s="51"/>
      <c r="K8520" s="51" t="s">
        <v>140</v>
      </c>
      <c r="L8520" s="51"/>
      <c r="M8520" s="51"/>
      <c r="N8520" s="51"/>
      <c r="O8520" s="52"/>
      <c r="P8520" s="51"/>
      <c r="Q8520" s="51"/>
      <c r="R8520" s="51"/>
      <c r="S8520" s="51"/>
      <c r="T8520" s="41"/>
      <c r="AG8520" s="521" t="s">
        <v>268</v>
      </c>
      <c r="AH8520" s="521" t="s">
        <v>269</v>
      </c>
      <c r="AI8520" s="521" t="s">
        <v>270</v>
      </c>
      <c r="AJ8520" s="521" t="s">
        <v>271</v>
      </c>
      <c r="AK8520" s="521" t="s">
        <v>272</v>
      </c>
      <c r="AM8520" s="745" t="s">
        <v>281</v>
      </c>
      <c r="AN8520" s="746" t="s">
        <v>282</v>
      </c>
      <c r="AO8520" s="522" t="s">
        <v>278</v>
      </c>
      <c r="AR8520" s="51"/>
      <c r="AS8520" s="42" t="s">
        <v>139</v>
      </c>
    </row>
    <row r="8521" spans="1:45" s="520" customFormat="1" ht="12" customHeight="1">
      <c r="A8521" s="747">
        <v>9</v>
      </c>
      <c r="B8521" s="523" t="s">
        <v>141</v>
      </c>
      <c r="C8521" s="748"/>
      <c r="D8521" s="749" t="s">
        <v>2328</v>
      </c>
      <c r="E8521" s="1145">
        <f>IF(AND($A8521=0,$A$1="DIF"),0, ROUND(ROUND(($R8525*$S$3+($T8525*$T$3))/$A8521,2)*$C$3,2))</f>
        <v>92.63</v>
      </c>
      <c r="F8521" s="1146">
        <f>ROUND($A8521*$E8521,2)</f>
        <v>833.67</v>
      </c>
      <c r="G8521" s="752" t="s">
        <v>142</v>
      </c>
      <c r="H8521" s="753"/>
      <c r="I8521" s="754"/>
      <c r="J8521" s="753"/>
      <c r="K8521" s="753" t="s">
        <v>5</v>
      </c>
      <c r="L8521" s="755" t="s">
        <v>143</v>
      </c>
      <c r="M8521" s="755"/>
      <c r="N8521" s="755"/>
      <c r="O8521" s="755"/>
      <c r="P8521" s="755"/>
      <c r="Q8521" s="51"/>
      <c r="T8521" s="1150" t="str">
        <f>IF(AND($R8525=0,$T8525=0),"0.00","mu: "&amp; ROUND(F8521/$C$3/($R8525+$T8525*$D$9),2))</f>
        <v>mu: 1.13</v>
      </c>
      <c r="W8521" s="524"/>
      <c r="AG8521" s="1147">
        <f>IF($E8521=0,0,ROUND($R8525*$S$3*$C$3/$A8521,2))</f>
        <v>92.63</v>
      </c>
      <c r="AH8521" s="1147">
        <f>$AG8521*$A8521</f>
        <v>833.67</v>
      </c>
      <c r="AI8521" s="1148">
        <f>$E8521-$AG8521</f>
        <v>0</v>
      </c>
      <c r="AJ8521" s="1148">
        <f>$A8521*$AI8521</f>
        <v>0</v>
      </c>
      <c r="AK8521" s="1149">
        <f>ROUND(($AG8521+$AI8521)*$A8521,2)</f>
        <v>833.67</v>
      </c>
      <c r="AM8521" s="527">
        <f>ROUND(R8525,2)</f>
        <v>738.56</v>
      </c>
      <c r="AN8521" s="528">
        <f>ROUND(T8525,2)</f>
        <v>0</v>
      </c>
      <c r="AO8521" s="529">
        <f>ROUND(AM8521+AN8521,2)*A8521</f>
        <v>6647.0399999999991</v>
      </c>
      <c r="AR8521" s="747">
        <v>9</v>
      </c>
      <c r="AS8521" s="1146">
        <v>907.2</v>
      </c>
    </row>
    <row r="8522" spans="1:45" s="520" customFormat="1" ht="13.2">
      <c r="A8522" s="748"/>
      <c r="B8522"/>
      <c r="C8522" s="748"/>
      <c r="D8522" s="749" t="s">
        <v>2064</v>
      </c>
      <c r="F8522" s="753"/>
      <c r="G8522" s="3"/>
      <c r="H8522" s="753"/>
      <c r="I8522" s="754"/>
      <c r="J8522" s="753"/>
      <c r="K8522" s="753" t="s">
        <v>144</v>
      </c>
      <c r="L8522" s="753"/>
      <c r="M8522" s="753"/>
      <c r="N8522" s="753"/>
      <c r="O8522" s="753"/>
      <c r="P8522" s="753"/>
      <c r="Q8522" s="51"/>
      <c r="R8522" s="530"/>
      <c r="S8522" s="757"/>
      <c r="T8522" s="753"/>
      <c r="AR8522" s="748"/>
      <c r="AS8522" s="753"/>
    </row>
    <row r="8523" spans="1:45" s="901" customFormat="1" ht="13.2">
      <c r="A8523" s="903">
        <v>9</v>
      </c>
      <c r="B8523" s="904" t="s">
        <v>863</v>
      </c>
      <c r="C8523" s="904"/>
      <c r="D8523" s="904" t="s">
        <v>2594</v>
      </c>
      <c r="E8523" s="904"/>
      <c r="F8523" s="904" t="s">
        <v>4128</v>
      </c>
      <c r="G8523" s="905" t="s">
        <v>2595</v>
      </c>
      <c r="H8523" s="902">
        <v>960</v>
      </c>
      <c r="I8523" s="904" t="s">
        <v>2596</v>
      </c>
      <c r="J8523" s="904"/>
      <c r="K8523" s="904"/>
      <c r="L8523" s="904"/>
      <c r="M8523" s="904"/>
      <c r="N8523" s="904"/>
      <c r="O8523" s="902">
        <v>4</v>
      </c>
      <c r="P8523" s="906">
        <v>38274</v>
      </c>
      <c r="Q8523" s="1415">
        <f>94*0.873</f>
        <v>82.061999999999998</v>
      </c>
      <c r="R8523" s="908">
        <f>$A8523*Q8523</f>
        <v>738.55799999999999</v>
      </c>
      <c r="S8523" s="907"/>
      <c r="T8523" s="909">
        <f>$A8523*S8523*$T$1</f>
        <v>0</v>
      </c>
      <c r="AR8523" s="903">
        <v>9</v>
      </c>
      <c r="AS8523" s="904" t="s">
        <v>3507</v>
      </c>
    </row>
    <row r="8524" spans="1:45" s="520" customFormat="1" ht="12">
      <c r="A8524" s="758"/>
      <c r="B8524" s="758"/>
      <c r="C8524" s="758"/>
      <c r="D8524" s="758"/>
      <c r="E8524" s="758"/>
      <c r="F8524" s="753"/>
      <c r="G8524" s="758"/>
      <c r="H8524" s="758"/>
      <c r="I8524" s="519"/>
      <c r="J8524" s="758"/>
      <c r="K8524" s="758"/>
      <c r="L8524" s="758"/>
      <c r="M8524" s="758"/>
      <c r="N8524" s="758"/>
      <c r="O8524" s="758"/>
      <c r="P8524" s="758"/>
      <c r="Q8524" s="519"/>
      <c r="R8524" s="759">
        <f>$A8524*Q8524</f>
        <v>0</v>
      </c>
      <c r="S8524" s="519"/>
      <c r="T8524" s="760">
        <f>$A8524*S8524*$T$1</f>
        <v>0</v>
      </c>
      <c r="AR8524" s="758"/>
      <c r="AS8524" s="753"/>
    </row>
    <row r="8525" spans="1:45" s="520" customFormat="1" ht="12.6" thickBot="1">
      <c r="A8525" s="761" t="s">
        <v>145</v>
      </c>
      <c r="B8525" s="762">
        <f>(R8524+T8524)</f>
        <v>0</v>
      </c>
      <c r="C8525" s="763"/>
      <c r="D8525" s="763"/>
      <c r="E8525" s="763"/>
      <c r="F8525" s="764"/>
      <c r="G8525" s="763" t="s">
        <v>146</v>
      </c>
      <c r="H8525" s="763"/>
      <c r="I8525" s="765"/>
      <c r="J8525" s="763"/>
      <c r="K8525" s="763" t="s">
        <v>5</v>
      </c>
      <c r="L8525" s="766" t="s">
        <v>143</v>
      </c>
      <c r="M8525" s="766"/>
      <c r="N8525" s="766"/>
      <c r="O8525" s="766"/>
      <c r="P8525" s="766"/>
      <c r="Q8525" s="767"/>
      <c r="R8525" s="768">
        <f>SUM(R8522:R8524)</f>
        <v>738.55799999999999</v>
      </c>
      <c r="S8525" s="763"/>
      <c r="T8525" s="768">
        <f>SUM(T8522:T8524)</f>
        <v>0</v>
      </c>
      <c r="U8525" s="531"/>
      <c r="V8525" s="531"/>
      <c r="W8525" s="531"/>
      <c r="X8525" s="531"/>
      <c r="Y8525" s="531"/>
      <c r="Z8525" s="531"/>
      <c r="AA8525" s="531"/>
      <c r="AB8525" s="531"/>
      <c r="AC8525" s="531"/>
      <c r="AD8525" s="531"/>
      <c r="AE8525" s="531"/>
      <c r="AF8525" s="531"/>
      <c r="AG8525" s="531"/>
      <c r="AH8525" s="531"/>
      <c r="AI8525" s="531"/>
      <c r="AJ8525" s="531"/>
      <c r="AK8525" s="531"/>
      <c r="AL8525" s="531"/>
      <c r="AM8525" s="531"/>
      <c r="AN8525" s="531"/>
      <c r="AO8525" s="531"/>
      <c r="AR8525" s="761" t="s">
        <v>145</v>
      </c>
      <c r="AS8525" s="764"/>
    </row>
    <row r="8526" spans="1:45" s="520" customFormat="1" ht="12" thickTop="1">
      <c r="A8526" s="51"/>
      <c r="B8526" s="41"/>
      <c r="C8526" s="51"/>
      <c r="E8526" s="42" t="s">
        <v>138</v>
      </c>
      <c r="F8526" s="42" t="s">
        <v>139</v>
      </c>
      <c r="G8526" s="51"/>
      <c r="H8526" s="51"/>
      <c r="I8526" s="51"/>
      <c r="J8526" s="51"/>
      <c r="K8526" s="51" t="s">
        <v>140</v>
      </c>
      <c r="L8526" s="51"/>
      <c r="M8526" s="51"/>
      <c r="N8526" s="51"/>
      <c r="O8526" s="52"/>
      <c r="P8526" s="51"/>
      <c r="Q8526" s="51"/>
      <c r="R8526" s="51"/>
      <c r="S8526" s="51"/>
      <c r="T8526" s="41"/>
      <c r="AG8526" s="521" t="s">
        <v>268</v>
      </c>
      <c r="AH8526" s="521" t="s">
        <v>269</v>
      </c>
      <c r="AI8526" s="521" t="s">
        <v>270</v>
      </c>
      <c r="AJ8526" s="521" t="s">
        <v>271</v>
      </c>
      <c r="AK8526" s="521" t="s">
        <v>272</v>
      </c>
      <c r="AM8526" s="745" t="s">
        <v>281</v>
      </c>
      <c r="AN8526" s="746" t="s">
        <v>282</v>
      </c>
      <c r="AO8526" s="522" t="s">
        <v>278</v>
      </c>
      <c r="AR8526" s="51"/>
      <c r="AS8526" s="42" t="s">
        <v>139</v>
      </c>
    </row>
    <row r="8527" spans="1:45" s="520" customFormat="1" ht="12" customHeight="1">
      <c r="A8527" s="747">
        <v>1</v>
      </c>
      <c r="B8527" s="523" t="s">
        <v>141</v>
      </c>
      <c r="C8527" s="748"/>
      <c r="D8527" s="749" t="s">
        <v>2329</v>
      </c>
      <c r="E8527" s="1145">
        <f>IF(AND($A8527=0,$A$1="DIF"),0, ROUND(ROUND(($R8531*$S$3+($T8531*$T$3))/$A8527,2)*$C$3,2))</f>
        <v>54.2</v>
      </c>
      <c r="F8527" s="1146">
        <f>ROUND($A8527*$E8527,2)</f>
        <v>54.2</v>
      </c>
      <c r="G8527" s="752" t="s">
        <v>142</v>
      </c>
      <c r="H8527" s="753"/>
      <c r="I8527" s="754"/>
      <c r="J8527" s="753"/>
      <c r="K8527" s="753" t="s">
        <v>5</v>
      </c>
      <c r="L8527" s="755" t="s">
        <v>143</v>
      </c>
      <c r="M8527" s="755"/>
      <c r="N8527" s="755"/>
      <c r="O8527" s="755"/>
      <c r="P8527" s="755"/>
      <c r="Q8527" s="51"/>
      <c r="T8527" s="1150" t="str">
        <f>IF(AND($R8531=0,$T8531=0),"0.00","mu: "&amp; ROUND(F8527/$C$3/($R8531+$T8531*$D$9),2))</f>
        <v>mu: 1.13</v>
      </c>
      <c r="W8527" s="524"/>
      <c r="AG8527" s="1147">
        <f>IF($E8527=0,0,ROUND($R8531*$S$3*$C$3/$A8527,2))</f>
        <v>54.2</v>
      </c>
      <c r="AH8527" s="1147">
        <f>$AG8527*$A8527</f>
        <v>54.2</v>
      </c>
      <c r="AI8527" s="1148">
        <f>$E8527-$AG8527</f>
        <v>0</v>
      </c>
      <c r="AJ8527" s="1148">
        <f>$A8527*$AI8527</f>
        <v>0</v>
      </c>
      <c r="AK8527" s="1149">
        <f>ROUND(($AG8527+$AI8527)*$A8527,2)</f>
        <v>54.2</v>
      </c>
      <c r="AM8527" s="527">
        <f>ROUND(R8531,2)</f>
        <v>48.02</v>
      </c>
      <c r="AN8527" s="528">
        <f>ROUND(T8531,2)</f>
        <v>0</v>
      </c>
      <c r="AO8527" s="529">
        <f>ROUND(AM8527+AN8527,2)*A8527</f>
        <v>48.02</v>
      </c>
      <c r="AR8527" s="747">
        <v>1</v>
      </c>
      <c r="AS8527" s="1146">
        <v>58.98</v>
      </c>
    </row>
    <row r="8528" spans="1:45" s="520" customFormat="1" ht="13.2">
      <c r="A8528" s="748"/>
      <c r="B8528"/>
      <c r="C8528" s="748"/>
      <c r="D8528" s="749" t="s">
        <v>2071</v>
      </c>
      <c r="F8528" s="753"/>
      <c r="G8528" s="3"/>
      <c r="H8528" s="753"/>
      <c r="I8528" s="754"/>
      <c r="J8528" s="753"/>
      <c r="K8528" s="753" t="s">
        <v>144</v>
      </c>
      <c r="L8528" s="753"/>
      <c r="M8528" s="753"/>
      <c r="N8528" s="753"/>
      <c r="O8528" s="753"/>
      <c r="P8528" s="753"/>
      <c r="Q8528" s="51"/>
      <c r="R8528" s="530"/>
      <c r="S8528" s="757"/>
      <c r="T8528" s="753"/>
      <c r="AR8528" s="748"/>
      <c r="AS8528" s="753"/>
    </row>
    <row r="8529" spans="1:45" s="901" customFormat="1" ht="13.2">
      <c r="A8529" s="903">
        <v>1</v>
      </c>
      <c r="B8529" s="904" t="s">
        <v>863</v>
      </c>
      <c r="C8529" s="904"/>
      <c r="D8529" s="904" t="s">
        <v>2594</v>
      </c>
      <c r="E8529" s="904"/>
      <c r="F8529" s="904" t="s">
        <v>4128</v>
      </c>
      <c r="G8529" s="905" t="s">
        <v>2595</v>
      </c>
      <c r="H8529" s="902">
        <v>960</v>
      </c>
      <c r="I8529" s="904" t="s">
        <v>2596</v>
      </c>
      <c r="J8529" s="904"/>
      <c r="K8529" s="904"/>
      <c r="L8529" s="904"/>
      <c r="M8529" s="904"/>
      <c r="N8529" s="904"/>
      <c r="O8529" s="902">
        <v>4</v>
      </c>
      <c r="P8529" s="906">
        <v>38274</v>
      </c>
      <c r="Q8529" s="1415">
        <f>55*0.873</f>
        <v>48.015000000000001</v>
      </c>
      <c r="R8529" s="908">
        <f>$A8529*Q8529</f>
        <v>48.015000000000001</v>
      </c>
      <c r="S8529" s="907"/>
      <c r="T8529" s="909">
        <f>$A8529*S8529*$T$1</f>
        <v>0</v>
      </c>
      <c r="AR8529" s="903">
        <v>1</v>
      </c>
      <c r="AS8529" s="904" t="s">
        <v>3507</v>
      </c>
    </row>
    <row r="8530" spans="1:45" s="520" customFormat="1" ht="12">
      <c r="A8530" s="758"/>
      <c r="B8530" s="758"/>
      <c r="C8530" s="758"/>
      <c r="D8530" s="758"/>
      <c r="E8530" s="758"/>
      <c r="F8530" s="753"/>
      <c r="G8530" s="758"/>
      <c r="H8530" s="758"/>
      <c r="I8530" s="519"/>
      <c r="J8530" s="758"/>
      <c r="K8530" s="758"/>
      <c r="L8530" s="758"/>
      <c r="M8530" s="758"/>
      <c r="N8530" s="758"/>
      <c r="O8530" s="758"/>
      <c r="P8530" s="758"/>
      <c r="Q8530" s="519"/>
      <c r="R8530" s="759">
        <f>$A8530*Q8530</f>
        <v>0</v>
      </c>
      <c r="S8530" s="519"/>
      <c r="T8530" s="760">
        <f>$A8530*S8530*$T$1</f>
        <v>0</v>
      </c>
      <c r="AR8530" s="758"/>
      <c r="AS8530" s="753"/>
    </row>
    <row r="8531" spans="1:45" s="520" customFormat="1" ht="12.6" thickBot="1">
      <c r="A8531" s="761" t="s">
        <v>145</v>
      </c>
      <c r="B8531" s="762">
        <f>(R8530+T8530)</f>
        <v>0</v>
      </c>
      <c r="C8531" s="763"/>
      <c r="D8531" s="763"/>
      <c r="E8531" s="763"/>
      <c r="F8531" s="764"/>
      <c r="G8531" s="763" t="s">
        <v>146</v>
      </c>
      <c r="H8531" s="763"/>
      <c r="I8531" s="765"/>
      <c r="J8531" s="763"/>
      <c r="K8531" s="763" t="s">
        <v>5</v>
      </c>
      <c r="L8531" s="766" t="s">
        <v>143</v>
      </c>
      <c r="M8531" s="766"/>
      <c r="N8531" s="766"/>
      <c r="O8531" s="766"/>
      <c r="P8531" s="766"/>
      <c r="Q8531" s="767"/>
      <c r="R8531" s="768">
        <f>SUM(R8528:R8530)</f>
        <v>48.015000000000001</v>
      </c>
      <c r="S8531" s="763"/>
      <c r="T8531" s="768">
        <f>SUM(T8528:T8530)</f>
        <v>0</v>
      </c>
      <c r="U8531" s="531"/>
      <c r="V8531" s="531"/>
      <c r="W8531" s="531"/>
      <c r="X8531" s="531"/>
      <c r="Y8531" s="531"/>
      <c r="Z8531" s="531"/>
      <c r="AA8531" s="531"/>
      <c r="AB8531" s="531"/>
      <c r="AC8531" s="531"/>
      <c r="AD8531" s="531"/>
      <c r="AE8531" s="531"/>
      <c r="AF8531" s="531"/>
      <c r="AG8531" s="531"/>
      <c r="AH8531" s="531"/>
      <c r="AI8531" s="531"/>
      <c r="AJ8531" s="531"/>
      <c r="AK8531" s="531"/>
      <c r="AL8531" s="531"/>
      <c r="AM8531" s="531"/>
      <c r="AN8531" s="531"/>
      <c r="AO8531" s="531"/>
      <c r="AR8531" s="761" t="s">
        <v>145</v>
      </c>
      <c r="AS8531" s="764"/>
    </row>
    <row r="8532" spans="1:45" s="520" customFormat="1" ht="12" thickTop="1">
      <c r="A8532" s="51"/>
      <c r="B8532" s="41"/>
      <c r="C8532" s="51"/>
      <c r="E8532" s="42" t="s">
        <v>138</v>
      </c>
      <c r="F8532" s="42" t="s">
        <v>139</v>
      </c>
      <c r="G8532" s="51"/>
      <c r="H8532" s="51"/>
      <c r="I8532" s="51"/>
      <c r="J8532" s="51"/>
      <c r="K8532" s="51" t="s">
        <v>140</v>
      </c>
      <c r="L8532" s="51"/>
      <c r="M8532" s="51"/>
      <c r="N8532" s="51"/>
      <c r="O8532" s="52"/>
      <c r="P8532" s="51"/>
      <c r="Q8532" s="51"/>
      <c r="R8532" s="51"/>
      <c r="S8532" s="51"/>
      <c r="T8532" s="41"/>
      <c r="AG8532" s="521" t="s">
        <v>268</v>
      </c>
      <c r="AH8532" s="521" t="s">
        <v>269</v>
      </c>
      <c r="AI8532" s="521" t="s">
        <v>270</v>
      </c>
      <c r="AJ8532" s="521" t="s">
        <v>271</v>
      </c>
      <c r="AK8532" s="521" t="s">
        <v>272</v>
      </c>
      <c r="AM8532" s="745" t="s">
        <v>281</v>
      </c>
      <c r="AN8532" s="746" t="s">
        <v>282</v>
      </c>
      <c r="AO8532" s="522" t="s">
        <v>278</v>
      </c>
      <c r="AR8532" s="51"/>
      <c r="AS8532" s="42" t="s">
        <v>139</v>
      </c>
    </row>
    <row r="8533" spans="1:45" s="520" customFormat="1" ht="12" customHeight="1">
      <c r="A8533" s="747">
        <v>4</v>
      </c>
      <c r="B8533" s="523" t="s">
        <v>141</v>
      </c>
      <c r="C8533" s="748"/>
      <c r="D8533" s="749" t="s">
        <v>2330</v>
      </c>
      <c r="E8533" s="1145">
        <f>IF(AND($A8533=0,$A$1="DIF"),0, ROUND(ROUND(($R8537*$S$3+($T8537*$T$3))/$A8533,2)*$C$3,2))</f>
        <v>77.849999999999994</v>
      </c>
      <c r="F8533" s="1146">
        <f>ROUND($A8533*$E8533,2)</f>
        <v>311.39999999999998</v>
      </c>
      <c r="G8533" s="752" t="s">
        <v>142</v>
      </c>
      <c r="H8533" s="753"/>
      <c r="I8533" s="754"/>
      <c r="J8533" s="753"/>
      <c r="K8533" s="753" t="s">
        <v>5</v>
      </c>
      <c r="L8533" s="755" t="s">
        <v>143</v>
      </c>
      <c r="M8533" s="755"/>
      <c r="N8533" s="755"/>
      <c r="O8533" s="755"/>
      <c r="P8533" s="755"/>
      <c r="Q8533" s="51"/>
      <c r="T8533" s="1150" t="str">
        <f>IF(AND($R8537=0,$T8537=0),"0.00","mu: "&amp; ROUND(F8533/$C$3/($R8537+$T8537*$D$9),2))</f>
        <v>mu: 1.13</v>
      </c>
      <c r="W8533" s="524"/>
      <c r="AG8533" s="1147">
        <f>IF($E8533=0,0,ROUND($R8537*$S$3*$C$3/$A8533,2))</f>
        <v>77.849999999999994</v>
      </c>
      <c r="AH8533" s="1147">
        <f>$AG8533*$A8533</f>
        <v>311.39999999999998</v>
      </c>
      <c r="AI8533" s="1148">
        <f>$E8533-$AG8533</f>
        <v>0</v>
      </c>
      <c r="AJ8533" s="1148">
        <f>$A8533*$AI8533</f>
        <v>0</v>
      </c>
      <c r="AK8533" s="1149">
        <f>ROUND(($AG8533+$AI8533)*$A8533,2)</f>
        <v>311.39999999999998</v>
      </c>
      <c r="AM8533" s="527">
        <f>ROUND(R8537,2)</f>
        <v>275.87</v>
      </c>
      <c r="AN8533" s="528">
        <f>ROUND(T8537,2)</f>
        <v>0</v>
      </c>
      <c r="AO8533" s="529">
        <f>ROUND(AM8533+AN8533,2)*A8533</f>
        <v>1103.48</v>
      </c>
      <c r="AR8533" s="747">
        <v>4</v>
      </c>
      <c r="AS8533" s="1146">
        <v>338.84</v>
      </c>
    </row>
    <row r="8534" spans="1:45" s="520" customFormat="1" ht="13.2">
      <c r="A8534" s="748"/>
      <c r="B8534"/>
      <c r="C8534" s="748"/>
      <c r="D8534" s="749" t="s">
        <v>2073</v>
      </c>
      <c r="F8534" s="753"/>
      <c r="G8534" s="3"/>
      <c r="H8534" s="753"/>
      <c r="I8534" s="754"/>
      <c r="J8534" s="753"/>
      <c r="K8534" s="753" t="s">
        <v>144</v>
      </c>
      <c r="L8534" s="753"/>
      <c r="M8534" s="753"/>
      <c r="N8534" s="753"/>
      <c r="O8534" s="753"/>
      <c r="P8534" s="753"/>
      <c r="Q8534" s="51"/>
      <c r="R8534" s="530"/>
      <c r="S8534" s="757"/>
      <c r="T8534" s="753"/>
      <c r="AR8534" s="748"/>
      <c r="AS8534" s="753"/>
    </row>
    <row r="8535" spans="1:45" s="901" customFormat="1" ht="13.2">
      <c r="A8535" s="903">
        <v>4</v>
      </c>
      <c r="B8535" s="904" t="s">
        <v>863</v>
      </c>
      <c r="C8535" s="904"/>
      <c r="D8535" s="904" t="s">
        <v>2594</v>
      </c>
      <c r="E8535" s="904"/>
      <c r="F8535" s="904" t="s">
        <v>4128</v>
      </c>
      <c r="G8535" s="905" t="s">
        <v>2595</v>
      </c>
      <c r="H8535" s="902">
        <v>960</v>
      </c>
      <c r="I8535" s="904" t="s">
        <v>2596</v>
      </c>
      <c r="J8535" s="904"/>
      <c r="K8535" s="904"/>
      <c r="L8535" s="904"/>
      <c r="M8535" s="904"/>
      <c r="N8535" s="904"/>
      <c r="O8535" s="902">
        <v>4</v>
      </c>
      <c r="P8535" s="906">
        <v>38274</v>
      </c>
      <c r="Q8535" s="1415">
        <f>79*0.873</f>
        <v>68.966999999999999</v>
      </c>
      <c r="R8535" s="908">
        <f>$A8535*Q8535</f>
        <v>275.86799999999999</v>
      </c>
      <c r="S8535" s="907"/>
      <c r="T8535" s="909">
        <f>$A8535*S8535*$T$1</f>
        <v>0</v>
      </c>
      <c r="AR8535" s="903">
        <v>4</v>
      </c>
      <c r="AS8535" s="904" t="s">
        <v>3507</v>
      </c>
    </row>
    <row r="8536" spans="1:45" s="520" customFormat="1" ht="12">
      <c r="A8536" s="758"/>
      <c r="B8536" s="758"/>
      <c r="C8536" s="758"/>
      <c r="D8536" s="758"/>
      <c r="E8536" s="758"/>
      <c r="F8536" s="753"/>
      <c r="G8536" s="758"/>
      <c r="H8536" s="758"/>
      <c r="I8536" s="519"/>
      <c r="J8536" s="758"/>
      <c r="K8536" s="758"/>
      <c r="L8536" s="758"/>
      <c r="M8536" s="758"/>
      <c r="N8536" s="758"/>
      <c r="O8536" s="758"/>
      <c r="P8536" s="758"/>
      <c r="Q8536" s="519"/>
      <c r="R8536" s="759">
        <f>$A8536*Q8536</f>
        <v>0</v>
      </c>
      <c r="S8536" s="519"/>
      <c r="T8536" s="760">
        <f>$A8536*S8536*$T$1</f>
        <v>0</v>
      </c>
      <c r="AR8536" s="758"/>
      <c r="AS8536" s="753"/>
    </row>
    <row r="8537" spans="1:45" s="520" customFormat="1" ht="12.6" thickBot="1">
      <c r="A8537" s="761" t="s">
        <v>145</v>
      </c>
      <c r="B8537" s="762">
        <f>(R8536+T8536)</f>
        <v>0</v>
      </c>
      <c r="C8537" s="763"/>
      <c r="D8537" s="763"/>
      <c r="E8537" s="763"/>
      <c r="F8537" s="764"/>
      <c r="G8537" s="763" t="s">
        <v>146</v>
      </c>
      <c r="H8537" s="763"/>
      <c r="I8537" s="765"/>
      <c r="J8537" s="763"/>
      <c r="K8537" s="763" t="s">
        <v>5</v>
      </c>
      <c r="L8537" s="766" t="s">
        <v>143</v>
      </c>
      <c r="M8537" s="766"/>
      <c r="N8537" s="766"/>
      <c r="O8537" s="766"/>
      <c r="P8537" s="766"/>
      <c r="Q8537" s="767"/>
      <c r="R8537" s="768">
        <f>SUM(R8534:R8536)</f>
        <v>275.86799999999999</v>
      </c>
      <c r="S8537" s="763"/>
      <c r="T8537" s="768">
        <f>SUM(T8534:T8536)</f>
        <v>0</v>
      </c>
      <c r="U8537" s="531"/>
      <c r="V8537" s="531"/>
      <c r="W8537" s="531"/>
      <c r="X8537" s="531"/>
      <c r="Y8537" s="531"/>
      <c r="Z8537" s="531"/>
      <c r="AA8537" s="531"/>
      <c r="AB8537" s="531"/>
      <c r="AC8537" s="531"/>
      <c r="AD8537" s="531"/>
      <c r="AE8537" s="531"/>
      <c r="AF8537" s="531"/>
      <c r="AG8537" s="531"/>
      <c r="AH8537" s="531"/>
      <c r="AI8537" s="531"/>
      <c r="AJ8537" s="531"/>
      <c r="AK8537" s="531"/>
      <c r="AL8537" s="531"/>
      <c r="AM8537" s="531"/>
      <c r="AN8537" s="531"/>
      <c r="AO8537" s="531"/>
      <c r="AR8537" s="761" t="s">
        <v>145</v>
      </c>
      <c r="AS8537" s="764"/>
    </row>
    <row r="8538" spans="1:45" s="520" customFormat="1" ht="12" thickTop="1">
      <c r="A8538" s="51"/>
      <c r="B8538" s="41"/>
      <c r="C8538" s="51"/>
      <c r="E8538" s="42" t="s">
        <v>138</v>
      </c>
      <c r="F8538" s="42" t="s">
        <v>139</v>
      </c>
      <c r="G8538" s="51"/>
      <c r="H8538" s="51"/>
      <c r="I8538" s="51"/>
      <c r="J8538" s="51"/>
      <c r="K8538" s="51" t="s">
        <v>140</v>
      </c>
      <c r="L8538" s="51"/>
      <c r="M8538" s="51"/>
      <c r="N8538" s="51"/>
      <c r="O8538" s="52"/>
      <c r="P8538" s="51"/>
      <c r="Q8538" s="51"/>
      <c r="R8538" s="51"/>
      <c r="S8538" s="51"/>
      <c r="T8538" s="41"/>
      <c r="AG8538" s="521" t="s">
        <v>268</v>
      </c>
      <c r="AH8538" s="521" t="s">
        <v>269</v>
      </c>
      <c r="AI8538" s="521" t="s">
        <v>270</v>
      </c>
      <c r="AJ8538" s="521" t="s">
        <v>271</v>
      </c>
      <c r="AK8538" s="521" t="s">
        <v>272</v>
      </c>
      <c r="AM8538" s="745" t="s">
        <v>281</v>
      </c>
      <c r="AN8538" s="746" t="s">
        <v>282</v>
      </c>
      <c r="AO8538" s="522" t="s">
        <v>278</v>
      </c>
      <c r="AR8538" s="51"/>
      <c r="AS8538" s="42" t="s">
        <v>139</v>
      </c>
    </row>
    <row r="8539" spans="1:45" s="520" customFormat="1" ht="12" customHeight="1">
      <c r="A8539" s="747">
        <v>4</v>
      </c>
      <c r="B8539" s="523" t="s">
        <v>141</v>
      </c>
      <c r="C8539" s="748"/>
      <c r="D8539" s="749" t="s">
        <v>2331</v>
      </c>
      <c r="E8539" s="1145">
        <f>IF(AND($A8539=0,$A$1="DIF"),0, ROUND(ROUND(($R8543*$S$3+($T8543*$T$3))/$A8539,2)*$C$3,2))</f>
        <v>77.849999999999994</v>
      </c>
      <c r="F8539" s="1146">
        <f>ROUND($A8539*$E8539,2)</f>
        <v>311.39999999999998</v>
      </c>
      <c r="G8539" s="752" t="s">
        <v>142</v>
      </c>
      <c r="H8539" s="753"/>
      <c r="I8539" s="754"/>
      <c r="J8539" s="753"/>
      <c r="K8539" s="753" t="s">
        <v>5</v>
      </c>
      <c r="L8539" s="755" t="s">
        <v>143</v>
      </c>
      <c r="M8539" s="755"/>
      <c r="N8539" s="755"/>
      <c r="O8539" s="755"/>
      <c r="P8539" s="755"/>
      <c r="Q8539" s="51"/>
      <c r="T8539" s="1150" t="str">
        <f>IF(AND($R8543=0,$T8543=0),"0.00","mu: "&amp; ROUND(F8539/$C$3/($R8543+$T8543*$D$9),2))</f>
        <v>mu: 1.13</v>
      </c>
      <c r="W8539" s="524"/>
      <c r="AG8539" s="1147">
        <f>IF($E8539=0,0,ROUND($R8543*$S$3*$C$3/$A8539,2))</f>
        <v>77.849999999999994</v>
      </c>
      <c r="AH8539" s="1147">
        <f>$AG8539*$A8539</f>
        <v>311.39999999999998</v>
      </c>
      <c r="AI8539" s="1148">
        <f>$E8539-$AG8539</f>
        <v>0</v>
      </c>
      <c r="AJ8539" s="1148">
        <f>$A8539*$AI8539</f>
        <v>0</v>
      </c>
      <c r="AK8539" s="1149">
        <f>ROUND(($AG8539+$AI8539)*$A8539,2)</f>
        <v>311.39999999999998</v>
      </c>
      <c r="AM8539" s="527">
        <f>ROUND(R8543,2)</f>
        <v>275.87</v>
      </c>
      <c r="AN8539" s="528">
        <f>ROUND(T8543,2)</f>
        <v>0</v>
      </c>
      <c r="AO8539" s="529">
        <f>ROUND(AM8539+AN8539,2)*A8539</f>
        <v>1103.48</v>
      </c>
      <c r="AR8539" s="747">
        <v>4</v>
      </c>
      <c r="AS8539" s="1146">
        <v>338.84</v>
      </c>
    </row>
    <row r="8540" spans="1:45" s="520" customFormat="1" ht="13.2">
      <c r="A8540" s="748"/>
      <c r="B8540"/>
      <c r="C8540" s="748"/>
      <c r="D8540" s="749" t="s">
        <v>2074</v>
      </c>
      <c r="F8540" s="753"/>
      <c r="G8540" s="3"/>
      <c r="H8540" s="753"/>
      <c r="I8540" s="754"/>
      <c r="J8540" s="753"/>
      <c r="K8540" s="753" t="s">
        <v>144</v>
      </c>
      <c r="L8540" s="753"/>
      <c r="M8540" s="753"/>
      <c r="N8540" s="753"/>
      <c r="O8540" s="753"/>
      <c r="P8540" s="753"/>
      <c r="Q8540" s="51"/>
      <c r="R8540" s="530"/>
      <c r="S8540" s="757"/>
      <c r="T8540" s="753"/>
      <c r="AR8540" s="748"/>
      <c r="AS8540" s="753"/>
    </row>
    <row r="8541" spans="1:45" s="901" customFormat="1" ht="13.2">
      <c r="A8541" s="903">
        <v>4</v>
      </c>
      <c r="B8541" s="904" t="s">
        <v>863</v>
      </c>
      <c r="C8541" s="904"/>
      <c r="D8541" s="904" t="s">
        <v>2594</v>
      </c>
      <c r="E8541" s="904"/>
      <c r="F8541" s="904" t="s">
        <v>4128</v>
      </c>
      <c r="G8541" s="905" t="s">
        <v>2595</v>
      </c>
      <c r="H8541" s="902">
        <v>960</v>
      </c>
      <c r="I8541" s="904" t="s">
        <v>2596</v>
      </c>
      <c r="J8541" s="904"/>
      <c r="K8541" s="904"/>
      <c r="L8541" s="904"/>
      <c r="M8541" s="904"/>
      <c r="N8541" s="904"/>
      <c r="O8541" s="902">
        <v>4</v>
      </c>
      <c r="P8541" s="906">
        <v>38274</v>
      </c>
      <c r="Q8541" s="1415">
        <f>79*0.873</f>
        <v>68.966999999999999</v>
      </c>
      <c r="R8541" s="908">
        <f>$A8541*Q8541</f>
        <v>275.86799999999999</v>
      </c>
      <c r="S8541" s="907"/>
      <c r="T8541" s="909">
        <f>$A8541*S8541*$T$1</f>
        <v>0</v>
      </c>
      <c r="AR8541" s="903">
        <v>4</v>
      </c>
      <c r="AS8541" s="904" t="s">
        <v>3507</v>
      </c>
    </row>
    <row r="8542" spans="1:45" s="520" customFormat="1" ht="12">
      <c r="A8542" s="758"/>
      <c r="B8542" s="758"/>
      <c r="C8542" s="758"/>
      <c r="D8542" s="758"/>
      <c r="E8542" s="758"/>
      <c r="F8542" s="753"/>
      <c r="G8542" s="758"/>
      <c r="H8542" s="758"/>
      <c r="I8542" s="519"/>
      <c r="J8542" s="758"/>
      <c r="K8542" s="758"/>
      <c r="L8542" s="758"/>
      <c r="M8542" s="758"/>
      <c r="N8542" s="758"/>
      <c r="O8542" s="758"/>
      <c r="P8542" s="758"/>
      <c r="Q8542" s="519"/>
      <c r="R8542" s="759">
        <f>$A8542*Q8542</f>
        <v>0</v>
      </c>
      <c r="S8542" s="519"/>
      <c r="T8542" s="760">
        <f>$A8542*S8542*$T$1</f>
        <v>0</v>
      </c>
      <c r="AR8542" s="758"/>
      <c r="AS8542" s="753"/>
    </row>
    <row r="8543" spans="1:45" s="520" customFormat="1" ht="12.6" thickBot="1">
      <c r="A8543" s="761" t="s">
        <v>145</v>
      </c>
      <c r="B8543" s="762">
        <f>(R8542+T8542)</f>
        <v>0</v>
      </c>
      <c r="C8543" s="763"/>
      <c r="D8543" s="763"/>
      <c r="E8543" s="763"/>
      <c r="F8543" s="764"/>
      <c r="G8543" s="763" t="s">
        <v>146</v>
      </c>
      <c r="H8543" s="763"/>
      <c r="I8543" s="765"/>
      <c r="J8543" s="763"/>
      <c r="K8543" s="763" t="s">
        <v>5</v>
      </c>
      <c r="L8543" s="766" t="s">
        <v>143</v>
      </c>
      <c r="M8543" s="766"/>
      <c r="N8543" s="766"/>
      <c r="O8543" s="766"/>
      <c r="P8543" s="766"/>
      <c r="Q8543" s="767"/>
      <c r="R8543" s="768">
        <f>SUM(R8540:R8542)</f>
        <v>275.86799999999999</v>
      </c>
      <c r="S8543" s="763"/>
      <c r="T8543" s="768">
        <f>SUM(T8540:T8542)</f>
        <v>0</v>
      </c>
      <c r="U8543" s="531"/>
      <c r="V8543" s="531"/>
      <c r="W8543" s="531"/>
      <c r="X8543" s="531"/>
      <c r="Y8543" s="531"/>
      <c r="Z8543" s="531"/>
      <c r="AA8543" s="531"/>
      <c r="AB8543" s="531"/>
      <c r="AC8543" s="531"/>
      <c r="AD8543" s="531"/>
      <c r="AE8543" s="531"/>
      <c r="AF8543" s="531"/>
      <c r="AG8543" s="531"/>
      <c r="AH8543" s="531"/>
      <c r="AI8543" s="531"/>
      <c r="AJ8543" s="531"/>
      <c r="AK8543" s="531"/>
      <c r="AL8543" s="531"/>
      <c r="AM8543" s="531"/>
      <c r="AN8543" s="531"/>
      <c r="AO8543" s="531"/>
      <c r="AR8543" s="761" t="s">
        <v>145</v>
      </c>
      <c r="AS8543" s="764"/>
    </row>
    <row r="8544" spans="1:45" s="520" customFormat="1" ht="12" thickTop="1">
      <c r="A8544" s="51"/>
      <c r="B8544" s="41"/>
      <c r="C8544" s="51"/>
      <c r="E8544" s="42" t="s">
        <v>138</v>
      </c>
      <c r="F8544" s="42" t="s">
        <v>139</v>
      </c>
      <c r="G8544" s="51"/>
      <c r="H8544" s="51"/>
      <c r="I8544" s="51"/>
      <c r="J8544" s="51"/>
      <c r="K8544" s="51" t="s">
        <v>140</v>
      </c>
      <c r="L8544" s="51"/>
      <c r="M8544" s="51"/>
      <c r="N8544" s="51"/>
      <c r="O8544" s="52"/>
      <c r="P8544" s="51"/>
      <c r="Q8544" s="51"/>
      <c r="R8544" s="51"/>
      <c r="S8544" s="51"/>
      <c r="T8544" s="41"/>
      <c r="AG8544" s="521" t="s">
        <v>268</v>
      </c>
      <c r="AH8544" s="521" t="s">
        <v>269</v>
      </c>
      <c r="AI8544" s="521" t="s">
        <v>270</v>
      </c>
      <c r="AJ8544" s="521" t="s">
        <v>271</v>
      </c>
      <c r="AK8544" s="521" t="s">
        <v>272</v>
      </c>
      <c r="AM8544" s="745" t="s">
        <v>281</v>
      </c>
      <c r="AN8544" s="746" t="s">
        <v>282</v>
      </c>
      <c r="AO8544" s="522" t="s">
        <v>278</v>
      </c>
      <c r="AR8544" s="51"/>
      <c r="AS8544" s="42" t="s">
        <v>139</v>
      </c>
    </row>
    <row r="8545" spans="1:45" s="520" customFormat="1" ht="12" customHeight="1">
      <c r="A8545" s="747">
        <v>4</v>
      </c>
      <c r="B8545" s="523" t="s">
        <v>141</v>
      </c>
      <c r="C8545" s="748"/>
      <c r="D8545" s="749" t="s">
        <v>2332</v>
      </c>
      <c r="E8545" s="1145">
        <f>IF(AND($A8545=0,$A$1="DIF"),0, ROUND(ROUND(($R8549*$S$3+($T8549*$T$3))/$A8545,2)*$C$3,2))</f>
        <v>77.849999999999994</v>
      </c>
      <c r="F8545" s="1146">
        <f>ROUND($A8545*$E8545,2)</f>
        <v>311.39999999999998</v>
      </c>
      <c r="G8545" s="752" t="s">
        <v>142</v>
      </c>
      <c r="H8545" s="753"/>
      <c r="I8545" s="754"/>
      <c r="J8545" s="753"/>
      <c r="K8545" s="753" t="s">
        <v>5</v>
      </c>
      <c r="L8545" s="755" t="s">
        <v>143</v>
      </c>
      <c r="M8545" s="755"/>
      <c r="N8545" s="755"/>
      <c r="O8545" s="755"/>
      <c r="P8545" s="755"/>
      <c r="Q8545" s="51"/>
      <c r="T8545" s="1150" t="str">
        <f>IF(AND($R8549=0,$T8549=0),"0.00","mu: "&amp; ROUND(F8545/$C$3/($R8549+$T8549*$D$9),2))</f>
        <v>mu: 1.13</v>
      </c>
      <c r="W8545" s="524"/>
      <c r="AG8545" s="1147">
        <f>IF($E8545=0,0,ROUND($R8549*$S$3*$C$3/$A8545,2))</f>
        <v>77.849999999999994</v>
      </c>
      <c r="AH8545" s="1147">
        <f>$AG8545*$A8545</f>
        <v>311.39999999999998</v>
      </c>
      <c r="AI8545" s="1148">
        <f>$E8545-$AG8545</f>
        <v>0</v>
      </c>
      <c r="AJ8545" s="1148">
        <f>$A8545*$AI8545</f>
        <v>0</v>
      </c>
      <c r="AK8545" s="1149">
        <f>ROUND(($AG8545+$AI8545)*$A8545,2)</f>
        <v>311.39999999999998</v>
      </c>
      <c r="AM8545" s="527">
        <f>ROUND(R8549,2)</f>
        <v>275.87</v>
      </c>
      <c r="AN8545" s="528">
        <f>ROUND(T8549,2)</f>
        <v>0</v>
      </c>
      <c r="AO8545" s="529">
        <f>ROUND(AM8545+AN8545,2)*A8545</f>
        <v>1103.48</v>
      </c>
      <c r="AR8545" s="747">
        <v>4</v>
      </c>
      <c r="AS8545" s="1146">
        <v>338.84</v>
      </c>
    </row>
    <row r="8546" spans="1:45" s="520" customFormat="1" ht="13.2">
      <c r="A8546" s="748"/>
      <c r="B8546"/>
      <c r="C8546" s="748"/>
      <c r="D8546" s="749" t="s">
        <v>2075</v>
      </c>
      <c r="F8546" s="753"/>
      <c r="G8546" s="3"/>
      <c r="H8546" s="753"/>
      <c r="I8546" s="754"/>
      <c r="J8546" s="753"/>
      <c r="K8546" s="753" t="s">
        <v>144</v>
      </c>
      <c r="L8546" s="753"/>
      <c r="M8546" s="753"/>
      <c r="N8546" s="753"/>
      <c r="O8546" s="753"/>
      <c r="P8546" s="753"/>
      <c r="Q8546" s="51"/>
      <c r="R8546" s="530"/>
      <c r="S8546" s="757"/>
      <c r="T8546" s="753"/>
      <c r="AR8546" s="748"/>
      <c r="AS8546" s="753"/>
    </row>
    <row r="8547" spans="1:45" s="901" customFormat="1" ht="13.2">
      <c r="A8547" s="903">
        <v>4</v>
      </c>
      <c r="B8547" s="904" t="s">
        <v>863</v>
      </c>
      <c r="C8547" s="904"/>
      <c r="D8547" s="904" t="s">
        <v>2594</v>
      </c>
      <c r="E8547" s="904"/>
      <c r="F8547" s="904" t="s">
        <v>4128</v>
      </c>
      <c r="G8547" s="905" t="s">
        <v>2595</v>
      </c>
      <c r="H8547" s="902">
        <v>960</v>
      </c>
      <c r="I8547" s="904" t="s">
        <v>2596</v>
      </c>
      <c r="J8547" s="904"/>
      <c r="K8547" s="904"/>
      <c r="L8547" s="904"/>
      <c r="M8547" s="904"/>
      <c r="N8547" s="904"/>
      <c r="O8547" s="902">
        <v>4</v>
      </c>
      <c r="P8547" s="906">
        <v>38274</v>
      </c>
      <c r="Q8547" s="1415">
        <f>79*0.873</f>
        <v>68.966999999999999</v>
      </c>
      <c r="R8547" s="908">
        <f>$A8547*Q8547</f>
        <v>275.86799999999999</v>
      </c>
      <c r="S8547" s="907"/>
      <c r="T8547" s="909">
        <f>$A8547*S8547*$T$1</f>
        <v>0</v>
      </c>
      <c r="AR8547" s="903">
        <v>4</v>
      </c>
      <c r="AS8547" s="904" t="s">
        <v>3507</v>
      </c>
    </row>
    <row r="8548" spans="1:45" s="520" customFormat="1" ht="12">
      <c r="A8548" s="758"/>
      <c r="B8548" s="758"/>
      <c r="C8548" s="758"/>
      <c r="D8548" s="758"/>
      <c r="E8548" s="758"/>
      <c r="F8548" s="753"/>
      <c r="G8548" s="758"/>
      <c r="H8548" s="758"/>
      <c r="I8548" s="519"/>
      <c r="J8548" s="758"/>
      <c r="K8548" s="758"/>
      <c r="L8548" s="758"/>
      <c r="M8548" s="758"/>
      <c r="N8548" s="758"/>
      <c r="O8548" s="758"/>
      <c r="P8548" s="758"/>
      <c r="Q8548" s="519"/>
      <c r="R8548" s="759">
        <f>$A8548*Q8548</f>
        <v>0</v>
      </c>
      <c r="S8548" s="519"/>
      <c r="T8548" s="760">
        <f>$A8548*S8548*$T$1</f>
        <v>0</v>
      </c>
      <c r="AR8548" s="758"/>
      <c r="AS8548" s="753"/>
    </row>
    <row r="8549" spans="1:45" s="520" customFormat="1" ht="12.6" thickBot="1">
      <c r="A8549" s="761" t="s">
        <v>145</v>
      </c>
      <c r="B8549" s="762">
        <f>(R8548+T8548)</f>
        <v>0</v>
      </c>
      <c r="C8549" s="763"/>
      <c r="D8549" s="763"/>
      <c r="E8549" s="763"/>
      <c r="F8549" s="764"/>
      <c r="G8549" s="763" t="s">
        <v>146</v>
      </c>
      <c r="H8549" s="763"/>
      <c r="I8549" s="765"/>
      <c r="J8549" s="763"/>
      <c r="K8549" s="763" t="s">
        <v>5</v>
      </c>
      <c r="L8549" s="766" t="s">
        <v>143</v>
      </c>
      <c r="M8549" s="766"/>
      <c r="N8549" s="766"/>
      <c r="O8549" s="766"/>
      <c r="P8549" s="766"/>
      <c r="Q8549" s="767"/>
      <c r="R8549" s="768">
        <f>SUM(R8546:R8548)</f>
        <v>275.86799999999999</v>
      </c>
      <c r="S8549" s="763"/>
      <c r="T8549" s="768">
        <f>SUM(T8546:T8548)</f>
        <v>0</v>
      </c>
      <c r="U8549" s="531"/>
      <c r="V8549" s="531"/>
      <c r="W8549" s="531"/>
      <c r="X8549" s="531"/>
      <c r="Y8549" s="531"/>
      <c r="Z8549" s="531"/>
      <c r="AA8549" s="531"/>
      <c r="AB8549" s="531"/>
      <c r="AC8549" s="531"/>
      <c r="AD8549" s="531"/>
      <c r="AE8549" s="531"/>
      <c r="AF8549" s="531"/>
      <c r="AG8549" s="531"/>
      <c r="AH8549" s="531"/>
      <c r="AI8549" s="531"/>
      <c r="AJ8549" s="531"/>
      <c r="AK8549" s="531"/>
      <c r="AL8549" s="531"/>
      <c r="AM8549" s="531"/>
      <c r="AN8549" s="531"/>
      <c r="AO8549" s="531"/>
      <c r="AR8549" s="761" t="s">
        <v>145</v>
      </c>
      <c r="AS8549" s="764"/>
    </row>
    <row r="8550" spans="1:45" s="520" customFormat="1" ht="12" thickTop="1">
      <c r="A8550" s="51"/>
      <c r="B8550" s="41"/>
      <c r="C8550" s="51"/>
      <c r="E8550" s="42" t="s">
        <v>138</v>
      </c>
      <c r="F8550" s="42" t="s">
        <v>139</v>
      </c>
      <c r="G8550" s="51"/>
      <c r="H8550" s="51"/>
      <c r="I8550" s="51"/>
      <c r="J8550" s="51"/>
      <c r="K8550" s="51" t="s">
        <v>140</v>
      </c>
      <c r="L8550" s="51"/>
      <c r="M8550" s="51"/>
      <c r="N8550" s="51"/>
      <c r="O8550" s="52"/>
      <c r="P8550" s="51"/>
      <c r="Q8550" s="51"/>
      <c r="R8550" s="51"/>
      <c r="S8550" s="51"/>
      <c r="T8550" s="41"/>
      <c r="AG8550" s="521" t="s">
        <v>268</v>
      </c>
      <c r="AH8550" s="521" t="s">
        <v>269</v>
      </c>
      <c r="AI8550" s="521" t="s">
        <v>270</v>
      </c>
      <c r="AJ8550" s="521" t="s">
        <v>271</v>
      </c>
      <c r="AK8550" s="521" t="s">
        <v>272</v>
      </c>
      <c r="AM8550" s="745" t="s">
        <v>281</v>
      </c>
      <c r="AN8550" s="746" t="s">
        <v>282</v>
      </c>
      <c r="AO8550" s="522" t="s">
        <v>278</v>
      </c>
      <c r="AR8550" s="51"/>
      <c r="AS8550" s="42" t="s">
        <v>139</v>
      </c>
    </row>
    <row r="8551" spans="1:45" s="520" customFormat="1" ht="12" customHeight="1">
      <c r="A8551" s="747">
        <v>1</v>
      </c>
      <c r="B8551" s="523" t="s">
        <v>141</v>
      </c>
      <c r="C8551" s="748"/>
      <c r="D8551" s="749" t="s">
        <v>2333</v>
      </c>
      <c r="E8551" s="1145">
        <f>IF(AND($A8551=0,$A$1="DIF"),0, ROUND(ROUND(($R8555*$S$3+($T8555*$T$3))/$A8551,2)*$C$3,2))</f>
        <v>77.849999999999994</v>
      </c>
      <c r="F8551" s="1146">
        <f>ROUND($A8551*$E8551,2)</f>
        <v>77.849999999999994</v>
      </c>
      <c r="G8551" s="752" t="s">
        <v>142</v>
      </c>
      <c r="H8551" s="753"/>
      <c r="I8551" s="754"/>
      <c r="J8551" s="753"/>
      <c r="K8551" s="753" t="s">
        <v>5</v>
      </c>
      <c r="L8551" s="755" t="s">
        <v>143</v>
      </c>
      <c r="M8551" s="755"/>
      <c r="N8551" s="755"/>
      <c r="O8551" s="755"/>
      <c r="P8551" s="755"/>
      <c r="Q8551" s="51"/>
      <c r="T8551" s="1150" t="str">
        <f>IF(AND($R8555=0,$T8555=0),"0.00","mu: "&amp; ROUND(F8551/$C$3/($R8555+$T8555*$D$9),2))</f>
        <v>mu: 1.13</v>
      </c>
      <c r="W8551" s="524"/>
      <c r="AG8551" s="1147">
        <f>IF($E8551=0,0,ROUND($R8555*$S$3*$C$3/$A8551,2))</f>
        <v>77.849999999999994</v>
      </c>
      <c r="AH8551" s="1147">
        <f>$AG8551*$A8551</f>
        <v>77.849999999999994</v>
      </c>
      <c r="AI8551" s="1148">
        <f>$E8551-$AG8551</f>
        <v>0</v>
      </c>
      <c r="AJ8551" s="1148">
        <f>$A8551*$AI8551</f>
        <v>0</v>
      </c>
      <c r="AK8551" s="1149">
        <f>ROUND(($AG8551+$AI8551)*$A8551,2)</f>
        <v>77.849999999999994</v>
      </c>
      <c r="AM8551" s="527">
        <f>ROUND(R8555,2)</f>
        <v>68.97</v>
      </c>
      <c r="AN8551" s="528">
        <f>ROUND(T8555,2)</f>
        <v>0</v>
      </c>
      <c r="AO8551" s="529">
        <f>ROUND(AM8551+AN8551,2)*A8551</f>
        <v>68.97</v>
      </c>
      <c r="AR8551" s="747">
        <v>1</v>
      </c>
      <c r="AS8551" s="1146">
        <v>84.71</v>
      </c>
    </row>
    <row r="8552" spans="1:45" s="520" customFormat="1" ht="13.2">
      <c r="A8552" s="748"/>
      <c r="B8552"/>
      <c r="C8552" s="748"/>
      <c r="D8552" s="749" t="s">
        <v>2066</v>
      </c>
      <c r="F8552" s="753"/>
      <c r="G8552" s="3"/>
      <c r="H8552" s="753"/>
      <c r="I8552" s="754"/>
      <c r="J8552" s="753"/>
      <c r="K8552" s="753" t="s">
        <v>144</v>
      </c>
      <c r="L8552" s="753"/>
      <c r="M8552" s="753"/>
      <c r="N8552" s="753"/>
      <c r="O8552" s="753"/>
      <c r="P8552" s="753"/>
      <c r="Q8552" s="51"/>
      <c r="R8552" s="530"/>
      <c r="S8552" s="757"/>
      <c r="T8552" s="753"/>
      <c r="AR8552" s="748"/>
      <c r="AS8552" s="753"/>
    </row>
    <row r="8553" spans="1:45" s="901" customFormat="1" ht="13.2">
      <c r="A8553" s="903">
        <v>1</v>
      </c>
      <c r="B8553" s="904" t="s">
        <v>863</v>
      </c>
      <c r="C8553" s="904"/>
      <c r="D8553" s="904" t="s">
        <v>2594</v>
      </c>
      <c r="E8553" s="904"/>
      <c r="F8553" s="904" t="s">
        <v>4128</v>
      </c>
      <c r="G8553" s="905" t="s">
        <v>2595</v>
      </c>
      <c r="H8553" s="902">
        <v>960</v>
      </c>
      <c r="I8553" s="904" t="s">
        <v>2596</v>
      </c>
      <c r="J8553" s="904"/>
      <c r="K8553" s="904"/>
      <c r="L8553" s="904"/>
      <c r="M8553" s="904"/>
      <c r="N8553" s="904"/>
      <c r="O8553" s="902">
        <v>4</v>
      </c>
      <c r="P8553" s="906">
        <v>38274</v>
      </c>
      <c r="Q8553" s="1415">
        <f>79*0.873</f>
        <v>68.966999999999999</v>
      </c>
      <c r="R8553" s="908">
        <f>$A8553*Q8553</f>
        <v>68.966999999999999</v>
      </c>
      <c r="S8553" s="907"/>
      <c r="T8553" s="909">
        <f>$A8553*S8553*$T$1</f>
        <v>0</v>
      </c>
      <c r="AR8553" s="903">
        <v>1</v>
      </c>
      <c r="AS8553" s="904" t="s">
        <v>3507</v>
      </c>
    </row>
    <row r="8554" spans="1:45" s="520" customFormat="1" ht="12">
      <c r="A8554" s="758"/>
      <c r="B8554" s="758"/>
      <c r="C8554" s="758"/>
      <c r="D8554" s="758"/>
      <c r="E8554" s="758"/>
      <c r="F8554" s="753"/>
      <c r="G8554" s="758"/>
      <c r="H8554" s="758"/>
      <c r="I8554" s="519"/>
      <c r="J8554" s="758"/>
      <c r="K8554" s="758"/>
      <c r="L8554" s="758"/>
      <c r="M8554" s="758"/>
      <c r="N8554" s="758"/>
      <c r="O8554" s="758"/>
      <c r="P8554" s="758"/>
      <c r="Q8554" s="519"/>
      <c r="R8554" s="759">
        <f>$A8554*Q8554</f>
        <v>0</v>
      </c>
      <c r="S8554" s="519"/>
      <c r="T8554" s="760">
        <f>$A8554*S8554*$T$1</f>
        <v>0</v>
      </c>
      <c r="AR8554" s="758"/>
      <c r="AS8554" s="753"/>
    </row>
    <row r="8555" spans="1:45" s="520" customFormat="1" ht="12.6" thickBot="1">
      <c r="A8555" s="761" t="s">
        <v>145</v>
      </c>
      <c r="B8555" s="762">
        <f>(R8554+T8554)</f>
        <v>0</v>
      </c>
      <c r="C8555" s="763"/>
      <c r="D8555" s="763"/>
      <c r="E8555" s="763"/>
      <c r="F8555" s="764"/>
      <c r="G8555" s="763" t="s">
        <v>146</v>
      </c>
      <c r="H8555" s="763"/>
      <c r="I8555" s="765"/>
      <c r="J8555" s="763"/>
      <c r="K8555" s="763" t="s">
        <v>5</v>
      </c>
      <c r="L8555" s="766" t="s">
        <v>143</v>
      </c>
      <c r="M8555" s="766"/>
      <c r="N8555" s="766"/>
      <c r="O8555" s="766"/>
      <c r="P8555" s="766"/>
      <c r="Q8555" s="767"/>
      <c r="R8555" s="768">
        <f>SUM(R8552:R8554)</f>
        <v>68.966999999999999</v>
      </c>
      <c r="S8555" s="763"/>
      <c r="T8555" s="768">
        <f>SUM(T8552:T8554)</f>
        <v>0</v>
      </c>
      <c r="U8555" s="531"/>
      <c r="V8555" s="531"/>
      <c r="W8555" s="531"/>
      <c r="X8555" s="531"/>
      <c r="Y8555" s="531"/>
      <c r="Z8555" s="531"/>
      <c r="AA8555" s="531"/>
      <c r="AB8555" s="531"/>
      <c r="AC8555" s="531"/>
      <c r="AD8555" s="531"/>
      <c r="AE8555" s="531"/>
      <c r="AF8555" s="531"/>
      <c r="AG8555" s="531"/>
      <c r="AH8555" s="531"/>
      <c r="AI8555" s="531"/>
      <c r="AJ8555" s="531"/>
      <c r="AK8555" s="531"/>
      <c r="AL8555" s="531"/>
      <c r="AM8555" s="531"/>
      <c r="AN8555" s="531"/>
      <c r="AO8555" s="531"/>
      <c r="AR8555" s="761" t="s">
        <v>145</v>
      </c>
      <c r="AS8555" s="764"/>
    </row>
    <row r="8556" spans="1:45" s="520" customFormat="1" ht="12" thickTop="1">
      <c r="A8556" s="51"/>
      <c r="B8556" s="41"/>
      <c r="C8556" s="51"/>
      <c r="E8556" s="42" t="s">
        <v>138</v>
      </c>
      <c r="F8556" s="42" t="s">
        <v>139</v>
      </c>
      <c r="G8556" s="51"/>
      <c r="H8556" s="51"/>
      <c r="I8556" s="51"/>
      <c r="J8556" s="51"/>
      <c r="K8556" s="51" t="s">
        <v>140</v>
      </c>
      <c r="L8556" s="51"/>
      <c r="M8556" s="51"/>
      <c r="N8556" s="51"/>
      <c r="O8556" s="52"/>
      <c r="P8556" s="51"/>
      <c r="Q8556" s="51"/>
      <c r="R8556" s="51"/>
      <c r="S8556" s="51"/>
      <c r="T8556" s="41"/>
      <c r="AG8556" s="521" t="s">
        <v>268</v>
      </c>
      <c r="AH8556" s="521" t="s">
        <v>269</v>
      </c>
      <c r="AI8556" s="521" t="s">
        <v>270</v>
      </c>
      <c r="AJ8556" s="521" t="s">
        <v>271</v>
      </c>
      <c r="AK8556" s="521" t="s">
        <v>272</v>
      </c>
      <c r="AM8556" s="745" t="s">
        <v>281</v>
      </c>
      <c r="AN8556" s="746" t="s">
        <v>282</v>
      </c>
      <c r="AO8556" s="522" t="s">
        <v>278</v>
      </c>
      <c r="AR8556" s="51"/>
      <c r="AS8556" s="42" t="s">
        <v>139</v>
      </c>
    </row>
    <row r="8557" spans="1:45" s="520" customFormat="1" ht="12" customHeight="1">
      <c r="A8557" s="747">
        <v>1</v>
      </c>
      <c r="B8557" s="523" t="s">
        <v>141</v>
      </c>
      <c r="C8557" s="748"/>
      <c r="D8557" s="749" t="s">
        <v>2334</v>
      </c>
      <c r="E8557" s="1145">
        <f>IF(AND($A8557=0,$A$1="DIF"),0, ROUND(ROUND(($R8561*$S$3+($T8561*$T$3))/$A8557,2)*$C$3,2))</f>
        <v>77.849999999999994</v>
      </c>
      <c r="F8557" s="1146">
        <f>ROUND($A8557*$E8557,2)</f>
        <v>77.849999999999994</v>
      </c>
      <c r="G8557" s="752" t="s">
        <v>142</v>
      </c>
      <c r="H8557" s="753"/>
      <c r="I8557" s="754"/>
      <c r="J8557" s="753"/>
      <c r="K8557" s="753" t="s">
        <v>5</v>
      </c>
      <c r="L8557" s="755" t="s">
        <v>143</v>
      </c>
      <c r="M8557" s="755"/>
      <c r="N8557" s="755"/>
      <c r="O8557" s="755"/>
      <c r="P8557" s="755"/>
      <c r="Q8557" s="51"/>
      <c r="T8557" s="1150" t="str">
        <f>IF(AND($R8561=0,$T8561=0),"0.00","mu: "&amp; ROUND(F8557/$C$3/($R8561+$T8561*$D$9),2))</f>
        <v>mu: 1.13</v>
      </c>
      <c r="W8557" s="524"/>
      <c r="AG8557" s="1147">
        <f>IF($E8557=0,0,ROUND($R8561*$S$3*$C$3/$A8557,2))</f>
        <v>77.849999999999994</v>
      </c>
      <c r="AH8557" s="1147">
        <f>$AG8557*$A8557</f>
        <v>77.849999999999994</v>
      </c>
      <c r="AI8557" s="1148">
        <f>$E8557-$AG8557</f>
        <v>0</v>
      </c>
      <c r="AJ8557" s="1148">
        <f>$A8557*$AI8557</f>
        <v>0</v>
      </c>
      <c r="AK8557" s="1149">
        <f>ROUND(($AG8557+$AI8557)*$A8557,2)</f>
        <v>77.849999999999994</v>
      </c>
      <c r="AM8557" s="527">
        <f>ROUND(R8561,2)</f>
        <v>68.97</v>
      </c>
      <c r="AN8557" s="528">
        <f>ROUND(T8561,2)</f>
        <v>0</v>
      </c>
      <c r="AO8557" s="529">
        <f>ROUND(AM8557+AN8557,2)*A8557</f>
        <v>68.97</v>
      </c>
      <c r="AR8557" s="747">
        <v>1</v>
      </c>
      <c r="AS8557" s="1146">
        <v>84.71</v>
      </c>
    </row>
    <row r="8558" spans="1:45" s="520" customFormat="1" ht="13.2">
      <c r="A8558" s="748"/>
      <c r="B8558"/>
      <c r="C8558" s="748"/>
      <c r="D8558" s="749" t="s">
        <v>2068</v>
      </c>
      <c r="F8558" s="753"/>
      <c r="G8558" s="3"/>
      <c r="H8558" s="753"/>
      <c r="I8558" s="754"/>
      <c r="J8558" s="753"/>
      <c r="K8558" s="753" t="s">
        <v>144</v>
      </c>
      <c r="L8558" s="753"/>
      <c r="M8558" s="753"/>
      <c r="N8558" s="753"/>
      <c r="O8558" s="753"/>
      <c r="P8558" s="753"/>
      <c r="Q8558" s="51"/>
      <c r="R8558" s="530"/>
      <c r="S8558" s="757"/>
      <c r="T8558" s="753"/>
      <c r="AR8558" s="748"/>
      <c r="AS8558" s="753"/>
    </row>
    <row r="8559" spans="1:45" s="901" customFormat="1" ht="13.2">
      <c r="A8559" s="903">
        <v>1</v>
      </c>
      <c r="B8559" s="904" t="s">
        <v>863</v>
      </c>
      <c r="C8559" s="904"/>
      <c r="D8559" s="904" t="s">
        <v>2594</v>
      </c>
      <c r="E8559" s="904"/>
      <c r="F8559" s="904" t="s">
        <v>4128</v>
      </c>
      <c r="G8559" s="905" t="s">
        <v>2595</v>
      </c>
      <c r="H8559" s="902">
        <v>960</v>
      </c>
      <c r="I8559" s="904" t="s">
        <v>2596</v>
      </c>
      <c r="J8559" s="904"/>
      <c r="K8559" s="904"/>
      <c r="L8559" s="904"/>
      <c r="M8559" s="904"/>
      <c r="N8559" s="904"/>
      <c r="O8559" s="902">
        <v>4</v>
      </c>
      <c r="P8559" s="906">
        <v>38274</v>
      </c>
      <c r="Q8559" s="1415">
        <f>79*0.873</f>
        <v>68.966999999999999</v>
      </c>
      <c r="R8559" s="908">
        <f>$A8559*Q8559</f>
        <v>68.966999999999999</v>
      </c>
      <c r="S8559" s="907"/>
      <c r="T8559" s="909">
        <f>$A8559*S8559*$T$1</f>
        <v>0</v>
      </c>
      <c r="AR8559" s="903">
        <v>1</v>
      </c>
      <c r="AS8559" s="904" t="s">
        <v>3507</v>
      </c>
    </row>
    <row r="8560" spans="1:45" s="520" customFormat="1" ht="12">
      <c r="A8560" s="758"/>
      <c r="B8560" s="758"/>
      <c r="C8560" s="758"/>
      <c r="D8560" s="758"/>
      <c r="E8560" s="758"/>
      <c r="F8560" s="753"/>
      <c r="G8560" s="758"/>
      <c r="H8560" s="758"/>
      <c r="I8560" s="519"/>
      <c r="J8560" s="758"/>
      <c r="K8560" s="758"/>
      <c r="L8560" s="758"/>
      <c r="M8560" s="758"/>
      <c r="N8560" s="758"/>
      <c r="O8560" s="758"/>
      <c r="P8560" s="758"/>
      <c r="Q8560" s="519"/>
      <c r="R8560" s="759">
        <f>$A8560*Q8560</f>
        <v>0</v>
      </c>
      <c r="S8560" s="519"/>
      <c r="T8560" s="760">
        <f>$A8560*S8560*$T$1</f>
        <v>0</v>
      </c>
      <c r="AR8560" s="758"/>
      <c r="AS8560" s="753"/>
    </row>
    <row r="8561" spans="1:45" s="520" customFormat="1" ht="12.6" thickBot="1">
      <c r="A8561" s="761" t="s">
        <v>145</v>
      </c>
      <c r="B8561" s="762">
        <f>(R8560+T8560)</f>
        <v>0</v>
      </c>
      <c r="C8561" s="763"/>
      <c r="D8561" s="763"/>
      <c r="E8561" s="763"/>
      <c r="F8561" s="764"/>
      <c r="G8561" s="763" t="s">
        <v>146</v>
      </c>
      <c r="H8561" s="763"/>
      <c r="I8561" s="765"/>
      <c r="J8561" s="763"/>
      <c r="K8561" s="763" t="s">
        <v>5</v>
      </c>
      <c r="L8561" s="766" t="s">
        <v>143</v>
      </c>
      <c r="M8561" s="766"/>
      <c r="N8561" s="766"/>
      <c r="O8561" s="766"/>
      <c r="P8561" s="766"/>
      <c r="Q8561" s="767"/>
      <c r="R8561" s="768">
        <f>SUM(R8558:R8560)</f>
        <v>68.966999999999999</v>
      </c>
      <c r="S8561" s="763"/>
      <c r="T8561" s="768">
        <f>SUM(T8558:T8560)</f>
        <v>0</v>
      </c>
      <c r="U8561" s="531"/>
      <c r="V8561" s="531"/>
      <c r="W8561" s="531"/>
      <c r="X8561" s="531"/>
      <c r="Y8561" s="531"/>
      <c r="Z8561" s="531"/>
      <c r="AA8561" s="531"/>
      <c r="AB8561" s="531"/>
      <c r="AC8561" s="531"/>
      <c r="AD8561" s="531"/>
      <c r="AE8561" s="531"/>
      <c r="AF8561" s="531"/>
      <c r="AG8561" s="531"/>
      <c r="AH8561" s="531"/>
      <c r="AI8561" s="531"/>
      <c r="AJ8561" s="531"/>
      <c r="AK8561" s="531"/>
      <c r="AL8561" s="531"/>
      <c r="AM8561" s="531"/>
      <c r="AN8561" s="531"/>
      <c r="AO8561" s="531"/>
      <c r="AR8561" s="761" t="s">
        <v>145</v>
      </c>
      <c r="AS8561" s="764"/>
    </row>
    <row r="8562" spans="1:45" s="520" customFormat="1" ht="12" thickTop="1">
      <c r="A8562" s="48" t="s">
        <v>148</v>
      </c>
      <c r="D8562" s="13"/>
      <c r="E8562" s="42"/>
      <c r="O8562" s="771"/>
      <c r="AR8562" s="48" t="s">
        <v>148</v>
      </c>
    </row>
    <row r="8563" spans="1:45" s="520" customFormat="1" ht="13.2">
      <c r="B8563" s="3"/>
      <c r="O8563" s="771"/>
    </row>
    <row r="8564" spans="1:45" s="520" customFormat="1" ht="12">
      <c r="B8564" s="772">
        <f ca="1">$F8564/$C$2-($R8564*$S$2+$T8564*$T$2)</f>
        <v>-801.93521328800489</v>
      </c>
      <c r="D8564" s="773" t="s">
        <v>1065</v>
      </c>
      <c r="E8564" s="774"/>
      <c r="F8564" s="775">
        <f ca="1">SUMIF($L8356:$L8562,"ITEM",F8356:F8562)</f>
        <v>17553.82</v>
      </c>
      <c r="G8564" s="758"/>
      <c r="H8564" s="758"/>
      <c r="I8564" s="519"/>
      <c r="J8564" s="758"/>
      <c r="K8564" s="758"/>
      <c r="L8564" s="755" t="s">
        <v>157</v>
      </c>
      <c r="M8564" s="755"/>
      <c r="N8564" s="755"/>
      <c r="O8564" s="755"/>
      <c r="P8564" s="755"/>
      <c r="R8564" s="775">
        <f ca="1">SUMIF($L8356:$L8562,"ITEM",R8356:R8562)</f>
        <v>10507.997500000003</v>
      </c>
      <c r="S8564" s="776"/>
      <c r="T8564" s="775">
        <f ca="1">SUMIF($L8356:$L8562,"ITEM",T8356:T8562)</f>
        <v>160.19999999999999</v>
      </c>
      <c r="AS8564" s="775">
        <v>18484.979999999996</v>
      </c>
    </row>
    <row r="8565" spans="1:45" s="520" customFormat="1" ht="13.2">
      <c r="A8565" s="51"/>
      <c r="B8565" s="49" t="s">
        <v>1064</v>
      </c>
      <c r="C8565" s="51"/>
      <c r="D8565" s="3"/>
      <c r="F8565" s="777" t="s">
        <v>158</v>
      </c>
      <c r="G8565" s="758"/>
      <c r="H8565" s="758"/>
      <c r="I8565" s="519"/>
      <c r="J8565" s="758"/>
      <c r="K8565" s="758"/>
      <c r="L8565" s="758"/>
      <c r="M8565" s="758"/>
      <c r="N8565" s="758"/>
      <c r="O8565" s="758"/>
      <c r="P8565" s="758"/>
      <c r="Q8565" s="778"/>
      <c r="R8565" s="777" t="s">
        <v>159</v>
      </c>
      <c r="S8565" s="38"/>
      <c r="T8565" s="777" t="s">
        <v>160</v>
      </c>
      <c r="AR8565" s="51"/>
      <c r="AS8565" s="777" t="s">
        <v>158</v>
      </c>
    </row>
    <row r="8566" spans="1:45" s="520" customFormat="1" ht="13.2">
      <c r="A8566" s="758"/>
      <c r="B8566" s="3"/>
      <c r="C8566" s="758"/>
      <c r="D8566" s="3"/>
      <c r="E8566" s="3"/>
      <c r="G8566" s="3"/>
      <c r="H8566" s="3"/>
      <c r="I8566" s="3"/>
      <c r="J8566" s="3"/>
      <c r="K8566" s="3"/>
      <c r="L8566" s="3"/>
      <c r="M8566" s="3"/>
      <c r="N8566" s="3"/>
      <c r="O8566" s="107"/>
      <c r="P8566" s="3"/>
      <c r="Q8566" s="3"/>
      <c r="R8566" s="3"/>
      <c r="S8566" s="3"/>
      <c r="T8566" s="3"/>
      <c r="AR8566" s="758"/>
    </row>
    <row r="8567" spans="1:45" s="520" customFormat="1" ht="12" thickBot="1">
      <c r="A8567" s="531"/>
      <c r="B8567" s="763"/>
      <c r="C8567" s="763"/>
      <c r="D8567" s="531"/>
      <c r="E8567" s="39"/>
      <c r="F8567" s="779"/>
      <c r="G8567" s="763"/>
      <c r="H8567" s="763"/>
      <c r="I8567" s="765"/>
      <c r="J8567" s="763"/>
      <c r="K8567" s="763"/>
      <c r="L8567" s="766"/>
      <c r="M8567" s="766"/>
      <c r="N8567" s="766"/>
      <c r="O8567" s="766"/>
      <c r="P8567" s="766"/>
      <c r="Q8567" s="767"/>
      <c r="R8567" s="779"/>
      <c r="S8567" s="780"/>
      <c r="T8567" s="779"/>
      <c r="U8567" s="531"/>
      <c r="V8567" s="531"/>
      <c r="W8567" s="531"/>
      <c r="X8567" s="531"/>
      <c r="Y8567" s="531"/>
      <c r="Z8567" s="531"/>
      <c r="AA8567" s="531"/>
      <c r="AB8567" s="531"/>
      <c r="AC8567" s="531"/>
      <c r="AD8567" s="531"/>
      <c r="AE8567" s="531"/>
      <c r="AF8567" s="531"/>
      <c r="AG8567" s="531"/>
      <c r="AH8567" s="531"/>
      <c r="AI8567" s="531"/>
      <c r="AJ8567" s="531"/>
      <c r="AK8567" s="531"/>
      <c r="AR8567" s="531"/>
      <c r="AS8567" s="779"/>
    </row>
    <row r="8568" spans="1:45" s="520" customFormat="1" thickTop="1">
      <c r="A8568" s="51"/>
      <c r="B8568" s="51"/>
      <c r="C8568" s="3"/>
      <c r="D8568" s="3"/>
      <c r="E8568" s="51"/>
      <c r="F8568" s="51"/>
      <c r="G8568" s="51"/>
      <c r="H8568" s="51"/>
      <c r="I8568" s="51"/>
      <c r="J8568" s="51"/>
      <c r="K8568" s="51" t="s">
        <v>134</v>
      </c>
      <c r="L8568" s="51"/>
      <c r="M8568" s="51"/>
      <c r="N8568" s="51"/>
      <c r="O8568" s="52"/>
      <c r="P8568" s="51"/>
      <c r="Q8568" s="51"/>
      <c r="R8568" s="51"/>
      <c r="S8568" s="51"/>
      <c r="T8568" s="51"/>
      <c r="AR8568" s="51"/>
      <c r="AS8568" s="51"/>
    </row>
    <row r="8569" spans="1:45" s="520" customFormat="1" ht="12">
      <c r="A8569" s="51"/>
      <c r="B8569" s="51"/>
      <c r="C8569" s="51" t="s">
        <v>135</v>
      </c>
      <c r="D8569" s="37"/>
      <c r="E8569" s="51"/>
      <c r="F8569" s="51"/>
      <c r="G8569" s="51"/>
      <c r="H8569" s="51"/>
      <c r="I8569" s="51"/>
      <c r="J8569" s="51"/>
      <c r="K8569" s="51"/>
      <c r="L8569" s="51"/>
      <c r="M8569" s="51"/>
      <c r="N8569" s="51"/>
      <c r="O8569" s="52"/>
      <c r="P8569" s="51"/>
      <c r="Q8569" s="51"/>
      <c r="R8569" s="51"/>
      <c r="S8569" s="51"/>
      <c r="T8569" s="51"/>
      <c r="AR8569" s="51"/>
      <c r="AS8569" s="51"/>
    </row>
    <row r="8570" spans="1:45" s="520" customFormat="1" ht="12">
      <c r="A8570" s="51"/>
      <c r="B8570" s="51"/>
      <c r="C8570" s="51"/>
      <c r="D8570" s="37" t="s">
        <v>2076</v>
      </c>
      <c r="E8570" s="51"/>
      <c r="F8570" s="51"/>
      <c r="G8570" s="51"/>
      <c r="H8570" s="51"/>
      <c r="I8570" s="51"/>
      <c r="J8570" s="51"/>
      <c r="K8570" s="51"/>
      <c r="L8570" s="51"/>
      <c r="M8570" s="51"/>
      <c r="N8570" s="51"/>
      <c r="O8570" s="52"/>
      <c r="P8570" s="51"/>
      <c r="Q8570" s="51"/>
      <c r="R8570" s="51"/>
      <c r="S8570" s="38"/>
      <c r="T8570" s="38"/>
      <c r="AR8570" s="51"/>
      <c r="AS8570" s="51"/>
    </row>
    <row r="8571" spans="1:45" s="3" customFormat="1" thickBot="1">
      <c r="A8571" s="531"/>
      <c r="O8571" s="107"/>
      <c r="AR8571" s="531"/>
    </row>
    <row r="8572" spans="1:45" s="520" customFormat="1" thickTop="1">
      <c r="A8572" s="51"/>
      <c r="B8572" s="51"/>
      <c r="C8572" s="3"/>
      <c r="D8572" s="3"/>
      <c r="E8572" s="51"/>
      <c r="F8572" s="51"/>
      <c r="G8572" s="51"/>
      <c r="H8572" s="51"/>
      <c r="I8572" s="51"/>
      <c r="J8572" s="51"/>
      <c r="K8572" s="51" t="s">
        <v>134</v>
      </c>
      <c r="L8572" s="51"/>
      <c r="M8572" s="51"/>
      <c r="N8572" s="51"/>
      <c r="O8572" s="52"/>
      <c r="P8572" s="51"/>
      <c r="Q8572" s="51"/>
      <c r="R8572" s="51"/>
      <c r="S8572" s="51"/>
      <c r="T8572" s="51"/>
      <c r="AR8572" s="51"/>
      <c r="AS8572" s="51"/>
    </row>
    <row r="8573" spans="1:45" s="520" customFormat="1" ht="12">
      <c r="A8573" s="51"/>
      <c r="B8573" s="51"/>
      <c r="C8573" s="51" t="s">
        <v>135</v>
      </c>
      <c r="D8573" s="37"/>
      <c r="E8573" s="51"/>
      <c r="F8573" s="51"/>
      <c r="G8573" s="51"/>
      <c r="H8573" s="51"/>
      <c r="I8573" s="51"/>
      <c r="J8573" s="51"/>
      <c r="K8573" s="51"/>
      <c r="L8573" s="51"/>
      <c r="M8573" s="51"/>
      <c r="N8573" s="51"/>
      <c r="O8573" s="52"/>
      <c r="P8573" s="51"/>
      <c r="Q8573" s="51"/>
      <c r="R8573" s="51"/>
      <c r="S8573" s="51"/>
      <c r="T8573" s="51"/>
      <c r="AR8573" s="51"/>
      <c r="AS8573" s="51"/>
    </row>
    <row r="8574" spans="1:45" s="520" customFormat="1" ht="39.9" customHeight="1">
      <c r="A8574" s="51"/>
      <c r="B8574" s="51"/>
      <c r="C8574" s="51"/>
      <c r="D8574" s="1453" t="s">
        <v>2335</v>
      </c>
      <c r="E8574" s="1452"/>
      <c r="F8574" s="1452"/>
      <c r="G8574" s="1452"/>
      <c r="H8574" s="1452"/>
      <c r="I8574" s="1452"/>
      <c r="J8574" s="1452"/>
      <c r="K8574" s="1452"/>
      <c r="L8574" s="1452"/>
      <c r="M8574" s="1452"/>
      <c r="N8574" s="1452"/>
      <c r="O8574" s="1452"/>
      <c r="P8574" s="1452"/>
      <c r="Q8574" s="1452"/>
      <c r="R8574" s="1452"/>
      <c r="S8574" s="1452"/>
      <c r="T8574" s="1452"/>
      <c r="AR8574" s="51"/>
    </row>
    <row r="8575" spans="1:45" s="3" customFormat="1" thickBot="1">
      <c r="A8575" s="531"/>
      <c r="O8575" s="107"/>
      <c r="AR8575" s="531"/>
    </row>
    <row r="8576" spans="1:45" s="520" customFormat="1" ht="12" thickTop="1">
      <c r="A8576" s="51"/>
      <c r="B8576" s="41"/>
      <c r="C8576" s="51"/>
      <c r="E8576" s="42" t="s">
        <v>138</v>
      </c>
      <c r="F8576" s="42" t="s">
        <v>139</v>
      </c>
      <c r="G8576" s="51"/>
      <c r="H8576" s="51"/>
      <c r="I8576" s="51"/>
      <c r="J8576" s="51"/>
      <c r="K8576" s="51" t="s">
        <v>140</v>
      </c>
      <c r="L8576" s="51"/>
      <c r="M8576" s="51"/>
      <c r="N8576" s="51"/>
      <c r="O8576" s="52"/>
      <c r="P8576" s="51"/>
      <c r="Q8576" s="51"/>
      <c r="R8576" s="51"/>
      <c r="S8576" s="51"/>
      <c r="T8576" s="41"/>
      <c r="AG8576" s="521" t="s">
        <v>268</v>
      </c>
      <c r="AH8576" s="521" t="s">
        <v>269</v>
      </c>
      <c r="AI8576" s="521" t="s">
        <v>270</v>
      </c>
      <c r="AJ8576" s="521" t="s">
        <v>271</v>
      </c>
      <c r="AK8576" s="521" t="s">
        <v>272</v>
      </c>
      <c r="AM8576" s="745" t="s">
        <v>281</v>
      </c>
      <c r="AN8576" s="746" t="s">
        <v>282</v>
      </c>
      <c r="AO8576" s="522" t="s">
        <v>278</v>
      </c>
      <c r="AR8576" s="51"/>
      <c r="AS8576" s="42" t="s">
        <v>139</v>
      </c>
    </row>
    <row r="8577" spans="1:45" s="520" customFormat="1" ht="12" customHeight="1">
      <c r="A8577" s="747">
        <v>12</v>
      </c>
      <c r="B8577" s="523" t="s">
        <v>141</v>
      </c>
      <c r="C8577" s="748"/>
      <c r="D8577" s="749" t="s">
        <v>2336</v>
      </c>
      <c r="E8577" s="750">
        <f ca="1">IF(AND($A8577=0,$A$1="DIF"),0, ROUND(ROUND(($R8582*$S$2+($T8582*$T$2))/A8577,2)*$C$2,2))</f>
        <v>49.52</v>
      </c>
      <c r="F8577" s="751">
        <f ca="1">ROUND($A8577*$E8577,2)</f>
        <v>594.24</v>
      </c>
      <c r="G8577" s="752" t="s">
        <v>142</v>
      </c>
      <c r="H8577" s="753"/>
      <c r="I8577" s="754"/>
      <c r="J8577" s="753"/>
      <c r="K8577" s="753" t="s">
        <v>3</v>
      </c>
      <c r="L8577" s="755" t="s">
        <v>143</v>
      </c>
      <c r="M8577" s="755"/>
      <c r="N8577" s="755"/>
      <c r="O8577" s="755"/>
      <c r="P8577" s="755"/>
      <c r="Q8577" s="51"/>
      <c r="T8577" s="756" t="str">
        <f ca="1">IF(AND($R8582=0,$T8582=0),"0.00","mu :" &amp; ROUND($F8577/$C$2/($R8582+$T8582*$D$9),2))</f>
        <v>mu :1.23</v>
      </c>
      <c r="W8577" s="524"/>
      <c r="AG8577" s="481">
        <f ca="1">IF($E8577=0,0,ROUND($R8582*$S$2*$C$2/$A8577,2))</f>
        <v>17.73</v>
      </c>
      <c r="AH8577" s="481">
        <f ca="1">$AG8577*$A8577</f>
        <v>212.76</v>
      </c>
      <c r="AI8577" s="525">
        <f ca="1">$E8577-$AG8577</f>
        <v>31.790000000000003</v>
      </c>
      <c r="AJ8577" s="525">
        <f ca="1">$A8577*$AI8577</f>
        <v>381.48</v>
      </c>
      <c r="AK8577" s="526">
        <f ca="1">ROUND(($AG8577+$AI8577)*$A8577,2)</f>
        <v>594.24</v>
      </c>
      <c r="AM8577" s="527">
        <f ca="1">ROUND(R8582,2)</f>
        <v>172.8</v>
      </c>
      <c r="AN8577" s="528">
        <f ca="1">ROUND(T8582,2)</f>
        <v>11.28</v>
      </c>
      <c r="AO8577" s="529">
        <f ca="1">ROUND(AM8577+AN8577,2)*A8577</f>
        <v>2208.96</v>
      </c>
      <c r="AR8577" s="747">
        <v>12</v>
      </c>
      <c r="AS8577" s="751">
        <v>634.79999999999995</v>
      </c>
    </row>
    <row r="8578" spans="1:45" s="520" customFormat="1" ht="13.2">
      <c r="A8578" s="748"/>
      <c r="B8578"/>
      <c r="C8578" s="748"/>
      <c r="D8578" s="749" t="s">
        <v>2061</v>
      </c>
      <c r="F8578" s="753"/>
      <c r="G8578" s="3"/>
      <c r="H8578" s="753"/>
      <c r="I8578" s="754"/>
      <c r="J8578" s="753"/>
      <c r="K8578" s="753" t="s">
        <v>144</v>
      </c>
      <c r="L8578" s="753"/>
      <c r="M8578" s="753"/>
      <c r="N8578" s="753"/>
      <c r="O8578" s="753"/>
      <c r="P8578" s="753"/>
      <c r="Q8578" s="51"/>
      <c r="R8578" s="530"/>
      <c r="S8578" s="757"/>
      <c r="T8578" s="753"/>
      <c r="AR8578" s="748"/>
      <c r="AS8578" s="753"/>
    </row>
    <row r="8579" spans="1:45" s="886" customFormat="1" ht="13.2">
      <c r="A8579"/>
      <c r="B8579" s="910"/>
      <c r="C8579" s="910" t="s">
        <v>2597</v>
      </c>
      <c r="D8579" s="910" t="str">
        <f ca="1">CELL("Address",Elec_Rates!D$1029)</f>
        <v>[E25_0062_Quintano_Foods_Elec_ELV_As_Awarded.xlsx]Elec_Rates!$D$1029</v>
      </c>
      <c r="E8579" s="911"/>
      <c r="F8579" s="911"/>
      <c r="G8579" s="912" t="s">
        <v>2598</v>
      </c>
      <c r="H8579" s="912"/>
      <c r="I8579" s="912"/>
      <c r="J8579" s="912"/>
      <c r="K8579" s="913"/>
      <c r="L8579" s="911"/>
      <c r="M8579" s="911"/>
      <c r="N8579" s="911"/>
      <c r="O8579" s="914"/>
      <c r="P8579" s="911"/>
      <c r="Q8579" s="915"/>
      <c r="R8579" s="916"/>
      <c r="S8579" s="915"/>
      <c r="T8579" s="917"/>
      <c r="U8579" s="918"/>
      <c r="AR8579"/>
      <c r="AS8579" s="911"/>
    </row>
    <row r="8580" spans="1:45" s="886" customFormat="1" ht="11.4">
      <c r="A8580" s="919">
        <v>12</v>
      </c>
      <c r="B8580" s="920">
        <v>1</v>
      </c>
      <c r="C8580" s="920">
        <f>$A8580*$B8580</f>
        <v>12</v>
      </c>
      <c r="D8580" s="921" t="str">
        <f>Elec_Rates!$D$1029</f>
        <v>092# LSZH Conduit points for Fire alarm devices</v>
      </c>
      <c r="E8580" s="921"/>
      <c r="F8580" s="921" t="s">
        <v>2599</v>
      </c>
      <c r="G8580" s="922" t="s">
        <v>2600</v>
      </c>
      <c r="H8580" s="922"/>
      <c r="I8580" s="922"/>
      <c r="J8580" s="922"/>
      <c r="K8580" s="923"/>
      <c r="L8580" s="918"/>
      <c r="M8580" s="918"/>
      <c r="N8580" s="918"/>
      <c r="O8580" s="924"/>
      <c r="P8580" s="921"/>
      <c r="Q8580" s="925">
        <f ca="1">$B8580*Elec_Rates!$R$1029</f>
        <v>14.4</v>
      </c>
      <c r="R8580" s="916">
        <f ca="1">$A8580*Q8580</f>
        <v>172.8</v>
      </c>
      <c r="S8580" s="925">
        <f ca="1">$B8580*Elec_Rates!$T$1029</f>
        <v>0.94</v>
      </c>
      <c r="T8580" s="917">
        <f ca="1">$A8580*S8580</f>
        <v>11.28</v>
      </c>
      <c r="U8580" s="926"/>
      <c r="AR8580" s="919">
        <v>12</v>
      </c>
      <c r="AS8580" s="921" t="s">
        <v>2599</v>
      </c>
    </row>
    <row r="8581" spans="1:45" s="520" customFormat="1" ht="12">
      <c r="A8581" s="758"/>
      <c r="B8581" s="758"/>
      <c r="C8581" s="758"/>
      <c r="D8581" s="758"/>
      <c r="E8581" s="758"/>
      <c r="F8581" s="753"/>
      <c r="G8581" s="758"/>
      <c r="H8581" s="758"/>
      <c r="I8581" s="519"/>
      <c r="J8581" s="758"/>
      <c r="K8581" s="758"/>
      <c r="L8581" s="758"/>
      <c r="M8581" s="758"/>
      <c r="N8581" s="758"/>
      <c r="O8581" s="758"/>
      <c r="P8581" s="758"/>
      <c r="Q8581" s="519"/>
      <c r="R8581" s="759">
        <f>$A8581*Q8581</f>
        <v>0</v>
      </c>
      <c r="S8581" s="519"/>
      <c r="T8581" s="760">
        <f>$A8581*S8581*$T$1</f>
        <v>0</v>
      </c>
      <c r="AR8581" s="758"/>
      <c r="AS8581" s="753"/>
    </row>
    <row r="8582" spans="1:45" s="520" customFormat="1" ht="12.6" thickBot="1">
      <c r="A8582" s="761" t="s">
        <v>145</v>
      </c>
      <c r="B8582" s="762">
        <f>(R8581+T8581)</f>
        <v>0</v>
      </c>
      <c r="C8582" s="763"/>
      <c r="D8582" s="763"/>
      <c r="E8582" s="763"/>
      <c r="F8582" s="764"/>
      <c r="G8582" s="763" t="s">
        <v>146</v>
      </c>
      <c r="H8582" s="763"/>
      <c r="I8582" s="765"/>
      <c r="J8582" s="763"/>
      <c r="K8582" s="763" t="s">
        <v>3</v>
      </c>
      <c r="L8582" s="766" t="s">
        <v>143</v>
      </c>
      <c r="M8582" s="766"/>
      <c r="N8582" s="766"/>
      <c r="O8582" s="766"/>
      <c r="P8582" s="766"/>
      <c r="Q8582" s="767"/>
      <c r="R8582" s="768">
        <f ca="1">SUM(R8578:R8581)</f>
        <v>172.8</v>
      </c>
      <c r="S8582" s="763"/>
      <c r="T8582" s="768">
        <f ca="1">SUM(T8578:T8581)</f>
        <v>11.28</v>
      </c>
      <c r="U8582" s="531"/>
      <c r="V8582" s="531"/>
      <c r="W8582" s="531"/>
      <c r="X8582" s="531"/>
      <c r="Y8582" s="531"/>
      <c r="Z8582" s="531"/>
      <c r="AA8582" s="531"/>
      <c r="AB8582" s="531"/>
      <c r="AC8582" s="531"/>
      <c r="AD8582" s="531"/>
      <c r="AE8582" s="531"/>
      <c r="AF8582" s="531"/>
      <c r="AG8582" s="531"/>
      <c r="AH8582" s="531"/>
      <c r="AI8582" s="531"/>
      <c r="AJ8582" s="531"/>
      <c r="AK8582" s="531"/>
      <c r="AL8582" s="531"/>
      <c r="AM8582" s="531"/>
      <c r="AN8582" s="531"/>
      <c r="AO8582" s="531"/>
      <c r="AR8582" s="761" t="s">
        <v>145</v>
      </c>
      <c r="AS8582" s="764"/>
    </row>
    <row r="8583" spans="1:45" s="520" customFormat="1" ht="12" thickTop="1">
      <c r="A8583" s="51"/>
      <c r="B8583" s="41"/>
      <c r="C8583" s="51"/>
      <c r="E8583" s="42" t="s">
        <v>138</v>
      </c>
      <c r="F8583" s="42" t="s">
        <v>139</v>
      </c>
      <c r="G8583" s="51"/>
      <c r="H8583" s="51"/>
      <c r="I8583" s="51"/>
      <c r="J8583" s="51"/>
      <c r="K8583" s="51" t="s">
        <v>140</v>
      </c>
      <c r="L8583" s="51"/>
      <c r="M8583" s="51"/>
      <c r="N8583" s="51"/>
      <c r="O8583" s="52"/>
      <c r="P8583" s="51"/>
      <c r="Q8583" s="51"/>
      <c r="R8583" s="51"/>
      <c r="S8583" s="51"/>
      <c r="T8583" s="41"/>
      <c r="AG8583" s="521" t="s">
        <v>268</v>
      </c>
      <c r="AH8583" s="521" t="s">
        <v>269</v>
      </c>
      <c r="AI8583" s="521" t="s">
        <v>270</v>
      </c>
      <c r="AJ8583" s="521" t="s">
        <v>271</v>
      </c>
      <c r="AK8583" s="521" t="s">
        <v>272</v>
      </c>
      <c r="AM8583" s="745" t="s">
        <v>281</v>
      </c>
      <c r="AN8583" s="746" t="s">
        <v>282</v>
      </c>
      <c r="AO8583" s="522" t="s">
        <v>278</v>
      </c>
      <c r="AR8583" s="51"/>
      <c r="AS8583" s="42" t="s">
        <v>139</v>
      </c>
    </row>
    <row r="8584" spans="1:45" s="520" customFormat="1" ht="12" customHeight="1">
      <c r="A8584" s="747">
        <v>2</v>
      </c>
      <c r="B8584" s="523" t="s">
        <v>141</v>
      </c>
      <c r="C8584" s="748"/>
      <c r="D8584" s="749" t="s">
        <v>2337</v>
      </c>
      <c r="E8584" s="750">
        <f ca="1">IF(AND($A8584=0,$A$1="DIF"),0, ROUND(ROUND(($R8589*$S$2+($T8589*$T$2))/A8584,2)*$C$2,2))</f>
        <v>49.52</v>
      </c>
      <c r="F8584" s="751">
        <f ca="1">ROUND($A8584*$E8584,2)</f>
        <v>99.04</v>
      </c>
      <c r="G8584" s="752" t="s">
        <v>142</v>
      </c>
      <c r="H8584" s="753"/>
      <c r="I8584" s="754"/>
      <c r="J8584" s="753"/>
      <c r="K8584" s="753" t="s">
        <v>3</v>
      </c>
      <c r="L8584" s="755" t="s">
        <v>143</v>
      </c>
      <c r="M8584" s="755"/>
      <c r="N8584" s="755"/>
      <c r="O8584" s="755"/>
      <c r="P8584" s="755"/>
      <c r="Q8584" s="51"/>
      <c r="T8584" s="756" t="str">
        <f ca="1">IF(AND($R8589=0,$T8589=0),"0.00","mu :" &amp; ROUND($F8584/$C$2/($R8589+$T8589*$D$9),2))</f>
        <v>mu :1.23</v>
      </c>
      <c r="W8584" s="524"/>
      <c r="AG8584" s="481">
        <f ca="1">IF($E8584=0,0,ROUND($R8589*$S$2*$C$2/$A8584,2))</f>
        <v>17.73</v>
      </c>
      <c r="AH8584" s="481">
        <f ca="1">$AG8584*$A8584</f>
        <v>35.46</v>
      </c>
      <c r="AI8584" s="525">
        <f ca="1">$E8584-$AG8584</f>
        <v>31.790000000000003</v>
      </c>
      <c r="AJ8584" s="525">
        <f ca="1">$A8584*$AI8584</f>
        <v>63.580000000000005</v>
      </c>
      <c r="AK8584" s="526">
        <f ca="1">ROUND(($AG8584+$AI8584)*$A8584,2)</f>
        <v>99.04</v>
      </c>
      <c r="AM8584" s="527">
        <f ca="1">ROUND(R8589,2)</f>
        <v>28.8</v>
      </c>
      <c r="AN8584" s="528">
        <f ca="1">ROUND(T8589,2)</f>
        <v>1.88</v>
      </c>
      <c r="AO8584" s="529">
        <f ca="1">ROUND(AM8584+AN8584,2)*A8584</f>
        <v>61.36</v>
      </c>
      <c r="AR8584" s="747">
        <v>2</v>
      </c>
      <c r="AS8584" s="751">
        <v>105.8</v>
      </c>
    </row>
    <row r="8585" spans="1:45" s="520" customFormat="1" ht="13.2">
      <c r="A8585" s="748"/>
      <c r="B8585"/>
      <c r="C8585" s="748"/>
      <c r="D8585" s="749" t="s">
        <v>2062</v>
      </c>
      <c r="F8585" s="753"/>
      <c r="G8585" s="3"/>
      <c r="H8585" s="753"/>
      <c r="I8585" s="754"/>
      <c r="J8585" s="753"/>
      <c r="K8585" s="753" t="s">
        <v>144</v>
      </c>
      <c r="L8585" s="753"/>
      <c r="M8585" s="753"/>
      <c r="N8585" s="753"/>
      <c r="O8585" s="753"/>
      <c r="P8585" s="753"/>
      <c r="Q8585" s="51"/>
      <c r="R8585" s="530"/>
      <c r="S8585" s="757"/>
      <c r="T8585" s="753"/>
      <c r="AR8585" s="748"/>
      <c r="AS8585" s="753"/>
    </row>
    <row r="8586" spans="1:45" s="886" customFormat="1" ht="13.2">
      <c r="A8586"/>
      <c r="B8586" s="910"/>
      <c r="C8586" s="910" t="s">
        <v>2597</v>
      </c>
      <c r="D8586" s="910" t="str">
        <f ca="1">CELL("Address",Elec_Rates!D$1029)</f>
        <v>[E25_0062_Quintano_Foods_Elec_ELV_As_Awarded.xlsx]Elec_Rates!$D$1029</v>
      </c>
      <c r="E8586" s="911"/>
      <c r="F8586" s="911"/>
      <c r="G8586" s="912" t="s">
        <v>2598</v>
      </c>
      <c r="H8586" s="912"/>
      <c r="I8586" s="912"/>
      <c r="J8586" s="912"/>
      <c r="K8586" s="913"/>
      <c r="L8586" s="911"/>
      <c r="M8586" s="911"/>
      <c r="N8586" s="911"/>
      <c r="O8586" s="914"/>
      <c r="P8586" s="911"/>
      <c r="Q8586" s="915"/>
      <c r="R8586" s="916"/>
      <c r="S8586" s="915"/>
      <c r="T8586" s="917"/>
      <c r="U8586" s="918"/>
      <c r="AR8586"/>
      <c r="AS8586" s="911"/>
    </row>
    <row r="8587" spans="1:45" s="886" customFormat="1" ht="11.4">
      <c r="A8587" s="919">
        <v>2</v>
      </c>
      <c r="B8587" s="920">
        <v>1</v>
      </c>
      <c r="C8587" s="920">
        <f>$A8587*$B8587</f>
        <v>2</v>
      </c>
      <c r="D8587" s="921" t="str">
        <f>Elec_Rates!$D$1029</f>
        <v>092# LSZH Conduit points for Fire alarm devices</v>
      </c>
      <c r="E8587" s="921"/>
      <c r="F8587" s="921" t="s">
        <v>2599</v>
      </c>
      <c r="G8587" s="922" t="s">
        <v>2600</v>
      </c>
      <c r="H8587" s="922"/>
      <c r="I8587" s="922"/>
      <c r="J8587" s="922"/>
      <c r="K8587" s="923"/>
      <c r="L8587" s="918"/>
      <c r="M8587" s="918"/>
      <c r="N8587" s="918"/>
      <c r="O8587" s="924"/>
      <c r="P8587" s="921"/>
      <c r="Q8587" s="925">
        <f ca="1">$B8587*Elec_Rates!$R$1029</f>
        <v>14.4</v>
      </c>
      <c r="R8587" s="916">
        <f ca="1">$A8587*Q8587</f>
        <v>28.8</v>
      </c>
      <c r="S8587" s="925">
        <f ca="1">$B8587*Elec_Rates!$T$1029</f>
        <v>0.94</v>
      </c>
      <c r="T8587" s="917">
        <f ca="1">$A8587*S8587</f>
        <v>1.88</v>
      </c>
      <c r="U8587" s="926"/>
      <c r="AR8587" s="919">
        <v>2</v>
      </c>
      <c r="AS8587" s="921" t="s">
        <v>2599</v>
      </c>
    </row>
    <row r="8588" spans="1:45" s="520" customFormat="1" ht="12">
      <c r="A8588" s="758"/>
      <c r="B8588" s="758"/>
      <c r="C8588" s="758"/>
      <c r="D8588" s="758"/>
      <c r="E8588" s="758"/>
      <c r="F8588" s="753"/>
      <c r="G8588" s="758"/>
      <c r="H8588" s="758"/>
      <c r="I8588" s="519"/>
      <c r="J8588" s="758"/>
      <c r="K8588" s="758"/>
      <c r="L8588" s="758"/>
      <c r="M8588" s="758"/>
      <c r="N8588" s="758"/>
      <c r="O8588" s="758"/>
      <c r="P8588" s="758"/>
      <c r="Q8588" s="519"/>
      <c r="R8588" s="759">
        <f>$A8588*Q8588</f>
        <v>0</v>
      </c>
      <c r="S8588" s="519"/>
      <c r="T8588" s="760">
        <f>$A8588*S8588*$T$1</f>
        <v>0</v>
      </c>
      <c r="AR8588" s="758"/>
      <c r="AS8588" s="753"/>
    </row>
    <row r="8589" spans="1:45" s="520" customFormat="1" ht="12.6" thickBot="1">
      <c r="A8589" s="761" t="s">
        <v>145</v>
      </c>
      <c r="B8589" s="762">
        <f>(R8588+T8588)</f>
        <v>0</v>
      </c>
      <c r="C8589" s="763"/>
      <c r="D8589" s="763"/>
      <c r="E8589" s="763"/>
      <c r="F8589" s="764"/>
      <c r="G8589" s="763" t="s">
        <v>146</v>
      </c>
      <c r="H8589" s="763"/>
      <c r="I8589" s="765"/>
      <c r="J8589" s="763"/>
      <c r="K8589" s="763" t="s">
        <v>3</v>
      </c>
      <c r="L8589" s="766" t="s">
        <v>143</v>
      </c>
      <c r="M8589" s="766"/>
      <c r="N8589" s="766"/>
      <c r="O8589" s="766"/>
      <c r="P8589" s="766"/>
      <c r="Q8589" s="767"/>
      <c r="R8589" s="768">
        <f ca="1">SUM(R8585:R8588)</f>
        <v>28.8</v>
      </c>
      <c r="S8589" s="763"/>
      <c r="T8589" s="768">
        <f ca="1">SUM(T8585:T8588)</f>
        <v>1.88</v>
      </c>
      <c r="U8589" s="531"/>
      <c r="V8589" s="531"/>
      <c r="W8589" s="531"/>
      <c r="X8589" s="531"/>
      <c r="Y8589" s="531"/>
      <c r="Z8589" s="531"/>
      <c r="AA8589" s="531"/>
      <c r="AB8589" s="531"/>
      <c r="AC8589" s="531"/>
      <c r="AD8589" s="531"/>
      <c r="AE8589" s="531"/>
      <c r="AF8589" s="531"/>
      <c r="AG8589" s="531"/>
      <c r="AH8589" s="531"/>
      <c r="AI8589" s="531"/>
      <c r="AJ8589" s="531"/>
      <c r="AK8589" s="531"/>
      <c r="AL8589" s="531"/>
      <c r="AM8589" s="531"/>
      <c r="AN8589" s="531"/>
      <c r="AO8589" s="531"/>
      <c r="AR8589" s="761" t="s">
        <v>145</v>
      </c>
      <c r="AS8589" s="764"/>
    </row>
    <row r="8590" spans="1:45" s="520" customFormat="1" ht="12" thickTop="1">
      <c r="A8590" s="51"/>
      <c r="B8590" s="41"/>
      <c r="C8590" s="51"/>
      <c r="E8590" s="42" t="s">
        <v>138</v>
      </c>
      <c r="F8590" s="42" t="s">
        <v>139</v>
      </c>
      <c r="G8590" s="51"/>
      <c r="H8590" s="51"/>
      <c r="I8590" s="51"/>
      <c r="J8590" s="51"/>
      <c r="K8590" s="51" t="s">
        <v>140</v>
      </c>
      <c r="L8590" s="51"/>
      <c r="M8590" s="51"/>
      <c r="N8590" s="51"/>
      <c r="O8590" s="52"/>
      <c r="P8590" s="51"/>
      <c r="Q8590" s="51"/>
      <c r="R8590" s="51"/>
      <c r="S8590" s="51"/>
      <c r="T8590" s="41"/>
      <c r="AG8590" s="521" t="s">
        <v>268</v>
      </c>
      <c r="AH8590" s="521" t="s">
        <v>269</v>
      </c>
      <c r="AI8590" s="521" t="s">
        <v>270</v>
      </c>
      <c r="AJ8590" s="521" t="s">
        <v>271</v>
      </c>
      <c r="AK8590" s="521" t="s">
        <v>272</v>
      </c>
      <c r="AM8590" s="745" t="s">
        <v>281</v>
      </c>
      <c r="AN8590" s="746" t="s">
        <v>282</v>
      </c>
      <c r="AO8590" s="522" t="s">
        <v>278</v>
      </c>
      <c r="AR8590" s="51"/>
      <c r="AS8590" s="42" t="s">
        <v>139</v>
      </c>
    </row>
    <row r="8591" spans="1:45" s="520" customFormat="1" ht="12" customHeight="1">
      <c r="A8591" s="747">
        <v>1</v>
      </c>
      <c r="B8591" s="523" t="s">
        <v>141</v>
      </c>
      <c r="C8591" s="748"/>
      <c r="D8591" s="749" t="s">
        <v>2338</v>
      </c>
      <c r="E8591" s="750">
        <f ca="1">IF(AND($A8591=0,$A$1="DIF"),0, ROUND(ROUND(($R8596*$S$2+($T8596*$T$2))/A8591,2)*$C$2,2))</f>
        <v>49.52</v>
      </c>
      <c r="F8591" s="751">
        <f ca="1">ROUND($A8591*$E8591,2)</f>
        <v>49.52</v>
      </c>
      <c r="G8591" s="752" t="s">
        <v>142</v>
      </c>
      <c r="H8591" s="753"/>
      <c r="I8591" s="754"/>
      <c r="J8591" s="753"/>
      <c r="K8591" s="753" t="s">
        <v>3</v>
      </c>
      <c r="L8591" s="755" t="s">
        <v>143</v>
      </c>
      <c r="M8591" s="755"/>
      <c r="N8591" s="755"/>
      <c r="O8591" s="755"/>
      <c r="P8591" s="755"/>
      <c r="Q8591" s="51"/>
      <c r="T8591" s="756" t="str">
        <f ca="1">IF(AND($R8596=0,$T8596=0),"0.00","mu :" &amp; ROUND($F8591/$C$2/($R8596+$T8596*$D$9),2))</f>
        <v>mu :1.23</v>
      </c>
      <c r="W8591" s="524"/>
      <c r="AG8591" s="481">
        <f ca="1">IF($E8591=0,0,ROUND($R8596*$S$2*$C$2/$A8591,2))</f>
        <v>17.73</v>
      </c>
      <c r="AH8591" s="481">
        <f ca="1">$AG8591*$A8591</f>
        <v>17.73</v>
      </c>
      <c r="AI8591" s="525">
        <f ca="1">$E8591-$AG8591</f>
        <v>31.790000000000003</v>
      </c>
      <c r="AJ8591" s="525">
        <f ca="1">$A8591*$AI8591</f>
        <v>31.790000000000003</v>
      </c>
      <c r="AK8591" s="526">
        <f ca="1">ROUND(($AG8591+$AI8591)*$A8591,2)</f>
        <v>49.52</v>
      </c>
      <c r="AM8591" s="527">
        <f ca="1">ROUND(R8596,2)</f>
        <v>14.4</v>
      </c>
      <c r="AN8591" s="528">
        <f ca="1">ROUND(T8596,2)</f>
        <v>0.94</v>
      </c>
      <c r="AO8591" s="529">
        <f ca="1">ROUND(AM8591+AN8591,2)*A8591</f>
        <v>15.34</v>
      </c>
      <c r="AR8591" s="747">
        <v>1</v>
      </c>
      <c r="AS8591" s="751">
        <v>52.9</v>
      </c>
    </row>
    <row r="8592" spans="1:45" s="520" customFormat="1" ht="13.2">
      <c r="A8592" s="748"/>
      <c r="B8592"/>
      <c r="C8592" s="748"/>
      <c r="D8592" s="749" t="s">
        <v>2078</v>
      </c>
      <c r="F8592" s="753"/>
      <c r="G8592" s="3"/>
      <c r="H8592" s="753"/>
      <c r="I8592" s="754"/>
      <c r="J8592" s="753"/>
      <c r="K8592" s="753" t="s">
        <v>144</v>
      </c>
      <c r="L8592" s="753"/>
      <c r="M8592" s="753"/>
      <c r="N8592" s="753"/>
      <c r="O8592" s="753"/>
      <c r="P8592" s="753"/>
      <c r="Q8592" s="51"/>
      <c r="R8592" s="530"/>
      <c r="S8592" s="757"/>
      <c r="T8592" s="753"/>
      <c r="AR8592" s="748"/>
      <c r="AS8592" s="753"/>
    </row>
    <row r="8593" spans="1:45" s="886" customFormat="1" ht="13.2">
      <c r="A8593"/>
      <c r="B8593" s="910"/>
      <c r="C8593" s="910" t="s">
        <v>2597</v>
      </c>
      <c r="D8593" s="910" t="str">
        <f ca="1">CELL("Address",Elec_Rates!D$1029)</f>
        <v>[E25_0062_Quintano_Foods_Elec_ELV_As_Awarded.xlsx]Elec_Rates!$D$1029</v>
      </c>
      <c r="E8593" s="911"/>
      <c r="F8593" s="911"/>
      <c r="G8593" s="912" t="s">
        <v>2598</v>
      </c>
      <c r="H8593" s="912"/>
      <c r="I8593" s="912"/>
      <c r="J8593" s="912"/>
      <c r="K8593" s="913"/>
      <c r="L8593" s="911"/>
      <c r="M8593" s="911"/>
      <c r="N8593" s="911"/>
      <c r="O8593" s="914"/>
      <c r="P8593" s="911"/>
      <c r="Q8593" s="915"/>
      <c r="R8593" s="916"/>
      <c r="S8593" s="915"/>
      <c r="T8593" s="917"/>
      <c r="U8593" s="918"/>
      <c r="AR8593"/>
      <c r="AS8593" s="911"/>
    </row>
    <row r="8594" spans="1:45" s="886" customFormat="1" ht="11.4">
      <c r="A8594" s="919">
        <v>1</v>
      </c>
      <c r="B8594" s="920">
        <v>1</v>
      </c>
      <c r="C8594" s="920">
        <f>$A8594*$B8594</f>
        <v>1</v>
      </c>
      <c r="D8594" s="921" t="str">
        <f>Elec_Rates!$D$1029</f>
        <v>092# LSZH Conduit points for Fire alarm devices</v>
      </c>
      <c r="E8594" s="921"/>
      <c r="F8594" s="921" t="s">
        <v>2599</v>
      </c>
      <c r="G8594" s="922" t="s">
        <v>2600</v>
      </c>
      <c r="H8594" s="922"/>
      <c r="I8594" s="922"/>
      <c r="J8594" s="922"/>
      <c r="K8594" s="923"/>
      <c r="L8594" s="918"/>
      <c r="M8594" s="918"/>
      <c r="N8594" s="918"/>
      <c r="O8594" s="924"/>
      <c r="P8594" s="921"/>
      <c r="Q8594" s="925">
        <f ca="1">$B8594*Elec_Rates!$R$1029</f>
        <v>14.4</v>
      </c>
      <c r="R8594" s="916">
        <f ca="1">$A8594*Q8594</f>
        <v>14.4</v>
      </c>
      <c r="S8594" s="925">
        <f ca="1">$B8594*Elec_Rates!$T$1029</f>
        <v>0.94</v>
      </c>
      <c r="T8594" s="917">
        <f ca="1">$A8594*S8594</f>
        <v>0.94</v>
      </c>
      <c r="U8594" s="926"/>
      <c r="AR8594" s="919">
        <v>1</v>
      </c>
      <c r="AS8594" s="921" t="s">
        <v>2599</v>
      </c>
    </row>
    <row r="8595" spans="1:45" s="520" customFormat="1" ht="12">
      <c r="A8595" s="758"/>
      <c r="B8595" s="758"/>
      <c r="C8595" s="758"/>
      <c r="D8595" s="758"/>
      <c r="E8595" s="758"/>
      <c r="F8595" s="753"/>
      <c r="G8595" s="758"/>
      <c r="H8595" s="758"/>
      <c r="I8595" s="519"/>
      <c r="J8595" s="758"/>
      <c r="K8595" s="758"/>
      <c r="L8595" s="758"/>
      <c r="M8595" s="758"/>
      <c r="N8595" s="758"/>
      <c r="O8595" s="758"/>
      <c r="P8595" s="758"/>
      <c r="Q8595" s="519"/>
      <c r="R8595" s="759">
        <f>$A8595*Q8595</f>
        <v>0</v>
      </c>
      <c r="S8595" s="519"/>
      <c r="T8595" s="760">
        <f>$A8595*S8595*$T$1</f>
        <v>0</v>
      </c>
      <c r="AR8595" s="758"/>
      <c r="AS8595" s="753"/>
    </row>
    <row r="8596" spans="1:45" s="520" customFormat="1" ht="12.6" thickBot="1">
      <c r="A8596" s="761" t="s">
        <v>145</v>
      </c>
      <c r="B8596" s="762">
        <f>(R8595+T8595)</f>
        <v>0</v>
      </c>
      <c r="C8596" s="763"/>
      <c r="D8596" s="763"/>
      <c r="E8596" s="763"/>
      <c r="F8596" s="764"/>
      <c r="G8596" s="763" t="s">
        <v>146</v>
      </c>
      <c r="H8596" s="763"/>
      <c r="I8596" s="765"/>
      <c r="J8596" s="763"/>
      <c r="K8596" s="763" t="s">
        <v>3</v>
      </c>
      <c r="L8596" s="766" t="s">
        <v>143</v>
      </c>
      <c r="M8596" s="766"/>
      <c r="N8596" s="766"/>
      <c r="O8596" s="766"/>
      <c r="P8596" s="766"/>
      <c r="Q8596" s="767"/>
      <c r="R8596" s="768">
        <f ca="1">SUM(R8592:R8595)</f>
        <v>14.4</v>
      </c>
      <c r="S8596" s="763"/>
      <c r="T8596" s="768">
        <f ca="1">SUM(T8592:T8595)</f>
        <v>0.94</v>
      </c>
      <c r="U8596" s="531"/>
      <c r="V8596" s="531"/>
      <c r="W8596" s="531"/>
      <c r="X8596" s="531"/>
      <c r="Y8596" s="531"/>
      <c r="Z8596" s="531"/>
      <c r="AA8596" s="531"/>
      <c r="AB8596" s="531"/>
      <c r="AC8596" s="531"/>
      <c r="AD8596" s="531"/>
      <c r="AE8596" s="531"/>
      <c r="AF8596" s="531"/>
      <c r="AG8596" s="531"/>
      <c r="AH8596" s="531"/>
      <c r="AI8596" s="531"/>
      <c r="AJ8596" s="531"/>
      <c r="AK8596" s="531"/>
      <c r="AL8596" s="531"/>
      <c r="AM8596" s="531"/>
      <c r="AN8596" s="531"/>
      <c r="AO8596" s="531"/>
      <c r="AR8596" s="761" t="s">
        <v>145</v>
      </c>
      <c r="AS8596" s="764"/>
    </row>
    <row r="8597" spans="1:45" s="520" customFormat="1" ht="12" thickTop="1">
      <c r="A8597" s="51"/>
      <c r="B8597" s="41"/>
      <c r="C8597" s="51"/>
      <c r="E8597" s="42" t="s">
        <v>138</v>
      </c>
      <c r="F8597" s="42" t="s">
        <v>139</v>
      </c>
      <c r="G8597" s="51"/>
      <c r="H8597" s="51"/>
      <c r="I8597" s="51"/>
      <c r="J8597" s="51"/>
      <c r="K8597" s="51" t="s">
        <v>140</v>
      </c>
      <c r="L8597" s="51"/>
      <c r="M8597" s="51"/>
      <c r="N8597" s="51"/>
      <c r="O8597" s="52"/>
      <c r="P8597" s="51"/>
      <c r="Q8597" s="51"/>
      <c r="R8597" s="51"/>
      <c r="S8597" s="51"/>
      <c r="T8597" s="41"/>
      <c r="AG8597" s="521" t="s">
        <v>268</v>
      </c>
      <c r="AH8597" s="521" t="s">
        <v>269</v>
      </c>
      <c r="AI8597" s="521" t="s">
        <v>270</v>
      </c>
      <c r="AJ8597" s="521" t="s">
        <v>271</v>
      </c>
      <c r="AK8597" s="521" t="s">
        <v>272</v>
      </c>
      <c r="AM8597" s="745" t="s">
        <v>281</v>
      </c>
      <c r="AN8597" s="746" t="s">
        <v>282</v>
      </c>
      <c r="AO8597" s="522" t="s">
        <v>278</v>
      </c>
      <c r="AR8597" s="51"/>
      <c r="AS8597" s="42" t="s">
        <v>139</v>
      </c>
    </row>
    <row r="8598" spans="1:45" s="520" customFormat="1" ht="12" customHeight="1">
      <c r="A8598" s="747">
        <v>4</v>
      </c>
      <c r="B8598" s="523" t="s">
        <v>141</v>
      </c>
      <c r="C8598" s="748"/>
      <c r="D8598" s="749" t="s">
        <v>2339</v>
      </c>
      <c r="E8598" s="750">
        <f ca="1">IF(AND($A8598=0,$A$1="DIF"),0, ROUND(ROUND(($R8603*$S$2+($T8603*$T$2))/A8598,2)*$C$2,2))</f>
        <v>49.52</v>
      </c>
      <c r="F8598" s="751">
        <f ca="1">ROUND($A8598*$E8598,2)</f>
        <v>198.08</v>
      </c>
      <c r="G8598" s="752" t="s">
        <v>142</v>
      </c>
      <c r="H8598" s="753"/>
      <c r="I8598" s="754"/>
      <c r="J8598" s="753"/>
      <c r="K8598" s="753" t="s">
        <v>3</v>
      </c>
      <c r="L8598" s="755" t="s">
        <v>143</v>
      </c>
      <c r="M8598" s="755"/>
      <c r="N8598" s="755"/>
      <c r="O8598" s="755"/>
      <c r="P8598" s="755"/>
      <c r="Q8598" s="51"/>
      <c r="T8598" s="756" t="str">
        <f ca="1">IF(AND($R8603=0,$T8603=0),"0.00","mu :" &amp; ROUND($F8598/$C$2/($R8603+$T8603*$D$9),2))</f>
        <v>mu :1.23</v>
      </c>
      <c r="W8598" s="524"/>
      <c r="AG8598" s="481">
        <f ca="1">IF($E8598=0,0,ROUND($R8603*$S$2*$C$2/$A8598,2))</f>
        <v>17.73</v>
      </c>
      <c r="AH8598" s="481">
        <f ca="1">$AG8598*$A8598</f>
        <v>70.92</v>
      </c>
      <c r="AI8598" s="525">
        <f ca="1">$E8598-$AG8598</f>
        <v>31.790000000000003</v>
      </c>
      <c r="AJ8598" s="525">
        <f ca="1">$A8598*$AI8598</f>
        <v>127.16000000000001</v>
      </c>
      <c r="AK8598" s="526">
        <f ca="1">ROUND(($AG8598+$AI8598)*$A8598,2)</f>
        <v>198.08</v>
      </c>
      <c r="AM8598" s="527">
        <f ca="1">ROUND(R8603,2)</f>
        <v>57.6</v>
      </c>
      <c r="AN8598" s="528">
        <f ca="1">ROUND(T8603,2)</f>
        <v>3.76</v>
      </c>
      <c r="AO8598" s="529">
        <f ca="1">ROUND(AM8598+AN8598,2)*A8598</f>
        <v>245.44</v>
      </c>
      <c r="AR8598" s="747">
        <v>4</v>
      </c>
      <c r="AS8598" s="751">
        <v>211.6</v>
      </c>
    </row>
    <row r="8599" spans="1:45" s="520" customFormat="1" ht="13.2">
      <c r="A8599" s="748"/>
      <c r="B8599"/>
      <c r="C8599" s="748"/>
      <c r="D8599" s="749" t="s">
        <v>2065</v>
      </c>
      <c r="F8599" s="753"/>
      <c r="G8599" s="3"/>
      <c r="H8599" s="753"/>
      <c r="I8599" s="754"/>
      <c r="J8599" s="753"/>
      <c r="K8599" s="753" t="s">
        <v>144</v>
      </c>
      <c r="L8599" s="753"/>
      <c r="M8599" s="753"/>
      <c r="N8599" s="753"/>
      <c r="O8599" s="753"/>
      <c r="P8599" s="753"/>
      <c r="Q8599" s="51"/>
      <c r="R8599" s="530"/>
      <c r="S8599" s="757"/>
      <c r="T8599" s="753"/>
      <c r="AR8599" s="748"/>
      <c r="AS8599" s="753"/>
    </row>
    <row r="8600" spans="1:45" s="886" customFormat="1" ht="13.2">
      <c r="A8600"/>
      <c r="B8600" s="910"/>
      <c r="C8600" s="910" t="s">
        <v>2597</v>
      </c>
      <c r="D8600" s="910" t="str">
        <f ca="1">CELL("Address",Elec_Rates!D$1029)</f>
        <v>[E25_0062_Quintano_Foods_Elec_ELV_As_Awarded.xlsx]Elec_Rates!$D$1029</v>
      </c>
      <c r="E8600" s="911"/>
      <c r="F8600" s="911"/>
      <c r="G8600" s="912" t="s">
        <v>2598</v>
      </c>
      <c r="H8600" s="912"/>
      <c r="I8600" s="912"/>
      <c r="J8600" s="912"/>
      <c r="K8600" s="913"/>
      <c r="L8600" s="911"/>
      <c r="M8600" s="911"/>
      <c r="N8600" s="911"/>
      <c r="O8600" s="914"/>
      <c r="P8600" s="911"/>
      <c r="Q8600" s="915"/>
      <c r="R8600" s="916"/>
      <c r="S8600" s="915"/>
      <c r="T8600" s="917"/>
      <c r="U8600" s="918"/>
      <c r="AR8600"/>
      <c r="AS8600" s="911"/>
    </row>
    <row r="8601" spans="1:45" s="886" customFormat="1" ht="11.4">
      <c r="A8601" s="919">
        <v>4</v>
      </c>
      <c r="B8601" s="920">
        <v>1</v>
      </c>
      <c r="C8601" s="920">
        <f>$A8601*$B8601</f>
        <v>4</v>
      </c>
      <c r="D8601" s="921" t="str">
        <f>Elec_Rates!$D$1029</f>
        <v>092# LSZH Conduit points for Fire alarm devices</v>
      </c>
      <c r="E8601" s="921"/>
      <c r="F8601" s="921" t="s">
        <v>2599</v>
      </c>
      <c r="G8601" s="922" t="s">
        <v>2600</v>
      </c>
      <c r="H8601" s="922"/>
      <c r="I8601" s="922"/>
      <c r="J8601" s="922"/>
      <c r="K8601" s="923"/>
      <c r="L8601" s="918"/>
      <c r="M8601" s="918"/>
      <c r="N8601" s="918"/>
      <c r="O8601" s="924"/>
      <c r="P8601" s="921"/>
      <c r="Q8601" s="925">
        <f ca="1">$B8601*Elec_Rates!$R$1029</f>
        <v>14.4</v>
      </c>
      <c r="R8601" s="916">
        <f ca="1">$A8601*Q8601</f>
        <v>57.6</v>
      </c>
      <c r="S8601" s="925">
        <f ca="1">$B8601*Elec_Rates!$T$1029</f>
        <v>0.94</v>
      </c>
      <c r="T8601" s="917">
        <f ca="1">$A8601*S8601</f>
        <v>3.76</v>
      </c>
      <c r="U8601" s="926"/>
      <c r="AR8601" s="919">
        <v>4</v>
      </c>
      <c r="AS8601" s="921" t="s">
        <v>2599</v>
      </c>
    </row>
    <row r="8602" spans="1:45" s="520" customFormat="1" ht="12">
      <c r="A8602" s="758"/>
      <c r="B8602" s="758"/>
      <c r="C8602" s="758"/>
      <c r="D8602" s="758"/>
      <c r="E8602" s="758"/>
      <c r="F8602" s="753"/>
      <c r="G8602" s="758"/>
      <c r="H8602" s="758"/>
      <c r="I8602" s="519"/>
      <c r="J8602" s="758"/>
      <c r="K8602" s="758"/>
      <c r="L8602" s="758"/>
      <c r="M8602" s="758"/>
      <c r="N8602" s="758"/>
      <c r="O8602" s="758"/>
      <c r="P8602" s="758"/>
      <c r="Q8602" s="519"/>
      <c r="R8602" s="759">
        <f>$A8602*Q8602</f>
        <v>0</v>
      </c>
      <c r="S8602" s="519"/>
      <c r="T8602" s="760">
        <f>$A8602*S8602*$T$1</f>
        <v>0</v>
      </c>
      <c r="AR8602" s="758"/>
      <c r="AS8602" s="753"/>
    </row>
    <row r="8603" spans="1:45" s="520" customFormat="1" ht="12.6" thickBot="1">
      <c r="A8603" s="761" t="s">
        <v>145</v>
      </c>
      <c r="B8603" s="762">
        <f>(R8602+T8602)</f>
        <v>0</v>
      </c>
      <c r="C8603" s="763"/>
      <c r="D8603" s="763"/>
      <c r="E8603" s="763"/>
      <c r="F8603" s="764"/>
      <c r="G8603" s="763" t="s">
        <v>146</v>
      </c>
      <c r="H8603" s="763"/>
      <c r="I8603" s="765"/>
      <c r="J8603" s="763"/>
      <c r="K8603" s="763" t="s">
        <v>3</v>
      </c>
      <c r="L8603" s="766" t="s">
        <v>143</v>
      </c>
      <c r="M8603" s="766"/>
      <c r="N8603" s="766"/>
      <c r="O8603" s="766"/>
      <c r="P8603" s="766"/>
      <c r="Q8603" s="767"/>
      <c r="R8603" s="768">
        <f ca="1">SUM(R8599:R8602)</f>
        <v>57.6</v>
      </c>
      <c r="S8603" s="763"/>
      <c r="T8603" s="768">
        <f ca="1">SUM(T8599:T8602)</f>
        <v>3.76</v>
      </c>
      <c r="U8603" s="531"/>
      <c r="V8603" s="531"/>
      <c r="W8603" s="531"/>
      <c r="X8603" s="531"/>
      <c r="Y8603" s="531"/>
      <c r="Z8603" s="531"/>
      <c r="AA8603" s="531"/>
      <c r="AB8603" s="531"/>
      <c r="AC8603" s="531"/>
      <c r="AD8603" s="531"/>
      <c r="AE8603" s="531"/>
      <c r="AF8603" s="531"/>
      <c r="AG8603" s="531"/>
      <c r="AH8603" s="531"/>
      <c r="AI8603" s="531"/>
      <c r="AJ8603" s="531"/>
      <c r="AK8603" s="531"/>
      <c r="AL8603" s="531"/>
      <c r="AM8603" s="531"/>
      <c r="AN8603" s="531"/>
      <c r="AO8603" s="531"/>
      <c r="AR8603" s="761" t="s">
        <v>145</v>
      </c>
      <c r="AS8603" s="764"/>
    </row>
    <row r="8604" spans="1:45" s="520" customFormat="1" ht="12" thickTop="1">
      <c r="A8604" s="51"/>
      <c r="B8604" s="41"/>
      <c r="C8604" s="51"/>
      <c r="E8604" s="42" t="s">
        <v>138</v>
      </c>
      <c r="F8604" s="42" t="s">
        <v>139</v>
      </c>
      <c r="G8604" s="51"/>
      <c r="H8604" s="51"/>
      <c r="I8604" s="51"/>
      <c r="J8604" s="51"/>
      <c r="K8604" s="51" t="s">
        <v>140</v>
      </c>
      <c r="L8604" s="51"/>
      <c r="M8604" s="51"/>
      <c r="N8604" s="51"/>
      <c r="O8604" s="52"/>
      <c r="P8604" s="51"/>
      <c r="Q8604" s="51"/>
      <c r="R8604" s="51"/>
      <c r="S8604" s="51"/>
      <c r="T8604" s="41"/>
      <c r="AG8604" s="521" t="s">
        <v>268</v>
      </c>
      <c r="AH8604" s="521" t="s">
        <v>269</v>
      </c>
      <c r="AI8604" s="521" t="s">
        <v>270</v>
      </c>
      <c r="AJ8604" s="521" t="s">
        <v>271</v>
      </c>
      <c r="AK8604" s="521" t="s">
        <v>272</v>
      </c>
      <c r="AM8604" s="745" t="s">
        <v>281</v>
      </c>
      <c r="AN8604" s="746" t="s">
        <v>282</v>
      </c>
      <c r="AO8604" s="522" t="s">
        <v>278</v>
      </c>
      <c r="AR8604" s="51"/>
      <c r="AS8604" s="42" t="s">
        <v>139</v>
      </c>
    </row>
    <row r="8605" spans="1:45" s="520" customFormat="1" ht="12" customHeight="1">
      <c r="A8605" s="747">
        <v>1</v>
      </c>
      <c r="B8605" s="523" t="s">
        <v>141</v>
      </c>
      <c r="C8605" s="748"/>
      <c r="D8605" s="749" t="s">
        <v>2340</v>
      </c>
      <c r="E8605" s="750">
        <f ca="1">IF(AND($A8605=0,$A$1="DIF"),0, ROUND(ROUND(($R8610*$S$2+($T8610*$T$2))/A8605,2)*$C$2,2))</f>
        <v>49.52</v>
      </c>
      <c r="F8605" s="751">
        <f ca="1">ROUND($A8605*$E8605,2)</f>
        <v>49.52</v>
      </c>
      <c r="G8605" s="752" t="s">
        <v>142</v>
      </c>
      <c r="H8605" s="753"/>
      <c r="I8605" s="754"/>
      <c r="J8605" s="753"/>
      <c r="K8605" s="753" t="s">
        <v>3</v>
      </c>
      <c r="L8605" s="755" t="s">
        <v>143</v>
      </c>
      <c r="M8605" s="755"/>
      <c r="N8605" s="755"/>
      <c r="O8605" s="755"/>
      <c r="P8605" s="755"/>
      <c r="Q8605" s="51"/>
      <c r="T8605" s="756" t="str">
        <f ca="1">IF(AND($R8610=0,$T8610=0),"0.00","mu :" &amp; ROUND($F8605/$C$2/($R8610+$T8610*$D$9),2))</f>
        <v>mu :1.23</v>
      </c>
      <c r="W8605" s="524"/>
      <c r="AG8605" s="481">
        <f ca="1">IF($E8605=0,0,ROUND($R8610*$S$2*$C$2/$A8605,2))</f>
        <v>17.73</v>
      </c>
      <c r="AH8605" s="481">
        <f ca="1">$AG8605*$A8605</f>
        <v>17.73</v>
      </c>
      <c r="AI8605" s="525">
        <f ca="1">$E8605-$AG8605</f>
        <v>31.790000000000003</v>
      </c>
      <c r="AJ8605" s="525">
        <f ca="1">$A8605*$AI8605</f>
        <v>31.790000000000003</v>
      </c>
      <c r="AK8605" s="526">
        <f ca="1">ROUND(($AG8605+$AI8605)*$A8605,2)</f>
        <v>49.52</v>
      </c>
      <c r="AM8605" s="527">
        <f ca="1">ROUND(R8610,2)</f>
        <v>14.4</v>
      </c>
      <c r="AN8605" s="528">
        <f ca="1">ROUND(T8610,2)</f>
        <v>0.94</v>
      </c>
      <c r="AO8605" s="529">
        <f ca="1">ROUND(AM8605+AN8605,2)*A8605</f>
        <v>15.34</v>
      </c>
      <c r="AR8605" s="747">
        <v>1</v>
      </c>
      <c r="AS8605" s="751">
        <v>52.9</v>
      </c>
    </row>
    <row r="8606" spans="1:45" s="520" customFormat="1" ht="13.2">
      <c r="A8606" s="748"/>
      <c r="B8606"/>
      <c r="C8606" s="748"/>
      <c r="D8606" s="749" t="s">
        <v>2079</v>
      </c>
      <c r="F8606" s="753"/>
      <c r="G8606" s="3"/>
      <c r="H8606" s="753"/>
      <c r="I8606" s="754"/>
      <c r="J8606" s="753"/>
      <c r="K8606" s="753" t="s">
        <v>144</v>
      </c>
      <c r="L8606" s="753"/>
      <c r="M8606" s="753"/>
      <c r="N8606" s="753"/>
      <c r="O8606" s="753"/>
      <c r="P8606" s="753"/>
      <c r="Q8606" s="51"/>
      <c r="R8606" s="530"/>
      <c r="S8606" s="757"/>
      <c r="T8606" s="753"/>
      <c r="AR8606" s="748"/>
      <c r="AS8606" s="753"/>
    </row>
    <row r="8607" spans="1:45" s="886" customFormat="1" ht="13.2">
      <c r="A8607"/>
      <c r="B8607" s="910"/>
      <c r="C8607" s="910" t="s">
        <v>2597</v>
      </c>
      <c r="D8607" s="910" t="str">
        <f ca="1">CELL("Address",Elec_Rates!D$1029)</f>
        <v>[E25_0062_Quintano_Foods_Elec_ELV_As_Awarded.xlsx]Elec_Rates!$D$1029</v>
      </c>
      <c r="E8607" s="911"/>
      <c r="F8607" s="911"/>
      <c r="G8607" s="912" t="s">
        <v>2598</v>
      </c>
      <c r="H8607" s="912"/>
      <c r="I8607" s="912"/>
      <c r="J8607" s="912"/>
      <c r="K8607" s="913"/>
      <c r="L8607" s="911"/>
      <c r="M8607" s="911"/>
      <c r="N8607" s="911"/>
      <c r="O8607" s="914"/>
      <c r="P8607" s="911"/>
      <c r="Q8607" s="915"/>
      <c r="R8607" s="916"/>
      <c r="S8607" s="915"/>
      <c r="T8607" s="917"/>
      <c r="U8607" s="918"/>
      <c r="AR8607"/>
      <c r="AS8607" s="911"/>
    </row>
    <row r="8608" spans="1:45" s="886" customFormat="1" ht="11.4">
      <c r="A8608" s="919">
        <v>1</v>
      </c>
      <c r="B8608" s="920">
        <v>1</v>
      </c>
      <c r="C8608" s="920">
        <f>$A8608*$B8608</f>
        <v>1</v>
      </c>
      <c r="D8608" s="921" t="str">
        <f>Elec_Rates!$D$1029</f>
        <v>092# LSZH Conduit points for Fire alarm devices</v>
      </c>
      <c r="E8608" s="921"/>
      <c r="F8608" s="921" t="s">
        <v>2599</v>
      </c>
      <c r="G8608" s="922" t="s">
        <v>2600</v>
      </c>
      <c r="H8608" s="922"/>
      <c r="I8608" s="922"/>
      <c r="J8608" s="922"/>
      <c r="K8608" s="923"/>
      <c r="L8608" s="918"/>
      <c r="M8608" s="918"/>
      <c r="N8608" s="918"/>
      <c r="O8608" s="924"/>
      <c r="P8608" s="921"/>
      <c r="Q8608" s="925">
        <f ca="1">$B8608*Elec_Rates!$R$1029</f>
        <v>14.4</v>
      </c>
      <c r="R8608" s="916">
        <f ca="1">$A8608*Q8608</f>
        <v>14.4</v>
      </c>
      <c r="S8608" s="925">
        <f ca="1">$B8608*Elec_Rates!$T$1029</f>
        <v>0.94</v>
      </c>
      <c r="T8608" s="917">
        <f ca="1">$A8608*S8608</f>
        <v>0.94</v>
      </c>
      <c r="U8608" s="926"/>
      <c r="AR8608" s="919">
        <v>1</v>
      </c>
      <c r="AS8608" s="921" t="s">
        <v>2599</v>
      </c>
    </row>
    <row r="8609" spans="1:45" s="520" customFormat="1" ht="12">
      <c r="A8609" s="758"/>
      <c r="B8609" s="758"/>
      <c r="C8609" s="758"/>
      <c r="D8609" s="758"/>
      <c r="E8609" s="758"/>
      <c r="F8609" s="753"/>
      <c r="G8609" s="758"/>
      <c r="H8609" s="758"/>
      <c r="I8609" s="519"/>
      <c r="J8609" s="758"/>
      <c r="K8609" s="758"/>
      <c r="L8609" s="758"/>
      <c r="M8609" s="758"/>
      <c r="N8609" s="758"/>
      <c r="O8609" s="758"/>
      <c r="P8609" s="758"/>
      <c r="Q8609" s="519"/>
      <c r="R8609" s="759">
        <f>$A8609*Q8609</f>
        <v>0</v>
      </c>
      <c r="S8609" s="519"/>
      <c r="T8609" s="760">
        <f>$A8609*S8609*$T$1</f>
        <v>0</v>
      </c>
      <c r="AR8609" s="758"/>
      <c r="AS8609" s="753"/>
    </row>
    <row r="8610" spans="1:45" s="520" customFormat="1" ht="12.6" thickBot="1">
      <c r="A8610" s="761" t="s">
        <v>145</v>
      </c>
      <c r="B8610" s="762">
        <f>(R8609+T8609)</f>
        <v>0</v>
      </c>
      <c r="C8610" s="763"/>
      <c r="D8610" s="763"/>
      <c r="E8610" s="763"/>
      <c r="F8610" s="764"/>
      <c r="G8610" s="763" t="s">
        <v>146</v>
      </c>
      <c r="H8610" s="763"/>
      <c r="I8610" s="765"/>
      <c r="J8610" s="763"/>
      <c r="K8610" s="763" t="s">
        <v>3</v>
      </c>
      <c r="L8610" s="766" t="s">
        <v>143</v>
      </c>
      <c r="M8610" s="766"/>
      <c r="N8610" s="766"/>
      <c r="O8610" s="766"/>
      <c r="P8610" s="766"/>
      <c r="Q8610" s="767"/>
      <c r="R8610" s="768">
        <f ca="1">SUM(R8606:R8609)</f>
        <v>14.4</v>
      </c>
      <c r="S8610" s="763"/>
      <c r="T8610" s="768">
        <f ca="1">SUM(T8606:T8609)</f>
        <v>0.94</v>
      </c>
      <c r="U8610" s="531"/>
      <c r="V8610" s="531"/>
      <c r="W8610" s="531"/>
      <c r="X8610" s="531"/>
      <c r="Y8610" s="531"/>
      <c r="Z8610" s="531"/>
      <c r="AA8610" s="531"/>
      <c r="AB8610" s="531"/>
      <c r="AC8610" s="531"/>
      <c r="AD8610" s="531"/>
      <c r="AE8610" s="531"/>
      <c r="AF8610" s="531"/>
      <c r="AG8610" s="531"/>
      <c r="AH8610" s="531"/>
      <c r="AI8610" s="531"/>
      <c r="AJ8610" s="531"/>
      <c r="AK8610" s="531"/>
      <c r="AL8610" s="531"/>
      <c r="AM8610" s="531"/>
      <c r="AN8610" s="531"/>
      <c r="AO8610" s="531"/>
      <c r="AR8610" s="761" t="s">
        <v>145</v>
      </c>
      <c r="AS8610" s="764"/>
    </row>
    <row r="8611" spans="1:45" s="520" customFormat="1" ht="12" thickTop="1">
      <c r="A8611" s="51"/>
      <c r="B8611" s="41"/>
      <c r="C8611" s="51"/>
      <c r="E8611" s="42" t="s">
        <v>138</v>
      </c>
      <c r="F8611" s="42" t="s">
        <v>139</v>
      </c>
      <c r="G8611" s="51"/>
      <c r="H8611" s="51"/>
      <c r="I8611" s="51"/>
      <c r="J8611" s="51"/>
      <c r="K8611" s="51" t="s">
        <v>140</v>
      </c>
      <c r="L8611" s="51"/>
      <c r="M8611" s="51"/>
      <c r="N8611" s="51"/>
      <c r="O8611" s="52"/>
      <c r="P8611" s="51"/>
      <c r="Q8611" s="51"/>
      <c r="R8611" s="51"/>
      <c r="S8611" s="51"/>
      <c r="T8611" s="41"/>
      <c r="AG8611" s="521" t="s">
        <v>268</v>
      </c>
      <c r="AH8611" s="521" t="s">
        <v>269</v>
      </c>
      <c r="AI8611" s="521" t="s">
        <v>270</v>
      </c>
      <c r="AJ8611" s="521" t="s">
        <v>271</v>
      </c>
      <c r="AK8611" s="521" t="s">
        <v>272</v>
      </c>
      <c r="AM8611" s="745" t="s">
        <v>281</v>
      </c>
      <c r="AN8611" s="746" t="s">
        <v>282</v>
      </c>
      <c r="AO8611" s="522" t="s">
        <v>278</v>
      </c>
      <c r="AR8611" s="51"/>
      <c r="AS8611" s="42" t="s">
        <v>139</v>
      </c>
    </row>
    <row r="8612" spans="1:45" s="520" customFormat="1" ht="12" customHeight="1">
      <c r="A8612" s="747">
        <v>1</v>
      </c>
      <c r="B8612" s="523" t="s">
        <v>141</v>
      </c>
      <c r="C8612" s="748"/>
      <c r="D8612" s="749" t="s">
        <v>2341</v>
      </c>
      <c r="E8612" s="750">
        <f ca="1">IF(AND($A8612=0,$A$1="DIF"),0, ROUND(ROUND(($R8617*$S$2+($T8617*$T$2))/A8612,2)*$C$2,2))</f>
        <v>49.52</v>
      </c>
      <c r="F8612" s="751">
        <f ca="1">ROUND($A8612*$E8612,2)</f>
        <v>49.52</v>
      </c>
      <c r="G8612" s="752" t="s">
        <v>142</v>
      </c>
      <c r="H8612" s="753"/>
      <c r="I8612" s="754"/>
      <c r="J8612" s="753"/>
      <c r="K8612" s="753" t="s">
        <v>3</v>
      </c>
      <c r="L8612" s="755" t="s">
        <v>143</v>
      </c>
      <c r="M8612" s="755"/>
      <c r="N8612" s="755"/>
      <c r="O8612" s="755"/>
      <c r="P8612" s="755"/>
      <c r="Q8612" s="51"/>
      <c r="T8612" s="756" t="str">
        <f ca="1">IF(AND($R8617=0,$T8617=0),"0.00","mu :" &amp; ROUND($F8612/$C$2/($R8617+$T8617*$D$9),2))</f>
        <v>mu :1.23</v>
      </c>
      <c r="W8612" s="524"/>
      <c r="AG8612" s="481">
        <f ca="1">IF($E8612=0,0,ROUND($R8617*$S$2*$C$2/$A8612,2))</f>
        <v>17.73</v>
      </c>
      <c r="AH8612" s="481">
        <f ca="1">$AG8612*$A8612</f>
        <v>17.73</v>
      </c>
      <c r="AI8612" s="525">
        <f ca="1">$E8612-$AG8612</f>
        <v>31.790000000000003</v>
      </c>
      <c r="AJ8612" s="525">
        <f ca="1">$A8612*$AI8612</f>
        <v>31.790000000000003</v>
      </c>
      <c r="AK8612" s="526">
        <f ca="1">ROUND(($AG8612+$AI8612)*$A8612,2)</f>
        <v>49.52</v>
      </c>
      <c r="AM8612" s="527">
        <f ca="1">ROUND(R8617,2)</f>
        <v>14.4</v>
      </c>
      <c r="AN8612" s="528">
        <f ca="1">ROUND(T8617,2)</f>
        <v>0.94</v>
      </c>
      <c r="AO8612" s="529">
        <f ca="1">ROUND(AM8612+AN8612,2)*A8612</f>
        <v>15.34</v>
      </c>
      <c r="AR8612" s="747">
        <v>1</v>
      </c>
      <c r="AS8612" s="751">
        <v>52.9</v>
      </c>
    </row>
    <row r="8613" spans="1:45" s="520" customFormat="1" ht="13.2">
      <c r="A8613" s="748"/>
      <c r="B8613"/>
      <c r="C8613" s="748"/>
      <c r="D8613" s="749" t="s">
        <v>2068</v>
      </c>
      <c r="F8613" s="753"/>
      <c r="G8613" s="3"/>
      <c r="H8613" s="753"/>
      <c r="I8613" s="754"/>
      <c r="J8613" s="753"/>
      <c r="K8613" s="753" t="s">
        <v>144</v>
      </c>
      <c r="L8613" s="753"/>
      <c r="M8613" s="753"/>
      <c r="N8613" s="753"/>
      <c r="O8613" s="753"/>
      <c r="P8613" s="753"/>
      <c r="Q8613" s="51"/>
      <c r="R8613" s="530"/>
      <c r="S8613" s="757"/>
      <c r="T8613" s="753"/>
      <c r="AR8613" s="748"/>
      <c r="AS8613" s="753"/>
    </row>
    <row r="8614" spans="1:45" s="886" customFormat="1" ht="13.2">
      <c r="A8614"/>
      <c r="B8614" s="910"/>
      <c r="C8614" s="910" t="s">
        <v>2597</v>
      </c>
      <c r="D8614" s="910" t="str">
        <f ca="1">CELL("Address",Elec_Rates!D$1029)</f>
        <v>[E25_0062_Quintano_Foods_Elec_ELV_As_Awarded.xlsx]Elec_Rates!$D$1029</v>
      </c>
      <c r="E8614" s="911"/>
      <c r="F8614" s="911"/>
      <c r="G8614" s="912" t="s">
        <v>2598</v>
      </c>
      <c r="H8614" s="912"/>
      <c r="I8614" s="912"/>
      <c r="J8614" s="912"/>
      <c r="K8614" s="913"/>
      <c r="L8614" s="911"/>
      <c r="M8614" s="911"/>
      <c r="N8614" s="911"/>
      <c r="O8614" s="914"/>
      <c r="P8614" s="911"/>
      <c r="Q8614" s="915"/>
      <c r="R8614" s="916"/>
      <c r="S8614" s="915"/>
      <c r="T8614" s="917"/>
      <c r="U8614" s="918"/>
      <c r="AR8614"/>
      <c r="AS8614" s="911"/>
    </row>
    <row r="8615" spans="1:45" s="886" customFormat="1" ht="11.4">
      <c r="A8615" s="919">
        <v>1</v>
      </c>
      <c r="B8615" s="920">
        <v>1</v>
      </c>
      <c r="C8615" s="920">
        <f>$A8615*$B8615</f>
        <v>1</v>
      </c>
      <c r="D8615" s="921" t="str">
        <f>Elec_Rates!$D$1029</f>
        <v>092# LSZH Conduit points for Fire alarm devices</v>
      </c>
      <c r="E8615" s="921"/>
      <c r="F8615" s="921" t="s">
        <v>2599</v>
      </c>
      <c r="G8615" s="922" t="s">
        <v>2600</v>
      </c>
      <c r="H8615" s="922"/>
      <c r="I8615" s="922"/>
      <c r="J8615" s="922"/>
      <c r="K8615" s="923"/>
      <c r="L8615" s="918"/>
      <c r="M8615" s="918"/>
      <c r="N8615" s="918"/>
      <c r="O8615" s="924"/>
      <c r="P8615" s="921"/>
      <c r="Q8615" s="925">
        <f ca="1">$B8615*Elec_Rates!$R$1029</f>
        <v>14.4</v>
      </c>
      <c r="R8615" s="916">
        <f ca="1">$A8615*Q8615</f>
        <v>14.4</v>
      </c>
      <c r="S8615" s="925">
        <f ca="1">$B8615*Elec_Rates!$T$1029</f>
        <v>0.94</v>
      </c>
      <c r="T8615" s="917">
        <f ca="1">$A8615*S8615</f>
        <v>0.94</v>
      </c>
      <c r="U8615" s="926"/>
      <c r="AR8615" s="919">
        <v>1</v>
      </c>
      <c r="AS8615" s="921" t="s">
        <v>2599</v>
      </c>
    </row>
    <row r="8616" spans="1:45" s="520" customFormat="1" ht="12">
      <c r="A8616" s="758"/>
      <c r="B8616" s="758"/>
      <c r="C8616" s="758"/>
      <c r="D8616" s="758"/>
      <c r="E8616" s="758"/>
      <c r="F8616" s="753"/>
      <c r="G8616" s="758"/>
      <c r="H8616" s="758"/>
      <c r="I8616" s="519"/>
      <c r="J8616" s="758"/>
      <c r="K8616" s="758"/>
      <c r="L8616" s="758"/>
      <c r="M8616" s="758"/>
      <c r="N8616" s="758"/>
      <c r="O8616" s="758"/>
      <c r="P8616" s="758"/>
      <c r="Q8616" s="519"/>
      <c r="R8616" s="759">
        <f>$A8616*Q8616</f>
        <v>0</v>
      </c>
      <c r="S8616" s="519"/>
      <c r="T8616" s="760">
        <f>$A8616*S8616*$T$1</f>
        <v>0</v>
      </c>
      <c r="AR8616" s="758"/>
      <c r="AS8616" s="753"/>
    </row>
    <row r="8617" spans="1:45" s="520" customFormat="1" ht="12.6" thickBot="1">
      <c r="A8617" s="761" t="s">
        <v>145</v>
      </c>
      <c r="B8617" s="762">
        <f>(R8616+T8616)</f>
        <v>0</v>
      </c>
      <c r="C8617" s="763"/>
      <c r="D8617" s="763"/>
      <c r="E8617" s="763"/>
      <c r="F8617" s="764"/>
      <c r="G8617" s="763" t="s">
        <v>146</v>
      </c>
      <c r="H8617" s="763"/>
      <c r="I8617" s="765"/>
      <c r="J8617" s="763"/>
      <c r="K8617" s="763" t="s">
        <v>3</v>
      </c>
      <c r="L8617" s="766" t="s">
        <v>143</v>
      </c>
      <c r="M8617" s="766"/>
      <c r="N8617" s="766"/>
      <c r="O8617" s="766"/>
      <c r="P8617" s="766"/>
      <c r="Q8617" s="767"/>
      <c r="R8617" s="768">
        <f ca="1">SUM(R8613:R8616)</f>
        <v>14.4</v>
      </c>
      <c r="S8617" s="763"/>
      <c r="T8617" s="768">
        <f ca="1">SUM(T8613:T8616)</f>
        <v>0.94</v>
      </c>
      <c r="U8617" s="531"/>
      <c r="V8617" s="531"/>
      <c r="W8617" s="531"/>
      <c r="X8617" s="531"/>
      <c r="Y8617" s="531"/>
      <c r="Z8617" s="531"/>
      <c r="AA8617" s="531"/>
      <c r="AB8617" s="531"/>
      <c r="AC8617" s="531"/>
      <c r="AD8617" s="531"/>
      <c r="AE8617" s="531"/>
      <c r="AF8617" s="531"/>
      <c r="AG8617" s="531"/>
      <c r="AH8617" s="531"/>
      <c r="AI8617" s="531"/>
      <c r="AJ8617" s="531"/>
      <c r="AK8617" s="531"/>
      <c r="AL8617" s="531"/>
      <c r="AM8617" s="531"/>
      <c r="AN8617" s="531"/>
      <c r="AO8617" s="531"/>
      <c r="AR8617" s="761" t="s">
        <v>145</v>
      </c>
      <c r="AS8617" s="764"/>
    </row>
    <row r="8618" spans="1:45" s="520" customFormat="1" ht="12" thickTop="1">
      <c r="A8618" s="51"/>
      <c r="B8618" s="41"/>
      <c r="C8618" s="51"/>
      <c r="E8618" s="42" t="s">
        <v>138</v>
      </c>
      <c r="F8618" s="42" t="s">
        <v>139</v>
      </c>
      <c r="G8618" s="51"/>
      <c r="H8618" s="51"/>
      <c r="I8618" s="51"/>
      <c r="J8618" s="51"/>
      <c r="K8618" s="51" t="s">
        <v>140</v>
      </c>
      <c r="L8618" s="51"/>
      <c r="M8618" s="51"/>
      <c r="N8618" s="51"/>
      <c r="O8618" s="52"/>
      <c r="P8618" s="51"/>
      <c r="Q8618" s="51"/>
      <c r="R8618" s="51"/>
      <c r="S8618" s="51"/>
      <c r="T8618" s="41"/>
      <c r="AG8618" s="521" t="s">
        <v>268</v>
      </c>
      <c r="AH8618" s="521" t="s">
        <v>269</v>
      </c>
      <c r="AI8618" s="521" t="s">
        <v>270</v>
      </c>
      <c r="AJ8618" s="521" t="s">
        <v>271</v>
      </c>
      <c r="AK8618" s="521" t="s">
        <v>272</v>
      </c>
      <c r="AM8618" s="745" t="s">
        <v>281</v>
      </c>
      <c r="AN8618" s="746" t="s">
        <v>282</v>
      </c>
      <c r="AO8618" s="522" t="s">
        <v>278</v>
      </c>
      <c r="AR8618" s="51"/>
      <c r="AS8618" s="42" t="s">
        <v>139</v>
      </c>
    </row>
    <row r="8619" spans="1:45" s="520" customFormat="1" ht="12" customHeight="1">
      <c r="A8619" s="747">
        <v>1</v>
      </c>
      <c r="B8619" s="523" t="s">
        <v>141</v>
      </c>
      <c r="C8619" s="748"/>
      <c r="D8619" s="749" t="s">
        <v>2342</v>
      </c>
      <c r="E8619" s="750">
        <f ca="1">IF(AND($A8619=0,$A$1="DIF"),0, ROUND(ROUND(($R8624*$S$2+($T8624*$T$2))/A8619,2)*$C$2,2))</f>
        <v>49.52</v>
      </c>
      <c r="F8619" s="751">
        <f ca="1">ROUND($A8619*$E8619,2)</f>
        <v>49.52</v>
      </c>
      <c r="G8619" s="752" t="s">
        <v>142</v>
      </c>
      <c r="H8619" s="753"/>
      <c r="I8619" s="754"/>
      <c r="J8619" s="753"/>
      <c r="K8619" s="753" t="s">
        <v>3</v>
      </c>
      <c r="L8619" s="755" t="s">
        <v>143</v>
      </c>
      <c r="M8619" s="755"/>
      <c r="N8619" s="755"/>
      <c r="O8619" s="755"/>
      <c r="P8619" s="755"/>
      <c r="Q8619" s="51"/>
      <c r="T8619" s="756" t="str">
        <f ca="1">IF(AND($R8624=0,$T8624=0),"0.00","mu :" &amp; ROUND($F8619/$C$2/($R8624+$T8624*$D$9),2))</f>
        <v>mu :1.23</v>
      </c>
      <c r="W8619" s="524"/>
      <c r="AG8619" s="481">
        <f ca="1">IF($E8619=0,0,ROUND($R8624*$S$2*$C$2/$A8619,2))</f>
        <v>17.73</v>
      </c>
      <c r="AH8619" s="481">
        <f ca="1">$AG8619*$A8619</f>
        <v>17.73</v>
      </c>
      <c r="AI8619" s="525">
        <f ca="1">$E8619-$AG8619</f>
        <v>31.790000000000003</v>
      </c>
      <c r="AJ8619" s="525">
        <f ca="1">$A8619*$AI8619</f>
        <v>31.790000000000003</v>
      </c>
      <c r="AK8619" s="526">
        <f ca="1">ROUND(($AG8619+$AI8619)*$A8619,2)</f>
        <v>49.52</v>
      </c>
      <c r="AM8619" s="527">
        <f ca="1">ROUND(R8624,2)</f>
        <v>14.4</v>
      </c>
      <c r="AN8619" s="528">
        <f ca="1">ROUND(T8624,2)</f>
        <v>0.94</v>
      </c>
      <c r="AO8619" s="529">
        <f ca="1">ROUND(AM8619+AN8619,2)*A8619</f>
        <v>15.34</v>
      </c>
      <c r="AR8619" s="747">
        <v>1</v>
      </c>
      <c r="AS8619" s="751">
        <v>52.9</v>
      </c>
    </row>
    <row r="8620" spans="1:45" s="520" customFormat="1" ht="13.2">
      <c r="A8620" s="748"/>
      <c r="B8620"/>
      <c r="C8620" s="748"/>
      <c r="D8620" s="749" t="s">
        <v>2080</v>
      </c>
      <c r="F8620" s="753"/>
      <c r="G8620" s="3"/>
      <c r="H8620" s="753"/>
      <c r="I8620" s="754"/>
      <c r="J8620" s="753"/>
      <c r="K8620" s="753" t="s">
        <v>144</v>
      </c>
      <c r="L8620" s="753"/>
      <c r="M8620" s="753"/>
      <c r="N8620" s="753"/>
      <c r="O8620" s="753"/>
      <c r="P8620" s="753"/>
      <c r="Q8620" s="51"/>
      <c r="R8620" s="530"/>
      <c r="S8620" s="757"/>
      <c r="T8620" s="753"/>
      <c r="AR8620" s="748"/>
      <c r="AS8620" s="753"/>
    </row>
    <row r="8621" spans="1:45" s="886" customFormat="1" ht="13.2">
      <c r="A8621"/>
      <c r="B8621" s="910"/>
      <c r="C8621" s="910" t="s">
        <v>2597</v>
      </c>
      <c r="D8621" s="910" t="str">
        <f ca="1">CELL("Address",Elec_Rates!D$1029)</f>
        <v>[E25_0062_Quintano_Foods_Elec_ELV_As_Awarded.xlsx]Elec_Rates!$D$1029</v>
      </c>
      <c r="E8621" s="911"/>
      <c r="F8621" s="911"/>
      <c r="G8621" s="912" t="s">
        <v>2598</v>
      </c>
      <c r="H8621" s="912"/>
      <c r="I8621" s="912"/>
      <c r="J8621" s="912"/>
      <c r="K8621" s="913"/>
      <c r="L8621" s="911"/>
      <c r="M8621" s="911"/>
      <c r="N8621" s="911"/>
      <c r="O8621" s="914"/>
      <c r="P8621" s="911"/>
      <c r="Q8621" s="915"/>
      <c r="R8621" s="916"/>
      <c r="S8621" s="915"/>
      <c r="T8621" s="917"/>
      <c r="U8621" s="918"/>
      <c r="AR8621"/>
      <c r="AS8621" s="911"/>
    </row>
    <row r="8622" spans="1:45" s="886" customFormat="1" ht="11.4">
      <c r="A8622" s="919">
        <v>1</v>
      </c>
      <c r="B8622" s="920">
        <v>1</v>
      </c>
      <c r="C8622" s="920">
        <f>$A8622*$B8622</f>
        <v>1</v>
      </c>
      <c r="D8622" s="921" t="str">
        <f>Elec_Rates!$D$1029</f>
        <v>092# LSZH Conduit points for Fire alarm devices</v>
      </c>
      <c r="E8622" s="921"/>
      <c r="F8622" s="921" t="s">
        <v>2599</v>
      </c>
      <c r="G8622" s="922" t="s">
        <v>2600</v>
      </c>
      <c r="H8622" s="922"/>
      <c r="I8622" s="922"/>
      <c r="J8622" s="922"/>
      <c r="K8622" s="923"/>
      <c r="L8622" s="918"/>
      <c r="M8622" s="918"/>
      <c r="N8622" s="918"/>
      <c r="O8622" s="924"/>
      <c r="P8622" s="921"/>
      <c r="Q8622" s="925">
        <f ca="1">$B8622*Elec_Rates!$R$1029</f>
        <v>14.4</v>
      </c>
      <c r="R8622" s="916">
        <f ca="1">$A8622*Q8622</f>
        <v>14.4</v>
      </c>
      <c r="S8622" s="925">
        <f ca="1">$B8622*Elec_Rates!$T$1029</f>
        <v>0.94</v>
      </c>
      <c r="T8622" s="917">
        <f ca="1">$A8622*S8622</f>
        <v>0.94</v>
      </c>
      <c r="U8622" s="926"/>
      <c r="AR8622" s="919">
        <v>1</v>
      </c>
      <c r="AS8622" s="921" t="s">
        <v>2599</v>
      </c>
    </row>
    <row r="8623" spans="1:45" s="520" customFormat="1" ht="12">
      <c r="A8623" s="758"/>
      <c r="B8623" s="758"/>
      <c r="C8623" s="758"/>
      <c r="D8623" s="758"/>
      <c r="E8623" s="758"/>
      <c r="F8623" s="753"/>
      <c r="G8623" s="758"/>
      <c r="H8623" s="758"/>
      <c r="I8623" s="519"/>
      <c r="J8623" s="758"/>
      <c r="K8623" s="758"/>
      <c r="L8623" s="758"/>
      <c r="M8623" s="758"/>
      <c r="N8623" s="758"/>
      <c r="O8623" s="758"/>
      <c r="P8623" s="758"/>
      <c r="Q8623" s="519"/>
      <c r="R8623" s="759">
        <f>$A8623*Q8623</f>
        <v>0</v>
      </c>
      <c r="S8623" s="519"/>
      <c r="T8623" s="760">
        <f>$A8623*S8623*$T$1</f>
        <v>0</v>
      </c>
      <c r="AR8623" s="758"/>
      <c r="AS8623" s="753"/>
    </row>
    <row r="8624" spans="1:45" s="520" customFormat="1" ht="12.6" thickBot="1">
      <c r="A8624" s="761" t="s">
        <v>145</v>
      </c>
      <c r="B8624" s="762">
        <f>(R8623+T8623)</f>
        <v>0</v>
      </c>
      <c r="C8624" s="763"/>
      <c r="D8624" s="763"/>
      <c r="E8624" s="763"/>
      <c r="F8624" s="764"/>
      <c r="G8624" s="763" t="s">
        <v>146</v>
      </c>
      <c r="H8624" s="763"/>
      <c r="I8624" s="765"/>
      <c r="J8624" s="763"/>
      <c r="K8624" s="763" t="s">
        <v>3</v>
      </c>
      <c r="L8624" s="766" t="s">
        <v>143</v>
      </c>
      <c r="M8624" s="766"/>
      <c r="N8624" s="766"/>
      <c r="O8624" s="766"/>
      <c r="P8624" s="766"/>
      <c r="Q8624" s="767"/>
      <c r="R8624" s="768">
        <f ca="1">SUM(R8620:R8623)</f>
        <v>14.4</v>
      </c>
      <c r="S8624" s="763"/>
      <c r="T8624" s="768">
        <f ca="1">SUM(T8620:T8623)</f>
        <v>0.94</v>
      </c>
      <c r="U8624" s="531"/>
      <c r="V8624" s="531"/>
      <c r="W8624" s="531"/>
      <c r="X8624" s="531"/>
      <c r="Y8624" s="531"/>
      <c r="Z8624" s="531"/>
      <c r="AA8624" s="531"/>
      <c r="AB8624" s="531"/>
      <c r="AC8624" s="531"/>
      <c r="AD8624" s="531"/>
      <c r="AE8624" s="531"/>
      <c r="AF8624" s="531"/>
      <c r="AG8624" s="531"/>
      <c r="AH8624" s="531"/>
      <c r="AI8624" s="531"/>
      <c r="AJ8624" s="531"/>
      <c r="AK8624" s="531"/>
      <c r="AL8624" s="531"/>
      <c r="AM8624" s="531"/>
      <c r="AN8624" s="531"/>
      <c r="AO8624" s="531"/>
      <c r="AR8624" s="761" t="s">
        <v>145</v>
      </c>
      <c r="AS8624" s="764"/>
    </row>
    <row r="8625" spans="1:45" s="520" customFormat="1" ht="12" thickTop="1">
      <c r="A8625" s="51"/>
      <c r="B8625" s="41"/>
      <c r="C8625" s="51"/>
      <c r="E8625" s="42" t="s">
        <v>138</v>
      </c>
      <c r="F8625" s="42" t="s">
        <v>139</v>
      </c>
      <c r="G8625" s="51"/>
      <c r="H8625" s="51"/>
      <c r="I8625" s="51"/>
      <c r="J8625" s="51"/>
      <c r="K8625" s="51" t="s">
        <v>140</v>
      </c>
      <c r="L8625" s="51"/>
      <c r="M8625" s="51"/>
      <c r="N8625" s="51"/>
      <c r="O8625" s="52"/>
      <c r="P8625" s="51"/>
      <c r="Q8625" s="51"/>
      <c r="R8625" s="51"/>
      <c r="S8625" s="51"/>
      <c r="T8625" s="41"/>
      <c r="AG8625" s="521" t="s">
        <v>268</v>
      </c>
      <c r="AH8625" s="521" t="s">
        <v>269</v>
      </c>
      <c r="AI8625" s="521" t="s">
        <v>270</v>
      </c>
      <c r="AJ8625" s="521" t="s">
        <v>271</v>
      </c>
      <c r="AK8625" s="521" t="s">
        <v>272</v>
      </c>
      <c r="AM8625" s="745" t="s">
        <v>281</v>
      </c>
      <c r="AN8625" s="746" t="s">
        <v>282</v>
      </c>
      <c r="AO8625" s="522" t="s">
        <v>278</v>
      </c>
      <c r="AR8625" s="51"/>
      <c r="AS8625" s="42" t="s">
        <v>139</v>
      </c>
    </row>
    <row r="8626" spans="1:45" s="520" customFormat="1" ht="12" customHeight="1">
      <c r="A8626" s="747">
        <v>1</v>
      </c>
      <c r="B8626" s="523" t="s">
        <v>141</v>
      </c>
      <c r="C8626" s="748"/>
      <c r="D8626" s="749" t="s">
        <v>2343</v>
      </c>
      <c r="E8626" s="750">
        <f ca="1">IF(AND($A8626=0,$A$1="DIF"),0, ROUND(ROUND(($R8631*$S$2+($T8631*$T$2))/A8626,2)*$C$2,2))</f>
        <v>49.52</v>
      </c>
      <c r="F8626" s="751">
        <f ca="1">ROUND($A8626*$E8626,2)</f>
        <v>49.52</v>
      </c>
      <c r="G8626" s="752" t="s">
        <v>142</v>
      </c>
      <c r="H8626" s="753"/>
      <c r="I8626" s="754"/>
      <c r="J8626" s="753"/>
      <c r="K8626" s="753" t="s">
        <v>3</v>
      </c>
      <c r="L8626" s="755" t="s">
        <v>143</v>
      </c>
      <c r="M8626" s="755"/>
      <c r="N8626" s="755"/>
      <c r="O8626" s="755"/>
      <c r="P8626" s="755"/>
      <c r="Q8626" s="51"/>
      <c r="T8626" s="756" t="str">
        <f ca="1">IF(AND($R8631=0,$T8631=0),"0.00","mu :" &amp; ROUND($F8626/$C$2/($R8631+$T8631*$D$9),2))</f>
        <v>mu :1.23</v>
      </c>
      <c r="W8626" s="524"/>
      <c r="AG8626" s="481">
        <f ca="1">IF($E8626=0,0,ROUND($R8631*$S$2*$C$2/$A8626,2))</f>
        <v>17.73</v>
      </c>
      <c r="AH8626" s="481">
        <f ca="1">$AG8626*$A8626</f>
        <v>17.73</v>
      </c>
      <c r="AI8626" s="525">
        <f ca="1">$E8626-$AG8626</f>
        <v>31.790000000000003</v>
      </c>
      <c r="AJ8626" s="525">
        <f ca="1">$A8626*$AI8626</f>
        <v>31.790000000000003</v>
      </c>
      <c r="AK8626" s="526">
        <f ca="1">ROUND(($AG8626+$AI8626)*$A8626,2)</f>
        <v>49.52</v>
      </c>
      <c r="AM8626" s="527">
        <f ca="1">ROUND(R8631,2)</f>
        <v>14.4</v>
      </c>
      <c r="AN8626" s="528">
        <f ca="1">ROUND(T8631,2)</f>
        <v>0.94</v>
      </c>
      <c r="AO8626" s="529">
        <f ca="1">ROUND(AM8626+AN8626,2)*A8626</f>
        <v>15.34</v>
      </c>
      <c r="AR8626" s="747">
        <v>1</v>
      </c>
      <c r="AS8626" s="751">
        <v>52.9</v>
      </c>
    </row>
    <row r="8627" spans="1:45" s="520" customFormat="1" ht="13.2">
      <c r="A8627" s="748"/>
      <c r="B8627"/>
      <c r="C8627" s="748"/>
      <c r="D8627" s="749" t="s">
        <v>2081</v>
      </c>
      <c r="F8627" s="753"/>
      <c r="G8627" s="3"/>
      <c r="H8627" s="753"/>
      <c r="I8627" s="754"/>
      <c r="J8627" s="753"/>
      <c r="K8627" s="753" t="s">
        <v>144</v>
      </c>
      <c r="L8627" s="753"/>
      <c r="M8627" s="753"/>
      <c r="N8627" s="753"/>
      <c r="O8627" s="753"/>
      <c r="P8627" s="753"/>
      <c r="Q8627" s="51"/>
      <c r="R8627" s="530"/>
      <c r="S8627" s="757"/>
      <c r="T8627" s="753"/>
      <c r="AR8627" s="748"/>
      <c r="AS8627" s="753"/>
    </row>
    <row r="8628" spans="1:45" s="886" customFormat="1" ht="13.2">
      <c r="A8628"/>
      <c r="B8628" s="910"/>
      <c r="C8628" s="910" t="s">
        <v>2597</v>
      </c>
      <c r="D8628" s="910" t="str">
        <f ca="1">CELL("Address",Elec_Rates!D$1029)</f>
        <v>[E25_0062_Quintano_Foods_Elec_ELV_As_Awarded.xlsx]Elec_Rates!$D$1029</v>
      </c>
      <c r="E8628" s="911"/>
      <c r="F8628" s="911"/>
      <c r="G8628" s="912" t="s">
        <v>2598</v>
      </c>
      <c r="H8628" s="912"/>
      <c r="I8628" s="912"/>
      <c r="J8628" s="912"/>
      <c r="K8628" s="913"/>
      <c r="L8628" s="911"/>
      <c r="M8628" s="911"/>
      <c r="N8628" s="911"/>
      <c r="O8628" s="914"/>
      <c r="P8628" s="911"/>
      <c r="Q8628" s="915"/>
      <c r="R8628" s="916"/>
      <c r="S8628" s="915"/>
      <c r="T8628" s="917"/>
      <c r="U8628" s="918"/>
      <c r="AR8628"/>
      <c r="AS8628" s="911"/>
    </row>
    <row r="8629" spans="1:45" s="886" customFormat="1" ht="11.4">
      <c r="A8629" s="919">
        <v>1</v>
      </c>
      <c r="B8629" s="920">
        <v>1</v>
      </c>
      <c r="C8629" s="920">
        <f>$A8629*$B8629</f>
        <v>1</v>
      </c>
      <c r="D8629" s="921" t="str">
        <f>Elec_Rates!$D$1029</f>
        <v>092# LSZH Conduit points for Fire alarm devices</v>
      </c>
      <c r="E8629" s="921"/>
      <c r="F8629" s="921" t="s">
        <v>2599</v>
      </c>
      <c r="G8629" s="922" t="s">
        <v>2600</v>
      </c>
      <c r="H8629" s="922"/>
      <c r="I8629" s="922"/>
      <c r="J8629" s="922"/>
      <c r="K8629" s="923"/>
      <c r="L8629" s="918"/>
      <c r="M8629" s="918"/>
      <c r="N8629" s="918"/>
      <c r="O8629" s="924"/>
      <c r="P8629" s="921"/>
      <c r="Q8629" s="925">
        <f ca="1">$B8629*Elec_Rates!$R$1029</f>
        <v>14.4</v>
      </c>
      <c r="R8629" s="916">
        <f ca="1">$A8629*Q8629</f>
        <v>14.4</v>
      </c>
      <c r="S8629" s="925">
        <f ca="1">$B8629*Elec_Rates!$T$1029</f>
        <v>0.94</v>
      </c>
      <c r="T8629" s="917">
        <f ca="1">$A8629*S8629</f>
        <v>0.94</v>
      </c>
      <c r="U8629" s="926"/>
      <c r="AR8629" s="919">
        <v>1</v>
      </c>
      <c r="AS8629" s="921" t="s">
        <v>2599</v>
      </c>
    </row>
    <row r="8630" spans="1:45" s="520" customFormat="1" ht="12">
      <c r="A8630" s="758"/>
      <c r="B8630" s="758"/>
      <c r="C8630" s="758"/>
      <c r="D8630" s="758"/>
      <c r="E8630" s="758"/>
      <c r="F8630" s="753"/>
      <c r="G8630" s="758"/>
      <c r="H8630" s="758"/>
      <c r="I8630" s="519"/>
      <c r="J8630" s="758"/>
      <c r="K8630" s="758"/>
      <c r="L8630" s="758"/>
      <c r="M8630" s="758"/>
      <c r="N8630" s="758"/>
      <c r="O8630" s="758"/>
      <c r="P8630" s="758"/>
      <c r="Q8630" s="519"/>
      <c r="R8630" s="759">
        <f>$A8630*Q8630</f>
        <v>0</v>
      </c>
      <c r="S8630" s="519"/>
      <c r="T8630" s="760">
        <f>$A8630*S8630*$T$1</f>
        <v>0</v>
      </c>
      <c r="AR8630" s="758"/>
      <c r="AS8630" s="753"/>
    </row>
    <row r="8631" spans="1:45" s="520" customFormat="1" ht="12.6" thickBot="1">
      <c r="A8631" s="761" t="s">
        <v>145</v>
      </c>
      <c r="B8631" s="762">
        <f>(R8630+T8630)</f>
        <v>0</v>
      </c>
      <c r="C8631" s="763"/>
      <c r="D8631" s="763"/>
      <c r="E8631" s="763"/>
      <c r="F8631" s="764"/>
      <c r="G8631" s="763" t="s">
        <v>146</v>
      </c>
      <c r="H8631" s="763"/>
      <c r="I8631" s="765"/>
      <c r="J8631" s="763"/>
      <c r="K8631" s="763" t="s">
        <v>3</v>
      </c>
      <c r="L8631" s="766" t="s">
        <v>143</v>
      </c>
      <c r="M8631" s="766"/>
      <c r="N8631" s="766"/>
      <c r="O8631" s="766"/>
      <c r="P8631" s="766"/>
      <c r="Q8631" s="767"/>
      <c r="R8631" s="768">
        <f ca="1">SUM(R8627:R8630)</f>
        <v>14.4</v>
      </c>
      <c r="S8631" s="763"/>
      <c r="T8631" s="768">
        <f ca="1">SUM(T8627:T8630)</f>
        <v>0.94</v>
      </c>
      <c r="U8631" s="531"/>
      <c r="V8631" s="531"/>
      <c r="W8631" s="531"/>
      <c r="X8631" s="531"/>
      <c r="Y8631" s="531"/>
      <c r="Z8631" s="531"/>
      <c r="AA8631" s="531"/>
      <c r="AB8631" s="531"/>
      <c r="AC8631" s="531"/>
      <c r="AD8631" s="531"/>
      <c r="AE8631" s="531"/>
      <c r="AF8631" s="531"/>
      <c r="AG8631" s="531"/>
      <c r="AH8631" s="531"/>
      <c r="AI8631" s="531"/>
      <c r="AJ8631" s="531"/>
      <c r="AK8631" s="531"/>
      <c r="AL8631" s="531"/>
      <c r="AM8631" s="531"/>
      <c r="AN8631" s="531"/>
      <c r="AO8631" s="531"/>
      <c r="AR8631" s="761" t="s">
        <v>145</v>
      </c>
      <c r="AS8631" s="764"/>
    </row>
    <row r="8632" spans="1:45" s="520" customFormat="1" thickTop="1">
      <c r="A8632" s="51"/>
      <c r="B8632" s="51"/>
      <c r="C8632" s="3"/>
      <c r="D8632" s="3"/>
      <c r="E8632" s="51"/>
      <c r="F8632" s="51"/>
      <c r="G8632" s="51"/>
      <c r="H8632" s="51"/>
      <c r="I8632" s="51"/>
      <c r="J8632" s="51"/>
      <c r="K8632" s="51" t="s">
        <v>134</v>
      </c>
      <c r="L8632" s="51"/>
      <c r="M8632" s="51"/>
      <c r="N8632" s="51"/>
      <c r="O8632" s="52"/>
      <c r="P8632" s="51"/>
      <c r="Q8632" s="51"/>
      <c r="R8632" s="51"/>
      <c r="S8632" s="51"/>
      <c r="T8632" s="51"/>
      <c r="AR8632" s="51"/>
      <c r="AS8632" s="51"/>
    </row>
    <row r="8633" spans="1:45" s="520" customFormat="1" ht="12">
      <c r="A8633" s="51"/>
      <c r="B8633" s="51"/>
      <c r="C8633" s="51" t="s">
        <v>135</v>
      </c>
      <c r="D8633" s="37"/>
      <c r="E8633" s="51"/>
      <c r="F8633" s="51"/>
      <c r="G8633" s="51"/>
      <c r="H8633" s="51"/>
      <c r="I8633" s="51"/>
      <c r="J8633" s="51"/>
      <c r="K8633" s="51"/>
      <c r="L8633" s="51"/>
      <c r="M8633" s="51"/>
      <c r="N8633" s="51"/>
      <c r="O8633" s="52"/>
      <c r="P8633" s="51"/>
      <c r="Q8633" s="51"/>
      <c r="R8633" s="51"/>
      <c r="S8633" s="51"/>
      <c r="T8633" s="51"/>
      <c r="AR8633" s="51"/>
      <c r="AS8633" s="51"/>
    </row>
    <row r="8634" spans="1:45" s="520" customFormat="1" ht="39.9" customHeight="1">
      <c r="A8634" s="51"/>
      <c r="B8634" s="51"/>
      <c r="C8634" s="51"/>
      <c r="D8634" s="1453" t="s">
        <v>2286</v>
      </c>
      <c r="E8634" s="1452"/>
      <c r="F8634" s="1452"/>
      <c r="G8634" s="1452"/>
      <c r="H8634" s="1452"/>
      <c r="I8634" s="1452"/>
      <c r="J8634" s="1452"/>
      <c r="K8634" s="1452"/>
      <c r="L8634" s="1452"/>
      <c r="M8634" s="1452"/>
      <c r="N8634" s="1452"/>
      <c r="O8634" s="1452"/>
      <c r="P8634" s="1452"/>
      <c r="Q8634" s="1452"/>
      <c r="R8634" s="1452"/>
      <c r="S8634" s="1452"/>
      <c r="T8634" s="1452"/>
      <c r="AR8634" s="51"/>
    </row>
    <row r="8635" spans="1:45" s="3" customFormat="1" thickBot="1">
      <c r="A8635" s="531"/>
      <c r="O8635" s="107"/>
      <c r="AR8635" s="531"/>
    </row>
    <row r="8636" spans="1:45" s="520" customFormat="1" ht="12" thickTop="1">
      <c r="A8636" s="51"/>
      <c r="B8636" s="41"/>
      <c r="C8636" s="51"/>
      <c r="E8636" s="42" t="s">
        <v>138</v>
      </c>
      <c r="F8636" s="42" t="s">
        <v>139</v>
      </c>
      <c r="G8636" s="51"/>
      <c r="H8636" s="51"/>
      <c r="I8636" s="51"/>
      <c r="J8636" s="51"/>
      <c r="K8636" s="51" t="s">
        <v>140</v>
      </c>
      <c r="L8636" s="51"/>
      <c r="M8636" s="51"/>
      <c r="N8636" s="51"/>
      <c r="O8636" s="52"/>
      <c r="P8636" s="51"/>
      <c r="Q8636" s="51"/>
      <c r="R8636" s="51"/>
      <c r="S8636" s="51"/>
      <c r="T8636" s="41"/>
      <c r="AG8636" s="521" t="s">
        <v>268</v>
      </c>
      <c r="AH8636" s="521" t="s">
        <v>269</v>
      </c>
      <c r="AI8636" s="521" t="s">
        <v>270</v>
      </c>
      <c r="AJ8636" s="521" t="s">
        <v>271</v>
      </c>
      <c r="AK8636" s="521" t="s">
        <v>272</v>
      </c>
      <c r="AM8636" s="745" t="s">
        <v>281</v>
      </c>
      <c r="AN8636" s="746" t="s">
        <v>282</v>
      </c>
      <c r="AO8636" s="522" t="s">
        <v>278</v>
      </c>
      <c r="AR8636" s="51"/>
      <c r="AS8636" s="42" t="s">
        <v>139</v>
      </c>
    </row>
    <row r="8637" spans="1:45" s="520" customFormat="1" ht="12" customHeight="1">
      <c r="A8637" s="747">
        <v>12</v>
      </c>
      <c r="B8637" s="523" t="s">
        <v>141</v>
      </c>
      <c r="C8637" s="748"/>
      <c r="D8637" s="749" t="s">
        <v>2344</v>
      </c>
      <c r="E8637" s="1145">
        <f>IF(AND($A8637=0,$A$1="DIF"),0, ROUND(ROUND(($R8641*$S$3+($T8641*$T$3))/$A8637,2)*$C$3,2))</f>
        <v>36.950000000000003</v>
      </c>
      <c r="F8637" s="1146">
        <f>ROUND($A8637*$E8637,2)</f>
        <v>443.4</v>
      </c>
      <c r="G8637" s="752" t="s">
        <v>142</v>
      </c>
      <c r="H8637" s="753"/>
      <c r="I8637" s="754"/>
      <c r="J8637" s="753"/>
      <c r="K8637" s="753" t="s">
        <v>5</v>
      </c>
      <c r="L8637" s="755" t="s">
        <v>143</v>
      </c>
      <c r="M8637" s="755"/>
      <c r="N8637" s="755"/>
      <c r="O8637" s="755"/>
      <c r="P8637" s="755"/>
      <c r="Q8637" s="51"/>
      <c r="T8637" s="1150" t="str">
        <f>IF(AND($R8641=0,$T8641=0),"0.00","mu: "&amp; ROUND(F8637/$C$3/($R8641+$T8641*$D$9),2))</f>
        <v>mu: 1.13</v>
      </c>
      <c r="W8637" s="524"/>
      <c r="AG8637" s="1147">
        <f>IF($E8637=0,0,ROUND($R8641*$S$3*$C$3/$A8637,2))</f>
        <v>36.950000000000003</v>
      </c>
      <c r="AH8637" s="1147">
        <f>$AG8637*$A8637</f>
        <v>443.40000000000003</v>
      </c>
      <c r="AI8637" s="1148">
        <f>$E8637-$AG8637</f>
        <v>0</v>
      </c>
      <c r="AJ8637" s="1148">
        <f>$A8637*$AI8637</f>
        <v>0</v>
      </c>
      <c r="AK8637" s="1149">
        <f>ROUND(($AG8637+$AI8637)*$A8637,2)</f>
        <v>443.4</v>
      </c>
      <c r="AM8637" s="527">
        <f>ROUND(R8641,2)</f>
        <v>392.85</v>
      </c>
      <c r="AN8637" s="528">
        <f>ROUND(T8641,2)</f>
        <v>0</v>
      </c>
      <c r="AO8637" s="529">
        <f>ROUND(AM8637+AN8637,2)*A8637</f>
        <v>4714.2000000000007</v>
      </c>
      <c r="AR8637" s="747">
        <v>12</v>
      </c>
      <c r="AS8637" s="1146">
        <v>482.52</v>
      </c>
    </row>
    <row r="8638" spans="1:45" s="520" customFormat="1" ht="13.2">
      <c r="A8638" s="748"/>
      <c r="B8638"/>
      <c r="C8638" s="748"/>
      <c r="D8638" s="749" t="s">
        <v>2061</v>
      </c>
      <c r="F8638" s="753"/>
      <c r="G8638" s="3"/>
      <c r="H8638" s="753"/>
      <c r="I8638" s="754"/>
      <c r="J8638" s="753"/>
      <c r="K8638" s="753" t="s">
        <v>144</v>
      </c>
      <c r="L8638" s="753"/>
      <c r="M8638" s="753"/>
      <c r="N8638" s="753"/>
      <c r="O8638" s="753"/>
      <c r="P8638" s="753"/>
      <c r="Q8638" s="51"/>
      <c r="R8638" s="530"/>
      <c r="S8638" s="757"/>
      <c r="T8638" s="753"/>
      <c r="AR8638" s="748"/>
      <c r="AS8638" s="753"/>
    </row>
    <row r="8639" spans="1:45" s="901" customFormat="1" ht="13.2">
      <c r="A8639" s="903">
        <v>12</v>
      </c>
      <c r="B8639" s="904" t="s">
        <v>863</v>
      </c>
      <c r="C8639" s="904"/>
      <c r="D8639" s="904" t="s">
        <v>2594</v>
      </c>
      <c r="E8639" s="904"/>
      <c r="F8639" s="904" t="s">
        <v>4128</v>
      </c>
      <c r="G8639" s="905" t="s">
        <v>2595</v>
      </c>
      <c r="H8639" s="902">
        <v>960</v>
      </c>
      <c r="I8639" s="904" t="s">
        <v>2596</v>
      </c>
      <c r="J8639" s="904"/>
      <c r="K8639" s="904"/>
      <c r="L8639" s="904"/>
      <c r="M8639" s="904"/>
      <c r="N8639" s="904"/>
      <c r="O8639" s="902">
        <v>4</v>
      </c>
      <c r="P8639" s="906">
        <v>38274</v>
      </c>
      <c r="Q8639" s="1415">
        <f>37.5*0.873</f>
        <v>32.737499999999997</v>
      </c>
      <c r="R8639" s="908">
        <f>$A8639*Q8639</f>
        <v>392.84999999999997</v>
      </c>
      <c r="S8639" s="907"/>
      <c r="T8639" s="909">
        <f>$A8639*S8639*$T$1</f>
        <v>0</v>
      </c>
      <c r="AR8639" s="903">
        <v>12</v>
      </c>
      <c r="AS8639" s="904" t="s">
        <v>3507</v>
      </c>
    </row>
    <row r="8640" spans="1:45" s="520" customFormat="1" ht="12">
      <c r="A8640" s="758"/>
      <c r="B8640" s="758"/>
      <c r="C8640" s="758"/>
      <c r="D8640" s="758"/>
      <c r="E8640" s="758"/>
      <c r="F8640" s="753"/>
      <c r="G8640" s="758"/>
      <c r="H8640" s="758"/>
      <c r="I8640" s="519"/>
      <c r="J8640" s="758"/>
      <c r="K8640" s="758"/>
      <c r="L8640" s="758"/>
      <c r="M8640" s="758"/>
      <c r="N8640" s="758"/>
      <c r="O8640" s="758"/>
      <c r="P8640" s="758"/>
      <c r="Q8640" s="519"/>
      <c r="R8640" s="759">
        <f>$A8640*Q8640</f>
        <v>0</v>
      </c>
      <c r="S8640" s="519"/>
      <c r="T8640" s="760">
        <f>$A8640*S8640*$T$1</f>
        <v>0</v>
      </c>
      <c r="AR8640" s="758"/>
      <c r="AS8640" s="753"/>
    </row>
    <row r="8641" spans="1:45" s="520" customFormat="1" ht="12.6" thickBot="1">
      <c r="A8641" s="761" t="s">
        <v>145</v>
      </c>
      <c r="B8641" s="762">
        <f>(R8640+T8640)</f>
        <v>0</v>
      </c>
      <c r="C8641" s="763"/>
      <c r="D8641" s="763"/>
      <c r="E8641" s="763"/>
      <c r="F8641" s="764"/>
      <c r="G8641" s="763" t="s">
        <v>146</v>
      </c>
      <c r="H8641" s="763"/>
      <c r="I8641" s="765"/>
      <c r="J8641" s="763"/>
      <c r="K8641" s="763" t="s">
        <v>5</v>
      </c>
      <c r="L8641" s="766" t="s">
        <v>143</v>
      </c>
      <c r="M8641" s="766"/>
      <c r="N8641" s="766"/>
      <c r="O8641" s="766"/>
      <c r="P8641" s="766"/>
      <c r="Q8641" s="767"/>
      <c r="R8641" s="768">
        <f>SUM(R8638:R8640)</f>
        <v>392.84999999999997</v>
      </c>
      <c r="S8641" s="763"/>
      <c r="T8641" s="768">
        <f>SUM(T8638:T8640)</f>
        <v>0</v>
      </c>
      <c r="U8641" s="531"/>
      <c r="V8641" s="531"/>
      <c r="W8641" s="531"/>
      <c r="X8641" s="531"/>
      <c r="Y8641" s="531"/>
      <c r="Z8641" s="531"/>
      <c r="AA8641" s="531"/>
      <c r="AB8641" s="531"/>
      <c r="AC8641" s="531"/>
      <c r="AD8641" s="531"/>
      <c r="AE8641" s="531"/>
      <c r="AF8641" s="531"/>
      <c r="AG8641" s="531"/>
      <c r="AH8641" s="531"/>
      <c r="AI8641" s="531"/>
      <c r="AJ8641" s="531"/>
      <c r="AK8641" s="531"/>
      <c r="AL8641" s="531"/>
      <c r="AM8641" s="531"/>
      <c r="AN8641" s="531"/>
      <c r="AO8641" s="531"/>
      <c r="AR8641" s="761" t="s">
        <v>145</v>
      </c>
      <c r="AS8641" s="764"/>
    </row>
    <row r="8642" spans="1:45" s="520" customFormat="1" ht="12" thickTop="1">
      <c r="A8642" s="51"/>
      <c r="B8642" s="41"/>
      <c r="C8642" s="51"/>
      <c r="E8642" s="42" t="s">
        <v>138</v>
      </c>
      <c r="F8642" s="42" t="s">
        <v>139</v>
      </c>
      <c r="G8642" s="51"/>
      <c r="H8642" s="51"/>
      <c r="I8642" s="51"/>
      <c r="J8642" s="51"/>
      <c r="K8642" s="51" t="s">
        <v>140</v>
      </c>
      <c r="L8642" s="51"/>
      <c r="M8642" s="51"/>
      <c r="N8642" s="51"/>
      <c r="O8642" s="52"/>
      <c r="P8642" s="51"/>
      <c r="Q8642" s="51"/>
      <c r="R8642" s="51"/>
      <c r="S8642" s="51"/>
      <c r="T8642" s="41"/>
      <c r="AG8642" s="521" t="s">
        <v>268</v>
      </c>
      <c r="AH8642" s="521" t="s">
        <v>269</v>
      </c>
      <c r="AI8642" s="521" t="s">
        <v>270</v>
      </c>
      <c r="AJ8642" s="521" t="s">
        <v>271</v>
      </c>
      <c r="AK8642" s="521" t="s">
        <v>272</v>
      </c>
      <c r="AM8642" s="745" t="s">
        <v>281</v>
      </c>
      <c r="AN8642" s="746" t="s">
        <v>282</v>
      </c>
      <c r="AO8642" s="522" t="s">
        <v>278</v>
      </c>
      <c r="AR8642" s="51"/>
      <c r="AS8642" s="42" t="s">
        <v>139</v>
      </c>
    </row>
    <row r="8643" spans="1:45" s="520" customFormat="1" ht="12" customHeight="1">
      <c r="A8643" s="747">
        <v>2</v>
      </c>
      <c r="B8643" s="523" t="s">
        <v>141</v>
      </c>
      <c r="C8643" s="748"/>
      <c r="D8643" s="749" t="s">
        <v>2345</v>
      </c>
      <c r="E8643" s="1145">
        <f>IF(AND($A8643=0,$A$1="DIF"),0, ROUND(ROUND(($R8647*$S$3+($T8647*$T$3))/$A8643,2)*$C$3,2))</f>
        <v>36.950000000000003</v>
      </c>
      <c r="F8643" s="1146">
        <f>ROUND($A8643*$E8643,2)</f>
        <v>73.900000000000006</v>
      </c>
      <c r="G8643" s="752" t="s">
        <v>142</v>
      </c>
      <c r="H8643" s="753"/>
      <c r="I8643" s="754"/>
      <c r="J8643" s="753"/>
      <c r="K8643" s="753" t="s">
        <v>5</v>
      </c>
      <c r="L8643" s="755" t="s">
        <v>143</v>
      </c>
      <c r="M8643" s="755"/>
      <c r="N8643" s="755"/>
      <c r="O8643" s="755"/>
      <c r="P8643" s="755"/>
      <c r="Q8643" s="51"/>
      <c r="T8643" s="1150" t="str">
        <f>IF(AND($R8647=0,$T8647=0),"0.00","mu: "&amp; ROUND(F8643/$C$3/($R8647+$T8647*$D$9),2))</f>
        <v>mu: 1.13</v>
      </c>
      <c r="W8643" s="524"/>
      <c r="AG8643" s="1147">
        <f>IF($E8643=0,0,ROUND($R8647*$S$3*$C$3/$A8643,2))</f>
        <v>36.950000000000003</v>
      </c>
      <c r="AH8643" s="1147">
        <f>$AG8643*$A8643</f>
        <v>73.900000000000006</v>
      </c>
      <c r="AI8643" s="1148">
        <f>$E8643-$AG8643</f>
        <v>0</v>
      </c>
      <c r="AJ8643" s="1148">
        <f>$A8643*$AI8643</f>
        <v>0</v>
      </c>
      <c r="AK8643" s="1149">
        <f>ROUND(($AG8643+$AI8643)*$A8643,2)</f>
        <v>73.900000000000006</v>
      </c>
      <c r="AM8643" s="527">
        <f>ROUND(R8647,2)</f>
        <v>65.48</v>
      </c>
      <c r="AN8643" s="528">
        <f>ROUND(T8647,2)</f>
        <v>0</v>
      </c>
      <c r="AO8643" s="529">
        <f>ROUND(AM8643+AN8643,2)*A8643</f>
        <v>130.96</v>
      </c>
      <c r="AR8643" s="747">
        <v>2</v>
      </c>
      <c r="AS8643" s="1146">
        <v>80.42</v>
      </c>
    </row>
    <row r="8644" spans="1:45" s="520" customFormat="1" ht="13.2">
      <c r="A8644" s="748"/>
      <c r="B8644"/>
      <c r="C8644" s="748"/>
      <c r="D8644" s="749" t="s">
        <v>2062</v>
      </c>
      <c r="F8644" s="753"/>
      <c r="G8644" s="3"/>
      <c r="H8644" s="753"/>
      <c r="I8644" s="754"/>
      <c r="J8644" s="753"/>
      <c r="K8644" s="753" t="s">
        <v>144</v>
      </c>
      <c r="L8644" s="753"/>
      <c r="M8644" s="753"/>
      <c r="N8644" s="753"/>
      <c r="O8644" s="753"/>
      <c r="P8644" s="753"/>
      <c r="Q8644" s="51"/>
      <c r="R8644" s="530"/>
      <c r="S8644" s="757"/>
      <c r="T8644" s="753"/>
      <c r="AR8644" s="748"/>
      <c r="AS8644" s="753"/>
    </row>
    <row r="8645" spans="1:45" s="901" customFormat="1" ht="13.2">
      <c r="A8645" s="903">
        <v>2</v>
      </c>
      <c r="B8645" s="904" t="s">
        <v>863</v>
      </c>
      <c r="C8645" s="904"/>
      <c r="D8645" s="904" t="s">
        <v>2594</v>
      </c>
      <c r="E8645" s="904"/>
      <c r="F8645" s="904" t="s">
        <v>4128</v>
      </c>
      <c r="G8645" s="905" t="s">
        <v>2595</v>
      </c>
      <c r="H8645" s="902">
        <v>960</v>
      </c>
      <c r="I8645" s="904" t="s">
        <v>2596</v>
      </c>
      <c r="J8645" s="904"/>
      <c r="K8645" s="904"/>
      <c r="L8645" s="904"/>
      <c r="M8645" s="904"/>
      <c r="N8645" s="904"/>
      <c r="O8645" s="902">
        <v>4</v>
      </c>
      <c r="P8645" s="906">
        <v>38274</v>
      </c>
      <c r="Q8645" s="1415">
        <f>37.5*0.873</f>
        <v>32.737499999999997</v>
      </c>
      <c r="R8645" s="908">
        <f>$A8645*Q8645</f>
        <v>65.474999999999994</v>
      </c>
      <c r="S8645" s="907"/>
      <c r="T8645" s="909">
        <f>$A8645*S8645*$T$1</f>
        <v>0</v>
      </c>
      <c r="AR8645" s="903">
        <v>2</v>
      </c>
      <c r="AS8645" s="904" t="s">
        <v>3507</v>
      </c>
    </row>
    <row r="8646" spans="1:45" s="520" customFormat="1" ht="12">
      <c r="A8646" s="758"/>
      <c r="B8646" s="758"/>
      <c r="C8646" s="758"/>
      <c r="D8646" s="758"/>
      <c r="E8646" s="758"/>
      <c r="F8646" s="753"/>
      <c r="G8646" s="758"/>
      <c r="H8646" s="758"/>
      <c r="I8646" s="519"/>
      <c r="J8646" s="758"/>
      <c r="K8646" s="758"/>
      <c r="L8646" s="758"/>
      <c r="M8646" s="758"/>
      <c r="N8646" s="758"/>
      <c r="O8646" s="758"/>
      <c r="P8646" s="758"/>
      <c r="Q8646" s="519"/>
      <c r="R8646" s="759">
        <f>$A8646*Q8646</f>
        <v>0</v>
      </c>
      <c r="S8646" s="519"/>
      <c r="T8646" s="760">
        <f>$A8646*S8646*$T$1</f>
        <v>0</v>
      </c>
      <c r="AR8646" s="758"/>
      <c r="AS8646" s="753"/>
    </row>
    <row r="8647" spans="1:45" s="520" customFormat="1" ht="12.6" thickBot="1">
      <c r="A8647" s="761" t="s">
        <v>145</v>
      </c>
      <c r="B8647" s="762">
        <f>(R8646+T8646)</f>
        <v>0</v>
      </c>
      <c r="C8647" s="763"/>
      <c r="D8647" s="763"/>
      <c r="E8647" s="763"/>
      <c r="F8647" s="764"/>
      <c r="G8647" s="763" t="s">
        <v>146</v>
      </c>
      <c r="H8647" s="763"/>
      <c r="I8647" s="765"/>
      <c r="J8647" s="763"/>
      <c r="K8647" s="763" t="s">
        <v>5</v>
      </c>
      <c r="L8647" s="766" t="s">
        <v>143</v>
      </c>
      <c r="M8647" s="766"/>
      <c r="N8647" s="766"/>
      <c r="O8647" s="766"/>
      <c r="P8647" s="766"/>
      <c r="Q8647" s="767"/>
      <c r="R8647" s="768">
        <f>SUM(R8644:R8646)</f>
        <v>65.474999999999994</v>
      </c>
      <c r="S8647" s="763"/>
      <c r="T8647" s="768">
        <f>SUM(T8644:T8646)</f>
        <v>0</v>
      </c>
      <c r="U8647" s="531"/>
      <c r="V8647" s="531"/>
      <c r="W8647" s="531"/>
      <c r="X8647" s="531"/>
      <c r="Y8647" s="531"/>
      <c r="Z8647" s="531"/>
      <c r="AA8647" s="531"/>
      <c r="AB8647" s="531"/>
      <c r="AC8647" s="531"/>
      <c r="AD8647" s="531"/>
      <c r="AE8647" s="531"/>
      <c r="AF8647" s="531"/>
      <c r="AG8647" s="531"/>
      <c r="AH8647" s="531"/>
      <c r="AI8647" s="531"/>
      <c r="AJ8647" s="531"/>
      <c r="AK8647" s="531"/>
      <c r="AL8647" s="531"/>
      <c r="AM8647" s="531"/>
      <c r="AN8647" s="531"/>
      <c r="AO8647" s="531"/>
      <c r="AR8647" s="761" t="s">
        <v>145</v>
      </c>
      <c r="AS8647" s="764"/>
    </row>
    <row r="8648" spans="1:45" s="520" customFormat="1" ht="12" thickTop="1">
      <c r="A8648" s="51"/>
      <c r="B8648" s="41"/>
      <c r="C8648" s="51"/>
      <c r="E8648" s="42" t="s">
        <v>138</v>
      </c>
      <c r="F8648" s="42" t="s">
        <v>139</v>
      </c>
      <c r="G8648" s="51"/>
      <c r="H8648" s="51"/>
      <c r="I8648" s="51"/>
      <c r="J8648" s="51"/>
      <c r="K8648" s="51" t="s">
        <v>140</v>
      </c>
      <c r="L8648" s="51"/>
      <c r="M8648" s="51"/>
      <c r="N8648" s="51"/>
      <c r="O8648" s="52"/>
      <c r="P8648" s="51"/>
      <c r="Q8648" s="51"/>
      <c r="R8648" s="51"/>
      <c r="S8648" s="51"/>
      <c r="T8648" s="41"/>
      <c r="AG8648" s="521" t="s">
        <v>268</v>
      </c>
      <c r="AH8648" s="521" t="s">
        <v>269</v>
      </c>
      <c r="AI8648" s="521" t="s">
        <v>270</v>
      </c>
      <c r="AJ8648" s="521" t="s">
        <v>271</v>
      </c>
      <c r="AK8648" s="521" t="s">
        <v>272</v>
      </c>
      <c r="AM8648" s="745" t="s">
        <v>281</v>
      </c>
      <c r="AN8648" s="746" t="s">
        <v>282</v>
      </c>
      <c r="AO8648" s="522" t="s">
        <v>278</v>
      </c>
      <c r="AR8648" s="51"/>
      <c r="AS8648" s="42" t="s">
        <v>139</v>
      </c>
    </row>
    <row r="8649" spans="1:45" s="520" customFormat="1" ht="12" customHeight="1">
      <c r="A8649" s="747">
        <v>1</v>
      </c>
      <c r="B8649" s="523" t="s">
        <v>141</v>
      </c>
      <c r="C8649" s="748"/>
      <c r="D8649" s="749" t="s">
        <v>2346</v>
      </c>
      <c r="E8649" s="1145">
        <f>IF(AND($A8649=0,$A$1="DIF"),0, ROUND(ROUND(($R8653*$S$3+($T8653*$T$3))/$A8649,2)*$C$3,2))</f>
        <v>36.950000000000003</v>
      </c>
      <c r="F8649" s="1146">
        <f>ROUND($A8649*$E8649,2)</f>
        <v>36.950000000000003</v>
      </c>
      <c r="G8649" s="752" t="s">
        <v>142</v>
      </c>
      <c r="H8649" s="753"/>
      <c r="I8649" s="754"/>
      <c r="J8649" s="753"/>
      <c r="K8649" s="753" t="s">
        <v>5</v>
      </c>
      <c r="L8649" s="755" t="s">
        <v>143</v>
      </c>
      <c r="M8649" s="755"/>
      <c r="N8649" s="755"/>
      <c r="O8649" s="755"/>
      <c r="P8649" s="755"/>
      <c r="Q8649" s="51"/>
      <c r="T8649" s="1150" t="str">
        <f>IF(AND($R8653=0,$T8653=0),"0.00","mu: "&amp; ROUND(F8649/$C$3/($R8653+$T8653*$D$9),2))</f>
        <v>mu: 1.13</v>
      </c>
      <c r="W8649" s="524"/>
      <c r="AG8649" s="1147">
        <f>IF($E8649=0,0,ROUND($R8653*$S$3*$C$3/$A8649,2))</f>
        <v>36.950000000000003</v>
      </c>
      <c r="AH8649" s="1147">
        <f>$AG8649*$A8649</f>
        <v>36.950000000000003</v>
      </c>
      <c r="AI8649" s="1148">
        <f>$E8649-$AG8649</f>
        <v>0</v>
      </c>
      <c r="AJ8649" s="1148">
        <f>$A8649*$AI8649</f>
        <v>0</v>
      </c>
      <c r="AK8649" s="1149">
        <f>ROUND(($AG8649+$AI8649)*$A8649,2)</f>
        <v>36.950000000000003</v>
      </c>
      <c r="AM8649" s="527">
        <f>ROUND(R8653,2)</f>
        <v>32.74</v>
      </c>
      <c r="AN8649" s="528">
        <f>ROUND(T8653,2)</f>
        <v>0</v>
      </c>
      <c r="AO8649" s="529">
        <f>ROUND(AM8649+AN8649,2)*A8649</f>
        <v>32.74</v>
      </c>
      <c r="AR8649" s="747">
        <v>1</v>
      </c>
      <c r="AS8649" s="1146">
        <v>40.21</v>
      </c>
    </row>
    <row r="8650" spans="1:45" s="520" customFormat="1" ht="13.2">
      <c r="A8650" s="748"/>
      <c r="B8650"/>
      <c r="C8650" s="748"/>
      <c r="D8650" s="749" t="s">
        <v>2078</v>
      </c>
      <c r="F8650" s="753"/>
      <c r="G8650" s="3"/>
      <c r="H8650" s="753"/>
      <c r="I8650" s="754"/>
      <c r="J8650" s="753"/>
      <c r="K8650" s="753" t="s">
        <v>144</v>
      </c>
      <c r="L8650" s="753"/>
      <c r="M8650" s="753"/>
      <c r="N8650" s="753"/>
      <c r="O8650" s="753"/>
      <c r="P8650" s="753"/>
      <c r="Q8650" s="51"/>
      <c r="R8650" s="530"/>
      <c r="S8650" s="757"/>
      <c r="T8650" s="753"/>
      <c r="AR8650" s="748"/>
      <c r="AS8650" s="753"/>
    </row>
    <row r="8651" spans="1:45" s="901" customFormat="1" ht="13.2">
      <c r="A8651" s="903">
        <v>1</v>
      </c>
      <c r="B8651" s="904" t="s">
        <v>863</v>
      </c>
      <c r="C8651" s="904"/>
      <c r="D8651" s="904" t="s">
        <v>2594</v>
      </c>
      <c r="E8651" s="904"/>
      <c r="F8651" s="904" t="s">
        <v>4128</v>
      </c>
      <c r="G8651" s="905" t="s">
        <v>2595</v>
      </c>
      <c r="H8651" s="902">
        <v>960</v>
      </c>
      <c r="I8651" s="904" t="s">
        <v>2596</v>
      </c>
      <c r="J8651" s="904"/>
      <c r="K8651" s="904"/>
      <c r="L8651" s="904"/>
      <c r="M8651" s="904"/>
      <c r="N8651" s="904"/>
      <c r="O8651" s="902">
        <v>4</v>
      </c>
      <c r="P8651" s="906">
        <v>38274</v>
      </c>
      <c r="Q8651" s="1415">
        <f>37.5*0.873</f>
        <v>32.737499999999997</v>
      </c>
      <c r="R8651" s="908">
        <f>$A8651*Q8651</f>
        <v>32.737499999999997</v>
      </c>
      <c r="S8651" s="907"/>
      <c r="T8651" s="909">
        <f>$A8651*S8651*$T$1</f>
        <v>0</v>
      </c>
      <c r="AR8651" s="903">
        <v>1</v>
      </c>
      <c r="AS8651" s="904" t="s">
        <v>3507</v>
      </c>
    </row>
    <row r="8652" spans="1:45" s="520" customFormat="1" ht="12">
      <c r="A8652" s="758"/>
      <c r="B8652" s="758"/>
      <c r="C8652" s="758"/>
      <c r="D8652" s="758"/>
      <c r="E8652" s="758"/>
      <c r="F8652" s="753"/>
      <c r="G8652" s="758"/>
      <c r="H8652" s="758"/>
      <c r="I8652" s="519"/>
      <c r="J8652" s="758"/>
      <c r="K8652" s="758"/>
      <c r="L8652" s="758"/>
      <c r="M8652" s="758"/>
      <c r="N8652" s="758"/>
      <c r="O8652" s="758"/>
      <c r="P8652" s="758"/>
      <c r="Q8652" s="519"/>
      <c r="R8652" s="759">
        <f>$A8652*Q8652</f>
        <v>0</v>
      </c>
      <c r="S8652" s="519"/>
      <c r="T8652" s="760">
        <f>$A8652*S8652*$T$1</f>
        <v>0</v>
      </c>
      <c r="AR8652" s="758"/>
      <c r="AS8652" s="753"/>
    </row>
    <row r="8653" spans="1:45" s="520" customFormat="1" ht="12.6" thickBot="1">
      <c r="A8653" s="761" t="s">
        <v>145</v>
      </c>
      <c r="B8653" s="762">
        <f>(R8652+T8652)</f>
        <v>0</v>
      </c>
      <c r="C8653" s="763"/>
      <c r="D8653" s="763"/>
      <c r="E8653" s="763"/>
      <c r="F8653" s="764"/>
      <c r="G8653" s="763" t="s">
        <v>146</v>
      </c>
      <c r="H8653" s="763"/>
      <c r="I8653" s="765"/>
      <c r="J8653" s="763"/>
      <c r="K8653" s="763" t="s">
        <v>5</v>
      </c>
      <c r="L8653" s="766" t="s">
        <v>143</v>
      </c>
      <c r="M8653" s="766"/>
      <c r="N8653" s="766"/>
      <c r="O8653" s="766"/>
      <c r="P8653" s="766"/>
      <c r="Q8653" s="767"/>
      <c r="R8653" s="768">
        <f>SUM(R8650:R8652)</f>
        <v>32.737499999999997</v>
      </c>
      <c r="S8653" s="763"/>
      <c r="T8653" s="768">
        <f>SUM(T8650:T8652)</f>
        <v>0</v>
      </c>
      <c r="U8653" s="531"/>
      <c r="V8653" s="531"/>
      <c r="W8653" s="531"/>
      <c r="X8653" s="531"/>
      <c r="Y8653" s="531"/>
      <c r="Z8653" s="531"/>
      <c r="AA8653" s="531"/>
      <c r="AB8653" s="531"/>
      <c r="AC8653" s="531"/>
      <c r="AD8653" s="531"/>
      <c r="AE8653" s="531"/>
      <c r="AF8653" s="531"/>
      <c r="AG8653" s="531"/>
      <c r="AH8653" s="531"/>
      <c r="AI8653" s="531"/>
      <c r="AJ8653" s="531"/>
      <c r="AK8653" s="531"/>
      <c r="AL8653" s="531"/>
      <c r="AM8653" s="531"/>
      <c r="AN8653" s="531"/>
      <c r="AO8653" s="531"/>
      <c r="AR8653" s="761" t="s">
        <v>145</v>
      </c>
      <c r="AS8653" s="764"/>
    </row>
    <row r="8654" spans="1:45" s="520" customFormat="1" ht="12" thickTop="1">
      <c r="A8654" s="51"/>
      <c r="B8654" s="41"/>
      <c r="C8654" s="51"/>
      <c r="E8654" s="42" t="s">
        <v>138</v>
      </c>
      <c r="F8654" s="42" t="s">
        <v>139</v>
      </c>
      <c r="G8654" s="51"/>
      <c r="H8654" s="51"/>
      <c r="I8654" s="51"/>
      <c r="J8654" s="51"/>
      <c r="K8654" s="51" t="s">
        <v>140</v>
      </c>
      <c r="L8654" s="51"/>
      <c r="M8654" s="51"/>
      <c r="N8654" s="51"/>
      <c r="O8654" s="52"/>
      <c r="P8654" s="51"/>
      <c r="Q8654" s="51"/>
      <c r="R8654" s="51"/>
      <c r="S8654" s="51"/>
      <c r="T8654" s="41"/>
      <c r="AG8654" s="521" t="s">
        <v>268</v>
      </c>
      <c r="AH8654" s="521" t="s">
        <v>269</v>
      </c>
      <c r="AI8654" s="521" t="s">
        <v>270</v>
      </c>
      <c r="AJ8654" s="521" t="s">
        <v>271</v>
      </c>
      <c r="AK8654" s="521" t="s">
        <v>272</v>
      </c>
      <c r="AM8654" s="745" t="s">
        <v>281</v>
      </c>
      <c r="AN8654" s="746" t="s">
        <v>282</v>
      </c>
      <c r="AO8654" s="522" t="s">
        <v>278</v>
      </c>
      <c r="AR8654" s="51"/>
      <c r="AS8654" s="42" t="s">
        <v>139</v>
      </c>
    </row>
    <row r="8655" spans="1:45" s="520" customFormat="1" ht="12" customHeight="1">
      <c r="A8655" s="747">
        <v>4</v>
      </c>
      <c r="B8655" s="523" t="s">
        <v>141</v>
      </c>
      <c r="C8655" s="748"/>
      <c r="D8655" s="749" t="s">
        <v>2347</v>
      </c>
      <c r="E8655" s="1145">
        <f>IF(AND($A8655=0,$A$1="DIF"),0, ROUND(ROUND(($R8659*$S$3+($T8659*$T$3))/$A8655,2)*$C$3,2))</f>
        <v>36.950000000000003</v>
      </c>
      <c r="F8655" s="1146">
        <f>ROUND($A8655*$E8655,2)</f>
        <v>147.80000000000001</v>
      </c>
      <c r="G8655" s="752" t="s">
        <v>142</v>
      </c>
      <c r="H8655" s="753"/>
      <c r="I8655" s="754"/>
      <c r="J8655" s="753"/>
      <c r="K8655" s="753" t="s">
        <v>5</v>
      </c>
      <c r="L8655" s="755" t="s">
        <v>143</v>
      </c>
      <c r="M8655" s="755"/>
      <c r="N8655" s="755"/>
      <c r="O8655" s="755"/>
      <c r="P8655" s="755"/>
      <c r="Q8655" s="51"/>
      <c r="T8655" s="1150" t="str">
        <f>IF(AND($R8659=0,$T8659=0),"0.00","mu: "&amp; ROUND(F8655/$C$3/($R8659+$T8659*$D$9),2))</f>
        <v>mu: 1.13</v>
      </c>
      <c r="W8655" s="524"/>
      <c r="AG8655" s="1147">
        <f>IF($E8655=0,0,ROUND($R8659*$S$3*$C$3/$A8655,2))</f>
        <v>36.950000000000003</v>
      </c>
      <c r="AH8655" s="1147">
        <f>$AG8655*$A8655</f>
        <v>147.80000000000001</v>
      </c>
      <c r="AI8655" s="1148">
        <f>$E8655-$AG8655</f>
        <v>0</v>
      </c>
      <c r="AJ8655" s="1148">
        <f>$A8655*$AI8655</f>
        <v>0</v>
      </c>
      <c r="AK8655" s="1149">
        <f>ROUND(($AG8655+$AI8655)*$A8655,2)</f>
        <v>147.80000000000001</v>
      </c>
      <c r="AM8655" s="527">
        <f>ROUND(R8659,2)</f>
        <v>130.94999999999999</v>
      </c>
      <c r="AN8655" s="528">
        <f>ROUND(T8659,2)</f>
        <v>0</v>
      </c>
      <c r="AO8655" s="529">
        <f>ROUND(AM8655+AN8655,2)*A8655</f>
        <v>523.79999999999995</v>
      </c>
      <c r="AR8655" s="747">
        <v>4</v>
      </c>
      <c r="AS8655" s="1146">
        <v>160.84</v>
      </c>
    </row>
    <row r="8656" spans="1:45" s="520" customFormat="1" ht="13.2">
      <c r="A8656" s="748"/>
      <c r="B8656"/>
      <c r="C8656" s="748"/>
      <c r="D8656" s="749" t="s">
        <v>2065</v>
      </c>
      <c r="F8656" s="753"/>
      <c r="G8656" s="3"/>
      <c r="H8656" s="753"/>
      <c r="I8656" s="754"/>
      <c r="J8656" s="753"/>
      <c r="K8656" s="753" t="s">
        <v>144</v>
      </c>
      <c r="L8656" s="753"/>
      <c r="M8656" s="753"/>
      <c r="N8656" s="753"/>
      <c r="O8656" s="753"/>
      <c r="P8656" s="753"/>
      <c r="Q8656" s="51"/>
      <c r="R8656" s="530"/>
      <c r="S8656" s="757"/>
      <c r="T8656" s="753"/>
      <c r="AR8656" s="748"/>
      <c r="AS8656" s="753"/>
    </row>
    <row r="8657" spans="1:45" s="901" customFormat="1" ht="13.2">
      <c r="A8657" s="903">
        <v>4</v>
      </c>
      <c r="B8657" s="904" t="s">
        <v>863</v>
      </c>
      <c r="C8657" s="904"/>
      <c r="D8657" s="904" t="s">
        <v>2594</v>
      </c>
      <c r="E8657" s="904"/>
      <c r="F8657" s="904" t="s">
        <v>4128</v>
      </c>
      <c r="G8657" s="905" t="s">
        <v>2595</v>
      </c>
      <c r="H8657" s="902">
        <v>960</v>
      </c>
      <c r="I8657" s="904" t="s">
        <v>2596</v>
      </c>
      <c r="J8657" s="904"/>
      <c r="K8657" s="904"/>
      <c r="L8657" s="904"/>
      <c r="M8657" s="904"/>
      <c r="N8657" s="904"/>
      <c r="O8657" s="902">
        <v>4</v>
      </c>
      <c r="P8657" s="906">
        <v>38274</v>
      </c>
      <c r="Q8657" s="1415">
        <f>37.5*0.873</f>
        <v>32.737499999999997</v>
      </c>
      <c r="R8657" s="908">
        <f>$A8657*Q8657</f>
        <v>130.94999999999999</v>
      </c>
      <c r="S8657" s="907"/>
      <c r="T8657" s="909">
        <f>$A8657*S8657*$T$1</f>
        <v>0</v>
      </c>
      <c r="AR8657" s="903">
        <v>4</v>
      </c>
      <c r="AS8657" s="904" t="s">
        <v>3507</v>
      </c>
    </row>
    <row r="8658" spans="1:45" s="520" customFormat="1" ht="12">
      <c r="A8658" s="758"/>
      <c r="B8658" s="758"/>
      <c r="C8658" s="758"/>
      <c r="D8658" s="758"/>
      <c r="E8658" s="758"/>
      <c r="F8658" s="753"/>
      <c r="G8658" s="758"/>
      <c r="H8658" s="758"/>
      <c r="I8658" s="519"/>
      <c r="J8658" s="758"/>
      <c r="K8658" s="758"/>
      <c r="L8658" s="758"/>
      <c r="M8658" s="758"/>
      <c r="N8658" s="758"/>
      <c r="O8658" s="758"/>
      <c r="P8658" s="758"/>
      <c r="Q8658" s="519"/>
      <c r="R8658" s="759">
        <f>$A8658*Q8658</f>
        <v>0</v>
      </c>
      <c r="S8658" s="519"/>
      <c r="T8658" s="760">
        <f>$A8658*S8658*$T$1</f>
        <v>0</v>
      </c>
      <c r="AR8658" s="758"/>
      <c r="AS8658" s="753"/>
    </row>
    <row r="8659" spans="1:45" s="520" customFormat="1" ht="12.6" thickBot="1">
      <c r="A8659" s="761" t="s">
        <v>145</v>
      </c>
      <c r="B8659" s="762">
        <f>(R8658+T8658)</f>
        <v>0</v>
      </c>
      <c r="C8659" s="763"/>
      <c r="D8659" s="763"/>
      <c r="E8659" s="763"/>
      <c r="F8659" s="764"/>
      <c r="G8659" s="763" t="s">
        <v>146</v>
      </c>
      <c r="H8659" s="763"/>
      <c r="I8659" s="765"/>
      <c r="J8659" s="763"/>
      <c r="K8659" s="763" t="s">
        <v>5</v>
      </c>
      <c r="L8659" s="766" t="s">
        <v>143</v>
      </c>
      <c r="M8659" s="766"/>
      <c r="N8659" s="766"/>
      <c r="O8659" s="766"/>
      <c r="P8659" s="766"/>
      <c r="Q8659" s="767"/>
      <c r="R8659" s="768">
        <f>SUM(R8656:R8658)</f>
        <v>130.94999999999999</v>
      </c>
      <c r="S8659" s="763"/>
      <c r="T8659" s="768">
        <f>SUM(T8656:T8658)</f>
        <v>0</v>
      </c>
      <c r="U8659" s="531"/>
      <c r="V8659" s="531"/>
      <c r="W8659" s="531"/>
      <c r="X8659" s="531"/>
      <c r="Y8659" s="531"/>
      <c r="Z8659" s="531"/>
      <c r="AA8659" s="531"/>
      <c r="AB8659" s="531"/>
      <c r="AC8659" s="531"/>
      <c r="AD8659" s="531"/>
      <c r="AE8659" s="531"/>
      <c r="AF8659" s="531"/>
      <c r="AG8659" s="531"/>
      <c r="AH8659" s="531"/>
      <c r="AI8659" s="531"/>
      <c r="AJ8659" s="531"/>
      <c r="AK8659" s="531"/>
      <c r="AL8659" s="531"/>
      <c r="AM8659" s="531"/>
      <c r="AN8659" s="531"/>
      <c r="AO8659" s="531"/>
      <c r="AR8659" s="761" t="s">
        <v>145</v>
      </c>
      <c r="AS8659" s="764"/>
    </row>
    <row r="8660" spans="1:45" s="520" customFormat="1" ht="12" thickTop="1">
      <c r="A8660" s="51"/>
      <c r="B8660" s="41"/>
      <c r="C8660" s="51"/>
      <c r="E8660" s="42" t="s">
        <v>138</v>
      </c>
      <c r="F8660" s="42" t="s">
        <v>139</v>
      </c>
      <c r="G8660" s="51"/>
      <c r="H8660" s="51"/>
      <c r="I8660" s="51"/>
      <c r="J8660" s="51"/>
      <c r="K8660" s="51" t="s">
        <v>140</v>
      </c>
      <c r="L8660" s="51"/>
      <c r="M8660" s="51"/>
      <c r="N8660" s="51"/>
      <c r="O8660" s="52"/>
      <c r="P8660" s="51"/>
      <c r="Q8660" s="51"/>
      <c r="R8660" s="51"/>
      <c r="S8660" s="51"/>
      <c r="T8660" s="41"/>
      <c r="AG8660" s="521" t="s">
        <v>268</v>
      </c>
      <c r="AH8660" s="521" t="s">
        <v>269</v>
      </c>
      <c r="AI8660" s="521" t="s">
        <v>270</v>
      </c>
      <c r="AJ8660" s="521" t="s">
        <v>271</v>
      </c>
      <c r="AK8660" s="521" t="s">
        <v>272</v>
      </c>
      <c r="AM8660" s="745" t="s">
        <v>281</v>
      </c>
      <c r="AN8660" s="746" t="s">
        <v>282</v>
      </c>
      <c r="AO8660" s="522" t="s">
        <v>278</v>
      </c>
      <c r="AR8660" s="51"/>
      <c r="AS8660" s="42" t="s">
        <v>139</v>
      </c>
    </row>
    <row r="8661" spans="1:45" s="520" customFormat="1" ht="12" customHeight="1">
      <c r="A8661" s="747">
        <v>1</v>
      </c>
      <c r="B8661" s="523" t="s">
        <v>141</v>
      </c>
      <c r="C8661" s="748"/>
      <c r="D8661" s="749" t="s">
        <v>2348</v>
      </c>
      <c r="E8661" s="1145">
        <f>IF(AND($A8661=0,$A$1="DIF"),0, ROUND(ROUND(($R8665*$S$3+($T8665*$T$3))/$A8661,2)*$C$3,2))</f>
        <v>36.950000000000003</v>
      </c>
      <c r="F8661" s="1146">
        <f>ROUND($A8661*$E8661,2)</f>
        <v>36.950000000000003</v>
      </c>
      <c r="G8661" s="752" t="s">
        <v>142</v>
      </c>
      <c r="H8661" s="753"/>
      <c r="I8661" s="754"/>
      <c r="J8661" s="753"/>
      <c r="K8661" s="753" t="s">
        <v>5</v>
      </c>
      <c r="L8661" s="755" t="s">
        <v>143</v>
      </c>
      <c r="M8661" s="755"/>
      <c r="N8661" s="755"/>
      <c r="O8661" s="755"/>
      <c r="P8661" s="755"/>
      <c r="Q8661" s="51"/>
      <c r="T8661" s="1150" t="str">
        <f>IF(AND($R8665=0,$T8665=0),"0.00","mu: "&amp; ROUND(F8661/$C$3/($R8665+$T8665*$D$9),2))</f>
        <v>mu: 1.13</v>
      </c>
      <c r="W8661" s="524"/>
      <c r="AG8661" s="1147">
        <f>IF($E8661=0,0,ROUND($R8665*$S$3*$C$3/$A8661,2))</f>
        <v>36.950000000000003</v>
      </c>
      <c r="AH8661" s="1147">
        <f>$AG8661*$A8661</f>
        <v>36.950000000000003</v>
      </c>
      <c r="AI8661" s="1148">
        <f>$E8661-$AG8661</f>
        <v>0</v>
      </c>
      <c r="AJ8661" s="1148">
        <f>$A8661*$AI8661</f>
        <v>0</v>
      </c>
      <c r="AK8661" s="1149">
        <f>ROUND(($AG8661+$AI8661)*$A8661,2)</f>
        <v>36.950000000000003</v>
      </c>
      <c r="AM8661" s="527">
        <f>ROUND(R8665,2)</f>
        <v>32.74</v>
      </c>
      <c r="AN8661" s="528">
        <f>ROUND(T8665,2)</f>
        <v>0</v>
      </c>
      <c r="AO8661" s="529">
        <f>ROUND(AM8661+AN8661,2)*A8661</f>
        <v>32.74</v>
      </c>
      <c r="AR8661" s="747">
        <v>1</v>
      </c>
      <c r="AS8661" s="1146">
        <v>40.21</v>
      </c>
    </row>
    <row r="8662" spans="1:45" s="520" customFormat="1" ht="13.2">
      <c r="A8662" s="748"/>
      <c r="B8662"/>
      <c r="C8662" s="748"/>
      <c r="D8662" s="749" t="s">
        <v>2079</v>
      </c>
      <c r="F8662" s="753"/>
      <c r="G8662" s="3"/>
      <c r="H8662" s="753"/>
      <c r="I8662" s="754"/>
      <c r="J8662" s="753"/>
      <c r="K8662" s="753" t="s">
        <v>144</v>
      </c>
      <c r="L8662" s="753"/>
      <c r="M8662" s="753"/>
      <c r="N8662" s="753"/>
      <c r="O8662" s="753"/>
      <c r="P8662" s="753"/>
      <c r="Q8662" s="51"/>
      <c r="R8662" s="530"/>
      <c r="S8662" s="757"/>
      <c r="T8662" s="753"/>
      <c r="AR8662" s="748"/>
      <c r="AS8662" s="753"/>
    </row>
    <row r="8663" spans="1:45" s="901" customFormat="1" ht="13.2">
      <c r="A8663" s="903">
        <v>1</v>
      </c>
      <c r="B8663" s="904" t="s">
        <v>863</v>
      </c>
      <c r="C8663" s="904"/>
      <c r="D8663" s="904" t="s">
        <v>2594</v>
      </c>
      <c r="E8663" s="904"/>
      <c r="F8663" s="904" t="s">
        <v>4128</v>
      </c>
      <c r="G8663" s="905" t="s">
        <v>2595</v>
      </c>
      <c r="H8663" s="902">
        <v>960</v>
      </c>
      <c r="I8663" s="904" t="s">
        <v>2596</v>
      </c>
      <c r="J8663" s="904"/>
      <c r="K8663" s="904"/>
      <c r="L8663" s="904"/>
      <c r="M8663" s="904"/>
      <c r="N8663" s="904"/>
      <c r="O8663" s="902">
        <v>4</v>
      </c>
      <c r="P8663" s="906">
        <v>38274</v>
      </c>
      <c r="Q8663" s="1415">
        <f>37.5*0.873</f>
        <v>32.737499999999997</v>
      </c>
      <c r="R8663" s="908">
        <f>$A8663*Q8663</f>
        <v>32.737499999999997</v>
      </c>
      <c r="S8663" s="907"/>
      <c r="T8663" s="909">
        <f>$A8663*S8663*$T$1</f>
        <v>0</v>
      </c>
      <c r="AR8663" s="903">
        <v>1</v>
      </c>
      <c r="AS8663" s="904" t="s">
        <v>3507</v>
      </c>
    </row>
    <row r="8664" spans="1:45" s="520" customFormat="1" ht="12">
      <c r="A8664" s="758"/>
      <c r="B8664" s="758"/>
      <c r="C8664" s="758"/>
      <c r="D8664" s="758"/>
      <c r="E8664" s="758"/>
      <c r="F8664" s="753"/>
      <c r="G8664" s="758"/>
      <c r="H8664" s="758"/>
      <c r="I8664" s="519"/>
      <c r="J8664" s="758"/>
      <c r="K8664" s="758"/>
      <c r="L8664" s="758"/>
      <c r="M8664" s="758"/>
      <c r="N8664" s="758"/>
      <c r="O8664" s="758"/>
      <c r="P8664" s="758"/>
      <c r="Q8664" s="519"/>
      <c r="R8664" s="759">
        <f>$A8664*Q8664</f>
        <v>0</v>
      </c>
      <c r="S8664" s="519"/>
      <c r="T8664" s="760">
        <f>$A8664*S8664*$T$1</f>
        <v>0</v>
      </c>
      <c r="AR8664" s="758"/>
      <c r="AS8664" s="753"/>
    </row>
    <row r="8665" spans="1:45" s="520" customFormat="1" ht="12.6" thickBot="1">
      <c r="A8665" s="761" t="s">
        <v>145</v>
      </c>
      <c r="B8665" s="762">
        <f>(R8664+T8664)</f>
        <v>0</v>
      </c>
      <c r="C8665" s="763"/>
      <c r="D8665" s="763"/>
      <c r="E8665" s="763"/>
      <c r="F8665" s="764"/>
      <c r="G8665" s="763" t="s">
        <v>146</v>
      </c>
      <c r="H8665" s="763"/>
      <c r="I8665" s="765"/>
      <c r="J8665" s="763"/>
      <c r="K8665" s="763" t="s">
        <v>5</v>
      </c>
      <c r="L8665" s="766" t="s">
        <v>143</v>
      </c>
      <c r="M8665" s="766"/>
      <c r="N8665" s="766"/>
      <c r="O8665" s="766"/>
      <c r="P8665" s="766"/>
      <c r="Q8665" s="767"/>
      <c r="R8665" s="768">
        <f>SUM(R8662:R8664)</f>
        <v>32.737499999999997</v>
      </c>
      <c r="S8665" s="763"/>
      <c r="T8665" s="768">
        <f>SUM(T8662:T8664)</f>
        <v>0</v>
      </c>
      <c r="U8665" s="531"/>
      <c r="V8665" s="531"/>
      <c r="W8665" s="531"/>
      <c r="X8665" s="531"/>
      <c r="Y8665" s="531"/>
      <c r="Z8665" s="531"/>
      <c r="AA8665" s="531"/>
      <c r="AB8665" s="531"/>
      <c r="AC8665" s="531"/>
      <c r="AD8665" s="531"/>
      <c r="AE8665" s="531"/>
      <c r="AF8665" s="531"/>
      <c r="AG8665" s="531"/>
      <c r="AH8665" s="531"/>
      <c r="AI8665" s="531"/>
      <c r="AJ8665" s="531"/>
      <c r="AK8665" s="531"/>
      <c r="AL8665" s="531"/>
      <c r="AM8665" s="531"/>
      <c r="AN8665" s="531"/>
      <c r="AO8665" s="531"/>
      <c r="AR8665" s="761" t="s">
        <v>145</v>
      </c>
      <c r="AS8665" s="764"/>
    </row>
    <row r="8666" spans="1:45" s="520" customFormat="1" ht="12" thickTop="1">
      <c r="A8666" s="51"/>
      <c r="B8666" s="41"/>
      <c r="C8666" s="51"/>
      <c r="E8666" s="42" t="s">
        <v>138</v>
      </c>
      <c r="F8666" s="42" t="s">
        <v>139</v>
      </c>
      <c r="G8666" s="51"/>
      <c r="H8666" s="51"/>
      <c r="I8666" s="51"/>
      <c r="J8666" s="51"/>
      <c r="K8666" s="51" t="s">
        <v>140</v>
      </c>
      <c r="L8666" s="51"/>
      <c r="M8666" s="51"/>
      <c r="N8666" s="51"/>
      <c r="O8666" s="52"/>
      <c r="P8666" s="51"/>
      <c r="Q8666" s="51"/>
      <c r="R8666" s="51"/>
      <c r="S8666" s="51"/>
      <c r="T8666" s="41"/>
      <c r="AG8666" s="521" t="s">
        <v>268</v>
      </c>
      <c r="AH8666" s="521" t="s">
        <v>269</v>
      </c>
      <c r="AI8666" s="521" t="s">
        <v>270</v>
      </c>
      <c r="AJ8666" s="521" t="s">
        <v>271</v>
      </c>
      <c r="AK8666" s="521" t="s">
        <v>272</v>
      </c>
      <c r="AM8666" s="745" t="s">
        <v>281</v>
      </c>
      <c r="AN8666" s="746" t="s">
        <v>282</v>
      </c>
      <c r="AO8666" s="522" t="s">
        <v>278</v>
      </c>
      <c r="AR8666" s="51"/>
      <c r="AS8666" s="42" t="s">
        <v>139</v>
      </c>
    </row>
    <row r="8667" spans="1:45" s="520" customFormat="1" ht="12" customHeight="1">
      <c r="A8667" s="747">
        <v>1</v>
      </c>
      <c r="B8667" s="523" t="s">
        <v>141</v>
      </c>
      <c r="C8667" s="748"/>
      <c r="D8667" s="749" t="s">
        <v>2349</v>
      </c>
      <c r="E8667" s="1145">
        <f>IF(AND($A8667=0,$A$1="DIF"),0, ROUND(ROUND(($R8671*$S$3+($T8671*$T$3))/$A8667,2)*$C$3,2))</f>
        <v>36.950000000000003</v>
      </c>
      <c r="F8667" s="1146">
        <f>ROUND($A8667*$E8667,2)</f>
        <v>36.950000000000003</v>
      </c>
      <c r="G8667" s="752" t="s">
        <v>142</v>
      </c>
      <c r="H8667" s="753"/>
      <c r="I8667" s="754"/>
      <c r="J8667" s="753"/>
      <c r="K8667" s="753" t="s">
        <v>5</v>
      </c>
      <c r="L8667" s="755" t="s">
        <v>143</v>
      </c>
      <c r="M8667" s="755"/>
      <c r="N8667" s="755"/>
      <c r="O8667" s="755"/>
      <c r="P8667" s="755"/>
      <c r="Q8667" s="51"/>
      <c r="T8667" s="1150" t="str">
        <f>IF(AND($R8671=0,$T8671=0),"0.00","mu: "&amp; ROUND(F8667/$C$3/($R8671+$T8671*$D$9),2))</f>
        <v>mu: 1.13</v>
      </c>
      <c r="W8667" s="524"/>
      <c r="AG8667" s="1147">
        <f>IF($E8667=0,0,ROUND($R8671*$S$3*$C$3/$A8667,2))</f>
        <v>36.950000000000003</v>
      </c>
      <c r="AH8667" s="1147">
        <f>$AG8667*$A8667</f>
        <v>36.950000000000003</v>
      </c>
      <c r="AI8667" s="1148">
        <f>$E8667-$AG8667</f>
        <v>0</v>
      </c>
      <c r="AJ8667" s="1148">
        <f>$A8667*$AI8667</f>
        <v>0</v>
      </c>
      <c r="AK8667" s="1149">
        <f>ROUND(($AG8667+$AI8667)*$A8667,2)</f>
        <v>36.950000000000003</v>
      </c>
      <c r="AM8667" s="527">
        <f>ROUND(R8671,2)</f>
        <v>32.74</v>
      </c>
      <c r="AN8667" s="528">
        <f>ROUND(T8671,2)</f>
        <v>0</v>
      </c>
      <c r="AO8667" s="529">
        <f>ROUND(AM8667+AN8667,2)*A8667</f>
        <v>32.74</v>
      </c>
      <c r="AR8667" s="747">
        <v>1</v>
      </c>
      <c r="AS8667" s="1146">
        <v>40.21</v>
      </c>
    </row>
    <row r="8668" spans="1:45" s="520" customFormat="1" ht="13.2">
      <c r="A8668" s="748"/>
      <c r="B8668"/>
      <c r="C8668" s="748"/>
      <c r="D8668" s="749" t="s">
        <v>2068</v>
      </c>
      <c r="F8668" s="753"/>
      <c r="G8668" s="3"/>
      <c r="H8668" s="753"/>
      <c r="I8668" s="754"/>
      <c r="J8668" s="753"/>
      <c r="K8668" s="753" t="s">
        <v>144</v>
      </c>
      <c r="L8668" s="753"/>
      <c r="M8668" s="753"/>
      <c r="N8668" s="753"/>
      <c r="O8668" s="753"/>
      <c r="P8668" s="753"/>
      <c r="Q8668" s="51"/>
      <c r="R8668" s="530"/>
      <c r="S8668" s="757"/>
      <c r="T8668" s="753"/>
      <c r="AR8668" s="748"/>
      <c r="AS8668" s="753"/>
    </row>
    <row r="8669" spans="1:45" s="901" customFormat="1" ht="13.2">
      <c r="A8669" s="903">
        <v>1</v>
      </c>
      <c r="B8669" s="904" t="s">
        <v>863</v>
      </c>
      <c r="C8669" s="904"/>
      <c r="D8669" s="904" t="s">
        <v>2594</v>
      </c>
      <c r="E8669" s="904"/>
      <c r="F8669" s="904" t="s">
        <v>4128</v>
      </c>
      <c r="G8669" s="905" t="s">
        <v>2595</v>
      </c>
      <c r="H8669" s="902">
        <v>960</v>
      </c>
      <c r="I8669" s="904" t="s">
        <v>2596</v>
      </c>
      <c r="J8669" s="904"/>
      <c r="K8669" s="904"/>
      <c r="L8669" s="904"/>
      <c r="M8669" s="904"/>
      <c r="N8669" s="904"/>
      <c r="O8669" s="902">
        <v>4</v>
      </c>
      <c r="P8669" s="906">
        <v>38274</v>
      </c>
      <c r="Q8669" s="1415">
        <f>37.5*0.873</f>
        <v>32.737499999999997</v>
      </c>
      <c r="R8669" s="908">
        <f>$A8669*Q8669</f>
        <v>32.737499999999997</v>
      </c>
      <c r="S8669" s="907"/>
      <c r="T8669" s="909">
        <f>$A8669*S8669*$T$1</f>
        <v>0</v>
      </c>
      <c r="AR8669" s="903">
        <v>1</v>
      </c>
      <c r="AS8669" s="904" t="s">
        <v>3507</v>
      </c>
    </row>
    <row r="8670" spans="1:45" s="520" customFormat="1" ht="12">
      <c r="A8670" s="758"/>
      <c r="B8670" s="758"/>
      <c r="C8670" s="758"/>
      <c r="D8670" s="758"/>
      <c r="E8670" s="758"/>
      <c r="F8670" s="753"/>
      <c r="G8670" s="758"/>
      <c r="H8670" s="758"/>
      <c r="I8670" s="519"/>
      <c r="J8670" s="758"/>
      <c r="K8670" s="758"/>
      <c r="L8670" s="758"/>
      <c r="M8670" s="758"/>
      <c r="N8670" s="758"/>
      <c r="O8670" s="758"/>
      <c r="P8670" s="758"/>
      <c r="Q8670" s="519"/>
      <c r="R8670" s="759">
        <f>$A8670*Q8670</f>
        <v>0</v>
      </c>
      <c r="S8670" s="519"/>
      <c r="T8670" s="760">
        <f>$A8670*S8670*$T$1</f>
        <v>0</v>
      </c>
      <c r="AR8670" s="758"/>
      <c r="AS8670" s="753"/>
    </row>
    <row r="8671" spans="1:45" s="520" customFormat="1" ht="12.6" thickBot="1">
      <c r="A8671" s="761" t="s">
        <v>145</v>
      </c>
      <c r="B8671" s="762">
        <f>(R8670+T8670)</f>
        <v>0</v>
      </c>
      <c r="C8671" s="763"/>
      <c r="D8671" s="763"/>
      <c r="E8671" s="763"/>
      <c r="F8671" s="764"/>
      <c r="G8671" s="763" t="s">
        <v>146</v>
      </c>
      <c r="H8671" s="763"/>
      <c r="I8671" s="765"/>
      <c r="J8671" s="763"/>
      <c r="K8671" s="763" t="s">
        <v>5</v>
      </c>
      <c r="L8671" s="766" t="s">
        <v>143</v>
      </c>
      <c r="M8671" s="766"/>
      <c r="N8671" s="766"/>
      <c r="O8671" s="766"/>
      <c r="P8671" s="766"/>
      <c r="Q8671" s="767"/>
      <c r="R8671" s="768">
        <f>SUM(R8668:R8670)</f>
        <v>32.737499999999997</v>
      </c>
      <c r="S8671" s="763"/>
      <c r="T8671" s="768">
        <f>SUM(T8668:T8670)</f>
        <v>0</v>
      </c>
      <c r="U8671" s="531"/>
      <c r="V8671" s="531"/>
      <c r="W8671" s="531"/>
      <c r="X8671" s="531"/>
      <c r="Y8671" s="531"/>
      <c r="Z8671" s="531"/>
      <c r="AA8671" s="531"/>
      <c r="AB8671" s="531"/>
      <c r="AC8671" s="531"/>
      <c r="AD8671" s="531"/>
      <c r="AE8671" s="531"/>
      <c r="AF8671" s="531"/>
      <c r="AG8671" s="531"/>
      <c r="AH8671" s="531"/>
      <c r="AI8671" s="531"/>
      <c r="AJ8671" s="531"/>
      <c r="AK8671" s="531"/>
      <c r="AL8671" s="531"/>
      <c r="AM8671" s="531"/>
      <c r="AN8671" s="531"/>
      <c r="AO8671" s="531"/>
      <c r="AR8671" s="761" t="s">
        <v>145</v>
      </c>
      <c r="AS8671" s="764"/>
    </row>
    <row r="8672" spans="1:45" s="520" customFormat="1" ht="12" thickTop="1">
      <c r="A8672" s="51"/>
      <c r="B8672" s="41"/>
      <c r="C8672" s="51"/>
      <c r="E8672" s="42" t="s">
        <v>138</v>
      </c>
      <c r="F8672" s="42" t="s">
        <v>139</v>
      </c>
      <c r="G8672" s="51"/>
      <c r="H8672" s="51"/>
      <c r="I8672" s="51"/>
      <c r="J8672" s="51"/>
      <c r="K8672" s="51" t="s">
        <v>140</v>
      </c>
      <c r="L8672" s="51"/>
      <c r="M8672" s="51"/>
      <c r="N8672" s="51"/>
      <c r="O8672" s="52"/>
      <c r="P8672" s="51"/>
      <c r="Q8672" s="51"/>
      <c r="R8672" s="51"/>
      <c r="S8672" s="51"/>
      <c r="T8672" s="41"/>
      <c r="AG8672" s="521" t="s">
        <v>268</v>
      </c>
      <c r="AH8672" s="521" t="s">
        <v>269</v>
      </c>
      <c r="AI8672" s="521" t="s">
        <v>270</v>
      </c>
      <c r="AJ8672" s="521" t="s">
        <v>271</v>
      </c>
      <c r="AK8672" s="521" t="s">
        <v>272</v>
      </c>
      <c r="AM8672" s="745" t="s">
        <v>281</v>
      </c>
      <c r="AN8672" s="746" t="s">
        <v>282</v>
      </c>
      <c r="AO8672" s="522" t="s">
        <v>278</v>
      </c>
      <c r="AR8672" s="51"/>
      <c r="AS8672" s="42" t="s">
        <v>139</v>
      </c>
    </row>
    <row r="8673" spans="1:45" s="520" customFormat="1" ht="12" customHeight="1">
      <c r="A8673" s="747">
        <v>1</v>
      </c>
      <c r="B8673" s="523" t="s">
        <v>141</v>
      </c>
      <c r="C8673" s="748"/>
      <c r="D8673" s="749" t="s">
        <v>2350</v>
      </c>
      <c r="E8673" s="1145">
        <f>IF(AND($A8673=0,$A$1="DIF"),0, ROUND(ROUND(($R8677*$S$3+($T8677*$T$3))/$A8673,2)*$C$3,2))</f>
        <v>36.950000000000003</v>
      </c>
      <c r="F8673" s="1146">
        <f>ROUND($A8673*$E8673,2)</f>
        <v>36.950000000000003</v>
      </c>
      <c r="G8673" s="752" t="s">
        <v>142</v>
      </c>
      <c r="H8673" s="753"/>
      <c r="I8673" s="754"/>
      <c r="J8673" s="753"/>
      <c r="K8673" s="753" t="s">
        <v>5</v>
      </c>
      <c r="L8673" s="755" t="s">
        <v>143</v>
      </c>
      <c r="M8673" s="755"/>
      <c r="N8673" s="755"/>
      <c r="O8673" s="755"/>
      <c r="P8673" s="755"/>
      <c r="Q8673" s="51"/>
      <c r="T8673" s="1150" t="str">
        <f>IF(AND($R8677=0,$T8677=0),"0.00","mu: "&amp; ROUND(F8673/$C$3/($R8677+$T8677*$D$9),2))</f>
        <v>mu: 1.13</v>
      </c>
      <c r="W8673" s="524"/>
      <c r="AG8673" s="1147">
        <f>IF($E8673=0,0,ROUND($R8677*$S$3*$C$3/$A8673,2))</f>
        <v>36.950000000000003</v>
      </c>
      <c r="AH8673" s="1147">
        <f>$AG8673*$A8673</f>
        <v>36.950000000000003</v>
      </c>
      <c r="AI8673" s="1148">
        <f>$E8673-$AG8673</f>
        <v>0</v>
      </c>
      <c r="AJ8673" s="1148">
        <f>$A8673*$AI8673</f>
        <v>0</v>
      </c>
      <c r="AK8673" s="1149">
        <f>ROUND(($AG8673+$AI8673)*$A8673,2)</f>
        <v>36.950000000000003</v>
      </c>
      <c r="AM8673" s="527">
        <f>ROUND(R8677,2)</f>
        <v>32.74</v>
      </c>
      <c r="AN8673" s="528">
        <f>ROUND(T8677,2)</f>
        <v>0</v>
      </c>
      <c r="AO8673" s="529">
        <f>ROUND(AM8673+AN8673,2)*A8673</f>
        <v>32.74</v>
      </c>
      <c r="AR8673" s="747">
        <v>1</v>
      </c>
      <c r="AS8673" s="1146">
        <v>40.21</v>
      </c>
    </row>
    <row r="8674" spans="1:45" s="520" customFormat="1" ht="13.2">
      <c r="A8674" s="748"/>
      <c r="B8674"/>
      <c r="C8674" s="748"/>
      <c r="D8674" s="749" t="s">
        <v>2080</v>
      </c>
      <c r="F8674" s="753"/>
      <c r="G8674" s="3"/>
      <c r="H8674" s="753"/>
      <c r="I8674" s="754"/>
      <c r="J8674" s="753"/>
      <c r="K8674" s="753" t="s">
        <v>144</v>
      </c>
      <c r="L8674" s="753"/>
      <c r="M8674" s="753"/>
      <c r="N8674" s="753"/>
      <c r="O8674" s="753"/>
      <c r="P8674" s="753"/>
      <c r="Q8674" s="51"/>
      <c r="R8674" s="530"/>
      <c r="S8674" s="757"/>
      <c r="T8674" s="753"/>
      <c r="AR8674" s="748"/>
      <c r="AS8674" s="753"/>
    </row>
    <row r="8675" spans="1:45" s="901" customFormat="1" ht="13.2">
      <c r="A8675" s="903">
        <v>1</v>
      </c>
      <c r="B8675" s="904" t="s">
        <v>863</v>
      </c>
      <c r="C8675" s="904"/>
      <c r="D8675" s="904" t="s">
        <v>2594</v>
      </c>
      <c r="E8675" s="904"/>
      <c r="F8675" s="904" t="s">
        <v>4128</v>
      </c>
      <c r="G8675" s="905" t="s">
        <v>2595</v>
      </c>
      <c r="H8675" s="902">
        <v>960</v>
      </c>
      <c r="I8675" s="904" t="s">
        <v>2596</v>
      </c>
      <c r="J8675" s="904"/>
      <c r="K8675" s="904"/>
      <c r="L8675" s="904"/>
      <c r="M8675" s="904"/>
      <c r="N8675" s="904"/>
      <c r="O8675" s="902">
        <v>4</v>
      </c>
      <c r="P8675" s="906">
        <v>38274</v>
      </c>
      <c r="Q8675" s="1415">
        <f>37.5*0.873</f>
        <v>32.737499999999997</v>
      </c>
      <c r="R8675" s="908">
        <f>$A8675*Q8675</f>
        <v>32.737499999999997</v>
      </c>
      <c r="S8675" s="907"/>
      <c r="T8675" s="909">
        <f>$A8675*S8675*$T$1</f>
        <v>0</v>
      </c>
      <c r="AR8675" s="903">
        <v>1</v>
      </c>
      <c r="AS8675" s="904" t="s">
        <v>3507</v>
      </c>
    </row>
    <row r="8676" spans="1:45" s="520" customFormat="1" ht="12">
      <c r="A8676" s="758"/>
      <c r="B8676" s="758"/>
      <c r="C8676" s="758"/>
      <c r="D8676" s="758"/>
      <c r="E8676" s="758"/>
      <c r="F8676" s="753"/>
      <c r="G8676" s="758"/>
      <c r="H8676" s="758"/>
      <c r="I8676" s="519"/>
      <c r="J8676" s="758"/>
      <c r="K8676" s="758"/>
      <c r="L8676" s="758"/>
      <c r="M8676" s="758"/>
      <c r="N8676" s="758"/>
      <c r="O8676" s="758"/>
      <c r="P8676" s="758"/>
      <c r="Q8676" s="519"/>
      <c r="R8676" s="759">
        <f>$A8676*Q8676</f>
        <v>0</v>
      </c>
      <c r="S8676" s="519"/>
      <c r="T8676" s="760">
        <f>$A8676*S8676*$T$1</f>
        <v>0</v>
      </c>
      <c r="AR8676" s="758"/>
      <c r="AS8676" s="753"/>
    </row>
    <row r="8677" spans="1:45" s="520" customFormat="1" ht="12.6" thickBot="1">
      <c r="A8677" s="761" t="s">
        <v>145</v>
      </c>
      <c r="B8677" s="762">
        <f>(R8676+T8676)</f>
        <v>0</v>
      </c>
      <c r="C8677" s="763"/>
      <c r="D8677" s="763"/>
      <c r="E8677" s="763"/>
      <c r="F8677" s="764"/>
      <c r="G8677" s="763" t="s">
        <v>146</v>
      </c>
      <c r="H8677" s="763"/>
      <c r="I8677" s="765"/>
      <c r="J8677" s="763"/>
      <c r="K8677" s="763" t="s">
        <v>5</v>
      </c>
      <c r="L8677" s="766" t="s">
        <v>143</v>
      </c>
      <c r="M8677" s="766"/>
      <c r="N8677" s="766"/>
      <c r="O8677" s="766"/>
      <c r="P8677" s="766"/>
      <c r="Q8677" s="767"/>
      <c r="R8677" s="768">
        <f>SUM(R8674:R8676)</f>
        <v>32.737499999999997</v>
      </c>
      <c r="S8677" s="763"/>
      <c r="T8677" s="768">
        <f>SUM(T8674:T8676)</f>
        <v>0</v>
      </c>
      <c r="U8677" s="531"/>
      <c r="V8677" s="531"/>
      <c r="W8677" s="531"/>
      <c r="X8677" s="531"/>
      <c r="Y8677" s="531"/>
      <c r="Z8677" s="531"/>
      <c r="AA8677" s="531"/>
      <c r="AB8677" s="531"/>
      <c r="AC8677" s="531"/>
      <c r="AD8677" s="531"/>
      <c r="AE8677" s="531"/>
      <c r="AF8677" s="531"/>
      <c r="AG8677" s="531"/>
      <c r="AH8677" s="531"/>
      <c r="AI8677" s="531"/>
      <c r="AJ8677" s="531"/>
      <c r="AK8677" s="531"/>
      <c r="AL8677" s="531"/>
      <c r="AM8677" s="531"/>
      <c r="AN8677" s="531"/>
      <c r="AO8677" s="531"/>
      <c r="AR8677" s="761" t="s">
        <v>145</v>
      </c>
      <c r="AS8677" s="764"/>
    </row>
    <row r="8678" spans="1:45" s="520" customFormat="1" ht="12" thickTop="1">
      <c r="A8678" s="51"/>
      <c r="B8678" s="41"/>
      <c r="C8678" s="51"/>
      <c r="E8678" s="42" t="s">
        <v>138</v>
      </c>
      <c r="F8678" s="42" t="s">
        <v>139</v>
      </c>
      <c r="G8678" s="51"/>
      <c r="H8678" s="51"/>
      <c r="I8678" s="51"/>
      <c r="J8678" s="51"/>
      <c r="K8678" s="51" t="s">
        <v>140</v>
      </c>
      <c r="L8678" s="51"/>
      <c r="M8678" s="51"/>
      <c r="N8678" s="51"/>
      <c r="O8678" s="52"/>
      <c r="P8678" s="51"/>
      <c r="Q8678" s="51"/>
      <c r="R8678" s="51"/>
      <c r="S8678" s="51"/>
      <c r="T8678" s="41"/>
      <c r="AG8678" s="521" t="s">
        <v>268</v>
      </c>
      <c r="AH8678" s="521" t="s">
        <v>269</v>
      </c>
      <c r="AI8678" s="521" t="s">
        <v>270</v>
      </c>
      <c r="AJ8678" s="521" t="s">
        <v>271</v>
      </c>
      <c r="AK8678" s="521" t="s">
        <v>272</v>
      </c>
      <c r="AM8678" s="745" t="s">
        <v>281</v>
      </c>
      <c r="AN8678" s="746" t="s">
        <v>282</v>
      </c>
      <c r="AO8678" s="522" t="s">
        <v>278</v>
      </c>
      <c r="AR8678" s="51"/>
      <c r="AS8678" s="42" t="s">
        <v>139</v>
      </c>
    </row>
    <row r="8679" spans="1:45" s="520" customFormat="1" ht="12" customHeight="1">
      <c r="A8679" s="747">
        <v>1</v>
      </c>
      <c r="B8679" s="523" t="s">
        <v>141</v>
      </c>
      <c r="C8679" s="748"/>
      <c r="D8679" s="749" t="s">
        <v>2351</v>
      </c>
      <c r="E8679" s="1145">
        <f>IF(AND($A8679=0,$A$1="DIF"),0, ROUND(ROUND(($R8683*$S$3+($T8683*$T$3))/$A8679,2)*$C$3,2))</f>
        <v>36.950000000000003</v>
      </c>
      <c r="F8679" s="1146">
        <f>ROUND($A8679*$E8679,2)</f>
        <v>36.950000000000003</v>
      </c>
      <c r="G8679" s="752" t="s">
        <v>142</v>
      </c>
      <c r="H8679" s="753"/>
      <c r="I8679" s="754"/>
      <c r="J8679" s="753"/>
      <c r="K8679" s="753" t="s">
        <v>5</v>
      </c>
      <c r="L8679" s="755" t="s">
        <v>143</v>
      </c>
      <c r="M8679" s="755"/>
      <c r="N8679" s="755"/>
      <c r="O8679" s="755"/>
      <c r="P8679" s="755"/>
      <c r="Q8679" s="51"/>
      <c r="T8679" s="1150" t="str">
        <f>IF(AND($R8683=0,$T8683=0),"0.00","mu: "&amp; ROUND(F8679/$C$3/($R8683+$T8683*$D$9),2))</f>
        <v>mu: 1.13</v>
      </c>
      <c r="W8679" s="524"/>
      <c r="AG8679" s="1147">
        <f>IF($E8679=0,0,ROUND($R8683*$S$3*$C$3/$A8679,2))</f>
        <v>36.950000000000003</v>
      </c>
      <c r="AH8679" s="1147">
        <f>$AG8679*$A8679</f>
        <v>36.950000000000003</v>
      </c>
      <c r="AI8679" s="1148">
        <f>$E8679-$AG8679</f>
        <v>0</v>
      </c>
      <c r="AJ8679" s="1148">
        <f>$A8679*$AI8679</f>
        <v>0</v>
      </c>
      <c r="AK8679" s="1149">
        <f>ROUND(($AG8679+$AI8679)*$A8679,2)</f>
        <v>36.950000000000003</v>
      </c>
      <c r="AM8679" s="527">
        <f>ROUND(R8683,2)</f>
        <v>32.74</v>
      </c>
      <c r="AN8679" s="528">
        <f>ROUND(T8683,2)</f>
        <v>0</v>
      </c>
      <c r="AO8679" s="529">
        <f>ROUND(AM8679+AN8679,2)*A8679</f>
        <v>32.74</v>
      </c>
      <c r="AR8679" s="747">
        <v>1</v>
      </c>
      <c r="AS8679" s="1146">
        <v>40.21</v>
      </c>
    </row>
    <row r="8680" spans="1:45" s="520" customFormat="1" ht="13.2">
      <c r="A8680" s="748"/>
      <c r="B8680"/>
      <c r="C8680" s="748"/>
      <c r="D8680" s="749" t="s">
        <v>2081</v>
      </c>
      <c r="F8680" s="753"/>
      <c r="G8680" s="3"/>
      <c r="H8680" s="753"/>
      <c r="I8680" s="754"/>
      <c r="J8680" s="753"/>
      <c r="K8680" s="753" t="s">
        <v>144</v>
      </c>
      <c r="L8680" s="753"/>
      <c r="M8680" s="753"/>
      <c r="N8680" s="753"/>
      <c r="O8680" s="753"/>
      <c r="P8680" s="753"/>
      <c r="Q8680" s="51"/>
      <c r="R8680" s="530"/>
      <c r="S8680" s="757"/>
      <c r="T8680" s="753"/>
      <c r="AR8680" s="748"/>
      <c r="AS8680" s="753"/>
    </row>
    <row r="8681" spans="1:45" s="901" customFormat="1" ht="13.2">
      <c r="A8681" s="903">
        <v>1</v>
      </c>
      <c r="B8681" s="904" t="s">
        <v>863</v>
      </c>
      <c r="C8681" s="904"/>
      <c r="D8681" s="904" t="s">
        <v>2594</v>
      </c>
      <c r="E8681" s="904"/>
      <c r="F8681" s="904" t="s">
        <v>4128</v>
      </c>
      <c r="G8681" s="905" t="s">
        <v>2595</v>
      </c>
      <c r="H8681" s="902">
        <v>960</v>
      </c>
      <c r="I8681" s="904" t="s">
        <v>2596</v>
      </c>
      <c r="J8681" s="904"/>
      <c r="K8681" s="904"/>
      <c r="L8681" s="904"/>
      <c r="M8681" s="904"/>
      <c r="N8681" s="904"/>
      <c r="O8681" s="902">
        <v>4</v>
      </c>
      <c r="P8681" s="906">
        <v>38274</v>
      </c>
      <c r="Q8681" s="1415">
        <f>37.5*0.873</f>
        <v>32.737499999999997</v>
      </c>
      <c r="R8681" s="908">
        <f>$A8681*Q8681</f>
        <v>32.737499999999997</v>
      </c>
      <c r="S8681" s="907"/>
      <c r="T8681" s="909">
        <f>$A8681*S8681*$T$1</f>
        <v>0</v>
      </c>
      <c r="AR8681" s="903">
        <v>1</v>
      </c>
      <c r="AS8681" s="904" t="s">
        <v>3507</v>
      </c>
    </row>
    <row r="8682" spans="1:45" s="520" customFormat="1" ht="12">
      <c r="A8682" s="758"/>
      <c r="B8682" s="758"/>
      <c r="C8682" s="758"/>
      <c r="D8682" s="758"/>
      <c r="E8682" s="758"/>
      <c r="F8682" s="753"/>
      <c r="G8682" s="758"/>
      <c r="H8682" s="758"/>
      <c r="I8682" s="519"/>
      <c r="J8682" s="758"/>
      <c r="K8682" s="758"/>
      <c r="L8682" s="758"/>
      <c r="M8682" s="758"/>
      <c r="N8682" s="758"/>
      <c r="O8682" s="758"/>
      <c r="P8682" s="758"/>
      <c r="Q8682" s="519"/>
      <c r="R8682" s="759">
        <f>$A8682*Q8682</f>
        <v>0</v>
      </c>
      <c r="S8682" s="519"/>
      <c r="T8682" s="760">
        <f>$A8682*S8682*$T$1</f>
        <v>0</v>
      </c>
      <c r="AR8682" s="758"/>
      <c r="AS8682" s="753"/>
    </row>
    <row r="8683" spans="1:45" s="520" customFormat="1" ht="12.6" thickBot="1">
      <c r="A8683" s="761" t="s">
        <v>145</v>
      </c>
      <c r="B8683" s="762">
        <f>(R8682+T8682)</f>
        <v>0</v>
      </c>
      <c r="C8683" s="763"/>
      <c r="D8683" s="763"/>
      <c r="E8683" s="763"/>
      <c r="F8683" s="764"/>
      <c r="G8683" s="763" t="s">
        <v>146</v>
      </c>
      <c r="H8683" s="763"/>
      <c r="I8683" s="765"/>
      <c r="J8683" s="763"/>
      <c r="K8683" s="763" t="s">
        <v>5</v>
      </c>
      <c r="L8683" s="766" t="s">
        <v>143</v>
      </c>
      <c r="M8683" s="766"/>
      <c r="N8683" s="766"/>
      <c r="O8683" s="766"/>
      <c r="P8683" s="766"/>
      <c r="Q8683" s="767"/>
      <c r="R8683" s="768">
        <f>SUM(R8680:R8682)</f>
        <v>32.737499999999997</v>
      </c>
      <c r="S8683" s="763"/>
      <c r="T8683" s="768">
        <f>SUM(T8680:T8682)</f>
        <v>0</v>
      </c>
      <c r="U8683" s="531"/>
      <c r="V8683" s="531"/>
      <c r="W8683" s="531"/>
      <c r="X8683" s="531"/>
      <c r="Y8683" s="531"/>
      <c r="Z8683" s="531"/>
      <c r="AA8683" s="531"/>
      <c r="AB8683" s="531"/>
      <c r="AC8683" s="531"/>
      <c r="AD8683" s="531"/>
      <c r="AE8683" s="531"/>
      <c r="AF8683" s="531"/>
      <c r="AG8683" s="531"/>
      <c r="AH8683" s="531"/>
      <c r="AI8683" s="531"/>
      <c r="AJ8683" s="531"/>
      <c r="AK8683" s="531"/>
      <c r="AL8683" s="531"/>
      <c r="AM8683" s="531"/>
      <c r="AN8683" s="531"/>
      <c r="AO8683" s="531"/>
      <c r="AR8683" s="761" t="s">
        <v>145</v>
      </c>
      <c r="AS8683" s="764"/>
    </row>
    <row r="8684" spans="1:45" s="520" customFormat="1" thickTop="1">
      <c r="A8684" s="51"/>
      <c r="B8684" s="51"/>
      <c r="C8684" s="3"/>
      <c r="D8684" s="3"/>
      <c r="E8684" s="51"/>
      <c r="F8684" s="51"/>
      <c r="G8684" s="51"/>
      <c r="H8684" s="51"/>
      <c r="I8684" s="51"/>
      <c r="J8684" s="51"/>
      <c r="K8684" s="51" t="s">
        <v>134</v>
      </c>
      <c r="L8684" s="51"/>
      <c r="M8684" s="51"/>
      <c r="N8684" s="51"/>
      <c r="O8684" s="52"/>
      <c r="P8684" s="51"/>
      <c r="Q8684" s="51"/>
      <c r="R8684" s="51"/>
      <c r="S8684" s="51"/>
      <c r="T8684" s="51"/>
      <c r="AR8684" s="51"/>
      <c r="AS8684" s="51"/>
    </row>
    <row r="8685" spans="1:45" s="520" customFormat="1" ht="12">
      <c r="A8685" s="51"/>
      <c r="B8685" s="51"/>
      <c r="C8685" s="51" t="s">
        <v>135</v>
      </c>
      <c r="D8685" s="37"/>
      <c r="E8685" s="51"/>
      <c r="F8685" s="51"/>
      <c r="G8685" s="51"/>
      <c r="H8685" s="51"/>
      <c r="I8685" s="51"/>
      <c r="J8685" s="51"/>
      <c r="K8685" s="51"/>
      <c r="L8685" s="51"/>
      <c r="M8685" s="51"/>
      <c r="N8685" s="51"/>
      <c r="O8685" s="52"/>
      <c r="P8685" s="51"/>
      <c r="Q8685" s="51"/>
      <c r="R8685" s="51"/>
      <c r="S8685" s="51"/>
      <c r="T8685" s="51"/>
      <c r="AR8685" s="51"/>
      <c r="AS8685" s="51"/>
    </row>
    <row r="8686" spans="1:45" s="520" customFormat="1" ht="12">
      <c r="A8686" s="51"/>
      <c r="B8686" s="51"/>
      <c r="C8686" s="51"/>
      <c r="D8686" s="37" t="s">
        <v>2070</v>
      </c>
      <c r="E8686" s="51"/>
      <c r="F8686" s="51"/>
      <c r="G8686" s="51"/>
      <c r="H8686" s="51"/>
      <c r="I8686" s="51"/>
      <c r="J8686" s="51"/>
      <c r="K8686" s="51"/>
      <c r="L8686" s="51"/>
      <c r="M8686" s="51"/>
      <c r="N8686" s="51"/>
      <c r="O8686" s="52"/>
      <c r="P8686" s="51"/>
      <c r="Q8686" s="51"/>
      <c r="R8686" s="51"/>
      <c r="S8686" s="38"/>
      <c r="T8686" s="38"/>
      <c r="AR8686" s="51"/>
      <c r="AS8686" s="51"/>
    </row>
    <row r="8687" spans="1:45" s="3" customFormat="1" thickBot="1">
      <c r="A8687" s="531"/>
      <c r="O8687" s="107"/>
      <c r="AR8687" s="531"/>
    </row>
    <row r="8688" spans="1:45" s="520" customFormat="1" ht="12" thickTop="1">
      <c r="A8688" s="51"/>
      <c r="B8688" s="41"/>
      <c r="C8688" s="51"/>
      <c r="E8688" s="42" t="s">
        <v>138</v>
      </c>
      <c r="F8688" s="42" t="s">
        <v>139</v>
      </c>
      <c r="G8688" s="51"/>
      <c r="H8688" s="51"/>
      <c r="I8688" s="51"/>
      <c r="J8688" s="51"/>
      <c r="K8688" s="51" t="s">
        <v>140</v>
      </c>
      <c r="L8688" s="51"/>
      <c r="M8688" s="51"/>
      <c r="N8688" s="51"/>
      <c r="O8688" s="52"/>
      <c r="P8688" s="51"/>
      <c r="Q8688" s="51"/>
      <c r="R8688" s="51"/>
      <c r="S8688" s="51"/>
      <c r="T8688" s="41"/>
      <c r="AG8688" s="521" t="s">
        <v>268</v>
      </c>
      <c r="AH8688" s="521" t="s">
        <v>269</v>
      </c>
      <c r="AI8688" s="521" t="s">
        <v>270</v>
      </c>
      <c r="AJ8688" s="521" t="s">
        <v>271</v>
      </c>
      <c r="AK8688" s="521" t="s">
        <v>272</v>
      </c>
      <c r="AM8688" s="745" t="s">
        <v>281</v>
      </c>
      <c r="AN8688" s="746" t="s">
        <v>282</v>
      </c>
      <c r="AO8688" s="522" t="s">
        <v>278</v>
      </c>
      <c r="AR8688" s="51"/>
      <c r="AS8688" s="42" t="s">
        <v>139</v>
      </c>
    </row>
    <row r="8689" spans="1:45" s="520" customFormat="1" ht="12" customHeight="1">
      <c r="A8689" s="747">
        <v>12</v>
      </c>
      <c r="B8689" s="523" t="s">
        <v>141</v>
      </c>
      <c r="C8689" s="748"/>
      <c r="D8689" s="749" t="s">
        <v>2352</v>
      </c>
      <c r="E8689" s="1145">
        <f>IF(AND($A8689=0,$A$1="DIF"),0, ROUND(ROUND(($R8693*$S$3+($T8693*$T$3))/$A8689,2)*$C$3,2))</f>
        <v>52.23</v>
      </c>
      <c r="F8689" s="1146">
        <f>ROUND($A8689*$E8689,2)</f>
        <v>626.76</v>
      </c>
      <c r="G8689" s="752" t="s">
        <v>142</v>
      </c>
      <c r="H8689" s="753"/>
      <c r="I8689" s="754"/>
      <c r="J8689" s="753"/>
      <c r="K8689" s="753" t="s">
        <v>5</v>
      </c>
      <c r="L8689" s="755" t="s">
        <v>143</v>
      </c>
      <c r="M8689" s="755"/>
      <c r="N8689" s="755"/>
      <c r="O8689" s="755"/>
      <c r="P8689" s="755"/>
      <c r="Q8689" s="51"/>
      <c r="T8689" s="1150" t="str">
        <f>IF(AND($R8693=0,$T8693=0),"0.00","mu: "&amp; ROUND(F8689/$C$3/($R8693+$T8693*$D$9),2))</f>
        <v>mu: 1.13</v>
      </c>
      <c r="W8689" s="524"/>
      <c r="AG8689" s="1147">
        <f>IF($E8689=0,0,ROUND($R8693*$S$3*$C$3/$A8689,2))</f>
        <v>52.23</v>
      </c>
      <c r="AH8689" s="1147">
        <f>$AG8689*$A8689</f>
        <v>626.76</v>
      </c>
      <c r="AI8689" s="1148">
        <f>$E8689-$AG8689</f>
        <v>0</v>
      </c>
      <c r="AJ8689" s="1148">
        <f>$A8689*$AI8689</f>
        <v>0</v>
      </c>
      <c r="AK8689" s="1149">
        <f>ROUND(($AG8689+$AI8689)*$A8689,2)</f>
        <v>626.76</v>
      </c>
      <c r="AM8689" s="527">
        <f>ROUND(R8693,2)</f>
        <v>555.23</v>
      </c>
      <c r="AN8689" s="528">
        <f>ROUND(T8693,2)</f>
        <v>0</v>
      </c>
      <c r="AO8689" s="529">
        <f>ROUND(AM8689+AN8689,2)*A8689</f>
        <v>6662.76</v>
      </c>
      <c r="AR8689" s="747">
        <v>12</v>
      </c>
      <c r="AS8689" s="1146">
        <v>681.96</v>
      </c>
    </row>
    <row r="8690" spans="1:45" s="520" customFormat="1" ht="13.2">
      <c r="A8690" s="748"/>
      <c r="B8690"/>
      <c r="C8690" s="748"/>
      <c r="D8690" s="749" t="s">
        <v>2061</v>
      </c>
      <c r="F8690" s="753"/>
      <c r="G8690" s="3"/>
      <c r="H8690" s="753"/>
      <c r="I8690" s="754"/>
      <c r="J8690" s="753"/>
      <c r="K8690" s="753" t="s">
        <v>144</v>
      </c>
      <c r="L8690" s="753"/>
      <c r="M8690" s="753"/>
      <c r="N8690" s="753"/>
      <c r="O8690" s="753"/>
      <c r="P8690" s="753"/>
      <c r="Q8690" s="51"/>
      <c r="R8690" s="530"/>
      <c r="S8690" s="757"/>
      <c r="T8690" s="753"/>
      <c r="AR8690" s="748"/>
      <c r="AS8690" s="753"/>
    </row>
    <row r="8691" spans="1:45" s="901" customFormat="1" ht="13.2">
      <c r="A8691" s="903">
        <v>12</v>
      </c>
      <c r="B8691" s="904" t="s">
        <v>863</v>
      </c>
      <c r="C8691" s="904"/>
      <c r="D8691" s="904" t="s">
        <v>2594</v>
      </c>
      <c r="E8691" s="904"/>
      <c r="F8691" s="904" t="s">
        <v>4128</v>
      </c>
      <c r="G8691" s="905" t="s">
        <v>2595</v>
      </c>
      <c r="H8691" s="902">
        <v>960</v>
      </c>
      <c r="I8691" s="904" t="s">
        <v>2596</v>
      </c>
      <c r="J8691" s="904"/>
      <c r="K8691" s="904"/>
      <c r="L8691" s="904"/>
      <c r="M8691" s="904"/>
      <c r="N8691" s="904"/>
      <c r="O8691" s="902">
        <v>4</v>
      </c>
      <c r="P8691" s="906">
        <v>38274</v>
      </c>
      <c r="Q8691" s="1415">
        <f>53*0.873</f>
        <v>46.268999999999998</v>
      </c>
      <c r="R8691" s="908">
        <f>$A8691*Q8691</f>
        <v>555.22799999999995</v>
      </c>
      <c r="S8691" s="907"/>
      <c r="T8691" s="909">
        <f>$A8691*S8691*$T$1</f>
        <v>0</v>
      </c>
      <c r="AR8691" s="903">
        <v>12</v>
      </c>
      <c r="AS8691" s="904" t="s">
        <v>3507</v>
      </c>
    </row>
    <row r="8692" spans="1:45" s="520" customFormat="1" ht="12">
      <c r="A8692" s="758"/>
      <c r="B8692" s="758"/>
      <c r="C8692" s="758"/>
      <c r="D8692" s="758"/>
      <c r="E8692" s="758"/>
      <c r="F8692" s="753"/>
      <c r="G8692" s="758"/>
      <c r="H8692" s="758"/>
      <c r="I8692" s="519"/>
      <c r="J8692" s="758"/>
      <c r="K8692" s="758"/>
      <c r="L8692" s="758"/>
      <c r="M8692" s="758"/>
      <c r="N8692" s="758"/>
      <c r="O8692" s="758"/>
      <c r="P8692" s="758"/>
      <c r="Q8692" s="519"/>
      <c r="R8692" s="759">
        <f>$A8692*Q8692</f>
        <v>0</v>
      </c>
      <c r="S8692" s="519"/>
      <c r="T8692" s="760">
        <f>$A8692*S8692*$T$1</f>
        <v>0</v>
      </c>
      <c r="AR8692" s="758"/>
      <c r="AS8692" s="753"/>
    </row>
    <row r="8693" spans="1:45" s="520" customFormat="1" ht="12.6" thickBot="1">
      <c r="A8693" s="761" t="s">
        <v>145</v>
      </c>
      <c r="B8693" s="762">
        <f>(R8692+T8692)</f>
        <v>0</v>
      </c>
      <c r="C8693" s="763"/>
      <c r="D8693" s="763"/>
      <c r="E8693" s="763"/>
      <c r="F8693" s="764"/>
      <c r="G8693" s="763" t="s">
        <v>146</v>
      </c>
      <c r="H8693" s="763"/>
      <c r="I8693" s="765"/>
      <c r="J8693" s="763"/>
      <c r="K8693" s="763" t="s">
        <v>5</v>
      </c>
      <c r="L8693" s="766" t="s">
        <v>143</v>
      </c>
      <c r="M8693" s="766"/>
      <c r="N8693" s="766"/>
      <c r="O8693" s="766"/>
      <c r="P8693" s="766"/>
      <c r="Q8693" s="767"/>
      <c r="R8693" s="768">
        <f>SUM(R8690:R8692)</f>
        <v>555.22799999999995</v>
      </c>
      <c r="S8693" s="763"/>
      <c r="T8693" s="768">
        <f>SUM(T8690:T8692)</f>
        <v>0</v>
      </c>
      <c r="U8693" s="531"/>
      <c r="V8693" s="531"/>
      <c r="W8693" s="531"/>
      <c r="X8693" s="531"/>
      <c r="Y8693" s="531"/>
      <c r="Z8693" s="531"/>
      <c r="AA8693" s="531"/>
      <c r="AB8693" s="531"/>
      <c r="AC8693" s="531"/>
      <c r="AD8693" s="531"/>
      <c r="AE8693" s="531"/>
      <c r="AF8693" s="531"/>
      <c r="AG8693" s="531"/>
      <c r="AH8693" s="531"/>
      <c r="AI8693" s="531"/>
      <c r="AJ8693" s="531"/>
      <c r="AK8693" s="531"/>
      <c r="AL8693" s="531"/>
      <c r="AM8693" s="531"/>
      <c r="AN8693" s="531"/>
      <c r="AO8693" s="531"/>
      <c r="AR8693" s="761" t="s">
        <v>145</v>
      </c>
      <c r="AS8693" s="764"/>
    </row>
    <row r="8694" spans="1:45" s="520" customFormat="1" ht="12" thickTop="1">
      <c r="A8694" s="51"/>
      <c r="B8694" s="41"/>
      <c r="C8694" s="51"/>
      <c r="E8694" s="42" t="s">
        <v>138</v>
      </c>
      <c r="F8694" s="42" t="s">
        <v>139</v>
      </c>
      <c r="G8694" s="51"/>
      <c r="H8694" s="51"/>
      <c r="I8694" s="51"/>
      <c r="J8694" s="51"/>
      <c r="K8694" s="51" t="s">
        <v>140</v>
      </c>
      <c r="L8694" s="51"/>
      <c r="M8694" s="51"/>
      <c r="N8694" s="51"/>
      <c r="O8694" s="52"/>
      <c r="P8694" s="51"/>
      <c r="Q8694" s="51"/>
      <c r="R8694" s="51"/>
      <c r="S8694" s="51"/>
      <c r="T8694" s="41"/>
      <c r="AG8694" s="521" t="s">
        <v>268</v>
      </c>
      <c r="AH8694" s="521" t="s">
        <v>269</v>
      </c>
      <c r="AI8694" s="521" t="s">
        <v>270</v>
      </c>
      <c r="AJ8694" s="521" t="s">
        <v>271</v>
      </c>
      <c r="AK8694" s="521" t="s">
        <v>272</v>
      </c>
      <c r="AM8694" s="745" t="s">
        <v>281</v>
      </c>
      <c r="AN8694" s="746" t="s">
        <v>282</v>
      </c>
      <c r="AO8694" s="522" t="s">
        <v>278</v>
      </c>
      <c r="AR8694" s="51"/>
      <c r="AS8694" s="42" t="s">
        <v>139</v>
      </c>
    </row>
    <row r="8695" spans="1:45" s="520" customFormat="1" ht="12" customHeight="1">
      <c r="A8695" s="747">
        <v>2</v>
      </c>
      <c r="B8695" s="523" t="s">
        <v>141</v>
      </c>
      <c r="C8695" s="748"/>
      <c r="D8695" s="749" t="s">
        <v>2353</v>
      </c>
      <c r="E8695" s="1145">
        <f>IF(AND($A8695=0,$A$1="DIF"),0, ROUND(ROUND(($R8699*$S$3+($T8699*$T$3))/$A8695,2)*$C$3,2))</f>
        <v>93.61</v>
      </c>
      <c r="F8695" s="1146">
        <f>ROUND($A8695*$E8695,2)</f>
        <v>187.22</v>
      </c>
      <c r="G8695" s="752" t="s">
        <v>142</v>
      </c>
      <c r="H8695" s="753"/>
      <c r="I8695" s="754"/>
      <c r="J8695" s="753"/>
      <c r="K8695" s="753" t="s">
        <v>5</v>
      </c>
      <c r="L8695" s="755" t="s">
        <v>143</v>
      </c>
      <c r="M8695" s="755"/>
      <c r="N8695" s="755"/>
      <c r="O8695" s="755"/>
      <c r="P8695" s="755"/>
      <c r="Q8695" s="51"/>
      <c r="T8695" s="1150" t="str">
        <f>IF(AND($R8699=0,$T8699=0),"0.00","mu: "&amp; ROUND(F8695/$C$3/($R8699+$T8699*$D$9),2))</f>
        <v>mu: 1.13</v>
      </c>
      <c r="W8695" s="524"/>
      <c r="AG8695" s="1147">
        <f>IF($E8695=0,0,ROUND($R8699*$S$3*$C$3/$A8695,2))</f>
        <v>93.61</v>
      </c>
      <c r="AH8695" s="1147">
        <f>$AG8695*$A8695</f>
        <v>187.22</v>
      </c>
      <c r="AI8695" s="1148">
        <f>$E8695-$AG8695</f>
        <v>0</v>
      </c>
      <c r="AJ8695" s="1148">
        <f>$A8695*$AI8695</f>
        <v>0</v>
      </c>
      <c r="AK8695" s="1149">
        <f>ROUND(($AG8695+$AI8695)*$A8695,2)</f>
        <v>187.22</v>
      </c>
      <c r="AM8695" s="527">
        <f>ROUND(R8699,2)</f>
        <v>165.87</v>
      </c>
      <c r="AN8695" s="528">
        <f>ROUND(T8699,2)</f>
        <v>0</v>
      </c>
      <c r="AO8695" s="529">
        <f>ROUND(AM8695+AN8695,2)*A8695</f>
        <v>331.74</v>
      </c>
      <c r="AR8695" s="747">
        <v>2</v>
      </c>
      <c r="AS8695" s="1146">
        <v>203.74</v>
      </c>
    </row>
    <row r="8696" spans="1:45" s="520" customFormat="1" ht="13.2">
      <c r="A8696" s="748"/>
      <c r="B8696"/>
      <c r="C8696" s="748"/>
      <c r="D8696" s="749" t="s">
        <v>2062</v>
      </c>
      <c r="F8696" s="753"/>
      <c r="G8696" s="3"/>
      <c r="H8696" s="753"/>
      <c r="I8696" s="754"/>
      <c r="J8696" s="753"/>
      <c r="K8696" s="753" t="s">
        <v>144</v>
      </c>
      <c r="L8696" s="753"/>
      <c r="M8696" s="753"/>
      <c r="N8696" s="753"/>
      <c r="O8696" s="753"/>
      <c r="P8696" s="753"/>
      <c r="Q8696" s="51"/>
      <c r="R8696" s="530"/>
      <c r="S8696" s="757"/>
      <c r="T8696" s="753"/>
      <c r="AR8696" s="748"/>
      <c r="AS8696" s="753"/>
    </row>
    <row r="8697" spans="1:45" s="901" customFormat="1" ht="13.2">
      <c r="A8697" s="903">
        <v>2</v>
      </c>
      <c r="B8697" s="904" t="s">
        <v>863</v>
      </c>
      <c r="C8697" s="904"/>
      <c r="D8697" s="904" t="s">
        <v>2594</v>
      </c>
      <c r="E8697" s="904"/>
      <c r="F8697" s="904" t="s">
        <v>4128</v>
      </c>
      <c r="G8697" s="905" t="s">
        <v>2595</v>
      </c>
      <c r="H8697" s="902">
        <v>960</v>
      </c>
      <c r="I8697" s="904" t="s">
        <v>2596</v>
      </c>
      <c r="J8697" s="904"/>
      <c r="K8697" s="904"/>
      <c r="L8697" s="904"/>
      <c r="M8697" s="904"/>
      <c r="N8697" s="904"/>
      <c r="O8697" s="902">
        <v>4</v>
      </c>
      <c r="P8697" s="906">
        <v>38274</v>
      </c>
      <c r="Q8697" s="1415">
        <f>95*0.873</f>
        <v>82.935000000000002</v>
      </c>
      <c r="R8697" s="908">
        <f>$A8697*Q8697</f>
        <v>165.87</v>
      </c>
      <c r="S8697" s="907"/>
      <c r="T8697" s="909">
        <f>$A8697*S8697*$T$1</f>
        <v>0</v>
      </c>
      <c r="AR8697" s="903">
        <v>2</v>
      </c>
      <c r="AS8697" s="904" t="s">
        <v>3507</v>
      </c>
    </row>
    <row r="8698" spans="1:45" s="520" customFormat="1" ht="12">
      <c r="A8698" s="758"/>
      <c r="B8698" s="758"/>
      <c r="C8698" s="758"/>
      <c r="D8698" s="758"/>
      <c r="E8698" s="758"/>
      <c r="F8698" s="753"/>
      <c r="G8698" s="758"/>
      <c r="H8698" s="758"/>
      <c r="I8698" s="519"/>
      <c r="J8698" s="758"/>
      <c r="K8698" s="758"/>
      <c r="L8698" s="758"/>
      <c r="M8698" s="758"/>
      <c r="N8698" s="758"/>
      <c r="O8698" s="758"/>
      <c r="P8698" s="758"/>
      <c r="Q8698" s="519"/>
      <c r="R8698" s="759">
        <f>$A8698*Q8698</f>
        <v>0</v>
      </c>
      <c r="S8698" s="519"/>
      <c r="T8698" s="760">
        <f>$A8698*S8698*$T$1</f>
        <v>0</v>
      </c>
      <c r="AR8698" s="758"/>
      <c r="AS8698" s="753"/>
    </row>
    <row r="8699" spans="1:45" s="520" customFormat="1" ht="12.6" thickBot="1">
      <c r="A8699" s="761" t="s">
        <v>145</v>
      </c>
      <c r="B8699" s="762">
        <f>(R8698+T8698)</f>
        <v>0</v>
      </c>
      <c r="C8699" s="763"/>
      <c r="D8699" s="763"/>
      <c r="E8699" s="763"/>
      <c r="F8699" s="764"/>
      <c r="G8699" s="763" t="s">
        <v>146</v>
      </c>
      <c r="H8699" s="763"/>
      <c r="I8699" s="765"/>
      <c r="J8699" s="763"/>
      <c r="K8699" s="763" t="s">
        <v>5</v>
      </c>
      <c r="L8699" s="766" t="s">
        <v>143</v>
      </c>
      <c r="M8699" s="766"/>
      <c r="N8699" s="766"/>
      <c r="O8699" s="766"/>
      <c r="P8699" s="766"/>
      <c r="Q8699" s="767"/>
      <c r="R8699" s="768">
        <f>SUM(R8696:R8698)</f>
        <v>165.87</v>
      </c>
      <c r="S8699" s="763"/>
      <c r="T8699" s="768">
        <f>SUM(T8696:T8698)</f>
        <v>0</v>
      </c>
      <c r="U8699" s="531"/>
      <c r="V8699" s="531"/>
      <c r="W8699" s="531"/>
      <c r="X8699" s="531"/>
      <c r="Y8699" s="531"/>
      <c r="Z8699" s="531"/>
      <c r="AA8699" s="531"/>
      <c r="AB8699" s="531"/>
      <c r="AC8699" s="531"/>
      <c r="AD8699" s="531"/>
      <c r="AE8699" s="531"/>
      <c r="AF8699" s="531"/>
      <c r="AG8699" s="531"/>
      <c r="AH8699" s="531"/>
      <c r="AI8699" s="531"/>
      <c r="AJ8699" s="531"/>
      <c r="AK8699" s="531"/>
      <c r="AL8699" s="531"/>
      <c r="AM8699" s="531"/>
      <c r="AN8699" s="531"/>
      <c r="AO8699" s="531"/>
      <c r="AR8699" s="761" t="s">
        <v>145</v>
      </c>
      <c r="AS8699" s="764"/>
    </row>
    <row r="8700" spans="1:45" s="520" customFormat="1" ht="12" thickTop="1">
      <c r="A8700" s="51"/>
      <c r="B8700" s="41"/>
      <c r="C8700" s="51"/>
      <c r="E8700" s="42" t="s">
        <v>138</v>
      </c>
      <c r="F8700" s="42" t="s">
        <v>139</v>
      </c>
      <c r="G8700" s="51"/>
      <c r="H8700" s="51"/>
      <c r="I8700" s="51"/>
      <c r="J8700" s="51"/>
      <c r="K8700" s="51" t="s">
        <v>140</v>
      </c>
      <c r="L8700" s="51"/>
      <c r="M8700" s="51"/>
      <c r="N8700" s="51"/>
      <c r="O8700" s="52"/>
      <c r="P8700" s="51"/>
      <c r="Q8700" s="51"/>
      <c r="R8700" s="51"/>
      <c r="S8700" s="51"/>
      <c r="T8700" s="41"/>
      <c r="AG8700" s="521" t="s">
        <v>268</v>
      </c>
      <c r="AH8700" s="521" t="s">
        <v>269</v>
      </c>
      <c r="AI8700" s="521" t="s">
        <v>270</v>
      </c>
      <c r="AJ8700" s="521" t="s">
        <v>271</v>
      </c>
      <c r="AK8700" s="521" t="s">
        <v>272</v>
      </c>
      <c r="AM8700" s="745" t="s">
        <v>281</v>
      </c>
      <c r="AN8700" s="746" t="s">
        <v>282</v>
      </c>
      <c r="AO8700" s="522" t="s">
        <v>278</v>
      </c>
      <c r="AR8700" s="51"/>
      <c r="AS8700" s="42" t="s">
        <v>139</v>
      </c>
    </row>
    <row r="8701" spans="1:45" s="520" customFormat="1" ht="12" customHeight="1">
      <c r="A8701" s="747">
        <v>1</v>
      </c>
      <c r="B8701" s="523" t="s">
        <v>141</v>
      </c>
      <c r="C8701" s="748"/>
      <c r="D8701" s="749" t="s">
        <v>2354</v>
      </c>
      <c r="E8701" s="1145">
        <f>IF(AND($A8701=0,$A$1="DIF"),0, ROUND(ROUND(($R8705*$S$3+($T8705*$T$3))/$A8701,2)*$C$3,2))</f>
        <v>81.790000000000006</v>
      </c>
      <c r="F8701" s="1146">
        <f>ROUND($A8701*$E8701,2)</f>
        <v>81.790000000000006</v>
      </c>
      <c r="G8701" s="752" t="s">
        <v>142</v>
      </c>
      <c r="H8701" s="753"/>
      <c r="I8701" s="754"/>
      <c r="J8701" s="753"/>
      <c r="K8701" s="753" t="s">
        <v>5</v>
      </c>
      <c r="L8701" s="755" t="s">
        <v>143</v>
      </c>
      <c r="M8701" s="755"/>
      <c r="N8701" s="755"/>
      <c r="O8701" s="755"/>
      <c r="P8701" s="755"/>
      <c r="Q8701" s="51"/>
      <c r="T8701" s="1150" t="str">
        <f>IF(AND($R8705=0,$T8705=0),"0.00","mu: "&amp; ROUND(F8701/$C$3/($R8705+$T8705*$D$9),2))</f>
        <v>mu: 1.13</v>
      </c>
      <c r="W8701" s="524"/>
      <c r="AG8701" s="1147">
        <f>IF($E8701=0,0,ROUND($R8705*$S$3*$C$3/$A8701,2))</f>
        <v>81.790000000000006</v>
      </c>
      <c r="AH8701" s="1147">
        <f>$AG8701*$A8701</f>
        <v>81.790000000000006</v>
      </c>
      <c r="AI8701" s="1148">
        <f>$E8701-$AG8701</f>
        <v>0</v>
      </c>
      <c r="AJ8701" s="1148">
        <f>$A8701*$AI8701</f>
        <v>0</v>
      </c>
      <c r="AK8701" s="1149">
        <f>ROUND(($AG8701+$AI8701)*$A8701,2)</f>
        <v>81.790000000000006</v>
      </c>
      <c r="AM8701" s="527">
        <f>ROUND(R8705,2)</f>
        <v>72.459999999999994</v>
      </c>
      <c r="AN8701" s="528">
        <f>ROUND(T8705,2)</f>
        <v>0</v>
      </c>
      <c r="AO8701" s="529">
        <f>ROUND(AM8701+AN8701,2)*A8701</f>
        <v>72.459999999999994</v>
      </c>
      <c r="AR8701" s="747">
        <v>1</v>
      </c>
      <c r="AS8701" s="1146">
        <v>89</v>
      </c>
    </row>
    <row r="8702" spans="1:45" s="520" customFormat="1" ht="13.2">
      <c r="A8702" s="748"/>
      <c r="B8702"/>
      <c r="C8702" s="748"/>
      <c r="D8702" s="749" t="s">
        <v>2078</v>
      </c>
      <c r="F8702" s="753"/>
      <c r="G8702" s="3"/>
      <c r="H8702" s="753"/>
      <c r="I8702" s="754"/>
      <c r="J8702" s="753"/>
      <c r="K8702" s="753" t="s">
        <v>144</v>
      </c>
      <c r="L8702" s="753"/>
      <c r="M8702" s="753"/>
      <c r="N8702" s="753"/>
      <c r="O8702" s="753"/>
      <c r="P8702" s="753"/>
      <c r="Q8702" s="51"/>
      <c r="R8702" s="530"/>
      <c r="S8702" s="757"/>
      <c r="T8702" s="753"/>
      <c r="AR8702" s="748"/>
      <c r="AS8702" s="753"/>
    </row>
    <row r="8703" spans="1:45" s="901" customFormat="1" ht="13.2">
      <c r="A8703" s="903">
        <v>1</v>
      </c>
      <c r="B8703" s="904" t="s">
        <v>863</v>
      </c>
      <c r="C8703" s="904"/>
      <c r="D8703" s="904" t="s">
        <v>2594</v>
      </c>
      <c r="E8703" s="904"/>
      <c r="F8703" s="904" t="s">
        <v>4128</v>
      </c>
      <c r="G8703" s="905" t="s">
        <v>2595</v>
      </c>
      <c r="H8703" s="902">
        <v>960</v>
      </c>
      <c r="I8703" s="904" t="s">
        <v>2596</v>
      </c>
      <c r="J8703" s="904"/>
      <c r="K8703" s="904"/>
      <c r="L8703" s="904"/>
      <c r="M8703" s="904"/>
      <c r="N8703" s="904"/>
      <c r="O8703" s="902">
        <v>4</v>
      </c>
      <c r="P8703" s="906">
        <v>38274</v>
      </c>
      <c r="Q8703" s="1415">
        <f>83*0.873</f>
        <v>72.459000000000003</v>
      </c>
      <c r="R8703" s="908">
        <f>$A8703*Q8703</f>
        <v>72.459000000000003</v>
      </c>
      <c r="S8703" s="907"/>
      <c r="T8703" s="909">
        <f>$A8703*S8703*$T$1</f>
        <v>0</v>
      </c>
      <c r="AR8703" s="903">
        <v>1</v>
      </c>
      <c r="AS8703" s="904" t="s">
        <v>3507</v>
      </c>
    </row>
    <row r="8704" spans="1:45" s="520" customFormat="1" ht="12">
      <c r="A8704" s="758"/>
      <c r="B8704" s="758"/>
      <c r="C8704" s="758"/>
      <c r="D8704" s="758"/>
      <c r="E8704" s="758"/>
      <c r="F8704" s="753"/>
      <c r="G8704" s="758"/>
      <c r="H8704" s="758"/>
      <c r="I8704" s="519"/>
      <c r="J8704" s="758"/>
      <c r="K8704" s="758"/>
      <c r="L8704" s="758"/>
      <c r="M8704" s="758"/>
      <c r="N8704" s="758"/>
      <c r="O8704" s="758"/>
      <c r="P8704" s="758"/>
      <c r="Q8704" s="519"/>
      <c r="R8704" s="759">
        <f>$A8704*Q8704</f>
        <v>0</v>
      </c>
      <c r="S8704" s="519"/>
      <c r="T8704" s="760">
        <f>$A8704*S8704*$T$1</f>
        <v>0</v>
      </c>
      <c r="AR8704" s="758"/>
      <c r="AS8704" s="753"/>
    </row>
    <row r="8705" spans="1:45" s="520" customFormat="1" ht="12.6" thickBot="1">
      <c r="A8705" s="761" t="s">
        <v>145</v>
      </c>
      <c r="B8705" s="762">
        <f>(R8704+T8704)</f>
        <v>0</v>
      </c>
      <c r="C8705" s="763"/>
      <c r="D8705" s="763"/>
      <c r="E8705" s="763"/>
      <c r="F8705" s="764"/>
      <c r="G8705" s="763" t="s">
        <v>146</v>
      </c>
      <c r="H8705" s="763"/>
      <c r="I8705" s="765"/>
      <c r="J8705" s="763"/>
      <c r="K8705" s="763" t="s">
        <v>5</v>
      </c>
      <c r="L8705" s="766" t="s">
        <v>143</v>
      </c>
      <c r="M8705" s="766"/>
      <c r="N8705" s="766"/>
      <c r="O8705" s="766"/>
      <c r="P8705" s="766"/>
      <c r="Q8705" s="767"/>
      <c r="R8705" s="768">
        <f>SUM(R8702:R8704)</f>
        <v>72.459000000000003</v>
      </c>
      <c r="S8705" s="763"/>
      <c r="T8705" s="768">
        <f>SUM(T8702:T8704)</f>
        <v>0</v>
      </c>
      <c r="U8705" s="531"/>
      <c r="V8705" s="531"/>
      <c r="W8705" s="531"/>
      <c r="X8705" s="531"/>
      <c r="Y8705" s="531"/>
      <c r="Z8705" s="531"/>
      <c r="AA8705" s="531"/>
      <c r="AB8705" s="531"/>
      <c r="AC8705" s="531"/>
      <c r="AD8705" s="531"/>
      <c r="AE8705" s="531"/>
      <c r="AF8705" s="531"/>
      <c r="AG8705" s="531"/>
      <c r="AH8705" s="531"/>
      <c r="AI8705" s="531"/>
      <c r="AJ8705" s="531"/>
      <c r="AK8705" s="531"/>
      <c r="AL8705" s="531"/>
      <c r="AM8705" s="531"/>
      <c r="AN8705" s="531"/>
      <c r="AO8705" s="531"/>
      <c r="AR8705" s="761" t="s">
        <v>145</v>
      </c>
      <c r="AS8705" s="764"/>
    </row>
    <row r="8706" spans="1:45" s="520" customFormat="1" ht="12" thickTop="1">
      <c r="A8706" s="51"/>
      <c r="B8706" s="41"/>
      <c r="C8706" s="51"/>
      <c r="E8706" s="42" t="s">
        <v>138</v>
      </c>
      <c r="F8706" s="42" t="s">
        <v>139</v>
      </c>
      <c r="G8706" s="51"/>
      <c r="H8706" s="51"/>
      <c r="I8706" s="51"/>
      <c r="J8706" s="51"/>
      <c r="K8706" s="51" t="s">
        <v>140</v>
      </c>
      <c r="L8706" s="51"/>
      <c r="M8706" s="51"/>
      <c r="N8706" s="51"/>
      <c r="O8706" s="52"/>
      <c r="P8706" s="51"/>
      <c r="Q8706" s="51"/>
      <c r="R8706" s="51"/>
      <c r="S8706" s="51"/>
      <c r="T8706" s="41"/>
      <c r="AG8706" s="521" t="s">
        <v>268</v>
      </c>
      <c r="AH8706" s="521" t="s">
        <v>269</v>
      </c>
      <c r="AI8706" s="521" t="s">
        <v>270</v>
      </c>
      <c r="AJ8706" s="521" t="s">
        <v>271</v>
      </c>
      <c r="AK8706" s="521" t="s">
        <v>272</v>
      </c>
      <c r="AM8706" s="745" t="s">
        <v>281</v>
      </c>
      <c r="AN8706" s="746" t="s">
        <v>282</v>
      </c>
      <c r="AO8706" s="522" t="s">
        <v>278</v>
      </c>
      <c r="AR8706" s="51"/>
      <c r="AS8706" s="42" t="s">
        <v>139</v>
      </c>
    </row>
    <row r="8707" spans="1:45" s="520" customFormat="1" ht="12" customHeight="1">
      <c r="A8707" s="747">
        <v>4</v>
      </c>
      <c r="B8707" s="523" t="s">
        <v>141</v>
      </c>
      <c r="C8707" s="748"/>
      <c r="D8707" s="749" t="s">
        <v>2355</v>
      </c>
      <c r="E8707" s="1145">
        <f>IF(AND($A8707=0,$A$1="DIF"),0, ROUND(ROUND(($R8711*$S$3+($T8711*$T$3))/$A8707,2)*$C$3,2))</f>
        <v>54.2</v>
      </c>
      <c r="F8707" s="1146">
        <f>ROUND($A8707*$E8707,2)</f>
        <v>216.8</v>
      </c>
      <c r="G8707" s="752" t="s">
        <v>142</v>
      </c>
      <c r="H8707" s="753"/>
      <c r="I8707" s="754"/>
      <c r="J8707" s="753"/>
      <c r="K8707" s="753" t="s">
        <v>5</v>
      </c>
      <c r="L8707" s="755" t="s">
        <v>143</v>
      </c>
      <c r="M8707" s="755"/>
      <c r="N8707" s="755"/>
      <c r="O8707" s="755"/>
      <c r="P8707" s="755"/>
      <c r="Q8707" s="51"/>
      <c r="T8707" s="1150" t="str">
        <f>IF(AND($R8711=0,$T8711=0),"0.00","mu: "&amp; ROUND(F8707/$C$3/($R8711+$T8711*$D$9),2))</f>
        <v>mu: 1.13</v>
      </c>
      <c r="W8707" s="524"/>
      <c r="AG8707" s="1147">
        <f>IF($E8707=0,0,ROUND($R8711*$S$3*$C$3/$A8707,2))</f>
        <v>54.2</v>
      </c>
      <c r="AH8707" s="1147">
        <f>$AG8707*$A8707</f>
        <v>216.8</v>
      </c>
      <c r="AI8707" s="1148">
        <f>$E8707-$AG8707</f>
        <v>0</v>
      </c>
      <c r="AJ8707" s="1148">
        <f>$A8707*$AI8707</f>
        <v>0</v>
      </c>
      <c r="AK8707" s="1149">
        <f>ROUND(($AG8707+$AI8707)*$A8707,2)</f>
        <v>216.8</v>
      </c>
      <c r="AM8707" s="527">
        <f>ROUND(R8711,2)</f>
        <v>192.06</v>
      </c>
      <c r="AN8707" s="528">
        <f>ROUND(T8711,2)</f>
        <v>0</v>
      </c>
      <c r="AO8707" s="529">
        <f>ROUND(AM8707+AN8707,2)*A8707</f>
        <v>768.24</v>
      </c>
      <c r="AR8707" s="747">
        <v>4</v>
      </c>
      <c r="AS8707" s="1146">
        <v>235.92</v>
      </c>
    </row>
    <row r="8708" spans="1:45" s="520" customFormat="1" ht="13.2">
      <c r="A8708" s="748"/>
      <c r="B8708"/>
      <c r="C8708" s="748"/>
      <c r="D8708" s="749" t="s">
        <v>2071</v>
      </c>
      <c r="F8708" s="753"/>
      <c r="G8708" s="3"/>
      <c r="H8708" s="753"/>
      <c r="I8708" s="754"/>
      <c r="J8708" s="753"/>
      <c r="K8708" s="753" t="s">
        <v>144</v>
      </c>
      <c r="L8708" s="753"/>
      <c r="M8708" s="753"/>
      <c r="N8708" s="753"/>
      <c r="O8708" s="753"/>
      <c r="P8708" s="753"/>
      <c r="Q8708" s="51"/>
      <c r="R8708" s="530"/>
      <c r="S8708" s="757"/>
      <c r="T8708" s="753"/>
      <c r="AR8708" s="748"/>
      <c r="AS8708" s="753"/>
    </row>
    <row r="8709" spans="1:45" s="901" customFormat="1" ht="13.2">
      <c r="A8709" s="903">
        <v>4</v>
      </c>
      <c r="B8709" s="904" t="s">
        <v>863</v>
      </c>
      <c r="C8709" s="904"/>
      <c r="D8709" s="904" t="s">
        <v>2594</v>
      </c>
      <c r="E8709" s="904"/>
      <c r="F8709" s="904" t="s">
        <v>4128</v>
      </c>
      <c r="G8709" s="905" t="s">
        <v>2595</v>
      </c>
      <c r="H8709" s="902">
        <v>960</v>
      </c>
      <c r="I8709" s="904" t="s">
        <v>2596</v>
      </c>
      <c r="J8709" s="904"/>
      <c r="K8709" s="904"/>
      <c r="L8709" s="904"/>
      <c r="M8709" s="904"/>
      <c r="N8709" s="904"/>
      <c r="O8709" s="902">
        <v>4</v>
      </c>
      <c r="P8709" s="906">
        <v>38274</v>
      </c>
      <c r="Q8709" s="1415">
        <f>55*0.873</f>
        <v>48.015000000000001</v>
      </c>
      <c r="R8709" s="908">
        <f>$A8709*Q8709</f>
        <v>192.06</v>
      </c>
      <c r="S8709" s="907"/>
      <c r="T8709" s="909">
        <f>$A8709*S8709*$T$1</f>
        <v>0</v>
      </c>
      <c r="AR8709" s="903">
        <v>4</v>
      </c>
      <c r="AS8709" s="904" t="s">
        <v>3507</v>
      </c>
    </row>
    <row r="8710" spans="1:45" s="520" customFormat="1" ht="12">
      <c r="A8710" s="758"/>
      <c r="B8710" s="758"/>
      <c r="C8710" s="758"/>
      <c r="D8710" s="758"/>
      <c r="E8710" s="758"/>
      <c r="F8710" s="753"/>
      <c r="G8710" s="758"/>
      <c r="H8710" s="758"/>
      <c r="I8710" s="519"/>
      <c r="J8710" s="758"/>
      <c r="K8710" s="758"/>
      <c r="L8710" s="758"/>
      <c r="M8710" s="758"/>
      <c r="N8710" s="758"/>
      <c r="O8710" s="758"/>
      <c r="P8710" s="758"/>
      <c r="Q8710" s="519"/>
      <c r="R8710" s="759">
        <f>$A8710*Q8710</f>
        <v>0</v>
      </c>
      <c r="S8710" s="519"/>
      <c r="T8710" s="760">
        <f>$A8710*S8710*$T$1</f>
        <v>0</v>
      </c>
      <c r="AR8710" s="758"/>
      <c r="AS8710" s="753"/>
    </row>
    <row r="8711" spans="1:45" s="520" customFormat="1" ht="12.6" thickBot="1">
      <c r="A8711" s="761" t="s">
        <v>145</v>
      </c>
      <c r="B8711" s="762">
        <f>(R8710+T8710)</f>
        <v>0</v>
      </c>
      <c r="C8711" s="763"/>
      <c r="D8711" s="763"/>
      <c r="E8711" s="763"/>
      <c r="F8711" s="764"/>
      <c r="G8711" s="763" t="s">
        <v>146</v>
      </c>
      <c r="H8711" s="763"/>
      <c r="I8711" s="765"/>
      <c r="J8711" s="763"/>
      <c r="K8711" s="763" t="s">
        <v>5</v>
      </c>
      <c r="L8711" s="766" t="s">
        <v>143</v>
      </c>
      <c r="M8711" s="766"/>
      <c r="N8711" s="766"/>
      <c r="O8711" s="766"/>
      <c r="P8711" s="766"/>
      <c r="Q8711" s="767"/>
      <c r="R8711" s="768">
        <f>SUM(R8708:R8710)</f>
        <v>192.06</v>
      </c>
      <c r="S8711" s="763"/>
      <c r="T8711" s="768">
        <f>SUM(T8708:T8710)</f>
        <v>0</v>
      </c>
      <c r="U8711" s="531"/>
      <c r="V8711" s="531"/>
      <c r="W8711" s="531"/>
      <c r="X8711" s="531"/>
      <c r="Y8711" s="531"/>
      <c r="Z8711" s="531"/>
      <c r="AA8711" s="531"/>
      <c r="AB8711" s="531"/>
      <c r="AC8711" s="531"/>
      <c r="AD8711" s="531"/>
      <c r="AE8711" s="531"/>
      <c r="AF8711" s="531"/>
      <c r="AG8711" s="531"/>
      <c r="AH8711" s="531"/>
      <c r="AI8711" s="531"/>
      <c r="AJ8711" s="531"/>
      <c r="AK8711" s="531"/>
      <c r="AL8711" s="531"/>
      <c r="AM8711" s="531"/>
      <c r="AN8711" s="531"/>
      <c r="AO8711" s="531"/>
      <c r="AR8711" s="761" t="s">
        <v>145</v>
      </c>
      <c r="AS8711" s="764"/>
    </row>
    <row r="8712" spans="1:45" s="520" customFormat="1" ht="12" thickTop="1">
      <c r="A8712" s="51"/>
      <c r="B8712" s="41"/>
      <c r="C8712" s="51"/>
      <c r="E8712" s="42" t="s">
        <v>138</v>
      </c>
      <c r="F8712" s="42" t="s">
        <v>139</v>
      </c>
      <c r="G8712" s="51"/>
      <c r="H8712" s="51"/>
      <c r="I8712" s="51"/>
      <c r="J8712" s="51"/>
      <c r="K8712" s="51" t="s">
        <v>140</v>
      </c>
      <c r="L8712" s="51"/>
      <c r="M8712" s="51"/>
      <c r="N8712" s="51"/>
      <c r="O8712" s="52"/>
      <c r="P8712" s="51"/>
      <c r="Q8712" s="51"/>
      <c r="R8712" s="51"/>
      <c r="S8712" s="51"/>
      <c r="T8712" s="41"/>
      <c r="AG8712" s="521" t="s">
        <v>268</v>
      </c>
      <c r="AH8712" s="521" t="s">
        <v>269</v>
      </c>
      <c r="AI8712" s="521" t="s">
        <v>270</v>
      </c>
      <c r="AJ8712" s="521" t="s">
        <v>271</v>
      </c>
      <c r="AK8712" s="521" t="s">
        <v>272</v>
      </c>
      <c r="AM8712" s="745" t="s">
        <v>281</v>
      </c>
      <c r="AN8712" s="746" t="s">
        <v>282</v>
      </c>
      <c r="AO8712" s="522" t="s">
        <v>278</v>
      </c>
      <c r="AR8712" s="51"/>
      <c r="AS8712" s="42" t="s">
        <v>139</v>
      </c>
    </row>
    <row r="8713" spans="1:45" s="520" customFormat="1" ht="12" customHeight="1">
      <c r="A8713" s="747">
        <v>1</v>
      </c>
      <c r="B8713" s="523" t="s">
        <v>141</v>
      </c>
      <c r="C8713" s="748"/>
      <c r="D8713" s="749" t="s">
        <v>2356</v>
      </c>
      <c r="E8713" s="1145">
        <f>IF(AND($A8713=0,$A$1="DIF"),0, ROUND(ROUND(($R8717*$S$3+($T8717*$T$3))/$A8713,2)*$C$3,2))</f>
        <v>77.849999999999994</v>
      </c>
      <c r="F8713" s="1146">
        <f>ROUND($A8713*$E8713,2)</f>
        <v>77.849999999999994</v>
      </c>
      <c r="G8713" s="752" t="s">
        <v>142</v>
      </c>
      <c r="H8713" s="753"/>
      <c r="I8713" s="754"/>
      <c r="J8713" s="753"/>
      <c r="K8713" s="753" t="s">
        <v>5</v>
      </c>
      <c r="L8713" s="755" t="s">
        <v>143</v>
      </c>
      <c r="M8713" s="755"/>
      <c r="N8713" s="755"/>
      <c r="O8713" s="755"/>
      <c r="P8713" s="755"/>
      <c r="Q8713" s="51"/>
      <c r="T8713" s="1150" t="str">
        <f>IF(AND($R8717=0,$T8717=0),"0.00","mu: "&amp; ROUND(F8713/$C$3/($R8717+$T8717*$D$9),2))</f>
        <v>mu: 1.13</v>
      </c>
      <c r="W8713" s="524"/>
      <c r="AG8713" s="1147">
        <f>IF($E8713=0,0,ROUND($R8717*$S$3*$C$3/$A8713,2))</f>
        <v>77.849999999999994</v>
      </c>
      <c r="AH8713" s="1147">
        <f>$AG8713*$A8713</f>
        <v>77.849999999999994</v>
      </c>
      <c r="AI8713" s="1148">
        <f>$E8713-$AG8713</f>
        <v>0</v>
      </c>
      <c r="AJ8713" s="1148">
        <f>$A8713*$AI8713</f>
        <v>0</v>
      </c>
      <c r="AK8713" s="1149">
        <f>ROUND(($AG8713+$AI8713)*$A8713,2)</f>
        <v>77.849999999999994</v>
      </c>
      <c r="AM8713" s="527">
        <f>ROUND(R8717,2)</f>
        <v>68.97</v>
      </c>
      <c r="AN8713" s="528">
        <f>ROUND(T8717,2)</f>
        <v>0</v>
      </c>
      <c r="AO8713" s="529">
        <f>ROUND(AM8713+AN8713,2)*A8713</f>
        <v>68.97</v>
      </c>
      <c r="AR8713" s="747">
        <v>1</v>
      </c>
      <c r="AS8713" s="1146">
        <v>84.71</v>
      </c>
    </row>
    <row r="8714" spans="1:45" s="520" customFormat="1" ht="13.2">
      <c r="A8714" s="748"/>
      <c r="B8714"/>
      <c r="C8714" s="748"/>
      <c r="D8714" s="749" t="s">
        <v>2079</v>
      </c>
      <c r="F8714" s="753"/>
      <c r="G8714" s="3"/>
      <c r="H8714" s="753"/>
      <c r="I8714" s="754"/>
      <c r="J8714" s="753"/>
      <c r="K8714" s="753" t="s">
        <v>144</v>
      </c>
      <c r="L8714" s="753"/>
      <c r="M8714" s="753"/>
      <c r="N8714" s="753"/>
      <c r="O8714" s="753"/>
      <c r="P8714" s="753"/>
      <c r="Q8714" s="51"/>
      <c r="R8714" s="530"/>
      <c r="S8714" s="757"/>
      <c r="T8714" s="753"/>
      <c r="AR8714" s="748"/>
      <c r="AS8714" s="753"/>
    </row>
    <row r="8715" spans="1:45" s="901" customFormat="1" ht="13.2">
      <c r="A8715" s="903">
        <v>1</v>
      </c>
      <c r="B8715" s="904" t="s">
        <v>863</v>
      </c>
      <c r="C8715" s="904"/>
      <c r="D8715" s="904" t="s">
        <v>2594</v>
      </c>
      <c r="E8715" s="904"/>
      <c r="F8715" s="904" t="s">
        <v>4128</v>
      </c>
      <c r="G8715" s="905" t="s">
        <v>2595</v>
      </c>
      <c r="H8715" s="902">
        <v>960</v>
      </c>
      <c r="I8715" s="904" t="s">
        <v>2596</v>
      </c>
      <c r="J8715" s="904"/>
      <c r="K8715" s="904"/>
      <c r="L8715" s="904"/>
      <c r="M8715" s="904"/>
      <c r="N8715" s="904"/>
      <c r="O8715" s="902">
        <v>4</v>
      </c>
      <c r="P8715" s="906">
        <v>38274</v>
      </c>
      <c r="Q8715" s="1415">
        <f>79*0.873</f>
        <v>68.966999999999999</v>
      </c>
      <c r="R8715" s="908">
        <f>$A8715*Q8715</f>
        <v>68.966999999999999</v>
      </c>
      <c r="S8715" s="907"/>
      <c r="T8715" s="909">
        <f>$A8715*S8715*$T$1</f>
        <v>0</v>
      </c>
      <c r="AR8715" s="903">
        <v>1</v>
      </c>
      <c r="AS8715" s="904" t="s">
        <v>3507</v>
      </c>
    </row>
    <row r="8716" spans="1:45" s="520" customFormat="1" ht="12">
      <c r="A8716" s="758"/>
      <c r="B8716" s="758"/>
      <c r="C8716" s="758"/>
      <c r="D8716" s="758"/>
      <c r="E8716" s="758"/>
      <c r="F8716" s="753"/>
      <c r="G8716" s="758"/>
      <c r="H8716" s="758"/>
      <c r="I8716" s="519"/>
      <c r="J8716" s="758"/>
      <c r="K8716" s="758"/>
      <c r="L8716" s="758"/>
      <c r="M8716" s="758"/>
      <c r="N8716" s="758"/>
      <c r="O8716" s="758"/>
      <c r="P8716" s="758"/>
      <c r="Q8716" s="519"/>
      <c r="R8716" s="759">
        <f>$A8716*Q8716</f>
        <v>0</v>
      </c>
      <c r="S8716" s="519"/>
      <c r="T8716" s="760">
        <f>$A8716*S8716*$T$1</f>
        <v>0</v>
      </c>
      <c r="AR8716" s="758"/>
      <c r="AS8716" s="753"/>
    </row>
    <row r="8717" spans="1:45" s="520" customFormat="1" ht="12.6" thickBot="1">
      <c r="A8717" s="761" t="s">
        <v>145</v>
      </c>
      <c r="B8717" s="762">
        <f>(R8716+T8716)</f>
        <v>0</v>
      </c>
      <c r="C8717" s="763"/>
      <c r="D8717" s="763"/>
      <c r="E8717" s="763"/>
      <c r="F8717" s="764"/>
      <c r="G8717" s="763" t="s">
        <v>146</v>
      </c>
      <c r="H8717" s="763"/>
      <c r="I8717" s="765"/>
      <c r="J8717" s="763"/>
      <c r="K8717" s="763" t="s">
        <v>5</v>
      </c>
      <c r="L8717" s="766" t="s">
        <v>143</v>
      </c>
      <c r="M8717" s="766"/>
      <c r="N8717" s="766"/>
      <c r="O8717" s="766"/>
      <c r="P8717" s="766"/>
      <c r="Q8717" s="767"/>
      <c r="R8717" s="768">
        <f>SUM(R8714:R8716)</f>
        <v>68.966999999999999</v>
      </c>
      <c r="S8717" s="763"/>
      <c r="T8717" s="768">
        <f>SUM(T8714:T8716)</f>
        <v>0</v>
      </c>
      <c r="U8717" s="531"/>
      <c r="V8717" s="531"/>
      <c r="W8717" s="531"/>
      <c r="X8717" s="531"/>
      <c r="Y8717" s="531"/>
      <c r="Z8717" s="531"/>
      <c r="AA8717" s="531"/>
      <c r="AB8717" s="531"/>
      <c r="AC8717" s="531"/>
      <c r="AD8717" s="531"/>
      <c r="AE8717" s="531"/>
      <c r="AF8717" s="531"/>
      <c r="AG8717" s="531"/>
      <c r="AH8717" s="531"/>
      <c r="AI8717" s="531"/>
      <c r="AJ8717" s="531"/>
      <c r="AK8717" s="531"/>
      <c r="AL8717" s="531"/>
      <c r="AM8717" s="531"/>
      <c r="AN8717" s="531"/>
      <c r="AO8717" s="531"/>
      <c r="AR8717" s="761" t="s">
        <v>145</v>
      </c>
      <c r="AS8717" s="764"/>
    </row>
    <row r="8718" spans="1:45" s="520" customFormat="1" ht="12" thickTop="1">
      <c r="A8718" s="51"/>
      <c r="B8718" s="41"/>
      <c r="C8718" s="51"/>
      <c r="E8718" s="42" t="s">
        <v>138</v>
      </c>
      <c r="F8718" s="42" t="s">
        <v>139</v>
      </c>
      <c r="G8718" s="51"/>
      <c r="H8718" s="51"/>
      <c r="I8718" s="51"/>
      <c r="J8718" s="51"/>
      <c r="K8718" s="51" t="s">
        <v>140</v>
      </c>
      <c r="L8718" s="51"/>
      <c r="M8718" s="51"/>
      <c r="N8718" s="51"/>
      <c r="O8718" s="52"/>
      <c r="P8718" s="51"/>
      <c r="Q8718" s="51"/>
      <c r="R8718" s="51"/>
      <c r="S8718" s="51"/>
      <c r="T8718" s="41"/>
      <c r="AG8718" s="521" t="s">
        <v>268</v>
      </c>
      <c r="AH8718" s="521" t="s">
        <v>269</v>
      </c>
      <c r="AI8718" s="521" t="s">
        <v>270</v>
      </c>
      <c r="AJ8718" s="521" t="s">
        <v>271</v>
      </c>
      <c r="AK8718" s="521" t="s">
        <v>272</v>
      </c>
      <c r="AM8718" s="745" t="s">
        <v>281</v>
      </c>
      <c r="AN8718" s="746" t="s">
        <v>282</v>
      </c>
      <c r="AO8718" s="522" t="s">
        <v>278</v>
      </c>
      <c r="AR8718" s="51"/>
      <c r="AS8718" s="42" t="s">
        <v>139</v>
      </c>
    </row>
    <row r="8719" spans="1:45" s="520" customFormat="1" ht="12" customHeight="1">
      <c r="A8719" s="747">
        <v>1</v>
      </c>
      <c r="B8719" s="523" t="s">
        <v>141</v>
      </c>
      <c r="C8719" s="748"/>
      <c r="D8719" s="749" t="s">
        <v>2357</v>
      </c>
      <c r="E8719" s="1145">
        <f>IF(AND($A8719=0,$A$1="DIF"),0, ROUND(ROUND(($R8723*$S$3+($T8723*$T$3))/$A8719,2)*$C$3,2))</f>
        <v>77.849999999999994</v>
      </c>
      <c r="F8719" s="1146">
        <f>ROUND($A8719*$E8719,2)</f>
        <v>77.849999999999994</v>
      </c>
      <c r="G8719" s="752" t="s">
        <v>142</v>
      </c>
      <c r="H8719" s="753"/>
      <c r="I8719" s="754"/>
      <c r="J8719" s="753"/>
      <c r="K8719" s="753" t="s">
        <v>5</v>
      </c>
      <c r="L8719" s="755" t="s">
        <v>143</v>
      </c>
      <c r="M8719" s="755"/>
      <c r="N8719" s="755"/>
      <c r="O8719" s="755"/>
      <c r="P8719" s="755"/>
      <c r="Q8719" s="51"/>
      <c r="T8719" s="1150" t="str">
        <f>IF(AND($R8723=0,$T8723=0),"0.00","mu: "&amp; ROUND(F8719/$C$3/($R8723+$T8723*$D$9),2))</f>
        <v>mu: 1.13</v>
      </c>
      <c r="W8719" s="524"/>
      <c r="AG8719" s="1147">
        <f>IF($E8719=0,0,ROUND($R8723*$S$3*$C$3/$A8719,2))</f>
        <v>77.849999999999994</v>
      </c>
      <c r="AH8719" s="1147">
        <f>$AG8719*$A8719</f>
        <v>77.849999999999994</v>
      </c>
      <c r="AI8719" s="1148">
        <f>$E8719-$AG8719</f>
        <v>0</v>
      </c>
      <c r="AJ8719" s="1148">
        <f>$A8719*$AI8719</f>
        <v>0</v>
      </c>
      <c r="AK8719" s="1149">
        <f>ROUND(($AG8719+$AI8719)*$A8719,2)</f>
        <v>77.849999999999994</v>
      </c>
      <c r="AM8719" s="527">
        <f>ROUND(R8723,2)</f>
        <v>68.97</v>
      </c>
      <c r="AN8719" s="528">
        <f>ROUND(T8723,2)</f>
        <v>0</v>
      </c>
      <c r="AO8719" s="529">
        <f>ROUND(AM8719+AN8719,2)*A8719</f>
        <v>68.97</v>
      </c>
      <c r="AR8719" s="747">
        <v>1</v>
      </c>
      <c r="AS8719" s="1146">
        <v>84.71</v>
      </c>
    </row>
    <row r="8720" spans="1:45" s="520" customFormat="1" ht="13.2">
      <c r="A8720" s="748"/>
      <c r="B8720"/>
      <c r="C8720" s="748"/>
      <c r="D8720" s="749" t="s">
        <v>2068</v>
      </c>
      <c r="F8720" s="753"/>
      <c r="G8720" s="3"/>
      <c r="H8720" s="753"/>
      <c r="I8720" s="754"/>
      <c r="J8720" s="753"/>
      <c r="K8720" s="753" t="s">
        <v>144</v>
      </c>
      <c r="L8720" s="753"/>
      <c r="M8720" s="753"/>
      <c r="N8720" s="753"/>
      <c r="O8720" s="753"/>
      <c r="P8720" s="753"/>
      <c r="Q8720" s="51"/>
      <c r="R8720" s="530"/>
      <c r="S8720" s="757"/>
      <c r="T8720" s="753"/>
      <c r="AR8720" s="748"/>
      <c r="AS8720" s="753"/>
    </row>
    <row r="8721" spans="1:45" s="901" customFormat="1" ht="13.2">
      <c r="A8721" s="903">
        <v>1</v>
      </c>
      <c r="B8721" s="904" t="s">
        <v>863</v>
      </c>
      <c r="C8721" s="904"/>
      <c r="D8721" s="904" t="s">
        <v>2594</v>
      </c>
      <c r="E8721" s="904"/>
      <c r="F8721" s="904" t="s">
        <v>4128</v>
      </c>
      <c r="G8721" s="905" t="s">
        <v>2595</v>
      </c>
      <c r="H8721" s="902">
        <v>960</v>
      </c>
      <c r="I8721" s="904" t="s">
        <v>2596</v>
      </c>
      <c r="J8721" s="904"/>
      <c r="K8721" s="904"/>
      <c r="L8721" s="904"/>
      <c r="M8721" s="904"/>
      <c r="N8721" s="904"/>
      <c r="O8721" s="902">
        <v>4</v>
      </c>
      <c r="P8721" s="906">
        <v>38274</v>
      </c>
      <c r="Q8721" s="1415">
        <f>79*0.873</f>
        <v>68.966999999999999</v>
      </c>
      <c r="R8721" s="908">
        <f>$A8721*Q8721</f>
        <v>68.966999999999999</v>
      </c>
      <c r="S8721" s="907"/>
      <c r="T8721" s="909">
        <f>$A8721*S8721*$T$1</f>
        <v>0</v>
      </c>
      <c r="AR8721" s="903">
        <v>1</v>
      </c>
      <c r="AS8721" s="904" t="s">
        <v>3507</v>
      </c>
    </row>
    <row r="8722" spans="1:45" s="520" customFormat="1" ht="12">
      <c r="A8722" s="758"/>
      <c r="B8722" s="758"/>
      <c r="C8722" s="758"/>
      <c r="D8722" s="758"/>
      <c r="E8722" s="758"/>
      <c r="F8722" s="753"/>
      <c r="G8722" s="758"/>
      <c r="H8722" s="758"/>
      <c r="I8722" s="519"/>
      <c r="J8722" s="758"/>
      <c r="K8722" s="758"/>
      <c r="L8722" s="758"/>
      <c r="M8722" s="758"/>
      <c r="N8722" s="758"/>
      <c r="O8722" s="758"/>
      <c r="P8722" s="758"/>
      <c r="Q8722" s="519"/>
      <c r="R8722" s="759">
        <f>$A8722*Q8722</f>
        <v>0</v>
      </c>
      <c r="S8722" s="519"/>
      <c r="T8722" s="760">
        <f>$A8722*S8722*$T$1</f>
        <v>0</v>
      </c>
      <c r="AR8722" s="758"/>
      <c r="AS8722" s="753"/>
    </row>
    <row r="8723" spans="1:45" s="520" customFormat="1" ht="12.6" thickBot="1">
      <c r="A8723" s="761" t="s">
        <v>145</v>
      </c>
      <c r="B8723" s="762">
        <f>(R8722+T8722)</f>
        <v>0</v>
      </c>
      <c r="C8723" s="763"/>
      <c r="D8723" s="763"/>
      <c r="E8723" s="763"/>
      <c r="F8723" s="764"/>
      <c r="G8723" s="763" t="s">
        <v>146</v>
      </c>
      <c r="H8723" s="763"/>
      <c r="I8723" s="765"/>
      <c r="J8723" s="763"/>
      <c r="K8723" s="763" t="s">
        <v>5</v>
      </c>
      <c r="L8723" s="766" t="s">
        <v>143</v>
      </c>
      <c r="M8723" s="766"/>
      <c r="N8723" s="766"/>
      <c r="O8723" s="766"/>
      <c r="P8723" s="766"/>
      <c r="Q8723" s="767"/>
      <c r="R8723" s="768">
        <f>SUM(R8720:R8722)</f>
        <v>68.966999999999999</v>
      </c>
      <c r="S8723" s="763"/>
      <c r="T8723" s="768">
        <f>SUM(T8720:T8722)</f>
        <v>0</v>
      </c>
      <c r="U8723" s="531"/>
      <c r="V8723" s="531"/>
      <c r="W8723" s="531"/>
      <c r="X8723" s="531"/>
      <c r="Y8723" s="531"/>
      <c r="Z8723" s="531"/>
      <c r="AA8723" s="531"/>
      <c r="AB8723" s="531"/>
      <c r="AC8723" s="531"/>
      <c r="AD8723" s="531"/>
      <c r="AE8723" s="531"/>
      <c r="AF8723" s="531"/>
      <c r="AG8723" s="531"/>
      <c r="AH8723" s="531"/>
      <c r="AI8723" s="531"/>
      <c r="AJ8723" s="531"/>
      <c r="AK8723" s="531"/>
      <c r="AL8723" s="531"/>
      <c r="AM8723" s="531"/>
      <c r="AN8723" s="531"/>
      <c r="AO8723" s="531"/>
      <c r="AR8723" s="761" t="s">
        <v>145</v>
      </c>
      <c r="AS8723" s="764"/>
    </row>
    <row r="8724" spans="1:45" s="520" customFormat="1" ht="12" thickTop="1">
      <c r="A8724" s="51"/>
      <c r="B8724" s="41"/>
      <c r="C8724" s="51"/>
      <c r="E8724" s="42" t="s">
        <v>138</v>
      </c>
      <c r="F8724" s="42" t="s">
        <v>139</v>
      </c>
      <c r="G8724" s="51"/>
      <c r="H8724" s="51"/>
      <c r="I8724" s="51"/>
      <c r="J8724" s="51"/>
      <c r="K8724" s="51" t="s">
        <v>140</v>
      </c>
      <c r="L8724" s="51"/>
      <c r="M8724" s="51"/>
      <c r="N8724" s="51"/>
      <c r="O8724" s="52"/>
      <c r="P8724" s="51"/>
      <c r="Q8724" s="51"/>
      <c r="R8724" s="51"/>
      <c r="S8724" s="51"/>
      <c r="T8724" s="41"/>
      <c r="AG8724" s="521" t="s">
        <v>268</v>
      </c>
      <c r="AH8724" s="521" t="s">
        <v>269</v>
      </c>
      <c r="AI8724" s="521" t="s">
        <v>270</v>
      </c>
      <c r="AJ8724" s="521" t="s">
        <v>271</v>
      </c>
      <c r="AK8724" s="521" t="s">
        <v>272</v>
      </c>
      <c r="AM8724" s="745" t="s">
        <v>281</v>
      </c>
      <c r="AN8724" s="746" t="s">
        <v>282</v>
      </c>
      <c r="AO8724" s="522" t="s">
        <v>278</v>
      </c>
      <c r="AR8724" s="51"/>
      <c r="AS8724" s="42" t="s">
        <v>139</v>
      </c>
    </row>
    <row r="8725" spans="1:45" s="520" customFormat="1" ht="12" customHeight="1">
      <c r="A8725" s="747">
        <v>1</v>
      </c>
      <c r="B8725" s="523" t="s">
        <v>141</v>
      </c>
      <c r="C8725" s="748"/>
      <c r="D8725" s="749" t="s">
        <v>2358</v>
      </c>
      <c r="E8725" s="1145">
        <f>IF(AND($A8725=0,$A$1="DIF"),0, ROUND(ROUND(($R8729*$S$3+($T8729*$T$3))/$A8725,2)*$C$3,2))</f>
        <v>77.849999999999994</v>
      </c>
      <c r="F8725" s="1146">
        <f>ROUND($A8725*$E8725,2)</f>
        <v>77.849999999999994</v>
      </c>
      <c r="G8725" s="752" t="s">
        <v>142</v>
      </c>
      <c r="H8725" s="753"/>
      <c r="I8725" s="754"/>
      <c r="J8725" s="753"/>
      <c r="K8725" s="753" t="s">
        <v>5</v>
      </c>
      <c r="L8725" s="755" t="s">
        <v>143</v>
      </c>
      <c r="M8725" s="755"/>
      <c r="N8725" s="755"/>
      <c r="O8725" s="755"/>
      <c r="P8725" s="755"/>
      <c r="Q8725" s="51"/>
      <c r="T8725" s="1150" t="str">
        <f>IF(AND($R8729=0,$T8729=0),"0.00","mu: "&amp; ROUND(F8725/$C$3/($R8729+$T8729*$D$9),2))</f>
        <v>mu: 1.13</v>
      </c>
      <c r="W8725" s="524"/>
      <c r="AG8725" s="1147">
        <f>IF($E8725=0,0,ROUND($R8729*$S$3*$C$3/$A8725,2))</f>
        <v>77.849999999999994</v>
      </c>
      <c r="AH8725" s="1147">
        <f>$AG8725*$A8725</f>
        <v>77.849999999999994</v>
      </c>
      <c r="AI8725" s="1148">
        <f>$E8725-$AG8725</f>
        <v>0</v>
      </c>
      <c r="AJ8725" s="1148">
        <f>$A8725*$AI8725</f>
        <v>0</v>
      </c>
      <c r="AK8725" s="1149">
        <f>ROUND(($AG8725+$AI8725)*$A8725,2)</f>
        <v>77.849999999999994</v>
      </c>
      <c r="AM8725" s="527">
        <f>ROUND(R8729,2)</f>
        <v>68.97</v>
      </c>
      <c r="AN8725" s="528">
        <f>ROUND(T8729,2)</f>
        <v>0</v>
      </c>
      <c r="AO8725" s="529">
        <f>ROUND(AM8725+AN8725,2)*A8725</f>
        <v>68.97</v>
      </c>
      <c r="AR8725" s="747">
        <v>1</v>
      </c>
      <c r="AS8725" s="1146">
        <v>84.71</v>
      </c>
    </row>
    <row r="8726" spans="1:45" s="520" customFormat="1" ht="13.2">
      <c r="A8726" s="748"/>
      <c r="B8726"/>
      <c r="C8726" s="748"/>
      <c r="D8726" s="749" t="s">
        <v>2080</v>
      </c>
      <c r="F8726" s="753"/>
      <c r="G8726" s="3"/>
      <c r="H8726" s="753"/>
      <c r="I8726" s="754"/>
      <c r="J8726" s="753"/>
      <c r="K8726" s="753" t="s">
        <v>144</v>
      </c>
      <c r="L8726" s="753"/>
      <c r="M8726" s="753"/>
      <c r="N8726" s="753"/>
      <c r="O8726" s="753"/>
      <c r="P8726" s="753"/>
      <c r="Q8726" s="51"/>
      <c r="R8726" s="530"/>
      <c r="S8726" s="757"/>
      <c r="T8726" s="753"/>
      <c r="AR8726" s="748"/>
      <c r="AS8726" s="753"/>
    </row>
    <row r="8727" spans="1:45" s="901" customFormat="1" ht="13.2">
      <c r="A8727" s="903">
        <v>1</v>
      </c>
      <c r="B8727" s="904" t="s">
        <v>863</v>
      </c>
      <c r="C8727" s="904"/>
      <c r="D8727" s="904" t="s">
        <v>2594</v>
      </c>
      <c r="E8727" s="904"/>
      <c r="F8727" s="904" t="s">
        <v>4128</v>
      </c>
      <c r="G8727" s="905" t="s">
        <v>2595</v>
      </c>
      <c r="H8727" s="902">
        <v>960</v>
      </c>
      <c r="I8727" s="904" t="s">
        <v>2596</v>
      </c>
      <c r="J8727" s="904"/>
      <c r="K8727" s="904"/>
      <c r="L8727" s="904"/>
      <c r="M8727" s="904"/>
      <c r="N8727" s="904"/>
      <c r="O8727" s="902">
        <v>4</v>
      </c>
      <c r="P8727" s="906">
        <v>38274</v>
      </c>
      <c r="Q8727" s="1415">
        <f>79*0.873</f>
        <v>68.966999999999999</v>
      </c>
      <c r="R8727" s="908">
        <f>$A8727*Q8727</f>
        <v>68.966999999999999</v>
      </c>
      <c r="S8727" s="907"/>
      <c r="T8727" s="909">
        <f>$A8727*S8727*$T$1</f>
        <v>0</v>
      </c>
      <c r="AR8727" s="903">
        <v>1</v>
      </c>
      <c r="AS8727" s="904" t="s">
        <v>3507</v>
      </c>
    </row>
    <row r="8728" spans="1:45" s="520" customFormat="1" ht="12">
      <c r="A8728" s="758"/>
      <c r="B8728" s="758"/>
      <c r="C8728" s="758"/>
      <c r="D8728" s="758"/>
      <c r="E8728" s="758"/>
      <c r="F8728" s="753"/>
      <c r="G8728" s="758"/>
      <c r="H8728" s="758"/>
      <c r="I8728" s="519"/>
      <c r="J8728" s="758"/>
      <c r="K8728" s="758"/>
      <c r="L8728" s="758"/>
      <c r="M8728" s="758"/>
      <c r="N8728" s="758"/>
      <c r="O8728" s="758"/>
      <c r="P8728" s="758"/>
      <c r="Q8728" s="519"/>
      <c r="R8728" s="759">
        <f>$A8728*Q8728</f>
        <v>0</v>
      </c>
      <c r="S8728" s="519"/>
      <c r="T8728" s="760">
        <f>$A8728*S8728*$T$1</f>
        <v>0</v>
      </c>
      <c r="AR8728" s="758"/>
      <c r="AS8728" s="753"/>
    </row>
    <row r="8729" spans="1:45" s="520" customFormat="1" ht="12.6" thickBot="1">
      <c r="A8729" s="761" t="s">
        <v>145</v>
      </c>
      <c r="B8729" s="762">
        <f>(R8728+T8728)</f>
        <v>0</v>
      </c>
      <c r="C8729" s="763"/>
      <c r="D8729" s="763"/>
      <c r="E8729" s="763"/>
      <c r="F8729" s="764"/>
      <c r="G8729" s="763" t="s">
        <v>146</v>
      </c>
      <c r="H8729" s="763"/>
      <c r="I8729" s="765"/>
      <c r="J8729" s="763"/>
      <c r="K8729" s="763" t="s">
        <v>5</v>
      </c>
      <c r="L8729" s="766" t="s">
        <v>143</v>
      </c>
      <c r="M8729" s="766"/>
      <c r="N8729" s="766"/>
      <c r="O8729" s="766"/>
      <c r="P8729" s="766"/>
      <c r="Q8729" s="767"/>
      <c r="R8729" s="768">
        <f>SUM(R8726:R8728)</f>
        <v>68.966999999999999</v>
      </c>
      <c r="S8729" s="763"/>
      <c r="T8729" s="768">
        <f>SUM(T8726:T8728)</f>
        <v>0</v>
      </c>
      <c r="U8729" s="531"/>
      <c r="V8729" s="531"/>
      <c r="W8729" s="531"/>
      <c r="X8729" s="531"/>
      <c r="Y8729" s="531"/>
      <c r="Z8729" s="531"/>
      <c r="AA8729" s="531"/>
      <c r="AB8729" s="531"/>
      <c r="AC8729" s="531"/>
      <c r="AD8729" s="531"/>
      <c r="AE8729" s="531"/>
      <c r="AF8729" s="531"/>
      <c r="AG8729" s="531"/>
      <c r="AH8729" s="531"/>
      <c r="AI8729" s="531"/>
      <c r="AJ8729" s="531"/>
      <c r="AK8729" s="531"/>
      <c r="AL8729" s="531"/>
      <c r="AM8729" s="531"/>
      <c r="AN8729" s="531"/>
      <c r="AO8729" s="531"/>
      <c r="AR8729" s="761" t="s">
        <v>145</v>
      </c>
      <c r="AS8729" s="764"/>
    </row>
    <row r="8730" spans="1:45" s="520" customFormat="1" ht="12" thickTop="1">
      <c r="A8730" s="51"/>
      <c r="B8730" s="41"/>
      <c r="C8730" s="51"/>
      <c r="E8730" s="42" t="s">
        <v>138</v>
      </c>
      <c r="F8730" s="42" t="s">
        <v>139</v>
      </c>
      <c r="G8730" s="51"/>
      <c r="H8730" s="51"/>
      <c r="I8730" s="51"/>
      <c r="J8730" s="51"/>
      <c r="K8730" s="51" t="s">
        <v>140</v>
      </c>
      <c r="L8730" s="51"/>
      <c r="M8730" s="51"/>
      <c r="N8730" s="51"/>
      <c r="O8730" s="52"/>
      <c r="P8730" s="51"/>
      <c r="Q8730" s="51"/>
      <c r="R8730" s="51"/>
      <c r="S8730" s="51"/>
      <c r="T8730" s="41"/>
      <c r="AG8730" s="521" t="s">
        <v>268</v>
      </c>
      <c r="AH8730" s="521" t="s">
        <v>269</v>
      </c>
      <c r="AI8730" s="521" t="s">
        <v>270</v>
      </c>
      <c r="AJ8730" s="521" t="s">
        <v>271</v>
      </c>
      <c r="AK8730" s="521" t="s">
        <v>272</v>
      </c>
      <c r="AM8730" s="745" t="s">
        <v>281</v>
      </c>
      <c r="AN8730" s="746" t="s">
        <v>282</v>
      </c>
      <c r="AO8730" s="522" t="s">
        <v>278</v>
      </c>
      <c r="AR8730" s="51"/>
      <c r="AS8730" s="42" t="s">
        <v>139</v>
      </c>
    </row>
    <row r="8731" spans="1:45" s="520" customFormat="1" ht="12" customHeight="1">
      <c r="A8731" s="747">
        <v>1</v>
      </c>
      <c r="B8731" s="523" t="s">
        <v>141</v>
      </c>
      <c r="C8731" s="748"/>
      <c r="D8731" s="749" t="s">
        <v>2359</v>
      </c>
      <c r="E8731" s="1145">
        <f>IF(AND($A8731=0,$A$1="DIF"),0, ROUND(ROUND(($R8735*$S$3+($T8735*$T$3))/$A8731,2)*$C$3,2))</f>
        <v>77.849999999999994</v>
      </c>
      <c r="F8731" s="1146">
        <f>ROUND($A8731*$E8731,2)</f>
        <v>77.849999999999994</v>
      </c>
      <c r="G8731" s="752" t="s">
        <v>142</v>
      </c>
      <c r="H8731" s="753"/>
      <c r="I8731" s="754"/>
      <c r="J8731" s="753"/>
      <c r="K8731" s="753" t="s">
        <v>5</v>
      </c>
      <c r="L8731" s="755" t="s">
        <v>143</v>
      </c>
      <c r="M8731" s="755"/>
      <c r="N8731" s="755"/>
      <c r="O8731" s="755"/>
      <c r="P8731" s="755"/>
      <c r="Q8731" s="51"/>
      <c r="T8731" s="1150" t="str">
        <f>IF(AND($R8735=0,$T8735=0),"0.00","mu: "&amp; ROUND(F8731/$C$3/($R8735+$T8735*$D$9),2))</f>
        <v>mu: 1.13</v>
      </c>
      <c r="W8731" s="524"/>
      <c r="AG8731" s="1147">
        <f>IF($E8731=0,0,ROUND($R8735*$S$3*$C$3/$A8731,2))</f>
        <v>77.849999999999994</v>
      </c>
      <c r="AH8731" s="1147">
        <f>$AG8731*$A8731</f>
        <v>77.849999999999994</v>
      </c>
      <c r="AI8731" s="1148">
        <f>$E8731-$AG8731</f>
        <v>0</v>
      </c>
      <c r="AJ8731" s="1148">
        <f>$A8731*$AI8731</f>
        <v>0</v>
      </c>
      <c r="AK8731" s="1149">
        <f>ROUND(($AG8731+$AI8731)*$A8731,2)</f>
        <v>77.849999999999994</v>
      </c>
      <c r="AM8731" s="527">
        <f>ROUND(R8735,2)</f>
        <v>68.97</v>
      </c>
      <c r="AN8731" s="528">
        <f>ROUND(T8735,2)</f>
        <v>0</v>
      </c>
      <c r="AO8731" s="529">
        <f>ROUND(AM8731+AN8731,2)*A8731</f>
        <v>68.97</v>
      </c>
      <c r="AR8731" s="747">
        <v>1</v>
      </c>
      <c r="AS8731" s="1146">
        <v>84.71</v>
      </c>
    </row>
    <row r="8732" spans="1:45" s="520" customFormat="1" ht="13.2">
      <c r="A8732" s="748"/>
      <c r="B8732"/>
      <c r="C8732" s="748"/>
      <c r="D8732" s="749" t="s">
        <v>2081</v>
      </c>
      <c r="F8732" s="753"/>
      <c r="G8732" s="3"/>
      <c r="H8732" s="753"/>
      <c r="I8732" s="754"/>
      <c r="J8732" s="753"/>
      <c r="K8732" s="753" t="s">
        <v>144</v>
      </c>
      <c r="L8732" s="753"/>
      <c r="M8732" s="753"/>
      <c r="N8732" s="753"/>
      <c r="O8732" s="753"/>
      <c r="P8732" s="753"/>
      <c r="Q8732" s="51"/>
      <c r="R8732" s="530"/>
      <c r="S8732" s="757"/>
      <c r="T8732" s="753"/>
      <c r="AR8732" s="748"/>
      <c r="AS8732" s="753"/>
    </row>
    <row r="8733" spans="1:45" s="901" customFormat="1" ht="13.2">
      <c r="A8733" s="903">
        <v>1</v>
      </c>
      <c r="B8733" s="904" t="s">
        <v>863</v>
      </c>
      <c r="C8733" s="904"/>
      <c r="D8733" s="904" t="s">
        <v>2594</v>
      </c>
      <c r="E8733" s="904"/>
      <c r="F8733" s="904" t="s">
        <v>4128</v>
      </c>
      <c r="G8733" s="905" t="s">
        <v>2595</v>
      </c>
      <c r="H8733" s="902">
        <v>960</v>
      </c>
      <c r="I8733" s="904" t="s">
        <v>2596</v>
      </c>
      <c r="J8733" s="904"/>
      <c r="K8733" s="904"/>
      <c r="L8733" s="904"/>
      <c r="M8733" s="904"/>
      <c r="N8733" s="904"/>
      <c r="O8733" s="902">
        <v>4</v>
      </c>
      <c r="P8733" s="906">
        <v>38274</v>
      </c>
      <c r="Q8733" s="1415">
        <f>79*0.873</f>
        <v>68.966999999999999</v>
      </c>
      <c r="R8733" s="908">
        <f>$A8733*Q8733</f>
        <v>68.966999999999999</v>
      </c>
      <c r="S8733" s="907"/>
      <c r="T8733" s="909">
        <f>$A8733*S8733*$T$1</f>
        <v>0</v>
      </c>
      <c r="AR8733" s="903">
        <v>1</v>
      </c>
      <c r="AS8733" s="904" t="s">
        <v>3507</v>
      </c>
    </row>
    <row r="8734" spans="1:45" s="520" customFormat="1" ht="12">
      <c r="A8734" s="758"/>
      <c r="B8734" s="758"/>
      <c r="C8734" s="758"/>
      <c r="D8734" s="758"/>
      <c r="E8734" s="758"/>
      <c r="F8734" s="753"/>
      <c r="G8734" s="758"/>
      <c r="H8734" s="758"/>
      <c r="I8734" s="519"/>
      <c r="J8734" s="758"/>
      <c r="K8734" s="758"/>
      <c r="L8734" s="758"/>
      <c r="M8734" s="758"/>
      <c r="N8734" s="758"/>
      <c r="O8734" s="758"/>
      <c r="P8734" s="758"/>
      <c r="Q8734" s="519"/>
      <c r="R8734" s="759">
        <f>$A8734*Q8734</f>
        <v>0</v>
      </c>
      <c r="S8734" s="519"/>
      <c r="T8734" s="760">
        <f>$A8734*S8734*$T$1</f>
        <v>0</v>
      </c>
      <c r="AR8734" s="758"/>
      <c r="AS8734" s="753"/>
    </row>
    <row r="8735" spans="1:45" s="520" customFormat="1" ht="12.6" thickBot="1">
      <c r="A8735" s="761" t="s">
        <v>145</v>
      </c>
      <c r="B8735" s="762">
        <f>(R8734+T8734)</f>
        <v>0</v>
      </c>
      <c r="C8735" s="763"/>
      <c r="D8735" s="763"/>
      <c r="E8735" s="763"/>
      <c r="F8735" s="764"/>
      <c r="G8735" s="763" t="s">
        <v>146</v>
      </c>
      <c r="H8735" s="763"/>
      <c r="I8735" s="765"/>
      <c r="J8735" s="763"/>
      <c r="K8735" s="763" t="s">
        <v>5</v>
      </c>
      <c r="L8735" s="766" t="s">
        <v>143</v>
      </c>
      <c r="M8735" s="766"/>
      <c r="N8735" s="766"/>
      <c r="O8735" s="766"/>
      <c r="P8735" s="766"/>
      <c r="Q8735" s="767"/>
      <c r="R8735" s="768">
        <f>SUM(R8732:R8734)</f>
        <v>68.966999999999999</v>
      </c>
      <c r="S8735" s="763"/>
      <c r="T8735" s="768">
        <f>SUM(T8732:T8734)</f>
        <v>0</v>
      </c>
      <c r="U8735" s="531"/>
      <c r="V8735" s="531"/>
      <c r="W8735" s="531"/>
      <c r="X8735" s="531"/>
      <c r="Y8735" s="531"/>
      <c r="Z8735" s="531"/>
      <c r="AA8735" s="531"/>
      <c r="AB8735" s="531"/>
      <c r="AC8735" s="531"/>
      <c r="AD8735" s="531"/>
      <c r="AE8735" s="531"/>
      <c r="AF8735" s="531"/>
      <c r="AG8735" s="531"/>
      <c r="AH8735" s="531"/>
      <c r="AI8735" s="531"/>
      <c r="AJ8735" s="531"/>
      <c r="AK8735" s="531"/>
      <c r="AL8735" s="531"/>
      <c r="AM8735" s="531"/>
      <c r="AN8735" s="531"/>
      <c r="AO8735" s="531"/>
      <c r="AR8735" s="761" t="s">
        <v>145</v>
      </c>
      <c r="AS8735" s="764"/>
    </row>
    <row r="8736" spans="1:45" s="520" customFormat="1" ht="12" thickTop="1">
      <c r="A8736" s="51"/>
      <c r="B8736" s="41"/>
      <c r="C8736" s="51"/>
      <c r="E8736" s="42" t="s">
        <v>138</v>
      </c>
      <c r="F8736" s="42" t="s">
        <v>139</v>
      </c>
      <c r="G8736" s="51"/>
      <c r="H8736" s="51"/>
      <c r="I8736" s="51"/>
      <c r="J8736" s="51"/>
      <c r="K8736" s="51" t="s">
        <v>140</v>
      </c>
      <c r="L8736" s="51"/>
      <c r="M8736" s="51"/>
      <c r="N8736" s="51"/>
      <c r="O8736" s="52"/>
      <c r="P8736" s="51"/>
      <c r="Q8736" s="51"/>
      <c r="R8736" s="51"/>
      <c r="S8736" s="51"/>
      <c r="T8736" s="41"/>
      <c r="AG8736" s="521" t="s">
        <v>268</v>
      </c>
      <c r="AH8736" s="521" t="s">
        <v>269</v>
      </c>
      <c r="AI8736" s="521" t="s">
        <v>270</v>
      </c>
      <c r="AJ8736" s="521" t="s">
        <v>271</v>
      </c>
      <c r="AK8736" s="521" t="s">
        <v>272</v>
      </c>
      <c r="AM8736" s="745" t="s">
        <v>281</v>
      </c>
      <c r="AN8736" s="746" t="s">
        <v>282</v>
      </c>
      <c r="AO8736" s="522" t="s">
        <v>278</v>
      </c>
      <c r="AR8736" s="51"/>
      <c r="AS8736" s="42" t="s">
        <v>139</v>
      </c>
    </row>
    <row r="8737" spans="1:45" s="520" customFormat="1" ht="12" customHeight="1">
      <c r="A8737" s="747">
        <v>1</v>
      </c>
      <c r="B8737" s="523" t="s">
        <v>141</v>
      </c>
      <c r="C8737" s="748"/>
      <c r="D8737" s="749" t="s">
        <v>2360</v>
      </c>
      <c r="E8737" s="1145">
        <f>IF(AND($A8737=0,$A$1="DIF"),0, ROUND(ROUND(($R8741*$S$3+($T8741*$T$3))/$A8737,2)*$C$3,2))</f>
        <v>3941.53</v>
      </c>
      <c r="F8737" s="1146">
        <f>ROUND($A8737*$E8737,2)</f>
        <v>3941.53</v>
      </c>
      <c r="G8737" s="752" t="s">
        <v>142</v>
      </c>
      <c r="H8737" s="753"/>
      <c r="I8737" s="754"/>
      <c r="J8737" s="753"/>
      <c r="K8737" s="753" t="s">
        <v>5</v>
      </c>
      <c r="L8737" s="755" t="s">
        <v>143</v>
      </c>
      <c r="M8737" s="755"/>
      <c r="N8737" s="755"/>
      <c r="O8737" s="755"/>
      <c r="P8737" s="755"/>
      <c r="Q8737" s="51"/>
      <c r="T8737" s="1150" t="str">
        <f>IF(AND($R8741=0,$T8741=0),"0.00","mu: "&amp; ROUND(F8737/$C$3/($R8741+$T8741*$D$9),2))</f>
        <v>mu: 1.13</v>
      </c>
      <c r="W8737" s="524"/>
      <c r="AG8737" s="1147">
        <f>IF($E8737=0,0,ROUND($R8741*$S$3*$C$3/$A8737,2))</f>
        <v>3941.53</v>
      </c>
      <c r="AH8737" s="1147">
        <f>$AG8737*$A8737</f>
        <v>3941.53</v>
      </c>
      <c r="AI8737" s="1148">
        <f>$E8737-$AG8737</f>
        <v>0</v>
      </c>
      <c r="AJ8737" s="1148">
        <f>$A8737*$AI8737</f>
        <v>0</v>
      </c>
      <c r="AK8737" s="1149">
        <f>ROUND(($AG8737+$AI8737)*$A8737,2)</f>
        <v>3941.53</v>
      </c>
      <c r="AM8737" s="527">
        <f>ROUND(R8741,2)</f>
        <v>3492</v>
      </c>
      <c r="AN8737" s="528">
        <f>ROUND(T8741,2)</f>
        <v>0</v>
      </c>
      <c r="AO8737" s="529">
        <f>ROUND(AM8737+AN8737,2)*A8737</f>
        <v>3492</v>
      </c>
      <c r="AR8737" s="747">
        <v>1</v>
      </c>
      <c r="AS8737" s="1146">
        <v>4289.18</v>
      </c>
    </row>
    <row r="8738" spans="1:45" s="520" customFormat="1" ht="13.2">
      <c r="A8738" s="748"/>
      <c r="B8738"/>
      <c r="C8738" s="748"/>
      <c r="D8738" s="749" t="s">
        <v>2082</v>
      </c>
      <c r="F8738" s="753"/>
      <c r="G8738" s="3"/>
      <c r="H8738" s="753"/>
      <c r="I8738" s="754"/>
      <c r="J8738" s="753"/>
      <c r="K8738" s="753" t="s">
        <v>144</v>
      </c>
      <c r="L8738" s="753"/>
      <c r="M8738" s="753"/>
      <c r="N8738" s="753"/>
      <c r="O8738" s="753"/>
      <c r="P8738" s="753"/>
      <c r="Q8738" s="51"/>
      <c r="R8738" s="530"/>
      <c r="S8738" s="757"/>
      <c r="T8738" s="753"/>
      <c r="AR8738" s="748"/>
      <c r="AS8738" s="753"/>
    </row>
    <row r="8739" spans="1:45" s="901" customFormat="1" ht="13.2">
      <c r="A8739" s="903">
        <v>1</v>
      </c>
      <c r="B8739" s="904" t="s">
        <v>863</v>
      </c>
      <c r="C8739" s="904"/>
      <c r="D8739" s="904" t="s">
        <v>2594</v>
      </c>
      <c r="E8739" s="904"/>
      <c r="F8739" s="904" t="s">
        <v>4128</v>
      </c>
      <c r="G8739" s="905" t="s">
        <v>2595</v>
      </c>
      <c r="H8739" s="902">
        <v>960</v>
      </c>
      <c r="I8739" s="904" t="s">
        <v>2596</v>
      </c>
      <c r="J8739" s="904"/>
      <c r="K8739" s="904"/>
      <c r="L8739" s="904"/>
      <c r="M8739" s="904"/>
      <c r="N8739" s="904"/>
      <c r="O8739" s="902">
        <v>4</v>
      </c>
      <c r="P8739" s="906">
        <v>38274</v>
      </c>
      <c r="Q8739" s="1415">
        <f>4000*0.873</f>
        <v>3492</v>
      </c>
      <c r="R8739" s="908">
        <f>$A8739*Q8739</f>
        <v>3492</v>
      </c>
      <c r="S8739" s="907"/>
      <c r="T8739" s="909">
        <f>$A8739*S8739*$T$1</f>
        <v>0</v>
      </c>
      <c r="AR8739" s="903">
        <v>1</v>
      </c>
      <c r="AS8739" s="904" t="s">
        <v>3507</v>
      </c>
    </row>
    <row r="8740" spans="1:45" s="520" customFormat="1" ht="12">
      <c r="A8740" s="758"/>
      <c r="B8740" s="758"/>
      <c r="C8740" s="758"/>
      <c r="D8740" s="758"/>
      <c r="E8740" s="758"/>
      <c r="F8740" s="753"/>
      <c r="G8740" s="758"/>
      <c r="H8740" s="758"/>
      <c r="I8740" s="519"/>
      <c r="J8740" s="758"/>
      <c r="K8740" s="758"/>
      <c r="L8740" s="758"/>
      <c r="M8740" s="758"/>
      <c r="N8740" s="758"/>
      <c r="O8740" s="758"/>
      <c r="P8740" s="758"/>
      <c r="Q8740" s="519"/>
      <c r="R8740" s="759">
        <f>$A8740*Q8740</f>
        <v>0</v>
      </c>
      <c r="S8740" s="519"/>
      <c r="T8740" s="760">
        <f>$A8740*S8740*$T$1</f>
        <v>0</v>
      </c>
      <c r="AR8740" s="758"/>
      <c r="AS8740" s="753"/>
    </row>
    <row r="8741" spans="1:45" s="520" customFormat="1" ht="12.6" thickBot="1">
      <c r="A8741" s="761" t="s">
        <v>145</v>
      </c>
      <c r="B8741" s="762">
        <f>(R8740+T8740)</f>
        <v>0</v>
      </c>
      <c r="C8741" s="763"/>
      <c r="D8741" s="763"/>
      <c r="E8741" s="763"/>
      <c r="F8741" s="764"/>
      <c r="G8741" s="763" t="s">
        <v>146</v>
      </c>
      <c r="H8741" s="763"/>
      <c r="I8741" s="765"/>
      <c r="J8741" s="763"/>
      <c r="K8741" s="763" t="s">
        <v>5</v>
      </c>
      <c r="L8741" s="766" t="s">
        <v>143</v>
      </c>
      <c r="M8741" s="766"/>
      <c r="N8741" s="766"/>
      <c r="O8741" s="766"/>
      <c r="P8741" s="766"/>
      <c r="Q8741" s="767"/>
      <c r="R8741" s="768">
        <f>SUM(R8738:R8740)</f>
        <v>3492</v>
      </c>
      <c r="S8741" s="763"/>
      <c r="T8741" s="768">
        <f>SUM(T8738:T8740)</f>
        <v>0</v>
      </c>
      <c r="U8741" s="531"/>
      <c r="V8741" s="531"/>
      <c r="W8741" s="531"/>
      <c r="X8741" s="531"/>
      <c r="Y8741" s="531"/>
      <c r="Z8741" s="531"/>
      <c r="AA8741" s="531"/>
      <c r="AB8741" s="531"/>
      <c r="AC8741" s="531"/>
      <c r="AD8741" s="531"/>
      <c r="AE8741" s="531"/>
      <c r="AF8741" s="531"/>
      <c r="AG8741" s="531"/>
      <c r="AH8741" s="531"/>
      <c r="AI8741" s="531"/>
      <c r="AJ8741" s="531"/>
      <c r="AK8741" s="531"/>
      <c r="AL8741" s="531"/>
      <c r="AM8741" s="531"/>
      <c r="AN8741" s="531"/>
      <c r="AO8741" s="531"/>
      <c r="AR8741" s="761" t="s">
        <v>145</v>
      </c>
      <c r="AS8741" s="764"/>
    </row>
    <row r="8742" spans="1:45" s="520" customFormat="1" ht="12" thickTop="1">
      <c r="A8742" s="51"/>
      <c r="B8742" s="41"/>
      <c r="C8742" s="51"/>
      <c r="E8742" s="42" t="s">
        <v>138</v>
      </c>
      <c r="F8742" s="42" t="s">
        <v>139</v>
      </c>
      <c r="G8742" s="51"/>
      <c r="H8742" s="51"/>
      <c r="I8742" s="51"/>
      <c r="J8742" s="51"/>
      <c r="K8742" s="51" t="s">
        <v>140</v>
      </c>
      <c r="L8742" s="51"/>
      <c r="M8742" s="51"/>
      <c r="N8742" s="51"/>
      <c r="O8742" s="52"/>
      <c r="P8742" s="51"/>
      <c r="Q8742" s="51"/>
      <c r="R8742" s="51"/>
      <c r="S8742" s="51"/>
      <c r="T8742" s="41"/>
      <c r="AG8742" s="521" t="s">
        <v>268</v>
      </c>
      <c r="AH8742" s="521" t="s">
        <v>269</v>
      </c>
      <c r="AI8742" s="521" t="s">
        <v>270</v>
      </c>
      <c r="AJ8742" s="521" t="s">
        <v>271</v>
      </c>
      <c r="AK8742" s="521" t="s">
        <v>272</v>
      </c>
      <c r="AM8742" s="745" t="s">
        <v>281</v>
      </c>
      <c r="AN8742" s="746" t="s">
        <v>282</v>
      </c>
      <c r="AO8742" s="522" t="s">
        <v>278</v>
      </c>
      <c r="AR8742" s="51"/>
      <c r="AS8742" s="42" t="s">
        <v>139</v>
      </c>
    </row>
    <row r="8743" spans="1:45" s="520" customFormat="1" ht="12" customHeight="1">
      <c r="A8743" s="747">
        <v>1</v>
      </c>
      <c r="B8743" s="523" t="s">
        <v>329</v>
      </c>
      <c r="C8743" s="748"/>
      <c r="D8743" s="749" t="s">
        <v>2361</v>
      </c>
      <c r="E8743" s="1145">
        <f>IF(AND($A8743=0,$A$1="DIF"),0, ROUND(ROUND(($R8747*$S$3+($T8747*$T$3))/$A8743,2)*$C$3,2))</f>
        <v>147.81</v>
      </c>
      <c r="F8743" s="1146">
        <f>ROUND($A8743*$E8743,2)</f>
        <v>147.81</v>
      </c>
      <c r="G8743" s="752" t="s">
        <v>142</v>
      </c>
      <c r="H8743" s="753"/>
      <c r="I8743" s="754"/>
      <c r="J8743" s="753"/>
      <c r="K8743" s="753" t="s">
        <v>5</v>
      </c>
      <c r="L8743" s="755" t="s">
        <v>143</v>
      </c>
      <c r="M8743" s="755"/>
      <c r="N8743" s="755"/>
      <c r="O8743" s="755"/>
      <c r="P8743" s="755"/>
      <c r="Q8743" s="51"/>
      <c r="T8743" s="1150" t="str">
        <f>IF(AND($R8747=0,$T8747=0),"0.00","mu: "&amp; ROUND(F8743/$C$3/($R8747+$T8747*$D$9),2))</f>
        <v>mu: 1.13</v>
      </c>
      <c r="W8743" s="524"/>
      <c r="AG8743" s="1147">
        <f>IF($E8743=0,0,ROUND($R8747*$S$3*$C$3/$A8743,2))</f>
        <v>147.81</v>
      </c>
      <c r="AH8743" s="1147">
        <f>$AG8743*$A8743</f>
        <v>147.81</v>
      </c>
      <c r="AI8743" s="1148">
        <f>$E8743-$AG8743</f>
        <v>0</v>
      </c>
      <c r="AJ8743" s="1148">
        <f>$A8743*$AI8743</f>
        <v>0</v>
      </c>
      <c r="AK8743" s="1149">
        <f>ROUND(($AG8743+$AI8743)*$A8743,2)</f>
        <v>147.81</v>
      </c>
      <c r="AM8743" s="527">
        <f>ROUND(R8747,2)</f>
        <v>130.94999999999999</v>
      </c>
      <c r="AN8743" s="528">
        <f>ROUND(T8747,2)</f>
        <v>0</v>
      </c>
      <c r="AO8743" s="529">
        <f>ROUND(AM8743+AN8743,2)*A8743</f>
        <v>130.94999999999999</v>
      </c>
      <c r="AR8743" s="747">
        <v>1</v>
      </c>
      <c r="AS8743" s="1146">
        <v>160.84</v>
      </c>
    </row>
    <row r="8744" spans="1:45" s="520" customFormat="1" ht="13.2">
      <c r="A8744" s="748"/>
      <c r="B8744"/>
      <c r="C8744" s="748"/>
      <c r="D8744" s="749" t="s">
        <v>2083</v>
      </c>
      <c r="F8744" s="753"/>
      <c r="G8744" s="3"/>
      <c r="H8744" s="753"/>
      <c r="I8744" s="754"/>
      <c r="J8744" s="753"/>
      <c r="K8744" s="753" t="s">
        <v>144</v>
      </c>
      <c r="L8744" s="753"/>
      <c r="M8744" s="753"/>
      <c r="N8744" s="753"/>
      <c r="O8744" s="753"/>
      <c r="P8744" s="753"/>
      <c r="Q8744" s="51"/>
      <c r="R8744" s="530"/>
      <c r="S8744" s="757"/>
      <c r="T8744" s="753"/>
      <c r="AR8744" s="748"/>
      <c r="AS8744" s="753"/>
    </row>
    <row r="8745" spans="1:45" s="901" customFormat="1" ht="13.2">
      <c r="A8745" s="903">
        <v>1</v>
      </c>
      <c r="B8745" s="904" t="s">
        <v>863</v>
      </c>
      <c r="C8745" s="904"/>
      <c r="D8745" s="904" t="s">
        <v>2594</v>
      </c>
      <c r="E8745" s="904"/>
      <c r="F8745" s="904" t="s">
        <v>4128</v>
      </c>
      <c r="G8745" s="905" t="s">
        <v>2595</v>
      </c>
      <c r="H8745" s="902">
        <v>960</v>
      </c>
      <c r="I8745" s="904" t="s">
        <v>2596</v>
      </c>
      <c r="J8745" s="904"/>
      <c r="K8745" s="904"/>
      <c r="L8745" s="904"/>
      <c r="M8745" s="904"/>
      <c r="N8745" s="904"/>
      <c r="O8745" s="902">
        <v>4</v>
      </c>
      <c r="P8745" s="906">
        <v>38274</v>
      </c>
      <c r="Q8745" s="1415">
        <f>150*0.873</f>
        <v>130.94999999999999</v>
      </c>
      <c r="R8745" s="908">
        <f>$A8745*Q8745</f>
        <v>130.94999999999999</v>
      </c>
      <c r="S8745" s="907"/>
      <c r="T8745" s="909">
        <f>$A8745*S8745*$T$1</f>
        <v>0</v>
      </c>
      <c r="AR8745" s="903">
        <v>1</v>
      </c>
      <c r="AS8745" s="904" t="s">
        <v>3507</v>
      </c>
    </row>
    <row r="8746" spans="1:45" s="520" customFormat="1" ht="12">
      <c r="A8746" s="758"/>
      <c r="B8746" s="758"/>
      <c r="C8746" s="758"/>
      <c r="D8746" s="758"/>
      <c r="E8746" s="758"/>
      <c r="F8746" s="753"/>
      <c r="G8746" s="758"/>
      <c r="H8746" s="758"/>
      <c r="I8746" s="519"/>
      <c r="J8746" s="758"/>
      <c r="K8746" s="758"/>
      <c r="L8746" s="758"/>
      <c r="M8746" s="758"/>
      <c r="N8746" s="758"/>
      <c r="O8746" s="758"/>
      <c r="P8746" s="758"/>
      <c r="Q8746" s="519"/>
      <c r="R8746" s="759">
        <f>$A8746*Q8746</f>
        <v>0</v>
      </c>
      <c r="S8746" s="519"/>
      <c r="T8746" s="909">
        <f>$A8746*S8746*$T$1</f>
        <v>0</v>
      </c>
      <c r="AR8746" s="758"/>
      <c r="AS8746" s="753"/>
    </row>
    <row r="8747" spans="1:45" s="520" customFormat="1" ht="12.6" thickBot="1">
      <c r="A8747" s="761" t="s">
        <v>145</v>
      </c>
      <c r="B8747" s="762">
        <f>(R8746+T8746)</f>
        <v>0</v>
      </c>
      <c r="C8747" s="763"/>
      <c r="D8747" s="763"/>
      <c r="E8747" s="763"/>
      <c r="F8747" s="764"/>
      <c r="G8747" s="763" t="s">
        <v>146</v>
      </c>
      <c r="H8747" s="763"/>
      <c r="I8747" s="765"/>
      <c r="J8747" s="763"/>
      <c r="K8747" s="763" t="s">
        <v>5</v>
      </c>
      <c r="L8747" s="766" t="s">
        <v>143</v>
      </c>
      <c r="M8747" s="766"/>
      <c r="N8747" s="766"/>
      <c r="O8747" s="766"/>
      <c r="P8747" s="766"/>
      <c r="Q8747" s="767"/>
      <c r="R8747" s="768">
        <f>SUM(R8744:R8746)</f>
        <v>130.94999999999999</v>
      </c>
      <c r="S8747" s="763"/>
      <c r="T8747" s="768">
        <f>SUM(T8744:T8746)</f>
        <v>0</v>
      </c>
      <c r="U8747" s="531"/>
      <c r="V8747" s="531"/>
      <c r="W8747" s="531"/>
      <c r="X8747" s="531"/>
      <c r="Y8747" s="531"/>
      <c r="Z8747" s="531"/>
      <c r="AA8747" s="531"/>
      <c r="AB8747" s="531"/>
      <c r="AC8747" s="531"/>
      <c r="AD8747" s="531"/>
      <c r="AE8747" s="531"/>
      <c r="AF8747" s="531"/>
      <c r="AG8747" s="531"/>
      <c r="AH8747" s="531"/>
      <c r="AI8747" s="531"/>
      <c r="AJ8747" s="531"/>
      <c r="AK8747" s="531"/>
      <c r="AL8747" s="531"/>
      <c r="AM8747" s="531"/>
      <c r="AN8747" s="531"/>
      <c r="AO8747" s="531"/>
      <c r="AR8747" s="761" t="s">
        <v>145</v>
      </c>
      <c r="AS8747" s="764"/>
    </row>
    <row r="8748" spans="1:45" s="520" customFormat="1" ht="12" thickTop="1">
      <c r="A8748" s="48" t="s">
        <v>148</v>
      </c>
      <c r="D8748" s="13"/>
      <c r="E8748" s="42"/>
      <c r="O8748" s="771"/>
      <c r="AR8748" s="48" t="s">
        <v>148</v>
      </c>
    </row>
    <row r="8749" spans="1:45" s="520" customFormat="1" ht="13.2">
      <c r="B8749" s="3"/>
      <c r="O8749" s="771"/>
    </row>
    <row r="8750" spans="1:45" s="520" customFormat="1" ht="12">
      <c r="B8750" s="772">
        <f ca="1">$F8750/$C$2-($R8750*$S$2+$T8750*$T$2)</f>
        <v>-578.3074289487995</v>
      </c>
      <c r="D8750" s="773" t="s">
        <v>1065</v>
      </c>
      <c r="E8750" s="774"/>
      <c r="F8750" s="775">
        <f ca="1">SUMIF($L8568:$L8748,"ITEM",F8568:F8748)</f>
        <v>7502.1200000000008</v>
      </c>
      <c r="G8750" s="758"/>
      <c r="H8750" s="758"/>
      <c r="I8750" s="519"/>
      <c r="J8750" s="758"/>
      <c r="K8750" s="758"/>
      <c r="L8750" s="755" t="s">
        <v>157</v>
      </c>
      <c r="M8750" s="755"/>
      <c r="N8750" s="755"/>
      <c r="O8750" s="755"/>
      <c r="P8750" s="755"/>
      <c r="R8750" s="775">
        <f ca="1">SUMIF($L8568:$L8748,"ITEM",R8568:R8748)</f>
        <v>5968.5974999999999</v>
      </c>
      <c r="S8750" s="776"/>
      <c r="T8750" s="775">
        <f ca="1">SUMIF($L8568:$L8748,"ITEM",T8568:T8748)</f>
        <v>21.620000000000005</v>
      </c>
      <c r="AS8750" s="775">
        <v>8141.0100000000011</v>
      </c>
    </row>
    <row r="8751" spans="1:45" s="520" customFormat="1" ht="13.2">
      <c r="A8751" s="51"/>
      <c r="B8751" s="49" t="s">
        <v>1064</v>
      </c>
      <c r="C8751" s="51"/>
      <c r="D8751" s="3"/>
      <c r="F8751" s="777" t="s">
        <v>158</v>
      </c>
      <c r="G8751" s="758"/>
      <c r="H8751" s="758"/>
      <c r="I8751" s="519"/>
      <c r="J8751" s="758"/>
      <c r="K8751" s="758"/>
      <c r="L8751" s="758"/>
      <c r="M8751" s="758"/>
      <c r="N8751" s="758"/>
      <c r="O8751" s="758"/>
      <c r="P8751" s="758"/>
      <c r="Q8751" s="778"/>
      <c r="R8751" s="777" t="s">
        <v>159</v>
      </c>
      <c r="S8751" s="38"/>
      <c r="T8751" s="777" t="s">
        <v>160</v>
      </c>
      <c r="AR8751" s="51"/>
      <c r="AS8751" s="777" t="s">
        <v>158</v>
      </c>
    </row>
    <row r="8752" spans="1:45" s="520" customFormat="1" ht="13.2">
      <c r="A8752" s="758"/>
      <c r="B8752" s="3"/>
      <c r="C8752" s="758"/>
      <c r="D8752" s="3"/>
      <c r="E8752" s="3"/>
      <c r="G8752" s="3"/>
      <c r="H8752" s="3"/>
      <c r="I8752" s="3"/>
      <c r="J8752" s="3"/>
      <c r="K8752" s="3"/>
      <c r="L8752" s="3"/>
      <c r="M8752" s="3"/>
      <c r="N8752" s="3"/>
      <c r="O8752" s="107"/>
      <c r="P8752" s="3"/>
      <c r="Q8752" s="3"/>
      <c r="R8752" s="3"/>
      <c r="S8752" s="3"/>
      <c r="T8752" s="3"/>
      <c r="AR8752" s="758"/>
    </row>
    <row r="8753" spans="1:45" s="520" customFormat="1" ht="12" thickBot="1">
      <c r="A8753" s="531"/>
      <c r="B8753" s="763"/>
      <c r="C8753" s="763"/>
      <c r="D8753" s="531"/>
      <c r="E8753" s="39"/>
      <c r="F8753" s="779"/>
      <c r="G8753" s="763"/>
      <c r="H8753" s="763"/>
      <c r="I8753" s="765"/>
      <c r="J8753" s="763"/>
      <c r="K8753" s="763"/>
      <c r="L8753" s="766"/>
      <c r="M8753" s="766"/>
      <c r="N8753" s="766"/>
      <c r="O8753" s="766"/>
      <c r="P8753" s="766"/>
      <c r="Q8753" s="767"/>
      <c r="R8753" s="779"/>
      <c r="S8753" s="780"/>
      <c r="T8753" s="779"/>
      <c r="U8753" s="531"/>
      <c r="V8753" s="531"/>
      <c r="W8753" s="531"/>
      <c r="X8753" s="531"/>
      <c r="Y8753" s="531"/>
      <c r="Z8753" s="531"/>
      <c r="AA8753" s="531"/>
      <c r="AB8753" s="531"/>
      <c r="AC8753" s="531"/>
      <c r="AD8753" s="531"/>
      <c r="AE8753" s="531"/>
      <c r="AF8753" s="531"/>
      <c r="AG8753" s="531"/>
      <c r="AH8753" s="531"/>
      <c r="AI8753" s="531"/>
      <c r="AJ8753" s="531"/>
      <c r="AK8753" s="531"/>
      <c r="AR8753" s="531"/>
      <c r="AS8753" s="779"/>
    </row>
    <row r="8754" spans="1:45" s="520" customFormat="1" thickTop="1">
      <c r="A8754" s="51"/>
      <c r="B8754" s="51"/>
      <c r="C8754" s="3"/>
      <c r="D8754" s="3"/>
      <c r="E8754" s="51"/>
      <c r="F8754" s="51"/>
      <c r="G8754" s="51"/>
      <c r="H8754" s="51"/>
      <c r="I8754" s="51"/>
      <c r="J8754" s="51"/>
      <c r="K8754" s="51" t="s">
        <v>134</v>
      </c>
      <c r="L8754" s="51"/>
      <c r="M8754" s="51"/>
      <c r="N8754" s="51"/>
      <c r="O8754" s="52"/>
      <c r="P8754" s="51"/>
      <c r="Q8754" s="51"/>
      <c r="R8754" s="51"/>
      <c r="S8754" s="51"/>
      <c r="T8754" s="51"/>
      <c r="AR8754" s="51"/>
      <c r="AS8754" s="51"/>
    </row>
    <row r="8755" spans="1:45" s="520" customFormat="1" ht="12">
      <c r="A8755" s="51"/>
      <c r="B8755" s="51"/>
      <c r="C8755" s="51" t="s">
        <v>135</v>
      </c>
      <c r="D8755" s="37"/>
      <c r="E8755" s="51"/>
      <c r="F8755" s="51"/>
      <c r="G8755" s="51"/>
      <c r="H8755" s="51"/>
      <c r="I8755" s="51"/>
      <c r="J8755" s="51"/>
      <c r="K8755" s="51"/>
      <c r="L8755" s="51"/>
      <c r="M8755" s="51"/>
      <c r="N8755" s="51"/>
      <c r="O8755" s="52"/>
      <c r="P8755" s="51"/>
      <c r="Q8755" s="51"/>
      <c r="R8755" s="51"/>
      <c r="S8755" s="51"/>
      <c r="T8755" s="51"/>
      <c r="AR8755" s="51"/>
      <c r="AS8755" s="51"/>
    </row>
    <row r="8756" spans="1:45" s="520" customFormat="1" ht="12">
      <c r="A8756" s="51"/>
      <c r="B8756" s="51"/>
      <c r="C8756" s="51"/>
      <c r="D8756" s="37" t="s">
        <v>2084</v>
      </c>
      <c r="E8756" s="51"/>
      <c r="F8756" s="51"/>
      <c r="G8756" s="51"/>
      <c r="H8756" s="51"/>
      <c r="I8756" s="51"/>
      <c r="J8756" s="51"/>
      <c r="K8756" s="51"/>
      <c r="L8756" s="51"/>
      <c r="M8756" s="51"/>
      <c r="N8756" s="51"/>
      <c r="O8756" s="52"/>
      <c r="P8756" s="51"/>
      <c r="Q8756" s="51"/>
      <c r="R8756" s="51"/>
      <c r="S8756" s="38"/>
      <c r="T8756" s="38"/>
      <c r="AR8756" s="51"/>
      <c r="AS8756" s="51"/>
    </row>
    <row r="8757" spans="1:45" s="3" customFormat="1" thickBot="1">
      <c r="A8757" s="531"/>
      <c r="O8757" s="107"/>
      <c r="AR8757" s="531"/>
    </row>
    <row r="8758" spans="1:45" s="520" customFormat="1" thickTop="1">
      <c r="A8758" s="51"/>
      <c r="B8758" s="51"/>
      <c r="C8758" s="3"/>
      <c r="D8758" s="3"/>
      <c r="E8758" s="51"/>
      <c r="F8758" s="51"/>
      <c r="G8758" s="51"/>
      <c r="H8758" s="51"/>
      <c r="I8758" s="51"/>
      <c r="J8758" s="51"/>
      <c r="K8758" s="51" t="s">
        <v>134</v>
      </c>
      <c r="L8758" s="51"/>
      <c r="M8758" s="51"/>
      <c r="N8758" s="51"/>
      <c r="O8758" s="52"/>
      <c r="P8758" s="51"/>
      <c r="Q8758" s="51"/>
      <c r="R8758" s="51"/>
      <c r="S8758" s="51"/>
      <c r="T8758" s="51"/>
      <c r="AR8758" s="51"/>
      <c r="AS8758" s="51"/>
    </row>
    <row r="8759" spans="1:45" s="520" customFormat="1" ht="12">
      <c r="A8759" s="51"/>
      <c r="B8759" s="51"/>
      <c r="C8759" s="51" t="s">
        <v>135</v>
      </c>
      <c r="D8759" s="37"/>
      <c r="E8759" s="51"/>
      <c r="F8759" s="51"/>
      <c r="G8759" s="51"/>
      <c r="H8759" s="51"/>
      <c r="I8759" s="51"/>
      <c r="J8759" s="51"/>
      <c r="K8759" s="51"/>
      <c r="L8759" s="51"/>
      <c r="M8759" s="51"/>
      <c r="N8759" s="51"/>
      <c r="O8759" s="52"/>
      <c r="P8759" s="51"/>
      <c r="Q8759" s="51"/>
      <c r="R8759" s="51"/>
      <c r="S8759" s="51"/>
      <c r="T8759" s="51"/>
      <c r="AR8759" s="51"/>
      <c r="AS8759" s="51"/>
    </row>
    <row r="8760" spans="1:45" s="520" customFormat="1" ht="39.9" customHeight="1">
      <c r="A8760" s="51"/>
      <c r="B8760" s="51"/>
      <c r="C8760" s="51"/>
      <c r="D8760" s="1453" t="s">
        <v>2335</v>
      </c>
      <c r="E8760" s="1452"/>
      <c r="F8760" s="1452"/>
      <c r="G8760" s="1452"/>
      <c r="H8760" s="1452"/>
      <c r="I8760" s="1452"/>
      <c r="J8760" s="1452"/>
      <c r="K8760" s="1452"/>
      <c r="L8760" s="1452"/>
      <c r="M8760" s="1452"/>
      <c r="N8760" s="1452"/>
      <c r="O8760" s="1452"/>
      <c r="P8760" s="1452"/>
      <c r="Q8760" s="1452"/>
      <c r="R8760" s="1452"/>
      <c r="S8760" s="1452"/>
      <c r="T8760" s="1452"/>
      <c r="AR8760" s="51"/>
    </row>
    <row r="8761" spans="1:45" s="3" customFormat="1" thickBot="1">
      <c r="A8761" s="531"/>
      <c r="O8761" s="107"/>
      <c r="AR8761" s="531"/>
    </row>
    <row r="8762" spans="1:45" s="520" customFormat="1" ht="12" thickTop="1">
      <c r="A8762" s="51"/>
      <c r="B8762" s="41"/>
      <c r="C8762" s="51"/>
      <c r="E8762" s="42" t="s">
        <v>138</v>
      </c>
      <c r="F8762" s="42" t="s">
        <v>139</v>
      </c>
      <c r="G8762" s="51"/>
      <c r="H8762" s="51"/>
      <c r="I8762" s="51"/>
      <c r="J8762" s="51"/>
      <c r="K8762" s="51" t="s">
        <v>140</v>
      </c>
      <c r="L8762" s="51"/>
      <c r="M8762" s="51"/>
      <c r="N8762" s="51"/>
      <c r="O8762" s="52"/>
      <c r="P8762" s="51"/>
      <c r="Q8762" s="51"/>
      <c r="R8762" s="51"/>
      <c r="S8762" s="51"/>
      <c r="T8762" s="41"/>
      <c r="AG8762" s="521" t="s">
        <v>268</v>
      </c>
      <c r="AH8762" s="521" t="s">
        <v>269</v>
      </c>
      <c r="AI8762" s="521" t="s">
        <v>270</v>
      </c>
      <c r="AJ8762" s="521" t="s">
        <v>271</v>
      </c>
      <c r="AK8762" s="521" t="s">
        <v>272</v>
      </c>
      <c r="AM8762" s="745" t="s">
        <v>281</v>
      </c>
      <c r="AN8762" s="746" t="s">
        <v>282</v>
      </c>
      <c r="AO8762" s="522" t="s">
        <v>278</v>
      </c>
      <c r="AR8762" s="51"/>
      <c r="AS8762" s="42" t="s">
        <v>139</v>
      </c>
    </row>
    <row r="8763" spans="1:45" s="520" customFormat="1" ht="12" customHeight="1">
      <c r="A8763" s="747">
        <v>2</v>
      </c>
      <c r="B8763" s="523" t="s">
        <v>141</v>
      </c>
      <c r="C8763" s="748"/>
      <c r="D8763" s="749" t="s">
        <v>2362</v>
      </c>
      <c r="E8763" s="750">
        <f ca="1">IF(AND($A8763=0,$A$1="DIF"),0, ROUND(ROUND(($R8768*$S$2+($T8768*$T$2))/A8763,2)*$C$2,2))</f>
        <v>49.52</v>
      </c>
      <c r="F8763" s="751">
        <f ca="1">ROUND($A8763*$E8763,2)</f>
        <v>99.04</v>
      </c>
      <c r="G8763" s="752" t="s">
        <v>142</v>
      </c>
      <c r="H8763" s="753"/>
      <c r="I8763" s="754"/>
      <c r="J8763" s="753"/>
      <c r="K8763" s="753" t="s">
        <v>3</v>
      </c>
      <c r="L8763" s="755" t="s">
        <v>143</v>
      </c>
      <c r="M8763" s="755"/>
      <c r="N8763" s="755"/>
      <c r="O8763" s="755"/>
      <c r="P8763" s="755"/>
      <c r="Q8763" s="51"/>
      <c r="T8763" s="756" t="str">
        <f ca="1">IF(AND($R8768=0,$T8768=0),"0.00","mu :" &amp; ROUND($F8763/$C$2/($R8768+$T8768*$D$9),2))</f>
        <v>mu :1.23</v>
      </c>
      <c r="W8763" s="524"/>
      <c r="AG8763" s="481">
        <f ca="1">IF($E8763=0,0,ROUND($R8768*$S$2*$C$2/$A8763,2))</f>
        <v>17.73</v>
      </c>
      <c r="AH8763" s="481">
        <f ca="1">$AG8763*$A8763</f>
        <v>35.46</v>
      </c>
      <c r="AI8763" s="525">
        <f ca="1">$E8763-$AG8763</f>
        <v>31.790000000000003</v>
      </c>
      <c r="AJ8763" s="525">
        <f ca="1">$A8763*$AI8763</f>
        <v>63.580000000000005</v>
      </c>
      <c r="AK8763" s="526">
        <f ca="1">ROUND(($AG8763+$AI8763)*$A8763,2)</f>
        <v>99.04</v>
      </c>
      <c r="AM8763" s="527">
        <f ca="1">ROUND(R8768,2)</f>
        <v>28.8</v>
      </c>
      <c r="AN8763" s="528">
        <f ca="1">ROUND(T8768,2)</f>
        <v>1.88</v>
      </c>
      <c r="AO8763" s="529">
        <f ca="1">ROUND(AM8763+AN8763,2)*A8763</f>
        <v>61.36</v>
      </c>
      <c r="AR8763" s="747">
        <v>2</v>
      </c>
      <c r="AS8763" s="751">
        <v>105.8</v>
      </c>
    </row>
    <row r="8764" spans="1:45" s="520" customFormat="1" ht="13.2">
      <c r="A8764" s="748"/>
      <c r="B8764"/>
      <c r="C8764" s="748"/>
      <c r="D8764" s="749" t="s">
        <v>2061</v>
      </c>
      <c r="F8764" s="753"/>
      <c r="G8764" s="3"/>
      <c r="H8764" s="753"/>
      <c r="I8764" s="754"/>
      <c r="J8764" s="753"/>
      <c r="K8764" s="753" t="s">
        <v>144</v>
      </c>
      <c r="L8764" s="753"/>
      <c r="M8764" s="753"/>
      <c r="N8764" s="753"/>
      <c r="O8764" s="753"/>
      <c r="P8764" s="753"/>
      <c r="Q8764" s="51"/>
      <c r="R8764" s="530"/>
      <c r="S8764" s="757"/>
      <c r="T8764" s="753"/>
      <c r="AR8764" s="748"/>
      <c r="AS8764" s="753"/>
    </row>
    <row r="8765" spans="1:45" s="886" customFormat="1" ht="13.2">
      <c r="A8765"/>
      <c r="B8765" s="910"/>
      <c r="C8765" s="910" t="s">
        <v>2597</v>
      </c>
      <c r="D8765" s="910" t="str">
        <f ca="1">CELL("Address",Elec_Rates!D$1029)</f>
        <v>[E25_0062_Quintano_Foods_Elec_ELV_As_Awarded.xlsx]Elec_Rates!$D$1029</v>
      </c>
      <c r="E8765" s="911"/>
      <c r="F8765" s="911"/>
      <c r="G8765" s="912" t="s">
        <v>2598</v>
      </c>
      <c r="H8765" s="912"/>
      <c r="I8765" s="912"/>
      <c r="J8765" s="912"/>
      <c r="K8765" s="913"/>
      <c r="L8765" s="911"/>
      <c r="M8765" s="911"/>
      <c r="N8765" s="911"/>
      <c r="O8765" s="914"/>
      <c r="P8765" s="911"/>
      <c r="Q8765" s="915"/>
      <c r="R8765" s="916"/>
      <c r="S8765" s="915"/>
      <c r="T8765" s="917"/>
      <c r="U8765" s="918"/>
      <c r="AR8765"/>
      <c r="AS8765" s="911"/>
    </row>
    <row r="8766" spans="1:45" s="886" customFormat="1" ht="11.4">
      <c r="A8766" s="919">
        <v>2</v>
      </c>
      <c r="B8766" s="920">
        <v>1</v>
      </c>
      <c r="C8766" s="920">
        <f>$A8766*$B8766</f>
        <v>2</v>
      </c>
      <c r="D8766" s="921" t="str">
        <f>Elec_Rates!$D$1029</f>
        <v>092# LSZH Conduit points for Fire alarm devices</v>
      </c>
      <c r="E8766" s="921"/>
      <c r="F8766" s="921" t="s">
        <v>2599</v>
      </c>
      <c r="G8766" s="922" t="s">
        <v>2600</v>
      </c>
      <c r="H8766" s="922"/>
      <c r="I8766" s="922"/>
      <c r="J8766" s="922"/>
      <c r="K8766" s="923"/>
      <c r="L8766" s="918"/>
      <c r="M8766" s="918"/>
      <c r="N8766" s="918"/>
      <c r="O8766" s="924"/>
      <c r="P8766" s="921"/>
      <c r="Q8766" s="925">
        <f ca="1">$B8766*Elec_Rates!$R$1029</f>
        <v>14.4</v>
      </c>
      <c r="R8766" s="916">
        <f ca="1">$A8766*Q8766</f>
        <v>28.8</v>
      </c>
      <c r="S8766" s="925">
        <f ca="1">$B8766*Elec_Rates!$T$1029</f>
        <v>0.94</v>
      </c>
      <c r="T8766" s="917">
        <f ca="1">$A8766*S8766</f>
        <v>1.88</v>
      </c>
      <c r="U8766" s="926"/>
      <c r="AR8766" s="919">
        <v>2</v>
      </c>
      <c r="AS8766" s="921" t="s">
        <v>2599</v>
      </c>
    </row>
    <row r="8767" spans="1:45" s="520" customFormat="1" ht="12">
      <c r="A8767" s="758"/>
      <c r="B8767" s="758"/>
      <c r="C8767" s="758"/>
      <c r="D8767" s="758"/>
      <c r="E8767" s="758"/>
      <c r="F8767" s="753"/>
      <c r="G8767" s="758"/>
      <c r="H8767" s="758"/>
      <c r="I8767" s="519"/>
      <c r="J8767" s="758"/>
      <c r="K8767" s="758"/>
      <c r="L8767" s="758"/>
      <c r="M8767" s="758"/>
      <c r="N8767" s="758"/>
      <c r="O8767" s="758"/>
      <c r="P8767" s="758"/>
      <c r="Q8767" s="519"/>
      <c r="R8767" s="759">
        <f>$A8767*Q8767</f>
        <v>0</v>
      </c>
      <c r="S8767" s="519"/>
      <c r="T8767" s="760">
        <f>$A8767*S8767*$T$1</f>
        <v>0</v>
      </c>
      <c r="AR8767" s="758"/>
      <c r="AS8767" s="753"/>
    </row>
    <row r="8768" spans="1:45" s="520" customFormat="1" ht="12.6" thickBot="1">
      <c r="A8768" s="761" t="s">
        <v>145</v>
      </c>
      <c r="B8768" s="762">
        <f>(R8767+T8767)</f>
        <v>0</v>
      </c>
      <c r="C8768" s="763"/>
      <c r="D8768" s="763"/>
      <c r="E8768" s="763"/>
      <c r="F8768" s="764"/>
      <c r="G8768" s="763" t="s">
        <v>146</v>
      </c>
      <c r="H8768" s="763"/>
      <c r="I8768" s="765"/>
      <c r="J8768" s="763"/>
      <c r="K8768" s="763" t="s">
        <v>3</v>
      </c>
      <c r="L8768" s="766" t="s">
        <v>143</v>
      </c>
      <c r="M8768" s="766"/>
      <c r="N8768" s="766"/>
      <c r="O8768" s="766"/>
      <c r="P8768" s="766"/>
      <c r="Q8768" s="767"/>
      <c r="R8768" s="768">
        <f ca="1">SUM(R8764:R8767)</f>
        <v>28.8</v>
      </c>
      <c r="S8768" s="763"/>
      <c r="T8768" s="768">
        <f ca="1">SUM(T8764:T8767)</f>
        <v>1.88</v>
      </c>
      <c r="U8768" s="531"/>
      <c r="V8768" s="531"/>
      <c r="W8768" s="531"/>
      <c r="X8768" s="531"/>
      <c r="Y8768" s="531"/>
      <c r="Z8768" s="531"/>
      <c r="AA8768" s="531"/>
      <c r="AB8768" s="531"/>
      <c r="AC8768" s="531"/>
      <c r="AD8768" s="531"/>
      <c r="AE8768" s="531"/>
      <c r="AF8768" s="531"/>
      <c r="AG8768" s="531"/>
      <c r="AH8768" s="531"/>
      <c r="AI8768" s="531"/>
      <c r="AJ8768" s="531"/>
      <c r="AK8768" s="531"/>
      <c r="AL8768" s="531"/>
      <c r="AM8768" s="531"/>
      <c r="AN8768" s="531"/>
      <c r="AO8768" s="531"/>
      <c r="AR8768" s="761" t="s">
        <v>145</v>
      </c>
      <c r="AS8768" s="764"/>
    </row>
    <row r="8769" spans="1:45" s="520" customFormat="1" thickTop="1">
      <c r="A8769" s="51"/>
      <c r="B8769" s="51"/>
      <c r="C8769" s="3"/>
      <c r="D8769" s="3"/>
      <c r="E8769" s="51"/>
      <c r="F8769" s="51"/>
      <c r="G8769" s="51"/>
      <c r="H8769" s="51"/>
      <c r="I8769" s="51"/>
      <c r="J8769" s="51"/>
      <c r="K8769" s="51" t="s">
        <v>134</v>
      </c>
      <c r="L8769" s="51"/>
      <c r="M8769" s="51"/>
      <c r="N8769" s="51"/>
      <c r="O8769" s="52"/>
      <c r="P8769" s="51"/>
      <c r="Q8769" s="51"/>
      <c r="R8769" s="51"/>
      <c r="S8769" s="51"/>
      <c r="T8769" s="51"/>
      <c r="AR8769" s="51"/>
      <c r="AS8769" s="51"/>
    </row>
    <row r="8770" spans="1:45" s="520" customFormat="1" ht="12">
      <c r="A8770" s="51"/>
      <c r="B8770" s="51"/>
      <c r="C8770" s="51" t="s">
        <v>135</v>
      </c>
      <c r="D8770" s="37"/>
      <c r="E8770" s="51"/>
      <c r="F8770" s="51"/>
      <c r="G8770" s="51"/>
      <c r="H8770" s="51"/>
      <c r="I8770" s="51"/>
      <c r="J8770" s="51"/>
      <c r="K8770" s="51"/>
      <c r="L8770" s="51"/>
      <c r="M8770" s="51"/>
      <c r="N8770" s="51"/>
      <c r="O8770" s="52"/>
      <c r="P8770" s="51"/>
      <c r="Q8770" s="51"/>
      <c r="R8770" s="51"/>
      <c r="S8770" s="51"/>
      <c r="T8770" s="51"/>
      <c r="AR8770" s="51"/>
      <c r="AS8770" s="51"/>
    </row>
    <row r="8771" spans="1:45" s="520" customFormat="1" ht="39.9" customHeight="1">
      <c r="A8771" s="51"/>
      <c r="B8771" s="51"/>
      <c r="C8771" s="51"/>
      <c r="D8771" s="1453" t="s">
        <v>2276</v>
      </c>
      <c r="E8771" s="1452"/>
      <c r="F8771" s="1452"/>
      <c r="G8771" s="1452"/>
      <c r="H8771" s="1452"/>
      <c r="I8771" s="1452"/>
      <c r="J8771" s="1452"/>
      <c r="K8771" s="1452"/>
      <c r="L8771" s="1452"/>
      <c r="M8771" s="1452"/>
      <c r="N8771" s="1452"/>
      <c r="O8771" s="1452"/>
      <c r="P8771" s="1452"/>
      <c r="Q8771" s="1452"/>
      <c r="R8771" s="1452"/>
      <c r="S8771" s="1452"/>
      <c r="T8771" s="1452"/>
      <c r="AR8771" s="51"/>
    </row>
    <row r="8772" spans="1:45" s="3" customFormat="1" thickBot="1">
      <c r="A8772" s="531"/>
      <c r="O8772" s="107"/>
      <c r="AR8772" s="531"/>
    </row>
    <row r="8773" spans="1:45" s="520" customFormat="1" ht="12" thickTop="1">
      <c r="A8773" s="51"/>
      <c r="B8773" s="41"/>
      <c r="C8773" s="51"/>
      <c r="E8773" s="42" t="s">
        <v>138</v>
      </c>
      <c r="F8773" s="42" t="s">
        <v>139</v>
      </c>
      <c r="G8773" s="51"/>
      <c r="H8773" s="51"/>
      <c r="I8773" s="51"/>
      <c r="J8773" s="51"/>
      <c r="K8773" s="51" t="s">
        <v>140</v>
      </c>
      <c r="L8773" s="51"/>
      <c r="M8773" s="51"/>
      <c r="N8773" s="51"/>
      <c r="O8773" s="52"/>
      <c r="P8773" s="51"/>
      <c r="Q8773" s="51"/>
      <c r="R8773" s="51"/>
      <c r="S8773" s="51"/>
      <c r="T8773" s="41"/>
      <c r="AG8773" s="521" t="s">
        <v>268</v>
      </c>
      <c r="AH8773" s="521" t="s">
        <v>269</v>
      </c>
      <c r="AI8773" s="521" t="s">
        <v>270</v>
      </c>
      <c r="AJ8773" s="521" t="s">
        <v>271</v>
      </c>
      <c r="AK8773" s="521" t="s">
        <v>272</v>
      </c>
      <c r="AM8773" s="745" t="s">
        <v>281</v>
      </c>
      <c r="AN8773" s="746" t="s">
        <v>282</v>
      </c>
      <c r="AO8773" s="522" t="s">
        <v>278</v>
      </c>
      <c r="AR8773" s="51"/>
      <c r="AS8773" s="42" t="s">
        <v>139</v>
      </c>
    </row>
    <row r="8774" spans="1:45" s="520" customFormat="1" ht="12" customHeight="1">
      <c r="A8774" s="747">
        <v>6</v>
      </c>
      <c r="B8774" s="523" t="s">
        <v>141</v>
      </c>
      <c r="C8774" s="748"/>
      <c r="D8774" s="749" t="s">
        <v>2363</v>
      </c>
      <c r="E8774" s="750">
        <f ca="1">IF(AND($A8774=0,$A$1="DIF"),0, ROUND(ROUND(($R8779*$S$2+($T8779*$T$2))/A8774,2)*$C$2,2))</f>
        <v>98.17</v>
      </c>
      <c r="F8774" s="751">
        <f ca="1">ROUND($A8774*$E8774,2)</f>
        <v>589.02</v>
      </c>
      <c r="G8774" s="752" t="s">
        <v>142</v>
      </c>
      <c r="H8774" s="753"/>
      <c r="I8774" s="754"/>
      <c r="J8774" s="753"/>
      <c r="K8774" s="753" t="s">
        <v>3</v>
      </c>
      <c r="L8774" s="755" t="s">
        <v>143</v>
      </c>
      <c r="M8774" s="755"/>
      <c r="N8774" s="755"/>
      <c r="O8774" s="755"/>
      <c r="P8774" s="755"/>
      <c r="Q8774" s="51"/>
      <c r="T8774" s="756" t="str">
        <f ca="1">IF(AND($R8779=0,$T8779=0),"0.00","mu :" &amp; ROUND($F8774/$C$2/($R8779+$T8779*$D$9),2))</f>
        <v>mu :1.23</v>
      </c>
      <c r="W8774" s="524"/>
      <c r="AG8774" s="481">
        <f ca="1">IF($E8774=0,0,ROUND($R8779*$S$2*$C$2/$A8774,2))</f>
        <v>37.31</v>
      </c>
      <c r="AH8774" s="481">
        <f ca="1">$AG8774*$A8774</f>
        <v>223.86</v>
      </c>
      <c r="AI8774" s="525">
        <f ca="1">$E8774-$AG8774</f>
        <v>60.86</v>
      </c>
      <c r="AJ8774" s="525">
        <f ca="1">$A8774*$AI8774</f>
        <v>365.15999999999997</v>
      </c>
      <c r="AK8774" s="526">
        <f ca="1">ROUND(($AG8774+$AI8774)*$A8774,2)</f>
        <v>589.02</v>
      </c>
      <c r="AM8774" s="527">
        <f ca="1">ROUND(R8779,2)</f>
        <v>181.8</v>
      </c>
      <c r="AN8774" s="528">
        <f ca="1">ROUND(T8779,2)</f>
        <v>10.8</v>
      </c>
      <c r="AO8774" s="529">
        <f ca="1">ROUND(AM8774+AN8774,2)*A8774</f>
        <v>1155.5999999999999</v>
      </c>
      <c r="AR8774" s="747">
        <v>6</v>
      </c>
      <c r="AS8774" s="751">
        <v>629.64</v>
      </c>
    </row>
    <row r="8775" spans="1:45" s="520" customFormat="1" ht="13.2">
      <c r="A8775" s="748"/>
      <c r="B8775"/>
      <c r="C8775" s="748"/>
      <c r="D8775" s="749" t="s">
        <v>2061</v>
      </c>
      <c r="F8775" s="753"/>
      <c r="G8775" s="3"/>
      <c r="H8775" s="753"/>
      <c r="I8775" s="754"/>
      <c r="J8775" s="753"/>
      <c r="K8775" s="753" t="s">
        <v>144</v>
      </c>
      <c r="L8775" s="753"/>
      <c r="M8775" s="753"/>
      <c r="N8775" s="753"/>
      <c r="O8775" s="753"/>
      <c r="P8775" s="753"/>
      <c r="Q8775" s="51"/>
      <c r="R8775" s="530"/>
      <c r="S8775" s="757"/>
      <c r="T8775" s="753"/>
      <c r="AR8775" s="748"/>
      <c r="AS8775" s="753"/>
    </row>
    <row r="8776" spans="1:45" s="886" customFormat="1" ht="13.2">
      <c r="A8776"/>
      <c r="B8776" s="910"/>
      <c r="C8776" s="910" t="s">
        <v>2597</v>
      </c>
      <c r="D8776" s="910" t="str">
        <f ca="1">CELL("Address",Elec_Rates!D$1023)</f>
        <v>[E25_0062_Quintano_Foods_Elec_ELV_As_Awarded.xlsx]Elec_Rates!$D$1023</v>
      </c>
      <c r="E8776" s="911"/>
      <c r="F8776" s="911"/>
      <c r="G8776" s="912" t="s">
        <v>2598</v>
      </c>
      <c r="H8776" s="912"/>
      <c r="I8776" s="912"/>
      <c r="J8776" s="912"/>
      <c r="K8776" s="913"/>
      <c r="L8776" s="911"/>
      <c r="M8776" s="911"/>
      <c r="N8776" s="911"/>
      <c r="O8776" s="914"/>
      <c r="P8776" s="911"/>
      <c r="Q8776" s="915"/>
      <c r="R8776" s="916"/>
      <c r="S8776" s="915"/>
      <c r="T8776" s="917"/>
      <c r="U8776" s="918"/>
      <c r="AR8776"/>
      <c r="AS8776" s="911"/>
    </row>
    <row r="8777" spans="1:45" s="886" customFormat="1" ht="11.4">
      <c r="A8777" s="919">
        <v>6</v>
      </c>
      <c r="B8777" s="920">
        <v>1</v>
      </c>
      <c r="C8777" s="920">
        <f>$A8777*$B8777</f>
        <v>6</v>
      </c>
      <c r="D8777" s="921" t="str">
        <f>Elec_Rates!$D$1023</f>
        <v>091# Galvanised Conduit points for Fire alarm devices</v>
      </c>
      <c r="E8777" s="921"/>
      <c r="F8777" s="921" t="s">
        <v>2599</v>
      </c>
      <c r="G8777" s="922" t="s">
        <v>2601</v>
      </c>
      <c r="H8777" s="922"/>
      <c r="I8777" s="922"/>
      <c r="J8777" s="922"/>
      <c r="K8777" s="923"/>
      <c r="L8777" s="918"/>
      <c r="M8777" s="918"/>
      <c r="N8777" s="918"/>
      <c r="O8777" s="924"/>
      <c r="P8777" s="921"/>
      <c r="Q8777" s="925">
        <f ca="1">$B8777*Elec_Rates!$R$1023</f>
        <v>30.3</v>
      </c>
      <c r="R8777" s="916">
        <f ca="1">$A8777*Q8777</f>
        <v>181.8</v>
      </c>
      <c r="S8777" s="925">
        <f ca="1">$B8777*Elec_Rates!$T$1023</f>
        <v>1.8</v>
      </c>
      <c r="T8777" s="917">
        <f ca="1">$A8777*S8777</f>
        <v>10.8</v>
      </c>
      <c r="U8777" s="926"/>
      <c r="AR8777" s="919">
        <v>6</v>
      </c>
      <c r="AS8777" s="921" t="s">
        <v>2599</v>
      </c>
    </row>
    <row r="8778" spans="1:45" s="520" customFormat="1" ht="12">
      <c r="A8778" s="758"/>
      <c r="B8778" s="758"/>
      <c r="C8778" s="758"/>
      <c r="D8778" s="758"/>
      <c r="E8778" s="758"/>
      <c r="F8778" s="753"/>
      <c r="G8778" s="758"/>
      <c r="H8778" s="758"/>
      <c r="I8778" s="519"/>
      <c r="J8778" s="758"/>
      <c r="K8778" s="758"/>
      <c r="L8778" s="758"/>
      <c r="M8778" s="758"/>
      <c r="N8778" s="758"/>
      <c r="O8778" s="758"/>
      <c r="P8778" s="758"/>
      <c r="Q8778" s="519"/>
      <c r="R8778" s="759">
        <f>$A8778*Q8778</f>
        <v>0</v>
      </c>
      <c r="S8778" s="519"/>
      <c r="T8778" s="760">
        <f>$A8778*S8778*$T$1</f>
        <v>0</v>
      </c>
      <c r="AR8778" s="758"/>
      <c r="AS8778" s="753"/>
    </row>
    <row r="8779" spans="1:45" s="520" customFormat="1" ht="12.6" thickBot="1">
      <c r="A8779" s="761" t="s">
        <v>145</v>
      </c>
      <c r="B8779" s="762">
        <f>(R8778+T8778)</f>
        <v>0</v>
      </c>
      <c r="C8779" s="763"/>
      <c r="D8779" s="763"/>
      <c r="E8779" s="763"/>
      <c r="F8779" s="764"/>
      <c r="G8779" s="763" t="s">
        <v>146</v>
      </c>
      <c r="H8779" s="763"/>
      <c r="I8779" s="765"/>
      <c r="J8779" s="763"/>
      <c r="K8779" s="763" t="s">
        <v>3</v>
      </c>
      <c r="L8779" s="766" t="s">
        <v>143</v>
      </c>
      <c r="M8779" s="766"/>
      <c r="N8779" s="766"/>
      <c r="O8779" s="766"/>
      <c r="P8779" s="766"/>
      <c r="Q8779" s="767"/>
      <c r="R8779" s="768">
        <f ca="1">SUM(R8775:R8778)</f>
        <v>181.8</v>
      </c>
      <c r="S8779" s="763"/>
      <c r="T8779" s="768">
        <f ca="1">SUM(T8775:T8778)</f>
        <v>10.8</v>
      </c>
      <c r="U8779" s="531"/>
      <c r="V8779" s="531"/>
      <c r="W8779" s="531"/>
      <c r="X8779" s="531"/>
      <c r="Y8779" s="531"/>
      <c r="Z8779" s="531"/>
      <c r="AA8779" s="531"/>
      <c r="AB8779" s="531"/>
      <c r="AC8779" s="531"/>
      <c r="AD8779" s="531"/>
      <c r="AE8779" s="531"/>
      <c r="AF8779" s="531"/>
      <c r="AG8779" s="531"/>
      <c r="AH8779" s="531"/>
      <c r="AI8779" s="531"/>
      <c r="AJ8779" s="531"/>
      <c r="AK8779" s="531"/>
      <c r="AL8779" s="531"/>
      <c r="AM8779" s="531"/>
      <c r="AN8779" s="531"/>
      <c r="AO8779" s="531"/>
      <c r="AR8779" s="761" t="s">
        <v>145</v>
      </c>
      <c r="AS8779" s="764"/>
    </row>
    <row r="8780" spans="1:45" s="520" customFormat="1" ht="12" thickTop="1">
      <c r="A8780" s="51"/>
      <c r="B8780" s="41"/>
      <c r="C8780" s="51"/>
      <c r="E8780" s="42" t="s">
        <v>138</v>
      </c>
      <c r="F8780" s="42" t="s">
        <v>139</v>
      </c>
      <c r="G8780" s="51"/>
      <c r="H8780" s="51"/>
      <c r="I8780" s="51"/>
      <c r="J8780" s="51"/>
      <c r="K8780" s="51" t="s">
        <v>140</v>
      </c>
      <c r="L8780" s="51"/>
      <c r="M8780" s="51"/>
      <c r="N8780" s="51"/>
      <c r="O8780" s="52"/>
      <c r="P8780" s="51"/>
      <c r="Q8780" s="51"/>
      <c r="R8780" s="51"/>
      <c r="S8780" s="51"/>
      <c r="T8780" s="41"/>
      <c r="AG8780" s="521" t="s">
        <v>268</v>
      </c>
      <c r="AH8780" s="521" t="s">
        <v>269</v>
      </c>
      <c r="AI8780" s="521" t="s">
        <v>270</v>
      </c>
      <c r="AJ8780" s="521" t="s">
        <v>271</v>
      </c>
      <c r="AK8780" s="521" t="s">
        <v>272</v>
      </c>
      <c r="AM8780" s="745" t="s">
        <v>281</v>
      </c>
      <c r="AN8780" s="746" t="s">
        <v>282</v>
      </c>
      <c r="AO8780" s="522" t="s">
        <v>278</v>
      </c>
      <c r="AR8780" s="51"/>
      <c r="AS8780" s="42" t="s">
        <v>139</v>
      </c>
    </row>
    <row r="8781" spans="1:45" s="520" customFormat="1" ht="12" customHeight="1">
      <c r="A8781" s="747">
        <v>3</v>
      </c>
      <c r="B8781" s="523" t="s">
        <v>141</v>
      </c>
      <c r="C8781" s="748"/>
      <c r="D8781" s="749" t="s">
        <v>2364</v>
      </c>
      <c r="E8781" s="750">
        <f ca="1">IF(AND($A8781=0,$A$1="DIF"),0, ROUND(ROUND(($R8786*$S$2+($T8786*$T$2))/A8781,2)*$C$2,2))</f>
        <v>98.17</v>
      </c>
      <c r="F8781" s="751">
        <f ca="1">ROUND($A8781*$E8781,2)</f>
        <v>294.51</v>
      </c>
      <c r="G8781" s="752" t="s">
        <v>142</v>
      </c>
      <c r="H8781" s="753"/>
      <c r="I8781" s="754"/>
      <c r="J8781" s="753"/>
      <c r="K8781" s="753" t="s">
        <v>3</v>
      </c>
      <c r="L8781" s="755" t="s">
        <v>143</v>
      </c>
      <c r="M8781" s="755"/>
      <c r="N8781" s="755"/>
      <c r="O8781" s="755"/>
      <c r="P8781" s="755"/>
      <c r="Q8781" s="51"/>
      <c r="T8781" s="756" t="str">
        <f ca="1">IF(AND($R8786=0,$T8786=0),"0.00","mu :" &amp; ROUND($F8781/$C$2/($R8786+$T8786*$D$9),2))</f>
        <v>mu :1.23</v>
      </c>
      <c r="W8781" s="524"/>
      <c r="AG8781" s="481">
        <f ca="1">IF($E8781=0,0,ROUND($R8786*$S$2*$C$2/$A8781,2))</f>
        <v>37.31</v>
      </c>
      <c r="AH8781" s="481">
        <f ca="1">$AG8781*$A8781</f>
        <v>111.93</v>
      </c>
      <c r="AI8781" s="525">
        <f ca="1">$E8781-$AG8781</f>
        <v>60.86</v>
      </c>
      <c r="AJ8781" s="525">
        <f ca="1">$A8781*$AI8781</f>
        <v>182.57999999999998</v>
      </c>
      <c r="AK8781" s="526">
        <f ca="1">ROUND(($AG8781+$AI8781)*$A8781,2)</f>
        <v>294.51</v>
      </c>
      <c r="AM8781" s="527">
        <f ca="1">ROUND(R8786,2)</f>
        <v>90.9</v>
      </c>
      <c r="AN8781" s="528">
        <f ca="1">ROUND(T8786,2)</f>
        <v>5.4</v>
      </c>
      <c r="AO8781" s="529">
        <f ca="1">ROUND(AM8781+AN8781,2)*A8781</f>
        <v>288.89999999999998</v>
      </c>
      <c r="AR8781" s="747">
        <v>3</v>
      </c>
      <c r="AS8781" s="751">
        <v>314.82</v>
      </c>
    </row>
    <row r="8782" spans="1:45" s="520" customFormat="1" ht="13.2">
      <c r="A8782" s="748"/>
      <c r="B8782"/>
      <c r="C8782" s="748"/>
      <c r="D8782" s="749" t="s">
        <v>2062</v>
      </c>
      <c r="F8782" s="753"/>
      <c r="G8782" s="3"/>
      <c r="H8782" s="753"/>
      <c r="I8782" s="754"/>
      <c r="J8782" s="753"/>
      <c r="K8782" s="753" t="s">
        <v>144</v>
      </c>
      <c r="L8782" s="753"/>
      <c r="M8782" s="753"/>
      <c r="N8782" s="753"/>
      <c r="O8782" s="753"/>
      <c r="P8782" s="753"/>
      <c r="Q8782" s="51"/>
      <c r="R8782" s="530"/>
      <c r="S8782" s="757"/>
      <c r="T8782" s="753"/>
      <c r="AR8782" s="748"/>
      <c r="AS8782" s="753"/>
    </row>
    <row r="8783" spans="1:45" s="886" customFormat="1" ht="13.2">
      <c r="A8783"/>
      <c r="B8783" s="910"/>
      <c r="C8783" s="910" t="s">
        <v>2597</v>
      </c>
      <c r="D8783" s="910" t="str">
        <f ca="1">CELL("Address",Elec_Rates!D$1023)</f>
        <v>[E25_0062_Quintano_Foods_Elec_ELV_As_Awarded.xlsx]Elec_Rates!$D$1023</v>
      </c>
      <c r="E8783" s="911"/>
      <c r="F8783" s="911"/>
      <c r="G8783" s="912" t="s">
        <v>2598</v>
      </c>
      <c r="H8783" s="912"/>
      <c r="I8783" s="912"/>
      <c r="J8783" s="912"/>
      <c r="K8783" s="913"/>
      <c r="L8783" s="911"/>
      <c r="M8783" s="911"/>
      <c r="N8783" s="911"/>
      <c r="O8783" s="914"/>
      <c r="P8783" s="911"/>
      <c r="Q8783" s="915"/>
      <c r="R8783" s="916"/>
      <c r="S8783" s="915"/>
      <c r="T8783" s="917"/>
      <c r="U8783" s="918"/>
      <c r="AR8783"/>
      <c r="AS8783" s="911"/>
    </row>
    <row r="8784" spans="1:45" s="886" customFormat="1" ht="11.4">
      <c r="A8784" s="919">
        <v>3</v>
      </c>
      <c r="B8784" s="920">
        <v>1</v>
      </c>
      <c r="C8784" s="920">
        <f>$A8784*$B8784</f>
        <v>3</v>
      </c>
      <c r="D8784" s="921" t="str">
        <f>Elec_Rates!$D$1023</f>
        <v>091# Galvanised Conduit points for Fire alarm devices</v>
      </c>
      <c r="E8784" s="921"/>
      <c r="F8784" s="921" t="s">
        <v>2599</v>
      </c>
      <c r="G8784" s="922" t="s">
        <v>2601</v>
      </c>
      <c r="H8784" s="922"/>
      <c r="I8784" s="922"/>
      <c r="J8784" s="922"/>
      <c r="K8784" s="923"/>
      <c r="L8784" s="918"/>
      <c r="M8784" s="918"/>
      <c r="N8784" s="918"/>
      <c r="O8784" s="924"/>
      <c r="P8784" s="921"/>
      <c r="Q8784" s="925">
        <f ca="1">$B8784*Elec_Rates!$R$1023</f>
        <v>30.3</v>
      </c>
      <c r="R8784" s="916">
        <f ca="1">$A8784*Q8784</f>
        <v>90.9</v>
      </c>
      <c r="S8784" s="925">
        <f ca="1">$B8784*Elec_Rates!$T$1023</f>
        <v>1.8</v>
      </c>
      <c r="T8784" s="917">
        <f ca="1">$A8784*S8784</f>
        <v>5.4</v>
      </c>
      <c r="U8784" s="926"/>
      <c r="AR8784" s="919">
        <v>3</v>
      </c>
      <c r="AS8784" s="921" t="s">
        <v>2599</v>
      </c>
    </row>
    <row r="8785" spans="1:45" s="520" customFormat="1" ht="12">
      <c r="A8785" s="758"/>
      <c r="B8785" s="758"/>
      <c r="C8785" s="758"/>
      <c r="D8785" s="758"/>
      <c r="E8785" s="758"/>
      <c r="F8785" s="753"/>
      <c r="G8785" s="758"/>
      <c r="H8785" s="758"/>
      <c r="I8785" s="519"/>
      <c r="J8785" s="758"/>
      <c r="K8785" s="758"/>
      <c r="L8785" s="758"/>
      <c r="M8785" s="758"/>
      <c r="N8785" s="758"/>
      <c r="O8785" s="758"/>
      <c r="P8785" s="758"/>
      <c r="Q8785" s="519"/>
      <c r="R8785" s="759">
        <f>$A8785*Q8785</f>
        <v>0</v>
      </c>
      <c r="S8785" s="519"/>
      <c r="T8785" s="760">
        <f>$A8785*S8785*$T$1</f>
        <v>0</v>
      </c>
      <c r="AR8785" s="758"/>
      <c r="AS8785" s="753"/>
    </row>
    <row r="8786" spans="1:45" s="520" customFormat="1" ht="12.6" thickBot="1">
      <c r="A8786" s="761" t="s">
        <v>145</v>
      </c>
      <c r="B8786" s="762">
        <f>(R8785+T8785)</f>
        <v>0</v>
      </c>
      <c r="C8786" s="763"/>
      <c r="D8786" s="763"/>
      <c r="E8786" s="763"/>
      <c r="F8786" s="764"/>
      <c r="G8786" s="763" t="s">
        <v>146</v>
      </c>
      <c r="H8786" s="763"/>
      <c r="I8786" s="765"/>
      <c r="J8786" s="763"/>
      <c r="K8786" s="763" t="s">
        <v>3</v>
      </c>
      <c r="L8786" s="766" t="s">
        <v>143</v>
      </c>
      <c r="M8786" s="766"/>
      <c r="N8786" s="766"/>
      <c r="O8786" s="766"/>
      <c r="P8786" s="766"/>
      <c r="Q8786" s="767"/>
      <c r="R8786" s="768">
        <f ca="1">SUM(R8782:R8785)</f>
        <v>90.9</v>
      </c>
      <c r="S8786" s="763"/>
      <c r="T8786" s="768">
        <f ca="1">SUM(T8782:T8785)</f>
        <v>5.4</v>
      </c>
      <c r="U8786" s="531"/>
      <c r="V8786" s="531"/>
      <c r="W8786" s="531"/>
      <c r="X8786" s="531"/>
      <c r="Y8786" s="531"/>
      <c r="Z8786" s="531"/>
      <c r="AA8786" s="531"/>
      <c r="AB8786" s="531"/>
      <c r="AC8786" s="531"/>
      <c r="AD8786" s="531"/>
      <c r="AE8786" s="531"/>
      <c r="AF8786" s="531"/>
      <c r="AG8786" s="531"/>
      <c r="AH8786" s="531"/>
      <c r="AI8786" s="531"/>
      <c r="AJ8786" s="531"/>
      <c r="AK8786" s="531"/>
      <c r="AL8786" s="531"/>
      <c r="AM8786" s="531"/>
      <c r="AN8786" s="531"/>
      <c r="AO8786" s="531"/>
      <c r="AR8786" s="761" t="s">
        <v>145</v>
      </c>
      <c r="AS8786" s="764"/>
    </row>
    <row r="8787" spans="1:45" s="520" customFormat="1" ht="12" thickTop="1">
      <c r="A8787" s="51"/>
      <c r="B8787" s="41"/>
      <c r="C8787" s="51"/>
      <c r="E8787" s="42" t="s">
        <v>138</v>
      </c>
      <c r="F8787" s="42" t="s">
        <v>139</v>
      </c>
      <c r="G8787" s="51"/>
      <c r="H8787" s="51"/>
      <c r="I8787" s="51"/>
      <c r="J8787" s="51"/>
      <c r="K8787" s="51" t="s">
        <v>140</v>
      </c>
      <c r="L8787" s="51"/>
      <c r="M8787" s="51"/>
      <c r="N8787" s="51"/>
      <c r="O8787" s="52"/>
      <c r="P8787" s="51"/>
      <c r="Q8787" s="51"/>
      <c r="R8787" s="51"/>
      <c r="S8787" s="51"/>
      <c r="T8787" s="41"/>
      <c r="AG8787" s="521" t="s">
        <v>268</v>
      </c>
      <c r="AH8787" s="521" t="s">
        <v>269</v>
      </c>
      <c r="AI8787" s="521" t="s">
        <v>270</v>
      </c>
      <c r="AJ8787" s="521" t="s">
        <v>271</v>
      </c>
      <c r="AK8787" s="521" t="s">
        <v>272</v>
      </c>
      <c r="AM8787" s="745" t="s">
        <v>281</v>
      </c>
      <c r="AN8787" s="746" t="s">
        <v>282</v>
      </c>
      <c r="AO8787" s="522" t="s">
        <v>278</v>
      </c>
      <c r="AR8787" s="51"/>
      <c r="AS8787" s="42" t="s">
        <v>139</v>
      </c>
    </row>
    <row r="8788" spans="1:45" s="520" customFormat="1" ht="12" customHeight="1">
      <c r="A8788" s="747">
        <v>1</v>
      </c>
      <c r="B8788" s="523" t="s">
        <v>141</v>
      </c>
      <c r="C8788" s="748"/>
      <c r="D8788" s="749" t="s">
        <v>2365</v>
      </c>
      <c r="E8788" s="750">
        <f ca="1">IF(AND($A8788=0,$A$1="DIF"),0, ROUND(ROUND(($R8793*$S$2+($T8793*$T$2))/A8788,2)*$C$2,2))</f>
        <v>98.17</v>
      </c>
      <c r="F8788" s="751">
        <f ca="1">ROUND($A8788*$E8788,2)</f>
        <v>98.17</v>
      </c>
      <c r="G8788" s="752" t="s">
        <v>142</v>
      </c>
      <c r="H8788" s="753"/>
      <c r="I8788" s="754"/>
      <c r="J8788" s="753"/>
      <c r="K8788" s="753" t="s">
        <v>3</v>
      </c>
      <c r="L8788" s="755" t="s">
        <v>143</v>
      </c>
      <c r="M8788" s="755"/>
      <c r="N8788" s="755"/>
      <c r="O8788" s="755"/>
      <c r="P8788" s="755"/>
      <c r="Q8788" s="51"/>
      <c r="T8788" s="756" t="str">
        <f ca="1">IF(AND($R8793=0,$T8793=0),"0.00","mu :" &amp; ROUND($F8788/$C$2/($R8793+$T8793*$D$9),2))</f>
        <v>mu :1.23</v>
      </c>
      <c r="W8788" s="524"/>
      <c r="AG8788" s="481">
        <f ca="1">IF($E8788=0,0,ROUND($R8793*$S$2*$C$2/$A8788,2))</f>
        <v>37.31</v>
      </c>
      <c r="AH8788" s="481">
        <f ca="1">$AG8788*$A8788</f>
        <v>37.31</v>
      </c>
      <c r="AI8788" s="525">
        <f ca="1">$E8788-$AG8788</f>
        <v>60.86</v>
      </c>
      <c r="AJ8788" s="525">
        <f ca="1">$A8788*$AI8788</f>
        <v>60.86</v>
      </c>
      <c r="AK8788" s="526">
        <f ca="1">ROUND(($AG8788+$AI8788)*$A8788,2)</f>
        <v>98.17</v>
      </c>
      <c r="AM8788" s="527">
        <f ca="1">ROUND(R8793,2)</f>
        <v>30.3</v>
      </c>
      <c r="AN8788" s="528">
        <f ca="1">ROUND(T8793,2)</f>
        <v>1.8</v>
      </c>
      <c r="AO8788" s="529">
        <f ca="1">ROUND(AM8788+AN8788,2)*A8788</f>
        <v>32.1</v>
      </c>
      <c r="AR8788" s="747">
        <v>1</v>
      </c>
      <c r="AS8788" s="751">
        <v>104.94</v>
      </c>
    </row>
    <row r="8789" spans="1:45" s="520" customFormat="1" ht="13.2">
      <c r="A8789" s="748"/>
      <c r="B8789"/>
      <c r="C8789" s="748"/>
      <c r="D8789" s="749" t="s">
        <v>2078</v>
      </c>
      <c r="F8789" s="753"/>
      <c r="G8789" s="3"/>
      <c r="H8789" s="753"/>
      <c r="I8789" s="754"/>
      <c r="J8789" s="753"/>
      <c r="K8789" s="753" t="s">
        <v>144</v>
      </c>
      <c r="L8789" s="753"/>
      <c r="M8789" s="753"/>
      <c r="N8789" s="753"/>
      <c r="O8789" s="753"/>
      <c r="P8789" s="753"/>
      <c r="Q8789" s="51"/>
      <c r="R8789" s="530"/>
      <c r="S8789" s="757"/>
      <c r="T8789" s="753"/>
      <c r="AR8789" s="748"/>
      <c r="AS8789" s="753"/>
    </row>
    <row r="8790" spans="1:45" s="886" customFormat="1" ht="13.2">
      <c r="A8790"/>
      <c r="B8790" s="910"/>
      <c r="C8790" s="910" t="s">
        <v>2597</v>
      </c>
      <c r="D8790" s="910" t="str">
        <f ca="1">CELL("Address",Elec_Rates!D$1023)</f>
        <v>[E25_0062_Quintano_Foods_Elec_ELV_As_Awarded.xlsx]Elec_Rates!$D$1023</v>
      </c>
      <c r="E8790" s="911"/>
      <c r="F8790" s="911"/>
      <c r="G8790" s="912" t="s">
        <v>2598</v>
      </c>
      <c r="H8790" s="912"/>
      <c r="I8790" s="912"/>
      <c r="J8790" s="912"/>
      <c r="K8790" s="913"/>
      <c r="L8790" s="911"/>
      <c r="M8790" s="911"/>
      <c r="N8790" s="911"/>
      <c r="O8790" s="914"/>
      <c r="P8790" s="911"/>
      <c r="Q8790" s="915"/>
      <c r="R8790" s="916"/>
      <c r="S8790" s="915"/>
      <c r="T8790" s="917"/>
      <c r="U8790" s="918"/>
      <c r="AR8790"/>
      <c r="AS8790" s="911"/>
    </row>
    <row r="8791" spans="1:45" s="886" customFormat="1" ht="11.4">
      <c r="A8791" s="919">
        <v>1</v>
      </c>
      <c r="B8791" s="920">
        <v>1</v>
      </c>
      <c r="C8791" s="920">
        <f>$A8791*$B8791</f>
        <v>1</v>
      </c>
      <c r="D8791" s="921" t="str">
        <f>Elec_Rates!$D$1023</f>
        <v>091# Galvanised Conduit points for Fire alarm devices</v>
      </c>
      <c r="E8791" s="921"/>
      <c r="F8791" s="921" t="s">
        <v>2599</v>
      </c>
      <c r="G8791" s="922" t="s">
        <v>2601</v>
      </c>
      <c r="H8791" s="922"/>
      <c r="I8791" s="922"/>
      <c r="J8791" s="922"/>
      <c r="K8791" s="923"/>
      <c r="L8791" s="918"/>
      <c r="M8791" s="918"/>
      <c r="N8791" s="918"/>
      <c r="O8791" s="924"/>
      <c r="P8791" s="921"/>
      <c r="Q8791" s="925">
        <f ca="1">$B8791*Elec_Rates!$R$1023</f>
        <v>30.3</v>
      </c>
      <c r="R8791" s="916">
        <f ca="1">$A8791*Q8791</f>
        <v>30.3</v>
      </c>
      <c r="S8791" s="925">
        <f ca="1">$B8791*Elec_Rates!$T$1023</f>
        <v>1.8</v>
      </c>
      <c r="T8791" s="917">
        <f ca="1">$A8791*S8791</f>
        <v>1.8</v>
      </c>
      <c r="U8791" s="926"/>
      <c r="AR8791" s="919">
        <v>1</v>
      </c>
      <c r="AS8791" s="921" t="s">
        <v>2599</v>
      </c>
    </row>
    <row r="8792" spans="1:45" s="520" customFormat="1" ht="12">
      <c r="A8792" s="758"/>
      <c r="B8792" s="758"/>
      <c r="C8792" s="758"/>
      <c r="D8792" s="758"/>
      <c r="E8792" s="758"/>
      <c r="F8792" s="753"/>
      <c r="G8792" s="758"/>
      <c r="H8792" s="758"/>
      <c r="I8792" s="519"/>
      <c r="J8792" s="758"/>
      <c r="K8792" s="758"/>
      <c r="L8792" s="758"/>
      <c r="M8792" s="758"/>
      <c r="N8792" s="758"/>
      <c r="O8792" s="758"/>
      <c r="P8792" s="758"/>
      <c r="Q8792" s="519"/>
      <c r="R8792" s="759">
        <f>$A8792*Q8792</f>
        <v>0</v>
      </c>
      <c r="S8792" s="519"/>
      <c r="T8792" s="760">
        <f>$A8792*S8792*$T$1</f>
        <v>0</v>
      </c>
      <c r="AR8792" s="758"/>
      <c r="AS8792" s="753"/>
    </row>
    <row r="8793" spans="1:45" s="520" customFormat="1" ht="12.6" thickBot="1">
      <c r="A8793" s="761" t="s">
        <v>145</v>
      </c>
      <c r="B8793" s="762">
        <f>(R8792+T8792)</f>
        <v>0</v>
      </c>
      <c r="C8793" s="763"/>
      <c r="D8793" s="763"/>
      <c r="E8793" s="763"/>
      <c r="F8793" s="764"/>
      <c r="G8793" s="763" t="s">
        <v>146</v>
      </c>
      <c r="H8793" s="763"/>
      <c r="I8793" s="765"/>
      <c r="J8793" s="763"/>
      <c r="K8793" s="763" t="s">
        <v>3</v>
      </c>
      <c r="L8793" s="766" t="s">
        <v>143</v>
      </c>
      <c r="M8793" s="766"/>
      <c r="N8793" s="766"/>
      <c r="O8793" s="766"/>
      <c r="P8793" s="766"/>
      <c r="Q8793" s="767"/>
      <c r="R8793" s="768">
        <f ca="1">SUM(R8789:R8792)</f>
        <v>30.3</v>
      </c>
      <c r="S8793" s="763"/>
      <c r="T8793" s="768">
        <f ca="1">SUM(T8789:T8792)</f>
        <v>1.8</v>
      </c>
      <c r="U8793" s="531"/>
      <c r="V8793" s="531"/>
      <c r="W8793" s="531"/>
      <c r="X8793" s="531"/>
      <c r="Y8793" s="531"/>
      <c r="Z8793" s="531"/>
      <c r="AA8793" s="531"/>
      <c r="AB8793" s="531"/>
      <c r="AC8793" s="531"/>
      <c r="AD8793" s="531"/>
      <c r="AE8793" s="531"/>
      <c r="AF8793" s="531"/>
      <c r="AG8793" s="531"/>
      <c r="AH8793" s="531"/>
      <c r="AI8793" s="531"/>
      <c r="AJ8793" s="531"/>
      <c r="AK8793" s="531"/>
      <c r="AL8793" s="531"/>
      <c r="AM8793" s="531"/>
      <c r="AN8793" s="531"/>
      <c r="AO8793" s="531"/>
      <c r="AR8793" s="761" t="s">
        <v>145</v>
      </c>
      <c r="AS8793" s="764"/>
    </row>
    <row r="8794" spans="1:45" s="520" customFormat="1" ht="12" thickTop="1">
      <c r="A8794" s="51"/>
      <c r="B8794" s="41"/>
      <c r="C8794" s="51"/>
      <c r="E8794" s="42" t="s">
        <v>138</v>
      </c>
      <c r="F8794" s="42" t="s">
        <v>139</v>
      </c>
      <c r="G8794" s="51"/>
      <c r="H8794" s="51"/>
      <c r="I8794" s="51"/>
      <c r="J8794" s="51"/>
      <c r="K8794" s="51" t="s">
        <v>140</v>
      </c>
      <c r="L8794" s="51"/>
      <c r="M8794" s="51"/>
      <c r="N8794" s="51"/>
      <c r="O8794" s="52"/>
      <c r="P8794" s="51"/>
      <c r="Q8794" s="51"/>
      <c r="R8794" s="51"/>
      <c r="S8794" s="51"/>
      <c r="T8794" s="41"/>
      <c r="AG8794" s="521" t="s">
        <v>268</v>
      </c>
      <c r="AH8794" s="521" t="s">
        <v>269</v>
      </c>
      <c r="AI8794" s="521" t="s">
        <v>270</v>
      </c>
      <c r="AJ8794" s="521" t="s">
        <v>271</v>
      </c>
      <c r="AK8794" s="521" t="s">
        <v>272</v>
      </c>
      <c r="AM8794" s="745" t="s">
        <v>281</v>
      </c>
      <c r="AN8794" s="746" t="s">
        <v>282</v>
      </c>
      <c r="AO8794" s="522" t="s">
        <v>278</v>
      </c>
      <c r="AR8794" s="51"/>
      <c r="AS8794" s="42" t="s">
        <v>139</v>
      </c>
    </row>
    <row r="8795" spans="1:45" s="520" customFormat="1" ht="12" customHeight="1">
      <c r="A8795" s="747">
        <v>5</v>
      </c>
      <c r="B8795" s="523" t="s">
        <v>141</v>
      </c>
      <c r="C8795" s="748"/>
      <c r="D8795" s="749" t="s">
        <v>2366</v>
      </c>
      <c r="E8795" s="750">
        <f ca="1">IF(AND($A8795=0,$A$1="DIF"),0, ROUND(ROUND(($R8800*$S$2+($T8800*$T$2))/A8795,2)*$C$2,2))</f>
        <v>98.17</v>
      </c>
      <c r="F8795" s="751">
        <f ca="1">ROUND($A8795*$E8795,2)</f>
        <v>490.85</v>
      </c>
      <c r="G8795" s="752" t="s">
        <v>142</v>
      </c>
      <c r="H8795" s="753"/>
      <c r="I8795" s="754"/>
      <c r="J8795" s="753"/>
      <c r="K8795" s="753" t="s">
        <v>3</v>
      </c>
      <c r="L8795" s="755" t="s">
        <v>143</v>
      </c>
      <c r="M8795" s="755"/>
      <c r="N8795" s="755"/>
      <c r="O8795" s="755"/>
      <c r="P8795" s="755"/>
      <c r="Q8795" s="51"/>
      <c r="T8795" s="756" t="str">
        <f ca="1">IF(AND($R8800=0,$T8800=0),"0.00","mu :" &amp; ROUND($F8795/$C$2/($R8800+$T8800*$D$9),2))</f>
        <v>mu :1.23</v>
      </c>
      <c r="W8795" s="524"/>
      <c r="AG8795" s="481">
        <f ca="1">IF($E8795=0,0,ROUND($R8800*$S$2*$C$2/$A8795,2))</f>
        <v>37.31</v>
      </c>
      <c r="AH8795" s="481">
        <f ca="1">$AG8795*$A8795</f>
        <v>186.55</v>
      </c>
      <c r="AI8795" s="525">
        <f ca="1">$E8795-$AG8795</f>
        <v>60.86</v>
      </c>
      <c r="AJ8795" s="525">
        <f ca="1">$A8795*$AI8795</f>
        <v>304.3</v>
      </c>
      <c r="AK8795" s="526">
        <f ca="1">ROUND(($AG8795+$AI8795)*$A8795,2)</f>
        <v>490.85</v>
      </c>
      <c r="AM8795" s="527">
        <f ca="1">ROUND(R8800,2)</f>
        <v>151.5</v>
      </c>
      <c r="AN8795" s="528">
        <f ca="1">ROUND(T8800,2)</f>
        <v>9</v>
      </c>
      <c r="AO8795" s="529">
        <f ca="1">ROUND(AM8795+AN8795,2)*A8795</f>
        <v>802.5</v>
      </c>
      <c r="AR8795" s="747">
        <v>5</v>
      </c>
      <c r="AS8795" s="751">
        <v>524.70000000000005</v>
      </c>
    </row>
    <row r="8796" spans="1:45" s="520" customFormat="1" ht="13.2">
      <c r="A8796" s="748"/>
      <c r="B8796"/>
      <c r="C8796" s="748"/>
      <c r="D8796" s="749" t="s">
        <v>2065</v>
      </c>
      <c r="F8796" s="753"/>
      <c r="G8796" s="3"/>
      <c r="H8796" s="753"/>
      <c r="I8796" s="754"/>
      <c r="J8796" s="753"/>
      <c r="K8796" s="753" t="s">
        <v>144</v>
      </c>
      <c r="L8796" s="753"/>
      <c r="M8796" s="753"/>
      <c r="N8796" s="753"/>
      <c r="O8796" s="753"/>
      <c r="P8796" s="753"/>
      <c r="Q8796" s="51"/>
      <c r="R8796" s="530"/>
      <c r="S8796" s="757"/>
      <c r="T8796" s="753"/>
      <c r="AR8796" s="748"/>
      <c r="AS8796" s="753"/>
    </row>
    <row r="8797" spans="1:45" s="886" customFormat="1" ht="13.2">
      <c r="A8797"/>
      <c r="B8797" s="910"/>
      <c r="C8797" s="910" t="s">
        <v>2597</v>
      </c>
      <c r="D8797" s="910" t="str">
        <f ca="1">CELL("Address",Elec_Rates!D$1023)</f>
        <v>[E25_0062_Quintano_Foods_Elec_ELV_As_Awarded.xlsx]Elec_Rates!$D$1023</v>
      </c>
      <c r="E8797" s="911"/>
      <c r="F8797" s="911"/>
      <c r="G8797" s="912" t="s">
        <v>2598</v>
      </c>
      <c r="H8797" s="912"/>
      <c r="I8797" s="912"/>
      <c r="J8797" s="912"/>
      <c r="K8797" s="913"/>
      <c r="L8797" s="911"/>
      <c r="M8797" s="911"/>
      <c r="N8797" s="911"/>
      <c r="O8797" s="914"/>
      <c r="P8797" s="911"/>
      <c r="Q8797" s="915"/>
      <c r="R8797" s="916"/>
      <c r="S8797" s="915"/>
      <c r="T8797" s="917"/>
      <c r="U8797" s="918"/>
      <c r="AR8797"/>
      <c r="AS8797" s="911"/>
    </row>
    <row r="8798" spans="1:45" s="886" customFormat="1" ht="11.4">
      <c r="A8798" s="919">
        <v>5</v>
      </c>
      <c r="B8798" s="920">
        <v>1</v>
      </c>
      <c r="C8798" s="920">
        <f>$A8798*$B8798</f>
        <v>5</v>
      </c>
      <c r="D8798" s="921" t="str">
        <f>Elec_Rates!$D$1023</f>
        <v>091# Galvanised Conduit points for Fire alarm devices</v>
      </c>
      <c r="E8798" s="921"/>
      <c r="F8798" s="921" t="s">
        <v>2599</v>
      </c>
      <c r="G8798" s="922" t="s">
        <v>2601</v>
      </c>
      <c r="H8798" s="922"/>
      <c r="I8798" s="922"/>
      <c r="J8798" s="922"/>
      <c r="K8798" s="923"/>
      <c r="L8798" s="918"/>
      <c r="M8798" s="918"/>
      <c r="N8798" s="918"/>
      <c r="O8798" s="924"/>
      <c r="P8798" s="921"/>
      <c r="Q8798" s="925">
        <f ca="1">$B8798*Elec_Rates!$R$1023</f>
        <v>30.3</v>
      </c>
      <c r="R8798" s="916">
        <f ca="1">$A8798*Q8798</f>
        <v>151.5</v>
      </c>
      <c r="S8798" s="925">
        <f ca="1">$B8798*Elec_Rates!$T$1023</f>
        <v>1.8</v>
      </c>
      <c r="T8798" s="917">
        <f ca="1">$A8798*S8798</f>
        <v>9</v>
      </c>
      <c r="U8798" s="926"/>
      <c r="AR8798" s="919">
        <v>5</v>
      </c>
      <c r="AS8798" s="921" t="s">
        <v>2599</v>
      </c>
    </row>
    <row r="8799" spans="1:45" s="520" customFormat="1" ht="12">
      <c r="A8799" s="758"/>
      <c r="B8799" s="758"/>
      <c r="C8799" s="758"/>
      <c r="D8799" s="758"/>
      <c r="E8799" s="758"/>
      <c r="F8799" s="753"/>
      <c r="G8799" s="758"/>
      <c r="H8799" s="758"/>
      <c r="I8799" s="519"/>
      <c r="J8799" s="758"/>
      <c r="K8799" s="758"/>
      <c r="L8799" s="758"/>
      <c r="M8799" s="758"/>
      <c r="N8799" s="758"/>
      <c r="O8799" s="758"/>
      <c r="P8799" s="758"/>
      <c r="Q8799" s="519"/>
      <c r="R8799" s="759">
        <f>$A8799*Q8799</f>
        <v>0</v>
      </c>
      <c r="S8799" s="519"/>
      <c r="T8799" s="760">
        <f>$A8799*S8799*$T$1</f>
        <v>0</v>
      </c>
      <c r="AR8799" s="758"/>
      <c r="AS8799" s="753"/>
    </row>
    <row r="8800" spans="1:45" s="520" customFormat="1" ht="12.6" thickBot="1">
      <c r="A8800" s="761" t="s">
        <v>145</v>
      </c>
      <c r="B8800" s="762">
        <f>(R8799+T8799)</f>
        <v>0</v>
      </c>
      <c r="C8800" s="763"/>
      <c r="D8800" s="763"/>
      <c r="E8800" s="763"/>
      <c r="F8800" s="764"/>
      <c r="G8800" s="763" t="s">
        <v>146</v>
      </c>
      <c r="H8800" s="763"/>
      <c r="I8800" s="765"/>
      <c r="J8800" s="763"/>
      <c r="K8800" s="763" t="s">
        <v>3</v>
      </c>
      <c r="L8800" s="766" t="s">
        <v>143</v>
      </c>
      <c r="M8800" s="766"/>
      <c r="N8800" s="766"/>
      <c r="O8800" s="766"/>
      <c r="P8800" s="766"/>
      <c r="Q8800" s="767"/>
      <c r="R8800" s="768">
        <f ca="1">SUM(R8796:R8799)</f>
        <v>151.5</v>
      </c>
      <c r="S8800" s="763"/>
      <c r="T8800" s="768">
        <f ca="1">SUM(T8796:T8799)</f>
        <v>9</v>
      </c>
      <c r="U8800" s="531"/>
      <c r="V8800" s="531"/>
      <c r="W8800" s="531"/>
      <c r="X8800" s="531"/>
      <c r="Y8800" s="531"/>
      <c r="Z8800" s="531"/>
      <c r="AA8800" s="531"/>
      <c r="AB8800" s="531"/>
      <c r="AC8800" s="531"/>
      <c r="AD8800" s="531"/>
      <c r="AE8800" s="531"/>
      <c r="AF8800" s="531"/>
      <c r="AG8800" s="531"/>
      <c r="AH8800" s="531"/>
      <c r="AI8800" s="531"/>
      <c r="AJ8800" s="531"/>
      <c r="AK8800" s="531"/>
      <c r="AL8800" s="531"/>
      <c r="AM8800" s="531"/>
      <c r="AN8800" s="531"/>
      <c r="AO8800" s="531"/>
      <c r="AR8800" s="761" t="s">
        <v>145</v>
      </c>
      <c r="AS8800" s="764"/>
    </row>
    <row r="8801" spans="1:45" s="520" customFormat="1" ht="12" thickTop="1">
      <c r="A8801" s="51"/>
      <c r="B8801" s="41"/>
      <c r="C8801" s="51"/>
      <c r="E8801" s="42" t="s">
        <v>138</v>
      </c>
      <c r="F8801" s="42" t="s">
        <v>139</v>
      </c>
      <c r="G8801" s="51"/>
      <c r="H8801" s="51"/>
      <c r="I8801" s="51"/>
      <c r="J8801" s="51"/>
      <c r="K8801" s="51" t="s">
        <v>140</v>
      </c>
      <c r="L8801" s="51"/>
      <c r="M8801" s="51"/>
      <c r="N8801" s="51"/>
      <c r="O8801" s="52"/>
      <c r="P8801" s="51"/>
      <c r="Q8801" s="51"/>
      <c r="R8801" s="51"/>
      <c r="S8801" s="51"/>
      <c r="T8801" s="41"/>
      <c r="AG8801" s="521" t="s">
        <v>268</v>
      </c>
      <c r="AH8801" s="521" t="s">
        <v>269</v>
      </c>
      <c r="AI8801" s="521" t="s">
        <v>270</v>
      </c>
      <c r="AJ8801" s="521" t="s">
        <v>271</v>
      </c>
      <c r="AK8801" s="521" t="s">
        <v>272</v>
      </c>
      <c r="AM8801" s="745" t="s">
        <v>281</v>
      </c>
      <c r="AN8801" s="746" t="s">
        <v>282</v>
      </c>
      <c r="AO8801" s="522" t="s">
        <v>278</v>
      </c>
      <c r="AR8801" s="51"/>
      <c r="AS8801" s="42" t="s">
        <v>139</v>
      </c>
    </row>
    <row r="8802" spans="1:45" s="520" customFormat="1" ht="12" customHeight="1">
      <c r="A8802" s="747">
        <v>1</v>
      </c>
      <c r="B8802" s="523" t="s">
        <v>141</v>
      </c>
      <c r="C8802" s="748"/>
      <c r="D8802" s="749" t="s">
        <v>2367</v>
      </c>
      <c r="E8802" s="750">
        <f ca="1">IF(AND($A8802=0,$A$1="DIF"),0, ROUND(ROUND(($R8807*$S$2+($T8807*$T$2))/A8802,2)*$C$2,2))</f>
        <v>98.17</v>
      </c>
      <c r="F8802" s="751">
        <f ca="1">ROUND($A8802*$E8802,2)</f>
        <v>98.17</v>
      </c>
      <c r="G8802" s="752" t="s">
        <v>142</v>
      </c>
      <c r="H8802" s="753"/>
      <c r="I8802" s="754"/>
      <c r="J8802" s="753"/>
      <c r="K8802" s="753" t="s">
        <v>3</v>
      </c>
      <c r="L8802" s="755" t="s">
        <v>143</v>
      </c>
      <c r="M8802" s="755"/>
      <c r="N8802" s="755"/>
      <c r="O8802" s="755"/>
      <c r="P8802" s="755"/>
      <c r="Q8802" s="51"/>
      <c r="T8802" s="756" t="str">
        <f ca="1">IF(AND($R8807=0,$T8807=0),"0.00","mu :" &amp; ROUND($F8802/$C$2/($R8807+$T8807*$D$9),2))</f>
        <v>mu :1.23</v>
      </c>
      <c r="W8802" s="524"/>
      <c r="AG8802" s="481">
        <f ca="1">IF($E8802=0,0,ROUND($R8807*$S$2*$C$2/$A8802,2))</f>
        <v>37.31</v>
      </c>
      <c r="AH8802" s="481">
        <f ca="1">$AG8802*$A8802</f>
        <v>37.31</v>
      </c>
      <c r="AI8802" s="525">
        <f ca="1">$E8802-$AG8802</f>
        <v>60.86</v>
      </c>
      <c r="AJ8802" s="525">
        <f ca="1">$A8802*$AI8802</f>
        <v>60.86</v>
      </c>
      <c r="AK8802" s="526">
        <f ca="1">ROUND(($AG8802+$AI8802)*$A8802,2)</f>
        <v>98.17</v>
      </c>
      <c r="AM8802" s="527">
        <f ca="1">ROUND(R8807,2)</f>
        <v>30.3</v>
      </c>
      <c r="AN8802" s="528">
        <f ca="1">ROUND(T8807,2)</f>
        <v>1.8</v>
      </c>
      <c r="AO8802" s="529">
        <f ca="1">ROUND(AM8802+AN8802,2)*A8802</f>
        <v>32.1</v>
      </c>
      <c r="AR8802" s="747">
        <v>1</v>
      </c>
      <c r="AS8802" s="751">
        <v>104.94</v>
      </c>
    </row>
    <row r="8803" spans="1:45" s="520" customFormat="1" ht="13.2">
      <c r="A8803" s="748"/>
      <c r="B8803"/>
      <c r="C8803" s="748"/>
      <c r="D8803" s="749" t="s">
        <v>2079</v>
      </c>
      <c r="F8803" s="753"/>
      <c r="G8803" s="3"/>
      <c r="H8803" s="753"/>
      <c r="I8803" s="754"/>
      <c r="J8803" s="753"/>
      <c r="K8803" s="753" t="s">
        <v>144</v>
      </c>
      <c r="L8803" s="753"/>
      <c r="M8803" s="753"/>
      <c r="N8803" s="753"/>
      <c r="O8803" s="753"/>
      <c r="P8803" s="753"/>
      <c r="Q8803" s="51"/>
      <c r="R8803" s="530"/>
      <c r="S8803" s="757"/>
      <c r="T8803" s="753"/>
      <c r="AR8803" s="748"/>
      <c r="AS8803" s="753"/>
    </row>
    <row r="8804" spans="1:45" s="886" customFormat="1" ht="13.2">
      <c r="A8804"/>
      <c r="B8804" s="910"/>
      <c r="C8804" s="910" t="s">
        <v>2597</v>
      </c>
      <c r="D8804" s="910" t="str">
        <f ca="1">CELL("Address",Elec_Rates!D$1023)</f>
        <v>[E25_0062_Quintano_Foods_Elec_ELV_As_Awarded.xlsx]Elec_Rates!$D$1023</v>
      </c>
      <c r="E8804" s="911"/>
      <c r="F8804" s="911"/>
      <c r="G8804" s="912" t="s">
        <v>2598</v>
      </c>
      <c r="H8804" s="912"/>
      <c r="I8804" s="912"/>
      <c r="J8804" s="912"/>
      <c r="K8804" s="913"/>
      <c r="L8804" s="911"/>
      <c r="M8804" s="911"/>
      <c r="N8804" s="911"/>
      <c r="O8804" s="914"/>
      <c r="P8804" s="911"/>
      <c r="Q8804" s="915"/>
      <c r="R8804" s="916"/>
      <c r="S8804" s="915"/>
      <c r="T8804" s="917"/>
      <c r="U8804" s="918"/>
      <c r="AR8804"/>
      <c r="AS8804" s="911"/>
    </row>
    <row r="8805" spans="1:45" s="886" customFormat="1" ht="11.4">
      <c r="A8805" s="919">
        <v>1</v>
      </c>
      <c r="B8805" s="920">
        <v>1</v>
      </c>
      <c r="C8805" s="920">
        <f>$A8805*$B8805</f>
        <v>1</v>
      </c>
      <c r="D8805" s="921" t="str">
        <f>Elec_Rates!$D$1023</f>
        <v>091# Galvanised Conduit points for Fire alarm devices</v>
      </c>
      <c r="E8805" s="921"/>
      <c r="F8805" s="921" t="s">
        <v>2599</v>
      </c>
      <c r="G8805" s="922" t="s">
        <v>2601</v>
      </c>
      <c r="H8805" s="922"/>
      <c r="I8805" s="922"/>
      <c r="J8805" s="922"/>
      <c r="K8805" s="923"/>
      <c r="L8805" s="918"/>
      <c r="M8805" s="918"/>
      <c r="N8805" s="918"/>
      <c r="O8805" s="924"/>
      <c r="P8805" s="921"/>
      <c r="Q8805" s="925">
        <f ca="1">$B8805*Elec_Rates!$R$1023</f>
        <v>30.3</v>
      </c>
      <c r="R8805" s="916">
        <f ca="1">$A8805*Q8805</f>
        <v>30.3</v>
      </c>
      <c r="S8805" s="925">
        <f ca="1">$B8805*Elec_Rates!$T$1023</f>
        <v>1.8</v>
      </c>
      <c r="T8805" s="917">
        <f ca="1">$A8805*S8805</f>
        <v>1.8</v>
      </c>
      <c r="U8805" s="926"/>
      <c r="AR8805" s="919">
        <v>1</v>
      </c>
      <c r="AS8805" s="921" t="s">
        <v>2599</v>
      </c>
    </row>
    <row r="8806" spans="1:45" s="520" customFormat="1" ht="12">
      <c r="A8806" s="758"/>
      <c r="B8806" s="758"/>
      <c r="C8806" s="758"/>
      <c r="D8806" s="758"/>
      <c r="E8806" s="758"/>
      <c r="F8806" s="753"/>
      <c r="G8806" s="758"/>
      <c r="H8806" s="758"/>
      <c r="I8806" s="519"/>
      <c r="J8806" s="758"/>
      <c r="K8806" s="758"/>
      <c r="L8806" s="758"/>
      <c r="M8806" s="758"/>
      <c r="N8806" s="758"/>
      <c r="O8806" s="758"/>
      <c r="P8806" s="758"/>
      <c r="Q8806" s="519"/>
      <c r="R8806" s="759">
        <f>$A8806*Q8806</f>
        <v>0</v>
      </c>
      <c r="S8806" s="519"/>
      <c r="T8806" s="760">
        <f>$A8806*S8806*$T$1</f>
        <v>0</v>
      </c>
      <c r="AR8806" s="758"/>
      <c r="AS8806" s="753"/>
    </row>
    <row r="8807" spans="1:45" s="520" customFormat="1" ht="12.6" thickBot="1">
      <c r="A8807" s="761" t="s">
        <v>145</v>
      </c>
      <c r="B8807" s="762">
        <f>(R8806+T8806)</f>
        <v>0</v>
      </c>
      <c r="C8807" s="763"/>
      <c r="D8807" s="763"/>
      <c r="E8807" s="763"/>
      <c r="F8807" s="764"/>
      <c r="G8807" s="763" t="s">
        <v>146</v>
      </c>
      <c r="H8807" s="763"/>
      <c r="I8807" s="765"/>
      <c r="J8807" s="763"/>
      <c r="K8807" s="763" t="s">
        <v>3</v>
      </c>
      <c r="L8807" s="766" t="s">
        <v>143</v>
      </c>
      <c r="M8807" s="766"/>
      <c r="N8807" s="766"/>
      <c r="O8807" s="766"/>
      <c r="P8807" s="766"/>
      <c r="Q8807" s="767"/>
      <c r="R8807" s="768">
        <f ca="1">SUM(R8803:R8806)</f>
        <v>30.3</v>
      </c>
      <c r="S8807" s="763"/>
      <c r="T8807" s="768">
        <f ca="1">SUM(T8803:T8806)</f>
        <v>1.8</v>
      </c>
      <c r="U8807" s="531"/>
      <c r="V8807" s="531"/>
      <c r="W8807" s="531"/>
      <c r="X8807" s="531"/>
      <c r="Y8807" s="531"/>
      <c r="Z8807" s="531"/>
      <c r="AA8807" s="531"/>
      <c r="AB8807" s="531"/>
      <c r="AC8807" s="531"/>
      <c r="AD8807" s="531"/>
      <c r="AE8807" s="531"/>
      <c r="AF8807" s="531"/>
      <c r="AG8807" s="531"/>
      <c r="AH8807" s="531"/>
      <c r="AI8807" s="531"/>
      <c r="AJ8807" s="531"/>
      <c r="AK8807" s="531"/>
      <c r="AL8807" s="531"/>
      <c r="AM8807" s="531"/>
      <c r="AN8807" s="531"/>
      <c r="AO8807" s="531"/>
      <c r="AR8807" s="761" t="s">
        <v>145</v>
      </c>
      <c r="AS8807" s="764"/>
    </row>
    <row r="8808" spans="1:45" s="520" customFormat="1" ht="12" thickTop="1">
      <c r="A8808" s="51"/>
      <c r="B8808" s="41"/>
      <c r="C8808" s="51"/>
      <c r="E8808" s="42" t="s">
        <v>138</v>
      </c>
      <c r="F8808" s="42" t="s">
        <v>139</v>
      </c>
      <c r="G8808" s="51"/>
      <c r="H8808" s="51"/>
      <c r="I8808" s="51"/>
      <c r="J8808" s="51"/>
      <c r="K8808" s="51" t="s">
        <v>140</v>
      </c>
      <c r="L8808" s="51"/>
      <c r="M8808" s="51"/>
      <c r="N8808" s="51"/>
      <c r="O8808" s="52"/>
      <c r="P8808" s="51"/>
      <c r="Q8808" s="51"/>
      <c r="R8808" s="51"/>
      <c r="S8808" s="51"/>
      <c r="T8808" s="41"/>
      <c r="AG8808" s="521" t="s">
        <v>268</v>
      </c>
      <c r="AH8808" s="521" t="s">
        <v>269</v>
      </c>
      <c r="AI8808" s="521" t="s">
        <v>270</v>
      </c>
      <c r="AJ8808" s="521" t="s">
        <v>271</v>
      </c>
      <c r="AK8808" s="521" t="s">
        <v>272</v>
      </c>
      <c r="AM8808" s="745" t="s">
        <v>281</v>
      </c>
      <c r="AN8808" s="746" t="s">
        <v>282</v>
      </c>
      <c r="AO8808" s="522" t="s">
        <v>278</v>
      </c>
      <c r="AR8808" s="51"/>
      <c r="AS8808" s="42" t="s">
        <v>139</v>
      </c>
    </row>
    <row r="8809" spans="1:45" s="520" customFormat="1" ht="12" customHeight="1">
      <c r="A8809" s="747">
        <v>5</v>
      </c>
      <c r="B8809" s="523" t="s">
        <v>141</v>
      </c>
      <c r="C8809" s="748"/>
      <c r="D8809" s="749" t="s">
        <v>2368</v>
      </c>
      <c r="E8809" s="750">
        <f ca="1">IF(AND($A8809=0,$A$1="DIF"),0, ROUND(ROUND(($R8814*$S$2+($T8814*$T$2))/A8809,2)*$C$2,2))</f>
        <v>98.17</v>
      </c>
      <c r="F8809" s="751">
        <f ca="1">ROUND($A8809*$E8809,2)</f>
        <v>490.85</v>
      </c>
      <c r="G8809" s="752" t="s">
        <v>142</v>
      </c>
      <c r="H8809" s="753"/>
      <c r="I8809" s="754"/>
      <c r="J8809" s="753"/>
      <c r="K8809" s="753" t="s">
        <v>3</v>
      </c>
      <c r="L8809" s="755" t="s">
        <v>143</v>
      </c>
      <c r="M8809" s="755"/>
      <c r="N8809" s="755"/>
      <c r="O8809" s="755"/>
      <c r="P8809" s="755"/>
      <c r="Q8809" s="51"/>
      <c r="T8809" s="756" t="str">
        <f ca="1">IF(AND($R8814=0,$T8814=0),"0.00","mu :" &amp; ROUND($F8809/$C$2/($R8814+$T8814*$D$9),2))</f>
        <v>mu :1.23</v>
      </c>
      <c r="W8809" s="524"/>
      <c r="AG8809" s="481">
        <f ca="1">IF($E8809=0,0,ROUND($R8814*$S$2*$C$2/$A8809,2))</f>
        <v>37.31</v>
      </c>
      <c r="AH8809" s="481">
        <f ca="1">$AG8809*$A8809</f>
        <v>186.55</v>
      </c>
      <c r="AI8809" s="525">
        <f ca="1">$E8809-$AG8809</f>
        <v>60.86</v>
      </c>
      <c r="AJ8809" s="525">
        <f ca="1">$A8809*$AI8809</f>
        <v>304.3</v>
      </c>
      <c r="AK8809" s="526">
        <f ca="1">ROUND(($AG8809+$AI8809)*$A8809,2)</f>
        <v>490.85</v>
      </c>
      <c r="AM8809" s="527">
        <f ca="1">ROUND(R8814,2)</f>
        <v>151.5</v>
      </c>
      <c r="AN8809" s="528">
        <f ca="1">ROUND(T8814,2)</f>
        <v>9</v>
      </c>
      <c r="AO8809" s="529">
        <f ca="1">ROUND(AM8809+AN8809,2)*A8809</f>
        <v>802.5</v>
      </c>
      <c r="AR8809" s="747">
        <v>5</v>
      </c>
      <c r="AS8809" s="751">
        <v>524.70000000000005</v>
      </c>
    </row>
    <row r="8810" spans="1:45" s="520" customFormat="1" ht="13.2">
      <c r="A8810" s="748"/>
      <c r="B8810"/>
      <c r="C8810" s="748"/>
      <c r="D8810" s="749" t="s">
        <v>2066</v>
      </c>
      <c r="F8810" s="753"/>
      <c r="G8810" s="3"/>
      <c r="H8810" s="753"/>
      <c r="I8810" s="754"/>
      <c r="J8810" s="753"/>
      <c r="K8810" s="753" t="s">
        <v>144</v>
      </c>
      <c r="L8810" s="753"/>
      <c r="M8810" s="753"/>
      <c r="N8810" s="753"/>
      <c r="O8810" s="753"/>
      <c r="P8810" s="753"/>
      <c r="Q8810" s="51"/>
      <c r="R8810" s="530"/>
      <c r="S8810" s="757"/>
      <c r="T8810" s="753"/>
      <c r="AR8810" s="748"/>
      <c r="AS8810" s="753"/>
    </row>
    <row r="8811" spans="1:45" s="886" customFormat="1" ht="13.2">
      <c r="A8811"/>
      <c r="B8811" s="910"/>
      <c r="C8811" s="910" t="s">
        <v>2597</v>
      </c>
      <c r="D8811" s="910" t="str">
        <f ca="1">CELL("Address",Elec_Rates!D$1023)</f>
        <v>[E25_0062_Quintano_Foods_Elec_ELV_As_Awarded.xlsx]Elec_Rates!$D$1023</v>
      </c>
      <c r="E8811" s="911"/>
      <c r="F8811" s="911"/>
      <c r="G8811" s="912" t="s">
        <v>2598</v>
      </c>
      <c r="H8811" s="912"/>
      <c r="I8811" s="912"/>
      <c r="J8811" s="912"/>
      <c r="K8811" s="913"/>
      <c r="L8811" s="911"/>
      <c r="M8811" s="911"/>
      <c r="N8811" s="911"/>
      <c r="O8811" s="914"/>
      <c r="P8811" s="911"/>
      <c r="Q8811" s="915"/>
      <c r="R8811" s="916"/>
      <c r="S8811" s="915"/>
      <c r="T8811" s="917"/>
      <c r="U8811" s="918"/>
      <c r="AR8811"/>
      <c r="AS8811" s="911"/>
    </row>
    <row r="8812" spans="1:45" s="886" customFormat="1" ht="11.4">
      <c r="A8812" s="919">
        <v>5</v>
      </c>
      <c r="B8812" s="920">
        <v>1</v>
      </c>
      <c r="C8812" s="920">
        <f>$A8812*$B8812</f>
        <v>5</v>
      </c>
      <c r="D8812" s="921" t="str">
        <f>Elec_Rates!$D$1023</f>
        <v>091# Galvanised Conduit points for Fire alarm devices</v>
      </c>
      <c r="E8812" s="921"/>
      <c r="F8812" s="921" t="s">
        <v>2599</v>
      </c>
      <c r="G8812" s="922" t="s">
        <v>2601</v>
      </c>
      <c r="H8812" s="922"/>
      <c r="I8812" s="922"/>
      <c r="J8812" s="922"/>
      <c r="K8812" s="923"/>
      <c r="L8812" s="918"/>
      <c r="M8812" s="918"/>
      <c r="N8812" s="918"/>
      <c r="O8812" s="924"/>
      <c r="P8812" s="921"/>
      <c r="Q8812" s="925">
        <f ca="1">$B8812*Elec_Rates!$R$1023</f>
        <v>30.3</v>
      </c>
      <c r="R8812" s="916">
        <f ca="1">$A8812*Q8812</f>
        <v>151.5</v>
      </c>
      <c r="S8812" s="925">
        <f ca="1">$B8812*Elec_Rates!$T$1023</f>
        <v>1.8</v>
      </c>
      <c r="T8812" s="917">
        <f ca="1">$A8812*S8812</f>
        <v>9</v>
      </c>
      <c r="U8812" s="926"/>
      <c r="AR8812" s="919">
        <v>5</v>
      </c>
      <c r="AS8812" s="921" t="s">
        <v>2599</v>
      </c>
    </row>
    <row r="8813" spans="1:45" s="520" customFormat="1" ht="12">
      <c r="A8813" s="758"/>
      <c r="B8813" s="758"/>
      <c r="C8813" s="758"/>
      <c r="D8813" s="758"/>
      <c r="E8813" s="758"/>
      <c r="F8813" s="753"/>
      <c r="G8813" s="758"/>
      <c r="H8813" s="758"/>
      <c r="I8813" s="519"/>
      <c r="J8813" s="758"/>
      <c r="K8813" s="758"/>
      <c r="L8813" s="758"/>
      <c r="M8813" s="758"/>
      <c r="N8813" s="758"/>
      <c r="O8813" s="758"/>
      <c r="P8813" s="758"/>
      <c r="Q8813" s="519"/>
      <c r="R8813" s="759">
        <f>$A8813*Q8813</f>
        <v>0</v>
      </c>
      <c r="S8813" s="519"/>
      <c r="T8813" s="760">
        <f>$A8813*S8813*$T$1</f>
        <v>0</v>
      </c>
      <c r="AR8813" s="758"/>
      <c r="AS8813" s="753"/>
    </row>
    <row r="8814" spans="1:45" s="520" customFormat="1" ht="12.6" thickBot="1">
      <c r="A8814" s="761" t="s">
        <v>145</v>
      </c>
      <c r="B8814" s="762">
        <f>(R8813+T8813)</f>
        <v>0</v>
      </c>
      <c r="C8814" s="763"/>
      <c r="D8814" s="763"/>
      <c r="E8814" s="763"/>
      <c r="F8814" s="764"/>
      <c r="G8814" s="763" t="s">
        <v>146</v>
      </c>
      <c r="H8814" s="763"/>
      <c r="I8814" s="765"/>
      <c r="J8814" s="763"/>
      <c r="K8814" s="763" t="s">
        <v>3</v>
      </c>
      <c r="L8814" s="766" t="s">
        <v>143</v>
      </c>
      <c r="M8814" s="766"/>
      <c r="N8814" s="766"/>
      <c r="O8814" s="766"/>
      <c r="P8814" s="766"/>
      <c r="Q8814" s="767"/>
      <c r="R8814" s="768">
        <f ca="1">SUM(R8810:R8813)</f>
        <v>151.5</v>
      </c>
      <c r="S8814" s="763"/>
      <c r="T8814" s="768">
        <f ca="1">SUM(T8810:T8813)</f>
        <v>9</v>
      </c>
      <c r="U8814" s="531"/>
      <c r="V8814" s="531"/>
      <c r="W8814" s="531"/>
      <c r="X8814" s="531"/>
      <c r="Y8814" s="531"/>
      <c r="Z8814" s="531"/>
      <c r="AA8814" s="531"/>
      <c r="AB8814" s="531"/>
      <c r="AC8814" s="531"/>
      <c r="AD8814" s="531"/>
      <c r="AE8814" s="531"/>
      <c r="AF8814" s="531"/>
      <c r="AG8814" s="531"/>
      <c r="AH8814" s="531"/>
      <c r="AI8814" s="531"/>
      <c r="AJ8814" s="531"/>
      <c r="AK8814" s="531"/>
      <c r="AL8814" s="531"/>
      <c r="AM8814" s="531"/>
      <c r="AN8814" s="531"/>
      <c r="AO8814" s="531"/>
      <c r="AR8814" s="761" t="s">
        <v>145</v>
      </c>
      <c r="AS8814" s="764"/>
    </row>
    <row r="8815" spans="1:45" s="520" customFormat="1" ht="12" thickTop="1">
      <c r="A8815" s="51"/>
      <c r="B8815" s="41"/>
      <c r="C8815" s="51"/>
      <c r="E8815" s="42" t="s">
        <v>138</v>
      </c>
      <c r="F8815" s="42" t="s">
        <v>139</v>
      </c>
      <c r="G8815" s="51"/>
      <c r="H8815" s="51"/>
      <c r="I8815" s="51"/>
      <c r="J8815" s="51"/>
      <c r="K8815" s="51" t="s">
        <v>140</v>
      </c>
      <c r="L8815" s="51"/>
      <c r="M8815" s="51"/>
      <c r="N8815" s="51"/>
      <c r="O8815" s="52"/>
      <c r="P8815" s="51"/>
      <c r="Q8815" s="51"/>
      <c r="R8815" s="51"/>
      <c r="S8815" s="51"/>
      <c r="T8815" s="41"/>
      <c r="AG8815" s="521" t="s">
        <v>268</v>
      </c>
      <c r="AH8815" s="521" t="s">
        <v>269</v>
      </c>
      <c r="AI8815" s="521" t="s">
        <v>270</v>
      </c>
      <c r="AJ8815" s="521" t="s">
        <v>271</v>
      </c>
      <c r="AK8815" s="521" t="s">
        <v>272</v>
      </c>
      <c r="AM8815" s="745" t="s">
        <v>281</v>
      </c>
      <c r="AN8815" s="746" t="s">
        <v>282</v>
      </c>
      <c r="AO8815" s="522" t="s">
        <v>278</v>
      </c>
      <c r="AR8815" s="51"/>
      <c r="AS8815" s="42" t="s">
        <v>139</v>
      </c>
    </row>
    <row r="8816" spans="1:45" s="520" customFormat="1" ht="12" customHeight="1">
      <c r="A8816" s="747">
        <v>3</v>
      </c>
      <c r="B8816" s="523" t="s">
        <v>141</v>
      </c>
      <c r="C8816" s="748"/>
      <c r="D8816" s="749" t="s">
        <v>2369</v>
      </c>
      <c r="E8816" s="750">
        <f ca="1">IF(AND($A8816=0,$A$1="DIF"),0, ROUND(ROUND(($R8821*$S$2+($T8821*$T$2))/A8816,2)*$C$2,2))</f>
        <v>98.17</v>
      </c>
      <c r="F8816" s="751">
        <f ca="1">ROUND($A8816*$E8816,2)</f>
        <v>294.51</v>
      </c>
      <c r="G8816" s="752" t="s">
        <v>142</v>
      </c>
      <c r="H8816" s="753"/>
      <c r="I8816" s="754"/>
      <c r="J8816" s="753"/>
      <c r="K8816" s="753" t="s">
        <v>3</v>
      </c>
      <c r="L8816" s="755" t="s">
        <v>143</v>
      </c>
      <c r="M8816" s="755"/>
      <c r="N8816" s="755"/>
      <c r="O8816" s="755"/>
      <c r="P8816" s="755"/>
      <c r="Q8816" s="51"/>
      <c r="T8816" s="756" t="str">
        <f ca="1">IF(AND($R8821=0,$T8821=0),"0.00","mu :" &amp; ROUND($F8816/$C$2/($R8821+$T8821*$D$9),2))</f>
        <v>mu :1.23</v>
      </c>
      <c r="W8816" s="524"/>
      <c r="AG8816" s="481">
        <f ca="1">IF($E8816=0,0,ROUND($R8821*$S$2*$C$2/$A8816,2))</f>
        <v>37.31</v>
      </c>
      <c r="AH8816" s="481">
        <f ca="1">$AG8816*$A8816</f>
        <v>111.93</v>
      </c>
      <c r="AI8816" s="525">
        <f ca="1">$E8816-$AG8816</f>
        <v>60.86</v>
      </c>
      <c r="AJ8816" s="525">
        <f ca="1">$A8816*$AI8816</f>
        <v>182.57999999999998</v>
      </c>
      <c r="AK8816" s="526">
        <f ca="1">ROUND(($AG8816+$AI8816)*$A8816,2)</f>
        <v>294.51</v>
      </c>
      <c r="AM8816" s="527">
        <f ca="1">ROUND(R8821,2)</f>
        <v>90.9</v>
      </c>
      <c r="AN8816" s="528">
        <f ca="1">ROUND(T8821,2)</f>
        <v>5.4</v>
      </c>
      <c r="AO8816" s="529">
        <f ca="1">ROUND(AM8816+AN8816,2)*A8816</f>
        <v>288.89999999999998</v>
      </c>
      <c r="AR8816" s="747">
        <v>3</v>
      </c>
      <c r="AS8816" s="751">
        <v>314.82</v>
      </c>
    </row>
    <row r="8817" spans="1:45" s="520" customFormat="1" ht="13.2">
      <c r="A8817" s="748"/>
      <c r="B8817"/>
      <c r="C8817" s="748"/>
      <c r="D8817" s="749" t="s">
        <v>2067</v>
      </c>
      <c r="F8817" s="753"/>
      <c r="G8817" s="3"/>
      <c r="H8817" s="753"/>
      <c r="I8817" s="754"/>
      <c r="J8817" s="753"/>
      <c r="K8817" s="753" t="s">
        <v>144</v>
      </c>
      <c r="L8817" s="753"/>
      <c r="M8817" s="753"/>
      <c r="N8817" s="753"/>
      <c r="O8817" s="753"/>
      <c r="P8817" s="753"/>
      <c r="Q8817" s="51"/>
      <c r="R8817" s="530"/>
      <c r="S8817" s="757"/>
      <c r="T8817" s="753"/>
      <c r="AR8817" s="748"/>
      <c r="AS8817" s="753"/>
    </row>
    <row r="8818" spans="1:45" s="886" customFormat="1" ht="13.2">
      <c r="A8818"/>
      <c r="B8818" s="910"/>
      <c r="C8818" s="910" t="s">
        <v>2597</v>
      </c>
      <c r="D8818" s="910" t="str">
        <f ca="1">CELL("Address",Elec_Rates!D$1023)</f>
        <v>[E25_0062_Quintano_Foods_Elec_ELV_As_Awarded.xlsx]Elec_Rates!$D$1023</v>
      </c>
      <c r="E8818" s="911"/>
      <c r="F8818" s="911"/>
      <c r="G8818" s="912" t="s">
        <v>2598</v>
      </c>
      <c r="H8818" s="912"/>
      <c r="I8818" s="912"/>
      <c r="J8818" s="912"/>
      <c r="K8818" s="913"/>
      <c r="L8818" s="911"/>
      <c r="M8818" s="911"/>
      <c r="N8818" s="911"/>
      <c r="O8818" s="914"/>
      <c r="P8818" s="911"/>
      <c r="Q8818" s="915"/>
      <c r="R8818" s="916"/>
      <c r="S8818" s="915"/>
      <c r="T8818" s="917"/>
      <c r="U8818" s="918"/>
      <c r="AR8818"/>
      <c r="AS8818" s="911"/>
    </row>
    <row r="8819" spans="1:45" s="886" customFormat="1" ht="11.4">
      <c r="A8819" s="919">
        <v>3</v>
      </c>
      <c r="B8819" s="920">
        <v>1</v>
      </c>
      <c r="C8819" s="920">
        <f>$A8819*$B8819</f>
        <v>3</v>
      </c>
      <c r="D8819" s="921" t="str">
        <f>Elec_Rates!$D$1023</f>
        <v>091# Galvanised Conduit points for Fire alarm devices</v>
      </c>
      <c r="E8819" s="921"/>
      <c r="F8819" s="921" t="s">
        <v>2599</v>
      </c>
      <c r="G8819" s="922" t="s">
        <v>2601</v>
      </c>
      <c r="H8819" s="922"/>
      <c r="I8819" s="922"/>
      <c r="J8819" s="922"/>
      <c r="K8819" s="923"/>
      <c r="L8819" s="918"/>
      <c r="M8819" s="918"/>
      <c r="N8819" s="918"/>
      <c r="O8819" s="924"/>
      <c r="P8819" s="921"/>
      <c r="Q8819" s="925">
        <f ca="1">$B8819*Elec_Rates!$R$1023</f>
        <v>30.3</v>
      </c>
      <c r="R8819" s="916">
        <f ca="1">$A8819*Q8819</f>
        <v>90.9</v>
      </c>
      <c r="S8819" s="925">
        <f ca="1">$B8819*Elec_Rates!$T$1023</f>
        <v>1.8</v>
      </c>
      <c r="T8819" s="917">
        <f ca="1">$A8819*S8819</f>
        <v>5.4</v>
      </c>
      <c r="U8819" s="926"/>
      <c r="AR8819" s="919">
        <v>3</v>
      </c>
      <c r="AS8819" s="921" t="s">
        <v>2599</v>
      </c>
    </row>
    <row r="8820" spans="1:45" s="520" customFormat="1" ht="12">
      <c r="A8820" s="758"/>
      <c r="B8820" s="758"/>
      <c r="C8820" s="758"/>
      <c r="D8820" s="758"/>
      <c r="E8820" s="758"/>
      <c r="F8820" s="753"/>
      <c r="G8820" s="758"/>
      <c r="H8820" s="758"/>
      <c r="I8820" s="519"/>
      <c r="J8820" s="758"/>
      <c r="K8820" s="758"/>
      <c r="L8820" s="758"/>
      <c r="M8820" s="758"/>
      <c r="N8820" s="758"/>
      <c r="O8820" s="758"/>
      <c r="P8820" s="758"/>
      <c r="Q8820" s="519"/>
      <c r="R8820" s="759">
        <f>$A8820*Q8820</f>
        <v>0</v>
      </c>
      <c r="S8820" s="519"/>
      <c r="T8820" s="760">
        <f>$A8820*S8820*$T$1</f>
        <v>0</v>
      </c>
      <c r="AR8820" s="758"/>
      <c r="AS8820" s="753"/>
    </row>
    <row r="8821" spans="1:45" s="520" customFormat="1" ht="12.6" thickBot="1">
      <c r="A8821" s="761" t="s">
        <v>145</v>
      </c>
      <c r="B8821" s="762">
        <f>(R8820+T8820)</f>
        <v>0</v>
      </c>
      <c r="C8821" s="763"/>
      <c r="D8821" s="763"/>
      <c r="E8821" s="763"/>
      <c r="F8821" s="764"/>
      <c r="G8821" s="763" t="s">
        <v>146</v>
      </c>
      <c r="H8821" s="763"/>
      <c r="I8821" s="765"/>
      <c r="J8821" s="763"/>
      <c r="K8821" s="763" t="s">
        <v>3</v>
      </c>
      <c r="L8821" s="766" t="s">
        <v>143</v>
      </c>
      <c r="M8821" s="766"/>
      <c r="N8821" s="766"/>
      <c r="O8821" s="766"/>
      <c r="P8821" s="766"/>
      <c r="Q8821" s="767"/>
      <c r="R8821" s="768">
        <f ca="1">SUM(R8817:R8820)</f>
        <v>90.9</v>
      </c>
      <c r="S8821" s="763"/>
      <c r="T8821" s="768">
        <f ca="1">SUM(T8817:T8820)</f>
        <v>5.4</v>
      </c>
      <c r="U8821" s="531"/>
      <c r="V8821" s="531"/>
      <c r="W8821" s="531"/>
      <c r="X8821" s="531"/>
      <c r="Y8821" s="531"/>
      <c r="Z8821" s="531"/>
      <c r="AA8821" s="531"/>
      <c r="AB8821" s="531"/>
      <c r="AC8821" s="531"/>
      <c r="AD8821" s="531"/>
      <c r="AE8821" s="531"/>
      <c r="AF8821" s="531"/>
      <c r="AG8821" s="531"/>
      <c r="AH8821" s="531"/>
      <c r="AI8821" s="531"/>
      <c r="AJ8821" s="531"/>
      <c r="AK8821" s="531"/>
      <c r="AL8821" s="531"/>
      <c r="AM8821" s="531"/>
      <c r="AN8821" s="531"/>
      <c r="AO8821" s="531"/>
      <c r="AR8821" s="761" t="s">
        <v>145</v>
      </c>
      <c r="AS8821" s="764"/>
    </row>
    <row r="8822" spans="1:45" s="520" customFormat="1" ht="12" thickTop="1">
      <c r="A8822" s="51"/>
      <c r="B8822" s="41"/>
      <c r="C8822" s="51"/>
      <c r="E8822" s="42" t="s">
        <v>138</v>
      </c>
      <c r="F8822" s="42" t="s">
        <v>139</v>
      </c>
      <c r="G8822" s="51"/>
      <c r="H8822" s="51"/>
      <c r="I8822" s="51"/>
      <c r="J8822" s="51"/>
      <c r="K8822" s="51" t="s">
        <v>140</v>
      </c>
      <c r="L8822" s="51"/>
      <c r="M8822" s="51"/>
      <c r="N8822" s="51"/>
      <c r="O8822" s="52"/>
      <c r="P8822" s="51"/>
      <c r="Q8822" s="51"/>
      <c r="R8822" s="51"/>
      <c r="S8822" s="51"/>
      <c r="T8822" s="41"/>
      <c r="AG8822" s="521" t="s">
        <v>268</v>
      </c>
      <c r="AH8822" s="521" t="s">
        <v>269</v>
      </c>
      <c r="AI8822" s="521" t="s">
        <v>270</v>
      </c>
      <c r="AJ8822" s="521" t="s">
        <v>271</v>
      </c>
      <c r="AK8822" s="521" t="s">
        <v>272</v>
      </c>
      <c r="AM8822" s="745" t="s">
        <v>281</v>
      </c>
      <c r="AN8822" s="746" t="s">
        <v>282</v>
      </c>
      <c r="AO8822" s="522" t="s">
        <v>278</v>
      </c>
      <c r="AR8822" s="51"/>
      <c r="AS8822" s="42" t="s">
        <v>139</v>
      </c>
    </row>
    <row r="8823" spans="1:45" s="520" customFormat="1" ht="12" customHeight="1">
      <c r="A8823" s="747">
        <v>1</v>
      </c>
      <c r="B8823" s="523" t="s">
        <v>141</v>
      </c>
      <c r="C8823" s="748"/>
      <c r="D8823" s="749" t="s">
        <v>2370</v>
      </c>
      <c r="E8823" s="750">
        <f ca="1">IF(AND($A8823=0,$A$1="DIF"),0, ROUND(ROUND(($R8828*$S$2+($T8828*$T$2))/A8823,2)*$C$2,2))</f>
        <v>98.17</v>
      </c>
      <c r="F8823" s="751">
        <f ca="1">ROUND($A8823*$E8823,2)</f>
        <v>98.17</v>
      </c>
      <c r="G8823" s="752" t="s">
        <v>142</v>
      </c>
      <c r="H8823" s="753"/>
      <c r="I8823" s="754"/>
      <c r="J8823" s="753"/>
      <c r="K8823" s="753" t="s">
        <v>3</v>
      </c>
      <c r="L8823" s="755" t="s">
        <v>143</v>
      </c>
      <c r="M8823" s="755"/>
      <c r="N8823" s="755"/>
      <c r="O8823" s="755"/>
      <c r="P8823" s="755"/>
      <c r="Q8823" s="51"/>
      <c r="T8823" s="756" t="str">
        <f ca="1">IF(AND($R8828=0,$T8828=0),"0.00","mu :" &amp; ROUND($F8823/$C$2/($R8828+$T8828*$D$9),2))</f>
        <v>mu :1.23</v>
      </c>
      <c r="W8823" s="524"/>
      <c r="AG8823" s="481">
        <f ca="1">IF($E8823=0,0,ROUND($R8828*$S$2*$C$2/$A8823,2))</f>
        <v>37.31</v>
      </c>
      <c r="AH8823" s="481">
        <f ca="1">$AG8823*$A8823</f>
        <v>37.31</v>
      </c>
      <c r="AI8823" s="525">
        <f ca="1">$E8823-$AG8823</f>
        <v>60.86</v>
      </c>
      <c r="AJ8823" s="525">
        <f ca="1">$A8823*$AI8823</f>
        <v>60.86</v>
      </c>
      <c r="AK8823" s="526">
        <f ca="1">ROUND(($AG8823+$AI8823)*$A8823,2)</f>
        <v>98.17</v>
      </c>
      <c r="AM8823" s="527">
        <f ca="1">ROUND(R8828,2)</f>
        <v>30.3</v>
      </c>
      <c r="AN8823" s="528">
        <f ca="1">ROUND(T8828,2)</f>
        <v>1.8</v>
      </c>
      <c r="AO8823" s="529">
        <f ca="1">ROUND(AM8823+AN8823,2)*A8823</f>
        <v>32.1</v>
      </c>
      <c r="AR8823" s="747">
        <v>1</v>
      </c>
      <c r="AS8823" s="751">
        <v>104.94</v>
      </c>
    </row>
    <row r="8824" spans="1:45" s="520" customFormat="1" ht="13.2">
      <c r="A8824" s="748"/>
      <c r="B8824"/>
      <c r="C8824" s="748"/>
      <c r="D8824" s="749" t="s">
        <v>2085</v>
      </c>
      <c r="F8824" s="753"/>
      <c r="G8824" s="3"/>
      <c r="H8824" s="753"/>
      <c r="I8824" s="754"/>
      <c r="J8824" s="753"/>
      <c r="K8824" s="753" t="s">
        <v>144</v>
      </c>
      <c r="L8824" s="753"/>
      <c r="M8824" s="753"/>
      <c r="N8824" s="753"/>
      <c r="O8824" s="753"/>
      <c r="P8824" s="753"/>
      <c r="Q8824" s="51"/>
      <c r="R8824" s="530"/>
      <c r="S8824" s="757"/>
      <c r="T8824" s="753"/>
      <c r="AR8824" s="748"/>
      <c r="AS8824" s="753"/>
    </row>
    <row r="8825" spans="1:45" s="886" customFormat="1" ht="13.2">
      <c r="A8825"/>
      <c r="B8825" s="910"/>
      <c r="C8825" s="910" t="s">
        <v>2597</v>
      </c>
      <c r="D8825" s="910" t="str">
        <f ca="1">CELL("Address",Elec_Rates!D$1023)</f>
        <v>[E25_0062_Quintano_Foods_Elec_ELV_As_Awarded.xlsx]Elec_Rates!$D$1023</v>
      </c>
      <c r="E8825" s="911"/>
      <c r="F8825" s="911"/>
      <c r="G8825" s="912" t="s">
        <v>2598</v>
      </c>
      <c r="H8825" s="912"/>
      <c r="I8825" s="912"/>
      <c r="J8825" s="912"/>
      <c r="K8825" s="913"/>
      <c r="L8825" s="911"/>
      <c r="M8825" s="911"/>
      <c r="N8825" s="911"/>
      <c r="O8825" s="914"/>
      <c r="P8825" s="911"/>
      <c r="Q8825" s="915"/>
      <c r="R8825" s="916"/>
      <c r="S8825" s="915"/>
      <c r="T8825" s="917"/>
      <c r="U8825" s="918"/>
      <c r="AR8825"/>
      <c r="AS8825" s="911"/>
    </row>
    <row r="8826" spans="1:45" s="886" customFormat="1" ht="11.4">
      <c r="A8826" s="919">
        <v>1</v>
      </c>
      <c r="B8826" s="920">
        <v>1</v>
      </c>
      <c r="C8826" s="920">
        <f>$A8826*$B8826</f>
        <v>1</v>
      </c>
      <c r="D8826" s="921" t="str">
        <f>Elec_Rates!$D$1023</f>
        <v>091# Galvanised Conduit points for Fire alarm devices</v>
      </c>
      <c r="E8826" s="921"/>
      <c r="F8826" s="921" t="s">
        <v>2599</v>
      </c>
      <c r="G8826" s="922" t="s">
        <v>2601</v>
      </c>
      <c r="H8826" s="922"/>
      <c r="I8826" s="922"/>
      <c r="J8826" s="922"/>
      <c r="K8826" s="923"/>
      <c r="L8826" s="918"/>
      <c r="M8826" s="918"/>
      <c r="N8826" s="918"/>
      <c r="O8826" s="924"/>
      <c r="P8826" s="921"/>
      <c r="Q8826" s="925">
        <f ca="1">$B8826*Elec_Rates!$R$1023</f>
        <v>30.3</v>
      </c>
      <c r="R8826" s="916">
        <f ca="1">$A8826*Q8826</f>
        <v>30.3</v>
      </c>
      <c r="S8826" s="925">
        <f ca="1">$B8826*Elec_Rates!$T$1023</f>
        <v>1.8</v>
      </c>
      <c r="T8826" s="917">
        <f ca="1">$A8826*S8826</f>
        <v>1.8</v>
      </c>
      <c r="U8826" s="926"/>
      <c r="AR8826" s="919">
        <v>1</v>
      </c>
      <c r="AS8826" s="921" t="s">
        <v>2599</v>
      </c>
    </row>
    <row r="8827" spans="1:45" s="520" customFormat="1" ht="12">
      <c r="A8827" s="758"/>
      <c r="B8827" s="758"/>
      <c r="C8827" s="758"/>
      <c r="D8827" s="758"/>
      <c r="E8827" s="758"/>
      <c r="F8827" s="753"/>
      <c r="G8827" s="758"/>
      <c r="H8827" s="758"/>
      <c r="I8827" s="519"/>
      <c r="J8827" s="758"/>
      <c r="K8827" s="758"/>
      <c r="L8827" s="758"/>
      <c r="M8827" s="758"/>
      <c r="N8827" s="758"/>
      <c r="O8827" s="758"/>
      <c r="P8827" s="758"/>
      <c r="Q8827" s="519"/>
      <c r="R8827" s="759">
        <f>$A8827*Q8827</f>
        <v>0</v>
      </c>
      <c r="S8827" s="519"/>
      <c r="T8827" s="760">
        <f>$A8827*S8827*$T$1</f>
        <v>0</v>
      </c>
      <c r="AR8827" s="758"/>
      <c r="AS8827" s="753"/>
    </row>
    <row r="8828" spans="1:45" s="520" customFormat="1" ht="12.6" thickBot="1">
      <c r="A8828" s="761" t="s">
        <v>145</v>
      </c>
      <c r="B8828" s="762">
        <f>(R8827+T8827)</f>
        <v>0</v>
      </c>
      <c r="C8828" s="763"/>
      <c r="D8828" s="763"/>
      <c r="E8828" s="763"/>
      <c r="F8828" s="764"/>
      <c r="G8828" s="763" t="s">
        <v>146</v>
      </c>
      <c r="H8828" s="763"/>
      <c r="I8828" s="765"/>
      <c r="J8828" s="763"/>
      <c r="K8828" s="763" t="s">
        <v>3</v>
      </c>
      <c r="L8828" s="766" t="s">
        <v>143</v>
      </c>
      <c r="M8828" s="766"/>
      <c r="N8828" s="766"/>
      <c r="O8828" s="766"/>
      <c r="P8828" s="766"/>
      <c r="Q8828" s="767"/>
      <c r="R8828" s="768">
        <f ca="1">SUM(R8824:R8827)</f>
        <v>30.3</v>
      </c>
      <c r="S8828" s="763"/>
      <c r="T8828" s="768">
        <f ca="1">SUM(T8824:T8827)</f>
        <v>1.8</v>
      </c>
      <c r="U8828" s="531"/>
      <c r="V8828" s="531"/>
      <c r="W8828" s="531"/>
      <c r="X8828" s="531"/>
      <c r="Y8828" s="531"/>
      <c r="Z8828" s="531"/>
      <c r="AA8828" s="531"/>
      <c r="AB8828" s="531"/>
      <c r="AC8828" s="531"/>
      <c r="AD8828" s="531"/>
      <c r="AE8828" s="531"/>
      <c r="AF8828" s="531"/>
      <c r="AG8828" s="531"/>
      <c r="AH8828" s="531"/>
      <c r="AI8828" s="531"/>
      <c r="AJ8828" s="531"/>
      <c r="AK8828" s="531"/>
      <c r="AL8828" s="531"/>
      <c r="AM8828" s="531"/>
      <c r="AN8828" s="531"/>
      <c r="AO8828" s="531"/>
      <c r="AR8828" s="761" t="s">
        <v>145</v>
      </c>
      <c r="AS8828" s="764"/>
    </row>
    <row r="8829" spans="1:45" s="520" customFormat="1" ht="12" thickTop="1">
      <c r="A8829" s="51"/>
      <c r="B8829" s="41"/>
      <c r="C8829" s="51"/>
      <c r="E8829" s="42" t="s">
        <v>138</v>
      </c>
      <c r="F8829" s="42" t="s">
        <v>139</v>
      </c>
      <c r="G8829" s="51"/>
      <c r="H8829" s="51"/>
      <c r="I8829" s="51"/>
      <c r="J8829" s="51"/>
      <c r="K8829" s="51" t="s">
        <v>140</v>
      </c>
      <c r="L8829" s="51"/>
      <c r="M8829" s="51"/>
      <c r="N8829" s="51"/>
      <c r="O8829" s="52"/>
      <c r="P8829" s="51"/>
      <c r="Q8829" s="51"/>
      <c r="R8829" s="51"/>
      <c r="S8829" s="51"/>
      <c r="T8829" s="41"/>
      <c r="AG8829" s="521" t="s">
        <v>268</v>
      </c>
      <c r="AH8829" s="521" t="s">
        <v>269</v>
      </c>
      <c r="AI8829" s="521" t="s">
        <v>270</v>
      </c>
      <c r="AJ8829" s="521" t="s">
        <v>271</v>
      </c>
      <c r="AK8829" s="521" t="s">
        <v>272</v>
      </c>
      <c r="AM8829" s="745" t="s">
        <v>281</v>
      </c>
      <c r="AN8829" s="746" t="s">
        <v>282</v>
      </c>
      <c r="AO8829" s="522" t="s">
        <v>278</v>
      </c>
      <c r="AR8829" s="51"/>
      <c r="AS8829" s="42" t="s">
        <v>139</v>
      </c>
    </row>
    <row r="8830" spans="1:45" s="520" customFormat="1" ht="12" customHeight="1">
      <c r="A8830" s="747">
        <v>1</v>
      </c>
      <c r="B8830" s="523" t="s">
        <v>141</v>
      </c>
      <c r="C8830" s="748"/>
      <c r="D8830" s="749" t="s">
        <v>2371</v>
      </c>
      <c r="E8830" s="750">
        <f ca="1">IF(AND($A8830=0,$A$1="DIF"),0, ROUND(ROUND(($R8835*$S$2+($T8835*$T$2))/A8830,2)*$C$2,2))</f>
        <v>98.17</v>
      </c>
      <c r="F8830" s="751">
        <f ca="1">ROUND($A8830*$E8830,2)</f>
        <v>98.17</v>
      </c>
      <c r="G8830" s="752" t="s">
        <v>142</v>
      </c>
      <c r="H8830" s="753"/>
      <c r="I8830" s="754"/>
      <c r="J8830" s="753"/>
      <c r="K8830" s="753" t="s">
        <v>3</v>
      </c>
      <c r="L8830" s="755" t="s">
        <v>143</v>
      </c>
      <c r="M8830" s="755"/>
      <c r="N8830" s="755"/>
      <c r="O8830" s="755"/>
      <c r="P8830" s="755"/>
      <c r="Q8830" s="51"/>
      <c r="T8830" s="756" t="str">
        <f ca="1">IF(AND($R8835=0,$T8835=0),"0.00","mu :" &amp; ROUND($F8830/$C$2/($R8835+$T8835*$D$9),2))</f>
        <v>mu :1.23</v>
      </c>
      <c r="W8830" s="524"/>
      <c r="AG8830" s="481">
        <f ca="1">IF($E8830=0,0,ROUND($R8835*$S$2*$C$2/$A8830,2))</f>
        <v>37.31</v>
      </c>
      <c r="AH8830" s="481">
        <f ca="1">$AG8830*$A8830</f>
        <v>37.31</v>
      </c>
      <c r="AI8830" s="525">
        <f ca="1">$E8830-$AG8830</f>
        <v>60.86</v>
      </c>
      <c r="AJ8830" s="525">
        <f ca="1">$A8830*$AI8830</f>
        <v>60.86</v>
      </c>
      <c r="AK8830" s="526">
        <f ca="1">ROUND(($AG8830+$AI8830)*$A8830,2)</f>
        <v>98.17</v>
      </c>
      <c r="AM8830" s="527">
        <f ca="1">ROUND(R8835,2)</f>
        <v>30.3</v>
      </c>
      <c r="AN8830" s="528">
        <f ca="1">ROUND(T8835,2)</f>
        <v>1.8</v>
      </c>
      <c r="AO8830" s="529">
        <f ca="1">ROUND(AM8830+AN8830,2)*A8830</f>
        <v>32.1</v>
      </c>
      <c r="AR8830" s="747">
        <v>1</v>
      </c>
      <c r="AS8830" s="751">
        <v>104.94</v>
      </c>
    </row>
    <row r="8831" spans="1:45" s="520" customFormat="1" ht="13.2">
      <c r="A8831" s="748"/>
      <c r="B8831"/>
      <c r="C8831" s="748"/>
      <c r="D8831" s="749" t="s">
        <v>2086</v>
      </c>
      <c r="F8831" s="753"/>
      <c r="G8831" s="3"/>
      <c r="H8831" s="753"/>
      <c r="I8831" s="754"/>
      <c r="J8831" s="753"/>
      <c r="K8831" s="753" t="s">
        <v>144</v>
      </c>
      <c r="L8831" s="753"/>
      <c r="M8831" s="753"/>
      <c r="N8831" s="753"/>
      <c r="O8831" s="753"/>
      <c r="P8831" s="753"/>
      <c r="Q8831" s="51"/>
      <c r="R8831" s="530"/>
      <c r="S8831" s="757"/>
      <c r="T8831" s="753"/>
      <c r="AR8831" s="748"/>
      <c r="AS8831" s="753"/>
    </row>
    <row r="8832" spans="1:45" s="886" customFormat="1" ht="13.2">
      <c r="A8832"/>
      <c r="B8832" s="910"/>
      <c r="C8832" s="910" t="s">
        <v>2597</v>
      </c>
      <c r="D8832" s="910" t="str">
        <f ca="1">CELL("Address",Elec_Rates!D$1023)</f>
        <v>[E25_0062_Quintano_Foods_Elec_ELV_As_Awarded.xlsx]Elec_Rates!$D$1023</v>
      </c>
      <c r="E8832" s="911"/>
      <c r="F8832" s="911"/>
      <c r="G8832" s="912" t="s">
        <v>2598</v>
      </c>
      <c r="H8832" s="912"/>
      <c r="I8832" s="912"/>
      <c r="J8832" s="912"/>
      <c r="K8832" s="913"/>
      <c r="L8832" s="911"/>
      <c r="M8832" s="911"/>
      <c r="N8832" s="911"/>
      <c r="O8832" s="914"/>
      <c r="P8832" s="911"/>
      <c r="Q8832" s="915"/>
      <c r="R8832" s="916"/>
      <c r="S8832" s="915"/>
      <c r="T8832" s="917"/>
      <c r="U8832" s="918"/>
      <c r="AR8832"/>
      <c r="AS8832" s="911"/>
    </row>
    <row r="8833" spans="1:45" s="886" customFormat="1" ht="11.4">
      <c r="A8833" s="919">
        <v>1</v>
      </c>
      <c r="B8833" s="920">
        <v>1</v>
      </c>
      <c r="C8833" s="920">
        <f>$A8833*$B8833</f>
        <v>1</v>
      </c>
      <c r="D8833" s="921" t="str">
        <f>Elec_Rates!$D$1023</f>
        <v>091# Galvanised Conduit points for Fire alarm devices</v>
      </c>
      <c r="E8833" s="921"/>
      <c r="F8833" s="921" t="s">
        <v>2599</v>
      </c>
      <c r="G8833" s="922" t="s">
        <v>2601</v>
      </c>
      <c r="H8833" s="922"/>
      <c r="I8833" s="922"/>
      <c r="J8833" s="922"/>
      <c r="K8833" s="923"/>
      <c r="L8833" s="918"/>
      <c r="M8833" s="918"/>
      <c r="N8833" s="918"/>
      <c r="O8833" s="924"/>
      <c r="P8833" s="921"/>
      <c r="Q8833" s="925">
        <f ca="1">$B8833*Elec_Rates!$R$1023</f>
        <v>30.3</v>
      </c>
      <c r="R8833" s="916">
        <f ca="1">$A8833*Q8833</f>
        <v>30.3</v>
      </c>
      <c r="S8833" s="925">
        <f ca="1">$B8833*Elec_Rates!$T$1023</f>
        <v>1.8</v>
      </c>
      <c r="T8833" s="917">
        <f ca="1">$A8833*S8833</f>
        <v>1.8</v>
      </c>
      <c r="U8833" s="926"/>
      <c r="AR8833" s="919">
        <v>1</v>
      </c>
      <c r="AS8833" s="921" t="s">
        <v>2599</v>
      </c>
    </row>
    <row r="8834" spans="1:45" s="520" customFormat="1" ht="12">
      <c r="A8834" s="758"/>
      <c r="B8834" s="758"/>
      <c r="C8834" s="758"/>
      <c r="D8834" s="758"/>
      <c r="E8834" s="758"/>
      <c r="F8834" s="753"/>
      <c r="G8834" s="758"/>
      <c r="H8834" s="758"/>
      <c r="I8834" s="519"/>
      <c r="J8834" s="758"/>
      <c r="K8834" s="758"/>
      <c r="L8834" s="758"/>
      <c r="M8834" s="758"/>
      <c r="N8834" s="758"/>
      <c r="O8834" s="758"/>
      <c r="P8834" s="758"/>
      <c r="Q8834" s="519"/>
      <c r="R8834" s="759">
        <f>$A8834*Q8834</f>
        <v>0</v>
      </c>
      <c r="S8834" s="519"/>
      <c r="T8834" s="760">
        <f>$A8834*S8834*$T$1</f>
        <v>0</v>
      </c>
      <c r="AR8834" s="758"/>
      <c r="AS8834" s="753"/>
    </row>
    <row r="8835" spans="1:45" s="520" customFormat="1" ht="12.6" thickBot="1">
      <c r="A8835" s="761" t="s">
        <v>145</v>
      </c>
      <c r="B8835" s="762">
        <f>(R8834+T8834)</f>
        <v>0</v>
      </c>
      <c r="C8835" s="763"/>
      <c r="D8835" s="763"/>
      <c r="E8835" s="763"/>
      <c r="F8835" s="764"/>
      <c r="G8835" s="763" t="s">
        <v>146</v>
      </c>
      <c r="H8835" s="763"/>
      <c r="I8835" s="765"/>
      <c r="J8835" s="763"/>
      <c r="K8835" s="763" t="s">
        <v>3</v>
      </c>
      <c r="L8835" s="766" t="s">
        <v>143</v>
      </c>
      <c r="M8835" s="766"/>
      <c r="N8835" s="766"/>
      <c r="O8835" s="766"/>
      <c r="P8835" s="766"/>
      <c r="Q8835" s="767"/>
      <c r="R8835" s="768">
        <f ca="1">SUM(R8831:R8834)</f>
        <v>30.3</v>
      </c>
      <c r="S8835" s="763"/>
      <c r="T8835" s="768">
        <f ca="1">SUM(T8831:T8834)</f>
        <v>1.8</v>
      </c>
      <c r="U8835" s="531"/>
      <c r="V8835" s="531"/>
      <c r="W8835" s="531"/>
      <c r="X8835" s="531"/>
      <c r="Y8835" s="531"/>
      <c r="Z8835" s="531"/>
      <c r="AA8835" s="531"/>
      <c r="AB8835" s="531"/>
      <c r="AC8835" s="531"/>
      <c r="AD8835" s="531"/>
      <c r="AE8835" s="531"/>
      <c r="AF8835" s="531"/>
      <c r="AG8835" s="531"/>
      <c r="AH8835" s="531"/>
      <c r="AI8835" s="531"/>
      <c r="AJ8835" s="531"/>
      <c r="AK8835" s="531"/>
      <c r="AL8835" s="531"/>
      <c r="AM8835" s="531"/>
      <c r="AN8835" s="531"/>
      <c r="AO8835" s="531"/>
      <c r="AR8835" s="761" t="s">
        <v>145</v>
      </c>
      <c r="AS8835" s="764"/>
    </row>
    <row r="8836" spans="1:45" s="520" customFormat="1" ht="12" thickTop="1">
      <c r="A8836" s="51"/>
      <c r="B8836" s="41"/>
      <c r="C8836" s="51"/>
      <c r="E8836" s="42" t="s">
        <v>138</v>
      </c>
      <c r="F8836" s="42" t="s">
        <v>139</v>
      </c>
      <c r="G8836" s="51"/>
      <c r="H8836" s="51"/>
      <c r="I8836" s="51"/>
      <c r="J8836" s="51"/>
      <c r="K8836" s="51" t="s">
        <v>140</v>
      </c>
      <c r="L8836" s="51"/>
      <c r="M8836" s="51"/>
      <c r="N8836" s="51"/>
      <c r="O8836" s="52"/>
      <c r="P8836" s="51"/>
      <c r="Q8836" s="51"/>
      <c r="R8836" s="51"/>
      <c r="S8836" s="51"/>
      <c r="T8836" s="41"/>
      <c r="AG8836" s="521" t="s">
        <v>268</v>
      </c>
      <c r="AH8836" s="521" t="s">
        <v>269</v>
      </c>
      <c r="AI8836" s="521" t="s">
        <v>270</v>
      </c>
      <c r="AJ8836" s="521" t="s">
        <v>271</v>
      </c>
      <c r="AK8836" s="521" t="s">
        <v>272</v>
      </c>
      <c r="AM8836" s="745" t="s">
        <v>281</v>
      </c>
      <c r="AN8836" s="746" t="s">
        <v>282</v>
      </c>
      <c r="AO8836" s="522" t="s">
        <v>278</v>
      </c>
      <c r="AR8836" s="51"/>
      <c r="AS8836" s="42" t="s">
        <v>139</v>
      </c>
    </row>
    <row r="8837" spans="1:45" s="520" customFormat="1" ht="12" customHeight="1">
      <c r="A8837" s="747">
        <v>1</v>
      </c>
      <c r="B8837" s="523" t="s">
        <v>141</v>
      </c>
      <c r="C8837" s="748"/>
      <c r="D8837" s="749" t="s">
        <v>2372</v>
      </c>
      <c r="E8837" s="750">
        <f ca="1">IF(AND($A8837=0,$A$1="DIF"),0, ROUND(ROUND(($R8842*$S$2+($T8842*$T$2))/A8837,2)*$C$2,2))</f>
        <v>98.17</v>
      </c>
      <c r="F8837" s="751">
        <f ca="1">ROUND($A8837*$E8837,2)</f>
        <v>98.17</v>
      </c>
      <c r="G8837" s="752" t="s">
        <v>142</v>
      </c>
      <c r="H8837" s="753"/>
      <c r="I8837" s="754"/>
      <c r="J8837" s="753"/>
      <c r="K8837" s="753" t="s">
        <v>3</v>
      </c>
      <c r="L8837" s="755" t="s">
        <v>143</v>
      </c>
      <c r="M8837" s="755"/>
      <c r="N8837" s="755"/>
      <c r="O8837" s="755"/>
      <c r="P8837" s="755"/>
      <c r="Q8837" s="51"/>
      <c r="T8837" s="756" t="str">
        <f ca="1">IF(AND($R8842=0,$T8842=0),"0.00","mu :" &amp; ROUND($F8837/$C$2/($R8842+$T8842*$D$9),2))</f>
        <v>mu :1.23</v>
      </c>
      <c r="W8837" s="524"/>
      <c r="AG8837" s="481">
        <f ca="1">IF($E8837=0,0,ROUND($R8842*$S$2*$C$2/$A8837,2))</f>
        <v>37.31</v>
      </c>
      <c r="AH8837" s="481">
        <f ca="1">$AG8837*$A8837</f>
        <v>37.31</v>
      </c>
      <c r="AI8837" s="525">
        <f ca="1">$E8837-$AG8837</f>
        <v>60.86</v>
      </c>
      <c r="AJ8837" s="525">
        <f ca="1">$A8837*$AI8837</f>
        <v>60.86</v>
      </c>
      <c r="AK8837" s="526">
        <f ca="1">ROUND(($AG8837+$AI8837)*$A8837,2)</f>
        <v>98.17</v>
      </c>
      <c r="AM8837" s="527">
        <f ca="1">ROUND(R8842,2)</f>
        <v>30.3</v>
      </c>
      <c r="AN8837" s="528">
        <f ca="1">ROUND(T8842,2)</f>
        <v>1.8</v>
      </c>
      <c r="AO8837" s="529">
        <f ca="1">ROUND(AM8837+AN8837,2)*A8837</f>
        <v>32.1</v>
      </c>
      <c r="AR8837" s="747">
        <v>1</v>
      </c>
      <c r="AS8837" s="751">
        <v>104.94</v>
      </c>
    </row>
    <row r="8838" spans="1:45" s="520" customFormat="1" ht="13.2">
      <c r="A8838" s="748"/>
      <c r="B8838"/>
      <c r="C8838" s="748"/>
      <c r="D8838" s="749" t="s">
        <v>2087</v>
      </c>
      <c r="F8838" s="753"/>
      <c r="G8838" s="3"/>
      <c r="H8838" s="753"/>
      <c r="I8838" s="754"/>
      <c r="J8838" s="753"/>
      <c r="K8838" s="753" t="s">
        <v>144</v>
      </c>
      <c r="L8838" s="753"/>
      <c r="M8838" s="753"/>
      <c r="N8838" s="753"/>
      <c r="O8838" s="753"/>
      <c r="P8838" s="753"/>
      <c r="Q8838" s="51"/>
      <c r="R8838" s="530"/>
      <c r="S8838" s="757"/>
      <c r="T8838" s="753"/>
      <c r="AR8838" s="748"/>
      <c r="AS8838" s="753"/>
    </row>
    <row r="8839" spans="1:45" s="886" customFormat="1" ht="13.2">
      <c r="A8839"/>
      <c r="B8839" s="910"/>
      <c r="C8839" s="910" t="s">
        <v>2597</v>
      </c>
      <c r="D8839" s="910" t="str">
        <f ca="1">CELL("Address",Elec_Rates!D$1023)</f>
        <v>[E25_0062_Quintano_Foods_Elec_ELV_As_Awarded.xlsx]Elec_Rates!$D$1023</v>
      </c>
      <c r="E8839" s="911"/>
      <c r="F8839" s="911"/>
      <c r="G8839" s="912" t="s">
        <v>2598</v>
      </c>
      <c r="H8839" s="912"/>
      <c r="I8839" s="912"/>
      <c r="J8839" s="912"/>
      <c r="K8839" s="913"/>
      <c r="L8839" s="911"/>
      <c r="M8839" s="911"/>
      <c r="N8839" s="911"/>
      <c r="O8839" s="914"/>
      <c r="P8839" s="911"/>
      <c r="Q8839" s="915"/>
      <c r="R8839" s="916"/>
      <c r="S8839" s="915"/>
      <c r="T8839" s="917"/>
      <c r="U8839" s="918"/>
      <c r="AR8839"/>
      <c r="AS8839" s="911"/>
    </row>
    <row r="8840" spans="1:45" s="886" customFormat="1" ht="11.4">
      <c r="A8840" s="919">
        <v>1</v>
      </c>
      <c r="B8840" s="920">
        <v>1</v>
      </c>
      <c r="C8840" s="920">
        <f>$A8840*$B8840</f>
        <v>1</v>
      </c>
      <c r="D8840" s="921" t="str">
        <f>Elec_Rates!$D$1023</f>
        <v>091# Galvanised Conduit points for Fire alarm devices</v>
      </c>
      <c r="E8840" s="921"/>
      <c r="F8840" s="921" t="s">
        <v>2599</v>
      </c>
      <c r="G8840" s="922" t="s">
        <v>2601</v>
      </c>
      <c r="H8840" s="922"/>
      <c r="I8840" s="922"/>
      <c r="J8840" s="922"/>
      <c r="K8840" s="923"/>
      <c r="L8840" s="918"/>
      <c r="M8840" s="918"/>
      <c r="N8840" s="918"/>
      <c r="O8840" s="924"/>
      <c r="P8840" s="921"/>
      <c r="Q8840" s="925">
        <f ca="1">$B8840*Elec_Rates!$R$1023</f>
        <v>30.3</v>
      </c>
      <c r="R8840" s="916">
        <f ca="1">$A8840*Q8840</f>
        <v>30.3</v>
      </c>
      <c r="S8840" s="925">
        <f ca="1">$B8840*Elec_Rates!$T$1023</f>
        <v>1.8</v>
      </c>
      <c r="T8840" s="917">
        <f ca="1">$A8840*S8840</f>
        <v>1.8</v>
      </c>
      <c r="U8840" s="926"/>
      <c r="AR8840" s="919">
        <v>1</v>
      </c>
      <c r="AS8840" s="921" t="s">
        <v>2599</v>
      </c>
    </row>
    <row r="8841" spans="1:45" s="520" customFormat="1" ht="12">
      <c r="A8841" s="758"/>
      <c r="B8841" s="758"/>
      <c r="C8841" s="758"/>
      <c r="D8841" s="758"/>
      <c r="E8841" s="758"/>
      <c r="F8841" s="753"/>
      <c r="G8841" s="758"/>
      <c r="H8841" s="758"/>
      <c r="I8841" s="519"/>
      <c r="J8841" s="758"/>
      <c r="K8841" s="758"/>
      <c r="L8841" s="758"/>
      <c r="M8841" s="758"/>
      <c r="N8841" s="758"/>
      <c r="O8841" s="758"/>
      <c r="P8841" s="758"/>
      <c r="Q8841" s="519"/>
      <c r="R8841" s="759">
        <f>$A8841*Q8841</f>
        <v>0</v>
      </c>
      <c r="S8841" s="519"/>
      <c r="T8841" s="760">
        <f>$A8841*S8841*$T$1</f>
        <v>0</v>
      </c>
      <c r="AR8841" s="758"/>
      <c r="AS8841" s="753"/>
    </row>
    <row r="8842" spans="1:45" s="520" customFormat="1" ht="12.6" thickBot="1">
      <c r="A8842" s="761" t="s">
        <v>145</v>
      </c>
      <c r="B8842" s="762">
        <f>(R8841+T8841)</f>
        <v>0</v>
      </c>
      <c r="C8842" s="763"/>
      <c r="D8842" s="763"/>
      <c r="E8842" s="763"/>
      <c r="F8842" s="764"/>
      <c r="G8842" s="763" t="s">
        <v>146</v>
      </c>
      <c r="H8842" s="763"/>
      <c r="I8842" s="765"/>
      <c r="J8842" s="763"/>
      <c r="K8842" s="763" t="s">
        <v>3</v>
      </c>
      <c r="L8842" s="766" t="s">
        <v>143</v>
      </c>
      <c r="M8842" s="766"/>
      <c r="N8842" s="766"/>
      <c r="O8842" s="766"/>
      <c r="P8842" s="766"/>
      <c r="Q8842" s="767"/>
      <c r="R8842" s="768">
        <f ca="1">SUM(R8838:R8841)</f>
        <v>30.3</v>
      </c>
      <c r="S8842" s="763"/>
      <c r="T8842" s="768">
        <f ca="1">SUM(T8838:T8841)</f>
        <v>1.8</v>
      </c>
      <c r="U8842" s="531"/>
      <c r="V8842" s="531"/>
      <c r="W8842" s="531"/>
      <c r="X8842" s="531"/>
      <c r="Y8842" s="531"/>
      <c r="Z8842" s="531"/>
      <c r="AA8842" s="531"/>
      <c r="AB8842" s="531"/>
      <c r="AC8842" s="531"/>
      <c r="AD8842" s="531"/>
      <c r="AE8842" s="531"/>
      <c r="AF8842" s="531"/>
      <c r="AG8842" s="531"/>
      <c r="AH8842" s="531"/>
      <c r="AI8842" s="531"/>
      <c r="AJ8842" s="531"/>
      <c r="AK8842" s="531"/>
      <c r="AL8842" s="531"/>
      <c r="AM8842" s="531"/>
      <c r="AN8842" s="531"/>
      <c r="AO8842" s="531"/>
      <c r="AR8842" s="761" t="s">
        <v>145</v>
      </c>
      <c r="AS8842" s="764"/>
    </row>
    <row r="8843" spans="1:45" s="520" customFormat="1" ht="12" thickTop="1">
      <c r="A8843" s="51"/>
      <c r="B8843" s="41"/>
      <c r="C8843" s="51"/>
      <c r="E8843" s="42" t="s">
        <v>138</v>
      </c>
      <c r="F8843" s="42" t="s">
        <v>139</v>
      </c>
      <c r="G8843" s="51"/>
      <c r="H8843" s="51"/>
      <c r="I8843" s="51"/>
      <c r="J8843" s="51"/>
      <c r="K8843" s="51" t="s">
        <v>140</v>
      </c>
      <c r="L8843" s="51"/>
      <c r="M8843" s="51"/>
      <c r="N8843" s="51"/>
      <c r="O8843" s="52"/>
      <c r="P8843" s="51"/>
      <c r="Q8843" s="51"/>
      <c r="R8843" s="51"/>
      <c r="S8843" s="51"/>
      <c r="T8843" s="41"/>
      <c r="AG8843" s="521" t="s">
        <v>268</v>
      </c>
      <c r="AH8843" s="521" t="s">
        <v>269</v>
      </c>
      <c r="AI8843" s="521" t="s">
        <v>270</v>
      </c>
      <c r="AJ8843" s="521" t="s">
        <v>271</v>
      </c>
      <c r="AK8843" s="521" t="s">
        <v>272</v>
      </c>
      <c r="AM8843" s="745" t="s">
        <v>281</v>
      </c>
      <c r="AN8843" s="746" t="s">
        <v>282</v>
      </c>
      <c r="AO8843" s="522" t="s">
        <v>278</v>
      </c>
      <c r="AR8843" s="51"/>
      <c r="AS8843" s="42" t="s">
        <v>139</v>
      </c>
    </row>
    <row r="8844" spans="1:45" s="520" customFormat="1" ht="12" customHeight="1">
      <c r="A8844" s="747">
        <v>3</v>
      </c>
      <c r="B8844" s="523" t="s">
        <v>141</v>
      </c>
      <c r="C8844" s="748"/>
      <c r="D8844" s="749" t="s">
        <v>2373</v>
      </c>
      <c r="E8844" s="750">
        <f ca="1">IF(AND($A8844=0,$A$1="DIF"),0, ROUND(ROUND(($R8849*$S$2+($T8849*$T$2))/A8844,2)*$C$2,2))</f>
        <v>98.17</v>
      </c>
      <c r="F8844" s="751">
        <f ca="1">ROUND($A8844*$E8844,2)</f>
        <v>294.51</v>
      </c>
      <c r="G8844" s="752" t="s">
        <v>142</v>
      </c>
      <c r="H8844" s="753"/>
      <c r="I8844" s="754"/>
      <c r="J8844" s="753"/>
      <c r="K8844" s="753" t="s">
        <v>3</v>
      </c>
      <c r="L8844" s="755" t="s">
        <v>143</v>
      </c>
      <c r="M8844" s="755"/>
      <c r="N8844" s="755"/>
      <c r="O8844" s="755"/>
      <c r="P8844" s="755"/>
      <c r="Q8844" s="51"/>
      <c r="T8844" s="756" t="str">
        <f ca="1">IF(AND($R8849=0,$T8849=0),"0.00","mu :" &amp; ROUND($F8844/$C$2/($R8849+$T8849*$D$9),2))</f>
        <v>mu :1.23</v>
      </c>
      <c r="W8844" s="524"/>
      <c r="AG8844" s="481">
        <f ca="1">IF($E8844=0,0,ROUND($R8849*$S$2*$C$2/$A8844,2))</f>
        <v>37.31</v>
      </c>
      <c r="AH8844" s="481">
        <f ca="1">$AG8844*$A8844</f>
        <v>111.93</v>
      </c>
      <c r="AI8844" s="525">
        <f ca="1">$E8844-$AG8844</f>
        <v>60.86</v>
      </c>
      <c r="AJ8844" s="525">
        <f ca="1">$A8844*$AI8844</f>
        <v>182.57999999999998</v>
      </c>
      <c r="AK8844" s="526">
        <f ca="1">ROUND(($AG8844+$AI8844)*$A8844,2)</f>
        <v>294.51</v>
      </c>
      <c r="AM8844" s="527">
        <f ca="1">ROUND(R8849,2)</f>
        <v>90.9</v>
      </c>
      <c r="AN8844" s="528">
        <f ca="1">ROUND(T8849,2)</f>
        <v>5.4</v>
      </c>
      <c r="AO8844" s="529">
        <f ca="1">ROUND(AM8844+AN8844,2)*A8844</f>
        <v>288.89999999999998</v>
      </c>
      <c r="AR8844" s="747">
        <v>3</v>
      </c>
      <c r="AS8844" s="751">
        <v>314.82</v>
      </c>
    </row>
    <row r="8845" spans="1:45" s="520" customFormat="1" ht="13.2">
      <c r="A8845" s="748"/>
      <c r="B8845"/>
      <c r="C8845" s="748"/>
      <c r="D8845" s="749" t="s">
        <v>2088</v>
      </c>
      <c r="F8845" s="753"/>
      <c r="G8845" s="3"/>
      <c r="H8845" s="753"/>
      <c r="I8845" s="754"/>
      <c r="J8845" s="753"/>
      <c r="K8845" s="753" t="s">
        <v>144</v>
      </c>
      <c r="L8845" s="753"/>
      <c r="M8845" s="753"/>
      <c r="N8845" s="753"/>
      <c r="O8845" s="753"/>
      <c r="P8845" s="753"/>
      <c r="Q8845" s="51"/>
      <c r="R8845" s="530"/>
      <c r="S8845" s="757"/>
      <c r="T8845" s="753"/>
      <c r="AR8845" s="748"/>
      <c r="AS8845" s="753"/>
    </row>
    <row r="8846" spans="1:45" s="886" customFormat="1" ht="13.2">
      <c r="A8846"/>
      <c r="B8846" s="910"/>
      <c r="C8846" s="910" t="s">
        <v>2597</v>
      </c>
      <c r="D8846" s="910" t="str">
        <f ca="1">CELL("Address",Elec_Rates!D$1023)</f>
        <v>[E25_0062_Quintano_Foods_Elec_ELV_As_Awarded.xlsx]Elec_Rates!$D$1023</v>
      </c>
      <c r="E8846" s="911"/>
      <c r="F8846" s="911"/>
      <c r="G8846" s="912" t="s">
        <v>2598</v>
      </c>
      <c r="H8846" s="912"/>
      <c r="I8846" s="912"/>
      <c r="J8846" s="912"/>
      <c r="K8846" s="913"/>
      <c r="L8846" s="911"/>
      <c r="M8846" s="911"/>
      <c r="N8846" s="911"/>
      <c r="O8846" s="914"/>
      <c r="P8846" s="911"/>
      <c r="Q8846" s="915"/>
      <c r="R8846" s="916"/>
      <c r="S8846" s="915"/>
      <c r="T8846" s="917"/>
      <c r="U8846" s="918"/>
      <c r="AR8846"/>
      <c r="AS8846" s="911"/>
    </row>
    <row r="8847" spans="1:45" s="886" customFormat="1" ht="11.4">
      <c r="A8847" s="919">
        <v>3</v>
      </c>
      <c r="B8847" s="920">
        <v>1</v>
      </c>
      <c r="C8847" s="920">
        <f>$A8847*$B8847</f>
        <v>3</v>
      </c>
      <c r="D8847" s="921" t="str">
        <f>Elec_Rates!$D$1023</f>
        <v>091# Galvanised Conduit points for Fire alarm devices</v>
      </c>
      <c r="E8847" s="921"/>
      <c r="F8847" s="921" t="s">
        <v>2599</v>
      </c>
      <c r="G8847" s="922" t="s">
        <v>2601</v>
      </c>
      <c r="H8847" s="922"/>
      <c r="I8847" s="922"/>
      <c r="J8847" s="922"/>
      <c r="K8847" s="923"/>
      <c r="L8847" s="918"/>
      <c r="M8847" s="918"/>
      <c r="N8847" s="918"/>
      <c r="O8847" s="924"/>
      <c r="P8847" s="921"/>
      <c r="Q8847" s="925">
        <f ca="1">$B8847*Elec_Rates!$R$1023</f>
        <v>30.3</v>
      </c>
      <c r="R8847" s="916">
        <f ca="1">$A8847*Q8847</f>
        <v>90.9</v>
      </c>
      <c r="S8847" s="925">
        <f ca="1">$B8847*Elec_Rates!$T$1023</f>
        <v>1.8</v>
      </c>
      <c r="T8847" s="917">
        <f ca="1">$A8847*S8847</f>
        <v>5.4</v>
      </c>
      <c r="U8847" s="926"/>
      <c r="AR8847" s="919">
        <v>3</v>
      </c>
      <c r="AS8847" s="921" t="s">
        <v>2599</v>
      </c>
    </row>
    <row r="8848" spans="1:45" s="520" customFormat="1" ht="12">
      <c r="A8848" s="758"/>
      <c r="B8848" s="758"/>
      <c r="C8848" s="758"/>
      <c r="D8848" s="758"/>
      <c r="E8848" s="758"/>
      <c r="F8848" s="753"/>
      <c r="G8848" s="758"/>
      <c r="H8848" s="758"/>
      <c r="I8848" s="519"/>
      <c r="J8848" s="758"/>
      <c r="K8848" s="758"/>
      <c r="L8848" s="758"/>
      <c r="M8848" s="758"/>
      <c r="N8848" s="758"/>
      <c r="O8848" s="758"/>
      <c r="P8848" s="758"/>
      <c r="Q8848" s="519"/>
      <c r="R8848" s="759">
        <f>$A8848*Q8848</f>
        <v>0</v>
      </c>
      <c r="S8848" s="519"/>
      <c r="T8848" s="760">
        <f>$A8848*S8848*$T$1</f>
        <v>0</v>
      </c>
      <c r="AR8848" s="758"/>
      <c r="AS8848" s="753"/>
    </row>
    <row r="8849" spans="1:45" s="520" customFormat="1" ht="12.6" thickBot="1">
      <c r="A8849" s="761" t="s">
        <v>145</v>
      </c>
      <c r="B8849" s="762">
        <f>(R8848+T8848)</f>
        <v>0</v>
      </c>
      <c r="C8849" s="763"/>
      <c r="D8849" s="763"/>
      <c r="E8849" s="763"/>
      <c r="F8849" s="764"/>
      <c r="G8849" s="763" t="s">
        <v>146</v>
      </c>
      <c r="H8849" s="763"/>
      <c r="I8849" s="765"/>
      <c r="J8849" s="763"/>
      <c r="K8849" s="763" t="s">
        <v>3</v>
      </c>
      <c r="L8849" s="766" t="s">
        <v>143</v>
      </c>
      <c r="M8849" s="766"/>
      <c r="N8849" s="766"/>
      <c r="O8849" s="766"/>
      <c r="P8849" s="766"/>
      <c r="Q8849" s="767"/>
      <c r="R8849" s="768">
        <f ca="1">SUM(R8845:R8848)</f>
        <v>90.9</v>
      </c>
      <c r="S8849" s="763"/>
      <c r="T8849" s="768">
        <f ca="1">SUM(T8845:T8848)</f>
        <v>5.4</v>
      </c>
      <c r="U8849" s="531"/>
      <c r="V8849" s="531"/>
      <c r="W8849" s="531"/>
      <c r="X8849" s="531"/>
      <c r="Y8849" s="531"/>
      <c r="Z8849" s="531"/>
      <c r="AA8849" s="531"/>
      <c r="AB8849" s="531"/>
      <c r="AC8849" s="531"/>
      <c r="AD8849" s="531"/>
      <c r="AE8849" s="531"/>
      <c r="AF8849" s="531"/>
      <c r="AG8849" s="531"/>
      <c r="AH8849" s="531"/>
      <c r="AI8849" s="531"/>
      <c r="AJ8849" s="531"/>
      <c r="AK8849" s="531"/>
      <c r="AL8849" s="531"/>
      <c r="AM8849" s="531"/>
      <c r="AN8849" s="531"/>
      <c r="AO8849" s="531"/>
      <c r="AR8849" s="761" t="s">
        <v>145</v>
      </c>
      <c r="AS8849" s="764"/>
    </row>
    <row r="8850" spans="1:45" s="520" customFormat="1" thickTop="1">
      <c r="A8850" s="51"/>
      <c r="B8850" s="51"/>
      <c r="C8850" s="3"/>
      <c r="D8850" s="3"/>
      <c r="E8850" s="51"/>
      <c r="F8850" s="51"/>
      <c r="G8850" s="51"/>
      <c r="H8850" s="51"/>
      <c r="I8850" s="51"/>
      <c r="J8850" s="51"/>
      <c r="K8850" s="51" t="s">
        <v>134</v>
      </c>
      <c r="L8850" s="51"/>
      <c r="M8850" s="51"/>
      <c r="N8850" s="51"/>
      <c r="O8850" s="52"/>
      <c r="P8850" s="51"/>
      <c r="Q8850" s="51"/>
      <c r="R8850" s="51"/>
      <c r="S8850" s="51"/>
      <c r="T8850" s="51"/>
      <c r="AR8850" s="51"/>
      <c r="AS8850" s="51"/>
    </row>
    <row r="8851" spans="1:45" s="520" customFormat="1" ht="12">
      <c r="A8851" s="51"/>
      <c r="B8851" s="51"/>
      <c r="C8851" s="51" t="s">
        <v>135</v>
      </c>
      <c r="D8851" s="37"/>
      <c r="E8851" s="51"/>
      <c r="F8851" s="51"/>
      <c r="G8851" s="51"/>
      <c r="H8851" s="51"/>
      <c r="I8851" s="51"/>
      <c r="J8851" s="51"/>
      <c r="K8851" s="51"/>
      <c r="L8851" s="51"/>
      <c r="M8851" s="51"/>
      <c r="N8851" s="51"/>
      <c r="O8851" s="52"/>
      <c r="P8851" s="51"/>
      <c r="Q8851" s="51"/>
      <c r="R8851" s="51"/>
      <c r="S8851" s="51"/>
      <c r="T8851" s="51"/>
      <c r="AR8851" s="51"/>
      <c r="AS8851" s="51"/>
    </row>
    <row r="8852" spans="1:45" s="520" customFormat="1" ht="39.9" customHeight="1">
      <c r="A8852" s="51"/>
      <c r="B8852" s="51"/>
      <c r="C8852" s="51"/>
      <c r="D8852" s="1453" t="s">
        <v>2374</v>
      </c>
      <c r="E8852" s="1452"/>
      <c r="F8852" s="1452"/>
      <c r="G8852" s="1452"/>
      <c r="H8852" s="1452"/>
      <c r="I8852" s="1452"/>
      <c r="J8852" s="1452"/>
      <c r="K8852" s="1452"/>
      <c r="L8852" s="1452"/>
      <c r="M8852" s="1452"/>
      <c r="N8852" s="1452"/>
      <c r="O8852" s="1452"/>
      <c r="P8852" s="1452"/>
      <c r="Q8852" s="1452"/>
      <c r="R8852" s="1452"/>
      <c r="S8852" s="1452"/>
      <c r="T8852" s="1452"/>
      <c r="AR8852" s="51"/>
    </row>
    <row r="8853" spans="1:45" s="3" customFormat="1" thickBot="1">
      <c r="A8853" s="531"/>
      <c r="O8853" s="107"/>
      <c r="AR8853" s="531"/>
    </row>
    <row r="8854" spans="1:45" s="520" customFormat="1" ht="12" thickTop="1">
      <c r="A8854" s="51"/>
      <c r="B8854" s="41"/>
      <c r="C8854" s="51"/>
      <c r="E8854" s="42" t="s">
        <v>138</v>
      </c>
      <c r="F8854" s="42" t="s">
        <v>139</v>
      </c>
      <c r="G8854" s="51"/>
      <c r="H8854" s="51"/>
      <c r="I8854" s="51"/>
      <c r="J8854" s="51"/>
      <c r="K8854" s="51" t="s">
        <v>140</v>
      </c>
      <c r="L8854" s="51"/>
      <c r="M8854" s="51"/>
      <c r="N8854" s="51"/>
      <c r="O8854" s="52"/>
      <c r="P8854" s="51"/>
      <c r="Q8854" s="51"/>
      <c r="R8854" s="51"/>
      <c r="S8854" s="51"/>
      <c r="T8854" s="41"/>
      <c r="AG8854" s="521" t="s">
        <v>268</v>
      </c>
      <c r="AH8854" s="521" t="s">
        <v>269</v>
      </c>
      <c r="AI8854" s="521" t="s">
        <v>270</v>
      </c>
      <c r="AJ8854" s="521" t="s">
        <v>271</v>
      </c>
      <c r="AK8854" s="521" t="s">
        <v>272</v>
      </c>
      <c r="AM8854" s="745" t="s">
        <v>281</v>
      </c>
      <c r="AN8854" s="746" t="s">
        <v>282</v>
      </c>
      <c r="AO8854" s="522" t="s">
        <v>278</v>
      </c>
      <c r="AR8854" s="51"/>
      <c r="AS8854" s="42" t="s">
        <v>139</v>
      </c>
    </row>
    <row r="8855" spans="1:45" s="520" customFormat="1" ht="12" customHeight="1">
      <c r="A8855" s="747">
        <v>4</v>
      </c>
      <c r="B8855" s="523" t="s">
        <v>141</v>
      </c>
      <c r="C8855" s="748"/>
      <c r="D8855" s="749" t="s">
        <v>2375</v>
      </c>
      <c r="E8855" s="750">
        <f>IF(AND($A8855=0,$A$1="DIF"),0, ROUND(ROUND(($R8869*$S$2+($T8869*$T$2))/A8855,2)*$C$2,2))</f>
        <v>918.74</v>
      </c>
      <c r="F8855" s="751">
        <f>ROUND($A8855*$E8855,2)</f>
        <v>3674.96</v>
      </c>
      <c r="G8855" s="752" t="s">
        <v>142</v>
      </c>
      <c r="H8855" s="753"/>
      <c r="I8855" s="754"/>
      <c r="J8855" s="753"/>
      <c r="K8855" s="753" t="s">
        <v>3</v>
      </c>
      <c r="L8855" s="755" t="s">
        <v>143</v>
      </c>
      <c r="M8855" s="755"/>
      <c r="N8855" s="755"/>
      <c r="O8855" s="755"/>
      <c r="P8855" s="755"/>
      <c r="Q8855" s="51"/>
      <c r="T8855" s="756" t="str">
        <f>IF(AND($R8869=0,$T8869=0),"0.00","mu :" &amp; ROUND($F8855/$C$2/($R8869+$T8869*$D$9),2))</f>
        <v>mu :1.23</v>
      </c>
      <c r="W8855" s="524"/>
      <c r="AG8855" s="481">
        <f>IF($E8855=0,0,ROUND($R8869*$S$2*$C$2/$A8855,2))</f>
        <v>827.44</v>
      </c>
      <c r="AH8855" s="481">
        <f>$AG8855*$A8855</f>
        <v>3309.76</v>
      </c>
      <c r="AI8855" s="525">
        <f>$E8855-$AG8855</f>
        <v>91.299999999999955</v>
      </c>
      <c r="AJ8855" s="525">
        <f>$A8855*$AI8855</f>
        <v>365.19999999999982</v>
      </c>
      <c r="AK8855" s="526">
        <f>ROUND(($AG8855+$AI8855)*$A8855,2)</f>
        <v>3674.96</v>
      </c>
      <c r="AM8855" s="527">
        <f>ROUND(R8869,2)</f>
        <v>2687.94</v>
      </c>
      <c r="AN8855" s="528">
        <f>ROUND(T8869,2)</f>
        <v>10.8</v>
      </c>
      <c r="AO8855" s="529">
        <f>ROUND(AM8855+AN8855,2)*A8855</f>
        <v>10794.96</v>
      </c>
      <c r="AR8855" s="747">
        <v>4</v>
      </c>
      <c r="AS8855" s="751">
        <v>3715.52</v>
      </c>
    </row>
    <row r="8856" spans="1:45" s="520" customFormat="1" ht="13.2">
      <c r="A8856" s="748"/>
      <c r="B8856"/>
      <c r="C8856" s="748"/>
      <c r="D8856" s="749" t="s">
        <v>2089</v>
      </c>
      <c r="F8856" s="753"/>
      <c r="G8856" s="3"/>
      <c r="H8856" s="753"/>
      <c r="I8856" s="754"/>
      <c r="J8856" s="753"/>
      <c r="K8856" s="753" t="s">
        <v>144</v>
      </c>
      <c r="L8856" s="753"/>
      <c r="M8856" s="753"/>
      <c r="N8856" s="753"/>
      <c r="O8856" s="753"/>
      <c r="P8856" s="753"/>
      <c r="Q8856" s="51"/>
      <c r="R8856" s="530"/>
      <c r="S8856" s="757"/>
      <c r="T8856" s="753"/>
      <c r="AR8856" s="748"/>
      <c r="AS8856" s="753"/>
    </row>
    <row r="8857" spans="1:45" s="901" customFormat="1" ht="11.4">
      <c r="A8857" s="758"/>
      <c r="D8857" s="1088" t="s">
        <v>3260</v>
      </c>
      <c r="G8857" s="941"/>
      <c r="H8857" s="942"/>
      <c r="O8857" s="943"/>
      <c r="P8857" s="944"/>
      <c r="Q8857" s="945"/>
      <c r="R8857" s="946"/>
      <c r="S8857" s="945"/>
      <c r="T8857" s="947"/>
      <c r="AR8857" s="758"/>
    </row>
    <row r="8858" spans="1:45" s="901" customFormat="1" ht="13.2">
      <c r="A8858" s="116">
        <v>48</v>
      </c>
      <c r="B8858" s="901" t="s">
        <v>320</v>
      </c>
      <c r="D8858" s="901" t="s">
        <v>3255</v>
      </c>
      <c r="G8858" s="941" t="s">
        <v>3245</v>
      </c>
      <c r="H8858" s="942">
        <v>690</v>
      </c>
      <c r="I8858" s="901" t="s">
        <v>2607</v>
      </c>
      <c r="J8858" s="901" t="s">
        <v>2953</v>
      </c>
      <c r="O8858" s="943">
        <v>1</v>
      </c>
      <c r="P8858" s="944">
        <v>38134</v>
      </c>
      <c r="Q8858" s="945">
        <f>(ROUNDUP(51.45/3*1.112,2))</f>
        <v>19.080000000000002</v>
      </c>
      <c r="R8858" s="946">
        <f t="shared" ref="R8858:R8865" si="816">$A8858*Q8858</f>
        <v>915.84000000000015</v>
      </c>
      <c r="S8858" s="1193">
        <v>0.25</v>
      </c>
      <c r="T8858" s="947">
        <f t="shared" ref="T8858:T8865" si="817">$A8858*S8858*$T$1</f>
        <v>10.8</v>
      </c>
      <c r="AR8858" s="116">
        <v>48</v>
      </c>
    </row>
    <row r="8859" spans="1:45" s="901" customFormat="1" ht="13.2">
      <c r="A8859" s="116">
        <v>8</v>
      </c>
      <c r="B8859" s="901" t="s">
        <v>141</v>
      </c>
      <c r="D8859" s="901" t="s">
        <v>3256</v>
      </c>
      <c r="G8859" s="941" t="s">
        <v>3247</v>
      </c>
      <c r="H8859" s="942">
        <v>690</v>
      </c>
      <c r="I8859" s="901" t="s">
        <v>2607</v>
      </c>
      <c r="J8859" s="901" t="s">
        <v>2953</v>
      </c>
      <c r="O8859" s="943">
        <v>1</v>
      </c>
      <c r="P8859" s="944">
        <v>38162</v>
      </c>
      <c r="Q8859" s="945">
        <f>(ROUNDUP(10.36*1.112,2))</f>
        <v>11.53</v>
      </c>
      <c r="R8859" s="946">
        <f t="shared" si="816"/>
        <v>92.24</v>
      </c>
      <c r="S8859" s="945"/>
      <c r="T8859" s="947">
        <f t="shared" si="817"/>
        <v>0</v>
      </c>
      <c r="AR8859" s="116">
        <v>8</v>
      </c>
    </row>
    <row r="8860" spans="1:45" s="901" customFormat="1" ht="13.2">
      <c r="A8860" s="116">
        <v>24</v>
      </c>
      <c r="B8860" s="901" t="s">
        <v>141</v>
      </c>
      <c r="D8860" s="901" t="s">
        <v>3268</v>
      </c>
      <c r="G8860" s="941" t="s">
        <v>3247</v>
      </c>
      <c r="H8860" s="942">
        <v>690</v>
      </c>
      <c r="I8860" s="901" t="s">
        <v>2607</v>
      </c>
      <c r="J8860" s="901" t="s">
        <v>2953</v>
      </c>
      <c r="O8860" s="943">
        <v>1</v>
      </c>
      <c r="P8860" s="944">
        <v>38162</v>
      </c>
      <c r="Q8860" s="945">
        <f>(ROUNDUP(7.79*1.112,2))</f>
        <v>8.67</v>
      </c>
      <c r="R8860" s="946">
        <f t="shared" si="816"/>
        <v>208.07999999999998</v>
      </c>
      <c r="S8860" s="945"/>
      <c r="T8860" s="947">
        <f t="shared" si="817"/>
        <v>0</v>
      </c>
      <c r="AR8860" s="116">
        <v>24</v>
      </c>
    </row>
    <row r="8861" spans="1:45" s="901" customFormat="1" ht="13.2">
      <c r="A8861" s="1203">
        <f>48/1.5</f>
        <v>32</v>
      </c>
      <c r="B8861" s="901" t="s">
        <v>141</v>
      </c>
      <c r="D8861" s="901" t="s">
        <v>3257</v>
      </c>
      <c r="G8861" s="941" t="s">
        <v>3249</v>
      </c>
      <c r="H8861" s="942">
        <v>690</v>
      </c>
      <c r="I8861" s="901" t="s">
        <v>2607</v>
      </c>
      <c r="J8861" s="901" t="s">
        <v>2953</v>
      </c>
      <c r="O8861" s="943">
        <v>1</v>
      </c>
      <c r="P8861" s="944">
        <v>38136</v>
      </c>
      <c r="Q8861" s="945">
        <f>(ROUNDUP(11.81*1.112,2))</f>
        <v>13.14</v>
      </c>
      <c r="R8861" s="946">
        <f t="shared" si="816"/>
        <v>420.48</v>
      </c>
      <c r="S8861" s="945"/>
      <c r="T8861" s="947">
        <f t="shared" si="817"/>
        <v>0</v>
      </c>
      <c r="AR8861" s="1203">
        <v>32</v>
      </c>
    </row>
    <row r="8862" spans="1:45" s="901" customFormat="1" ht="13.2">
      <c r="A8862" s="116">
        <v>16</v>
      </c>
      <c r="B8862" s="901" t="s">
        <v>141</v>
      </c>
      <c r="D8862" s="901" t="s">
        <v>3258</v>
      </c>
      <c r="F8862" s="901" t="s">
        <v>3291</v>
      </c>
      <c r="G8862" s="941" t="s">
        <v>3249</v>
      </c>
      <c r="H8862" s="942">
        <v>690</v>
      </c>
      <c r="I8862" s="901" t="s">
        <v>2607</v>
      </c>
      <c r="J8862" s="901" t="s">
        <v>2953</v>
      </c>
      <c r="O8862" s="943">
        <v>1</v>
      </c>
      <c r="P8862" s="944">
        <v>38136</v>
      </c>
      <c r="Q8862" s="945">
        <f>(ROUNDUP(39.5*1.112,2))</f>
        <v>43.93</v>
      </c>
      <c r="R8862" s="946">
        <f t="shared" si="816"/>
        <v>702.88</v>
      </c>
      <c r="S8862" s="945"/>
      <c r="T8862" s="947">
        <f t="shared" si="817"/>
        <v>0</v>
      </c>
      <c r="AR8862" s="116">
        <v>16</v>
      </c>
      <c r="AS8862" s="901" t="s">
        <v>3291</v>
      </c>
    </row>
    <row r="8863" spans="1:45" s="901" customFormat="1" ht="13.2">
      <c r="A8863" s="116">
        <v>8</v>
      </c>
      <c r="B8863" s="901" t="s">
        <v>141</v>
      </c>
      <c r="D8863" s="901" t="s">
        <v>3297</v>
      </c>
      <c r="G8863" s="941" t="s">
        <v>3249</v>
      </c>
      <c r="H8863" s="942">
        <v>690</v>
      </c>
      <c r="I8863" s="901" t="s">
        <v>2607</v>
      </c>
      <c r="J8863" s="901" t="s">
        <v>2953</v>
      </c>
      <c r="O8863" s="943">
        <v>1</v>
      </c>
      <c r="P8863" s="944">
        <v>38136</v>
      </c>
      <c r="Q8863" s="945">
        <f>(ROUNDUP(1.74*1.112,2))</f>
        <v>1.94</v>
      </c>
      <c r="R8863" s="946">
        <f t="shared" si="816"/>
        <v>15.52</v>
      </c>
      <c r="S8863" s="945"/>
      <c r="T8863" s="947">
        <f t="shared" si="817"/>
        <v>0</v>
      </c>
      <c r="AR8863" s="116">
        <v>8</v>
      </c>
    </row>
    <row r="8864" spans="1:45" s="901" customFormat="1" ht="13.2">
      <c r="A8864" s="116">
        <v>4</v>
      </c>
      <c r="B8864" s="901" t="s">
        <v>141</v>
      </c>
      <c r="D8864" s="901" t="s">
        <v>3608</v>
      </c>
      <c r="G8864" s="941" t="s">
        <v>3249</v>
      </c>
      <c r="H8864" s="942">
        <v>690</v>
      </c>
      <c r="I8864" s="901" t="s">
        <v>2607</v>
      </c>
      <c r="J8864" s="901" t="s">
        <v>2953</v>
      </c>
      <c r="O8864" s="943">
        <v>1</v>
      </c>
      <c r="P8864" s="944">
        <v>38136</v>
      </c>
      <c r="Q8864" s="945">
        <f>(50)</f>
        <v>50</v>
      </c>
      <c r="R8864" s="946">
        <f t="shared" si="816"/>
        <v>200</v>
      </c>
      <c r="S8864" s="945"/>
      <c r="T8864" s="947">
        <f t="shared" si="817"/>
        <v>0</v>
      </c>
      <c r="AR8864" s="116">
        <v>4</v>
      </c>
    </row>
    <row r="8865" spans="1:45" s="901" customFormat="1" ht="13.2">
      <c r="A8865" s="116">
        <v>56</v>
      </c>
      <c r="B8865" s="901" t="s">
        <v>141</v>
      </c>
      <c r="D8865" s="901" t="s">
        <v>3250</v>
      </c>
      <c r="G8865" s="941" t="s">
        <v>3251</v>
      </c>
      <c r="H8865" s="942">
        <v>690</v>
      </c>
      <c r="I8865" s="901" t="s">
        <v>2607</v>
      </c>
      <c r="O8865" s="943">
        <v>1</v>
      </c>
      <c r="P8865" s="944">
        <v>38136</v>
      </c>
      <c r="Q8865" s="945">
        <f>(ROUNDUP(10.92/50*1.112,2))</f>
        <v>0.25</v>
      </c>
      <c r="R8865" s="946">
        <f t="shared" si="816"/>
        <v>14</v>
      </c>
      <c r="S8865" s="945"/>
      <c r="T8865" s="947">
        <f t="shared" si="817"/>
        <v>0</v>
      </c>
      <c r="AR8865" s="116">
        <v>56</v>
      </c>
    </row>
    <row r="8866" spans="1:45" s="901" customFormat="1" ht="13.2">
      <c r="A8866">
        <v>1</v>
      </c>
      <c r="B8866" s="1084" t="s">
        <v>863</v>
      </c>
      <c r="C8866" s="1084"/>
      <c r="D8866" s="1084" t="s">
        <v>2752</v>
      </c>
      <c r="E8866" s="1084"/>
      <c r="F8866" s="1084" t="s">
        <v>3326</v>
      </c>
      <c r="G8866" s="1091" t="s">
        <v>2754</v>
      </c>
      <c r="H8866" s="1092">
        <v>962</v>
      </c>
      <c r="I8866" s="1084" t="s">
        <v>2596</v>
      </c>
      <c r="J8866" s="1084"/>
      <c r="K8866" s="1084"/>
      <c r="L8866" s="1084"/>
      <c r="M8866" s="1084"/>
      <c r="N8866" s="1084"/>
      <c r="O8866" s="1093">
        <v>2</v>
      </c>
      <c r="P8866" s="1094">
        <v>38129</v>
      </c>
      <c r="Q8866" s="945">
        <f>0.41 *(1 *(16/8*120))</f>
        <v>98.399999999999991</v>
      </c>
      <c r="R8866" s="1096">
        <f>$A8866*Q8866</f>
        <v>98.399999999999991</v>
      </c>
      <c r="S8866" s="1095"/>
      <c r="T8866" s="1097">
        <f>$A8866*S8866*$T$1</f>
        <v>0</v>
      </c>
      <c r="AR8866">
        <v>1</v>
      </c>
      <c r="AS8866" s="1084" t="s">
        <v>3326</v>
      </c>
    </row>
    <row r="8867" spans="1:45" s="901" customFormat="1" ht="13.2">
      <c r="A8867">
        <v>1</v>
      </c>
      <c r="B8867" s="901" t="s">
        <v>2755</v>
      </c>
      <c r="D8867" s="901" t="s">
        <v>3325</v>
      </c>
      <c r="F8867" s="901" t="s">
        <v>3666</v>
      </c>
      <c r="G8867" s="941" t="s">
        <v>3324</v>
      </c>
      <c r="H8867" s="942">
        <v>845</v>
      </c>
      <c r="I8867" s="901" t="s">
        <v>2607</v>
      </c>
      <c r="O8867" s="943">
        <v>3</v>
      </c>
      <c r="P8867" s="944">
        <v>39713</v>
      </c>
      <c r="Q8867" s="945">
        <f>0.41 *(16/8*25)</f>
        <v>20.5</v>
      </c>
      <c r="R8867" s="946">
        <f>$A8867*Q8867</f>
        <v>20.5</v>
      </c>
      <c r="S8867" s="945"/>
      <c r="T8867" s="947">
        <f>$A8867*S8867*$T$1</f>
        <v>0</v>
      </c>
      <c r="AR8867">
        <v>1</v>
      </c>
      <c r="AS8867" s="901" t="s">
        <v>3666</v>
      </c>
    </row>
    <row r="8868" spans="1:45" s="520" customFormat="1" ht="12">
      <c r="A8868" s="758"/>
      <c r="B8868" s="758"/>
      <c r="C8868" s="758"/>
      <c r="D8868" s="758"/>
      <c r="E8868" s="758"/>
      <c r="F8868" s="753"/>
      <c r="G8868" s="758"/>
      <c r="H8868" s="758"/>
      <c r="I8868" s="519"/>
      <c r="J8868" s="758"/>
      <c r="K8868" s="758"/>
      <c r="L8868" s="758"/>
      <c r="M8868" s="758"/>
      <c r="N8868" s="758"/>
      <c r="O8868" s="758"/>
      <c r="P8868" s="758"/>
      <c r="Q8868" s="519"/>
      <c r="R8868" s="759">
        <f>$A8868*Q8868</f>
        <v>0</v>
      </c>
      <c r="S8868" s="519"/>
      <c r="T8868" s="760">
        <f>$A8868*S8868*$T$1</f>
        <v>0</v>
      </c>
      <c r="AR8868" s="758"/>
      <c r="AS8868" s="753"/>
    </row>
    <row r="8869" spans="1:45" s="520" customFormat="1" ht="12.6" thickBot="1">
      <c r="A8869" s="761" t="s">
        <v>145</v>
      </c>
      <c r="B8869" s="762">
        <f>(R8868+T8868)</f>
        <v>0</v>
      </c>
      <c r="C8869" s="763"/>
      <c r="D8869" s="763"/>
      <c r="E8869" s="763"/>
      <c r="F8869" s="764"/>
      <c r="G8869" s="763" t="s">
        <v>146</v>
      </c>
      <c r="H8869" s="763"/>
      <c r="I8869" s="765"/>
      <c r="J8869" s="763"/>
      <c r="K8869" s="763" t="s">
        <v>3</v>
      </c>
      <c r="L8869" s="766" t="s">
        <v>143</v>
      </c>
      <c r="M8869" s="766"/>
      <c r="N8869" s="766"/>
      <c r="O8869" s="766"/>
      <c r="P8869" s="766"/>
      <c r="Q8869" s="767"/>
      <c r="R8869" s="768">
        <f>SUM(R8856:R8868)</f>
        <v>2687.94</v>
      </c>
      <c r="S8869" s="763"/>
      <c r="T8869" s="768">
        <f>SUM(T8856:T8868)</f>
        <v>10.8</v>
      </c>
      <c r="U8869" s="531"/>
      <c r="V8869" s="531"/>
      <c r="W8869" s="531"/>
      <c r="X8869" s="531"/>
      <c r="Y8869" s="531"/>
      <c r="Z8869" s="531"/>
      <c r="AA8869" s="531"/>
      <c r="AB8869" s="531"/>
      <c r="AC8869" s="531"/>
      <c r="AD8869" s="531"/>
      <c r="AE8869" s="531"/>
      <c r="AF8869" s="531"/>
      <c r="AG8869" s="531"/>
      <c r="AH8869" s="531"/>
      <c r="AI8869" s="531"/>
      <c r="AJ8869" s="531"/>
      <c r="AK8869" s="531"/>
      <c r="AL8869" s="531"/>
      <c r="AM8869" s="531"/>
      <c r="AN8869" s="531"/>
      <c r="AO8869" s="531"/>
      <c r="AR8869" s="761" t="s">
        <v>145</v>
      </c>
      <c r="AS8869" s="764"/>
    </row>
    <row r="8870" spans="1:45" s="520" customFormat="1" ht="12" thickTop="1">
      <c r="A8870" s="51"/>
      <c r="B8870" s="41"/>
      <c r="C8870" s="51"/>
      <c r="E8870" s="42" t="s">
        <v>138</v>
      </c>
      <c r="F8870" s="42" t="s">
        <v>139</v>
      </c>
      <c r="G8870" s="51"/>
      <c r="H8870" s="51"/>
      <c r="I8870" s="51"/>
      <c r="J8870" s="51"/>
      <c r="K8870" s="51" t="s">
        <v>140</v>
      </c>
      <c r="L8870" s="51"/>
      <c r="M8870" s="51"/>
      <c r="N8870" s="51"/>
      <c r="O8870" s="52"/>
      <c r="P8870" s="51"/>
      <c r="Q8870" s="51"/>
      <c r="R8870" s="51"/>
      <c r="S8870" s="51"/>
      <c r="T8870" s="41"/>
      <c r="AG8870" s="521" t="s">
        <v>268</v>
      </c>
      <c r="AH8870" s="521" t="s">
        <v>269</v>
      </c>
      <c r="AI8870" s="521" t="s">
        <v>270</v>
      </c>
      <c r="AJ8870" s="521" t="s">
        <v>271</v>
      </c>
      <c r="AK8870" s="521" t="s">
        <v>272</v>
      </c>
      <c r="AM8870" s="745" t="s">
        <v>281</v>
      </c>
      <c r="AN8870" s="746" t="s">
        <v>282</v>
      </c>
      <c r="AO8870" s="522" t="s">
        <v>278</v>
      </c>
      <c r="AR8870" s="51"/>
      <c r="AS8870" s="42" t="s">
        <v>139</v>
      </c>
    </row>
    <row r="8871" spans="1:45" s="520" customFormat="1" ht="12" customHeight="1">
      <c r="A8871" s="747">
        <v>5</v>
      </c>
      <c r="B8871" s="523" t="s">
        <v>141</v>
      </c>
      <c r="C8871" s="748"/>
      <c r="D8871" s="749" t="s">
        <v>2376</v>
      </c>
      <c r="E8871" s="750">
        <f>IF(AND($A8871=0,$A$1="DIF"),0, ROUND(ROUND(($R8885*$S$2+($T8885*$T$2))/A8871,2)*$C$2,2))</f>
        <v>1065.77</v>
      </c>
      <c r="F8871" s="751">
        <f>ROUND($A8871*$E8871,2)</f>
        <v>5328.85</v>
      </c>
      <c r="G8871" s="752" t="s">
        <v>142</v>
      </c>
      <c r="H8871" s="753"/>
      <c r="I8871" s="754"/>
      <c r="J8871" s="753"/>
      <c r="K8871" s="753" t="s">
        <v>3</v>
      </c>
      <c r="L8871" s="755" t="s">
        <v>143</v>
      </c>
      <c r="M8871" s="755"/>
      <c r="N8871" s="755"/>
      <c r="O8871" s="755"/>
      <c r="P8871" s="755"/>
      <c r="Q8871" s="51"/>
      <c r="T8871" s="756" t="str">
        <f>IF(AND($R8885=0,$T8885=0),"0.00","mu :" &amp; ROUND($F8871/$C$2/($R8885+$T8885*$D$9),2))</f>
        <v>mu :1.23</v>
      </c>
      <c r="W8871" s="524"/>
      <c r="AG8871" s="481">
        <f>IF($E8871=0,0,ROUND($R8885*$S$2*$C$2/$A8871,2))</f>
        <v>951.65</v>
      </c>
      <c r="AH8871" s="481">
        <f>$AG8871*$A8871</f>
        <v>4758.25</v>
      </c>
      <c r="AI8871" s="525">
        <f>$E8871-$AG8871</f>
        <v>114.12</v>
      </c>
      <c r="AJ8871" s="525">
        <f>$A8871*$AI8871</f>
        <v>570.6</v>
      </c>
      <c r="AK8871" s="526">
        <f>ROUND(($AG8871+$AI8871)*$A8871,2)</f>
        <v>5328.85</v>
      </c>
      <c r="AM8871" s="527">
        <f>ROUND(R8885,2)</f>
        <v>3864.28</v>
      </c>
      <c r="AN8871" s="528">
        <f>ROUND(T8885,2)</f>
        <v>16.88</v>
      </c>
      <c r="AO8871" s="529">
        <f>ROUND(AM8871+AN8871,2)*A8871</f>
        <v>19405.8</v>
      </c>
      <c r="AR8871" s="747">
        <v>5</v>
      </c>
      <c r="AS8871" s="751">
        <v>5392.25</v>
      </c>
    </row>
    <row r="8872" spans="1:45" s="520" customFormat="1" ht="13.2">
      <c r="A8872" s="748"/>
      <c r="B8872"/>
      <c r="C8872" s="748"/>
      <c r="D8872" s="749" t="s">
        <v>2065</v>
      </c>
      <c r="F8872" s="753"/>
      <c r="G8872" s="3"/>
      <c r="H8872" s="753"/>
      <c r="I8872" s="754"/>
      <c r="J8872" s="753"/>
      <c r="K8872" s="753" t="s">
        <v>144</v>
      </c>
      <c r="L8872" s="753"/>
      <c r="M8872" s="753"/>
      <c r="N8872" s="753"/>
      <c r="O8872" s="753"/>
      <c r="P8872" s="753"/>
      <c r="Q8872" s="51"/>
      <c r="R8872" s="530"/>
      <c r="S8872" s="757"/>
      <c r="T8872" s="753"/>
      <c r="AR8872" s="748"/>
      <c r="AS8872" s="753"/>
    </row>
    <row r="8873" spans="1:45" s="901" customFormat="1" ht="11.4">
      <c r="A8873" s="758"/>
      <c r="D8873" s="1088" t="s">
        <v>3260</v>
      </c>
      <c r="G8873" s="941"/>
      <c r="H8873" s="942"/>
      <c r="O8873" s="943"/>
      <c r="P8873" s="944"/>
      <c r="Q8873" s="945"/>
      <c r="R8873" s="946"/>
      <c r="S8873" s="945"/>
      <c r="T8873" s="947"/>
      <c r="AR8873" s="758"/>
    </row>
    <row r="8874" spans="1:45" s="901" customFormat="1" ht="13.2">
      <c r="A8874" s="116">
        <v>75</v>
      </c>
      <c r="B8874" s="901" t="s">
        <v>320</v>
      </c>
      <c r="D8874" s="901" t="s">
        <v>3255</v>
      </c>
      <c r="G8874" s="941" t="s">
        <v>3245</v>
      </c>
      <c r="H8874" s="942">
        <v>690</v>
      </c>
      <c r="I8874" s="901" t="s">
        <v>2607</v>
      </c>
      <c r="J8874" s="901" t="s">
        <v>2953</v>
      </c>
      <c r="O8874" s="943">
        <v>1</v>
      </c>
      <c r="P8874" s="944">
        <v>38134</v>
      </c>
      <c r="Q8874" s="945">
        <f>(ROUNDUP(51.45/3*1.112,2))</f>
        <v>19.080000000000002</v>
      </c>
      <c r="R8874" s="946">
        <f t="shared" ref="R8874:R8881" si="818">$A8874*Q8874</f>
        <v>1431.0000000000002</v>
      </c>
      <c r="S8874" s="1193">
        <v>0.25</v>
      </c>
      <c r="T8874" s="947">
        <f t="shared" ref="T8874:T8881" si="819">$A8874*S8874*$T$1</f>
        <v>16.875</v>
      </c>
      <c r="AR8874" s="116">
        <v>75</v>
      </c>
    </row>
    <row r="8875" spans="1:45" s="901" customFormat="1" ht="13.2">
      <c r="A8875" s="116">
        <v>10</v>
      </c>
      <c r="B8875" s="901" t="s">
        <v>141</v>
      </c>
      <c r="D8875" s="901" t="s">
        <v>3256</v>
      </c>
      <c r="G8875" s="941" t="s">
        <v>3247</v>
      </c>
      <c r="H8875" s="942">
        <v>690</v>
      </c>
      <c r="I8875" s="901" t="s">
        <v>2607</v>
      </c>
      <c r="J8875" s="901" t="s">
        <v>2953</v>
      </c>
      <c r="O8875" s="943">
        <v>1</v>
      </c>
      <c r="P8875" s="944">
        <v>38162</v>
      </c>
      <c r="Q8875" s="945">
        <f>(ROUNDUP(10.36*1.112,2))</f>
        <v>11.53</v>
      </c>
      <c r="R8875" s="946">
        <f t="shared" si="818"/>
        <v>115.3</v>
      </c>
      <c r="S8875" s="945"/>
      <c r="T8875" s="947">
        <f t="shared" si="819"/>
        <v>0</v>
      </c>
      <c r="AR8875" s="116">
        <v>10</v>
      </c>
    </row>
    <row r="8876" spans="1:45" s="901" customFormat="1" ht="13.2">
      <c r="A8876" s="116">
        <v>35</v>
      </c>
      <c r="B8876" s="901" t="s">
        <v>141</v>
      </c>
      <c r="D8876" s="901" t="s">
        <v>3268</v>
      </c>
      <c r="G8876" s="941" t="s">
        <v>3247</v>
      </c>
      <c r="H8876" s="942">
        <v>690</v>
      </c>
      <c r="I8876" s="901" t="s">
        <v>2607</v>
      </c>
      <c r="J8876" s="901" t="s">
        <v>2953</v>
      </c>
      <c r="O8876" s="943">
        <v>1</v>
      </c>
      <c r="P8876" s="944">
        <v>38162</v>
      </c>
      <c r="Q8876" s="945">
        <f>(ROUNDUP(7.79*1.112,2))</f>
        <v>8.67</v>
      </c>
      <c r="R8876" s="946">
        <f t="shared" si="818"/>
        <v>303.45</v>
      </c>
      <c r="S8876" s="945"/>
      <c r="T8876" s="947">
        <f t="shared" si="819"/>
        <v>0</v>
      </c>
      <c r="AR8876" s="116">
        <v>35</v>
      </c>
    </row>
    <row r="8877" spans="1:45" s="901" customFormat="1" ht="13.2">
      <c r="A8877" s="116">
        <f>75/1.5</f>
        <v>50</v>
      </c>
      <c r="B8877" s="901" t="s">
        <v>141</v>
      </c>
      <c r="D8877" s="901" t="s">
        <v>3257</v>
      </c>
      <c r="G8877" s="941" t="s">
        <v>3249</v>
      </c>
      <c r="H8877" s="942">
        <v>690</v>
      </c>
      <c r="I8877" s="901" t="s">
        <v>2607</v>
      </c>
      <c r="J8877" s="901" t="s">
        <v>2953</v>
      </c>
      <c r="O8877" s="943">
        <v>1</v>
      </c>
      <c r="P8877" s="944">
        <v>38136</v>
      </c>
      <c r="Q8877" s="945">
        <f>(ROUNDUP(11.81*1.112,2))</f>
        <v>13.14</v>
      </c>
      <c r="R8877" s="946">
        <f t="shared" si="818"/>
        <v>657</v>
      </c>
      <c r="S8877" s="945"/>
      <c r="T8877" s="947">
        <f t="shared" si="819"/>
        <v>0</v>
      </c>
      <c r="AR8877" s="116">
        <v>50</v>
      </c>
    </row>
    <row r="8878" spans="1:45" s="901" customFormat="1" ht="13.2">
      <c r="A8878" s="116">
        <v>20</v>
      </c>
      <c r="B8878" s="901" t="s">
        <v>141</v>
      </c>
      <c r="D8878" s="901" t="s">
        <v>3258</v>
      </c>
      <c r="F8878" s="901" t="s">
        <v>3291</v>
      </c>
      <c r="G8878" s="941" t="s">
        <v>3249</v>
      </c>
      <c r="H8878" s="942">
        <v>690</v>
      </c>
      <c r="I8878" s="901" t="s">
        <v>2607</v>
      </c>
      <c r="J8878" s="901" t="s">
        <v>2953</v>
      </c>
      <c r="O8878" s="943">
        <v>1</v>
      </c>
      <c r="P8878" s="944">
        <v>38136</v>
      </c>
      <c r="Q8878" s="945">
        <f>(ROUNDUP(39.5*1.112,2))</f>
        <v>43.93</v>
      </c>
      <c r="R8878" s="946">
        <f t="shared" si="818"/>
        <v>878.6</v>
      </c>
      <c r="S8878" s="945"/>
      <c r="T8878" s="947">
        <f t="shared" si="819"/>
        <v>0</v>
      </c>
      <c r="AR8878" s="116">
        <v>20</v>
      </c>
      <c r="AS8878" s="901" t="s">
        <v>3291</v>
      </c>
    </row>
    <row r="8879" spans="1:45" s="901" customFormat="1" ht="13.2">
      <c r="A8879" s="116">
        <v>10</v>
      </c>
      <c r="B8879" s="901" t="s">
        <v>141</v>
      </c>
      <c r="D8879" s="901" t="s">
        <v>3297</v>
      </c>
      <c r="G8879" s="941" t="s">
        <v>3249</v>
      </c>
      <c r="H8879" s="942">
        <v>690</v>
      </c>
      <c r="I8879" s="901" t="s">
        <v>2607</v>
      </c>
      <c r="J8879" s="901" t="s">
        <v>2953</v>
      </c>
      <c r="O8879" s="943">
        <v>1</v>
      </c>
      <c r="P8879" s="944">
        <v>38136</v>
      </c>
      <c r="Q8879" s="945">
        <f>(ROUNDUP(1.74*1.112,2))</f>
        <v>1.94</v>
      </c>
      <c r="R8879" s="946">
        <f t="shared" si="818"/>
        <v>19.399999999999999</v>
      </c>
      <c r="S8879" s="945"/>
      <c r="T8879" s="947">
        <f t="shared" si="819"/>
        <v>0</v>
      </c>
      <c r="AR8879" s="116">
        <v>10</v>
      </c>
    </row>
    <row r="8880" spans="1:45" s="901" customFormat="1" ht="13.2">
      <c r="A8880" s="116">
        <v>95</v>
      </c>
      <c r="B8880" s="901" t="s">
        <v>141</v>
      </c>
      <c r="D8880" s="901" t="s">
        <v>3250</v>
      </c>
      <c r="G8880" s="941" t="s">
        <v>3251</v>
      </c>
      <c r="H8880" s="942">
        <v>690</v>
      </c>
      <c r="I8880" s="901" t="s">
        <v>2607</v>
      </c>
      <c r="O8880" s="943">
        <v>1</v>
      </c>
      <c r="P8880" s="944">
        <v>38136</v>
      </c>
      <c r="Q8880" s="945">
        <f>(ROUNDUP(10.92/50*1.112,2))</f>
        <v>0.25</v>
      </c>
      <c r="R8880" s="946">
        <f t="shared" si="818"/>
        <v>23.75</v>
      </c>
      <c r="S8880" s="945"/>
      <c r="T8880" s="947">
        <f t="shared" si="819"/>
        <v>0</v>
      </c>
      <c r="AR8880" s="116">
        <v>95</v>
      </c>
    </row>
    <row r="8881" spans="1:45" s="901" customFormat="1" ht="13.2">
      <c r="A8881" s="116">
        <v>5</v>
      </c>
      <c r="B8881" s="901" t="s">
        <v>141</v>
      </c>
      <c r="D8881" s="901" t="s">
        <v>3608</v>
      </c>
      <c r="G8881" s="941" t="s">
        <v>3249</v>
      </c>
      <c r="H8881" s="942">
        <v>690</v>
      </c>
      <c r="I8881" s="901" t="s">
        <v>2607</v>
      </c>
      <c r="J8881" s="901" t="s">
        <v>2953</v>
      </c>
      <c r="O8881" s="943">
        <v>1</v>
      </c>
      <c r="P8881" s="944">
        <v>38136</v>
      </c>
      <c r="Q8881" s="945">
        <f>(50)</f>
        <v>50</v>
      </c>
      <c r="R8881" s="946">
        <f t="shared" si="818"/>
        <v>250</v>
      </c>
      <c r="S8881" s="945"/>
      <c r="T8881" s="947">
        <f t="shared" si="819"/>
        <v>0</v>
      </c>
      <c r="AR8881" s="116">
        <v>5</v>
      </c>
    </row>
    <row r="8882" spans="1:45" s="901" customFormat="1" ht="13.2">
      <c r="A8882">
        <v>1</v>
      </c>
      <c r="B8882" s="1084" t="s">
        <v>863</v>
      </c>
      <c r="C8882" s="1084"/>
      <c r="D8882" s="1084" t="s">
        <v>2752</v>
      </c>
      <c r="E8882" s="1084"/>
      <c r="F8882" s="1084" t="s">
        <v>3326</v>
      </c>
      <c r="G8882" s="1091" t="s">
        <v>2754</v>
      </c>
      <c r="H8882" s="1092">
        <v>962</v>
      </c>
      <c r="I8882" s="1084" t="s">
        <v>2596</v>
      </c>
      <c r="J8882" s="1084"/>
      <c r="K8882" s="1084"/>
      <c r="L8882" s="1084"/>
      <c r="M8882" s="1084"/>
      <c r="N8882" s="1084"/>
      <c r="O8882" s="1093">
        <v>2</v>
      </c>
      <c r="P8882" s="1094">
        <v>38129</v>
      </c>
      <c r="Q8882" s="945">
        <f>0.41 *(1 *(25/8*120))</f>
        <v>153.75</v>
      </c>
      <c r="R8882" s="1096">
        <f>$A8882*Q8882</f>
        <v>153.75</v>
      </c>
      <c r="S8882" s="1095"/>
      <c r="T8882" s="1097">
        <f>$A8882*S8882*$T$1</f>
        <v>0</v>
      </c>
      <c r="AR8882">
        <v>1</v>
      </c>
      <c r="AS8882" s="1084" t="s">
        <v>3326</v>
      </c>
    </row>
    <row r="8883" spans="1:45" s="901" customFormat="1" ht="13.2">
      <c r="A8883">
        <v>1</v>
      </c>
      <c r="B8883" s="901" t="s">
        <v>2755</v>
      </c>
      <c r="D8883" s="901" t="s">
        <v>3325</v>
      </c>
      <c r="F8883" s="901" t="s">
        <v>3666</v>
      </c>
      <c r="G8883" s="941" t="s">
        <v>3324</v>
      </c>
      <c r="H8883" s="942">
        <v>845</v>
      </c>
      <c r="I8883" s="901" t="s">
        <v>2607</v>
      </c>
      <c r="O8883" s="943">
        <v>3</v>
      </c>
      <c r="P8883" s="944">
        <v>39713</v>
      </c>
      <c r="Q8883" s="945">
        <f>0.41 *(25/8*25)</f>
        <v>32.03125</v>
      </c>
      <c r="R8883" s="946">
        <f>$A8883*Q8883</f>
        <v>32.03125</v>
      </c>
      <c r="S8883" s="945"/>
      <c r="T8883" s="947">
        <f>$A8883*S8883*$T$1</f>
        <v>0</v>
      </c>
      <c r="AR8883">
        <v>1</v>
      </c>
      <c r="AS8883" s="901" t="s">
        <v>3666</v>
      </c>
    </row>
    <row r="8884" spans="1:45" s="520" customFormat="1" ht="12">
      <c r="A8884" s="758"/>
      <c r="B8884" s="758"/>
      <c r="C8884" s="758"/>
      <c r="D8884" s="758"/>
      <c r="E8884" s="758"/>
      <c r="F8884" s="753"/>
      <c r="G8884" s="758"/>
      <c r="H8884" s="758"/>
      <c r="I8884" s="519"/>
      <c r="J8884" s="758"/>
      <c r="K8884" s="758"/>
      <c r="L8884" s="758"/>
      <c r="M8884" s="758"/>
      <c r="N8884" s="758"/>
      <c r="O8884" s="758"/>
      <c r="P8884" s="758"/>
      <c r="Q8884" s="519"/>
      <c r="R8884" s="759">
        <f>$A8884*Q8884</f>
        <v>0</v>
      </c>
      <c r="S8884" s="519"/>
      <c r="T8884" s="760">
        <f>$A8884*S8884*$T$1</f>
        <v>0</v>
      </c>
      <c r="AR8884" s="758"/>
      <c r="AS8884" s="753"/>
    </row>
    <row r="8885" spans="1:45" s="520" customFormat="1" ht="12.6" thickBot="1">
      <c r="A8885" s="761" t="s">
        <v>145</v>
      </c>
      <c r="B8885" s="762">
        <f>(R8884+T8884)</f>
        <v>0</v>
      </c>
      <c r="C8885" s="763"/>
      <c r="D8885" s="763"/>
      <c r="E8885" s="763"/>
      <c r="F8885" s="764"/>
      <c r="G8885" s="763" t="s">
        <v>146</v>
      </c>
      <c r="H8885" s="763"/>
      <c r="I8885" s="765"/>
      <c r="J8885" s="763"/>
      <c r="K8885" s="763" t="s">
        <v>3</v>
      </c>
      <c r="L8885" s="766" t="s">
        <v>143</v>
      </c>
      <c r="M8885" s="766"/>
      <c r="N8885" s="766"/>
      <c r="O8885" s="766"/>
      <c r="P8885" s="766"/>
      <c r="Q8885" s="767"/>
      <c r="R8885" s="768">
        <f>SUM(R8872:R8884)</f>
        <v>3864.28125</v>
      </c>
      <c r="S8885" s="763"/>
      <c r="T8885" s="768">
        <f>SUM(T8872:T8884)</f>
        <v>16.875</v>
      </c>
      <c r="U8885" s="531"/>
      <c r="V8885" s="531"/>
      <c r="W8885" s="531"/>
      <c r="X8885" s="531"/>
      <c r="Y8885" s="531"/>
      <c r="Z8885" s="531"/>
      <c r="AA8885" s="531"/>
      <c r="AB8885" s="531"/>
      <c r="AC8885" s="531"/>
      <c r="AD8885" s="531"/>
      <c r="AE8885" s="531"/>
      <c r="AF8885" s="531"/>
      <c r="AG8885" s="531"/>
      <c r="AH8885" s="531"/>
      <c r="AI8885" s="531"/>
      <c r="AJ8885" s="531"/>
      <c r="AK8885" s="531"/>
      <c r="AL8885" s="531"/>
      <c r="AM8885" s="531"/>
      <c r="AN8885" s="531"/>
      <c r="AO8885" s="531"/>
      <c r="AR8885" s="761" t="s">
        <v>145</v>
      </c>
      <c r="AS8885" s="764"/>
    </row>
    <row r="8886" spans="1:45" s="520" customFormat="1" thickTop="1">
      <c r="A8886" s="51"/>
      <c r="B8886" s="51"/>
      <c r="C8886" s="3"/>
      <c r="D8886" s="3"/>
      <c r="E8886" s="51"/>
      <c r="F8886" s="51"/>
      <c r="G8886" s="51"/>
      <c r="H8886" s="51"/>
      <c r="I8886" s="51"/>
      <c r="J8886" s="51"/>
      <c r="K8886" s="51" t="s">
        <v>134</v>
      </c>
      <c r="L8886" s="51"/>
      <c r="M8886" s="51"/>
      <c r="N8886" s="51"/>
      <c r="O8886" s="52"/>
      <c r="P8886" s="51"/>
      <c r="Q8886" s="51"/>
      <c r="R8886" s="51"/>
      <c r="S8886" s="51"/>
      <c r="T8886" s="51"/>
      <c r="AR8886" s="51"/>
      <c r="AS8886" s="51"/>
    </row>
    <row r="8887" spans="1:45" s="520" customFormat="1" ht="12">
      <c r="A8887" s="51"/>
      <c r="B8887" s="51"/>
      <c r="C8887" s="51" t="s">
        <v>135</v>
      </c>
      <c r="D8887" s="37"/>
      <c r="E8887" s="51"/>
      <c r="F8887" s="51"/>
      <c r="G8887" s="51"/>
      <c r="H8887" s="51"/>
      <c r="I8887" s="51"/>
      <c r="J8887" s="51"/>
      <c r="K8887" s="51"/>
      <c r="L8887" s="51"/>
      <c r="M8887" s="51"/>
      <c r="N8887" s="51"/>
      <c r="O8887" s="52"/>
      <c r="P8887" s="51"/>
      <c r="Q8887" s="51"/>
      <c r="R8887" s="51"/>
      <c r="S8887" s="51"/>
      <c r="T8887" s="51"/>
      <c r="AR8887" s="51"/>
      <c r="AS8887" s="51"/>
    </row>
    <row r="8888" spans="1:45" s="520" customFormat="1" ht="39.9" customHeight="1">
      <c r="A8888" s="51"/>
      <c r="B8888" s="51"/>
      <c r="C8888" s="51"/>
      <c r="D8888" s="1453" t="s">
        <v>2286</v>
      </c>
      <c r="E8888" s="1452"/>
      <c r="F8888" s="1452"/>
      <c r="G8888" s="1452"/>
      <c r="H8888" s="1452"/>
      <c r="I8888" s="1452"/>
      <c r="J8888" s="1452"/>
      <c r="K8888" s="1452"/>
      <c r="L8888" s="1452"/>
      <c r="M8888" s="1452"/>
      <c r="N8888" s="1452"/>
      <c r="O8888" s="1452"/>
      <c r="P8888" s="1452"/>
      <c r="Q8888" s="1452"/>
      <c r="R8888" s="1452"/>
      <c r="S8888" s="1452"/>
      <c r="T8888" s="1452"/>
      <c r="AR8888" s="51"/>
    </row>
    <row r="8889" spans="1:45" s="3" customFormat="1" thickBot="1">
      <c r="A8889" s="531"/>
      <c r="O8889" s="107"/>
      <c r="AR8889" s="531"/>
    </row>
    <row r="8890" spans="1:45" s="520" customFormat="1" ht="12" thickTop="1">
      <c r="A8890" s="51"/>
      <c r="B8890" s="41"/>
      <c r="C8890" s="51"/>
      <c r="E8890" s="42" t="s">
        <v>138</v>
      </c>
      <c r="F8890" s="42" t="s">
        <v>139</v>
      </c>
      <c r="G8890" s="51"/>
      <c r="H8890" s="51"/>
      <c r="I8890" s="51"/>
      <c r="J8890" s="51"/>
      <c r="K8890" s="51" t="s">
        <v>140</v>
      </c>
      <c r="L8890" s="51"/>
      <c r="M8890" s="51"/>
      <c r="N8890" s="51"/>
      <c r="O8890" s="52"/>
      <c r="P8890" s="51"/>
      <c r="Q8890" s="51"/>
      <c r="R8890" s="51"/>
      <c r="S8890" s="51"/>
      <c r="T8890" s="41"/>
      <c r="AG8890" s="521" t="s">
        <v>268</v>
      </c>
      <c r="AH8890" s="521" t="s">
        <v>269</v>
      </c>
      <c r="AI8890" s="521" t="s">
        <v>270</v>
      </c>
      <c r="AJ8890" s="521" t="s">
        <v>271</v>
      </c>
      <c r="AK8890" s="521" t="s">
        <v>272</v>
      </c>
      <c r="AM8890" s="745" t="s">
        <v>281</v>
      </c>
      <c r="AN8890" s="746" t="s">
        <v>282</v>
      </c>
      <c r="AO8890" s="522" t="s">
        <v>278</v>
      </c>
      <c r="AR8890" s="51"/>
      <c r="AS8890" s="42" t="s">
        <v>139</v>
      </c>
    </row>
    <row r="8891" spans="1:45" s="520" customFormat="1" ht="12" customHeight="1">
      <c r="A8891" s="747">
        <v>8</v>
      </c>
      <c r="B8891" s="523" t="s">
        <v>141</v>
      </c>
      <c r="C8891" s="748"/>
      <c r="D8891" s="749" t="s">
        <v>2377</v>
      </c>
      <c r="E8891" s="1145">
        <f>IF(AND($A8891=0,$A$1="DIF"),0, ROUND(ROUND(($R8895*$S$3+($T8895*$T$3))/$A8891,2)*$C$3,2))</f>
        <v>36.950000000000003</v>
      </c>
      <c r="F8891" s="1146">
        <f>ROUND($A8891*$E8891,2)</f>
        <v>295.60000000000002</v>
      </c>
      <c r="G8891" s="752" t="s">
        <v>142</v>
      </c>
      <c r="H8891" s="753"/>
      <c r="I8891" s="754"/>
      <c r="J8891" s="753"/>
      <c r="K8891" s="753" t="s">
        <v>5</v>
      </c>
      <c r="L8891" s="755" t="s">
        <v>143</v>
      </c>
      <c r="M8891" s="755"/>
      <c r="N8891" s="755"/>
      <c r="O8891" s="755"/>
      <c r="P8891" s="755"/>
      <c r="Q8891" s="51"/>
      <c r="T8891" s="1150" t="str">
        <f>IF(AND($R8895=0,$T8895=0),"0.00","mu: "&amp; ROUND(F8891/$C$3/($R8895+$T8895*$D$9),2))</f>
        <v>mu: 1.13</v>
      </c>
      <c r="W8891" s="524"/>
      <c r="AG8891" s="1147">
        <f>IF($E8891=0,0,ROUND($R8895*$S$3*$C$3/$A8891,2))</f>
        <v>36.950000000000003</v>
      </c>
      <c r="AH8891" s="1147">
        <f>$AG8891*$A8891</f>
        <v>295.60000000000002</v>
      </c>
      <c r="AI8891" s="1148">
        <f>$E8891-$AG8891</f>
        <v>0</v>
      </c>
      <c r="AJ8891" s="1148">
        <f>$A8891*$AI8891</f>
        <v>0</v>
      </c>
      <c r="AK8891" s="1149">
        <f>ROUND(($AG8891+$AI8891)*$A8891,2)</f>
        <v>295.60000000000002</v>
      </c>
      <c r="AM8891" s="527">
        <f>ROUND(R8895,2)</f>
        <v>261.89999999999998</v>
      </c>
      <c r="AN8891" s="528">
        <f>ROUND(T8895,2)</f>
        <v>0</v>
      </c>
      <c r="AO8891" s="529">
        <f>ROUND(AM8891+AN8891,2)*A8891</f>
        <v>2095.1999999999998</v>
      </c>
      <c r="AR8891" s="747">
        <v>8</v>
      </c>
      <c r="AS8891" s="1146">
        <v>321.68</v>
      </c>
    </row>
    <row r="8892" spans="1:45" s="520" customFormat="1" ht="13.2">
      <c r="A8892" s="748"/>
      <c r="B8892"/>
      <c r="C8892" s="748"/>
      <c r="D8892" s="749" t="s">
        <v>2061</v>
      </c>
      <c r="F8892" s="753"/>
      <c r="G8892" s="3"/>
      <c r="H8892" s="753"/>
      <c r="I8892" s="754"/>
      <c r="J8892" s="753"/>
      <c r="K8892" s="753" t="s">
        <v>144</v>
      </c>
      <c r="L8892" s="753"/>
      <c r="M8892" s="753"/>
      <c r="N8892" s="753"/>
      <c r="O8892" s="753"/>
      <c r="P8892" s="753"/>
      <c r="Q8892" s="51"/>
      <c r="R8892" s="530"/>
      <c r="S8892" s="757"/>
      <c r="T8892" s="753"/>
      <c r="AR8892" s="748"/>
      <c r="AS8892" s="753"/>
    </row>
    <row r="8893" spans="1:45" s="901" customFormat="1" ht="13.2">
      <c r="A8893" s="903">
        <v>8</v>
      </c>
      <c r="B8893" s="904" t="s">
        <v>863</v>
      </c>
      <c r="C8893" s="904"/>
      <c r="D8893" s="904" t="s">
        <v>2594</v>
      </c>
      <c r="E8893" s="904"/>
      <c r="F8893" s="904" t="s">
        <v>4128</v>
      </c>
      <c r="G8893" s="905" t="s">
        <v>2595</v>
      </c>
      <c r="H8893" s="902">
        <v>960</v>
      </c>
      <c r="I8893" s="904" t="s">
        <v>2596</v>
      </c>
      <c r="J8893" s="904"/>
      <c r="K8893" s="904"/>
      <c r="L8893" s="904"/>
      <c r="M8893" s="904"/>
      <c r="N8893" s="904"/>
      <c r="O8893" s="902">
        <v>4</v>
      </c>
      <c r="P8893" s="906">
        <v>38274</v>
      </c>
      <c r="Q8893" s="1415">
        <f>37.5*0.873</f>
        <v>32.737499999999997</v>
      </c>
      <c r="R8893" s="908">
        <f>$A8893*Q8893</f>
        <v>261.89999999999998</v>
      </c>
      <c r="S8893" s="907"/>
      <c r="T8893" s="909">
        <f>$A8893*S8893*$T$1</f>
        <v>0</v>
      </c>
      <c r="AR8893" s="903">
        <v>8</v>
      </c>
      <c r="AS8893" s="904" t="s">
        <v>3507</v>
      </c>
    </row>
    <row r="8894" spans="1:45" s="520" customFormat="1" ht="12">
      <c r="A8894" s="758"/>
      <c r="B8894" s="758"/>
      <c r="C8894" s="758"/>
      <c r="D8894" s="758"/>
      <c r="E8894" s="758"/>
      <c r="F8894" s="753"/>
      <c r="G8894" s="758"/>
      <c r="H8894" s="758"/>
      <c r="I8894" s="519"/>
      <c r="J8894" s="758"/>
      <c r="K8894" s="758"/>
      <c r="L8894" s="758"/>
      <c r="M8894" s="758"/>
      <c r="N8894" s="758"/>
      <c r="O8894" s="758"/>
      <c r="P8894" s="758"/>
      <c r="Q8894" s="519"/>
      <c r="R8894" s="759">
        <f>$A8894*Q8894</f>
        <v>0</v>
      </c>
      <c r="S8894" s="519"/>
      <c r="T8894" s="760">
        <f>$A8894*S8894*$T$1</f>
        <v>0</v>
      </c>
      <c r="AR8894" s="758"/>
      <c r="AS8894" s="753"/>
    </row>
    <row r="8895" spans="1:45" s="520" customFormat="1" ht="12.6" thickBot="1">
      <c r="A8895" s="761" t="s">
        <v>145</v>
      </c>
      <c r="B8895" s="762">
        <f>(R8894+T8894)</f>
        <v>0</v>
      </c>
      <c r="C8895" s="763"/>
      <c r="D8895" s="763"/>
      <c r="E8895" s="763"/>
      <c r="F8895" s="764"/>
      <c r="G8895" s="763" t="s">
        <v>146</v>
      </c>
      <c r="H8895" s="763"/>
      <c r="I8895" s="765"/>
      <c r="J8895" s="763"/>
      <c r="K8895" s="763" t="s">
        <v>5</v>
      </c>
      <c r="L8895" s="766" t="s">
        <v>143</v>
      </c>
      <c r="M8895" s="766"/>
      <c r="N8895" s="766"/>
      <c r="O8895" s="766"/>
      <c r="P8895" s="766"/>
      <c r="Q8895" s="767"/>
      <c r="R8895" s="768">
        <f>SUM(R8892:R8894)</f>
        <v>261.89999999999998</v>
      </c>
      <c r="S8895" s="763"/>
      <c r="T8895" s="768">
        <f>SUM(T8892:T8894)</f>
        <v>0</v>
      </c>
      <c r="U8895" s="531"/>
      <c r="V8895" s="531"/>
      <c r="W8895" s="531"/>
      <c r="X8895" s="531"/>
      <c r="Y8895" s="531"/>
      <c r="Z8895" s="531"/>
      <c r="AA8895" s="531"/>
      <c r="AB8895" s="531"/>
      <c r="AC8895" s="531"/>
      <c r="AD8895" s="531"/>
      <c r="AE8895" s="531"/>
      <c r="AF8895" s="531"/>
      <c r="AG8895" s="531"/>
      <c r="AH8895" s="531"/>
      <c r="AI8895" s="531"/>
      <c r="AJ8895" s="531"/>
      <c r="AK8895" s="531"/>
      <c r="AL8895" s="531"/>
      <c r="AM8895" s="531"/>
      <c r="AN8895" s="531"/>
      <c r="AO8895" s="531"/>
      <c r="AR8895" s="761" t="s">
        <v>145</v>
      </c>
      <c r="AS8895" s="764"/>
    </row>
    <row r="8896" spans="1:45" s="520" customFormat="1" ht="12" thickTop="1">
      <c r="A8896" s="51"/>
      <c r="B8896" s="41"/>
      <c r="C8896" s="51"/>
      <c r="E8896" s="42" t="s">
        <v>138</v>
      </c>
      <c r="F8896" s="42" t="s">
        <v>139</v>
      </c>
      <c r="G8896" s="51"/>
      <c r="H8896" s="51"/>
      <c r="I8896" s="51"/>
      <c r="J8896" s="51"/>
      <c r="K8896" s="51" t="s">
        <v>140</v>
      </c>
      <c r="L8896" s="51"/>
      <c r="M8896" s="51"/>
      <c r="N8896" s="51"/>
      <c r="O8896" s="52"/>
      <c r="P8896" s="51"/>
      <c r="Q8896" s="51"/>
      <c r="R8896" s="51"/>
      <c r="S8896" s="51"/>
      <c r="T8896" s="41"/>
      <c r="AG8896" s="521" t="s">
        <v>268</v>
      </c>
      <c r="AH8896" s="521" t="s">
        <v>269</v>
      </c>
      <c r="AI8896" s="521" t="s">
        <v>270</v>
      </c>
      <c r="AJ8896" s="521" t="s">
        <v>271</v>
      </c>
      <c r="AK8896" s="521" t="s">
        <v>272</v>
      </c>
      <c r="AM8896" s="745" t="s">
        <v>281</v>
      </c>
      <c r="AN8896" s="746" t="s">
        <v>282</v>
      </c>
      <c r="AO8896" s="522" t="s">
        <v>278</v>
      </c>
      <c r="AR8896" s="51"/>
      <c r="AS8896" s="42" t="s">
        <v>139</v>
      </c>
    </row>
    <row r="8897" spans="1:45" s="520" customFormat="1" ht="12" customHeight="1">
      <c r="A8897" s="747">
        <v>3</v>
      </c>
      <c r="B8897" s="523" t="s">
        <v>141</v>
      </c>
      <c r="C8897" s="748"/>
      <c r="D8897" s="749" t="s">
        <v>2378</v>
      </c>
      <c r="E8897" s="1145">
        <f>IF(AND($A8897=0,$A$1="DIF"),0, ROUND(ROUND(($R8901*$S$3+($T8901*$T$3))/$A8897,2)*$C$3,2))</f>
        <v>36.950000000000003</v>
      </c>
      <c r="F8897" s="1146">
        <f>ROUND($A8897*$E8897,2)</f>
        <v>110.85</v>
      </c>
      <c r="G8897" s="752" t="s">
        <v>142</v>
      </c>
      <c r="H8897" s="753"/>
      <c r="I8897" s="754"/>
      <c r="J8897" s="753"/>
      <c r="K8897" s="753" t="s">
        <v>5</v>
      </c>
      <c r="L8897" s="755" t="s">
        <v>143</v>
      </c>
      <c r="M8897" s="755"/>
      <c r="N8897" s="755"/>
      <c r="O8897" s="755"/>
      <c r="P8897" s="755"/>
      <c r="Q8897" s="51"/>
      <c r="T8897" s="1150" t="str">
        <f>IF(AND($R8901=0,$T8901=0),"0.00","mu: "&amp; ROUND(F8897/$C$3/($R8901+$T8901*$D$9),2))</f>
        <v>mu: 1.13</v>
      </c>
      <c r="W8897" s="524"/>
      <c r="AG8897" s="1147">
        <f>IF($E8897=0,0,ROUND($R8901*$S$3*$C$3/$A8897,2))</f>
        <v>36.950000000000003</v>
      </c>
      <c r="AH8897" s="1147">
        <f>$AG8897*$A8897</f>
        <v>110.85000000000001</v>
      </c>
      <c r="AI8897" s="1148">
        <f>$E8897-$AG8897</f>
        <v>0</v>
      </c>
      <c r="AJ8897" s="1148">
        <f>$A8897*$AI8897</f>
        <v>0</v>
      </c>
      <c r="AK8897" s="1149">
        <f>ROUND(($AG8897+$AI8897)*$A8897,2)</f>
        <v>110.85</v>
      </c>
      <c r="AM8897" s="527">
        <f>ROUND(R8901,2)</f>
        <v>98.21</v>
      </c>
      <c r="AN8897" s="528">
        <f>ROUND(T8901,2)</f>
        <v>0</v>
      </c>
      <c r="AO8897" s="529">
        <f>ROUND(AM8897+AN8897,2)*A8897</f>
        <v>294.63</v>
      </c>
      <c r="AR8897" s="747">
        <v>3</v>
      </c>
      <c r="AS8897" s="1146">
        <v>120.63</v>
      </c>
    </row>
    <row r="8898" spans="1:45" s="520" customFormat="1" ht="13.2">
      <c r="A8898" s="748"/>
      <c r="B8898"/>
      <c r="C8898" s="748"/>
      <c r="D8898" s="749" t="s">
        <v>2062</v>
      </c>
      <c r="F8898" s="753"/>
      <c r="G8898" s="3"/>
      <c r="H8898" s="753"/>
      <c r="I8898" s="754"/>
      <c r="J8898" s="753"/>
      <c r="K8898" s="753" t="s">
        <v>144</v>
      </c>
      <c r="L8898" s="753"/>
      <c r="M8898" s="753"/>
      <c r="N8898" s="753"/>
      <c r="O8898" s="753"/>
      <c r="P8898" s="753"/>
      <c r="Q8898" s="51"/>
      <c r="R8898" s="530"/>
      <c r="S8898" s="757"/>
      <c r="T8898" s="753"/>
      <c r="AR8898" s="748"/>
      <c r="AS8898" s="753"/>
    </row>
    <row r="8899" spans="1:45" s="901" customFormat="1" ht="13.2">
      <c r="A8899" s="903">
        <v>3</v>
      </c>
      <c r="B8899" s="904" t="s">
        <v>863</v>
      </c>
      <c r="C8899" s="904"/>
      <c r="D8899" s="904" t="s">
        <v>2594</v>
      </c>
      <c r="E8899" s="904"/>
      <c r="F8899" s="904" t="s">
        <v>4128</v>
      </c>
      <c r="G8899" s="905" t="s">
        <v>2595</v>
      </c>
      <c r="H8899" s="902">
        <v>960</v>
      </c>
      <c r="I8899" s="904" t="s">
        <v>2596</v>
      </c>
      <c r="J8899" s="904"/>
      <c r="K8899" s="904"/>
      <c r="L8899" s="904"/>
      <c r="M8899" s="904"/>
      <c r="N8899" s="904"/>
      <c r="O8899" s="902">
        <v>4</v>
      </c>
      <c r="P8899" s="906">
        <v>38274</v>
      </c>
      <c r="Q8899" s="1415">
        <f>37.5*0.873</f>
        <v>32.737499999999997</v>
      </c>
      <c r="R8899" s="908">
        <f>$A8899*Q8899</f>
        <v>98.212499999999991</v>
      </c>
      <c r="S8899" s="907"/>
      <c r="T8899" s="909">
        <f>$A8899*S8899*$T$1</f>
        <v>0</v>
      </c>
      <c r="AR8899" s="903">
        <v>3</v>
      </c>
      <c r="AS8899" s="904" t="s">
        <v>3507</v>
      </c>
    </row>
    <row r="8900" spans="1:45" s="520" customFormat="1" ht="12">
      <c r="A8900" s="758"/>
      <c r="B8900" s="758"/>
      <c r="C8900" s="758"/>
      <c r="D8900" s="758"/>
      <c r="E8900" s="758"/>
      <c r="F8900" s="753"/>
      <c r="G8900" s="758"/>
      <c r="H8900" s="758"/>
      <c r="I8900" s="519"/>
      <c r="J8900" s="758"/>
      <c r="K8900" s="758"/>
      <c r="L8900" s="758"/>
      <c r="M8900" s="758"/>
      <c r="N8900" s="758"/>
      <c r="O8900" s="758"/>
      <c r="P8900" s="758"/>
      <c r="Q8900" s="519"/>
      <c r="R8900" s="759">
        <f>$A8900*Q8900</f>
        <v>0</v>
      </c>
      <c r="S8900" s="519"/>
      <c r="T8900" s="760">
        <f>$A8900*S8900*$T$1</f>
        <v>0</v>
      </c>
      <c r="AR8900" s="758"/>
      <c r="AS8900" s="753"/>
    </row>
    <row r="8901" spans="1:45" s="520" customFormat="1" ht="12.6" thickBot="1">
      <c r="A8901" s="761" t="s">
        <v>145</v>
      </c>
      <c r="B8901" s="762">
        <f>(R8900+T8900)</f>
        <v>0</v>
      </c>
      <c r="C8901" s="763"/>
      <c r="D8901" s="763"/>
      <c r="E8901" s="763"/>
      <c r="F8901" s="764"/>
      <c r="G8901" s="763" t="s">
        <v>146</v>
      </c>
      <c r="H8901" s="763"/>
      <c r="I8901" s="765"/>
      <c r="J8901" s="763"/>
      <c r="K8901" s="763" t="s">
        <v>5</v>
      </c>
      <c r="L8901" s="766" t="s">
        <v>143</v>
      </c>
      <c r="M8901" s="766"/>
      <c r="N8901" s="766"/>
      <c r="O8901" s="766"/>
      <c r="P8901" s="766"/>
      <c r="Q8901" s="767"/>
      <c r="R8901" s="768">
        <f>SUM(R8898:R8900)</f>
        <v>98.212499999999991</v>
      </c>
      <c r="S8901" s="763"/>
      <c r="T8901" s="768">
        <f>SUM(T8898:T8900)</f>
        <v>0</v>
      </c>
      <c r="U8901" s="531"/>
      <c r="V8901" s="531"/>
      <c r="W8901" s="531"/>
      <c r="X8901" s="531"/>
      <c r="Y8901" s="531"/>
      <c r="Z8901" s="531"/>
      <c r="AA8901" s="531"/>
      <c r="AB8901" s="531"/>
      <c r="AC8901" s="531"/>
      <c r="AD8901" s="531"/>
      <c r="AE8901" s="531"/>
      <c r="AF8901" s="531"/>
      <c r="AG8901" s="531"/>
      <c r="AH8901" s="531"/>
      <c r="AI8901" s="531"/>
      <c r="AJ8901" s="531"/>
      <c r="AK8901" s="531"/>
      <c r="AL8901" s="531"/>
      <c r="AM8901" s="531"/>
      <c r="AN8901" s="531"/>
      <c r="AO8901" s="531"/>
      <c r="AR8901" s="761" t="s">
        <v>145</v>
      </c>
      <c r="AS8901" s="764"/>
    </row>
    <row r="8902" spans="1:45" s="520" customFormat="1" ht="12" thickTop="1">
      <c r="A8902" s="51"/>
      <c r="B8902" s="41"/>
      <c r="C8902" s="51"/>
      <c r="E8902" s="42" t="s">
        <v>138</v>
      </c>
      <c r="F8902" s="42" t="s">
        <v>139</v>
      </c>
      <c r="G8902" s="51"/>
      <c r="H8902" s="51"/>
      <c r="I8902" s="51"/>
      <c r="J8902" s="51"/>
      <c r="K8902" s="51" t="s">
        <v>140</v>
      </c>
      <c r="L8902" s="51"/>
      <c r="M8902" s="51"/>
      <c r="N8902" s="51"/>
      <c r="O8902" s="52"/>
      <c r="P8902" s="51"/>
      <c r="Q8902" s="51"/>
      <c r="R8902" s="51"/>
      <c r="S8902" s="51"/>
      <c r="T8902" s="41"/>
      <c r="AG8902" s="521" t="s">
        <v>268</v>
      </c>
      <c r="AH8902" s="521" t="s">
        <v>269</v>
      </c>
      <c r="AI8902" s="521" t="s">
        <v>270</v>
      </c>
      <c r="AJ8902" s="521" t="s">
        <v>271</v>
      </c>
      <c r="AK8902" s="521" t="s">
        <v>272</v>
      </c>
      <c r="AM8902" s="745" t="s">
        <v>281</v>
      </c>
      <c r="AN8902" s="746" t="s">
        <v>282</v>
      </c>
      <c r="AO8902" s="522" t="s">
        <v>278</v>
      </c>
      <c r="AR8902" s="51"/>
      <c r="AS8902" s="42" t="s">
        <v>139</v>
      </c>
    </row>
    <row r="8903" spans="1:45" s="520" customFormat="1" ht="12" customHeight="1">
      <c r="A8903" s="747">
        <v>1</v>
      </c>
      <c r="B8903" s="523" t="s">
        <v>141</v>
      </c>
      <c r="C8903" s="748"/>
      <c r="D8903" s="749" t="s">
        <v>2379</v>
      </c>
      <c r="E8903" s="1145">
        <f>IF(AND($A8903=0,$A$1="DIF"),0, ROUND(ROUND(($R8907*$S$3+($T8907*$T$3))/$A8903,2)*$C$3,2))</f>
        <v>36.950000000000003</v>
      </c>
      <c r="F8903" s="1146">
        <f>ROUND($A8903*$E8903,2)</f>
        <v>36.950000000000003</v>
      </c>
      <c r="G8903" s="752" t="s">
        <v>142</v>
      </c>
      <c r="H8903" s="753"/>
      <c r="I8903" s="754"/>
      <c r="J8903" s="753"/>
      <c r="K8903" s="753" t="s">
        <v>5</v>
      </c>
      <c r="L8903" s="755" t="s">
        <v>143</v>
      </c>
      <c r="M8903" s="755"/>
      <c r="N8903" s="755"/>
      <c r="O8903" s="755"/>
      <c r="P8903" s="755"/>
      <c r="Q8903" s="51"/>
      <c r="T8903" s="1150" t="str">
        <f>IF(AND($R8907=0,$T8907=0),"0.00","mu: "&amp; ROUND(F8903/$C$3/($R8907+$T8907*$D$9),2))</f>
        <v>mu: 1.13</v>
      </c>
      <c r="W8903" s="524"/>
      <c r="AG8903" s="1147">
        <f>IF($E8903=0,0,ROUND($R8907*$S$3*$C$3/$A8903,2))</f>
        <v>36.950000000000003</v>
      </c>
      <c r="AH8903" s="1147">
        <f>$AG8903*$A8903</f>
        <v>36.950000000000003</v>
      </c>
      <c r="AI8903" s="1148">
        <f>$E8903-$AG8903</f>
        <v>0</v>
      </c>
      <c r="AJ8903" s="1148">
        <f>$A8903*$AI8903</f>
        <v>0</v>
      </c>
      <c r="AK8903" s="1149">
        <f>ROUND(($AG8903+$AI8903)*$A8903,2)</f>
        <v>36.950000000000003</v>
      </c>
      <c r="AM8903" s="527">
        <f>ROUND(R8907,2)</f>
        <v>32.74</v>
      </c>
      <c r="AN8903" s="528">
        <f>ROUND(T8907,2)</f>
        <v>0</v>
      </c>
      <c r="AO8903" s="529">
        <f>ROUND(AM8903+AN8903,2)*A8903</f>
        <v>32.74</v>
      </c>
      <c r="AR8903" s="747">
        <v>1</v>
      </c>
      <c r="AS8903" s="1146">
        <v>40.21</v>
      </c>
    </row>
    <row r="8904" spans="1:45" s="520" customFormat="1" ht="13.2">
      <c r="A8904" s="748"/>
      <c r="B8904"/>
      <c r="C8904" s="748"/>
      <c r="D8904" s="749" t="s">
        <v>2078</v>
      </c>
      <c r="F8904" s="753"/>
      <c r="G8904" s="3"/>
      <c r="H8904" s="753"/>
      <c r="I8904" s="754"/>
      <c r="J8904" s="753"/>
      <c r="K8904" s="753" t="s">
        <v>144</v>
      </c>
      <c r="L8904" s="753"/>
      <c r="M8904" s="753"/>
      <c r="N8904" s="753"/>
      <c r="O8904" s="753"/>
      <c r="P8904" s="753"/>
      <c r="Q8904" s="51"/>
      <c r="R8904" s="530"/>
      <c r="S8904" s="757"/>
      <c r="T8904" s="753"/>
      <c r="AR8904" s="748"/>
      <c r="AS8904" s="753"/>
    </row>
    <row r="8905" spans="1:45" s="901" customFormat="1" ht="13.2">
      <c r="A8905" s="903">
        <v>1</v>
      </c>
      <c r="B8905" s="904" t="s">
        <v>863</v>
      </c>
      <c r="C8905" s="904"/>
      <c r="D8905" s="904" t="s">
        <v>2594</v>
      </c>
      <c r="E8905" s="904"/>
      <c r="F8905" s="904" t="s">
        <v>4128</v>
      </c>
      <c r="G8905" s="905" t="s">
        <v>2595</v>
      </c>
      <c r="H8905" s="902">
        <v>960</v>
      </c>
      <c r="I8905" s="904" t="s">
        <v>2596</v>
      </c>
      <c r="J8905" s="904"/>
      <c r="K8905" s="904"/>
      <c r="L8905" s="904"/>
      <c r="M8905" s="904"/>
      <c r="N8905" s="904"/>
      <c r="O8905" s="902">
        <v>4</v>
      </c>
      <c r="P8905" s="906">
        <v>38274</v>
      </c>
      <c r="Q8905" s="1415">
        <f>37.5*0.873</f>
        <v>32.737499999999997</v>
      </c>
      <c r="R8905" s="908">
        <f>$A8905*Q8905</f>
        <v>32.737499999999997</v>
      </c>
      <c r="S8905" s="907"/>
      <c r="T8905" s="909">
        <f>$A8905*S8905*$T$1</f>
        <v>0</v>
      </c>
      <c r="AR8905" s="903">
        <v>1</v>
      </c>
      <c r="AS8905" s="904" t="s">
        <v>3507</v>
      </c>
    </row>
    <row r="8906" spans="1:45" s="520" customFormat="1" ht="12">
      <c r="A8906" s="758"/>
      <c r="B8906" s="758"/>
      <c r="C8906" s="758"/>
      <c r="D8906" s="758"/>
      <c r="E8906" s="758"/>
      <c r="F8906" s="753"/>
      <c r="G8906" s="758"/>
      <c r="H8906" s="758"/>
      <c r="I8906" s="519"/>
      <c r="J8906" s="758"/>
      <c r="K8906" s="758"/>
      <c r="L8906" s="758"/>
      <c r="M8906" s="758"/>
      <c r="N8906" s="758"/>
      <c r="O8906" s="758"/>
      <c r="P8906" s="758"/>
      <c r="Q8906" s="519"/>
      <c r="R8906" s="759">
        <f>$A8906*Q8906</f>
        <v>0</v>
      </c>
      <c r="S8906" s="519"/>
      <c r="T8906" s="760">
        <f>$A8906*S8906*$T$1</f>
        <v>0</v>
      </c>
      <c r="AR8906" s="758"/>
      <c r="AS8906" s="753"/>
    </row>
    <row r="8907" spans="1:45" s="520" customFormat="1" ht="12.6" thickBot="1">
      <c r="A8907" s="761" t="s">
        <v>145</v>
      </c>
      <c r="B8907" s="762">
        <f>(R8906+T8906)</f>
        <v>0</v>
      </c>
      <c r="C8907" s="763"/>
      <c r="D8907" s="763"/>
      <c r="E8907" s="763"/>
      <c r="F8907" s="764"/>
      <c r="G8907" s="763" t="s">
        <v>146</v>
      </c>
      <c r="H8907" s="763"/>
      <c r="I8907" s="765"/>
      <c r="J8907" s="763"/>
      <c r="K8907" s="763" t="s">
        <v>5</v>
      </c>
      <c r="L8907" s="766" t="s">
        <v>143</v>
      </c>
      <c r="M8907" s="766"/>
      <c r="N8907" s="766"/>
      <c r="O8907" s="766"/>
      <c r="P8907" s="766"/>
      <c r="Q8907" s="767"/>
      <c r="R8907" s="768">
        <f>SUM(R8904:R8906)</f>
        <v>32.737499999999997</v>
      </c>
      <c r="S8907" s="763"/>
      <c r="T8907" s="768">
        <f>SUM(T8904:T8906)</f>
        <v>0</v>
      </c>
      <c r="U8907" s="531"/>
      <c r="V8907" s="531"/>
      <c r="W8907" s="531"/>
      <c r="X8907" s="531"/>
      <c r="Y8907" s="531"/>
      <c r="Z8907" s="531"/>
      <c r="AA8907" s="531"/>
      <c r="AB8907" s="531"/>
      <c r="AC8907" s="531"/>
      <c r="AD8907" s="531"/>
      <c r="AE8907" s="531"/>
      <c r="AF8907" s="531"/>
      <c r="AG8907" s="531"/>
      <c r="AH8907" s="531"/>
      <c r="AI8907" s="531"/>
      <c r="AJ8907" s="531"/>
      <c r="AK8907" s="531"/>
      <c r="AL8907" s="531"/>
      <c r="AM8907" s="531"/>
      <c r="AN8907" s="531"/>
      <c r="AO8907" s="531"/>
      <c r="AR8907" s="761" t="s">
        <v>145</v>
      </c>
      <c r="AS8907" s="764"/>
    </row>
    <row r="8908" spans="1:45" s="520" customFormat="1" ht="12" thickTop="1">
      <c r="A8908" s="51"/>
      <c r="B8908" s="41"/>
      <c r="C8908" s="51"/>
      <c r="E8908" s="42" t="s">
        <v>138</v>
      </c>
      <c r="F8908" s="42" t="s">
        <v>139</v>
      </c>
      <c r="G8908" s="51"/>
      <c r="H8908" s="51"/>
      <c r="I8908" s="51"/>
      <c r="J8908" s="51"/>
      <c r="K8908" s="51" t="s">
        <v>140</v>
      </c>
      <c r="L8908" s="51"/>
      <c r="M8908" s="51"/>
      <c r="N8908" s="51"/>
      <c r="O8908" s="52"/>
      <c r="P8908" s="51"/>
      <c r="Q8908" s="51"/>
      <c r="R8908" s="51"/>
      <c r="S8908" s="51"/>
      <c r="T8908" s="41"/>
      <c r="AG8908" s="521" t="s">
        <v>268</v>
      </c>
      <c r="AH8908" s="521" t="s">
        <v>269</v>
      </c>
      <c r="AI8908" s="521" t="s">
        <v>270</v>
      </c>
      <c r="AJ8908" s="521" t="s">
        <v>271</v>
      </c>
      <c r="AK8908" s="521" t="s">
        <v>272</v>
      </c>
      <c r="AM8908" s="745" t="s">
        <v>281</v>
      </c>
      <c r="AN8908" s="746" t="s">
        <v>282</v>
      </c>
      <c r="AO8908" s="522" t="s">
        <v>278</v>
      </c>
      <c r="AR8908" s="51"/>
      <c r="AS8908" s="42" t="s">
        <v>139</v>
      </c>
    </row>
    <row r="8909" spans="1:45" s="520" customFormat="1" ht="12" customHeight="1">
      <c r="A8909" s="747">
        <v>10</v>
      </c>
      <c r="B8909" s="523" t="s">
        <v>141</v>
      </c>
      <c r="C8909" s="748"/>
      <c r="D8909" s="749" t="s">
        <v>2380</v>
      </c>
      <c r="E8909" s="1145">
        <f>IF(AND($A8909=0,$A$1="DIF"),0, ROUND(ROUND(($R8913*$S$3+($T8913*$T$3))/$A8909,2)*$C$3,2))</f>
        <v>36.950000000000003</v>
      </c>
      <c r="F8909" s="1146">
        <f>ROUND($A8909*$E8909,2)</f>
        <v>369.5</v>
      </c>
      <c r="G8909" s="752" t="s">
        <v>142</v>
      </c>
      <c r="H8909" s="753"/>
      <c r="I8909" s="754"/>
      <c r="J8909" s="753"/>
      <c r="K8909" s="753" t="s">
        <v>5</v>
      </c>
      <c r="L8909" s="755" t="s">
        <v>143</v>
      </c>
      <c r="M8909" s="755"/>
      <c r="N8909" s="755"/>
      <c r="O8909" s="755"/>
      <c r="P8909" s="755"/>
      <c r="Q8909" s="51"/>
      <c r="T8909" s="1150" t="str">
        <f>IF(AND($R8913=0,$T8913=0),"0.00","mu: "&amp; ROUND(F8909/$C$3/($R8913+$T8913*$D$9),2))</f>
        <v>mu: 1.13</v>
      </c>
      <c r="W8909" s="524"/>
      <c r="AG8909" s="1147">
        <f>IF($E8909=0,0,ROUND($R8913*$S$3*$C$3/$A8909,2))</f>
        <v>36.950000000000003</v>
      </c>
      <c r="AH8909" s="1147">
        <f>$AG8909*$A8909</f>
        <v>369.5</v>
      </c>
      <c r="AI8909" s="1148">
        <f>$E8909-$AG8909</f>
        <v>0</v>
      </c>
      <c r="AJ8909" s="1148">
        <f>$A8909*$AI8909</f>
        <v>0</v>
      </c>
      <c r="AK8909" s="1149">
        <f>ROUND(($AG8909+$AI8909)*$A8909,2)</f>
        <v>369.5</v>
      </c>
      <c r="AM8909" s="527">
        <f>ROUND(R8913,2)</f>
        <v>327.38</v>
      </c>
      <c r="AN8909" s="528">
        <f>ROUND(T8913,2)</f>
        <v>0</v>
      </c>
      <c r="AO8909" s="529">
        <f>ROUND(AM8909+AN8909,2)*A8909</f>
        <v>3273.8</v>
      </c>
      <c r="AR8909" s="747">
        <v>10</v>
      </c>
      <c r="AS8909" s="1146">
        <v>402.1</v>
      </c>
    </row>
    <row r="8910" spans="1:45" s="520" customFormat="1" ht="13.2">
      <c r="A8910" s="748"/>
      <c r="B8910"/>
      <c r="C8910" s="748"/>
      <c r="D8910" s="749" t="s">
        <v>2065</v>
      </c>
      <c r="F8910" s="753"/>
      <c r="G8910" s="3"/>
      <c r="H8910" s="753"/>
      <c r="I8910" s="754"/>
      <c r="J8910" s="753"/>
      <c r="K8910" s="753" t="s">
        <v>144</v>
      </c>
      <c r="L8910" s="753"/>
      <c r="M8910" s="753"/>
      <c r="N8910" s="753"/>
      <c r="O8910" s="753"/>
      <c r="P8910" s="753"/>
      <c r="Q8910" s="51"/>
      <c r="R8910" s="530"/>
      <c r="S8910" s="757"/>
      <c r="T8910" s="753"/>
      <c r="AR8910" s="748"/>
      <c r="AS8910" s="753"/>
    </row>
    <row r="8911" spans="1:45" s="901" customFormat="1" ht="13.2">
      <c r="A8911" s="903">
        <v>10</v>
      </c>
      <c r="B8911" s="904" t="s">
        <v>863</v>
      </c>
      <c r="C8911" s="904"/>
      <c r="D8911" s="904" t="s">
        <v>2594</v>
      </c>
      <c r="E8911" s="904"/>
      <c r="F8911" s="904" t="s">
        <v>4128</v>
      </c>
      <c r="G8911" s="905" t="s">
        <v>2595</v>
      </c>
      <c r="H8911" s="902">
        <v>960</v>
      </c>
      <c r="I8911" s="904" t="s">
        <v>2596</v>
      </c>
      <c r="J8911" s="904"/>
      <c r="K8911" s="904"/>
      <c r="L8911" s="904"/>
      <c r="M8911" s="904"/>
      <c r="N8911" s="904"/>
      <c r="O8911" s="902">
        <v>4</v>
      </c>
      <c r="P8911" s="906">
        <v>38274</v>
      </c>
      <c r="Q8911" s="1415">
        <f>37.5*0.873</f>
        <v>32.737499999999997</v>
      </c>
      <c r="R8911" s="908">
        <f>$A8911*Q8911</f>
        <v>327.375</v>
      </c>
      <c r="S8911" s="907"/>
      <c r="T8911" s="909">
        <f>$A8911*S8911*$T$1</f>
        <v>0</v>
      </c>
      <c r="AR8911" s="903">
        <v>10</v>
      </c>
      <c r="AS8911" s="904" t="s">
        <v>3507</v>
      </c>
    </row>
    <row r="8912" spans="1:45" s="520" customFormat="1" ht="12">
      <c r="A8912" s="758"/>
      <c r="B8912" s="758"/>
      <c r="C8912" s="758"/>
      <c r="D8912" s="758"/>
      <c r="E8912" s="758"/>
      <c r="F8912" s="753"/>
      <c r="G8912" s="758"/>
      <c r="H8912" s="758"/>
      <c r="I8912" s="519"/>
      <c r="J8912" s="758"/>
      <c r="K8912" s="758"/>
      <c r="L8912" s="758"/>
      <c r="M8912" s="758"/>
      <c r="N8912" s="758"/>
      <c r="O8912" s="758"/>
      <c r="P8912" s="758"/>
      <c r="Q8912" s="519"/>
      <c r="R8912" s="759">
        <f>$A8912*Q8912</f>
        <v>0</v>
      </c>
      <c r="S8912" s="519"/>
      <c r="T8912" s="760">
        <f>$A8912*S8912*$T$1</f>
        <v>0</v>
      </c>
      <c r="AR8912" s="758"/>
      <c r="AS8912" s="753"/>
    </row>
    <row r="8913" spans="1:45" s="520" customFormat="1" ht="12.6" thickBot="1">
      <c r="A8913" s="761" t="s">
        <v>145</v>
      </c>
      <c r="B8913" s="762">
        <f>(R8912+T8912)</f>
        <v>0</v>
      </c>
      <c r="C8913" s="763"/>
      <c r="D8913" s="763"/>
      <c r="E8913" s="763"/>
      <c r="F8913" s="764"/>
      <c r="G8913" s="763" t="s">
        <v>146</v>
      </c>
      <c r="H8913" s="763"/>
      <c r="I8913" s="765"/>
      <c r="J8913" s="763"/>
      <c r="K8913" s="763" t="s">
        <v>5</v>
      </c>
      <c r="L8913" s="766" t="s">
        <v>143</v>
      </c>
      <c r="M8913" s="766"/>
      <c r="N8913" s="766"/>
      <c r="O8913" s="766"/>
      <c r="P8913" s="766"/>
      <c r="Q8913" s="767"/>
      <c r="R8913" s="768">
        <f>SUM(R8910:R8912)</f>
        <v>327.375</v>
      </c>
      <c r="S8913" s="763"/>
      <c r="T8913" s="768">
        <f>SUM(T8910:T8912)</f>
        <v>0</v>
      </c>
      <c r="U8913" s="531"/>
      <c r="V8913" s="531"/>
      <c r="W8913" s="531"/>
      <c r="X8913" s="531"/>
      <c r="Y8913" s="531"/>
      <c r="Z8913" s="531"/>
      <c r="AA8913" s="531"/>
      <c r="AB8913" s="531"/>
      <c r="AC8913" s="531"/>
      <c r="AD8913" s="531"/>
      <c r="AE8913" s="531"/>
      <c r="AF8913" s="531"/>
      <c r="AG8913" s="531"/>
      <c r="AH8913" s="531"/>
      <c r="AI8913" s="531"/>
      <c r="AJ8913" s="531"/>
      <c r="AK8913" s="531"/>
      <c r="AL8913" s="531"/>
      <c r="AM8913" s="531"/>
      <c r="AN8913" s="531"/>
      <c r="AO8913" s="531"/>
      <c r="AR8913" s="761" t="s">
        <v>145</v>
      </c>
      <c r="AS8913" s="764"/>
    </row>
    <row r="8914" spans="1:45" s="520" customFormat="1" ht="12" thickTop="1">
      <c r="A8914" s="51"/>
      <c r="B8914" s="41"/>
      <c r="C8914" s="51"/>
      <c r="E8914" s="42" t="s">
        <v>138</v>
      </c>
      <c r="F8914" s="42" t="s">
        <v>139</v>
      </c>
      <c r="G8914" s="51"/>
      <c r="H8914" s="51"/>
      <c r="I8914" s="51"/>
      <c r="J8914" s="51"/>
      <c r="K8914" s="51" t="s">
        <v>140</v>
      </c>
      <c r="L8914" s="51"/>
      <c r="M8914" s="51"/>
      <c r="N8914" s="51"/>
      <c r="O8914" s="52"/>
      <c r="P8914" s="51"/>
      <c r="Q8914" s="51"/>
      <c r="R8914" s="51"/>
      <c r="S8914" s="51"/>
      <c r="T8914" s="41"/>
      <c r="AG8914" s="521" t="s">
        <v>268</v>
      </c>
      <c r="AH8914" s="521" t="s">
        <v>269</v>
      </c>
      <c r="AI8914" s="521" t="s">
        <v>270</v>
      </c>
      <c r="AJ8914" s="521" t="s">
        <v>271</v>
      </c>
      <c r="AK8914" s="521" t="s">
        <v>272</v>
      </c>
      <c r="AM8914" s="745" t="s">
        <v>281</v>
      </c>
      <c r="AN8914" s="746" t="s">
        <v>282</v>
      </c>
      <c r="AO8914" s="522" t="s">
        <v>278</v>
      </c>
      <c r="AR8914" s="51"/>
      <c r="AS8914" s="42" t="s">
        <v>139</v>
      </c>
    </row>
    <row r="8915" spans="1:45" s="520" customFormat="1" ht="12" customHeight="1">
      <c r="A8915" s="747">
        <v>1</v>
      </c>
      <c r="B8915" s="523" t="s">
        <v>141</v>
      </c>
      <c r="C8915" s="748"/>
      <c r="D8915" s="749" t="s">
        <v>2381</v>
      </c>
      <c r="E8915" s="1145">
        <f>IF(AND($A8915=0,$A$1="DIF"),0, ROUND(ROUND(($R8919*$S$3+($T8919*$T$3))/$A8915,2)*$C$3,2))</f>
        <v>36.950000000000003</v>
      </c>
      <c r="F8915" s="1146">
        <f>ROUND($A8915*$E8915,2)</f>
        <v>36.950000000000003</v>
      </c>
      <c r="G8915" s="752" t="s">
        <v>142</v>
      </c>
      <c r="H8915" s="753"/>
      <c r="I8915" s="754"/>
      <c r="J8915" s="753"/>
      <c r="K8915" s="753" t="s">
        <v>5</v>
      </c>
      <c r="L8915" s="755" t="s">
        <v>143</v>
      </c>
      <c r="M8915" s="755"/>
      <c r="N8915" s="755"/>
      <c r="O8915" s="755"/>
      <c r="P8915" s="755"/>
      <c r="Q8915" s="51"/>
      <c r="T8915" s="1150" t="str">
        <f>IF(AND($R8919=0,$T8919=0),"0.00","mu: "&amp; ROUND(F8915/$C$3/($R8919+$T8919*$D$9),2))</f>
        <v>mu: 1.13</v>
      </c>
      <c r="W8915" s="524"/>
      <c r="AG8915" s="1147">
        <f>IF($E8915=0,0,ROUND($R8919*$S$3*$C$3/$A8915,2))</f>
        <v>36.950000000000003</v>
      </c>
      <c r="AH8915" s="1147">
        <f>$AG8915*$A8915</f>
        <v>36.950000000000003</v>
      </c>
      <c r="AI8915" s="1148">
        <f>$E8915-$AG8915</f>
        <v>0</v>
      </c>
      <c r="AJ8915" s="1148">
        <f>$A8915*$AI8915</f>
        <v>0</v>
      </c>
      <c r="AK8915" s="1149">
        <f>ROUND(($AG8915+$AI8915)*$A8915,2)</f>
        <v>36.950000000000003</v>
      </c>
      <c r="AM8915" s="527">
        <f>ROUND(R8919,2)</f>
        <v>32.74</v>
      </c>
      <c r="AN8915" s="528">
        <f>ROUND(T8919,2)</f>
        <v>0</v>
      </c>
      <c r="AO8915" s="529">
        <f>ROUND(AM8915+AN8915,2)*A8915</f>
        <v>32.74</v>
      </c>
      <c r="AR8915" s="747">
        <v>1</v>
      </c>
      <c r="AS8915" s="1146">
        <v>40.21</v>
      </c>
    </row>
    <row r="8916" spans="1:45" s="520" customFormat="1" ht="13.2">
      <c r="A8916" s="748"/>
      <c r="B8916"/>
      <c r="C8916" s="748"/>
      <c r="D8916" s="749" t="s">
        <v>2079</v>
      </c>
      <c r="F8916" s="753"/>
      <c r="G8916" s="3"/>
      <c r="H8916" s="753"/>
      <c r="I8916" s="754"/>
      <c r="J8916" s="753"/>
      <c r="K8916" s="753" t="s">
        <v>144</v>
      </c>
      <c r="L8916" s="753"/>
      <c r="M8916" s="753"/>
      <c r="N8916" s="753"/>
      <c r="O8916" s="753"/>
      <c r="P8916" s="753"/>
      <c r="Q8916" s="51"/>
      <c r="R8916" s="530"/>
      <c r="S8916" s="757"/>
      <c r="T8916" s="753"/>
      <c r="AR8916" s="748"/>
      <c r="AS8916" s="753"/>
    </row>
    <row r="8917" spans="1:45" s="901" customFormat="1" ht="13.2">
      <c r="A8917" s="903">
        <v>1</v>
      </c>
      <c r="B8917" s="904" t="s">
        <v>863</v>
      </c>
      <c r="C8917" s="904"/>
      <c r="D8917" s="904" t="s">
        <v>2594</v>
      </c>
      <c r="E8917" s="904"/>
      <c r="F8917" s="904" t="s">
        <v>4128</v>
      </c>
      <c r="G8917" s="905" t="s">
        <v>2595</v>
      </c>
      <c r="H8917" s="902">
        <v>960</v>
      </c>
      <c r="I8917" s="904" t="s">
        <v>2596</v>
      </c>
      <c r="J8917" s="904"/>
      <c r="K8917" s="904"/>
      <c r="L8917" s="904"/>
      <c r="M8917" s="904"/>
      <c r="N8917" s="904"/>
      <c r="O8917" s="902">
        <v>4</v>
      </c>
      <c r="P8917" s="906">
        <v>38274</v>
      </c>
      <c r="Q8917" s="1415">
        <f>37.5*0.873</f>
        <v>32.737499999999997</v>
      </c>
      <c r="R8917" s="908">
        <f>$A8917*Q8917</f>
        <v>32.737499999999997</v>
      </c>
      <c r="S8917" s="907"/>
      <c r="T8917" s="909">
        <f>$A8917*S8917*$T$1</f>
        <v>0</v>
      </c>
      <c r="AR8917" s="903">
        <v>1</v>
      </c>
      <c r="AS8917" s="904" t="s">
        <v>3507</v>
      </c>
    </row>
    <row r="8918" spans="1:45" s="520" customFormat="1" ht="12">
      <c r="A8918" s="758"/>
      <c r="B8918" s="758"/>
      <c r="C8918" s="758"/>
      <c r="D8918" s="758"/>
      <c r="E8918" s="758"/>
      <c r="F8918" s="753"/>
      <c r="G8918" s="758"/>
      <c r="H8918" s="758"/>
      <c r="I8918" s="519"/>
      <c r="J8918" s="758"/>
      <c r="K8918" s="758"/>
      <c r="L8918" s="758"/>
      <c r="M8918" s="758"/>
      <c r="N8918" s="758"/>
      <c r="O8918" s="758"/>
      <c r="P8918" s="758"/>
      <c r="Q8918" s="519"/>
      <c r="R8918" s="759">
        <f>$A8918*Q8918</f>
        <v>0</v>
      </c>
      <c r="S8918" s="519"/>
      <c r="T8918" s="760">
        <f>$A8918*S8918*$T$1</f>
        <v>0</v>
      </c>
      <c r="AR8918" s="758"/>
      <c r="AS8918" s="753"/>
    </row>
    <row r="8919" spans="1:45" s="520" customFormat="1" ht="12.6" thickBot="1">
      <c r="A8919" s="761" t="s">
        <v>145</v>
      </c>
      <c r="B8919" s="762">
        <f>(R8918+T8918)</f>
        <v>0</v>
      </c>
      <c r="C8919" s="763"/>
      <c r="D8919" s="763"/>
      <c r="E8919" s="763"/>
      <c r="F8919" s="764"/>
      <c r="G8919" s="763" t="s">
        <v>146</v>
      </c>
      <c r="H8919" s="763"/>
      <c r="I8919" s="765"/>
      <c r="J8919" s="763"/>
      <c r="K8919" s="763" t="s">
        <v>5</v>
      </c>
      <c r="L8919" s="766" t="s">
        <v>143</v>
      </c>
      <c r="M8919" s="766"/>
      <c r="N8919" s="766"/>
      <c r="O8919" s="766"/>
      <c r="P8919" s="766"/>
      <c r="Q8919" s="767"/>
      <c r="R8919" s="768">
        <f>SUM(R8916:R8918)</f>
        <v>32.737499999999997</v>
      </c>
      <c r="S8919" s="763"/>
      <c r="T8919" s="768">
        <f>SUM(T8916:T8918)</f>
        <v>0</v>
      </c>
      <c r="U8919" s="531"/>
      <c r="V8919" s="531"/>
      <c r="W8919" s="531"/>
      <c r="X8919" s="531"/>
      <c r="Y8919" s="531"/>
      <c r="Z8919" s="531"/>
      <c r="AA8919" s="531"/>
      <c r="AB8919" s="531"/>
      <c r="AC8919" s="531"/>
      <c r="AD8919" s="531"/>
      <c r="AE8919" s="531"/>
      <c r="AF8919" s="531"/>
      <c r="AG8919" s="531"/>
      <c r="AH8919" s="531"/>
      <c r="AI8919" s="531"/>
      <c r="AJ8919" s="531"/>
      <c r="AK8919" s="531"/>
      <c r="AL8919" s="531"/>
      <c r="AM8919" s="531"/>
      <c r="AN8919" s="531"/>
      <c r="AO8919" s="531"/>
      <c r="AR8919" s="761" t="s">
        <v>145</v>
      </c>
      <c r="AS8919" s="764"/>
    </row>
    <row r="8920" spans="1:45" s="520" customFormat="1" ht="12" thickTop="1">
      <c r="A8920" s="51"/>
      <c r="B8920" s="41"/>
      <c r="C8920" s="51"/>
      <c r="E8920" s="42" t="s">
        <v>138</v>
      </c>
      <c r="F8920" s="42" t="s">
        <v>139</v>
      </c>
      <c r="G8920" s="51"/>
      <c r="H8920" s="51"/>
      <c r="I8920" s="51"/>
      <c r="J8920" s="51"/>
      <c r="K8920" s="51" t="s">
        <v>140</v>
      </c>
      <c r="L8920" s="51"/>
      <c r="M8920" s="51"/>
      <c r="N8920" s="51"/>
      <c r="O8920" s="52"/>
      <c r="P8920" s="51"/>
      <c r="Q8920" s="51"/>
      <c r="R8920" s="51"/>
      <c r="S8920" s="51"/>
      <c r="T8920" s="41"/>
      <c r="AG8920" s="521" t="s">
        <v>268</v>
      </c>
      <c r="AH8920" s="521" t="s">
        <v>269</v>
      </c>
      <c r="AI8920" s="521" t="s">
        <v>270</v>
      </c>
      <c r="AJ8920" s="521" t="s">
        <v>271</v>
      </c>
      <c r="AK8920" s="521" t="s">
        <v>272</v>
      </c>
      <c r="AM8920" s="745" t="s">
        <v>281</v>
      </c>
      <c r="AN8920" s="746" t="s">
        <v>282</v>
      </c>
      <c r="AO8920" s="522" t="s">
        <v>278</v>
      </c>
      <c r="AR8920" s="51"/>
      <c r="AS8920" s="42" t="s">
        <v>139</v>
      </c>
    </row>
    <row r="8921" spans="1:45" s="520" customFormat="1" ht="12" customHeight="1">
      <c r="A8921" s="747">
        <v>5</v>
      </c>
      <c r="B8921" s="523" t="s">
        <v>141</v>
      </c>
      <c r="C8921" s="748"/>
      <c r="D8921" s="749" t="s">
        <v>2382</v>
      </c>
      <c r="E8921" s="1145">
        <f>IF(AND($A8921=0,$A$1="DIF"),0, ROUND(ROUND(($R8925*$S$3+($T8925*$T$3))/$A8921,2)*$C$3,2))</f>
        <v>41.79</v>
      </c>
      <c r="F8921" s="1146">
        <f>ROUND($A8921*$E8921,2)</f>
        <v>208.95</v>
      </c>
      <c r="G8921" s="752" t="s">
        <v>142</v>
      </c>
      <c r="H8921" s="753"/>
      <c r="I8921" s="754"/>
      <c r="J8921" s="753"/>
      <c r="K8921" s="753" t="s">
        <v>5</v>
      </c>
      <c r="L8921" s="755" t="s">
        <v>143</v>
      </c>
      <c r="M8921" s="755"/>
      <c r="N8921" s="755"/>
      <c r="O8921" s="755"/>
      <c r="P8921" s="755"/>
      <c r="Q8921" s="51"/>
      <c r="T8921" s="1150" t="str">
        <f>IF(AND($R8925=0,$T8925=0),"0.00","mu: "&amp; ROUND(F8921/$C$3/($R8925+$T8925*$D$9),2))</f>
        <v>mu: 1.13</v>
      </c>
      <c r="W8921" s="524"/>
      <c r="AG8921" s="1147">
        <f>IF($E8921=0,0,ROUND($R8925*$S$3*$C$3/$A8921,2))</f>
        <v>41.79</v>
      </c>
      <c r="AH8921" s="1147">
        <f>$AG8921*$A8921</f>
        <v>208.95</v>
      </c>
      <c r="AI8921" s="1148">
        <f>$E8921-$AG8921</f>
        <v>0</v>
      </c>
      <c r="AJ8921" s="1148">
        <f>$A8921*$AI8921</f>
        <v>0</v>
      </c>
      <c r="AK8921" s="1149">
        <f>ROUND(($AG8921+$AI8921)*$A8921,2)</f>
        <v>208.95</v>
      </c>
      <c r="AM8921" s="527">
        <f>ROUND(R8925,2)</f>
        <v>185.12</v>
      </c>
      <c r="AN8921" s="528">
        <f>ROUND(T8925,2)</f>
        <v>0</v>
      </c>
      <c r="AO8921" s="529">
        <f>ROUND(AM8921+AN8921,2)*A8921</f>
        <v>925.6</v>
      </c>
      <c r="AR8921" s="747">
        <v>5</v>
      </c>
      <c r="AS8921" s="1146">
        <v>201.05</v>
      </c>
    </row>
    <row r="8922" spans="1:45" s="520" customFormat="1" ht="13.2">
      <c r="A8922" s="748"/>
      <c r="B8922"/>
      <c r="C8922" s="748"/>
      <c r="D8922" s="749" t="s">
        <v>2066</v>
      </c>
      <c r="F8922" s="753"/>
      <c r="G8922" s="3"/>
      <c r="H8922" s="753"/>
      <c r="I8922" s="754"/>
      <c r="J8922" s="753"/>
      <c r="K8922" s="753" t="s">
        <v>144</v>
      </c>
      <c r="L8922" s="753"/>
      <c r="M8922" s="753"/>
      <c r="N8922" s="753"/>
      <c r="O8922" s="753"/>
      <c r="P8922" s="753"/>
      <c r="Q8922" s="51"/>
      <c r="R8922" s="530"/>
      <c r="S8922" s="757"/>
      <c r="T8922" s="753"/>
      <c r="AR8922" s="748"/>
      <c r="AS8922" s="753"/>
    </row>
    <row r="8923" spans="1:45" s="901" customFormat="1" ht="13.2">
      <c r="A8923" s="903">
        <v>5</v>
      </c>
      <c r="B8923" s="904" t="s">
        <v>863</v>
      </c>
      <c r="C8923" s="904"/>
      <c r="D8923" s="904" t="s">
        <v>2594</v>
      </c>
      <c r="E8923" s="904"/>
      <c r="F8923" s="904" t="s">
        <v>4128</v>
      </c>
      <c r="G8923" s="905" t="s">
        <v>2595</v>
      </c>
      <c r="H8923" s="902">
        <v>960</v>
      </c>
      <c r="I8923" s="904" t="s">
        <v>2596</v>
      </c>
      <c r="J8923" s="904"/>
      <c r="K8923" s="904"/>
      <c r="L8923" s="904"/>
      <c r="M8923" s="904"/>
      <c r="N8923" s="904"/>
      <c r="O8923" s="902">
        <v>4</v>
      </c>
      <c r="P8923" s="906">
        <v>38274</v>
      </c>
      <c r="Q8923" s="1415">
        <f>37.5*0.9873</f>
        <v>37.02375</v>
      </c>
      <c r="R8923" s="908">
        <f>$A8923*Q8923</f>
        <v>185.11875000000001</v>
      </c>
      <c r="S8923" s="907"/>
      <c r="T8923" s="909">
        <f>$A8923*S8923*$T$1</f>
        <v>0</v>
      </c>
      <c r="AR8923" s="903">
        <v>5</v>
      </c>
      <c r="AS8923" s="904" t="s">
        <v>3507</v>
      </c>
    </row>
    <row r="8924" spans="1:45" s="520" customFormat="1" ht="12">
      <c r="A8924" s="758"/>
      <c r="B8924" s="758"/>
      <c r="C8924" s="758"/>
      <c r="D8924" s="758"/>
      <c r="E8924" s="758"/>
      <c r="F8924" s="753"/>
      <c r="G8924" s="758"/>
      <c r="H8924" s="758"/>
      <c r="I8924" s="519"/>
      <c r="J8924" s="758"/>
      <c r="K8924" s="758"/>
      <c r="L8924" s="758"/>
      <c r="M8924" s="758"/>
      <c r="N8924" s="758"/>
      <c r="O8924" s="758"/>
      <c r="P8924" s="758"/>
      <c r="Q8924" s="519"/>
      <c r="R8924" s="759">
        <f>$A8924*Q8924</f>
        <v>0</v>
      </c>
      <c r="S8924" s="519"/>
      <c r="T8924" s="760">
        <f>$A8924*S8924*$T$1</f>
        <v>0</v>
      </c>
      <c r="AR8924" s="758"/>
      <c r="AS8924" s="753"/>
    </row>
    <row r="8925" spans="1:45" s="520" customFormat="1" ht="12.6" thickBot="1">
      <c r="A8925" s="761" t="s">
        <v>145</v>
      </c>
      <c r="B8925" s="762">
        <f>(R8924+T8924)</f>
        <v>0</v>
      </c>
      <c r="C8925" s="763"/>
      <c r="D8925" s="763"/>
      <c r="E8925" s="763"/>
      <c r="F8925" s="764"/>
      <c r="G8925" s="763" t="s">
        <v>146</v>
      </c>
      <c r="H8925" s="763"/>
      <c r="I8925" s="765"/>
      <c r="J8925" s="763"/>
      <c r="K8925" s="763" t="s">
        <v>5</v>
      </c>
      <c r="L8925" s="766" t="s">
        <v>143</v>
      </c>
      <c r="M8925" s="766"/>
      <c r="N8925" s="766"/>
      <c r="O8925" s="766"/>
      <c r="P8925" s="766"/>
      <c r="Q8925" s="767"/>
      <c r="R8925" s="768">
        <f>SUM(R8922:R8924)</f>
        <v>185.11875000000001</v>
      </c>
      <c r="S8925" s="763"/>
      <c r="T8925" s="768">
        <f>SUM(T8922:T8924)</f>
        <v>0</v>
      </c>
      <c r="U8925" s="531"/>
      <c r="V8925" s="531"/>
      <c r="W8925" s="531"/>
      <c r="X8925" s="531"/>
      <c r="Y8925" s="531"/>
      <c r="Z8925" s="531"/>
      <c r="AA8925" s="531"/>
      <c r="AB8925" s="531"/>
      <c r="AC8925" s="531"/>
      <c r="AD8925" s="531"/>
      <c r="AE8925" s="531"/>
      <c r="AF8925" s="531"/>
      <c r="AG8925" s="531"/>
      <c r="AH8925" s="531"/>
      <c r="AI8925" s="531"/>
      <c r="AJ8925" s="531"/>
      <c r="AK8925" s="531"/>
      <c r="AL8925" s="531"/>
      <c r="AM8925" s="531"/>
      <c r="AN8925" s="531"/>
      <c r="AO8925" s="531"/>
      <c r="AR8925" s="761" t="s">
        <v>145</v>
      </c>
      <c r="AS8925" s="764"/>
    </row>
    <row r="8926" spans="1:45" s="520" customFormat="1" ht="12" thickTop="1">
      <c r="A8926" s="51"/>
      <c r="B8926" s="41"/>
      <c r="C8926" s="51"/>
      <c r="E8926" s="42" t="s">
        <v>138</v>
      </c>
      <c r="F8926" s="42" t="s">
        <v>139</v>
      </c>
      <c r="G8926" s="51"/>
      <c r="H8926" s="51"/>
      <c r="I8926" s="51"/>
      <c r="J8926" s="51"/>
      <c r="K8926" s="51" t="s">
        <v>140</v>
      </c>
      <c r="L8926" s="51"/>
      <c r="M8926" s="51"/>
      <c r="N8926" s="51"/>
      <c r="O8926" s="52"/>
      <c r="P8926" s="51"/>
      <c r="Q8926" s="51"/>
      <c r="R8926" s="51"/>
      <c r="S8926" s="51"/>
      <c r="T8926" s="41"/>
      <c r="AG8926" s="521" t="s">
        <v>268</v>
      </c>
      <c r="AH8926" s="521" t="s">
        <v>269</v>
      </c>
      <c r="AI8926" s="521" t="s">
        <v>270</v>
      </c>
      <c r="AJ8926" s="521" t="s">
        <v>271</v>
      </c>
      <c r="AK8926" s="521" t="s">
        <v>272</v>
      </c>
      <c r="AM8926" s="745" t="s">
        <v>281</v>
      </c>
      <c r="AN8926" s="746" t="s">
        <v>282</v>
      </c>
      <c r="AO8926" s="522" t="s">
        <v>278</v>
      </c>
      <c r="AR8926" s="51"/>
      <c r="AS8926" s="42" t="s">
        <v>139</v>
      </c>
    </row>
    <row r="8927" spans="1:45" s="520" customFormat="1" ht="12" customHeight="1">
      <c r="A8927" s="747">
        <v>3</v>
      </c>
      <c r="B8927" s="523" t="s">
        <v>141</v>
      </c>
      <c r="C8927" s="748"/>
      <c r="D8927" s="749" t="s">
        <v>2383</v>
      </c>
      <c r="E8927" s="1145">
        <f>IF(AND($A8927=0,$A$1="DIF"),0, ROUND(ROUND(($R8931*$S$3+($T8931*$T$3))/$A8927,2)*$C$3,2))</f>
        <v>36.950000000000003</v>
      </c>
      <c r="F8927" s="1146">
        <f>ROUND($A8927*$E8927,2)</f>
        <v>110.85</v>
      </c>
      <c r="G8927" s="752" t="s">
        <v>142</v>
      </c>
      <c r="H8927" s="753"/>
      <c r="I8927" s="754"/>
      <c r="J8927" s="753"/>
      <c r="K8927" s="753" t="s">
        <v>5</v>
      </c>
      <c r="L8927" s="755" t="s">
        <v>143</v>
      </c>
      <c r="M8927" s="755"/>
      <c r="N8927" s="755"/>
      <c r="O8927" s="755"/>
      <c r="P8927" s="755"/>
      <c r="Q8927" s="51"/>
      <c r="T8927" s="1150" t="str">
        <f>IF(AND($R8931=0,$T8931=0),"0.00","mu: "&amp; ROUND(F8927/$C$3/($R8931+$T8931*$D$9),2))</f>
        <v>mu: 1.13</v>
      </c>
      <c r="W8927" s="524"/>
      <c r="AG8927" s="1147">
        <f>IF($E8927=0,0,ROUND($R8931*$S$3*$C$3/$A8927,2))</f>
        <v>36.950000000000003</v>
      </c>
      <c r="AH8927" s="1147">
        <f>$AG8927*$A8927</f>
        <v>110.85000000000001</v>
      </c>
      <c r="AI8927" s="1148">
        <f>$E8927-$AG8927</f>
        <v>0</v>
      </c>
      <c r="AJ8927" s="1148">
        <f>$A8927*$AI8927</f>
        <v>0</v>
      </c>
      <c r="AK8927" s="1149">
        <f>ROUND(($AG8927+$AI8927)*$A8927,2)</f>
        <v>110.85</v>
      </c>
      <c r="AM8927" s="527">
        <f>ROUND(R8931,2)</f>
        <v>98.21</v>
      </c>
      <c r="AN8927" s="528">
        <f>ROUND(T8931,2)</f>
        <v>0</v>
      </c>
      <c r="AO8927" s="529">
        <f>ROUND(AM8927+AN8927,2)*A8927</f>
        <v>294.63</v>
      </c>
      <c r="AR8927" s="747">
        <v>3</v>
      </c>
      <c r="AS8927" s="1146">
        <v>120.63</v>
      </c>
    </row>
    <row r="8928" spans="1:45" s="520" customFormat="1" ht="13.2">
      <c r="A8928" s="748"/>
      <c r="B8928"/>
      <c r="C8928" s="748"/>
      <c r="D8928" s="749" t="s">
        <v>2067</v>
      </c>
      <c r="F8928" s="753"/>
      <c r="G8928" s="3"/>
      <c r="H8928" s="753"/>
      <c r="I8928" s="754"/>
      <c r="J8928" s="753"/>
      <c r="K8928" s="753" t="s">
        <v>144</v>
      </c>
      <c r="L8928" s="753"/>
      <c r="M8928" s="753"/>
      <c r="N8928" s="753"/>
      <c r="O8928" s="753"/>
      <c r="P8928" s="753"/>
      <c r="Q8928" s="51"/>
      <c r="R8928" s="530"/>
      <c r="S8928" s="757"/>
      <c r="T8928" s="753"/>
      <c r="AR8928" s="748"/>
      <c r="AS8928" s="753"/>
    </row>
    <row r="8929" spans="1:45" s="901" customFormat="1" ht="13.2">
      <c r="A8929" s="903">
        <v>3</v>
      </c>
      <c r="B8929" s="904" t="s">
        <v>863</v>
      </c>
      <c r="C8929" s="904"/>
      <c r="D8929" s="904" t="s">
        <v>2594</v>
      </c>
      <c r="E8929" s="904"/>
      <c r="F8929" s="904" t="s">
        <v>4128</v>
      </c>
      <c r="G8929" s="905" t="s">
        <v>2595</v>
      </c>
      <c r="H8929" s="902">
        <v>960</v>
      </c>
      <c r="I8929" s="904" t="s">
        <v>2596</v>
      </c>
      <c r="J8929" s="904"/>
      <c r="K8929" s="904"/>
      <c r="L8929" s="904"/>
      <c r="M8929" s="904"/>
      <c r="N8929" s="904"/>
      <c r="O8929" s="902">
        <v>4</v>
      </c>
      <c r="P8929" s="906">
        <v>38274</v>
      </c>
      <c r="Q8929" s="1415">
        <f>37.5*0.873</f>
        <v>32.737499999999997</v>
      </c>
      <c r="R8929" s="908">
        <f>$A8929*Q8929</f>
        <v>98.212499999999991</v>
      </c>
      <c r="S8929" s="907"/>
      <c r="T8929" s="909">
        <f>$A8929*S8929*$T$1</f>
        <v>0</v>
      </c>
      <c r="AR8929" s="903">
        <v>3</v>
      </c>
      <c r="AS8929" s="904" t="s">
        <v>3507</v>
      </c>
    </row>
    <row r="8930" spans="1:45" s="520" customFormat="1" ht="12">
      <c r="A8930" s="758"/>
      <c r="B8930" s="758"/>
      <c r="C8930" s="758"/>
      <c r="D8930" s="758"/>
      <c r="E8930" s="758"/>
      <c r="F8930" s="753"/>
      <c r="G8930" s="758"/>
      <c r="H8930" s="758"/>
      <c r="I8930" s="519"/>
      <c r="J8930" s="758"/>
      <c r="K8930" s="758"/>
      <c r="L8930" s="758"/>
      <c r="M8930" s="758"/>
      <c r="N8930" s="758"/>
      <c r="O8930" s="758"/>
      <c r="P8930" s="758"/>
      <c r="Q8930" s="519"/>
      <c r="R8930" s="759">
        <f>$A8930*Q8930</f>
        <v>0</v>
      </c>
      <c r="S8930" s="519"/>
      <c r="T8930" s="760">
        <f>$A8930*S8930*$T$1</f>
        <v>0</v>
      </c>
      <c r="AR8930" s="758"/>
      <c r="AS8930" s="753"/>
    </row>
    <row r="8931" spans="1:45" s="520" customFormat="1" ht="12.6" thickBot="1">
      <c r="A8931" s="761" t="s">
        <v>145</v>
      </c>
      <c r="B8931" s="762">
        <f>(R8930+T8930)</f>
        <v>0</v>
      </c>
      <c r="C8931" s="763"/>
      <c r="D8931" s="763"/>
      <c r="E8931" s="763"/>
      <c r="F8931" s="764"/>
      <c r="G8931" s="763" t="s">
        <v>146</v>
      </c>
      <c r="H8931" s="763"/>
      <c r="I8931" s="765"/>
      <c r="J8931" s="763"/>
      <c r="K8931" s="763" t="s">
        <v>5</v>
      </c>
      <c r="L8931" s="766" t="s">
        <v>143</v>
      </c>
      <c r="M8931" s="766"/>
      <c r="N8931" s="766"/>
      <c r="O8931" s="766"/>
      <c r="P8931" s="766"/>
      <c r="Q8931" s="767"/>
      <c r="R8931" s="768">
        <f>SUM(R8928:R8930)</f>
        <v>98.212499999999991</v>
      </c>
      <c r="S8931" s="763"/>
      <c r="T8931" s="768">
        <f>SUM(T8928:T8930)</f>
        <v>0</v>
      </c>
      <c r="U8931" s="531"/>
      <c r="V8931" s="531"/>
      <c r="W8931" s="531"/>
      <c r="X8931" s="531"/>
      <c r="Y8931" s="531"/>
      <c r="Z8931" s="531"/>
      <c r="AA8931" s="531"/>
      <c r="AB8931" s="531"/>
      <c r="AC8931" s="531"/>
      <c r="AD8931" s="531"/>
      <c r="AE8931" s="531"/>
      <c r="AF8931" s="531"/>
      <c r="AG8931" s="531"/>
      <c r="AH8931" s="531"/>
      <c r="AI8931" s="531"/>
      <c r="AJ8931" s="531"/>
      <c r="AK8931" s="531"/>
      <c r="AL8931" s="531"/>
      <c r="AM8931" s="531"/>
      <c r="AN8931" s="531"/>
      <c r="AO8931" s="531"/>
      <c r="AR8931" s="761" t="s">
        <v>145</v>
      </c>
      <c r="AS8931" s="764"/>
    </row>
    <row r="8932" spans="1:45" s="520" customFormat="1" ht="12" thickTop="1">
      <c r="A8932" s="51"/>
      <c r="B8932" s="41"/>
      <c r="C8932" s="51"/>
      <c r="E8932" s="42" t="s">
        <v>138</v>
      </c>
      <c r="F8932" s="42" t="s">
        <v>139</v>
      </c>
      <c r="G8932" s="51"/>
      <c r="H8932" s="51"/>
      <c r="I8932" s="51"/>
      <c r="J8932" s="51"/>
      <c r="K8932" s="51" t="s">
        <v>140</v>
      </c>
      <c r="L8932" s="51"/>
      <c r="M8932" s="51"/>
      <c r="N8932" s="51"/>
      <c r="O8932" s="52"/>
      <c r="P8932" s="51"/>
      <c r="Q8932" s="51"/>
      <c r="R8932" s="51"/>
      <c r="S8932" s="51"/>
      <c r="T8932" s="41"/>
      <c r="AG8932" s="521" t="s">
        <v>268</v>
      </c>
      <c r="AH8932" s="521" t="s">
        <v>269</v>
      </c>
      <c r="AI8932" s="521" t="s">
        <v>270</v>
      </c>
      <c r="AJ8932" s="521" t="s">
        <v>271</v>
      </c>
      <c r="AK8932" s="521" t="s">
        <v>272</v>
      </c>
      <c r="AM8932" s="745" t="s">
        <v>281</v>
      </c>
      <c r="AN8932" s="746" t="s">
        <v>282</v>
      </c>
      <c r="AO8932" s="522" t="s">
        <v>278</v>
      </c>
      <c r="AR8932" s="51"/>
      <c r="AS8932" s="42" t="s">
        <v>139</v>
      </c>
    </row>
    <row r="8933" spans="1:45" s="520" customFormat="1" ht="12" customHeight="1">
      <c r="A8933" s="747">
        <v>1</v>
      </c>
      <c r="B8933" s="523" t="s">
        <v>141</v>
      </c>
      <c r="C8933" s="748"/>
      <c r="D8933" s="749" t="s">
        <v>2384</v>
      </c>
      <c r="E8933" s="1145">
        <f>IF(AND($A8933=0,$A$1="DIF"),0, ROUND(ROUND(($R8937*$S$3+($T8937*$T$3))/$A8933,2)*$C$3,2))</f>
        <v>41.79</v>
      </c>
      <c r="F8933" s="1146">
        <f>ROUND($A8933*$E8933,2)</f>
        <v>41.79</v>
      </c>
      <c r="G8933" s="752" t="s">
        <v>142</v>
      </c>
      <c r="H8933" s="753"/>
      <c r="I8933" s="754"/>
      <c r="J8933" s="753"/>
      <c r="K8933" s="753" t="s">
        <v>5</v>
      </c>
      <c r="L8933" s="755" t="s">
        <v>143</v>
      </c>
      <c r="M8933" s="755"/>
      <c r="N8933" s="755"/>
      <c r="O8933" s="755"/>
      <c r="P8933" s="755"/>
      <c r="Q8933" s="51"/>
      <c r="T8933" s="1150" t="str">
        <f>IF(AND($R8937=0,$T8937=0),"0.00","mu: "&amp; ROUND(F8933/$C$3/($R8937+$T8937*$D$9),2))</f>
        <v>mu: 1.13</v>
      </c>
      <c r="W8933" s="524"/>
      <c r="AG8933" s="1147">
        <f>IF($E8933=0,0,ROUND($R8937*$S$3*$C$3/$A8933,2))</f>
        <v>41.79</v>
      </c>
      <c r="AH8933" s="1147">
        <f>$AG8933*$A8933</f>
        <v>41.79</v>
      </c>
      <c r="AI8933" s="1148">
        <f>$E8933-$AG8933</f>
        <v>0</v>
      </c>
      <c r="AJ8933" s="1148">
        <f>$A8933*$AI8933</f>
        <v>0</v>
      </c>
      <c r="AK8933" s="1149">
        <f>ROUND(($AG8933+$AI8933)*$A8933,2)</f>
        <v>41.79</v>
      </c>
      <c r="AM8933" s="527">
        <f>ROUND(R8937,2)</f>
        <v>37.020000000000003</v>
      </c>
      <c r="AN8933" s="528">
        <f>ROUND(T8937,2)</f>
        <v>0</v>
      </c>
      <c r="AO8933" s="529">
        <f>ROUND(AM8933+AN8933,2)*A8933</f>
        <v>37.020000000000003</v>
      </c>
      <c r="AR8933" s="747">
        <v>1</v>
      </c>
      <c r="AS8933" s="1146">
        <v>40.21</v>
      </c>
    </row>
    <row r="8934" spans="1:45" s="520" customFormat="1" ht="13.2">
      <c r="A8934" s="748"/>
      <c r="B8934"/>
      <c r="C8934" s="748"/>
      <c r="D8934" s="749" t="s">
        <v>2085</v>
      </c>
      <c r="F8934" s="753"/>
      <c r="G8934" s="3"/>
      <c r="H8934" s="753"/>
      <c r="I8934" s="754"/>
      <c r="J8934" s="753"/>
      <c r="K8934" s="753" t="s">
        <v>144</v>
      </c>
      <c r="L8934" s="753"/>
      <c r="M8934" s="753"/>
      <c r="N8934" s="753"/>
      <c r="O8934" s="753"/>
      <c r="P8934" s="753"/>
      <c r="Q8934" s="51"/>
      <c r="R8934" s="530"/>
      <c r="S8934" s="757"/>
      <c r="T8934" s="753"/>
      <c r="AR8934" s="748"/>
      <c r="AS8934" s="753"/>
    </row>
    <row r="8935" spans="1:45" s="901" customFormat="1" ht="13.2">
      <c r="A8935" s="903">
        <v>1</v>
      </c>
      <c r="B8935" s="904" t="s">
        <v>863</v>
      </c>
      <c r="C8935" s="904"/>
      <c r="D8935" s="904" t="s">
        <v>2594</v>
      </c>
      <c r="E8935" s="904"/>
      <c r="F8935" s="904" t="s">
        <v>4128</v>
      </c>
      <c r="G8935" s="905" t="s">
        <v>2595</v>
      </c>
      <c r="H8935" s="902">
        <v>960</v>
      </c>
      <c r="I8935" s="904" t="s">
        <v>2596</v>
      </c>
      <c r="J8935" s="904"/>
      <c r="K8935" s="904"/>
      <c r="L8935" s="904"/>
      <c r="M8935" s="904"/>
      <c r="N8935" s="904"/>
      <c r="O8935" s="902">
        <v>4</v>
      </c>
      <c r="P8935" s="906">
        <v>38274</v>
      </c>
      <c r="Q8935" s="1415">
        <f>37.5*0.9873</f>
        <v>37.02375</v>
      </c>
      <c r="R8935" s="908">
        <f>$A8935*Q8935</f>
        <v>37.02375</v>
      </c>
      <c r="S8935" s="907"/>
      <c r="T8935" s="909">
        <f>$A8935*S8935*$T$1</f>
        <v>0</v>
      </c>
      <c r="AR8935" s="903">
        <v>1</v>
      </c>
      <c r="AS8935" s="904" t="s">
        <v>3507</v>
      </c>
    </row>
    <row r="8936" spans="1:45" s="520" customFormat="1" ht="12">
      <c r="A8936" s="758"/>
      <c r="B8936" s="758"/>
      <c r="C8936" s="758"/>
      <c r="D8936" s="758"/>
      <c r="E8936" s="758"/>
      <c r="F8936" s="753"/>
      <c r="G8936" s="758"/>
      <c r="H8936" s="758"/>
      <c r="I8936" s="519"/>
      <c r="J8936" s="758"/>
      <c r="K8936" s="758"/>
      <c r="L8936" s="758"/>
      <c r="M8936" s="758"/>
      <c r="N8936" s="758"/>
      <c r="O8936" s="758"/>
      <c r="P8936" s="758"/>
      <c r="Q8936" s="519"/>
      <c r="R8936" s="759">
        <f>$A8936*Q8936</f>
        <v>0</v>
      </c>
      <c r="S8936" s="519"/>
      <c r="T8936" s="760">
        <f>$A8936*S8936*$T$1</f>
        <v>0</v>
      </c>
      <c r="AR8936" s="758"/>
      <c r="AS8936" s="753"/>
    </row>
    <row r="8937" spans="1:45" s="520" customFormat="1" ht="12.6" thickBot="1">
      <c r="A8937" s="761" t="s">
        <v>145</v>
      </c>
      <c r="B8937" s="762">
        <f>(R8936+T8936)</f>
        <v>0</v>
      </c>
      <c r="C8937" s="763"/>
      <c r="D8937" s="763"/>
      <c r="E8937" s="763"/>
      <c r="F8937" s="764"/>
      <c r="G8937" s="763" t="s">
        <v>146</v>
      </c>
      <c r="H8937" s="763"/>
      <c r="I8937" s="765"/>
      <c r="J8937" s="763"/>
      <c r="K8937" s="763" t="s">
        <v>5</v>
      </c>
      <c r="L8937" s="766" t="s">
        <v>143</v>
      </c>
      <c r="M8937" s="766"/>
      <c r="N8937" s="766"/>
      <c r="O8937" s="766"/>
      <c r="P8937" s="766"/>
      <c r="Q8937" s="767"/>
      <c r="R8937" s="768">
        <f>SUM(R8934:R8936)</f>
        <v>37.02375</v>
      </c>
      <c r="S8937" s="763"/>
      <c r="T8937" s="768">
        <f>SUM(T8934:T8936)</f>
        <v>0</v>
      </c>
      <c r="U8937" s="531"/>
      <c r="V8937" s="531"/>
      <c r="W8937" s="531"/>
      <c r="X8937" s="531"/>
      <c r="Y8937" s="531"/>
      <c r="Z8937" s="531"/>
      <c r="AA8937" s="531"/>
      <c r="AB8937" s="531"/>
      <c r="AC8937" s="531"/>
      <c r="AD8937" s="531"/>
      <c r="AE8937" s="531"/>
      <c r="AF8937" s="531"/>
      <c r="AG8937" s="531"/>
      <c r="AH8937" s="531"/>
      <c r="AI8937" s="531"/>
      <c r="AJ8937" s="531"/>
      <c r="AK8937" s="531"/>
      <c r="AL8937" s="531"/>
      <c r="AM8937" s="531"/>
      <c r="AN8937" s="531"/>
      <c r="AO8937" s="531"/>
      <c r="AR8937" s="761" t="s">
        <v>145</v>
      </c>
      <c r="AS8937" s="764"/>
    </row>
    <row r="8938" spans="1:45" s="520" customFormat="1" ht="12" thickTop="1">
      <c r="A8938" s="51"/>
      <c r="B8938" s="41"/>
      <c r="C8938" s="51"/>
      <c r="E8938" s="42" t="s">
        <v>138</v>
      </c>
      <c r="F8938" s="42" t="s">
        <v>139</v>
      </c>
      <c r="G8938" s="51"/>
      <c r="H8938" s="51"/>
      <c r="I8938" s="51"/>
      <c r="J8938" s="51"/>
      <c r="K8938" s="51" t="s">
        <v>140</v>
      </c>
      <c r="L8938" s="51"/>
      <c r="M8938" s="51"/>
      <c r="N8938" s="51"/>
      <c r="O8938" s="52"/>
      <c r="P8938" s="51"/>
      <c r="Q8938" s="51"/>
      <c r="R8938" s="51"/>
      <c r="S8938" s="51"/>
      <c r="T8938" s="41"/>
      <c r="AG8938" s="521" t="s">
        <v>268</v>
      </c>
      <c r="AH8938" s="521" t="s">
        <v>269</v>
      </c>
      <c r="AI8938" s="521" t="s">
        <v>270</v>
      </c>
      <c r="AJ8938" s="521" t="s">
        <v>271</v>
      </c>
      <c r="AK8938" s="521" t="s">
        <v>272</v>
      </c>
      <c r="AM8938" s="745" t="s">
        <v>281</v>
      </c>
      <c r="AN8938" s="746" t="s">
        <v>282</v>
      </c>
      <c r="AO8938" s="522" t="s">
        <v>278</v>
      </c>
      <c r="AR8938" s="51"/>
      <c r="AS8938" s="42" t="s">
        <v>139</v>
      </c>
    </row>
    <row r="8939" spans="1:45" s="520" customFormat="1" ht="12" customHeight="1">
      <c r="A8939" s="747">
        <v>1</v>
      </c>
      <c r="B8939" s="523" t="s">
        <v>141</v>
      </c>
      <c r="C8939" s="748"/>
      <c r="D8939" s="749" t="s">
        <v>2385</v>
      </c>
      <c r="E8939" s="1145">
        <f>IF(AND($A8939=0,$A$1="DIF"),0, ROUND(ROUND(($R8943*$S$3+($T8943*$T$3))/$A8939,2)*$C$3,2))</f>
        <v>36.950000000000003</v>
      </c>
      <c r="F8939" s="1146">
        <f>ROUND($A8939*$E8939,2)</f>
        <v>36.950000000000003</v>
      </c>
      <c r="G8939" s="752" t="s">
        <v>142</v>
      </c>
      <c r="H8939" s="753"/>
      <c r="I8939" s="754"/>
      <c r="J8939" s="753"/>
      <c r="K8939" s="753" t="s">
        <v>5</v>
      </c>
      <c r="L8939" s="755" t="s">
        <v>143</v>
      </c>
      <c r="M8939" s="755"/>
      <c r="N8939" s="755"/>
      <c r="O8939" s="755"/>
      <c r="P8939" s="755"/>
      <c r="Q8939" s="51"/>
      <c r="T8939" s="1150" t="str">
        <f>IF(AND($R8943=0,$T8943=0),"0.00","mu: "&amp; ROUND(F8939/$C$3/($R8943+$T8943*$D$9),2))</f>
        <v>mu: 1.13</v>
      </c>
      <c r="W8939" s="524"/>
      <c r="AG8939" s="1147">
        <f>IF($E8939=0,0,ROUND($R8943*$S$3*$C$3/$A8939,2))</f>
        <v>36.950000000000003</v>
      </c>
      <c r="AH8939" s="1147">
        <f>$AG8939*$A8939</f>
        <v>36.950000000000003</v>
      </c>
      <c r="AI8939" s="1148">
        <f>$E8939-$AG8939</f>
        <v>0</v>
      </c>
      <c r="AJ8939" s="1148">
        <f>$A8939*$AI8939</f>
        <v>0</v>
      </c>
      <c r="AK8939" s="1149">
        <f>ROUND(($AG8939+$AI8939)*$A8939,2)</f>
        <v>36.950000000000003</v>
      </c>
      <c r="AM8939" s="527">
        <f>ROUND(R8943,2)</f>
        <v>32.74</v>
      </c>
      <c r="AN8939" s="528">
        <f>ROUND(T8943,2)</f>
        <v>0</v>
      </c>
      <c r="AO8939" s="529">
        <f>ROUND(AM8939+AN8939,2)*A8939</f>
        <v>32.74</v>
      </c>
      <c r="AR8939" s="747">
        <v>1</v>
      </c>
      <c r="AS8939" s="1146">
        <v>40.21</v>
      </c>
    </row>
    <row r="8940" spans="1:45" s="520" customFormat="1" ht="13.2">
      <c r="A8940" s="748"/>
      <c r="B8940"/>
      <c r="C8940" s="748"/>
      <c r="D8940" s="749" t="s">
        <v>2086</v>
      </c>
      <c r="F8940" s="753"/>
      <c r="G8940" s="3"/>
      <c r="H8940" s="753"/>
      <c r="I8940" s="754"/>
      <c r="J8940" s="753"/>
      <c r="K8940" s="753" t="s">
        <v>144</v>
      </c>
      <c r="L8940" s="753"/>
      <c r="M8940" s="753"/>
      <c r="N8940" s="753"/>
      <c r="O8940" s="753"/>
      <c r="P8940" s="753"/>
      <c r="Q8940" s="51"/>
      <c r="R8940" s="530"/>
      <c r="S8940" s="757"/>
      <c r="T8940" s="753"/>
      <c r="AR8940" s="748"/>
      <c r="AS8940" s="753"/>
    </row>
    <row r="8941" spans="1:45" s="901" customFormat="1" ht="13.2">
      <c r="A8941" s="903">
        <v>1</v>
      </c>
      <c r="B8941" s="904" t="s">
        <v>863</v>
      </c>
      <c r="C8941" s="904"/>
      <c r="D8941" s="904" t="s">
        <v>2594</v>
      </c>
      <c r="E8941" s="904"/>
      <c r="F8941" s="904" t="s">
        <v>4128</v>
      </c>
      <c r="G8941" s="905" t="s">
        <v>2595</v>
      </c>
      <c r="H8941" s="902">
        <v>960</v>
      </c>
      <c r="I8941" s="904" t="s">
        <v>2596</v>
      </c>
      <c r="J8941" s="904"/>
      <c r="K8941" s="904"/>
      <c r="L8941" s="904"/>
      <c r="M8941" s="904"/>
      <c r="N8941" s="904"/>
      <c r="O8941" s="902">
        <v>4</v>
      </c>
      <c r="P8941" s="906">
        <v>38274</v>
      </c>
      <c r="Q8941" s="1415">
        <f>37.5*0.873</f>
        <v>32.737499999999997</v>
      </c>
      <c r="R8941" s="908">
        <f>$A8941*Q8941</f>
        <v>32.737499999999997</v>
      </c>
      <c r="S8941" s="907"/>
      <c r="T8941" s="909">
        <f>$A8941*S8941*$T$1</f>
        <v>0</v>
      </c>
      <c r="AR8941" s="903">
        <v>1</v>
      </c>
      <c r="AS8941" s="904" t="s">
        <v>3507</v>
      </c>
    </row>
    <row r="8942" spans="1:45" s="520" customFormat="1" ht="12">
      <c r="A8942" s="758"/>
      <c r="B8942" s="758"/>
      <c r="C8942" s="758"/>
      <c r="D8942" s="758"/>
      <c r="E8942" s="758"/>
      <c r="F8942" s="753"/>
      <c r="G8942" s="758"/>
      <c r="H8942" s="758"/>
      <c r="I8942" s="519"/>
      <c r="J8942" s="758"/>
      <c r="K8942" s="758"/>
      <c r="L8942" s="758"/>
      <c r="M8942" s="758"/>
      <c r="N8942" s="758"/>
      <c r="O8942" s="758"/>
      <c r="P8942" s="758"/>
      <c r="Q8942" s="519"/>
      <c r="R8942" s="759">
        <f>$A8942*Q8942</f>
        <v>0</v>
      </c>
      <c r="S8942" s="519"/>
      <c r="T8942" s="760">
        <f>$A8942*S8942*$T$1</f>
        <v>0</v>
      </c>
      <c r="AR8942" s="758"/>
      <c r="AS8942" s="753"/>
    </row>
    <row r="8943" spans="1:45" s="520" customFormat="1" ht="12.6" thickBot="1">
      <c r="A8943" s="761" t="s">
        <v>145</v>
      </c>
      <c r="B8943" s="762">
        <f>(R8942+T8942)</f>
        <v>0</v>
      </c>
      <c r="C8943" s="763"/>
      <c r="D8943" s="763"/>
      <c r="E8943" s="763"/>
      <c r="F8943" s="764"/>
      <c r="G8943" s="763" t="s">
        <v>146</v>
      </c>
      <c r="H8943" s="763"/>
      <c r="I8943" s="765"/>
      <c r="J8943" s="763"/>
      <c r="K8943" s="763" t="s">
        <v>5</v>
      </c>
      <c r="L8943" s="766" t="s">
        <v>143</v>
      </c>
      <c r="M8943" s="766"/>
      <c r="N8943" s="766"/>
      <c r="O8943" s="766"/>
      <c r="P8943" s="766"/>
      <c r="Q8943" s="767"/>
      <c r="R8943" s="768">
        <f>SUM(R8940:R8942)</f>
        <v>32.737499999999997</v>
      </c>
      <c r="S8943" s="763"/>
      <c r="T8943" s="768">
        <f>SUM(T8940:T8942)</f>
        <v>0</v>
      </c>
      <c r="U8943" s="531"/>
      <c r="V8943" s="531"/>
      <c r="W8943" s="531"/>
      <c r="X8943" s="531"/>
      <c r="Y8943" s="531"/>
      <c r="Z8943" s="531"/>
      <c r="AA8943" s="531"/>
      <c r="AB8943" s="531"/>
      <c r="AC8943" s="531"/>
      <c r="AD8943" s="531"/>
      <c r="AE8943" s="531"/>
      <c r="AF8943" s="531"/>
      <c r="AG8943" s="531"/>
      <c r="AH8943" s="531"/>
      <c r="AI8943" s="531"/>
      <c r="AJ8943" s="531"/>
      <c r="AK8943" s="531"/>
      <c r="AL8943" s="531"/>
      <c r="AM8943" s="531"/>
      <c r="AN8943" s="531"/>
      <c r="AO8943" s="531"/>
      <c r="AR8943" s="761" t="s">
        <v>145</v>
      </c>
      <c r="AS8943" s="764"/>
    </row>
    <row r="8944" spans="1:45" s="520" customFormat="1" ht="12" thickTop="1">
      <c r="A8944" s="51"/>
      <c r="B8944" s="41"/>
      <c r="C8944" s="51"/>
      <c r="E8944" s="42" t="s">
        <v>138</v>
      </c>
      <c r="F8944" s="42" t="s">
        <v>139</v>
      </c>
      <c r="G8944" s="51"/>
      <c r="H8944" s="51"/>
      <c r="I8944" s="51"/>
      <c r="J8944" s="51"/>
      <c r="K8944" s="51" t="s">
        <v>140</v>
      </c>
      <c r="L8944" s="51"/>
      <c r="M8944" s="51"/>
      <c r="N8944" s="51"/>
      <c r="O8944" s="52"/>
      <c r="P8944" s="51"/>
      <c r="Q8944" s="51"/>
      <c r="R8944" s="51"/>
      <c r="S8944" s="51"/>
      <c r="T8944" s="41"/>
      <c r="AG8944" s="521" t="s">
        <v>268</v>
      </c>
      <c r="AH8944" s="521" t="s">
        <v>269</v>
      </c>
      <c r="AI8944" s="521" t="s">
        <v>270</v>
      </c>
      <c r="AJ8944" s="521" t="s">
        <v>271</v>
      </c>
      <c r="AK8944" s="521" t="s">
        <v>272</v>
      </c>
      <c r="AM8944" s="745" t="s">
        <v>281</v>
      </c>
      <c r="AN8944" s="746" t="s">
        <v>282</v>
      </c>
      <c r="AO8944" s="522" t="s">
        <v>278</v>
      </c>
      <c r="AR8944" s="51"/>
      <c r="AS8944" s="42" t="s">
        <v>139</v>
      </c>
    </row>
    <row r="8945" spans="1:45" s="520" customFormat="1" ht="12" customHeight="1">
      <c r="A8945" s="747">
        <v>1</v>
      </c>
      <c r="B8945" s="523" t="s">
        <v>141</v>
      </c>
      <c r="C8945" s="748"/>
      <c r="D8945" s="749" t="s">
        <v>2386</v>
      </c>
      <c r="E8945" s="1145">
        <f>IF(AND($A8945=0,$A$1="DIF"),0, ROUND(ROUND(($R8949*$S$3+($T8949*$T$3))/$A8945,2)*$C$3,2))</f>
        <v>36.950000000000003</v>
      </c>
      <c r="F8945" s="1146">
        <f>ROUND($A8945*$E8945,2)</f>
        <v>36.950000000000003</v>
      </c>
      <c r="G8945" s="752" t="s">
        <v>142</v>
      </c>
      <c r="H8945" s="753"/>
      <c r="I8945" s="754"/>
      <c r="J8945" s="753"/>
      <c r="K8945" s="753" t="s">
        <v>5</v>
      </c>
      <c r="L8945" s="755" t="s">
        <v>143</v>
      </c>
      <c r="M8945" s="755"/>
      <c r="N8945" s="755"/>
      <c r="O8945" s="755"/>
      <c r="P8945" s="755"/>
      <c r="Q8945" s="51"/>
      <c r="T8945" s="1150" t="str">
        <f>IF(AND($R8949=0,$T8949=0),"0.00","mu: "&amp; ROUND(F8945/$C$3/($R8949+$T8949*$D$9),2))</f>
        <v>mu: 1.13</v>
      </c>
      <c r="W8945" s="524"/>
      <c r="AG8945" s="1147">
        <f>IF($E8945=0,0,ROUND($R8949*$S$3*$C$3/$A8945,2))</f>
        <v>36.950000000000003</v>
      </c>
      <c r="AH8945" s="1147">
        <f>$AG8945*$A8945</f>
        <v>36.950000000000003</v>
      </c>
      <c r="AI8945" s="1148">
        <f>$E8945-$AG8945</f>
        <v>0</v>
      </c>
      <c r="AJ8945" s="1148">
        <f>$A8945*$AI8945</f>
        <v>0</v>
      </c>
      <c r="AK8945" s="1149">
        <f>ROUND(($AG8945+$AI8945)*$A8945,2)</f>
        <v>36.950000000000003</v>
      </c>
      <c r="AM8945" s="527">
        <f>ROUND(R8949,2)</f>
        <v>32.74</v>
      </c>
      <c r="AN8945" s="528">
        <f>ROUND(T8949,2)</f>
        <v>0</v>
      </c>
      <c r="AO8945" s="529">
        <f>ROUND(AM8945+AN8945,2)*A8945</f>
        <v>32.74</v>
      </c>
      <c r="AR8945" s="747">
        <v>1</v>
      </c>
      <c r="AS8945" s="1146">
        <v>40.21</v>
      </c>
    </row>
    <row r="8946" spans="1:45" s="520" customFormat="1" ht="13.2">
      <c r="A8946" s="748"/>
      <c r="B8946"/>
      <c r="C8946" s="748"/>
      <c r="D8946" s="749" t="s">
        <v>2087</v>
      </c>
      <c r="F8946" s="753"/>
      <c r="G8946" s="3"/>
      <c r="H8946" s="753"/>
      <c r="I8946" s="754"/>
      <c r="J8946" s="753"/>
      <c r="K8946" s="753" t="s">
        <v>144</v>
      </c>
      <c r="L8946" s="753"/>
      <c r="M8946" s="753"/>
      <c r="N8946" s="753"/>
      <c r="O8946" s="753"/>
      <c r="P8946" s="753"/>
      <c r="Q8946" s="51"/>
      <c r="R8946" s="530"/>
      <c r="S8946" s="757"/>
      <c r="T8946" s="753"/>
      <c r="AR8946" s="748"/>
      <c r="AS8946" s="753"/>
    </row>
    <row r="8947" spans="1:45" s="901" customFormat="1" ht="13.2">
      <c r="A8947" s="903">
        <v>1</v>
      </c>
      <c r="B8947" s="904" t="s">
        <v>863</v>
      </c>
      <c r="C8947" s="904"/>
      <c r="D8947" s="904" t="s">
        <v>2594</v>
      </c>
      <c r="E8947" s="904"/>
      <c r="F8947" s="904" t="s">
        <v>4128</v>
      </c>
      <c r="G8947" s="905" t="s">
        <v>2595</v>
      </c>
      <c r="H8947" s="902">
        <v>960</v>
      </c>
      <c r="I8947" s="904" t="s">
        <v>2596</v>
      </c>
      <c r="J8947" s="904"/>
      <c r="K8947" s="904"/>
      <c r="L8947" s="904"/>
      <c r="M8947" s="904"/>
      <c r="N8947" s="904"/>
      <c r="O8947" s="902">
        <v>4</v>
      </c>
      <c r="P8947" s="906">
        <v>38274</v>
      </c>
      <c r="Q8947" s="1415">
        <f>37.5*0.873</f>
        <v>32.737499999999997</v>
      </c>
      <c r="R8947" s="908">
        <f>$A8947*Q8947</f>
        <v>32.737499999999997</v>
      </c>
      <c r="S8947" s="907"/>
      <c r="T8947" s="909">
        <f>$A8947*S8947*$T$1</f>
        <v>0</v>
      </c>
      <c r="AR8947" s="903">
        <v>1</v>
      </c>
      <c r="AS8947" s="904" t="s">
        <v>3507</v>
      </c>
    </row>
    <row r="8948" spans="1:45" s="520" customFormat="1" ht="12">
      <c r="A8948" s="758"/>
      <c r="B8948" s="758"/>
      <c r="C8948" s="758"/>
      <c r="D8948" s="758"/>
      <c r="E8948" s="758"/>
      <c r="F8948" s="753"/>
      <c r="G8948" s="758"/>
      <c r="H8948" s="758"/>
      <c r="I8948" s="519"/>
      <c r="J8948" s="758"/>
      <c r="K8948" s="758"/>
      <c r="L8948" s="758"/>
      <c r="M8948" s="758"/>
      <c r="N8948" s="758"/>
      <c r="O8948" s="758"/>
      <c r="P8948" s="758"/>
      <c r="Q8948" s="519"/>
      <c r="R8948" s="759">
        <f>$A8948*Q8948</f>
        <v>0</v>
      </c>
      <c r="S8948" s="519"/>
      <c r="T8948" s="760">
        <f>$A8948*S8948*$T$1</f>
        <v>0</v>
      </c>
      <c r="AR8948" s="758"/>
      <c r="AS8948" s="753"/>
    </row>
    <row r="8949" spans="1:45" s="520" customFormat="1" ht="12.6" thickBot="1">
      <c r="A8949" s="761" t="s">
        <v>145</v>
      </c>
      <c r="B8949" s="762">
        <f>(R8948+T8948)</f>
        <v>0</v>
      </c>
      <c r="C8949" s="763"/>
      <c r="D8949" s="763"/>
      <c r="E8949" s="763"/>
      <c r="F8949" s="764"/>
      <c r="G8949" s="763" t="s">
        <v>146</v>
      </c>
      <c r="H8949" s="763"/>
      <c r="I8949" s="765"/>
      <c r="J8949" s="763"/>
      <c r="K8949" s="763" t="s">
        <v>5</v>
      </c>
      <c r="L8949" s="766" t="s">
        <v>143</v>
      </c>
      <c r="M8949" s="766"/>
      <c r="N8949" s="766"/>
      <c r="O8949" s="766"/>
      <c r="P8949" s="766"/>
      <c r="Q8949" s="767"/>
      <c r="R8949" s="768">
        <f>SUM(R8946:R8948)</f>
        <v>32.737499999999997</v>
      </c>
      <c r="S8949" s="763"/>
      <c r="T8949" s="768">
        <f>SUM(T8946:T8948)</f>
        <v>0</v>
      </c>
      <c r="U8949" s="531"/>
      <c r="V8949" s="531"/>
      <c r="W8949" s="531"/>
      <c r="X8949" s="531"/>
      <c r="Y8949" s="531"/>
      <c r="Z8949" s="531"/>
      <c r="AA8949" s="531"/>
      <c r="AB8949" s="531"/>
      <c r="AC8949" s="531"/>
      <c r="AD8949" s="531"/>
      <c r="AE8949" s="531"/>
      <c r="AF8949" s="531"/>
      <c r="AG8949" s="531"/>
      <c r="AH8949" s="531"/>
      <c r="AI8949" s="531"/>
      <c r="AJ8949" s="531"/>
      <c r="AK8949" s="531"/>
      <c r="AL8949" s="531"/>
      <c r="AM8949" s="531"/>
      <c r="AN8949" s="531"/>
      <c r="AO8949" s="531"/>
      <c r="AR8949" s="761" t="s">
        <v>145</v>
      </c>
      <c r="AS8949" s="764"/>
    </row>
    <row r="8950" spans="1:45" s="520" customFormat="1" ht="12" thickTop="1">
      <c r="A8950" s="51"/>
      <c r="B8950" s="41"/>
      <c r="C8950" s="51"/>
      <c r="E8950" s="42" t="s">
        <v>138</v>
      </c>
      <c r="F8950" s="42" t="s">
        <v>139</v>
      </c>
      <c r="G8950" s="51"/>
      <c r="H8950" s="51"/>
      <c r="I8950" s="51"/>
      <c r="J8950" s="51"/>
      <c r="K8950" s="51" t="s">
        <v>140</v>
      </c>
      <c r="L8950" s="51"/>
      <c r="M8950" s="51"/>
      <c r="N8950" s="51"/>
      <c r="O8950" s="52"/>
      <c r="P8950" s="51"/>
      <c r="Q8950" s="51"/>
      <c r="R8950" s="51"/>
      <c r="S8950" s="51"/>
      <c r="T8950" s="41"/>
      <c r="AG8950" s="521" t="s">
        <v>268</v>
      </c>
      <c r="AH8950" s="521" t="s">
        <v>269</v>
      </c>
      <c r="AI8950" s="521" t="s">
        <v>270</v>
      </c>
      <c r="AJ8950" s="521" t="s">
        <v>271</v>
      </c>
      <c r="AK8950" s="521" t="s">
        <v>272</v>
      </c>
      <c r="AM8950" s="745" t="s">
        <v>281</v>
      </c>
      <c r="AN8950" s="746" t="s">
        <v>282</v>
      </c>
      <c r="AO8950" s="522" t="s">
        <v>278</v>
      </c>
      <c r="AR8950" s="51"/>
      <c r="AS8950" s="42" t="s">
        <v>139</v>
      </c>
    </row>
    <row r="8951" spans="1:45" s="520" customFormat="1" ht="12" customHeight="1">
      <c r="A8951" s="747">
        <v>3</v>
      </c>
      <c r="B8951" s="523" t="s">
        <v>141</v>
      </c>
      <c r="C8951" s="748"/>
      <c r="D8951" s="749" t="s">
        <v>2387</v>
      </c>
      <c r="E8951" s="1145">
        <f>IF(AND($A8951=0,$A$1="DIF"),0, ROUND(ROUND(($R8955*$S$3+($T8955*$T$3))/$A8951,2)*$C$3,2))</f>
        <v>36.950000000000003</v>
      </c>
      <c r="F8951" s="1146">
        <f>ROUND($A8951*$E8951,2)</f>
        <v>110.85</v>
      </c>
      <c r="G8951" s="752" t="s">
        <v>142</v>
      </c>
      <c r="H8951" s="753"/>
      <c r="I8951" s="754"/>
      <c r="J8951" s="753"/>
      <c r="K8951" s="753" t="s">
        <v>5</v>
      </c>
      <c r="L8951" s="755" t="s">
        <v>143</v>
      </c>
      <c r="M8951" s="755"/>
      <c r="N8951" s="755"/>
      <c r="O8951" s="755"/>
      <c r="P8951" s="755"/>
      <c r="Q8951" s="51"/>
      <c r="T8951" s="1150" t="str">
        <f>IF(AND($R8955=0,$T8955=0),"0.00","mu: "&amp; ROUND(F8951/$C$3/($R8955+$T8955*$D$9),2))</f>
        <v>mu: 1.13</v>
      </c>
      <c r="W8951" s="524"/>
      <c r="AG8951" s="1147">
        <f>IF($E8951=0,0,ROUND($R8955*$S$3*$C$3/$A8951,2))</f>
        <v>36.950000000000003</v>
      </c>
      <c r="AH8951" s="1147">
        <f>$AG8951*$A8951</f>
        <v>110.85000000000001</v>
      </c>
      <c r="AI8951" s="1148">
        <f>$E8951-$AG8951</f>
        <v>0</v>
      </c>
      <c r="AJ8951" s="1148">
        <f>$A8951*$AI8951</f>
        <v>0</v>
      </c>
      <c r="AK8951" s="1149">
        <f>ROUND(($AG8951+$AI8951)*$A8951,2)</f>
        <v>110.85</v>
      </c>
      <c r="AM8951" s="527">
        <f>ROUND(R8955,2)</f>
        <v>98.21</v>
      </c>
      <c r="AN8951" s="528">
        <f>ROUND(T8955,2)</f>
        <v>0</v>
      </c>
      <c r="AO8951" s="529">
        <f>ROUND(AM8951+AN8951,2)*A8951</f>
        <v>294.63</v>
      </c>
      <c r="AR8951" s="747">
        <v>3</v>
      </c>
      <c r="AS8951" s="1146">
        <v>120.63</v>
      </c>
    </row>
    <row r="8952" spans="1:45" s="520" customFormat="1" ht="13.2">
      <c r="A8952" s="748"/>
      <c r="B8952"/>
      <c r="C8952" s="748"/>
      <c r="D8952" s="749" t="s">
        <v>2088</v>
      </c>
      <c r="F8952" s="753"/>
      <c r="G8952" s="3"/>
      <c r="H8952" s="753"/>
      <c r="I8952" s="754"/>
      <c r="J8952" s="753"/>
      <c r="K8952" s="753" t="s">
        <v>144</v>
      </c>
      <c r="L8952" s="753"/>
      <c r="M8952" s="753"/>
      <c r="N8952" s="753"/>
      <c r="O8952" s="753"/>
      <c r="P8952" s="753"/>
      <c r="Q8952" s="51"/>
      <c r="R8952" s="530"/>
      <c r="S8952" s="757"/>
      <c r="T8952" s="753"/>
      <c r="AR8952" s="748"/>
      <c r="AS8952" s="753"/>
    </row>
    <row r="8953" spans="1:45" s="901" customFormat="1" ht="13.2">
      <c r="A8953" s="903">
        <v>3</v>
      </c>
      <c r="B8953" s="904" t="s">
        <v>863</v>
      </c>
      <c r="C8953" s="904"/>
      <c r="D8953" s="904" t="s">
        <v>2594</v>
      </c>
      <c r="E8953" s="904"/>
      <c r="F8953" s="904" t="s">
        <v>4128</v>
      </c>
      <c r="G8953" s="905" t="s">
        <v>2595</v>
      </c>
      <c r="H8953" s="902">
        <v>960</v>
      </c>
      <c r="I8953" s="904" t="s">
        <v>2596</v>
      </c>
      <c r="J8953" s="904"/>
      <c r="K8953" s="904"/>
      <c r="L8953" s="904"/>
      <c r="M8953" s="904"/>
      <c r="N8953" s="904"/>
      <c r="O8953" s="902">
        <v>4</v>
      </c>
      <c r="P8953" s="906">
        <v>38274</v>
      </c>
      <c r="Q8953" s="1415">
        <f>37.5*0.873</f>
        <v>32.737499999999997</v>
      </c>
      <c r="R8953" s="908">
        <f>$A8953*Q8953</f>
        <v>98.212499999999991</v>
      </c>
      <c r="S8953" s="907"/>
      <c r="T8953" s="909">
        <f>$A8953*S8953*$T$1</f>
        <v>0</v>
      </c>
      <c r="AR8953" s="903">
        <v>3</v>
      </c>
      <c r="AS8953" s="904" t="s">
        <v>3507</v>
      </c>
    </row>
    <row r="8954" spans="1:45" s="520" customFormat="1" ht="12">
      <c r="A8954" s="758"/>
      <c r="B8954" s="758"/>
      <c r="C8954" s="758"/>
      <c r="D8954" s="758"/>
      <c r="E8954" s="758"/>
      <c r="F8954" s="753"/>
      <c r="G8954" s="758"/>
      <c r="H8954" s="758"/>
      <c r="I8954" s="519"/>
      <c r="J8954" s="758"/>
      <c r="K8954" s="758"/>
      <c r="L8954" s="758"/>
      <c r="M8954" s="758"/>
      <c r="N8954" s="758"/>
      <c r="O8954" s="758"/>
      <c r="P8954" s="758"/>
      <c r="Q8954" s="519"/>
      <c r="R8954" s="759">
        <f>$A8954*Q8954</f>
        <v>0</v>
      </c>
      <c r="S8954" s="519"/>
      <c r="T8954" s="760">
        <f>$A8954*S8954*$T$1</f>
        <v>0</v>
      </c>
      <c r="AR8954" s="758"/>
      <c r="AS8954" s="753"/>
    </row>
    <row r="8955" spans="1:45" s="520" customFormat="1" ht="12.6" thickBot="1">
      <c r="A8955" s="761" t="s">
        <v>145</v>
      </c>
      <c r="B8955" s="762">
        <f>(R8954+T8954)</f>
        <v>0</v>
      </c>
      <c r="C8955" s="763"/>
      <c r="D8955" s="763"/>
      <c r="E8955" s="763"/>
      <c r="F8955" s="764"/>
      <c r="G8955" s="763" t="s">
        <v>146</v>
      </c>
      <c r="H8955" s="763"/>
      <c r="I8955" s="765"/>
      <c r="J8955" s="763"/>
      <c r="K8955" s="763" t="s">
        <v>5</v>
      </c>
      <c r="L8955" s="766" t="s">
        <v>143</v>
      </c>
      <c r="M8955" s="766"/>
      <c r="N8955" s="766"/>
      <c r="O8955" s="766"/>
      <c r="P8955" s="766"/>
      <c r="Q8955" s="767"/>
      <c r="R8955" s="768">
        <f>SUM(R8952:R8954)</f>
        <v>98.212499999999991</v>
      </c>
      <c r="S8955" s="763"/>
      <c r="T8955" s="768">
        <f>SUM(T8952:T8954)</f>
        <v>0</v>
      </c>
      <c r="U8955" s="531"/>
      <c r="V8955" s="531"/>
      <c r="W8955" s="531"/>
      <c r="X8955" s="531"/>
      <c r="Y8955" s="531"/>
      <c r="Z8955" s="531"/>
      <c r="AA8955" s="531"/>
      <c r="AB8955" s="531"/>
      <c r="AC8955" s="531"/>
      <c r="AD8955" s="531"/>
      <c r="AE8955" s="531"/>
      <c r="AF8955" s="531"/>
      <c r="AG8955" s="531"/>
      <c r="AH8955" s="531"/>
      <c r="AI8955" s="531"/>
      <c r="AJ8955" s="531"/>
      <c r="AK8955" s="531"/>
      <c r="AL8955" s="531"/>
      <c r="AM8955" s="531"/>
      <c r="AN8955" s="531"/>
      <c r="AO8955" s="531"/>
      <c r="AR8955" s="761" t="s">
        <v>145</v>
      </c>
      <c r="AS8955" s="764"/>
    </row>
    <row r="8956" spans="1:45" s="520" customFormat="1" ht="12" thickTop="1">
      <c r="A8956" s="51"/>
      <c r="B8956" s="41"/>
      <c r="C8956" s="51"/>
      <c r="E8956" s="42" t="s">
        <v>138</v>
      </c>
      <c r="F8956" s="42" t="s">
        <v>139</v>
      </c>
      <c r="G8956" s="51"/>
      <c r="H8956" s="51"/>
      <c r="I8956" s="51"/>
      <c r="J8956" s="51"/>
      <c r="K8956" s="51" t="s">
        <v>140</v>
      </c>
      <c r="L8956" s="51"/>
      <c r="M8956" s="51"/>
      <c r="N8956" s="51"/>
      <c r="O8956" s="52"/>
      <c r="P8956" s="51"/>
      <c r="Q8956" s="51"/>
      <c r="R8956" s="51"/>
      <c r="S8956" s="51"/>
      <c r="T8956" s="41"/>
      <c r="AG8956" s="521" t="s">
        <v>268</v>
      </c>
      <c r="AH8956" s="521" t="s">
        <v>269</v>
      </c>
      <c r="AI8956" s="521" t="s">
        <v>270</v>
      </c>
      <c r="AJ8956" s="521" t="s">
        <v>271</v>
      </c>
      <c r="AK8956" s="521" t="s">
        <v>272</v>
      </c>
      <c r="AM8956" s="745" t="s">
        <v>281</v>
      </c>
      <c r="AN8956" s="746" t="s">
        <v>282</v>
      </c>
      <c r="AO8956" s="522" t="s">
        <v>278</v>
      </c>
      <c r="AR8956" s="51"/>
      <c r="AS8956" s="42" t="s">
        <v>139</v>
      </c>
    </row>
    <row r="8957" spans="1:45" s="520" customFormat="1" ht="12" customHeight="1">
      <c r="A8957" s="747">
        <v>4</v>
      </c>
      <c r="B8957" s="523" t="s">
        <v>141</v>
      </c>
      <c r="C8957" s="748"/>
      <c r="D8957" s="749" t="s">
        <v>2388</v>
      </c>
      <c r="E8957" s="1145">
        <f>IF(AND($A8957=0,$A$1="DIF"),0, ROUND(ROUND(($R8961*$S$3+($T8961*$T$3))/$A8957,2)*$C$3,2))</f>
        <v>36.950000000000003</v>
      </c>
      <c r="F8957" s="1146">
        <f>ROUND($A8957*$E8957,2)</f>
        <v>147.80000000000001</v>
      </c>
      <c r="G8957" s="752" t="s">
        <v>142</v>
      </c>
      <c r="H8957" s="753"/>
      <c r="I8957" s="754"/>
      <c r="J8957" s="753"/>
      <c r="K8957" s="753" t="s">
        <v>5</v>
      </c>
      <c r="L8957" s="755" t="s">
        <v>143</v>
      </c>
      <c r="M8957" s="755"/>
      <c r="N8957" s="755"/>
      <c r="O8957" s="755"/>
      <c r="P8957" s="755"/>
      <c r="Q8957" s="51"/>
      <c r="T8957" s="1150" t="str">
        <f>IF(AND($R8961=0,$T8961=0),"0.00","mu: "&amp; ROUND(F8957/$C$3/($R8961+$T8961*$D$9),2))</f>
        <v>mu: 1.13</v>
      </c>
      <c r="W8957" s="524"/>
      <c r="AG8957" s="1147">
        <f>IF($E8957=0,0,ROUND($R8961*$S$3*$C$3/$A8957,2))</f>
        <v>36.950000000000003</v>
      </c>
      <c r="AH8957" s="1147">
        <f>$AG8957*$A8957</f>
        <v>147.80000000000001</v>
      </c>
      <c r="AI8957" s="1148">
        <f>$E8957-$AG8957</f>
        <v>0</v>
      </c>
      <c r="AJ8957" s="1148">
        <f>$A8957*$AI8957</f>
        <v>0</v>
      </c>
      <c r="AK8957" s="1149">
        <f>ROUND(($AG8957+$AI8957)*$A8957,2)</f>
        <v>147.80000000000001</v>
      </c>
      <c r="AM8957" s="527">
        <f>ROUND(R8961,2)</f>
        <v>130.94999999999999</v>
      </c>
      <c r="AN8957" s="528">
        <f>ROUND(T8961,2)</f>
        <v>0</v>
      </c>
      <c r="AO8957" s="529">
        <f>ROUND(AM8957+AN8957,2)*A8957</f>
        <v>523.79999999999995</v>
      </c>
      <c r="AR8957" s="747">
        <v>4</v>
      </c>
      <c r="AS8957" s="1146">
        <v>160.84</v>
      </c>
    </row>
    <row r="8958" spans="1:45" s="520" customFormat="1" ht="13.2">
      <c r="A8958" s="748"/>
      <c r="B8958"/>
      <c r="C8958" s="748"/>
      <c r="D8958" s="749" t="s">
        <v>2089</v>
      </c>
      <c r="F8958" s="753"/>
      <c r="G8958" s="3"/>
      <c r="H8958" s="753"/>
      <c r="I8958" s="754"/>
      <c r="J8958" s="753"/>
      <c r="K8958" s="753" t="s">
        <v>144</v>
      </c>
      <c r="L8958" s="753"/>
      <c r="M8958" s="753"/>
      <c r="N8958" s="753"/>
      <c r="O8958" s="753"/>
      <c r="P8958" s="753"/>
      <c r="Q8958" s="51"/>
      <c r="R8958" s="530"/>
      <c r="S8958" s="757"/>
      <c r="T8958" s="753"/>
      <c r="AR8958" s="748"/>
      <c r="AS8958" s="753"/>
    </row>
    <row r="8959" spans="1:45" s="901" customFormat="1" ht="13.2">
      <c r="A8959" s="903">
        <v>4</v>
      </c>
      <c r="B8959" s="904" t="s">
        <v>863</v>
      </c>
      <c r="C8959" s="904"/>
      <c r="D8959" s="904" t="s">
        <v>2594</v>
      </c>
      <c r="E8959" s="904"/>
      <c r="F8959" s="904" t="s">
        <v>4128</v>
      </c>
      <c r="G8959" s="905" t="s">
        <v>2595</v>
      </c>
      <c r="H8959" s="902">
        <v>960</v>
      </c>
      <c r="I8959" s="904" t="s">
        <v>2596</v>
      </c>
      <c r="J8959" s="904"/>
      <c r="K8959" s="904"/>
      <c r="L8959" s="904"/>
      <c r="M8959" s="904"/>
      <c r="N8959" s="904"/>
      <c r="O8959" s="902">
        <v>4</v>
      </c>
      <c r="P8959" s="906">
        <v>38274</v>
      </c>
      <c r="Q8959" s="1415">
        <f>37.5*0.873</f>
        <v>32.737499999999997</v>
      </c>
      <c r="R8959" s="908">
        <f>$A8959*Q8959</f>
        <v>130.94999999999999</v>
      </c>
      <c r="S8959" s="907"/>
      <c r="T8959" s="909">
        <f>$A8959*S8959*$T$1</f>
        <v>0</v>
      </c>
      <c r="AR8959" s="903">
        <v>4</v>
      </c>
      <c r="AS8959" s="904" t="s">
        <v>3507</v>
      </c>
    </row>
    <row r="8960" spans="1:45" s="520" customFormat="1" ht="12">
      <c r="A8960" s="758"/>
      <c r="B8960" s="758"/>
      <c r="C8960" s="758"/>
      <c r="D8960" s="758"/>
      <c r="E8960" s="758"/>
      <c r="F8960" s="753"/>
      <c r="G8960" s="758"/>
      <c r="H8960" s="758"/>
      <c r="I8960" s="519"/>
      <c r="J8960" s="758"/>
      <c r="K8960" s="758"/>
      <c r="L8960" s="758"/>
      <c r="M8960" s="758"/>
      <c r="N8960" s="758"/>
      <c r="O8960" s="758"/>
      <c r="P8960" s="758"/>
      <c r="Q8960" s="519"/>
      <c r="R8960" s="759">
        <f>$A8960*Q8960</f>
        <v>0</v>
      </c>
      <c r="S8960" s="519"/>
      <c r="T8960" s="760">
        <f>$A8960*S8960*$T$1</f>
        <v>0</v>
      </c>
      <c r="AR8960" s="758"/>
      <c r="AS8960" s="753"/>
    </row>
    <row r="8961" spans="1:45" s="520" customFormat="1" ht="12.6" thickBot="1">
      <c r="A8961" s="761" t="s">
        <v>145</v>
      </c>
      <c r="B8961" s="762">
        <f>(R8960+T8960)</f>
        <v>0</v>
      </c>
      <c r="C8961" s="763"/>
      <c r="D8961" s="763"/>
      <c r="E8961" s="763"/>
      <c r="F8961" s="764"/>
      <c r="G8961" s="763" t="s">
        <v>146</v>
      </c>
      <c r="H8961" s="763"/>
      <c r="I8961" s="765"/>
      <c r="J8961" s="763"/>
      <c r="K8961" s="763" t="s">
        <v>5</v>
      </c>
      <c r="L8961" s="766" t="s">
        <v>143</v>
      </c>
      <c r="M8961" s="766"/>
      <c r="N8961" s="766"/>
      <c r="O8961" s="766"/>
      <c r="P8961" s="766"/>
      <c r="Q8961" s="767"/>
      <c r="R8961" s="768">
        <f>SUM(R8958:R8960)</f>
        <v>130.94999999999999</v>
      </c>
      <c r="S8961" s="763"/>
      <c r="T8961" s="768">
        <f>SUM(T8958:T8960)</f>
        <v>0</v>
      </c>
      <c r="U8961" s="531"/>
      <c r="V8961" s="531"/>
      <c r="W8961" s="531"/>
      <c r="X8961" s="531"/>
      <c r="Y8961" s="531"/>
      <c r="Z8961" s="531"/>
      <c r="AA8961" s="531"/>
      <c r="AB8961" s="531"/>
      <c r="AC8961" s="531"/>
      <c r="AD8961" s="531"/>
      <c r="AE8961" s="531"/>
      <c r="AF8961" s="531"/>
      <c r="AG8961" s="531"/>
      <c r="AH8961" s="531"/>
      <c r="AI8961" s="531"/>
      <c r="AJ8961" s="531"/>
      <c r="AK8961" s="531"/>
      <c r="AL8961" s="531"/>
      <c r="AM8961" s="531"/>
      <c r="AN8961" s="531"/>
      <c r="AO8961" s="531"/>
      <c r="AR8961" s="761" t="s">
        <v>145</v>
      </c>
      <c r="AS8961" s="764"/>
    </row>
    <row r="8962" spans="1:45" s="520" customFormat="1" thickTop="1">
      <c r="A8962" s="51"/>
      <c r="B8962" s="51"/>
      <c r="C8962" s="3"/>
      <c r="D8962" s="3"/>
      <c r="E8962" s="51"/>
      <c r="F8962" s="51"/>
      <c r="G8962" s="51"/>
      <c r="H8962" s="51"/>
      <c r="I8962" s="51"/>
      <c r="J8962" s="51"/>
      <c r="K8962" s="51" t="s">
        <v>134</v>
      </c>
      <c r="L8962" s="51"/>
      <c r="M8962" s="51"/>
      <c r="N8962" s="51"/>
      <c r="O8962" s="52"/>
      <c r="P8962" s="51"/>
      <c r="Q8962" s="51"/>
      <c r="R8962" s="51"/>
      <c r="S8962" s="51"/>
      <c r="T8962" s="51"/>
      <c r="AR8962" s="51"/>
      <c r="AS8962" s="51"/>
    </row>
    <row r="8963" spans="1:45" s="520" customFormat="1" ht="12">
      <c r="A8963" s="51"/>
      <c r="B8963" s="51"/>
      <c r="C8963" s="51" t="s">
        <v>135</v>
      </c>
      <c r="D8963" s="37"/>
      <c r="E8963" s="51"/>
      <c r="F8963" s="51"/>
      <c r="G8963" s="51"/>
      <c r="H8963" s="51"/>
      <c r="I8963" s="51"/>
      <c r="J8963" s="51"/>
      <c r="K8963" s="51"/>
      <c r="L8963" s="51"/>
      <c r="M8963" s="51"/>
      <c r="N8963" s="51"/>
      <c r="O8963" s="52"/>
      <c r="P8963" s="51"/>
      <c r="Q8963" s="51"/>
      <c r="R8963" s="51"/>
      <c r="S8963" s="51"/>
      <c r="T8963" s="51"/>
      <c r="AR8963" s="51"/>
      <c r="AS8963" s="51"/>
    </row>
    <row r="8964" spans="1:45" s="520" customFormat="1" ht="12">
      <c r="A8964" s="51"/>
      <c r="B8964" s="51"/>
      <c r="C8964" s="51"/>
      <c r="D8964" s="37" t="s">
        <v>2070</v>
      </c>
      <c r="E8964" s="51"/>
      <c r="F8964" s="51"/>
      <c r="G8964" s="51"/>
      <c r="H8964" s="51"/>
      <c r="I8964" s="51"/>
      <c r="J8964" s="51"/>
      <c r="K8964" s="51"/>
      <c r="L8964" s="51"/>
      <c r="M8964" s="51"/>
      <c r="N8964" s="51"/>
      <c r="O8964" s="52"/>
      <c r="P8964" s="51"/>
      <c r="Q8964" s="51"/>
      <c r="R8964" s="51"/>
      <c r="S8964" s="38"/>
      <c r="T8964" s="38"/>
      <c r="AR8964" s="51"/>
      <c r="AS8964" s="51"/>
    </row>
    <row r="8965" spans="1:45" s="3" customFormat="1" thickBot="1">
      <c r="A8965" s="531"/>
      <c r="O8965" s="107"/>
      <c r="AR8965" s="531"/>
    </row>
    <row r="8966" spans="1:45" s="520" customFormat="1" ht="12" thickTop="1">
      <c r="A8966" s="51"/>
      <c r="B8966" s="41"/>
      <c r="C8966" s="51"/>
      <c r="E8966" s="42" t="s">
        <v>138</v>
      </c>
      <c r="F8966" s="42" t="s">
        <v>139</v>
      </c>
      <c r="G8966" s="51"/>
      <c r="H8966" s="51"/>
      <c r="I8966" s="51"/>
      <c r="J8966" s="51"/>
      <c r="K8966" s="51" t="s">
        <v>140</v>
      </c>
      <c r="L8966" s="51"/>
      <c r="M8966" s="51"/>
      <c r="N8966" s="51"/>
      <c r="O8966" s="52"/>
      <c r="P8966" s="51"/>
      <c r="Q8966" s="51"/>
      <c r="R8966" s="51"/>
      <c r="S8966" s="51"/>
      <c r="T8966" s="41"/>
      <c r="AG8966" s="521" t="s">
        <v>268</v>
      </c>
      <c r="AH8966" s="521" t="s">
        <v>269</v>
      </c>
      <c r="AI8966" s="521" t="s">
        <v>270</v>
      </c>
      <c r="AJ8966" s="521" t="s">
        <v>271</v>
      </c>
      <c r="AK8966" s="521" t="s">
        <v>272</v>
      </c>
      <c r="AM8966" s="745" t="s">
        <v>281</v>
      </c>
      <c r="AN8966" s="746" t="s">
        <v>282</v>
      </c>
      <c r="AO8966" s="522" t="s">
        <v>278</v>
      </c>
      <c r="AR8966" s="51"/>
      <c r="AS8966" s="42" t="s">
        <v>139</v>
      </c>
    </row>
    <row r="8967" spans="1:45" s="520" customFormat="1" ht="12" customHeight="1">
      <c r="A8967" s="747">
        <v>8</v>
      </c>
      <c r="B8967" s="523" t="s">
        <v>141</v>
      </c>
      <c r="C8967" s="748"/>
      <c r="D8967" s="749" t="s">
        <v>2389</v>
      </c>
      <c r="E8967" s="1145">
        <f>IF(AND($A8967=0,$A$1="DIF"),0, ROUND(ROUND(($R8971*$S$3+($T8971*$T$3))/$A8967,2)*$C$3,2))</f>
        <v>52.23</v>
      </c>
      <c r="F8967" s="1146">
        <f>ROUND($A8967*$E8967,2)</f>
        <v>417.84</v>
      </c>
      <c r="G8967" s="752" t="s">
        <v>142</v>
      </c>
      <c r="H8967" s="753"/>
      <c r="I8967" s="754"/>
      <c r="J8967" s="753"/>
      <c r="K8967" s="753" t="s">
        <v>5</v>
      </c>
      <c r="L8967" s="755" t="s">
        <v>143</v>
      </c>
      <c r="M8967" s="755"/>
      <c r="N8967" s="755"/>
      <c r="O8967" s="755"/>
      <c r="P8967" s="755"/>
      <c r="Q8967" s="51"/>
      <c r="T8967" s="1150" t="str">
        <f>IF(AND($R8971=0,$T8971=0),"0.00","mu: "&amp; ROUND(F8967/$C$3/($R8971+$T8971*$D$9),2))</f>
        <v>mu: 1.13</v>
      </c>
      <c r="W8967" s="524"/>
      <c r="AG8967" s="1147">
        <f>IF($E8967=0,0,ROUND($R8971*$S$3*$C$3/$A8967,2))</f>
        <v>52.23</v>
      </c>
      <c r="AH8967" s="1147">
        <f>$AG8967*$A8967</f>
        <v>417.84</v>
      </c>
      <c r="AI8967" s="1148">
        <f>$E8967-$AG8967</f>
        <v>0</v>
      </c>
      <c r="AJ8967" s="1148">
        <f>$A8967*$AI8967</f>
        <v>0</v>
      </c>
      <c r="AK8967" s="1149">
        <f>ROUND(($AG8967+$AI8967)*$A8967,2)</f>
        <v>417.84</v>
      </c>
      <c r="AM8967" s="527">
        <f>ROUND(R8971,2)</f>
        <v>370.15</v>
      </c>
      <c r="AN8967" s="528">
        <f>ROUND(T8971,2)</f>
        <v>0</v>
      </c>
      <c r="AO8967" s="529">
        <f>ROUND(AM8967+AN8967,2)*A8967</f>
        <v>2961.2</v>
      </c>
      <c r="AR8967" s="747">
        <v>8</v>
      </c>
      <c r="AS8967" s="1146">
        <v>454.64</v>
      </c>
    </row>
    <row r="8968" spans="1:45" s="520" customFormat="1" ht="13.2">
      <c r="A8968" s="748"/>
      <c r="B8968"/>
      <c r="C8968" s="748"/>
      <c r="D8968" s="749" t="s">
        <v>2061</v>
      </c>
      <c r="F8968" s="753"/>
      <c r="G8968" s="3"/>
      <c r="H8968" s="753"/>
      <c r="I8968" s="754"/>
      <c r="J8968" s="753"/>
      <c r="K8968" s="753" t="s">
        <v>144</v>
      </c>
      <c r="L8968" s="753"/>
      <c r="M8968" s="753"/>
      <c r="N8968" s="753"/>
      <c r="O8968" s="753"/>
      <c r="P8968" s="753"/>
      <c r="Q8968" s="51"/>
      <c r="R8968" s="530"/>
      <c r="S8968" s="757"/>
      <c r="T8968" s="753"/>
      <c r="AR8968" s="748"/>
      <c r="AS8968" s="753"/>
    </row>
    <row r="8969" spans="1:45" s="901" customFormat="1" ht="13.2">
      <c r="A8969" s="903">
        <v>8</v>
      </c>
      <c r="B8969" s="904" t="s">
        <v>863</v>
      </c>
      <c r="C8969" s="904"/>
      <c r="D8969" s="904" t="s">
        <v>2594</v>
      </c>
      <c r="E8969" s="904"/>
      <c r="F8969" s="904" t="s">
        <v>4128</v>
      </c>
      <c r="G8969" s="905" t="s">
        <v>2595</v>
      </c>
      <c r="H8969" s="902">
        <v>960</v>
      </c>
      <c r="I8969" s="904" t="s">
        <v>2596</v>
      </c>
      <c r="J8969" s="904"/>
      <c r="K8969" s="904"/>
      <c r="L8969" s="904"/>
      <c r="M8969" s="904"/>
      <c r="N8969" s="904"/>
      <c r="O8969" s="902">
        <v>4</v>
      </c>
      <c r="P8969" s="906">
        <v>38274</v>
      </c>
      <c r="Q8969" s="1415">
        <f>53*0.873</f>
        <v>46.268999999999998</v>
      </c>
      <c r="R8969" s="908">
        <f>$A8969*Q8969</f>
        <v>370.15199999999999</v>
      </c>
      <c r="S8969" s="907"/>
      <c r="T8969" s="909">
        <f>$A8969*S8969*$T$1</f>
        <v>0</v>
      </c>
      <c r="AR8969" s="903">
        <v>8</v>
      </c>
      <c r="AS8969" s="904" t="s">
        <v>3507</v>
      </c>
    </row>
    <row r="8970" spans="1:45" s="520" customFormat="1" ht="12">
      <c r="A8970" s="758"/>
      <c r="B8970" s="758"/>
      <c r="C8970" s="758"/>
      <c r="D8970" s="758"/>
      <c r="E8970" s="758"/>
      <c r="F8970" s="753"/>
      <c r="G8970" s="758"/>
      <c r="H8970" s="758"/>
      <c r="I8970" s="519"/>
      <c r="J8970" s="758"/>
      <c r="K8970" s="758"/>
      <c r="L8970" s="758"/>
      <c r="M8970" s="758"/>
      <c r="N8970" s="758"/>
      <c r="O8970" s="758"/>
      <c r="P8970" s="758"/>
      <c r="Q8970" s="519"/>
      <c r="R8970" s="759">
        <f>$A8970*Q8970</f>
        <v>0</v>
      </c>
      <c r="S8970" s="519"/>
      <c r="T8970" s="760">
        <f>$A8970*S8970*$T$1</f>
        <v>0</v>
      </c>
      <c r="AR8970" s="758"/>
      <c r="AS8970" s="753"/>
    </row>
    <row r="8971" spans="1:45" s="520" customFormat="1" ht="12.6" thickBot="1">
      <c r="A8971" s="761" t="s">
        <v>145</v>
      </c>
      <c r="B8971" s="762">
        <f>(R8970+T8970)</f>
        <v>0</v>
      </c>
      <c r="C8971" s="763"/>
      <c r="D8971" s="763"/>
      <c r="E8971" s="763"/>
      <c r="F8971" s="764"/>
      <c r="G8971" s="763" t="s">
        <v>146</v>
      </c>
      <c r="H8971" s="763"/>
      <c r="I8971" s="765"/>
      <c r="J8971" s="763"/>
      <c r="K8971" s="763" t="s">
        <v>5</v>
      </c>
      <c r="L8971" s="766" t="s">
        <v>143</v>
      </c>
      <c r="M8971" s="766"/>
      <c r="N8971" s="766"/>
      <c r="O8971" s="766"/>
      <c r="P8971" s="766"/>
      <c r="Q8971" s="767"/>
      <c r="R8971" s="768">
        <f>SUM(R8968:R8970)</f>
        <v>370.15199999999999</v>
      </c>
      <c r="S8971" s="763"/>
      <c r="T8971" s="768">
        <f>SUM(T8968:T8970)</f>
        <v>0</v>
      </c>
      <c r="U8971" s="531"/>
      <c r="V8971" s="531"/>
      <c r="W8971" s="531"/>
      <c r="X8971" s="531"/>
      <c r="Y8971" s="531"/>
      <c r="Z8971" s="531"/>
      <c r="AA8971" s="531"/>
      <c r="AB8971" s="531"/>
      <c r="AC8971" s="531"/>
      <c r="AD8971" s="531"/>
      <c r="AE8971" s="531"/>
      <c r="AF8971" s="531"/>
      <c r="AG8971" s="531"/>
      <c r="AH8971" s="531"/>
      <c r="AI8971" s="531"/>
      <c r="AJ8971" s="531"/>
      <c r="AK8971" s="531"/>
      <c r="AL8971" s="531"/>
      <c r="AM8971" s="531"/>
      <c r="AN8971" s="531"/>
      <c r="AO8971" s="531"/>
      <c r="AR8971" s="761" t="s">
        <v>145</v>
      </c>
      <c r="AS8971" s="764"/>
    </row>
    <row r="8972" spans="1:45" s="520" customFormat="1" ht="12" thickTop="1">
      <c r="A8972" s="51"/>
      <c r="B8972" s="41"/>
      <c r="C8972" s="51"/>
      <c r="E8972" s="42" t="s">
        <v>138</v>
      </c>
      <c r="F8972" s="42" t="s">
        <v>139</v>
      </c>
      <c r="G8972" s="51"/>
      <c r="H8972" s="51"/>
      <c r="I8972" s="51"/>
      <c r="J8972" s="51"/>
      <c r="K8972" s="51" t="s">
        <v>140</v>
      </c>
      <c r="L8972" s="51"/>
      <c r="M8972" s="51"/>
      <c r="N8972" s="51"/>
      <c r="O8972" s="52"/>
      <c r="P8972" s="51"/>
      <c r="Q8972" s="51"/>
      <c r="R8972" s="51"/>
      <c r="S8972" s="51"/>
      <c r="T8972" s="41"/>
      <c r="AG8972" s="521" t="s">
        <v>268</v>
      </c>
      <c r="AH8972" s="521" t="s">
        <v>269</v>
      </c>
      <c r="AI8972" s="521" t="s">
        <v>270</v>
      </c>
      <c r="AJ8972" s="521" t="s">
        <v>271</v>
      </c>
      <c r="AK8972" s="521" t="s">
        <v>272</v>
      </c>
      <c r="AM8972" s="745" t="s">
        <v>281</v>
      </c>
      <c r="AN8972" s="746" t="s">
        <v>282</v>
      </c>
      <c r="AO8972" s="522" t="s">
        <v>278</v>
      </c>
      <c r="AR8972" s="51"/>
      <c r="AS8972" s="42" t="s">
        <v>139</v>
      </c>
    </row>
    <row r="8973" spans="1:45" s="520" customFormat="1" ht="12" customHeight="1">
      <c r="A8973" s="747">
        <v>3</v>
      </c>
      <c r="B8973" s="523" t="s">
        <v>141</v>
      </c>
      <c r="C8973" s="748"/>
      <c r="D8973" s="749" t="s">
        <v>2390</v>
      </c>
      <c r="E8973" s="1145">
        <f>IF(AND($A8973=0,$A$1="DIF"),0, ROUND(ROUND(($R8977*$S$3+($T8977*$T$3))/$A8973,2)*$C$3,2))</f>
        <v>93.61</v>
      </c>
      <c r="F8973" s="1146">
        <f>ROUND($A8973*$E8973,2)</f>
        <v>280.83</v>
      </c>
      <c r="G8973" s="752" t="s">
        <v>142</v>
      </c>
      <c r="H8973" s="753"/>
      <c r="I8973" s="754"/>
      <c r="J8973" s="753"/>
      <c r="K8973" s="753" t="s">
        <v>5</v>
      </c>
      <c r="L8973" s="755" t="s">
        <v>143</v>
      </c>
      <c r="M8973" s="755"/>
      <c r="N8973" s="755"/>
      <c r="O8973" s="755"/>
      <c r="P8973" s="755"/>
      <c r="Q8973" s="51"/>
      <c r="T8973" s="1150" t="str">
        <f>IF(AND($R8977=0,$T8977=0),"0.00","mu: "&amp; ROUND(F8973/$C$3/($R8977+$T8977*$D$9),2))</f>
        <v>mu: 1.13</v>
      </c>
      <c r="W8973" s="524"/>
      <c r="AG8973" s="1147">
        <f>IF($E8973=0,0,ROUND($R8977*$S$3*$C$3/$A8973,2))</f>
        <v>93.61</v>
      </c>
      <c r="AH8973" s="1147">
        <f>$AG8973*$A8973</f>
        <v>280.83</v>
      </c>
      <c r="AI8973" s="1148">
        <f>$E8973-$AG8973</f>
        <v>0</v>
      </c>
      <c r="AJ8973" s="1148">
        <f>$A8973*$AI8973</f>
        <v>0</v>
      </c>
      <c r="AK8973" s="1149">
        <f>ROUND(($AG8973+$AI8973)*$A8973,2)</f>
        <v>280.83</v>
      </c>
      <c r="AM8973" s="527">
        <f>ROUND(R8977,2)</f>
        <v>248.81</v>
      </c>
      <c r="AN8973" s="528">
        <f>ROUND(T8977,2)</f>
        <v>0</v>
      </c>
      <c r="AO8973" s="529">
        <f>ROUND(AM8973+AN8973,2)*A8973</f>
        <v>746.43000000000006</v>
      </c>
      <c r="AR8973" s="747">
        <v>3</v>
      </c>
      <c r="AS8973" s="1146">
        <v>305.61</v>
      </c>
    </row>
    <row r="8974" spans="1:45" s="520" customFormat="1" ht="13.2">
      <c r="A8974" s="748"/>
      <c r="B8974"/>
      <c r="C8974" s="748"/>
      <c r="D8974" s="749" t="s">
        <v>2062</v>
      </c>
      <c r="F8974" s="753"/>
      <c r="G8974" s="3"/>
      <c r="H8974" s="753"/>
      <c r="I8974" s="754"/>
      <c r="J8974" s="753"/>
      <c r="K8974" s="753" t="s">
        <v>144</v>
      </c>
      <c r="L8974" s="753"/>
      <c r="M8974" s="753"/>
      <c r="N8974" s="753"/>
      <c r="O8974" s="753"/>
      <c r="P8974" s="753"/>
      <c r="Q8974" s="51"/>
      <c r="R8974" s="530"/>
      <c r="S8974" s="757"/>
      <c r="T8974" s="753"/>
      <c r="AR8974" s="748"/>
      <c r="AS8974" s="753"/>
    </row>
    <row r="8975" spans="1:45" s="901" customFormat="1" ht="13.2">
      <c r="A8975" s="903">
        <v>3</v>
      </c>
      <c r="B8975" s="904" t="s">
        <v>863</v>
      </c>
      <c r="C8975" s="904"/>
      <c r="D8975" s="904" t="s">
        <v>2594</v>
      </c>
      <c r="E8975" s="904"/>
      <c r="F8975" s="904" t="s">
        <v>4128</v>
      </c>
      <c r="G8975" s="905" t="s">
        <v>2595</v>
      </c>
      <c r="H8975" s="902">
        <v>960</v>
      </c>
      <c r="I8975" s="904" t="s">
        <v>2596</v>
      </c>
      <c r="J8975" s="904"/>
      <c r="K8975" s="904"/>
      <c r="L8975" s="904"/>
      <c r="M8975" s="904"/>
      <c r="N8975" s="904"/>
      <c r="O8975" s="902">
        <v>4</v>
      </c>
      <c r="P8975" s="906">
        <v>38274</v>
      </c>
      <c r="Q8975" s="1415">
        <f>95*0.873</f>
        <v>82.935000000000002</v>
      </c>
      <c r="R8975" s="908">
        <f>$A8975*Q8975</f>
        <v>248.80500000000001</v>
      </c>
      <c r="S8975" s="907"/>
      <c r="T8975" s="909">
        <f>$A8975*S8975*$T$1</f>
        <v>0</v>
      </c>
      <c r="AR8975" s="903">
        <v>3</v>
      </c>
      <c r="AS8975" s="904" t="s">
        <v>3507</v>
      </c>
    </row>
    <row r="8976" spans="1:45" s="520" customFormat="1" ht="12">
      <c r="A8976" s="758"/>
      <c r="B8976" s="758"/>
      <c r="C8976" s="758"/>
      <c r="D8976" s="758"/>
      <c r="E8976" s="758"/>
      <c r="F8976" s="753"/>
      <c r="G8976" s="758"/>
      <c r="H8976" s="758"/>
      <c r="I8976" s="519"/>
      <c r="J8976" s="758"/>
      <c r="K8976" s="758"/>
      <c r="L8976" s="758"/>
      <c r="M8976" s="758"/>
      <c r="N8976" s="758"/>
      <c r="O8976" s="758"/>
      <c r="P8976" s="758"/>
      <c r="Q8976" s="519"/>
      <c r="R8976" s="759">
        <f>$A8976*Q8976</f>
        <v>0</v>
      </c>
      <c r="S8976" s="519"/>
      <c r="T8976" s="760">
        <f>$A8976*S8976*$T$1</f>
        <v>0</v>
      </c>
      <c r="AR8976" s="758"/>
      <c r="AS8976" s="753"/>
    </row>
    <row r="8977" spans="1:45" s="520" customFormat="1" ht="12.6" thickBot="1">
      <c r="A8977" s="761" t="s">
        <v>145</v>
      </c>
      <c r="B8977" s="762">
        <f>(R8976+T8976)</f>
        <v>0</v>
      </c>
      <c r="C8977" s="763"/>
      <c r="D8977" s="763"/>
      <c r="E8977" s="763"/>
      <c r="F8977" s="764"/>
      <c r="G8977" s="763" t="s">
        <v>146</v>
      </c>
      <c r="H8977" s="763"/>
      <c r="I8977" s="765"/>
      <c r="J8977" s="763"/>
      <c r="K8977" s="763" t="s">
        <v>5</v>
      </c>
      <c r="L8977" s="766" t="s">
        <v>143</v>
      </c>
      <c r="M8977" s="766"/>
      <c r="N8977" s="766"/>
      <c r="O8977" s="766"/>
      <c r="P8977" s="766"/>
      <c r="Q8977" s="767"/>
      <c r="R8977" s="768">
        <f>SUM(R8974:R8976)</f>
        <v>248.80500000000001</v>
      </c>
      <c r="S8977" s="763"/>
      <c r="T8977" s="768">
        <f>SUM(T8974:T8976)</f>
        <v>0</v>
      </c>
      <c r="U8977" s="531"/>
      <c r="V8977" s="531"/>
      <c r="W8977" s="531"/>
      <c r="X8977" s="531"/>
      <c r="Y8977" s="531"/>
      <c r="Z8977" s="531"/>
      <c r="AA8977" s="531"/>
      <c r="AB8977" s="531"/>
      <c r="AC8977" s="531"/>
      <c r="AD8977" s="531"/>
      <c r="AE8977" s="531"/>
      <c r="AF8977" s="531"/>
      <c r="AG8977" s="531"/>
      <c r="AH8977" s="531"/>
      <c r="AI8977" s="531"/>
      <c r="AJ8977" s="531"/>
      <c r="AK8977" s="531"/>
      <c r="AL8977" s="531"/>
      <c r="AM8977" s="531"/>
      <c r="AN8977" s="531"/>
      <c r="AO8977" s="531"/>
      <c r="AR8977" s="761" t="s">
        <v>145</v>
      </c>
      <c r="AS8977" s="764"/>
    </row>
    <row r="8978" spans="1:45" s="520" customFormat="1" ht="12" thickTop="1">
      <c r="A8978" s="51"/>
      <c r="B8978" s="41"/>
      <c r="C8978" s="51"/>
      <c r="E8978" s="42" t="s">
        <v>138</v>
      </c>
      <c r="F8978" s="42" t="s">
        <v>139</v>
      </c>
      <c r="G8978" s="51"/>
      <c r="H8978" s="51"/>
      <c r="I8978" s="51"/>
      <c r="J8978" s="51"/>
      <c r="K8978" s="51" t="s">
        <v>140</v>
      </c>
      <c r="L8978" s="51"/>
      <c r="M8978" s="51"/>
      <c r="N8978" s="51"/>
      <c r="O8978" s="52"/>
      <c r="P8978" s="51"/>
      <c r="Q8978" s="51"/>
      <c r="R8978" s="51"/>
      <c r="S8978" s="51"/>
      <c r="T8978" s="41"/>
      <c r="AG8978" s="521" t="s">
        <v>268</v>
      </c>
      <c r="AH8978" s="521" t="s">
        <v>269</v>
      </c>
      <c r="AI8978" s="521" t="s">
        <v>270</v>
      </c>
      <c r="AJ8978" s="521" t="s">
        <v>271</v>
      </c>
      <c r="AK8978" s="521" t="s">
        <v>272</v>
      </c>
      <c r="AM8978" s="745" t="s">
        <v>281</v>
      </c>
      <c r="AN8978" s="746" t="s">
        <v>282</v>
      </c>
      <c r="AO8978" s="522" t="s">
        <v>278</v>
      </c>
      <c r="AR8978" s="51"/>
      <c r="AS8978" s="42" t="s">
        <v>139</v>
      </c>
    </row>
    <row r="8979" spans="1:45" s="520" customFormat="1" ht="12" customHeight="1">
      <c r="A8979" s="747">
        <v>1</v>
      </c>
      <c r="B8979" s="523" t="s">
        <v>141</v>
      </c>
      <c r="C8979" s="748"/>
      <c r="D8979" s="749" t="s">
        <v>2391</v>
      </c>
      <c r="E8979" s="1145">
        <f>IF(AND($A8979=0,$A$1="DIF"),0, ROUND(ROUND(($R8983*$S$3+($T8983*$T$3))/$A8979,2)*$C$3,2))</f>
        <v>81.790000000000006</v>
      </c>
      <c r="F8979" s="1146">
        <f>ROUND($A8979*$E8979,2)</f>
        <v>81.790000000000006</v>
      </c>
      <c r="G8979" s="752" t="s">
        <v>142</v>
      </c>
      <c r="H8979" s="753"/>
      <c r="I8979" s="754"/>
      <c r="J8979" s="753"/>
      <c r="K8979" s="753" t="s">
        <v>5</v>
      </c>
      <c r="L8979" s="755" t="s">
        <v>143</v>
      </c>
      <c r="M8979" s="755"/>
      <c r="N8979" s="755"/>
      <c r="O8979" s="755"/>
      <c r="P8979" s="755"/>
      <c r="Q8979" s="51"/>
      <c r="T8979" s="1150" t="str">
        <f>IF(AND($R8983=0,$T8983=0),"0.00","mu: "&amp; ROUND(F8979/$C$3/($R8983+$T8983*$D$9),2))</f>
        <v>mu: 1.13</v>
      </c>
      <c r="W8979" s="524"/>
      <c r="AG8979" s="1147">
        <f>IF($E8979=0,0,ROUND($R8983*$S$3*$C$3/$A8979,2))</f>
        <v>81.790000000000006</v>
      </c>
      <c r="AH8979" s="1147">
        <f>$AG8979*$A8979</f>
        <v>81.790000000000006</v>
      </c>
      <c r="AI8979" s="1148">
        <f>$E8979-$AG8979</f>
        <v>0</v>
      </c>
      <c r="AJ8979" s="1148">
        <f>$A8979*$AI8979</f>
        <v>0</v>
      </c>
      <c r="AK8979" s="1149">
        <f>ROUND(($AG8979+$AI8979)*$A8979,2)</f>
        <v>81.790000000000006</v>
      </c>
      <c r="AM8979" s="527">
        <f>ROUND(R8983,2)</f>
        <v>72.459999999999994</v>
      </c>
      <c r="AN8979" s="528">
        <f>ROUND(T8983,2)</f>
        <v>0</v>
      </c>
      <c r="AO8979" s="529">
        <f>ROUND(AM8979+AN8979,2)*A8979</f>
        <v>72.459999999999994</v>
      </c>
      <c r="AR8979" s="747">
        <v>1</v>
      </c>
      <c r="AS8979" s="1146">
        <v>89</v>
      </c>
    </row>
    <row r="8980" spans="1:45" s="520" customFormat="1" ht="13.2">
      <c r="A8980" s="748"/>
      <c r="B8980"/>
      <c r="C8980" s="748"/>
      <c r="D8980" s="749" t="s">
        <v>2078</v>
      </c>
      <c r="F8980" s="753"/>
      <c r="G8980" s="3"/>
      <c r="H8980" s="753"/>
      <c r="I8980" s="754"/>
      <c r="J8980" s="753"/>
      <c r="K8980" s="753" t="s">
        <v>144</v>
      </c>
      <c r="L8980" s="753"/>
      <c r="M8980" s="753"/>
      <c r="N8980" s="753"/>
      <c r="O8980" s="753"/>
      <c r="P8980" s="753"/>
      <c r="Q8980" s="51"/>
      <c r="R8980" s="530"/>
      <c r="S8980" s="757"/>
      <c r="T8980" s="753"/>
      <c r="AR8980" s="748"/>
      <c r="AS8980" s="753"/>
    </row>
    <row r="8981" spans="1:45" s="901" customFormat="1" ht="13.2">
      <c r="A8981" s="903">
        <v>1</v>
      </c>
      <c r="B8981" s="904" t="s">
        <v>863</v>
      </c>
      <c r="C8981" s="904"/>
      <c r="D8981" s="904" t="s">
        <v>2594</v>
      </c>
      <c r="E8981" s="904"/>
      <c r="F8981" s="904" t="s">
        <v>4128</v>
      </c>
      <c r="G8981" s="905" t="s">
        <v>2595</v>
      </c>
      <c r="H8981" s="902">
        <v>960</v>
      </c>
      <c r="I8981" s="904" t="s">
        <v>2596</v>
      </c>
      <c r="J8981" s="904"/>
      <c r="K8981" s="904"/>
      <c r="L8981" s="904"/>
      <c r="M8981" s="904"/>
      <c r="N8981" s="904"/>
      <c r="O8981" s="902">
        <v>4</v>
      </c>
      <c r="P8981" s="906">
        <v>38274</v>
      </c>
      <c r="Q8981" s="1415">
        <f>83*0.873</f>
        <v>72.459000000000003</v>
      </c>
      <c r="R8981" s="908">
        <f>$A8981*Q8981</f>
        <v>72.459000000000003</v>
      </c>
      <c r="S8981" s="907"/>
      <c r="T8981" s="909">
        <f>$A8981*S8981*$T$1</f>
        <v>0</v>
      </c>
      <c r="AR8981" s="903">
        <v>1</v>
      </c>
      <c r="AS8981" s="904" t="s">
        <v>3507</v>
      </c>
    </row>
    <row r="8982" spans="1:45" s="520" customFormat="1" ht="12">
      <c r="A8982" s="758"/>
      <c r="B8982" s="758"/>
      <c r="C8982" s="758"/>
      <c r="D8982" s="758"/>
      <c r="E8982" s="758"/>
      <c r="F8982" s="753"/>
      <c r="G8982" s="758"/>
      <c r="H8982" s="758"/>
      <c r="I8982" s="519"/>
      <c r="J8982" s="758"/>
      <c r="K8982" s="758"/>
      <c r="L8982" s="758"/>
      <c r="M8982" s="758"/>
      <c r="N8982" s="758"/>
      <c r="O8982" s="758"/>
      <c r="P8982" s="758"/>
      <c r="Q8982" s="519"/>
      <c r="R8982" s="759">
        <f>$A8982*Q8982</f>
        <v>0</v>
      </c>
      <c r="S8982" s="519"/>
      <c r="T8982" s="760">
        <f>$A8982*S8982*$T$1</f>
        <v>0</v>
      </c>
      <c r="AR8982" s="758"/>
      <c r="AS8982" s="753"/>
    </row>
    <row r="8983" spans="1:45" s="520" customFormat="1" ht="12.6" thickBot="1">
      <c r="A8983" s="761" t="s">
        <v>145</v>
      </c>
      <c r="B8983" s="762">
        <f>(R8982+T8982)</f>
        <v>0</v>
      </c>
      <c r="C8983" s="763"/>
      <c r="D8983" s="763"/>
      <c r="E8983" s="763"/>
      <c r="F8983" s="764"/>
      <c r="G8983" s="763" t="s">
        <v>146</v>
      </c>
      <c r="H8983" s="763"/>
      <c r="I8983" s="765"/>
      <c r="J8983" s="763"/>
      <c r="K8983" s="763" t="s">
        <v>5</v>
      </c>
      <c r="L8983" s="766" t="s">
        <v>143</v>
      </c>
      <c r="M8983" s="766"/>
      <c r="N8983" s="766"/>
      <c r="O8983" s="766"/>
      <c r="P8983" s="766"/>
      <c r="Q8983" s="767"/>
      <c r="R8983" s="768">
        <f>SUM(R8980:R8982)</f>
        <v>72.459000000000003</v>
      </c>
      <c r="S8983" s="763"/>
      <c r="T8983" s="768">
        <f>SUM(T8980:T8982)</f>
        <v>0</v>
      </c>
      <c r="U8983" s="531"/>
      <c r="V8983" s="531"/>
      <c r="W8983" s="531"/>
      <c r="X8983" s="531"/>
      <c r="Y8983" s="531"/>
      <c r="Z8983" s="531"/>
      <c r="AA8983" s="531"/>
      <c r="AB8983" s="531"/>
      <c r="AC8983" s="531"/>
      <c r="AD8983" s="531"/>
      <c r="AE8983" s="531"/>
      <c r="AF8983" s="531"/>
      <c r="AG8983" s="531"/>
      <c r="AH8983" s="531"/>
      <c r="AI8983" s="531"/>
      <c r="AJ8983" s="531"/>
      <c r="AK8983" s="531"/>
      <c r="AL8983" s="531"/>
      <c r="AM8983" s="531"/>
      <c r="AN8983" s="531"/>
      <c r="AO8983" s="531"/>
      <c r="AR8983" s="761" t="s">
        <v>145</v>
      </c>
      <c r="AS8983" s="764"/>
    </row>
    <row r="8984" spans="1:45" s="520" customFormat="1" ht="12" thickTop="1">
      <c r="A8984" s="51"/>
      <c r="B8984" s="41"/>
      <c r="C8984" s="51"/>
      <c r="E8984" s="42" t="s">
        <v>138</v>
      </c>
      <c r="F8984" s="42" t="s">
        <v>139</v>
      </c>
      <c r="G8984" s="51"/>
      <c r="H8984" s="51"/>
      <c r="I8984" s="51"/>
      <c r="J8984" s="51"/>
      <c r="K8984" s="51" t="s">
        <v>140</v>
      </c>
      <c r="L8984" s="51"/>
      <c r="M8984" s="51"/>
      <c r="N8984" s="51"/>
      <c r="O8984" s="52"/>
      <c r="P8984" s="51"/>
      <c r="Q8984" s="51"/>
      <c r="R8984" s="51"/>
      <c r="S8984" s="51"/>
      <c r="T8984" s="41"/>
      <c r="AG8984" s="521" t="s">
        <v>268</v>
      </c>
      <c r="AH8984" s="521" t="s">
        <v>269</v>
      </c>
      <c r="AI8984" s="521" t="s">
        <v>270</v>
      </c>
      <c r="AJ8984" s="521" t="s">
        <v>271</v>
      </c>
      <c r="AK8984" s="521" t="s">
        <v>272</v>
      </c>
      <c r="AM8984" s="745" t="s">
        <v>281</v>
      </c>
      <c r="AN8984" s="746" t="s">
        <v>282</v>
      </c>
      <c r="AO8984" s="522" t="s">
        <v>278</v>
      </c>
      <c r="AR8984" s="51"/>
      <c r="AS8984" s="42" t="s">
        <v>139</v>
      </c>
    </row>
    <row r="8985" spans="1:45" s="520" customFormat="1" ht="12" customHeight="1">
      <c r="A8985" s="747">
        <v>10</v>
      </c>
      <c r="B8985" s="523" t="s">
        <v>141</v>
      </c>
      <c r="C8985" s="748"/>
      <c r="D8985" s="749" t="s">
        <v>2392</v>
      </c>
      <c r="E8985" s="1145">
        <f>IF(AND($A8985=0,$A$1="DIF"),0, ROUND(ROUND(($R8989*$S$3+($T8989*$T$3))/$A8985,2)*$C$3,2))</f>
        <v>54.2</v>
      </c>
      <c r="F8985" s="1146">
        <f>ROUND($A8985*$E8985,2)</f>
        <v>542</v>
      </c>
      <c r="G8985" s="752" t="s">
        <v>142</v>
      </c>
      <c r="H8985" s="753"/>
      <c r="I8985" s="754"/>
      <c r="J8985" s="753"/>
      <c r="K8985" s="753" t="s">
        <v>5</v>
      </c>
      <c r="L8985" s="755" t="s">
        <v>143</v>
      </c>
      <c r="M8985" s="755"/>
      <c r="N8985" s="755"/>
      <c r="O8985" s="755"/>
      <c r="P8985" s="755"/>
      <c r="Q8985" s="51"/>
      <c r="T8985" s="1150" t="str">
        <f>IF(AND($R8989=0,$T8989=0),"0.00","mu: "&amp; ROUND(F8985/$C$3/($R8989+$T8989*$D$9),2))</f>
        <v>mu: 1.13</v>
      </c>
      <c r="W8985" s="524"/>
      <c r="AG8985" s="1147">
        <f>IF($E8985=0,0,ROUND($R8989*$S$3*$C$3/$A8985,2))</f>
        <v>54.2</v>
      </c>
      <c r="AH8985" s="1147">
        <f>$AG8985*$A8985</f>
        <v>542</v>
      </c>
      <c r="AI8985" s="1148">
        <f>$E8985-$AG8985</f>
        <v>0</v>
      </c>
      <c r="AJ8985" s="1148">
        <f>$A8985*$AI8985</f>
        <v>0</v>
      </c>
      <c r="AK8985" s="1149">
        <f>ROUND(($AG8985+$AI8985)*$A8985,2)</f>
        <v>542</v>
      </c>
      <c r="AM8985" s="527">
        <f>ROUND(R8989,2)</f>
        <v>480.15</v>
      </c>
      <c r="AN8985" s="528">
        <f>ROUND(T8989,2)</f>
        <v>0</v>
      </c>
      <c r="AO8985" s="529">
        <f>ROUND(AM8985+AN8985,2)*A8985</f>
        <v>4801.5</v>
      </c>
      <c r="AR8985" s="747">
        <v>10</v>
      </c>
      <c r="AS8985" s="1146">
        <v>589.79999999999995</v>
      </c>
    </row>
    <row r="8986" spans="1:45" s="520" customFormat="1" ht="13.2">
      <c r="A8986" s="748"/>
      <c r="B8986"/>
      <c r="C8986" s="748"/>
      <c r="D8986" s="749" t="s">
        <v>2071</v>
      </c>
      <c r="F8986" s="753"/>
      <c r="G8986" s="3"/>
      <c r="H8986" s="753"/>
      <c r="I8986" s="754"/>
      <c r="J8986" s="753"/>
      <c r="K8986" s="753" t="s">
        <v>144</v>
      </c>
      <c r="L8986" s="753"/>
      <c r="M8986" s="753"/>
      <c r="N8986" s="753"/>
      <c r="O8986" s="753"/>
      <c r="P8986" s="753"/>
      <c r="Q8986" s="51"/>
      <c r="R8986" s="530"/>
      <c r="S8986" s="757"/>
      <c r="T8986" s="753"/>
      <c r="AR8986" s="748"/>
      <c r="AS8986" s="753"/>
    </row>
    <row r="8987" spans="1:45" s="901" customFormat="1" ht="13.2">
      <c r="A8987" s="903">
        <v>10</v>
      </c>
      <c r="B8987" s="904" t="s">
        <v>863</v>
      </c>
      <c r="C8987" s="904"/>
      <c r="D8987" s="904" t="s">
        <v>2594</v>
      </c>
      <c r="E8987" s="904"/>
      <c r="F8987" s="904" t="s">
        <v>4128</v>
      </c>
      <c r="G8987" s="905" t="s">
        <v>2595</v>
      </c>
      <c r="H8987" s="902">
        <v>960</v>
      </c>
      <c r="I8987" s="904" t="s">
        <v>2596</v>
      </c>
      <c r="J8987" s="904"/>
      <c r="K8987" s="904"/>
      <c r="L8987" s="904"/>
      <c r="M8987" s="904"/>
      <c r="N8987" s="904"/>
      <c r="O8987" s="902">
        <v>4</v>
      </c>
      <c r="P8987" s="906">
        <v>38274</v>
      </c>
      <c r="Q8987" s="1415">
        <f>55*0.873</f>
        <v>48.015000000000001</v>
      </c>
      <c r="R8987" s="908">
        <f>$A8987*Q8987</f>
        <v>480.15</v>
      </c>
      <c r="S8987" s="907"/>
      <c r="T8987" s="909">
        <f>$A8987*S8987*$T$1</f>
        <v>0</v>
      </c>
      <c r="AR8987" s="903">
        <v>10</v>
      </c>
      <c r="AS8987" s="904" t="s">
        <v>3507</v>
      </c>
    </row>
    <row r="8988" spans="1:45" s="520" customFormat="1" ht="12">
      <c r="A8988" s="758"/>
      <c r="B8988" s="758"/>
      <c r="C8988" s="758"/>
      <c r="D8988" s="758"/>
      <c r="E8988" s="758"/>
      <c r="F8988" s="753"/>
      <c r="G8988" s="758"/>
      <c r="H8988" s="758"/>
      <c r="I8988" s="519"/>
      <c r="J8988" s="758"/>
      <c r="K8988" s="758"/>
      <c r="L8988" s="758"/>
      <c r="M8988" s="758"/>
      <c r="N8988" s="758"/>
      <c r="O8988" s="758"/>
      <c r="P8988" s="758"/>
      <c r="Q8988" s="519"/>
      <c r="R8988" s="759">
        <f>$A8988*Q8988</f>
        <v>0</v>
      </c>
      <c r="S8988" s="519"/>
      <c r="T8988" s="760">
        <f>$A8988*S8988*$T$1</f>
        <v>0</v>
      </c>
      <c r="AR8988" s="758"/>
      <c r="AS8988" s="753"/>
    </row>
    <row r="8989" spans="1:45" s="520" customFormat="1" ht="12.6" thickBot="1">
      <c r="A8989" s="761" t="s">
        <v>145</v>
      </c>
      <c r="B8989" s="762">
        <f>(R8988+T8988)</f>
        <v>0</v>
      </c>
      <c r="C8989" s="763"/>
      <c r="D8989" s="763"/>
      <c r="E8989" s="763"/>
      <c r="F8989" s="764"/>
      <c r="G8989" s="763" t="s">
        <v>146</v>
      </c>
      <c r="H8989" s="763"/>
      <c r="I8989" s="765"/>
      <c r="J8989" s="763"/>
      <c r="K8989" s="763" t="s">
        <v>5</v>
      </c>
      <c r="L8989" s="766" t="s">
        <v>143</v>
      </c>
      <c r="M8989" s="766"/>
      <c r="N8989" s="766"/>
      <c r="O8989" s="766"/>
      <c r="P8989" s="766"/>
      <c r="Q8989" s="767"/>
      <c r="R8989" s="768">
        <f>SUM(R8986:R8988)</f>
        <v>480.15</v>
      </c>
      <c r="S8989" s="763"/>
      <c r="T8989" s="768">
        <f>SUM(T8986:T8988)</f>
        <v>0</v>
      </c>
      <c r="U8989" s="531"/>
      <c r="V8989" s="531"/>
      <c r="W8989" s="531"/>
      <c r="X8989" s="531"/>
      <c r="Y8989" s="531"/>
      <c r="Z8989" s="531"/>
      <c r="AA8989" s="531"/>
      <c r="AB8989" s="531"/>
      <c r="AC8989" s="531"/>
      <c r="AD8989" s="531"/>
      <c r="AE8989" s="531"/>
      <c r="AF8989" s="531"/>
      <c r="AG8989" s="531"/>
      <c r="AH8989" s="531"/>
      <c r="AI8989" s="531"/>
      <c r="AJ8989" s="531"/>
      <c r="AK8989" s="531"/>
      <c r="AL8989" s="531"/>
      <c r="AM8989" s="531"/>
      <c r="AN8989" s="531"/>
      <c r="AO8989" s="531"/>
      <c r="AR8989" s="761" t="s">
        <v>145</v>
      </c>
      <c r="AS8989" s="764"/>
    </row>
    <row r="8990" spans="1:45" s="520" customFormat="1" ht="12" thickTop="1">
      <c r="A8990" s="51"/>
      <c r="B8990" s="41"/>
      <c r="C8990" s="51"/>
      <c r="E8990" s="42" t="s">
        <v>138</v>
      </c>
      <c r="F8990" s="42" t="s">
        <v>139</v>
      </c>
      <c r="G8990" s="51"/>
      <c r="H8990" s="51"/>
      <c r="I8990" s="51"/>
      <c r="J8990" s="51"/>
      <c r="K8990" s="51" t="s">
        <v>140</v>
      </c>
      <c r="L8990" s="51"/>
      <c r="M8990" s="51"/>
      <c r="N8990" s="51"/>
      <c r="O8990" s="52"/>
      <c r="P8990" s="51"/>
      <c r="Q8990" s="51"/>
      <c r="R8990" s="51"/>
      <c r="S8990" s="51"/>
      <c r="T8990" s="41"/>
      <c r="AG8990" s="521" t="s">
        <v>268</v>
      </c>
      <c r="AH8990" s="521" t="s">
        <v>269</v>
      </c>
      <c r="AI8990" s="521" t="s">
        <v>270</v>
      </c>
      <c r="AJ8990" s="521" t="s">
        <v>271</v>
      </c>
      <c r="AK8990" s="521" t="s">
        <v>272</v>
      </c>
      <c r="AM8990" s="745" t="s">
        <v>281</v>
      </c>
      <c r="AN8990" s="746" t="s">
        <v>282</v>
      </c>
      <c r="AO8990" s="522" t="s">
        <v>278</v>
      </c>
      <c r="AR8990" s="51"/>
      <c r="AS8990" s="42" t="s">
        <v>139</v>
      </c>
    </row>
    <row r="8991" spans="1:45" s="520" customFormat="1" ht="12" customHeight="1">
      <c r="A8991" s="747">
        <v>1</v>
      </c>
      <c r="B8991" s="523" t="s">
        <v>141</v>
      </c>
      <c r="C8991" s="748"/>
      <c r="D8991" s="749" t="s">
        <v>2393</v>
      </c>
      <c r="E8991" s="1145">
        <f>IF(AND($A8991=0,$A$1="DIF"),0, ROUND(ROUND(($R8995*$S$3+($T8995*$T$3))/$A8991,2)*$C$3,2))</f>
        <v>640.5</v>
      </c>
      <c r="F8991" s="1146">
        <f>ROUND($A8991*$E8991,2)</f>
        <v>640.5</v>
      </c>
      <c r="G8991" s="752" t="s">
        <v>142</v>
      </c>
      <c r="H8991" s="753"/>
      <c r="I8991" s="754"/>
      <c r="J8991" s="753"/>
      <c r="K8991" s="753" t="s">
        <v>5</v>
      </c>
      <c r="L8991" s="755" t="s">
        <v>143</v>
      </c>
      <c r="M8991" s="755"/>
      <c r="N8991" s="755"/>
      <c r="O8991" s="755"/>
      <c r="P8991" s="755"/>
      <c r="Q8991" s="51"/>
      <c r="T8991" s="1150" t="str">
        <f>IF(AND($R8995=0,$T8995=0),"0.00","mu: "&amp; ROUND(F8991/$C$3/($R8995+$T8995*$D$9),2))</f>
        <v>mu: 1.13</v>
      </c>
      <c r="W8991" s="524"/>
      <c r="AG8991" s="1147">
        <f>IF($E8991=0,0,ROUND($R8995*$S$3*$C$3/$A8991,2))</f>
        <v>640.5</v>
      </c>
      <c r="AH8991" s="1147">
        <f>$AG8991*$A8991</f>
        <v>640.5</v>
      </c>
      <c r="AI8991" s="1148">
        <f>$E8991-$AG8991</f>
        <v>0</v>
      </c>
      <c r="AJ8991" s="1148">
        <f>$A8991*$AI8991</f>
        <v>0</v>
      </c>
      <c r="AK8991" s="1149">
        <f>ROUND(($AG8991+$AI8991)*$A8991,2)</f>
        <v>640.5</v>
      </c>
      <c r="AM8991" s="527">
        <f>ROUND(R8995,2)</f>
        <v>567.45000000000005</v>
      </c>
      <c r="AN8991" s="528">
        <f>ROUND(T8995,2)</f>
        <v>0</v>
      </c>
      <c r="AO8991" s="529">
        <f>ROUND(AM8991+AN8991,2)*A8991</f>
        <v>567.45000000000005</v>
      </c>
      <c r="AR8991" s="747">
        <v>1</v>
      </c>
      <c r="AS8991" s="1146">
        <v>696.99</v>
      </c>
    </row>
    <row r="8992" spans="1:45" s="520" customFormat="1" ht="13.2">
      <c r="A8992" s="748"/>
      <c r="B8992"/>
      <c r="C8992" s="748"/>
      <c r="D8992" s="749" t="s">
        <v>2090</v>
      </c>
      <c r="F8992" s="753"/>
      <c r="G8992" s="3"/>
      <c r="H8992" s="753"/>
      <c r="I8992" s="754"/>
      <c r="J8992" s="753"/>
      <c r="K8992" s="753" t="s">
        <v>144</v>
      </c>
      <c r="L8992" s="753"/>
      <c r="M8992" s="753"/>
      <c r="N8992" s="753"/>
      <c r="O8992" s="753"/>
      <c r="P8992" s="753"/>
      <c r="Q8992" s="51"/>
      <c r="R8992" s="530"/>
      <c r="S8992" s="757"/>
      <c r="T8992" s="753"/>
      <c r="AR8992" s="748"/>
      <c r="AS8992" s="753"/>
    </row>
    <row r="8993" spans="1:45" s="901" customFormat="1" ht="13.2">
      <c r="A8993" s="903">
        <v>1</v>
      </c>
      <c r="B8993" s="904" t="s">
        <v>863</v>
      </c>
      <c r="C8993" s="904"/>
      <c r="D8993" s="904" t="s">
        <v>2594</v>
      </c>
      <c r="E8993" s="904"/>
      <c r="F8993" s="904" t="s">
        <v>4128</v>
      </c>
      <c r="G8993" s="905" t="s">
        <v>2595</v>
      </c>
      <c r="H8993" s="902">
        <v>960</v>
      </c>
      <c r="I8993" s="904" t="s">
        <v>2596</v>
      </c>
      <c r="J8993" s="904"/>
      <c r="K8993" s="904"/>
      <c r="L8993" s="904"/>
      <c r="M8993" s="904"/>
      <c r="N8993" s="904"/>
      <c r="O8993" s="902">
        <v>4</v>
      </c>
      <c r="P8993" s="906">
        <v>38274</v>
      </c>
      <c r="Q8993" s="1415">
        <f>650*0.873</f>
        <v>567.45000000000005</v>
      </c>
      <c r="R8993" s="908">
        <f>$A8993*Q8993</f>
        <v>567.45000000000005</v>
      </c>
      <c r="S8993" s="907"/>
      <c r="T8993" s="909">
        <f>$A8993*S8993*$T$1</f>
        <v>0</v>
      </c>
      <c r="AR8993" s="903">
        <v>1</v>
      </c>
      <c r="AS8993" s="904" t="s">
        <v>3507</v>
      </c>
    </row>
    <row r="8994" spans="1:45" s="520" customFormat="1" ht="12">
      <c r="A8994" s="758"/>
      <c r="B8994" s="758"/>
      <c r="C8994" s="758"/>
      <c r="D8994" s="758"/>
      <c r="E8994" s="758"/>
      <c r="F8994" s="753"/>
      <c r="G8994" s="758"/>
      <c r="H8994" s="758"/>
      <c r="I8994" s="519"/>
      <c r="J8994" s="758"/>
      <c r="K8994" s="758"/>
      <c r="L8994" s="758"/>
      <c r="M8994" s="758"/>
      <c r="N8994" s="758"/>
      <c r="O8994" s="758"/>
      <c r="P8994" s="758"/>
      <c r="Q8994" s="519"/>
      <c r="R8994" s="759">
        <f>$A8994*Q8994</f>
        <v>0</v>
      </c>
      <c r="S8994" s="519"/>
      <c r="T8994" s="760">
        <f>$A8994*S8994*$T$1</f>
        <v>0</v>
      </c>
      <c r="AR8994" s="758"/>
      <c r="AS8994" s="753"/>
    </row>
    <row r="8995" spans="1:45" s="520" customFormat="1" ht="12.6" thickBot="1">
      <c r="A8995" s="761" t="s">
        <v>145</v>
      </c>
      <c r="B8995" s="762">
        <f>(R8994+T8994)</f>
        <v>0</v>
      </c>
      <c r="C8995" s="763"/>
      <c r="D8995" s="763"/>
      <c r="E8995" s="763"/>
      <c r="F8995" s="764"/>
      <c r="G8995" s="763" t="s">
        <v>146</v>
      </c>
      <c r="H8995" s="763"/>
      <c r="I8995" s="765"/>
      <c r="J8995" s="763"/>
      <c r="K8995" s="763" t="s">
        <v>5</v>
      </c>
      <c r="L8995" s="766" t="s">
        <v>143</v>
      </c>
      <c r="M8995" s="766"/>
      <c r="N8995" s="766"/>
      <c r="O8995" s="766"/>
      <c r="P8995" s="766"/>
      <c r="Q8995" s="767"/>
      <c r="R8995" s="768">
        <f>SUM(R8992:R8994)</f>
        <v>567.45000000000005</v>
      </c>
      <c r="S8995" s="763"/>
      <c r="T8995" s="768">
        <f>SUM(T8992:T8994)</f>
        <v>0</v>
      </c>
      <c r="U8995" s="531"/>
      <c r="V8995" s="531"/>
      <c r="W8995" s="531"/>
      <c r="X8995" s="531"/>
      <c r="Y8995" s="531"/>
      <c r="Z8995" s="531"/>
      <c r="AA8995" s="531"/>
      <c r="AB8995" s="531"/>
      <c r="AC8995" s="531"/>
      <c r="AD8995" s="531"/>
      <c r="AE8995" s="531"/>
      <c r="AF8995" s="531"/>
      <c r="AG8995" s="531"/>
      <c r="AH8995" s="531"/>
      <c r="AI8995" s="531"/>
      <c r="AJ8995" s="531"/>
      <c r="AK8995" s="531"/>
      <c r="AL8995" s="531"/>
      <c r="AM8995" s="531"/>
      <c r="AN8995" s="531"/>
      <c r="AO8995" s="531"/>
      <c r="AR8995" s="761" t="s">
        <v>145</v>
      </c>
      <c r="AS8995" s="764"/>
    </row>
    <row r="8996" spans="1:45" s="520" customFormat="1" ht="12" thickTop="1">
      <c r="A8996" s="51"/>
      <c r="B8996" s="41"/>
      <c r="C8996" s="51"/>
      <c r="E8996" s="42" t="s">
        <v>138</v>
      </c>
      <c r="F8996" s="42" t="s">
        <v>139</v>
      </c>
      <c r="G8996" s="51"/>
      <c r="H8996" s="51"/>
      <c r="I8996" s="51"/>
      <c r="J8996" s="51"/>
      <c r="K8996" s="51" t="s">
        <v>140</v>
      </c>
      <c r="L8996" s="51"/>
      <c r="M8996" s="51"/>
      <c r="N8996" s="51"/>
      <c r="O8996" s="52"/>
      <c r="P8996" s="51"/>
      <c r="Q8996" s="51"/>
      <c r="R8996" s="51"/>
      <c r="S8996" s="51"/>
      <c r="T8996" s="41"/>
      <c r="AG8996" s="521" t="s">
        <v>268</v>
      </c>
      <c r="AH8996" s="521" t="s">
        <v>269</v>
      </c>
      <c r="AI8996" s="521" t="s">
        <v>270</v>
      </c>
      <c r="AJ8996" s="521" t="s">
        <v>271</v>
      </c>
      <c r="AK8996" s="521" t="s">
        <v>272</v>
      </c>
      <c r="AM8996" s="745" t="s">
        <v>281</v>
      </c>
      <c r="AN8996" s="746" t="s">
        <v>282</v>
      </c>
      <c r="AO8996" s="522" t="s">
        <v>278</v>
      </c>
      <c r="AR8996" s="51"/>
      <c r="AS8996" s="42" t="s">
        <v>139</v>
      </c>
    </row>
    <row r="8997" spans="1:45" s="520" customFormat="1" ht="12" customHeight="1">
      <c r="A8997" s="747">
        <v>45</v>
      </c>
      <c r="B8997" s="523" t="s">
        <v>320</v>
      </c>
      <c r="C8997" s="748"/>
      <c r="D8997" s="749" t="s">
        <v>2394</v>
      </c>
      <c r="E8997" s="1145">
        <f>IF(AND($A8997=0,$A$1="DIF"),0, ROUND(ROUND(($R9001*$S$3+($T9001*$T$3))/$A8997,2)*$C$3,2))</f>
        <v>4.93</v>
      </c>
      <c r="F8997" s="1146">
        <f>ROUND($A8997*$E8997,2)</f>
        <v>221.85</v>
      </c>
      <c r="G8997" s="752" t="s">
        <v>142</v>
      </c>
      <c r="H8997" s="753"/>
      <c r="I8997" s="754"/>
      <c r="J8997" s="753"/>
      <c r="K8997" s="753" t="s">
        <v>5</v>
      </c>
      <c r="L8997" s="755" t="s">
        <v>143</v>
      </c>
      <c r="M8997" s="755"/>
      <c r="N8997" s="755"/>
      <c r="O8997" s="755"/>
      <c r="P8997" s="755"/>
      <c r="Q8997" s="51"/>
      <c r="T8997" s="1150" t="str">
        <f>IF(AND($R9001=0,$T9001=0),"0.00","mu: "&amp; ROUND(F8997/$C$3/($R9001+$T9001*$D$9),2))</f>
        <v>mu: 1.13</v>
      </c>
      <c r="W8997" s="524"/>
      <c r="AG8997" s="1147">
        <f>IF($E8997=0,0,ROUND($R9001*$S$3*$C$3/$A8997,2))</f>
        <v>4.93</v>
      </c>
      <c r="AH8997" s="1147">
        <f>$AG8997*$A8997</f>
        <v>221.85</v>
      </c>
      <c r="AI8997" s="1148">
        <f>$E8997-$AG8997</f>
        <v>0</v>
      </c>
      <c r="AJ8997" s="1148">
        <f>$A8997*$AI8997</f>
        <v>0</v>
      </c>
      <c r="AK8997" s="1149">
        <f>ROUND(($AG8997+$AI8997)*$A8997,2)</f>
        <v>221.85</v>
      </c>
      <c r="AM8997" s="527">
        <f>ROUND(R9001,2)</f>
        <v>196.43</v>
      </c>
      <c r="AN8997" s="528">
        <f>ROUND(T9001,2)</f>
        <v>0</v>
      </c>
      <c r="AO8997" s="529">
        <f>ROUND(AM8997+AN8997,2)*A8997</f>
        <v>8839.35</v>
      </c>
      <c r="AR8997" s="747">
        <v>45</v>
      </c>
      <c r="AS8997" s="1146">
        <v>241.2</v>
      </c>
    </row>
    <row r="8998" spans="1:45" s="520" customFormat="1" ht="13.2">
      <c r="A8998" s="748"/>
      <c r="B8998"/>
      <c r="C8998" s="748"/>
      <c r="D8998" s="749" t="s">
        <v>2091</v>
      </c>
      <c r="F8998" s="753"/>
      <c r="G8998" s="3"/>
      <c r="H8998" s="753"/>
      <c r="I8998" s="754"/>
      <c r="J8998" s="753"/>
      <c r="K8998" s="753" t="s">
        <v>144</v>
      </c>
      <c r="L8998" s="753"/>
      <c r="M8998" s="753"/>
      <c r="N8998" s="753"/>
      <c r="O8998" s="753"/>
      <c r="P8998" s="753"/>
      <c r="Q8998" s="51"/>
      <c r="R8998" s="530"/>
      <c r="S8998" s="757"/>
      <c r="T8998" s="753"/>
      <c r="AR8998" s="748"/>
      <c r="AS8998" s="753"/>
    </row>
    <row r="8999" spans="1:45" s="901" customFormat="1" ht="13.2">
      <c r="A8999" s="903">
        <v>45</v>
      </c>
      <c r="B8999" s="904" t="s">
        <v>863</v>
      </c>
      <c r="C8999" s="904"/>
      <c r="D8999" s="904" t="s">
        <v>2594</v>
      </c>
      <c r="E8999" s="904"/>
      <c r="F8999" s="904" t="s">
        <v>4128</v>
      </c>
      <c r="G8999" s="905" t="s">
        <v>2595</v>
      </c>
      <c r="H8999" s="902">
        <v>960</v>
      </c>
      <c r="I8999" s="904" t="s">
        <v>2596</v>
      </c>
      <c r="J8999" s="904"/>
      <c r="K8999" s="904"/>
      <c r="L8999" s="904"/>
      <c r="M8999" s="904"/>
      <c r="N8999" s="904"/>
      <c r="O8999" s="902">
        <v>4</v>
      </c>
      <c r="P8999" s="906">
        <v>38274</v>
      </c>
      <c r="Q8999" s="1415">
        <f>5*0.873</f>
        <v>4.3650000000000002</v>
      </c>
      <c r="R8999" s="908">
        <f>$A8999*Q8999</f>
        <v>196.42500000000001</v>
      </c>
      <c r="S8999" s="907"/>
      <c r="T8999" s="909">
        <f>$A8999*S8999*$T$1</f>
        <v>0</v>
      </c>
      <c r="AR8999" s="903">
        <v>45</v>
      </c>
      <c r="AS8999" s="904" t="s">
        <v>3507</v>
      </c>
    </row>
    <row r="9000" spans="1:45" s="520" customFormat="1" ht="12">
      <c r="A9000" s="758"/>
      <c r="B9000" s="758"/>
      <c r="C9000" s="758"/>
      <c r="D9000" s="758"/>
      <c r="E9000" s="758"/>
      <c r="F9000" s="753"/>
      <c r="G9000" s="758"/>
      <c r="H9000" s="758"/>
      <c r="I9000" s="519"/>
      <c r="J9000" s="758"/>
      <c r="K9000" s="758"/>
      <c r="L9000" s="758"/>
      <c r="M9000" s="758"/>
      <c r="N9000" s="758"/>
      <c r="O9000" s="758"/>
      <c r="P9000" s="758"/>
      <c r="Q9000" s="519"/>
      <c r="R9000" s="759">
        <f>$A9000*Q9000</f>
        <v>0</v>
      </c>
      <c r="S9000" s="519"/>
      <c r="T9000" s="760">
        <f>$A9000*S9000*$T$1</f>
        <v>0</v>
      </c>
      <c r="AR9000" s="758"/>
      <c r="AS9000" s="753"/>
    </row>
    <row r="9001" spans="1:45" s="520" customFormat="1" ht="12.6" thickBot="1">
      <c r="A9001" s="761" t="s">
        <v>145</v>
      </c>
      <c r="B9001" s="762">
        <f>(R9000+T9000)</f>
        <v>0</v>
      </c>
      <c r="C9001" s="763"/>
      <c r="D9001" s="763"/>
      <c r="E9001" s="763"/>
      <c r="F9001" s="764"/>
      <c r="G9001" s="763" t="s">
        <v>146</v>
      </c>
      <c r="H9001" s="763"/>
      <c r="I9001" s="765"/>
      <c r="J9001" s="763"/>
      <c r="K9001" s="763" t="s">
        <v>5</v>
      </c>
      <c r="L9001" s="766" t="s">
        <v>143</v>
      </c>
      <c r="M9001" s="766"/>
      <c r="N9001" s="766"/>
      <c r="O9001" s="766"/>
      <c r="P9001" s="766"/>
      <c r="Q9001" s="767"/>
      <c r="R9001" s="768">
        <f>SUM(R8998:R9000)</f>
        <v>196.42500000000001</v>
      </c>
      <c r="S9001" s="763"/>
      <c r="T9001" s="768">
        <f>SUM(T8998:T9000)</f>
        <v>0</v>
      </c>
      <c r="U9001" s="531"/>
      <c r="V9001" s="531"/>
      <c r="W9001" s="531"/>
      <c r="X9001" s="531"/>
      <c r="Y9001" s="531"/>
      <c r="Z9001" s="531"/>
      <c r="AA9001" s="531"/>
      <c r="AB9001" s="531"/>
      <c r="AC9001" s="531"/>
      <c r="AD9001" s="531"/>
      <c r="AE9001" s="531"/>
      <c r="AF9001" s="531"/>
      <c r="AG9001" s="531"/>
      <c r="AH9001" s="531"/>
      <c r="AI9001" s="531"/>
      <c r="AJ9001" s="531"/>
      <c r="AK9001" s="531"/>
      <c r="AL9001" s="531"/>
      <c r="AM9001" s="531"/>
      <c r="AN9001" s="531"/>
      <c r="AO9001" s="531"/>
      <c r="AR9001" s="761" t="s">
        <v>145</v>
      </c>
      <c r="AS9001" s="764"/>
    </row>
    <row r="9002" spans="1:45" s="520" customFormat="1" ht="12" thickTop="1">
      <c r="A9002" s="51"/>
      <c r="B9002" s="41"/>
      <c r="C9002" s="51"/>
      <c r="E9002" s="42" t="s">
        <v>138</v>
      </c>
      <c r="F9002" s="42" t="s">
        <v>139</v>
      </c>
      <c r="G9002" s="51"/>
      <c r="H9002" s="51"/>
      <c r="I9002" s="51"/>
      <c r="J9002" s="51"/>
      <c r="K9002" s="51" t="s">
        <v>140</v>
      </c>
      <c r="L9002" s="51"/>
      <c r="M9002" s="51"/>
      <c r="N9002" s="51"/>
      <c r="O9002" s="52"/>
      <c r="P9002" s="51"/>
      <c r="Q9002" s="51"/>
      <c r="R9002" s="51"/>
      <c r="S9002" s="51"/>
      <c r="T9002" s="41"/>
      <c r="AG9002" s="521" t="s">
        <v>268</v>
      </c>
      <c r="AH9002" s="521" t="s">
        <v>269</v>
      </c>
      <c r="AI9002" s="521" t="s">
        <v>270</v>
      </c>
      <c r="AJ9002" s="521" t="s">
        <v>271</v>
      </c>
      <c r="AK9002" s="521" t="s">
        <v>272</v>
      </c>
      <c r="AM9002" s="745" t="s">
        <v>281</v>
      </c>
      <c r="AN9002" s="746" t="s">
        <v>282</v>
      </c>
      <c r="AO9002" s="522" t="s">
        <v>278</v>
      </c>
      <c r="AR9002" s="51"/>
      <c r="AS9002" s="42" t="s">
        <v>139</v>
      </c>
    </row>
    <row r="9003" spans="1:45" s="520" customFormat="1" ht="12" customHeight="1">
      <c r="A9003" s="747">
        <v>1</v>
      </c>
      <c r="B9003" s="523" t="s">
        <v>141</v>
      </c>
      <c r="C9003" s="748"/>
      <c r="D9003" s="749" t="s">
        <v>2395</v>
      </c>
      <c r="E9003" s="1145">
        <f>IF(AND($A9003=0,$A$1="DIF"),0, ROUND(ROUND(($R9007*$S$3+($T9007*$T$3))/$A9003,2)*$C$3,2))</f>
        <v>149.78</v>
      </c>
      <c r="F9003" s="1146">
        <f>ROUND($A9003*$E9003,2)</f>
        <v>149.78</v>
      </c>
      <c r="G9003" s="752" t="s">
        <v>142</v>
      </c>
      <c r="H9003" s="753"/>
      <c r="I9003" s="754"/>
      <c r="J9003" s="753"/>
      <c r="K9003" s="753" t="s">
        <v>5</v>
      </c>
      <c r="L9003" s="755" t="s">
        <v>143</v>
      </c>
      <c r="M9003" s="755"/>
      <c r="N9003" s="755"/>
      <c r="O9003" s="755"/>
      <c r="P9003" s="755"/>
      <c r="Q9003" s="51"/>
      <c r="T9003" s="1150" t="str">
        <f>IF(AND($R9007=0,$T9007=0),"0.00","mu: "&amp; ROUND(F9003/$C$3/($R9007+$T9007*$D$9),2))</f>
        <v>mu: 1.13</v>
      </c>
      <c r="W9003" s="524"/>
      <c r="AG9003" s="1147">
        <f>IF($E9003=0,0,ROUND($R9007*$S$3*$C$3/$A9003,2))</f>
        <v>149.78</v>
      </c>
      <c r="AH9003" s="1147">
        <f>$AG9003*$A9003</f>
        <v>149.78</v>
      </c>
      <c r="AI9003" s="1148">
        <f>$E9003-$AG9003</f>
        <v>0</v>
      </c>
      <c r="AJ9003" s="1148">
        <f>$A9003*$AI9003</f>
        <v>0</v>
      </c>
      <c r="AK9003" s="1149">
        <f>ROUND(($AG9003+$AI9003)*$A9003,2)</f>
        <v>149.78</v>
      </c>
      <c r="AM9003" s="527">
        <f>ROUND(R9007,2)</f>
        <v>132.69999999999999</v>
      </c>
      <c r="AN9003" s="528">
        <f>ROUND(T9007,2)</f>
        <v>0</v>
      </c>
      <c r="AO9003" s="529">
        <f>ROUND(AM9003+AN9003,2)*A9003</f>
        <v>132.69999999999999</v>
      </c>
      <c r="AR9003" s="747">
        <v>1</v>
      </c>
      <c r="AS9003" s="1146">
        <v>162.99</v>
      </c>
    </row>
    <row r="9004" spans="1:45" s="520" customFormat="1" ht="13.2">
      <c r="A9004" s="748"/>
      <c r="B9004"/>
      <c r="C9004" s="748"/>
      <c r="D9004" s="749" t="s">
        <v>2092</v>
      </c>
      <c r="F9004" s="753"/>
      <c r="G9004" s="3"/>
      <c r="H9004" s="753"/>
      <c r="I9004" s="754"/>
      <c r="J9004" s="753"/>
      <c r="K9004" s="753" t="s">
        <v>144</v>
      </c>
      <c r="L9004" s="753"/>
      <c r="M9004" s="753"/>
      <c r="N9004" s="753"/>
      <c r="O9004" s="753"/>
      <c r="P9004" s="753"/>
      <c r="Q9004" s="51"/>
      <c r="R9004" s="530"/>
      <c r="S9004" s="757"/>
      <c r="T9004" s="753"/>
      <c r="AR9004" s="748"/>
      <c r="AS9004" s="753"/>
    </row>
    <row r="9005" spans="1:45" s="901" customFormat="1" ht="13.2">
      <c r="A9005" s="903">
        <v>1</v>
      </c>
      <c r="B9005" s="904" t="s">
        <v>863</v>
      </c>
      <c r="C9005" s="904"/>
      <c r="D9005" s="904" t="s">
        <v>2594</v>
      </c>
      <c r="E9005" s="904"/>
      <c r="F9005" s="904" t="s">
        <v>4128</v>
      </c>
      <c r="G9005" s="905" t="s">
        <v>2595</v>
      </c>
      <c r="H9005" s="902">
        <v>960</v>
      </c>
      <c r="I9005" s="904" t="s">
        <v>2596</v>
      </c>
      <c r="J9005" s="904"/>
      <c r="K9005" s="904"/>
      <c r="L9005" s="904"/>
      <c r="M9005" s="904"/>
      <c r="N9005" s="904"/>
      <c r="O9005" s="902">
        <v>4</v>
      </c>
      <c r="P9005" s="906">
        <v>38274</v>
      </c>
      <c r="Q9005" s="1415">
        <f>152*0.873</f>
        <v>132.696</v>
      </c>
      <c r="R9005" s="908">
        <f>$A9005*Q9005</f>
        <v>132.696</v>
      </c>
      <c r="S9005" s="907"/>
      <c r="T9005" s="909">
        <f>$A9005*S9005*$T$1</f>
        <v>0</v>
      </c>
      <c r="AR9005" s="903">
        <v>1</v>
      </c>
      <c r="AS9005" s="904" t="s">
        <v>3507</v>
      </c>
    </row>
    <row r="9006" spans="1:45" s="520" customFormat="1" ht="12">
      <c r="A9006" s="758"/>
      <c r="B9006" s="758"/>
      <c r="C9006" s="758"/>
      <c r="D9006" s="758"/>
      <c r="E9006" s="758"/>
      <c r="F9006" s="753"/>
      <c r="G9006" s="758"/>
      <c r="H9006" s="758"/>
      <c r="I9006" s="519"/>
      <c r="J9006" s="758"/>
      <c r="K9006" s="758"/>
      <c r="L9006" s="758"/>
      <c r="M9006" s="758"/>
      <c r="N9006" s="758"/>
      <c r="O9006" s="758"/>
      <c r="P9006" s="758"/>
      <c r="Q9006" s="519"/>
      <c r="R9006" s="759">
        <f>$A9006*Q9006</f>
        <v>0</v>
      </c>
      <c r="S9006" s="519"/>
      <c r="T9006" s="760">
        <f>$A9006*S9006*$T$1</f>
        <v>0</v>
      </c>
      <c r="AR9006" s="758"/>
      <c r="AS9006" s="753"/>
    </row>
    <row r="9007" spans="1:45" s="520" customFormat="1" ht="12.6" thickBot="1">
      <c r="A9007" s="761" t="s">
        <v>145</v>
      </c>
      <c r="B9007" s="762">
        <f>(R9006+T9006)</f>
        <v>0</v>
      </c>
      <c r="C9007" s="763"/>
      <c r="D9007" s="763"/>
      <c r="E9007" s="763"/>
      <c r="F9007" s="764"/>
      <c r="G9007" s="763" t="s">
        <v>146</v>
      </c>
      <c r="H9007" s="763"/>
      <c r="I9007" s="765"/>
      <c r="J9007" s="763"/>
      <c r="K9007" s="763" t="s">
        <v>5</v>
      </c>
      <c r="L9007" s="766" t="s">
        <v>143</v>
      </c>
      <c r="M9007" s="766"/>
      <c r="N9007" s="766"/>
      <c r="O9007" s="766"/>
      <c r="P9007" s="766"/>
      <c r="Q9007" s="767"/>
      <c r="R9007" s="768">
        <f>SUM(R9004:R9006)</f>
        <v>132.696</v>
      </c>
      <c r="S9007" s="763"/>
      <c r="T9007" s="768">
        <f>SUM(T9004:T9006)</f>
        <v>0</v>
      </c>
      <c r="U9007" s="531"/>
      <c r="V9007" s="531"/>
      <c r="W9007" s="531"/>
      <c r="X9007" s="531"/>
      <c r="Y9007" s="531"/>
      <c r="Z9007" s="531"/>
      <c r="AA9007" s="531"/>
      <c r="AB9007" s="531"/>
      <c r="AC9007" s="531"/>
      <c r="AD9007" s="531"/>
      <c r="AE9007" s="531"/>
      <c r="AF9007" s="531"/>
      <c r="AG9007" s="531"/>
      <c r="AH9007" s="531"/>
      <c r="AI9007" s="531"/>
      <c r="AJ9007" s="531"/>
      <c r="AK9007" s="531"/>
      <c r="AL9007" s="531"/>
      <c r="AM9007" s="531"/>
      <c r="AN9007" s="531"/>
      <c r="AO9007" s="531"/>
      <c r="AR9007" s="761" t="s">
        <v>145</v>
      </c>
      <c r="AS9007" s="764"/>
    </row>
    <row r="9008" spans="1:45" s="520" customFormat="1" ht="12" thickTop="1">
      <c r="A9008" s="51"/>
      <c r="B9008" s="41"/>
      <c r="C9008" s="51"/>
      <c r="E9008" s="42" t="s">
        <v>138</v>
      </c>
      <c r="F9008" s="42" t="s">
        <v>139</v>
      </c>
      <c r="G9008" s="51"/>
      <c r="H9008" s="51"/>
      <c r="I9008" s="51"/>
      <c r="J9008" s="51"/>
      <c r="K9008" s="51" t="s">
        <v>140</v>
      </c>
      <c r="L9008" s="51"/>
      <c r="M9008" s="51"/>
      <c r="N9008" s="51"/>
      <c r="O9008" s="52"/>
      <c r="P9008" s="51"/>
      <c r="Q9008" s="51"/>
      <c r="R9008" s="51"/>
      <c r="S9008" s="51"/>
      <c r="T9008" s="41"/>
      <c r="AG9008" s="521" t="s">
        <v>268</v>
      </c>
      <c r="AH9008" s="521" t="s">
        <v>269</v>
      </c>
      <c r="AI9008" s="521" t="s">
        <v>270</v>
      </c>
      <c r="AJ9008" s="521" t="s">
        <v>271</v>
      </c>
      <c r="AK9008" s="521" t="s">
        <v>272</v>
      </c>
      <c r="AM9008" s="745" t="s">
        <v>281</v>
      </c>
      <c r="AN9008" s="746" t="s">
        <v>282</v>
      </c>
      <c r="AO9008" s="522" t="s">
        <v>278</v>
      </c>
      <c r="AR9008" s="51"/>
      <c r="AS9008" s="42" t="s">
        <v>139</v>
      </c>
    </row>
    <row r="9009" spans="1:45" s="520" customFormat="1" ht="12" customHeight="1">
      <c r="A9009" s="747">
        <v>1</v>
      </c>
      <c r="B9009" s="523" t="s">
        <v>141</v>
      </c>
      <c r="C9009" s="748"/>
      <c r="D9009" s="749" t="s">
        <v>2396</v>
      </c>
      <c r="E9009" s="1145">
        <f>IF(AND($A9009=0,$A$1="DIF"),0, ROUND(ROUND(($R9013*$S$3+($T9013*$T$3))/$A9009,2)*$C$3,2))</f>
        <v>77.849999999999994</v>
      </c>
      <c r="F9009" s="1146">
        <f>ROUND($A9009*$E9009,2)</f>
        <v>77.849999999999994</v>
      </c>
      <c r="G9009" s="752" t="s">
        <v>142</v>
      </c>
      <c r="H9009" s="753"/>
      <c r="I9009" s="754"/>
      <c r="J9009" s="753"/>
      <c r="K9009" s="753" t="s">
        <v>5</v>
      </c>
      <c r="L9009" s="755" t="s">
        <v>143</v>
      </c>
      <c r="M9009" s="755"/>
      <c r="N9009" s="755"/>
      <c r="O9009" s="755"/>
      <c r="P9009" s="755"/>
      <c r="Q9009" s="51"/>
      <c r="T9009" s="1150" t="str">
        <f>IF(AND($R9013=0,$T9013=0),"0.00","mu: "&amp; ROUND(F9009/$C$3/($R9013+$T9013*$D$9),2))</f>
        <v>mu: 1.13</v>
      </c>
      <c r="W9009" s="524"/>
      <c r="AG9009" s="1147">
        <f>IF($E9009=0,0,ROUND($R9013*$S$3*$C$3/$A9009,2))</f>
        <v>77.849999999999994</v>
      </c>
      <c r="AH9009" s="1147">
        <f>$AG9009*$A9009</f>
        <v>77.849999999999994</v>
      </c>
      <c r="AI9009" s="1148">
        <f>$E9009-$AG9009</f>
        <v>0</v>
      </c>
      <c r="AJ9009" s="1148">
        <f>$A9009*$AI9009</f>
        <v>0</v>
      </c>
      <c r="AK9009" s="1149">
        <f>ROUND(($AG9009+$AI9009)*$A9009,2)</f>
        <v>77.849999999999994</v>
      </c>
      <c r="AM9009" s="527">
        <f>ROUND(R9013,2)</f>
        <v>68.97</v>
      </c>
      <c r="AN9009" s="528">
        <f>ROUND(T9013,2)</f>
        <v>0</v>
      </c>
      <c r="AO9009" s="529">
        <f>ROUND(AM9009+AN9009,2)*A9009</f>
        <v>68.97</v>
      </c>
      <c r="AR9009" s="747">
        <v>1</v>
      </c>
      <c r="AS9009" s="1146">
        <v>84.71</v>
      </c>
    </row>
    <row r="9010" spans="1:45" s="520" customFormat="1" ht="13.2">
      <c r="A9010" s="748"/>
      <c r="B9010"/>
      <c r="C9010" s="748"/>
      <c r="D9010" s="749" t="s">
        <v>2079</v>
      </c>
      <c r="F9010" s="753"/>
      <c r="G9010" s="3"/>
      <c r="H9010" s="753"/>
      <c r="I9010" s="754"/>
      <c r="J9010" s="753"/>
      <c r="K9010" s="753" t="s">
        <v>144</v>
      </c>
      <c r="L9010" s="753"/>
      <c r="M9010" s="753"/>
      <c r="N9010" s="753"/>
      <c r="O9010" s="753"/>
      <c r="P9010" s="753"/>
      <c r="Q9010" s="51"/>
      <c r="R9010" s="530"/>
      <c r="S9010" s="757"/>
      <c r="T9010" s="753"/>
      <c r="AR9010" s="748"/>
      <c r="AS9010" s="753"/>
    </row>
    <row r="9011" spans="1:45" s="901" customFormat="1" ht="13.2">
      <c r="A9011" s="903">
        <v>1</v>
      </c>
      <c r="B9011" s="904" t="s">
        <v>863</v>
      </c>
      <c r="C9011" s="904"/>
      <c r="D9011" s="904" t="s">
        <v>2594</v>
      </c>
      <c r="E9011" s="904"/>
      <c r="F9011" s="904" t="s">
        <v>4128</v>
      </c>
      <c r="G9011" s="905" t="s">
        <v>2595</v>
      </c>
      <c r="H9011" s="902">
        <v>960</v>
      </c>
      <c r="I9011" s="904" t="s">
        <v>2596</v>
      </c>
      <c r="J9011" s="904"/>
      <c r="K9011" s="904"/>
      <c r="L9011" s="904"/>
      <c r="M9011" s="904"/>
      <c r="N9011" s="904"/>
      <c r="O9011" s="902">
        <v>4</v>
      </c>
      <c r="P9011" s="906">
        <v>38274</v>
      </c>
      <c r="Q9011" s="1415">
        <f>79*0.873</f>
        <v>68.966999999999999</v>
      </c>
      <c r="R9011" s="908">
        <f>$A9011*Q9011</f>
        <v>68.966999999999999</v>
      </c>
      <c r="S9011" s="907"/>
      <c r="T9011" s="909">
        <f>$A9011*S9011*$T$1</f>
        <v>0</v>
      </c>
      <c r="AR9011" s="903">
        <v>1</v>
      </c>
      <c r="AS9011" s="904" t="s">
        <v>3507</v>
      </c>
    </row>
    <row r="9012" spans="1:45" s="520" customFormat="1" ht="12">
      <c r="A9012" s="758"/>
      <c r="B9012" s="758"/>
      <c r="C9012" s="758"/>
      <c r="D9012" s="758"/>
      <c r="E9012" s="758"/>
      <c r="F9012" s="753"/>
      <c r="G9012" s="758"/>
      <c r="H9012" s="758"/>
      <c r="I9012" s="519"/>
      <c r="J9012" s="758"/>
      <c r="K9012" s="758"/>
      <c r="L9012" s="758"/>
      <c r="M9012" s="758"/>
      <c r="N9012" s="758"/>
      <c r="O9012" s="758"/>
      <c r="P9012" s="758"/>
      <c r="Q9012" s="519"/>
      <c r="R9012" s="759">
        <f>$A9012*Q9012</f>
        <v>0</v>
      </c>
      <c r="S9012" s="519"/>
      <c r="T9012" s="760">
        <f>$A9012*S9012*$T$1</f>
        <v>0</v>
      </c>
      <c r="AR9012" s="758"/>
      <c r="AS9012" s="753"/>
    </row>
    <row r="9013" spans="1:45" s="520" customFormat="1" ht="12.6" thickBot="1">
      <c r="A9013" s="761" t="s">
        <v>145</v>
      </c>
      <c r="B9013" s="762">
        <f>(R9012+T9012)</f>
        <v>0</v>
      </c>
      <c r="C9013" s="763"/>
      <c r="D9013" s="763"/>
      <c r="E9013" s="763"/>
      <c r="F9013" s="764"/>
      <c r="G9013" s="763" t="s">
        <v>146</v>
      </c>
      <c r="H9013" s="763"/>
      <c r="I9013" s="765"/>
      <c r="J9013" s="763"/>
      <c r="K9013" s="763" t="s">
        <v>5</v>
      </c>
      <c r="L9013" s="766" t="s">
        <v>143</v>
      </c>
      <c r="M9013" s="766"/>
      <c r="N9013" s="766"/>
      <c r="O9013" s="766"/>
      <c r="P9013" s="766"/>
      <c r="Q9013" s="767"/>
      <c r="R9013" s="768">
        <f>SUM(R9010:R9012)</f>
        <v>68.966999999999999</v>
      </c>
      <c r="S9013" s="763"/>
      <c r="T9013" s="768">
        <f>SUM(T9010:T9012)</f>
        <v>0</v>
      </c>
      <c r="U9013" s="531"/>
      <c r="V9013" s="531"/>
      <c r="W9013" s="531"/>
      <c r="X9013" s="531"/>
      <c r="Y9013" s="531"/>
      <c r="Z9013" s="531"/>
      <c r="AA9013" s="531"/>
      <c r="AB9013" s="531"/>
      <c r="AC9013" s="531"/>
      <c r="AD9013" s="531"/>
      <c r="AE9013" s="531"/>
      <c r="AF9013" s="531"/>
      <c r="AG9013" s="531"/>
      <c r="AH9013" s="531"/>
      <c r="AI9013" s="531"/>
      <c r="AJ9013" s="531"/>
      <c r="AK9013" s="531"/>
      <c r="AL9013" s="531"/>
      <c r="AM9013" s="531"/>
      <c r="AN9013" s="531"/>
      <c r="AO9013" s="531"/>
      <c r="AR9013" s="761" t="s">
        <v>145</v>
      </c>
      <c r="AS9013" s="764"/>
    </row>
    <row r="9014" spans="1:45" s="520" customFormat="1" ht="12" thickTop="1">
      <c r="A9014" s="51"/>
      <c r="B9014" s="41"/>
      <c r="C9014" s="51"/>
      <c r="E9014" s="42" t="s">
        <v>138</v>
      </c>
      <c r="F9014" s="42" t="s">
        <v>139</v>
      </c>
      <c r="G9014" s="51"/>
      <c r="H9014" s="51"/>
      <c r="I9014" s="51"/>
      <c r="J9014" s="51"/>
      <c r="K9014" s="51" t="s">
        <v>140</v>
      </c>
      <c r="L9014" s="51"/>
      <c r="M9014" s="51"/>
      <c r="N9014" s="51"/>
      <c r="O9014" s="52"/>
      <c r="P9014" s="51"/>
      <c r="Q9014" s="51"/>
      <c r="R9014" s="51"/>
      <c r="S9014" s="51"/>
      <c r="T9014" s="41"/>
      <c r="AG9014" s="521" t="s">
        <v>268</v>
      </c>
      <c r="AH9014" s="521" t="s">
        <v>269</v>
      </c>
      <c r="AI9014" s="521" t="s">
        <v>270</v>
      </c>
      <c r="AJ9014" s="521" t="s">
        <v>271</v>
      </c>
      <c r="AK9014" s="521" t="s">
        <v>272</v>
      </c>
      <c r="AM9014" s="745" t="s">
        <v>281</v>
      </c>
      <c r="AN9014" s="746" t="s">
        <v>282</v>
      </c>
      <c r="AO9014" s="522" t="s">
        <v>278</v>
      </c>
      <c r="AR9014" s="51"/>
      <c r="AS9014" s="42" t="s">
        <v>139</v>
      </c>
    </row>
    <row r="9015" spans="1:45" s="520" customFormat="1" ht="12" customHeight="1">
      <c r="A9015" s="747">
        <v>5</v>
      </c>
      <c r="B9015" s="523" t="s">
        <v>141</v>
      </c>
      <c r="C9015" s="748"/>
      <c r="D9015" s="749" t="s">
        <v>2397</v>
      </c>
      <c r="E9015" s="1145">
        <f>IF(AND($A9015=0,$A$1="DIF"),0, ROUND(ROUND(($R9019*$S$3+($T9019*$T$3))/$A9015,2)*$C$3,2))</f>
        <v>77.849999999999994</v>
      </c>
      <c r="F9015" s="1146">
        <f>ROUND($A9015*$E9015,2)</f>
        <v>389.25</v>
      </c>
      <c r="G9015" s="752" t="s">
        <v>142</v>
      </c>
      <c r="H9015" s="753"/>
      <c r="I9015" s="754"/>
      <c r="J9015" s="753"/>
      <c r="K9015" s="753" t="s">
        <v>5</v>
      </c>
      <c r="L9015" s="755" t="s">
        <v>143</v>
      </c>
      <c r="M9015" s="755"/>
      <c r="N9015" s="755"/>
      <c r="O9015" s="755"/>
      <c r="P9015" s="755"/>
      <c r="Q9015" s="51"/>
      <c r="T9015" s="1150" t="str">
        <f>IF(AND($R9019=0,$T9019=0),"0.00","mu: "&amp; ROUND(F9015/$C$3/($R9019+$T9019*$D$9),2))</f>
        <v>mu: 1.13</v>
      </c>
      <c r="W9015" s="524"/>
      <c r="AG9015" s="1147">
        <f>IF($E9015=0,0,ROUND($R9019*$S$3*$C$3/$A9015,2))</f>
        <v>77.849999999999994</v>
      </c>
      <c r="AH9015" s="1147">
        <f>$AG9015*$A9015</f>
        <v>389.25</v>
      </c>
      <c r="AI9015" s="1148">
        <f>$E9015-$AG9015</f>
        <v>0</v>
      </c>
      <c r="AJ9015" s="1148">
        <f>$A9015*$AI9015</f>
        <v>0</v>
      </c>
      <c r="AK9015" s="1149">
        <f>ROUND(($AG9015+$AI9015)*$A9015,2)</f>
        <v>389.25</v>
      </c>
      <c r="AM9015" s="527">
        <f>ROUND(R9019,2)</f>
        <v>344.84</v>
      </c>
      <c r="AN9015" s="528">
        <f>ROUND(T9019,2)</f>
        <v>0</v>
      </c>
      <c r="AO9015" s="529">
        <f>ROUND(AM9015+AN9015,2)*A9015</f>
        <v>1724.1999999999998</v>
      </c>
      <c r="AR9015" s="747">
        <v>5</v>
      </c>
      <c r="AS9015" s="1146">
        <v>423.55</v>
      </c>
    </row>
    <row r="9016" spans="1:45" s="520" customFormat="1" ht="13.2">
      <c r="A9016" s="748"/>
      <c r="B9016"/>
      <c r="C9016" s="748"/>
      <c r="D9016" s="749" t="s">
        <v>2066</v>
      </c>
      <c r="F9016" s="753"/>
      <c r="G9016" s="3"/>
      <c r="H9016" s="753"/>
      <c r="I9016" s="754"/>
      <c r="J9016" s="753"/>
      <c r="K9016" s="753" t="s">
        <v>144</v>
      </c>
      <c r="L9016" s="753"/>
      <c r="M9016" s="753"/>
      <c r="N9016" s="753"/>
      <c r="O9016" s="753"/>
      <c r="P9016" s="753"/>
      <c r="Q9016" s="51"/>
      <c r="R9016" s="530"/>
      <c r="S9016" s="757"/>
      <c r="T9016" s="753"/>
      <c r="AR9016" s="748"/>
      <c r="AS9016" s="753"/>
    </row>
    <row r="9017" spans="1:45" s="901" customFormat="1" ht="13.2">
      <c r="A9017" s="903">
        <v>5</v>
      </c>
      <c r="B9017" s="904" t="s">
        <v>863</v>
      </c>
      <c r="C9017" s="904"/>
      <c r="D9017" s="904" t="s">
        <v>2594</v>
      </c>
      <c r="E9017" s="904"/>
      <c r="F9017" s="904" t="s">
        <v>4128</v>
      </c>
      <c r="G9017" s="905" t="s">
        <v>2595</v>
      </c>
      <c r="H9017" s="902">
        <v>960</v>
      </c>
      <c r="I9017" s="904" t="s">
        <v>2596</v>
      </c>
      <c r="J9017" s="904"/>
      <c r="K9017" s="904"/>
      <c r="L9017" s="904"/>
      <c r="M9017" s="904"/>
      <c r="N9017" s="904"/>
      <c r="O9017" s="902">
        <v>4</v>
      </c>
      <c r="P9017" s="906">
        <v>38274</v>
      </c>
      <c r="Q9017" s="1415">
        <f>79*0.873</f>
        <v>68.966999999999999</v>
      </c>
      <c r="R9017" s="908">
        <f>$A9017*Q9017</f>
        <v>344.83499999999998</v>
      </c>
      <c r="S9017" s="907"/>
      <c r="T9017" s="909">
        <f>$A9017*S9017*$T$1</f>
        <v>0</v>
      </c>
      <c r="AR9017" s="903">
        <v>5</v>
      </c>
      <c r="AS9017" s="904" t="s">
        <v>3507</v>
      </c>
    </row>
    <row r="9018" spans="1:45" s="520" customFormat="1" ht="12">
      <c r="A9018" s="758"/>
      <c r="B9018" s="758"/>
      <c r="C9018" s="758"/>
      <c r="D9018" s="758"/>
      <c r="E9018" s="758"/>
      <c r="F9018" s="753"/>
      <c r="G9018" s="758"/>
      <c r="H9018" s="758"/>
      <c r="I9018" s="519"/>
      <c r="J9018" s="758"/>
      <c r="K9018" s="758"/>
      <c r="L9018" s="758"/>
      <c r="M9018" s="758"/>
      <c r="N9018" s="758"/>
      <c r="O9018" s="758"/>
      <c r="P9018" s="758"/>
      <c r="Q9018" s="519"/>
      <c r="R9018" s="759">
        <f>$A9018*Q9018</f>
        <v>0</v>
      </c>
      <c r="S9018" s="519"/>
      <c r="T9018" s="760">
        <f>$A9018*S9018*$T$1</f>
        <v>0</v>
      </c>
      <c r="AR9018" s="758"/>
      <c r="AS9018" s="753"/>
    </row>
    <row r="9019" spans="1:45" s="520" customFormat="1" ht="12.6" thickBot="1">
      <c r="A9019" s="761" t="s">
        <v>145</v>
      </c>
      <c r="B9019" s="762">
        <f>(R9018+T9018)</f>
        <v>0</v>
      </c>
      <c r="C9019" s="763"/>
      <c r="D9019" s="763"/>
      <c r="E9019" s="763"/>
      <c r="F9019" s="764"/>
      <c r="G9019" s="763" t="s">
        <v>146</v>
      </c>
      <c r="H9019" s="763"/>
      <c r="I9019" s="765"/>
      <c r="J9019" s="763"/>
      <c r="K9019" s="763" t="s">
        <v>5</v>
      </c>
      <c r="L9019" s="766" t="s">
        <v>143</v>
      </c>
      <c r="M9019" s="766"/>
      <c r="N9019" s="766"/>
      <c r="O9019" s="766"/>
      <c r="P9019" s="766"/>
      <c r="Q9019" s="767"/>
      <c r="R9019" s="768">
        <f>SUM(R9016:R9018)</f>
        <v>344.83499999999998</v>
      </c>
      <c r="S9019" s="763"/>
      <c r="T9019" s="768">
        <f>SUM(T9016:T9018)</f>
        <v>0</v>
      </c>
      <c r="U9019" s="531"/>
      <c r="V9019" s="531"/>
      <c r="W9019" s="531"/>
      <c r="X9019" s="531"/>
      <c r="Y9019" s="531"/>
      <c r="Z9019" s="531"/>
      <c r="AA9019" s="531"/>
      <c r="AB9019" s="531"/>
      <c r="AC9019" s="531"/>
      <c r="AD9019" s="531"/>
      <c r="AE9019" s="531"/>
      <c r="AF9019" s="531"/>
      <c r="AG9019" s="531"/>
      <c r="AH9019" s="531"/>
      <c r="AI9019" s="531"/>
      <c r="AJ9019" s="531"/>
      <c r="AK9019" s="531"/>
      <c r="AL9019" s="531"/>
      <c r="AM9019" s="531"/>
      <c r="AN9019" s="531"/>
      <c r="AO9019" s="531"/>
      <c r="AR9019" s="761" t="s">
        <v>145</v>
      </c>
      <c r="AS9019" s="764"/>
    </row>
    <row r="9020" spans="1:45" s="520" customFormat="1" ht="12" thickTop="1">
      <c r="A9020" s="51"/>
      <c r="B9020" s="41"/>
      <c r="C9020" s="51"/>
      <c r="E9020" s="42" t="s">
        <v>138</v>
      </c>
      <c r="F9020" s="42" t="s">
        <v>139</v>
      </c>
      <c r="G9020" s="51"/>
      <c r="H9020" s="51"/>
      <c r="I9020" s="51"/>
      <c r="J9020" s="51"/>
      <c r="K9020" s="51" t="s">
        <v>140</v>
      </c>
      <c r="L9020" s="51"/>
      <c r="M9020" s="51"/>
      <c r="N9020" s="51"/>
      <c r="O9020" s="52"/>
      <c r="P9020" s="51"/>
      <c r="Q9020" s="51"/>
      <c r="R9020" s="51"/>
      <c r="S9020" s="51"/>
      <c r="T9020" s="41"/>
      <c r="AG9020" s="521" t="s">
        <v>268</v>
      </c>
      <c r="AH9020" s="521" t="s">
        <v>269</v>
      </c>
      <c r="AI9020" s="521" t="s">
        <v>270</v>
      </c>
      <c r="AJ9020" s="521" t="s">
        <v>271</v>
      </c>
      <c r="AK9020" s="521" t="s">
        <v>272</v>
      </c>
      <c r="AM9020" s="745" t="s">
        <v>281</v>
      </c>
      <c r="AN9020" s="746" t="s">
        <v>282</v>
      </c>
      <c r="AO9020" s="522" t="s">
        <v>278</v>
      </c>
      <c r="AR9020" s="51"/>
      <c r="AS9020" s="42" t="s">
        <v>139</v>
      </c>
    </row>
    <row r="9021" spans="1:45" s="520" customFormat="1" ht="12" customHeight="1">
      <c r="A9021" s="747">
        <v>3</v>
      </c>
      <c r="B9021" s="523" t="s">
        <v>141</v>
      </c>
      <c r="C9021" s="748"/>
      <c r="D9021" s="749" t="s">
        <v>2398</v>
      </c>
      <c r="E9021" s="1145">
        <f>IF(AND($A9021=0,$A$1="DIF"),0, ROUND(ROUND(($R9025*$S$3+($T9025*$T$3))/$A9021,2)*$C$3,2))</f>
        <v>77.849999999999994</v>
      </c>
      <c r="F9021" s="1146">
        <f>ROUND($A9021*$E9021,2)</f>
        <v>233.55</v>
      </c>
      <c r="G9021" s="752" t="s">
        <v>142</v>
      </c>
      <c r="H9021" s="753"/>
      <c r="I9021" s="754"/>
      <c r="J9021" s="753"/>
      <c r="K9021" s="753" t="s">
        <v>5</v>
      </c>
      <c r="L9021" s="755" t="s">
        <v>143</v>
      </c>
      <c r="M9021" s="755"/>
      <c r="N9021" s="755"/>
      <c r="O9021" s="755"/>
      <c r="P9021" s="755"/>
      <c r="Q9021" s="51"/>
      <c r="T9021" s="1150" t="str">
        <f>IF(AND($R9025=0,$T9025=0),"0.00","mu: "&amp; ROUND(F9021/$C$3/($R9025+$T9025*$D$9),2))</f>
        <v>mu: 1.13</v>
      </c>
      <c r="W9021" s="524"/>
      <c r="AG9021" s="1147">
        <f>IF($E9021=0,0,ROUND($R9025*$S$3*$C$3/$A9021,2))</f>
        <v>77.849999999999994</v>
      </c>
      <c r="AH9021" s="1147">
        <f>$AG9021*$A9021</f>
        <v>233.54999999999998</v>
      </c>
      <c r="AI9021" s="1148">
        <f>$E9021-$AG9021</f>
        <v>0</v>
      </c>
      <c r="AJ9021" s="1148">
        <f>$A9021*$AI9021</f>
        <v>0</v>
      </c>
      <c r="AK9021" s="1149">
        <f>ROUND(($AG9021+$AI9021)*$A9021,2)</f>
        <v>233.55</v>
      </c>
      <c r="AM9021" s="527">
        <f>ROUND(R9025,2)</f>
        <v>206.9</v>
      </c>
      <c r="AN9021" s="528">
        <f>ROUND(T9025,2)</f>
        <v>0</v>
      </c>
      <c r="AO9021" s="529">
        <f>ROUND(AM9021+AN9021,2)*A9021</f>
        <v>620.70000000000005</v>
      </c>
      <c r="AR9021" s="747">
        <v>3</v>
      </c>
      <c r="AS9021" s="1146">
        <v>254.13</v>
      </c>
    </row>
    <row r="9022" spans="1:45" s="520" customFormat="1" ht="13.2">
      <c r="A9022" s="748"/>
      <c r="B9022"/>
      <c r="C9022" s="748"/>
      <c r="D9022" s="749" t="s">
        <v>2067</v>
      </c>
      <c r="F9022" s="753"/>
      <c r="G9022" s="3"/>
      <c r="H9022" s="753"/>
      <c r="I9022" s="754"/>
      <c r="J9022" s="753"/>
      <c r="K9022" s="753" t="s">
        <v>144</v>
      </c>
      <c r="L9022" s="753"/>
      <c r="M9022" s="753"/>
      <c r="N9022" s="753"/>
      <c r="O9022" s="753"/>
      <c r="P9022" s="753"/>
      <c r="Q9022" s="51"/>
      <c r="R9022" s="530"/>
      <c r="S9022" s="757"/>
      <c r="T9022" s="753"/>
      <c r="AR9022" s="748"/>
      <c r="AS9022" s="753"/>
    </row>
    <row r="9023" spans="1:45" s="901" customFormat="1" ht="13.2">
      <c r="A9023" s="903">
        <v>3</v>
      </c>
      <c r="B9023" s="904" t="s">
        <v>863</v>
      </c>
      <c r="C9023" s="904"/>
      <c r="D9023" s="904" t="s">
        <v>2594</v>
      </c>
      <c r="E9023" s="904"/>
      <c r="F9023" s="904" t="s">
        <v>4128</v>
      </c>
      <c r="G9023" s="905" t="s">
        <v>2595</v>
      </c>
      <c r="H9023" s="902">
        <v>960</v>
      </c>
      <c r="I9023" s="904" t="s">
        <v>2596</v>
      </c>
      <c r="J9023" s="904"/>
      <c r="K9023" s="904"/>
      <c r="L9023" s="904"/>
      <c r="M9023" s="904"/>
      <c r="N9023" s="904"/>
      <c r="O9023" s="902">
        <v>4</v>
      </c>
      <c r="P9023" s="906">
        <v>38274</v>
      </c>
      <c r="Q9023" s="1415">
        <f>79*0.873</f>
        <v>68.966999999999999</v>
      </c>
      <c r="R9023" s="908">
        <f>$A9023*Q9023</f>
        <v>206.90100000000001</v>
      </c>
      <c r="S9023" s="907"/>
      <c r="T9023" s="909">
        <f>$A9023*S9023*$T$1</f>
        <v>0</v>
      </c>
      <c r="AR9023" s="903">
        <v>3</v>
      </c>
      <c r="AS9023" s="904" t="s">
        <v>3507</v>
      </c>
    </row>
    <row r="9024" spans="1:45" s="520" customFormat="1" ht="12">
      <c r="A9024" s="758"/>
      <c r="B9024" s="758"/>
      <c r="C9024" s="758"/>
      <c r="D9024" s="758"/>
      <c r="E9024" s="758"/>
      <c r="F9024" s="753"/>
      <c r="G9024" s="758"/>
      <c r="H9024" s="758"/>
      <c r="I9024" s="519"/>
      <c r="J9024" s="758"/>
      <c r="K9024" s="758"/>
      <c r="L9024" s="758"/>
      <c r="M9024" s="758"/>
      <c r="N9024" s="758"/>
      <c r="O9024" s="758"/>
      <c r="P9024" s="758"/>
      <c r="Q9024" s="519"/>
      <c r="R9024" s="759">
        <f>$A9024*Q9024</f>
        <v>0</v>
      </c>
      <c r="S9024" s="519"/>
      <c r="T9024" s="760">
        <f>$A9024*S9024*$T$1</f>
        <v>0</v>
      </c>
      <c r="AR9024" s="758"/>
      <c r="AS9024" s="753"/>
    </row>
    <row r="9025" spans="1:45" s="520" customFormat="1" ht="12.6" thickBot="1">
      <c r="A9025" s="761" t="s">
        <v>145</v>
      </c>
      <c r="B9025" s="762">
        <f>(R9024+T9024)</f>
        <v>0</v>
      </c>
      <c r="C9025" s="763"/>
      <c r="D9025" s="763"/>
      <c r="E9025" s="763"/>
      <c r="F9025" s="764"/>
      <c r="G9025" s="763" t="s">
        <v>146</v>
      </c>
      <c r="H9025" s="763"/>
      <c r="I9025" s="765"/>
      <c r="J9025" s="763"/>
      <c r="K9025" s="763" t="s">
        <v>5</v>
      </c>
      <c r="L9025" s="766" t="s">
        <v>143</v>
      </c>
      <c r="M9025" s="766"/>
      <c r="N9025" s="766"/>
      <c r="O9025" s="766"/>
      <c r="P9025" s="766"/>
      <c r="Q9025" s="767"/>
      <c r="R9025" s="768">
        <f>SUM(R9022:R9024)</f>
        <v>206.90100000000001</v>
      </c>
      <c r="S9025" s="763"/>
      <c r="T9025" s="768">
        <f>SUM(T9022:T9024)</f>
        <v>0</v>
      </c>
      <c r="U9025" s="531"/>
      <c r="V9025" s="531"/>
      <c r="W9025" s="531"/>
      <c r="X9025" s="531"/>
      <c r="Y9025" s="531"/>
      <c r="Z9025" s="531"/>
      <c r="AA9025" s="531"/>
      <c r="AB9025" s="531"/>
      <c r="AC9025" s="531"/>
      <c r="AD9025" s="531"/>
      <c r="AE9025" s="531"/>
      <c r="AF9025" s="531"/>
      <c r="AG9025" s="531"/>
      <c r="AH9025" s="531"/>
      <c r="AI9025" s="531"/>
      <c r="AJ9025" s="531"/>
      <c r="AK9025" s="531"/>
      <c r="AL9025" s="531"/>
      <c r="AM9025" s="531"/>
      <c r="AN9025" s="531"/>
      <c r="AO9025" s="531"/>
      <c r="AR9025" s="761" t="s">
        <v>145</v>
      </c>
      <c r="AS9025" s="764"/>
    </row>
    <row r="9026" spans="1:45" s="520" customFormat="1" ht="12" thickTop="1">
      <c r="A9026" s="51"/>
      <c r="B9026" s="41"/>
      <c r="C9026" s="51"/>
      <c r="E9026" s="42" t="s">
        <v>138</v>
      </c>
      <c r="F9026" s="42" t="s">
        <v>139</v>
      </c>
      <c r="G9026" s="51"/>
      <c r="H9026" s="51"/>
      <c r="I9026" s="51"/>
      <c r="J9026" s="51"/>
      <c r="K9026" s="51" t="s">
        <v>140</v>
      </c>
      <c r="L9026" s="51"/>
      <c r="M9026" s="51"/>
      <c r="N9026" s="51"/>
      <c r="O9026" s="52"/>
      <c r="P9026" s="51"/>
      <c r="Q9026" s="51"/>
      <c r="R9026" s="51"/>
      <c r="S9026" s="51"/>
      <c r="T9026" s="41"/>
      <c r="AG9026" s="521" t="s">
        <v>268</v>
      </c>
      <c r="AH9026" s="521" t="s">
        <v>269</v>
      </c>
      <c r="AI9026" s="521" t="s">
        <v>270</v>
      </c>
      <c r="AJ9026" s="521" t="s">
        <v>271</v>
      </c>
      <c r="AK9026" s="521" t="s">
        <v>272</v>
      </c>
      <c r="AM9026" s="745" t="s">
        <v>281</v>
      </c>
      <c r="AN9026" s="746" t="s">
        <v>282</v>
      </c>
      <c r="AO9026" s="522" t="s">
        <v>278</v>
      </c>
      <c r="AR9026" s="51"/>
      <c r="AS9026" s="42" t="s">
        <v>139</v>
      </c>
    </row>
    <row r="9027" spans="1:45" s="520" customFormat="1" ht="12" customHeight="1">
      <c r="A9027" s="747">
        <v>1</v>
      </c>
      <c r="B9027" s="523" t="s">
        <v>141</v>
      </c>
      <c r="C9027" s="748"/>
      <c r="D9027" s="749" t="s">
        <v>2399</v>
      </c>
      <c r="E9027" s="1145">
        <f>IF(AND($A9027=0,$A$1="DIF"),0, ROUND(ROUND(($R9031*$S$3+($T9031*$T$3))/$A9027,2)*$C$3,2))</f>
        <v>77.849999999999994</v>
      </c>
      <c r="F9027" s="1146">
        <f>ROUND($A9027*$E9027,2)</f>
        <v>77.849999999999994</v>
      </c>
      <c r="G9027" s="752" t="s">
        <v>142</v>
      </c>
      <c r="H9027" s="753"/>
      <c r="I9027" s="754"/>
      <c r="J9027" s="753"/>
      <c r="K9027" s="753" t="s">
        <v>5</v>
      </c>
      <c r="L9027" s="755" t="s">
        <v>143</v>
      </c>
      <c r="M9027" s="755"/>
      <c r="N9027" s="755"/>
      <c r="O9027" s="755"/>
      <c r="P9027" s="755"/>
      <c r="Q9027" s="51"/>
      <c r="T9027" s="1150" t="str">
        <f>IF(AND($R9031=0,$T9031=0),"0.00","mu: "&amp; ROUND(F9027/$C$3/($R9031+$T9031*$D$9),2))</f>
        <v>mu: 1.13</v>
      </c>
      <c r="W9027" s="524"/>
      <c r="AG9027" s="1147">
        <f>IF($E9027=0,0,ROUND($R9031*$S$3*$C$3/$A9027,2))</f>
        <v>77.849999999999994</v>
      </c>
      <c r="AH9027" s="1147">
        <f>$AG9027*$A9027</f>
        <v>77.849999999999994</v>
      </c>
      <c r="AI9027" s="1148">
        <f>$E9027-$AG9027</f>
        <v>0</v>
      </c>
      <c r="AJ9027" s="1148">
        <f>$A9027*$AI9027</f>
        <v>0</v>
      </c>
      <c r="AK9027" s="1149">
        <f>ROUND(($AG9027+$AI9027)*$A9027,2)</f>
        <v>77.849999999999994</v>
      </c>
      <c r="AM9027" s="527">
        <f>ROUND(R9031,2)</f>
        <v>68.97</v>
      </c>
      <c r="AN9027" s="528">
        <f>ROUND(T9031,2)</f>
        <v>0</v>
      </c>
      <c r="AO9027" s="529">
        <f>ROUND(AM9027+AN9027,2)*A9027</f>
        <v>68.97</v>
      </c>
      <c r="AR9027" s="747">
        <v>1</v>
      </c>
      <c r="AS9027" s="1146">
        <v>84.71</v>
      </c>
    </row>
    <row r="9028" spans="1:45" s="520" customFormat="1" ht="13.2">
      <c r="A9028" s="748"/>
      <c r="B9028"/>
      <c r="C9028" s="748"/>
      <c r="D9028" s="749" t="s">
        <v>2085</v>
      </c>
      <c r="F9028" s="753"/>
      <c r="G9028" s="3"/>
      <c r="H9028" s="753"/>
      <c r="I9028" s="754"/>
      <c r="J9028" s="753"/>
      <c r="K9028" s="753" t="s">
        <v>144</v>
      </c>
      <c r="L9028" s="753"/>
      <c r="M9028" s="753"/>
      <c r="N9028" s="753"/>
      <c r="O9028" s="753"/>
      <c r="P9028" s="753"/>
      <c r="Q9028" s="51"/>
      <c r="R9028" s="530"/>
      <c r="S9028" s="757"/>
      <c r="T9028" s="753"/>
      <c r="AR9028" s="748"/>
      <c r="AS9028" s="753"/>
    </row>
    <row r="9029" spans="1:45" s="901" customFormat="1" ht="13.2">
      <c r="A9029" s="903">
        <v>1</v>
      </c>
      <c r="B9029" s="904" t="s">
        <v>863</v>
      </c>
      <c r="C9029" s="904"/>
      <c r="D9029" s="904" t="s">
        <v>2594</v>
      </c>
      <c r="E9029" s="904"/>
      <c r="F9029" s="904" t="s">
        <v>4128</v>
      </c>
      <c r="G9029" s="905" t="s">
        <v>2595</v>
      </c>
      <c r="H9029" s="902">
        <v>960</v>
      </c>
      <c r="I9029" s="904" t="s">
        <v>2596</v>
      </c>
      <c r="J9029" s="904"/>
      <c r="K9029" s="904"/>
      <c r="L9029" s="904"/>
      <c r="M9029" s="904"/>
      <c r="N9029" s="904"/>
      <c r="O9029" s="902">
        <v>4</v>
      </c>
      <c r="P9029" s="906">
        <v>38274</v>
      </c>
      <c r="Q9029" s="1415">
        <f>79*0.873</f>
        <v>68.966999999999999</v>
      </c>
      <c r="R9029" s="908">
        <f>$A9029*Q9029</f>
        <v>68.966999999999999</v>
      </c>
      <c r="S9029" s="907"/>
      <c r="T9029" s="909">
        <f>$A9029*S9029*$T$1</f>
        <v>0</v>
      </c>
      <c r="AR9029" s="903">
        <v>1</v>
      </c>
      <c r="AS9029" s="904" t="s">
        <v>3507</v>
      </c>
    </row>
    <row r="9030" spans="1:45" s="520" customFormat="1" ht="12">
      <c r="A9030" s="758"/>
      <c r="B9030" s="758"/>
      <c r="C9030" s="758"/>
      <c r="D9030" s="758"/>
      <c r="E9030" s="758"/>
      <c r="F9030" s="753"/>
      <c r="G9030" s="758"/>
      <c r="H9030" s="758"/>
      <c r="I9030" s="519"/>
      <c r="J9030" s="758"/>
      <c r="K9030" s="758"/>
      <c r="L9030" s="758"/>
      <c r="M9030" s="758"/>
      <c r="N9030" s="758"/>
      <c r="O9030" s="758"/>
      <c r="P9030" s="758"/>
      <c r="Q9030" s="519"/>
      <c r="R9030" s="759">
        <f>$A9030*Q9030</f>
        <v>0</v>
      </c>
      <c r="S9030" s="519"/>
      <c r="T9030" s="760">
        <f>$A9030*S9030*$T$1</f>
        <v>0</v>
      </c>
      <c r="AR9030" s="758"/>
      <c r="AS9030" s="753"/>
    </row>
    <row r="9031" spans="1:45" s="520" customFormat="1" ht="12.6" thickBot="1">
      <c r="A9031" s="761" t="s">
        <v>145</v>
      </c>
      <c r="B9031" s="762">
        <f>(R9030+T9030)</f>
        <v>0</v>
      </c>
      <c r="C9031" s="763"/>
      <c r="D9031" s="763"/>
      <c r="E9031" s="763"/>
      <c r="F9031" s="764"/>
      <c r="G9031" s="763" t="s">
        <v>146</v>
      </c>
      <c r="H9031" s="763"/>
      <c r="I9031" s="765"/>
      <c r="J9031" s="763"/>
      <c r="K9031" s="763" t="s">
        <v>5</v>
      </c>
      <c r="L9031" s="766" t="s">
        <v>143</v>
      </c>
      <c r="M9031" s="766"/>
      <c r="N9031" s="766"/>
      <c r="O9031" s="766"/>
      <c r="P9031" s="766"/>
      <c r="Q9031" s="767"/>
      <c r="R9031" s="768">
        <f>SUM(R9028:R9030)</f>
        <v>68.966999999999999</v>
      </c>
      <c r="S9031" s="763"/>
      <c r="T9031" s="768">
        <f>SUM(T9028:T9030)</f>
        <v>0</v>
      </c>
      <c r="U9031" s="531"/>
      <c r="V9031" s="531"/>
      <c r="W9031" s="531"/>
      <c r="X9031" s="531"/>
      <c r="Y9031" s="531"/>
      <c r="Z9031" s="531"/>
      <c r="AA9031" s="531"/>
      <c r="AB9031" s="531"/>
      <c r="AC9031" s="531"/>
      <c r="AD9031" s="531"/>
      <c r="AE9031" s="531"/>
      <c r="AF9031" s="531"/>
      <c r="AG9031" s="531"/>
      <c r="AH9031" s="531"/>
      <c r="AI9031" s="531"/>
      <c r="AJ9031" s="531"/>
      <c r="AK9031" s="531"/>
      <c r="AL9031" s="531"/>
      <c r="AM9031" s="531"/>
      <c r="AN9031" s="531"/>
      <c r="AO9031" s="531"/>
      <c r="AR9031" s="761" t="s">
        <v>145</v>
      </c>
      <c r="AS9031" s="764"/>
    </row>
    <row r="9032" spans="1:45" s="520" customFormat="1" ht="12" thickTop="1">
      <c r="A9032" s="51"/>
      <c r="B9032" s="41"/>
      <c r="C9032" s="51"/>
      <c r="E9032" s="42" t="s">
        <v>138</v>
      </c>
      <c r="F9032" s="42" t="s">
        <v>139</v>
      </c>
      <c r="G9032" s="51"/>
      <c r="H9032" s="51"/>
      <c r="I9032" s="51"/>
      <c r="J9032" s="51"/>
      <c r="K9032" s="51" t="s">
        <v>140</v>
      </c>
      <c r="L9032" s="51"/>
      <c r="M9032" s="51"/>
      <c r="N9032" s="51"/>
      <c r="O9032" s="52"/>
      <c r="P9032" s="51"/>
      <c r="Q9032" s="51"/>
      <c r="R9032" s="51"/>
      <c r="S9032" s="51"/>
      <c r="T9032" s="41"/>
      <c r="AG9032" s="521" t="s">
        <v>268</v>
      </c>
      <c r="AH9032" s="521" t="s">
        <v>269</v>
      </c>
      <c r="AI9032" s="521" t="s">
        <v>270</v>
      </c>
      <c r="AJ9032" s="521" t="s">
        <v>271</v>
      </c>
      <c r="AK9032" s="521" t="s">
        <v>272</v>
      </c>
      <c r="AM9032" s="745" t="s">
        <v>281</v>
      </c>
      <c r="AN9032" s="746" t="s">
        <v>282</v>
      </c>
      <c r="AO9032" s="522" t="s">
        <v>278</v>
      </c>
      <c r="AR9032" s="51"/>
      <c r="AS9032" s="42" t="s">
        <v>139</v>
      </c>
    </row>
    <row r="9033" spans="1:45" s="520" customFormat="1" ht="12" customHeight="1">
      <c r="A9033" s="747">
        <v>1</v>
      </c>
      <c r="B9033" s="523" t="s">
        <v>141</v>
      </c>
      <c r="C9033" s="748"/>
      <c r="D9033" s="749" t="s">
        <v>2400</v>
      </c>
      <c r="E9033" s="1145">
        <f>IF(AND($A9033=0,$A$1="DIF"),0, ROUND(ROUND(($R9037*$S$3+($T9037*$T$3))/$A9033,2)*$C$3,2))</f>
        <v>77.849999999999994</v>
      </c>
      <c r="F9033" s="1146">
        <f>ROUND($A9033*$E9033,2)</f>
        <v>77.849999999999994</v>
      </c>
      <c r="G9033" s="752" t="s">
        <v>142</v>
      </c>
      <c r="H9033" s="753"/>
      <c r="I9033" s="754"/>
      <c r="J9033" s="753"/>
      <c r="K9033" s="753" t="s">
        <v>5</v>
      </c>
      <c r="L9033" s="755" t="s">
        <v>143</v>
      </c>
      <c r="M9033" s="755"/>
      <c r="N9033" s="755"/>
      <c r="O9033" s="755"/>
      <c r="P9033" s="755"/>
      <c r="Q9033" s="51"/>
      <c r="T9033" s="1150" t="str">
        <f>IF(AND($R9037=0,$T9037=0),"0.00","mu: "&amp; ROUND(F9033/$C$3/($R9037+$T9037*$D$9),2))</f>
        <v>mu: 1.13</v>
      </c>
      <c r="W9033" s="524"/>
      <c r="AG9033" s="1147">
        <f>IF($E9033=0,0,ROUND($R9037*$S$3*$C$3/$A9033,2))</f>
        <v>77.849999999999994</v>
      </c>
      <c r="AH9033" s="1147">
        <f>$AG9033*$A9033</f>
        <v>77.849999999999994</v>
      </c>
      <c r="AI9033" s="1148">
        <f>$E9033-$AG9033</f>
        <v>0</v>
      </c>
      <c r="AJ9033" s="1148">
        <f>$A9033*$AI9033</f>
        <v>0</v>
      </c>
      <c r="AK9033" s="1149">
        <f>ROUND(($AG9033+$AI9033)*$A9033,2)</f>
        <v>77.849999999999994</v>
      </c>
      <c r="AM9033" s="527">
        <f>ROUND(R9037,2)</f>
        <v>68.97</v>
      </c>
      <c r="AN9033" s="528">
        <f>ROUND(T9037,2)</f>
        <v>0</v>
      </c>
      <c r="AO9033" s="529">
        <f>ROUND(AM9033+AN9033,2)*A9033</f>
        <v>68.97</v>
      </c>
      <c r="AR9033" s="747">
        <v>1</v>
      </c>
      <c r="AS9033" s="1146">
        <v>84.71</v>
      </c>
    </row>
    <row r="9034" spans="1:45" s="520" customFormat="1" ht="13.2">
      <c r="A9034" s="748"/>
      <c r="B9034"/>
      <c r="C9034" s="748"/>
      <c r="D9034" s="749" t="s">
        <v>2086</v>
      </c>
      <c r="F9034" s="753"/>
      <c r="G9034" s="3"/>
      <c r="H9034" s="753"/>
      <c r="I9034" s="754"/>
      <c r="J9034" s="753"/>
      <c r="K9034" s="753" t="s">
        <v>144</v>
      </c>
      <c r="L9034" s="753"/>
      <c r="M9034" s="753"/>
      <c r="N9034" s="753"/>
      <c r="O9034" s="753"/>
      <c r="P9034" s="753"/>
      <c r="Q9034" s="51"/>
      <c r="R9034" s="530"/>
      <c r="S9034" s="757"/>
      <c r="T9034" s="753"/>
      <c r="AR9034" s="748"/>
      <c r="AS9034" s="753"/>
    </row>
    <row r="9035" spans="1:45" s="901" customFormat="1" ht="13.2">
      <c r="A9035" s="903">
        <v>1</v>
      </c>
      <c r="B9035" s="904" t="s">
        <v>863</v>
      </c>
      <c r="C9035" s="904"/>
      <c r="D9035" s="904" t="s">
        <v>2594</v>
      </c>
      <c r="E9035" s="904"/>
      <c r="F9035" s="904" t="s">
        <v>4128</v>
      </c>
      <c r="G9035" s="905" t="s">
        <v>2595</v>
      </c>
      <c r="H9035" s="902">
        <v>960</v>
      </c>
      <c r="I9035" s="904" t="s">
        <v>2596</v>
      </c>
      <c r="J9035" s="904"/>
      <c r="K9035" s="904"/>
      <c r="L9035" s="904"/>
      <c r="M9035" s="904"/>
      <c r="N9035" s="904"/>
      <c r="O9035" s="902">
        <v>4</v>
      </c>
      <c r="P9035" s="906">
        <v>38274</v>
      </c>
      <c r="Q9035" s="1415">
        <f>79*0.873</f>
        <v>68.966999999999999</v>
      </c>
      <c r="R9035" s="908">
        <f>$A9035*Q9035</f>
        <v>68.966999999999999</v>
      </c>
      <c r="S9035" s="907"/>
      <c r="T9035" s="909">
        <f>$A9035*S9035*$T$1</f>
        <v>0</v>
      </c>
      <c r="AR9035" s="903">
        <v>1</v>
      </c>
      <c r="AS9035" s="904" t="s">
        <v>3507</v>
      </c>
    </row>
    <row r="9036" spans="1:45" s="520" customFormat="1" ht="12">
      <c r="A9036" s="758"/>
      <c r="B9036" s="758"/>
      <c r="C9036" s="758"/>
      <c r="D9036" s="758"/>
      <c r="E9036" s="758"/>
      <c r="F9036" s="753"/>
      <c r="G9036" s="758"/>
      <c r="H9036" s="758"/>
      <c r="I9036" s="519"/>
      <c r="J9036" s="758"/>
      <c r="K9036" s="758"/>
      <c r="L9036" s="758"/>
      <c r="M9036" s="758"/>
      <c r="N9036" s="758"/>
      <c r="O9036" s="758"/>
      <c r="P9036" s="758"/>
      <c r="Q9036" s="519"/>
      <c r="R9036" s="759">
        <f>$A9036*Q9036</f>
        <v>0</v>
      </c>
      <c r="S9036" s="519"/>
      <c r="T9036" s="760">
        <f>$A9036*S9036*$T$1</f>
        <v>0</v>
      </c>
      <c r="AR9036" s="758"/>
      <c r="AS9036" s="753"/>
    </row>
    <row r="9037" spans="1:45" s="520" customFormat="1" ht="12.6" thickBot="1">
      <c r="A9037" s="761" t="s">
        <v>145</v>
      </c>
      <c r="B9037" s="762">
        <f>(R9036+T9036)</f>
        <v>0</v>
      </c>
      <c r="C9037" s="763"/>
      <c r="D9037" s="763"/>
      <c r="E9037" s="763"/>
      <c r="F9037" s="764"/>
      <c r="G9037" s="763" t="s">
        <v>146</v>
      </c>
      <c r="H9037" s="763"/>
      <c r="I9037" s="765"/>
      <c r="J9037" s="763"/>
      <c r="K9037" s="763" t="s">
        <v>5</v>
      </c>
      <c r="L9037" s="766" t="s">
        <v>143</v>
      </c>
      <c r="M9037" s="766"/>
      <c r="N9037" s="766"/>
      <c r="O9037" s="766"/>
      <c r="P9037" s="766"/>
      <c r="Q9037" s="767"/>
      <c r="R9037" s="768">
        <f>SUM(R9034:R9036)</f>
        <v>68.966999999999999</v>
      </c>
      <c r="S9037" s="763"/>
      <c r="T9037" s="768">
        <f>SUM(T9034:T9036)</f>
        <v>0</v>
      </c>
      <c r="U9037" s="531"/>
      <c r="V9037" s="531"/>
      <c r="W9037" s="531"/>
      <c r="X9037" s="531"/>
      <c r="Y9037" s="531"/>
      <c r="Z9037" s="531"/>
      <c r="AA9037" s="531"/>
      <c r="AB9037" s="531"/>
      <c r="AC9037" s="531"/>
      <c r="AD9037" s="531"/>
      <c r="AE9037" s="531"/>
      <c r="AF9037" s="531"/>
      <c r="AG9037" s="531"/>
      <c r="AH9037" s="531"/>
      <c r="AI9037" s="531"/>
      <c r="AJ9037" s="531"/>
      <c r="AK9037" s="531"/>
      <c r="AL9037" s="531"/>
      <c r="AM9037" s="531"/>
      <c r="AN9037" s="531"/>
      <c r="AO9037" s="531"/>
      <c r="AR9037" s="761" t="s">
        <v>145</v>
      </c>
      <c r="AS9037" s="764"/>
    </row>
    <row r="9038" spans="1:45" s="520" customFormat="1" ht="12" thickTop="1">
      <c r="A9038" s="51"/>
      <c r="B9038" s="41"/>
      <c r="C9038" s="51"/>
      <c r="E9038" s="42" t="s">
        <v>138</v>
      </c>
      <c r="F9038" s="42" t="s">
        <v>139</v>
      </c>
      <c r="G9038" s="51"/>
      <c r="H9038" s="51"/>
      <c r="I9038" s="51"/>
      <c r="J9038" s="51"/>
      <c r="K9038" s="51" t="s">
        <v>140</v>
      </c>
      <c r="L9038" s="51"/>
      <c r="M9038" s="51"/>
      <c r="N9038" s="51"/>
      <c r="O9038" s="52"/>
      <c r="P9038" s="51"/>
      <c r="Q9038" s="51"/>
      <c r="R9038" s="51"/>
      <c r="S9038" s="51"/>
      <c r="T9038" s="41"/>
      <c r="AG9038" s="521" t="s">
        <v>268</v>
      </c>
      <c r="AH9038" s="521" t="s">
        <v>269</v>
      </c>
      <c r="AI9038" s="521" t="s">
        <v>270</v>
      </c>
      <c r="AJ9038" s="521" t="s">
        <v>271</v>
      </c>
      <c r="AK9038" s="521" t="s">
        <v>272</v>
      </c>
      <c r="AM9038" s="745" t="s">
        <v>281</v>
      </c>
      <c r="AN9038" s="746" t="s">
        <v>282</v>
      </c>
      <c r="AO9038" s="522" t="s">
        <v>278</v>
      </c>
      <c r="AR9038" s="51"/>
      <c r="AS9038" s="42" t="s">
        <v>139</v>
      </c>
    </row>
    <row r="9039" spans="1:45" s="520" customFormat="1" ht="12" customHeight="1">
      <c r="A9039" s="747">
        <v>1</v>
      </c>
      <c r="B9039" s="523" t="s">
        <v>141</v>
      </c>
      <c r="C9039" s="748"/>
      <c r="D9039" s="749" t="s">
        <v>2401</v>
      </c>
      <c r="E9039" s="1145">
        <f>IF(AND($A9039=0,$A$1="DIF"),0, ROUND(ROUND(($R9043*$S$3+($T9043*$T$3))/$A9039,2)*$C$3,2))</f>
        <v>77.849999999999994</v>
      </c>
      <c r="F9039" s="1146">
        <f>ROUND($A9039*$E9039,2)</f>
        <v>77.849999999999994</v>
      </c>
      <c r="G9039" s="752" t="s">
        <v>142</v>
      </c>
      <c r="H9039" s="753"/>
      <c r="I9039" s="754"/>
      <c r="J9039" s="753"/>
      <c r="K9039" s="753" t="s">
        <v>5</v>
      </c>
      <c r="L9039" s="755" t="s">
        <v>143</v>
      </c>
      <c r="M9039" s="755"/>
      <c r="N9039" s="755"/>
      <c r="O9039" s="755"/>
      <c r="P9039" s="755"/>
      <c r="Q9039" s="51"/>
      <c r="T9039" s="1150" t="str">
        <f>IF(AND($R9043=0,$T9043=0),"0.00","mu: "&amp; ROUND(F9039/$C$3/($R9043+$T9043*$D$9),2))</f>
        <v>mu: 1.13</v>
      </c>
      <c r="W9039" s="524"/>
      <c r="AG9039" s="1147">
        <f>IF($E9039=0,0,ROUND($R9043*$S$3*$C$3/$A9039,2))</f>
        <v>77.849999999999994</v>
      </c>
      <c r="AH9039" s="1147">
        <f>$AG9039*$A9039</f>
        <v>77.849999999999994</v>
      </c>
      <c r="AI9039" s="1148">
        <f>$E9039-$AG9039</f>
        <v>0</v>
      </c>
      <c r="AJ9039" s="1148">
        <f>$A9039*$AI9039</f>
        <v>0</v>
      </c>
      <c r="AK9039" s="1149">
        <f>ROUND(($AG9039+$AI9039)*$A9039,2)</f>
        <v>77.849999999999994</v>
      </c>
      <c r="AM9039" s="527">
        <f>ROUND(R9043,2)</f>
        <v>68.97</v>
      </c>
      <c r="AN9039" s="528">
        <f>ROUND(T9043,2)</f>
        <v>0</v>
      </c>
      <c r="AO9039" s="529">
        <f>ROUND(AM9039+AN9039,2)*A9039</f>
        <v>68.97</v>
      </c>
      <c r="AR9039" s="747">
        <v>1</v>
      </c>
      <c r="AS9039" s="1146">
        <v>84.71</v>
      </c>
    </row>
    <row r="9040" spans="1:45" s="520" customFormat="1" ht="13.2">
      <c r="A9040" s="748"/>
      <c r="B9040"/>
      <c r="C9040" s="748"/>
      <c r="D9040" s="749" t="s">
        <v>2087</v>
      </c>
      <c r="F9040" s="753"/>
      <c r="G9040" s="3"/>
      <c r="H9040" s="753"/>
      <c r="I9040" s="754"/>
      <c r="J9040" s="753"/>
      <c r="K9040" s="753" t="s">
        <v>144</v>
      </c>
      <c r="L9040" s="753"/>
      <c r="M9040" s="753"/>
      <c r="N9040" s="753"/>
      <c r="O9040" s="753"/>
      <c r="P9040" s="753"/>
      <c r="Q9040" s="51"/>
      <c r="R9040" s="530"/>
      <c r="S9040" s="757"/>
      <c r="T9040" s="753"/>
      <c r="AR9040" s="748"/>
      <c r="AS9040" s="753"/>
    </row>
    <row r="9041" spans="1:45" s="901" customFormat="1" ht="13.2">
      <c r="A9041" s="903">
        <v>1</v>
      </c>
      <c r="B9041" s="904" t="s">
        <v>863</v>
      </c>
      <c r="C9041" s="904"/>
      <c r="D9041" s="904" t="s">
        <v>2594</v>
      </c>
      <c r="E9041" s="904"/>
      <c r="F9041" s="904" t="s">
        <v>4128</v>
      </c>
      <c r="G9041" s="905" t="s">
        <v>2595</v>
      </c>
      <c r="H9041" s="902">
        <v>960</v>
      </c>
      <c r="I9041" s="904" t="s">
        <v>2596</v>
      </c>
      <c r="J9041" s="904"/>
      <c r="K9041" s="904"/>
      <c r="L9041" s="904"/>
      <c r="M9041" s="904"/>
      <c r="N9041" s="904"/>
      <c r="O9041" s="902">
        <v>4</v>
      </c>
      <c r="P9041" s="906">
        <v>38274</v>
      </c>
      <c r="Q9041" s="1415">
        <f>79*0.873</f>
        <v>68.966999999999999</v>
      </c>
      <c r="R9041" s="908">
        <f>$A9041*Q9041</f>
        <v>68.966999999999999</v>
      </c>
      <c r="S9041" s="907"/>
      <c r="T9041" s="909">
        <f>$A9041*S9041*$T$1</f>
        <v>0</v>
      </c>
      <c r="AR9041" s="903">
        <v>1</v>
      </c>
      <c r="AS9041" s="904" t="s">
        <v>3507</v>
      </c>
    </row>
    <row r="9042" spans="1:45" s="520" customFormat="1" ht="12">
      <c r="A9042" s="758"/>
      <c r="B9042" s="758"/>
      <c r="C9042" s="758"/>
      <c r="D9042" s="758"/>
      <c r="E9042" s="758"/>
      <c r="F9042" s="753"/>
      <c r="G9042" s="758"/>
      <c r="H9042" s="758"/>
      <c r="I9042" s="519"/>
      <c r="J9042" s="758"/>
      <c r="K9042" s="758"/>
      <c r="L9042" s="758"/>
      <c r="M9042" s="758"/>
      <c r="N9042" s="758"/>
      <c r="O9042" s="758"/>
      <c r="P9042" s="758"/>
      <c r="Q9042" s="519"/>
      <c r="R9042" s="759">
        <f>$A9042*Q9042</f>
        <v>0</v>
      </c>
      <c r="S9042" s="519"/>
      <c r="T9042" s="760">
        <f>$A9042*S9042*$T$1</f>
        <v>0</v>
      </c>
      <c r="AR9042" s="758"/>
      <c r="AS9042" s="753"/>
    </row>
    <row r="9043" spans="1:45" s="520" customFormat="1" ht="12.6" thickBot="1">
      <c r="A9043" s="761" t="s">
        <v>145</v>
      </c>
      <c r="B9043" s="762">
        <f>(R9042+T9042)</f>
        <v>0</v>
      </c>
      <c r="C9043" s="763"/>
      <c r="D9043" s="763"/>
      <c r="E9043" s="763"/>
      <c r="F9043" s="764"/>
      <c r="G9043" s="763" t="s">
        <v>146</v>
      </c>
      <c r="H9043" s="763"/>
      <c r="I9043" s="765"/>
      <c r="J9043" s="763"/>
      <c r="K9043" s="763" t="s">
        <v>5</v>
      </c>
      <c r="L9043" s="766" t="s">
        <v>143</v>
      </c>
      <c r="M9043" s="766"/>
      <c r="N9043" s="766"/>
      <c r="O9043" s="766"/>
      <c r="P9043" s="766"/>
      <c r="Q9043" s="767"/>
      <c r="R9043" s="768">
        <f>SUM(R9040:R9042)</f>
        <v>68.966999999999999</v>
      </c>
      <c r="S9043" s="763"/>
      <c r="T9043" s="768">
        <f>SUM(T9040:T9042)</f>
        <v>0</v>
      </c>
      <c r="U9043" s="531"/>
      <c r="V9043" s="531"/>
      <c r="W9043" s="531"/>
      <c r="X9043" s="531"/>
      <c r="Y9043" s="531"/>
      <c r="Z9043" s="531"/>
      <c r="AA9043" s="531"/>
      <c r="AB9043" s="531"/>
      <c r="AC9043" s="531"/>
      <c r="AD9043" s="531"/>
      <c r="AE9043" s="531"/>
      <c r="AF9043" s="531"/>
      <c r="AG9043" s="531"/>
      <c r="AH9043" s="531"/>
      <c r="AI9043" s="531"/>
      <c r="AJ9043" s="531"/>
      <c r="AK9043" s="531"/>
      <c r="AL9043" s="531"/>
      <c r="AM9043" s="531"/>
      <c r="AN9043" s="531"/>
      <c r="AO9043" s="531"/>
      <c r="AR9043" s="761" t="s">
        <v>145</v>
      </c>
      <c r="AS9043" s="764"/>
    </row>
    <row r="9044" spans="1:45" s="520" customFormat="1" ht="12" thickTop="1">
      <c r="A9044" s="51"/>
      <c r="B9044" s="41"/>
      <c r="C9044" s="51"/>
      <c r="E9044" s="42" t="s">
        <v>138</v>
      </c>
      <c r="F9044" s="42" t="s">
        <v>139</v>
      </c>
      <c r="G9044" s="51"/>
      <c r="H9044" s="51"/>
      <c r="I9044" s="51"/>
      <c r="J9044" s="51"/>
      <c r="K9044" s="51" t="s">
        <v>140</v>
      </c>
      <c r="L9044" s="51"/>
      <c r="M9044" s="51"/>
      <c r="N9044" s="51"/>
      <c r="O9044" s="52"/>
      <c r="P9044" s="51"/>
      <c r="Q9044" s="51"/>
      <c r="R9044" s="51"/>
      <c r="S9044" s="51"/>
      <c r="T9044" s="41"/>
      <c r="AG9044" s="521" t="s">
        <v>268</v>
      </c>
      <c r="AH9044" s="521" t="s">
        <v>269</v>
      </c>
      <c r="AI9044" s="521" t="s">
        <v>270</v>
      </c>
      <c r="AJ9044" s="521" t="s">
        <v>271</v>
      </c>
      <c r="AK9044" s="521" t="s">
        <v>272</v>
      </c>
      <c r="AM9044" s="745" t="s">
        <v>281</v>
      </c>
      <c r="AN9044" s="746" t="s">
        <v>282</v>
      </c>
      <c r="AO9044" s="522" t="s">
        <v>278</v>
      </c>
      <c r="AR9044" s="51"/>
      <c r="AS9044" s="42" t="s">
        <v>139</v>
      </c>
    </row>
    <row r="9045" spans="1:45" s="520" customFormat="1" ht="12" customHeight="1">
      <c r="A9045" s="747">
        <v>3</v>
      </c>
      <c r="B9045" s="523" t="s">
        <v>141</v>
      </c>
      <c r="C9045" s="748"/>
      <c r="D9045" s="749" t="s">
        <v>2402</v>
      </c>
      <c r="E9045" s="1145">
        <f>IF(AND($A9045=0,$A$1="DIF"),0, ROUND(ROUND(($R9049*$S$3+($T9049*$T$3))/$A9045,2)*$C$3,2))</f>
        <v>77.849999999999994</v>
      </c>
      <c r="F9045" s="1146">
        <f>ROUND($A9045*$E9045,2)</f>
        <v>233.55</v>
      </c>
      <c r="G9045" s="752" t="s">
        <v>142</v>
      </c>
      <c r="H9045" s="753"/>
      <c r="I9045" s="754"/>
      <c r="J9045" s="753"/>
      <c r="K9045" s="753" t="s">
        <v>5</v>
      </c>
      <c r="L9045" s="755" t="s">
        <v>143</v>
      </c>
      <c r="M9045" s="755"/>
      <c r="N9045" s="755"/>
      <c r="O9045" s="755"/>
      <c r="P9045" s="755"/>
      <c r="Q9045" s="51"/>
      <c r="T9045" s="1150" t="str">
        <f>IF(AND($R9049=0,$T9049=0),"0.00","mu: "&amp; ROUND(F9045/$C$3/($R9049+$T9049*$D$9),2))</f>
        <v>mu: 1.13</v>
      </c>
      <c r="W9045" s="524"/>
      <c r="AG9045" s="1147">
        <f>IF($E9045=0,0,ROUND($R9049*$S$3*$C$3/$A9045,2))</f>
        <v>77.849999999999994</v>
      </c>
      <c r="AH9045" s="1147">
        <f>$AG9045*$A9045</f>
        <v>233.54999999999998</v>
      </c>
      <c r="AI9045" s="1148">
        <f>$E9045-$AG9045</f>
        <v>0</v>
      </c>
      <c r="AJ9045" s="1148">
        <f>$A9045*$AI9045</f>
        <v>0</v>
      </c>
      <c r="AK9045" s="1149">
        <f>ROUND(($AG9045+$AI9045)*$A9045,2)</f>
        <v>233.55</v>
      </c>
      <c r="AM9045" s="527">
        <f>ROUND(R9049,2)</f>
        <v>206.9</v>
      </c>
      <c r="AN9045" s="528">
        <f>ROUND(T9049,2)</f>
        <v>0</v>
      </c>
      <c r="AO9045" s="529">
        <f>ROUND(AM9045+AN9045,2)*A9045</f>
        <v>620.70000000000005</v>
      </c>
      <c r="AR9045" s="747">
        <v>3</v>
      </c>
      <c r="AS9045" s="1146">
        <v>254.13</v>
      </c>
    </row>
    <row r="9046" spans="1:45" s="520" customFormat="1" ht="13.2">
      <c r="A9046" s="748"/>
      <c r="B9046"/>
      <c r="C9046" s="748"/>
      <c r="D9046" s="749" t="s">
        <v>2088</v>
      </c>
      <c r="F9046" s="753"/>
      <c r="G9046" s="3"/>
      <c r="H9046" s="753"/>
      <c r="I9046" s="754"/>
      <c r="J9046" s="753"/>
      <c r="K9046" s="753" t="s">
        <v>144</v>
      </c>
      <c r="L9046" s="753"/>
      <c r="M9046" s="753"/>
      <c r="N9046" s="753"/>
      <c r="O9046" s="753"/>
      <c r="P9046" s="753"/>
      <c r="Q9046" s="51"/>
      <c r="R9046" s="530"/>
      <c r="S9046" s="757"/>
      <c r="T9046" s="753"/>
      <c r="AR9046" s="748"/>
      <c r="AS9046" s="753"/>
    </row>
    <row r="9047" spans="1:45" s="901" customFormat="1" ht="13.2">
      <c r="A9047" s="903">
        <v>3</v>
      </c>
      <c r="B9047" s="904" t="s">
        <v>863</v>
      </c>
      <c r="C9047" s="904"/>
      <c r="D9047" s="904" t="s">
        <v>2594</v>
      </c>
      <c r="E9047" s="904"/>
      <c r="F9047" s="904" t="s">
        <v>4128</v>
      </c>
      <c r="G9047" s="905" t="s">
        <v>2595</v>
      </c>
      <c r="H9047" s="902">
        <v>960</v>
      </c>
      <c r="I9047" s="904" t="s">
        <v>2596</v>
      </c>
      <c r="J9047" s="904"/>
      <c r="K9047" s="904"/>
      <c r="L9047" s="904"/>
      <c r="M9047" s="904"/>
      <c r="N9047" s="904"/>
      <c r="O9047" s="902">
        <v>4</v>
      </c>
      <c r="P9047" s="906">
        <v>38274</v>
      </c>
      <c r="Q9047" s="1415">
        <f>79*0.873</f>
        <v>68.966999999999999</v>
      </c>
      <c r="R9047" s="908">
        <f>$A9047*Q9047</f>
        <v>206.90100000000001</v>
      </c>
      <c r="S9047" s="907"/>
      <c r="T9047" s="909">
        <f>$A9047*S9047*$T$1</f>
        <v>0</v>
      </c>
      <c r="AR9047" s="903">
        <v>3</v>
      </c>
      <c r="AS9047" s="904" t="s">
        <v>3507</v>
      </c>
    </row>
    <row r="9048" spans="1:45" s="520" customFormat="1" ht="12">
      <c r="A9048" s="758"/>
      <c r="B9048" s="758"/>
      <c r="C9048" s="758"/>
      <c r="D9048" s="758"/>
      <c r="E9048" s="758"/>
      <c r="F9048" s="753"/>
      <c r="G9048" s="758"/>
      <c r="H9048" s="758"/>
      <c r="I9048" s="519"/>
      <c r="J9048" s="758"/>
      <c r="K9048" s="758"/>
      <c r="L9048" s="758"/>
      <c r="M9048" s="758"/>
      <c r="N9048" s="758"/>
      <c r="O9048" s="758"/>
      <c r="P9048" s="758"/>
      <c r="Q9048" s="519"/>
      <c r="R9048" s="759">
        <f>$A9048*Q9048</f>
        <v>0</v>
      </c>
      <c r="S9048" s="519"/>
      <c r="T9048" s="760">
        <f>$A9048*S9048*$T$1</f>
        <v>0</v>
      </c>
      <c r="AR9048" s="758"/>
      <c r="AS9048" s="753"/>
    </row>
    <row r="9049" spans="1:45" s="520" customFormat="1" ht="12.6" thickBot="1">
      <c r="A9049" s="761" t="s">
        <v>145</v>
      </c>
      <c r="B9049" s="762">
        <f>(R9048+T9048)</f>
        <v>0</v>
      </c>
      <c r="C9049" s="763"/>
      <c r="D9049" s="763"/>
      <c r="E9049" s="763"/>
      <c r="F9049" s="764"/>
      <c r="G9049" s="763" t="s">
        <v>146</v>
      </c>
      <c r="H9049" s="763"/>
      <c r="I9049" s="765"/>
      <c r="J9049" s="763"/>
      <c r="K9049" s="763" t="s">
        <v>5</v>
      </c>
      <c r="L9049" s="766" t="s">
        <v>143</v>
      </c>
      <c r="M9049" s="766"/>
      <c r="N9049" s="766"/>
      <c r="O9049" s="766"/>
      <c r="P9049" s="766"/>
      <c r="Q9049" s="767"/>
      <c r="R9049" s="768">
        <f>SUM(R9046:R9048)</f>
        <v>206.90100000000001</v>
      </c>
      <c r="S9049" s="763"/>
      <c r="T9049" s="768">
        <f>SUM(T9046:T9048)</f>
        <v>0</v>
      </c>
      <c r="U9049" s="531"/>
      <c r="V9049" s="531"/>
      <c r="W9049" s="531"/>
      <c r="X9049" s="531"/>
      <c r="Y9049" s="531"/>
      <c r="Z9049" s="531"/>
      <c r="AA9049" s="531"/>
      <c r="AB9049" s="531"/>
      <c r="AC9049" s="531"/>
      <c r="AD9049" s="531"/>
      <c r="AE9049" s="531"/>
      <c r="AF9049" s="531"/>
      <c r="AG9049" s="531"/>
      <c r="AH9049" s="531"/>
      <c r="AI9049" s="531"/>
      <c r="AJ9049" s="531"/>
      <c r="AK9049" s="531"/>
      <c r="AL9049" s="531"/>
      <c r="AM9049" s="531"/>
      <c r="AN9049" s="531"/>
      <c r="AO9049" s="531"/>
      <c r="AR9049" s="761" t="s">
        <v>145</v>
      </c>
      <c r="AS9049" s="764"/>
    </row>
    <row r="9050" spans="1:45" s="520" customFormat="1" ht="12" thickTop="1">
      <c r="A9050" s="51"/>
      <c r="B9050" s="41"/>
      <c r="C9050" s="51"/>
      <c r="E9050" s="42" t="s">
        <v>138</v>
      </c>
      <c r="F9050" s="42" t="s">
        <v>139</v>
      </c>
      <c r="G9050" s="51"/>
      <c r="H9050" s="51"/>
      <c r="I9050" s="51"/>
      <c r="J9050" s="51"/>
      <c r="K9050" s="51" t="s">
        <v>140</v>
      </c>
      <c r="L9050" s="51"/>
      <c r="M9050" s="51"/>
      <c r="N9050" s="51"/>
      <c r="O9050" s="52"/>
      <c r="P9050" s="51"/>
      <c r="Q9050" s="51"/>
      <c r="R9050" s="51"/>
      <c r="S9050" s="51"/>
      <c r="T9050" s="41"/>
      <c r="AG9050" s="521" t="s">
        <v>268</v>
      </c>
      <c r="AH9050" s="521" t="s">
        <v>269</v>
      </c>
      <c r="AI9050" s="521" t="s">
        <v>270</v>
      </c>
      <c r="AJ9050" s="521" t="s">
        <v>271</v>
      </c>
      <c r="AK9050" s="521" t="s">
        <v>272</v>
      </c>
      <c r="AM9050" s="745" t="s">
        <v>281</v>
      </c>
      <c r="AN9050" s="746" t="s">
        <v>282</v>
      </c>
      <c r="AO9050" s="522" t="s">
        <v>278</v>
      </c>
      <c r="AR9050" s="51"/>
      <c r="AS9050" s="42" t="s">
        <v>139</v>
      </c>
    </row>
    <row r="9051" spans="1:45" s="520" customFormat="1" ht="12" customHeight="1">
      <c r="A9051" s="747">
        <v>4</v>
      </c>
      <c r="B9051" s="523" t="s">
        <v>141</v>
      </c>
      <c r="C9051" s="748"/>
      <c r="D9051" s="749" t="s">
        <v>2403</v>
      </c>
      <c r="E9051" s="1145">
        <f>IF(AND($A9051=0,$A$1="DIF"),0, ROUND(ROUND(($R9055*$S$3+($T9055*$T$3))/$A9051,2)*$C$3,2))</f>
        <v>96.57</v>
      </c>
      <c r="F9051" s="1146">
        <f>ROUND($A9051*$E9051,2)</f>
        <v>386.28</v>
      </c>
      <c r="G9051" s="752" t="s">
        <v>142</v>
      </c>
      <c r="H9051" s="753"/>
      <c r="I9051" s="754"/>
      <c r="J9051" s="753"/>
      <c r="K9051" s="753" t="s">
        <v>5</v>
      </c>
      <c r="L9051" s="755" t="s">
        <v>143</v>
      </c>
      <c r="M9051" s="755"/>
      <c r="N9051" s="755"/>
      <c r="O9051" s="755"/>
      <c r="P9051" s="755"/>
      <c r="Q9051" s="51"/>
      <c r="T9051" s="1150" t="str">
        <f>IF(AND($R9055=0,$T9055=0),"0.00","mu: "&amp; ROUND(F9051/$C$3/($R9055+$T9055*$D$9),2))</f>
        <v>mu: 1.13</v>
      </c>
      <c r="W9051" s="524"/>
      <c r="AG9051" s="1147">
        <f>IF($E9051=0,0,ROUND($R9055*$S$3*$C$3/$A9051,2))</f>
        <v>96.57</v>
      </c>
      <c r="AH9051" s="1147">
        <f>$AG9051*$A9051</f>
        <v>386.28</v>
      </c>
      <c r="AI9051" s="1148">
        <f>$E9051-$AG9051</f>
        <v>0</v>
      </c>
      <c r="AJ9051" s="1148">
        <f>$A9051*$AI9051</f>
        <v>0</v>
      </c>
      <c r="AK9051" s="1149">
        <f>ROUND(($AG9051+$AI9051)*$A9051,2)</f>
        <v>386.28</v>
      </c>
      <c r="AM9051" s="527">
        <f>ROUND(R9055,2)</f>
        <v>342.22</v>
      </c>
      <c r="AN9051" s="528">
        <f>ROUND(T9055,2)</f>
        <v>0</v>
      </c>
      <c r="AO9051" s="529">
        <f>ROUND(AM9051+AN9051,2)*A9051</f>
        <v>1368.88</v>
      </c>
      <c r="AR9051" s="747">
        <v>4</v>
      </c>
      <c r="AS9051" s="1146">
        <v>420.32</v>
      </c>
    </row>
    <row r="9052" spans="1:45" s="520" customFormat="1" ht="13.2">
      <c r="A9052" s="748"/>
      <c r="B9052"/>
      <c r="C9052" s="748"/>
      <c r="D9052" s="749" t="s">
        <v>2089</v>
      </c>
      <c r="F9052" s="753"/>
      <c r="G9052" s="3"/>
      <c r="H9052" s="753"/>
      <c r="I9052" s="754"/>
      <c r="J9052" s="753"/>
      <c r="K9052" s="753" t="s">
        <v>144</v>
      </c>
      <c r="L9052" s="753"/>
      <c r="M9052" s="753"/>
      <c r="N9052" s="753"/>
      <c r="O9052" s="753"/>
      <c r="P9052" s="753"/>
      <c r="Q9052" s="51"/>
      <c r="R9052" s="530"/>
      <c r="S9052" s="757"/>
      <c r="T9052" s="753"/>
      <c r="AR9052" s="748"/>
      <c r="AS9052" s="753"/>
    </row>
    <row r="9053" spans="1:45" s="901" customFormat="1" ht="13.2">
      <c r="A9053" s="903">
        <v>4</v>
      </c>
      <c r="B9053" s="904" t="s">
        <v>863</v>
      </c>
      <c r="C9053" s="904"/>
      <c r="D9053" s="904" t="s">
        <v>2594</v>
      </c>
      <c r="E9053" s="904"/>
      <c r="F9053" s="904" t="s">
        <v>4128</v>
      </c>
      <c r="G9053" s="905" t="s">
        <v>2595</v>
      </c>
      <c r="H9053" s="902">
        <v>960</v>
      </c>
      <c r="I9053" s="904" t="s">
        <v>2596</v>
      </c>
      <c r="J9053" s="904"/>
      <c r="K9053" s="904"/>
      <c r="L9053" s="904"/>
      <c r="M9053" s="904"/>
      <c r="N9053" s="904"/>
      <c r="O9053" s="902">
        <v>4</v>
      </c>
      <c r="P9053" s="906">
        <v>38274</v>
      </c>
      <c r="Q9053" s="1415">
        <f>98*0.873</f>
        <v>85.554000000000002</v>
      </c>
      <c r="R9053" s="908">
        <f>$A9053*Q9053</f>
        <v>342.21600000000001</v>
      </c>
      <c r="S9053" s="907"/>
      <c r="T9053" s="909">
        <f>$A9053*S9053*$T$1</f>
        <v>0</v>
      </c>
      <c r="AR9053" s="903">
        <v>4</v>
      </c>
      <c r="AS9053" s="904" t="s">
        <v>3507</v>
      </c>
    </row>
    <row r="9054" spans="1:45" s="520" customFormat="1" ht="12">
      <c r="A9054" s="758"/>
      <c r="B9054" s="758"/>
      <c r="C9054" s="758"/>
      <c r="D9054" s="758"/>
      <c r="E9054" s="758"/>
      <c r="F9054" s="753"/>
      <c r="G9054" s="758"/>
      <c r="H9054" s="758"/>
      <c r="I9054" s="519"/>
      <c r="J9054" s="758"/>
      <c r="K9054" s="758"/>
      <c r="L9054" s="758"/>
      <c r="M9054" s="758"/>
      <c r="N9054" s="758"/>
      <c r="O9054" s="758"/>
      <c r="P9054" s="758"/>
      <c r="Q9054" s="519"/>
      <c r="R9054" s="759">
        <f>$A9054*Q9054</f>
        <v>0</v>
      </c>
      <c r="S9054" s="519"/>
      <c r="T9054" s="760">
        <f>$A9054*S9054*$T$1</f>
        <v>0</v>
      </c>
      <c r="AR9054" s="758"/>
      <c r="AS9054" s="753"/>
    </row>
    <row r="9055" spans="1:45" s="520" customFormat="1" ht="12.6" thickBot="1">
      <c r="A9055" s="761" t="s">
        <v>145</v>
      </c>
      <c r="B9055" s="762">
        <f>(R9054+T9054)</f>
        <v>0</v>
      </c>
      <c r="C9055" s="763"/>
      <c r="D9055" s="763"/>
      <c r="E9055" s="763"/>
      <c r="F9055" s="764"/>
      <c r="G9055" s="763" t="s">
        <v>146</v>
      </c>
      <c r="H9055" s="763"/>
      <c r="I9055" s="765"/>
      <c r="J9055" s="763"/>
      <c r="K9055" s="763" t="s">
        <v>5</v>
      </c>
      <c r="L9055" s="766" t="s">
        <v>143</v>
      </c>
      <c r="M9055" s="766"/>
      <c r="N9055" s="766"/>
      <c r="O9055" s="766"/>
      <c r="P9055" s="766"/>
      <c r="Q9055" s="767"/>
      <c r="R9055" s="768">
        <f>SUM(R9052:R9054)</f>
        <v>342.21600000000001</v>
      </c>
      <c r="S9055" s="763"/>
      <c r="T9055" s="768">
        <f>SUM(T9052:T9054)</f>
        <v>0</v>
      </c>
      <c r="U9055" s="531"/>
      <c r="V9055" s="531"/>
      <c r="W9055" s="531"/>
      <c r="X9055" s="531"/>
      <c r="Y9055" s="531"/>
      <c r="Z9055" s="531"/>
      <c r="AA9055" s="531"/>
      <c r="AB9055" s="531"/>
      <c r="AC9055" s="531"/>
      <c r="AD9055" s="531"/>
      <c r="AE9055" s="531"/>
      <c r="AF9055" s="531"/>
      <c r="AG9055" s="531"/>
      <c r="AH9055" s="531"/>
      <c r="AI9055" s="531"/>
      <c r="AJ9055" s="531"/>
      <c r="AK9055" s="531"/>
      <c r="AL9055" s="531"/>
      <c r="AM9055" s="531"/>
      <c r="AN9055" s="531"/>
      <c r="AO9055" s="531"/>
      <c r="AR9055" s="761" t="s">
        <v>145</v>
      </c>
      <c r="AS9055" s="764"/>
    </row>
    <row r="9056" spans="1:45" s="520" customFormat="1" ht="12" thickTop="1">
      <c r="A9056" s="51"/>
      <c r="B9056" s="41"/>
      <c r="C9056" s="51"/>
      <c r="E9056" s="42" t="s">
        <v>138</v>
      </c>
      <c r="F9056" s="42" t="s">
        <v>139</v>
      </c>
      <c r="G9056" s="51"/>
      <c r="H9056" s="51"/>
      <c r="I9056" s="51"/>
      <c r="J9056" s="51"/>
      <c r="K9056" s="51" t="s">
        <v>140</v>
      </c>
      <c r="L9056" s="51"/>
      <c r="M9056" s="51"/>
      <c r="N9056" s="51"/>
      <c r="O9056" s="52"/>
      <c r="P9056" s="51"/>
      <c r="Q9056" s="51"/>
      <c r="R9056" s="51"/>
      <c r="S9056" s="51"/>
      <c r="T9056" s="41"/>
      <c r="AG9056" s="521" t="s">
        <v>268</v>
      </c>
      <c r="AH9056" s="521" t="s">
        <v>269</v>
      </c>
      <c r="AI9056" s="521" t="s">
        <v>270</v>
      </c>
      <c r="AJ9056" s="521" t="s">
        <v>271</v>
      </c>
      <c r="AK9056" s="521" t="s">
        <v>272</v>
      </c>
      <c r="AM9056" s="745" t="s">
        <v>281</v>
      </c>
      <c r="AN9056" s="746" t="s">
        <v>282</v>
      </c>
      <c r="AO9056" s="522" t="s">
        <v>278</v>
      </c>
      <c r="AR9056" s="51"/>
      <c r="AS9056" s="42" t="s">
        <v>139</v>
      </c>
    </row>
    <row r="9057" spans="1:45" s="520" customFormat="1" ht="12" customHeight="1">
      <c r="A9057" s="747">
        <v>1</v>
      </c>
      <c r="B9057" s="523" t="s">
        <v>141</v>
      </c>
      <c r="C9057" s="748"/>
      <c r="D9057" s="749" t="s">
        <v>2404</v>
      </c>
      <c r="E9057" s="1145">
        <f>IF(AND($A9057=0,$A$1="DIF"),0, ROUND(ROUND(($R9061*$S$3+($T9061*$T$3))/$A9057,2)*$C$3,2))</f>
        <v>3941.53</v>
      </c>
      <c r="F9057" s="1146">
        <f>ROUND($A9057*$E9057,2)</f>
        <v>3941.53</v>
      </c>
      <c r="G9057" s="752" t="s">
        <v>142</v>
      </c>
      <c r="H9057" s="753"/>
      <c r="I9057" s="754"/>
      <c r="J9057" s="753"/>
      <c r="K9057" s="753" t="s">
        <v>5</v>
      </c>
      <c r="L9057" s="755" t="s">
        <v>143</v>
      </c>
      <c r="M9057" s="755"/>
      <c r="N9057" s="755"/>
      <c r="O9057" s="755"/>
      <c r="P9057" s="755"/>
      <c r="Q9057" s="51"/>
      <c r="T9057" s="1150" t="str">
        <f>IF(AND($R9061=0,$T9061=0),"0.00","mu: "&amp; ROUND(F9057/$C$3/($R9061+$T9061*$D$9),2))</f>
        <v>mu: 1.13</v>
      </c>
      <c r="W9057" s="524"/>
      <c r="AG9057" s="1147">
        <f>IF($E9057=0,0,ROUND($R9061*$S$3*$C$3/$A9057,2))</f>
        <v>3941.53</v>
      </c>
      <c r="AH9057" s="1147">
        <f>$AG9057*$A9057</f>
        <v>3941.53</v>
      </c>
      <c r="AI9057" s="1148">
        <f>$E9057-$AG9057</f>
        <v>0</v>
      </c>
      <c r="AJ9057" s="1148">
        <f>$A9057*$AI9057</f>
        <v>0</v>
      </c>
      <c r="AK9057" s="1149">
        <f>ROUND(($AG9057+$AI9057)*$A9057,2)</f>
        <v>3941.53</v>
      </c>
      <c r="AM9057" s="527">
        <f>ROUND(R9061,2)</f>
        <v>3492</v>
      </c>
      <c r="AN9057" s="528">
        <f>ROUND(T9061,2)</f>
        <v>0</v>
      </c>
      <c r="AO9057" s="529">
        <f>ROUND(AM9057+AN9057,2)*A9057</f>
        <v>3492</v>
      </c>
      <c r="AR9057" s="747">
        <v>1</v>
      </c>
      <c r="AS9057" s="1146">
        <v>4289.18</v>
      </c>
    </row>
    <row r="9058" spans="1:45" s="520" customFormat="1" ht="13.2">
      <c r="A9058" s="748"/>
      <c r="B9058"/>
      <c r="C9058" s="748"/>
      <c r="D9058" s="749" t="s">
        <v>2082</v>
      </c>
      <c r="F9058" s="753"/>
      <c r="G9058" s="3"/>
      <c r="H9058" s="753"/>
      <c r="I9058" s="754"/>
      <c r="J9058" s="753"/>
      <c r="K9058" s="753" t="s">
        <v>144</v>
      </c>
      <c r="L9058" s="753"/>
      <c r="M9058" s="753"/>
      <c r="N9058" s="753"/>
      <c r="O9058" s="753"/>
      <c r="P9058" s="753"/>
      <c r="Q9058" s="51"/>
      <c r="R9058" s="530"/>
      <c r="S9058" s="757"/>
      <c r="T9058" s="753"/>
      <c r="AR9058" s="748"/>
      <c r="AS9058" s="753"/>
    </row>
    <row r="9059" spans="1:45" s="901" customFormat="1" ht="13.2">
      <c r="A9059" s="903">
        <v>1</v>
      </c>
      <c r="B9059" s="904" t="s">
        <v>863</v>
      </c>
      <c r="C9059" s="904"/>
      <c r="D9059" s="904" t="s">
        <v>2594</v>
      </c>
      <c r="E9059" s="904"/>
      <c r="F9059" s="904" t="s">
        <v>4128</v>
      </c>
      <c r="G9059" s="905" t="s">
        <v>2595</v>
      </c>
      <c r="H9059" s="902">
        <v>960</v>
      </c>
      <c r="I9059" s="904" t="s">
        <v>2596</v>
      </c>
      <c r="J9059" s="904"/>
      <c r="K9059" s="904"/>
      <c r="L9059" s="904"/>
      <c r="M9059" s="904"/>
      <c r="N9059" s="904"/>
      <c r="O9059" s="902">
        <v>4</v>
      </c>
      <c r="P9059" s="906">
        <v>38274</v>
      </c>
      <c r="Q9059" s="1415">
        <f>4000*0.873</f>
        <v>3492</v>
      </c>
      <c r="R9059" s="908">
        <f>$A9059*Q9059</f>
        <v>3492</v>
      </c>
      <c r="S9059" s="907"/>
      <c r="T9059" s="909">
        <f>$A9059*S9059*$T$1</f>
        <v>0</v>
      </c>
      <c r="AR9059" s="903">
        <v>1</v>
      </c>
      <c r="AS9059" s="904" t="s">
        <v>3507</v>
      </c>
    </row>
    <row r="9060" spans="1:45" s="520" customFormat="1" ht="12">
      <c r="A9060" s="758"/>
      <c r="B9060" s="758"/>
      <c r="C9060" s="758"/>
      <c r="D9060" s="758"/>
      <c r="E9060" s="758"/>
      <c r="F9060" s="753"/>
      <c r="G9060" s="758"/>
      <c r="H9060" s="758"/>
      <c r="I9060" s="519"/>
      <c r="J9060" s="758"/>
      <c r="K9060" s="758"/>
      <c r="L9060" s="758"/>
      <c r="M9060" s="758"/>
      <c r="N9060" s="758"/>
      <c r="O9060" s="758"/>
      <c r="P9060" s="758"/>
      <c r="Q9060" s="519"/>
      <c r="R9060" s="759">
        <f>$A9060*Q9060</f>
        <v>0</v>
      </c>
      <c r="S9060" s="519"/>
      <c r="T9060" s="760">
        <f>$A9060*S9060*$T$1</f>
        <v>0</v>
      </c>
      <c r="AR9060" s="758"/>
      <c r="AS9060" s="753"/>
    </row>
    <row r="9061" spans="1:45" s="520" customFormat="1" ht="12.6" thickBot="1">
      <c r="A9061" s="761" t="s">
        <v>145</v>
      </c>
      <c r="B9061" s="762">
        <f>(R9060+T9060)</f>
        <v>0</v>
      </c>
      <c r="C9061" s="763"/>
      <c r="D9061" s="763"/>
      <c r="E9061" s="763"/>
      <c r="F9061" s="764"/>
      <c r="G9061" s="763" t="s">
        <v>146</v>
      </c>
      <c r="H9061" s="763"/>
      <c r="I9061" s="765"/>
      <c r="J9061" s="763"/>
      <c r="K9061" s="763" t="s">
        <v>5</v>
      </c>
      <c r="L9061" s="766" t="s">
        <v>143</v>
      </c>
      <c r="M9061" s="766"/>
      <c r="N9061" s="766"/>
      <c r="O9061" s="766"/>
      <c r="P9061" s="766"/>
      <c r="Q9061" s="767"/>
      <c r="R9061" s="768">
        <f>SUM(R9058:R9060)</f>
        <v>3492</v>
      </c>
      <c r="S9061" s="763"/>
      <c r="T9061" s="768">
        <f>SUM(T9058:T9060)</f>
        <v>0</v>
      </c>
      <c r="U9061" s="531"/>
      <c r="V9061" s="531"/>
      <c r="W9061" s="531"/>
      <c r="X9061" s="531"/>
      <c r="Y9061" s="531"/>
      <c r="Z9061" s="531"/>
      <c r="AA9061" s="531"/>
      <c r="AB9061" s="531"/>
      <c r="AC9061" s="531"/>
      <c r="AD9061" s="531"/>
      <c r="AE9061" s="531"/>
      <c r="AF9061" s="531"/>
      <c r="AG9061" s="531"/>
      <c r="AH9061" s="531"/>
      <c r="AI9061" s="531"/>
      <c r="AJ9061" s="531"/>
      <c r="AK9061" s="531"/>
      <c r="AL9061" s="531"/>
      <c r="AM9061" s="531"/>
      <c r="AN9061" s="531"/>
      <c r="AO9061" s="531"/>
      <c r="AR9061" s="761" t="s">
        <v>145</v>
      </c>
      <c r="AS9061" s="764"/>
    </row>
    <row r="9062" spans="1:45" s="520" customFormat="1" ht="12" thickTop="1">
      <c r="A9062" s="51"/>
      <c r="B9062" s="41"/>
      <c r="C9062" s="51"/>
      <c r="E9062" s="42" t="s">
        <v>138</v>
      </c>
      <c r="F9062" s="42" t="s">
        <v>139</v>
      </c>
      <c r="G9062" s="51"/>
      <c r="H9062" s="51"/>
      <c r="I9062" s="51"/>
      <c r="J9062" s="51"/>
      <c r="K9062" s="51" t="s">
        <v>140</v>
      </c>
      <c r="L9062" s="51"/>
      <c r="M9062" s="51"/>
      <c r="N9062" s="51"/>
      <c r="O9062" s="52"/>
      <c r="P9062" s="51"/>
      <c r="Q9062" s="51"/>
      <c r="R9062" s="51"/>
      <c r="S9062" s="51"/>
      <c r="T9062" s="41"/>
      <c r="AG9062" s="521" t="s">
        <v>268</v>
      </c>
      <c r="AH9062" s="521" t="s">
        <v>269</v>
      </c>
      <c r="AI9062" s="521" t="s">
        <v>270</v>
      </c>
      <c r="AJ9062" s="521" t="s">
        <v>271</v>
      </c>
      <c r="AK9062" s="521" t="s">
        <v>272</v>
      </c>
      <c r="AM9062" s="745" t="s">
        <v>281</v>
      </c>
      <c r="AN9062" s="746" t="s">
        <v>282</v>
      </c>
      <c r="AO9062" s="522" t="s">
        <v>278</v>
      </c>
      <c r="AR9062" s="51"/>
      <c r="AS9062" s="42" t="s">
        <v>139</v>
      </c>
    </row>
    <row r="9063" spans="1:45" s="520" customFormat="1" ht="12" customHeight="1">
      <c r="A9063" s="747">
        <v>1</v>
      </c>
      <c r="B9063" s="523" t="s">
        <v>329</v>
      </c>
      <c r="C9063" s="748"/>
      <c r="D9063" s="749" t="s">
        <v>2405</v>
      </c>
      <c r="E9063" s="1145">
        <f>IF(AND($A9063=0,$A$1="DIF"),0, ROUND(ROUND(($R9067*$S$3+($T9067*$T$3))/$A9063,2)*$C$3,2))</f>
        <v>147.81</v>
      </c>
      <c r="F9063" s="1146">
        <f>ROUND($A9063*$E9063,2)</f>
        <v>147.81</v>
      </c>
      <c r="G9063" s="752" t="s">
        <v>142</v>
      </c>
      <c r="H9063" s="753"/>
      <c r="I9063" s="754"/>
      <c r="J9063" s="753"/>
      <c r="K9063" s="753" t="s">
        <v>5</v>
      </c>
      <c r="L9063" s="755" t="s">
        <v>143</v>
      </c>
      <c r="M9063" s="755"/>
      <c r="N9063" s="755"/>
      <c r="O9063" s="755"/>
      <c r="P9063" s="755"/>
      <c r="Q9063" s="51"/>
      <c r="T9063" s="1150" t="str">
        <f>IF(AND($R9067=0,$T9067=0),"0.00","mu: "&amp; ROUND(F9063/$C$3/($R9067+$T9067*$D$9),2))</f>
        <v>mu: 1.13</v>
      </c>
      <c r="W9063" s="524"/>
      <c r="AG9063" s="1147">
        <f>IF($E9063=0,0,ROUND($R9067*$S$3*$C$3/$A9063,2))</f>
        <v>147.81</v>
      </c>
      <c r="AH9063" s="1147">
        <f>$AG9063*$A9063</f>
        <v>147.81</v>
      </c>
      <c r="AI9063" s="1148">
        <f>$E9063-$AG9063</f>
        <v>0</v>
      </c>
      <c r="AJ9063" s="1148">
        <f>$A9063*$AI9063</f>
        <v>0</v>
      </c>
      <c r="AK9063" s="1149">
        <f>ROUND(($AG9063+$AI9063)*$A9063,2)</f>
        <v>147.81</v>
      </c>
      <c r="AM9063" s="527">
        <f>ROUND(R9067,2)</f>
        <v>130.94999999999999</v>
      </c>
      <c r="AN9063" s="528">
        <f>ROUND(T9067,2)</f>
        <v>0</v>
      </c>
      <c r="AO9063" s="529">
        <f>ROUND(AM9063+AN9063,2)*A9063</f>
        <v>130.94999999999999</v>
      </c>
      <c r="AR9063" s="747">
        <v>1</v>
      </c>
      <c r="AS9063" s="1146">
        <v>160.84</v>
      </c>
    </row>
    <row r="9064" spans="1:45" s="520" customFormat="1" ht="13.2">
      <c r="A9064" s="748"/>
      <c r="B9064"/>
      <c r="C9064" s="748"/>
      <c r="D9064" s="749" t="s">
        <v>2083</v>
      </c>
      <c r="F9064" s="753"/>
      <c r="G9064" s="3"/>
      <c r="H9064" s="753"/>
      <c r="I9064" s="754"/>
      <c r="J9064" s="753"/>
      <c r="K9064" s="753" t="s">
        <v>144</v>
      </c>
      <c r="L9064" s="753"/>
      <c r="M9064" s="753"/>
      <c r="N9064" s="753"/>
      <c r="O9064" s="753"/>
      <c r="P9064" s="753"/>
      <c r="Q9064" s="51"/>
      <c r="R9064" s="530"/>
      <c r="S9064" s="757"/>
      <c r="T9064" s="753"/>
      <c r="AR9064" s="748"/>
      <c r="AS9064" s="753"/>
    </row>
    <row r="9065" spans="1:45" s="901" customFormat="1" ht="13.2">
      <c r="A9065" s="903">
        <v>1</v>
      </c>
      <c r="B9065" s="904" t="s">
        <v>863</v>
      </c>
      <c r="C9065" s="904"/>
      <c r="D9065" s="904" t="s">
        <v>2594</v>
      </c>
      <c r="E9065" s="904"/>
      <c r="F9065" s="904" t="s">
        <v>4128</v>
      </c>
      <c r="G9065" s="905" t="s">
        <v>2595</v>
      </c>
      <c r="H9065" s="902">
        <v>960</v>
      </c>
      <c r="I9065" s="904" t="s">
        <v>2596</v>
      </c>
      <c r="J9065" s="904"/>
      <c r="K9065" s="904"/>
      <c r="L9065" s="904"/>
      <c r="M9065" s="904"/>
      <c r="N9065" s="904"/>
      <c r="O9065" s="902">
        <v>4</v>
      </c>
      <c r="P9065" s="906">
        <v>38274</v>
      </c>
      <c r="Q9065" s="1415">
        <f>150*0.873</f>
        <v>130.94999999999999</v>
      </c>
      <c r="R9065" s="908">
        <f>$A9065*Q9065</f>
        <v>130.94999999999999</v>
      </c>
      <c r="S9065" s="907"/>
      <c r="T9065" s="909">
        <f>$A9065*S9065*$T$1</f>
        <v>0</v>
      </c>
      <c r="AR9065" s="903">
        <v>1</v>
      </c>
      <c r="AS9065" s="904" t="s">
        <v>3507</v>
      </c>
    </row>
    <row r="9066" spans="1:45" s="520" customFormat="1" ht="12">
      <c r="A9066" s="758"/>
      <c r="B9066" s="758"/>
      <c r="C9066" s="758"/>
      <c r="D9066" s="758"/>
      <c r="E9066" s="758"/>
      <c r="F9066" s="753"/>
      <c r="G9066" s="758"/>
      <c r="H9066" s="758"/>
      <c r="I9066" s="519"/>
      <c r="J9066" s="758"/>
      <c r="K9066" s="758"/>
      <c r="L9066" s="758"/>
      <c r="M9066" s="758"/>
      <c r="N9066" s="758"/>
      <c r="O9066" s="758"/>
      <c r="P9066" s="758"/>
      <c r="Q9066" s="519"/>
      <c r="R9066" s="759">
        <f>$A9066*Q9066</f>
        <v>0</v>
      </c>
      <c r="S9066" s="519"/>
      <c r="T9066" s="760">
        <f>$A9066*S9066*$T$1</f>
        <v>0</v>
      </c>
      <c r="AR9066" s="758"/>
      <c r="AS9066" s="753"/>
    </row>
    <row r="9067" spans="1:45" s="520" customFormat="1" ht="12.6" thickBot="1">
      <c r="A9067" s="761" t="s">
        <v>145</v>
      </c>
      <c r="B9067" s="762">
        <f>(R9066+T9066)</f>
        <v>0</v>
      </c>
      <c r="C9067" s="763"/>
      <c r="D9067" s="763"/>
      <c r="E9067" s="763"/>
      <c r="F9067" s="764"/>
      <c r="G9067" s="763" t="s">
        <v>146</v>
      </c>
      <c r="H9067" s="763"/>
      <c r="I9067" s="765"/>
      <c r="J9067" s="763"/>
      <c r="K9067" s="763" t="s">
        <v>5</v>
      </c>
      <c r="L9067" s="766" t="s">
        <v>143</v>
      </c>
      <c r="M9067" s="766"/>
      <c r="N9067" s="766"/>
      <c r="O9067" s="766"/>
      <c r="P9067" s="766"/>
      <c r="Q9067" s="767"/>
      <c r="R9067" s="768">
        <f>SUM(R9064:R9066)</f>
        <v>130.94999999999999</v>
      </c>
      <c r="S9067" s="763"/>
      <c r="T9067" s="768">
        <f>SUM(T9064:T9066)</f>
        <v>0</v>
      </c>
      <c r="U9067" s="531"/>
      <c r="V9067" s="531"/>
      <c r="W9067" s="531"/>
      <c r="X9067" s="531"/>
      <c r="Y9067" s="531"/>
      <c r="Z9067" s="531"/>
      <c r="AA9067" s="531"/>
      <c r="AB9067" s="531"/>
      <c r="AC9067" s="531"/>
      <c r="AD9067" s="531"/>
      <c r="AE9067" s="531"/>
      <c r="AF9067" s="531"/>
      <c r="AG9067" s="531"/>
      <c r="AH9067" s="531"/>
      <c r="AI9067" s="531"/>
      <c r="AJ9067" s="531"/>
      <c r="AK9067" s="531"/>
      <c r="AL9067" s="531"/>
      <c r="AM9067" s="531"/>
      <c r="AN9067" s="531"/>
      <c r="AO9067" s="531"/>
      <c r="AR9067" s="761" t="s">
        <v>145</v>
      </c>
      <c r="AS9067" s="764"/>
    </row>
    <row r="9068" spans="1:45" s="520" customFormat="1" ht="12" thickTop="1">
      <c r="A9068" s="48" t="s">
        <v>148</v>
      </c>
      <c r="D9068" s="13"/>
      <c r="E9068" s="42"/>
      <c r="O9068" s="771"/>
      <c r="AR9068" s="48" t="s">
        <v>148</v>
      </c>
    </row>
    <row r="9069" spans="1:45" s="520" customFormat="1" ht="13.2">
      <c r="B9069" s="3"/>
      <c r="O9069" s="771"/>
    </row>
    <row r="9070" spans="1:45" s="520" customFormat="1" ht="12">
      <c r="B9070" s="772">
        <f ca="1">$F9070/$C$2-($R9070*$S$2+$T9070*$T$2)</f>
        <v>-865.439551415202</v>
      </c>
      <c r="D9070" s="773" t="s">
        <v>1065</v>
      </c>
      <c r="E9070" s="774"/>
      <c r="F9070" s="775">
        <f ca="1">SUMIF($L8754:$L9068,"ITEM",F8754:F9068)</f>
        <v>21569.9</v>
      </c>
      <c r="G9070" s="758"/>
      <c r="H9070" s="758"/>
      <c r="I9070" s="519"/>
      <c r="J9070" s="758"/>
      <c r="K9070" s="758"/>
      <c r="L9070" s="755" t="s">
        <v>157</v>
      </c>
      <c r="M9070" s="755"/>
      <c r="N9070" s="755"/>
      <c r="O9070" s="755"/>
      <c r="P9070" s="755"/>
      <c r="R9070" s="775">
        <f ca="1">SUMIF($L8754:$L9068,"ITEM",R8754:R9068)</f>
        <v>15925.784250000001</v>
      </c>
      <c r="S9070" s="776"/>
      <c r="T9070" s="775">
        <f ca="1">SUMIF($L8754:$L9068,"ITEM",T8754:T9068)</f>
        <v>83.554999999999993</v>
      </c>
      <c r="AS9070" s="775">
        <v>22691.599999999991</v>
      </c>
    </row>
    <row r="9071" spans="1:45" s="520" customFormat="1" ht="13.2">
      <c r="A9071" s="51"/>
      <c r="B9071" s="49" t="s">
        <v>1064</v>
      </c>
      <c r="C9071" s="51"/>
      <c r="D9071" s="3"/>
      <c r="F9071" s="777" t="s">
        <v>158</v>
      </c>
      <c r="G9071" s="758"/>
      <c r="H9071" s="758"/>
      <c r="I9071" s="519"/>
      <c r="J9071" s="758"/>
      <c r="K9071" s="758"/>
      <c r="L9071" s="758"/>
      <c r="M9071" s="758"/>
      <c r="N9071" s="758"/>
      <c r="O9071" s="758"/>
      <c r="P9071" s="758"/>
      <c r="Q9071" s="778"/>
      <c r="R9071" s="777" t="s">
        <v>159</v>
      </c>
      <c r="S9071" s="38"/>
      <c r="T9071" s="777" t="s">
        <v>160</v>
      </c>
      <c r="AR9071" s="51"/>
      <c r="AS9071" s="777" t="s">
        <v>158</v>
      </c>
    </row>
    <row r="9072" spans="1:45" s="520" customFormat="1" ht="13.2">
      <c r="A9072" s="758"/>
      <c r="B9072" s="3"/>
      <c r="C9072" s="758"/>
      <c r="D9072" s="3"/>
      <c r="E9072" s="3"/>
      <c r="G9072" s="3"/>
      <c r="H9072" s="3"/>
      <c r="I9072" s="3"/>
      <c r="J9072" s="3"/>
      <c r="K9072" s="3"/>
      <c r="L9072" s="3"/>
      <c r="M9072" s="3"/>
      <c r="N9072" s="3"/>
      <c r="O9072" s="107"/>
      <c r="P9072" s="3"/>
      <c r="Q9072" s="3"/>
      <c r="R9072" s="3"/>
      <c r="S9072" s="3"/>
      <c r="T9072" s="3"/>
      <c r="AR9072" s="758"/>
    </row>
    <row r="9073" spans="1:45" s="520" customFormat="1" ht="12" thickBot="1">
      <c r="A9073" s="531"/>
      <c r="B9073" s="763"/>
      <c r="C9073" s="763"/>
      <c r="D9073" s="531"/>
      <c r="E9073" s="39"/>
      <c r="F9073" s="779"/>
      <c r="G9073" s="763"/>
      <c r="H9073" s="763"/>
      <c r="I9073" s="765"/>
      <c r="J9073" s="763"/>
      <c r="K9073" s="763"/>
      <c r="L9073" s="766"/>
      <c r="M9073" s="766"/>
      <c r="N9073" s="766"/>
      <c r="O9073" s="766"/>
      <c r="P9073" s="766"/>
      <c r="Q9073" s="767"/>
      <c r="R9073" s="779"/>
      <c r="S9073" s="780"/>
      <c r="T9073" s="779"/>
      <c r="U9073" s="531"/>
      <c r="V9073" s="531"/>
      <c r="W9073" s="531"/>
      <c r="X9073" s="531"/>
      <c r="Y9073" s="531"/>
      <c r="Z9073" s="531"/>
      <c r="AA9073" s="531"/>
      <c r="AB9073" s="531"/>
      <c r="AC9073" s="531"/>
      <c r="AD9073" s="531"/>
      <c r="AE9073" s="531"/>
      <c r="AF9073" s="531"/>
      <c r="AG9073" s="531"/>
      <c r="AH9073" s="531"/>
      <c r="AI9073" s="531"/>
      <c r="AJ9073" s="531"/>
      <c r="AK9073" s="531"/>
      <c r="AR9073" s="531"/>
      <c r="AS9073" s="779"/>
    </row>
    <row r="9074" spans="1:45" s="520" customFormat="1" thickTop="1">
      <c r="A9074" s="51"/>
      <c r="B9074" s="51"/>
      <c r="C9074" s="3"/>
      <c r="D9074" s="3"/>
      <c r="E9074" s="51"/>
      <c r="F9074" s="51"/>
      <c r="G9074" s="51"/>
      <c r="H9074" s="51"/>
      <c r="I9074" s="51"/>
      <c r="J9074" s="51"/>
      <c r="K9074" s="51" t="s">
        <v>134</v>
      </c>
      <c r="L9074" s="51"/>
      <c r="M9074" s="51"/>
      <c r="N9074" s="51"/>
      <c r="O9074" s="52"/>
      <c r="P9074" s="51"/>
      <c r="Q9074" s="51"/>
      <c r="R9074" s="51"/>
      <c r="S9074" s="51"/>
      <c r="T9074" s="51"/>
      <c r="AR9074" s="51"/>
      <c r="AS9074" s="51"/>
    </row>
    <row r="9075" spans="1:45" s="520" customFormat="1" ht="12">
      <c r="A9075" s="51"/>
      <c r="B9075" s="51"/>
      <c r="C9075" s="51" t="s">
        <v>135</v>
      </c>
      <c r="D9075" s="37"/>
      <c r="E9075" s="51"/>
      <c r="F9075" s="51"/>
      <c r="G9075" s="51"/>
      <c r="H9075" s="51"/>
      <c r="I9075" s="51"/>
      <c r="J9075" s="51"/>
      <c r="K9075" s="51"/>
      <c r="L9075" s="51"/>
      <c r="M9075" s="51"/>
      <c r="N9075" s="51"/>
      <c r="O9075" s="52"/>
      <c r="P9075" s="51"/>
      <c r="Q9075" s="51"/>
      <c r="R9075" s="51"/>
      <c r="S9075" s="51"/>
      <c r="T9075" s="51"/>
      <c r="AR9075" s="51"/>
      <c r="AS9075" s="51"/>
    </row>
    <row r="9076" spans="1:45" s="520" customFormat="1" ht="12">
      <c r="A9076" s="51"/>
      <c r="B9076" s="51"/>
      <c r="C9076" s="51"/>
      <c r="D9076" s="37" t="s">
        <v>2093</v>
      </c>
      <c r="E9076" s="51"/>
      <c r="F9076" s="51"/>
      <c r="G9076" s="51"/>
      <c r="H9076" s="51"/>
      <c r="I9076" s="51"/>
      <c r="J9076" s="51"/>
      <c r="K9076" s="51"/>
      <c r="L9076" s="51"/>
      <c r="M9076" s="51"/>
      <c r="N9076" s="51"/>
      <c r="O9076" s="52"/>
      <c r="P9076" s="51"/>
      <c r="Q9076" s="51"/>
      <c r="R9076" s="51"/>
      <c r="S9076" s="38"/>
      <c r="T9076" s="38"/>
      <c r="AR9076" s="51"/>
      <c r="AS9076" s="51"/>
    </row>
    <row r="9077" spans="1:45" s="3" customFormat="1" thickBot="1">
      <c r="A9077" s="531"/>
      <c r="O9077" s="107"/>
      <c r="AR9077" s="531"/>
    </row>
    <row r="9078" spans="1:45" s="520" customFormat="1" thickTop="1">
      <c r="A9078" s="51"/>
      <c r="B9078" s="51"/>
      <c r="C9078" s="3"/>
      <c r="D9078" s="3"/>
      <c r="E9078" s="51"/>
      <c r="F9078" s="51"/>
      <c r="G9078" s="51"/>
      <c r="H9078" s="51"/>
      <c r="I9078" s="51"/>
      <c r="J9078" s="51"/>
      <c r="K9078" s="51" t="s">
        <v>134</v>
      </c>
      <c r="L9078" s="51"/>
      <c r="M9078" s="51"/>
      <c r="N9078" s="51"/>
      <c r="O9078" s="52"/>
      <c r="P9078" s="51"/>
      <c r="Q9078" s="51"/>
      <c r="R9078" s="51"/>
      <c r="S9078" s="51"/>
      <c r="T9078" s="51"/>
      <c r="AR9078" s="51"/>
      <c r="AS9078" s="51"/>
    </row>
    <row r="9079" spans="1:45" s="520" customFormat="1" ht="12">
      <c r="A9079" s="51"/>
      <c r="B9079" s="51"/>
      <c r="C9079" s="51" t="s">
        <v>135</v>
      </c>
      <c r="D9079" s="37"/>
      <c r="E9079" s="51"/>
      <c r="F9079" s="51"/>
      <c r="G9079" s="51"/>
      <c r="H9079" s="51"/>
      <c r="I9079" s="51"/>
      <c r="J9079" s="51"/>
      <c r="K9079" s="51"/>
      <c r="L9079" s="51"/>
      <c r="M9079" s="51"/>
      <c r="N9079" s="51"/>
      <c r="O9079" s="52"/>
      <c r="P9079" s="51"/>
      <c r="Q9079" s="51"/>
      <c r="R9079" s="51"/>
      <c r="S9079" s="51"/>
      <c r="T9079" s="51"/>
      <c r="AR9079" s="51"/>
      <c r="AS9079" s="51"/>
    </row>
    <row r="9080" spans="1:45" s="520" customFormat="1" ht="39.9" customHeight="1">
      <c r="A9080" s="51"/>
      <c r="B9080" s="51"/>
      <c r="C9080" s="51"/>
      <c r="D9080" s="1453" t="s">
        <v>2335</v>
      </c>
      <c r="E9080" s="1452"/>
      <c r="F9080" s="1452"/>
      <c r="G9080" s="1452"/>
      <c r="H9080" s="1452"/>
      <c r="I9080" s="1452"/>
      <c r="J9080" s="1452"/>
      <c r="K9080" s="1452"/>
      <c r="L9080" s="1452"/>
      <c r="M9080" s="1452"/>
      <c r="N9080" s="1452"/>
      <c r="O9080" s="1452"/>
      <c r="P9080" s="1452"/>
      <c r="Q9080" s="1452"/>
      <c r="R9080" s="1452"/>
      <c r="S9080" s="1452"/>
      <c r="T9080" s="1452"/>
      <c r="AR9080" s="51"/>
    </row>
    <row r="9081" spans="1:45" s="3" customFormat="1" thickBot="1">
      <c r="A9081" s="531"/>
      <c r="O9081" s="107"/>
      <c r="AR9081" s="531"/>
    </row>
    <row r="9082" spans="1:45" s="520" customFormat="1" ht="12" thickTop="1">
      <c r="A9082" s="51"/>
      <c r="B9082" s="41"/>
      <c r="C9082" s="51"/>
      <c r="E9082" s="42" t="s">
        <v>138</v>
      </c>
      <c r="F9082" s="42" t="s">
        <v>139</v>
      </c>
      <c r="G9082" s="51"/>
      <c r="H9082" s="51"/>
      <c r="I9082" s="51"/>
      <c r="J9082" s="51"/>
      <c r="K9082" s="51" t="s">
        <v>140</v>
      </c>
      <c r="L9082" s="51"/>
      <c r="M9082" s="51"/>
      <c r="N9082" s="51"/>
      <c r="O9082" s="52"/>
      <c r="P9082" s="51"/>
      <c r="Q9082" s="51"/>
      <c r="R9082" s="51"/>
      <c r="S9082" s="51"/>
      <c r="T9082" s="41"/>
      <c r="AG9082" s="521" t="s">
        <v>268</v>
      </c>
      <c r="AH9082" s="521" t="s">
        <v>269</v>
      </c>
      <c r="AI9082" s="521" t="s">
        <v>270</v>
      </c>
      <c r="AJ9082" s="521" t="s">
        <v>271</v>
      </c>
      <c r="AK9082" s="521" t="s">
        <v>272</v>
      </c>
      <c r="AM9082" s="745" t="s">
        <v>281</v>
      </c>
      <c r="AN9082" s="746" t="s">
        <v>282</v>
      </c>
      <c r="AO9082" s="522" t="s">
        <v>278</v>
      </c>
      <c r="AR9082" s="51"/>
      <c r="AS9082" s="42" t="s">
        <v>139</v>
      </c>
    </row>
    <row r="9083" spans="1:45" s="520" customFormat="1" ht="12" customHeight="1">
      <c r="A9083" s="747">
        <v>1</v>
      </c>
      <c r="B9083" s="523" t="s">
        <v>141</v>
      </c>
      <c r="C9083" s="748"/>
      <c r="D9083" s="749" t="s">
        <v>2406</v>
      </c>
      <c r="E9083" s="750">
        <f ca="1">IF(AND($A9083=0,$A$1="DIF"),0, ROUND(ROUND(($R9088*$S$2+($T9088*$T$2))/A9083,2)*$C$2,2))</f>
        <v>49.52</v>
      </c>
      <c r="F9083" s="751">
        <f ca="1">ROUND($A9083*$E9083,2)</f>
        <v>49.52</v>
      </c>
      <c r="G9083" s="752" t="s">
        <v>142</v>
      </c>
      <c r="H9083" s="753"/>
      <c r="I9083" s="754"/>
      <c r="J9083" s="753"/>
      <c r="K9083" s="753" t="s">
        <v>3</v>
      </c>
      <c r="L9083" s="755" t="s">
        <v>143</v>
      </c>
      <c r="M9083" s="755"/>
      <c r="N9083" s="755"/>
      <c r="O9083" s="755"/>
      <c r="P9083" s="755"/>
      <c r="Q9083" s="51"/>
      <c r="T9083" s="756" t="str">
        <f ca="1">IF(AND($R9088=0,$T9088=0),"0.00","mu :" &amp; ROUND($F9083/$C$2/($R9088+$T9088*$D$9),2))</f>
        <v>mu :1.23</v>
      </c>
      <c r="W9083" s="524"/>
      <c r="AG9083" s="481">
        <f ca="1">IF($E9083=0,0,ROUND($R9088*$S$2*$C$2/$A9083,2))</f>
        <v>17.73</v>
      </c>
      <c r="AH9083" s="481">
        <f ca="1">$AG9083*$A9083</f>
        <v>17.73</v>
      </c>
      <c r="AI9083" s="525">
        <f ca="1">$E9083-$AG9083</f>
        <v>31.790000000000003</v>
      </c>
      <c r="AJ9083" s="525">
        <f ca="1">$A9083*$AI9083</f>
        <v>31.790000000000003</v>
      </c>
      <c r="AK9083" s="526">
        <f ca="1">ROUND(($AG9083+$AI9083)*$A9083,2)</f>
        <v>49.52</v>
      </c>
      <c r="AM9083" s="527">
        <f ca="1">ROUND(R9088,2)</f>
        <v>14.4</v>
      </c>
      <c r="AN9083" s="528">
        <f ca="1">ROUND(T9088,2)</f>
        <v>0.94</v>
      </c>
      <c r="AO9083" s="529">
        <f ca="1">ROUND(AM9083+AN9083,2)*A9083</f>
        <v>15.34</v>
      </c>
      <c r="AR9083" s="747">
        <v>1</v>
      </c>
      <c r="AS9083" s="751">
        <v>52.9</v>
      </c>
    </row>
    <row r="9084" spans="1:45" s="520" customFormat="1" ht="13.2">
      <c r="A9084" s="748"/>
      <c r="B9084"/>
      <c r="C9084" s="748"/>
      <c r="D9084" s="749" t="s">
        <v>2063</v>
      </c>
      <c r="F9084" s="753"/>
      <c r="G9084" s="3"/>
      <c r="H9084" s="753"/>
      <c r="I9084" s="754"/>
      <c r="J9084" s="753"/>
      <c r="K9084" s="753" t="s">
        <v>144</v>
      </c>
      <c r="L9084" s="753"/>
      <c r="M9084" s="753"/>
      <c r="N9084" s="753"/>
      <c r="O9084" s="753"/>
      <c r="P9084" s="753"/>
      <c r="Q9084" s="51"/>
      <c r="R9084" s="530"/>
      <c r="S9084" s="757"/>
      <c r="T9084" s="753"/>
      <c r="AR9084" s="748"/>
      <c r="AS9084" s="753"/>
    </row>
    <row r="9085" spans="1:45" s="886" customFormat="1" ht="13.2">
      <c r="A9085"/>
      <c r="B9085" s="910"/>
      <c r="C9085" s="910" t="s">
        <v>2597</v>
      </c>
      <c r="D9085" s="910" t="str">
        <f ca="1">CELL("Address",Elec_Rates!D$1029)</f>
        <v>[E25_0062_Quintano_Foods_Elec_ELV_As_Awarded.xlsx]Elec_Rates!$D$1029</v>
      </c>
      <c r="E9085" s="911"/>
      <c r="F9085" s="911"/>
      <c r="G9085" s="912" t="s">
        <v>2598</v>
      </c>
      <c r="H9085" s="912"/>
      <c r="I9085" s="912"/>
      <c r="J9085" s="912"/>
      <c r="K9085" s="913"/>
      <c r="L9085" s="911"/>
      <c r="M9085" s="911"/>
      <c r="N9085" s="911"/>
      <c r="O9085" s="914"/>
      <c r="P9085" s="911"/>
      <c r="Q9085" s="915"/>
      <c r="R9085" s="916"/>
      <c r="S9085" s="915"/>
      <c r="T9085" s="917"/>
      <c r="U9085" s="918"/>
      <c r="AR9085"/>
      <c r="AS9085" s="911"/>
    </row>
    <row r="9086" spans="1:45" s="886" customFormat="1" ht="11.4">
      <c r="A9086" s="919">
        <v>1</v>
      </c>
      <c r="B9086" s="920">
        <v>1</v>
      </c>
      <c r="C9086" s="920">
        <f>$A9086*$B9086</f>
        <v>1</v>
      </c>
      <c r="D9086" s="921" t="str">
        <f>Elec_Rates!$D$1029</f>
        <v>092# LSZH Conduit points for Fire alarm devices</v>
      </c>
      <c r="E9086" s="921"/>
      <c r="F9086" s="921" t="s">
        <v>2599</v>
      </c>
      <c r="G9086" s="922" t="s">
        <v>2600</v>
      </c>
      <c r="H9086" s="922"/>
      <c r="I9086" s="922"/>
      <c r="J9086" s="922"/>
      <c r="K9086" s="923"/>
      <c r="L9086" s="918"/>
      <c r="M9086" s="918"/>
      <c r="N9086" s="918"/>
      <c r="O9086" s="924"/>
      <c r="P9086" s="921"/>
      <c r="Q9086" s="925">
        <f ca="1">$B9086*Elec_Rates!$R$1029</f>
        <v>14.4</v>
      </c>
      <c r="R9086" s="916">
        <f ca="1">$A9086*Q9086</f>
        <v>14.4</v>
      </c>
      <c r="S9086" s="925">
        <f ca="1">$B9086*Elec_Rates!$T$1029</f>
        <v>0.94</v>
      </c>
      <c r="T9086" s="917">
        <f ca="1">$A9086*S9086</f>
        <v>0.94</v>
      </c>
      <c r="U9086" s="926"/>
      <c r="AR9086" s="919">
        <v>1</v>
      </c>
      <c r="AS9086" s="921" t="s">
        <v>2599</v>
      </c>
    </row>
    <row r="9087" spans="1:45" s="520" customFormat="1" ht="12">
      <c r="A9087" s="758"/>
      <c r="B9087" s="758"/>
      <c r="C9087" s="758"/>
      <c r="D9087" s="758"/>
      <c r="E9087" s="758"/>
      <c r="F9087" s="753"/>
      <c r="G9087" s="758"/>
      <c r="H9087" s="758"/>
      <c r="I9087" s="519"/>
      <c r="J9087" s="758"/>
      <c r="K9087" s="758"/>
      <c r="L9087" s="758"/>
      <c r="M9087" s="758"/>
      <c r="N9087" s="758"/>
      <c r="O9087" s="758"/>
      <c r="P9087" s="758"/>
      <c r="Q9087" s="519"/>
      <c r="R9087" s="759">
        <f>$A9087*Q9087</f>
        <v>0</v>
      </c>
      <c r="S9087" s="519"/>
      <c r="T9087" s="760">
        <f>$A9087*S9087*$T$1</f>
        <v>0</v>
      </c>
      <c r="AR9087" s="758"/>
      <c r="AS9087" s="753"/>
    </row>
    <row r="9088" spans="1:45" s="520" customFormat="1" ht="12.6" thickBot="1">
      <c r="A9088" s="761" t="s">
        <v>145</v>
      </c>
      <c r="B9088" s="762">
        <f>(R9087+T9087)</f>
        <v>0</v>
      </c>
      <c r="C9088" s="763"/>
      <c r="D9088" s="763"/>
      <c r="E9088" s="763"/>
      <c r="F9088" s="764"/>
      <c r="G9088" s="763" t="s">
        <v>146</v>
      </c>
      <c r="H9088" s="763"/>
      <c r="I9088" s="765"/>
      <c r="J9088" s="763"/>
      <c r="K9088" s="763" t="s">
        <v>3</v>
      </c>
      <c r="L9088" s="766" t="s">
        <v>143</v>
      </c>
      <c r="M9088" s="766"/>
      <c r="N9088" s="766"/>
      <c r="O9088" s="766"/>
      <c r="P9088" s="766"/>
      <c r="Q9088" s="767"/>
      <c r="R9088" s="768">
        <f ca="1">SUM(R9084:R9087)</f>
        <v>14.4</v>
      </c>
      <c r="S9088" s="763"/>
      <c r="T9088" s="768">
        <f ca="1">SUM(T9084:T9087)</f>
        <v>0.94</v>
      </c>
      <c r="U9088" s="531"/>
      <c r="V9088" s="531"/>
      <c r="W9088" s="531"/>
      <c r="X9088" s="531"/>
      <c r="Y9088" s="531"/>
      <c r="Z9088" s="531"/>
      <c r="AA9088" s="531"/>
      <c r="AB9088" s="531"/>
      <c r="AC9088" s="531"/>
      <c r="AD9088" s="531"/>
      <c r="AE9088" s="531"/>
      <c r="AF9088" s="531"/>
      <c r="AG9088" s="531"/>
      <c r="AH9088" s="531"/>
      <c r="AI9088" s="531"/>
      <c r="AJ9088" s="531"/>
      <c r="AK9088" s="531"/>
      <c r="AL9088" s="531"/>
      <c r="AM9088" s="531"/>
      <c r="AN9088" s="531"/>
      <c r="AO9088" s="531"/>
      <c r="AR9088" s="761" t="s">
        <v>145</v>
      </c>
      <c r="AS9088" s="764"/>
    </row>
    <row r="9089" spans="1:45" s="520" customFormat="1" ht="12" thickTop="1">
      <c r="A9089" s="51"/>
      <c r="B9089" s="41"/>
      <c r="C9089" s="51"/>
      <c r="E9089" s="42" t="s">
        <v>138</v>
      </c>
      <c r="F9089" s="42" t="s">
        <v>139</v>
      </c>
      <c r="G9089" s="51"/>
      <c r="H9089" s="51"/>
      <c r="I9089" s="51"/>
      <c r="J9089" s="51"/>
      <c r="K9089" s="51" t="s">
        <v>140</v>
      </c>
      <c r="L9089" s="51"/>
      <c r="M9089" s="51"/>
      <c r="N9089" s="51"/>
      <c r="O9089" s="52"/>
      <c r="P9089" s="51"/>
      <c r="Q9089" s="51"/>
      <c r="R9089" s="51"/>
      <c r="S9089" s="51"/>
      <c r="T9089" s="41"/>
      <c r="AG9089" s="521" t="s">
        <v>268</v>
      </c>
      <c r="AH9089" s="521" t="s">
        <v>269</v>
      </c>
      <c r="AI9089" s="521" t="s">
        <v>270</v>
      </c>
      <c r="AJ9089" s="521" t="s">
        <v>271</v>
      </c>
      <c r="AK9089" s="521" t="s">
        <v>272</v>
      </c>
      <c r="AM9089" s="745" t="s">
        <v>281</v>
      </c>
      <c r="AN9089" s="746" t="s">
        <v>282</v>
      </c>
      <c r="AO9089" s="522" t="s">
        <v>278</v>
      </c>
      <c r="AR9089" s="51"/>
      <c r="AS9089" s="42" t="s">
        <v>139</v>
      </c>
    </row>
    <row r="9090" spans="1:45" s="520" customFormat="1" ht="12" customHeight="1">
      <c r="A9090" s="747">
        <v>7</v>
      </c>
      <c r="B9090" s="523" t="s">
        <v>141</v>
      </c>
      <c r="C9090" s="748"/>
      <c r="D9090" s="749" t="s">
        <v>2407</v>
      </c>
      <c r="E9090" s="750">
        <f ca="1">IF(AND($A9090=0,$A$1="DIF"),0, ROUND(ROUND(($R9095*$S$2+($T9095*$T$2))/A9090,2)*$C$2,2))</f>
        <v>49.52</v>
      </c>
      <c r="F9090" s="751">
        <f ca="1">ROUND($A9090*$E9090,2)</f>
        <v>346.64</v>
      </c>
      <c r="G9090" s="752" t="s">
        <v>142</v>
      </c>
      <c r="H9090" s="753"/>
      <c r="I9090" s="754"/>
      <c r="J9090" s="753"/>
      <c r="K9090" s="753" t="s">
        <v>3</v>
      </c>
      <c r="L9090" s="755" t="s">
        <v>143</v>
      </c>
      <c r="M9090" s="755"/>
      <c r="N9090" s="755"/>
      <c r="O9090" s="755"/>
      <c r="P9090" s="755"/>
      <c r="Q9090" s="51"/>
      <c r="T9090" s="756" t="str">
        <f ca="1">IF(AND($R9095=0,$T9095=0),"0.00","mu :" &amp; ROUND($F9090/$C$2/($R9095+$T9095*$D$9),2))</f>
        <v>mu :1.23</v>
      </c>
      <c r="W9090" s="524"/>
      <c r="AG9090" s="481">
        <f ca="1">IF($E9090=0,0,ROUND($R9095*$S$2*$C$2/$A9090,2))</f>
        <v>17.73</v>
      </c>
      <c r="AH9090" s="481">
        <f ca="1">$AG9090*$A9090</f>
        <v>124.11</v>
      </c>
      <c r="AI9090" s="525">
        <f ca="1">$E9090-$AG9090</f>
        <v>31.790000000000003</v>
      </c>
      <c r="AJ9090" s="525">
        <f ca="1">$A9090*$AI9090</f>
        <v>222.53000000000003</v>
      </c>
      <c r="AK9090" s="526">
        <f ca="1">ROUND(($AG9090+$AI9090)*$A9090,2)</f>
        <v>346.64</v>
      </c>
      <c r="AM9090" s="527">
        <f ca="1">ROUND(R9095,2)</f>
        <v>100.8</v>
      </c>
      <c r="AN9090" s="528">
        <f ca="1">ROUND(T9095,2)</f>
        <v>6.58</v>
      </c>
      <c r="AO9090" s="529">
        <f ca="1">ROUND(AM9090+AN9090,2)*A9090</f>
        <v>751.66</v>
      </c>
      <c r="AR9090" s="747">
        <v>7</v>
      </c>
      <c r="AS9090" s="751">
        <v>370.3</v>
      </c>
    </row>
    <row r="9091" spans="1:45" s="520" customFormat="1" ht="13.2">
      <c r="A9091" s="748"/>
      <c r="B9091"/>
      <c r="C9091" s="748"/>
      <c r="D9091" s="749" t="s">
        <v>2061</v>
      </c>
      <c r="F9091" s="753"/>
      <c r="G9091" s="3"/>
      <c r="H9091" s="753"/>
      <c r="I9091" s="754"/>
      <c r="J9091" s="753"/>
      <c r="K9091" s="753" t="s">
        <v>144</v>
      </c>
      <c r="L9091" s="753"/>
      <c r="M9091" s="753"/>
      <c r="N9091" s="753"/>
      <c r="O9091" s="753"/>
      <c r="P9091" s="753"/>
      <c r="Q9091" s="51"/>
      <c r="R9091" s="530"/>
      <c r="S9091" s="757"/>
      <c r="T9091" s="753"/>
      <c r="AR9091" s="748"/>
      <c r="AS9091" s="753"/>
    </row>
    <row r="9092" spans="1:45" s="886" customFormat="1" ht="13.2">
      <c r="A9092"/>
      <c r="B9092" s="910"/>
      <c r="C9092" s="910" t="s">
        <v>2597</v>
      </c>
      <c r="D9092" s="910" t="str">
        <f ca="1">CELL("Address",Elec_Rates!D$1029)</f>
        <v>[E25_0062_Quintano_Foods_Elec_ELV_As_Awarded.xlsx]Elec_Rates!$D$1029</v>
      </c>
      <c r="E9092" s="911"/>
      <c r="F9092" s="911"/>
      <c r="G9092" s="912" t="s">
        <v>2598</v>
      </c>
      <c r="H9092" s="912"/>
      <c r="I9092" s="912"/>
      <c r="J9092" s="912"/>
      <c r="K9092" s="913"/>
      <c r="L9092" s="911"/>
      <c r="M9092" s="911"/>
      <c r="N9092" s="911"/>
      <c r="O9092" s="914"/>
      <c r="P9092" s="911"/>
      <c r="Q9092" s="915"/>
      <c r="R9092" s="916"/>
      <c r="S9092" s="915"/>
      <c r="T9092" s="917"/>
      <c r="U9092" s="918"/>
      <c r="AR9092"/>
      <c r="AS9092" s="911"/>
    </row>
    <row r="9093" spans="1:45" s="886" customFormat="1" ht="11.4">
      <c r="A9093" s="919">
        <v>7</v>
      </c>
      <c r="B9093" s="920">
        <v>1</v>
      </c>
      <c r="C9093" s="920">
        <f>$A9093*$B9093</f>
        <v>7</v>
      </c>
      <c r="D9093" s="921" t="str">
        <f>Elec_Rates!$D$1029</f>
        <v>092# LSZH Conduit points for Fire alarm devices</v>
      </c>
      <c r="E9093" s="921"/>
      <c r="F9093" s="921" t="s">
        <v>2599</v>
      </c>
      <c r="G9093" s="922" t="s">
        <v>2600</v>
      </c>
      <c r="H9093" s="922"/>
      <c r="I9093" s="922"/>
      <c r="J9093" s="922"/>
      <c r="K9093" s="923"/>
      <c r="L9093" s="918"/>
      <c r="M9093" s="918"/>
      <c r="N9093" s="918"/>
      <c r="O9093" s="924"/>
      <c r="P9093" s="921"/>
      <c r="Q9093" s="925">
        <f ca="1">$B9093*Elec_Rates!$R$1029</f>
        <v>14.4</v>
      </c>
      <c r="R9093" s="916">
        <f ca="1">$A9093*Q9093</f>
        <v>100.8</v>
      </c>
      <c r="S9093" s="925">
        <f ca="1">$B9093*Elec_Rates!$T$1029</f>
        <v>0.94</v>
      </c>
      <c r="T9093" s="917">
        <f ca="1">$A9093*S9093</f>
        <v>6.58</v>
      </c>
      <c r="U9093" s="926"/>
      <c r="AR9093" s="919">
        <v>7</v>
      </c>
      <c r="AS9093" s="921" t="s">
        <v>2599</v>
      </c>
    </row>
    <row r="9094" spans="1:45" s="520" customFormat="1" ht="12">
      <c r="A9094" s="758"/>
      <c r="B9094" s="758"/>
      <c r="C9094" s="758"/>
      <c r="D9094" s="758"/>
      <c r="E9094" s="758"/>
      <c r="F9094" s="753"/>
      <c r="G9094" s="758"/>
      <c r="H9094" s="758"/>
      <c r="I9094" s="519"/>
      <c r="J9094" s="758"/>
      <c r="K9094" s="758"/>
      <c r="L9094" s="758"/>
      <c r="M9094" s="758"/>
      <c r="N9094" s="758"/>
      <c r="O9094" s="758"/>
      <c r="P9094" s="758"/>
      <c r="Q9094" s="519"/>
      <c r="R9094" s="759">
        <f>$A9094*Q9094</f>
        <v>0</v>
      </c>
      <c r="S9094" s="519"/>
      <c r="T9094" s="760">
        <f>$A9094*S9094*$T$1</f>
        <v>0</v>
      </c>
      <c r="AR9094" s="758"/>
      <c r="AS9094" s="753"/>
    </row>
    <row r="9095" spans="1:45" s="520" customFormat="1" ht="12.6" thickBot="1">
      <c r="A9095" s="761" t="s">
        <v>145</v>
      </c>
      <c r="B9095" s="762">
        <f>(R9094+T9094)</f>
        <v>0</v>
      </c>
      <c r="C9095" s="763"/>
      <c r="D9095" s="763"/>
      <c r="E9095" s="763"/>
      <c r="F9095" s="764"/>
      <c r="G9095" s="763" t="s">
        <v>146</v>
      </c>
      <c r="H9095" s="763"/>
      <c r="I9095" s="765"/>
      <c r="J9095" s="763"/>
      <c r="K9095" s="763" t="s">
        <v>3</v>
      </c>
      <c r="L9095" s="766" t="s">
        <v>143</v>
      </c>
      <c r="M9095" s="766"/>
      <c r="N9095" s="766"/>
      <c r="O9095" s="766"/>
      <c r="P9095" s="766"/>
      <c r="Q9095" s="767"/>
      <c r="R9095" s="768">
        <f ca="1">SUM(R9091:R9094)</f>
        <v>100.8</v>
      </c>
      <c r="S9095" s="763"/>
      <c r="T9095" s="768">
        <f ca="1">SUM(T9091:T9094)</f>
        <v>6.58</v>
      </c>
      <c r="U9095" s="531"/>
      <c r="V9095" s="531"/>
      <c r="W9095" s="531"/>
      <c r="X9095" s="531"/>
      <c r="Y9095" s="531"/>
      <c r="Z9095" s="531"/>
      <c r="AA9095" s="531"/>
      <c r="AB9095" s="531"/>
      <c r="AC9095" s="531"/>
      <c r="AD9095" s="531"/>
      <c r="AE9095" s="531"/>
      <c r="AF9095" s="531"/>
      <c r="AG9095" s="531"/>
      <c r="AH9095" s="531"/>
      <c r="AI9095" s="531"/>
      <c r="AJ9095" s="531"/>
      <c r="AK9095" s="531"/>
      <c r="AL9095" s="531"/>
      <c r="AM9095" s="531"/>
      <c r="AN9095" s="531"/>
      <c r="AO9095" s="531"/>
      <c r="AR9095" s="761" t="s">
        <v>145</v>
      </c>
      <c r="AS9095" s="764"/>
    </row>
    <row r="9096" spans="1:45" s="520" customFormat="1" ht="12" thickTop="1">
      <c r="A9096" s="51"/>
      <c r="B9096" s="41"/>
      <c r="C9096" s="51"/>
      <c r="E9096" s="42" t="s">
        <v>138</v>
      </c>
      <c r="F9096" s="42" t="s">
        <v>139</v>
      </c>
      <c r="G9096" s="51"/>
      <c r="H9096" s="51"/>
      <c r="I9096" s="51"/>
      <c r="J9096" s="51"/>
      <c r="K9096" s="51" t="s">
        <v>140</v>
      </c>
      <c r="L9096" s="51"/>
      <c r="M9096" s="51"/>
      <c r="N9096" s="51"/>
      <c r="O9096" s="52"/>
      <c r="P9096" s="51"/>
      <c r="Q9096" s="51"/>
      <c r="R9096" s="51"/>
      <c r="S9096" s="51"/>
      <c r="T9096" s="41"/>
      <c r="AG9096" s="521" t="s">
        <v>268</v>
      </c>
      <c r="AH9096" s="521" t="s">
        <v>269</v>
      </c>
      <c r="AI9096" s="521" t="s">
        <v>270</v>
      </c>
      <c r="AJ9096" s="521" t="s">
        <v>271</v>
      </c>
      <c r="AK9096" s="521" t="s">
        <v>272</v>
      </c>
      <c r="AM9096" s="745" t="s">
        <v>281</v>
      </c>
      <c r="AN9096" s="746" t="s">
        <v>282</v>
      </c>
      <c r="AO9096" s="522" t="s">
        <v>278</v>
      </c>
      <c r="AR9096" s="51"/>
      <c r="AS9096" s="42" t="s">
        <v>139</v>
      </c>
    </row>
    <row r="9097" spans="1:45" s="520" customFormat="1" ht="12" customHeight="1">
      <c r="A9097" s="747">
        <v>2</v>
      </c>
      <c r="B9097" s="523" t="s">
        <v>141</v>
      </c>
      <c r="C9097" s="748"/>
      <c r="D9097" s="749" t="s">
        <v>2408</v>
      </c>
      <c r="E9097" s="750">
        <f ca="1">IF(AND($A9097=0,$A$1="DIF"),0, ROUND(ROUND(($R9102*$S$2+($T9102*$T$2))/A9097,2)*$C$2,2))</f>
        <v>49.52</v>
      </c>
      <c r="F9097" s="751">
        <f ca="1">ROUND($A9097*$E9097,2)</f>
        <v>99.04</v>
      </c>
      <c r="G9097" s="752" t="s">
        <v>142</v>
      </c>
      <c r="H9097" s="753"/>
      <c r="I9097" s="754"/>
      <c r="J9097" s="753"/>
      <c r="K9097" s="753" t="s">
        <v>3</v>
      </c>
      <c r="L9097" s="755" t="s">
        <v>143</v>
      </c>
      <c r="M9097" s="755"/>
      <c r="N9097" s="755"/>
      <c r="O9097" s="755"/>
      <c r="P9097" s="755"/>
      <c r="Q9097" s="51"/>
      <c r="T9097" s="756" t="str">
        <f ca="1">IF(AND($R9102=0,$T9102=0),"0.00","mu :" &amp; ROUND($F9097/$C$2/($R9102+$T9102*$D$9),2))</f>
        <v>mu :1.23</v>
      </c>
      <c r="W9097" s="524"/>
      <c r="AG9097" s="481">
        <f ca="1">IF($E9097=0,0,ROUND($R9102*$S$2*$C$2/$A9097,2))</f>
        <v>17.73</v>
      </c>
      <c r="AH9097" s="481">
        <f ca="1">$AG9097*$A9097</f>
        <v>35.46</v>
      </c>
      <c r="AI9097" s="525">
        <f ca="1">$E9097-$AG9097</f>
        <v>31.790000000000003</v>
      </c>
      <c r="AJ9097" s="525">
        <f ca="1">$A9097*$AI9097</f>
        <v>63.580000000000005</v>
      </c>
      <c r="AK9097" s="526">
        <f ca="1">ROUND(($AG9097+$AI9097)*$A9097,2)</f>
        <v>99.04</v>
      </c>
      <c r="AM9097" s="527">
        <f ca="1">ROUND(R9102,2)</f>
        <v>28.8</v>
      </c>
      <c r="AN9097" s="528">
        <f ca="1">ROUND(T9102,2)</f>
        <v>1.88</v>
      </c>
      <c r="AO9097" s="529">
        <f ca="1">ROUND(AM9097+AN9097,2)*A9097</f>
        <v>61.36</v>
      </c>
      <c r="AR9097" s="747">
        <v>2</v>
      </c>
      <c r="AS9097" s="751">
        <v>105.8</v>
      </c>
    </row>
    <row r="9098" spans="1:45" s="520" customFormat="1" ht="13.2">
      <c r="A9098" s="748"/>
      <c r="B9098"/>
      <c r="C9098" s="748"/>
      <c r="D9098" s="749" t="s">
        <v>2062</v>
      </c>
      <c r="F9098" s="753"/>
      <c r="G9098" s="3"/>
      <c r="H9098" s="753"/>
      <c r="I9098" s="754"/>
      <c r="J9098" s="753"/>
      <c r="K9098" s="753" t="s">
        <v>144</v>
      </c>
      <c r="L9098" s="753"/>
      <c r="M9098" s="753"/>
      <c r="N9098" s="753"/>
      <c r="O9098" s="753"/>
      <c r="P9098" s="753"/>
      <c r="Q9098" s="51"/>
      <c r="R9098" s="530"/>
      <c r="S9098" s="757"/>
      <c r="T9098" s="753"/>
      <c r="AR9098" s="748"/>
      <c r="AS9098" s="753"/>
    </row>
    <row r="9099" spans="1:45" s="886" customFormat="1" ht="13.2">
      <c r="A9099"/>
      <c r="B9099" s="910"/>
      <c r="C9099" s="910" t="s">
        <v>2597</v>
      </c>
      <c r="D9099" s="910" t="str">
        <f ca="1">CELL("Address",Elec_Rates!D$1029)</f>
        <v>[E25_0062_Quintano_Foods_Elec_ELV_As_Awarded.xlsx]Elec_Rates!$D$1029</v>
      </c>
      <c r="E9099" s="911"/>
      <c r="F9099" s="911"/>
      <c r="G9099" s="912" t="s">
        <v>2598</v>
      </c>
      <c r="H9099" s="912"/>
      <c r="I9099" s="912"/>
      <c r="J9099" s="912"/>
      <c r="K9099" s="913"/>
      <c r="L9099" s="911"/>
      <c r="M9099" s="911"/>
      <c r="N9099" s="911"/>
      <c r="O9099" s="914"/>
      <c r="P9099" s="911"/>
      <c r="Q9099" s="915"/>
      <c r="R9099" s="916"/>
      <c r="S9099" s="915"/>
      <c r="T9099" s="917"/>
      <c r="U9099" s="918"/>
      <c r="AR9099"/>
      <c r="AS9099" s="911"/>
    </row>
    <row r="9100" spans="1:45" s="886" customFormat="1" ht="11.4">
      <c r="A9100" s="919">
        <v>2</v>
      </c>
      <c r="B9100" s="920">
        <v>1</v>
      </c>
      <c r="C9100" s="920">
        <f>$A9100*$B9100</f>
        <v>2</v>
      </c>
      <c r="D9100" s="921" t="str">
        <f>Elec_Rates!$D$1029</f>
        <v>092# LSZH Conduit points for Fire alarm devices</v>
      </c>
      <c r="E9100" s="921"/>
      <c r="F9100" s="921" t="s">
        <v>2599</v>
      </c>
      <c r="G9100" s="922" t="s">
        <v>2600</v>
      </c>
      <c r="H9100" s="922"/>
      <c r="I9100" s="922"/>
      <c r="J9100" s="922"/>
      <c r="K9100" s="923"/>
      <c r="L9100" s="918"/>
      <c r="M9100" s="918"/>
      <c r="N9100" s="918"/>
      <c r="O9100" s="924"/>
      <c r="P9100" s="921"/>
      <c r="Q9100" s="925">
        <f ca="1">$B9100*Elec_Rates!$R$1029</f>
        <v>14.4</v>
      </c>
      <c r="R9100" s="916">
        <f ca="1">$A9100*Q9100</f>
        <v>28.8</v>
      </c>
      <c r="S9100" s="925">
        <f ca="1">$B9100*Elec_Rates!$T$1029</f>
        <v>0.94</v>
      </c>
      <c r="T9100" s="917">
        <f ca="1">$A9100*S9100</f>
        <v>1.88</v>
      </c>
      <c r="U9100" s="926"/>
      <c r="AR9100" s="919">
        <v>2</v>
      </c>
      <c r="AS9100" s="921" t="s">
        <v>2599</v>
      </c>
    </row>
    <row r="9101" spans="1:45" s="520" customFormat="1" ht="12">
      <c r="A9101" s="758"/>
      <c r="B9101" s="758"/>
      <c r="C9101" s="758"/>
      <c r="D9101" s="758"/>
      <c r="E9101" s="758"/>
      <c r="F9101" s="753"/>
      <c r="G9101" s="758"/>
      <c r="H9101" s="758"/>
      <c r="I9101" s="519"/>
      <c r="J9101" s="758"/>
      <c r="K9101" s="758"/>
      <c r="L9101" s="758"/>
      <c r="M9101" s="758"/>
      <c r="N9101" s="758"/>
      <c r="O9101" s="758"/>
      <c r="P9101" s="758"/>
      <c r="Q9101" s="519"/>
      <c r="R9101" s="759">
        <f>$A9101*Q9101</f>
        <v>0</v>
      </c>
      <c r="S9101" s="519"/>
      <c r="T9101" s="760">
        <f>$A9101*S9101*$T$1</f>
        <v>0</v>
      </c>
      <c r="AR9101" s="758"/>
      <c r="AS9101" s="753"/>
    </row>
    <row r="9102" spans="1:45" s="520" customFormat="1" ht="12.6" thickBot="1">
      <c r="A9102" s="761" t="s">
        <v>145</v>
      </c>
      <c r="B9102" s="762">
        <f>(R9101+T9101)</f>
        <v>0</v>
      </c>
      <c r="C9102" s="763"/>
      <c r="D9102" s="763"/>
      <c r="E9102" s="763"/>
      <c r="F9102" s="764"/>
      <c r="G9102" s="763" t="s">
        <v>146</v>
      </c>
      <c r="H9102" s="763"/>
      <c r="I9102" s="765"/>
      <c r="J9102" s="763"/>
      <c r="K9102" s="763" t="s">
        <v>3</v>
      </c>
      <c r="L9102" s="766" t="s">
        <v>143</v>
      </c>
      <c r="M9102" s="766"/>
      <c r="N9102" s="766"/>
      <c r="O9102" s="766"/>
      <c r="P9102" s="766"/>
      <c r="Q9102" s="767"/>
      <c r="R9102" s="768">
        <f ca="1">SUM(R9098:R9101)</f>
        <v>28.8</v>
      </c>
      <c r="S9102" s="763"/>
      <c r="T9102" s="768">
        <f ca="1">SUM(T9098:T9101)</f>
        <v>1.88</v>
      </c>
      <c r="U9102" s="531"/>
      <c r="V9102" s="531"/>
      <c r="W9102" s="531"/>
      <c r="X9102" s="531"/>
      <c r="Y9102" s="531"/>
      <c r="Z9102" s="531"/>
      <c r="AA9102" s="531"/>
      <c r="AB9102" s="531"/>
      <c r="AC9102" s="531"/>
      <c r="AD9102" s="531"/>
      <c r="AE9102" s="531"/>
      <c r="AF9102" s="531"/>
      <c r="AG9102" s="531"/>
      <c r="AH9102" s="531"/>
      <c r="AI9102" s="531"/>
      <c r="AJ9102" s="531"/>
      <c r="AK9102" s="531"/>
      <c r="AL9102" s="531"/>
      <c r="AM9102" s="531"/>
      <c r="AN9102" s="531"/>
      <c r="AO9102" s="531"/>
      <c r="AR9102" s="761" t="s">
        <v>145</v>
      </c>
      <c r="AS9102" s="764"/>
    </row>
    <row r="9103" spans="1:45" s="520" customFormat="1" ht="12" thickTop="1">
      <c r="A9103" s="51"/>
      <c r="B9103" s="41"/>
      <c r="C9103" s="51"/>
      <c r="E9103" s="42" t="s">
        <v>138</v>
      </c>
      <c r="F9103" s="42" t="s">
        <v>139</v>
      </c>
      <c r="G9103" s="51"/>
      <c r="H9103" s="51"/>
      <c r="I9103" s="51"/>
      <c r="J9103" s="51"/>
      <c r="K9103" s="51" t="s">
        <v>140</v>
      </c>
      <c r="L9103" s="51"/>
      <c r="M9103" s="51"/>
      <c r="N9103" s="51"/>
      <c r="O9103" s="52"/>
      <c r="P9103" s="51"/>
      <c r="Q9103" s="51"/>
      <c r="R9103" s="51"/>
      <c r="S9103" s="51"/>
      <c r="T9103" s="41"/>
      <c r="AG9103" s="521" t="s">
        <v>268</v>
      </c>
      <c r="AH9103" s="521" t="s">
        <v>269</v>
      </c>
      <c r="AI9103" s="521" t="s">
        <v>270</v>
      </c>
      <c r="AJ9103" s="521" t="s">
        <v>271</v>
      </c>
      <c r="AK9103" s="521" t="s">
        <v>272</v>
      </c>
      <c r="AM9103" s="745" t="s">
        <v>281</v>
      </c>
      <c r="AN9103" s="746" t="s">
        <v>282</v>
      </c>
      <c r="AO9103" s="522" t="s">
        <v>278</v>
      </c>
      <c r="AR9103" s="51"/>
      <c r="AS9103" s="42" t="s">
        <v>139</v>
      </c>
    </row>
    <row r="9104" spans="1:45" s="520" customFormat="1" ht="12" customHeight="1">
      <c r="A9104" s="747">
        <v>1</v>
      </c>
      <c r="B9104" s="523" t="s">
        <v>141</v>
      </c>
      <c r="C9104" s="748"/>
      <c r="D9104" s="749" t="s">
        <v>2409</v>
      </c>
      <c r="E9104" s="750">
        <f ca="1">IF(AND($A9104=0,$A$1="DIF"),0, ROUND(ROUND(($R9109*$S$2+($T9109*$T$2))/A9104,2)*$C$2,2))</f>
        <v>49.52</v>
      </c>
      <c r="F9104" s="751">
        <f ca="1">ROUND($A9104*$E9104,2)</f>
        <v>49.52</v>
      </c>
      <c r="G9104" s="752" t="s">
        <v>142</v>
      </c>
      <c r="H9104" s="753"/>
      <c r="I9104" s="754"/>
      <c r="J9104" s="753"/>
      <c r="K9104" s="753" t="s">
        <v>3</v>
      </c>
      <c r="L9104" s="755" t="s">
        <v>143</v>
      </c>
      <c r="M9104" s="755"/>
      <c r="N9104" s="755"/>
      <c r="O9104" s="755"/>
      <c r="P9104" s="755"/>
      <c r="Q9104" s="51"/>
      <c r="T9104" s="756" t="str">
        <f ca="1">IF(AND($R9109=0,$T9109=0),"0.00","mu :" &amp; ROUND($F9104/$C$2/($R9109+$T9109*$D$9),2))</f>
        <v>mu :1.23</v>
      </c>
      <c r="W9104" s="524"/>
      <c r="AG9104" s="481">
        <f ca="1">IF($E9104=0,0,ROUND($R9109*$S$2*$C$2/$A9104,2))</f>
        <v>17.73</v>
      </c>
      <c r="AH9104" s="481">
        <f ca="1">$AG9104*$A9104</f>
        <v>17.73</v>
      </c>
      <c r="AI9104" s="525">
        <f ca="1">$E9104-$AG9104</f>
        <v>31.790000000000003</v>
      </c>
      <c r="AJ9104" s="525">
        <f ca="1">$A9104*$AI9104</f>
        <v>31.790000000000003</v>
      </c>
      <c r="AK9104" s="526">
        <f ca="1">ROUND(($AG9104+$AI9104)*$A9104,2)</f>
        <v>49.52</v>
      </c>
      <c r="AM9104" s="527">
        <f ca="1">ROUND(R9109,2)</f>
        <v>14.4</v>
      </c>
      <c r="AN9104" s="528">
        <f ca="1">ROUND(T9109,2)</f>
        <v>0.94</v>
      </c>
      <c r="AO9104" s="529">
        <f ca="1">ROUND(AM9104+AN9104,2)*A9104</f>
        <v>15.34</v>
      </c>
      <c r="AR9104" s="747">
        <v>1</v>
      </c>
      <c r="AS9104" s="751">
        <v>52.9</v>
      </c>
    </row>
    <row r="9105" spans="1:45" s="520" customFormat="1" ht="13.2">
      <c r="A9105" s="748"/>
      <c r="B9105"/>
      <c r="C9105" s="748"/>
      <c r="D9105" s="749" t="s">
        <v>2065</v>
      </c>
      <c r="F9105" s="753"/>
      <c r="G9105" s="3"/>
      <c r="H9105" s="753"/>
      <c r="I9105" s="754"/>
      <c r="J9105" s="753"/>
      <c r="K9105" s="753" t="s">
        <v>144</v>
      </c>
      <c r="L9105" s="753"/>
      <c r="M9105" s="753"/>
      <c r="N9105" s="753"/>
      <c r="O9105" s="753"/>
      <c r="P9105" s="753"/>
      <c r="Q9105" s="51"/>
      <c r="R9105" s="530"/>
      <c r="S9105" s="757"/>
      <c r="T9105" s="753"/>
      <c r="AR9105" s="748"/>
      <c r="AS9105" s="753"/>
    </row>
    <row r="9106" spans="1:45" s="886" customFormat="1" ht="13.2">
      <c r="A9106"/>
      <c r="B9106" s="910"/>
      <c r="C9106" s="910" t="s">
        <v>2597</v>
      </c>
      <c r="D9106" s="910" t="str">
        <f ca="1">CELL("Address",Elec_Rates!D$1029)</f>
        <v>[E25_0062_Quintano_Foods_Elec_ELV_As_Awarded.xlsx]Elec_Rates!$D$1029</v>
      </c>
      <c r="E9106" s="911"/>
      <c r="F9106" s="911"/>
      <c r="G9106" s="912" t="s">
        <v>2598</v>
      </c>
      <c r="H9106" s="912"/>
      <c r="I9106" s="912"/>
      <c r="J9106" s="912"/>
      <c r="K9106" s="913"/>
      <c r="L9106" s="911"/>
      <c r="M9106" s="911"/>
      <c r="N9106" s="911"/>
      <c r="O9106" s="914"/>
      <c r="P9106" s="911"/>
      <c r="Q9106" s="915"/>
      <c r="R9106" s="916"/>
      <c r="S9106" s="915"/>
      <c r="T9106" s="917"/>
      <c r="U9106" s="918"/>
      <c r="AR9106"/>
      <c r="AS9106" s="911"/>
    </row>
    <row r="9107" spans="1:45" s="886" customFormat="1" ht="11.4">
      <c r="A9107" s="919">
        <v>1</v>
      </c>
      <c r="B9107" s="920">
        <v>1</v>
      </c>
      <c r="C9107" s="920">
        <f>$A9107*$B9107</f>
        <v>1</v>
      </c>
      <c r="D9107" s="921" t="str">
        <f>Elec_Rates!$D$1029</f>
        <v>092# LSZH Conduit points for Fire alarm devices</v>
      </c>
      <c r="E9107" s="921"/>
      <c r="F9107" s="921" t="s">
        <v>2599</v>
      </c>
      <c r="G9107" s="922" t="s">
        <v>2600</v>
      </c>
      <c r="H9107" s="922"/>
      <c r="I9107" s="922"/>
      <c r="J9107" s="922"/>
      <c r="K9107" s="923"/>
      <c r="L9107" s="918"/>
      <c r="M9107" s="918"/>
      <c r="N9107" s="918"/>
      <c r="O9107" s="924"/>
      <c r="P9107" s="921"/>
      <c r="Q9107" s="925">
        <f ca="1">$B9107*Elec_Rates!$R$1029</f>
        <v>14.4</v>
      </c>
      <c r="R9107" s="916">
        <f ca="1">$A9107*Q9107</f>
        <v>14.4</v>
      </c>
      <c r="S9107" s="925">
        <f ca="1">$B9107*Elec_Rates!$T$1029</f>
        <v>0.94</v>
      </c>
      <c r="T9107" s="917">
        <f ca="1">$A9107*S9107</f>
        <v>0.94</v>
      </c>
      <c r="U9107" s="926"/>
      <c r="AR9107" s="919">
        <v>1</v>
      </c>
      <c r="AS9107" s="921" t="s">
        <v>2599</v>
      </c>
    </row>
    <row r="9108" spans="1:45" s="520" customFormat="1" ht="12">
      <c r="A9108" s="758"/>
      <c r="B9108" s="758"/>
      <c r="C9108" s="758"/>
      <c r="D9108" s="758"/>
      <c r="E9108" s="758"/>
      <c r="F9108" s="753"/>
      <c r="G9108" s="758"/>
      <c r="H9108" s="758"/>
      <c r="I9108" s="519"/>
      <c r="J9108" s="758"/>
      <c r="K9108" s="758"/>
      <c r="L9108" s="758"/>
      <c r="M9108" s="758"/>
      <c r="N9108" s="758"/>
      <c r="O9108" s="758"/>
      <c r="P9108" s="758"/>
      <c r="Q9108" s="519"/>
      <c r="R9108" s="759">
        <f>$A9108*Q9108</f>
        <v>0</v>
      </c>
      <c r="S9108" s="519"/>
      <c r="T9108" s="760">
        <f>$A9108*S9108*$T$1</f>
        <v>0</v>
      </c>
      <c r="AR9108" s="758"/>
      <c r="AS9108" s="753"/>
    </row>
    <row r="9109" spans="1:45" s="520" customFormat="1" ht="12.6" thickBot="1">
      <c r="A9109" s="761" t="s">
        <v>145</v>
      </c>
      <c r="B9109" s="762">
        <f>(R9108+T9108)</f>
        <v>0</v>
      </c>
      <c r="C9109" s="763"/>
      <c r="D9109" s="763"/>
      <c r="E9109" s="763"/>
      <c r="F9109" s="764"/>
      <c r="G9109" s="763" t="s">
        <v>146</v>
      </c>
      <c r="H9109" s="763"/>
      <c r="I9109" s="765"/>
      <c r="J9109" s="763"/>
      <c r="K9109" s="763" t="s">
        <v>3</v>
      </c>
      <c r="L9109" s="766" t="s">
        <v>143</v>
      </c>
      <c r="M9109" s="766"/>
      <c r="N9109" s="766"/>
      <c r="O9109" s="766"/>
      <c r="P9109" s="766"/>
      <c r="Q9109" s="767"/>
      <c r="R9109" s="768">
        <f ca="1">SUM(R9105:R9108)</f>
        <v>14.4</v>
      </c>
      <c r="S9109" s="763"/>
      <c r="T9109" s="768">
        <f ca="1">SUM(T9105:T9108)</f>
        <v>0.94</v>
      </c>
      <c r="U9109" s="531"/>
      <c r="V9109" s="531"/>
      <c r="W9109" s="531"/>
      <c r="X9109" s="531"/>
      <c r="Y9109" s="531"/>
      <c r="Z9109" s="531"/>
      <c r="AA9109" s="531"/>
      <c r="AB9109" s="531"/>
      <c r="AC9109" s="531"/>
      <c r="AD9109" s="531"/>
      <c r="AE9109" s="531"/>
      <c r="AF9109" s="531"/>
      <c r="AG9109" s="531"/>
      <c r="AH9109" s="531"/>
      <c r="AI9109" s="531"/>
      <c r="AJ9109" s="531"/>
      <c r="AK9109" s="531"/>
      <c r="AL9109" s="531"/>
      <c r="AM9109" s="531"/>
      <c r="AN9109" s="531"/>
      <c r="AO9109" s="531"/>
      <c r="AR9109" s="761" t="s">
        <v>145</v>
      </c>
      <c r="AS9109" s="764"/>
    </row>
    <row r="9110" spans="1:45" s="520" customFormat="1" ht="12" thickTop="1">
      <c r="A9110" s="51"/>
      <c r="B9110" s="41"/>
      <c r="C9110" s="51"/>
      <c r="E9110" s="42" t="s">
        <v>138</v>
      </c>
      <c r="F9110" s="42" t="s">
        <v>139</v>
      </c>
      <c r="G9110" s="51"/>
      <c r="H9110" s="51"/>
      <c r="I9110" s="51"/>
      <c r="J9110" s="51"/>
      <c r="K9110" s="51" t="s">
        <v>140</v>
      </c>
      <c r="L9110" s="51"/>
      <c r="M9110" s="51"/>
      <c r="N9110" s="51"/>
      <c r="O9110" s="52"/>
      <c r="P9110" s="51"/>
      <c r="Q9110" s="51"/>
      <c r="R9110" s="51"/>
      <c r="S9110" s="51"/>
      <c r="T9110" s="41"/>
      <c r="AG9110" s="521" t="s">
        <v>268</v>
      </c>
      <c r="AH9110" s="521" t="s">
        <v>269</v>
      </c>
      <c r="AI9110" s="521" t="s">
        <v>270</v>
      </c>
      <c r="AJ9110" s="521" t="s">
        <v>271</v>
      </c>
      <c r="AK9110" s="521" t="s">
        <v>272</v>
      </c>
      <c r="AM9110" s="745" t="s">
        <v>281</v>
      </c>
      <c r="AN9110" s="746" t="s">
        <v>282</v>
      </c>
      <c r="AO9110" s="522" t="s">
        <v>278</v>
      </c>
      <c r="AR9110" s="51"/>
      <c r="AS9110" s="42" t="s">
        <v>139</v>
      </c>
    </row>
    <row r="9111" spans="1:45" s="520" customFormat="1" ht="12" customHeight="1">
      <c r="A9111" s="747">
        <v>1</v>
      </c>
      <c r="B9111" s="523" t="s">
        <v>141</v>
      </c>
      <c r="C9111" s="748"/>
      <c r="D9111" s="749" t="s">
        <v>2410</v>
      </c>
      <c r="E9111" s="750">
        <f ca="1">IF(AND($A9111=0,$A$1="DIF"),0, ROUND(ROUND(($R9116*$S$2+($T9116*$T$2))/A9111,2)*$C$2,2))</f>
        <v>49.52</v>
      </c>
      <c r="F9111" s="751">
        <f ca="1">ROUND($A9111*$E9111,2)</f>
        <v>49.52</v>
      </c>
      <c r="G9111" s="752" t="s">
        <v>142</v>
      </c>
      <c r="H9111" s="753"/>
      <c r="I9111" s="754"/>
      <c r="J9111" s="753"/>
      <c r="K9111" s="753" t="s">
        <v>3</v>
      </c>
      <c r="L9111" s="755" t="s">
        <v>143</v>
      </c>
      <c r="M9111" s="755"/>
      <c r="N9111" s="755"/>
      <c r="O9111" s="755"/>
      <c r="P9111" s="755"/>
      <c r="Q9111" s="51"/>
      <c r="T9111" s="756" t="str">
        <f ca="1">IF(AND($R9116=0,$T9116=0),"0.00","mu :" &amp; ROUND($F9111/$C$2/($R9116+$T9116*$D$9),2))</f>
        <v>mu :1.23</v>
      </c>
      <c r="W9111" s="524"/>
      <c r="AG9111" s="481">
        <f ca="1">IF($E9111=0,0,ROUND($R9116*$S$2*$C$2/$A9111,2))</f>
        <v>17.73</v>
      </c>
      <c r="AH9111" s="481">
        <f ca="1">$AG9111*$A9111</f>
        <v>17.73</v>
      </c>
      <c r="AI9111" s="525">
        <f ca="1">$E9111-$AG9111</f>
        <v>31.790000000000003</v>
      </c>
      <c r="AJ9111" s="525">
        <f ca="1">$A9111*$AI9111</f>
        <v>31.790000000000003</v>
      </c>
      <c r="AK9111" s="526">
        <f ca="1">ROUND(($AG9111+$AI9111)*$A9111,2)</f>
        <v>49.52</v>
      </c>
      <c r="AM9111" s="527">
        <f ca="1">ROUND(R9116,2)</f>
        <v>14.4</v>
      </c>
      <c r="AN9111" s="528">
        <f ca="1">ROUND(T9116,2)</f>
        <v>0.94</v>
      </c>
      <c r="AO9111" s="529">
        <f ca="1">ROUND(AM9111+AN9111,2)*A9111</f>
        <v>15.34</v>
      </c>
      <c r="AR9111" s="747">
        <v>1</v>
      </c>
      <c r="AS9111" s="751">
        <v>52.9</v>
      </c>
    </row>
    <row r="9112" spans="1:45" s="520" customFormat="1" ht="13.2">
      <c r="A9112" s="748"/>
      <c r="B9112"/>
      <c r="C9112" s="748"/>
      <c r="D9112" s="749" t="s">
        <v>2068</v>
      </c>
      <c r="F9112" s="753"/>
      <c r="G9112" s="3"/>
      <c r="H9112" s="753"/>
      <c r="I9112" s="754"/>
      <c r="J9112" s="753"/>
      <c r="K9112" s="753" t="s">
        <v>144</v>
      </c>
      <c r="L9112" s="753"/>
      <c r="M9112" s="753"/>
      <c r="N9112" s="753"/>
      <c r="O9112" s="753"/>
      <c r="P9112" s="753"/>
      <c r="Q9112" s="51"/>
      <c r="R9112" s="530"/>
      <c r="S9112" s="757"/>
      <c r="T9112" s="753"/>
      <c r="AR9112" s="748"/>
      <c r="AS9112" s="753"/>
    </row>
    <row r="9113" spans="1:45" s="886" customFormat="1" ht="13.2">
      <c r="A9113"/>
      <c r="B9113" s="910"/>
      <c r="C9113" s="910" t="s">
        <v>2597</v>
      </c>
      <c r="D9113" s="910" t="str">
        <f ca="1">CELL("Address",Elec_Rates!D$1029)</f>
        <v>[E25_0062_Quintano_Foods_Elec_ELV_As_Awarded.xlsx]Elec_Rates!$D$1029</v>
      </c>
      <c r="E9113" s="911"/>
      <c r="F9113" s="911"/>
      <c r="G9113" s="912" t="s">
        <v>2598</v>
      </c>
      <c r="H9113" s="912"/>
      <c r="I9113" s="912"/>
      <c r="J9113" s="912"/>
      <c r="K9113" s="913"/>
      <c r="L9113" s="911"/>
      <c r="M9113" s="911"/>
      <c r="N9113" s="911"/>
      <c r="O9113" s="914"/>
      <c r="P9113" s="911"/>
      <c r="Q9113" s="915"/>
      <c r="R9113" s="916"/>
      <c r="S9113" s="915"/>
      <c r="T9113" s="917"/>
      <c r="U9113" s="918"/>
      <c r="AR9113"/>
      <c r="AS9113" s="911"/>
    </row>
    <row r="9114" spans="1:45" s="886" customFormat="1" ht="11.4">
      <c r="A9114" s="919">
        <v>1</v>
      </c>
      <c r="B9114" s="920">
        <v>1</v>
      </c>
      <c r="C9114" s="920">
        <f>$A9114*$B9114</f>
        <v>1</v>
      </c>
      <c r="D9114" s="921" t="str">
        <f>Elec_Rates!$D$1029</f>
        <v>092# LSZH Conduit points for Fire alarm devices</v>
      </c>
      <c r="E9114" s="921"/>
      <c r="F9114" s="921" t="s">
        <v>2599</v>
      </c>
      <c r="G9114" s="922" t="s">
        <v>2600</v>
      </c>
      <c r="H9114" s="922"/>
      <c r="I9114" s="922"/>
      <c r="J9114" s="922"/>
      <c r="K9114" s="923"/>
      <c r="L9114" s="918"/>
      <c r="M9114" s="918"/>
      <c r="N9114" s="918"/>
      <c r="O9114" s="924"/>
      <c r="P9114" s="921"/>
      <c r="Q9114" s="925">
        <f ca="1">$B9114*Elec_Rates!$R$1029</f>
        <v>14.4</v>
      </c>
      <c r="R9114" s="916">
        <f ca="1">$A9114*Q9114</f>
        <v>14.4</v>
      </c>
      <c r="S9114" s="925">
        <f ca="1">$B9114*Elec_Rates!$T$1029</f>
        <v>0.94</v>
      </c>
      <c r="T9114" s="917">
        <f ca="1">$A9114*S9114</f>
        <v>0.94</v>
      </c>
      <c r="U9114" s="926"/>
      <c r="AR9114" s="919">
        <v>1</v>
      </c>
      <c r="AS9114" s="921" t="s">
        <v>2599</v>
      </c>
    </row>
    <row r="9115" spans="1:45" s="520" customFormat="1" ht="12">
      <c r="A9115" s="758"/>
      <c r="B9115" s="758"/>
      <c r="C9115" s="758"/>
      <c r="D9115" s="758"/>
      <c r="E9115" s="758"/>
      <c r="F9115" s="753"/>
      <c r="G9115" s="758"/>
      <c r="H9115" s="758"/>
      <c r="I9115" s="519"/>
      <c r="J9115" s="758"/>
      <c r="K9115" s="758"/>
      <c r="L9115" s="758"/>
      <c r="M9115" s="758"/>
      <c r="N9115" s="758"/>
      <c r="O9115" s="758"/>
      <c r="P9115" s="758"/>
      <c r="Q9115" s="519"/>
      <c r="R9115" s="759">
        <f>$A9115*Q9115</f>
        <v>0</v>
      </c>
      <c r="S9115" s="519"/>
      <c r="T9115" s="760">
        <f>$A9115*S9115*$T$1</f>
        <v>0</v>
      </c>
      <c r="AR9115" s="758"/>
      <c r="AS9115" s="753"/>
    </row>
    <row r="9116" spans="1:45" s="520" customFormat="1" ht="12.6" thickBot="1">
      <c r="A9116" s="761" t="s">
        <v>145</v>
      </c>
      <c r="B9116" s="762">
        <f>(R9115+T9115)</f>
        <v>0</v>
      </c>
      <c r="C9116" s="763"/>
      <c r="D9116" s="763"/>
      <c r="E9116" s="763"/>
      <c r="F9116" s="764"/>
      <c r="G9116" s="763" t="s">
        <v>146</v>
      </c>
      <c r="H9116" s="763"/>
      <c r="I9116" s="765"/>
      <c r="J9116" s="763"/>
      <c r="K9116" s="763" t="s">
        <v>3</v>
      </c>
      <c r="L9116" s="766" t="s">
        <v>143</v>
      </c>
      <c r="M9116" s="766"/>
      <c r="N9116" s="766"/>
      <c r="O9116" s="766"/>
      <c r="P9116" s="766"/>
      <c r="Q9116" s="767"/>
      <c r="R9116" s="768">
        <f ca="1">SUM(R9112:R9115)</f>
        <v>14.4</v>
      </c>
      <c r="S9116" s="763"/>
      <c r="T9116" s="768">
        <f ca="1">SUM(T9112:T9115)</f>
        <v>0.94</v>
      </c>
      <c r="U9116" s="531"/>
      <c r="V9116" s="531"/>
      <c r="W9116" s="531"/>
      <c r="X9116" s="531"/>
      <c r="Y9116" s="531"/>
      <c r="Z9116" s="531"/>
      <c r="AA9116" s="531"/>
      <c r="AB9116" s="531"/>
      <c r="AC9116" s="531"/>
      <c r="AD9116" s="531"/>
      <c r="AE9116" s="531"/>
      <c r="AF9116" s="531"/>
      <c r="AG9116" s="531"/>
      <c r="AH9116" s="531"/>
      <c r="AI9116" s="531"/>
      <c r="AJ9116" s="531"/>
      <c r="AK9116" s="531"/>
      <c r="AL9116" s="531"/>
      <c r="AM9116" s="531"/>
      <c r="AN9116" s="531"/>
      <c r="AO9116" s="531"/>
      <c r="AR9116" s="761" t="s">
        <v>145</v>
      </c>
      <c r="AS9116" s="764"/>
    </row>
    <row r="9117" spans="1:45" s="520" customFormat="1" thickTop="1">
      <c r="A9117" s="51"/>
      <c r="B9117" s="51"/>
      <c r="C9117" s="3"/>
      <c r="D9117" s="3"/>
      <c r="E9117" s="51"/>
      <c r="F9117" s="51"/>
      <c r="G9117" s="51"/>
      <c r="H9117" s="51"/>
      <c r="I9117" s="51"/>
      <c r="J9117" s="51"/>
      <c r="K9117" s="51" t="s">
        <v>134</v>
      </c>
      <c r="L9117" s="51"/>
      <c r="M9117" s="51"/>
      <c r="N9117" s="51"/>
      <c r="O9117" s="52"/>
      <c r="P9117" s="51"/>
      <c r="Q9117" s="51"/>
      <c r="R9117" s="51"/>
      <c r="S9117" s="51"/>
      <c r="T9117" s="51"/>
      <c r="AR9117" s="51"/>
      <c r="AS9117" s="51"/>
    </row>
    <row r="9118" spans="1:45" s="520" customFormat="1" ht="12">
      <c r="A9118" s="51"/>
      <c r="B9118" s="51"/>
      <c r="C9118" s="51" t="s">
        <v>135</v>
      </c>
      <c r="D9118" s="37"/>
      <c r="E9118" s="51"/>
      <c r="F9118" s="51"/>
      <c r="G9118" s="51"/>
      <c r="H9118" s="51"/>
      <c r="I9118" s="51"/>
      <c r="J9118" s="51"/>
      <c r="K9118" s="51"/>
      <c r="L9118" s="51"/>
      <c r="M9118" s="51"/>
      <c r="N9118" s="51"/>
      <c r="O9118" s="52"/>
      <c r="P9118" s="51"/>
      <c r="Q9118" s="51"/>
      <c r="R9118" s="51"/>
      <c r="S9118" s="51"/>
      <c r="T9118" s="51"/>
      <c r="AR9118" s="51"/>
      <c r="AS9118" s="51"/>
    </row>
    <row r="9119" spans="1:45" s="520" customFormat="1" ht="39.9" customHeight="1">
      <c r="A9119" s="51"/>
      <c r="B9119" s="51"/>
      <c r="C9119" s="51"/>
      <c r="D9119" s="1453" t="s">
        <v>2286</v>
      </c>
      <c r="E9119" s="1452"/>
      <c r="F9119" s="1452"/>
      <c r="G9119" s="1452"/>
      <c r="H9119" s="1452"/>
      <c r="I9119" s="1452"/>
      <c r="J9119" s="1452"/>
      <c r="K9119" s="1452"/>
      <c r="L9119" s="1452"/>
      <c r="M9119" s="1452"/>
      <c r="N9119" s="1452"/>
      <c r="O9119" s="1452"/>
      <c r="P9119" s="1452"/>
      <c r="Q9119" s="1452"/>
      <c r="R9119" s="1452"/>
      <c r="S9119" s="1452"/>
      <c r="T9119" s="1452"/>
      <c r="AR9119" s="51"/>
    </row>
    <row r="9120" spans="1:45" s="3" customFormat="1" thickBot="1">
      <c r="A9120" s="531"/>
      <c r="O9120" s="107"/>
      <c r="AR9120" s="531"/>
    </row>
    <row r="9121" spans="1:45" s="520" customFormat="1" ht="12" thickTop="1">
      <c r="A9121" s="51"/>
      <c r="B9121" s="41"/>
      <c r="C9121" s="51"/>
      <c r="E9121" s="42" t="s">
        <v>138</v>
      </c>
      <c r="F9121" s="42" t="s">
        <v>139</v>
      </c>
      <c r="G9121" s="51"/>
      <c r="H9121" s="51"/>
      <c r="I9121" s="51"/>
      <c r="J9121" s="51"/>
      <c r="K9121" s="51" t="s">
        <v>140</v>
      </c>
      <c r="L9121" s="51"/>
      <c r="M9121" s="51"/>
      <c r="N9121" s="51"/>
      <c r="O9121" s="52"/>
      <c r="P9121" s="51"/>
      <c r="Q9121" s="51"/>
      <c r="R9121" s="51"/>
      <c r="S9121" s="51"/>
      <c r="T9121" s="41"/>
      <c r="AG9121" s="521" t="s">
        <v>268</v>
      </c>
      <c r="AH9121" s="521" t="s">
        <v>269</v>
      </c>
      <c r="AI9121" s="521" t="s">
        <v>270</v>
      </c>
      <c r="AJ9121" s="521" t="s">
        <v>271</v>
      </c>
      <c r="AK9121" s="521" t="s">
        <v>272</v>
      </c>
      <c r="AM9121" s="745" t="s">
        <v>281</v>
      </c>
      <c r="AN9121" s="746" t="s">
        <v>282</v>
      </c>
      <c r="AO9121" s="522" t="s">
        <v>278</v>
      </c>
      <c r="AR9121" s="51"/>
      <c r="AS9121" s="42" t="s">
        <v>139</v>
      </c>
    </row>
    <row r="9122" spans="1:45" s="520" customFormat="1" ht="12" customHeight="1">
      <c r="A9122" s="747">
        <v>1</v>
      </c>
      <c r="B9122" s="523" t="s">
        <v>141</v>
      </c>
      <c r="C9122" s="748"/>
      <c r="D9122" s="749" t="s">
        <v>2411</v>
      </c>
      <c r="E9122" s="1145">
        <f>IF(AND($A9122=0,$A$1="DIF"),0, ROUND(ROUND(($R9126*$S$3+($T9126*$T$3))/$A9122,2)*$C$3,2))</f>
        <v>36.950000000000003</v>
      </c>
      <c r="F9122" s="1146">
        <f>ROUND($A9122*$E9122,2)</f>
        <v>36.950000000000003</v>
      </c>
      <c r="G9122" s="752" t="s">
        <v>142</v>
      </c>
      <c r="H9122" s="753"/>
      <c r="I9122" s="754"/>
      <c r="J9122" s="753"/>
      <c r="K9122" s="753" t="s">
        <v>5</v>
      </c>
      <c r="L9122" s="755" t="s">
        <v>143</v>
      </c>
      <c r="M9122" s="755"/>
      <c r="N9122" s="755"/>
      <c r="O9122" s="755"/>
      <c r="P9122" s="755"/>
      <c r="Q9122" s="51"/>
      <c r="T9122" s="1150" t="str">
        <f>IF(AND($R9126=0,$T9126=0),"0.00","mu: "&amp; ROUND(F9122/$C$3/($R9126+$T9126*$D$9),2))</f>
        <v>mu: 1.13</v>
      </c>
      <c r="W9122" s="524"/>
      <c r="AG9122" s="1147">
        <f>IF($E9122=0,0,ROUND($R9126*$S$3*$C$3/$A9122,2))</f>
        <v>36.950000000000003</v>
      </c>
      <c r="AH9122" s="1147">
        <f>$AG9122*$A9122</f>
        <v>36.950000000000003</v>
      </c>
      <c r="AI9122" s="1148">
        <f>$E9122-$AG9122</f>
        <v>0</v>
      </c>
      <c r="AJ9122" s="1148">
        <f>$A9122*$AI9122</f>
        <v>0</v>
      </c>
      <c r="AK9122" s="1149">
        <f>ROUND(($AG9122+$AI9122)*$A9122,2)</f>
        <v>36.950000000000003</v>
      </c>
      <c r="AM9122" s="527">
        <f>ROUND(R9126,2)</f>
        <v>32.74</v>
      </c>
      <c r="AN9122" s="528">
        <f>ROUND(T9126,2)</f>
        <v>0</v>
      </c>
      <c r="AO9122" s="529">
        <f>ROUND(AM9122+AN9122,2)*A9122</f>
        <v>32.74</v>
      </c>
      <c r="AR9122" s="747">
        <v>1</v>
      </c>
      <c r="AS9122" s="1146">
        <v>40.21</v>
      </c>
    </row>
    <row r="9123" spans="1:45" s="520" customFormat="1" ht="13.2">
      <c r="A9123" s="748"/>
      <c r="B9123"/>
      <c r="C9123" s="748"/>
      <c r="D9123" s="749" t="s">
        <v>2063</v>
      </c>
      <c r="F9123" s="753"/>
      <c r="G9123" s="3"/>
      <c r="H9123" s="753"/>
      <c r="I9123" s="754"/>
      <c r="J9123" s="753"/>
      <c r="K9123" s="753" t="s">
        <v>144</v>
      </c>
      <c r="L9123" s="753"/>
      <c r="M9123" s="753"/>
      <c r="N9123" s="753"/>
      <c r="O9123" s="753"/>
      <c r="P9123" s="753"/>
      <c r="Q9123" s="51"/>
      <c r="R9123" s="530"/>
      <c r="S9123" s="757"/>
      <c r="T9123" s="753"/>
      <c r="AR9123" s="748"/>
      <c r="AS9123" s="753"/>
    </row>
    <row r="9124" spans="1:45" s="901" customFormat="1" ht="13.2">
      <c r="A9124" s="903">
        <v>1</v>
      </c>
      <c r="B9124" s="904" t="s">
        <v>863</v>
      </c>
      <c r="C9124" s="904"/>
      <c r="D9124" s="904" t="s">
        <v>2594</v>
      </c>
      <c r="E9124" s="904"/>
      <c r="F9124" s="904" t="s">
        <v>4128</v>
      </c>
      <c r="G9124" s="905" t="s">
        <v>2595</v>
      </c>
      <c r="H9124" s="902">
        <v>960</v>
      </c>
      <c r="I9124" s="904" t="s">
        <v>2596</v>
      </c>
      <c r="J9124" s="904"/>
      <c r="K9124" s="904"/>
      <c r="L9124" s="904"/>
      <c r="M9124" s="904"/>
      <c r="N9124" s="904"/>
      <c r="O9124" s="902">
        <v>4</v>
      </c>
      <c r="P9124" s="906">
        <v>38274</v>
      </c>
      <c r="Q9124" s="1415">
        <f>37.5*0.873</f>
        <v>32.737499999999997</v>
      </c>
      <c r="R9124" s="908">
        <f>$A9124*Q9124</f>
        <v>32.737499999999997</v>
      </c>
      <c r="S9124" s="907"/>
      <c r="T9124" s="909">
        <f>$A9124*S9124*$T$1</f>
        <v>0</v>
      </c>
      <c r="AR9124" s="903">
        <v>1</v>
      </c>
      <c r="AS9124" s="904" t="s">
        <v>3507</v>
      </c>
    </row>
    <row r="9125" spans="1:45" s="520" customFormat="1" ht="12">
      <c r="A9125" s="758"/>
      <c r="B9125" s="758"/>
      <c r="C9125" s="758"/>
      <c r="D9125" s="758"/>
      <c r="E9125" s="758"/>
      <c r="F9125" s="753"/>
      <c r="G9125" s="758"/>
      <c r="H9125" s="758"/>
      <c r="I9125" s="519"/>
      <c r="J9125" s="758"/>
      <c r="K9125" s="758"/>
      <c r="L9125" s="758"/>
      <c r="M9125" s="758"/>
      <c r="N9125" s="758"/>
      <c r="O9125" s="758"/>
      <c r="P9125" s="758"/>
      <c r="Q9125" s="519"/>
      <c r="R9125" s="759">
        <f>$A9125*Q9125</f>
        <v>0</v>
      </c>
      <c r="S9125" s="519"/>
      <c r="T9125" s="760">
        <f>$A9125*S9125*$T$1</f>
        <v>0</v>
      </c>
      <c r="AR9125" s="758"/>
      <c r="AS9125" s="753"/>
    </row>
    <row r="9126" spans="1:45" s="520" customFormat="1" ht="12.6" thickBot="1">
      <c r="A9126" s="761" t="s">
        <v>145</v>
      </c>
      <c r="B9126" s="762">
        <f>(R9125+T9125)</f>
        <v>0</v>
      </c>
      <c r="C9126" s="763"/>
      <c r="D9126" s="763"/>
      <c r="E9126" s="763"/>
      <c r="F9126" s="764"/>
      <c r="G9126" s="763" t="s">
        <v>146</v>
      </c>
      <c r="H9126" s="763"/>
      <c r="I9126" s="765"/>
      <c r="J9126" s="763"/>
      <c r="K9126" s="763" t="s">
        <v>5</v>
      </c>
      <c r="L9126" s="766" t="s">
        <v>143</v>
      </c>
      <c r="M9126" s="766"/>
      <c r="N9126" s="766"/>
      <c r="O9126" s="766"/>
      <c r="P9126" s="766"/>
      <c r="Q9126" s="767"/>
      <c r="R9126" s="768">
        <f>SUM(R9123:R9125)</f>
        <v>32.737499999999997</v>
      </c>
      <c r="S9126" s="763"/>
      <c r="T9126" s="768">
        <f>SUM(T9123:T9125)</f>
        <v>0</v>
      </c>
      <c r="U9126" s="531"/>
      <c r="V9126" s="531"/>
      <c r="W9126" s="531"/>
      <c r="X9126" s="531"/>
      <c r="Y9126" s="531"/>
      <c r="Z9126" s="531"/>
      <c r="AA9126" s="531"/>
      <c r="AB9126" s="531"/>
      <c r="AC9126" s="531"/>
      <c r="AD9126" s="531"/>
      <c r="AE9126" s="531"/>
      <c r="AF9126" s="531"/>
      <c r="AG9126" s="531"/>
      <c r="AH9126" s="531"/>
      <c r="AI9126" s="531"/>
      <c r="AJ9126" s="531"/>
      <c r="AK9126" s="531"/>
      <c r="AL9126" s="531"/>
      <c r="AM9126" s="531"/>
      <c r="AN9126" s="531"/>
      <c r="AO9126" s="531"/>
      <c r="AR9126" s="761" t="s">
        <v>145</v>
      </c>
      <c r="AS9126" s="764"/>
    </row>
    <row r="9127" spans="1:45" s="520" customFormat="1" ht="12" thickTop="1">
      <c r="A9127" s="51"/>
      <c r="B9127" s="41"/>
      <c r="C9127" s="51"/>
      <c r="E9127" s="42" t="s">
        <v>138</v>
      </c>
      <c r="F9127" s="42" t="s">
        <v>139</v>
      </c>
      <c r="G9127" s="51"/>
      <c r="H9127" s="51"/>
      <c r="I9127" s="51"/>
      <c r="J9127" s="51"/>
      <c r="K9127" s="51" t="s">
        <v>140</v>
      </c>
      <c r="L9127" s="51"/>
      <c r="M9127" s="51"/>
      <c r="N9127" s="51"/>
      <c r="O9127" s="52"/>
      <c r="P9127" s="51"/>
      <c r="Q9127" s="51"/>
      <c r="R9127" s="51"/>
      <c r="S9127" s="51"/>
      <c r="T9127" s="41"/>
      <c r="AG9127" s="521" t="s">
        <v>268</v>
      </c>
      <c r="AH9127" s="521" t="s">
        <v>269</v>
      </c>
      <c r="AI9127" s="521" t="s">
        <v>270</v>
      </c>
      <c r="AJ9127" s="521" t="s">
        <v>271</v>
      </c>
      <c r="AK9127" s="521" t="s">
        <v>272</v>
      </c>
      <c r="AM9127" s="745" t="s">
        <v>281</v>
      </c>
      <c r="AN9127" s="746" t="s">
        <v>282</v>
      </c>
      <c r="AO9127" s="522" t="s">
        <v>278</v>
      </c>
      <c r="AR9127" s="51"/>
      <c r="AS9127" s="42" t="s">
        <v>139</v>
      </c>
    </row>
    <row r="9128" spans="1:45" s="520" customFormat="1" ht="12" customHeight="1">
      <c r="A9128" s="747">
        <v>7</v>
      </c>
      <c r="B9128" s="523" t="s">
        <v>141</v>
      </c>
      <c r="C9128" s="748"/>
      <c r="D9128" s="749" t="s">
        <v>2412</v>
      </c>
      <c r="E9128" s="1145">
        <f>IF(AND($A9128=0,$A$1="DIF"),0, ROUND(ROUND(($R9132*$S$3+($T9132*$T$3))/$A9128,2)*$C$3,2))</f>
        <v>36.950000000000003</v>
      </c>
      <c r="F9128" s="1146">
        <f>ROUND($A9128*$E9128,2)</f>
        <v>258.64999999999998</v>
      </c>
      <c r="G9128" s="752" t="s">
        <v>142</v>
      </c>
      <c r="H9128" s="753"/>
      <c r="I9128" s="754"/>
      <c r="J9128" s="753"/>
      <c r="K9128" s="753" t="s">
        <v>5</v>
      </c>
      <c r="L9128" s="755" t="s">
        <v>143</v>
      </c>
      <c r="M9128" s="755"/>
      <c r="N9128" s="755"/>
      <c r="O9128" s="755"/>
      <c r="P9128" s="755"/>
      <c r="Q9128" s="51"/>
      <c r="T9128" s="1150" t="str">
        <f>IF(AND($R9132=0,$T9132=0),"0.00","mu: "&amp; ROUND(F9128/$C$3/($R9132+$T9132*$D$9),2))</f>
        <v>mu: 1.13</v>
      </c>
      <c r="W9128" s="524"/>
      <c r="AG9128" s="1147">
        <f>IF($E9128=0,0,ROUND($R9132*$S$3*$C$3/$A9128,2))</f>
        <v>36.950000000000003</v>
      </c>
      <c r="AH9128" s="1147">
        <f>$AG9128*$A9128</f>
        <v>258.65000000000003</v>
      </c>
      <c r="AI9128" s="1148">
        <f>$E9128-$AG9128</f>
        <v>0</v>
      </c>
      <c r="AJ9128" s="1148">
        <f>$A9128*$AI9128</f>
        <v>0</v>
      </c>
      <c r="AK9128" s="1149">
        <f>ROUND(($AG9128+$AI9128)*$A9128,2)</f>
        <v>258.64999999999998</v>
      </c>
      <c r="AM9128" s="527">
        <f>ROUND(R9132,2)</f>
        <v>229.16</v>
      </c>
      <c r="AN9128" s="528">
        <f>ROUND(T9132,2)</f>
        <v>0</v>
      </c>
      <c r="AO9128" s="529">
        <f>ROUND(AM9128+AN9128,2)*A9128</f>
        <v>1604.12</v>
      </c>
      <c r="AR9128" s="747">
        <v>7</v>
      </c>
      <c r="AS9128" s="1146">
        <v>281.47000000000003</v>
      </c>
    </row>
    <row r="9129" spans="1:45" s="520" customFormat="1" ht="13.2">
      <c r="A9129" s="748"/>
      <c r="B9129"/>
      <c r="C9129" s="748"/>
      <c r="D9129" s="749" t="s">
        <v>2061</v>
      </c>
      <c r="F9129" s="753"/>
      <c r="G9129" s="3"/>
      <c r="H9129" s="753"/>
      <c r="I9129" s="754"/>
      <c r="J9129" s="753"/>
      <c r="K9129" s="753" t="s">
        <v>144</v>
      </c>
      <c r="L9129" s="753"/>
      <c r="M9129" s="753"/>
      <c r="N9129" s="753"/>
      <c r="O9129" s="753"/>
      <c r="P9129" s="753"/>
      <c r="Q9129" s="51"/>
      <c r="R9129" s="530"/>
      <c r="S9129" s="757"/>
      <c r="T9129" s="753"/>
      <c r="AR9129" s="748"/>
      <c r="AS9129" s="753"/>
    </row>
    <row r="9130" spans="1:45" s="901" customFormat="1" ht="13.2">
      <c r="A9130" s="903">
        <v>7</v>
      </c>
      <c r="B9130" s="904" t="s">
        <v>863</v>
      </c>
      <c r="C9130" s="904"/>
      <c r="D9130" s="904" t="s">
        <v>2594</v>
      </c>
      <c r="E9130" s="904"/>
      <c r="F9130" s="904" t="s">
        <v>4128</v>
      </c>
      <c r="G9130" s="905" t="s">
        <v>2595</v>
      </c>
      <c r="H9130" s="902">
        <v>960</v>
      </c>
      <c r="I9130" s="904" t="s">
        <v>2596</v>
      </c>
      <c r="J9130" s="904"/>
      <c r="K9130" s="904"/>
      <c r="L9130" s="904"/>
      <c r="M9130" s="904"/>
      <c r="N9130" s="904"/>
      <c r="O9130" s="902">
        <v>4</v>
      </c>
      <c r="P9130" s="906">
        <v>38274</v>
      </c>
      <c r="Q9130" s="1415">
        <f>37.5*0.873</f>
        <v>32.737499999999997</v>
      </c>
      <c r="R9130" s="908">
        <f>$A9130*Q9130</f>
        <v>229.16249999999997</v>
      </c>
      <c r="S9130" s="907"/>
      <c r="T9130" s="909">
        <f>$A9130*S9130*$T$1</f>
        <v>0</v>
      </c>
      <c r="AR9130" s="903">
        <v>7</v>
      </c>
      <c r="AS9130" s="904" t="s">
        <v>3507</v>
      </c>
    </row>
    <row r="9131" spans="1:45" s="520" customFormat="1" ht="12">
      <c r="A9131" s="758"/>
      <c r="B9131" s="758"/>
      <c r="C9131" s="758"/>
      <c r="D9131" s="758"/>
      <c r="E9131" s="758"/>
      <c r="F9131" s="753"/>
      <c r="G9131" s="758"/>
      <c r="H9131" s="758"/>
      <c r="I9131" s="519"/>
      <c r="J9131" s="758"/>
      <c r="K9131" s="758"/>
      <c r="L9131" s="758"/>
      <c r="M9131" s="758"/>
      <c r="N9131" s="758"/>
      <c r="O9131" s="758"/>
      <c r="P9131" s="758"/>
      <c r="Q9131" s="519"/>
      <c r="R9131" s="759">
        <f>$A9131*Q9131</f>
        <v>0</v>
      </c>
      <c r="S9131" s="519"/>
      <c r="T9131" s="760">
        <f>$A9131*S9131*$T$1</f>
        <v>0</v>
      </c>
      <c r="AR9131" s="758"/>
      <c r="AS9131" s="753"/>
    </row>
    <row r="9132" spans="1:45" s="520" customFormat="1" ht="12.6" thickBot="1">
      <c r="A9132" s="761" t="s">
        <v>145</v>
      </c>
      <c r="B9132" s="762">
        <f>(R9131+T9131)</f>
        <v>0</v>
      </c>
      <c r="C9132" s="763"/>
      <c r="D9132" s="763"/>
      <c r="E9132" s="763"/>
      <c r="F9132" s="764"/>
      <c r="G9132" s="763" t="s">
        <v>146</v>
      </c>
      <c r="H9132" s="763"/>
      <c r="I9132" s="765"/>
      <c r="J9132" s="763"/>
      <c r="K9132" s="763" t="s">
        <v>5</v>
      </c>
      <c r="L9132" s="766" t="s">
        <v>143</v>
      </c>
      <c r="M9132" s="766"/>
      <c r="N9132" s="766"/>
      <c r="O9132" s="766"/>
      <c r="P9132" s="766"/>
      <c r="Q9132" s="767"/>
      <c r="R9132" s="768">
        <f>SUM(R9129:R9131)</f>
        <v>229.16249999999997</v>
      </c>
      <c r="S9132" s="763"/>
      <c r="T9132" s="768">
        <f>SUM(T9129:T9131)</f>
        <v>0</v>
      </c>
      <c r="U9132" s="531"/>
      <c r="V9132" s="531"/>
      <c r="W9132" s="531"/>
      <c r="X9132" s="531"/>
      <c r="Y9132" s="531"/>
      <c r="Z9132" s="531"/>
      <c r="AA9132" s="531"/>
      <c r="AB9132" s="531"/>
      <c r="AC9132" s="531"/>
      <c r="AD9132" s="531"/>
      <c r="AE9132" s="531"/>
      <c r="AF9132" s="531"/>
      <c r="AG9132" s="531"/>
      <c r="AH9132" s="531"/>
      <c r="AI9132" s="531"/>
      <c r="AJ9132" s="531"/>
      <c r="AK9132" s="531"/>
      <c r="AL9132" s="531"/>
      <c r="AM9132" s="531"/>
      <c r="AN9132" s="531"/>
      <c r="AO9132" s="531"/>
      <c r="AR9132" s="761" t="s">
        <v>145</v>
      </c>
      <c r="AS9132" s="764"/>
    </row>
    <row r="9133" spans="1:45" s="520" customFormat="1" ht="12" thickTop="1">
      <c r="A9133" s="51"/>
      <c r="B9133" s="41"/>
      <c r="C9133" s="51"/>
      <c r="E9133" s="42" t="s">
        <v>138</v>
      </c>
      <c r="F9133" s="42" t="s">
        <v>139</v>
      </c>
      <c r="G9133" s="51"/>
      <c r="H9133" s="51"/>
      <c r="I9133" s="51"/>
      <c r="J9133" s="51"/>
      <c r="K9133" s="51" t="s">
        <v>140</v>
      </c>
      <c r="L9133" s="51"/>
      <c r="M9133" s="51"/>
      <c r="N9133" s="51"/>
      <c r="O9133" s="52"/>
      <c r="P9133" s="51"/>
      <c r="Q9133" s="51"/>
      <c r="R9133" s="51"/>
      <c r="S9133" s="51"/>
      <c r="T9133" s="41"/>
      <c r="AG9133" s="521" t="s">
        <v>268</v>
      </c>
      <c r="AH9133" s="521" t="s">
        <v>269</v>
      </c>
      <c r="AI9133" s="521" t="s">
        <v>270</v>
      </c>
      <c r="AJ9133" s="521" t="s">
        <v>271</v>
      </c>
      <c r="AK9133" s="521" t="s">
        <v>272</v>
      </c>
      <c r="AM9133" s="745" t="s">
        <v>281</v>
      </c>
      <c r="AN9133" s="746" t="s">
        <v>282</v>
      </c>
      <c r="AO9133" s="522" t="s">
        <v>278</v>
      </c>
      <c r="AR9133" s="51"/>
      <c r="AS9133" s="42" t="s">
        <v>139</v>
      </c>
    </row>
    <row r="9134" spans="1:45" s="520" customFormat="1" ht="12" customHeight="1">
      <c r="A9134" s="747">
        <v>2</v>
      </c>
      <c r="B9134" s="523" t="s">
        <v>141</v>
      </c>
      <c r="C9134" s="748"/>
      <c r="D9134" s="749" t="s">
        <v>2413</v>
      </c>
      <c r="E9134" s="1145">
        <f>IF(AND($A9134=0,$A$1="DIF"),0, ROUND(ROUND(($R9138*$S$3+($T9138*$T$3))/$A9134,2)*$C$3,2))</f>
        <v>36.950000000000003</v>
      </c>
      <c r="F9134" s="1146">
        <f>ROUND($A9134*$E9134,2)</f>
        <v>73.900000000000006</v>
      </c>
      <c r="G9134" s="752" t="s">
        <v>142</v>
      </c>
      <c r="H9134" s="753"/>
      <c r="I9134" s="754"/>
      <c r="J9134" s="753"/>
      <c r="K9134" s="753" t="s">
        <v>5</v>
      </c>
      <c r="L9134" s="755" t="s">
        <v>143</v>
      </c>
      <c r="M9134" s="755"/>
      <c r="N9134" s="755"/>
      <c r="O9134" s="755"/>
      <c r="P9134" s="755"/>
      <c r="Q9134" s="51"/>
      <c r="T9134" s="1150" t="str">
        <f>IF(AND($R9138=0,$T9138=0),"0.00","mu: "&amp; ROUND(F9134/$C$3/($R9138+$T9138*$D$9),2))</f>
        <v>mu: 1.13</v>
      </c>
      <c r="W9134" s="524"/>
      <c r="AG9134" s="1147">
        <f>IF($E9134=0,0,ROUND($R9138*$S$3*$C$3/$A9134,2))</f>
        <v>36.950000000000003</v>
      </c>
      <c r="AH9134" s="1147">
        <f>$AG9134*$A9134</f>
        <v>73.900000000000006</v>
      </c>
      <c r="AI9134" s="1148">
        <f>$E9134-$AG9134</f>
        <v>0</v>
      </c>
      <c r="AJ9134" s="1148">
        <f>$A9134*$AI9134</f>
        <v>0</v>
      </c>
      <c r="AK9134" s="1149">
        <f>ROUND(($AG9134+$AI9134)*$A9134,2)</f>
        <v>73.900000000000006</v>
      </c>
      <c r="AM9134" s="527">
        <f>ROUND(R9138,2)</f>
        <v>65.48</v>
      </c>
      <c r="AN9134" s="528">
        <f>ROUND(T9138,2)</f>
        <v>0</v>
      </c>
      <c r="AO9134" s="529">
        <f>ROUND(AM9134+AN9134,2)*A9134</f>
        <v>130.96</v>
      </c>
      <c r="AR9134" s="747">
        <v>2</v>
      </c>
      <c r="AS9134" s="1146">
        <v>80.42</v>
      </c>
    </row>
    <row r="9135" spans="1:45" s="520" customFormat="1" ht="13.2">
      <c r="A9135" s="748"/>
      <c r="B9135"/>
      <c r="C9135" s="748"/>
      <c r="D9135" s="749" t="s">
        <v>2062</v>
      </c>
      <c r="F9135" s="753"/>
      <c r="G9135" s="3"/>
      <c r="H9135" s="753"/>
      <c r="I9135" s="754"/>
      <c r="J9135" s="753"/>
      <c r="K9135" s="753" t="s">
        <v>144</v>
      </c>
      <c r="L9135" s="753"/>
      <c r="M9135" s="753"/>
      <c r="N9135" s="753"/>
      <c r="O9135" s="753"/>
      <c r="P9135" s="753"/>
      <c r="Q9135" s="51"/>
      <c r="R9135" s="530"/>
      <c r="S9135" s="757"/>
      <c r="T9135" s="753"/>
      <c r="AR9135" s="748"/>
      <c r="AS9135" s="753"/>
    </row>
    <row r="9136" spans="1:45" s="901" customFormat="1" ht="13.2">
      <c r="A9136" s="903">
        <v>2</v>
      </c>
      <c r="B9136" s="904" t="s">
        <v>863</v>
      </c>
      <c r="C9136" s="904"/>
      <c r="D9136" s="904" t="s">
        <v>2594</v>
      </c>
      <c r="E9136" s="904"/>
      <c r="F9136" s="904" t="s">
        <v>4128</v>
      </c>
      <c r="G9136" s="905" t="s">
        <v>2595</v>
      </c>
      <c r="H9136" s="902">
        <v>960</v>
      </c>
      <c r="I9136" s="904" t="s">
        <v>2596</v>
      </c>
      <c r="J9136" s="904"/>
      <c r="K9136" s="904"/>
      <c r="L9136" s="904"/>
      <c r="M9136" s="904"/>
      <c r="N9136" s="904"/>
      <c r="O9136" s="902">
        <v>4</v>
      </c>
      <c r="P9136" s="906">
        <v>38274</v>
      </c>
      <c r="Q9136" s="1415">
        <f>37.5*0.873</f>
        <v>32.737499999999997</v>
      </c>
      <c r="R9136" s="908">
        <f>$A9136*Q9136</f>
        <v>65.474999999999994</v>
      </c>
      <c r="S9136" s="907"/>
      <c r="T9136" s="909">
        <f>$A9136*S9136*$T$1</f>
        <v>0</v>
      </c>
      <c r="AR9136" s="903">
        <v>2</v>
      </c>
      <c r="AS9136" s="904" t="s">
        <v>3507</v>
      </c>
    </row>
    <row r="9137" spans="1:45" s="520" customFormat="1" ht="12">
      <c r="A9137" s="758"/>
      <c r="B9137" s="758"/>
      <c r="C9137" s="758"/>
      <c r="D9137" s="758"/>
      <c r="E9137" s="758"/>
      <c r="F9137" s="753"/>
      <c r="G9137" s="758"/>
      <c r="H9137" s="758"/>
      <c r="I9137" s="519"/>
      <c r="J9137" s="758"/>
      <c r="K9137" s="758"/>
      <c r="L9137" s="758"/>
      <c r="M9137" s="758"/>
      <c r="N9137" s="758"/>
      <c r="O9137" s="758"/>
      <c r="P9137" s="758"/>
      <c r="Q9137" s="519"/>
      <c r="R9137" s="759">
        <f>$A9137*Q9137</f>
        <v>0</v>
      </c>
      <c r="S9137" s="519"/>
      <c r="T9137" s="760">
        <f>$A9137*S9137*$T$1</f>
        <v>0</v>
      </c>
      <c r="AR9137" s="758"/>
      <c r="AS9137" s="753"/>
    </row>
    <row r="9138" spans="1:45" s="520" customFormat="1" ht="12.6" thickBot="1">
      <c r="A9138" s="761" t="s">
        <v>145</v>
      </c>
      <c r="B9138" s="762">
        <f>(R9137+T9137)</f>
        <v>0</v>
      </c>
      <c r="C9138" s="763"/>
      <c r="D9138" s="763"/>
      <c r="E9138" s="763"/>
      <c r="F9138" s="764"/>
      <c r="G9138" s="763" t="s">
        <v>146</v>
      </c>
      <c r="H9138" s="763"/>
      <c r="I9138" s="765"/>
      <c r="J9138" s="763"/>
      <c r="K9138" s="763" t="s">
        <v>5</v>
      </c>
      <c r="L9138" s="766" t="s">
        <v>143</v>
      </c>
      <c r="M9138" s="766"/>
      <c r="N9138" s="766"/>
      <c r="O9138" s="766"/>
      <c r="P9138" s="766"/>
      <c r="Q9138" s="767"/>
      <c r="R9138" s="768">
        <f>SUM(R9135:R9137)</f>
        <v>65.474999999999994</v>
      </c>
      <c r="S9138" s="763"/>
      <c r="T9138" s="768">
        <f>SUM(T9135:T9137)</f>
        <v>0</v>
      </c>
      <c r="U9138" s="531"/>
      <c r="V9138" s="531"/>
      <c r="W9138" s="531"/>
      <c r="X9138" s="531"/>
      <c r="Y9138" s="531"/>
      <c r="Z9138" s="531"/>
      <c r="AA9138" s="531"/>
      <c r="AB9138" s="531"/>
      <c r="AC9138" s="531"/>
      <c r="AD9138" s="531"/>
      <c r="AE9138" s="531"/>
      <c r="AF9138" s="531"/>
      <c r="AG9138" s="531"/>
      <c r="AH9138" s="531"/>
      <c r="AI9138" s="531"/>
      <c r="AJ9138" s="531"/>
      <c r="AK9138" s="531"/>
      <c r="AL9138" s="531"/>
      <c r="AM9138" s="531"/>
      <c r="AN9138" s="531"/>
      <c r="AO9138" s="531"/>
      <c r="AR9138" s="761" t="s">
        <v>145</v>
      </c>
      <c r="AS9138" s="764"/>
    </row>
    <row r="9139" spans="1:45" s="520" customFormat="1" ht="12" thickTop="1">
      <c r="A9139" s="51"/>
      <c r="B9139" s="41"/>
      <c r="C9139" s="51"/>
      <c r="E9139" s="42" t="s">
        <v>138</v>
      </c>
      <c r="F9139" s="42" t="s">
        <v>139</v>
      </c>
      <c r="G9139" s="51"/>
      <c r="H9139" s="51"/>
      <c r="I9139" s="51"/>
      <c r="J9139" s="51"/>
      <c r="K9139" s="51" t="s">
        <v>140</v>
      </c>
      <c r="L9139" s="51"/>
      <c r="M9139" s="51"/>
      <c r="N9139" s="51"/>
      <c r="O9139" s="52"/>
      <c r="P9139" s="51"/>
      <c r="Q9139" s="51"/>
      <c r="R9139" s="51"/>
      <c r="S9139" s="51"/>
      <c r="T9139" s="41"/>
      <c r="AG9139" s="521" t="s">
        <v>268</v>
      </c>
      <c r="AH9139" s="521" t="s">
        <v>269</v>
      </c>
      <c r="AI9139" s="521" t="s">
        <v>270</v>
      </c>
      <c r="AJ9139" s="521" t="s">
        <v>271</v>
      </c>
      <c r="AK9139" s="521" t="s">
        <v>272</v>
      </c>
      <c r="AM9139" s="745" t="s">
        <v>281</v>
      </c>
      <c r="AN9139" s="746" t="s">
        <v>282</v>
      </c>
      <c r="AO9139" s="522" t="s">
        <v>278</v>
      </c>
      <c r="AR9139" s="51"/>
      <c r="AS9139" s="42" t="s">
        <v>139</v>
      </c>
    </row>
    <row r="9140" spans="1:45" s="520" customFormat="1" ht="12" customHeight="1">
      <c r="A9140" s="747">
        <v>1</v>
      </c>
      <c r="B9140" s="523" t="s">
        <v>141</v>
      </c>
      <c r="C9140" s="748"/>
      <c r="D9140" s="749" t="s">
        <v>2414</v>
      </c>
      <c r="E9140" s="1145">
        <f>IF(AND($A9140=0,$A$1="DIF"),0, ROUND(ROUND(($R9144*$S$3+($T9144*$T$3))/$A9140,2)*$C$3,2))</f>
        <v>36.950000000000003</v>
      </c>
      <c r="F9140" s="1146">
        <f>ROUND($A9140*$E9140,2)</f>
        <v>36.950000000000003</v>
      </c>
      <c r="G9140" s="752" t="s">
        <v>142</v>
      </c>
      <c r="H9140" s="753"/>
      <c r="I9140" s="754"/>
      <c r="J9140" s="753"/>
      <c r="K9140" s="753" t="s">
        <v>5</v>
      </c>
      <c r="L9140" s="755" t="s">
        <v>143</v>
      </c>
      <c r="M9140" s="755"/>
      <c r="N9140" s="755"/>
      <c r="O9140" s="755"/>
      <c r="P9140" s="755"/>
      <c r="Q9140" s="51"/>
      <c r="T9140" s="1150" t="str">
        <f>IF(AND($R9144=0,$T9144=0),"0.00","mu: "&amp; ROUND(F9140/$C$3/($R9144+$T9144*$D$9),2))</f>
        <v>mu: 1.13</v>
      </c>
      <c r="W9140" s="524"/>
      <c r="AG9140" s="1147">
        <f>IF($E9140=0,0,ROUND($R9144*$S$3*$C$3/$A9140,2))</f>
        <v>36.950000000000003</v>
      </c>
      <c r="AH9140" s="1147">
        <f>$AG9140*$A9140</f>
        <v>36.950000000000003</v>
      </c>
      <c r="AI9140" s="1148">
        <f>$E9140-$AG9140</f>
        <v>0</v>
      </c>
      <c r="AJ9140" s="1148">
        <f>$A9140*$AI9140</f>
        <v>0</v>
      </c>
      <c r="AK9140" s="1149">
        <f>ROUND(($AG9140+$AI9140)*$A9140,2)</f>
        <v>36.950000000000003</v>
      </c>
      <c r="AM9140" s="527">
        <f>ROUND(R9144,2)</f>
        <v>32.74</v>
      </c>
      <c r="AN9140" s="528">
        <f>ROUND(T9144,2)</f>
        <v>0</v>
      </c>
      <c r="AO9140" s="529">
        <f>ROUND(AM9140+AN9140,2)*A9140</f>
        <v>32.74</v>
      </c>
      <c r="AR9140" s="747">
        <v>1</v>
      </c>
      <c r="AS9140" s="1146">
        <v>40.21</v>
      </c>
    </row>
    <row r="9141" spans="1:45" s="520" customFormat="1" ht="13.2">
      <c r="A9141" s="748"/>
      <c r="B9141"/>
      <c r="C9141" s="748"/>
      <c r="D9141" s="749" t="s">
        <v>2065</v>
      </c>
      <c r="F9141" s="753"/>
      <c r="G9141" s="3"/>
      <c r="H9141" s="753"/>
      <c r="I9141" s="754"/>
      <c r="J9141" s="753"/>
      <c r="K9141" s="753" t="s">
        <v>144</v>
      </c>
      <c r="L9141" s="753"/>
      <c r="M9141" s="753"/>
      <c r="N9141" s="753"/>
      <c r="O9141" s="753"/>
      <c r="P9141" s="753"/>
      <c r="Q9141" s="51"/>
      <c r="R9141" s="530"/>
      <c r="S9141" s="757"/>
      <c r="T9141" s="753"/>
      <c r="AR9141" s="748"/>
      <c r="AS9141" s="753"/>
    </row>
    <row r="9142" spans="1:45" s="901" customFormat="1" ht="13.2">
      <c r="A9142" s="903">
        <v>1</v>
      </c>
      <c r="B9142" s="904" t="s">
        <v>863</v>
      </c>
      <c r="C9142" s="904"/>
      <c r="D9142" s="904" t="s">
        <v>2594</v>
      </c>
      <c r="E9142" s="904"/>
      <c r="F9142" s="904" t="s">
        <v>4128</v>
      </c>
      <c r="G9142" s="905" t="s">
        <v>2595</v>
      </c>
      <c r="H9142" s="902">
        <v>960</v>
      </c>
      <c r="I9142" s="904" t="s">
        <v>2596</v>
      </c>
      <c r="J9142" s="904"/>
      <c r="K9142" s="904"/>
      <c r="L9142" s="904"/>
      <c r="M9142" s="904"/>
      <c r="N9142" s="904"/>
      <c r="O9142" s="902">
        <v>4</v>
      </c>
      <c r="P9142" s="906">
        <v>38274</v>
      </c>
      <c r="Q9142" s="1415">
        <f>37.5*0.873</f>
        <v>32.737499999999997</v>
      </c>
      <c r="R9142" s="908">
        <f>$A9142*Q9142</f>
        <v>32.737499999999997</v>
      </c>
      <c r="S9142" s="907"/>
      <c r="T9142" s="909">
        <f>$A9142*S9142*$T$1</f>
        <v>0</v>
      </c>
      <c r="AR9142" s="903">
        <v>1</v>
      </c>
      <c r="AS9142" s="904" t="s">
        <v>3507</v>
      </c>
    </row>
    <row r="9143" spans="1:45" s="520" customFormat="1" ht="12">
      <c r="A9143" s="758"/>
      <c r="B9143" s="758"/>
      <c r="C9143" s="758"/>
      <c r="D9143" s="758"/>
      <c r="E9143" s="758"/>
      <c r="F9143" s="753"/>
      <c r="G9143" s="758"/>
      <c r="H9143" s="758"/>
      <c r="I9143" s="519"/>
      <c r="J9143" s="758"/>
      <c r="K9143" s="758"/>
      <c r="L9143" s="758"/>
      <c r="M9143" s="758"/>
      <c r="N9143" s="758"/>
      <c r="O9143" s="758"/>
      <c r="P9143" s="758"/>
      <c r="Q9143" s="519"/>
      <c r="R9143" s="759">
        <f>$A9143*Q9143</f>
        <v>0</v>
      </c>
      <c r="S9143" s="519"/>
      <c r="T9143" s="760">
        <f>$A9143*S9143*$T$1</f>
        <v>0</v>
      </c>
      <c r="AR9143" s="758"/>
      <c r="AS9143" s="753"/>
    </row>
    <row r="9144" spans="1:45" s="520" customFormat="1" ht="12.6" thickBot="1">
      <c r="A9144" s="761" t="s">
        <v>145</v>
      </c>
      <c r="B9144" s="762">
        <f>(R9143+T9143)</f>
        <v>0</v>
      </c>
      <c r="C9144" s="763"/>
      <c r="D9144" s="763"/>
      <c r="E9144" s="763"/>
      <c r="F9144" s="764"/>
      <c r="G9144" s="763" t="s">
        <v>146</v>
      </c>
      <c r="H9144" s="763"/>
      <c r="I9144" s="765"/>
      <c r="J9144" s="763"/>
      <c r="K9144" s="763" t="s">
        <v>5</v>
      </c>
      <c r="L9144" s="766" t="s">
        <v>143</v>
      </c>
      <c r="M9144" s="766"/>
      <c r="N9144" s="766"/>
      <c r="O9144" s="766"/>
      <c r="P9144" s="766"/>
      <c r="Q9144" s="767"/>
      <c r="R9144" s="768">
        <f>SUM(R9141:R9143)</f>
        <v>32.737499999999997</v>
      </c>
      <c r="S9144" s="763"/>
      <c r="T9144" s="768">
        <f>SUM(T9141:T9143)</f>
        <v>0</v>
      </c>
      <c r="U9144" s="531"/>
      <c r="V9144" s="531"/>
      <c r="W9144" s="531"/>
      <c r="X9144" s="531"/>
      <c r="Y9144" s="531"/>
      <c r="Z9144" s="531"/>
      <c r="AA9144" s="531"/>
      <c r="AB9144" s="531"/>
      <c r="AC9144" s="531"/>
      <c r="AD9144" s="531"/>
      <c r="AE9144" s="531"/>
      <c r="AF9144" s="531"/>
      <c r="AG9144" s="531"/>
      <c r="AH9144" s="531"/>
      <c r="AI9144" s="531"/>
      <c r="AJ9144" s="531"/>
      <c r="AK9144" s="531"/>
      <c r="AL9144" s="531"/>
      <c r="AM9144" s="531"/>
      <c r="AN9144" s="531"/>
      <c r="AO9144" s="531"/>
      <c r="AR9144" s="761" t="s">
        <v>145</v>
      </c>
      <c r="AS9144" s="764"/>
    </row>
    <row r="9145" spans="1:45" s="520" customFormat="1" ht="12" thickTop="1">
      <c r="A9145" s="51"/>
      <c r="B9145" s="41"/>
      <c r="C9145" s="51"/>
      <c r="E9145" s="42" t="s">
        <v>138</v>
      </c>
      <c r="F9145" s="42" t="s">
        <v>139</v>
      </c>
      <c r="G9145" s="51"/>
      <c r="H9145" s="51"/>
      <c r="I9145" s="51"/>
      <c r="J9145" s="51"/>
      <c r="K9145" s="51" t="s">
        <v>140</v>
      </c>
      <c r="L9145" s="51"/>
      <c r="M9145" s="51"/>
      <c r="N9145" s="51"/>
      <c r="O9145" s="52"/>
      <c r="P9145" s="51"/>
      <c r="Q9145" s="51"/>
      <c r="R9145" s="51"/>
      <c r="S9145" s="51"/>
      <c r="T9145" s="41"/>
      <c r="AG9145" s="521" t="s">
        <v>268</v>
      </c>
      <c r="AH9145" s="521" t="s">
        <v>269</v>
      </c>
      <c r="AI9145" s="521" t="s">
        <v>270</v>
      </c>
      <c r="AJ9145" s="521" t="s">
        <v>271</v>
      </c>
      <c r="AK9145" s="521" t="s">
        <v>272</v>
      </c>
      <c r="AM9145" s="745" t="s">
        <v>281</v>
      </c>
      <c r="AN9145" s="746" t="s">
        <v>282</v>
      </c>
      <c r="AO9145" s="522" t="s">
        <v>278</v>
      </c>
      <c r="AR9145" s="51"/>
      <c r="AS9145" s="42" t="s">
        <v>139</v>
      </c>
    </row>
    <row r="9146" spans="1:45" s="520" customFormat="1" ht="12" customHeight="1">
      <c r="A9146" s="747">
        <v>1</v>
      </c>
      <c r="B9146" s="523" t="s">
        <v>141</v>
      </c>
      <c r="C9146" s="748"/>
      <c r="D9146" s="749" t="s">
        <v>2415</v>
      </c>
      <c r="E9146" s="1145">
        <f>IF(AND($A9146=0,$A$1="DIF"),0, ROUND(ROUND(($R9150*$S$3+($T9150*$T$3))/$A9146,2)*$C$3,2))</f>
        <v>36.950000000000003</v>
      </c>
      <c r="F9146" s="1146">
        <f>ROUND($A9146*$E9146,2)</f>
        <v>36.950000000000003</v>
      </c>
      <c r="G9146" s="752" t="s">
        <v>142</v>
      </c>
      <c r="H9146" s="753"/>
      <c r="I9146" s="754"/>
      <c r="J9146" s="753"/>
      <c r="K9146" s="753" t="s">
        <v>5</v>
      </c>
      <c r="L9146" s="755" t="s">
        <v>143</v>
      </c>
      <c r="M9146" s="755"/>
      <c r="N9146" s="755"/>
      <c r="O9146" s="755"/>
      <c r="P9146" s="755"/>
      <c r="Q9146" s="51"/>
      <c r="T9146" s="1150" t="str">
        <f>IF(AND($R9150=0,$T9150=0),"0.00","mu: "&amp; ROUND(F9146/$C$3/($R9150+$T9150*$D$9),2))</f>
        <v>mu: 1.13</v>
      </c>
      <c r="W9146" s="524"/>
      <c r="AG9146" s="1147">
        <f>IF($E9146=0,0,ROUND($R9150*$S$3*$C$3/$A9146,2))</f>
        <v>36.950000000000003</v>
      </c>
      <c r="AH9146" s="1147">
        <f>$AG9146*$A9146</f>
        <v>36.950000000000003</v>
      </c>
      <c r="AI9146" s="1148">
        <f>$E9146-$AG9146</f>
        <v>0</v>
      </c>
      <c r="AJ9146" s="1148">
        <f>$A9146*$AI9146</f>
        <v>0</v>
      </c>
      <c r="AK9146" s="1149">
        <f>ROUND(($AG9146+$AI9146)*$A9146,2)</f>
        <v>36.950000000000003</v>
      </c>
      <c r="AM9146" s="527">
        <f>ROUND(R9150,2)</f>
        <v>32.74</v>
      </c>
      <c r="AN9146" s="528">
        <f>ROUND(T9150,2)</f>
        <v>0</v>
      </c>
      <c r="AO9146" s="529">
        <f>ROUND(AM9146+AN9146,2)*A9146</f>
        <v>32.74</v>
      </c>
      <c r="AR9146" s="747">
        <v>1</v>
      </c>
      <c r="AS9146" s="1146">
        <v>40.21</v>
      </c>
    </row>
    <row r="9147" spans="1:45" s="520" customFormat="1" ht="13.2">
      <c r="A9147" s="748"/>
      <c r="B9147"/>
      <c r="C9147" s="748"/>
      <c r="D9147" s="749" t="s">
        <v>2068</v>
      </c>
      <c r="F9147" s="753"/>
      <c r="G9147" s="3"/>
      <c r="H9147" s="753"/>
      <c r="I9147" s="754"/>
      <c r="J9147" s="753"/>
      <c r="K9147" s="753" t="s">
        <v>144</v>
      </c>
      <c r="L9147" s="753"/>
      <c r="M9147" s="753"/>
      <c r="N9147" s="753"/>
      <c r="O9147" s="753"/>
      <c r="P9147" s="753"/>
      <c r="Q9147" s="51"/>
      <c r="R9147" s="530"/>
      <c r="S9147" s="757"/>
      <c r="T9147" s="753"/>
      <c r="AR9147" s="748"/>
      <c r="AS9147" s="753"/>
    </row>
    <row r="9148" spans="1:45" s="901" customFormat="1" ht="13.2">
      <c r="A9148" s="903">
        <v>1</v>
      </c>
      <c r="B9148" s="904" t="s">
        <v>863</v>
      </c>
      <c r="C9148" s="904"/>
      <c r="D9148" s="904" t="s">
        <v>2594</v>
      </c>
      <c r="E9148" s="904"/>
      <c r="F9148" s="904" t="s">
        <v>4128</v>
      </c>
      <c r="G9148" s="905" t="s">
        <v>2595</v>
      </c>
      <c r="H9148" s="902">
        <v>960</v>
      </c>
      <c r="I9148" s="904" t="s">
        <v>2596</v>
      </c>
      <c r="J9148" s="904"/>
      <c r="K9148" s="904"/>
      <c r="L9148" s="904"/>
      <c r="M9148" s="904"/>
      <c r="N9148" s="904"/>
      <c r="O9148" s="902">
        <v>4</v>
      </c>
      <c r="P9148" s="906">
        <v>38274</v>
      </c>
      <c r="Q9148" s="1415">
        <f>37.5*0.873</f>
        <v>32.737499999999997</v>
      </c>
      <c r="R9148" s="908">
        <f>$A9148*Q9148</f>
        <v>32.737499999999997</v>
      </c>
      <c r="S9148" s="907"/>
      <c r="T9148" s="909">
        <f>$A9148*S9148*$T$1</f>
        <v>0</v>
      </c>
      <c r="AR9148" s="903">
        <v>1</v>
      </c>
      <c r="AS9148" s="904" t="s">
        <v>3507</v>
      </c>
    </row>
    <row r="9149" spans="1:45" s="520" customFormat="1" ht="12">
      <c r="A9149" s="758"/>
      <c r="B9149" s="758"/>
      <c r="C9149" s="758"/>
      <c r="D9149" s="758"/>
      <c r="E9149" s="758"/>
      <c r="F9149" s="753"/>
      <c r="G9149" s="758"/>
      <c r="H9149" s="758"/>
      <c r="I9149" s="519"/>
      <c r="J9149" s="758"/>
      <c r="K9149" s="758"/>
      <c r="L9149" s="758"/>
      <c r="M9149" s="758"/>
      <c r="N9149" s="758"/>
      <c r="O9149" s="758"/>
      <c r="P9149" s="758"/>
      <c r="Q9149" s="519"/>
      <c r="R9149" s="759">
        <f>$A9149*Q9149</f>
        <v>0</v>
      </c>
      <c r="S9149" s="519"/>
      <c r="T9149" s="760">
        <f>$A9149*S9149*$T$1</f>
        <v>0</v>
      </c>
      <c r="AR9149" s="758"/>
      <c r="AS9149" s="753"/>
    </row>
    <row r="9150" spans="1:45" s="520" customFormat="1" ht="12.6" thickBot="1">
      <c r="A9150" s="761" t="s">
        <v>145</v>
      </c>
      <c r="B9150" s="762">
        <f>(R9149+T9149)</f>
        <v>0</v>
      </c>
      <c r="C9150" s="763"/>
      <c r="D9150" s="763"/>
      <c r="E9150" s="763"/>
      <c r="F9150" s="764"/>
      <c r="G9150" s="763" t="s">
        <v>146</v>
      </c>
      <c r="H9150" s="763"/>
      <c r="I9150" s="765"/>
      <c r="J9150" s="763"/>
      <c r="K9150" s="763" t="s">
        <v>5</v>
      </c>
      <c r="L9150" s="766" t="s">
        <v>143</v>
      </c>
      <c r="M9150" s="766"/>
      <c r="N9150" s="766"/>
      <c r="O9150" s="766"/>
      <c r="P9150" s="766"/>
      <c r="Q9150" s="767"/>
      <c r="R9150" s="768">
        <f>SUM(R9147:R9149)</f>
        <v>32.737499999999997</v>
      </c>
      <c r="S9150" s="763"/>
      <c r="T9150" s="768">
        <f>SUM(T9147:T9149)</f>
        <v>0</v>
      </c>
      <c r="U9150" s="531"/>
      <c r="V9150" s="531"/>
      <c r="W9150" s="531"/>
      <c r="X9150" s="531"/>
      <c r="Y9150" s="531"/>
      <c r="Z9150" s="531"/>
      <c r="AA9150" s="531"/>
      <c r="AB9150" s="531"/>
      <c r="AC9150" s="531"/>
      <c r="AD9150" s="531"/>
      <c r="AE9150" s="531"/>
      <c r="AF9150" s="531"/>
      <c r="AG9150" s="531"/>
      <c r="AH9150" s="531"/>
      <c r="AI9150" s="531"/>
      <c r="AJ9150" s="531"/>
      <c r="AK9150" s="531"/>
      <c r="AL9150" s="531"/>
      <c r="AM9150" s="531"/>
      <c r="AN9150" s="531"/>
      <c r="AO9150" s="531"/>
      <c r="AR9150" s="761" t="s">
        <v>145</v>
      </c>
      <c r="AS9150" s="764"/>
    </row>
    <row r="9151" spans="1:45" s="520" customFormat="1" thickTop="1">
      <c r="A9151" s="51"/>
      <c r="B9151" s="51"/>
      <c r="C9151" s="3"/>
      <c r="D9151" s="3"/>
      <c r="E9151" s="51"/>
      <c r="F9151" s="51"/>
      <c r="G9151" s="51"/>
      <c r="H9151" s="51"/>
      <c r="I9151" s="51"/>
      <c r="J9151" s="51"/>
      <c r="K9151" s="51" t="s">
        <v>134</v>
      </c>
      <c r="L9151" s="51"/>
      <c r="M9151" s="51"/>
      <c r="N9151" s="51"/>
      <c r="O9151" s="52"/>
      <c r="P9151" s="51"/>
      <c r="Q9151" s="51"/>
      <c r="R9151" s="51"/>
      <c r="S9151" s="51"/>
      <c r="T9151" s="51"/>
      <c r="AR9151" s="51"/>
      <c r="AS9151" s="51"/>
    </row>
    <row r="9152" spans="1:45" s="520" customFormat="1" ht="12">
      <c r="A9152" s="51"/>
      <c r="B9152" s="51"/>
      <c r="C9152" s="51" t="s">
        <v>135</v>
      </c>
      <c r="D9152" s="37"/>
      <c r="E9152" s="51"/>
      <c r="F9152" s="51"/>
      <c r="G9152" s="51"/>
      <c r="H9152" s="51"/>
      <c r="I9152" s="51"/>
      <c r="J9152" s="51"/>
      <c r="K9152" s="51"/>
      <c r="L9152" s="51"/>
      <c r="M9152" s="51"/>
      <c r="N9152" s="51"/>
      <c r="O9152" s="52"/>
      <c r="P9152" s="51"/>
      <c r="Q9152" s="51"/>
      <c r="R9152" s="51"/>
      <c r="S9152" s="51"/>
      <c r="T9152" s="51"/>
      <c r="AR9152" s="51"/>
      <c r="AS9152" s="51"/>
    </row>
    <row r="9153" spans="1:45" s="520" customFormat="1" ht="12">
      <c r="A9153" s="51"/>
      <c r="B9153" s="51"/>
      <c r="C9153" s="51"/>
      <c r="D9153" s="37" t="s">
        <v>2070</v>
      </c>
      <c r="E9153" s="51"/>
      <c r="F9153" s="51"/>
      <c r="G9153" s="51"/>
      <c r="H9153" s="51"/>
      <c r="I9153" s="51"/>
      <c r="J9153" s="51"/>
      <c r="K9153" s="51"/>
      <c r="L9153" s="51"/>
      <c r="M9153" s="51"/>
      <c r="N9153" s="51"/>
      <c r="O9153" s="52"/>
      <c r="P9153" s="51"/>
      <c r="Q9153" s="51"/>
      <c r="R9153" s="51"/>
      <c r="S9153" s="38"/>
      <c r="T9153" s="38"/>
      <c r="AR9153" s="51"/>
      <c r="AS9153" s="51"/>
    </row>
    <row r="9154" spans="1:45" s="3" customFormat="1" thickBot="1">
      <c r="A9154" s="531"/>
      <c r="O9154" s="107"/>
      <c r="AR9154" s="531"/>
    </row>
    <row r="9155" spans="1:45" s="520" customFormat="1" ht="12" thickTop="1">
      <c r="A9155" s="51"/>
      <c r="B9155" s="41"/>
      <c r="C9155" s="51"/>
      <c r="E9155" s="42" t="s">
        <v>138</v>
      </c>
      <c r="F9155" s="42" t="s">
        <v>139</v>
      </c>
      <c r="G9155" s="51"/>
      <c r="H9155" s="51"/>
      <c r="I9155" s="51"/>
      <c r="J9155" s="51"/>
      <c r="K9155" s="51" t="s">
        <v>140</v>
      </c>
      <c r="L9155" s="51"/>
      <c r="M9155" s="51"/>
      <c r="N9155" s="51"/>
      <c r="O9155" s="52"/>
      <c r="P9155" s="51"/>
      <c r="Q9155" s="51"/>
      <c r="R9155" s="51"/>
      <c r="S9155" s="51"/>
      <c r="T9155" s="41"/>
      <c r="AG9155" s="521" t="s">
        <v>268</v>
      </c>
      <c r="AH9155" s="521" t="s">
        <v>269</v>
      </c>
      <c r="AI9155" s="521" t="s">
        <v>270</v>
      </c>
      <c r="AJ9155" s="521" t="s">
        <v>271</v>
      </c>
      <c r="AK9155" s="521" t="s">
        <v>272</v>
      </c>
      <c r="AM9155" s="745" t="s">
        <v>281</v>
      </c>
      <c r="AN9155" s="746" t="s">
        <v>282</v>
      </c>
      <c r="AO9155" s="522" t="s">
        <v>278</v>
      </c>
      <c r="AR9155" s="51"/>
      <c r="AS9155" s="42" t="s">
        <v>139</v>
      </c>
    </row>
    <row r="9156" spans="1:45" s="520" customFormat="1" ht="12" customHeight="1">
      <c r="A9156" s="747">
        <v>1</v>
      </c>
      <c r="B9156" s="523" t="s">
        <v>141</v>
      </c>
      <c r="C9156" s="748"/>
      <c r="D9156" s="749" t="s">
        <v>2416</v>
      </c>
      <c r="E9156" s="1145">
        <f>IF(AND($A9156=0,$A$1="DIF"),0, ROUND(ROUND(($R9160*$S$3+($T9160*$T$3))/$A9156,2)*$C$3,2))</f>
        <v>51.24</v>
      </c>
      <c r="F9156" s="1146">
        <f>ROUND($A9156*$E9156,2)</f>
        <v>51.24</v>
      </c>
      <c r="G9156" s="752" t="s">
        <v>142</v>
      </c>
      <c r="H9156" s="753"/>
      <c r="I9156" s="754"/>
      <c r="J9156" s="753"/>
      <c r="K9156" s="753" t="s">
        <v>5</v>
      </c>
      <c r="L9156" s="755" t="s">
        <v>143</v>
      </c>
      <c r="M9156" s="755"/>
      <c r="N9156" s="755"/>
      <c r="O9156" s="755"/>
      <c r="P9156" s="755"/>
      <c r="Q9156" s="51"/>
      <c r="T9156" s="1150" t="str">
        <f>IF(AND($R9160=0,$T9160=0),"0.00","mu: "&amp; ROUND(F9156/$C$3/($R9160+$T9160*$D$9),2))</f>
        <v>mu: 1.13</v>
      </c>
      <c r="W9156" s="524"/>
      <c r="AG9156" s="1147">
        <f>IF($E9156=0,0,ROUND($R9160*$S$3*$C$3/$A9156,2))</f>
        <v>51.24</v>
      </c>
      <c r="AH9156" s="1147">
        <f>$AG9156*$A9156</f>
        <v>51.24</v>
      </c>
      <c r="AI9156" s="1148">
        <f>$E9156-$AG9156</f>
        <v>0</v>
      </c>
      <c r="AJ9156" s="1148">
        <f>$A9156*$AI9156</f>
        <v>0</v>
      </c>
      <c r="AK9156" s="1149">
        <f>ROUND(($AG9156+$AI9156)*$A9156,2)</f>
        <v>51.24</v>
      </c>
      <c r="AM9156" s="527">
        <f>ROUND(R9160,2)</f>
        <v>45.4</v>
      </c>
      <c r="AN9156" s="528">
        <f>ROUND(T9160,2)</f>
        <v>0</v>
      </c>
      <c r="AO9156" s="529">
        <f>ROUND(AM9156+AN9156,2)*A9156</f>
        <v>45.4</v>
      </c>
      <c r="AR9156" s="747">
        <v>1</v>
      </c>
      <c r="AS9156" s="1146">
        <v>55.76</v>
      </c>
    </row>
    <row r="9157" spans="1:45" s="520" customFormat="1" ht="13.2">
      <c r="A9157" s="748"/>
      <c r="B9157"/>
      <c r="C9157" s="748"/>
      <c r="D9157" s="749" t="s">
        <v>2063</v>
      </c>
      <c r="F9157" s="753"/>
      <c r="G9157" s="3"/>
      <c r="H9157" s="753"/>
      <c r="I9157" s="754"/>
      <c r="J9157" s="753"/>
      <c r="K9157" s="753" t="s">
        <v>144</v>
      </c>
      <c r="L9157" s="753"/>
      <c r="M9157" s="753"/>
      <c r="N9157" s="753"/>
      <c r="O9157" s="753"/>
      <c r="P9157" s="753"/>
      <c r="Q9157" s="51"/>
      <c r="R9157" s="530"/>
      <c r="S9157" s="757"/>
      <c r="T9157" s="753"/>
      <c r="AR9157" s="748"/>
      <c r="AS9157" s="753"/>
    </row>
    <row r="9158" spans="1:45" s="901" customFormat="1" ht="13.2">
      <c r="A9158" s="903">
        <v>1</v>
      </c>
      <c r="B9158" s="904" t="s">
        <v>863</v>
      </c>
      <c r="C9158" s="904"/>
      <c r="D9158" s="904" t="s">
        <v>2594</v>
      </c>
      <c r="E9158" s="904"/>
      <c r="F9158" s="904" t="s">
        <v>4128</v>
      </c>
      <c r="G9158" s="905" t="s">
        <v>2595</v>
      </c>
      <c r="H9158" s="902">
        <v>960</v>
      </c>
      <c r="I9158" s="904" t="s">
        <v>2596</v>
      </c>
      <c r="J9158" s="904"/>
      <c r="K9158" s="904"/>
      <c r="L9158" s="904"/>
      <c r="M9158" s="904"/>
      <c r="N9158" s="904"/>
      <c r="O9158" s="902">
        <v>4</v>
      </c>
      <c r="P9158" s="906">
        <v>38274</v>
      </c>
      <c r="Q9158" s="1415">
        <f>52*0.873</f>
        <v>45.396000000000001</v>
      </c>
      <c r="R9158" s="908">
        <f>$A9158*Q9158</f>
        <v>45.396000000000001</v>
      </c>
      <c r="S9158" s="907"/>
      <c r="T9158" s="909">
        <f>$A9158*S9158*$T$1</f>
        <v>0</v>
      </c>
      <c r="AR9158" s="903">
        <v>1</v>
      </c>
      <c r="AS9158" s="904" t="s">
        <v>3507</v>
      </c>
    </row>
    <row r="9159" spans="1:45" s="520" customFormat="1" ht="12">
      <c r="A9159" s="758"/>
      <c r="B9159" s="758"/>
      <c r="C9159" s="758"/>
      <c r="D9159" s="758"/>
      <c r="E9159" s="758"/>
      <c r="F9159" s="753"/>
      <c r="G9159" s="758"/>
      <c r="H9159" s="758"/>
      <c r="I9159" s="519"/>
      <c r="J9159" s="758"/>
      <c r="K9159" s="758"/>
      <c r="L9159" s="758"/>
      <c r="M9159" s="758"/>
      <c r="N9159" s="758"/>
      <c r="O9159" s="758"/>
      <c r="P9159" s="758"/>
      <c r="Q9159" s="519"/>
      <c r="R9159" s="759">
        <f>$A9159*Q9159</f>
        <v>0</v>
      </c>
      <c r="S9159" s="519"/>
      <c r="T9159" s="760">
        <f>$A9159*S9159*$T$1</f>
        <v>0</v>
      </c>
      <c r="AR9159" s="758"/>
      <c r="AS9159" s="753"/>
    </row>
    <row r="9160" spans="1:45" s="520" customFormat="1" ht="12.6" thickBot="1">
      <c r="A9160" s="761" t="s">
        <v>145</v>
      </c>
      <c r="B9160" s="762">
        <f>(R9159+T9159)</f>
        <v>0</v>
      </c>
      <c r="C9160" s="763"/>
      <c r="D9160" s="763"/>
      <c r="E9160" s="763"/>
      <c r="F9160" s="764"/>
      <c r="G9160" s="763" t="s">
        <v>146</v>
      </c>
      <c r="H9160" s="763"/>
      <c r="I9160" s="765"/>
      <c r="J9160" s="763"/>
      <c r="K9160" s="763" t="s">
        <v>5</v>
      </c>
      <c r="L9160" s="766" t="s">
        <v>143</v>
      </c>
      <c r="M9160" s="766"/>
      <c r="N9160" s="766"/>
      <c r="O9160" s="766"/>
      <c r="P9160" s="766"/>
      <c r="Q9160" s="767"/>
      <c r="R9160" s="768">
        <f>SUM(R9157:R9159)</f>
        <v>45.396000000000001</v>
      </c>
      <c r="S9160" s="763"/>
      <c r="T9160" s="768">
        <f>SUM(T9157:T9159)</f>
        <v>0</v>
      </c>
      <c r="U9160" s="531"/>
      <c r="V9160" s="531"/>
      <c r="W9160" s="531"/>
      <c r="X9160" s="531"/>
      <c r="Y9160" s="531"/>
      <c r="Z9160" s="531"/>
      <c r="AA9160" s="531"/>
      <c r="AB9160" s="531"/>
      <c r="AC9160" s="531"/>
      <c r="AD9160" s="531"/>
      <c r="AE9160" s="531"/>
      <c r="AF9160" s="531"/>
      <c r="AG9160" s="531"/>
      <c r="AH9160" s="531"/>
      <c r="AI9160" s="531"/>
      <c r="AJ9160" s="531"/>
      <c r="AK9160" s="531"/>
      <c r="AL9160" s="531"/>
      <c r="AM9160" s="531"/>
      <c r="AN9160" s="531"/>
      <c r="AO9160" s="531"/>
      <c r="AR9160" s="761" t="s">
        <v>145</v>
      </c>
      <c r="AS9160" s="764"/>
    </row>
    <row r="9161" spans="1:45" s="520" customFormat="1" ht="12" thickTop="1">
      <c r="A9161" s="51"/>
      <c r="B9161" s="41"/>
      <c r="C9161" s="51"/>
      <c r="E9161" s="42" t="s">
        <v>138</v>
      </c>
      <c r="F9161" s="42" t="s">
        <v>139</v>
      </c>
      <c r="G9161" s="51"/>
      <c r="H9161" s="51"/>
      <c r="I9161" s="51"/>
      <c r="J9161" s="51"/>
      <c r="K9161" s="51" t="s">
        <v>140</v>
      </c>
      <c r="L9161" s="51"/>
      <c r="M9161" s="51"/>
      <c r="N9161" s="51"/>
      <c r="O9161" s="52"/>
      <c r="P9161" s="51"/>
      <c r="Q9161" s="51"/>
      <c r="R9161" s="51"/>
      <c r="S9161" s="51"/>
      <c r="T9161" s="41"/>
      <c r="AG9161" s="521" t="s">
        <v>268</v>
      </c>
      <c r="AH9161" s="521" t="s">
        <v>269</v>
      </c>
      <c r="AI9161" s="521" t="s">
        <v>270</v>
      </c>
      <c r="AJ9161" s="521" t="s">
        <v>271</v>
      </c>
      <c r="AK9161" s="521" t="s">
        <v>272</v>
      </c>
      <c r="AM9161" s="745" t="s">
        <v>281</v>
      </c>
      <c r="AN9161" s="746" t="s">
        <v>282</v>
      </c>
      <c r="AO9161" s="522" t="s">
        <v>278</v>
      </c>
      <c r="AR9161" s="51"/>
      <c r="AS9161" s="42" t="s">
        <v>139</v>
      </c>
    </row>
    <row r="9162" spans="1:45" s="520" customFormat="1" ht="12" customHeight="1">
      <c r="A9162" s="747">
        <v>7</v>
      </c>
      <c r="B9162" s="523" t="s">
        <v>141</v>
      </c>
      <c r="C9162" s="748"/>
      <c r="D9162" s="749" t="s">
        <v>2417</v>
      </c>
      <c r="E9162" s="1145">
        <f>IF(AND($A9162=0,$A$1="DIF"),0, ROUND(ROUND(($R9166*$S$3+($T9166*$T$3))/$A9162,2)*$C$3,2))</f>
        <v>52.23</v>
      </c>
      <c r="F9162" s="1146">
        <f>ROUND($A9162*$E9162,2)</f>
        <v>365.61</v>
      </c>
      <c r="G9162" s="752" t="s">
        <v>142</v>
      </c>
      <c r="H9162" s="753"/>
      <c r="I9162" s="754"/>
      <c r="J9162" s="753"/>
      <c r="K9162" s="753" t="s">
        <v>5</v>
      </c>
      <c r="L9162" s="755" t="s">
        <v>143</v>
      </c>
      <c r="M9162" s="755"/>
      <c r="N9162" s="755"/>
      <c r="O9162" s="755"/>
      <c r="P9162" s="755"/>
      <c r="Q9162" s="51"/>
      <c r="T9162" s="1150" t="str">
        <f>IF(AND($R9166=0,$T9166=0),"0.00","mu: "&amp; ROUND(F9162/$C$3/($R9166+$T9166*$D$9),2))</f>
        <v>mu: 1.13</v>
      </c>
      <c r="W9162" s="524"/>
      <c r="AG9162" s="1147">
        <f>IF($E9162=0,0,ROUND($R9166*$S$3*$C$3/$A9162,2))</f>
        <v>52.23</v>
      </c>
      <c r="AH9162" s="1147">
        <f>$AG9162*$A9162</f>
        <v>365.60999999999996</v>
      </c>
      <c r="AI9162" s="1148">
        <f>$E9162-$AG9162</f>
        <v>0</v>
      </c>
      <c r="AJ9162" s="1148">
        <f>$A9162*$AI9162</f>
        <v>0</v>
      </c>
      <c r="AK9162" s="1149">
        <f>ROUND(($AG9162+$AI9162)*$A9162,2)</f>
        <v>365.61</v>
      </c>
      <c r="AM9162" s="527">
        <f>ROUND(R9166,2)</f>
        <v>323.88</v>
      </c>
      <c r="AN9162" s="528">
        <f>ROUND(T9166,2)</f>
        <v>0</v>
      </c>
      <c r="AO9162" s="529">
        <f>ROUND(AM9162+AN9162,2)*A9162</f>
        <v>2267.16</v>
      </c>
      <c r="AR9162" s="747">
        <v>7</v>
      </c>
      <c r="AS9162" s="1146">
        <v>397.81</v>
      </c>
    </row>
    <row r="9163" spans="1:45" s="520" customFormat="1" ht="13.2">
      <c r="A9163" s="748"/>
      <c r="B9163"/>
      <c r="C9163" s="748"/>
      <c r="D9163" s="749" t="s">
        <v>2061</v>
      </c>
      <c r="F9163" s="753"/>
      <c r="G9163" s="3"/>
      <c r="H9163" s="753"/>
      <c r="I9163" s="754"/>
      <c r="J9163" s="753"/>
      <c r="K9163" s="753" t="s">
        <v>144</v>
      </c>
      <c r="L9163" s="753"/>
      <c r="M9163" s="753"/>
      <c r="N9163" s="753"/>
      <c r="O9163" s="753"/>
      <c r="P9163" s="753"/>
      <c r="Q9163" s="51"/>
      <c r="R9163" s="530"/>
      <c r="S9163" s="757"/>
      <c r="T9163" s="753"/>
      <c r="AR9163" s="748"/>
      <c r="AS9163" s="753"/>
    </row>
    <row r="9164" spans="1:45" s="901" customFormat="1" ht="13.2">
      <c r="A9164" s="903">
        <v>7</v>
      </c>
      <c r="B9164" s="904" t="s">
        <v>863</v>
      </c>
      <c r="C9164" s="904"/>
      <c r="D9164" s="904" t="s">
        <v>2594</v>
      </c>
      <c r="E9164" s="904"/>
      <c r="F9164" s="904" t="s">
        <v>4128</v>
      </c>
      <c r="G9164" s="905" t="s">
        <v>2595</v>
      </c>
      <c r="H9164" s="902">
        <v>960</v>
      </c>
      <c r="I9164" s="904" t="s">
        <v>2596</v>
      </c>
      <c r="J9164" s="904"/>
      <c r="K9164" s="904"/>
      <c r="L9164" s="904"/>
      <c r="M9164" s="904"/>
      <c r="N9164" s="904"/>
      <c r="O9164" s="902">
        <v>4</v>
      </c>
      <c r="P9164" s="906">
        <v>38274</v>
      </c>
      <c r="Q9164" s="1415">
        <f>53*0.873</f>
        <v>46.268999999999998</v>
      </c>
      <c r="R9164" s="908">
        <f>$A9164*Q9164</f>
        <v>323.88299999999998</v>
      </c>
      <c r="S9164" s="907"/>
      <c r="T9164" s="909">
        <f>$A9164*S9164*$T$1</f>
        <v>0</v>
      </c>
      <c r="AR9164" s="903">
        <v>7</v>
      </c>
      <c r="AS9164" s="904" t="s">
        <v>3507</v>
      </c>
    </row>
    <row r="9165" spans="1:45" s="520" customFormat="1" ht="12">
      <c r="A9165" s="758"/>
      <c r="B9165" s="758"/>
      <c r="C9165" s="758"/>
      <c r="D9165" s="758"/>
      <c r="E9165" s="758"/>
      <c r="F9165" s="753"/>
      <c r="G9165" s="758"/>
      <c r="H9165" s="758"/>
      <c r="I9165" s="519"/>
      <c r="J9165" s="758"/>
      <c r="K9165" s="758"/>
      <c r="L9165" s="758"/>
      <c r="M9165" s="758"/>
      <c r="N9165" s="758"/>
      <c r="O9165" s="758"/>
      <c r="P9165" s="758"/>
      <c r="Q9165" s="519"/>
      <c r="R9165" s="759">
        <f>$A9165*Q9165</f>
        <v>0</v>
      </c>
      <c r="S9165" s="519"/>
      <c r="T9165" s="760">
        <f>$A9165*S9165*$T$1</f>
        <v>0</v>
      </c>
      <c r="AR9165" s="758"/>
      <c r="AS9165" s="753"/>
    </row>
    <row r="9166" spans="1:45" s="520" customFormat="1" ht="12.6" thickBot="1">
      <c r="A9166" s="761" t="s">
        <v>145</v>
      </c>
      <c r="B9166" s="762">
        <f>(R9165+T9165)</f>
        <v>0</v>
      </c>
      <c r="C9166" s="763"/>
      <c r="D9166" s="763"/>
      <c r="E9166" s="763"/>
      <c r="F9166" s="764"/>
      <c r="G9166" s="763" t="s">
        <v>146</v>
      </c>
      <c r="H9166" s="763"/>
      <c r="I9166" s="765"/>
      <c r="J9166" s="763"/>
      <c r="K9166" s="763" t="s">
        <v>5</v>
      </c>
      <c r="L9166" s="766" t="s">
        <v>143</v>
      </c>
      <c r="M9166" s="766"/>
      <c r="N9166" s="766"/>
      <c r="O9166" s="766"/>
      <c r="P9166" s="766"/>
      <c r="Q9166" s="767"/>
      <c r="R9166" s="768">
        <f>SUM(R9163:R9165)</f>
        <v>323.88299999999998</v>
      </c>
      <c r="S9166" s="763"/>
      <c r="T9166" s="768">
        <f>SUM(T9163:T9165)</f>
        <v>0</v>
      </c>
      <c r="U9166" s="531"/>
      <c r="V9166" s="531"/>
      <c r="W9166" s="531"/>
      <c r="X9166" s="531"/>
      <c r="Y9166" s="531"/>
      <c r="Z9166" s="531"/>
      <c r="AA9166" s="531"/>
      <c r="AB9166" s="531"/>
      <c r="AC9166" s="531"/>
      <c r="AD9166" s="531"/>
      <c r="AE9166" s="531"/>
      <c r="AF9166" s="531"/>
      <c r="AG9166" s="531"/>
      <c r="AH9166" s="531"/>
      <c r="AI9166" s="531"/>
      <c r="AJ9166" s="531"/>
      <c r="AK9166" s="531"/>
      <c r="AL9166" s="531"/>
      <c r="AM9166" s="531"/>
      <c r="AN9166" s="531"/>
      <c r="AO9166" s="531"/>
      <c r="AR9166" s="761" t="s">
        <v>145</v>
      </c>
      <c r="AS9166" s="764"/>
    </row>
    <row r="9167" spans="1:45" s="520" customFormat="1" ht="12" thickTop="1">
      <c r="A9167" s="51"/>
      <c r="B9167" s="41"/>
      <c r="C9167" s="51"/>
      <c r="E9167" s="42" t="s">
        <v>138</v>
      </c>
      <c r="F9167" s="42" t="s">
        <v>139</v>
      </c>
      <c r="G9167" s="51"/>
      <c r="H9167" s="51"/>
      <c r="I9167" s="51"/>
      <c r="J9167" s="51"/>
      <c r="K9167" s="51" t="s">
        <v>140</v>
      </c>
      <c r="L9167" s="51"/>
      <c r="M9167" s="51"/>
      <c r="N9167" s="51"/>
      <c r="O9167" s="52"/>
      <c r="P9167" s="51"/>
      <c r="Q9167" s="51"/>
      <c r="R9167" s="51"/>
      <c r="S9167" s="51"/>
      <c r="T9167" s="41"/>
      <c r="AG9167" s="521" t="s">
        <v>268</v>
      </c>
      <c r="AH9167" s="521" t="s">
        <v>269</v>
      </c>
      <c r="AI9167" s="521" t="s">
        <v>270</v>
      </c>
      <c r="AJ9167" s="521" t="s">
        <v>271</v>
      </c>
      <c r="AK9167" s="521" t="s">
        <v>272</v>
      </c>
      <c r="AM9167" s="745" t="s">
        <v>281</v>
      </c>
      <c r="AN9167" s="746" t="s">
        <v>282</v>
      </c>
      <c r="AO9167" s="522" t="s">
        <v>278</v>
      </c>
      <c r="AR9167" s="51"/>
      <c r="AS9167" s="42" t="s">
        <v>139</v>
      </c>
    </row>
    <row r="9168" spans="1:45" s="520" customFormat="1" ht="12" customHeight="1">
      <c r="A9168" s="747">
        <v>2</v>
      </c>
      <c r="B9168" s="523" t="s">
        <v>141</v>
      </c>
      <c r="C9168" s="748"/>
      <c r="D9168" s="749" t="s">
        <v>2418</v>
      </c>
      <c r="E9168" s="1145">
        <f>IF(AND($A9168=0,$A$1="DIF"),0, ROUND(ROUND(($R9172*$S$3+($T9172*$T$3))/$A9168,2)*$C$3,2))</f>
        <v>93.61</v>
      </c>
      <c r="F9168" s="1146">
        <f>ROUND($A9168*$E9168,2)</f>
        <v>187.22</v>
      </c>
      <c r="G9168" s="752" t="s">
        <v>142</v>
      </c>
      <c r="H9168" s="753"/>
      <c r="I9168" s="754"/>
      <c r="J9168" s="753"/>
      <c r="K9168" s="753" t="s">
        <v>5</v>
      </c>
      <c r="L9168" s="755" t="s">
        <v>143</v>
      </c>
      <c r="M9168" s="755"/>
      <c r="N9168" s="755"/>
      <c r="O9168" s="755"/>
      <c r="P9168" s="755"/>
      <c r="Q9168" s="51"/>
      <c r="T9168" s="1150" t="str">
        <f>IF(AND($R9172=0,$T9172=0),"0.00","mu: "&amp; ROUND(F9168/$C$3/($R9172+$T9172*$D$9),2))</f>
        <v>mu: 1.13</v>
      </c>
      <c r="W9168" s="524"/>
      <c r="AG9168" s="1147">
        <f>IF($E9168=0,0,ROUND($R9172*$S$3*$C$3/$A9168,2))</f>
        <v>93.61</v>
      </c>
      <c r="AH9168" s="1147">
        <f>$AG9168*$A9168</f>
        <v>187.22</v>
      </c>
      <c r="AI9168" s="1148">
        <f>$E9168-$AG9168</f>
        <v>0</v>
      </c>
      <c r="AJ9168" s="1148">
        <f>$A9168*$AI9168</f>
        <v>0</v>
      </c>
      <c r="AK9168" s="1149">
        <f>ROUND(($AG9168+$AI9168)*$A9168,2)</f>
        <v>187.22</v>
      </c>
      <c r="AM9168" s="527">
        <f>ROUND(R9172,2)</f>
        <v>165.87</v>
      </c>
      <c r="AN9168" s="528">
        <f>ROUND(T9172,2)</f>
        <v>0</v>
      </c>
      <c r="AO9168" s="529">
        <f>ROUND(AM9168+AN9168,2)*A9168</f>
        <v>331.74</v>
      </c>
      <c r="AR9168" s="747">
        <v>2</v>
      </c>
      <c r="AS9168" s="1146">
        <v>203.74</v>
      </c>
    </row>
    <row r="9169" spans="1:45" s="520" customFormat="1" ht="13.2">
      <c r="A9169" s="748"/>
      <c r="B9169"/>
      <c r="C9169" s="748"/>
      <c r="D9169" s="749" t="s">
        <v>2062</v>
      </c>
      <c r="F9169" s="753"/>
      <c r="G9169" s="3"/>
      <c r="H9169" s="753"/>
      <c r="I9169" s="754"/>
      <c r="J9169" s="753"/>
      <c r="K9169" s="753" t="s">
        <v>144</v>
      </c>
      <c r="L9169" s="753"/>
      <c r="M9169" s="753"/>
      <c r="N9169" s="753"/>
      <c r="O9169" s="753"/>
      <c r="P9169" s="753"/>
      <c r="Q9169" s="51"/>
      <c r="R9169" s="530"/>
      <c r="S9169" s="757"/>
      <c r="T9169" s="753"/>
      <c r="AR9169" s="748"/>
      <c r="AS9169" s="753"/>
    </row>
    <row r="9170" spans="1:45" s="901" customFormat="1" ht="13.2">
      <c r="A9170" s="903">
        <v>2</v>
      </c>
      <c r="B9170" s="904" t="s">
        <v>863</v>
      </c>
      <c r="C9170" s="904"/>
      <c r="D9170" s="904" t="s">
        <v>2594</v>
      </c>
      <c r="E9170" s="904"/>
      <c r="F9170" s="904" t="s">
        <v>4128</v>
      </c>
      <c r="G9170" s="905" t="s">
        <v>2595</v>
      </c>
      <c r="H9170" s="902">
        <v>960</v>
      </c>
      <c r="I9170" s="904" t="s">
        <v>2596</v>
      </c>
      <c r="J9170" s="904"/>
      <c r="K9170" s="904"/>
      <c r="L9170" s="904"/>
      <c r="M9170" s="904"/>
      <c r="N9170" s="904"/>
      <c r="O9170" s="902">
        <v>4</v>
      </c>
      <c r="P9170" s="906">
        <v>38274</v>
      </c>
      <c r="Q9170" s="1415">
        <f>95*0.873</f>
        <v>82.935000000000002</v>
      </c>
      <c r="R9170" s="908">
        <f>$A9170*Q9170</f>
        <v>165.87</v>
      </c>
      <c r="S9170" s="907"/>
      <c r="T9170" s="909">
        <f>$A9170*S9170*$T$1</f>
        <v>0</v>
      </c>
      <c r="AR9170" s="903">
        <v>2</v>
      </c>
      <c r="AS9170" s="904" t="s">
        <v>3507</v>
      </c>
    </row>
    <row r="9171" spans="1:45" s="520" customFormat="1" ht="12">
      <c r="A9171" s="758"/>
      <c r="B9171" s="758"/>
      <c r="C9171" s="758"/>
      <c r="D9171" s="758"/>
      <c r="E9171" s="758"/>
      <c r="F9171" s="753"/>
      <c r="G9171" s="758"/>
      <c r="H9171" s="758"/>
      <c r="I9171" s="519"/>
      <c r="J9171" s="758"/>
      <c r="K9171" s="758"/>
      <c r="L9171" s="758"/>
      <c r="M9171" s="758"/>
      <c r="N9171" s="758"/>
      <c r="O9171" s="758"/>
      <c r="P9171" s="758"/>
      <c r="Q9171" s="519"/>
      <c r="R9171" s="759">
        <f>$A9171*Q9171</f>
        <v>0</v>
      </c>
      <c r="S9171" s="519"/>
      <c r="T9171" s="760">
        <f>$A9171*S9171*$T$1</f>
        <v>0</v>
      </c>
      <c r="AR9171" s="758"/>
      <c r="AS9171" s="753"/>
    </row>
    <row r="9172" spans="1:45" s="520" customFormat="1" ht="12.6" thickBot="1">
      <c r="A9172" s="761" t="s">
        <v>145</v>
      </c>
      <c r="B9172" s="762">
        <f>(R9171+T9171)</f>
        <v>0</v>
      </c>
      <c r="C9172" s="763"/>
      <c r="D9172" s="763"/>
      <c r="E9172" s="763"/>
      <c r="F9172" s="764"/>
      <c r="G9172" s="763" t="s">
        <v>146</v>
      </c>
      <c r="H9172" s="763"/>
      <c r="I9172" s="765"/>
      <c r="J9172" s="763"/>
      <c r="K9172" s="763" t="s">
        <v>5</v>
      </c>
      <c r="L9172" s="766" t="s">
        <v>143</v>
      </c>
      <c r="M9172" s="766"/>
      <c r="N9172" s="766"/>
      <c r="O9172" s="766"/>
      <c r="P9172" s="766"/>
      <c r="Q9172" s="767"/>
      <c r="R9172" s="768">
        <f>SUM(R9169:R9171)</f>
        <v>165.87</v>
      </c>
      <c r="S9172" s="763"/>
      <c r="T9172" s="768">
        <f>SUM(T9169:T9171)</f>
        <v>0</v>
      </c>
      <c r="U9172" s="531"/>
      <c r="V9172" s="531"/>
      <c r="W9172" s="531"/>
      <c r="X9172" s="531"/>
      <c r="Y9172" s="531"/>
      <c r="Z9172" s="531"/>
      <c r="AA9172" s="531"/>
      <c r="AB9172" s="531"/>
      <c r="AC9172" s="531"/>
      <c r="AD9172" s="531"/>
      <c r="AE9172" s="531"/>
      <c r="AF9172" s="531"/>
      <c r="AG9172" s="531"/>
      <c r="AH9172" s="531"/>
      <c r="AI9172" s="531"/>
      <c r="AJ9172" s="531"/>
      <c r="AK9172" s="531"/>
      <c r="AL9172" s="531"/>
      <c r="AM9172" s="531"/>
      <c r="AN9172" s="531"/>
      <c r="AO9172" s="531"/>
      <c r="AR9172" s="761" t="s">
        <v>145</v>
      </c>
      <c r="AS9172" s="764"/>
    </row>
    <row r="9173" spans="1:45" s="520" customFormat="1" ht="12" thickTop="1">
      <c r="A9173" s="51"/>
      <c r="B9173" s="41"/>
      <c r="C9173" s="51"/>
      <c r="E9173" s="42" t="s">
        <v>138</v>
      </c>
      <c r="F9173" s="42" t="s">
        <v>139</v>
      </c>
      <c r="G9173" s="51"/>
      <c r="H9173" s="51"/>
      <c r="I9173" s="51"/>
      <c r="J9173" s="51"/>
      <c r="K9173" s="51" t="s">
        <v>140</v>
      </c>
      <c r="L9173" s="51"/>
      <c r="M9173" s="51"/>
      <c r="N9173" s="51"/>
      <c r="O9173" s="52"/>
      <c r="P9173" s="51"/>
      <c r="Q9173" s="51"/>
      <c r="R9173" s="51"/>
      <c r="S9173" s="51"/>
      <c r="T9173" s="41"/>
      <c r="AG9173" s="521" t="s">
        <v>268</v>
      </c>
      <c r="AH9173" s="521" t="s">
        <v>269</v>
      </c>
      <c r="AI9173" s="521" t="s">
        <v>270</v>
      </c>
      <c r="AJ9173" s="521" t="s">
        <v>271</v>
      </c>
      <c r="AK9173" s="521" t="s">
        <v>272</v>
      </c>
      <c r="AM9173" s="745" t="s">
        <v>281</v>
      </c>
      <c r="AN9173" s="746" t="s">
        <v>282</v>
      </c>
      <c r="AO9173" s="522" t="s">
        <v>278</v>
      </c>
      <c r="AR9173" s="51"/>
      <c r="AS9173" s="42" t="s">
        <v>139</v>
      </c>
    </row>
    <row r="9174" spans="1:45" s="520" customFormat="1" ht="12" customHeight="1">
      <c r="A9174" s="747">
        <v>1</v>
      </c>
      <c r="B9174" s="523" t="s">
        <v>141</v>
      </c>
      <c r="C9174" s="748"/>
      <c r="D9174" s="749" t="s">
        <v>2419</v>
      </c>
      <c r="E9174" s="1145">
        <f>IF(AND($A9174=0,$A$1="DIF"),0, ROUND(ROUND(($R9178*$S$3+($T9178*$T$3))/$A9174,2)*$C$3,2))</f>
        <v>54.2</v>
      </c>
      <c r="F9174" s="1146">
        <f>ROUND($A9174*$E9174,2)</f>
        <v>54.2</v>
      </c>
      <c r="G9174" s="752" t="s">
        <v>142</v>
      </c>
      <c r="H9174" s="753"/>
      <c r="I9174" s="754"/>
      <c r="J9174" s="753"/>
      <c r="K9174" s="753" t="s">
        <v>5</v>
      </c>
      <c r="L9174" s="755" t="s">
        <v>143</v>
      </c>
      <c r="M9174" s="755"/>
      <c r="N9174" s="755"/>
      <c r="O9174" s="755"/>
      <c r="P9174" s="755"/>
      <c r="Q9174" s="51"/>
      <c r="T9174" s="1150" t="str">
        <f>IF(AND($R9178=0,$T9178=0),"0.00","mu: "&amp; ROUND(F9174/$C$3/($R9178+$T9178*$D$9),2))</f>
        <v>mu: 1.13</v>
      </c>
      <c r="W9174" s="524"/>
      <c r="AG9174" s="1147">
        <f>IF($E9174=0,0,ROUND($R9178*$S$3*$C$3/$A9174,2))</f>
        <v>54.2</v>
      </c>
      <c r="AH9174" s="1147">
        <f>$AG9174*$A9174</f>
        <v>54.2</v>
      </c>
      <c r="AI9174" s="1148">
        <f>$E9174-$AG9174</f>
        <v>0</v>
      </c>
      <c r="AJ9174" s="1148">
        <f>$A9174*$AI9174</f>
        <v>0</v>
      </c>
      <c r="AK9174" s="1149">
        <f>ROUND(($AG9174+$AI9174)*$A9174,2)</f>
        <v>54.2</v>
      </c>
      <c r="AM9174" s="527">
        <f>ROUND(R9178,2)</f>
        <v>48.02</v>
      </c>
      <c r="AN9174" s="528">
        <f>ROUND(T9178,2)</f>
        <v>0</v>
      </c>
      <c r="AO9174" s="529">
        <f>ROUND(AM9174+AN9174,2)*A9174</f>
        <v>48.02</v>
      </c>
      <c r="AR9174" s="747">
        <v>1</v>
      </c>
      <c r="AS9174" s="1146">
        <v>58.98</v>
      </c>
    </row>
    <row r="9175" spans="1:45" s="520" customFormat="1" ht="13.2">
      <c r="A9175" s="748"/>
      <c r="B9175"/>
      <c r="C9175" s="748"/>
      <c r="D9175" s="749" t="s">
        <v>2071</v>
      </c>
      <c r="F9175" s="753"/>
      <c r="G9175" s="3"/>
      <c r="H9175" s="753"/>
      <c r="I9175" s="754"/>
      <c r="J9175" s="753"/>
      <c r="K9175" s="753" t="s">
        <v>144</v>
      </c>
      <c r="L9175" s="753"/>
      <c r="M9175" s="753"/>
      <c r="N9175" s="753"/>
      <c r="O9175" s="753"/>
      <c r="P9175" s="753"/>
      <c r="Q9175" s="51"/>
      <c r="R9175" s="530"/>
      <c r="S9175" s="757"/>
      <c r="T9175" s="753"/>
      <c r="AR9175" s="748"/>
      <c r="AS9175" s="753"/>
    </row>
    <row r="9176" spans="1:45" s="901" customFormat="1" ht="13.2">
      <c r="A9176" s="903">
        <v>1</v>
      </c>
      <c r="B9176" s="904" t="s">
        <v>863</v>
      </c>
      <c r="C9176" s="904"/>
      <c r="D9176" s="904" t="s">
        <v>2594</v>
      </c>
      <c r="E9176" s="904"/>
      <c r="F9176" s="904" t="s">
        <v>4128</v>
      </c>
      <c r="G9176" s="905" t="s">
        <v>2595</v>
      </c>
      <c r="H9176" s="902">
        <v>960</v>
      </c>
      <c r="I9176" s="904" t="s">
        <v>2596</v>
      </c>
      <c r="J9176" s="904"/>
      <c r="K9176" s="904"/>
      <c r="L9176" s="904"/>
      <c r="M9176" s="904"/>
      <c r="N9176" s="904"/>
      <c r="O9176" s="902">
        <v>4</v>
      </c>
      <c r="P9176" s="906">
        <v>38274</v>
      </c>
      <c r="Q9176" s="1415">
        <f>55*0.873</f>
        <v>48.015000000000001</v>
      </c>
      <c r="R9176" s="908">
        <f>$A9176*Q9176</f>
        <v>48.015000000000001</v>
      </c>
      <c r="S9176" s="907"/>
      <c r="T9176" s="909">
        <f>$A9176*S9176*$T$1</f>
        <v>0</v>
      </c>
      <c r="AR9176" s="903">
        <v>1</v>
      </c>
      <c r="AS9176" s="904" t="s">
        <v>3507</v>
      </c>
    </row>
    <row r="9177" spans="1:45" s="520" customFormat="1" ht="12">
      <c r="A9177" s="758"/>
      <c r="B9177" s="758"/>
      <c r="C9177" s="758"/>
      <c r="D9177" s="758"/>
      <c r="E9177" s="758"/>
      <c r="F9177" s="753"/>
      <c r="G9177" s="758"/>
      <c r="H9177" s="758"/>
      <c r="I9177" s="519"/>
      <c r="J9177" s="758"/>
      <c r="K9177" s="758"/>
      <c r="L9177" s="758"/>
      <c r="M9177" s="758"/>
      <c r="N9177" s="758"/>
      <c r="O9177" s="758"/>
      <c r="P9177" s="758"/>
      <c r="Q9177" s="519"/>
      <c r="R9177" s="759">
        <f>$A9177*Q9177</f>
        <v>0</v>
      </c>
      <c r="S9177" s="519"/>
      <c r="T9177" s="760">
        <f>$A9177*S9177*$T$1</f>
        <v>0</v>
      </c>
      <c r="AR9177" s="758"/>
      <c r="AS9177" s="753"/>
    </row>
    <row r="9178" spans="1:45" s="520" customFormat="1" ht="12.6" thickBot="1">
      <c r="A9178" s="761" t="s">
        <v>145</v>
      </c>
      <c r="B9178" s="762">
        <f>(R9177+T9177)</f>
        <v>0</v>
      </c>
      <c r="C9178" s="763"/>
      <c r="D9178" s="763"/>
      <c r="E9178" s="763"/>
      <c r="F9178" s="764"/>
      <c r="G9178" s="763" t="s">
        <v>146</v>
      </c>
      <c r="H9178" s="763"/>
      <c r="I9178" s="765"/>
      <c r="J9178" s="763"/>
      <c r="K9178" s="763" t="s">
        <v>5</v>
      </c>
      <c r="L9178" s="766" t="s">
        <v>143</v>
      </c>
      <c r="M9178" s="766"/>
      <c r="N9178" s="766"/>
      <c r="O9178" s="766"/>
      <c r="P9178" s="766"/>
      <c r="Q9178" s="767"/>
      <c r="R9178" s="768">
        <f>SUM(R9175:R9177)</f>
        <v>48.015000000000001</v>
      </c>
      <c r="S9178" s="763"/>
      <c r="T9178" s="768">
        <f>SUM(T9175:T9177)</f>
        <v>0</v>
      </c>
      <c r="U9178" s="531"/>
      <c r="V9178" s="531"/>
      <c r="W9178" s="531"/>
      <c r="X9178" s="531"/>
      <c r="Y9178" s="531"/>
      <c r="Z9178" s="531"/>
      <c r="AA9178" s="531"/>
      <c r="AB9178" s="531"/>
      <c r="AC9178" s="531"/>
      <c r="AD9178" s="531"/>
      <c r="AE9178" s="531"/>
      <c r="AF9178" s="531"/>
      <c r="AG9178" s="531"/>
      <c r="AH9178" s="531"/>
      <c r="AI9178" s="531"/>
      <c r="AJ9178" s="531"/>
      <c r="AK9178" s="531"/>
      <c r="AL9178" s="531"/>
      <c r="AM9178" s="531"/>
      <c r="AN9178" s="531"/>
      <c r="AO9178" s="531"/>
      <c r="AR9178" s="761" t="s">
        <v>145</v>
      </c>
      <c r="AS9178" s="764"/>
    </row>
    <row r="9179" spans="1:45" s="520" customFormat="1" ht="12" thickTop="1">
      <c r="A9179" s="51"/>
      <c r="B9179" s="41"/>
      <c r="C9179" s="51"/>
      <c r="E9179" s="42" t="s">
        <v>138</v>
      </c>
      <c r="F9179" s="42" t="s">
        <v>139</v>
      </c>
      <c r="G9179" s="51"/>
      <c r="H9179" s="51"/>
      <c r="I9179" s="51"/>
      <c r="J9179" s="51"/>
      <c r="K9179" s="51" t="s">
        <v>140</v>
      </c>
      <c r="L9179" s="51"/>
      <c r="M9179" s="51"/>
      <c r="N9179" s="51"/>
      <c r="O9179" s="52"/>
      <c r="P9179" s="51"/>
      <c r="Q9179" s="51"/>
      <c r="R9179" s="51"/>
      <c r="S9179" s="51"/>
      <c r="T9179" s="41"/>
      <c r="AG9179" s="521" t="s">
        <v>268</v>
      </c>
      <c r="AH9179" s="521" t="s">
        <v>269</v>
      </c>
      <c r="AI9179" s="521" t="s">
        <v>270</v>
      </c>
      <c r="AJ9179" s="521" t="s">
        <v>271</v>
      </c>
      <c r="AK9179" s="521" t="s">
        <v>272</v>
      </c>
      <c r="AM9179" s="745" t="s">
        <v>281</v>
      </c>
      <c r="AN9179" s="746" t="s">
        <v>282</v>
      </c>
      <c r="AO9179" s="522" t="s">
        <v>278</v>
      </c>
      <c r="AR9179" s="51"/>
      <c r="AS9179" s="42" t="s">
        <v>139</v>
      </c>
    </row>
    <row r="9180" spans="1:45" s="520" customFormat="1" ht="12" customHeight="1">
      <c r="A9180" s="747">
        <v>1</v>
      </c>
      <c r="B9180" s="523" t="s">
        <v>141</v>
      </c>
      <c r="C9180" s="748"/>
      <c r="D9180" s="749" t="s">
        <v>2420</v>
      </c>
      <c r="E9180" s="1145">
        <f>IF(AND($A9180=0,$A$1="DIF"),0, ROUND(ROUND(($R9184*$S$3+($T9184*$T$3))/$A9180,2)*$C$3,2))</f>
        <v>77.849999999999994</v>
      </c>
      <c r="F9180" s="1146">
        <f>ROUND($A9180*$E9180,2)</f>
        <v>77.849999999999994</v>
      </c>
      <c r="G9180" s="752" t="s">
        <v>142</v>
      </c>
      <c r="H9180" s="753"/>
      <c r="I9180" s="754"/>
      <c r="J9180" s="753"/>
      <c r="K9180" s="753" t="s">
        <v>5</v>
      </c>
      <c r="L9180" s="755" t="s">
        <v>143</v>
      </c>
      <c r="M9180" s="755"/>
      <c r="N9180" s="755"/>
      <c r="O9180" s="755"/>
      <c r="P9180" s="755"/>
      <c r="Q9180" s="51"/>
      <c r="T9180" s="1150" t="str">
        <f>IF(AND($R9184=0,$T9184=0),"0.00","mu: "&amp; ROUND(F9180/$C$3/($R9184+$T9184*$D$9),2))</f>
        <v>mu: 1.13</v>
      </c>
      <c r="W9180" s="524"/>
      <c r="AG9180" s="1147">
        <f>IF($E9180=0,0,ROUND($R9184*$S$3*$C$3/$A9180,2))</f>
        <v>77.849999999999994</v>
      </c>
      <c r="AH9180" s="1147">
        <f>$AG9180*$A9180</f>
        <v>77.849999999999994</v>
      </c>
      <c r="AI9180" s="1148">
        <f>$E9180-$AG9180</f>
        <v>0</v>
      </c>
      <c r="AJ9180" s="1148">
        <f>$A9180*$AI9180</f>
        <v>0</v>
      </c>
      <c r="AK9180" s="1149">
        <f>ROUND(($AG9180+$AI9180)*$A9180,2)</f>
        <v>77.849999999999994</v>
      </c>
      <c r="AM9180" s="527">
        <f>ROUND(R9184,2)</f>
        <v>68.97</v>
      </c>
      <c r="AN9180" s="528">
        <f>ROUND(T9184,2)</f>
        <v>0</v>
      </c>
      <c r="AO9180" s="529">
        <f>ROUND(AM9180+AN9180,2)*A9180</f>
        <v>68.97</v>
      </c>
      <c r="AR9180" s="747">
        <v>1</v>
      </c>
      <c r="AS9180" s="1146">
        <v>84.71</v>
      </c>
    </row>
    <row r="9181" spans="1:45" s="520" customFormat="1" ht="13.2">
      <c r="A9181" s="748"/>
      <c r="B9181"/>
      <c r="C9181" s="748"/>
      <c r="D9181" s="749" t="s">
        <v>2068</v>
      </c>
      <c r="F9181" s="753"/>
      <c r="G9181" s="3"/>
      <c r="H9181" s="753"/>
      <c r="I9181" s="754"/>
      <c r="J9181" s="753"/>
      <c r="K9181" s="753" t="s">
        <v>144</v>
      </c>
      <c r="L9181" s="753"/>
      <c r="M9181" s="753"/>
      <c r="N9181" s="753"/>
      <c r="O9181" s="753"/>
      <c r="P9181" s="753"/>
      <c r="Q9181" s="51"/>
      <c r="R9181" s="530"/>
      <c r="S9181" s="757"/>
      <c r="T9181" s="753"/>
      <c r="AR9181" s="748"/>
      <c r="AS9181" s="753"/>
    </row>
    <row r="9182" spans="1:45" s="901" customFormat="1" ht="13.2">
      <c r="A9182" s="903">
        <v>1</v>
      </c>
      <c r="B9182" s="904" t="s">
        <v>863</v>
      </c>
      <c r="C9182" s="904"/>
      <c r="D9182" s="904" t="s">
        <v>2594</v>
      </c>
      <c r="E9182" s="904"/>
      <c r="F9182" s="904" t="s">
        <v>4128</v>
      </c>
      <c r="G9182" s="905" t="s">
        <v>2595</v>
      </c>
      <c r="H9182" s="902">
        <v>960</v>
      </c>
      <c r="I9182" s="904" t="s">
        <v>2596</v>
      </c>
      <c r="J9182" s="904"/>
      <c r="K9182" s="904"/>
      <c r="L9182" s="904"/>
      <c r="M9182" s="904"/>
      <c r="N9182" s="904"/>
      <c r="O9182" s="902">
        <v>4</v>
      </c>
      <c r="P9182" s="906">
        <v>38274</v>
      </c>
      <c r="Q9182" s="1415">
        <f>79*0.873</f>
        <v>68.966999999999999</v>
      </c>
      <c r="R9182" s="908">
        <f>$A9182*Q9182</f>
        <v>68.966999999999999</v>
      </c>
      <c r="S9182" s="907"/>
      <c r="T9182" s="909">
        <f>$A9182*S9182*$T$1</f>
        <v>0</v>
      </c>
      <c r="AR9182" s="903">
        <v>1</v>
      </c>
      <c r="AS9182" s="904" t="s">
        <v>3507</v>
      </c>
    </row>
    <row r="9183" spans="1:45" s="520" customFormat="1" ht="12">
      <c r="A9183" s="758"/>
      <c r="B9183" s="758"/>
      <c r="C9183" s="758"/>
      <c r="D9183" s="758"/>
      <c r="E9183" s="758"/>
      <c r="F9183" s="753"/>
      <c r="G9183" s="758"/>
      <c r="H9183" s="758"/>
      <c r="I9183" s="519"/>
      <c r="J9183" s="758"/>
      <c r="K9183" s="758"/>
      <c r="L9183" s="758"/>
      <c r="M9183" s="758"/>
      <c r="N9183" s="758"/>
      <c r="O9183" s="758"/>
      <c r="P9183" s="758"/>
      <c r="Q9183" s="519"/>
      <c r="R9183" s="759">
        <f>$A9183*Q9183</f>
        <v>0</v>
      </c>
      <c r="S9183" s="519"/>
      <c r="T9183" s="760">
        <f>$A9183*S9183*$T$1</f>
        <v>0</v>
      </c>
      <c r="AR9183" s="758"/>
      <c r="AS9183" s="753"/>
    </row>
    <row r="9184" spans="1:45" s="520" customFormat="1" ht="12.6" thickBot="1">
      <c r="A9184" s="761" t="s">
        <v>145</v>
      </c>
      <c r="B9184" s="762">
        <f>(R9183+T9183)</f>
        <v>0</v>
      </c>
      <c r="C9184" s="763"/>
      <c r="D9184" s="763"/>
      <c r="E9184" s="763"/>
      <c r="F9184" s="764"/>
      <c r="G9184" s="763" t="s">
        <v>146</v>
      </c>
      <c r="H9184" s="763"/>
      <c r="I9184" s="765"/>
      <c r="J9184" s="763"/>
      <c r="K9184" s="763" t="s">
        <v>5</v>
      </c>
      <c r="L9184" s="766" t="s">
        <v>143</v>
      </c>
      <c r="M9184" s="766"/>
      <c r="N9184" s="766"/>
      <c r="O9184" s="766"/>
      <c r="P9184" s="766"/>
      <c r="Q9184" s="767"/>
      <c r="R9184" s="768">
        <f>SUM(R9181:R9183)</f>
        <v>68.966999999999999</v>
      </c>
      <c r="S9184" s="763"/>
      <c r="T9184" s="768">
        <f>SUM(T9181:T9183)</f>
        <v>0</v>
      </c>
      <c r="U9184" s="531"/>
      <c r="V9184" s="531"/>
      <c r="W9184" s="531"/>
      <c r="X9184" s="531"/>
      <c r="Y9184" s="531"/>
      <c r="Z9184" s="531"/>
      <c r="AA9184" s="531"/>
      <c r="AB9184" s="531"/>
      <c r="AC9184" s="531"/>
      <c r="AD9184" s="531"/>
      <c r="AE9184" s="531"/>
      <c r="AF9184" s="531"/>
      <c r="AG9184" s="531"/>
      <c r="AH9184" s="531"/>
      <c r="AI9184" s="531"/>
      <c r="AJ9184" s="531"/>
      <c r="AK9184" s="531"/>
      <c r="AL9184" s="531"/>
      <c r="AM9184" s="531"/>
      <c r="AN9184" s="531"/>
      <c r="AO9184" s="531"/>
      <c r="AR9184" s="761" t="s">
        <v>145</v>
      </c>
      <c r="AS9184" s="764"/>
    </row>
    <row r="9185" spans="1:45" s="520" customFormat="1" ht="12" thickTop="1">
      <c r="A9185" s="48" t="s">
        <v>148</v>
      </c>
      <c r="D9185" s="13"/>
      <c r="E9185" s="42"/>
      <c r="O9185" s="771"/>
      <c r="AR9185" s="48" t="s">
        <v>148</v>
      </c>
    </row>
    <row r="9186" spans="1:45" s="520" customFormat="1" ht="13.2">
      <c r="B9186" s="3"/>
      <c r="O9186" s="771"/>
    </row>
    <row r="9187" spans="1:45" s="520" customFormat="1" ht="12">
      <c r="B9187" s="772">
        <f ca="1">$F9187/$C$2-($R9187*$S$2+$T9187*$T$2)</f>
        <v>-107.15465405119994</v>
      </c>
      <c r="D9187" s="773" t="s">
        <v>1065</v>
      </c>
      <c r="E9187" s="774"/>
      <c r="F9187" s="775">
        <f ca="1">SUMIF($L9074:$L9185,"ITEM",F9074:F9185)</f>
        <v>1773.7600000000002</v>
      </c>
      <c r="G9187" s="758"/>
      <c r="H9187" s="758"/>
      <c r="I9187" s="519"/>
      <c r="J9187" s="758"/>
      <c r="K9187" s="758"/>
      <c r="L9187" s="755" t="s">
        <v>157</v>
      </c>
      <c r="M9187" s="755"/>
      <c r="N9187" s="755"/>
      <c r="O9187" s="755"/>
      <c r="P9187" s="755"/>
      <c r="R9187" s="775">
        <f ca="1">SUMIF($L9074:$L9185,"ITEM",R9074:R9185)</f>
        <v>1217.7810000000002</v>
      </c>
      <c r="S9187" s="776"/>
      <c r="T9187" s="775">
        <f ca="1">SUMIF($L9074:$L9185,"ITEM",T9074:T9185)</f>
        <v>11.279999999999998</v>
      </c>
      <c r="AS9187" s="775">
        <v>1918.3200000000002</v>
      </c>
    </row>
    <row r="9188" spans="1:45" s="520" customFormat="1" ht="13.2">
      <c r="A9188" s="51"/>
      <c r="B9188" s="49" t="s">
        <v>1064</v>
      </c>
      <c r="C9188" s="51"/>
      <c r="D9188" s="3"/>
      <c r="F9188" s="777" t="s">
        <v>158</v>
      </c>
      <c r="G9188" s="758"/>
      <c r="H9188" s="758"/>
      <c r="I9188" s="519"/>
      <c r="J9188" s="758"/>
      <c r="K9188" s="758"/>
      <c r="L9188" s="758"/>
      <c r="M9188" s="758"/>
      <c r="N9188" s="758"/>
      <c r="O9188" s="758"/>
      <c r="P9188" s="758"/>
      <c r="Q9188" s="778"/>
      <c r="R9188" s="777" t="s">
        <v>159</v>
      </c>
      <c r="S9188" s="38"/>
      <c r="T9188" s="777" t="s">
        <v>160</v>
      </c>
      <c r="AR9188" s="51"/>
      <c r="AS9188" s="777" t="s">
        <v>158</v>
      </c>
    </row>
    <row r="9189" spans="1:45" s="520" customFormat="1" ht="13.2">
      <c r="A9189" s="758"/>
      <c r="B9189" s="3"/>
      <c r="C9189" s="758"/>
      <c r="D9189" s="3"/>
      <c r="E9189" s="3"/>
      <c r="G9189" s="3"/>
      <c r="H9189" s="3"/>
      <c r="I9189" s="3"/>
      <c r="J9189" s="3"/>
      <c r="K9189" s="3"/>
      <c r="L9189" s="3"/>
      <c r="M9189" s="3"/>
      <c r="N9189" s="3"/>
      <c r="O9189" s="107"/>
      <c r="P9189" s="3"/>
      <c r="Q9189" s="3"/>
      <c r="R9189" s="3"/>
      <c r="S9189" s="3"/>
      <c r="T9189" s="3"/>
      <c r="AR9189" s="758"/>
    </row>
    <row r="9190" spans="1:45" s="520" customFormat="1" ht="12" thickBot="1">
      <c r="A9190" s="531"/>
      <c r="B9190" s="763"/>
      <c r="C9190" s="763"/>
      <c r="D9190" s="531"/>
      <c r="E9190" s="39"/>
      <c r="F9190" s="779"/>
      <c r="G9190" s="763"/>
      <c r="H9190" s="763"/>
      <c r="I9190" s="765"/>
      <c r="J9190" s="763"/>
      <c r="K9190" s="763"/>
      <c r="L9190" s="766"/>
      <c r="M9190" s="766"/>
      <c r="N9190" s="766"/>
      <c r="O9190" s="766"/>
      <c r="P9190" s="766"/>
      <c r="Q9190" s="767"/>
      <c r="R9190" s="779"/>
      <c r="S9190" s="780"/>
      <c r="T9190" s="779"/>
      <c r="U9190" s="531"/>
      <c r="V9190" s="531"/>
      <c r="W9190" s="531"/>
      <c r="X9190" s="531"/>
      <c r="Y9190" s="531"/>
      <c r="Z9190" s="531"/>
      <c r="AA9190" s="531"/>
      <c r="AB9190" s="531"/>
      <c r="AC9190" s="531"/>
      <c r="AD9190" s="531"/>
      <c r="AE9190" s="531"/>
      <c r="AF9190" s="531"/>
      <c r="AG9190" s="531"/>
      <c r="AH9190" s="531"/>
      <c r="AI9190" s="531"/>
      <c r="AJ9190" s="531"/>
      <c r="AK9190" s="531"/>
      <c r="AR9190" s="531"/>
      <c r="AS9190" s="779"/>
    </row>
    <row r="9191" spans="1:45" s="520" customFormat="1" thickTop="1">
      <c r="A9191" s="51"/>
      <c r="B9191" s="51"/>
      <c r="C9191" s="3"/>
      <c r="D9191" s="3"/>
      <c r="E9191" s="51"/>
      <c r="F9191" s="51"/>
      <c r="G9191" s="51"/>
      <c r="H9191" s="51"/>
      <c r="I9191" s="51"/>
      <c r="J9191" s="51"/>
      <c r="K9191" s="51" t="s">
        <v>134</v>
      </c>
      <c r="L9191" s="51"/>
      <c r="M9191" s="51"/>
      <c r="N9191" s="51"/>
      <c r="O9191" s="52"/>
      <c r="P9191" s="51"/>
      <c r="Q9191" s="51"/>
      <c r="R9191" s="51"/>
      <c r="S9191" s="51"/>
      <c r="T9191" s="51"/>
      <c r="AR9191" s="51"/>
      <c r="AS9191" s="51"/>
    </row>
    <row r="9192" spans="1:45" s="520" customFormat="1" ht="12">
      <c r="A9192" s="51"/>
      <c r="B9192" s="51"/>
      <c r="C9192" s="51" t="s">
        <v>135</v>
      </c>
      <c r="D9192" s="37"/>
      <c r="E9192" s="51"/>
      <c r="F9192" s="51"/>
      <c r="G9192" s="51"/>
      <c r="H9192" s="51"/>
      <c r="I9192" s="51"/>
      <c r="J9192" s="51"/>
      <c r="K9192" s="51"/>
      <c r="L9192" s="51"/>
      <c r="M9192" s="51"/>
      <c r="N9192" s="51"/>
      <c r="O9192" s="52"/>
      <c r="P9192" s="51"/>
      <c r="Q9192" s="51"/>
      <c r="R9192" s="51"/>
      <c r="S9192" s="51"/>
      <c r="T9192" s="51"/>
      <c r="AR9192" s="51"/>
      <c r="AS9192" s="51"/>
    </row>
    <row r="9193" spans="1:45" s="520" customFormat="1" ht="12">
      <c r="A9193" s="51"/>
      <c r="B9193" s="51"/>
      <c r="C9193" s="51"/>
      <c r="D9193" s="37" t="s">
        <v>2094</v>
      </c>
      <c r="E9193" s="51"/>
      <c r="F9193" s="51"/>
      <c r="G9193" s="51"/>
      <c r="H9193" s="51"/>
      <c r="I9193" s="51"/>
      <c r="J9193" s="51"/>
      <c r="K9193" s="51"/>
      <c r="L9193" s="51"/>
      <c r="M9193" s="51"/>
      <c r="N9193" s="51"/>
      <c r="O9193" s="52"/>
      <c r="P9193" s="51"/>
      <c r="Q9193" s="51"/>
      <c r="R9193" s="51"/>
      <c r="S9193" s="38"/>
      <c r="T9193" s="38"/>
      <c r="AR9193" s="51"/>
      <c r="AS9193" s="51"/>
    </row>
    <row r="9194" spans="1:45" s="3" customFormat="1" thickBot="1">
      <c r="A9194" s="531"/>
      <c r="O9194" s="107"/>
      <c r="AR9194" s="531"/>
    </row>
    <row r="9195" spans="1:45" s="520" customFormat="1" thickTop="1">
      <c r="A9195" s="51"/>
      <c r="B9195" s="51"/>
      <c r="C9195" s="3"/>
      <c r="D9195" s="3"/>
      <c r="E9195" s="51"/>
      <c r="F9195" s="51"/>
      <c r="G9195" s="51"/>
      <c r="H9195" s="51"/>
      <c r="I9195" s="51"/>
      <c r="J9195" s="51"/>
      <c r="K9195" s="51" t="s">
        <v>134</v>
      </c>
      <c r="L9195" s="51"/>
      <c r="M9195" s="51"/>
      <c r="N9195" s="51"/>
      <c r="O9195" s="52"/>
      <c r="P9195" s="51"/>
      <c r="Q9195" s="51"/>
      <c r="R9195" s="51"/>
      <c r="S9195" s="51"/>
      <c r="T9195" s="51"/>
      <c r="AR9195" s="51"/>
      <c r="AS9195" s="51"/>
    </row>
    <row r="9196" spans="1:45" s="520" customFormat="1" ht="12">
      <c r="A9196" s="51"/>
      <c r="B9196" s="51"/>
      <c r="C9196" s="51" t="s">
        <v>135</v>
      </c>
      <c r="D9196" s="37"/>
      <c r="E9196" s="51"/>
      <c r="F9196" s="51"/>
      <c r="G9196" s="51"/>
      <c r="H9196" s="51"/>
      <c r="I9196" s="51"/>
      <c r="J9196" s="51"/>
      <c r="K9196" s="51"/>
      <c r="L9196" s="51"/>
      <c r="M9196" s="51"/>
      <c r="N9196" s="51"/>
      <c r="O9196" s="52"/>
      <c r="P9196" s="51"/>
      <c r="Q9196" s="51"/>
      <c r="R9196" s="51"/>
      <c r="S9196" s="51"/>
      <c r="T9196" s="51"/>
      <c r="AR9196" s="51"/>
      <c r="AS9196" s="51"/>
    </row>
    <row r="9197" spans="1:45" s="520" customFormat="1" ht="12">
      <c r="A9197" s="51"/>
      <c r="B9197" s="51"/>
      <c r="C9197" s="51"/>
      <c r="D9197" s="37" t="s">
        <v>2095</v>
      </c>
      <c r="E9197" s="51"/>
      <c r="F9197" s="51"/>
      <c r="G9197" s="51"/>
      <c r="H9197" s="51"/>
      <c r="I9197" s="51"/>
      <c r="J9197" s="51"/>
      <c r="K9197" s="51"/>
      <c r="L9197" s="51"/>
      <c r="M9197" s="51"/>
      <c r="N9197" s="51"/>
      <c r="O9197" s="52"/>
      <c r="P9197" s="51"/>
      <c r="Q9197" s="51"/>
      <c r="R9197" s="51"/>
      <c r="S9197" s="38"/>
      <c r="T9197" s="38"/>
      <c r="AR9197" s="51"/>
      <c r="AS9197" s="51"/>
    </row>
    <row r="9198" spans="1:45" s="3" customFormat="1" thickBot="1">
      <c r="A9198" s="531"/>
      <c r="O9198" s="107"/>
      <c r="AR9198" s="531"/>
    </row>
    <row r="9199" spans="1:45" s="520" customFormat="1" thickTop="1">
      <c r="A9199" s="51"/>
      <c r="B9199" s="51"/>
      <c r="C9199" s="3"/>
      <c r="D9199" s="3"/>
      <c r="E9199" s="51"/>
      <c r="F9199" s="51"/>
      <c r="G9199" s="51"/>
      <c r="H9199" s="51"/>
      <c r="I9199" s="51"/>
      <c r="J9199" s="51"/>
      <c r="K9199" s="51" t="s">
        <v>134</v>
      </c>
      <c r="L9199" s="51"/>
      <c r="M9199" s="51"/>
      <c r="N9199" s="51"/>
      <c r="O9199" s="52"/>
      <c r="P9199" s="51"/>
      <c r="Q9199" s="51"/>
      <c r="R9199" s="51"/>
      <c r="S9199" s="51"/>
      <c r="T9199" s="51"/>
      <c r="AR9199" s="51"/>
      <c r="AS9199" s="51"/>
    </row>
    <row r="9200" spans="1:45" s="520" customFormat="1" ht="12">
      <c r="A9200" s="51"/>
      <c r="B9200" s="51"/>
      <c r="C9200" s="51" t="s">
        <v>135</v>
      </c>
      <c r="D9200" s="37"/>
      <c r="E9200" s="51"/>
      <c r="F9200" s="51"/>
      <c r="G9200" s="51"/>
      <c r="H9200" s="51"/>
      <c r="I9200" s="51"/>
      <c r="J9200" s="51"/>
      <c r="K9200" s="51"/>
      <c r="L9200" s="51"/>
      <c r="M9200" s="51"/>
      <c r="N9200" s="51"/>
      <c r="O9200" s="52"/>
      <c r="P9200" s="51"/>
      <c r="Q9200" s="51"/>
      <c r="R9200" s="51"/>
      <c r="S9200" s="51"/>
      <c r="T9200" s="51"/>
      <c r="AR9200" s="51"/>
      <c r="AS9200" s="51"/>
    </row>
    <row r="9201" spans="1:45" s="520" customFormat="1" ht="39.9" customHeight="1">
      <c r="A9201" s="51"/>
      <c r="B9201" s="51"/>
      <c r="C9201" s="51"/>
      <c r="D9201" s="1453" t="s">
        <v>2276</v>
      </c>
      <c r="E9201" s="1452"/>
      <c r="F9201" s="1452"/>
      <c r="G9201" s="1452"/>
      <c r="H9201" s="1452"/>
      <c r="I9201" s="1452"/>
      <c r="J9201" s="1452"/>
      <c r="K9201" s="1452"/>
      <c r="L9201" s="1452"/>
      <c r="M9201" s="1452"/>
      <c r="N9201" s="1452"/>
      <c r="O9201" s="1452"/>
      <c r="P9201" s="1452"/>
      <c r="Q9201" s="1452"/>
      <c r="R9201" s="1452"/>
      <c r="S9201" s="1452"/>
      <c r="T9201" s="1452"/>
      <c r="AR9201" s="51"/>
    </row>
    <row r="9202" spans="1:45" s="3" customFormat="1" thickBot="1">
      <c r="A9202" s="531"/>
      <c r="O9202" s="107"/>
      <c r="AR9202" s="531"/>
    </row>
    <row r="9203" spans="1:45" s="520" customFormat="1" ht="12" thickTop="1">
      <c r="A9203" s="51"/>
      <c r="B9203" s="41"/>
      <c r="C9203" s="51"/>
      <c r="E9203" s="42" t="s">
        <v>138</v>
      </c>
      <c r="F9203" s="42" t="s">
        <v>139</v>
      </c>
      <c r="G9203" s="51"/>
      <c r="H9203" s="51"/>
      <c r="I9203" s="51"/>
      <c r="J9203" s="51"/>
      <c r="K9203" s="51" t="s">
        <v>140</v>
      </c>
      <c r="L9203" s="51"/>
      <c r="M9203" s="51"/>
      <c r="N9203" s="51"/>
      <c r="O9203" s="52"/>
      <c r="P9203" s="51"/>
      <c r="Q9203" s="51"/>
      <c r="R9203" s="51"/>
      <c r="S9203" s="51"/>
      <c r="T9203" s="41"/>
      <c r="AG9203" s="521" t="s">
        <v>268</v>
      </c>
      <c r="AH9203" s="521" t="s">
        <v>269</v>
      </c>
      <c r="AI9203" s="521" t="s">
        <v>270</v>
      </c>
      <c r="AJ9203" s="521" t="s">
        <v>271</v>
      </c>
      <c r="AK9203" s="521" t="s">
        <v>272</v>
      </c>
      <c r="AM9203" s="745" t="s">
        <v>281</v>
      </c>
      <c r="AN9203" s="746" t="s">
        <v>282</v>
      </c>
      <c r="AO9203" s="522" t="s">
        <v>278</v>
      </c>
      <c r="AR9203" s="51"/>
      <c r="AS9203" s="42" t="s">
        <v>139</v>
      </c>
    </row>
    <row r="9204" spans="1:45" s="520" customFormat="1" ht="12" customHeight="1">
      <c r="A9204" s="747">
        <v>26</v>
      </c>
      <c r="B9204" s="523" t="s">
        <v>141</v>
      </c>
      <c r="C9204" s="748"/>
      <c r="D9204" s="749" t="s">
        <v>2421</v>
      </c>
      <c r="E9204" s="750">
        <f ca="1">IF(AND($A9204=0,$A$1="DIF"),0, ROUND(ROUND(($R9212*$S$2+($T9212*$T$2))/A9204,2)*$C$2,2))</f>
        <v>108.78</v>
      </c>
      <c r="F9204" s="751">
        <f ca="1">ROUND($A9204*$E9204,2)</f>
        <v>2828.28</v>
      </c>
      <c r="G9204" s="752" t="s">
        <v>142</v>
      </c>
      <c r="H9204" s="753"/>
      <c r="I9204" s="754"/>
      <c r="J9204" s="753"/>
      <c r="K9204" s="753" t="s">
        <v>3</v>
      </c>
      <c r="L9204" s="755" t="s">
        <v>143</v>
      </c>
      <c r="M9204" s="755"/>
      <c r="N9204" s="755"/>
      <c r="O9204" s="755"/>
      <c r="P9204" s="755"/>
      <c r="Q9204" s="51"/>
      <c r="T9204" s="756" t="str">
        <f ca="1">IF(AND($R9212=0,$T9212=0),"0.00","mu :" &amp; ROUND($F9204/$C$2/($R9212+$T9212*$D$9),2))</f>
        <v>mu :1.23</v>
      </c>
      <c r="W9204" s="524"/>
      <c r="AG9204" s="481">
        <f ca="1">IF($E9204=0,0,ROUND($R9212*$S$2*$C$2/$A9204,2))</f>
        <v>47.92</v>
      </c>
      <c r="AH9204" s="481">
        <f ca="1">$AG9204*$A9204</f>
        <v>1245.92</v>
      </c>
      <c r="AI9204" s="525">
        <f ca="1">$E9204-$AG9204</f>
        <v>60.86</v>
      </c>
      <c r="AJ9204" s="525">
        <f ca="1">$A9204*$AI9204</f>
        <v>1582.36</v>
      </c>
      <c r="AK9204" s="526">
        <f ca="1">ROUND(($AG9204+$AI9204)*$A9204,2)</f>
        <v>2828.28</v>
      </c>
      <c r="AM9204" s="527">
        <f ca="1">ROUND(R9212,2)</f>
        <v>1011.78</v>
      </c>
      <c r="AN9204" s="528">
        <f ca="1">ROUND(T9212,2)</f>
        <v>46.8</v>
      </c>
      <c r="AO9204" s="529">
        <f ca="1">ROUND(AM9204+AN9204,2)*A9204</f>
        <v>27523.079999999998</v>
      </c>
      <c r="AR9204" s="747">
        <v>26</v>
      </c>
      <c r="AS9204" s="751">
        <v>3004.04</v>
      </c>
    </row>
    <row r="9205" spans="1:45" s="520" customFormat="1" ht="13.2">
      <c r="A9205" s="748"/>
      <c r="B9205"/>
      <c r="C9205" s="748"/>
      <c r="D9205" s="749" t="s">
        <v>2061</v>
      </c>
      <c r="F9205" s="753"/>
      <c r="G9205" s="3"/>
      <c r="H9205" s="753"/>
      <c r="I9205" s="754"/>
      <c r="J9205" s="753"/>
      <c r="K9205" s="753" t="s">
        <v>144</v>
      </c>
      <c r="L9205" s="753"/>
      <c r="M9205" s="753"/>
      <c r="N9205" s="753"/>
      <c r="O9205" s="753"/>
      <c r="P9205" s="753"/>
      <c r="Q9205" s="51"/>
      <c r="R9205" s="530"/>
      <c r="S9205" s="757"/>
      <c r="T9205" s="753"/>
      <c r="AR9205" s="748"/>
      <c r="AS9205" s="753"/>
    </row>
    <row r="9206" spans="1:45" s="886" customFormat="1" ht="13.2">
      <c r="A9206"/>
      <c r="B9206" s="910"/>
      <c r="C9206" s="910" t="s">
        <v>2597</v>
      </c>
      <c r="D9206" s="910" t="str">
        <f ca="1">CELL("Address",Elec_Rates!D$1023)</f>
        <v>[E25_0062_Quintano_Foods_Elec_ELV_As_Awarded.xlsx]Elec_Rates!$D$1023</v>
      </c>
      <c r="E9206" s="911"/>
      <c r="F9206" s="911"/>
      <c r="G9206" s="912" t="s">
        <v>2598</v>
      </c>
      <c r="H9206" s="912"/>
      <c r="I9206" s="912"/>
      <c r="J9206" s="912"/>
      <c r="K9206" s="913"/>
      <c r="L9206" s="911"/>
      <c r="M9206" s="911"/>
      <c r="N9206" s="911"/>
      <c r="O9206" s="914"/>
      <c r="P9206" s="911"/>
      <c r="Q9206" s="915"/>
      <c r="R9206" s="916"/>
      <c r="S9206" s="915"/>
      <c r="T9206" s="917"/>
      <c r="U9206" s="918"/>
      <c r="AR9206"/>
      <c r="AS9206" s="911"/>
    </row>
    <row r="9207" spans="1:45" s="886" customFormat="1" ht="11.4">
      <c r="A9207" s="919">
        <v>26</v>
      </c>
      <c r="B9207" s="920">
        <v>1</v>
      </c>
      <c r="C9207" s="920">
        <f>$A9207*$B9207</f>
        <v>26</v>
      </c>
      <c r="D9207" s="921" t="str">
        <f>Elec_Rates!$D$1023</f>
        <v>091# Galvanised Conduit points for Fire alarm devices</v>
      </c>
      <c r="E9207" s="921"/>
      <c r="F9207" s="921" t="s">
        <v>2599</v>
      </c>
      <c r="G9207" s="922" t="s">
        <v>2601</v>
      </c>
      <c r="H9207" s="922"/>
      <c r="I9207" s="922"/>
      <c r="J9207" s="922"/>
      <c r="K9207" s="923"/>
      <c r="L9207" s="918"/>
      <c r="M9207" s="918"/>
      <c r="N9207" s="918"/>
      <c r="O9207" s="924"/>
      <c r="P9207" s="921"/>
      <c r="Q9207" s="925">
        <f ca="1">$B9207*Elec_Rates!$R$1023</f>
        <v>30.3</v>
      </c>
      <c r="R9207" s="916">
        <f ca="1">$A9207*Q9207</f>
        <v>787.80000000000007</v>
      </c>
      <c r="S9207" s="925">
        <f ca="1">$B9207*Elec_Rates!$T$1023</f>
        <v>1.8</v>
      </c>
      <c r="T9207" s="917">
        <f ca="1">$A9207*S9207</f>
        <v>46.800000000000004</v>
      </c>
      <c r="U9207" s="926"/>
      <c r="AR9207" s="919">
        <v>26</v>
      </c>
      <c r="AS9207" s="921" t="s">
        <v>2599</v>
      </c>
    </row>
    <row r="9208" spans="1:45" s="886" customFormat="1" ht="11.4">
      <c r="A9208" s="919"/>
      <c r="B9208" s="920"/>
      <c r="C9208" s="920"/>
      <c r="D9208" s="1156" t="s">
        <v>3612</v>
      </c>
      <c r="E9208" s="921"/>
      <c r="F9208" s="921"/>
      <c r="G9208" s="922"/>
      <c r="H9208" s="922"/>
      <c r="I9208" s="922"/>
      <c r="J9208" s="922"/>
      <c r="K9208" s="923"/>
      <c r="L9208" s="918"/>
      <c r="M9208" s="918"/>
      <c r="N9208" s="918"/>
      <c r="O9208" s="924"/>
      <c r="P9208" s="921"/>
      <c r="Q9208" s="925"/>
      <c r="R9208" s="916"/>
      <c r="S9208" s="925"/>
      <c r="T9208" s="917"/>
      <c r="U9208" s="926"/>
      <c r="AR9208" s="919"/>
      <c r="AS9208" s="921"/>
    </row>
    <row r="9209" spans="1:45" s="901" customFormat="1" ht="11.4">
      <c r="A9209" s="919">
        <v>1</v>
      </c>
      <c r="B9209" s="1084" t="s">
        <v>863</v>
      </c>
      <c r="C9209" s="1084"/>
      <c r="D9209" s="1084" t="s">
        <v>2752</v>
      </c>
      <c r="E9209" s="1084"/>
      <c r="F9209" s="1084" t="s">
        <v>3326</v>
      </c>
      <c r="G9209" s="1091" t="s">
        <v>2754</v>
      </c>
      <c r="H9209" s="1092">
        <v>962</v>
      </c>
      <c r="I9209" s="1084" t="s">
        <v>2596</v>
      </c>
      <c r="J9209" s="1084"/>
      <c r="K9209" s="1084"/>
      <c r="L9209" s="1084"/>
      <c r="M9209" s="1084"/>
      <c r="N9209" s="1084"/>
      <c r="O9209" s="1093">
        <v>2</v>
      </c>
      <c r="P9209" s="1094">
        <v>38129</v>
      </c>
      <c r="Q9209" s="945">
        <f>0.41 *(1 *((1.69*18)/8*120))</f>
        <v>187.08299999999997</v>
      </c>
      <c r="R9209" s="1096">
        <f t="shared" ref="R9209:R9210" si="820">$A9209*Q9209</f>
        <v>187.08299999999997</v>
      </c>
      <c r="S9209" s="1095"/>
      <c r="T9209" s="1097">
        <f t="shared" ref="T9209:T9210" si="821">$A9209*S9209*$T$1</f>
        <v>0</v>
      </c>
      <c r="AR9209" s="919">
        <v>1</v>
      </c>
      <c r="AS9209" s="1084" t="s">
        <v>3326</v>
      </c>
    </row>
    <row r="9210" spans="1:45" s="901" customFormat="1" ht="11.4">
      <c r="A9210" s="919">
        <v>1</v>
      </c>
      <c r="B9210" s="901" t="s">
        <v>2755</v>
      </c>
      <c r="D9210" s="901" t="s">
        <v>3325</v>
      </c>
      <c r="F9210" s="901" t="s">
        <v>3666</v>
      </c>
      <c r="G9210" s="941" t="s">
        <v>3324</v>
      </c>
      <c r="H9210" s="942">
        <v>845</v>
      </c>
      <c r="I9210" s="901" t="s">
        <v>2607</v>
      </c>
      <c r="O9210" s="943">
        <v>3</v>
      </c>
      <c r="P9210" s="944">
        <v>39713</v>
      </c>
      <c r="Q9210" s="945">
        <f>0.41 *((1.6*18)/8*25)</f>
        <v>36.9</v>
      </c>
      <c r="R9210" s="946">
        <f t="shared" si="820"/>
        <v>36.9</v>
      </c>
      <c r="S9210" s="945"/>
      <c r="T9210" s="947">
        <f t="shared" si="821"/>
        <v>0</v>
      </c>
      <c r="AR9210" s="919">
        <v>1</v>
      </c>
      <c r="AS9210" s="901" t="s">
        <v>3666</v>
      </c>
    </row>
    <row r="9211" spans="1:45" s="520" customFormat="1" ht="12">
      <c r="A9211" s="758"/>
      <c r="B9211" s="758"/>
      <c r="C9211" s="758"/>
      <c r="D9211" s="758"/>
      <c r="E9211" s="758"/>
      <c r="F9211" s="753"/>
      <c r="G9211" s="758"/>
      <c r="H9211" s="758"/>
      <c r="I9211" s="519"/>
      <c r="J9211" s="758"/>
      <c r="K9211" s="758"/>
      <c r="L9211" s="758"/>
      <c r="M9211" s="758"/>
      <c r="N9211" s="758"/>
      <c r="O9211" s="758"/>
      <c r="P9211" s="758"/>
      <c r="Q9211" s="519"/>
      <c r="R9211" s="759">
        <f>$A9211*Q9211</f>
        <v>0</v>
      </c>
      <c r="S9211" s="519"/>
      <c r="T9211" s="760">
        <f>$A9211*S9211*$T$1</f>
        <v>0</v>
      </c>
      <c r="AR9211" s="758"/>
      <c r="AS9211" s="753"/>
    </row>
    <row r="9212" spans="1:45" s="520" customFormat="1" ht="12.6" thickBot="1">
      <c r="A9212" s="761" t="s">
        <v>145</v>
      </c>
      <c r="B9212" s="762">
        <f>(R9211+T9211)</f>
        <v>0</v>
      </c>
      <c r="C9212" s="763"/>
      <c r="D9212" s="763"/>
      <c r="E9212" s="763"/>
      <c r="F9212" s="764"/>
      <c r="G9212" s="763" t="s">
        <v>146</v>
      </c>
      <c r="H9212" s="763"/>
      <c r="I9212" s="765"/>
      <c r="J9212" s="763"/>
      <c r="K9212" s="763" t="s">
        <v>3</v>
      </c>
      <c r="L9212" s="766" t="s">
        <v>143</v>
      </c>
      <c r="M9212" s="766"/>
      <c r="N9212" s="766"/>
      <c r="O9212" s="766"/>
      <c r="P9212" s="766"/>
      <c r="Q9212" s="767"/>
      <c r="R9212" s="768">
        <f ca="1">SUM(R9205:R9211)</f>
        <v>1011.783</v>
      </c>
      <c r="S9212" s="763"/>
      <c r="T9212" s="768">
        <f ca="1">SUM(T9205:T9211)</f>
        <v>46.800000000000004</v>
      </c>
      <c r="U9212" s="531"/>
      <c r="V9212" s="531"/>
      <c r="W9212" s="531"/>
      <c r="X9212" s="531"/>
      <c r="Y9212" s="531"/>
      <c r="Z9212" s="531"/>
      <c r="AA9212" s="531"/>
      <c r="AB9212" s="531"/>
      <c r="AC9212" s="531"/>
      <c r="AD9212" s="531"/>
      <c r="AE9212" s="531"/>
      <c r="AF9212" s="531"/>
      <c r="AG9212" s="531"/>
      <c r="AH9212" s="531"/>
      <c r="AI9212" s="531"/>
      <c r="AJ9212" s="531"/>
      <c r="AK9212" s="531"/>
      <c r="AL9212" s="531"/>
      <c r="AM9212" s="531"/>
      <c r="AN9212" s="531"/>
      <c r="AO9212" s="531"/>
      <c r="AR9212" s="761" t="s">
        <v>145</v>
      </c>
      <c r="AS9212" s="764"/>
    </row>
    <row r="9213" spans="1:45" s="520" customFormat="1" ht="12" thickTop="1">
      <c r="A9213" s="51"/>
      <c r="B9213" s="41"/>
      <c r="C9213" s="51"/>
      <c r="E9213" s="42" t="s">
        <v>138</v>
      </c>
      <c r="F9213" s="42" t="s">
        <v>139</v>
      </c>
      <c r="G9213" s="51"/>
      <c r="H9213" s="51"/>
      <c r="I9213" s="51"/>
      <c r="J9213" s="51"/>
      <c r="K9213" s="51" t="s">
        <v>140</v>
      </c>
      <c r="L9213" s="51"/>
      <c r="M9213" s="51"/>
      <c r="N9213" s="51"/>
      <c r="O9213" s="52"/>
      <c r="P9213" s="51"/>
      <c r="Q9213" s="51"/>
      <c r="R9213" s="51"/>
      <c r="S9213" s="51"/>
      <c r="T9213" s="41"/>
      <c r="AG9213" s="521" t="s">
        <v>268</v>
      </c>
      <c r="AH9213" s="521" t="s">
        <v>269</v>
      </c>
      <c r="AI9213" s="521" t="s">
        <v>270</v>
      </c>
      <c r="AJ9213" s="521" t="s">
        <v>271</v>
      </c>
      <c r="AK9213" s="521" t="s">
        <v>272</v>
      </c>
      <c r="AM9213" s="745" t="s">
        <v>281</v>
      </c>
      <c r="AN9213" s="746" t="s">
        <v>282</v>
      </c>
      <c r="AO9213" s="522" t="s">
        <v>278</v>
      </c>
      <c r="AR9213" s="51"/>
      <c r="AS9213" s="42" t="s">
        <v>139</v>
      </c>
    </row>
    <row r="9214" spans="1:45" s="520" customFormat="1" ht="12" customHeight="1">
      <c r="A9214" s="747">
        <v>3</v>
      </c>
      <c r="B9214" s="523" t="s">
        <v>141</v>
      </c>
      <c r="C9214" s="748"/>
      <c r="D9214" s="749" t="s">
        <v>2422</v>
      </c>
      <c r="E9214" s="750">
        <f ca="1">IF(AND($A9214=0,$A$1="DIF"),0, ROUND(ROUND(($R9219*$S$2+($T9219*$T$2))/A9214,2)*$C$2,2))</f>
        <v>98.17</v>
      </c>
      <c r="F9214" s="751">
        <f ca="1">ROUND($A9214*$E9214,2)</f>
        <v>294.51</v>
      </c>
      <c r="G9214" s="752" t="s">
        <v>142</v>
      </c>
      <c r="H9214" s="753"/>
      <c r="I9214" s="754"/>
      <c r="J9214" s="753"/>
      <c r="K9214" s="753" t="s">
        <v>3</v>
      </c>
      <c r="L9214" s="755" t="s">
        <v>143</v>
      </c>
      <c r="M9214" s="755"/>
      <c r="N9214" s="755"/>
      <c r="O9214" s="755"/>
      <c r="P9214" s="755"/>
      <c r="Q9214" s="51"/>
      <c r="T9214" s="756" t="str">
        <f ca="1">IF(AND($R9219=0,$T9219=0),"0.00","mu :" &amp; ROUND($F9214/$C$2/($R9219+$T9219*$D$9),2))</f>
        <v>mu :1.23</v>
      </c>
      <c r="W9214" s="524"/>
      <c r="AG9214" s="481">
        <f ca="1">IF($E9214=0,0,ROUND($R9219*$S$2*$C$2/$A9214,2))</f>
        <v>37.31</v>
      </c>
      <c r="AH9214" s="481">
        <f ca="1">$AG9214*$A9214</f>
        <v>111.93</v>
      </c>
      <c r="AI9214" s="525">
        <f ca="1">$E9214-$AG9214</f>
        <v>60.86</v>
      </c>
      <c r="AJ9214" s="525">
        <f ca="1">$A9214*$AI9214</f>
        <v>182.57999999999998</v>
      </c>
      <c r="AK9214" s="526">
        <f ca="1">ROUND(($AG9214+$AI9214)*$A9214,2)</f>
        <v>294.51</v>
      </c>
      <c r="AM9214" s="527">
        <f ca="1">ROUND(R9219,2)</f>
        <v>90.9</v>
      </c>
      <c r="AN9214" s="528">
        <f ca="1">ROUND(T9219,2)</f>
        <v>5.4</v>
      </c>
      <c r="AO9214" s="529">
        <f ca="1">ROUND(AM9214+AN9214,2)*A9214</f>
        <v>288.89999999999998</v>
      </c>
      <c r="AR9214" s="747">
        <v>3</v>
      </c>
      <c r="AS9214" s="751">
        <v>314.82</v>
      </c>
    </row>
    <row r="9215" spans="1:45" s="520" customFormat="1" ht="13.2">
      <c r="A9215" s="748"/>
      <c r="B9215"/>
      <c r="C9215" s="748"/>
      <c r="D9215" s="749" t="s">
        <v>2062</v>
      </c>
      <c r="F9215" s="753"/>
      <c r="G9215" s="3"/>
      <c r="H9215" s="753"/>
      <c r="I9215" s="754"/>
      <c r="J9215" s="753"/>
      <c r="K9215" s="753" t="s">
        <v>144</v>
      </c>
      <c r="L9215" s="753"/>
      <c r="M9215" s="753"/>
      <c r="N9215" s="753"/>
      <c r="O9215" s="753"/>
      <c r="P9215" s="753"/>
      <c r="Q9215" s="51"/>
      <c r="R9215" s="530"/>
      <c r="S9215" s="757"/>
      <c r="T9215" s="753"/>
      <c r="AR9215" s="748"/>
      <c r="AS9215" s="753"/>
    </row>
    <row r="9216" spans="1:45" s="886" customFormat="1" ht="13.2">
      <c r="A9216"/>
      <c r="B9216" s="910"/>
      <c r="C9216" s="910" t="s">
        <v>2597</v>
      </c>
      <c r="D9216" s="910" t="str">
        <f ca="1">CELL("Address",Elec_Rates!D$1023)</f>
        <v>[E25_0062_Quintano_Foods_Elec_ELV_As_Awarded.xlsx]Elec_Rates!$D$1023</v>
      </c>
      <c r="E9216" s="911"/>
      <c r="F9216" s="911"/>
      <c r="G9216" s="912" t="s">
        <v>2598</v>
      </c>
      <c r="H9216" s="912"/>
      <c r="I9216" s="912"/>
      <c r="J9216" s="912"/>
      <c r="K9216" s="913"/>
      <c r="L9216" s="911"/>
      <c r="M9216" s="911"/>
      <c r="N9216" s="911"/>
      <c r="O9216" s="914"/>
      <c r="P9216" s="911"/>
      <c r="Q9216" s="915"/>
      <c r="R9216" s="916"/>
      <c r="S9216" s="915"/>
      <c r="T9216" s="917"/>
      <c r="U9216" s="918"/>
      <c r="AR9216"/>
      <c r="AS9216" s="911"/>
    </row>
    <row r="9217" spans="1:45" s="886" customFormat="1" ht="11.4">
      <c r="A9217" s="919">
        <v>3</v>
      </c>
      <c r="B9217" s="920">
        <v>1</v>
      </c>
      <c r="C9217" s="920">
        <f>$A9217*$B9217</f>
        <v>3</v>
      </c>
      <c r="D9217" s="921" t="str">
        <f>Elec_Rates!$D$1023</f>
        <v>091# Galvanised Conduit points for Fire alarm devices</v>
      </c>
      <c r="E9217" s="921"/>
      <c r="F9217" s="921" t="s">
        <v>2599</v>
      </c>
      <c r="G9217" s="922" t="s">
        <v>2601</v>
      </c>
      <c r="H9217" s="922"/>
      <c r="I9217" s="922"/>
      <c r="J9217" s="922"/>
      <c r="K9217" s="923"/>
      <c r="L9217" s="918"/>
      <c r="M9217" s="918"/>
      <c r="N9217" s="918"/>
      <c r="O9217" s="924"/>
      <c r="P9217" s="921"/>
      <c r="Q9217" s="925">
        <f ca="1">$B9217*Elec_Rates!$R$1023</f>
        <v>30.3</v>
      </c>
      <c r="R9217" s="916">
        <f ca="1">$A9217*Q9217</f>
        <v>90.9</v>
      </c>
      <c r="S9217" s="925">
        <f ca="1">$B9217*Elec_Rates!$T$1023</f>
        <v>1.8</v>
      </c>
      <c r="T9217" s="917">
        <f ca="1">$A9217*S9217</f>
        <v>5.4</v>
      </c>
      <c r="U9217" s="926"/>
      <c r="AR9217" s="919">
        <v>3</v>
      </c>
      <c r="AS9217" s="921" t="s">
        <v>2599</v>
      </c>
    </row>
    <row r="9218" spans="1:45" s="520" customFormat="1" ht="12">
      <c r="A9218" s="758"/>
      <c r="B9218" s="758"/>
      <c r="C9218" s="758"/>
      <c r="D9218" s="758"/>
      <c r="E9218" s="758"/>
      <c r="F9218" s="753"/>
      <c r="G9218" s="758"/>
      <c r="H9218" s="758"/>
      <c r="I9218" s="519"/>
      <c r="J9218" s="758"/>
      <c r="K9218" s="758"/>
      <c r="L9218" s="758"/>
      <c r="M9218" s="758"/>
      <c r="N9218" s="758"/>
      <c r="O9218" s="758"/>
      <c r="P9218" s="758"/>
      <c r="Q9218" s="519"/>
      <c r="R9218" s="759">
        <f>$A9218*Q9218</f>
        <v>0</v>
      </c>
      <c r="S9218" s="519"/>
      <c r="T9218" s="760">
        <f>$A9218*S9218*$T$1</f>
        <v>0</v>
      </c>
      <c r="AR9218" s="758"/>
      <c r="AS9218" s="753"/>
    </row>
    <row r="9219" spans="1:45" s="520" customFormat="1" ht="12.6" thickBot="1">
      <c r="A9219" s="761" t="s">
        <v>145</v>
      </c>
      <c r="B9219" s="762">
        <f>(R9218+T9218)</f>
        <v>0</v>
      </c>
      <c r="C9219" s="763"/>
      <c r="D9219" s="763"/>
      <c r="E9219" s="763"/>
      <c r="F9219" s="764"/>
      <c r="G9219" s="763" t="s">
        <v>146</v>
      </c>
      <c r="H9219" s="763"/>
      <c r="I9219" s="765"/>
      <c r="J9219" s="763"/>
      <c r="K9219" s="763" t="s">
        <v>3</v>
      </c>
      <c r="L9219" s="766" t="s">
        <v>143</v>
      </c>
      <c r="M9219" s="766"/>
      <c r="N9219" s="766"/>
      <c r="O9219" s="766"/>
      <c r="P9219" s="766"/>
      <c r="Q9219" s="767"/>
      <c r="R9219" s="768">
        <f ca="1">SUM(R9215:R9218)</f>
        <v>90.9</v>
      </c>
      <c r="S9219" s="763"/>
      <c r="T9219" s="768">
        <f ca="1">SUM(T9215:T9218)</f>
        <v>5.4</v>
      </c>
      <c r="U9219" s="531"/>
      <c r="V9219" s="531"/>
      <c r="W9219" s="531"/>
      <c r="X9219" s="531"/>
      <c r="Y9219" s="531"/>
      <c r="Z9219" s="531"/>
      <c r="AA9219" s="531"/>
      <c r="AB9219" s="531"/>
      <c r="AC9219" s="531"/>
      <c r="AD9219" s="531"/>
      <c r="AE9219" s="531"/>
      <c r="AF9219" s="531"/>
      <c r="AG9219" s="531"/>
      <c r="AH9219" s="531"/>
      <c r="AI9219" s="531"/>
      <c r="AJ9219" s="531"/>
      <c r="AK9219" s="531"/>
      <c r="AL9219" s="531"/>
      <c r="AM9219" s="531"/>
      <c r="AN9219" s="531"/>
      <c r="AO9219" s="531"/>
      <c r="AR9219" s="761" t="s">
        <v>145</v>
      </c>
      <c r="AS9219" s="764"/>
    </row>
    <row r="9220" spans="1:45" s="520" customFormat="1" ht="12" thickTop="1">
      <c r="A9220" s="51"/>
      <c r="B9220" s="41"/>
      <c r="C9220" s="51"/>
      <c r="E9220" s="42" t="s">
        <v>138</v>
      </c>
      <c r="F9220" s="42" t="s">
        <v>139</v>
      </c>
      <c r="G9220" s="51"/>
      <c r="H9220" s="51"/>
      <c r="I9220" s="51"/>
      <c r="J9220" s="51"/>
      <c r="K9220" s="51" t="s">
        <v>140</v>
      </c>
      <c r="L9220" s="51"/>
      <c r="M9220" s="51"/>
      <c r="N9220" s="51"/>
      <c r="O9220" s="52"/>
      <c r="P9220" s="51"/>
      <c r="Q9220" s="51"/>
      <c r="R9220" s="51"/>
      <c r="S9220" s="51"/>
      <c r="T9220" s="41"/>
      <c r="AG9220" s="521" t="s">
        <v>268</v>
      </c>
      <c r="AH9220" s="521" t="s">
        <v>269</v>
      </c>
      <c r="AI9220" s="521" t="s">
        <v>270</v>
      </c>
      <c r="AJ9220" s="521" t="s">
        <v>271</v>
      </c>
      <c r="AK9220" s="521" t="s">
        <v>272</v>
      </c>
      <c r="AM9220" s="745" t="s">
        <v>281</v>
      </c>
      <c r="AN9220" s="746" t="s">
        <v>282</v>
      </c>
      <c r="AO9220" s="522" t="s">
        <v>278</v>
      </c>
      <c r="AR9220" s="51"/>
      <c r="AS9220" s="42" t="s">
        <v>139</v>
      </c>
    </row>
    <row r="9221" spans="1:45" s="520" customFormat="1" ht="12" customHeight="1">
      <c r="A9221" s="747">
        <v>2</v>
      </c>
      <c r="B9221" s="523" t="s">
        <v>141</v>
      </c>
      <c r="C9221" s="748"/>
      <c r="D9221" s="749" t="s">
        <v>2423</v>
      </c>
      <c r="E9221" s="750">
        <f ca="1">IF(AND($A9221=0,$A$1="DIF"),0, ROUND(ROUND(($R9226*$S$2+($T9226*$T$2))/A9221,2)*$C$2,2))</f>
        <v>98.17</v>
      </c>
      <c r="F9221" s="751">
        <f ca="1">ROUND($A9221*$E9221,2)</f>
        <v>196.34</v>
      </c>
      <c r="G9221" s="752" t="s">
        <v>142</v>
      </c>
      <c r="H9221" s="753"/>
      <c r="I9221" s="754"/>
      <c r="J9221" s="753"/>
      <c r="K9221" s="753" t="s">
        <v>3</v>
      </c>
      <c r="L9221" s="755" t="s">
        <v>143</v>
      </c>
      <c r="M9221" s="755"/>
      <c r="N9221" s="755"/>
      <c r="O9221" s="755"/>
      <c r="P9221" s="755"/>
      <c r="Q9221" s="51"/>
      <c r="T9221" s="756" t="str">
        <f ca="1">IF(AND($R9226=0,$T9226=0),"0.00","mu :" &amp; ROUND($F9221/$C$2/($R9226+$T9226*$D$9),2))</f>
        <v>mu :1.23</v>
      </c>
      <c r="W9221" s="524"/>
      <c r="AG9221" s="481">
        <f ca="1">IF($E9221=0,0,ROUND($R9226*$S$2*$C$2/$A9221,2))</f>
        <v>37.31</v>
      </c>
      <c r="AH9221" s="481">
        <f ca="1">$AG9221*$A9221</f>
        <v>74.62</v>
      </c>
      <c r="AI9221" s="525">
        <f ca="1">$E9221-$AG9221</f>
        <v>60.86</v>
      </c>
      <c r="AJ9221" s="525">
        <f ca="1">$A9221*$AI9221</f>
        <v>121.72</v>
      </c>
      <c r="AK9221" s="526">
        <f ca="1">ROUND(($AG9221+$AI9221)*$A9221,2)</f>
        <v>196.34</v>
      </c>
      <c r="AM9221" s="527">
        <f ca="1">ROUND(R9226,2)</f>
        <v>60.6</v>
      </c>
      <c r="AN9221" s="528">
        <f ca="1">ROUND(T9226,2)</f>
        <v>3.6</v>
      </c>
      <c r="AO9221" s="529">
        <f ca="1">ROUND(AM9221+AN9221,2)*A9221</f>
        <v>128.4</v>
      </c>
      <c r="AR9221" s="747">
        <v>2</v>
      </c>
      <c r="AS9221" s="751">
        <v>209.88</v>
      </c>
    </row>
    <row r="9222" spans="1:45" s="520" customFormat="1" ht="13.2">
      <c r="A9222" s="748"/>
      <c r="B9222"/>
      <c r="C9222" s="748"/>
      <c r="D9222" s="749" t="s">
        <v>2063</v>
      </c>
      <c r="F9222" s="753"/>
      <c r="G9222" s="3"/>
      <c r="H9222" s="753"/>
      <c r="I9222" s="754"/>
      <c r="J9222" s="753"/>
      <c r="K9222" s="753" t="s">
        <v>144</v>
      </c>
      <c r="L9222" s="753"/>
      <c r="M9222" s="753"/>
      <c r="N9222" s="753"/>
      <c r="O9222" s="753"/>
      <c r="P9222" s="753"/>
      <c r="Q9222" s="51"/>
      <c r="R9222" s="530"/>
      <c r="S9222" s="757"/>
      <c r="T9222" s="753"/>
      <c r="AR9222" s="748"/>
      <c r="AS9222" s="753"/>
    </row>
    <row r="9223" spans="1:45" s="886" customFormat="1" ht="13.2">
      <c r="A9223"/>
      <c r="B9223" s="910"/>
      <c r="C9223" s="910" t="s">
        <v>2597</v>
      </c>
      <c r="D9223" s="910" t="str">
        <f ca="1">CELL("Address",Elec_Rates!D$1023)</f>
        <v>[E25_0062_Quintano_Foods_Elec_ELV_As_Awarded.xlsx]Elec_Rates!$D$1023</v>
      </c>
      <c r="E9223" s="911"/>
      <c r="F9223" s="911"/>
      <c r="G9223" s="912" t="s">
        <v>2598</v>
      </c>
      <c r="H9223" s="912"/>
      <c r="I9223" s="912"/>
      <c r="J9223" s="912"/>
      <c r="K9223" s="913"/>
      <c r="L9223" s="911"/>
      <c r="M9223" s="911"/>
      <c r="N9223" s="911"/>
      <c r="O9223" s="914"/>
      <c r="P9223" s="911"/>
      <c r="Q9223" s="915"/>
      <c r="R9223" s="916"/>
      <c r="S9223" s="915"/>
      <c r="T9223" s="917"/>
      <c r="U9223" s="918"/>
      <c r="AR9223"/>
      <c r="AS9223" s="911"/>
    </row>
    <row r="9224" spans="1:45" s="886" customFormat="1" ht="11.4">
      <c r="A9224" s="919">
        <v>2</v>
      </c>
      <c r="B9224" s="920">
        <v>1</v>
      </c>
      <c r="C9224" s="920">
        <f>$A9224*$B9224</f>
        <v>2</v>
      </c>
      <c r="D9224" s="921" t="str">
        <f>Elec_Rates!$D$1023</f>
        <v>091# Galvanised Conduit points for Fire alarm devices</v>
      </c>
      <c r="E9224" s="921"/>
      <c r="F9224" s="921" t="s">
        <v>2599</v>
      </c>
      <c r="G9224" s="922" t="s">
        <v>2601</v>
      </c>
      <c r="H9224" s="922"/>
      <c r="I9224" s="922"/>
      <c r="J9224" s="922"/>
      <c r="K9224" s="923"/>
      <c r="L9224" s="918"/>
      <c r="M9224" s="918"/>
      <c r="N9224" s="918"/>
      <c r="O9224" s="924"/>
      <c r="P9224" s="921"/>
      <c r="Q9224" s="925">
        <f ca="1">$B9224*Elec_Rates!$R$1023</f>
        <v>30.3</v>
      </c>
      <c r="R9224" s="916">
        <f ca="1">$A9224*Q9224</f>
        <v>60.6</v>
      </c>
      <c r="S9224" s="925">
        <f ca="1">$B9224*Elec_Rates!$T$1023</f>
        <v>1.8</v>
      </c>
      <c r="T9224" s="917">
        <f ca="1">$A9224*S9224</f>
        <v>3.6</v>
      </c>
      <c r="U9224" s="926"/>
      <c r="AR9224" s="919">
        <v>2</v>
      </c>
      <c r="AS9224" s="921" t="s">
        <v>2599</v>
      </c>
    </row>
    <row r="9225" spans="1:45" s="520" customFormat="1" ht="12">
      <c r="A9225" s="758"/>
      <c r="B9225" s="758"/>
      <c r="C9225" s="758"/>
      <c r="D9225" s="758"/>
      <c r="E9225" s="758"/>
      <c r="F9225" s="753"/>
      <c r="G9225" s="758"/>
      <c r="H9225" s="758"/>
      <c r="I9225" s="519"/>
      <c r="J9225" s="758"/>
      <c r="K9225" s="758"/>
      <c r="L9225" s="758"/>
      <c r="M9225" s="758"/>
      <c r="N9225" s="758"/>
      <c r="O9225" s="758"/>
      <c r="P9225" s="758"/>
      <c r="Q9225" s="519"/>
      <c r="R9225" s="759">
        <f>$A9225*Q9225</f>
        <v>0</v>
      </c>
      <c r="S9225" s="519"/>
      <c r="T9225" s="760">
        <f>$A9225*S9225*$T$1</f>
        <v>0</v>
      </c>
      <c r="AR9225" s="758"/>
      <c r="AS9225" s="753"/>
    </row>
    <row r="9226" spans="1:45" s="520" customFormat="1" ht="12.6" thickBot="1">
      <c r="A9226" s="761" t="s">
        <v>145</v>
      </c>
      <c r="B9226" s="762">
        <f>(R9225+T9225)</f>
        <v>0</v>
      </c>
      <c r="C9226" s="763"/>
      <c r="D9226" s="763"/>
      <c r="E9226" s="763"/>
      <c r="F9226" s="764"/>
      <c r="G9226" s="763" t="s">
        <v>146</v>
      </c>
      <c r="H9226" s="763"/>
      <c r="I9226" s="765"/>
      <c r="J9226" s="763"/>
      <c r="K9226" s="763" t="s">
        <v>3</v>
      </c>
      <c r="L9226" s="766" t="s">
        <v>143</v>
      </c>
      <c r="M9226" s="766"/>
      <c r="N9226" s="766"/>
      <c r="O9226" s="766"/>
      <c r="P9226" s="766"/>
      <c r="Q9226" s="767"/>
      <c r="R9226" s="768">
        <f ca="1">SUM(R9222:R9225)</f>
        <v>60.6</v>
      </c>
      <c r="S9226" s="763"/>
      <c r="T9226" s="768">
        <f ca="1">SUM(T9222:T9225)</f>
        <v>3.6</v>
      </c>
      <c r="U9226" s="531"/>
      <c r="V9226" s="531"/>
      <c r="W9226" s="531"/>
      <c r="X9226" s="531"/>
      <c r="Y9226" s="531"/>
      <c r="Z9226" s="531"/>
      <c r="AA9226" s="531"/>
      <c r="AB9226" s="531"/>
      <c r="AC9226" s="531"/>
      <c r="AD9226" s="531"/>
      <c r="AE9226" s="531"/>
      <c r="AF9226" s="531"/>
      <c r="AG9226" s="531"/>
      <c r="AH9226" s="531"/>
      <c r="AI9226" s="531"/>
      <c r="AJ9226" s="531"/>
      <c r="AK9226" s="531"/>
      <c r="AL9226" s="531"/>
      <c r="AM9226" s="531"/>
      <c r="AN9226" s="531"/>
      <c r="AO9226" s="531"/>
      <c r="AR9226" s="761" t="s">
        <v>145</v>
      </c>
      <c r="AS9226" s="764"/>
    </row>
    <row r="9227" spans="1:45" s="520" customFormat="1" ht="12" thickTop="1">
      <c r="A9227" s="51"/>
      <c r="B9227" s="41"/>
      <c r="C9227" s="51"/>
      <c r="E9227" s="42" t="s">
        <v>138</v>
      </c>
      <c r="F9227" s="42" t="s">
        <v>139</v>
      </c>
      <c r="G9227" s="51"/>
      <c r="H9227" s="51"/>
      <c r="I9227" s="51"/>
      <c r="J9227" s="51"/>
      <c r="K9227" s="51" t="s">
        <v>140</v>
      </c>
      <c r="L9227" s="51"/>
      <c r="M9227" s="51"/>
      <c r="N9227" s="51"/>
      <c r="O9227" s="52"/>
      <c r="P9227" s="51"/>
      <c r="Q9227" s="51"/>
      <c r="R9227" s="51"/>
      <c r="S9227" s="51"/>
      <c r="T9227" s="41"/>
      <c r="AG9227" s="521" t="s">
        <v>268</v>
      </c>
      <c r="AH9227" s="521" t="s">
        <v>269</v>
      </c>
      <c r="AI9227" s="521" t="s">
        <v>270</v>
      </c>
      <c r="AJ9227" s="521" t="s">
        <v>271</v>
      </c>
      <c r="AK9227" s="521" t="s">
        <v>272</v>
      </c>
      <c r="AM9227" s="745" t="s">
        <v>281</v>
      </c>
      <c r="AN9227" s="746" t="s">
        <v>282</v>
      </c>
      <c r="AO9227" s="522" t="s">
        <v>278</v>
      </c>
      <c r="AR9227" s="51"/>
      <c r="AS9227" s="42" t="s">
        <v>139</v>
      </c>
    </row>
    <row r="9228" spans="1:45" s="520" customFormat="1" ht="12" customHeight="1">
      <c r="A9228" s="747">
        <v>1</v>
      </c>
      <c r="B9228" s="523" t="s">
        <v>141</v>
      </c>
      <c r="C9228" s="748"/>
      <c r="D9228" s="749" t="s">
        <v>2424</v>
      </c>
      <c r="E9228" s="750">
        <f ca="1">IF(AND($A9228=0,$A$1="DIF"),0, ROUND(ROUND(($R9233*$S$2+($T9233*$T$2))/A9228,2)*$C$2,2))</f>
        <v>98.17</v>
      </c>
      <c r="F9228" s="751">
        <f ca="1">ROUND($A9228*$E9228,2)</f>
        <v>98.17</v>
      </c>
      <c r="G9228" s="752" t="s">
        <v>142</v>
      </c>
      <c r="H9228" s="753"/>
      <c r="I9228" s="754"/>
      <c r="J9228" s="753"/>
      <c r="K9228" s="753" t="s">
        <v>3</v>
      </c>
      <c r="L9228" s="755" t="s">
        <v>143</v>
      </c>
      <c r="M9228" s="755"/>
      <c r="N9228" s="755"/>
      <c r="O9228" s="755"/>
      <c r="P9228" s="755"/>
      <c r="Q9228" s="51"/>
      <c r="T9228" s="756" t="str">
        <f ca="1">IF(AND($R9233=0,$T9233=0),"0.00","mu :" &amp; ROUND($F9228/$C$2/($R9233+$T9233*$D$9),2))</f>
        <v>mu :1.23</v>
      </c>
      <c r="W9228" s="524"/>
      <c r="AG9228" s="481">
        <f ca="1">IF($E9228=0,0,ROUND($R9233*$S$2*$C$2/$A9228,2))</f>
        <v>37.31</v>
      </c>
      <c r="AH9228" s="481">
        <f ca="1">$AG9228*$A9228</f>
        <v>37.31</v>
      </c>
      <c r="AI9228" s="525">
        <f ca="1">$E9228-$AG9228</f>
        <v>60.86</v>
      </c>
      <c r="AJ9228" s="525">
        <f ca="1">$A9228*$AI9228</f>
        <v>60.86</v>
      </c>
      <c r="AK9228" s="526">
        <f ca="1">ROUND(($AG9228+$AI9228)*$A9228,2)</f>
        <v>98.17</v>
      </c>
      <c r="AM9228" s="527">
        <f ca="1">ROUND(R9233,2)</f>
        <v>30.3</v>
      </c>
      <c r="AN9228" s="528">
        <f ca="1">ROUND(T9233,2)</f>
        <v>1.8</v>
      </c>
      <c r="AO9228" s="529">
        <f ca="1">ROUND(AM9228+AN9228,2)*A9228</f>
        <v>32.1</v>
      </c>
      <c r="AR9228" s="747">
        <v>1</v>
      </c>
      <c r="AS9228" s="751">
        <v>104.94</v>
      </c>
    </row>
    <row r="9229" spans="1:45" s="520" customFormat="1" ht="13.2">
      <c r="A9229" s="748"/>
      <c r="B9229"/>
      <c r="C9229" s="748"/>
      <c r="D9229" s="749" t="s">
        <v>2064</v>
      </c>
      <c r="F9229" s="753"/>
      <c r="G9229" s="3"/>
      <c r="H9229" s="753"/>
      <c r="I9229" s="754"/>
      <c r="J9229" s="753"/>
      <c r="K9229" s="753" t="s">
        <v>144</v>
      </c>
      <c r="L9229" s="753"/>
      <c r="M9229" s="753"/>
      <c r="N9229" s="753"/>
      <c r="O9229" s="753"/>
      <c r="P9229" s="753"/>
      <c r="Q9229" s="51"/>
      <c r="R9229" s="530"/>
      <c r="S9229" s="757"/>
      <c r="T9229" s="753"/>
      <c r="AR9229" s="748"/>
      <c r="AS9229" s="753"/>
    </row>
    <row r="9230" spans="1:45" s="886" customFormat="1" ht="13.2">
      <c r="A9230"/>
      <c r="B9230" s="910"/>
      <c r="C9230" s="910" t="s">
        <v>2597</v>
      </c>
      <c r="D9230" s="910" t="str">
        <f ca="1">CELL("Address",Elec_Rates!D$1023)</f>
        <v>[E25_0062_Quintano_Foods_Elec_ELV_As_Awarded.xlsx]Elec_Rates!$D$1023</v>
      </c>
      <c r="E9230" s="911"/>
      <c r="F9230" s="911"/>
      <c r="G9230" s="912" t="s">
        <v>2598</v>
      </c>
      <c r="H9230" s="912"/>
      <c r="I9230" s="912"/>
      <c r="J9230" s="912"/>
      <c r="K9230" s="913"/>
      <c r="L9230" s="911"/>
      <c r="M9230" s="911"/>
      <c r="N9230" s="911"/>
      <c r="O9230" s="914"/>
      <c r="P9230" s="911"/>
      <c r="Q9230" s="915"/>
      <c r="R9230" s="916"/>
      <c r="S9230" s="915"/>
      <c r="T9230" s="917"/>
      <c r="U9230" s="918"/>
      <c r="AR9230"/>
      <c r="AS9230" s="911"/>
    </row>
    <row r="9231" spans="1:45" s="886" customFormat="1" ht="11.4">
      <c r="A9231" s="919">
        <v>1</v>
      </c>
      <c r="B9231" s="920">
        <v>1</v>
      </c>
      <c r="C9231" s="920">
        <f>$A9231*$B9231</f>
        <v>1</v>
      </c>
      <c r="D9231" s="921" t="str">
        <f>Elec_Rates!$D$1023</f>
        <v>091# Galvanised Conduit points for Fire alarm devices</v>
      </c>
      <c r="E9231" s="921"/>
      <c r="F9231" s="921" t="s">
        <v>2599</v>
      </c>
      <c r="G9231" s="922" t="s">
        <v>2601</v>
      </c>
      <c r="H9231" s="922"/>
      <c r="I9231" s="922"/>
      <c r="J9231" s="922"/>
      <c r="K9231" s="923"/>
      <c r="L9231" s="918"/>
      <c r="M9231" s="918"/>
      <c r="N9231" s="918"/>
      <c r="O9231" s="924"/>
      <c r="P9231" s="921"/>
      <c r="Q9231" s="925">
        <f ca="1">$B9231*Elec_Rates!$R$1023</f>
        <v>30.3</v>
      </c>
      <c r="R9231" s="916">
        <f ca="1">$A9231*Q9231</f>
        <v>30.3</v>
      </c>
      <c r="S9231" s="925">
        <f ca="1">$B9231*Elec_Rates!$T$1023</f>
        <v>1.8</v>
      </c>
      <c r="T9231" s="917">
        <f ca="1">$A9231*S9231</f>
        <v>1.8</v>
      </c>
      <c r="U9231" s="926"/>
      <c r="AR9231" s="919">
        <v>1</v>
      </c>
      <c r="AS9231" s="921" t="s">
        <v>2599</v>
      </c>
    </row>
    <row r="9232" spans="1:45" s="520" customFormat="1" ht="12">
      <c r="A9232" s="758"/>
      <c r="B9232" s="758"/>
      <c r="C9232" s="758"/>
      <c r="D9232" s="758"/>
      <c r="E9232" s="758"/>
      <c r="F9232" s="753"/>
      <c r="G9232" s="758"/>
      <c r="H9232" s="758"/>
      <c r="I9232" s="519"/>
      <c r="J9232" s="758"/>
      <c r="K9232" s="758"/>
      <c r="L9232" s="758"/>
      <c r="M9232" s="758"/>
      <c r="N9232" s="758"/>
      <c r="O9232" s="758"/>
      <c r="P9232" s="758"/>
      <c r="Q9232" s="519"/>
      <c r="R9232" s="759">
        <f>$A9232*Q9232</f>
        <v>0</v>
      </c>
      <c r="S9232" s="519"/>
      <c r="T9232" s="760">
        <f>$A9232*S9232*$T$1</f>
        <v>0</v>
      </c>
      <c r="AR9232" s="758"/>
      <c r="AS9232" s="753"/>
    </row>
    <row r="9233" spans="1:45" s="520" customFormat="1" ht="12.6" thickBot="1">
      <c r="A9233" s="761" t="s">
        <v>145</v>
      </c>
      <c r="B9233" s="762">
        <f>(R9232+T9232)</f>
        <v>0</v>
      </c>
      <c r="C9233" s="763"/>
      <c r="D9233" s="763"/>
      <c r="E9233" s="763"/>
      <c r="F9233" s="764"/>
      <c r="G9233" s="763" t="s">
        <v>146</v>
      </c>
      <c r="H9233" s="763"/>
      <c r="I9233" s="765"/>
      <c r="J9233" s="763"/>
      <c r="K9233" s="763" t="s">
        <v>3</v>
      </c>
      <c r="L9233" s="766" t="s">
        <v>143</v>
      </c>
      <c r="M9233" s="766"/>
      <c r="N9233" s="766"/>
      <c r="O9233" s="766"/>
      <c r="P9233" s="766"/>
      <c r="Q9233" s="767"/>
      <c r="R9233" s="768">
        <f ca="1">SUM(R9229:R9232)</f>
        <v>30.3</v>
      </c>
      <c r="S9233" s="763"/>
      <c r="T9233" s="768">
        <f ca="1">SUM(T9229:T9232)</f>
        <v>1.8</v>
      </c>
      <c r="U9233" s="531"/>
      <c r="V9233" s="531"/>
      <c r="W9233" s="531"/>
      <c r="X9233" s="531"/>
      <c r="Y9233" s="531"/>
      <c r="Z9233" s="531"/>
      <c r="AA9233" s="531"/>
      <c r="AB9233" s="531"/>
      <c r="AC9233" s="531"/>
      <c r="AD9233" s="531"/>
      <c r="AE9233" s="531"/>
      <c r="AF9233" s="531"/>
      <c r="AG9233" s="531"/>
      <c r="AH9233" s="531"/>
      <c r="AI9233" s="531"/>
      <c r="AJ9233" s="531"/>
      <c r="AK9233" s="531"/>
      <c r="AL9233" s="531"/>
      <c r="AM9233" s="531"/>
      <c r="AN9233" s="531"/>
      <c r="AO9233" s="531"/>
      <c r="AR9233" s="761" t="s">
        <v>145</v>
      </c>
      <c r="AS9233" s="764"/>
    </row>
    <row r="9234" spans="1:45" s="520" customFormat="1" ht="12" thickTop="1">
      <c r="A9234" s="51"/>
      <c r="B9234" s="41"/>
      <c r="C9234" s="51"/>
      <c r="E9234" s="42" t="s">
        <v>138</v>
      </c>
      <c r="F9234" s="42" t="s">
        <v>139</v>
      </c>
      <c r="G9234" s="51"/>
      <c r="H9234" s="51"/>
      <c r="I9234" s="51"/>
      <c r="J9234" s="51"/>
      <c r="K9234" s="51" t="s">
        <v>140</v>
      </c>
      <c r="L9234" s="51"/>
      <c r="M9234" s="51"/>
      <c r="N9234" s="51"/>
      <c r="O9234" s="52"/>
      <c r="P9234" s="51"/>
      <c r="Q9234" s="51"/>
      <c r="R9234" s="51"/>
      <c r="S9234" s="51"/>
      <c r="T9234" s="41"/>
      <c r="AG9234" s="521" t="s">
        <v>268</v>
      </c>
      <c r="AH9234" s="521" t="s">
        <v>269</v>
      </c>
      <c r="AI9234" s="521" t="s">
        <v>270</v>
      </c>
      <c r="AJ9234" s="521" t="s">
        <v>271</v>
      </c>
      <c r="AK9234" s="521" t="s">
        <v>272</v>
      </c>
      <c r="AM9234" s="745" t="s">
        <v>281</v>
      </c>
      <c r="AN9234" s="746" t="s">
        <v>282</v>
      </c>
      <c r="AO9234" s="522" t="s">
        <v>278</v>
      </c>
      <c r="AR9234" s="51"/>
      <c r="AS9234" s="42" t="s">
        <v>139</v>
      </c>
    </row>
    <row r="9235" spans="1:45" s="520" customFormat="1" ht="12" customHeight="1">
      <c r="A9235" s="747">
        <v>3</v>
      </c>
      <c r="B9235" s="523" t="s">
        <v>141</v>
      </c>
      <c r="C9235" s="748"/>
      <c r="D9235" s="749" t="s">
        <v>2425</v>
      </c>
      <c r="E9235" s="750">
        <f ca="1">IF(AND($A9235=0,$A$1="DIF"),0, ROUND(ROUND(($R9243*$S$2+($T9243*$T$2))/A9235,2)*$C$2,2))</f>
        <v>113.42</v>
      </c>
      <c r="F9235" s="751">
        <f ca="1">ROUND($A9235*$E9235,2)</f>
        <v>340.26</v>
      </c>
      <c r="G9235" s="752" t="s">
        <v>142</v>
      </c>
      <c r="H9235" s="753"/>
      <c r="I9235" s="754"/>
      <c r="J9235" s="753"/>
      <c r="K9235" s="753" t="s">
        <v>3</v>
      </c>
      <c r="L9235" s="755" t="s">
        <v>143</v>
      </c>
      <c r="M9235" s="755"/>
      <c r="N9235" s="755"/>
      <c r="O9235" s="755"/>
      <c r="P9235" s="755"/>
      <c r="Q9235" s="51"/>
      <c r="T9235" s="756" t="str">
        <f ca="1">IF(AND($R9243=0,$T9243=0),"0.00","mu :" &amp; ROUND($F9235/$C$2/($R9243+$T9243*$D$9),2))</f>
        <v>mu :1.23</v>
      </c>
      <c r="W9235" s="524"/>
      <c r="AG9235" s="481">
        <f ca="1">IF($E9235=0,0,ROUND($R9243*$S$2*$C$2/$A9235,2))</f>
        <v>52.56</v>
      </c>
      <c r="AH9235" s="481">
        <f ca="1">$AG9235*$A9235</f>
        <v>157.68</v>
      </c>
      <c r="AI9235" s="525">
        <f ca="1">$E9235-$AG9235</f>
        <v>60.86</v>
      </c>
      <c r="AJ9235" s="525">
        <f ca="1">$A9235*$AI9235</f>
        <v>182.57999999999998</v>
      </c>
      <c r="AK9235" s="526">
        <f ca="1">ROUND(($AG9235+$AI9235)*$A9235,2)</f>
        <v>340.26</v>
      </c>
      <c r="AM9235" s="527">
        <f ca="1">ROUND(R9243,2)</f>
        <v>128.06</v>
      </c>
      <c r="AN9235" s="528">
        <f ca="1">ROUND(T9243,2)</f>
        <v>5.4</v>
      </c>
      <c r="AO9235" s="529">
        <f ca="1">ROUND(AM9235+AN9235,2)*A9235</f>
        <v>400.38</v>
      </c>
      <c r="AR9235" s="747">
        <v>3</v>
      </c>
      <c r="AS9235" s="751">
        <v>360.57</v>
      </c>
    </row>
    <row r="9236" spans="1:45" s="520" customFormat="1" ht="13.2">
      <c r="A9236" s="748"/>
      <c r="B9236"/>
      <c r="C9236" s="748"/>
      <c r="D9236" s="749" t="s">
        <v>2096</v>
      </c>
      <c r="F9236" s="753"/>
      <c r="G9236" s="3"/>
      <c r="H9236" s="753"/>
      <c r="I9236" s="754"/>
      <c r="J9236" s="753"/>
      <c r="K9236" s="753" t="s">
        <v>144</v>
      </c>
      <c r="L9236" s="753"/>
      <c r="M9236" s="753"/>
      <c r="N9236" s="753"/>
      <c r="O9236" s="753"/>
      <c r="P9236" s="753"/>
      <c r="Q9236" s="51"/>
      <c r="R9236" s="530"/>
      <c r="S9236" s="757"/>
      <c r="T9236" s="753"/>
      <c r="AR9236" s="748"/>
      <c r="AS9236" s="753"/>
    </row>
    <row r="9237" spans="1:45" s="886" customFormat="1" ht="13.2">
      <c r="A9237"/>
      <c r="B9237" s="910"/>
      <c r="C9237" s="910" t="s">
        <v>2597</v>
      </c>
      <c r="D9237" s="910" t="str">
        <f ca="1">CELL("Address",Elec_Rates!D$1023)</f>
        <v>[E25_0062_Quintano_Foods_Elec_ELV_As_Awarded.xlsx]Elec_Rates!$D$1023</v>
      </c>
      <c r="E9237" s="911"/>
      <c r="F9237" s="911"/>
      <c r="G9237" s="912" t="s">
        <v>2598</v>
      </c>
      <c r="H9237" s="912"/>
      <c r="I9237" s="912"/>
      <c r="J9237" s="912"/>
      <c r="K9237" s="913"/>
      <c r="L9237" s="911"/>
      <c r="M9237" s="911"/>
      <c r="N9237" s="911"/>
      <c r="O9237" s="914"/>
      <c r="P9237" s="911"/>
      <c r="Q9237" s="915"/>
      <c r="R9237" s="916"/>
      <c r="S9237" s="915"/>
      <c r="T9237" s="917"/>
      <c r="U9237" s="918"/>
      <c r="AR9237"/>
      <c r="AS9237" s="911"/>
    </row>
    <row r="9238" spans="1:45" s="886" customFormat="1" ht="11.4">
      <c r="A9238" s="919">
        <v>3</v>
      </c>
      <c r="B9238" s="920">
        <v>1</v>
      </c>
      <c r="C9238" s="920">
        <f>$A9238*$B9238</f>
        <v>3</v>
      </c>
      <c r="D9238" s="921" t="str">
        <f>Elec_Rates!$D$1023</f>
        <v>091# Galvanised Conduit points for Fire alarm devices</v>
      </c>
      <c r="E9238" s="921"/>
      <c r="F9238" s="921" t="s">
        <v>2599</v>
      </c>
      <c r="G9238" s="922" t="s">
        <v>2601</v>
      </c>
      <c r="H9238" s="922"/>
      <c r="I9238" s="922"/>
      <c r="J9238" s="922"/>
      <c r="K9238" s="923"/>
      <c r="L9238" s="918"/>
      <c r="M9238" s="918"/>
      <c r="N9238" s="918"/>
      <c r="O9238" s="924"/>
      <c r="P9238" s="921"/>
      <c r="Q9238" s="925">
        <f ca="1">$B9238*Elec_Rates!$R$1023</f>
        <v>30.3</v>
      </c>
      <c r="R9238" s="916">
        <f ca="1">$A9238*Q9238</f>
        <v>90.9</v>
      </c>
      <c r="S9238" s="925">
        <f ca="1">$B9238*Elec_Rates!$T$1023</f>
        <v>1.8</v>
      </c>
      <c r="T9238" s="917">
        <f ca="1">$A9238*S9238</f>
        <v>5.4</v>
      </c>
      <c r="U9238" s="926"/>
      <c r="AR9238" s="919">
        <v>3</v>
      </c>
      <c r="AS9238" s="921" t="s">
        <v>2599</v>
      </c>
    </row>
    <row r="9239" spans="1:45" s="886" customFormat="1" ht="11.4">
      <c r="A9239" s="919"/>
      <c r="B9239" s="920"/>
      <c r="C9239" s="920"/>
      <c r="D9239" s="1156" t="s">
        <v>3612</v>
      </c>
      <c r="E9239" s="921"/>
      <c r="F9239" s="921"/>
      <c r="G9239" s="922"/>
      <c r="H9239" s="922"/>
      <c r="I9239" s="922"/>
      <c r="J9239" s="922"/>
      <c r="K9239" s="923"/>
      <c r="L9239" s="918"/>
      <c r="M9239" s="918"/>
      <c r="N9239" s="918"/>
      <c r="O9239" s="924"/>
      <c r="P9239" s="921"/>
      <c r="Q9239" s="925"/>
      <c r="R9239" s="916"/>
      <c r="S9239" s="925"/>
      <c r="T9239" s="917"/>
      <c r="U9239" s="926"/>
      <c r="AR9239" s="919"/>
      <c r="AS9239" s="921"/>
    </row>
    <row r="9240" spans="1:45" s="901" customFormat="1" ht="11.4">
      <c r="A9240" s="919">
        <v>1</v>
      </c>
      <c r="B9240" s="1084" t="s">
        <v>863</v>
      </c>
      <c r="C9240" s="1084"/>
      <c r="D9240" s="1084" t="s">
        <v>2752</v>
      </c>
      <c r="E9240" s="1084"/>
      <c r="F9240" s="1084" t="s">
        <v>3326</v>
      </c>
      <c r="G9240" s="1091" t="s">
        <v>2754</v>
      </c>
      <c r="H9240" s="1092">
        <v>962</v>
      </c>
      <c r="I9240" s="1084" t="s">
        <v>2596</v>
      </c>
      <c r="J9240" s="1084"/>
      <c r="K9240" s="1084"/>
      <c r="L9240" s="1084"/>
      <c r="M9240" s="1084"/>
      <c r="N9240" s="1084"/>
      <c r="O9240" s="1093">
        <v>2</v>
      </c>
      <c r="P9240" s="1094">
        <v>38129</v>
      </c>
      <c r="Q9240" s="945">
        <f>0.41 *(1 *(5/8*120))</f>
        <v>30.749999999999996</v>
      </c>
      <c r="R9240" s="1096">
        <f t="shared" ref="R9240:R9241" si="822">$A9240*Q9240</f>
        <v>30.749999999999996</v>
      </c>
      <c r="S9240" s="1095"/>
      <c r="T9240" s="1097">
        <f t="shared" ref="T9240:T9241" si="823">$A9240*S9240*$T$1</f>
        <v>0</v>
      </c>
      <c r="AR9240" s="919">
        <v>1</v>
      </c>
      <c r="AS9240" s="1084" t="s">
        <v>3326</v>
      </c>
    </row>
    <row r="9241" spans="1:45" s="901" customFormat="1" ht="11.4">
      <c r="A9241" s="919">
        <v>1</v>
      </c>
      <c r="B9241" s="901" t="s">
        <v>2755</v>
      </c>
      <c r="D9241" s="901" t="s">
        <v>3325</v>
      </c>
      <c r="F9241" s="901" t="s">
        <v>3666</v>
      </c>
      <c r="G9241" s="941" t="s">
        <v>3324</v>
      </c>
      <c r="H9241" s="942">
        <v>845</v>
      </c>
      <c r="I9241" s="901" t="s">
        <v>2607</v>
      </c>
      <c r="O9241" s="943">
        <v>3</v>
      </c>
      <c r="P9241" s="944">
        <v>39713</v>
      </c>
      <c r="Q9241" s="945">
        <f>0.41 *(5/8*25)</f>
        <v>6.40625</v>
      </c>
      <c r="R9241" s="946">
        <f t="shared" si="822"/>
        <v>6.40625</v>
      </c>
      <c r="S9241" s="945"/>
      <c r="T9241" s="947">
        <f t="shared" si="823"/>
        <v>0</v>
      </c>
      <c r="AR9241" s="919">
        <v>1</v>
      </c>
      <c r="AS9241" s="901" t="s">
        <v>3666</v>
      </c>
    </row>
    <row r="9242" spans="1:45" s="520" customFormat="1" ht="12">
      <c r="A9242" s="758"/>
      <c r="B9242" s="758"/>
      <c r="C9242" s="758"/>
      <c r="D9242" s="758"/>
      <c r="E9242" s="758"/>
      <c r="F9242" s="753"/>
      <c r="G9242" s="758"/>
      <c r="H9242" s="758"/>
      <c r="I9242" s="519"/>
      <c r="J9242" s="758"/>
      <c r="K9242" s="758"/>
      <c r="L9242" s="758"/>
      <c r="M9242" s="758"/>
      <c r="N9242" s="758"/>
      <c r="O9242" s="758"/>
      <c r="P9242" s="758"/>
      <c r="Q9242" s="519"/>
      <c r="R9242" s="759">
        <f>$A9242*Q9242</f>
        <v>0</v>
      </c>
      <c r="S9242" s="519"/>
      <c r="T9242" s="760">
        <f>$A9242*S9242*$T$1</f>
        <v>0</v>
      </c>
      <c r="AR9242" s="758"/>
      <c r="AS9242" s="753"/>
    </row>
    <row r="9243" spans="1:45" s="520" customFormat="1" ht="12.6" thickBot="1">
      <c r="A9243" s="761" t="s">
        <v>145</v>
      </c>
      <c r="B9243" s="762">
        <f>(R9242+T9242)</f>
        <v>0</v>
      </c>
      <c r="C9243" s="763"/>
      <c r="D9243" s="763"/>
      <c r="E9243" s="763"/>
      <c r="F9243" s="764"/>
      <c r="G9243" s="763" t="s">
        <v>146</v>
      </c>
      <c r="H9243" s="763"/>
      <c r="I9243" s="765"/>
      <c r="J9243" s="763"/>
      <c r="K9243" s="763" t="s">
        <v>3</v>
      </c>
      <c r="L9243" s="766" t="s">
        <v>143</v>
      </c>
      <c r="M9243" s="766"/>
      <c r="N9243" s="766"/>
      <c r="O9243" s="766"/>
      <c r="P9243" s="766"/>
      <c r="Q9243" s="767"/>
      <c r="R9243" s="768">
        <f ca="1">SUM(R9236:R9242)</f>
        <v>128.05625000000001</v>
      </c>
      <c r="S9243" s="763"/>
      <c r="T9243" s="768">
        <f ca="1">SUM(T9236:T9242)</f>
        <v>5.4</v>
      </c>
      <c r="U9243" s="531"/>
      <c r="V9243" s="531"/>
      <c r="W9243" s="531"/>
      <c r="X9243" s="531"/>
      <c r="Y9243" s="531"/>
      <c r="Z9243" s="531"/>
      <c r="AA9243" s="531"/>
      <c r="AB9243" s="531"/>
      <c r="AC9243" s="531"/>
      <c r="AD9243" s="531"/>
      <c r="AE9243" s="531"/>
      <c r="AF9243" s="531"/>
      <c r="AG9243" s="531"/>
      <c r="AH9243" s="531"/>
      <c r="AI9243" s="531"/>
      <c r="AJ9243" s="531"/>
      <c r="AK9243" s="531"/>
      <c r="AL9243" s="531"/>
      <c r="AM9243" s="531"/>
      <c r="AN9243" s="531"/>
      <c r="AO9243" s="531"/>
      <c r="AR9243" s="761" t="s">
        <v>145</v>
      </c>
      <c r="AS9243" s="764"/>
    </row>
    <row r="9244" spans="1:45" s="520" customFormat="1" ht="12" thickTop="1">
      <c r="A9244" s="51"/>
      <c r="B9244" s="41"/>
      <c r="C9244" s="51"/>
      <c r="E9244" s="42" t="s">
        <v>138</v>
      </c>
      <c r="F9244" s="42" t="s">
        <v>139</v>
      </c>
      <c r="G9244" s="51"/>
      <c r="H9244" s="51"/>
      <c r="I9244" s="51"/>
      <c r="J9244" s="51"/>
      <c r="K9244" s="51" t="s">
        <v>140</v>
      </c>
      <c r="L9244" s="51"/>
      <c r="M9244" s="51"/>
      <c r="N9244" s="51"/>
      <c r="O9244" s="52"/>
      <c r="P9244" s="51"/>
      <c r="Q9244" s="51"/>
      <c r="R9244" s="51"/>
      <c r="S9244" s="51"/>
      <c r="T9244" s="41"/>
      <c r="AG9244" s="521" t="s">
        <v>268</v>
      </c>
      <c r="AH9244" s="521" t="s">
        <v>269</v>
      </c>
      <c r="AI9244" s="521" t="s">
        <v>270</v>
      </c>
      <c r="AJ9244" s="521" t="s">
        <v>271</v>
      </c>
      <c r="AK9244" s="521" t="s">
        <v>272</v>
      </c>
      <c r="AM9244" s="745" t="s">
        <v>281</v>
      </c>
      <c r="AN9244" s="746" t="s">
        <v>282</v>
      </c>
      <c r="AO9244" s="522" t="s">
        <v>278</v>
      </c>
      <c r="AR9244" s="51"/>
      <c r="AS9244" s="42" t="s">
        <v>139</v>
      </c>
    </row>
    <row r="9245" spans="1:45" s="520" customFormat="1" ht="12" customHeight="1">
      <c r="A9245" s="747">
        <v>3</v>
      </c>
      <c r="B9245" s="523" t="s">
        <v>141</v>
      </c>
      <c r="C9245" s="748"/>
      <c r="D9245" s="749" t="s">
        <v>2426</v>
      </c>
      <c r="E9245" s="750">
        <f ca="1">IF(AND($A9245=0,$A$1="DIF"),0, ROUND(ROUND(($R9250*$S$2+($T9250*$T$2))/A9245,2)*$C$2,2))</f>
        <v>0</v>
      </c>
      <c r="F9245" s="751">
        <f ca="1">ROUND($A9245*$E9245,2)</f>
        <v>0</v>
      </c>
      <c r="G9245" s="752" t="s">
        <v>142</v>
      </c>
      <c r="H9245" s="753"/>
      <c r="I9245" s="754"/>
      <c r="J9245" s="753"/>
      <c r="K9245" s="753" t="s">
        <v>3</v>
      </c>
      <c r="L9245" s="755" t="s">
        <v>143</v>
      </c>
      <c r="M9245" s="755"/>
      <c r="N9245" s="755"/>
      <c r="O9245" s="755"/>
      <c r="P9245" s="755"/>
      <c r="Q9245" s="1058" t="s">
        <v>3610</v>
      </c>
      <c r="T9245" s="756" t="str">
        <f ca="1">IF(AND($R9250=0,$T9250=0),"0.00","mu :" &amp; ROUND($F9245/$C$2/($R9250+$T9250*$D$9),2))</f>
        <v>0.00</v>
      </c>
      <c r="W9245" s="524"/>
      <c r="AG9245" s="481">
        <f ca="1">IF($E9245=0,0,ROUND($R9250*$S$2*$C$2/$A9245,2))</f>
        <v>0</v>
      </c>
      <c r="AH9245" s="481">
        <f ca="1">$AG9245*$A9245</f>
        <v>0</v>
      </c>
      <c r="AI9245" s="525">
        <f ca="1">$E9245-$AG9245</f>
        <v>0</v>
      </c>
      <c r="AJ9245" s="525">
        <f ca="1">$A9245*$AI9245</f>
        <v>0</v>
      </c>
      <c r="AK9245" s="526">
        <f ca="1">ROUND(($AG9245+$AI9245)*$A9245,2)</f>
        <v>0</v>
      </c>
      <c r="AM9245" s="527">
        <f ca="1">ROUND(R9250,2)</f>
        <v>0</v>
      </c>
      <c r="AN9245" s="528">
        <f ca="1">ROUND(T9250,2)</f>
        <v>0</v>
      </c>
      <c r="AO9245" s="529">
        <f ca="1">ROUND(AM9245+AN9245,2)*A9245</f>
        <v>0</v>
      </c>
      <c r="AR9245" s="747">
        <v>3</v>
      </c>
      <c r="AS9245" s="751">
        <v>0</v>
      </c>
    </row>
    <row r="9246" spans="1:45" s="520" customFormat="1" ht="13.2">
      <c r="A9246" s="748"/>
      <c r="B9246"/>
      <c r="C9246" s="748"/>
      <c r="D9246" s="749" t="s">
        <v>2097</v>
      </c>
      <c r="E9246" s="1058" t="s">
        <v>3611</v>
      </c>
      <c r="F9246" s="753"/>
      <c r="G9246" s="3"/>
      <c r="H9246" s="753"/>
      <c r="I9246" s="754"/>
      <c r="J9246" s="753"/>
      <c r="K9246" s="753" t="s">
        <v>144</v>
      </c>
      <c r="L9246" s="753"/>
      <c r="M9246" s="753"/>
      <c r="N9246" s="753"/>
      <c r="O9246" s="753"/>
      <c r="P9246" s="753"/>
      <c r="Q9246" s="51"/>
      <c r="R9246" s="530"/>
      <c r="S9246" s="757"/>
      <c r="T9246" s="753"/>
      <c r="AR9246" s="748"/>
      <c r="AS9246" s="753"/>
    </row>
    <row r="9247" spans="1:45" s="886" customFormat="1" ht="13.2">
      <c r="A9247"/>
      <c r="B9247" s="910"/>
      <c r="C9247" s="910" t="s">
        <v>2597</v>
      </c>
      <c r="D9247" s="910" t="str">
        <f ca="1">CELL("Address",Elec_Rates!D$1023)</f>
        <v>[E25_0062_Quintano_Foods_Elec_ELV_As_Awarded.xlsx]Elec_Rates!$D$1023</v>
      </c>
      <c r="E9247" s="911"/>
      <c r="F9247" s="911"/>
      <c r="G9247" s="912" t="s">
        <v>2598</v>
      </c>
      <c r="H9247" s="912"/>
      <c r="I9247" s="912"/>
      <c r="J9247" s="912"/>
      <c r="K9247" s="913"/>
      <c r="L9247" s="911"/>
      <c r="M9247" s="911"/>
      <c r="N9247" s="911"/>
      <c r="O9247" s="914"/>
      <c r="P9247" s="911"/>
      <c r="Q9247" s="915"/>
      <c r="R9247" s="916"/>
      <c r="S9247" s="915"/>
      <c r="T9247" s="917"/>
      <c r="U9247" s="918"/>
      <c r="AR9247"/>
      <c r="AS9247" s="911"/>
    </row>
    <row r="9248" spans="1:45" s="886" customFormat="1" ht="11.4">
      <c r="A9248" s="919">
        <v>0</v>
      </c>
      <c r="B9248" s="920">
        <v>1</v>
      </c>
      <c r="C9248" s="920">
        <f>$A9248*$B9248</f>
        <v>0</v>
      </c>
      <c r="D9248" s="921" t="str">
        <f>Elec_Rates!$D$1023</f>
        <v>091# Galvanised Conduit points for Fire alarm devices</v>
      </c>
      <c r="E9248" s="921"/>
      <c r="F9248" s="921" t="s">
        <v>2599</v>
      </c>
      <c r="G9248" s="922" t="s">
        <v>2601</v>
      </c>
      <c r="H9248" s="922"/>
      <c r="I9248" s="922"/>
      <c r="J9248" s="922"/>
      <c r="K9248" s="923"/>
      <c r="L9248" s="918"/>
      <c r="M9248" s="918"/>
      <c r="N9248" s="918"/>
      <c r="O9248" s="924"/>
      <c r="P9248" s="921"/>
      <c r="Q9248" s="925">
        <f ca="1">$B9248*Elec_Rates!$R$1023</f>
        <v>30.3</v>
      </c>
      <c r="R9248" s="916">
        <f ca="1">$A9248*Q9248</f>
        <v>0</v>
      </c>
      <c r="S9248" s="925">
        <f ca="1">$B9248*Elec_Rates!$T$1023</f>
        <v>1.8</v>
      </c>
      <c r="T9248" s="917">
        <f ca="1">$A9248*S9248</f>
        <v>0</v>
      </c>
      <c r="U9248" s="926"/>
      <c r="AR9248" s="919">
        <v>0</v>
      </c>
      <c r="AS9248" s="921" t="s">
        <v>2599</v>
      </c>
    </row>
    <row r="9249" spans="1:45" s="520" customFormat="1" ht="12">
      <c r="A9249" s="758"/>
      <c r="B9249" s="758"/>
      <c r="C9249" s="758"/>
      <c r="D9249" s="758"/>
      <c r="E9249" s="758"/>
      <c r="F9249" s="753"/>
      <c r="G9249" s="758"/>
      <c r="H9249" s="758"/>
      <c r="I9249" s="519"/>
      <c r="J9249" s="758"/>
      <c r="K9249" s="758"/>
      <c r="L9249" s="758"/>
      <c r="M9249" s="758"/>
      <c r="N9249" s="758"/>
      <c r="O9249" s="758"/>
      <c r="P9249" s="758"/>
      <c r="Q9249" s="519"/>
      <c r="R9249" s="759">
        <f>$A9249*Q9249</f>
        <v>0</v>
      </c>
      <c r="S9249" s="519"/>
      <c r="T9249" s="760">
        <f>$A9249*S9249*$T$1</f>
        <v>0</v>
      </c>
      <c r="AR9249" s="758"/>
      <c r="AS9249" s="753"/>
    </row>
    <row r="9250" spans="1:45" s="520" customFormat="1" ht="12.6" thickBot="1">
      <c r="A9250" s="761" t="s">
        <v>145</v>
      </c>
      <c r="B9250" s="762">
        <f>(R9249+T9249)</f>
        <v>0</v>
      </c>
      <c r="C9250" s="763"/>
      <c r="D9250" s="763"/>
      <c r="E9250" s="763"/>
      <c r="F9250" s="764"/>
      <c r="G9250" s="763" t="s">
        <v>146</v>
      </c>
      <c r="H9250" s="763"/>
      <c r="I9250" s="765"/>
      <c r="J9250" s="763"/>
      <c r="K9250" s="763" t="s">
        <v>3</v>
      </c>
      <c r="L9250" s="766" t="s">
        <v>143</v>
      </c>
      <c r="M9250" s="766"/>
      <c r="N9250" s="766"/>
      <c r="O9250" s="766"/>
      <c r="P9250" s="766"/>
      <c r="Q9250" s="767"/>
      <c r="R9250" s="768">
        <f ca="1">SUM(R9246:R9249)</f>
        <v>0</v>
      </c>
      <c r="S9250" s="763"/>
      <c r="T9250" s="768">
        <f ca="1">SUM(T9246:T9249)</f>
        <v>0</v>
      </c>
      <c r="U9250" s="531"/>
      <c r="V9250" s="531"/>
      <c r="W9250" s="531"/>
      <c r="X9250" s="531"/>
      <c r="Y9250" s="531"/>
      <c r="Z9250" s="531"/>
      <c r="AA9250" s="531"/>
      <c r="AB9250" s="531"/>
      <c r="AC9250" s="531"/>
      <c r="AD9250" s="531"/>
      <c r="AE9250" s="531"/>
      <c r="AF9250" s="531"/>
      <c r="AG9250" s="531"/>
      <c r="AH9250" s="531"/>
      <c r="AI9250" s="531"/>
      <c r="AJ9250" s="531"/>
      <c r="AK9250" s="531"/>
      <c r="AL9250" s="531"/>
      <c r="AM9250" s="531"/>
      <c r="AN9250" s="531"/>
      <c r="AO9250" s="531"/>
      <c r="AR9250" s="761" t="s">
        <v>145</v>
      </c>
      <c r="AS9250" s="764"/>
    </row>
    <row r="9251" spans="1:45" s="520" customFormat="1" thickTop="1">
      <c r="A9251" s="51"/>
      <c r="B9251" s="51"/>
      <c r="C9251" s="3"/>
      <c r="D9251" s="3"/>
      <c r="E9251" s="51"/>
      <c r="F9251" s="51"/>
      <c r="G9251" s="51"/>
      <c r="H9251" s="51"/>
      <c r="I9251" s="51"/>
      <c r="J9251" s="51"/>
      <c r="K9251" s="51" t="s">
        <v>134</v>
      </c>
      <c r="L9251" s="51"/>
      <c r="M9251" s="51"/>
      <c r="N9251" s="51"/>
      <c r="O9251" s="52"/>
      <c r="P9251" s="51"/>
      <c r="Q9251" s="51"/>
      <c r="R9251" s="51"/>
      <c r="S9251" s="51"/>
      <c r="T9251" s="51"/>
      <c r="AR9251" s="51"/>
      <c r="AS9251" s="51"/>
    </row>
    <row r="9252" spans="1:45" s="520" customFormat="1" ht="12">
      <c r="A9252" s="51"/>
      <c r="B9252" s="51"/>
      <c r="C9252" s="51" t="s">
        <v>135</v>
      </c>
      <c r="D9252" s="37"/>
      <c r="E9252" s="51"/>
      <c r="F9252" s="51"/>
      <c r="G9252" s="51"/>
      <c r="H9252" s="51"/>
      <c r="I9252" s="51"/>
      <c r="J9252" s="51"/>
      <c r="K9252" s="51"/>
      <c r="L9252" s="51"/>
      <c r="M9252" s="51"/>
      <c r="N9252" s="51"/>
      <c r="O9252" s="52"/>
      <c r="P9252" s="51"/>
      <c r="Q9252" s="51"/>
      <c r="R9252" s="51"/>
      <c r="S9252" s="51"/>
      <c r="T9252" s="51"/>
      <c r="AR9252" s="51"/>
      <c r="AS9252" s="51"/>
    </row>
    <row r="9253" spans="1:45" s="520" customFormat="1" ht="12">
      <c r="A9253" s="51"/>
      <c r="B9253" s="51"/>
      <c r="C9253" s="51"/>
      <c r="D9253" s="37" t="s">
        <v>2098</v>
      </c>
      <c r="E9253" s="51"/>
      <c r="F9253" s="51"/>
      <c r="G9253" s="51"/>
      <c r="H9253" s="51"/>
      <c r="I9253" s="51"/>
      <c r="J9253" s="51"/>
      <c r="K9253" s="51"/>
      <c r="L9253" s="51"/>
      <c r="M9253" s="51"/>
      <c r="N9253" s="51"/>
      <c r="O9253" s="52"/>
      <c r="P9253" s="51"/>
      <c r="Q9253" s="51"/>
      <c r="R9253" s="51"/>
      <c r="S9253" s="38"/>
      <c r="T9253" s="38"/>
      <c r="AR9253" s="51"/>
      <c r="AS9253" s="51"/>
    </row>
    <row r="9254" spans="1:45" s="3" customFormat="1" thickBot="1">
      <c r="A9254" s="531"/>
      <c r="O9254" s="107"/>
      <c r="AR9254" s="531"/>
    </row>
    <row r="9255" spans="1:45" s="520" customFormat="1" thickTop="1">
      <c r="A9255" s="51"/>
      <c r="B9255" s="51"/>
      <c r="C9255" s="3"/>
      <c r="D9255" s="3"/>
      <c r="E9255" s="51"/>
      <c r="F9255" s="51"/>
      <c r="G9255" s="51"/>
      <c r="H9255" s="51"/>
      <c r="I9255" s="51"/>
      <c r="J9255" s="51"/>
      <c r="K9255" s="51" t="s">
        <v>134</v>
      </c>
      <c r="L9255" s="51"/>
      <c r="M9255" s="51"/>
      <c r="N9255" s="51"/>
      <c r="O9255" s="52"/>
      <c r="P9255" s="51"/>
      <c r="Q9255" s="51"/>
      <c r="R9255" s="51"/>
      <c r="S9255" s="51"/>
      <c r="T9255" s="51"/>
      <c r="AR9255" s="51"/>
      <c r="AS9255" s="51"/>
    </row>
    <row r="9256" spans="1:45" s="520" customFormat="1" ht="12">
      <c r="A9256" s="51"/>
      <c r="B9256" s="51"/>
      <c r="C9256" s="51" t="s">
        <v>135</v>
      </c>
      <c r="D9256" s="37"/>
      <c r="E9256" s="51"/>
      <c r="F9256" s="51"/>
      <c r="G9256" s="51"/>
      <c r="H9256" s="51"/>
      <c r="I9256" s="51"/>
      <c r="J9256" s="51"/>
      <c r="K9256" s="51"/>
      <c r="L9256" s="51"/>
      <c r="M9256" s="51"/>
      <c r="N9256" s="51"/>
      <c r="O9256" s="52"/>
      <c r="P9256" s="51"/>
      <c r="Q9256" s="51"/>
      <c r="R9256" s="51"/>
      <c r="S9256" s="51"/>
      <c r="T9256" s="51"/>
      <c r="AR9256" s="51"/>
      <c r="AS9256" s="51"/>
    </row>
    <row r="9257" spans="1:45" s="520" customFormat="1" ht="39.9" customHeight="1">
      <c r="A9257" s="51"/>
      <c r="B9257" s="51"/>
      <c r="C9257" s="51"/>
      <c r="D9257" s="1453" t="s">
        <v>2335</v>
      </c>
      <c r="E9257" s="1452"/>
      <c r="F9257" s="1452"/>
      <c r="G9257" s="1452"/>
      <c r="H9257" s="1452"/>
      <c r="I9257" s="1452"/>
      <c r="J9257" s="1452"/>
      <c r="K9257" s="1452"/>
      <c r="L9257" s="1452"/>
      <c r="M9257" s="1452"/>
      <c r="N9257" s="1452"/>
      <c r="O9257" s="1452"/>
      <c r="P9257" s="1452"/>
      <c r="Q9257" s="1452"/>
      <c r="R9257" s="1452"/>
      <c r="S9257" s="1452"/>
      <c r="T9257" s="1452"/>
      <c r="AR9257" s="51"/>
    </row>
    <row r="9258" spans="1:45" s="3" customFormat="1" thickBot="1">
      <c r="A9258" s="531"/>
      <c r="O9258" s="107"/>
      <c r="AR9258" s="531"/>
    </row>
    <row r="9259" spans="1:45" s="520" customFormat="1" ht="12" thickTop="1">
      <c r="A9259" s="51"/>
      <c r="B9259" s="41"/>
      <c r="C9259" s="51"/>
      <c r="E9259" s="42" t="s">
        <v>138</v>
      </c>
      <c r="F9259" s="42" t="s">
        <v>139</v>
      </c>
      <c r="G9259" s="51"/>
      <c r="H9259" s="51"/>
      <c r="I9259" s="51"/>
      <c r="J9259" s="51"/>
      <c r="K9259" s="51" t="s">
        <v>140</v>
      </c>
      <c r="L9259" s="51"/>
      <c r="M9259" s="51"/>
      <c r="N9259" s="51"/>
      <c r="O9259" s="52"/>
      <c r="P9259" s="51"/>
      <c r="Q9259" s="51"/>
      <c r="R9259" s="51"/>
      <c r="S9259" s="51"/>
      <c r="T9259" s="41"/>
      <c r="AG9259" s="521" t="s">
        <v>268</v>
      </c>
      <c r="AH9259" s="521" t="s">
        <v>269</v>
      </c>
      <c r="AI9259" s="521" t="s">
        <v>270</v>
      </c>
      <c r="AJ9259" s="521" t="s">
        <v>271</v>
      </c>
      <c r="AK9259" s="521" t="s">
        <v>272</v>
      </c>
      <c r="AM9259" s="745" t="s">
        <v>281</v>
      </c>
      <c r="AN9259" s="746" t="s">
        <v>282</v>
      </c>
      <c r="AO9259" s="522" t="s">
        <v>278</v>
      </c>
      <c r="AR9259" s="51"/>
      <c r="AS9259" s="42" t="s">
        <v>139</v>
      </c>
    </row>
    <row r="9260" spans="1:45" s="520" customFormat="1" ht="12" customHeight="1">
      <c r="A9260" s="747">
        <v>3</v>
      </c>
      <c r="B9260" s="523" t="s">
        <v>141</v>
      </c>
      <c r="C9260" s="748"/>
      <c r="D9260" s="749" t="s">
        <v>2427</v>
      </c>
      <c r="E9260" s="750">
        <f ca="1">IF(AND($A9260=0,$A$1="DIF"),0, ROUND(ROUND(($R9265*$S$2+($T9265*$T$2))/A9260,2)*$C$2,2))</f>
        <v>49.52</v>
      </c>
      <c r="F9260" s="751">
        <f ca="1">ROUND($A9260*$E9260,2)</f>
        <v>148.56</v>
      </c>
      <c r="G9260" s="752" t="s">
        <v>142</v>
      </c>
      <c r="H9260" s="753"/>
      <c r="I9260" s="754"/>
      <c r="J9260" s="753"/>
      <c r="K9260" s="753" t="s">
        <v>3</v>
      </c>
      <c r="L9260" s="755" t="s">
        <v>143</v>
      </c>
      <c r="M9260" s="755"/>
      <c r="N9260" s="755"/>
      <c r="O9260" s="755"/>
      <c r="P9260" s="755"/>
      <c r="Q9260" s="51"/>
      <c r="T9260" s="756" t="str">
        <f ca="1">IF(AND($R9265=0,$T9265=0),"0.00","mu :" &amp; ROUND($F9260/$C$2/($R9265+$T9265*$D$9),2))</f>
        <v>mu :1.23</v>
      </c>
      <c r="W9260" s="524"/>
      <c r="AG9260" s="481">
        <f ca="1">IF($E9260=0,0,ROUND($R9265*$S$2*$C$2/$A9260,2))</f>
        <v>17.73</v>
      </c>
      <c r="AH9260" s="481">
        <f ca="1">$AG9260*$A9260</f>
        <v>53.19</v>
      </c>
      <c r="AI9260" s="525">
        <f ca="1">$E9260-$AG9260</f>
        <v>31.790000000000003</v>
      </c>
      <c r="AJ9260" s="525">
        <f ca="1">$A9260*$AI9260</f>
        <v>95.37</v>
      </c>
      <c r="AK9260" s="526">
        <f ca="1">ROUND(($AG9260+$AI9260)*$A9260,2)</f>
        <v>148.56</v>
      </c>
      <c r="AM9260" s="527">
        <f ca="1">ROUND(R9265,2)</f>
        <v>43.2</v>
      </c>
      <c r="AN9260" s="528">
        <f ca="1">ROUND(T9265,2)</f>
        <v>2.82</v>
      </c>
      <c r="AO9260" s="529">
        <f ca="1">ROUND(AM9260+AN9260,2)*A9260</f>
        <v>138.06</v>
      </c>
      <c r="AR9260" s="747">
        <v>3</v>
      </c>
      <c r="AS9260" s="751">
        <v>158.69999999999999</v>
      </c>
    </row>
    <row r="9261" spans="1:45" s="520" customFormat="1" ht="13.2">
      <c r="A9261" s="748"/>
      <c r="B9261"/>
      <c r="C9261" s="748"/>
      <c r="D9261" s="749" t="s">
        <v>2061</v>
      </c>
      <c r="F9261" s="753"/>
      <c r="G9261" s="3"/>
      <c r="H9261" s="753"/>
      <c r="I9261" s="754"/>
      <c r="J9261" s="753"/>
      <c r="K9261" s="753" t="s">
        <v>144</v>
      </c>
      <c r="L9261" s="753"/>
      <c r="M9261" s="753"/>
      <c r="N9261" s="753"/>
      <c r="O9261" s="753"/>
      <c r="P9261" s="753"/>
      <c r="Q9261" s="51"/>
      <c r="R9261" s="530"/>
      <c r="S9261" s="757"/>
      <c r="T9261" s="753"/>
      <c r="AR9261" s="748"/>
      <c r="AS9261" s="753"/>
    </row>
    <row r="9262" spans="1:45" s="886" customFormat="1" ht="13.2">
      <c r="A9262"/>
      <c r="B9262" s="910"/>
      <c r="C9262" s="910" t="s">
        <v>2597</v>
      </c>
      <c r="D9262" s="910" t="str">
        <f ca="1">CELL("Address",Elec_Rates!D$1029)</f>
        <v>[E25_0062_Quintano_Foods_Elec_ELV_As_Awarded.xlsx]Elec_Rates!$D$1029</v>
      </c>
      <c r="E9262" s="911"/>
      <c r="F9262" s="911"/>
      <c r="G9262" s="912" t="s">
        <v>2598</v>
      </c>
      <c r="H9262" s="912"/>
      <c r="I9262" s="912"/>
      <c r="J9262" s="912"/>
      <c r="K9262" s="913"/>
      <c r="L9262" s="911"/>
      <c r="M9262" s="911"/>
      <c r="N9262" s="911"/>
      <c r="O9262" s="914"/>
      <c r="P9262" s="911"/>
      <c r="Q9262" s="915"/>
      <c r="R9262" s="916"/>
      <c r="S9262" s="915"/>
      <c r="T9262" s="917"/>
      <c r="U9262" s="918"/>
      <c r="AR9262"/>
      <c r="AS9262" s="911"/>
    </row>
    <row r="9263" spans="1:45" s="886" customFormat="1" ht="11.4">
      <c r="A9263" s="919">
        <v>3</v>
      </c>
      <c r="B9263" s="920">
        <v>1</v>
      </c>
      <c r="C9263" s="920">
        <f>$A9263*$B9263</f>
        <v>3</v>
      </c>
      <c r="D9263" s="921" t="str">
        <f>Elec_Rates!$D$1029</f>
        <v>092# LSZH Conduit points for Fire alarm devices</v>
      </c>
      <c r="E9263" s="921"/>
      <c r="F9263" s="921" t="s">
        <v>2599</v>
      </c>
      <c r="G9263" s="922" t="s">
        <v>2600</v>
      </c>
      <c r="H9263" s="922"/>
      <c r="I9263" s="922"/>
      <c r="J9263" s="922"/>
      <c r="K9263" s="923"/>
      <c r="L9263" s="918"/>
      <c r="M9263" s="918"/>
      <c r="N9263" s="918"/>
      <c r="O9263" s="924"/>
      <c r="P9263" s="921"/>
      <c r="Q9263" s="925">
        <f ca="1">$B9263*Elec_Rates!$R$1029</f>
        <v>14.4</v>
      </c>
      <c r="R9263" s="916">
        <f ca="1">$A9263*Q9263</f>
        <v>43.2</v>
      </c>
      <c r="S9263" s="925">
        <f ca="1">$B9263*Elec_Rates!$T$1029</f>
        <v>0.94</v>
      </c>
      <c r="T9263" s="917">
        <f ca="1">$A9263*S9263</f>
        <v>2.82</v>
      </c>
      <c r="U9263" s="926"/>
      <c r="AR9263" s="919">
        <v>3</v>
      </c>
      <c r="AS9263" s="921" t="s">
        <v>2599</v>
      </c>
    </row>
    <row r="9264" spans="1:45" s="520" customFormat="1" ht="12">
      <c r="A9264" s="758"/>
      <c r="B9264" s="758"/>
      <c r="C9264" s="758"/>
      <c r="D9264" s="758"/>
      <c r="E9264" s="758"/>
      <c r="F9264" s="753"/>
      <c r="G9264" s="758"/>
      <c r="H9264" s="758"/>
      <c r="I9264" s="519"/>
      <c r="J9264" s="758"/>
      <c r="K9264" s="758"/>
      <c r="L9264" s="758"/>
      <c r="M9264" s="758"/>
      <c r="N9264" s="758"/>
      <c r="O9264" s="758"/>
      <c r="P9264" s="758"/>
      <c r="Q9264" s="519"/>
      <c r="R9264" s="759">
        <f>$A9264*Q9264</f>
        <v>0</v>
      </c>
      <c r="S9264" s="519"/>
      <c r="T9264" s="760">
        <f>$A9264*S9264*$T$1</f>
        <v>0</v>
      </c>
      <c r="AR9264" s="758"/>
      <c r="AS9264" s="753"/>
    </row>
    <row r="9265" spans="1:45" s="520" customFormat="1" ht="12.6" thickBot="1">
      <c r="A9265" s="761" t="s">
        <v>145</v>
      </c>
      <c r="B9265" s="762">
        <f>(R9264+T9264)</f>
        <v>0</v>
      </c>
      <c r="C9265" s="763"/>
      <c r="D9265" s="763"/>
      <c r="E9265" s="763"/>
      <c r="F9265" s="764"/>
      <c r="G9265" s="763" t="s">
        <v>146</v>
      </c>
      <c r="H9265" s="763"/>
      <c r="I9265" s="765"/>
      <c r="J9265" s="763"/>
      <c r="K9265" s="763" t="s">
        <v>3</v>
      </c>
      <c r="L9265" s="766" t="s">
        <v>143</v>
      </c>
      <c r="M9265" s="766"/>
      <c r="N9265" s="766"/>
      <c r="O9265" s="766"/>
      <c r="P9265" s="766"/>
      <c r="Q9265" s="767"/>
      <c r="R9265" s="768">
        <f ca="1">SUM(R9261:R9264)</f>
        <v>43.2</v>
      </c>
      <c r="S9265" s="763"/>
      <c r="T9265" s="768">
        <f ca="1">SUM(T9261:T9264)</f>
        <v>2.82</v>
      </c>
      <c r="U9265" s="531"/>
      <c r="V9265" s="531"/>
      <c r="W9265" s="531"/>
      <c r="X9265" s="531"/>
      <c r="Y9265" s="531"/>
      <c r="Z9265" s="531"/>
      <c r="AA9265" s="531"/>
      <c r="AB9265" s="531"/>
      <c r="AC9265" s="531"/>
      <c r="AD9265" s="531"/>
      <c r="AE9265" s="531"/>
      <c r="AF9265" s="531"/>
      <c r="AG9265" s="531"/>
      <c r="AH9265" s="531"/>
      <c r="AI9265" s="531"/>
      <c r="AJ9265" s="531"/>
      <c r="AK9265" s="531"/>
      <c r="AL9265" s="531"/>
      <c r="AM9265" s="531"/>
      <c r="AN9265" s="531"/>
      <c r="AO9265" s="531"/>
      <c r="AR9265" s="761" t="s">
        <v>145</v>
      </c>
      <c r="AS9265" s="764"/>
    </row>
    <row r="9266" spans="1:45" s="520" customFormat="1" ht="12" thickTop="1">
      <c r="A9266" s="51"/>
      <c r="B9266" s="41"/>
      <c r="C9266" s="51"/>
      <c r="E9266" s="42" t="s">
        <v>138</v>
      </c>
      <c r="F9266" s="42" t="s">
        <v>139</v>
      </c>
      <c r="G9266" s="51"/>
      <c r="H9266" s="51"/>
      <c r="I9266" s="51"/>
      <c r="J9266" s="51"/>
      <c r="K9266" s="51" t="s">
        <v>140</v>
      </c>
      <c r="L9266" s="51"/>
      <c r="M9266" s="51"/>
      <c r="N9266" s="51"/>
      <c r="O9266" s="52"/>
      <c r="P9266" s="51"/>
      <c r="Q9266" s="51"/>
      <c r="R9266" s="51"/>
      <c r="S9266" s="51"/>
      <c r="T9266" s="41"/>
      <c r="AG9266" s="521" t="s">
        <v>268</v>
      </c>
      <c r="AH9266" s="521" t="s">
        <v>269</v>
      </c>
      <c r="AI9266" s="521" t="s">
        <v>270</v>
      </c>
      <c r="AJ9266" s="521" t="s">
        <v>271</v>
      </c>
      <c r="AK9266" s="521" t="s">
        <v>272</v>
      </c>
      <c r="AM9266" s="745" t="s">
        <v>281</v>
      </c>
      <c r="AN9266" s="746" t="s">
        <v>282</v>
      </c>
      <c r="AO9266" s="522" t="s">
        <v>278</v>
      </c>
      <c r="AR9266" s="51"/>
      <c r="AS9266" s="42" t="s">
        <v>139</v>
      </c>
    </row>
    <row r="9267" spans="1:45" s="520" customFormat="1" ht="12" customHeight="1">
      <c r="A9267" s="747">
        <v>1</v>
      </c>
      <c r="B9267" s="523" t="s">
        <v>141</v>
      </c>
      <c r="C9267" s="748"/>
      <c r="D9267" s="749" t="s">
        <v>2428</v>
      </c>
      <c r="E9267" s="750">
        <f ca="1">IF(AND($A9267=0,$A$1="DIF"),0, ROUND(ROUND(($R9272*$S$2+($T9272*$T$2))/A9267,2)*$C$2,2))</f>
        <v>49.52</v>
      </c>
      <c r="F9267" s="751">
        <f ca="1">ROUND($A9267*$E9267,2)</f>
        <v>49.52</v>
      </c>
      <c r="G9267" s="752" t="s">
        <v>142</v>
      </c>
      <c r="H9267" s="753"/>
      <c r="I9267" s="754"/>
      <c r="J9267" s="753"/>
      <c r="K9267" s="753" t="s">
        <v>3</v>
      </c>
      <c r="L9267" s="755" t="s">
        <v>143</v>
      </c>
      <c r="M9267" s="755"/>
      <c r="N9267" s="755"/>
      <c r="O9267" s="755"/>
      <c r="P9267" s="755"/>
      <c r="Q9267" s="51"/>
      <c r="T9267" s="756" t="str">
        <f ca="1">IF(AND($R9272=0,$T9272=0),"0.00","mu :" &amp; ROUND($F9267/$C$2/($R9272+$T9272*$D$9),2))</f>
        <v>mu :1.23</v>
      </c>
      <c r="W9267" s="524"/>
      <c r="AG9267" s="481">
        <f ca="1">IF($E9267=0,0,ROUND($R9272*$S$2*$C$2/$A9267,2))</f>
        <v>17.73</v>
      </c>
      <c r="AH9267" s="481">
        <f ca="1">$AG9267*$A9267</f>
        <v>17.73</v>
      </c>
      <c r="AI9267" s="525">
        <f ca="1">$E9267-$AG9267</f>
        <v>31.790000000000003</v>
      </c>
      <c r="AJ9267" s="525">
        <f ca="1">$A9267*$AI9267</f>
        <v>31.790000000000003</v>
      </c>
      <c r="AK9267" s="526">
        <f ca="1">ROUND(($AG9267+$AI9267)*$A9267,2)</f>
        <v>49.52</v>
      </c>
      <c r="AM9267" s="527">
        <f ca="1">ROUND(R9272,2)</f>
        <v>14.4</v>
      </c>
      <c r="AN9267" s="528">
        <f ca="1">ROUND(T9272,2)</f>
        <v>0.94</v>
      </c>
      <c r="AO9267" s="529">
        <f ca="1">ROUND(AM9267+AN9267,2)*A9267</f>
        <v>15.34</v>
      </c>
      <c r="AR9267" s="747">
        <v>1</v>
      </c>
      <c r="AS9267" s="751">
        <v>52.9</v>
      </c>
    </row>
    <row r="9268" spans="1:45" s="520" customFormat="1" ht="13.2">
      <c r="A9268" s="748"/>
      <c r="B9268"/>
      <c r="C9268" s="748"/>
      <c r="D9268" s="749" t="s">
        <v>2062</v>
      </c>
      <c r="F9268" s="753"/>
      <c r="G9268" s="3"/>
      <c r="H9268" s="753"/>
      <c r="I9268" s="754"/>
      <c r="J9268" s="753"/>
      <c r="K9268" s="753" t="s">
        <v>144</v>
      </c>
      <c r="L9268" s="753"/>
      <c r="M9268" s="753"/>
      <c r="N9268" s="753"/>
      <c r="O9268" s="753"/>
      <c r="P9268" s="753"/>
      <c r="Q9268" s="51"/>
      <c r="R9268" s="530"/>
      <c r="S9268" s="757"/>
      <c r="T9268" s="753"/>
      <c r="AR9268" s="748"/>
      <c r="AS9268" s="753"/>
    </row>
    <row r="9269" spans="1:45" s="886" customFormat="1" ht="13.2">
      <c r="A9269"/>
      <c r="B9269" s="910"/>
      <c r="C9269" s="910" t="s">
        <v>2597</v>
      </c>
      <c r="D9269" s="910" t="str">
        <f ca="1">CELL("Address",Elec_Rates!D$1029)</f>
        <v>[E25_0062_Quintano_Foods_Elec_ELV_As_Awarded.xlsx]Elec_Rates!$D$1029</v>
      </c>
      <c r="E9269" s="911"/>
      <c r="F9269" s="911"/>
      <c r="G9269" s="912" t="s">
        <v>2598</v>
      </c>
      <c r="H9269" s="912"/>
      <c r="I9269" s="912"/>
      <c r="J9269" s="912"/>
      <c r="K9269" s="913"/>
      <c r="L9269" s="911"/>
      <c r="M9269" s="911"/>
      <c r="N9269" s="911"/>
      <c r="O9269" s="914"/>
      <c r="P9269" s="911"/>
      <c r="Q9269" s="915"/>
      <c r="R9269" s="916"/>
      <c r="S9269" s="915"/>
      <c r="T9269" s="917"/>
      <c r="U9269" s="918"/>
      <c r="AR9269"/>
      <c r="AS9269" s="911"/>
    </row>
    <row r="9270" spans="1:45" s="886" customFormat="1" ht="11.4">
      <c r="A9270" s="919">
        <v>1</v>
      </c>
      <c r="B9270" s="920">
        <v>1</v>
      </c>
      <c r="C9270" s="920">
        <f>$A9270*$B9270</f>
        <v>1</v>
      </c>
      <c r="D9270" s="921" t="str">
        <f>Elec_Rates!$D$1029</f>
        <v>092# LSZH Conduit points for Fire alarm devices</v>
      </c>
      <c r="E9270" s="921"/>
      <c r="F9270" s="921" t="s">
        <v>2599</v>
      </c>
      <c r="G9270" s="922" t="s">
        <v>2600</v>
      </c>
      <c r="H9270" s="922"/>
      <c r="I9270" s="922"/>
      <c r="J9270" s="922"/>
      <c r="K9270" s="923"/>
      <c r="L9270" s="918"/>
      <c r="M9270" s="918"/>
      <c r="N9270" s="918"/>
      <c r="O9270" s="924"/>
      <c r="P9270" s="921"/>
      <c r="Q9270" s="925">
        <f ca="1">$B9270*Elec_Rates!$R$1029</f>
        <v>14.4</v>
      </c>
      <c r="R9270" s="916">
        <f ca="1">$A9270*Q9270</f>
        <v>14.4</v>
      </c>
      <c r="S9270" s="925">
        <f ca="1">$B9270*Elec_Rates!$T$1029</f>
        <v>0.94</v>
      </c>
      <c r="T9270" s="917">
        <f ca="1">$A9270*S9270</f>
        <v>0.94</v>
      </c>
      <c r="U9270" s="926"/>
      <c r="AR9270" s="919">
        <v>1</v>
      </c>
      <c r="AS9270" s="921" t="s">
        <v>2599</v>
      </c>
    </row>
    <row r="9271" spans="1:45" s="520" customFormat="1" ht="12">
      <c r="A9271" s="758"/>
      <c r="B9271" s="758"/>
      <c r="C9271" s="758"/>
      <c r="D9271" s="758"/>
      <c r="E9271" s="758"/>
      <c r="F9271" s="753"/>
      <c r="G9271" s="758"/>
      <c r="H9271" s="758"/>
      <c r="I9271" s="519"/>
      <c r="J9271" s="758"/>
      <c r="K9271" s="758"/>
      <c r="L9271" s="758"/>
      <c r="M9271" s="758"/>
      <c r="N9271" s="758"/>
      <c r="O9271" s="758"/>
      <c r="P9271" s="758"/>
      <c r="Q9271" s="519"/>
      <c r="R9271" s="759">
        <f>$A9271*Q9271</f>
        <v>0</v>
      </c>
      <c r="S9271" s="519"/>
      <c r="T9271" s="760">
        <f>$A9271*S9271*$T$1</f>
        <v>0</v>
      </c>
      <c r="AR9271" s="758"/>
      <c r="AS9271" s="753"/>
    </row>
    <row r="9272" spans="1:45" s="520" customFormat="1" ht="12.6" thickBot="1">
      <c r="A9272" s="761" t="s">
        <v>145</v>
      </c>
      <c r="B9272" s="762">
        <f>(R9271+T9271)</f>
        <v>0</v>
      </c>
      <c r="C9272" s="763"/>
      <c r="D9272" s="763"/>
      <c r="E9272" s="763"/>
      <c r="F9272" s="764"/>
      <c r="G9272" s="763" t="s">
        <v>146</v>
      </c>
      <c r="H9272" s="763"/>
      <c r="I9272" s="765"/>
      <c r="J9272" s="763"/>
      <c r="K9272" s="763" t="s">
        <v>3</v>
      </c>
      <c r="L9272" s="766" t="s">
        <v>143</v>
      </c>
      <c r="M9272" s="766"/>
      <c r="N9272" s="766"/>
      <c r="O9272" s="766"/>
      <c r="P9272" s="766"/>
      <c r="Q9272" s="767"/>
      <c r="R9272" s="768">
        <f ca="1">SUM(R9268:R9271)</f>
        <v>14.4</v>
      </c>
      <c r="S9272" s="763"/>
      <c r="T9272" s="768">
        <f ca="1">SUM(T9268:T9271)</f>
        <v>0.94</v>
      </c>
      <c r="U9272" s="531"/>
      <c r="V9272" s="531"/>
      <c r="W9272" s="531"/>
      <c r="X9272" s="531"/>
      <c r="Y9272" s="531"/>
      <c r="Z9272" s="531"/>
      <c r="AA9272" s="531"/>
      <c r="AB9272" s="531"/>
      <c r="AC9272" s="531"/>
      <c r="AD9272" s="531"/>
      <c r="AE9272" s="531"/>
      <c r="AF9272" s="531"/>
      <c r="AG9272" s="531"/>
      <c r="AH9272" s="531"/>
      <c r="AI9272" s="531"/>
      <c r="AJ9272" s="531"/>
      <c r="AK9272" s="531"/>
      <c r="AL9272" s="531"/>
      <c r="AM9272" s="531"/>
      <c r="AN9272" s="531"/>
      <c r="AO9272" s="531"/>
      <c r="AR9272" s="761" t="s">
        <v>145</v>
      </c>
      <c r="AS9272" s="764"/>
    </row>
    <row r="9273" spans="1:45" s="520" customFormat="1" ht="12" thickTop="1">
      <c r="A9273" s="51"/>
      <c r="B9273" s="41"/>
      <c r="C9273" s="51"/>
      <c r="E9273" s="42" t="s">
        <v>138</v>
      </c>
      <c r="F9273" s="42" t="s">
        <v>139</v>
      </c>
      <c r="G9273" s="51"/>
      <c r="H9273" s="51"/>
      <c r="I9273" s="51"/>
      <c r="J9273" s="51"/>
      <c r="K9273" s="51" t="s">
        <v>140</v>
      </c>
      <c r="L9273" s="51"/>
      <c r="M9273" s="51"/>
      <c r="N9273" s="51"/>
      <c r="O9273" s="52"/>
      <c r="P9273" s="51"/>
      <c r="Q9273" s="51"/>
      <c r="R9273" s="51"/>
      <c r="S9273" s="51"/>
      <c r="T9273" s="41"/>
      <c r="AG9273" s="521" t="s">
        <v>268</v>
      </c>
      <c r="AH9273" s="521" t="s">
        <v>269</v>
      </c>
      <c r="AI9273" s="521" t="s">
        <v>270</v>
      </c>
      <c r="AJ9273" s="521" t="s">
        <v>271</v>
      </c>
      <c r="AK9273" s="521" t="s">
        <v>272</v>
      </c>
      <c r="AM9273" s="745" t="s">
        <v>281</v>
      </c>
      <c r="AN9273" s="746" t="s">
        <v>282</v>
      </c>
      <c r="AO9273" s="522" t="s">
        <v>278</v>
      </c>
      <c r="AR9273" s="51"/>
      <c r="AS9273" s="42" t="s">
        <v>139</v>
      </c>
    </row>
    <row r="9274" spans="1:45" s="520" customFormat="1" ht="12" customHeight="1">
      <c r="A9274" s="747">
        <v>1</v>
      </c>
      <c r="B9274" s="523" t="s">
        <v>141</v>
      </c>
      <c r="C9274" s="748"/>
      <c r="D9274" s="749" t="s">
        <v>2429</v>
      </c>
      <c r="E9274" s="750">
        <f ca="1">IF(AND($A9274=0,$A$1="DIF"),0, ROUND(ROUND(($R9279*$S$2+($T9279*$T$2))/A9274,2)*$C$2,2))</f>
        <v>49.52</v>
      </c>
      <c r="F9274" s="751">
        <f ca="1">ROUND($A9274*$E9274,2)</f>
        <v>49.52</v>
      </c>
      <c r="G9274" s="752" t="s">
        <v>142</v>
      </c>
      <c r="H9274" s="753"/>
      <c r="I9274" s="754"/>
      <c r="J9274" s="753"/>
      <c r="K9274" s="753" t="s">
        <v>3</v>
      </c>
      <c r="L9274" s="755" t="s">
        <v>143</v>
      </c>
      <c r="M9274" s="755"/>
      <c r="N9274" s="755"/>
      <c r="O9274" s="755"/>
      <c r="P9274" s="755"/>
      <c r="Q9274" s="51"/>
      <c r="T9274" s="756" t="str">
        <f ca="1">IF(AND($R9279=0,$T9279=0),"0.00","mu :" &amp; ROUND($F9274/$C$2/($R9279+$T9279*$D$9),2))</f>
        <v>mu :1.23</v>
      </c>
      <c r="W9274" s="524"/>
      <c r="AG9274" s="481">
        <f ca="1">IF($E9274=0,0,ROUND($R9279*$S$2*$C$2/$A9274,2))</f>
        <v>17.73</v>
      </c>
      <c r="AH9274" s="481">
        <f ca="1">$AG9274*$A9274</f>
        <v>17.73</v>
      </c>
      <c r="AI9274" s="525">
        <f ca="1">$E9274-$AG9274</f>
        <v>31.790000000000003</v>
      </c>
      <c r="AJ9274" s="525">
        <f ca="1">$A9274*$AI9274</f>
        <v>31.790000000000003</v>
      </c>
      <c r="AK9274" s="526">
        <f ca="1">ROUND(($AG9274+$AI9274)*$A9274,2)</f>
        <v>49.52</v>
      </c>
      <c r="AM9274" s="527">
        <f ca="1">ROUND(R9279,2)</f>
        <v>14.4</v>
      </c>
      <c r="AN9274" s="528">
        <f ca="1">ROUND(T9279,2)</f>
        <v>0.94</v>
      </c>
      <c r="AO9274" s="529">
        <f ca="1">ROUND(AM9274+AN9274,2)*A9274</f>
        <v>15.34</v>
      </c>
      <c r="AR9274" s="747">
        <v>1</v>
      </c>
      <c r="AS9274" s="751">
        <v>52.9</v>
      </c>
    </row>
    <row r="9275" spans="1:45" s="520" customFormat="1" ht="13.2">
      <c r="A9275" s="748"/>
      <c r="B9275"/>
      <c r="C9275" s="748"/>
      <c r="D9275" s="749" t="s">
        <v>2065</v>
      </c>
      <c r="F9275" s="753"/>
      <c r="G9275" s="3"/>
      <c r="H9275" s="753"/>
      <c r="I9275" s="754"/>
      <c r="J9275" s="753"/>
      <c r="K9275" s="753" t="s">
        <v>144</v>
      </c>
      <c r="L9275" s="753"/>
      <c r="M9275" s="753"/>
      <c r="N9275" s="753"/>
      <c r="O9275" s="753"/>
      <c r="P9275" s="753"/>
      <c r="Q9275" s="51"/>
      <c r="R9275" s="530"/>
      <c r="S9275" s="757"/>
      <c r="T9275" s="753"/>
      <c r="AR9275" s="748"/>
      <c r="AS9275" s="753"/>
    </row>
    <row r="9276" spans="1:45" s="886" customFormat="1" ht="13.2">
      <c r="A9276"/>
      <c r="B9276" s="910"/>
      <c r="C9276" s="910" t="s">
        <v>2597</v>
      </c>
      <c r="D9276" s="910" t="str">
        <f ca="1">CELL("Address",Elec_Rates!D$1029)</f>
        <v>[E25_0062_Quintano_Foods_Elec_ELV_As_Awarded.xlsx]Elec_Rates!$D$1029</v>
      </c>
      <c r="E9276" s="911"/>
      <c r="F9276" s="911"/>
      <c r="G9276" s="912" t="s">
        <v>2598</v>
      </c>
      <c r="H9276" s="912"/>
      <c r="I9276" s="912"/>
      <c r="J9276" s="912"/>
      <c r="K9276" s="913"/>
      <c r="L9276" s="911"/>
      <c r="M9276" s="911"/>
      <c r="N9276" s="911"/>
      <c r="O9276" s="914"/>
      <c r="P9276" s="911"/>
      <c r="Q9276" s="915"/>
      <c r="R9276" s="916"/>
      <c r="S9276" s="915"/>
      <c r="T9276" s="917"/>
      <c r="U9276" s="918"/>
      <c r="AR9276"/>
      <c r="AS9276" s="911"/>
    </row>
    <row r="9277" spans="1:45" s="886" customFormat="1" ht="11.4">
      <c r="A9277" s="919">
        <v>1</v>
      </c>
      <c r="B9277" s="920">
        <v>1</v>
      </c>
      <c r="C9277" s="920">
        <f>$A9277*$B9277</f>
        <v>1</v>
      </c>
      <c r="D9277" s="921" t="str">
        <f>Elec_Rates!$D$1029</f>
        <v>092# LSZH Conduit points for Fire alarm devices</v>
      </c>
      <c r="E9277" s="921"/>
      <c r="F9277" s="921" t="s">
        <v>2599</v>
      </c>
      <c r="G9277" s="922" t="s">
        <v>2600</v>
      </c>
      <c r="H9277" s="922"/>
      <c r="I9277" s="922"/>
      <c r="J9277" s="922"/>
      <c r="K9277" s="923"/>
      <c r="L9277" s="918"/>
      <c r="M9277" s="918"/>
      <c r="N9277" s="918"/>
      <c r="O9277" s="924"/>
      <c r="P9277" s="921"/>
      <c r="Q9277" s="925">
        <f ca="1">$B9277*Elec_Rates!$R$1029</f>
        <v>14.4</v>
      </c>
      <c r="R9277" s="916">
        <f ca="1">$A9277*Q9277</f>
        <v>14.4</v>
      </c>
      <c r="S9277" s="925">
        <f ca="1">$B9277*Elec_Rates!$T$1029</f>
        <v>0.94</v>
      </c>
      <c r="T9277" s="917">
        <f ca="1">$A9277*S9277</f>
        <v>0.94</v>
      </c>
      <c r="U9277" s="926"/>
      <c r="AR9277" s="919">
        <v>1</v>
      </c>
      <c r="AS9277" s="921" t="s">
        <v>2599</v>
      </c>
    </row>
    <row r="9278" spans="1:45" s="520" customFormat="1" ht="12">
      <c r="A9278" s="758"/>
      <c r="B9278" s="758"/>
      <c r="C9278" s="758"/>
      <c r="D9278" s="758"/>
      <c r="E9278" s="758"/>
      <c r="F9278" s="753"/>
      <c r="G9278" s="758"/>
      <c r="H9278" s="758"/>
      <c r="I9278" s="519"/>
      <c r="J9278" s="758"/>
      <c r="K9278" s="758"/>
      <c r="L9278" s="758"/>
      <c r="M9278" s="758"/>
      <c r="N9278" s="758"/>
      <c r="O9278" s="758"/>
      <c r="P9278" s="758"/>
      <c r="Q9278" s="519"/>
      <c r="R9278" s="759">
        <f>$A9278*Q9278</f>
        <v>0</v>
      </c>
      <c r="S9278" s="519"/>
      <c r="T9278" s="760">
        <f>$A9278*S9278*$T$1</f>
        <v>0</v>
      </c>
      <c r="AR9278" s="758"/>
      <c r="AS9278" s="753"/>
    </row>
    <row r="9279" spans="1:45" s="520" customFormat="1" ht="12.6" thickBot="1">
      <c r="A9279" s="761" t="s">
        <v>145</v>
      </c>
      <c r="B9279" s="762">
        <f>(R9278+T9278)</f>
        <v>0</v>
      </c>
      <c r="C9279" s="763"/>
      <c r="D9279" s="763"/>
      <c r="E9279" s="763"/>
      <c r="F9279" s="764"/>
      <c r="G9279" s="763" t="s">
        <v>146</v>
      </c>
      <c r="H9279" s="763"/>
      <c r="I9279" s="765"/>
      <c r="J9279" s="763"/>
      <c r="K9279" s="763" t="s">
        <v>3</v>
      </c>
      <c r="L9279" s="766" t="s">
        <v>143</v>
      </c>
      <c r="M9279" s="766"/>
      <c r="N9279" s="766"/>
      <c r="O9279" s="766"/>
      <c r="P9279" s="766"/>
      <c r="Q9279" s="767"/>
      <c r="R9279" s="768">
        <f ca="1">SUM(R9275:R9278)</f>
        <v>14.4</v>
      </c>
      <c r="S9279" s="763"/>
      <c r="T9279" s="768">
        <f ca="1">SUM(T9275:T9278)</f>
        <v>0.94</v>
      </c>
      <c r="U9279" s="531"/>
      <c r="V9279" s="531"/>
      <c r="W9279" s="531"/>
      <c r="X9279" s="531"/>
      <c r="Y9279" s="531"/>
      <c r="Z9279" s="531"/>
      <c r="AA9279" s="531"/>
      <c r="AB9279" s="531"/>
      <c r="AC9279" s="531"/>
      <c r="AD9279" s="531"/>
      <c r="AE9279" s="531"/>
      <c r="AF9279" s="531"/>
      <c r="AG9279" s="531"/>
      <c r="AH9279" s="531"/>
      <c r="AI9279" s="531"/>
      <c r="AJ9279" s="531"/>
      <c r="AK9279" s="531"/>
      <c r="AL9279" s="531"/>
      <c r="AM9279" s="531"/>
      <c r="AN9279" s="531"/>
      <c r="AO9279" s="531"/>
      <c r="AR9279" s="761" t="s">
        <v>145</v>
      </c>
      <c r="AS9279" s="764"/>
    </row>
    <row r="9280" spans="1:45" s="520" customFormat="1" ht="12" thickTop="1">
      <c r="A9280" s="51"/>
      <c r="B9280" s="41"/>
      <c r="C9280" s="51"/>
      <c r="E9280" s="42" t="s">
        <v>138</v>
      </c>
      <c r="F9280" s="42" t="s">
        <v>139</v>
      </c>
      <c r="G9280" s="51"/>
      <c r="H9280" s="51"/>
      <c r="I9280" s="51"/>
      <c r="J9280" s="51"/>
      <c r="K9280" s="51" t="s">
        <v>140</v>
      </c>
      <c r="L9280" s="51"/>
      <c r="M9280" s="51"/>
      <c r="N9280" s="51"/>
      <c r="O9280" s="52"/>
      <c r="P9280" s="51"/>
      <c r="Q9280" s="51"/>
      <c r="R9280" s="51"/>
      <c r="S9280" s="51"/>
      <c r="T9280" s="41"/>
      <c r="AG9280" s="521" t="s">
        <v>268</v>
      </c>
      <c r="AH9280" s="521" t="s">
        <v>269</v>
      </c>
      <c r="AI9280" s="521" t="s">
        <v>270</v>
      </c>
      <c r="AJ9280" s="521" t="s">
        <v>271</v>
      </c>
      <c r="AK9280" s="521" t="s">
        <v>272</v>
      </c>
      <c r="AM9280" s="745" t="s">
        <v>281</v>
      </c>
      <c r="AN9280" s="746" t="s">
        <v>282</v>
      </c>
      <c r="AO9280" s="522" t="s">
        <v>278</v>
      </c>
      <c r="AR9280" s="51"/>
      <c r="AS9280" s="42" t="s">
        <v>139</v>
      </c>
    </row>
    <row r="9281" spans="1:45" s="520" customFormat="1" ht="12" customHeight="1">
      <c r="A9281" s="747">
        <v>1</v>
      </c>
      <c r="B9281" s="523" t="s">
        <v>141</v>
      </c>
      <c r="C9281" s="748"/>
      <c r="D9281" s="749" t="s">
        <v>2430</v>
      </c>
      <c r="E9281" s="750">
        <f ca="1">IF(AND($A9281=0,$A$1="DIF"),0, ROUND(ROUND(($R9286*$S$2+($T9286*$T$2))/A9281,2)*$C$2,2))</f>
        <v>49.52</v>
      </c>
      <c r="F9281" s="751">
        <f ca="1">ROUND($A9281*$E9281,2)</f>
        <v>49.52</v>
      </c>
      <c r="G9281" s="752" t="s">
        <v>142</v>
      </c>
      <c r="H9281" s="753"/>
      <c r="I9281" s="754"/>
      <c r="J9281" s="753"/>
      <c r="K9281" s="753" t="s">
        <v>3</v>
      </c>
      <c r="L9281" s="755" t="s">
        <v>143</v>
      </c>
      <c r="M9281" s="755"/>
      <c r="N9281" s="755"/>
      <c r="O9281" s="755"/>
      <c r="P9281" s="755"/>
      <c r="Q9281" s="51"/>
      <c r="T9281" s="756" t="str">
        <f ca="1">IF(AND($R9286=0,$T9286=0),"0.00","mu :" &amp; ROUND($F9281/$C$2/($R9286+$T9286*$D$9),2))</f>
        <v>mu :1.23</v>
      </c>
      <c r="W9281" s="524"/>
      <c r="AG9281" s="481">
        <f ca="1">IF($E9281=0,0,ROUND($R9286*$S$2*$C$2/$A9281,2))</f>
        <v>17.73</v>
      </c>
      <c r="AH9281" s="481">
        <f ca="1">$AG9281*$A9281</f>
        <v>17.73</v>
      </c>
      <c r="AI9281" s="525">
        <f ca="1">$E9281-$AG9281</f>
        <v>31.790000000000003</v>
      </c>
      <c r="AJ9281" s="525">
        <f ca="1">$A9281*$AI9281</f>
        <v>31.790000000000003</v>
      </c>
      <c r="AK9281" s="526">
        <f ca="1">ROUND(($AG9281+$AI9281)*$A9281,2)</f>
        <v>49.52</v>
      </c>
      <c r="AM9281" s="527">
        <f ca="1">ROUND(R9286,2)</f>
        <v>14.4</v>
      </c>
      <c r="AN9281" s="528">
        <f ca="1">ROUND(T9286,2)</f>
        <v>0.94</v>
      </c>
      <c r="AO9281" s="529">
        <f ca="1">ROUND(AM9281+AN9281,2)*A9281</f>
        <v>15.34</v>
      </c>
      <c r="AR9281" s="747">
        <v>1</v>
      </c>
      <c r="AS9281" s="751">
        <v>52.9</v>
      </c>
    </row>
    <row r="9282" spans="1:45" s="520" customFormat="1" ht="13.2">
      <c r="A9282" s="748"/>
      <c r="B9282"/>
      <c r="C9282" s="748"/>
      <c r="D9282" s="749" t="s">
        <v>2068</v>
      </c>
      <c r="F9282" s="753"/>
      <c r="G9282" s="3"/>
      <c r="H9282" s="753"/>
      <c r="I9282" s="754"/>
      <c r="J9282" s="753"/>
      <c r="K9282" s="753" t="s">
        <v>144</v>
      </c>
      <c r="L9282" s="753"/>
      <c r="M9282" s="753"/>
      <c r="N9282" s="753"/>
      <c r="O9282" s="753"/>
      <c r="P9282" s="753"/>
      <c r="Q9282" s="51"/>
      <c r="R9282" s="530"/>
      <c r="S9282" s="757"/>
      <c r="T9282" s="753"/>
      <c r="AR9282" s="748"/>
      <c r="AS9282" s="753"/>
    </row>
    <row r="9283" spans="1:45" s="886" customFormat="1" ht="13.2">
      <c r="A9283"/>
      <c r="B9283" s="910"/>
      <c r="C9283" s="910" t="s">
        <v>2597</v>
      </c>
      <c r="D9283" s="910" t="str">
        <f ca="1">CELL("Address",Elec_Rates!D$1029)</f>
        <v>[E25_0062_Quintano_Foods_Elec_ELV_As_Awarded.xlsx]Elec_Rates!$D$1029</v>
      </c>
      <c r="E9283" s="911"/>
      <c r="F9283" s="911"/>
      <c r="G9283" s="912" t="s">
        <v>2598</v>
      </c>
      <c r="H9283" s="912"/>
      <c r="I9283" s="912"/>
      <c r="J9283" s="912"/>
      <c r="K9283" s="913"/>
      <c r="L9283" s="911"/>
      <c r="M9283" s="911"/>
      <c r="N9283" s="911"/>
      <c r="O9283" s="914"/>
      <c r="P9283" s="911"/>
      <c r="Q9283" s="915"/>
      <c r="R9283" s="916"/>
      <c r="S9283" s="915"/>
      <c r="T9283" s="917"/>
      <c r="U9283" s="918"/>
      <c r="AR9283"/>
      <c r="AS9283" s="911"/>
    </row>
    <row r="9284" spans="1:45" s="886" customFormat="1" ht="11.4">
      <c r="A9284" s="919">
        <v>1</v>
      </c>
      <c r="B9284" s="920">
        <v>1</v>
      </c>
      <c r="C9284" s="920">
        <f>$A9284*$B9284</f>
        <v>1</v>
      </c>
      <c r="D9284" s="921" t="str">
        <f>Elec_Rates!$D$1029</f>
        <v>092# LSZH Conduit points for Fire alarm devices</v>
      </c>
      <c r="E9284" s="921"/>
      <c r="F9284" s="921" t="s">
        <v>2599</v>
      </c>
      <c r="G9284" s="922" t="s">
        <v>2600</v>
      </c>
      <c r="H9284" s="922"/>
      <c r="I9284" s="922"/>
      <c r="J9284" s="922"/>
      <c r="K9284" s="923"/>
      <c r="L9284" s="918"/>
      <c r="M9284" s="918"/>
      <c r="N9284" s="918"/>
      <c r="O9284" s="924"/>
      <c r="P9284" s="921"/>
      <c r="Q9284" s="925">
        <f ca="1">$B9284*Elec_Rates!$R$1029</f>
        <v>14.4</v>
      </c>
      <c r="R9284" s="916">
        <f ca="1">$A9284*Q9284</f>
        <v>14.4</v>
      </c>
      <c r="S9284" s="925">
        <f ca="1">$B9284*Elec_Rates!$T$1029</f>
        <v>0.94</v>
      </c>
      <c r="T9284" s="917">
        <f ca="1">$A9284*S9284</f>
        <v>0.94</v>
      </c>
      <c r="U9284" s="926"/>
      <c r="AR9284" s="919">
        <v>1</v>
      </c>
      <c r="AS9284" s="921" t="s">
        <v>2599</v>
      </c>
    </row>
    <row r="9285" spans="1:45" s="520" customFormat="1" ht="12">
      <c r="A9285" s="758"/>
      <c r="B9285" s="758"/>
      <c r="C9285" s="758"/>
      <c r="D9285" s="758"/>
      <c r="E9285" s="758"/>
      <c r="F9285" s="753"/>
      <c r="G9285" s="758"/>
      <c r="H9285" s="758"/>
      <c r="I9285" s="519"/>
      <c r="J9285" s="758"/>
      <c r="K9285" s="758"/>
      <c r="L9285" s="758"/>
      <c r="M9285" s="758"/>
      <c r="N9285" s="758"/>
      <c r="O9285" s="758"/>
      <c r="P9285" s="758"/>
      <c r="Q9285" s="519"/>
      <c r="R9285" s="759">
        <f>$A9285*Q9285</f>
        <v>0</v>
      </c>
      <c r="S9285" s="519"/>
      <c r="T9285" s="760">
        <f>$A9285*S9285*$T$1</f>
        <v>0</v>
      </c>
      <c r="AR9285" s="758"/>
      <c r="AS9285" s="753"/>
    </row>
    <row r="9286" spans="1:45" s="520" customFormat="1" ht="12.6" thickBot="1">
      <c r="A9286" s="761" t="s">
        <v>145</v>
      </c>
      <c r="B9286" s="762">
        <f>(R9285+T9285)</f>
        <v>0</v>
      </c>
      <c r="C9286" s="763"/>
      <c r="D9286" s="763"/>
      <c r="E9286" s="763"/>
      <c r="F9286" s="764"/>
      <c r="G9286" s="763" t="s">
        <v>146</v>
      </c>
      <c r="H9286" s="763"/>
      <c r="I9286" s="765"/>
      <c r="J9286" s="763"/>
      <c r="K9286" s="763" t="s">
        <v>3</v>
      </c>
      <c r="L9286" s="766" t="s">
        <v>143</v>
      </c>
      <c r="M9286" s="766"/>
      <c r="N9286" s="766"/>
      <c r="O9286" s="766"/>
      <c r="P9286" s="766"/>
      <c r="Q9286" s="767"/>
      <c r="R9286" s="768">
        <f ca="1">SUM(R9282:R9285)</f>
        <v>14.4</v>
      </c>
      <c r="S9286" s="763"/>
      <c r="T9286" s="768">
        <f ca="1">SUM(T9282:T9285)</f>
        <v>0.94</v>
      </c>
      <c r="U9286" s="531"/>
      <c r="V9286" s="531"/>
      <c r="W9286" s="531"/>
      <c r="X9286" s="531"/>
      <c r="Y9286" s="531"/>
      <c r="Z9286" s="531"/>
      <c r="AA9286" s="531"/>
      <c r="AB9286" s="531"/>
      <c r="AC9286" s="531"/>
      <c r="AD9286" s="531"/>
      <c r="AE9286" s="531"/>
      <c r="AF9286" s="531"/>
      <c r="AG9286" s="531"/>
      <c r="AH9286" s="531"/>
      <c r="AI9286" s="531"/>
      <c r="AJ9286" s="531"/>
      <c r="AK9286" s="531"/>
      <c r="AL9286" s="531"/>
      <c r="AM9286" s="531"/>
      <c r="AN9286" s="531"/>
      <c r="AO9286" s="531"/>
      <c r="AR9286" s="761" t="s">
        <v>145</v>
      </c>
      <c r="AS9286" s="764"/>
    </row>
    <row r="9287" spans="1:45" s="520" customFormat="1" ht="12" thickTop="1">
      <c r="A9287" s="51"/>
      <c r="B9287" s="41"/>
      <c r="C9287" s="51"/>
      <c r="E9287" s="42" t="s">
        <v>138</v>
      </c>
      <c r="F9287" s="42" t="s">
        <v>139</v>
      </c>
      <c r="G9287" s="51"/>
      <c r="H9287" s="51"/>
      <c r="I9287" s="51"/>
      <c r="J9287" s="51"/>
      <c r="K9287" s="51" t="s">
        <v>140</v>
      </c>
      <c r="L9287" s="51"/>
      <c r="M9287" s="51"/>
      <c r="N9287" s="51"/>
      <c r="O9287" s="52"/>
      <c r="P9287" s="51"/>
      <c r="Q9287" s="51"/>
      <c r="R9287" s="51"/>
      <c r="S9287" s="51"/>
      <c r="T9287" s="41"/>
      <c r="AG9287" s="521" t="s">
        <v>268</v>
      </c>
      <c r="AH9287" s="521" t="s">
        <v>269</v>
      </c>
      <c r="AI9287" s="521" t="s">
        <v>270</v>
      </c>
      <c r="AJ9287" s="521" t="s">
        <v>271</v>
      </c>
      <c r="AK9287" s="521" t="s">
        <v>272</v>
      </c>
      <c r="AM9287" s="745" t="s">
        <v>281</v>
      </c>
      <c r="AN9287" s="746" t="s">
        <v>282</v>
      </c>
      <c r="AO9287" s="522" t="s">
        <v>278</v>
      </c>
      <c r="AR9287" s="51"/>
      <c r="AS9287" s="42" t="s">
        <v>139</v>
      </c>
    </row>
    <row r="9288" spans="1:45" s="520" customFormat="1" ht="12" customHeight="1">
      <c r="A9288" s="747">
        <v>1</v>
      </c>
      <c r="B9288" s="523" t="s">
        <v>141</v>
      </c>
      <c r="C9288" s="748"/>
      <c r="D9288" s="749" t="s">
        <v>2431</v>
      </c>
      <c r="E9288" s="750">
        <f ca="1">IF(AND($A9288=0,$A$1="DIF"),0, ROUND(ROUND(($R9293*$S$2+($T9293*$T$2))/A9288,2)*$C$2,2))</f>
        <v>49.52</v>
      </c>
      <c r="F9288" s="751">
        <f ca="1">ROUND($A9288*$E9288,2)</f>
        <v>49.52</v>
      </c>
      <c r="G9288" s="752" t="s">
        <v>142</v>
      </c>
      <c r="H9288" s="753"/>
      <c r="I9288" s="754"/>
      <c r="J9288" s="753"/>
      <c r="K9288" s="753" t="s">
        <v>3</v>
      </c>
      <c r="L9288" s="755" t="s">
        <v>143</v>
      </c>
      <c r="M9288" s="755"/>
      <c r="N9288" s="755"/>
      <c r="O9288" s="755"/>
      <c r="P9288" s="755"/>
      <c r="Q9288" s="51"/>
      <c r="T9288" s="756" t="str">
        <f ca="1">IF(AND($R9293=0,$T9293=0),"0.00","mu :" &amp; ROUND($F9288/$C$2/($R9293+$T9293*$D$9),2))</f>
        <v>mu :1.23</v>
      </c>
      <c r="W9288" s="524"/>
      <c r="AG9288" s="481">
        <f ca="1">IF($E9288=0,0,ROUND($R9293*$S$2*$C$2/$A9288,2))</f>
        <v>17.73</v>
      </c>
      <c r="AH9288" s="481">
        <f ca="1">$AG9288*$A9288</f>
        <v>17.73</v>
      </c>
      <c r="AI9288" s="525">
        <f ca="1">$E9288-$AG9288</f>
        <v>31.790000000000003</v>
      </c>
      <c r="AJ9288" s="525">
        <f ca="1">$A9288*$AI9288</f>
        <v>31.790000000000003</v>
      </c>
      <c r="AK9288" s="526">
        <f ca="1">ROUND(($AG9288+$AI9288)*$A9288,2)</f>
        <v>49.52</v>
      </c>
      <c r="AM9288" s="527">
        <f ca="1">ROUND(R9293,2)</f>
        <v>14.4</v>
      </c>
      <c r="AN9288" s="528">
        <f ca="1">ROUND(T9293,2)</f>
        <v>0.94</v>
      </c>
      <c r="AO9288" s="529">
        <f ca="1">ROUND(AM9288+AN9288,2)*A9288</f>
        <v>15.34</v>
      </c>
      <c r="AR9288" s="747">
        <v>1</v>
      </c>
      <c r="AS9288" s="751">
        <v>52.9</v>
      </c>
    </row>
    <row r="9289" spans="1:45" s="520" customFormat="1" ht="13.2">
      <c r="A9289" s="748"/>
      <c r="B9289"/>
      <c r="C9289" s="748"/>
      <c r="D9289" s="749" t="s">
        <v>2067</v>
      </c>
      <c r="F9289" s="753"/>
      <c r="G9289" s="3"/>
      <c r="H9289" s="753"/>
      <c r="I9289" s="754"/>
      <c r="J9289" s="753"/>
      <c r="K9289" s="753" t="s">
        <v>144</v>
      </c>
      <c r="L9289" s="753"/>
      <c r="M9289" s="753"/>
      <c r="N9289" s="753"/>
      <c r="O9289" s="753"/>
      <c r="P9289" s="753"/>
      <c r="Q9289" s="51"/>
      <c r="R9289" s="530"/>
      <c r="S9289" s="757"/>
      <c r="T9289" s="753"/>
      <c r="AR9289" s="748"/>
      <c r="AS9289" s="753"/>
    </row>
    <row r="9290" spans="1:45" s="886" customFormat="1" ht="13.2">
      <c r="A9290"/>
      <c r="B9290" s="910"/>
      <c r="C9290" s="910" t="s">
        <v>2597</v>
      </c>
      <c r="D9290" s="910" t="str">
        <f ca="1">CELL("Address",Elec_Rates!D$1029)</f>
        <v>[E25_0062_Quintano_Foods_Elec_ELV_As_Awarded.xlsx]Elec_Rates!$D$1029</v>
      </c>
      <c r="E9290" s="911"/>
      <c r="F9290" s="911"/>
      <c r="G9290" s="912" t="s">
        <v>2598</v>
      </c>
      <c r="H9290" s="912"/>
      <c r="I9290" s="912"/>
      <c r="J9290" s="912"/>
      <c r="K9290" s="913"/>
      <c r="L9290" s="911"/>
      <c r="M9290" s="911"/>
      <c r="N9290" s="911"/>
      <c r="O9290" s="914"/>
      <c r="P9290" s="911"/>
      <c r="Q9290" s="915"/>
      <c r="R9290" s="916"/>
      <c r="S9290" s="915"/>
      <c r="T9290" s="917"/>
      <c r="U9290" s="918"/>
      <c r="AR9290"/>
      <c r="AS9290" s="911"/>
    </row>
    <row r="9291" spans="1:45" s="886" customFormat="1" ht="11.4">
      <c r="A9291" s="919">
        <v>1</v>
      </c>
      <c r="B9291" s="920">
        <v>1</v>
      </c>
      <c r="C9291" s="920">
        <f>$A9291*$B9291</f>
        <v>1</v>
      </c>
      <c r="D9291" s="921" t="str">
        <f>Elec_Rates!$D$1029</f>
        <v>092# LSZH Conduit points for Fire alarm devices</v>
      </c>
      <c r="E9291" s="921"/>
      <c r="F9291" s="921" t="s">
        <v>2599</v>
      </c>
      <c r="G9291" s="922" t="s">
        <v>2600</v>
      </c>
      <c r="H9291" s="922"/>
      <c r="I9291" s="922"/>
      <c r="J9291" s="922"/>
      <c r="K9291" s="923"/>
      <c r="L9291" s="918"/>
      <c r="M9291" s="918"/>
      <c r="N9291" s="918"/>
      <c r="O9291" s="924"/>
      <c r="P9291" s="921"/>
      <c r="Q9291" s="925">
        <f ca="1">$B9291*Elec_Rates!$R$1029</f>
        <v>14.4</v>
      </c>
      <c r="R9291" s="916">
        <f ca="1">$A9291*Q9291</f>
        <v>14.4</v>
      </c>
      <c r="S9291" s="925">
        <f ca="1">$B9291*Elec_Rates!$T$1029</f>
        <v>0.94</v>
      </c>
      <c r="T9291" s="917">
        <f ca="1">$A9291*S9291</f>
        <v>0.94</v>
      </c>
      <c r="U9291" s="926"/>
      <c r="AR9291" s="919">
        <v>1</v>
      </c>
      <c r="AS9291" s="921" t="s">
        <v>2599</v>
      </c>
    </row>
    <row r="9292" spans="1:45" s="520" customFormat="1" ht="12">
      <c r="A9292" s="758"/>
      <c r="B9292" s="758"/>
      <c r="C9292" s="758"/>
      <c r="D9292" s="758"/>
      <c r="E9292" s="758"/>
      <c r="F9292" s="753"/>
      <c r="G9292" s="758"/>
      <c r="H9292" s="758"/>
      <c r="I9292" s="519"/>
      <c r="J9292" s="758"/>
      <c r="K9292" s="758"/>
      <c r="L9292" s="758"/>
      <c r="M9292" s="758"/>
      <c r="N9292" s="758"/>
      <c r="O9292" s="758"/>
      <c r="P9292" s="758"/>
      <c r="Q9292" s="519"/>
      <c r="R9292" s="759">
        <f>$A9292*Q9292</f>
        <v>0</v>
      </c>
      <c r="S9292" s="519"/>
      <c r="T9292" s="760">
        <f>$A9292*S9292*$T$1</f>
        <v>0</v>
      </c>
      <c r="AR9292" s="758"/>
      <c r="AS9292" s="753"/>
    </row>
    <row r="9293" spans="1:45" s="520" customFormat="1" ht="12.6" thickBot="1">
      <c r="A9293" s="761" t="s">
        <v>145</v>
      </c>
      <c r="B9293" s="762">
        <f>(R9292+T9292)</f>
        <v>0</v>
      </c>
      <c r="C9293" s="763"/>
      <c r="D9293" s="763"/>
      <c r="E9293" s="763"/>
      <c r="F9293" s="764"/>
      <c r="G9293" s="763" t="s">
        <v>146</v>
      </c>
      <c r="H9293" s="763"/>
      <c r="I9293" s="765"/>
      <c r="J9293" s="763"/>
      <c r="K9293" s="763" t="s">
        <v>3</v>
      </c>
      <c r="L9293" s="766" t="s">
        <v>143</v>
      </c>
      <c r="M9293" s="766"/>
      <c r="N9293" s="766"/>
      <c r="O9293" s="766"/>
      <c r="P9293" s="766"/>
      <c r="Q9293" s="767"/>
      <c r="R9293" s="768">
        <f ca="1">SUM(R9289:R9292)</f>
        <v>14.4</v>
      </c>
      <c r="S9293" s="763"/>
      <c r="T9293" s="768">
        <f ca="1">SUM(T9289:T9292)</f>
        <v>0.94</v>
      </c>
      <c r="U9293" s="531"/>
      <c r="V9293" s="531"/>
      <c r="W9293" s="531"/>
      <c r="X9293" s="531"/>
      <c r="Y9293" s="531"/>
      <c r="Z9293" s="531"/>
      <c r="AA9293" s="531"/>
      <c r="AB9293" s="531"/>
      <c r="AC9293" s="531"/>
      <c r="AD9293" s="531"/>
      <c r="AE9293" s="531"/>
      <c r="AF9293" s="531"/>
      <c r="AG9293" s="531"/>
      <c r="AH9293" s="531"/>
      <c r="AI9293" s="531"/>
      <c r="AJ9293" s="531"/>
      <c r="AK9293" s="531"/>
      <c r="AL9293" s="531"/>
      <c r="AM9293" s="531"/>
      <c r="AN9293" s="531"/>
      <c r="AO9293" s="531"/>
      <c r="AR9293" s="761" t="s">
        <v>145</v>
      </c>
      <c r="AS9293" s="764"/>
    </row>
    <row r="9294" spans="1:45" s="520" customFormat="1" thickTop="1">
      <c r="A9294" s="51"/>
      <c r="B9294" s="51"/>
      <c r="C9294" s="3"/>
      <c r="D9294" s="3"/>
      <c r="E9294" s="51"/>
      <c r="F9294" s="51"/>
      <c r="G9294" s="51"/>
      <c r="H9294" s="51"/>
      <c r="I9294" s="51"/>
      <c r="J9294" s="51"/>
      <c r="K9294" s="51" t="s">
        <v>134</v>
      </c>
      <c r="L9294" s="51"/>
      <c r="M9294" s="51"/>
      <c r="N9294" s="51"/>
      <c r="O9294" s="52"/>
      <c r="P9294" s="51"/>
      <c r="Q9294" s="51"/>
      <c r="R9294" s="51"/>
      <c r="S9294" s="51"/>
      <c r="T9294" s="51"/>
      <c r="AR9294" s="51"/>
      <c r="AS9294" s="51"/>
    </row>
    <row r="9295" spans="1:45" s="520" customFormat="1" ht="12">
      <c r="A9295" s="51"/>
      <c r="B9295" s="51"/>
      <c r="C9295" s="51" t="s">
        <v>135</v>
      </c>
      <c r="D9295" s="37"/>
      <c r="E9295" s="51"/>
      <c r="F9295" s="51"/>
      <c r="G9295" s="51"/>
      <c r="H9295" s="51"/>
      <c r="I9295" s="51"/>
      <c r="J9295" s="51"/>
      <c r="K9295" s="51"/>
      <c r="L9295" s="51"/>
      <c r="M9295" s="51"/>
      <c r="N9295" s="51"/>
      <c r="O9295" s="52"/>
      <c r="P9295" s="51"/>
      <c r="Q9295" s="51"/>
      <c r="R9295" s="51"/>
      <c r="S9295" s="51"/>
      <c r="T9295" s="51"/>
      <c r="AR9295" s="51"/>
      <c r="AS9295" s="51"/>
    </row>
    <row r="9296" spans="1:45" s="520" customFormat="1" ht="39.9" customHeight="1">
      <c r="A9296" s="51"/>
      <c r="B9296" s="51"/>
      <c r="C9296" s="51"/>
      <c r="D9296" s="1453" t="s">
        <v>2286</v>
      </c>
      <c r="E9296" s="1452"/>
      <c r="F9296" s="1452"/>
      <c r="G9296" s="1452"/>
      <c r="H9296" s="1452"/>
      <c r="I9296" s="1452"/>
      <c r="J9296" s="1452"/>
      <c r="K9296" s="1452"/>
      <c r="L9296" s="1452"/>
      <c r="M9296" s="1452"/>
      <c r="N9296" s="1452"/>
      <c r="O9296" s="1452"/>
      <c r="P9296" s="1452"/>
      <c r="Q9296" s="1452"/>
      <c r="R9296" s="1452"/>
      <c r="S9296" s="1452"/>
      <c r="T9296" s="1452"/>
      <c r="AR9296" s="51"/>
    </row>
    <row r="9297" spans="1:45" s="3" customFormat="1" thickBot="1">
      <c r="A9297" s="531"/>
      <c r="O9297" s="107"/>
      <c r="AR9297" s="531"/>
    </row>
    <row r="9298" spans="1:45" s="520" customFormat="1" ht="12" thickTop="1">
      <c r="A9298" s="51"/>
      <c r="B9298" s="41"/>
      <c r="C9298" s="51"/>
      <c r="E9298" s="42" t="s">
        <v>138</v>
      </c>
      <c r="F9298" s="42" t="s">
        <v>139</v>
      </c>
      <c r="G9298" s="51"/>
      <c r="H9298" s="51"/>
      <c r="I9298" s="51"/>
      <c r="J9298" s="51"/>
      <c r="K9298" s="51" t="s">
        <v>140</v>
      </c>
      <c r="L9298" s="51"/>
      <c r="M9298" s="51"/>
      <c r="N9298" s="51"/>
      <c r="O9298" s="52"/>
      <c r="P9298" s="51"/>
      <c r="Q9298" s="51"/>
      <c r="R9298" s="51"/>
      <c r="S9298" s="51"/>
      <c r="T9298" s="41"/>
      <c r="AG9298" s="521" t="s">
        <v>268</v>
      </c>
      <c r="AH9298" s="521" t="s">
        <v>269</v>
      </c>
      <c r="AI9298" s="521" t="s">
        <v>270</v>
      </c>
      <c r="AJ9298" s="521" t="s">
        <v>271</v>
      </c>
      <c r="AK9298" s="521" t="s">
        <v>272</v>
      </c>
      <c r="AM9298" s="745" t="s">
        <v>281</v>
      </c>
      <c r="AN9298" s="746" t="s">
        <v>282</v>
      </c>
      <c r="AO9298" s="522" t="s">
        <v>278</v>
      </c>
      <c r="AR9298" s="51"/>
      <c r="AS9298" s="42" t="s">
        <v>139</v>
      </c>
    </row>
    <row r="9299" spans="1:45" s="520" customFormat="1" ht="12" customHeight="1">
      <c r="A9299" s="747">
        <v>29</v>
      </c>
      <c r="B9299" s="523" t="s">
        <v>141</v>
      </c>
      <c r="C9299" s="748"/>
      <c r="D9299" s="749" t="s">
        <v>2432</v>
      </c>
      <c r="E9299" s="1145">
        <f>IF(AND($A9299=0,$A$1="DIF"),0, ROUND(ROUND(($R9303*$S$3+($T9303*$T$3))/$A9299,2)*$C$3,2))</f>
        <v>36.950000000000003</v>
      </c>
      <c r="F9299" s="1146">
        <f>ROUND($A9299*$E9299,2)</f>
        <v>1071.55</v>
      </c>
      <c r="G9299" s="752" t="s">
        <v>142</v>
      </c>
      <c r="H9299" s="753"/>
      <c r="I9299" s="754"/>
      <c r="J9299" s="753"/>
      <c r="K9299" s="753" t="s">
        <v>5</v>
      </c>
      <c r="L9299" s="755" t="s">
        <v>143</v>
      </c>
      <c r="M9299" s="755"/>
      <c r="N9299" s="755"/>
      <c r="O9299" s="755"/>
      <c r="P9299" s="755"/>
      <c r="Q9299" s="51"/>
      <c r="T9299" s="1150" t="str">
        <f>IF(AND($R9303=0,$T9303=0),"0.00","mu: "&amp; ROUND(F9299/$C$3/($R9303+$T9303*$D$9),2))</f>
        <v>mu: 1.13</v>
      </c>
      <c r="W9299" s="524"/>
      <c r="AG9299" s="1147">
        <f>IF($E9299=0,0,ROUND($R9303*$S$3*$C$3/$A9299,2))</f>
        <v>36.950000000000003</v>
      </c>
      <c r="AH9299" s="1147">
        <f>$AG9299*$A9299</f>
        <v>1071.5500000000002</v>
      </c>
      <c r="AI9299" s="1148">
        <f>$E9299-$AG9299</f>
        <v>0</v>
      </c>
      <c r="AJ9299" s="1148">
        <f>$A9299*$AI9299</f>
        <v>0</v>
      </c>
      <c r="AK9299" s="1149">
        <f>ROUND(($AG9299+$AI9299)*$A9299,2)</f>
        <v>1071.55</v>
      </c>
      <c r="AM9299" s="527">
        <f>ROUND(R9303,2)</f>
        <v>949.39</v>
      </c>
      <c r="AN9299" s="528">
        <f>ROUND(T9303,2)</f>
        <v>0</v>
      </c>
      <c r="AO9299" s="529">
        <f>ROUND(AM9299+AN9299,2)*A9299</f>
        <v>27532.31</v>
      </c>
      <c r="AR9299" s="747">
        <v>29</v>
      </c>
      <c r="AS9299" s="1146">
        <v>1166.0899999999999</v>
      </c>
    </row>
    <row r="9300" spans="1:45" s="520" customFormat="1" ht="13.2">
      <c r="A9300" s="748"/>
      <c r="B9300"/>
      <c r="C9300" s="748"/>
      <c r="D9300" s="749" t="s">
        <v>2061</v>
      </c>
      <c r="F9300" s="753"/>
      <c r="G9300" s="3"/>
      <c r="H9300" s="753"/>
      <c r="I9300" s="754"/>
      <c r="J9300" s="753"/>
      <c r="K9300" s="753" t="s">
        <v>144</v>
      </c>
      <c r="L9300" s="753"/>
      <c r="M9300" s="753"/>
      <c r="N9300" s="753"/>
      <c r="O9300" s="753"/>
      <c r="P9300" s="753"/>
      <c r="Q9300" s="51"/>
      <c r="R9300" s="530"/>
      <c r="S9300" s="757"/>
      <c r="T9300" s="753"/>
      <c r="AR9300" s="748"/>
      <c r="AS9300" s="753"/>
    </row>
    <row r="9301" spans="1:45" s="901" customFormat="1" ht="13.2">
      <c r="A9301" s="903">
        <v>29</v>
      </c>
      <c r="B9301" s="904" t="s">
        <v>863</v>
      </c>
      <c r="C9301" s="904"/>
      <c r="D9301" s="904" t="s">
        <v>2594</v>
      </c>
      <c r="E9301" s="904"/>
      <c r="F9301" s="904" t="s">
        <v>4128</v>
      </c>
      <c r="G9301" s="905" t="s">
        <v>2595</v>
      </c>
      <c r="H9301" s="902">
        <v>960</v>
      </c>
      <c r="I9301" s="904" t="s">
        <v>2596</v>
      </c>
      <c r="J9301" s="904"/>
      <c r="K9301" s="904"/>
      <c r="L9301" s="904"/>
      <c r="M9301" s="904"/>
      <c r="N9301" s="904"/>
      <c r="O9301" s="902">
        <v>4</v>
      </c>
      <c r="P9301" s="906">
        <v>38274</v>
      </c>
      <c r="Q9301" s="1415">
        <f>37.5*0.873</f>
        <v>32.737499999999997</v>
      </c>
      <c r="R9301" s="908">
        <f>$A9301*Q9301</f>
        <v>949.38749999999993</v>
      </c>
      <c r="S9301" s="907"/>
      <c r="T9301" s="909">
        <f>$A9301*S9301*$T$1</f>
        <v>0</v>
      </c>
      <c r="AR9301" s="903">
        <v>29</v>
      </c>
      <c r="AS9301" s="904" t="s">
        <v>3507</v>
      </c>
    </row>
    <row r="9302" spans="1:45" s="520" customFormat="1" ht="12">
      <c r="A9302" s="758"/>
      <c r="B9302" s="758"/>
      <c r="C9302" s="758"/>
      <c r="D9302" s="758"/>
      <c r="E9302" s="758"/>
      <c r="F9302" s="753"/>
      <c r="G9302" s="758"/>
      <c r="H9302" s="758"/>
      <c r="I9302" s="519"/>
      <c r="J9302" s="758"/>
      <c r="K9302" s="758"/>
      <c r="L9302" s="758"/>
      <c r="M9302" s="758"/>
      <c r="N9302" s="758"/>
      <c r="O9302" s="758"/>
      <c r="P9302" s="758"/>
      <c r="Q9302" s="519"/>
      <c r="R9302" s="759">
        <f>$A9302*Q9302</f>
        <v>0</v>
      </c>
      <c r="S9302" s="519"/>
      <c r="T9302" s="760">
        <f>$A9302*S9302*$T$1</f>
        <v>0</v>
      </c>
      <c r="AR9302" s="758"/>
      <c r="AS9302" s="753"/>
    </row>
    <row r="9303" spans="1:45" s="520" customFormat="1" ht="12.6" thickBot="1">
      <c r="A9303" s="761" t="s">
        <v>145</v>
      </c>
      <c r="B9303" s="762">
        <f>(R9302+T9302)</f>
        <v>0</v>
      </c>
      <c r="C9303" s="763"/>
      <c r="D9303" s="763"/>
      <c r="E9303" s="763"/>
      <c r="F9303" s="764"/>
      <c r="G9303" s="763" t="s">
        <v>146</v>
      </c>
      <c r="H9303" s="763"/>
      <c r="I9303" s="765"/>
      <c r="J9303" s="763"/>
      <c r="K9303" s="763" t="s">
        <v>5</v>
      </c>
      <c r="L9303" s="766" t="s">
        <v>143</v>
      </c>
      <c r="M9303" s="766"/>
      <c r="N9303" s="766"/>
      <c r="O9303" s="766"/>
      <c r="P9303" s="766"/>
      <c r="Q9303" s="767"/>
      <c r="R9303" s="768">
        <f>SUM(R9300:R9302)</f>
        <v>949.38749999999993</v>
      </c>
      <c r="S9303" s="763"/>
      <c r="T9303" s="768">
        <f>SUM(T9300:T9302)</f>
        <v>0</v>
      </c>
      <c r="U9303" s="531"/>
      <c r="V9303" s="531"/>
      <c r="W9303" s="531"/>
      <c r="X9303" s="531"/>
      <c r="Y9303" s="531"/>
      <c r="Z9303" s="531"/>
      <c r="AA9303" s="531"/>
      <c r="AB9303" s="531"/>
      <c r="AC9303" s="531"/>
      <c r="AD9303" s="531"/>
      <c r="AE9303" s="531"/>
      <c r="AF9303" s="531"/>
      <c r="AG9303" s="531"/>
      <c r="AH9303" s="531"/>
      <c r="AI9303" s="531"/>
      <c r="AJ9303" s="531"/>
      <c r="AK9303" s="531"/>
      <c r="AL9303" s="531"/>
      <c r="AM9303" s="531"/>
      <c r="AN9303" s="531"/>
      <c r="AO9303" s="531"/>
      <c r="AR9303" s="761" t="s">
        <v>145</v>
      </c>
      <c r="AS9303" s="764"/>
    </row>
    <row r="9304" spans="1:45" s="520" customFormat="1" ht="12" thickTop="1">
      <c r="A9304" s="51"/>
      <c r="B9304" s="41"/>
      <c r="C9304" s="51"/>
      <c r="E9304" s="42" t="s">
        <v>138</v>
      </c>
      <c r="F9304" s="42" t="s">
        <v>139</v>
      </c>
      <c r="G9304" s="51"/>
      <c r="H9304" s="51"/>
      <c r="I9304" s="51"/>
      <c r="J9304" s="51"/>
      <c r="K9304" s="51" t="s">
        <v>140</v>
      </c>
      <c r="L9304" s="51"/>
      <c r="M9304" s="51"/>
      <c r="N9304" s="51"/>
      <c r="O9304" s="52"/>
      <c r="P9304" s="51"/>
      <c r="Q9304" s="51"/>
      <c r="R9304" s="51"/>
      <c r="S9304" s="51"/>
      <c r="T9304" s="41"/>
      <c r="AG9304" s="521" t="s">
        <v>268</v>
      </c>
      <c r="AH9304" s="521" t="s">
        <v>269</v>
      </c>
      <c r="AI9304" s="521" t="s">
        <v>270</v>
      </c>
      <c r="AJ9304" s="521" t="s">
        <v>271</v>
      </c>
      <c r="AK9304" s="521" t="s">
        <v>272</v>
      </c>
      <c r="AM9304" s="745" t="s">
        <v>281</v>
      </c>
      <c r="AN9304" s="746" t="s">
        <v>282</v>
      </c>
      <c r="AO9304" s="522" t="s">
        <v>278</v>
      </c>
      <c r="AR9304" s="51"/>
      <c r="AS9304" s="42" t="s">
        <v>139</v>
      </c>
    </row>
    <row r="9305" spans="1:45" s="520" customFormat="1" ht="12" customHeight="1">
      <c r="A9305" s="747">
        <v>4</v>
      </c>
      <c r="B9305" s="523" t="s">
        <v>141</v>
      </c>
      <c r="C9305" s="748"/>
      <c r="D9305" s="749" t="s">
        <v>2433</v>
      </c>
      <c r="E9305" s="1145">
        <f>IF(AND($A9305=0,$A$1="DIF"),0, ROUND(ROUND(($R9309*$S$3+($T9309*$T$3))/$A9305,2)*$C$3,2))</f>
        <v>36.950000000000003</v>
      </c>
      <c r="F9305" s="1146">
        <f>ROUND($A9305*$E9305,2)</f>
        <v>147.80000000000001</v>
      </c>
      <c r="G9305" s="752" t="s">
        <v>142</v>
      </c>
      <c r="H9305" s="753"/>
      <c r="I9305" s="754"/>
      <c r="J9305" s="753"/>
      <c r="K9305" s="753" t="s">
        <v>5</v>
      </c>
      <c r="L9305" s="755" t="s">
        <v>143</v>
      </c>
      <c r="M9305" s="755"/>
      <c r="N9305" s="755"/>
      <c r="O9305" s="755"/>
      <c r="P9305" s="755"/>
      <c r="Q9305" s="51"/>
      <c r="T9305" s="1150" t="str">
        <f>IF(AND($R9309=0,$T9309=0),"0.00","mu: "&amp; ROUND(F9305/$C$3/($R9309+$T9309*$D$9),2))</f>
        <v>mu: 1.13</v>
      </c>
      <c r="W9305" s="524"/>
      <c r="AG9305" s="1147">
        <f>IF($E9305=0,0,ROUND($R9309*$S$3*$C$3/$A9305,2))</f>
        <v>36.950000000000003</v>
      </c>
      <c r="AH9305" s="1147">
        <f>$AG9305*$A9305</f>
        <v>147.80000000000001</v>
      </c>
      <c r="AI9305" s="1148">
        <f>$E9305-$AG9305</f>
        <v>0</v>
      </c>
      <c r="AJ9305" s="1148">
        <f>$A9305*$AI9305</f>
        <v>0</v>
      </c>
      <c r="AK9305" s="1149">
        <f>ROUND(($AG9305+$AI9305)*$A9305,2)</f>
        <v>147.80000000000001</v>
      </c>
      <c r="AM9305" s="527">
        <f>ROUND(R9309,2)</f>
        <v>130.94999999999999</v>
      </c>
      <c r="AN9305" s="528">
        <f>ROUND(T9309,2)</f>
        <v>0</v>
      </c>
      <c r="AO9305" s="529">
        <f>ROUND(AM9305+AN9305,2)*A9305</f>
        <v>523.79999999999995</v>
      </c>
      <c r="AR9305" s="747">
        <v>4</v>
      </c>
      <c r="AS9305" s="1146">
        <v>160.84</v>
      </c>
    </row>
    <row r="9306" spans="1:45" s="520" customFormat="1" ht="13.2">
      <c r="A9306" s="748"/>
      <c r="B9306"/>
      <c r="C9306" s="748"/>
      <c r="D9306" s="749" t="s">
        <v>2062</v>
      </c>
      <c r="F9306" s="753"/>
      <c r="G9306" s="3"/>
      <c r="H9306" s="753"/>
      <c r="I9306" s="754"/>
      <c r="J9306" s="753"/>
      <c r="K9306" s="753" t="s">
        <v>144</v>
      </c>
      <c r="L9306" s="753"/>
      <c r="M9306" s="753"/>
      <c r="N9306" s="753"/>
      <c r="O9306" s="753"/>
      <c r="P9306" s="753"/>
      <c r="Q9306" s="51"/>
      <c r="R9306" s="530"/>
      <c r="S9306" s="757"/>
      <c r="T9306" s="753"/>
      <c r="AR9306" s="748"/>
      <c r="AS9306" s="753"/>
    </row>
    <row r="9307" spans="1:45" s="901" customFormat="1" ht="13.2">
      <c r="A9307" s="903">
        <v>4</v>
      </c>
      <c r="B9307" s="904" t="s">
        <v>863</v>
      </c>
      <c r="C9307" s="904"/>
      <c r="D9307" s="904" t="s">
        <v>2594</v>
      </c>
      <c r="E9307" s="904"/>
      <c r="F9307" s="904" t="s">
        <v>4128</v>
      </c>
      <c r="G9307" s="905" t="s">
        <v>2595</v>
      </c>
      <c r="H9307" s="902">
        <v>960</v>
      </c>
      <c r="I9307" s="904" t="s">
        <v>2596</v>
      </c>
      <c r="J9307" s="904"/>
      <c r="K9307" s="904"/>
      <c r="L9307" s="904"/>
      <c r="M9307" s="904"/>
      <c r="N9307" s="904"/>
      <c r="O9307" s="902">
        <v>4</v>
      </c>
      <c r="P9307" s="906">
        <v>38274</v>
      </c>
      <c r="Q9307" s="1415">
        <f>37.5*0.873</f>
        <v>32.737499999999997</v>
      </c>
      <c r="R9307" s="908">
        <f>$A9307*Q9307</f>
        <v>130.94999999999999</v>
      </c>
      <c r="S9307" s="907"/>
      <c r="T9307" s="909">
        <f>$A9307*S9307*$T$1</f>
        <v>0</v>
      </c>
      <c r="AR9307" s="903">
        <v>4</v>
      </c>
      <c r="AS9307" s="904" t="s">
        <v>3507</v>
      </c>
    </row>
    <row r="9308" spans="1:45" s="520" customFormat="1" ht="12">
      <c r="A9308" s="758"/>
      <c r="B9308" s="758"/>
      <c r="C9308" s="758"/>
      <c r="D9308" s="758"/>
      <c r="E9308" s="758"/>
      <c r="F9308" s="753"/>
      <c r="G9308" s="758"/>
      <c r="H9308" s="758"/>
      <c r="I9308" s="519"/>
      <c r="J9308" s="758"/>
      <c r="K9308" s="758"/>
      <c r="L9308" s="758"/>
      <c r="M9308" s="758"/>
      <c r="N9308" s="758"/>
      <c r="O9308" s="758"/>
      <c r="P9308" s="758"/>
      <c r="Q9308" s="519"/>
      <c r="R9308" s="759">
        <f>$A9308*Q9308</f>
        <v>0</v>
      </c>
      <c r="S9308" s="519"/>
      <c r="T9308" s="760">
        <f>$A9308*S9308*$T$1</f>
        <v>0</v>
      </c>
      <c r="AR9308" s="758"/>
      <c r="AS9308" s="753"/>
    </row>
    <row r="9309" spans="1:45" s="520" customFormat="1" ht="12.6" thickBot="1">
      <c r="A9309" s="761" t="s">
        <v>145</v>
      </c>
      <c r="B9309" s="762">
        <f>(R9308+T9308)</f>
        <v>0</v>
      </c>
      <c r="C9309" s="763"/>
      <c r="D9309" s="763"/>
      <c r="E9309" s="763"/>
      <c r="F9309" s="764"/>
      <c r="G9309" s="763" t="s">
        <v>146</v>
      </c>
      <c r="H9309" s="763"/>
      <c r="I9309" s="765"/>
      <c r="J9309" s="763"/>
      <c r="K9309" s="763" t="s">
        <v>5</v>
      </c>
      <c r="L9309" s="766" t="s">
        <v>143</v>
      </c>
      <c r="M9309" s="766"/>
      <c r="N9309" s="766"/>
      <c r="O9309" s="766"/>
      <c r="P9309" s="766"/>
      <c r="Q9309" s="767"/>
      <c r="R9309" s="768">
        <f>SUM(R9306:R9308)</f>
        <v>130.94999999999999</v>
      </c>
      <c r="S9309" s="763"/>
      <c r="T9309" s="768">
        <f>SUM(T9306:T9308)</f>
        <v>0</v>
      </c>
      <c r="U9309" s="531"/>
      <c r="V9309" s="531"/>
      <c r="W9309" s="531"/>
      <c r="X9309" s="531"/>
      <c r="Y9309" s="531"/>
      <c r="Z9309" s="531"/>
      <c r="AA9309" s="531"/>
      <c r="AB9309" s="531"/>
      <c r="AC9309" s="531"/>
      <c r="AD9309" s="531"/>
      <c r="AE9309" s="531"/>
      <c r="AF9309" s="531"/>
      <c r="AG9309" s="531"/>
      <c r="AH9309" s="531"/>
      <c r="AI9309" s="531"/>
      <c r="AJ9309" s="531"/>
      <c r="AK9309" s="531"/>
      <c r="AL9309" s="531"/>
      <c r="AM9309" s="531"/>
      <c r="AN9309" s="531"/>
      <c r="AO9309" s="531"/>
      <c r="AR9309" s="761" t="s">
        <v>145</v>
      </c>
      <c r="AS9309" s="764"/>
    </row>
    <row r="9310" spans="1:45" s="520" customFormat="1" ht="12" thickTop="1">
      <c r="A9310" s="51"/>
      <c r="B9310" s="41"/>
      <c r="C9310" s="51"/>
      <c r="E9310" s="42" t="s">
        <v>138</v>
      </c>
      <c r="F9310" s="42" t="s">
        <v>139</v>
      </c>
      <c r="G9310" s="51"/>
      <c r="H9310" s="51"/>
      <c r="I9310" s="51"/>
      <c r="J9310" s="51"/>
      <c r="K9310" s="51" t="s">
        <v>140</v>
      </c>
      <c r="L9310" s="51"/>
      <c r="M9310" s="51"/>
      <c r="N9310" s="51"/>
      <c r="O9310" s="52"/>
      <c r="P9310" s="51"/>
      <c r="Q9310" s="51"/>
      <c r="R9310" s="51"/>
      <c r="S9310" s="51"/>
      <c r="T9310" s="41"/>
      <c r="AG9310" s="521" t="s">
        <v>268</v>
      </c>
      <c r="AH9310" s="521" t="s">
        <v>269</v>
      </c>
      <c r="AI9310" s="521" t="s">
        <v>270</v>
      </c>
      <c r="AJ9310" s="521" t="s">
        <v>271</v>
      </c>
      <c r="AK9310" s="521" t="s">
        <v>272</v>
      </c>
      <c r="AM9310" s="745" t="s">
        <v>281</v>
      </c>
      <c r="AN9310" s="746" t="s">
        <v>282</v>
      </c>
      <c r="AO9310" s="522" t="s">
        <v>278</v>
      </c>
      <c r="AR9310" s="51"/>
      <c r="AS9310" s="42" t="s">
        <v>139</v>
      </c>
    </row>
    <row r="9311" spans="1:45" s="520" customFormat="1" ht="12" customHeight="1">
      <c r="A9311" s="747">
        <v>2</v>
      </c>
      <c r="B9311" s="523" t="s">
        <v>141</v>
      </c>
      <c r="C9311" s="748"/>
      <c r="D9311" s="749" t="s">
        <v>2434</v>
      </c>
      <c r="E9311" s="1145">
        <f>IF(AND($A9311=0,$A$1="DIF"),0, ROUND(ROUND(($R9315*$S$3+($T9315*$T$3))/$A9311,2)*$C$3,2))</f>
        <v>36.950000000000003</v>
      </c>
      <c r="F9311" s="1146">
        <f>ROUND($A9311*$E9311,2)</f>
        <v>73.900000000000006</v>
      </c>
      <c r="G9311" s="752" t="s">
        <v>142</v>
      </c>
      <c r="H9311" s="753"/>
      <c r="I9311" s="754"/>
      <c r="J9311" s="753"/>
      <c r="K9311" s="753" t="s">
        <v>5</v>
      </c>
      <c r="L9311" s="755" t="s">
        <v>143</v>
      </c>
      <c r="M9311" s="755"/>
      <c r="N9311" s="755"/>
      <c r="O9311" s="755"/>
      <c r="P9311" s="755"/>
      <c r="Q9311" s="51"/>
      <c r="T9311" s="1150" t="str">
        <f>IF(AND($R9315=0,$T9315=0),"0.00","mu: "&amp; ROUND(F9311/$C$3/($R9315+$T9315*$D$9),2))</f>
        <v>mu: 1.13</v>
      </c>
      <c r="W9311" s="524"/>
      <c r="AG9311" s="1147">
        <f>IF($E9311=0,0,ROUND($R9315*$S$3*$C$3/$A9311,2))</f>
        <v>36.950000000000003</v>
      </c>
      <c r="AH9311" s="1147">
        <f>$AG9311*$A9311</f>
        <v>73.900000000000006</v>
      </c>
      <c r="AI9311" s="1148">
        <f>$E9311-$AG9311</f>
        <v>0</v>
      </c>
      <c r="AJ9311" s="1148">
        <f>$A9311*$AI9311</f>
        <v>0</v>
      </c>
      <c r="AK9311" s="1149">
        <f>ROUND(($AG9311+$AI9311)*$A9311,2)</f>
        <v>73.900000000000006</v>
      </c>
      <c r="AM9311" s="527">
        <f>ROUND(R9315,2)</f>
        <v>65.48</v>
      </c>
      <c r="AN9311" s="528">
        <f>ROUND(T9315,2)</f>
        <v>0</v>
      </c>
      <c r="AO9311" s="529">
        <f>ROUND(AM9311+AN9311,2)*A9311</f>
        <v>130.96</v>
      </c>
      <c r="AR9311" s="747">
        <v>2</v>
      </c>
      <c r="AS9311" s="1146">
        <v>80.42</v>
      </c>
    </row>
    <row r="9312" spans="1:45" s="520" customFormat="1" ht="13.2">
      <c r="A9312" s="748"/>
      <c r="B9312"/>
      <c r="C9312" s="748"/>
      <c r="D9312" s="749" t="s">
        <v>2063</v>
      </c>
      <c r="F9312" s="753"/>
      <c r="G9312" s="3"/>
      <c r="H9312" s="753"/>
      <c r="I9312" s="754"/>
      <c r="J9312" s="753"/>
      <c r="K9312" s="753" t="s">
        <v>144</v>
      </c>
      <c r="L9312" s="753"/>
      <c r="M9312" s="753"/>
      <c r="N9312" s="753"/>
      <c r="O9312" s="753"/>
      <c r="P9312" s="753"/>
      <c r="Q9312" s="51"/>
      <c r="R9312" s="530"/>
      <c r="S9312" s="757"/>
      <c r="T9312" s="753"/>
      <c r="AR9312" s="748"/>
      <c r="AS9312" s="753"/>
    </row>
    <row r="9313" spans="1:45" s="901" customFormat="1" ht="13.2">
      <c r="A9313" s="903">
        <v>2</v>
      </c>
      <c r="B9313" s="904" t="s">
        <v>863</v>
      </c>
      <c r="C9313" s="904"/>
      <c r="D9313" s="904" t="s">
        <v>2594</v>
      </c>
      <c r="E9313" s="904"/>
      <c r="F9313" s="904" t="s">
        <v>4128</v>
      </c>
      <c r="G9313" s="905" t="s">
        <v>2595</v>
      </c>
      <c r="H9313" s="902">
        <v>960</v>
      </c>
      <c r="I9313" s="904" t="s">
        <v>2596</v>
      </c>
      <c r="J9313" s="904"/>
      <c r="K9313" s="904"/>
      <c r="L9313" s="904"/>
      <c r="M9313" s="904"/>
      <c r="N9313" s="904"/>
      <c r="O9313" s="902">
        <v>4</v>
      </c>
      <c r="P9313" s="906">
        <v>38274</v>
      </c>
      <c r="Q9313" s="1415">
        <f>37.5*0.873</f>
        <v>32.737499999999997</v>
      </c>
      <c r="R9313" s="908">
        <f>$A9313*Q9313</f>
        <v>65.474999999999994</v>
      </c>
      <c r="S9313" s="907"/>
      <c r="T9313" s="909">
        <f>$A9313*S9313*$T$1</f>
        <v>0</v>
      </c>
      <c r="AR9313" s="903">
        <v>2</v>
      </c>
      <c r="AS9313" s="904" t="s">
        <v>3507</v>
      </c>
    </row>
    <row r="9314" spans="1:45" s="520" customFormat="1" ht="12">
      <c r="A9314" s="758"/>
      <c r="B9314" s="758"/>
      <c r="C9314" s="758"/>
      <c r="D9314" s="758"/>
      <c r="E9314" s="758"/>
      <c r="F9314" s="753"/>
      <c r="G9314" s="758"/>
      <c r="H9314" s="758"/>
      <c r="I9314" s="519"/>
      <c r="J9314" s="758"/>
      <c r="K9314" s="758"/>
      <c r="L9314" s="758"/>
      <c r="M9314" s="758"/>
      <c r="N9314" s="758"/>
      <c r="O9314" s="758"/>
      <c r="P9314" s="758"/>
      <c r="Q9314" s="519"/>
      <c r="R9314" s="759">
        <f>$A9314*Q9314</f>
        <v>0</v>
      </c>
      <c r="S9314" s="519"/>
      <c r="T9314" s="760">
        <f>$A9314*S9314*$T$1</f>
        <v>0</v>
      </c>
      <c r="AR9314" s="758"/>
      <c r="AS9314" s="753"/>
    </row>
    <row r="9315" spans="1:45" s="520" customFormat="1" ht="12.6" thickBot="1">
      <c r="A9315" s="761" t="s">
        <v>145</v>
      </c>
      <c r="B9315" s="762">
        <f>(R9314+T9314)</f>
        <v>0</v>
      </c>
      <c r="C9315" s="763"/>
      <c r="D9315" s="763"/>
      <c r="E9315" s="763"/>
      <c r="F9315" s="764"/>
      <c r="G9315" s="763" t="s">
        <v>146</v>
      </c>
      <c r="H9315" s="763"/>
      <c r="I9315" s="765"/>
      <c r="J9315" s="763"/>
      <c r="K9315" s="763" t="s">
        <v>5</v>
      </c>
      <c r="L9315" s="766" t="s">
        <v>143</v>
      </c>
      <c r="M9315" s="766"/>
      <c r="N9315" s="766"/>
      <c r="O9315" s="766"/>
      <c r="P9315" s="766"/>
      <c r="Q9315" s="767"/>
      <c r="R9315" s="768">
        <f>SUM(R9312:R9314)</f>
        <v>65.474999999999994</v>
      </c>
      <c r="S9315" s="763"/>
      <c r="T9315" s="768">
        <f>SUM(T9312:T9314)</f>
        <v>0</v>
      </c>
      <c r="U9315" s="531"/>
      <c r="V9315" s="531"/>
      <c r="W9315" s="531"/>
      <c r="X9315" s="531"/>
      <c r="Y9315" s="531"/>
      <c r="Z9315" s="531"/>
      <c r="AA9315" s="531"/>
      <c r="AB9315" s="531"/>
      <c r="AC9315" s="531"/>
      <c r="AD9315" s="531"/>
      <c r="AE9315" s="531"/>
      <c r="AF9315" s="531"/>
      <c r="AG9315" s="531"/>
      <c r="AH9315" s="531"/>
      <c r="AI9315" s="531"/>
      <c r="AJ9315" s="531"/>
      <c r="AK9315" s="531"/>
      <c r="AL9315" s="531"/>
      <c r="AM9315" s="531"/>
      <c r="AN9315" s="531"/>
      <c r="AO9315" s="531"/>
      <c r="AR9315" s="761" t="s">
        <v>145</v>
      </c>
      <c r="AS9315" s="764"/>
    </row>
    <row r="9316" spans="1:45" s="520" customFormat="1" ht="12" thickTop="1">
      <c r="A9316" s="51"/>
      <c r="B9316" s="41"/>
      <c r="C9316" s="51"/>
      <c r="E9316" s="42" t="s">
        <v>138</v>
      </c>
      <c r="F9316" s="42" t="s">
        <v>139</v>
      </c>
      <c r="G9316" s="51"/>
      <c r="H9316" s="51"/>
      <c r="I9316" s="51"/>
      <c r="J9316" s="51"/>
      <c r="K9316" s="51" t="s">
        <v>140</v>
      </c>
      <c r="L9316" s="51"/>
      <c r="M9316" s="51"/>
      <c r="N9316" s="51"/>
      <c r="O9316" s="52"/>
      <c r="P9316" s="51"/>
      <c r="Q9316" s="51"/>
      <c r="R9316" s="51"/>
      <c r="S9316" s="51"/>
      <c r="T9316" s="41"/>
      <c r="AG9316" s="521" t="s">
        <v>268</v>
      </c>
      <c r="AH9316" s="521" t="s">
        <v>269</v>
      </c>
      <c r="AI9316" s="521" t="s">
        <v>270</v>
      </c>
      <c r="AJ9316" s="521" t="s">
        <v>271</v>
      </c>
      <c r="AK9316" s="521" t="s">
        <v>272</v>
      </c>
      <c r="AM9316" s="745" t="s">
        <v>281</v>
      </c>
      <c r="AN9316" s="746" t="s">
        <v>282</v>
      </c>
      <c r="AO9316" s="522" t="s">
        <v>278</v>
      </c>
      <c r="AR9316" s="51"/>
      <c r="AS9316" s="42" t="s">
        <v>139</v>
      </c>
    </row>
    <row r="9317" spans="1:45" s="520" customFormat="1" ht="12" customHeight="1">
      <c r="A9317" s="747">
        <v>1</v>
      </c>
      <c r="B9317" s="523" t="s">
        <v>141</v>
      </c>
      <c r="C9317" s="748"/>
      <c r="D9317" s="749" t="s">
        <v>2435</v>
      </c>
      <c r="E9317" s="1145">
        <f>IF(AND($A9317=0,$A$1="DIF"),0, ROUND(ROUND(($R9321*$S$3+($T9321*$T$3))/$A9317,2)*$C$3,2))</f>
        <v>36.950000000000003</v>
      </c>
      <c r="F9317" s="1146">
        <f>ROUND($A9317*$E9317,2)</f>
        <v>36.950000000000003</v>
      </c>
      <c r="G9317" s="752" t="s">
        <v>142</v>
      </c>
      <c r="H9317" s="753"/>
      <c r="I9317" s="754"/>
      <c r="J9317" s="753"/>
      <c r="K9317" s="753" t="s">
        <v>5</v>
      </c>
      <c r="L9317" s="755" t="s">
        <v>143</v>
      </c>
      <c r="M9317" s="755"/>
      <c r="N9317" s="755"/>
      <c r="O9317" s="755"/>
      <c r="P9317" s="755"/>
      <c r="Q9317" s="51"/>
      <c r="T9317" s="1150" t="str">
        <f>IF(AND($R9321=0,$T9321=0),"0.00","mu: "&amp; ROUND(F9317/$C$3/($R9321+$T9321*$D$9),2))</f>
        <v>mu: 1.13</v>
      </c>
      <c r="W9317" s="524"/>
      <c r="AG9317" s="1147">
        <f>IF($E9317=0,0,ROUND($R9321*$S$3*$C$3/$A9317,2))</f>
        <v>36.950000000000003</v>
      </c>
      <c r="AH9317" s="1147">
        <f>$AG9317*$A9317</f>
        <v>36.950000000000003</v>
      </c>
      <c r="AI9317" s="1148">
        <f>$E9317-$AG9317</f>
        <v>0</v>
      </c>
      <c r="AJ9317" s="1148">
        <f>$A9317*$AI9317</f>
        <v>0</v>
      </c>
      <c r="AK9317" s="1149">
        <f>ROUND(($AG9317+$AI9317)*$A9317,2)</f>
        <v>36.950000000000003</v>
      </c>
      <c r="AM9317" s="527">
        <f>ROUND(R9321,2)</f>
        <v>32.74</v>
      </c>
      <c r="AN9317" s="528">
        <f>ROUND(T9321,2)</f>
        <v>0</v>
      </c>
      <c r="AO9317" s="529">
        <f>ROUND(AM9317+AN9317,2)*A9317</f>
        <v>32.74</v>
      </c>
      <c r="AR9317" s="747">
        <v>1</v>
      </c>
      <c r="AS9317" s="1146">
        <v>40.21</v>
      </c>
    </row>
    <row r="9318" spans="1:45" s="520" customFormat="1" ht="13.2">
      <c r="A9318" s="748"/>
      <c r="B9318"/>
      <c r="C9318" s="748"/>
      <c r="D9318" s="749" t="s">
        <v>2064</v>
      </c>
      <c r="F9318" s="753"/>
      <c r="G9318" s="3"/>
      <c r="H9318" s="753"/>
      <c r="I9318" s="754"/>
      <c r="J9318" s="753"/>
      <c r="K9318" s="753" t="s">
        <v>144</v>
      </c>
      <c r="L9318" s="753"/>
      <c r="M9318" s="753"/>
      <c r="N9318" s="753"/>
      <c r="O9318" s="753"/>
      <c r="P9318" s="753"/>
      <c r="Q9318" s="51"/>
      <c r="R9318" s="530"/>
      <c r="S9318" s="757"/>
      <c r="T9318" s="753"/>
      <c r="AR9318" s="748"/>
      <c r="AS9318" s="753"/>
    </row>
    <row r="9319" spans="1:45" s="901" customFormat="1" ht="13.2">
      <c r="A9319" s="903">
        <v>1</v>
      </c>
      <c r="B9319" s="904" t="s">
        <v>863</v>
      </c>
      <c r="C9319" s="904"/>
      <c r="D9319" s="904" t="s">
        <v>2594</v>
      </c>
      <c r="E9319" s="904"/>
      <c r="F9319" s="904" t="s">
        <v>4128</v>
      </c>
      <c r="G9319" s="905" t="s">
        <v>2595</v>
      </c>
      <c r="H9319" s="902">
        <v>960</v>
      </c>
      <c r="I9319" s="904" t="s">
        <v>2596</v>
      </c>
      <c r="J9319" s="904"/>
      <c r="K9319" s="904"/>
      <c r="L9319" s="904"/>
      <c r="M9319" s="904"/>
      <c r="N9319" s="904"/>
      <c r="O9319" s="902">
        <v>4</v>
      </c>
      <c r="P9319" s="906">
        <v>38274</v>
      </c>
      <c r="Q9319" s="1415">
        <f>37.5*0.873</f>
        <v>32.737499999999997</v>
      </c>
      <c r="R9319" s="908">
        <f>$A9319*Q9319</f>
        <v>32.737499999999997</v>
      </c>
      <c r="S9319" s="907"/>
      <c r="T9319" s="909">
        <f>$A9319*S9319*$T$1</f>
        <v>0</v>
      </c>
      <c r="AR9319" s="903">
        <v>1</v>
      </c>
      <c r="AS9319" s="904" t="s">
        <v>3507</v>
      </c>
    </row>
    <row r="9320" spans="1:45" s="520" customFormat="1" ht="12">
      <c r="A9320" s="758"/>
      <c r="B9320" s="758"/>
      <c r="C9320" s="758"/>
      <c r="D9320" s="758"/>
      <c r="E9320" s="758"/>
      <c r="F9320" s="753"/>
      <c r="G9320" s="758"/>
      <c r="H9320" s="758"/>
      <c r="I9320" s="519"/>
      <c r="J9320" s="758"/>
      <c r="K9320" s="758"/>
      <c r="L9320" s="758"/>
      <c r="M9320" s="758"/>
      <c r="N9320" s="758"/>
      <c r="O9320" s="758"/>
      <c r="P9320" s="758"/>
      <c r="Q9320" s="519"/>
      <c r="R9320" s="759">
        <f>$A9320*Q9320</f>
        <v>0</v>
      </c>
      <c r="S9320" s="519"/>
      <c r="T9320" s="760">
        <f>$A9320*S9320*$T$1</f>
        <v>0</v>
      </c>
      <c r="AR9320" s="758"/>
      <c r="AS9320" s="753"/>
    </row>
    <row r="9321" spans="1:45" s="520" customFormat="1" ht="12.6" thickBot="1">
      <c r="A9321" s="761" t="s">
        <v>145</v>
      </c>
      <c r="B9321" s="762">
        <f>(R9320+T9320)</f>
        <v>0</v>
      </c>
      <c r="C9321" s="763"/>
      <c r="D9321" s="763"/>
      <c r="E9321" s="763"/>
      <c r="F9321" s="764"/>
      <c r="G9321" s="763" t="s">
        <v>146</v>
      </c>
      <c r="H9321" s="763"/>
      <c r="I9321" s="765"/>
      <c r="J9321" s="763"/>
      <c r="K9321" s="763" t="s">
        <v>5</v>
      </c>
      <c r="L9321" s="766" t="s">
        <v>143</v>
      </c>
      <c r="M9321" s="766"/>
      <c r="N9321" s="766"/>
      <c r="O9321" s="766"/>
      <c r="P9321" s="766"/>
      <c r="Q9321" s="767"/>
      <c r="R9321" s="768">
        <f>SUM(R9318:R9320)</f>
        <v>32.737499999999997</v>
      </c>
      <c r="S9321" s="763"/>
      <c r="T9321" s="768">
        <f>SUM(T9318:T9320)</f>
        <v>0</v>
      </c>
      <c r="U9321" s="531"/>
      <c r="V9321" s="531"/>
      <c r="W9321" s="531"/>
      <c r="X9321" s="531"/>
      <c r="Y9321" s="531"/>
      <c r="Z9321" s="531"/>
      <c r="AA9321" s="531"/>
      <c r="AB9321" s="531"/>
      <c r="AC9321" s="531"/>
      <c r="AD9321" s="531"/>
      <c r="AE9321" s="531"/>
      <c r="AF9321" s="531"/>
      <c r="AG9321" s="531"/>
      <c r="AH9321" s="531"/>
      <c r="AI9321" s="531"/>
      <c r="AJ9321" s="531"/>
      <c r="AK9321" s="531"/>
      <c r="AL9321" s="531"/>
      <c r="AM9321" s="531"/>
      <c r="AN9321" s="531"/>
      <c r="AO9321" s="531"/>
      <c r="AR9321" s="761" t="s">
        <v>145</v>
      </c>
      <c r="AS9321" s="764"/>
    </row>
    <row r="9322" spans="1:45" s="520" customFormat="1" ht="12" thickTop="1">
      <c r="A9322" s="51"/>
      <c r="B9322" s="41"/>
      <c r="C9322" s="51"/>
      <c r="E9322" s="42" t="s">
        <v>138</v>
      </c>
      <c r="F9322" s="42" t="s">
        <v>139</v>
      </c>
      <c r="G9322" s="51"/>
      <c r="H9322" s="51"/>
      <c r="I9322" s="51"/>
      <c r="J9322" s="51"/>
      <c r="K9322" s="51" t="s">
        <v>140</v>
      </c>
      <c r="L9322" s="51"/>
      <c r="M9322" s="51"/>
      <c r="N9322" s="51"/>
      <c r="O9322" s="52"/>
      <c r="P9322" s="51"/>
      <c r="Q9322" s="51"/>
      <c r="R9322" s="51"/>
      <c r="S9322" s="51"/>
      <c r="T9322" s="41"/>
      <c r="AG9322" s="521" t="s">
        <v>268</v>
      </c>
      <c r="AH9322" s="521" t="s">
        <v>269</v>
      </c>
      <c r="AI9322" s="521" t="s">
        <v>270</v>
      </c>
      <c r="AJ9322" s="521" t="s">
        <v>271</v>
      </c>
      <c r="AK9322" s="521" t="s">
        <v>272</v>
      </c>
      <c r="AM9322" s="745" t="s">
        <v>281</v>
      </c>
      <c r="AN9322" s="746" t="s">
        <v>282</v>
      </c>
      <c r="AO9322" s="522" t="s">
        <v>278</v>
      </c>
      <c r="AR9322" s="51"/>
      <c r="AS9322" s="42" t="s">
        <v>139</v>
      </c>
    </row>
    <row r="9323" spans="1:45" s="520" customFormat="1" ht="12" customHeight="1">
      <c r="A9323" s="747">
        <v>1</v>
      </c>
      <c r="B9323" s="523" t="s">
        <v>141</v>
      </c>
      <c r="C9323" s="748"/>
      <c r="D9323" s="749" t="s">
        <v>2436</v>
      </c>
      <c r="E9323" s="1145">
        <f>IF(AND($A9323=0,$A$1="DIF"),0, ROUND(ROUND(($R9327*$S$3+($T9327*$T$3))/$A9323,2)*$C$3,2))</f>
        <v>36.950000000000003</v>
      </c>
      <c r="F9323" s="1146">
        <f>ROUND($A9323*$E9323,2)</f>
        <v>36.950000000000003</v>
      </c>
      <c r="G9323" s="752" t="s">
        <v>142</v>
      </c>
      <c r="H9323" s="753"/>
      <c r="I9323" s="754"/>
      <c r="J9323" s="753"/>
      <c r="K9323" s="753" t="s">
        <v>5</v>
      </c>
      <c r="L9323" s="755" t="s">
        <v>143</v>
      </c>
      <c r="M9323" s="755"/>
      <c r="N9323" s="755"/>
      <c r="O9323" s="755"/>
      <c r="P9323" s="755"/>
      <c r="Q9323" s="51"/>
      <c r="T9323" s="1150" t="str">
        <f>IF(AND($R9327=0,$T9327=0),"0.00","mu: "&amp; ROUND(F9323/$C$3/($R9327+$T9327*$D$9),2))</f>
        <v>mu: 1.13</v>
      </c>
      <c r="W9323" s="524"/>
      <c r="AG9323" s="1147">
        <f>IF($E9323=0,0,ROUND($R9327*$S$3*$C$3/$A9323,2))</f>
        <v>36.950000000000003</v>
      </c>
      <c r="AH9323" s="1147">
        <f>$AG9323*$A9323</f>
        <v>36.950000000000003</v>
      </c>
      <c r="AI9323" s="1148">
        <f>$E9323-$AG9323</f>
        <v>0</v>
      </c>
      <c r="AJ9323" s="1148">
        <f>$A9323*$AI9323</f>
        <v>0</v>
      </c>
      <c r="AK9323" s="1149">
        <f>ROUND(($AG9323+$AI9323)*$A9323,2)</f>
        <v>36.950000000000003</v>
      </c>
      <c r="AM9323" s="527">
        <f>ROUND(R9327,2)</f>
        <v>32.74</v>
      </c>
      <c r="AN9323" s="528">
        <f>ROUND(T9327,2)</f>
        <v>0</v>
      </c>
      <c r="AO9323" s="529">
        <f>ROUND(AM9323+AN9323,2)*A9323</f>
        <v>32.74</v>
      </c>
      <c r="AR9323" s="747">
        <v>1</v>
      </c>
      <c r="AS9323" s="1146">
        <v>40.21</v>
      </c>
    </row>
    <row r="9324" spans="1:45" s="520" customFormat="1" ht="13.2">
      <c r="A9324" s="748"/>
      <c r="B9324"/>
      <c r="C9324" s="748"/>
      <c r="D9324" s="749" t="s">
        <v>2065</v>
      </c>
      <c r="F9324" s="753"/>
      <c r="G9324" s="3"/>
      <c r="H9324" s="753"/>
      <c r="I9324" s="754"/>
      <c r="J9324" s="753"/>
      <c r="K9324" s="753" t="s">
        <v>144</v>
      </c>
      <c r="L9324" s="753"/>
      <c r="M9324" s="753"/>
      <c r="N9324" s="753"/>
      <c r="O9324" s="753"/>
      <c r="P9324" s="753"/>
      <c r="Q9324" s="51"/>
      <c r="R9324" s="530"/>
      <c r="S9324" s="757"/>
      <c r="T9324" s="753"/>
      <c r="AR9324" s="748"/>
      <c r="AS9324" s="753"/>
    </row>
    <row r="9325" spans="1:45" s="901" customFormat="1" ht="13.2">
      <c r="A9325" s="903">
        <v>1</v>
      </c>
      <c r="B9325" s="904" t="s">
        <v>863</v>
      </c>
      <c r="C9325" s="904"/>
      <c r="D9325" s="904" t="s">
        <v>2594</v>
      </c>
      <c r="E9325" s="904"/>
      <c r="F9325" s="904" t="s">
        <v>4128</v>
      </c>
      <c r="G9325" s="905" t="s">
        <v>2595</v>
      </c>
      <c r="H9325" s="902">
        <v>960</v>
      </c>
      <c r="I9325" s="904" t="s">
        <v>2596</v>
      </c>
      <c r="J9325" s="904"/>
      <c r="K9325" s="904"/>
      <c r="L9325" s="904"/>
      <c r="M9325" s="904"/>
      <c r="N9325" s="904"/>
      <c r="O9325" s="902">
        <v>4</v>
      </c>
      <c r="P9325" s="906">
        <v>38274</v>
      </c>
      <c r="Q9325" s="1415">
        <f>37.5*0.873</f>
        <v>32.737499999999997</v>
      </c>
      <c r="R9325" s="908">
        <f>$A9325*Q9325</f>
        <v>32.737499999999997</v>
      </c>
      <c r="S9325" s="907"/>
      <c r="T9325" s="909">
        <f>$A9325*S9325*$T$1</f>
        <v>0</v>
      </c>
      <c r="AR9325" s="903">
        <v>1</v>
      </c>
      <c r="AS9325" s="904" t="s">
        <v>3507</v>
      </c>
    </row>
    <row r="9326" spans="1:45" s="520" customFormat="1" ht="12">
      <c r="A9326" s="758"/>
      <c r="B9326" s="758"/>
      <c r="C9326" s="758"/>
      <c r="D9326" s="758"/>
      <c r="E9326" s="758"/>
      <c r="F9326" s="753"/>
      <c r="G9326" s="758"/>
      <c r="H9326" s="758"/>
      <c r="I9326" s="519"/>
      <c r="J9326" s="758"/>
      <c r="K9326" s="758"/>
      <c r="L9326" s="758"/>
      <c r="M9326" s="758"/>
      <c r="N9326" s="758"/>
      <c r="O9326" s="758"/>
      <c r="P9326" s="758"/>
      <c r="Q9326" s="519"/>
      <c r="R9326" s="759">
        <f>$A9326*Q9326</f>
        <v>0</v>
      </c>
      <c r="S9326" s="519"/>
      <c r="T9326" s="760">
        <f>$A9326*S9326*$T$1</f>
        <v>0</v>
      </c>
      <c r="AR9326" s="758"/>
      <c r="AS9326" s="753"/>
    </row>
    <row r="9327" spans="1:45" s="520" customFormat="1" ht="12.6" thickBot="1">
      <c r="A9327" s="761" t="s">
        <v>145</v>
      </c>
      <c r="B9327" s="762">
        <f>(R9326+T9326)</f>
        <v>0</v>
      </c>
      <c r="C9327" s="763"/>
      <c r="D9327" s="763"/>
      <c r="E9327" s="763"/>
      <c r="F9327" s="764"/>
      <c r="G9327" s="763" t="s">
        <v>146</v>
      </c>
      <c r="H9327" s="763"/>
      <c r="I9327" s="765"/>
      <c r="J9327" s="763"/>
      <c r="K9327" s="763" t="s">
        <v>5</v>
      </c>
      <c r="L9327" s="766" t="s">
        <v>143</v>
      </c>
      <c r="M9327" s="766"/>
      <c r="N9327" s="766"/>
      <c r="O9327" s="766"/>
      <c r="P9327" s="766"/>
      <c r="Q9327" s="767"/>
      <c r="R9327" s="768">
        <f>SUM(R9324:R9326)</f>
        <v>32.737499999999997</v>
      </c>
      <c r="S9327" s="763"/>
      <c r="T9327" s="768">
        <f>SUM(T9324:T9326)</f>
        <v>0</v>
      </c>
      <c r="U9327" s="531"/>
      <c r="V9327" s="531"/>
      <c r="W9327" s="531"/>
      <c r="X9327" s="531"/>
      <c r="Y9327" s="531"/>
      <c r="Z9327" s="531"/>
      <c r="AA9327" s="531"/>
      <c r="AB9327" s="531"/>
      <c r="AC9327" s="531"/>
      <c r="AD9327" s="531"/>
      <c r="AE9327" s="531"/>
      <c r="AF9327" s="531"/>
      <c r="AG9327" s="531"/>
      <c r="AH9327" s="531"/>
      <c r="AI9327" s="531"/>
      <c r="AJ9327" s="531"/>
      <c r="AK9327" s="531"/>
      <c r="AL9327" s="531"/>
      <c r="AM9327" s="531"/>
      <c r="AN9327" s="531"/>
      <c r="AO9327" s="531"/>
      <c r="AR9327" s="761" t="s">
        <v>145</v>
      </c>
      <c r="AS9327" s="764"/>
    </row>
    <row r="9328" spans="1:45" s="520" customFormat="1" ht="12" thickTop="1">
      <c r="A9328" s="51"/>
      <c r="B9328" s="41"/>
      <c r="C9328" s="51"/>
      <c r="E9328" s="42" t="s">
        <v>138</v>
      </c>
      <c r="F9328" s="42" t="s">
        <v>139</v>
      </c>
      <c r="G9328" s="51"/>
      <c r="H9328" s="51"/>
      <c r="I9328" s="51"/>
      <c r="J9328" s="51"/>
      <c r="K9328" s="51" t="s">
        <v>140</v>
      </c>
      <c r="L9328" s="51"/>
      <c r="M9328" s="51"/>
      <c r="N9328" s="51"/>
      <c r="O9328" s="52"/>
      <c r="P9328" s="51"/>
      <c r="Q9328" s="51"/>
      <c r="R9328" s="51"/>
      <c r="S9328" s="51"/>
      <c r="T9328" s="41"/>
      <c r="AG9328" s="521" t="s">
        <v>268</v>
      </c>
      <c r="AH9328" s="521" t="s">
        <v>269</v>
      </c>
      <c r="AI9328" s="521" t="s">
        <v>270</v>
      </c>
      <c r="AJ9328" s="521" t="s">
        <v>271</v>
      </c>
      <c r="AK9328" s="521" t="s">
        <v>272</v>
      </c>
      <c r="AM9328" s="745" t="s">
        <v>281</v>
      </c>
      <c r="AN9328" s="746" t="s">
        <v>282</v>
      </c>
      <c r="AO9328" s="522" t="s">
        <v>278</v>
      </c>
      <c r="AR9328" s="51"/>
      <c r="AS9328" s="42" t="s">
        <v>139</v>
      </c>
    </row>
    <row r="9329" spans="1:45" s="520" customFormat="1" ht="12" customHeight="1">
      <c r="A9329" s="747">
        <v>3</v>
      </c>
      <c r="B9329" s="523" t="s">
        <v>141</v>
      </c>
      <c r="C9329" s="748"/>
      <c r="D9329" s="749" t="s">
        <v>2437</v>
      </c>
      <c r="E9329" s="1145">
        <f>IF(AND($A9329=0,$A$1="DIF"),0, ROUND(ROUND(($R9333*$S$3+($T9333*$T$3))/$A9329,2)*$C$3,2))</f>
        <v>36.950000000000003</v>
      </c>
      <c r="F9329" s="1146">
        <f>ROUND($A9329*$E9329,2)</f>
        <v>110.85</v>
      </c>
      <c r="G9329" s="752" t="s">
        <v>142</v>
      </c>
      <c r="H9329" s="753"/>
      <c r="I9329" s="754"/>
      <c r="J9329" s="753"/>
      <c r="K9329" s="753" t="s">
        <v>5</v>
      </c>
      <c r="L9329" s="755" t="s">
        <v>143</v>
      </c>
      <c r="M9329" s="755"/>
      <c r="N9329" s="755"/>
      <c r="O9329" s="755"/>
      <c r="P9329" s="755"/>
      <c r="Q9329" s="51"/>
      <c r="T9329" s="1150" t="str">
        <f>IF(AND($R9333=0,$T9333=0),"0.00","mu: "&amp; ROUND(F9329/$C$3/($R9333+$T9333*$D$9),2))</f>
        <v>mu: 1.13</v>
      </c>
      <c r="W9329" s="524"/>
      <c r="AG9329" s="1147">
        <f>IF($E9329=0,0,ROUND($R9333*$S$3*$C$3/$A9329,2))</f>
        <v>36.950000000000003</v>
      </c>
      <c r="AH9329" s="1147">
        <f>$AG9329*$A9329</f>
        <v>110.85000000000001</v>
      </c>
      <c r="AI9329" s="1148">
        <f>$E9329-$AG9329</f>
        <v>0</v>
      </c>
      <c r="AJ9329" s="1148">
        <f>$A9329*$AI9329</f>
        <v>0</v>
      </c>
      <c r="AK9329" s="1149">
        <f>ROUND(($AG9329+$AI9329)*$A9329,2)</f>
        <v>110.85</v>
      </c>
      <c r="AM9329" s="527">
        <f>ROUND(R9333,2)</f>
        <v>98.21</v>
      </c>
      <c r="AN9329" s="528">
        <f>ROUND(T9333,2)</f>
        <v>0</v>
      </c>
      <c r="AO9329" s="529">
        <f>ROUND(AM9329+AN9329,2)*A9329</f>
        <v>294.63</v>
      </c>
      <c r="AR9329" s="747">
        <v>3</v>
      </c>
      <c r="AS9329" s="1146">
        <v>120.63</v>
      </c>
    </row>
    <row r="9330" spans="1:45" s="520" customFormat="1" ht="13.2">
      <c r="A9330" s="748"/>
      <c r="B9330"/>
      <c r="C9330" s="748"/>
      <c r="D9330" s="749" t="s">
        <v>2096</v>
      </c>
      <c r="F9330" s="753"/>
      <c r="G9330" s="3"/>
      <c r="H9330" s="753"/>
      <c r="I9330" s="754"/>
      <c r="J9330" s="753"/>
      <c r="K9330" s="753" t="s">
        <v>144</v>
      </c>
      <c r="L9330" s="753"/>
      <c r="M9330" s="753"/>
      <c r="N9330" s="753"/>
      <c r="O9330" s="753"/>
      <c r="P9330" s="753"/>
      <c r="Q9330" s="51"/>
      <c r="R9330" s="530"/>
      <c r="S9330" s="757"/>
      <c r="T9330" s="753"/>
      <c r="AR9330" s="748"/>
      <c r="AS9330" s="753"/>
    </row>
    <row r="9331" spans="1:45" s="901" customFormat="1" ht="13.2">
      <c r="A9331" s="903">
        <v>3</v>
      </c>
      <c r="B9331" s="904" t="s">
        <v>863</v>
      </c>
      <c r="C9331" s="904"/>
      <c r="D9331" s="904" t="s">
        <v>2594</v>
      </c>
      <c r="E9331" s="904"/>
      <c r="F9331" s="904" t="s">
        <v>4128</v>
      </c>
      <c r="G9331" s="905" t="s">
        <v>2595</v>
      </c>
      <c r="H9331" s="902">
        <v>960</v>
      </c>
      <c r="I9331" s="904" t="s">
        <v>2596</v>
      </c>
      <c r="J9331" s="904"/>
      <c r="K9331" s="904"/>
      <c r="L9331" s="904"/>
      <c r="M9331" s="904"/>
      <c r="N9331" s="904"/>
      <c r="O9331" s="902">
        <v>4</v>
      </c>
      <c r="P9331" s="906">
        <v>38274</v>
      </c>
      <c r="Q9331" s="1415">
        <f>37.5*0.873</f>
        <v>32.737499999999997</v>
      </c>
      <c r="R9331" s="908">
        <f>$A9331*Q9331</f>
        <v>98.212499999999991</v>
      </c>
      <c r="S9331" s="907"/>
      <c r="T9331" s="909">
        <f>$A9331*S9331*$T$1</f>
        <v>0</v>
      </c>
      <c r="AR9331" s="903">
        <v>3</v>
      </c>
      <c r="AS9331" s="904" t="s">
        <v>3507</v>
      </c>
    </row>
    <row r="9332" spans="1:45" s="520" customFormat="1" ht="12">
      <c r="A9332" s="758"/>
      <c r="B9332" s="758"/>
      <c r="C9332" s="758"/>
      <c r="D9332" s="758"/>
      <c r="E9332" s="758"/>
      <c r="F9332" s="753"/>
      <c r="G9332" s="758"/>
      <c r="H9332" s="758"/>
      <c r="I9332" s="519"/>
      <c r="J9332" s="758"/>
      <c r="K9332" s="758"/>
      <c r="L9332" s="758"/>
      <c r="M9332" s="758"/>
      <c r="N9332" s="758"/>
      <c r="O9332" s="758"/>
      <c r="P9332" s="758"/>
      <c r="Q9332" s="519"/>
      <c r="R9332" s="759">
        <f>$A9332*Q9332</f>
        <v>0</v>
      </c>
      <c r="S9332" s="519"/>
      <c r="T9332" s="760">
        <f>$A9332*S9332*$T$1</f>
        <v>0</v>
      </c>
      <c r="AR9332" s="758"/>
      <c r="AS9332" s="753"/>
    </row>
    <row r="9333" spans="1:45" s="520" customFormat="1" ht="12.6" thickBot="1">
      <c r="A9333" s="761" t="s">
        <v>145</v>
      </c>
      <c r="B9333" s="762">
        <f>(R9332+T9332)</f>
        <v>0</v>
      </c>
      <c r="C9333" s="763"/>
      <c r="D9333" s="763"/>
      <c r="E9333" s="763"/>
      <c r="F9333" s="764"/>
      <c r="G9333" s="763" t="s">
        <v>146</v>
      </c>
      <c r="H9333" s="763"/>
      <c r="I9333" s="765"/>
      <c r="J9333" s="763"/>
      <c r="K9333" s="763" t="s">
        <v>5</v>
      </c>
      <c r="L9333" s="766" t="s">
        <v>143</v>
      </c>
      <c r="M9333" s="766"/>
      <c r="N9333" s="766"/>
      <c r="O9333" s="766"/>
      <c r="P9333" s="766"/>
      <c r="Q9333" s="767"/>
      <c r="R9333" s="768">
        <f>SUM(R9330:R9332)</f>
        <v>98.212499999999991</v>
      </c>
      <c r="S9333" s="763"/>
      <c r="T9333" s="768">
        <f>SUM(T9330:T9332)</f>
        <v>0</v>
      </c>
      <c r="U9333" s="531"/>
      <c r="V9333" s="531"/>
      <c r="W9333" s="531"/>
      <c r="X9333" s="531"/>
      <c r="Y9333" s="531"/>
      <c r="Z9333" s="531"/>
      <c r="AA9333" s="531"/>
      <c r="AB9333" s="531"/>
      <c r="AC9333" s="531"/>
      <c r="AD9333" s="531"/>
      <c r="AE9333" s="531"/>
      <c r="AF9333" s="531"/>
      <c r="AG9333" s="531"/>
      <c r="AH9333" s="531"/>
      <c r="AI9333" s="531"/>
      <c r="AJ9333" s="531"/>
      <c r="AK9333" s="531"/>
      <c r="AL9333" s="531"/>
      <c r="AM9333" s="531"/>
      <c r="AN9333" s="531"/>
      <c r="AO9333" s="531"/>
      <c r="AR9333" s="761" t="s">
        <v>145</v>
      </c>
      <c r="AS9333" s="764"/>
    </row>
    <row r="9334" spans="1:45" s="520" customFormat="1" ht="12" thickTop="1">
      <c r="A9334" s="51"/>
      <c r="B9334" s="41"/>
      <c r="C9334" s="51"/>
      <c r="E9334" s="42" t="s">
        <v>138</v>
      </c>
      <c r="F9334" s="42" t="s">
        <v>139</v>
      </c>
      <c r="G9334" s="51"/>
      <c r="H9334" s="51"/>
      <c r="I9334" s="51"/>
      <c r="J9334" s="51"/>
      <c r="K9334" s="51" t="s">
        <v>140</v>
      </c>
      <c r="L9334" s="51"/>
      <c r="M9334" s="51"/>
      <c r="N9334" s="51"/>
      <c r="O9334" s="52"/>
      <c r="P9334" s="51"/>
      <c r="Q9334" s="51"/>
      <c r="R9334" s="51"/>
      <c r="S9334" s="51"/>
      <c r="T9334" s="41"/>
      <c r="AG9334" s="521" t="s">
        <v>268</v>
      </c>
      <c r="AH9334" s="521" t="s">
        <v>269</v>
      </c>
      <c r="AI9334" s="521" t="s">
        <v>270</v>
      </c>
      <c r="AJ9334" s="521" t="s">
        <v>271</v>
      </c>
      <c r="AK9334" s="521" t="s">
        <v>272</v>
      </c>
      <c r="AM9334" s="745" t="s">
        <v>281</v>
      </c>
      <c r="AN9334" s="746" t="s">
        <v>282</v>
      </c>
      <c r="AO9334" s="522" t="s">
        <v>278</v>
      </c>
      <c r="AR9334" s="51"/>
      <c r="AS9334" s="42" t="s">
        <v>139</v>
      </c>
    </row>
    <row r="9335" spans="1:45" s="520" customFormat="1" ht="12" customHeight="1">
      <c r="A9335" s="747">
        <v>3</v>
      </c>
      <c r="B9335" s="523" t="s">
        <v>141</v>
      </c>
      <c r="C9335" s="748"/>
      <c r="D9335" s="749" t="s">
        <v>2438</v>
      </c>
      <c r="E9335" s="1145">
        <f>IF(AND($A9335=0,$A$1="DIF"),0, ROUND(ROUND(($R9339*$S$3+($T9339*$T$3))/$A9335,2)*$C$3,2))</f>
        <v>36.950000000000003</v>
      </c>
      <c r="F9335" s="1146">
        <f>ROUND($A9335*$E9335,2)</f>
        <v>110.85</v>
      </c>
      <c r="G9335" s="752" t="s">
        <v>142</v>
      </c>
      <c r="H9335" s="753"/>
      <c r="I9335" s="754"/>
      <c r="J9335" s="753"/>
      <c r="K9335" s="753" t="s">
        <v>5</v>
      </c>
      <c r="L9335" s="755" t="s">
        <v>143</v>
      </c>
      <c r="M9335" s="755"/>
      <c r="N9335" s="755"/>
      <c r="O9335" s="755"/>
      <c r="P9335" s="755"/>
      <c r="Q9335" s="51"/>
      <c r="T9335" s="1150" t="str">
        <f>IF(AND($R9339=0,$T9339=0),"0.00","mu: "&amp; ROUND(F9335/$C$3/($R9339+$T9339*$D$9),2))</f>
        <v>mu: 1.13</v>
      </c>
      <c r="W9335" s="524"/>
      <c r="AG9335" s="1147">
        <f>IF($E9335=0,0,ROUND($R9339*$S$3*$C$3/$A9335,2))</f>
        <v>36.950000000000003</v>
      </c>
      <c r="AH9335" s="1147">
        <f>$AG9335*$A9335</f>
        <v>110.85000000000001</v>
      </c>
      <c r="AI9335" s="1148">
        <f>$E9335-$AG9335</f>
        <v>0</v>
      </c>
      <c r="AJ9335" s="1148">
        <f>$A9335*$AI9335</f>
        <v>0</v>
      </c>
      <c r="AK9335" s="1149">
        <f>ROUND(($AG9335+$AI9335)*$A9335,2)</f>
        <v>110.85</v>
      </c>
      <c r="AM9335" s="527">
        <f>ROUND(R9339,2)</f>
        <v>98.21</v>
      </c>
      <c r="AN9335" s="528">
        <f>ROUND(T9339,2)</f>
        <v>0</v>
      </c>
      <c r="AO9335" s="529">
        <f>ROUND(AM9335+AN9335,2)*A9335</f>
        <v>294.63</v>
      </c>
      <c r="AR9335" s="747">
        <v>3</v>
      </c>
      <c r="AS9335" s="1146">
        <v>120.63</v>
      </c>
    </row>
    <row r="9336" spans="1:45" s="520" customFormat="1" ht="13.2">
      <c r="A9336" s="748"/>
      <c r="B9336"/>
      <c r="C9336" s="748"/>
      <c r="D9336" s="749" t="s">
        <v>2097</v>
      </c>
      <c r="F9336" s="753"/>
      <c r="G9336" s="3"/>
      <c r="H9336" s="753"/>
      <c r="I9336" s="754"/>
      <c r="J9336" s="753"/>
      <c r="K9336" s="753" t="s">
        <v>144</v>
      </c>
      <c r="L9336" s="753"/>
      <c r="M9336" s="753"/>
      <c r="N9336" s="753"/>
      <c r="O9336" s="753"/>
      <c r="P9336" s="753"/>
      <c r="Q9336" s="51"/>
      <c r="R9336" s="530"/>
      <c r="S9336" s="757"/>
      <c r="T9336" s="753"/>
      <c r="AR9336" s="748"/>
      <c r="AS9336" s="753"/>
    </row>
    <row r="9337" spans="1:45" s="901" customFormat="1" ht="13.2">
      <c r="A9337" s="903">
        <v>3</v>
      </c>
      <c r="B9337" s="904" t="s">
        <v>863</v>
      </c>
      <c r="C9337" s="904"/>
      <c r="D9337" s="904" t="s">
        <v>2594</v>
      </c>
      <c r="E9337" s="904"/>
      <c r="F9337" s="904" t="s">
        <v>4128</v>
      </c>
      <c r="G9337" s="905" t="s">
        <v>2595</v>
      </c>
      <c r="H9337" s="902">
        <v>960</v>
      </c>
      <c r="I9337" s="904" t="s">
        <v>2596</v>
      </c>
      <c r="J9337" s="904"/>
      <c r="K9337" s="904"/>
      <c r="L9337" s="904"/>
      <c r="M9337" s="904"/>
      <c r="N9337" s="904"/>
      <c r="O9337" s="902">
        <v>4</v>
      </c>
      <c r="P9337" s="906">
        <v>38274</v>
      </c>
      <c r="Q9337" s="1415">
        <f>37.5*0.873</f>
        <v>32.737499999999997</v>
      </c>
      <c r="R9337" s="908">
        <f>$A9337*Q9337</f>
        <v>98.212499999999991</v>
      </c>
      <c r="S9337" s="907"/>
      <c r="T9337" s="909">
        <f>$A9337*S9337*$T$1</f>
        <v>0</v>
      </c>
      <c r="AR9337" s="903">
        <v>3</v>
      </c>
      <c r="AS9337" s="904" t="s">
        <v>3507</v>
      </c>
    </row>
    <row r="9338" spans="1:45" s="520" customFormat="1" ht="12">
      <c r="A9338" s="758"/>
      <c r="B9338" s="758"/>
      <c r="C9338" s="758"/>
      <c r="D9338" s="758"/>
      <c r="E9338" s="758"/>
      <c r="F9338" s="753"/>
      <c r="G9338" s="758"/>
      <c r="H9338" s="758"/>
      <c r="I9338" s="519"/>
      <c r="J9338" s="758"/>
      <c r="K9338" s="758"/>
      <c r="L9338" s="758"/>
      <c r="M9338" s="758"/>
      <c r="N9338" s="758"/>
      <c r="O9338" s="758"/>
      <c r="P9338" s="758"/>
      <c r="Q9338" s="519"/>
      <c r="R9338" s="759">
        <f>$A9338*Q9338</f>
        <v>0</v>
      </c>
      <c r="S9338" s="519"/>
      <c r="T9338" s="760">
        <f>$A9338*S9338*$T$1</f>
        <v>0</v>
      </c>
      <c r="AR9338" s="758"/>
      <c r="AS9338" s="753"/>
    </row>
    <row r="9339" spans="1:45" s="520" customFormat="1" ht="12.6" thickBot="1">
      <c r="A9339" s="761" t="s">
        <v>145</v>
      </c>
      <c r="B9339" s="762">
        <f>(R9338+T9338)</f>
        <v>0</v>
      </c>
      <c r="C9339" s="763"/>
      <c r="D9339" s="763"/>
      <c r="E9339" s="763"/>
      <c r="F9339" s="764"/>
      <c r="G9339" s="763" t="s">
        <v>146</v>
      </c>
      <c r="H9339" s="763"/>
      <c r="I9339" s="765"/>
      <c r="J9339" s="763"/>
      <c r="K9339" s="763" t="s">
        <v>5</v>
      </c>
      <c r="L9339" s="766" t="s">
        <v>143</v>
      </c>
      <c r="M9339" s="766"/>
      <c r="N9339" s="766"/>
      <c r="O9339" s="766"/>
      <c r="P9339" s="766"/>
      <c r="Q9339" s="767"/>
      <c r="R9339" s="768">
        <f>SUM(R9336:R9338)</f>
        <v>98.212499999999991</v>
      </c>
      <c r="S9339" s="763"/>
      <c r="T9339" s="768">
        <f>SUM(T9336:T9338)</f>
        <v>0</v>
      </c>
      <c r="U9339" s="531"/>
      <c r="V9339" s="531"/>
      <c r="W9339" s="531"/>
      <c r="X9339" s="531"/>
      <c r="Y9339" s="531"/>
      <c r="Z9339" s="531"/>
      <c r="AA9339" s="531"/>
      <c r="AB9339" s="531"/>
      <c r="AC9339" s="531"/>
      <c r="AD9339" s="531"/>
      <c r="AE9339" s="531"/>
      <c r="AF9339" s="531"/>
      <c r="AG9339" s="531"/>
      <c r="AH9339" s="531"/>
      <c r="AI9339" s="531"/>
      <c r="AJ9339" s="531"/>
      <c r="AK9339" s="531"/>
      <c r="AL9339" s="531"/>
      <c r="AM9339" s="531"/>
      <c r="AN9339" s="531"/>
      <c r="AO9339" s="531"/>
      <c r="AR9339" s="761" t="s">
        <v>145</v>
      </c>
      <c r="AS9339" s="764"/>
    </row>
    <row r="9340" spans="1:45" s="520" customFormat="1" ht="12" thickTop="1">
      <c r="A9340" s="51"/>
      <c r="B9340" s="41"/>
      <c r="C9340" s="51"/>
      <c r="E9340" s="42" t="s">
        <v>138</v>
      </c>
      <c r="F9340" s="42" t="s">
        <v>139</v>
      </c>
      <c r="G9340" s="51"/>
      <c r="H9340" s="51"/>
      <c r="I9340" s="51"/>
      <c r="J9340" s="51"/>
      <c r="K9340" s="51" t="s">
        <v>140</v>
      </c>
      <c r="L9340" s="51"/>
      <c r="M9340" s="51"/>
      <c r="N9340" s="51"/>
      <c r="O9340" s="52"/>
      <c r="P9340" s="51"/>
      <c r="Q9340" s="51"/>
      <c r="R9340" s="51"/>
      <c r="S9340" s="51"/>
      <c r="T9340" s="41"/>
      <c r="AG9340" s="521" t="s">
        <v>268</v>
      </c>
      <c r="AH9340" s="521" t="s">
        <v>269</v>
      </c>
      <c r="AI9340" s="521" t="s">
        <v>270</v>
      </c>
      <c r="AJ9340" s="521" t="s">
        <v>271</v>
      </c>
      <c r="AK9340" s="521" t="s">
        <v>272</v>
      </c>
      <c r="AM9340" s="745" t="s">
        <v>281</v>
      </c>
      <c r="AN9340" s="746" t="s">
        <v>282</v>
      </c>
      <c r="AO9340" s="522" t="s">
        <v>278</v>
      </c>
      <c r="AR9340" s="51"/>
      <c r="AS9340" s="42" t="s">
        <v>139</v>
      </c>
    </row>
    <row r="9341" spans="1:45" s="520" customFormat="1" ht="12" customHeight="1">
      <c r="A9341" s="747">
        <v>1</v>
      </c>
      <c r="B9341" s="523" t="s">
        <v>141</v>
      </c>
      <c r="C9341" s="748"/>
      <c r="D9341" s="749" t="s">
        <v>2439</v>
      </c>
      <c r="E9341" s="1145">
        <f>IF(AND($A9341=0,$A$1="DIF"),0, ROUND(ROUND(($R9345*$S$3+($T9345*$T$3))/$A9341,2)*$C$3,2))</f>
        <v>36.950000000000003</v>
      </c>
      <c r="F9341" s="1146">
        <f>ROUND($A9341*$E9341,2)</f>
        <v>36.950000000000003</v>
      </c>
      <c r="G9341" s="752" t="s">
        <v>142</v>
      </c>
      <c r="H9341" s="753"/>
      <c r="I9341" s="754"/>
      <c r="J9341" s="753"/>
      <c r="K9341" s="753" t="s">
        <v>5</v>
      </c>
      <c r="L9341" s="755" t="s">
        <v>143</v>
      </c>
      <c r="M9341" s="755"/>
      <c r="N9341" s="755"/>
      <c r="O9341" s="755"/>
      <c r="P9341" s="755"/>
      <c r="Q9341" s="51"/>
      <c r="T9341" s="1150" t="str">
        <f>IF(AND($R9345=0,$T9345=0),"0.00","mu: "&amp; ROUND(F9341/$C$3/($R9345+$T9345*$D$9),2))</f>
        <v>mu: 1.13</v>
      </c>
      <c r="W9341" s="524"/>
      <c r="AG9341" s="1147">
        <f>IF($E9341=0,0,ROUND($R9345*$S$3*$C$3/$A9341,2))</f>
        <v>36.950000000000003</v>
      </c>
      <c r="AH9341" s="1147">
        <f>$AG9341*$A9341</f>
        <v>36.950000000000003</v>
      </c>
      <c r="AI9341" s="1148">
        <f>$E9341-$AG9341</f>
        <v>0</v>
      </c>
      <c r="AJ9341" s="1148">
        <f>$A9341*$AI9341</f>
        <v>0</v>
      </c>
      <c r="AK9341" s="1149">
        <f>ROUND(($AG9341+$AI9341)*$A9341,2)</f>
        <v>36.950000000000003</v>
      </c>
      <c r="AM9341" s="527">
        <f>ROUND(R9345,2)</f>
        <v>32.74</v>
      </c>
      <c r="AN9341" s="528">
        <f>ROUND(T9345,2)</f>
        <v>0</v>
      </c>
      <c r="AO9341" s="529">
        <f>ROUND(AM9341+AN9341,2)*A9341</f>
        <v>32.74</v>
      </c>
      <c r="AR9341" s="747">
        <v>1</v>
      </c>
      <c r="AS9341" s="1146">
        <v>40.21</v>
      </c>
    </row>
    <row r="9342" spans="1:45" s="520" customFormat="1" ht="13.2">
      <c r="A9342" s="748"/>
      <c r="B9342"/>
      <c r="C9342" s="748"/>
      <c r="D9342" s="749" t="s">
        <v>2068</v>
      </c>
      <c r="F9342" s="753"/>
      <c r="G9342" s="3"/>
      <c r="H9342" s="753"/>
      <c r="I9342" s="754"/>
      <c r="J9342" s="753"/>
      <c r="K9342" s="753" t="s">
        <v>144</v>
      </c>
      <c r="L9342" s="753"/>
      <c r="M9342" s="753"/>
      <c r="N9342" s="753"/>
      <c r="O9342" s="753"/>
      <c r="P9342" s="753"/>
      <c r="Q9342" s="51"/>
      <c r="R9342" s="530"/>
      <c r="S9342" s="757"/>
      <c r="T9342" s="753"/>
      <c r="AR9342" s="748"/>
      <c r="AS9342" s="753"/>
    </row>
    <row r="9343" spans="1:45" s="901" customFormat="1" ht="13.2">
      <c r="A9343" s="903">
        <v>1</v>
      </c>
      <c r="B9343" s="904" t="s">
        <v>863</v>
      </c>
      <c r="C9343" s="904"/>
      <c r="D9343" s="904" t="s">
        <v>2594</v>
      </c>
      <c r="E9343" s="904"/>
      <c r="F9343" s="904" t="s">
        <v>4128</v>
      </c>
      <c r="G9343" s="905" t="s">
        <v>2595</v>
      </c>
      <c r="H9343" s="902">
        <v>960</v>
      </c>
      <c r="I9343" s="904" t="s">
        <v>2596</v>
      </c>
      <c r="J9343" s="904"/>
      <c r="K9343" s="904"/>
      <c r="L9343" s="904"/>
      <c r="M9343" s="904"/>
      <c r="N9343" s="904"/>
      <c r="O9343" s="902">
        <v>4</v>
      </c>
      <c r="P9343" s="906">
        <v>38274</v>
      </c>
      <c r="Q9343" s="1415">
        <f>37.5*0.873</f>
        <v>32.737499999999997</v>
      </c>
      <c r="R9343" s="908">
        <f>$A9343*Q9343</f>
        <v>32.737499999999997</v>
      </c>
      <c r="S9343" s="907"/>
      <c r="T9343" s="909">
        <f>$A9343*S9343*$T$1</f>
        <v>0</v>
      </c>
      <c r="AR9343" s="903">
        <v>1</v>
      </c>
      <c r="AS9343" s="904" t="s">
        <v>3507</v>
      </c>
    </row>
    <row r="9344" spans="1:45" s="520" customFormat="1" ht="12">
      <c r="A9344" s="758"/>
      <c r="B9344" s="758"/>
      <c r="C9344" s="758"/>
      <c r="D9344" s="758"/>
      <c r="E9344" s="758"/>
      <c r="F9344" s="753"/>
      <c r="G9344" s="758"/>
      <c r="H9344" s="758"/>
      <c r="I9344" s="519"/>
      <c r="J9344" s="758"/>
      <c r="K9344" s="758"/>
      <c r="L9344" s="758"/>
      <c r="M9344" s="758"/>
      <c r="N9344" s="758"/>
      <c r="O9344" s="758"/>
      <c r="P9344" s="758"/>
      <c r="Q9344" s="519"/>
      <c r="R9344" s="759">
        <f>$A9344*Q9344</f>
        <v>0</v>
      </c>
      <c r="S9344" s="519"/>
      <c r="T9344" s="760">
        <f>$A9344*S9344*$T$1</f>
        <v>0</v>
      </c>
      <c r="AR9344" s="758"/>
      <c r="AS9344" s="753"/>
    </row>
    <row r="9345" spans="1:45" s="520" customFormat="1" ht="12.6" thickBot="1">
      <c r="A9345" s="761" t="s">
        <v>145</v>
      </c>
      <c r="B9345" s="762">
        <f>(R9344+T9344)</f>
        <v>0</v>
      </c>
      <c r="C9345" s="763"/>
      <c r="D9345" s="763"/>
      <c r="E9345" s="763"/>
      <c r="F9345" s="764"/>
      <c r="G9345" s="763" t="s">
        <v>146</v>
      </c>
      <c r="H9345" s="763"/>
      <c r="I9345" s="765"/>
      <c r="J9345" s="763"/>
      <c r="K9345" s="763" t="s">
        <v>5</v>
      </c>
      <c r="L9345" s="766" t="s">
        <v>143</v>
      </c>
      <c r="M9345" s="766"/>
      <c r="N9345" s="766"/>
      <c r="O9345" s="766"/>
      <c r="P9345" s="766"/>
      <c r="Q9345" s="767"/>
      <c r="R9345" s="768">
        <f>SUM(R9342:R9344)</f>
        <v>32.737499999999997</v>
      </c>
      <c r="S9345" s="763"/>
      <c r="T9345" s="768">
        <f>SUM(T9342:T9344)</f>
        <v>0</v>
      </c>
      <c r="U9345" s="531"/>
      <c r="V9345" s="531"/>
      <c r="W9345" s="531"/>
      <c r="X9345" s="531"/>
      <c r="Y9345" s="531"/>
      <c r="Z9345" s="531"/>
      <c r="AA9345" s="531"/>
      <c r="AB9345" s="531"/>
      <c r="AC9345" s="531"/>
      <c r="AD9345" s="531"/>
      <c r="AE9345" s="531"/>
      <c r="AF9345" s="531"/>
      <c r="AG9345" s="531"/>
      <c r="AH9345" s="531"/>
      <c r="AI9345" s="531"/>
      <c r="AJ9345" s="531"/>
      <c r="AK9345" s="531"/>
      <c r="AL9345" s="531"/>
      <c r="AM9345" s="531"/>
      <c r="AN9345" s="531"/>
      <c r="AO9345" s="531"/>
      <c r="AR9345" s="761" t="s">
        <v>145</v>
      </c>
      <c r="AS9345" s="764"/>
    </row>
    <row r="9346" spans="1:45" s="520" customFormat="1" ht="12" thickTop="1">
      <c r="A9346" s="51"/>
      <c r="B9346" s="41"/>
      <c r="C9346" s="51"/>
      <c r="E9346" s="42" t="s">
        <v>138</v>
      </c>
      <c r="F9346" s="42" t="s">
        <v>139</v>
      </c>
      <c r="G9346" s="51"/>
      <c r="H9346" s="51"/>
      <c r="I9346" s="51"/>
      <c r="J9346" s="51"/>
      <c r="K9346" s="51" t="s">
        <v>140</v>
      </c>
      <c r="L9346" s="51"/>
      <c r="M9346" s="51"/>
      <c r="N9346" s="51"/>
      <c r="O9346" s="52"/>
      <c r="P9346" s="51"/>
      <c r="Q9346" s="51"/>
      <c r="R9346" s="51"/>
      <c r="S9346" s="51"/>
      <c r="T9346" s="41"/>
      <c r="AG9346" s="521" t="s">
        <v>268</v>
      </c>
      <c r="AH9346" s="521" t="s">
        <v>269</v>
      </c>
      <c r="AI9346" s="521" t="s">
        <v>270</v>
      </c>
      <c r="AJ9346" s="521" t="s">
        <v>271</v>
      </c>
      <c r="AK9346" s="521" t="s">
        <v>272</v>
      </c>
      <c r="AM9346" s="745" t="s">
        <v>281</v>
      </c>
      <c r="AN9346" s="746" t="s">
        <v>282</v>
      </c>
      <c r="AO9346" s="522" t="s">
        <v>278</v>
      </c>
      <c r="AR9346" s="51"/>
      <c r="AS9346" s="42" t="s">
        <v>139</v>
      </c>
    </row>
    <row r="9347" spans="1:45" s="520" customFormat="1" ht="12" customHeight="1">
      <c r="A9347" s="747">
        <v>1</v>
      </c>
      <c r="B9347" s="523" t="s">
        <v>141</v>
      </c>
      <c r="C9347" s="748"/>
      <c r="D9347" s="749" t="s">
        <v>2440</v>
      </c>
      <c r="E9347" s="1145">
        <f>IF(AND($A9347=0,$A$1="DIF"),0, ROUND(ROUND(($R9351*$S$3+($T9351*$T$3))/$A9347,2)*$C$3,2))</f>
        <v>36.950000000000003</v>
      </c>
      <c r="F9347" s="1146">
        <f>ROUND($A9347*$E9347,2)</f>
        <v>36.950000000000003</v>
      </c>
      <c r="G9347" s="752" t="s">
        <v>142</v>
      </c>
      <c r="H9347" s="753"/>
      <c r="I9347" s="754"/>
      <c r="J9347" s="753"/>
      <c r="K9347" s="753" t="s">
        <v>5</v>
      </c>
      <c r="L9347" s="755" t="s">
        <v>143</v>
      </c>
      <c r="M9347" s="755"/>
      <c r="N9347" s="755"/>
      <c r="O9347" s="755"/>
      <c r="P9347" s="755"/>
      <c r="Q9347" s="51"/>
      <c r="T9347" s="1150" t="str">
        <f>IF(AND($R9351=0,$T9351=0),"0.00","mu: "&amp; ROUND(F9347/$C$3/($R9351+$T9351*$D$9),2))</f>
        <v>mu: 1.13</v>
      </c>
      <c r="W9347" s="524"/>
      <c r="AG9347" s="1147">
        <f>IF($E9347=0,0,ROUND($R9351*$S$3*$C$3/$A9347,2))</f>
        <v>36.950000000000003</v>
      </c>
      <c r="AH9347" s="1147">
        <f>$AG9347*$A9347</f>
        <v>36.950000000000003</v>
      </c>
      <c r="AI9347" s="1148">
        <f>$E9347-$AG9347</f>
        <v>0</v>
      </c>
      <c r="AJ9347" s="1148">
        <f>$A9347*$AI9347</f>
        <v>0</v>
      </c>
      <c r="AK9347" s="1149">
        <f>ROUND(($AG9347+$AI9347)*$A9347,2)</f>
        <v>36.950000000000003</v>
      </c>
      <c r="AM9347" s="527">
        <f>ROUND(R9351,2)</f>
        <v>32.74</v>
      </c>
      <c r="AN9347" s="528">
        <f>ROUND(T9351,2)</f>
        <v>0</v>
      </c>
      <c r="AO9347" s="529">
        <f>ROUND(AM9347+AN9347,2)*A9347</f>
        <v>32.74</v>
      </c>
      <c r="AR9347" s="747">
        <v>1</v>
      </c>
      <c r="AS9347" s="1146">
        <v>40.21</v>
      </c>
    </row>
    <row r="9348" spans="1:45" s="520" customFormat="1" ht="13.2">
      <c r="A9348" s="748"/>
      <c r="B9348"/>
      <c r="C9348" s="748"/>
      <c r="D9348" s="749" t="s">
        <v>2067</v>
      </c>
      <c r="F9348" s="753"/>
      <c r="G9348" s="3"/>
      <c r="H9348" s="753"/>
      <c r="I9348" s="754"/>
      <c r="J9348" s="753"/>
      <c r="K9348" s="753" t="s">
        <v>144</v>
      </c>
      <c r="L9348" s="753"/>
      <c r="M9348" s="753"/>
      <c r="N9348" s="753"/>
      <c r="O9348" s="753"/>
      <c r="P9348" s="753"/>
      <c r="Q9348" s="51"/>
      <c r="R9348" s="530"/>
      <c r="S9348" s="757"/>
      <c r="T9348" s="753"/>
      <c r="AR9348" s="748"/>
      <c r="AS9348" s="753"/>
    </row>
    <row r="9349" spans="1:45" s="901" customFormat="1" ht="13.2">
      <c r="A9349" s="903">
        <v>1</v>
      </c>
      <c r="B9349" s="904" t="s">
        <v>863</v>
      </c>
      <c r="C9349" s="904"/>
      <c r="D9349" s="904" t="s">
        <v>2594</v>
      </c>
      <c r="E9349" s="904"/>
      <c r="F9349" s="904" t="s">
        <v>4128</v>
      </c>
      <c r="G9349" s="905" t="s">
        <v>2595</v>
      </c>
      <c r="H9349" s="902">
        <v>960</v>
      </c>
      <c r="I9349" s="904" t="s">
        <v>2596</v>
      </c>
      <c r="J9349" s="904"/>
      <c r="K9349" s="904"/>
      <c r="L9349" s="904"/>
      <c r="M9349" s="904"/>
      <c r="N9349" s="904"/>
      <c r="O9349" s="902">
        <v>4</v>
      </c>
      <c r="P9349" s="906">
        <v>38274</v>
      </c>
      <c r="Q9349" s="1415">
        <f>37.5*0.873</f>
        <v>32.737499999999997</v>
      </c>
      <c r="R9349" s="908">
        <f>$A9349*Q9349</f>
        <v>32.737499999999997</v>
      </c>
      <c r="S9349" s="907"/>
      <c r="T9349" s="909">
        <f>$A9349*S9349*$T$1</f>
        <v>0</v>
      </c>
      <c r="AR9349" s="903">
        <v>1</v>
      </c>
      <c r="AS9349" s="904" t="s">
        <v>3507</v>
      </c>
    </row>
    <row r="9350" spans="1:45" s="520" customFormat="1" ht="12">
      <c r="A9350" s="758"/>
      <c r="B9350" s="758"/>
      <c r="C9350" s="758"/>
      <c r="D9350" s="758"/>
      <c r="E9350" s="758"/>
      <c r="F9350" s="753"/>
      <c r="G9350" s="758"/>
      <c r="H9350" s="758"/>
      <c r="I9350" s="519"/>
      <c r="J9350" s="758"/>
      <c r="K9350" s="758"/>
      <c r="L9350" s="758"/>
      <c r="M9350" s="758"/>
      <c r="N9350" s="758"/>
      <c r="O9350" s="758"/>
      <c r="P9350" s="758"/>
      <c r="Q9350" s="519"/>
      <c r="R9350" s="759">
        <f>$A9350*Q9350</f>
        <v>0</v>
      </c>
      <c r="S9350" s="519"/>
      <c r="T9350" s="760">
        <f>$A9350*S9350*$T$1</f>
        <v>0</v>
      </c>
      <c r="AR9350" s="758"/>
      <c r="AS9350" s="753"/>
    </row>
    <row r="9351" spans="1:45" s="520" customFormat="1" ht="12.6" thickBot="1">
      <c r="A9351" s="761" t="s">
        <v>145</v>
      </c>
      <c r="B9351" s="762">
        <f>(R9350+T9350)</f>
        <v>0</v>
      </c>
      <c r="C9351" s="763"/>
      <c r="D9351" s="763"/>
      <c r="E9351" s="763"/>
      <c r="F9351" s="764"/>
      <c r="G9351" s="763" t="s">
        <v>146</v>
      </c>
      <c r="H9351" s="763"/>
      <c r="I9351" s="765"/>
      <c r="J9351" s="763"/>
      <c r="K9351" s="763" t="s">
        <v>5</v>
      </c>
      <c r="L9351" s="766" t="s">
        <v>143</v>
      </c>
      <c r="M9351" s="766"/>
      <c r="N9351" s="766"/>
      <c r="O9351" s="766"/>
      <c r="P9351" s="766"/>
      <c r="Q9351" s="767"/>
      <c r="R9351" s="768">
        <f>SUM(R9348:R9350)</f>
        <v>32.737499999999997</v>
      </c>
      <c r="S9351" s="763"/>
      <c r="T9351" s="768">
        <f>SUM(T9348:T9350)</f>
        <v>0</v>
      </c>
      <c r="U9351" s="531"/>
      <c r="V9351" s="531"/>
      <c r="W9351" s="531"/>
      <c r="X9351" s="531"/>
      <c r="Y9351" s="531"/>
      <c r="Z9351" s="531"/>
      <c r="AA9351" s="531"/>
      <c r="AB9351" s="531"/>
      <c r="AC9351" s="531"/>
      <c r="AD9351" s="531"/>
      <c r="AE9351" s="531"/>
      <c r="AF9351" s="531"/>
      <c r="AG9351" s="531"/>
      <c r="AH9351" s="531"/>
      <c r="AI9351" s="531"/>
      <c r="AJ9351" s="531"/>
      <c r="AK9351" s="531"/>
      <c r="AL9351" s="531"/>
      <c r="AM9351" s="531"/>
      <c r="AN9351" s="531"/>
      <c r="AO9351" s="531"/>
      <c r="AR9351" s="761" t="s">
        <v>145</v>
      </c>
      <c r="AS9351" s="764"/>
    </row>
    <row r="9352" spans="1:45" s="520" customFormat="1" thickTop="1">
      <c r="A9352" s="51"/>
      <c r="B9352" s="51"/>
      <c r="C9352" s="3"/>
      <c r="D9352" s="3"/>
      <c r="E9352" s="51"/>
      <c r="F9352" s="51"/>
      <c r="G9352" s="51"/>
      <c r="H9352" s="51"/>
      <c r="I9352" s="51"/>
      <c r="J9352" s="51"/>
      <c r="K9352" s="51" t="s">
        <v>134</v>
      </c>
      <c r="L9352" s="51"/>
      <c r="M9352" s="51"/>
      <c r="N9352" s="51"/>
      <c r="O9352" s="52"/>
      <c r="P9352" s="51"/>
      <c r="Q9352" s="51"/>
      <c r="R9352" s="51"/>
      <c r="S9352" s="51"/>
      <c r="T9352" s="51"/>
      <c r="AR9352" s="51"/>
      <c r="AS9352" s="51"/>
    </row>
    <row r="9353" spans="1:45" s="520" customFormat="1" ht="12">
      <c r="A9353" s="51"/>
      <c r="B9353" s="51"/>
      <c r="C9353" s="51" t="s">
        <v>135</v>
      </c>
      <c r="D9353" s="37"/>
      <c r="E9353" s="51"/>
      <c r="F9353" s="51"/>
      <c r="G9353" s="51"/>
      <c r="H9353" s="51"/>
      <c r="I9353" s="51"/>
      <c r="J9353" s="51"/>
      <c r="K9353" s="51"/>
      <c r="L9353" s="51"/>
      <c r="M9353" s="51"/>
      <c r="N9353" s="51"/>
      <c r="O9353" s="52"/>
      <c r="P9353" s="51"/>
      <c r="Q9353" s="51"/>
      <c r="R9353" s="51"/>
      <c r="S9353" s="51"/>
      <c r="T9353" s="51"/>
      <c r="AR9353" s="51"/>
      <c r="AS9353" s="51"/>
    </row>
    <row r="9354" spans="1:45" s="520" customFormat="1" ht="12">
      <c r="A9354" s="51"/>
      <c r="B9354" s="51"/>
      <c r="C9354" s="51"/>
      <c r="D9354" s="37" t="s">
        <v>2070</v>
      </c>
      <c r="E9354" s="51"/>
      <c r="F9354" s="51"/>
      <c r="G9354" s="51"/>
      <c r="H9354" s="51"/>
      <c r="I9354" s="51"/>
      <c r="J9354" s="51"/>
      <c r="K9354" s="51"/>
      <c r="L9354" s="51"/>
      <c r="M9354" s="51"/>
      <c r="N9354" s="51"/>
      <c r="O9354" s="52"/>
      <c r="P9354" s="51"/>
      <c r="Q9354" s="51"/>
      <c r="R9354" s="51"/>
      <c r="S9354" s="38"/>
      <c r="T9354" s="38"/>
      <c r="AR9354" s="51"/>
      <c r="AS9354" s="51"/>
    </row>
    <row r="9355" spans="1:45" s="3" customFormat="1" thickBot="1">
      <c r="A9355" s="531"/>
      <c r="O9355" s="107"/>
      <c r="AR9355" s="531"/>
    </row>
    <row r="9356" spans="1:45" s="520" customFormat="1" ht="12" thickTop="1">
      <c r="A9356" s="51"/>
      <c r="B9356" s="41"/>
      <c r="C9356" s="51"/>
      <c r="E9356" s="42" t="s">
        <v>138</v>
      </c>
      <c r="F9356" s="42" t="s">
        <v>139</v>
      </c>
      <c r="G9356" s="51"/>
      <c r="H9356" s="51"/>
      <c r="I9356" s="51"/>
      <c r="J9356" s="51"/>
      <c r="K9356" s="51" t="s">
        <v>140</v>
      </c>
      <c r="L9356" s="51"/>
      <c r="M9356" s="51"/>
      <c r="N9356" s="51"/>
      <c r="O9356" s="52"/>
      <c r="P9356" s="51"/>
      <c r="Q9356" s="51"/>
      <c r="R9356" s="51"/>
      <c r="S9356" s="51"/>
      <c r="T9356" s="41"/>
      <c r="AG9356" s="521" t="s">
        <v>268</v>
      </c>
      <c r="AH9356" s="521" t="s">
        <v>269</v>
      </c>
      <c r="AI9356" s="521" t="s">
        <v>270</v>
      </c>
      <c r="AJ9356" s="521" t="s">
        <v>271</v>
      </c>
      <c r="AK9356" s="521" t="s">
        <v>272</v>
      </c>
      <c r="AM9356" s="745" t="s">
        <v>281</v>
      </c>
      <c r="AN9356" s="746" t="s">
        <v>282</v>
      </c>
      <c r="AO9356" s="522" t="s">
        <v>278</v>
      </c>
      <c r="AR9356" s="51"/>
      <c r="AS9356" s="42" t="s">
        <v>139</v>
      </c>
    </row>
    <row r="9357" spans="1:45" s="520" customFormat="1" ht="12" customHeight="1">
      <c r="A9357" s="747">
        <v>29</v>
      </c>
      <c r="B9357" s="523" t="s">
        <v>141</v>
      </c>
      <c r="C9357" s="748"/>
      <c r="D9357" s="749" t="s">
        <v>2441</v>
      </c>
      <c r="E9357" s="1145">
        <f>IF(AND($A9357=0,$A$1="DIF"),0, ROUND(ROUND(($R9361*$S$3+($T9361*$T$3))/$A9357,2)*$C$3,2))</f>
        <v>52.23</v>
      </c>
      <c r="F9357" s="1146">
        <f>ROUND($A9357*$E9357,2)</f>
        <v>1514.67</v>
      </c>
      <c r="G9357" s="752" t="s">
        <v>142</v>
      </c>
      <c r="H9357" s="753"/>
      <c r="I9357" s="754"/>
      <c r="J9357" s="753"/>
      <c r="K9357" s="753" t="s">
        <v>5</v>
      </c>
      <c r="L9357" s="755" t="s">
        <v>143</v>
      </c>
      <c r="M9357" s="755"/>
      <c r="N9357" s="755"/>
      <c r="O9357" s="755"/>
      <c r="P9357" s="755"/>
      <c r="Q9357" s="51"/>
      <c r="T9357" s="1150" t="str">
        <f>IF(AND($R9361=0,$T9361=0),"0.00","mu: "&amp; ROUND(F9357/$C$3/($R9361+$T9361*$D$9),2))</f>
        <v>mu: 1.13</v>
      </c>
      <c r="W9357" s="524"/>
      <c r="AG9357" s="1147">
        <f>IF($E9357=0,0,ROUND($R9361*$S$3*$C$3/$A9357,2))</f>
        <v>52.23</v>
      </c>
      <c r="AH9357" s="1147">
        <f>$AG9357*$A9357</f>
        <v>1514.6699999999998</v>
      </c>
      <c r="AI9357" s="1148">
        <f>$E9357-$AG9357</f>
        <v>0</v>
      </c>
      <c r="AJ9357" s="1148">
        <f>$A9357*$AI9357</f>
        <v>0</v>
      </c>
      <c r="AK9357" s="1149">
        <f>ROUND(($AG9357+$AI9357)*$A9357,2)</f>
        <v>1514.67</v>
      </c>
      <c r="AM9357" s="527">
        <f>ROUND(R9361,2)</f>
        <v>1341.8</v>
      </c>
      <c r="AN9357" s="528">
        <f>ROUND(T9361,2)</f>
        <v>0</v>
      </c>
      <c r="AO9357" s="529">
        <f>ROUND(AM9357+AN9357,2)*A9357</f>
        <v>38912.199999999997</v>
      </c>
      <c r="AR9357" s="747">
        <v>29</v>
      </c>
      <c r="AS9357" s="1146">
        <v>1648.07</v>
      </c>
    </row>
    <row r="9358" spans="1:45" s="520" customFormat="1" ht="13.2">
      <c r="A9358" s="748"/>
      <c r="B9358"/>
      <c r="C9358" s="748"/>
      <c r="D9358" s="749" t="s">
        <v>2061</v>
      </c>
      <c r="F9358" s="753"/>
      <c r="G9358" s="3"/>
      <c r="H9358" s="753"/>
      <c r="I9358" s="754"/>
      <c r="J9358" s="753"/>
      <c r="K9358" s="753" t="s">
        <v>144</v>
      </c>
      <c r="L9358" s="753"/>
      <c r="M9358" s="753"/>
      <c r="N9358" s="753"/>
      <c r="O9358" s="753"/>
      <c r="P9358" s="753"/>
      <c r="Q9358" s="51"/>
      <c r="R9358" s="530"/>
      <c r="S9358" s="757"/>
      <c r="T9358" s="753"/>
      <c r="AR9358" s="748"/>
      <c r="AS9358" s="753"/>
    </row>
    <row r="9359" spans="1:45" s="901" customFormat="1" ht="13.2">
      <c r="A9359" s="903">
        <v>29</v>
      </c>
      <c r="B9359" s="904" t="s">
        <v>863</v>
      </c>
      <c r="C9359" s="904"/>
      <c r="D9359" s="904" t="s">
        <v>2594</v>
      </c>
      <c r="E9359" s="904"/>
      <c r="F9359" s="904" t="s">
        <v>4128</v>
      </c>
      <c r="G9359" s="905" t="s">
        <v>2595</v>
      </c>
      <c r="H9359" s="902">
        <v>960</v>
      </c>
      <c r="I9359" s="904" t="s">
        <v>2596</v>
      </c>
      <c r="J9359" s="904"/>
      <c r="K9359" s="904"/>
      <c r="L9359" s="904"/>
      <c r="M9359" s="904"/>
      <c r="N9359" s="904"/>
      <c r="O9359" s="902">
        <v>4</v>
      </c>
      <c r="P9359" s="906">
        <v>38274</v>
      </c>
      <c r="Q9359" s="1415">
        <f>53*0.873</f>
        <v>46.268999999999998</v>
      </c>
      <c r="R9359" s="908">
        <f>$A9359*Q9359</f>
        <v>1341.8009999999999</v>
      </c>
      <c r="S9359" s="907"/>
      <c r="T9359" s="909">
        <f>$A9359*S9359*$T$1</f>
        <v>0</v>
      </c>
      <c r="AR9359" s="903">
        <v>29</v>
      </c>
      <c r="AS9359" s="904" t="s">
        <v>3507</v>
      </c>
    </row>
    <row r="9360" spans="1:45" s="520" customFormat="1" ht="12">
      <c r="A9360" s="758"/>
      <c r="B9360" s="758"/>
      <c r="C9360" s="758"/>
      <c r="D9360" s="758"/>
      <c r="E9360" s="758"/>
      <c r="F9360" s="753"/>
      <c r="G9360" s="758"/>
      <c r="H9360" s="758"/>
      <c r="I9360" s="519"/>
      <c r="J9360" s="758"/>
      <c r="K9360" s="758"/>
      <c r="L9360" s="758"/>
      <c r="M9360" s="758"/>
      <c r="N9360" s="758"/>
      <c r="O9360" s="758"/>
      <c r="P9360" s="758"/>
      <c r="Q9360" s="519"/>
      <c r="R9360" s="759">
        <f>$A9360*Q9360</f>
        <v>0</v>
      </c>
      <c r="S9360" s="519"/>
      <c r="T9360" s="760">
        <f>$A9360*S9360*$T$1</f>
        <v>0</v>
      </c>
      <c r="AR9360" s="758"/>
      <c r="AS9360" s="753"/>
    </row>
    <row r="9361" spans="1:45" s="520" customFormat="1" ht="12.6" thickBot="1">
      <c r="A9361" s="761" t="s">
        <v>145</v>
      </c>
      <c r="B9361" s="762">
        <f>(R9360+T9360)</f>
        <v>0</v>
      </c>
      <c r="C9361" s="763"/>
      <c r="D9361" s="763"/>
      <c r="E9361" s="763"/>
      <c r="F9361" s="764"/>
      <c r="G9361" s="763" t="s">
        <v>146</v>
      </c>
      <c r="H9361" s="763"/>
      <c r="I9361" s="765"/>
      <c r="J9361" s="763"/>
      <c r="K9361" s="763" t="s">
        <v>5</v>
      </c>
      <c r="L9361" s="766" t="s">
        <v>143</v>
      </c>
      <c r="M9361" s="766"/>
      <c r="N9361" s="766"/>
      <c r="O9361" s="766"/>
      <c r="P9361" s="766"/>
      <c r="Q9361" s="767"/>
      <c r="R9361" s="768">
        <f>SUM(R9358:R9360)</f>
        <v>1341.8009999999999</v>
      </c>
      <c r="S9361" s="763"/>
      <c r="T9361" s="768">
        <f>SUM(T9358:T9360)</f>
        <v>0</v>
      </c>
      <c r="U9361" s="531"/>
      <c r="V9361" s="531"/>
      <c r="W9361" s="531"/>
      <c r="X9361" s="531"/>
      <c r="Y9361" s="531"/>
      <c r="Z9361" s="531"/>
      <c r="AA9361" s="531"/>
      <c r="AB9361" s="531"/>
      <c r="AC9361" s="531"/>
      <c r="AD9361" s="531"/>
      <c r="AE9361" s="531"/>
      <c r="AF9361" s="531"/>
      <c r="AG9361" s="531"/>
      <c r="AH9361" s="531"/>
      <c r="AI9361" s="531"/>
      <c r="AJ9361" s="531"/>
      <c r="AK9361" s="531"/>
      <c r="AL9361" s="531"/>
      <c r="AM9361" s="531"/>
      <c r="AN9361" s="531"/>
      <c r="AO9361" s="531"/>
      <c r="AR9361" s="761" t="s">
        <v>145</v>
      </c>
      <c r="AS9361" s="764"/>
    </row>
    <row r="9362" spans="1:45" s="520" customFormat="1" ht="12" thickTop="1">
      <c r="A9362" s="51"/>
      <c r="B9362" s="41"/>
      <c r="C9362" s="51"/>
      <c r="E9362" s="42" t="s">
        <v>138</v>
      </c>
      <c r="F9362" s="42" t="s">
        <v>139</v>
      </c>
      <c r="G9362" s="51"/>
      <c r="H9362" s="51"/>
      <c r="I9362" s="51"/>
      <c r="J9362" s="51"/>
      <c r="K9362" s="51" t="s">
        <v>140</v>
      </c>
      <c r="L9362" s="51"/>
      <c r="M9362" s="51"/>
      <c r="N9362" s="51"/>
      <c r="O9362" s="52"/>
      <c r="P9362" s="51"/>
      <c r="Q9362" s="51"/>
      <c r="R9362" s="51"/>
      <c r="S9362" s="51"/>
      <c r="T9362" s="41"/>
      <c r="AG9362" s="521" t="s">
        <v>268</v>
      </c>
      <c r="AH9362" s="521" t="s">
        <v>269</v>
      </c>
      <c r="AI9362" s="521" t="s">
        <v>270</v>
      </c>
      <c r="AJ9362" s="521" t="s">
        <v>271</v>
      </c>
      <c r="AK9362" s="521" t="s">
        <v>272</v>
      </c>
      <c r="AM9362" s="745" t="s">
        <v>281</v>
      </c>
      <c r="AN9362" s="746" t="s">
        <v>282</v>
      </c>
      <c r="AO9362" s="522" t="s">
        <v>278</v>
      </c>
      <c r="AR9362" s="51"/>
      <c r="AS9362" s="42" t="s">
        <v>139</v>
      </c>
    </row>
    <row r="9363" spans="1:45" s="520" customFormat="1" ht="12" customHeight="1">
      <c r="A9363" s="747">
        <v>4</v>
      </c>
      <c r="B9363" s="523" t="s">
        <v>141</v>
      </c>
      <c r="C9363" s="748"/>
      <c r="D9363" s="749" t="s">
        <v>2442</v>
      </c>
      <c r="E9363" s="1145">
        <f>IF(AND($A9363=0,$A$1="DIF"),0, ROUND(ROUND(($R9367*$S$3+($T9367*$T$3))/$A9363,2)*$C$3,2))</f>
        <v>93.61</v>
      </c>
      <c r="F9363" s="1146">
        <f>ROUND($A9363*$E9363,2)</f>
        <v>374.44</v>
      </c>
      <c r="G9363" s="752" t="s">
        <v>142</v>
      </c>
      <c r="H9363" s="753"/>
      <c r="I9363" s="754"/>
      <c r="J9363" s="753"/>
      <c r="K9363" s="753" t="s">
        <v>5</v>
      </c>
      <c r="L9363" s="755" t="s">
        <v>143</v>
      </c>
      <c r="M9363" s="755"/>
      <c r="N9363" s="755"/>
      <c r="O9363" s="755"/>
      <c r="P9363" s="755"/>
      <c r="Q9363" s="51"/>
      <c r="T9363" s="1150" t="str">
        <f>IF(AND($R9367=0,$T9367=0),"0.00","mu: "&amp; ROUND(F9363/$C$3/($R9367+$T9367*$D$9),2))</f>
        <v>mu: 1.13</v>
      </c>
      <c r="W9363" s="524"/>
      <c r="AG9363" s="1147">
        <f>IF($E9363=0,0,ROUND($R9367*$S$3*$C$3/$A9363,2))</f>
        <v>93.61</v>
      </c>
      <c r="AH9363" s="1147">
        <f>$AG9363*$A9363</f>
        <v>374.44</v>
      </c>
      <c r="AI9363" s="1148">
        <f>$E9363-$AG9363</f>
        <v>0</v>
      </c>
      <c r="AJ9363" s="1148">
        <f>$A9363*$AI9363</f>
        <v>0</v>
      </c>
      <c r="AK9363" s="1149">
        <f>ROUND(($AG9363+$AI9363)*$A9363,2)</f>
        <v>374.44</v>
      </c>
      <c r="AM9363" s="527">
        <f>ROUND(R9367,2)</f>
        <v>331.74</v>
      </c>
      <c r="AN9363" s="528">
        <f>ROUND(T9367,2)</f>
        <v>0</v>
      </c>
      <c r="AO9363" s="529">
        <f>ROUND(AM9363+AN9363,2)*A9363</f>
        <v>1326.96</v>
      </c>
      <c r="AR9363" s="747">
        <v>4</v>
      </c>
      <c r="AS9363" s="1146">
        <v>407.48</v>
      </c>
    </row>
    <row r="9364" spans="1:45" s="520" customFormat="1" ht="13.2">
      <c r="A9364" s="748"/>
      <c r="B9364"/>
      <c r="C9364" s="748"/>
      <c r="D9364" s="749" t="s">
        <v>2062</v>
      </c>
      <c r="F9364" s="753"/>
      <c r="G9364" s="3"/>
      <c r="H9364" s="753"/>
      <c r="I9364" s="754"/>
      <c r="J9364" s="753"/>
      <c r="K9364" s="753" t="s">
        <v>144</v>
      </c>
      <c r="L9364" s="753"/>
      <c r="M9364" s="753"/>
      <c r="N9364" s="753"/>
      <c r="O9364" s="753"/>
      <c r="P9364" s="753"/>
      <c r="Q9364" s="51"/>
      <c r="R9364" s="530"/>
      <c r="S9364" s="757"/>
      <c r="T9364" s="753"/>
      <c r="AR9364" s="748"/>
      <c r="AS9364" s="753"/>
    </row>
    <row r="9365" spans="1:45" s="901" customFormat="1" ht="13.2">
      <c r="A9365" s="903">
        <v>4</v>
      </c>
      <c r="B9365" s="904" t="s">
        <v>863</v>
      </c>
      <c r="C9365" s="904"/>
      <c r="D9365" s="904" t="s">
        <v>2594</v>
      </c>
      <c r="E9365" s="904"/>
      <c r="F9365" s="904" t="s">
        <v>4128</v>
      </c>
      <c r="G9365" s="905" t="s">
        <v>2595</v>
      </c>
      <c r="H9365" s="902">
        <v>960</v>
      </c>
      <c r="I9365" s="904" t="s">
        <v>2596</v>
      </c>
      <c r="J9365" s="904"/>
      <c r="K9365" s="904"/>
      <c r="L9365" s="904"/>
      <c r="M9365" s="904"/>
      <c r="N9365" s="904"/>
      <c r="O9365" s="902">
        <v>4</v>
      </c>
      <c r="P9365" s="906">
        <v>38274</v>
      </c>
      <c r="Q9365" s="1415">
        <f>95*0.873</f>
        <v>82.935000000000002</v>
      </c>
      <c r="R9365" s="908">
        <f>$A9365*Q9365</f>
        <v>331.74</v>
      </c>
      <c r="S9365" s="907"/>
      <c r="T9365" s="909">
        <f>$A9365*S9365*$T$1</f>
        <v>0</v>
      </c>
      <c r="AR9365" s="903">
        <v>4</v>
      </c>
      <c r="AS9365" s="904" t="s">
        <v>3507</v>
      </c>
    </row>
    <row r="9366" spans="1:45" s="520" customFormat="1" ht="12">
      <c r="A9366" s="758"/>
      <c r="B9366" s="758"/>
      <c r="C9366" s="758"/>
      <c r="D9366" s="758"/>
      <c r="E9366" s="758"/>
      <c r="F9366" s="753"/>
      <c r="G9366" s="758"/>
      <c r="H9366" s="758"/>
      <c r="I9366" s="519"/>
      <c r="J9366" s="758"/>
      <c r="K9366" s="758"/>
      <c r="L9366" s="758"/>
      <c r="M9366" s="758"/>
      <c r="N9366" s="758"/>
      <c r="O9366" s="758"/>
      <c r="P9366" s="758"/>
      <c r="Q9366" s="519"/>
      <c r="R9366" s="759">
        <f>$A9366*Q9366</f>
        <v>0</v>
      </c>
      <c r="S9366" s="519"/>
      <c r="T9366" s="760">
        <f>$A9366*S9366*$T$1</f>
        <v>0</v>
      </c>
      <c r="AR9366" s="758"/>
      <c r="AS9366" s="753"/>
    </row>
    <row r="9367" spans="1:45" s="520" customFormat="1" ht="12.6" thickBot="1">
      <c r="A9367" s="761" t="s">
        <v>145</v>
      </c>
      <c r="B9367" s="762">
        <f>(R9366+T9366)</f>
        <v>0</v>
      </c>
      <c r="C9367" s="763"/>
      <c r="D9367" s="763"/>
      <c r="E9367" s="763"/>
      <c r="F9367" s="764"/>
      <c r="G9367" s="763" t="s">
        <v>146</v>
      </c>
      <c r="H9367" s="763"/>
      <c r="I9367" s="765"/>
      <c r="J9367" s="763"/>
      <c r="K9367" s="763" t="s">
        <v>5</v>
      </c>
      <c r="L9367" s="766" t="s">
        <v>143</v>
      </c>
      <c r="M9367" s="766"/>
      <c r="N9367" s="766"/>
      <c r="O9367" s="766"/>
      <c r="P9367" s="766"/>
      <c r="Q9367" s="767"/>
      <c r="R9367" s="768">
        <f>SUM(R9364:R9366)</f>
        <v>331.74</v>
      </c>
      <c r="S9367" s="763"/>
      <c r="T9367" s="768">
        <f>SUM(T9364:T9366)</f>
        <v>0</v>
      </c>
      <c r="U9367" s="531"/>
      <c r="V9367" s="531"/>
      <c r="W9367" s="531"/>
      <c r="X9367" s="531"/>
      <c r="Y9367" s="531"/>
      <c r="Z9367" s="531"/>
      <c r="AA9367" s="531"/>
      <c r="AB9367" s="531"/>
      <c r="AC9367" s="531"/>
      <c r="AD9367" s="531"/>
      <c r="AE9367" s="531"/>
      <c r="AF9367" s="531"/>
      <c r="AG9367" s="531"/>
      <c r="AH9367" s="531"/>
      <c r="AI9367" s="531"/>
      <c r="AJ9367" s="531"/>
      <c r="AK9367" s="531"/>
      <c r="AL9367" s="531"/>
      <c r="AM9367" s="531"/>
      <c r="AN9367" s="531"/>
      <c r="AO9367" s="531"/>
      <c r="AR9367" s="761" t="s">
        <v>145</v>
      </c>
      <c r="AS9367" s="764"/>
    </row>
    <row r="9368" spans="1:45" s="520" customFormat="1" ht="12" thickTop="1">
      <c r="A9368" s="51"/>
      <c r="B9368" s="41"/>
      <c r="C9368" s="51"/>
      <c r="E9368" s="42" t="s">
        <v>138</v>
      </c>
      <c r="F9368" s="42" t="s">
        <v>139</v>
      </c>
      <c r="G9368" s="51"/>
      <c r="H9368" s="51"/>
      <c r="I9368" s="51"/>
      <c r="J9368" s="51"/>
      <c r="K9368" s="51" t="s">
        <v>140</v>
      </c>
      <c r="L9368" s="51"/>
      <c r="M9368" s="51"/>
      <c r="N9368" s="51"/>
      <c r="O9368" s="52"/>
      <c r="P9368" s="51"/>
      <c r="Q9368" s="51"/>
      <c r="R9368" s="51"/>
      <c r="S9368" s="51"/>
      <c r="T9368" s="41"/>
      <c r="AG9368" s="521" t="s">
        <v>268</v>
      </c>
      <c r="AH9368" s="521" t="s">
        <v>269</v>
      </c>
      <c r="AI9368" s="521" t="s">
        <v>270</v>
      </c>
      <c r="AJ9368" s="521" t="s">
        <v>271</v>
      </c>
      <c r="AK9368" s="521" t="s">
        <v>272</v>
      </c>
      <c r="AM9368" s="745" t="s">
        <v>281</v>
      </c>
      <c r="AN9368" s="746" t="s">
        <v>282</v>
      </c>
      <c r="AO9368" s="522" t="s">
        <v>278</v>
      </c>
      <c r="AR9368" s="51"/>
      <c r="AS9368" s="42" t="s">
        <v>139</v>
      </c>
    </row>
    <row r="9369" spans="1:45" s="520" customFormat="1" ht="12" customHeight="1">
      <c r="A9369" s="747">
        <v>2</v>
      </c>
      <c r="B9369" s="523" t="s">
        <v>141</v>
      </c>
      <c r="C9369" s="748"/>
      <c r="D9369" s="749" t="s">
        <v>2443</v>
      </c>
      <c r="E9369" s="1145">
        <f>IF(AND($A9369=0,$A$1="DIF"),0, ROUND(ROUND(($R9373*$S$3+($T9373*$T$3))/$A9369,2)*$C$3,2))</f>
        <v>51.24</v>
      </c>
      <c r="F9369" s="1146">
        <f>ROUND($A9369*$E9369,2)</f>
        <v>102.48</v>
      </c>
      <c r="G9369" s="752" t="s">
        <v>142</v>
      </c>
      <c r="H9369" s="753"/>
      <c r="I9369" s="754"/>
      <c r="J9369" s="753"/>
      <c r="K9369" s="753" t="s">
        <v>5</v>
      </c>
      <c r="L9369" s="755" t="s">
        <v>143</v>
      </c>
      <c r="M9369" s="755"/>
      <c r="N9369" s="755"/>
      <c r="O9369" s="755"/>
      <c r="P9369" s="755"/>
      <c r="Q9369" s="51"/>
      <c r="T9369" s="1150" t="str">
        <f>IF(AND($R9373=0,$T9373=0),"0.00","mu: "&amp; ROUND(F9369/$C$3/($R9373+$T9373*$D$9),2))</f>
        <v>mu: 1.13</v>
      </c>
      <c r="W9369" s="524"/>
      <c r="AG9369" s="1147">
        <f>IF($E9369=0,0,ROUND($R9373*$S$3*$C$3/$A9369,2))</f>
        <v>51.24</v>
      </c>
      <c r="AH9369" s="1147">
        <f>$AG9369*$A9369</f>
        <v>102.48</v>
      </c>
      <c r="AI9369" s="1148">
        <f>$E9369-$AG9369</f>
        <v>0</v>
      </c>
      <c r="AJ9369" s="1148">
        <f>$A9369*$AI9369</f>
        <v>0</v>
      </c>
      <c r="AK9369" s="1149">
        <f>ROUND(($AG9369+$AI9369)*$A9369,2)</f>
        <v>102.48</v>
      </c>
      <c r="AM9369" s="527">
        <f>ROUND(R9373,2)</f>
        <v>90.79</v>
      </c>
      <c r="AN9369" s="528">
        <f>ROUND(T9373,2)</f>
        <v>0</v>
      </c>
      <c r="AO9369" s="529">
        <f>ROUND(AM9369+AN9369,2)*A9369</f>
        <v>181.58</v>
      </c>
      <c r="AR9369" s="747">
        <v>2</v>
      </c>
      <c r="AS9369" s="1146">
        <v>111.52</v>
      </c>
    </row>
    <row r="9370" spans="1:45" s="520" customFormat="1" ht="13.2">
      <c r="A9370" s="748"/>
      <c r="B9370"/>
      <c r="C9370" s="748"/>
      <c r="D9370" s="749" t="s">
        <v>2063</v>
      </c>
      <c r="F9370" s="753"/>
      <c r="G9370" s="3"/>
      <c r="H9370" s="753"/>
      <c r="I9370" s="754"/>
      <c r="J9370" s="753"/>
      <c r="K9370" s="753" t="s">
        <v>144</v>
      </c>
      <c r="L9370" s="753"/>
      <c r="M9370" s="753"/>
      <c r="N9370" s="753"/>
      <c r="O9370" s="753"/>
      <c r="P9370" s="753"/>
      <c r="Q9370" s="51"/>
      <c r="R9370" s="530"/>
      <c r="S9370" s="757"/>
      <c r="T9370" s="753"/>
      <c r="AR9370" s="748"/>
      <c r="AS9370" s="753"/>
    </row>
    <row r="9371" spans="1:45" s="901" customFormat="1" ht="13.2">
      <c r="A9371" s="903">
        <v>2</v>
      </c>
      <c r="B9371" s="904" t="s">
        <v>863</v>
      </c>
      <c r="C9371" s="904"/>
      <c r="D9371" s="904" t="s">
        <v>2594</v>
      </c>
      <c r="E9371" s="904"/>
      <c r="F9371" s="904" t="s">
        <v>4128</v>
      </c>
      <c r="G9371" s="905" t="s">
        <v>2595</v>
      </c>
      <c r="H9371" s="902">
        <v>960</v>
      </c>
      <c r="I9371" s="904" t="s">
        <v>2596</v>
      </c>
      <c r="J9371" s="904"/>
      <c r="K9371" s="904"/>
      <c r="L9371" s="904"/>
      <c r="M9371" s="904"/>
      <c r="N9371" s="904"/>
      <c r="O9371" s="902">
        <v>4</v>
      </c>
      <c r="P9371" s="906">
        <v>38274</v>
      </c>
      <c r="Q9371" s="1415">
        <f>52*0.873</f>
        <v>45.396000000000001</v>
      </c>
      <c r="R9371" s="908">
        <f>$A9371*Q9371</f>
        <v>90.792000000000002</v>
      </c>
      <c r="S9371" s="907"/>
      <c r="T9371" s="909">
        <f>$A9371*S9371*$T$1</f>
        <v>0</v>
      </c>
      <c r="AR9371" s="903">
        <v>2</v>
      </c>
      <c r="AS9371" s="904" t="s">
        <v>3507</v>
      </c>
    </row>
    <row r="9372" spans="1:45" s="520" customFormat="1" ht="12">
      <c r="A9372" s="758"/>
      <c r="B9372" s="758"/>
      <c r="C9372" s="758"/>
      <c r="D9372" s="758"/>
      <c r="E9372" s="758"/>
      <c r="F9372" s="753"/>
      <c r="G9372" s="758"/>
      <c r="H9372" s="758"/>
      <c r="I9372" s="519"/>
      <c r="J9372" s="758"/>
      <c r="K9372" s="758"/>
      <c r="L9372" s="758"/>
      <c r="M9372" s="758"/>
      <c r="N9372" s="758"/>
      <c r="O9372" s="758"/>
      <c r="P9372" s="758"/>
      <c r="Q9372" s="519"/>
      <c r="R9372" s="759">
        <f>$A9372*Q9372</f>
        <v>0</v>
      </c>
      <c r="S9372" s="519"/>
      <c r="T9372" s="760">
        <f>$A9372*S9372*$T$1</f>
        <v>0</v>
      </c>
      <c r="AR9372" s="758"/>
      <c r="AS9372" s="753"/>
    </row>
    <row r="9373" spans="1:45" s="520" customFormat="1" ht="12.6" thickBot="1">
      <c r="A9373" s="761" t="s">
        <v>145</v>
      </c>
      <c r="B9373" s="762">
        <f>(R9372+T9372)</f>
        <v>0</v>
      </c>
      <c r="C9373" s="763"/>
      <c r="D9373" s="763"/>
      <c r="E9373" s="763"/>
      <c r="F9373" s="764"/>
      <c r="G9373" s="763" t="s">
        <v>146</v>
      </c>
      <c r="H9373" s="763"/>
      <c r="I9373" s="765"/>
      <c r="J9373" s="763"/>
      <c r="K9373" s="763" t="s">
        <v>5</v>
      </c>
      <c r="L9373" s="766" t="s">
        <v>143</v>
      </c>
      <c r="M9373" s="766"/>
      <c r="N9373" s="766"/>
      <c r="O9373" s="766"/>
      <c r="P9373" s="766"/>
      <c r="Q9373" s="767"/>
      <c r="R9373" s="768">
        <f>SUM(R9370:R9372)</f>
        <v>90.792000000000002</v>
      </c>
      <c r="S9373" s="763"/>
      <c r="T9373" s="768">
        <f>SUM(T9370:T9372)</f>
        <v>0</v>
      </c>
      <c r="U9373" s="531"/>
      <c r="V9373" s="531"/>
      <c r="W9373" s="531"/>
      <c r="X9373" s="531"/>
      <c r="Y9373" s="531"/>
      <c r="Z9373" s="531"/>
      <c r="AA9373" s="531"/>
      <c r="AB9373" s="531"/>
      <c r="AC9373" s="531"/>
      <c r="AD9373" s="531"/>
      <c r="AE9373" s="531"/>
      <c r="AF9373" s="531"/>
      <c r="AG9373" s="531"/>
      <c r="AH9373" s="531"/>
      <c r="AI9373" s="531"/>
      <c r="AJ9373" s="531"/>
      <c r="AK9373" s="531"/>
      <c r="AL9373" s="531"/>
      <c r="AM9373" s="531"/>
      <c r="AN9373" s="531"/>
      <c r="AO9373" s="531"/>
      <c r="AR9373" s="761" t="s">
        <v>145</v>
      </c>
      <c r="AS9373" s="764"/>
    </row>
    <row r="9374" spans="1:45" s="520" customFormat="1" ht="12" thickTop="1">
      <c r="A9374" s="51"/>
      <c r="B9374" s="41"/>
      <c r="C9374" s="51"/>
      <c r="E9374" s="42" t="s">
        <v>138</v>
      </c>
      <c r="F9374" s="42" t="s">
        <v>139</v>
      </c>
      <c r="G9374" s="51"/>
      <c r="H9374" s="51"/>
      <c r="I9374" s="51"/>
      <c r="J9374" s="51"/>
      <c r="K9374" s="51" t="s">
        <v>140</v>
      </c>
      <c r="L9374" s="51"/>
      <c r="M9374" s="51"/>
      <c r="N9374" s="51"/>
      <c r="O9374" s="52"/>
      <c r="P9374" s="51"/>
      <c r="Q9374" s="51"/>
      <c r="R9374" s="51"/>
      <c r="S9374" s="51"/>
      <c r="T9374" s="41"/>
      <c r="AG9374" s="521" t="s">
        <v>268</v>
      </c>
      <c r="AH9374" s="521" t="s">
        <v>269</v>
      </c>
      <c r="AI9374" s="521" t="s">
        <v>270</v>
      </c>
      <c r="AJ9374" s="521" t="s">
        <v>271</v>
      </c>
      <c r="AK9374" s="521" t="s">
        <v>272</v>
      </c>
      <c r="AM9374" s="745" t="s">
        <v>281</v>
      </c>
      <c r="AN9374" s="746" t="s">
        <v>282</v>
      </c>
      <c r="AO9374" s="522" t="s">
        <v>278</v>
      </c>
      <c r="AR9374" s="51"/>
      <c r="AS9374" s="42" t="s">
        <v>139</v>
      </c>
    </row>
    <row r="9375" spans="1:45" s="520" customFormat="1" ht="12" customHeight="1">
      <c r="A9375" s="747">
        <v>1</v>
      </c>
      <c r="B9375" s="523" t="s">
        <v>141</v>
      </c>
      <c r="C9375" s="748"/>
      <c r="D9375" s="749" t="s">
        <v>2444</v>
      </c>
      <c r="E9375" s="1145">
        <f>IF(AND($A9375=0,$A$1="DIF"),0, ROUND(ROUND(($R9379*$S$3+($T9379*$T$3))/$A9375,2)*$C$3,2))</f>
        <v>92.63</v>
      </c>
      <c r="F9375" s="1146">
        <f>ROUND($A9375*$E9375,2)</f>
        <v>92.63</v>
      </c>
      <c r="G9375" s="752" t="s">
        <v>142</v>
      </c>
      <c r="H9375" s="753"/>
      <c r="I9375" s="754"/>
      <c r="J9375" s="753"/>
      <c r="K9375" s="753" t="s">
        <v>5</v>
      </c>
      <c r="L9375" s="755" t="s">
        <v>143</v>
      </c>
      <c r="M9375" s="755"/>
      <c r="N9375" s="755"/>
      <c r="O9375" s="755"/>
      <c r="P9375" s="755"/>
      <c r="Q9375" s="51"/>
      <c r="T9375" s="1150" t="str">
        <f>IF(AND($R9379=0,$T9379=0),"0.00","mu: "&amp; ROUND(F9375/$C$3/($R9379+$T9379*$D$9),2))</f>
        <v>mu: 1.13</v>
      </c>
      <c r="W9375" s="524"/>
      <c r="AG9375" s="1147">
        <f>IF($E9375=0,0,ROUND($R9379*$S$3*$C$3/$A9375,2))</f>
        <v>92.63</v>
      </c>
      <c r="AH9375" s="1147">
        <f>$AG9375*$A9375</f>
        <v>92.63</v>
      </c>
      <c r="AI9375" s="1148">
        <f>$E9375-$AG9375</f>
        <v>0</v>
      </c>
      <c r="AJ9375" s="1148">
        <f>$A9375*$AI9375</f>
        <v>0</v>
      </c>
      <c r="AK9375" s="1149">
        <f>ROUND(($AG9375+$AI9375)*$A9375,2)</f>
        <v>92.63</v>
      </c>
      <c r="AM9375" s="527">
        <f>ROUND(R9379,2)</f>
        <v>82.06</v>
      </c>
      <c r="AN9375" s="528">
        <f>ROUND(T9379,2)</f>
        <v>0</v>
      </c>
      <c r="AO9375" s="529">
        <f>ROUND(AM9375+AN9375,2)*A9375</f>
        <v>82.06</v>
      </c>
      <c r="AR9375" s="747">
        <v>1</v>
      </c>
      <c r="AS9375" s="1146">
        <v>100.8</v>
      </c>
    </row>
    <row r="9376" spans="1:45" s="520" customFormat="1" ht="13.2">
      <c r="A9376" s="748"/>
      <c r="B9376"/>
      <c r="C9376" s="748"/>
      <c r="D9376" s="749" t="s">
        <v>2064</v>
      </c>
      <c r="F9376" s="753"/>
      <c r="G9376" s="3"/>
      <c r="H9376" s="753"/>
      <c r="I9376" s="754"/>
      <c r="J9376" s="753"/>
      <c r="K9376" s="753" t="s">
        <v>144</v>
      </c>
      <c r="L9376" s="753"/>
      <c r="M9376" s="753"/>
      <c r="N9376" s="753"/>
      <c r="O9376" s="753"/>
      <c r="P9376" s="753"/>
      <c r="Q9376" s="51"/>
      <c r="R9376" s="530"/>
      <c r="S9376" s="757"/>
      <c r="T9376" s="753"/>
      <c r="AR9376" s="748"/>
      <c r="AS9376" s="753"/>
    </row>
    <row r="9377" spans="1:45" s="901" customFormat="1" ht="13.2">
      <c r="A9377" s="903">
        <v>1</v>
      </c>
      <c r="B9377" s="904" t="s">
        <v>863</v>
      </c>
      <c r="C9377" s="904"/>
      <c r="D9377" s="904" t="s">
        <v>2594</v>
      </c>
      <c r="E9377" s="904"/>
      <c r="F9377" s="904" t="s">
        <v>4128</v>
      </c>
      <c r="G9377" s="905" t="s">
        <v>2595</v>
      </c>
      <c r="H9377" s="902">
        <v>960</v>
      </c>
      <c r="I9377" s="904" t="s">
        <v>2596</v>
      </c>
      <c r="J9377" s="904"/>
      <c r="K9377" s="904"/>
      <c r="L9377" s="904"/>
      <c r="M9377" s="904"/>
      <c r="N9377" s="904"/>
      <c r="O9377" s="902">
        <v>4</v>
      </c>
      <c r="P9377" s="906">
        <v>38274</v>
      </c>
      <c r="Q9377" s="1415">
        <f>94*0.873</f>
        <v>82.061999999999998</v>
      </c>
      <c r="R9377" s="908">
        <f>$A9377*Q9377</f>
        <v>82.061999999999998</v>
      </c>
      <c r="S9377" s="907"/>
      <c r="T9377" s="909">
        <f>$A9377*S9377*$T$1</f>
        <v>0</v>
      </c>
      <c r="AR9377" s="903">
        <v>1</v>
      </c>
      <c r="AS9377" s="904" t="s">
        <v>3507</v>
      </c>
    </row>
    <row r="9378" spans="1:45" s="520" customFormat="1" ht="12">
      <c r="A9378" s="758"/>
      <c r="B9378" s="758"/>
      <c r="C9378" s="758"/>
      <c r="D9378" s="758"/>
      <c r="E9378" s="758"/>
      <c r="F9378" s="753"/>
      <c r="G9378" s="758"/>
      <c r="H9378" s="758"/>
      <c r="I9378" s="519"/>
      <c r="J9378" s="758"/>
      <c r="K9378" s="758"/>
      <c r="L9378" s="758"/>
      <c r="M9378" s="758"/>
      <c r="N9378" s="758"/>
      <c r="O9378" s="758"/>
      <c r="P9378" s="758"/>
      <c r="Q9378" s="519"/>
      <c r="R9378" s="759">
        <f>$A9378*Q9378</f>
        <v>0</v>
      </c>
      <c r="S9378" s="519"/>
      <c r="T9378" s="760">
        <f>$A9378*S9378*$T$1</f>
        <v>0</v>
      </c>
      <c r="AR9378" s="758"/>
      <c r="AS9378" s="753"/>
    </row>
    <row r="9379" spans="1:45" s="520" customFormat="1" ht="12.6" thickBot="1">
      <c r="A9379" s="761" t="s">
        <v>145</v>
      </c>
      <c r="B9379" s="762">
        <f>(R9378+T9378)</f>
        <v>0</v>
      </c>
      <c r="C9379" s="763"/>
      <c r="D9379" s="763"/>
      <c r="E9379" s="763"/>
      <c r="F9379" s="764"/>
      <c r="G9379" s="763" t="s">
        <v>146</v>
      </c>
      <c r="H9379" s="763"/>
      <c r="I9379" s="765"/>
      <c r="J9379" s="763"/>
      <c r="K9379" s="763" t="s">
        <v>5</v>
      </c>
      <c r="L9379" s="766" t="s">
        <v>143</v>
      </c>
      <c r="M9379" s="766"/>
      <c r="N9379" s="766"/>
      <c r="O9379" s="766"/>
      <c r="P9379" s="766"/>
      <c r="Q9379" s="767"/>
      <c r="R9379" s="768">
        <f>SUM(R9376:R9378)</f>
        <v>82.061999999999998</v>
      </c>
      <c r="S9379" s="763"/>
      <c r="T9379" s="768">
        <f>SUM(T9376:T9378)</f>
        <v>0</v>
      </c>
      <c r="U9379" s="531"/>
      <c r="V9379" s="531"/>
      <c r="W9379" s="531"/>
      <c r="X9379" s="531"/>
      <c r="Y9379" s="531"/>
      <c r="Z9379" s="531"/>
      <c r="AA9379" s="531"/>
      <c r="AB9379" s="531"/>
      <c r="AC9379" s="531"/>
      <c r="AD9379" s="531"/>
      <c r="AE9379" s="531"/>
      <c r="AF9379" s="531"/>
      <c r="AG9379" s="531"/>
      <c r="AH9379" s="531"/>
      <c r="AI9379" s="531"/>
      <c r="AJ9379" s="531"/>
      <c r="AK9379" s="531"/>
      <c r="AL9379" s="531"/>
      <c r="AM9379" s="531"/>
      <c r="AN9379" s="531"/>
      <c r="AO9379" s="531"/>
      <c r="AR9379" s="761" t="s">
        <v>145</v>
      </c>
      <c r="AS9379" s="764"/>
    </row>
    <row r="9380" spans="1:45" s="520" customFormat="1" ht="12" thickTop="1">
      <c r="A9380" s="51"/>
      <c r="B9380" s="41"/>
      <c r="C9380" s="51"/>
      <c r="E9380" s="42" t="s">
        <v>138</v>
      </c>
      <c r="F9380" s="42" t="s">
        <v>139</v>
      </c>
      <c r="G9380" s="51"/>
      <c r="H9380" s="51"/>
      <c r="I9380" s="51"/>
      <c r="J9380" s="51"/>
      <c r="K9380" s="51" t="s">
        <v>140</v>
      </c>
      <c r="L9380" s="51"/>
      <c r="M9380" s="51"/>
      <c r="N9380" s="51"/>
      <c r="O9380" s="52"/>
      <c r="P9380" s="51"/>
      <c r="Q9380" s="51"/>
      <c r="R9380" s="51"/>
      <c r="S9380" s="51"/>
      <c r="T9380" s="41"/>
      <c r="AG9380" s="521" t="s">
        <v>268</v>
      </c>
      <c r="AH9380" s="521" t="s">
        <v>269</v>
      </c>
      <c r="AI9380" s="521" t="s">
        <v>270</v>
      </c>
      <c r="AJ9380" s="521" t="s">
        <v>271</v>
      </c>
      <c r="AK9380" s="521" t="s">
        <v>272</v>
      </c>
      <c r="AM9380" s="745" t="s">
        <v>281</v>
      </c>
      <c r="AN9380" s="746" t="s">
        <v>282</v>
      </c>
      <c r="AO9380" s="522" t="s">
        <v>278</v>
      </c>
      <c r="AR9380" s="51"/>
      <c r="AS9380" s="42" t="s">
        <v>139</v>
      </c>
    </row>
    <row r="9381" spans="1:45" s="520" customFormat="1" ht="12" customHeight="1">
      <c r="A9381" s="747">
        <v>1</v>
      </c>
      <c r="B9381" s="523" t="s">
        <v>141</v>
      </c>
      <c r="C9381" s="748"/>
      <c r="D9381" s="749" t="s">
        <v>2445</v>
      </c>
      <c r="E9381" s="1145">
        <f>IF(AND($A9381=0,$A$1="DIF"),0, ROUND(ROUND(($R9385*$S$3+($T9385*$T$3))/$A9381,2)*$C$3,2))</f>
        <v>54.2</v>
      </c>
      <c r="F9381" s="1146">
        <f>ROUND($A9381*$E9381,2)</f>
        <v>54.2</v>
      </c>
      <c r="G9381" s="752" t="s">
        <v>142</v>
      </c>
      <c r="H9381" s="753"/>
      <c r="I9381" s="754"/>
      <c r="J9381" s="753"/>
      <c r="K9381" s="753" t="s">
        <v>5</v>
      </c>
      <c r="L9381" s="755" t="s">
        <v>143</v>
      </c>
      <c r="M9381" s="755"/>
      <c r="N9381" s="755"/>
      <c r="O9381" s="755"/>
      <c r="P9381" s="755"/>
      <c r="Q9381" s="51"/>
      <c r="T9381" s="1150" t="str">
        <f>IF(AND($R9385=0,$T9385=0),"0.00","mu: "&amp; ROUND(F9381/$C$3/($R9385+$T9385*$D$9),2))</f>
        <v>mu: 1.13</v>
      </c>
      <c r="W9381" s="524"/>
      <c r="AG9381" s="1147">
        <f>IF($E9381=0,0,ROUND($R9385*$S$3*$C$3/$A9381,2))</f>
        <v>54.2</v>
      </c>
      <c r="AH9381" s="1147">
        <f>$AG9381*$A9381</f>
        <v>54.2</v>
      </c>
      <c r="AI9381" s="1148">
        <f>$E9381-$AG9381</f>
        <v>0</v>
      </c>
      <c r="AJ9381" s="1148">
        <f>$A9381*$AI9381</f>
        <v>0</v>
      </c>
      <c r="AK9381" s="1149">
        <f>ROUND(($AG9381+$AI9381)*$A9381,2)</f>
        <v>54.2</v>
      </c>
      <c r="AM9381" s="527">
        <f>ROUND(R9385,2)</f>
        <v>48.02</v>
      </c>
      <c r="AN9381" s="528">
        <f>ROUND(T9385,2)</f>
        <v>0</v>
      </c>
      <c r="AO9381" s="529">
        <f>ROUND(AM9381+AN9381,2)*A9381</f>
        <v>48.02</v>
      </c>
      <c r="AR9381" s="747">
        <v>1</v>
      </c>
      <c r="AS9381" s="1146">
        <v>58.98</v>
      </c>
    </row>
    <row r="9382" spans="1:45" s="520" customFormat="1" ht="13.2">
      <c r="A9382" s="748"/>
      <c r="B9382"/>
      <c r="C9382" s="748"/>
      <c r="D9382" s="749" t="s">
        <v>2071</v>
      </c>
      <c r="F9382" s="753"/>
      <c r="G9382" s="3"/>
      <c r="H9382" s="753"/>
      <c r="I9382" s="754"/>
      <c r="J9382" s="753"/>
      <c r="K9382" s="753" t="s">
        <v>144</v>
      </c>
      <c r="L9382" s="753"/>
      <c r="M9382" s="753"/>
      <c r="N9382" s="753"/>
      <c r="O9382" s="753"/>
      <c r="P9382" s="753"/>
      <c r="Q9382" s="51"/>
      <c r="R9382" s="530"/>
      <c r="S9382" s="757"/>
      <c r="T9382" s="753"/>
      <c r="AR9382" s="748"/>
      <c r="AS9382" s="753"/>
    </row>
    <row r="9383" spans="1:45" s="901" customFormat="1" ht="13.2">
      <c r="A9383" s="903">
        <v>1</v>
      </c>
      <c r="B9383" s="904" t="s">
        <v>863</v>
      </c>
      <c r="C9383" s="904"/>
      <c r="D9383" s="904" t="s">
        <v>2594</v>
      </c>
      <c r="E9383" s="904"/>
      <c r="F9383" s="904" t="s">
        <v>4128</v>
      </c>
      <c r="G9383" s="905" t="s">
        <v>2595</v>
      </c>
      <c r="H9383" s="902">
        <v>960</v>
      </c>
      <c r="I9383" s="904" t="s">
        <v>2596</v>
      </c>
      <c r="J9383" s="904"/>
      <c r="K9383" s="904"/>
      <c r="L9383" s="904"/>
      <c r="M9383" s="904"/>
      <c r="N9383" s="904"/>
      <c r="O9383" s="902">
        <v>4</v>
      </c>
      <c r="P9383" s="906">
        <v>38274</v>
      </c>
      <c r="Q9383" s="1415">
        <f>55*0.873</f>
        <v>48.015000000000001</v>
      </c>
      <c r="R9383" s="908">
        <f>$A9383*Q9383</f>
        <v>48.015000000000001</v>
      </c>
      <c r="S9383" s="907"/>
      <c r="T9383" s="909">
        <f>$A9383*S9383*$T$1</f>
        <v>0</v>
      </c>
      <c r="AR9383" s="903">
        <v>1</v>
      </c>
      <c r="AS9383" s="904" t="s">
        <v>3507</v>
      </c>
    </row>
    <row r="9384" spans="1:45" s="520" customFormat="1" ht="12">
      <c r="A9384" s="758"/>
      <c r="B9384" s="758"/>
      <c r="C9384" s="758"/>
      <c r="D9384" s="758"/>
      <c r="E9384" s="758"/>
      <c r="F9384" s="753"/>
      <c r="G9384" s="758"/>
      <c r="H9384" s="758"/>
      <c r="I9384" s="519"/>
      <c r="J9384" s="758"/>
      <c r="K9384" s="758"/>
      <c r="L9384" s="758"/>
      <c r="M9384" s="758"/>
      <c r="N9384" s="758"/>
      <c r="O9384" s="758"/>
      <c r="P9384" s="758"/>
      <c r="Q9384" s="519"/>
      <c r="R9384" s="759">
        <f>$A9384*Q9384</f>
        <v>0</v>
      </c>
      <c r="S9384" s="519"/>
      <c r="T9384" s="760">
        <f>$A9384*S9384*$T$1</f>
        <v>0</v>
      </c>
      <c r="AR9384" s="758"/>
      <c r="AS9384" s="753"/>
    </row>
    <row r="9385" spans="1:45" s="520" customFormat="1" ht="12.6" thickBot="1">
      <c r="A9385" s="761" t="s">
        <v>145</v>
      </c>
      <c r="B9385" s="762">
        <f>(R9384+T9384)</f>
        <v>0</v>
      </c>
      <c r="C9385" s="763"/>
      <c r="D9385" s="763"/>
      <c r="E9385" s="763"/>
      <c r="F9385" s="764"/>
      <c r="G9385" s="763" t="s">
        <v>146</v>
      </c>
      <c r="H9385" s="763"/>
      <c r="I9385" s="765"/>
      <c r="J9385" s="763"/>
      <c r="K9385" s="763" t="s">
        <v>5</v>
      </c>
      <c r="L9385" s="766" t="s">
        <v>143</v>
      </c>
      <c r="M9385" s="766"/>
      <c r="N9385" s="766"/>
      <c r="O9385" s="766"/>
      <c r="P9385" s="766"/>
      <c r="Q9385" s="767"/>
      <c r="R9385" s="768">
        <f>SUM(R9382:R9384)</f>
        <v>48.015000000000001</v>
      </c>
      <c r="S9385" s="763"/>
      <c r="T9385" s="768">
        <f>SUM(T9382:T9384)</f>
        <v>0</v>
      </c>
      <c r="U9385" s="531"/>
      <c r="V9385" s="531"/>
      <c r="W9385" s="531"/>
      <c r="X9385" s="531"/>
      <c r="Y9385" s="531"/>
      <c r="Z9385" s="531"/>
      <c r="AA9385" s="531"/>
      <c r="AB9385" s="531"/>
      <c r="AC9385" s="531"/>
      <c r="AD9385" s="531"/>
      <c r="AE9385" s="531"/>
      <c r="AF9385" s="531"/>
      <c r="AG9385" s="531"/>
      <c r="AH9385" s="531"/>
      <c r="AI9385" s="531"/>
      <c r="AJ9385" s="531"/>
      <c r="AK9385" s="531"/>
      <c r="AL9385" s="531"/>
      <c r="AM9385" s="531"/>
      <c r="AN9385" s="531"/>
      <c r="AO9385" s="531"/>
      <c r="AR9385" s="761" t="s">
        <v>145</v>
      </c>
      <c r="AS9385" s="764"/>
    </row>
    <row r="9386" spans="1:45" s="520" customFormat="1" ht="12" thickTop="1">
      <c r="A9386" s="51"/>
      <c r="B9386" s="41"/>
      <c r="C9386" s="51"/>
      <c r="E9386" s="42" t="s">
        <v>138</v>
      </c>
      <c r="F9386" s="42" t="s">
        <v>139</v>
      </c>
      <c r="G9386" s="51"/>
      <c r="H9386" s="51"/>
      <c r="I9386" s="51"/>
      <c r="J9386" s="51"/>
      <c r="K9386" s="51" t="s">
        <v>140</v>
      </c>
      <c r="L9386" s="51"/>
      <c r="M9386" s="51"/>
      <c r="N9386" s="51"/>
      <c r="O9386" s="52"/>
      <c r="P9386" s="51"/>
      <c r="Q9386" s="51"/>
      <c r="R9386" s="51"/>
      <c r="S9386" s="51"/>
      <c r="T9386" s="41"/>
      <c r="AG9386" s="521" t="s">
        <v>268</v>
      </c>
      <c r="AH9386" s="521" t="s">
        <v>269</v>
      </c>
      <c r="AI9386" s="521" t="s">
        <v>270</v>
      </c>
      <c r="AJ9386" s="521" t="s">
        <v>271</v>
      </c>
      <c r="AK9386" s="521" t="s">
        <v>272</v>
      </c>
      <c r="AM9386" s="745" t="s">
        <v>281</v>
      </c>
      <c r="AN9386" s="746" t="s">
        <v>282</v>
      </c>
      <c r="AO9386" s="522" t="s">
        <v>278</v>
      </c>
      <c r="AR9386" s="51"/>
      <c r="AS9386" s="42" t="s">
        <v>139</v>
      </c>
    </row>
    <row r="9387" spans="1:45" s="520" customFormat="1" ht="12" customHeight="1">
      <c r="A9387" s="747">
        <v>3</v>
      </c>
      <c r="B9387" s="523" t="s">
        <v>141</v>
      </c>
      <c r="C9387" s="748"/>
      <c r="D9387" s="749" t="s">
        <v>2446</v>
      </c>
      <c r="E9387" s="1145">
        <f>IF(AND($A9387=0,$A$1="DIF"),0, ROUND(ROUND(($R9391*$S$3+($T9391*$T$3))/$A9387,2)*$C$3,2))</f>
        <v>458.2</v>
      </c>
      <c r="F9387" s="1146">
        <f>ROUND($A9387*$E9387,2)</f>
        <v>1374.6</v>
      </c>
      <c r="G9387" s="752" t="s">
        <v>142</v>
      </c>
      <c r="H9387" s="753"/>
      <c r="I9387" s="754"/>
      <c r="J9387" s="753"/>
      <c r="K9387" s="753" t="s">
        <v>5</v>
      </c>
      <c r="L9387" s="755" t="s">
        <v>143</v>
      </c>
      <c r="M9387" s="755"/>
      <c r="N9387" s="755"/>
      <c r="O9387" s="755"/>
      <c r="P9387" s="755"/>
      <c r="Q9387" s="51"/>
      <c r="T9387" s="1150" t="str">
        <f>IF(AND($R9391=0,$T9391=0),"0.00","mu: "&amp; ROUND(F9387/$C$3/($R9391+$T9391*$D$9),2))</f>
        <v>mu: 1.13</v>
      </c>
      <c r="W9387" s="524"/>
      <c r="AG9387" s="1147">
        <f>IF($E9387=0,0,ROUND($R9391*$S$3*$C$3/$A9387,2))</f>
        <v>458.2</v>
      </c>
      <c r="AH9387" s="1147">
        <f>$AG9387*$A9387</f>
        <v>1374.6</v>
      </c>
      <c r="AI9387" s="1148">
        <f>$E9387-$AG9387</f>
        <v>0</v>
      </c>
      <c r="AJ9387" s="1148">
        <f>$A9387*$AI9387</f>
        <v>0</v>
      </c>
      <c r="AK9387" s="1149">
        <f>ROUND(($AG9387+$AI9387)*$A9387,2)</f>
        <v>1374.6</v>
      </c>
      <c r="AM9387" s="527">
        <f>ROUND(R9391,2)</f>
        <v>1217.8399999999999</v>
      </c>
      <c r="AN9387" s="528">
        <f>ROUND(T9391,2)</f>
        <v>0</v>
      </c>
      <c r="AO9387" s="529">
        <f>ROUND(AM9387+AN9387,2)*A9387</f>
        <v>3653.5199999999995</v>
      </c>
      <c r="AR9387" s="747">
        <v>3</v>
      </c>
      <c r="AS9387" s="1146">
        <v>1495.86</v>
      </c>
    </row>
    <row r="9388" spans="1:45" s="520" customFormat="1" ht="13.2">
      <c r="A9388" s="748"/>
      <c r="B9388"/>
      <c r="C9388" s="748"/>
      <c r="D9388" s="749" t="s">
        <v>2096</v>
      </c>
      <c r="F9388" s="753"/>
      <c r="G9388" s="3"/>
      <c r="H9388" s="753"/>
      <c r="I9388" s="754"/>
      <c r="J9388" s="753"/>
      <c r="K9388" s="753" t="s">
        <v>144</v>
      </c>
      <c r="L9388" s="753"/>
      <c r="M9388" s="753"/>
      <c r="N9388" s="753"/>
      <c r="O9388" s="753"/>
      <c r="P9388" s="753"/>
      <c r="Q9388" s="51"/>
      <c r="R9388" s="530"/>
      <c r="S9388" s="757"/>
      <c r="T9388" s="753"/>
      <c r="AR9388" s="748"/>
      <c r="AS9388" s="753"/>
    </row>
    <row r="9389" spans="1:45" s="901" customFormat="1" ht="13.2">
      <c r="A9389" s="903">
        <v>3</v>
      </c>
      <c r="B9389" s="904" t="s">
        <v>863</v>
      </c>
      <c r="C9389" s="904"/>
      <c r="D9389" s="904" t="s">
        <v>2594</v>
      </c>
      <c r="E9389" s="904"/>
      <c r="F9389" s="904" t="s">
        <v>4128</v>
      </c>
      <c r="G9389" s="905" t="s">
        <v>2595</v>
      </c>
      <c r="H9389" s="902">
        <v>960</v>
      </c>
      <c r="I9389" s="904" t="s">
        <v>2596</v>
      </c>
      <c r="J9389" s="904"/>
      <c r="K9389" s="904"/>
      <c r="L9389" s="904"/>
      <c r="M9389" s="904"/>
      <c r="N9389" s="904"/>
      <c r="O9389" s="902">
        <v>4</v>
      </c>
      <c r="P9389" s="906">
        <v>38274</v>
      </c>
      <c r="Q9389" s="1415">
        <f>465*0.873</f>
        <v>405.94499999999999</v>
      </c>
      <c r="R9389" s="908">
        <f>$A9389*Q9389</f>
        <v>1217.835</v>
      </c>
      <c r="S9389" s="907"/>
      <c r="T9389" s="909">
        <f>$A9389*S9389*$T$1</f>
        <v>0</v>
      </c>
      <c r="AR9389" s="903">
        <v>3</v>
      </c>
      <c r="AS9389" s="904" t="s">
        <v>3507</v>
      </c>
    </row>
    <row r="9390" spans="1:45" s="520" customFormat="1" ht="12">
      <c r="A9390" s="758"/>
      <c r="B9390" s="758"/>
      <c r="C9390" s="758"/>
      <c r="D9390" s="758"/>
      <c r="E9390" s="758"/>
      <c r="F9390" s="753"/>
      <c r="G9390" s="758"/>
      <c r="H9390" s="758"/>
      <c r="I9390" s="519"/>
      <c r="J9390" s="758"/>
      <c r="K9390" s="758"/>
      <c r="L9390" s="758"/>
      <c r="M9390" s="758"/>
      <c r="N9390" s="758"/>
      <c r="O9390" s="758"/>
      <c r="P9390" s="758"/>
      <c r="Q9390" s="519"/>
      <c r="R9390" s="759">
        <f>$A9390*Q9390</f>
        <v>0</v>
      </c>
      <c r="S9390" s="519"/>
      <c r="T9390" s="760">
        <f>$A9390*S9390*$T$1</f>
        <v>0</v>
      </c>
      <c r="AR9390" s="758"/>
      <c r="AS9390" s="753"/>
    </row>
    <row r="9391" spans="1:45" s="520" customFormat="1" ht="12.6" thickBot="1">
      <c r="A9391" s="761" t="s">
        <v>145</v>
      </c>
      <c r="B9391" s="762">
        <f>(R9390+T9390)</f>
        <v>0</v>
      </c>
      <c r="C9391" s="763"/>
      <c r="D9391" s="763"/>
      <c r="E9391" s="763"/>
      <c r="F9391" s="764"/>
      <c r="G9391" s="763" t="s">
        <v>146</v>
      </c>
      <c r="H9391" s="763"/>
      <c r="I9391" s="765"/>
      <c r="J9391" s="763"/>
      <c r="K9391" s="763" t="s">
        <v>5</v>
      </c>
      <c r="L9391" s="766" t="s">
        <v>143</v>
      </c>
      <c r="M9391" s="766"/>
      <c r="N9391" s="766"/>
      <c r="O9391" s="766"/>
      <c r="P9391" s="766"/>
      <c r="Q9391" s="767"/>
      <c r="R9391" s="768">
        <f>SUM(R9388:R9390)</f>
        <v>1217.835</v>
      </c>
      <c r="S9391" s="763"/>
      <c r="T9391" s="768">
        <f>SUM(T9388:T9390)</f>
        <v>0</v>
      </c>
      <c r="U9391" s="531"/>
      <c r="V9391" s="531"/>
      <c r="W9391" s="531"/>
      <c r="X9391" s="531"/>
      <c r="Y9391" s="531"/>
      <c r="Z9391" s="531"/>
      <c r="AA9391" s="531"/>
      <c r="AB9391" s="531"/>
      <c r="AC9391" s="531"/>
      <c r="AD9391" s="531"/>
      <c r="AE9391" s="531"/>
      <c r="AF9391" s="531"/>
      <c r="AG9391" s="531"/>
      <c r="AH9391" s="531"/>
      <c r="AI9391" s="531"/>
      <c r="AJ9391" s="531"/>
      <c r="AK9391" s="531"/>
      <c r="AL9391" s="531"/>
      <c r="AM9391" s="531"/>
      <c r="AN9391" s="531"/>
      <c r="AO9391" s="531"/>
      <c r="AR9391" s="761" t="s">
        <v>145</v>
      </c>
      <c r="AS9391" s="764"/>
    </row>
    <row r="9392" spans="1:45" s="520" customFormat="1" ht="12" thickTop="1">
      <c r="A9392" s="51"/>
      <c r="B9392" s="41"/>
      <c r="C9392" s="51"/>
      <c r="E9392" s="42" t="s">
        <v>138</v>
      </c>
      <c r="F9392" s="42" t="s">
        <v>139</v>
      </c>
      <c r="G9392" s="51"/>
      <c r="H9392" s="51"/>
      <c r="I9392" s="51"/>
      <c r="J9392" s="51"/>
      <c r="K9392" s="51" t="s">
        <v>140</v>
      </c>
      <c r="L9392" s="51"/>
      <c r="M9392" s="51"/>
      <c r="N9392" s="51"/>
      <c r="O9392" s="52"/>
      <c r="P9392" s="51"/>
      <c r="Q9392" s="51"/>
      <c r="R9392" s="51"/>
      <c r="S9392" s="51"/>
      <c r="T9392" s="41"/>
      <c r="AG9392" s="521" t="s">
        <v>268</v>
      </c>
      <c r="AH9392" s="521" t="s">
        <v>269</v>
      </c>
      <c r="AI9392" s="521" t="s">
        <v>270</v>
      </c>
      <c r="AJ9392" s="521" t="s">
        <v>271</v>
      </c>
      <c r="AK9392" s="521" t="s">
        <v>272</v>
      </c>
      <c r="AM9392" s="745" t="s">
        <v>281</v>
      </c>
      <c r="AN9392" s="746" t="s">
        <v>282</v>
      </c>
      <c r="AO9392" s="522" t="s">
        <v>278</v>
      </c>
      <c r="AR9392" s="51"/>
      <c r="AS9392" s="42" t="s">
        <v>139</v>
      </c>
    </row>
    <row r="9393" spans="1:45" s="520" customFormat="1" ht="12" customHeight="1">
      <c r="A9393" s="747">
        <v>3</v>
      </c>
      <c r="B9393" s="523" t="s">
        <v>141</v>
      </c>
      <c r="C9393" s="748"/>
      <c r="D9393" s="749" t="s">
        <v>2447</v>
      </c>
      <c r="E9393" s="1145">
        <f>IF(AND($A9393=0,$A$1="DIF"),0, ROUND(ROUND(($R9397*$S$3+($T9397*$T$3))/$A9393,2)*$C$3,2))</f>
        <v>87.7</v>
      </c>
      <c r="F9393" s="1146">
        <f>ROUND($A9393*$E9393,2)</f>
        <v>263.10000000000002</v>
      </c>
      <c r="G9393" s="752" t="s">
        <v>142</v>
      </c>
      <c r="H9393" s="753"/>
      <c r="I9393" s="754"/>
      <c r="J9393" s="753"/>
      <c r="K9393" s="753" t="s">
        <v>5</v>
      </c>
      <c r="L9393" s="755" t="s">
        <v>143</v>
      </c>
      <c r="M9393" s="755"/>
      <c r="N9393" s="755"/>
      <c r="O9393" s="755"/>
      <c r="P9393" s="755"/>
      <c r="Q9393" s="51"/>
      <c r="T9393" s="1150" t="str">
        <f>IF(AND($R9397=0,$T9397=0),"0.00","mu: "&amp; ROUND(F9393/$C$3/($R9397+$T9397*$D$9),2))</f>
        <v>mu: 1.13</v>
      </c>
      <c r="W9393" s="524"/>
      <c r="AG9393" s="1147">
        <f>IF($E9393=0,0,ROUND($R9397*$S$3*$C$3/$A9393,2))</f>
        <v>87.7</v>
      </c>
      <c r="AH9393" s="1147">
        <f>$AG9393*$A9393</f>
        <v>263.10000000000002</v>
      </c>
      <c r="AI9393" s="1148">
        <f>$E9393-$AG9393</f>
        <v>0</v>
      </c>
      <c r="AJ9393" s="1148">
        <f>$A9393*$AI9393</f>
        <v>0</v>
      </c>
      <c r="AK9393" s="1149">
        <f>ROUND(($AG9393+$AI9393)*$A9393,2)</f>
        <v>263.10000000000002</v>
      </c>
      <c r="AM9393" s="527">
        <f>ROUND(R9397,2)</f>
        <v>233.09</v>
      </c>
      <c r="AN9393" s="528">
        <f>ROUND(T9397,2)</f>
        <v>0</v>
      </c>
      <c r="AO9393" s="529">
        <f>ROUND(AM9393+AN9393,2)*A9393</f>
        <v>699.27</v>
      </c>
      <c r="AR9393" s="747">
        <v>3</v>
      </c>
      <c r="AS9393" s="1146">
        <v>286.29000000000002</v>
      </c>
    </row>
    <row r="9394" spans="1:45" s="520" customFormat="1" ht="13.2">
      <c r="A9394" s="748"/>
      <c r="B9394"/>
      <c r="C9394" s="748"/>
      <c r="D9394" s="749" t="s">
        <v>2097</v>
      </c>
      <c r="F9394" s="753"/>
      <c r="G9394" s="3"/>
      <c r="H9394" s="753"/>
      <c r="I9394" s="754"/>
      <c r="J9394" s="753"/>
      <c r="K9394" s="753" t="s">
        <v>144</v>
      </c>
      <c r="L9394" s="753"/>
      <c r="M9394" s="753"/>
      <c r="N9394" s="753"/>
      <c r="O9394" s="753"/>
      <c r="P9394" s="753"/>
      <c r="Q9394" s="51"/>
      <c r="R9394" s="530"/>
      <c r="S9394" s="757"/>
      <c r="T9394" s="753"/>
      <c r="AR9394" s="748"/>
      <c r="AS9394" s="753"/>
    </row>
    <row r="9395" spans="1:45" s="901" customFormat="1" ht="13.2">
      <c r="A9395" s="903">
        <v>3</v>
      </c>
      <c r="B9395" s="904" t="s">
        <v>863</v>
      </c>
      <c r="C9395" s="904"/>
      <c r="D9395" s="904" t="s">
        <v>2594</v>
      </c>
      <c r="E9395" s="904"/>
      <c r="F9395" s="904" t="s">
        <v>4128</v>
      </c>
      <c r="G9395" s="905" t="s">
        <v>2595</v>
      </c>
      <c r="H9395" s="902">
        <v>960</v>
      </c>
      <c r="I9395" s="904" t="s">
        <v>2596</v>
      </c>
      <c r="J9395" s="904"/>
      <c r="K9395" s="904"/>
      <c r="L9395" s="904"/>
      <c r="M9395" s="904"/>
      <c r="N9395" s="904"/>
      <c r="O9395" s="902">
        <v>4</v>
      </c>
      <c r="P9395" s="906">
        <v>38274</v>
      </c>
      <c r="Q9395" s="1415">
        <f>89*0.873</f>
        <v>77.697000000000003</v>
      </c>
      <c r="R9395" s="908">
        <f>$A9395*Q9395</f>
        <v>233.09100000000001</v>
      </c>
      <c r="S9395" s="907"/>
      <c r="T9395" s="909">
        <f>$A9395*S9395*$T$1</f>
        <v>0</v>
      </c>
      <c r="AR9395" s="903">
        <v>3</v>
      </c>
      <c r="AS9395" s="904" t="s">
        <v>3507</v>
      </c>
    </row>
    <row r="9396" spans="1:45" s="520" customFormat="1" ht="12">
      <c r="A9396" s="758"/>
      <c r="B9396" s="758"/>
      <c r="C9396" s="758"/>
      <c r="D9396" s="758"/>
      <c r="E9396" s="758"/>
      <c r="F9396" s="753"/>
      <c r="G9396" s="758"/>
      <c r="H9396" s="758"/>
      <c r="I9396" s="519"/>
      <c r="J9396" s="758"/>
      <c r="K9396" s="758"/>
      <c r="L9396" s="758"/>
      <c r="M9396" s="758"/>
      <c r="N9396" s="758"/>
      <c r="O9396" s="758"/>
      <c r="P9396" s="758"/>
      <c r="Q9396" s="519"/>
      <c r="R9396" s="759">
        <f>$A9396*Q9396</f>
        <v>0</v>
      </c>
      <c r="S9396" s="519"/>
      <c r="T9396" s="760">
        <f>$A9396*S9396*$T$1</f>
        <v>0</v>
      </c>
      <c r="AR9396" s="758"/>
      <c r="AS9396" s="753"/>
    </row>
    <row r="9397" spans="1:45" s="520" customFormat="1" ht="12.6" thickBot="1">
      <c r="A9397" s="761" t="s">
        <v>145</v>
      </c>
      <c r="B9397" s="762">
        <f>(R9396+T9396)</f>
        <v>0</v>
      </c>
      <c r="C9397" s="763"/>
      <c r="D9397" s="763"/>
      <c r="E9397" s="763"/>
      <c r="F9397" s="764"/>
      <c r="G9397" s="763" t="s">
        <v>146</v>
      </c>
      <c r="H9397" s="763"/>
      <c r="I9397" s="765"/>
      <c r="J9397" s="763"/>
      <c r="K9397" s="763" t="s">
        <v>5</v>
      </c>
      <c r="L9397" s="766" t="s">
        <v>143</v>
      </c>
      <c r="M9397" s="766"/>
      <c r="N9397" s="766"/>
      <c r="O9397" s="766"/>
      <c r="P9397" s="766"/>
      <c r="Q9397" s="767"/>
      <c r="R9397" s="768">
        <f>SUM(R9394:R9396)</f>
        <v>233.09100000000001</v>
      </c>
      <c r="S9397" s="763"/>
      <c r="T9397" s="768">
        <f>SUM(T9394:T9396)</f>
        <v>0</v>
      </c>
      <c r="U9397" s="531"/>
      <c r="V9397" s="531"/>
      <c r="W9397" s="531"/>
      <c r="X9397" s="531"/>
      <c r="Y9397" s="531"/>
      <c r="Z9397" s="531"/>
      <c r="AA9397" s="531"/>
      <c r="AB9397" s="531"/>
      <c r="AC9397" s="531"/>
      <c r="AD9397" s="531"/>
      <c r="AE9397" s="531"/>
      <c r="AF9397" s="531"/>
      <c r="AG9397" s="531"/>
      <c r="AH9397" s="531"/>
      <c r="AI9397" s="531"/>
      <c r="AJ9397" s="531"/>
      <c r="AK9397" s="531"/>
      <c r="AL9397" s="531"/>
      <c r="AM9397" s="531"/>
      <c r="AN9397" s="531"/>
      <c r="AO9397" s="531"/>
      <c r="AR9397" s="761" t="s">
        <v>145</v>
      </c>
      <c r="AS9397" s="764"/>
    </row>
    <row r="9398" spans="1:45" s="520" customFormat="1" ht="12" thickTop="1">
      <c r="A9398" s="51"/>
      <c r="B9398" s="41"/>
      <c r="C9398" s="51"/>
      <c r="E9398" s="42" t="s">
        <v>138</v>
      </c>
      <c r="F9398" s="42" t="s">
        <v>139</v>
      </c>
      <c r="G9398" s="51"/>
      <c r="H9398" s="51"/>
      <c r="I9398" s="51"/>
      <c r="J9398" s="51"/>
      <c r="K9398" s="51" t="s">
        <v>140</v>
      </c>
      <c r="L9398" s="51"/>
      <c r="M9398" s="51"/>
      <c r="N9398" s="51"/>
      <c r="O9398" s="52"/>
      <c r="P9398" s="51"/>
      <c r="Q9398" s="51"/>
      <c r="R9398" s="51"/>
      <c r="S9398" s="51"/>
      <c r="T9398" s="41"/>
      <c r="AG9398" s="521" t="s">
        <v>268</v>
      </c>
      <c r="AH9398" s="521" t="s">
        <v>269</v>
      </c>
      <c r="AI9398" s="521" t="s">
        <v>270</v>
      </c>
      <c r="AJ9398" s="521" t="s">
        <v>271</v>
      </c>
      <c r="AK9398" s="521" t="s">
        <v>272</v>
      </c>
      <c r="AM9398" s="745" t="s">
        <v>281</v>
      </c>
      <c r="AN9398" s="746" t="s">
        <v>282</v>
      </c>
      <c r="AO9398" s="522" t="s">
        <v>278</v>
      </c>
      <c r="AR9398" s="51"/>
      <c r="AS9398" s="42" t="s">
        <v>139</v>
      </c>
    </row>
    <row r="9399" spans="1:45" s="520" customFormat="1" ht="12" customHeight="1">
      <c r="A9399" s="747">
        <v>1</v>
      </c>
      <c r="B9399" s="523" t="s">
        <v>141</v>
      </c>
      <c r="C9399" s="748"/>
      <c r="D9399" s="749" t="s">
        <v>2448</v>
      </c>
      <c r="E9399" s="1145">
        <f>IF(AND($A9399=0,$A$1="DIF"),0, ROUND(ROUND(($R9403*$S$3+($T9403*$T$3))/$A9399,2)*$C$3,2))</f>
        <v>77.849999999999994</v>
      </c>
      <c r="F9399" s="1146">
        <f>ROUND($A9399*$E9399,2)</f>
        <v>77.849999999999994</v>
      </c>
      <c r="G9399" s="752" t="s">
        <v>142</v>
      </c>
      <c r="H9399" s="753"/>
      <c r="I9399" s="754"/>
      <c r="J9399" s="753"/>
      <c r="K9399" s="753" t="s">
        <v>5</v>
      </c>
      <c r="L9399" s="755" t="s">
        <v>143</v>
      </c>
      <c r="M9399" s="755"/>
      <c r="N9399" s="755"/>
      <c r="O9399" s="755"/>
      <c r="P9399" s="755"/>
      <c r="Q9399" s="51"/>
      <c r="T9399" s="1150" t="str">
        <f>IF(AND($R9403=0,$T9403=0),"0.00","mu: "&amp; ROUND(F9399/$C$3/($R9403+$T9403*$D$9),2))</f>
        <v>mu: 1.13</v>
      </c>
      <c r="W9399" s="524"/>
      <c r="AG9399" s="1147">
        <f>IF($E9399=0,0,ROUND($R9403*$S$3*$C$3/$A9399,2))</f>
        <v>77.849999999999994</v>
      </c>
      <c r="AH9399" s="1147">
        <f>$AG9399*$A9399</f>
        <v>77.849999999999994</v>
      </c>
      <c r="AI9399" s="1148">
        <f>$E9399-$AG9399</f>
        <v>0</v>
      </c>
      <c r="AJ9399" s="1148">
        <f>$A9399*$AI9399</f>
        <v>0</v>
      </c>
      <c r="AK9399" s="1149">
        <f>ROUND(($AG9399+$AI9399)*$A9399,2)</f>
        <v>77.849999999999994</v>
      </c>
      <c r="AM9399" s="527">
        <f>ROUND(R9403,2)</f>
        <v>68.97</v>
      </c>
      <c r="AN9399" s="528">
        <f>ROUND(T9403,2)</f>
        <v>0</v>
      </c>
      <c r="AO9399" s="529">
        <f>ROUND(AM9399+AN9399,2)*A9399</f>
        <v>68.97</v>
      </c>
      <c r="AR9399" s="747">
        <v>1</v>
      </c>
      <c r="AS9399" s="1146">
        <v>84.71</v>
      </c>
    </row>
    <row r="9400" spans="1:45" s="520" customFormat="1" ht="13.2">
      <c r="A9400" s="748"/>
      <c r="B9400"/>
      <c r="C9400" s="748"/>
      <c r="D9400" s="749" t="s">
        <v>2068</v>
      </c>
      <c r="F9400" s="753"/>
      <c r="G9400" s="3"/>
      <c r="H9400" s="753"/>
      <c r="I9400" s="754"/>
      <c r="J9400" s="753"/>
      <c r="K9400" s="753" t="s">
        <v>144</v>
      </c>
      <c r="L9400" s="753"/>
      <c r="M9400" s="753"/>
      <c r="N9400" s="753"/>
      <c r="O9400" s="753"/>
      <c r="P9400" s="753"/>
      <c r="Q9400" s="51"/>
      <c r="R9400" s="530"/>
      <c r="S9400" s="757"/>
      <c r="T9400" s="753"/>
      <c r="AR9400" s="748"/>
      <c r="AS9400" s="753"/>
    </row>
    <row r="9401" spans="1:45" s="901" customFormat="1" ht="13.2">
      <c r="A9401" s="903">
        <v>1</v>
      </c>
      <c r="B9401" s="904" t="s">
        <v>863</v>
      </c>
      <c r="C9401" s="904"/>
      <c r="D9401" s="904" t="s">
        <v>2594</v>
      </c>
      <c r="E9401" s="904"/>
      <c r="F9401" s="904" t="s">
        <v>4128</v>
      </c>
      <c r="G9401" s="905" t="s">
        <v>2595</v>
      </c>
      <c r="H9401" s="902">
        <v>960</v>
      </c>
      <c r="I9401" s="904" t="s">
        <v>2596</v>
      </c>
      <c r="J9401" s="904"/>
      <c r="K9401" s="904"/>
      <c r="L9401" s="904"/>
      <c r="M9401" s="904"/>
      <c r="N9401" s="904"/>
      <c r="O9401" s="902">
        <v>4</v>
      </c>
      <c r="P9401" s="906">
        <v>38274</v>
      </c>
      <c r="Q9401" s="1415">
        <f>79*0.873</f>
        <v>68.966999999999999</v>
      </c>
      <c r="R9401" s="908">
        <f>$A9401*Q9401</f>
        <v>68.966999999999999</v>
      </c>
      <c r="S9401" s="907"/>
      <c r="T9401" s="909">
        <f>$A9401*S9401*$T$1</f>
        <v>0</v>
      </c>
      <c r="AR9401" s="903">
        <v>1</v>
      </c>
      <c r="AS9401" s="904" t="s">
        <v>3507</v>
      </c>
    </row>
    <row r="9402" spans="1:45" s="520" customFormat="1" ht="12">
      <c r="A9402" s="758"/>
      <c r="B9402" s="758"/>
      <c r="C9402" s="758"/>
      <c r="D9402" s="758"/>
      <c r="E9402" s="758"/>
      <c r="F9402" s="753"/>
      <c r="G9402" s="758"/>
      <c r="H9402" s="758"/>
      <c r="I9402" s="519"/>
      <c r="J9402" s="758"/>
      <c r="K9402" s="758"/>
      <c r="L9402" s="758"/>
      <c r="M9402" s="758"/>
      <c r="N9402" s="758"/>
      <c r="O9402" s="758"/>
      <c r="P9402" s="758"/>
      <c r="Q9402" s="519"/>
      <c r="R9402" s="759">
        <f>$A9402*Q9402</f>
        <v>0</v>
      </c>
      <c r="S9402" s="519"/>
      <c r="T9402" s="760">
        <f>$A9402*S9402*$T$1</f>
        <v>0</v>
      </c>
      <c r="AR9402" s="758"/>
      <c r="AS9402" s="753"/>
    </row>
    <row r="9403" spans="1:45" s="520" customFormat="1" ht="12.6" thickBot="1">
      <c r="A9403" s="761" t="s">
        <v>145</v>
      </c>
      <c r="B9403" s="762">
        <f>(R9402+T9402)</f>
        <v>0</v>
      </c>
      <c r="C9403" s="763"/>
      <c r="D9403" s="763"/>
      <c r="E9403" s="763"/>
      <c r="F9403" s="764"/>
      <c r="G9403" s="763" t="s">
        <v>146</v>
      </c>
      <c r="H9403" s="763"/>
      <c r="I9403" s="765"/>
      <c r="J9403" s="763"/>
      <c r="K9403" s="763" t="s">
        <v>5</v>
      </c>
      <c r="L9403" s="766" t="s">
        <v>143</v>
      </c>
      <c r="M9403" s="766"/>
      <c r="N9403" s="766"/>
      <c r="O9403" s="766"/>
      <c r="P9403" s="766"/>
      <c r="Q9403" s="767"/>
      <c r="R9403" s="768">
        <f>SUM(R9400:R9402)</f>
        <v>68.966999999999999</v>
      </c>
      <c r="S9403" s="763"/>
      <c r="T9403" s="768">
        <f>SUM(T9400:T9402)</f>
        <v>0</v>
      </c>
      <c r="U9403" s="531"/>
      <c r="V9403" s="531"/>
      <c r="W9403" s="531"/>
      <c r="X9403" s="531"/>
      <c r="Y9403" s="531"/>
      <c r="Z9403" s="531"/>
      <c r="AA9403" s="531"/>
      <c r="AB9403" s="531"/>
      <c r="AC9403" s="531"/>
      <c r="AD9403" s="531"/>
      <c r="AE9403" s="531"/>
      <c r="AF9403" s="531"/>
      <c r="AG9403" s="531"/>
      <c r="AH9403" s="531"/>
      <c r="AI9403" s="531"/>
      <c r="AJ9403" s="531"/>
      <c r="AK9403" s="531"/>
      <c r="AL9403" s="531"/>
      <c r="AM9403" s="531"/>
      <c r="AN9403" s="531"/>
      <c r="AO9403" s="531"/>
      <c r="AR9403" s="761" t="s">
        <v>145</v>
      </c>
      <c r="AS9403" s="764"/>
    </row>
    <row r="9404" spans="1:45" s="520" customFormat="1" ht="12" thickTop="1">
      <c r="A9404" s="51"/>
      <c r="B9404" s="41"/>
      <c r="C9404" s="51"/>
      <c r="E9404" s="42" t="s">
        <v>138</v>
      </c>
      <c r="F9404" s="42" t="s">
        <v>139</v>
      </c>
      <c r="G9404" s="51"/>
      <c r="H9404" s="51"/>
      <c r="I9404" s="51"/>
      <c r="J9404" s="51"/>
      <c r="K9404" s="51" t="s">
        <v>140</v>
      </c>
      <c r="L9404" s="51"/>
      <c r="M9404" s="51"/>
      <c r="N9404" s="51"/>
      <c r="O9404" s="52"/>
      <c r="P9404" s="51"/>
      <c r="Q9404" s="51"/>
      <c r="R9404" s="51"/>
      <c r="S9404" s="51"/>
      <c r="T9404" s="41"/>
      <c r="AG9404" s="521" t="s">
        <v>268</v>
      </c>
      <c r="AH9404" s="521" t="s">
        <v>269</v>
      </c>
      <c r="AI9404" s="521" t="s">
        <v>270</v>
      </c>
      <c r="AJ9404" s="521" t="s">
        <v>271</v>
      </c>
      <c r="AK9404" s="521" t="s">
        <v>272</v>
      </c>
      <c r="AM9404" s="745" t="s">
        <v>281</v>
      </c>
      <c r="AN9404" s="746" t="s">
        <v>282</v>
      </c>
      <c r="AO9404" s="522" t="s">
        <v>278</v>
      </c>
      <c r="AR9404" s="51"/>
      <c r="AS9404" s="42" t="s">
        <v>139</v>
      </c>
    </row>
    <row r="9405" spans="1:45" s="520" customFormat="1" ht="12" customHeight="1">
      <c r="A9405" s="747">
        <v>1</v>
      </c>
      <c r="B9405" s="523" t="s">
        <v>141</v>
      </c>
      <c r="C9405" s="748"/>
      <c r="D9405" s="749" t="s">
        <v>2449</v>
      </c>
      <c r="E9405" s="1145">
        <f>IF(AND($A9405=0,$A$1="DIF"),0, ROUND(ROUND(($R9409*$S$3+($T9409*$T$3))/$A9405,2)*$C$3,2))</f>
        <v>77.849999999999994</v>
      </c>
      <c r="F9405" s="1146">
        <f>ROUND($A9405*$E9405,2)</f>
        <v>77.849999999999994</v>
      </c>
      <c r="G9405" s="752" t="s">
        <v>142</v>
      </c>
      <c r="H9405" s="753"/>
      <c r="I9405" s="754"/>
      <c r="J9405" s="753"/>
      <c r="K9405" s="753" t="s">
        <v>5</v>
      </c>
      <c r="L9405" s="755" t="s">
        <v>143</v>
      </c>
      <c r="M9405" s="755"/>
      <c r="N9405" s="755"/>
      <c r="O9405" s="755"/>
      <c r="P9405" s="755"/>
      <c r="Q9405" s="51"/>
      <c r="T9405" s="1150" t="str">
        <f>IF(AND($R9409=0,$T9409=0),"0.00","mu: "&amp; ROUND(F9405/$C$3/($R9409+$T9409*$D$9),2))</f>
        <v>mu: 1.13</v>
      </c>
      <c r="W9405" s="524"/>
      <c r="AG9405" s="1147">
        <f>IF($E9405=0,0,ROUND($R9409*$S$3*$C$3/$A9405,2))</f>
        <v>77.849999999999994</v>
      </c>
      <c r="AH9405" s="1147">
        <f>$AG9405*$A9405</f>
        <v>77.849999999999994</v>
      </c>
      <c r="AI9405" s="1148">
        <f>$E9405-$AG9405</f>
        <v>0</v>
      </c>
      <c r="AJ9405" s="1148">
        <f>$A9405*$AI9405</f>
        <v>0</v>
      </c>
      <c r="AK9405" s="1149">
        <f>ROUND(($AG9405+$AI9405)*$A9405,2)</f>
        <v>77.849999999999994</v>
      </c>
      <c r="AM9405" s="527">
        <f>ROUND(R9409,2)</f>
        <v>68.97</v>
      </c>
      <c r="AN9405" s="528">
        <f>ROUND(T9409,2)</f>
        <v>0</v>
      </c>
      <c r="AO9405" s="529">
        <f>ROUND(AM9405+AN9405,2)*A9405</f>
        <v>68.97</v>
      </c>
      <c r="AR9405" s="747">
        <v>1</v>
      </c>
      <c r="AS9405" s="1146">
        <v>84.71</v>
      </c>
    </row>
    <row r="9406" spans="1:45" s="520" customFormat="1" ht="13.2">
      <c r="A9406" s="748"/>
      <c r="B9406"/>
      <c r="C9406" s="748"/>
      <c r="D9406" s="749" t="s">
        <v>2067</v>
      </c>
      <c r="F9406" s="753"/>
      <c r="G9406" s="3"/>
      <c r="H9406" s="753"/>
      <c r="I9406" s="754"/>
      <c r="J9406" s="753"/>
      <c r="K9406" s="753" t="s">
        <v>144</v>
      </c>
      <c r="L9406" s="753"/>
      <c r="M9406" s="753"/>
      <c r="N9406" s="753"/>
      <c r="O9406" s="753"/>
      <c r="P9406" s="753"/>
      <c r="Q9406" s="51"/>
      <c r="R9406" s="530"/>
      <c r="S9406" s="757"/>
      <c r="T9406" s="753"/>
      <c r="AR9406" s="748"/>
      <c r="AS9406" s="753"/>
    </row>
    <row r="9407" spans="1:45" s="901" customFormat="1" ht="13.2">
      <c r="A9407" s="903">
        <v>1</v>
      </c>
      <c r="B9407" s="904" t="s">
        <v>863</v>
      </c>
      <c r="C9407" s="904"/>
      <c r="D9407" s="904" t="s">
        <v>2594</v>
      </c>
      <c r="E9407" s="904"/>
      <c r="F9407" s="904" t="s">
        <v>4128</v>
      </c>
      <c r="G9407" s="905" t="s">
        <v>2595</v>
      </c>
      <c r="H9407" s="902">
        <v>960</v>
      </c>
      <c r="I9407" s="904" t="s">
        <v>2596</v>
      </c>
      <c r="J9407" s="904"/>
      <c r="K9407" s="904"/>
      <c r="L9407" s="904"/>
      <c r="M9407" s="904"/>
      <c r="N9407" s="904"/>
      <c r="O9407" s="902">
        <v>4</v>
      </c>
      <c r="P9407" s="906">
        <v>38274</v>
      </c>
      <c r="Q9407" s="1415">
        <f>79*0.873</f>
        <v>68.966999999999999</v>
      </c>
      <c r="R9407" s="908">
        <f>$A9407*Q9407</f>
        <v>68.966999999999999</v>
      </c>
      <c r="S9407" s="907"/>
      <c r="T9407" s="909">
        <f>$A9407*S9407*$T$1</f>
        <v>0</v>
      </c>
      <c r="AR9407" s="903">
        <v>1</v>
      </c>
      <c r="AS9407" s="904" t="s">
        <v>3507</v>
      </c>
    </row>
    <row r="9408" spans="1:45" s="520" customFormat="1" ht="12">
      <c r="A9408" s="758"/>
      <c r="B9408" s="758"/>
      <c r="C9408" s="758"/>
      <c r="D9408" s="758"/>
      <c r="E9408" s="758"/>
      <c r="F9408" s="753"/>
      <c r="G9408" s="758"/>
      <c r="H9408" s="758"/>
      <c r="I9408" s="519"/>
      <c r="J9408" s="758"/>
      <c r="K9408" s="758"/>
      <c r="L9408" s="758"/>
      <c r="M9408" s="758"/>
      <c r="N9408" s="758"/>
      <c r="O9408" s="758"/>
      <c r="P9408" s="758"/>
      <c r="Q9408" s="519"/>
      <c r="R9408" s="759">
        <f>$A9408*Q9408</f>
        <v>0</v>
      </c>
      <c r="S9408" s="519"/>
      <c r="T9408" s="760">
        <f>$A9408*S9408*$T$1</f>
        <v>0</v>
      </c>
      <c r="AR9408" s="758"/>
      <c r="AS9408" s="753"/>
    </row>
    <row r="9409" spans="1:45" s="520" customFormat="1" ht="12.6" thickBot="1">
      <c r="A9409" s="761" t="s">
        <v>145</v>
      </c>
      <c r="B9409" s="762">
        <f>(R9408+T9408)</f>
        <v>0</v>
      </c>
      <c r="C9409" s="763"/>
      <c r="D9409" s="763"/>
      <c r="E9409" s="763"/>
      <c r="F9409" s="764"/>
      <c r="G9409" s="763" t="s">
        <v>146</v>
      </c>
      <c r="H9409" s="763"/>
      <c r="I9409" s="765"/>
      <c r="J9409" s="763"/>
      <c r="K9409" s="763" t="s">
        <v>5</v>
      </c>
      <c r="L9409" s="766" t="s">
        <v>143</v>
      </c>
      <c r="M9409" s="766"/>
      <c r="N9409" s="766"/>
      <c r="O9409" s="766"/>
      <c r="P9409" s="766"/>
      <c r="Q9409" s="767"/>
      <c r="R9409" s="768">
        <f>SUM(R9406:R9408)</f>
        <v>68.966999999999999</v>
      </c>
      <c r="S9409" s="763"/>
      <c r="T9409" s="768">
        <f>SUM(T9406:T9408)</f>
        <v>0</v>
      </c>
      <c r="U9409" s="531"/>
      <c r="V9409" s="531"/>
      <c r="W9409" s="531"/>
      <c r="X9409" s="531"/>
      <c r="Y9409" s="531"/>
      <c r="Z9409" s="531"/>
      <c r="AA9409" s="531"/>
      <c r="AB9409" s="531"/>
      <c r="AC9409" s="531"/>
      <c r="AD9409" s="531"/>
      <c r="AE9409" s="531"/>
      <c r="AF9409" s="531"/>
      <c r="AG9409" s="531"/>
      <c r="AH9409" s="531"/>
      <c r="AI9409" s="531"/>
      <c r="AJ9409" s="531"/>
      <c r="AK9409" s="531"/>
      <c r="AL9409" s="531"/>
      <c r="AM9409" s="531"/>
      <c r="AN9409" s="531"/>
      <c r="AO9409" s="531"/>
      <c r="AR9409" s="761" t="s">
        <v>145</v>
      </c>
      <c r="AS9409" s="764"/>
    </row>
    <row r="9410" spans="1:45" s="520" customFormat="1" ht="12" thickTop="1">
      <c r="A9410" s="48" t="s">
        <v>148</v>
      </c>
      <c r="D9410" s="13"/>
      <c r="E9410" s="42"/>
      <c r="O9410" s="771"/>
      <c r="AR9410" s="48" t="s">
        <v>148</v>
      </c>
    </row>
    <row r="9411" spans="1:45" s="520" customFormat="1" ht="13.2">
      <c r="B9411" s="3"/>
      <c r="O9411" s="771"/>
    </row>
    <row r="9412" spans="1:45" s="520" customFormat="1" ht="12">
      <c r="B9412" s="772">
        <f ca="1">$F9412/$C$2-($R9412*$S$2+$T9412*$T$2)</f>
        <v>-508.53433991120073</v>
      </c>
      <c r="D9412" s="773" t="s">
        <v>1065</v>
      </c>
      <c r="E9412" s="774"/>
      <c r="F9412" s="775">
        <f ca="1">SUMIF($L9191:$L9410,"ITEM",F9191:F9410)</f>
        <v>9698.77</v>
      </c>
      <c r="G9412" s="758"/>
      <c r="H9412" s="758"/>
      <c r="I9412" s="519"/>
      <c r="J9412" s="758"/>
      <c r="K9412" s="758"/>
      <c r="L9412" s="755" t="s">
        <v>157</v>
      </c>
      <c r="M9412" s="755"/>
      <c r="N9412" s="755"/>
      <c r="O9412" s="755"/>
      <c r="P9412" s="755"/>
      <c r="R9412" s="775">
        <f ca="1">SUMIF($L9191:$L9410,"ITEM",R9191:R9410)</f>
        <v>6378.8967500000008</v>
      </c>
      <c r="S9412" s="776"/>
      <c r="T9412" s="775">
        <f ca="1">SUMIF($L9191:$L9410,"ITEM",T9191:T9410)</f>
        <v>69.579999999999984</v>
      </c>
      <c r="AS9412" s="775">
        <v>10452.419999999998</v>
      </c>
    </row>
    <row r="9413" spans="1:45" s="520" customFormat="1" ht="13.2">
      <c r="A9413" s="51"/>
      <c r="B9413" s="49" t="s">
        <v>1064</v>
      </c>
      <c r="C9413" s="51"/>
      <c r="D9413" s="3"/>
      <c r="F9413" s="777" t="s">
        <v>158</v>
      </c>
      <c r="G9413" s="758"/>
      <c r="H9413" s="758"/>
      <c r="I9413" s="519"/>
      <c r="J9413" s="758"/>
      <c r="K9413" s="758"/>
      <c r="L9413" s="758"/>
      <c r="M9413" s="758"/>
      <c r="N9413" s="758"/>
      <c r="O9413" s="758"/>
      <c r="P9413" s="758"/>
      <c r="Q9413" s="778"/>
      <c r="R9413" s="777" t="s">
        <v>159</v>
      </c>
      <c r="S9413" s="38"/>
      <c r="T9413" s="777" t="s">
        <v>160</v>
      </c>
      <c r="AR9413" s="51"/>
      <c r="AS9413" s="777" t="s">
        <v>158</v>
      </c>
    </row>
    <row r="9414" spans="1:45" s="520" customFormat="1" ht="13.2">
      <c r="A9414" s="758"/>
      <c r="B9414" s="3"/>
      <c r="C9414" s="758"/>
      <c r="D9414" s="3"/>
      <c r="E9414" s="3"/>
      <c r="G9414" s="3"/>
      <c r="H9414" s="3"/>
      <c r="I9414" s="3"/>
      <c r="J9414" s="3"/>
      <c r="K9414" s="3"/>
      <c r="L9414" s="3"/>
      <c r="M9414" s="3"/>
      <c r="N9414" s="3"/>
      <c r="O9414" s="107"/>
      <c r="P9414" s="3"/>
      <c r="Q9414" s="3"/>
      <c r="R9414" s="3"/>
      <c r="S9414" s="3"/>
      <c r="T9414" s="3"/>
      <c r="AR9414" s="758"/>
    </row>
    <row r="9415" spans="1:45" s="520" customFormat="1" ht="12" thickBot="1">
      <c r="A9415" s="531"/>
      <c r="B9415" s="763"/>
      <c r="C9415" s="763"/>
      <c r="D9415" s="531"/>
      <c r="E9415" s="39"/>
      <c r="F9415" s="779"/>
      <c r="G9415" s="763"/>
      <c r="H9415" s="763"/>
      <c r="I9415" s="765"/>
      <c r="J9415" s="763"/>
      <c r="K9415" s="763"/>
      <c r="L9415" s="766"/>
      <c r="M9415" s="766"/>
      <c r="N9415" s="766"/>
      <c r="O9415" s="766"/>
      <c r="P9415" s="766"/>
      <c r="Q9415" s="767"/>
      <c r="R9415" s="779"/>
      <c r="S9415" s="780"/>
      <c r="T9415" s="779"/>
      <c r="U9415" s="531"/>
      <c r="V9415" s="531"/>
      <c r="W9415" s="531"/>
      <c r="X9415" s="531"/>
      <c r="Y9415" s="531"/>
      <c r="Z9415" s="531"/>
      <c r="AA9415" s="531"/>
      <c r="AB9415" s="531"/>
      <c r="AC9415" s="531"/>
      <c r="AD9415" s="531"/>
      <c r="AE9415" s="531"/>
      <c r="AF9415" s="531"/>
      <c r="AG9415" s="531"/>
      <c r="AH9415" s="531"/>
      <c r="AI9415" s="531"/>
      <c r="AJ9415" s="531"/>
      <c r="AK9415" s="531"/>
      <c r="AR9415" s="531"/>
      <c r="AS9415" s="779"/>
    </row>
    <row r="9416" spans="1:45" s="520" customFormat="1" thickTop="1">
      <c r="A9416" s="51"/>
      <c r="B9416" s="51"/>
      <c r="C9416" s="3"/>
      <c r="D9416" s="3"/>
      <c r="E9416" s="51"/>
      <c r="F9416" s="51"/>
      <c r="G9416" s="51"/>
      <c r="H9416" s="51"/>
      <c r="I9416" s="51"/>
      <c r="J9416" s="51"/>
      <c r="K9416" s="51" t="s">
        <v>134</v>
      </c>
      <c r="L9416" s="51"/>
      <c r="M9416" s="51"/>
      <c r="N9416" s="51"/>
      <c r="O9416" s="52"/>
      <c r="P9416" s="51"/>
      <c r="Q9416" s="51"/>
      <c r="R9416" s="51"/>
      <c r="S9416" s="51"/>
      <c r="T9416" s="51"/>
      <c r="AR9416" s="51"/>
      <c r="AS9416" s="51"/>
    </row>
    <row r="9417" spans="1:45" s="520" customFormat="1" ht="12">
      <c r="A9417" s="51"/>
      <c r="B9417" s="51"/>
      <c r="C9417" s="51" t="s">
        <v>135</v>
      </c>
      <c r="D9417" s="37"/>
      <c r="E9417" s="51"/>
      <c r="F9417" s="51"/>
      <c r="G9417" s="51"/>
      <c r="H9417" s="51"/>
      <c r="I9417" s="51"/>
      <c r="J9417" s="51"/>
      <c r="K9417" s="51"/>
      <c r="L9417" s="51"/>
      <c r="M9417" s="51"/>
      <c r="N9417" s="51"/>
      <c r="O9417" s="52"/>
      <c r="P9417" s="51"/>
      <c r="Q9417" s="51"/>
      <c r="R9417" s="51"/>
      <c r="S9417" s="51"/>
      <c r="T9417" s="51"/>
      <c r="AR9417" s="51"/>
      <c r="AS9417" s="51"/>
    </row>
    <row r="9418" spans="1:45" s="520" customFormat="1" ht="12">
      <c r="A9418" s="51"/>
      <c r="B9418" s="51"/>
      <c r="C9418" s="51"/>
      <c r="D9418" s="37" t="s">
        <v>2099</v>
      </c>
      <c r="E9418" s="51"/>
      <c r="F9418" s="51"/>
      <c r="G9418" s="51"/>
      <c r="H9418" s="51"/>
      <c r="I9418" s="51"/>
      <c r="J9418" s="51"/>
      <c r="K9418" s="51"/>
      <c r="L9418" s="51"/>
      <c r="M9418" s="51"/>
      <c r="N9418" s="51"/>
      <c r="O9418" s="52"/>
      <c r="P9418" s="51"/>
      <c r="Q9418" s="51"/>
      <c r="R9418" s="51"/>
      <c r="S9418" s="38"/>
      <c r="T9418" s="38"/>
      <c r="AR9418" s="51"/>
      <c r="AS9418" s="51"/>
    </row>
    <row r="9419" spans="1:45" s="3" customFormat="1" thickBot="1">
      <c r="A9419" s="531"/>
      <c r="O9419" s="107"/>
      <c r="AR9419" s="531"/>
    </row>
    <row r="9420" spans="1:45" s="520" customFormat="1" thickTop="1">
      <c r="A9420" s="51"/>
      <c r="B9420" s="51"/>
      <c r="C9420" s="3"/>
      <c r="D9420" s="3"/>
      <c r="E9420" s="51"/>
      <c r="F9420" s="51"/>
      <c r="G9420" s="51"/>
      <c r="H9420" s="51"/>
      <c r="I9420" s="51"/>
      <c r="J9420" s="51"/>
      <c r="K9420" s="51" t="s">
        <v>134</v>
      </c>
      <c r="L9420" s="51"/>
      <c r="M9420" s="51"/>
      <c r="N9420" s="51"/>
      <c r="O9420" s="52"/>
      <c r="P9420" s="51"/>
      <c r="Q9420" s="51"/>
      <c r="R9420" s="51"/>
      <c r="S9420" s="51"/>
      <c r="T9420" s="51"/>
      <c r="AR9420" s="51"/>
      <c r="AS9420" s="51"/>
    </row>
    <row r="9421" spans="1:45" s="520" customFormat="1" ht="12">
      <c r="A9421" s="51"/>
      <c r="B9421" s="51"/>
      <c r="C9421" s="51" t="s">
        <v>135</v>
      </c>
      <c r="D9421" s="37"/>
      <c r="E9421" s="51"/>
      <c r="F9421" s="51"/>
      <c r="G9421" s="51"/>
      <c r="H9421" s="51"/>
      <c r="I9421" s="51"/>
      <c r="J9421" s="51"/>
      <c r="K9421" s="51"/>
      <c r="L9421" s="51"/>
      <c r="M9421" s="51"/>
      <c r="N9421" s="51"/>
      <c r="O9421" s="52"/>
      <c r="P9421" s="51"/>
      <c r="Q9421" s="51"/>
      <c r="R9421" s="51"/>
      <c r="S9421" s="51"/>
      <c r="T9421" s="51"/>
      <c r="AR9421" s="51"/>
      <c r="AS9421" s="51"/>
    </row>
    <row r="9422" spans="1:45" s="520" customFormat="1" ht="39.9" customHeight="1">
      <c r="A9422" s="51"/>
      <c r="B9422" s="51"/>
      <c r="C9422" s="51"/>
      <c r="D9422" s="1453" t="s">
        <v>2335</v>
      </c>
      <c r="E9422" s="1452"/>
      <c r="F9422" s="1452"/>
      <c r="G9422" s="1452"/>
      <c r="H9422" s="1452"/>
      <c r="I9422" s="1452"/>
      <c r="J9422" s="1452"/>
      <c r="K9422" s="1452"/>
      <c r="L9422" s="1452"/>
      <c r="M9422" s="1452"/>
      <c r="N9422" s="1452"/>
      <c r="O9422" s="1452"/>
      <c r="P9422" s="1452"/>
      <c r="Q9422" s="1452"/>
      <c r="R9422" s="1452"/>
      <c r="S9422" s="1452"/>
      <c r="T9422" s="1452"/>
      <c r="AR9422" s="51"/>
    </row>
    <row r="9423" spans="1:45" s="3" customFormat="1" thickBot="1">
      <c r="A9423" s="531"/>
      <c r="O9423" s="107"/>
      <c r="AR9423" s="531"/>
    </row>
    <row r="9424" spans="1:45" s="520" customFormat="1" ht="12" thickTop="1">
      <c r="A9424" s="51"/>
      <c r="B9424" s="41"/>
      <c r="C9424" s="51"/>
      <c r="E9424" s="42" t="s">
        <v>138</v>
      </c>
      <c r="F9424" s="42" t="s">
        <v>139</v>
      </c>
      <c r="G9424" s="51"/>
      <c r="H9424" s="51"/>
      <c r="I9424" s="51"/>
      <c r="J9424" s="51"/>
      <c r="K9424" s="51" t="s">
        <v>140</v>
      </c>
      <c r="L9424" s="51"/>
      <c r="M9424" s="51"/>
      <c r="N9424" s="51"/>
      <c r="O9424" s="52"/>
      <c r="P9424" s="51"/>
      <c r="Q9424" s="51"/>
      <c r="R9424" s="51"/>
      <c r="S9424" s="51"/>
      <c r="T9424" s="41"/>
      <c r="AG9424" s="521" t="s">
        <v>268</v>
      </c>
      <c r="AH9424" s="521" t="s">
        <v>269</v>
      </c>
      <c r="AI9424" s="521" t="s">
        <v>270</v>
      </c>
      <c r="AJ9424" s="521" t="s">
        <v>271</v>
      </c>
      <c r="AK9424" s="521" t="s">
        <v>272</v>
      </c>
      <c r="AM9424" s="745" t="s">
        <v>281</v>
      </c>
      <c r="AN9424" s="746" t="s">
        <v>282</v>
      </c>
      <c r="AO9424" s="522" t="s">
        <v>278</v>
      </c>
      <c r="AR9424" s="51"/>
      <c r="AS9424" s="42" t="s">
        <v>139</v>
      </c>
    </row>
    <row r="9425" spans="1:45" s="520" customFormat="1" ht="12" customHeight="1">
      <c r="A9425" s="747">
        <v>1</v>
      </c>
      <c r="B9425" s="523" t="s">
        <v>141</v>
      </c>
      <c r="C9425" s="748"/>
      <c r="D9425" s="749" t="s">
        <v>2450</v>
      </c>
      <c r="E9425" s="750">
        <f ca="1">IF(AND($A9425=0,$A$1="DIF"),0, ROUND(ROUND(($R9430*$S$2+($T9430*$T$2))/A9425,2)*$C$2,2))</f>
        <v>49.52</v>
      </c>
      <c r="F9425" s="751">
        <f ca="1">ROUND($A9425*$E9425,2)</f>
        <v>49.52</v>
      </c>
      <c r="G9425" s="752" t="s">
        <v>142</v>
      </c>
      <c r="H9425" s="753"/>
      <c r="I9425" s="754"/>
      <c r="J9425" s="753"/>
      <c r="K9425" s="753" t="s">
        <v>3</v>
      </c>
      <c r="L9425" s="755" t="s">
        <v>143</v>
      </c>
      <c r="M9425" s="755"/>
      <c r="N9425" s="755"/>
      <c r="O9425" s="755"/>
      <c r="P9425" s="755"/>
      <c r="Q9425" s="51"/>
      <c r="T9425" s="756" t="str">
        <f ca="1">IF(AND($R9430=0,$T9430=0),"0.00","mu :" &amp; ROUND($F9425/$C$2/($R9430+$T9430*$D$9),2))</f>
        <v>mu :1.23</v>
      </c>
      <c r="W9425" s="524"/>
      <c r="AG9425" s="481">
        <f ca="1">IF($E9425=0,0,ROUND($R9430*$S$2*$C$2/$A9425,2))</f>
        <v>17.73</v>
      </c>
      <c r="AH9425" s="481">
        <f ca="1">$AG9425*$A9425</f>
        <v>17.73</v>
      </c>
      <c r="AI9425" s="525">
        <f ca="1">$E9425-$AG9425</f>
        <v>31.790000000000003</v>
      </c>
      <c r="AJ9425" s="525">
        <f ca="1">$A9425*$AI9425</f>
        <v>31.790000000000003</v>
      </c>
      <c r="AK9425" s="526">
        <f ca="1">ROUND(($AG9425+$AI9425)*$A9425,2)</f>
        <v>49.52</v>
      </c>
      <c r="AM9425" s="527">
        <f ca="1">ROUND(R9430,2)</f>
        <v>14.4</v>
      </c>
      <c r="AN9425" s="528">
        <f ca="1">ROUND(T9430,2)</f>
        <v>0.94</v>
      </c>
      <c r="AO9425" s="529">
        <f ca="1">ROUND(AM9425+AN9425,2)*A9425</f>
        <v>15.34</v>
      </c>
      <c r="AR9425" s="747">
        <v>1</v>
      </c>
      <c r="AS9425" s="751">
        <v>52.9</v>
      </c>
    </row>
    <row r="9426" spans="1:45" s="520" customFormat="1" ht="13.2">
      <c r="A9426" s="748"/>
      <c r="B9426"/>
      <c r="C9426" s="748"/>
      <c r="D9426" s="749" t="s">
        <v>2063</v>
      </c>
      <c r="F9426" s="753"/>
      <c r="G9426" s="3"/>
      <c r="H9426" s="753"/>
      <c r="I9426" s="754"/>
      <c r="J9426" s="753"/>
      <c r="K9426" s="753" t="s">
        <v>144</v>
      </c>
      <c r="L9426" s="753"/>
      <c r="M9426" s="753"/>
      <c r="N9426" s="753"/>
      <c r="O9426" s="753"/>
      <c r="P9426" s="753"/>
      <c r="Q9426" s="51"/>
      <c r="R9426" s="530"/>
      <c r="S9426" s="757"/>
      <c r="T9426" s="753"/>
      <c r="AR9426" s="748"/>
      <c r="AS9426" s="753"/>
    </row>
    <row r="9427" spans="1:45" s="886" customFormat="1" ht="13.2">
      <c r="A9427"/>
      <c r="B9427" s="910"/>
      <c r="C9427" s="910" t="s">
        <v>2597</v>
      </c>
      <c r="D9427" s="910" t="str">
        <f ca="1">CELL("Address",Elec_Rates!D$1029)</f>
        <v>[E25_0062_Quintano_Foods_Elec_ELV_As_Awarded.xlsx]Elec_Rates!$D$1029</v>
      </c>
      <c r="E9427" s="911"/>
      <c r="F9427" s="911"/>
      <c r="G9427" s="912" t="s">
        <v>2598</v>
      </c>
      <c r="H9427" s="912"/>
      <c r="I9427" s="912"/>
      <c r="J9427" s="912"/>
      <c r="K9427" s="913"/>
      <c r="L9427" s="911"/>
      <c r="M9427" s="911"/>
      <c r="N9427" s="911"/>
      <c r="O9427" s="914"/>
      <c r="P9427" s="911"/>
      <c r="Q9427" s="915"/>
      <c r="R9427" s="916"/>
      <c r="S9427" s="915"/>
      <c r="T9427" s="917"/>
      <c r="U9427" s="918"/>
      <c r="AR9427"/>
      <c r="AS9427" s="911"/>
    </row>
    <row r="9428" spans="1:45" s="886" customFormat="1" ht="11.4">
      <c r="A9428" s="919">
        <v>1</v>
      </c>
      <c r="B9428" s="920">
        <v>1</v>
      </c>
      <c r="C9428" s="920">
        <f>$A9428*$B9428</f>
        <v>1</v>
      </c>
      <c r="D9428" s="921" t="str">
        <f>Elec_Rates!$D$1029</f>
        <v>092# LSZH Conduit points for Fire alarm devices</v>
      </c>
      <c r="E9428" s="921"/>
      <c r="F9428" s="921" t="s">
        <v>2599</v>
      </c>
      <c r="G9428" s="922" t="s">
        <v>2600</v>
      </c>
      <c r="H9428" s="922"/>
      <c r="I9428" s="922"/>
      <c r="J9428" s="922"/>
      <c r="K9428" s="923"/>
      <c r="L9428" s="918"/>
      <c r="M9428" s="918"/>
      <c r="N9428" s="918"/>
      <c r="O9428" s="924"/>
      <c r="P9428" s="921"/>
      <c r="Q9428" s="925">
        <f ca="1">$B9428*Elec_Rates!$R$1029</f>
        <v>14.4</v>
      </c>
      <c r="R9428" s="916">
        <f ca="1">$A9428*Q9428</f>
        <v>14.4</v>
      </c>
      <c r="S9428" s="925">
        <f ca="1">$B9428*Elec_Rates!$T$1029</f>
        <v>0.94</v>
      </c>
      <c r="T9428" s="917">
        <f ca="1">$A9428*S9428</f>
        <v>0.94</v>
      </c>
      <c r="U9428" s="926"/>
      <c r="AR9428" s="919">
        <v>1</v>
      </c>
      <c r="AS9428" s="921" t="s">
        <v>2599</v>
      </c>
    </row>
    <row r="9429" spans="1:45" s="520" customFormat="1" ht="12">
      <c r="A9429" s="758"/>
      <c r="B9429" s="758"/>
      <c r="C9429" s="758"/>
      <c r="D9429" s="758"/>
      <c r="E9429" s="758"/>
      <c r="F9429" s="753"/>
      <c r="G9429" s="758"/>
      <c r="H9429" s="758"/>
      <c r="I9429" s="519"/>
      <c r="J9429" s="758"/>
      <c r="K9429" s="758"/>
      <c r="L9429" s="758"/>
      <c r="M9429" s="758"/>
      <c r="N9429" s="758"/>
      <c r="O9429" s="758"/>
      <c r="P9429" s="758"/>
      <c r="Q9429" s="519"/>
      <c r="R9429" s="759">
        <f>$A9429*Q9429</f>
        <v>0</v>
      </c>
      <c r="S9429" s="519"/>
      <c r="T9429" s="760">
        <f>$A9429*S9429*$T$1</f>
        <v>0</v>
      </c>
      <c r="AR9429" s="758"/>
      <c r="AS9429" s="753"/>
    </row>
    <row r="9430" spans="1:45" s="520" customFormat="1" ht="12.6" thickBot="1">
      <c r="A9430" s="761" t="s">
        <v>145</v>
      </c>
      <c r="B9430" s="762">
        <f>(R9429+T9429)</f>
        <v>0</v>
      </c>
      <c r="C9430" s="763"/>
      <c r="D9430" s="763"/>
      <c r="E9430" s="763"/>
      <c r="F9430" s="764"/>
      <c r="G9430" s="763" t="s">
        <v>146</v>
      </c>
      <c r="H9430" s="763"/>
      <c r="I9430" s="765"/>
      <c r="J9430" s="763"/>
      <c r="K9430" s="763" t="s">
        <v>3</v>
      </c>
      <c r="L9430" s="766" t="s">
        <v>143</v>
      </c>
      <c r="M9430" s="766"/>
      <c r="N9430" s="766"/>
      <c r="O9430" s="766"/>
      <c r="P9430" s="766"/>
      <c r="Q9430" s="767"/>
      <c r="R9430" s="768">
        <f ca="1">SUM(R9426:R9429)</f>
        <v>14.4</v>
      </c>
      <c r="S9430" s="763"/>
      <c r="T9430" s="768">
        <f ca="1">SUM(T9426:T9429)</f>
        <v>0.94</v>
      </c>
      <c r="U9430" s="531"/>
      <c r="V9430" s="531"/>
      <c r="W9430" s="531"/>
      <c r="X9430" s="531"/>
      <c r="Y9430" s="531"/>
      <c r="Z9430" s="531"/>
      <c r="AA9430" s="531"/>
      <c r="AB9430" s="531"/>
      <c r="AC9430" s="531"/>
      <c r="AD9430" s="531"/>
      <c r="AE9430" s="531"/>
      <c r="AF9430" s="531"/>
      <c r="AG9430" s="531"/>
      <c r="AH9430" s="531"/>
      <c r="AI9430" s="531"/>
      <c r="AJ9430" s="531"/>
      <c r="AK9430" s="531"/>
      <c r="AL9430" s="531"/>
      <c r="AM9430" s="531"/>
      <c r="AN9430" s="531"/>
      <c r="AO9430" s="531"/>
      <c r="AR9430" s="761" t="s">
        <v>145</v>
      </c>
      <c r="AS9430" s="764"/>
    </row>
    <row r="9431" spans="1:45" s="520" customFormat="1" ht="12" thickTop="1">
      <c r="A9431" s="51"/>
      <c r="B9431" s="41"/>
      <c r="C9431" s="51"/>
      <c r="E9431" s="42" t="s">
        <v>138</v>
      </c>
      <c r="F9431" s="42" t="s">
        <v>139</v>
      </c>
      <c r="G9431" s="51"/>
      <c r="H9431" s="51"/>
      <c r="I9431" s="51"/>
      <c r="J9431" s="51"/>
      <c r="K9431" s="51" t="s">
        <v>140</v>
      </c>
      <c r="L9431" s="51"/>
      <c r="M9431" s="51"/>
      <c r="N9431" s="51"/>
      <c r="O9431" s="52"/>
      <c r="P9431" s="51"/>
      <c r="Q9431" s="51"/>
      <c r="R9431" s="51"/>
      <c r="S9431" s="51"/>
      <c r="T9431" s="41"/>
      <c r="AG9431" s="521" t="s">
        <v>268</v>
      </c>
      <c r="AH9431" s="521" t="s">
        <v>269</v>
      </c>
      <c r="AI9431" s="521" t="s">
        <v>270</v>
      </c>
      <c r="AJ9431" s="521" t="s">
        <v>271</v>
      </c>
      <c r="AK9431" s="521" t="s">
        <v>272</v>
      </c>
      <c r="AM9431" s="745" t="s">
        <v>281</v>
      </c>
      <c r="AN9431" s="746" t="s">
        <v>282</v>
      </c>
      <c r="AO9431" s="522" t="s">
        <v>278</v>
      </c>
      <c r="AR9431" s="51"/>
      <c r="AS9431" s="42" t="s">
        <v>139</v>
      </c>
    </row>
    <row r="9432" spans="1:45" s="520" customFormat="1" ht="12" customHeight="1">
      <c r="A9432" s="747">
        <v>24</v>
      </c>
      <c r="B9432" s="523" t="s">
        <v>141</v>
      </c>
      <c r="C9432" s="748"/>
      <c r="D9432" s="749" t="s">
        <v>2451</v>
      </c>
      <c r="E9432" s="750">
        <f ca="1">IF(AND($A9432=0,$A$1="DIF"),0, ROUND(ROUND(($R9437*$S$2+($T9437*$T$2))/A9432,2)*$C$2,2))</f>
        <v>49.52</v>
      </c>
      <c r="F9432" s="751">
        <f ca="1">ROUND($A9432*$E9432,2)</f>
        <v>1188.48</v>
      </c>
      <c r="G9432" s="752" t="s">
        <v>142</v>
      </c>
      <c r="H9432" s="753"/>
      <c r="I9432" s="754"/>
      <c r="J9432" s="753"/>
      <c r="K9432" s="753" t="s">
        <v>3</v>
      </c>
      <c r="L9432" s="755" t="s">
        <v>143</v>
      </c>
      <c r="M9432" s="755"/>
      <c r="N9432" s="755"/>
      <c r="O9432" s="755"/>
      <c r="P9432" s="755"/>
      <c r="Q9432" s="51"/>
      <c r="T9432" s="756" t="str">
        <f ca="1">IF(AND($R9437=0,$T9437=0),"0.00","mu :" &amp; ROUND($F9432/$C$2/($R9437+$T9437*$D$9),2))</f>
        <v>mu :1.23</v>
      </c>
      <c r="W9432" s="524"/>
      <c r="AG9432" s="481">
        <f ca="1">IF($E9432=0,0,ROUND($R9437*$S$2*$C$2/$A9432,2))</f>
        <v>17.73</v>
      </c>
      <c r="AH9432" s="481">
        <f ca="1">$AG9432*$A9432</f>
        <v>425.52</v>
      </c>
      <c r="AI9432" s="525">
        <f ca="1">$E9432-$AG9432</f>
        <v>31.790000000000003</v>
      </c>
      <c r="AJ9432" s="525">
        <f ca="1">$A9432*$AI9432</f>
        <v>762.96</v>
      </c>
      <c r="AK9432" s="526">
        <f ca="1">ROUND(($AG9432+$AI9432)*$A9432,2)</f>
        <v>1188.48</v>
      </c>
      <c r="AM9432" s="527">
        <f ca="1">ROUND(R9437,2)</f>
        <v>345.6</v>
      </c>
      <c r="AN9432" s="528">
        <f ca="1">ROUND(T9437,2)</f>
        <v>22.56</v>
      </c>
      <c r="AO9432" s="529">
        <f ca="1">ROUND(AM9432+AN9432,2)*A9432</f>
        <v>8835.84</v>
      </c>
      <c r="AR9432" s="747">
        <v>24</v>
      </c>
      <c r="AS9432" s="751">
        <v>1269.5999999999999</v>
      </c>
    </row>
    <row r="9433" spans="1:45" s="520" customFormat="1" ht="13.2">
      <c r="A9433" s="748"/>
      <c r="B9433"/>
      <c r="C9433" s="748"/>
      <c r="D9433" s="749" t="s">
        <v>2061</v>
      </c>
      <c r="F9433" s="753"/>
      <c r="G9433" s="3"/>
      <c r="H9433" s="753"/>
      <c r="I9433" s="754"/>
      <c r="J9433" s="753"/>
      <c r="K9433" s="753" t="s">
        <v>144</v>
      </c>
      <c r="L9433" s="753"/>
      <c r="M9433" s="753"/>
      <c r="N9433" s="753"/>
      <c r="O9433" s="753"/>
      <c r="P9433" s="753"/>
      <c r="Q9433" s="51"/>
      <c r="R9433" s="530"/>
      <c r="S9433" s="757"/>
      <c r="T9433" s="753"/>
      <c r="AR9433" s="748"/>
      <c r="AS9433" s="753"/>
    </row>
    <row r="9434" spans="1:45" s="886" customFormat="1" ht="13.2">
      <c r="A9434"/>
      <c r="B9434" s="910"/>
      <c r="C9434" s="910" t="s">
        <v>2597</v>
      </c>
      <c r="D9434" s="910" t="str">
        <f ca="1">CELL("Address",Elec_Rates!D$1029)</f>
        <v>[E25_0062_Quintano_Foods_Elec_ELV_As_Awarded.xlsx]Elec_Rates!$D$1029</v>
      </c>
      <c r="E9434" s="911"/>
      <c r="F9434" s="911"/>
      <c r="G9434" s="912" t="s">
        <v>2598</v>
      </c>
      <c r="H9434" s="912"/>
      <c r="I9434" s="912"/>
      <c r="J9434" s="912"/>
      <c r="K9434" s="913"/>
      <c r="L9434" s="911"/>
      <c r="M9434" s="911"/>
      <c r="N9434" s="911"/>
      <c r="O9434" s="914"/>
      <c r="P9434" s="911"/>
      <c r="Q9434" s="915"/>
      <c r="R9434" s="916"/>
      <c r="S9434" s="915"/>
      <c r="T9434" s="917"/>
      <c r="U9434" s="918"/>
      <c r="AR9434"/>
      <c r="AS9434" s="911"/>
    </row>
    <row r="9435" spans="1:45" s="886" customFormat="1" ht="11.4">
      <c r="A9435" s="919">
        <v>24</v>
      </c>
      <c r="B9435" s="920">
        <v>1</v>
      </c>
      <c r="C9435" s="920">
        <f>$A9435*$B9435</f>
        <v>24</v>
      </c>
      <c r="D9435" s="921" t="str">
        <f>Elec_Rates!$D$1029</f>
        <v>092# LSZH Conduit points for Fire alarm devices</v>
      </c>
      <c r="E9435" s="921"/>
      <c r="F9435" s="921" t="s">
        <v>2599</v>
      </c>
      <c r="G9435" s="922" t="s">
        <v>2600</v>
      </c>
      <c r="H9435" s="922"/>
      <c r="I9435" s="922"/>
      <c r="J9435" s="922"/>
      <c r="K9435" s="923"/>
      <c r="L9435" s="918"/>
      <c r="M9435" s="918"/>
      <c r="N9435" s="918"/>
      <c r="O9435" s="924"/>
      <c r="P9435" s="921"/>
      <c r="Q9435" s="925">
        <f ca="1">$B9435*Elec_Rates!$R$1029</f>
        <v>14.4</v>
      </c>
      <c r="R9435" s="916">
        <f ca="1">$A9435*Q9435</f>
        <v>345.6</v>
      </c>
      <c r="S9435" s="925">
        <f ca="1">$B9435*Elec_Rates!$T$1029</f>
        <v>0.94</v>
      </c>
      <c r="T9435" s="917">
        <f ca="1">$A9435*S9435</f>
        <v>22.56</v>
      </c>
      <c r="U9435" s="926"/>
      <c r="AR9435" s="919">
        <v>24</v>
      </c>
      <c r="AS9435" s="921" t="s">
        <v>2599</v>
      </c>
    </row>
    <row r="9436" spans="1:45" s="520" customFormat="1" ht="12">
      <c r="A9436" s="758"/>
      <c r="B9436" s="758"/>
      <c r="C9436" s="758"/>
      <c r="D9436" s="758"/>
      <c r="E9436" s="758"/>
      <c r="F9436" s="753"/>
      <c r="G9436" s="758"/>
      <c r="H9436" s="758"/>
      <c r="I9436" s="519"/>
      <c r="J9436" s="758"/>
      <c r="K9436" s="758"/>
      <c r="L9436" s="758"/>
      <c r="M9436" s="758"/>
      <c r="N9436" s="758"/>
      <c r="O9436" s="758"/>
      <c r="P9436" s="758"/>
      <c r="Q9436" s="519"/>
      <c r="R9436" s="759">
        <f>$A9436*Q9436</f>
        <v>0</v>
      </c>
      <c r="S9436" s="519"/>
      <c r="T9436" s="760">
        <f>$A9436*S9436*$T$1</f>
        <v>0</v>
      </c>
      <c r="AR9436" s="758"/>
      <c r="AS9436" s="753"/>
    </row>
    <row r="9437" spans="1:45" s="520" customFormat="1" ht="12.6" thickBot="1">
      <c r="A9437" s="761" t="s">
        <v>145</v>
      </c>
      <c r="B9437" s="762">
        <f>(R9436+T9436)</f>
        <v>0</v>
      </c>
      <c r="C9437" s="763"/>
      <c r="D9437" s="763"/>
      <c r="E9437" s="763"/>
      <c r="F9437" s="764"/>
      <c r="G9437" s="763" t="s">
        <v>146</v>
      </c>
      <c r="H9437" s="763"/>
      <c r="I9437" s="765"/>
      <c r="J9437" s="763"/>
      <c r="K9437" s="763" t="s">
        <v>3</v>
      </c>
      <c r="L9437" s="766" t="s">
        <v>143</v>
      </c>
      <c r="M9437" s="766"/>
      <c r="N9437" s="766"/>
      <c r="O9437" s="766"/>
      <c r="P9437" s="766"/>
      <c r="Q9437" s="767"/>
      <c r="R9437" s="768">
        <f ca="1">SUM(R9433:R9436)</f>
        <v>345.6</v>
      </c>
      <c r="S9437" s="763"/>
      <c r="T9437" s="768">
        <f ca="1">SUM(T9433:T9436)</f>
        <v>22.56</v>
      </c>
      <c r="U9437" s="531"/>
      <c r="V9437" s="531"/>
      <c r="W9437" s="531"/>
      <c r="X9437" s="531"/>
      <c r="Y9437" s="531"/>
      <c r="Z9437" s="531"/>
      <c r="AA9437" s="531"/>
      <c r="AB9437" s="531"/>
      <c r="AC9437" s="531"/>
      <c r="AD9437" s="531"/>
      <c r="AE9437" s="531"/>
      <c r="AF9437" s="531"/>
      <c r="AG9437" s="531"/>
      <c r="AH9437" s="531"/>
      <c r="AI9437" s="531"/>
      <c r="AJ9437" s="531"/>
      <c r="AK9437" s="531"/>
      <c r="AL9437" s="531"/>
      <c r="AM9437" s="531"/>
      <c r="AN9437" s="531"/>
      <c r="AO9437" s="531"/>
      <c r="AR9437" s="761" t="s">
        <v>145</v>
      </c>
      <c r="AS9437" s="764"/>
    </row>
    <row r="9438" spans="1:45" s="520" customFormat="1" ht="12" thickTop="1">
      <c r="A9438" s="51"/>
      <c r="B9438" s="41"/>
      <c r="C9438" s="51"/>
      <c r="E9438" s="42" t="s">
        <v>138</v>
      </c>
      <c r="F9438" s="42" t="s">
        <v>139</v>
      </c>
      <c r="G9438" s="51"/>
      <c r="H9438" s="51"/>
      <c r="I9438" s="51"/>
      <c r="J9438" s="51"/>
      <c r="K9438" s="51" t="s">
        <v>140</v>
      </c>
      <c r="L9438" s="51"/>
      <c r="M9438" s="51"/>
      <c r="N9438" s="51"/>
      <c r="O9438" s="52"/>
      <c r="P9438" s="51"/>
      <c r="Q9438" s="51"/>
      <c r="R9438" s="51"/>
      <c r="S9438" s="51"/>
      <c r="T9438" s="41"/>
      <c r="AG9438" s="521" t="s">
        <v>268</v>
      </c>
      <c r="AH9438" s="521" t="s">
        <v>269</v>
      </c>
      <c r="AI9438" s="521" t="s">
        <v>270</v>
      </c>
      <c r="AJ9438" s="521" t="s">
        <v>271</v>
      </c>
      <c r="AK9438" s="521" t="s">
        <v>272</v>
      </c>
      <c r="AM9438" s="745" t="s">
        <v>281</v>
      </c>
      <c r="AN9438" s="746" t="s">
        <v>282</v>
      </c>
      <c r="AO9438" s="522" t="s">
        <v>278</v>
      </c>
      <c r="AR9438" s="51"/>
      <c r="AS9438" s="42" t="s">
        <v>139</v>
      </c>
    </row>
    <row r="9439" spans="1:45" s="520" customFormat="1" ht="12" customHeight="1">
      <c r="A9439" s="747">
        <v>4</v>
      </c>
      <c r="B9439" s="523" t="s">
        <v>141</v>
      </c>
      <c r="C9439" s="748"/>
      <c r="D9439" s="749" t="s">
        <v>2452</v>
      </c>
      <c r="E9439" s="750">
        <f ca="1">IF(AND($A9439=0,$A$1="DIF"),0, ROUND(ROUND(($R9444*$S$2+($T9444*$T$2))/A9439,2)*$C$2,2))</f>
        <v>49.52</v>
      </c>
      <c r="F9439" s="751">
        <f ca="1">ROUND($A9439*$E9439,2)</f>
        <v>198.08</v>
      </c>
      <c r="G9439" s="752" t="s">
        <v>142</v>
      </c>
      <c r="H9439" s="753"/>
      <c r="I9439" s="754"/>
      <c r="J9439" s="753"/>
      <c r="K9439" s="753" t="s">
        <v>3</v>
      </c>
      <c r="L9439" s="755" t="s">
        <v>143</v>
      </c>
      <c r="M9439" s="755"/>
      <c r="N9439" s="755"/>
      <c r="O9439" s="755"/>
      <c r="P9439" s="755"/>
      <c r="Q9439" s="51"/>
      <c r="T9439" s="756" t="str">
        <f ca="1">IF(AND($R9444=0,$T9444=0),"0.00","mu :" &amp; ROUND($F9439/$C$2/($R9444+$T9444*$D$9),2))</f>
        <v>mu :1.23</v>
      </c>
      <c r="W9439" s="524"/>
      <c r="AG9439" s="481">
        <f ca="1">IF($E9439=0,0,ROUND($R9444*$S$2*$C$2/$A9439,2))</f>
        <v>17.73</v>
      </c>
      <c r="AH9439" s="481">
        <f ca="1">$AG9439*$A9439</f>
        <v>70.92</v>
      </c>
      <c r="AI9439" s="525">
        <f ca="1">$E9439-$AG9439</f>
        <v>31.790000000000003</v>
      </c>
      <c r="AJ9439" s="525">
        <f ca="1">$A9439*$AI9439</f>
        <v>127.16000000000001</v>
      </c>
      <c r="AK9439" s="526">
        <f ca="1">ROUND(($AG9439+$AI9439)*$A9439,2)</f>
        <v>198.08</v>
      </c>
      <c r="AM9439" s="527">
        <f ca="1">ROUND(R9444,2)</f>
        <v>57.6</v>
      </c>
      <c r="AN9439" s="528">
        <f ca="1">ROUND(T9444,2)</f>
        <v>3.76</v>
      </c>
      <c r="AO9439" s="529">
        <f ca="1">ROUND(AM9439+AN9439,2)*A9439</f>
        <v>245.44</v>
      </c>
      <c r="AR9439" s="747">
        <v>4</v>
      </c>
      <c r="AS9439" s="751">
        <v>211.6</v>
      </c>
    </row>
    <row r="9440" spans="1:45" s="520" customFormat="1" ht="13.2">
      <c r="A9440" s="748"/>
      <c r="B9440"/>
      <c r="C9440" s="748"/>
      <c r="D9440" s="749" t="s">
        <v>2062</v>
      </c>
      <c r="F9440" s="753"/>
      <c r="G9440" s="3"/>
      <c r="H9440" s="753"/>
      <c r="I9440" s="754"/>
      <c r="J9440" s="753"/>
      <c r="K9440" s="753" t="s">
        <v>144</v>
      </c>
      <c r="L9440" s="753"/>
      <c r="M9440" s="753"/>
      <c r="N9440" s="753"/>
      <c r="O9440" s="753"/>
      <c r="P9440" s="753"/>
      <c r="Q9440" s="51"/>
      <c r="R9440" s="530"/>
      <c r="S9440" s="757"/>
      <c r="T9440" s="753"/>
      <c r="AR9440" s="748"/>
      <c r="AS9440" s="753"/>
    </row>
    <row r="9441" spans="1:45" s="886" customFormat="1" ht="13.2">
      <c r="A9441"/>
      <c r="B9441" s="910"/>
      <c r="C9441" s="910" t="s">
        <v>2597</v>
      </c>
      <c r="D9441" s="910" t="str">
        <f ca="1">CELL("Address",Elec_Rates!D$1029)</f>
        <v>[E25_0062_Quintano_Foods_Elec_ELV_As_Awarded.xlsx]Elec_Rates!$D$1029</v>
      </c>
      <c r="E9441" s="911"/>
      <c r="F9441" s="911"/>
      <c r="G9441" s="912" t="s">
        <v>2598</v>
      </c>
      <c r="H9441" s="912"/>
      <c r="I9441" s="912"/>
      <c r="J9441" s="912"/>
      <c r="K9441" s="913"/>
      <c r="L9441" s="911"/>
      <c r="M9441" s="911"/>
      <c r="N9441" s="911"/>
      <c r="O9441" s="914"/>
      <c r="P9441" s="911"/>
      <c r="Q9441" s="915"/>
      <c r="R9441" s="916"/>
      <c r="S9441" s="915"/>
      <c r="T9441" s="917"/>
      <c r="U9441" s="918"/>
      <c r="AR9441"/>
      <c r="AS9441" s="911"/>
    </row>
    <row r="9442" spans="1:45" s="886" customFormat="1" ht="11.4">
      <c r="A9442" s="919">
        <v>4</v>
      </c>
      <c r="B9442" s="920">
        <v>1</v>
      </c>
      <c r="C9442" s="920">
        <f>$A9442*$B9442</f>
        <v>4</v>
      </c>
      <c r="D9442" s="921" t="str">
        <f>Elec_Rates!$D$1029</f>
        <v>092# LSZH Conduit points for Fire alarm devices</v>
      </c>
      <c r="E9442" s="921"/>
      <c r="F9442" s="921" t="s">
        <v>2599</v>
      </c>
      <c r="G9442" s="922" t="s">
        <v>2600</v>
      </c>
      <c r="H9442" s="922"/>
      <c r="I9442" s="922"/>
      <c r="J9442" s="922"/>
      <c r="K9442" s="923"/>
      <c r="L9442" s="918"/>
      <c r="M9442" s="918"/>
      <c r="N9442" s="918"/>
      <c r="O9442" s="924"/>
      <c r="P9442" s="921"/>
      <c r="Q9442" s="925">
        <f ca="1">$B9442*Elec_Rates!$R$1029</f>
        <v>14.4</v>
      </c>
      <c r="R9442" s="916">
        <f ca="1">$A9442*Q9442</f>
        <v>57.6</v>
      </c>
      <c r="S9442" s="925">
        <f ca="1">$B9442*Elec_Rates!$T$1029</f>
        <v>0.94</v>
      </c>
      <c r="T9442" s="917">
        <f ca="1">$A9442*S9442</f>
        <v>3.76</v>
      </c>
      <c r="U9442" s="926"/>
      <c r="AR9442" s="919">
        <v>4</v>
      </c>
      <c r="AS9442" s="921" t="s">
        <v>2599</v>
      </c>
    </row>
    <row r="9443" spans="1:45" s="520" customFormat="1" ht="12">
      <c r="A9443" s="758"/>
      <c r="B9443" s="758"/>
      <c r="C9443" s="758"/>
      <c r="D9443" s="758"/>
      <c r="E9443" s="758"/>
      <c r="F9443" s="753"/>
      <c r="G9443" s="758"/>
      <c r="H9443" s="758"/>
      <c r="I9443" s="519"/>
      <c r="J9443" s="758"/>
      <c r="K9443" s="758"/>
      <c r="L9443" s="758"/>
      <c r="M9443" s="758"/>
      <c r="N9443" s="758"/>
      <c r="O9443" s="758"/>
      <c r="P9443" s="758"/>
      <c r="Q9443" s="519"/>
      <c r="R9443" s="759">
        <f>$A9443*Q9443</f>
        <v>0</v>
      </c>
      <c r="S9443" s="519"/>
      <c r="T9443" s="760">
        <f>$A9443*S9443*$T$1</f>
        <v>0</v>
      </c>
      <c r="AR9443" s="758"/>
      <c r="AS9443" s="753"/>
    </row>
    <row r="9444" spans="1:45" s="520" customFormat="1" ht="12.6" thickBot="1">
      <c r="A9444" s="761" t="s">
        <v>145</v>
      </c>
      <c r="B9444" s="762">
        <f>(R9443+T9443)</f>
        <v>0</v>
      </c>
      <c r="C9444" s="763"/>
      <c r="D9444" s="763"/>
      <c r="E9444" s="763"/>
      <c r="F9444" s="764"/>
      <c r="G9444" s="763" t="s">
        <v>146</v>
      </c>
      <c r="H9444" s="763"/>
      <c r="I9444" s="765"/>
      <c r="J9444" s="763"/>
      <c r="K9444" s="763" t="s">
        <v>3</v>
      </c>
      <c r="L9444" s="766" t="s">
        <v>143</v>
      </c>
      <c r="M9444" s="766"/>
      <c r="N9444" s="766"/>
      <c r="O9444" s="766"/>
      <c r="P9444" s="766"/>
      <c r="Q9444" s="767"/>
      <c r="R9444" s="768">
        <f ca="1">SUM(R9440:R9443)</f>
        <v>57.6</v>
      </c>
      <c r="S9444" s="763"/>
      <c r="T9444" s="768">
        <f ca="1">SUM(T9440:T9443)</f>
        <v>3.76</v>
      </c>
      <c r="U9444" s="531"/>
      <c r="V9444" s="531"/>
      <c r="W9444" s="531"/>
      <c r="X9444" s="531"/>
      <c r="Y9444" s="531"/>
      <c r="Z9444" s="531"/>
      <c r="AA9444" s="531"/>
      <c r="AB9444" s="531"/>
      <c r="AC9444" s="531"/>
      <c r="AD9444" s="531"/>
      <c r="AE9444" s="531"/>
      <c r="AF9444" s="531"/>
      <c r="AG9444" s="531"/>
      <c r="AH9444" s="531"/>
      <c r="AI9444" s="531"/>
      <c r="AJ9444" s="531"/>
      <c r="AK9444" s="531"/>
      <c r="AL9444" s="531"/>
      <c r="AM9444" s="531"/>
      <c r="AN9444" s="531"/>
      <c r="AO9444" s="531"/>
      <c r="AR9444" s="761" t="s">
        <v>145</v>
      </c>
      <c r="AS9444" s="764"/>
    </row>
    <row r="9445" spans="1:45" s="520" customFormat="1" ht="12" thickTop="1">
      <c r="A9445" s="51"/>
      <c r="B9445" s="41"/>
      <c r="C9445" s="51"/>
      <c r="E9445" s="42" t="s">
        <v>138</v>
      </c>
      <c r="F9445" s="42" t="s">
        <v>139</v>
      </c>
      <c r="G9445" s="51"/>
      <c r="H9445" s="51"/>
      <c r="I9445" s="51"/>
      <c r="J9445" s="51"/>
      <c r="K9445" s="51" t="s">
        <v>140</v>
      </c>
      <c r="L9445" s="51"/>
      <c r="M9445" s="51"/>
      <c r="N9445" s="51"/>
      <c r="O9445" s="52"/>
      <c r="P9445" s="51"/>
      <c r="Q9445" s="51"/>
      <c r="R9445" s="51"/>
      <c r="S9445" s="51"/>
      <c r="T9445" s="41"/>
      <c r="AG9445" s="521" t="s">
        <v>268</v>
      </c>
      <c r="AH9445" s="521" t="s">
        <v>269</v>
      </c>
      <c r="AI9445" s="521" t="s">
        <v>270</v>
      </c>
      <c r="AJ9445" s="521" t="s">
        <v>271</v>
      </c>
      <c r="AK9445" s="521" t="s">
        <v>272</v>
      </c>
      <c r="AM9445" s="745" t="s">
        <v>281</v>
      </c>
      <c r="AN9445" s="746" t="s">
        <v>282</v>
      </c>
      <c r="AO9445" s="522" t="s">
        <v>278</v>
      </c>
      <c r="AR9445" s="51"/>
      <c r="AS9445" s="42" t="s">
        <v>139</v>
      </c>
    </row>
    <row r="9446" spans="1:45" s="520" customFormat="1" ht="12" customHeight="1">
      <c r="A9446" s="747">
        <v>2</v>
      </c>
      <c r="B9446" s="523" t="s">
        <v>141</v>
      </c>
      <c r="C9446" s="748"/>
      <c r="D9446" s="749" t="s">
        <v>2453</v>
      </c>
      <c r="E9446" s="750">
        <f ca="1">IF(AND($A9446=0,$A$1="DIF"),0, ROUND(ROUND(($R9451*$S$2+($T9451*$T$2))/A9446,2)*$C$2,2))</f>
        <v>49.52</v>
      </c>
      <c r="F9446" s="751">
        <f ca="1">ROUND($A9446*$E9446,2)</f>
        <v>99.04</v>
      </c>
      <c r="G9446" s="752" t="s">
        <v>142</v>
      </c>
      <c r="H9446" s="753"/>
      <c r="I9446" s="754"/>
      <c r="J9446" s="753"/>
      <c r="K9446" s="753" t="s">
        <v>3</v>
      </c>
      <c r="L9446" s="755" t="s">
        <v>143</v>
      </c>
      <c r="M9446" s="755"/>
      <c r="N9446" s="755"/>
      <c r="O9446" s="755"/>
      <c r="P9446" s="755"/>
      <c r="Q9446" s="51"/>
      <c r="T9446" s="756" t="str">
        <f ca="1">IF(AND($R9451=0,$T9451=0),"0.00","mu :" &amp; ROUND($F9446/$C$2/($R9451+$T9451*$D$9),2))</f>
        <v>mu :1.23</v>
      </c>
      <c r="W9446" s="524"/>
      <c r="AG9446" s="481">
        <f ca="1">IF($E9446=0,0,ROUND($R9451*$S$2*$C$2/$A9446,2))</f>
        <v>17.73</v>
      </c>
      <c r="AH9446" s="481">
        <f ca="1">$AG9446*$A9446</f>
        <v>35.46</v>
      </c>
      <c r="AI9446" s="525">
        <f ca="1">$E9446-$AG9446</f>
        <v>31.790000000000003</v>
      </c>
      <c r="AJ9446" s="525">
        <f ca="1">$A9446*$AI9446</f>
        <v>63.580000000000005</v>
      </c>
      <c r="AK9446" s="526">
        <f ca="1">ROUND(($AG9446+$AI9446)*$A9446,2)</f>
        <v>99.04</v>
      </c>
      <c r="AM9446" s="527">
        <f ca="1">ROUND(R9451,2)</f>
        <v>28.8</v>
      </c>
      <c r="AN9446" s="528">
        <f ca="1">ROUND(T9451,2)</f>
        <v>1.88</v>
      </c>
      <c r="AO9446" s="529">
        <f ca="1">ROUND(AM9446+AN9446,2)*A9446</f>
        <v>61.36</v>
      </c>
      <c r="AR9446" s="747">
        <v>2</v>
      </c>
      <c r="AS9446" s="751">
        <v>105.8</v>
      </c>
    </row>
    <row r="9447" spans="1:45" s="520" customFormat="1" ht="13.2">
      <c r="A9447" s="748"/>
      <c r="B9447"/>
      <c r="C9447" s="748"/>
      <c r="D9447" s="749" t="s">
        <v>2065</v>
      </c>
      <c r="F9447" s="753"/>
      <c r="G9447" s="3"/>
      <c r="H9447" s="753"/>
      <c r="I9447" s="754"/>
      <c r="J9447" s="753"/>
      <c r="K9447" s="753" t="s">
        <v>144</v>
      </c>
      <c r="L9447" s="753"/>
      <c r="M9447" s="753"/>
      <c r="N9447" s="753"/>
      <c r="O9447" s="753"/>
      <c r="P9447" s="753"/>
      <c r="Q9447" s="51"/>
      <c r="R9447" s="530"/>
      <c r="S9447" s="757"/>
      <c r="T9447" s="753"/>
      <c r="AR9447" s="748"/>
      <c r="AS9447" s="753"/>
    </row>
    <row r="9448" spans="1:45" s="886" customFormat="1" ht="13.2">
      <c r="A9448"/>
      <c r="B9448" s="910"/>
      <c r="C9448" s="910" t="s">
        <v>2597</v>
      </c>
      <c r="D9448" s="910" t="str">
        <f ca="1">CELL("Address",Elec_Rates!D$1029)</f>
        <v>[E25_0062_Quintano_Foods_Elec_ELV_As_Awarded.xlsx]Elec_Rates!$D$1029</v>
      </c>
      <c r="E9448" s="911"/>
      <c r="F9448" s="911"/>
      <c r="G9448" s="912" t="s">
        <v>2598</v>
      </c>
      <c r="H9448" s="912"/>
      <c r="I9448" s="912"/>
      <c r="J9448" s="912"/>
      <c r="K9448" s="913"/>
      <c r="L9448" s="911"/>
      <c r="M9448" s="911"/>
      <c r="N9448" s="911"/>
      <c r="O9448" s="914"/>
      <c r="P9448" s="911"/>
      <c r="Q9448" s="915"/>
      <c r="R9448" s="916"/>
      <c r="S9448" s="915"/>
      <c r="T9448" s="917"/>
      <c r="U9448" s="918"/>
      <c r="AR9448"/>
      <c r="AS9448" s="911"/>
    </row>
    <row r="9449" spans="1:45" s="886" customFormat="1" ht="11.4">
      <c r="A9449" s="919">
        <v>2</v>
      </c>
      <c r="B9449" s="920">
        <v>1</v>
      </c>
      <c r="C9449" s="920">
        <f>$A9449*$B9449</f>
        <v>2</v>
      </c>
      <c r="D9449" s="921" t="str">
        <f>Elec_Rates!$D$1029</f>
        <v>092# LSZH Conduit points for Fire alarm devices</v>
      </c>
      <c r="E9449" s="921"/>
      <c r="F9449" s="921" t="s">
        <v>2599</v>
      </c>
      <c r="G9449" s="922" t="s">
        <v>2600</v>
      </c>
      <c r="H9449" s="922"/>
      <c r="I9449" s="922"/>
      <c r="J9449" s="922"/>
      <c r="K9449" s="923"/>
      <c r="L9449" s="918"/>
      <c r="M9449" s="918"/>
      <c r="N9449" s="918"/>
      <c r="O9449" s="924"/>
      <c r="P9449" s="921"/>
      <c r="Q9449" s="925">
        <f ca="1">$B9449*Elec_Rates!$R$1029</f>
        <v>14.4</v>
      </c>
      <c r="R9449" s="916">
        <f ca="1">$A9449*Q9449</f>
        <v>28.8</v>
      </c>
      <c r="S9449" s="925">
        <f ca="1">$B9449*Elec_Rates!$T$1029</f>
        <v>0.94</v>
      </c>
      <c r="T9449" s="917">
        <f ca="1">$A9449*S9449</f>
        <v>1.88</v>
      </c>
      <c r="U9449" s="926"/>
      <c r="AR9449" s="919">
        <v>2</v>
      </c>
      <c r="AS9449" s="921" t="s">
        <v>2599</v>
      </c>
    </row>
    <row r="9450" spans="1:45" s="520" customFormat="1" ht="12">
      <c r="A9450" s="758"/>
      <c r="B9450" s="758"/>
      <c r="C9450" s="758"/>
      <c r="D9450" s="758"/>
      <c r="E9450" s="758"/>
      <c r="F9450" s="753"/>
      <c r="G9450" s="758"/>
      <c r="H9450" s="758"/>
      <c r="I9450" s="519"/>
      <c r="J9450" s="758"/>
      <c r="K9450" s="758"/>
      <c r="L9450" s="758"/>
      <c r="M9450" s="758"/>
      <c r="N9450" s="758"/>
      <c r="O9450" s="758"/>
      <c r="P9450" s="758"/>
      <c r="Q9450" s="519"/>
      <c r="R9450" s="759">
        <f>$A9450*Q9450</f>
        <v>0</v>
      </c>
      <c r="S9450" s="519"/>
      <c r="T9450" s="760">
        <f>$A9450*S9450*$T$1</f>
        <v>0</v>
      </c>
      <c r="AR9450" s="758"/>
      <c r="AS9450" s="753"/>
    </row>
    <row r="9451" spans="1:45" s="520" customFormat="1" ht="12.6" thickBot="1">
      <c r="A9451" s="761" t="s">
        <v>145</v>
      </c>
      <c r="B9451" s="762">
        <f>(R9450+T9450)</f>
        <v>0</v>
      </c>
      <c r="C9451" s="763"/>
      <c r="D9451" s="763"/>
      <c r="E9451" s="763"/>
      <c r="F9451" s="764"/>
      <c r="G9451" s="763" t="s">
        <v>146</v>
      </c>
      <c r="H9451" s="763"/>
      <c r="I9451" s="765"/>
      <c r="J9451" s="763"/>
      <c r="K9451" s="763" t="s">
        <v>3</v>
      </c>
      <c r="L9451" s="766" t="s">
        <v>143</v>
      </c>
      <c r="M9451" s="766"/>
      <c r="N9451" s="766"/>
      <c r="O9451" s="766"/>
      <c r="P9451" s="766"/>
      <c r="Q9451" s="767"/>
      <c r="R9451" s="768">
        <f ca="1">SUM(R9447:R9450)</f>
        <v>28.8</v>
      </c>
      <c r="S9451" s="763"/>
      <c r="T9451" s="768">
        <f ca="1">SUM(T9447:T9450)</f>
        <v>1.88</v>
      </c>
      <c r="U9451" s="531"/>
      <c r="V9451" s="531"/>
      <c r="W9451" s="531"/>
      <c r="X9451" s="531"/>
      <c r="Y9451" s="531"/>
      <c r="Z9451" s="531"/>
      <c r="AA9451" s="531"/>
      <c r="AB9451" s="531"/>
      <c r="AC9451" s="531"/>
      <c r="AD9451" s="531"/>
      <c r="AE9451" s="531"/>
      <c r="AF9451" s="531"/>
      <c r="AG9451" s="531"/>
      <c r="AH9451" s="531"/>
      <c r="AI9451" s="531"/>
      <c r="AJ9451" s="531"/>
      <c r="AK9451" s="531"/>
      <c r="AL9451" s="531"/>
      <c r="AM9451" s="531"/>
      <c r="AN9451" s="531"/>
      <c r="AO9451" s="531"/>
      <c r="AR9451" s="761" t="s">
        <v>145</v>
      </c>
      <c r="AS9451" s="764"/>
    </row>
    <row r="9452" spans="1:45" s="520" customFormat="1" ht="12" thickTop="1">
      <c r="A9452" s="51"/>
      <c r="B9452" s="41"/>
      <c r="C9452" s="51"/>
      <c r="E9452" s="42" t="s">
        <v>138</v>
      </c>
      <c r="F9452" s="42" t="s">
        <v>139</v>
      </c>
      <c r="G9452" s="51"/>
      <c r="H9452" s="51"/>
      <c r="I9452" s="51"/>
      <c r="J9452" s="51"/>
      <c r="K9452" s="51" t="s">
        <v>140</v>
      </c>
      <c r="L9452" s="51"/>
      <c r="M9452" s="51"/>
      <c r="N9452" s="51"/>
      <c r="O9452" s="52"/>
      <c r="P9452" s="51"/>
      <c r="Q9452" s="51"/>
      <c r="R9452" s="51"/>
      <c r="S9452" s="51"/>
      <c r="T9452" s="41"/>
      <c r="AG9452" s="521" t="s">
        <v>268</v>
      </c>
      <c r="AH9452" s="521" t="s">
        <v>269</v>
      </c>
      <c r="AI9452" s="521" t="s">
        <v>270</v>
      </c>
      <c r="AJ9452" s="521" t="s">
        <v>271</v>
      </c>
      <c r="AK9452" s="521" t="s">
        <v>272</v>
      </c>
      <c r="AM9452" s="745" t="s">
        <v>281</v>
      </c>
      <c r="AN9452" s="746" t="s">
        <v>282</v>
      </c>
      <c r="AO9452" s="522" t="s">
        <v>278</v>
      </c>
      <c r="AR9452" s="51"/>
      <c r="AS9452" s="42" t="s">
        <v>139</v>
      </c>
    </row>
    <row r="9453" spans="1:45" s="520" customFormat="1" ht="12" customHeight="1">
      <c r="A9453" s="747">
        <v>1</v>
      </c>
      <c r="B9453" s="523" t="s">
        <v>141</v>
      </c>
      <c r="C9453" s="748"/>
      <c r="D9453" s="749" t="s">
        <v>2454</v>
      </c>
      <c r="E9453" s="750">
        <f ca="1">IF(AND($A9453=0,$A$1="DIF"),0, ROUND(ROUND(($R9458*$S$2+($T9458*$T$2))/A9453,2)*$C$2,2))</f>
        <v>49.52</v>
      </c>
      <c r="F9453" s="751">
        <f ca="1">ROUND($A9453*$E9453,2)</f>
        <v>49.52</v>
      </c>
      <c r="G9453" s="752" t="s">
        <v>142</v>
      </c>
      <c r="H9453" s="753"/>
      <c r="I9453" s="754"/>
      <c r="J9453" s="753"/>
      <c r="K9453" s="753" t="s">
        <v>3</v>
      </c>
      <c r="L9453" s="755" t="s">
        <v>143</v>
      </c>
      <c r="M9453" s="755"/>
      <c r="N9453" s="755"/>
      <c r="O9453" s="755"/>
      <c r="P9453" s="755"/>
      <c r="Q9453" s="51"/>
      <c r="T9453" s="756" t="str">
        <f ca="1">IF(AND($R9458=0,$T9458=0),"0.00","mu :" &amp; ROUND($F9453/$C$2/($R9458+$T9458*$D$9),2))</f>
        <v>mu :1.23</v>
      </c>
      <c r="W9453" s="524"/>
      <c r="AG9453" s="481">
        <f ca="1">IF($E9453=0,0,ROUND($R9458*$S$2*$C$2/$A9453,2))</f>
        <v>17.73</v>
      </c>
      <c r="AH9453" s="481">
        <f ca="1">$AG9453*$A9453</f>
        <v>17.73</v>
      </c>
      <c r="AI9453" s="525">
        <f ca="1">$E9453-$AG9453</f>
        <v>31.790000000000003</v>
      </c>
      <c r="AJ9453" s="525">
        <f ca="1">$A9453*$AI9453</f>
        <v>31.790000000000003</v>
      </c>
      <c r="AK9453" s="526">
        <f ca="1">ROUND(($AG9453+$AI9453)*$A9453,2)</f>
        <v>49.52</v>
      </c>
      <c r="AM9453" s="527">
        <f ca="1">ROUND(R9458,2)</f>
        <v>14.4</v>
      </c>
      <c r="AN9453" s="528">
        <f ca="1">ROUND(T9458,2)</f>
        <v>0.94</v>
      </c>
      <c r="AO9453" s="529">
        <f ca="1">ROUND(AM9453+AN9453,2)*A9453</f>
        <v>15.34</v>
      </c>
      <c r="AR9453" s="747">
        <v>1</v>
      </c>
      <c r="AS9453" s="751">
        <v>52.9</v>
      </c>
    </row>
    <row r="9454" spans="1:45" s="520" customFormat="1" ht="13.2">
      <c r="A9454" s="748"/>
      <c r="B9454"/>
      <c r="C9454" s="748"/>
      <c r="D9454" s="749" t="s">
        <v>2067</v>
      </c>
      <c r="F9454" s="753"/>
      <c r="G9454" s="3"/>
      <c r="H9454" s="753"/>
      <c r="I9454" s="754"/>
      <c r="J9454" s="753"/>
      <c r="K9454" s="753" t="s">
        <v>144</v>
      </c>
      <c r="L9454" s="753"/>
      <c r="M9454" s="753"/>
      <c r="N9454" s="753"/>
      <c r="O9454" s="753"/>
      <c r="P9454" s="753"/>
      <c r="Q9454" s="51"/>
      <c r="R9454" s="530"/>
      <c r="S9454" s="757"/>
      <c r="T9454" s="753"/>
      <c r="AR9454" s="748"/>
      <c r="AS9454" s="753"/>
    </row>
    <row r="9455" spans="1:45" s="886" customFormat="1" ht="13.2">
      <c r="A9455"/>
      <c r="B9455" s="910"/>
      <c r="C9455" s="910" t="s">
        <v>2597</v>
      </c>
      <c r="D9455" s="910" t="str">
        <f ca="1">CELL("Address",Elec_Rates!D$1029)</f>
        <v>[E25_0062_Quintano_Foods_Elec_ELV_As_Awarded.xlsx]Elec_Rates!$D$1029</v>
      </c>
      <c r="E9455" s="911"/>
      <c r="F9455" s="911"/>
      <c r="G9455" s="912" t="s">
        <v>2598</v>
      </c>
      <c r="H9455" s="912"/>
      <c r="I9455" s="912"/>
      <c r="J9455" s="912"/>
      <c r="K9455" s="913"/>
      <c r="L9455" s="911"/>
      <c r="M9455" s="911"/>
      <c r="N9455" s="911"/>
      <c r="O9455" s="914"/>
      <c r="P9455" s="911"/>
      <c r="Q9455" s="915"/>
      <c r="R9455" s="916"/>
      <c r="S9455" s="915"/>
      <c r="T9455" s="917"/>
      <c r="U9455" s="918"/>
      <c r="AR9455"/>
      <c r="AS9455" s="911"/>
    </row>
    <row r="9456" spans="1:45" s="886" customFormat="1" ht="11.4">
      <c r="A9456" s="919">
        <v>1</v>
      </c>
      <c r="B9456" s="920">
        <v>1</v>
      </c>
      <c r="C9456" s="920">
        <f>$A9456*$B9456</f>
        <v>1</v>
      </c>
      <c r="D9456" s="921" t="str">
        <f>Elec_Rates!$D$1029</f>
        <v>092# LSZH Conduit points for Fire alarm devices</v>
      </c>
      <c r="E9456" s="921"/>
      <c r="F9456" s="921" t="s">
        <v>2599</v>
      </c>
      <c r="G9456" s="922" t="s">
        <v>2600</v>
      </c>
      <c r="H9456" s="922"/>
      <c r="I9456" s="922"/>
      <c r="J9456" s="922"/>
      <c r="K9456" s="923"/>
      <c r="L9456" s="918"/>
      <c r="M9456" s="918"/>
      <c r="N9456" s="918"/>
      <c r="O9456" s="924"/>
      <c r="P9456" s="921"/>
      <c r="Q9456" s="925">
        <f ca="1">$B9456*Elec_Rates!$R$1029</f>
        <v>14.4</v>
      </c>
      <c r="R9456" s="916">
        <f ca="1">$A9456*Q9456</f>
        <v>14.4</v>
      </c>
      <c r="S9456" s="925">
        <f ca="1">$B9456*Elec_Rates!$T$1029</f>
        <v>0.94</v>
      </c>
      <c r="T9456" s="917">
        <f ca="1">$A9456*S9456</f>
        <v>0.94</v>
      </c>
      <c r="U9456" s="926"/>
      <c r="AR9456" s="919">
        <v>1</v>
      </c>
      <c r="AS9456" s="921" t="s">
        <v>2599</v>
      </c>
    </row>
    <row r="9457" spans="1:45" s="520" customFormat="1" ht="12">
      <c r="A9457" s="758"/>
      <c r="B9457" s="758"/>
      <c r="C9457" s="758"/>
      <c r="D9457" s="758"/>
      <c r="E9457" s="758"/>
      <c r="F9457" s="753"/>
      <c r="G9457" s="758"/>
      <c r="H9457" s="758"/>
      <c r="I9457" s="519"/>
      <c r="J9457" s="758"/>
      <c r="K9457" s="758"/>
      <c r="L9457" s="758"/>
      <c r="M9457" s="758"/>
      <c r="N9457" s="758"/>
      <c r="O9457" s="758"/>
      <c r="P9457" s="758"/>
      <c r="Q9457" s="519"/>
      <c r="R9457" s="759">
        <f>$A9457*Q9457</f>
        <v>0</v>
      </c>
      <c r="S9457" s="519"/>
      <c r="T9457" s="760">
        <f>$A9457*S9457*$T$1</f>
        <v>0</v>
      </c>
      <c r="AR9457" s="758"/>
      <c r="AS9457" s="753"/>
    </row>
    <row r="9458" spans="1:45" s="520" customFormat="1" ht="12.6" thickBot="1">
      <c r="A9458" s="761" t="s">
        <v>145</v>
      </c>
      <c r="B9458" s="762">
        <f>(R9457+T9457)</f>
        <v>0</v>
      </c>
      <c r="C9458" s="763"/>
      <c r="D9458" s="763"/>
      <c r="E9458" s="763"/>
      <c r="F9458" s="764"/>
      <c r="G9458" s="763" t="s">
        <v>146</v>
      </c>
      <c r="H9458" s="763"/>
      <c r="I9458" s="765"/>
      <c r="J9458" s="763"/>
      <c r="K9458" s="763" t="s">
        <v>3</v>
      </c>
      <c r="L9458" s="766" t="s">
        <v>143</v>
      </c>
      <c r="M9458" s="766"/>
      <c r="N9458" s="766"/>
      <c r="O9458" s="766"/>
      <c r="P9458" s="766"/>
      <c r="Q9458" s="767"/>
      <c r="R9458" s="768">
        <f ca="1">SUM(R9454:R9457)</f>
        <v>14.4</v>
      </c>
      <c r="S9458" s="763"/>
      <c r="T9458" s="768">
        <f ca="1">SUM(T9454:T9457)</f>
        <v>0.94</v>
      </c>
      <c r="U9458" s="531"/>
      <c r="V9458" s="531"/>
      <c r="W9458" s="531"/>
      <c r="X9458" s="531"/>
      <c r="Y9458" s="531"/>
      <c r="Z9458" s="531"/>
      <c r="AA9458" s="531"/>
      <c r="AB9458" s="531"/>
      <c r="AC9458" s="531"/>
      <c r="AD9458" s="531"/>
      <c r="AE9458" s="531"/>
      <c r="AF9458" s="531"/>
      <c r="AG9458" s="531"/>
      <c r="AH9458" s="531"/>
      <c r="AI9458" s="531"/>
      <c r="AJ9458" s="531"/>
      <c r="AK9458" s="531"/>
      <c r="AL9458" s="531"/>
      <c r="AM9458" s="531"/>
      <c r="AN9458" s="531"/>
      <c r="AO9458" s="531"/>
      <c r="AR9458" s="761" t="s">
        <v>145</v>
      </c>
      <c r="AS9458" s="764"/>
    </row>
    <row r="9459" spans="1:45" s="520" customFormat="1" thickTop="1">
      <c r="A9459" s="51"/>
      <c r="B9459" s="51"/>
      <c r="C9459" s="3"/>
      <c r="D9459" s="3"/>
      <c r="E9459" s="51"/>
      <c r="F9459" s="51"/>
      <c r="G9459" s="51"/>
      <c r="H9459" s="51"/>
      <c r="I9459" s="51"/>
      <c r="J9459" s="51"/>
      <c r="K9459" s="51" t="s">
        <v>134</v>
      </c>
      <c r="L9459" s="51"/>
      <c r="M9459" s="51"/>
      <c r="N9459" s="51"/>
      <c r="O9459" s="52"/>
      <c r="P9459" s="51"/>
      <c r="Q9459" s="51"/>
      <c r="R9459" s="51"/>
      <c r="S9459" s="51"/>
      <c r="T9459" s="51"/>
      <c r="AR9459" s="51"/>
      <c r="AS9459" s="51"/>
    </row>
    <row r="9460" spans="1:45" s="520" customFormat="1" ht="12">
      <c r="A9460" s="51"/>
      <c r="B9460" s="51"/>
      <c r="C9460" s="51" t="s">
        <v>135</v>
      </c>
      <c r="D9460" s="37"/>
      <c r="E9460" s="51"/>
      <c r="F9460" s="51"/>
      <c r="G9460" s="51"/>
      <c r="H9460" s="51"/>
      <c r="I9460" s="51"/>
      <c r="J9460" s="51"/>
      <c r="K9460" s="51"/>
      <c r="L9460" s="51"/>
      <c r="M9460" s="51"/>
      <c r="N9460" s="51"/>
      <c r="O9460" s="52"/>
      <c r="P9460" s="51"/>
      <c r="Q9460" s="51"/>
      <c r="R9460" s="51"/>
      <c r="S9460" s="51"/>
      <c r="T9460" s="51"/>
      <c r="AR9460" s="51"/>
      <c r="AS9460" s="51"/>
    </row>
    <row r="9461" spans="1:45" s="520" customFormat="1" ht="39.9" customHeight="1">
      <c r="A9461" s="51"/>
      <c r="B9461" s="51"/>
      <c r="C9461" s="51"/>
      <c r="D9461" s="1453" t="s">
        <v>2286</v>
      </c>
      <c r="E9461" s="1452"/>
      <c r="F9461" s="1452"/>
      <c r="G9461" s="1452"/>
      <c r="H9461" s="1452"/>
      <c r="I9461" s="1452"/>
      <c r="J9461" s="1452"/>
      <c r="K9461" s="1452"/>
      <c r="L9461" s="1452"/>
      <c r="M9461" s="1452"/>
      <c r="N9461" s="1452"/>
      <c r="O9461" s="1452"/>
      <c r="P9461" s="1452"/>
      <c r="Q9461" s="1452"/>
      <c r="R9461" s="1452"/>
      <c r="S9461" s="1452"/>
      <c r="T9461" s="1452"/>
      <c r="AR9461" s="51"/>
    </row>
    <row r="9462" spans="1:45" s="3" customFormat="1" thickBot="1">
      <c r="A9462" s="531"/>
      <c r="O9462" s="107"/>
      <c r="AR9462" s="531"/>
    </row>
    <row r="9463" spans="1:45" s="520" customFormat="1" ht="12" thickTop="1">
      <c r="A9463" s="51"/>
      <c r="B9463" s="41"/>
      <c r="C9463" s="51"/>
      <c r="E9463" s="42" t="s">
        <v>138</v>
      </c>
      <c r="F9463" s="42" t="s">
        <v>139</v>
      </c>
      <c r="G9463" s="51"/>
      <c r="H9463" s="51"/>
      <c r="I9463" s="51"/>
      <c r="J9463" s="51"/>
      <c r="K9463" s="51" t="s">
        <v>140</v>
      </c>
      <c r="L9463" s="51"/>
      <c r="M9463" s="51"/>
      <c r="N9463" s="51"/>
      <c r="O9463" s="52"/>
      <c r="P9463" s="51"/>
      <c r="Q9463" s="51"/>
      <c r="R9463" s="51"/>
      <c r="S9463" s="51"/>
      <c r="T9463" s="41"/>
      <c r="AG9463" s="521" t="s">
        <v>268</v>
      </c>
      <c r="AH9463" s="521" t="s">
        <v>269</v>
      </c>
      <c r="AI9463" s="521" t="s">
        <v>270</v>
      </c>
      <c r="AJ9463" s="521" t="s">
        <v>271</v>
      </c>
      <c r="AK9463" s="521" t="s">
        <v>272</v>
      </c>
      <c r="AM9463" s="745" t="s">
        <v>281</v>
      </c>
      <c r="AN9463" s="746" t="s">
        <v>282</v>
      </c>
      <c r="AO9463" s="522" t="s">
        <v>278</v>
      </c>
      <c r="AR9463" s="51"/>
      <c r="AS9463" s="42" t="s">
        <v>139</v>
      </c>
    </row>
    <row r="9464" spans="1:45" s="520" customFormat="1" ht="12" customHeight="1">
      <c r="A9464" s="747">
        <v>1</v>
      </c>
      <c r="B9464" s="523" t="s">
        <v>141</v>
      </c>
      <c r="C9464" s="748"/>
      <c r="D9464" s="749" t="s">
        <v>2455</v>
      </c>
      <c r="E9464" s="1145">
        <f>IF(AND($A9464=0,$A$1="DIF"),0, ROUND(ROUND(($R9468*$S$3+($T9468*$T$3))/$A9464,2)*$C$3,2))</f>
        <v>36.950000000000003</v>
      </c>
      <c r="F9464" s="1146">
        <f>ROUND($A9464*$E9464,2)</f>
        <v>36.950000000000003</v>
      </c>
      <c r="G9464" s="752" t="s">
        <v>142</v>
      </c>
      <c r="H9464" s="753"/>
      <c r="I9464" s="754"/>
      <c r="J9464" s="753"/>
      <c r="K9464" s="753" t="s">
        <v>5</v>
      </c>
      <c r="L9464" s="755" t="s">
        <v>143</v>
      </c>
      <c r="M9464" s="755"/>
      <c r="N9464" s="755"/>
      <c r="O9464" s="755"/>
      <c r="P9464" s="755"/>
      <c r="Q9464" s="51"/>
      <c r="T9464" s="1150" t="str">
        <f>IF(AND($R9468=0,$T9468=0),"0.00","mu: "&amp; ROUND(F9464/$C$3/($R9468+$T9468*$D$9),2))</f>
        <v>mu: 1.13</v>
      </c>
      <c r="W9464" s="524"/>
      <c r="AG9464" s="1147">
        <f>IF($E9464=0,0,ROUND($R9468*$S$3*$C$3/$A9464,2))</f>
        <v>36.950000000000003</v>
      </c>
      <c r="AH9464" s="1147">
        <f>$AG9464*$A9464</f>
        <v>36.950000000000003</v>
      </c>
      <c r="AI9464" s="1148">
        <f>$E9464-$AG9464</f>
        <v>0</v>
      </c>
      <c r="AJ9464" s="1148">
        <f>$A9464*$AI9464</f>
        <v>0</v>
      </c>
      <c r="AK9464" s="1149">
        <f>ROUND(($AG9464+$AI9464)*$A9464,2)</f>
        <v>36.950000000000003</v>
      </c>
      <c r="AM9464" s="527">
        <f>ROUND(R9468,2)</f>
        <v>32.74</v>
      </c>
      <c r="AN9464" s="528">
        <f>ROUND(T9468,2)</f>
        <v>0</v>
      </c>
      <c r="AO9464" s="529">
        <f>ROUND(AM9464+AN9464,2)*A9464</f>
        <v>32.74</v>
      </c>
      <c r="AR9464" s="747">
        <v>1</v>
      </c>
      <c r="AS9464" s="1146">
        <v>40.21</v>
      </c>
    </row>
    <row r="9465" spans="1:45" s="520" customFormat="1" ht="13.2">
      <c r="A9465" s="748"/>
      <c r="B9465"/>
      <c r="C9465" s="748"/>
      <c r="D9465" s="749" t="s">
        <v>2063</v>
      </c>
      <c r="F9465" s="753"/>
      <c r="G9465" s="3"/>
      <c r="H9465" s="753"/>
      <c r="I9465" s="754"/>
      <c r="J9465" s="753"/>
      <c r="K9465" s="753" t="s">
        <v>144</v>
      </c>
      <c r="L9465" s="753"/>
      <c r="M9465" s="753"/>
      <c r="N9465" s="753"/>
      <c r="O9465" s="753"/>
      <c r="P9465" s="753"/>
      <c r="Q9465" s="51"/>
      <c r="R9465" s="530"/>
      <c r="S9465" s="757"/>
      <c r="T9465" s="753"/>
      <c r="AR9465" s="748"/>
      <c r="AS9465" s="753"/>
    </row>
    <row r="9466" spans="1:45" s="901" customFormat="1" ht="13.2">
      <c r="A9466" s="903">
        <v>1</v>
      </c>
      <c r="B9466" s="904" t="s">
        <v>863</v>
      </c>
      <c r="C9466" s="904"/>
      <c r="D9466" s="904" t="s">
        <v>2594</v>
      </c>
      <c r="E9466" s="904"/>
      <c r="F9466" s="904" t="s">
        <v>4128</v>
      </c>
      <c r="G9466" s="905" t="s">
        <v>2595</v>
      </c>
      <c r="H9466" s="902">
        <v>960</v>
      </c>
      <c r="I9466" s="904" t="s">
        <v>2596</v>
      </c>
      <c r="J9466" s="904"/>
      <c r="K9466" s="904"/>
      <c r="L9466" s="904"/>
      <c r="M9466" s="904"/>
      <c r="N9466" s="904"/>
      <c r="O9466" s="902">
        <v>4</v>
      </c>
      <c r="P9466" s="906">
        <v>38274</v>
      </c>
      <c r="Q9466" s="1415">
        <f>37.5*0.873</f>
        <v>32.737499999999997</v>
      </c>
      <c r="R9466" s="908">
        <f>$A9466*Q9466</f>
        <v>32.737499999999997</v>
      </c>
      <c r="S9466" s="907"/>
      <c r="T9466" s="909">
        <f>$A9466*S9466*$T$1</f>
        <v>0</v>
      </c>
      <c r="AR9466" s="903">
        <v>1</v>
      </c>
      <c r="AS9466" s="904" t="s">
        <v>3507</v>
      </c>
    </row>
    <row r="9467" spans="1:45" s="520" customFormat="1" ht="12">
      <c r="A9467" s="758"/>
      <c r="B9467" s="758"/>
      <c r="C9467" s="758"/>
      <c r="D9467" s="758"/>
      <c r="E9467" s="758"/>
      <c r="F9467" s="753"/>
      <c r="G9467" s="758"/>
      <c r="H9467" s="758"/>
      <c r="I9467" s="519"/>
      <c r="J9467" s="758"/>
      <c r="K9467" s="758"/>
      <c r="L9467" s="758"/>
      <c r="M9467" s="758"/>
      <c r="N9467" s="758"/>
      <c r="O9467" s="758"/>
      <c r="P9467" s="758"/>
      <c r="Q9467" s="519"/>
      <c r="R9467" s="759">
        <f>$A9467*Q9467</f>
        <v>0</v>
      </c>
      <c r="S9467" s="519"/>
      <c r="T9467" s="760">
        <f>$A9467*S9467*$T$1</f>
        <v>0</v>
      </c>
      <c r="AR9467" s="758"/>
      <c r="AS9467" s="753"/>
    </row>
    <row r="9468" spans="1:45" s="520" customFormat="1" ht="12.6" thickBot="1">
      <c r="A9468" s="761" t="s">
        <v>145</v>
      </c>
      <c r="B9468" s="762">
        <f>(R9467+T9467)</f>
        <v>0</v>
      </c>
      <c r="C9468" s="763"/>
      <c r="D9468" s="763"/>
      <c r="E9468" s="763"/>
      <c r="F9468" s="764"/>
      <c r="G9468" s="763" t="s">
        <v>146</v>
      </c>
      <c r="H9468" s="763"/>
      <c r="I9468" s="765"/>
      <c r="J9468" s="763"/>
      <c r="K9468" s="763" t="s">
        <v>5</v>
      </c>
      <c r="L9468" s="766" t="s">
        <v>143</v>
      </c>
      <c r="M9468" s="766"/>
      <c r="N9468" s="766"/>
      <c r="O9468" s="766"/>
      <c r="P9468" s="766"/>
      <c r="Q9468" s="767"/>
      <c r="R9468" s="768">
        <f>SUM(R9465:R9467)</f>
        <v>32.737499999999997</v>
      </c>
      <c r="S9468" s="763"/>
      <c r="T9468" s="768">
        <f>SUM(T9465:T9467)</f>
        <v>0</v>
      </c>
      <c r="U9468" s="531"/>
      <c r="V9468" s="531"/>
      <c r="W9468" s="531"/>
      <c r="X9468" s="531"/>
      <c r="Y9468" s="531"/>
      <c r="Z9468" s="531"/>
      <c r="AA9468" s="531"/>
      <c r="AB9468" s="531"/>
      <c r="AC9468" s="531"/>
      <c r="AD9468" s="531"/>
      <c r="AE9468" s="531"/>
      <c r="AF9468" s="531"/>
      <c r="AG9468" s="531"/>
      <c r="AH9468" s="531"/>
      <c r="AI9468" s="531"/>
      <c r="AJ9468" s="531"/>
      <c r="AK9468" s="531"/>
      <c r="AL9468" s="531"/>
      <c r="AM9468" s="531"/>
      <c r="AN9468" s="531"/>
      <c r="AO9468" s="531"/>
      <c r="AR9468" s="761" t="s">
        <v>145</v>
      </c>
      <c r="AS9468" s="764"/>
    </row>
    <row r="9469" spans="1:45" s="520" customFormat="1" ht="12" thickTop="1">
      <c r="A9469" s="51"/>
      <c r="B9469" s="41"/>
      <c r="C9469" s="51"/>
      <c r="E9469" s="42" t="s">
        <v>138</v>
      </c>
      <c r="F9469" s="42" t="s">
        <v>139</v>
      </c>
      <c r="G9469" s="51"/>
      <c r="H9469" s="51"/>
      <c r="I9469" s="51"/>
      <c r="J9469" s="51"/>
      <c r="K9469" s="51" t="s">
        <v>140</v>
      </c>
      <c r="L9469" s="51"/>
      <c r="M9469" s="51"/>
      <c r="N9469" s="51"/>
      <c r="O9469" s="52"/>
      <c r="P9469" s="51"/>
      <c r="Q9469" s="51"/>
      <c r="R9469" s="51"/>
      <c r="S9469" s="51"/>
      <c r="T9469" s="41"/>
      <c r="AG9469" s="521" t="s">
        <v>268</v>
      </c>
      <c r="AH9469" s="521" t="s">
        <v>269</v>
      </c>
      <c r="AI9469" s="521" t="s">
        <v>270</v>
      </c>
      <c r="AJ9469" s="521" t="s">
        <v>271</v>
      </c>
      <c r="AK9469" s="521" t="s">
        <v>272</v>
      </c>
      <c r="AM9469" s="745" t="s">
        <v>281</v>
      </c>
      <c r="AN9469" s="746" t="s">
        <v>282</v>
      </c>
      <c r="AO9469" s="522" t="s">
        <v>278</v>
      </c>
      <c r="AR9469" s="51"/>
      <c r="AS9469" s="42" t="s">
        <v>139</v>
      </c>
    </row>
    <row r="9470" spans="1:45" s="520" customFormat="1" ht="12" customHeight="1">
      <c r="A9470" s="747">
        <v>24</v>
      </c>
      <c r="B9470" s="523" t="s">
        <v>141</v>
      </c>
      <c r="C9470" s="748"/>
      <c r="D9470" s="749" t="s">
        <v>2456</v>
      </c>
      <c r="E9470" s="1145">
        <f>IF(AND($A9470=0,$A$1="DIF"),0, ROUND(ROUND(($R9474*$S$3+($T9474*$T$3))/$A9470,2)*$C$3,2))</f>
        <v>36.950000000000003</v>
      </c>
      <c r="F9470" s="1146">
        <f>ROUND($A9470*$E9470,2)</f>
        <v>886.8</v>
      </c>
      <c r="G9470" s="752" t="s">
        <v>142</v>
      </c>
      <c r="H9470" s="753"/>
      <c r="I9470" s="754"/>
      <c r="J9470" s="753"/>
      <c r="K9470" s="753" t="s">
        <v>5</v>
      </c>
      <c r="L9470" s="755" t="s">
        <v>143</v>
      </c>
      <c r="M9470" s="755"/>
      <c r="N9470" s="755"/>
      <c r="O9470" s="755"/>
      <c r="P9470" s="755"/>
      <c r="Q9470" s="51"/>
      <c r="T9470" s="1150" t="str">
        <f>IF(AND($R9474=0,$T9474=0),"0.00","mu: "&amp; ROUND(F9470/$C$3/($R9474+$T9474*$D$9),2))</f>
        <v>mu: 1.13</v>
      </c>
      <c r="W9470" s="524"/>
      <c r="AG9470" s="1147">
        <f>IF($E9470=0,0,ROUND($R9474*$S$3*$C$3/$A9470,2))</f>
        <v>36.950000000000003</v>
      </c>
      <c r="AH9470" s="1147">
        <f>$AG9470*$A9470</f>
        <v>886.80000000000007</v>
      </c>
      <c r="AI9470" s="1148">
        <f>$E9470-$AG9470</f>
        <v>0</v>
      </c>
      <c r="AJ9470" s="1148">
        <f>$A9470*$AI9470</f>
        <v>0</v>
      </c>
      <c r="AK9470" s="1149">
        <f>ROUND(($AG9470+$AI9470)*$A9470,2)</f>
        <v>886.8</v>
      </c>
      <c r="AM9470" s="527">
        <f>ROUND(R9474,2)</f>
        <v>785.7</v>
      </c>
      <c r="AN9470" s="528">
        <f>ROUND(T9474,2)</f>
        <v>0</v>
      </c>
      <c r="AO9470" s="529">
        <f>ROUND(AM9470+AN9470,2)*A9470</f>
        <v>18856.800000000003</v>
      </c>
      <c r="AR9470" s="747">
        <v>24</v>
      </c>
      <c r="AS9470" s="1146">
        <v>965.04</v>
      </c>
    </row>
    <row r="9471" spans="1:45" s="520" customFormat="1" ht="13.2">
      <c r="A9471" s="748"/>
      <c r="B9471"/>
      <c r="C9471" s="748"/>
      <c r="D9471" s="749" t="s">
        <v>2061</v>
      </c>
      <c r="F9471" s="753"/>
      <c r="G9471" s="3"/>
      <c r="H9471" s="753"/>
      <c r="I9471" s="754"/>
      <c r="J9471" s="753"/>
      <c r="K9471" s="753" t="s">
        <v>144</v>
      </c>
      <c r="L9471" s="753"/>
      <c r="M9471" s="753"/>
      <c r="N9471" s="753"/>
      <c r="O9471" s="753"/>
      <c r="P9471" s="753"/>
      <c r="Q9471" s="51"/>
      <c r="R9471" s="530"/>
      <c r="S9471" s="757"/>
      <c r="T9471" s="753"/>
      <c r="AR9471" s="748"/>
      <c r="AS9471" s="753"/>
    </row>
    <row r="9472" spans="1:45" s="901" customFormat="1" ht="13.2">
      <c r="A9472" s="903">
        <v>24</v>
      </c>
      <c r="B9472" s="904" t="s">
        <v>863</v>
      </c>
      <c r="C9472" s="904"/>
      <c r="D9472" s="904" t="s">
        <v>2594</v>
      </c>
      <c r="E9472" s="904"/>
      <c r="F9472" s="904" t="s">
        <v>4128</v>
      </c>
      <c r="G9472" s="905" t="s">
        <v>2595</v>
      </c>
      <c r="H9472" s="902">
        <v>960</v>
      </c>
      <c r="I9472" s="904" t="s">
        <v>2596</v>
      </c>
      <c r="J9472" s="904"/>
      <c r="K9472" s="904"/>
      <c r="L9472" s="904"/>
      <c r="M9472" s="904"/>
      <c r="N9472" s="904"/>
      <c r="O9472" s="902">
        <v>4</v>
      </c>
      <c r="P9472" s="906">
        <v>38274</v>
      </c>
      <c r="Q9472" s="1415">
        <f>37.5*0.873</f>
        <v>32.737499999999997</v>
      </c>
      <c r="R9472" s="908">
        <f>$A9472*Q9472</f>
        <v>785.69999999999993</v>
      </c>
      <c r="S9472" s="907"/>
      <c r="T9472" s="909">
        <f>$A9472*S9472*$T$1</f>
        <v>0</v>
      </c>
      <c r="AR9472" s="903">
        <v>24</v>
      </c>
      <c r="AS9472" s="904" t="s">
        <v>3507</v>
      </c>
    </row>
    <row r="9473" spans="1:45" s="520" customFormat="1" ht="12">
      <c r="A9473" s="758"/>
      <c r="B9473" s="758"/>
      <c r="C9473" s="758"/>
      <c r="D9473" s="758"/>
      <c r="E9473" s="758"/>
      <c r="F9473" s="753"/>
      <c r="G9473" s="758"/>
      <c r="H9473" s="758"/>
      <c r="I9473" s="519"/>
      <c r="J9473" s="758"/>
      <c r="K9473" s="758"/>
      <c r="L9473" s="758"/>
      <c r="M9473" s="758"/>
      <c r="N9473" s="758"/>
      <c r="O9473" s="758"/>
      <c r="P9473" s="758"/>
      <c r="Q9473" s="519"/>
      <c r="R9473" s="759">
        <f>$A9473*Q9473</f>
        <v>0</v>
      </c>
      <c r="S9473" s="519"/>
      <c r="T9473" s="760">
        <f>$A9473*S9473*$T$1</f>
        <v>0</v>
      </c>
      <c r="AR9473" s="758"/>
      <c r="AS9473" s="753"/>
    </row>
    <row r="9474" spans="1:45" s="520" customFormat="1" ht="12.6" thickBot="1">
      <c r="A9474" s="761" t="s">
        <v>145</v>
      </c>
      <c r="B9474" s="762">
        <f>(R9473+T9473)</f>
        <v>0</v>
      </c>
      <c r="C9474" s="763"/>
      <c r="D9474" s="763"/>
      <c r="E9474" s="763"/>
      <c r="F9474" s="764"/>
      <c r="G9474" s="763" t="s">
        <v>146</v>
      </c>
      <c r="H9474" s="763"/>
      <c r="I9474" s="765"/>
      <c r="J9474" s="763"/>
      <c r="K9474" s="763" t="s">
        <v>5</v>
      </c>
      <c r="L9474" s="766" t="s">
        <v>143</v>
      </c>
      <c r="M9474" s="766"/>
      <c r="N9474" s="766"/>
      <c r="O9474" s="766"/>
      <c r="P9474" s="766"/>
      <c r="Q9474" s="767"/>
      <c r="R9474" s="768">
        <f>SUM(R9471:R9473)</f>
        <v>785.69999999999993</v>
      </c>
      <c r="S9474" s="763"/>
      <c r="T9474" s="768">
        <f>SUM(T9471:T9473)</f>
        <v>0</v>
      </c>
      <c r="U9474" s="531"/>
      <c r="V9474" s="531"/>
      <c r="W9474" s="531"/>
      <c r="X9474" s="531"/>
      <c r="Y9474" s="531"/>
      <c r="Z9474" s="531"/>
      <c r="AA9474" s="531"/>
      <c r="AB9474" s="531"/>
      <c r="AC9474" s="531"/>
      <c r="AD9474" s="531"/>
      <c r="AE9474" s="531"/>
      <c r="AF9474" s="531"/>
      <c r="AG9474" s="531"/>
      <c r="AH9474" s="531"/>
      <c r="AI9474" s="531"/>
      <c r="AJ9474" s="531"/>
      <c r="AK9474" s="531"/>
      <c r="AL9474" s="531"/>
      <c r="AM9474" s="531"/>
      <c r="AN9474" s="531"/>
      <c r="AO9474" s="531"/>
      <c r="AR9474" s="761" t="s">
        <v>145</v>
      </c>
      <c r="AS9474" s="764"/>
    </row>
    <row r="9475" spans="1:45" s="520" customFormat="1" ht="12" thickTop="1">
      <c r="A9475" s="51"/>
      <c r="B9475" s="41"/>
      <c r="C9475" s="51"/>
      <c r="E9475" s="42" t="s">
        <v>138</v>
      </c>
      <c r="F9475" s="42" t="s">
        <v>139</v>
      </c>
      <c r="G9475" s="51"/>
      <c r="H9475" s="51"/>
      <c r="I9475" s="51"/>
      <c r="J9475" s="51"/>
      <c r="K9475" s="51" t="s">
        <v>140</v>
      </c>
      <c r="L9475" s="51"/>
      <c r="M9475" s="51"/>
      <c r="N9475" s="51"/>
      <c r="O9475" s="52"/>
      <c r="P9475" s="51"/>
      <c r="Q9475" s="51"/>
      <c r="R9475" s="51"/>
      <c r="S9475" s="51"/>
      <c r="T9475" s="41"/>
      <c r="AG9475" s="521" t="s">
        <v>268</v>
      </c>
      <c r="AH9475" s="521" t="s">
        <v>269</v>
      </c>
      <c r="AI9475" s="521" t="s">
        <v>270</v>
      </c>
      <c r="AJ9475" s="521" t="s">
        <v>271</v>
      </c>
      <c r="AK9475" s="521" t="s">
        <v>272</v>
      </c>
      <c r="AM9475" s="745" t="s">
        <v>281</v>
      </c>
      <c r="AN9475" s="746" t="s">
        <v>282</v>
      </c>
      <c r="AO9475" s="522" t="s">
        <v>278</v>
      </c>
      <c r="AR9475" s="51"/>
      <c r="AS9475" s="42" t="s">
        <v>139</v>
      </c>
    </row>
    <row r="9476" spans="1:45" s="520" customFormat="1" ht="12" customHeight="1">
      <c r="A9476" s="747">
        <v>4</v>
      </c>
      <c r="B9476" s="523" t="s">
        <v>141</v>
      </c>
      <c r="C9476" s="748"/>
      <c r="D9476" s="749" t="s">
        <v>2457</v>
      </c>
      <c r="E9476" s="1145">
        <f>IF(AND($A9476=0,$A$1="DIF"),0, ROUND(ROUND(($R9480*$S$3+($T9480*$T$3))/$A9476,2)*$C$3,2))</f>
        <v>36.950000000000003</v>
      </c>
      <c r="F9476" s="1146">
        <f>ROUND($A9476*$E9476,2)</f>
        <v>147.80000000000001</v>
      </c>
      <c r="G9476" s="752" t="s">
        <v>142</v>
      </c>
      <c r="H9476" s="753"/>
      <c r="I9476" s="754"/>
      <c r="J9476" s="753"/>
      <c r="K9476" s="753" t="s">
        <v>5</v>
      </c>
      <c r="L9476" s="755" t="s">
        <v>143</v>
      </c>
      <c r="M9476" s="755"/>
      <c r="N9476" s="755"/>
      <c r="O9476" s="755"/>
      <c r="P9476" s="755"/>
      <c r="Q9476" s="51"/>
      <c r="T9476" s="1150" t="str">
        <f>IF(AND($R9480=0,$T9480=0),"0.00","mu: "&amp; ROUND(F9476/$C$3/($R9480+$T9480*$D$9),2))</f>
        <v>mu: 1.13</v>
      </c>
      <c r="W9476" s="524"/>
      <c r="AG9476" s="1147">
        <f>IF($E9476=0,0,ROUND($R9480*$S$3*$C$3/$A9476,2))</f>
        <v>36.950000000000003</v>
      </c>
      <c r="AH9476" s="1147">
        <f>$AG9476*$A9476</f>
        <v>147.80000000000001</v>
      </c>
      <c r="AI9476" s="1148">
        <f>$E9476-$AG9476</f>
        <v>0</v>
      </c>
      <c r="AJ9476" s="1148">
        <f>$A9476*$AI9476</f>
        <v>0</v>
      </c>
      <c r="AK9476" s="1149">
        <f>ROUND(($AG9476+$AI9476)*$A9476,2)</f>
        <v>147.80000000000001</v>
      </c>
      <c r="AM9476" s="527">
        <f>ROUND(R9480,2)</f>
        <v>130.94999999999999</v>
      </c>
      <c r="AN9476" s="528">
        <f>ROUND(T9480,2)</f>
        <v>0</v>
      </c>
      <c r="AO9476" s="529">
        <f>ROUND(AM9476+AN9476,2)*A9476</f>
        <v>523.79999999999995</v>
      </c>
      <c r="AR9476" s="747">
        <v>4</v>
      </c>
      <c r="AS9476" s="1146">
        <v>160.84</v>
      </c>
    </row>
    <row r="9477" spans="1:45" s="520" customFormat="1" ht="13.2">
      <c r="A9477" s="748"/>
      <c r="B9477"/>
      <c r="C9477" s="748"/>
      <c r="D9477" s="749" t="s">
        <v>2062</v>
      </c>
      <c r="F9477" s="753"/>
      <c r="G9477" s="3"/>
      <c r="H9477" s="753"/>
      <c r="I9477" s="754"/>
      <c r="J9477" s="753"/>
      <c r="K9477" s="753" t="s">
        <v>144</v>
      </c>
      <c r="L9477" s="753"/>
      <c r="M9477" s="753"/>
      <c r="N9477" s="753"/>
      <c r="O9477" s="753"/>
      <c r="P9477" s="753"/>
      <c r="Q9477" s="51"/>
      <c r="R9477" s="530"/>
      <c r="S9477" s="757"/>
      <c r="T9477" s="753"/>
      <c r="AR9477" s="748"/>
      <c r="AS9477" s="753"/>
    </row>
    <row r="9478" spans="1:45" s="901" customFormat="1" ht="13.2">
      <c r="A9478" s="903">
        <v>4</v>
      </c>
      <c r="B9478" s="904" t="s">
        <v>863</v>
      </c>
      <c r="C9478" s="904"/>
      <c r="D9478" s="904" t="s">
        <v>2594</v>
      </c>
      <c r="E9478" s="904"/>
      <c r="F9478" s="904" t="s">
        <v>4128</v>
      </c>
      <c r="G9478" s="905" t="s">
        <v>2595</v>
      </c>
      <c r="H9478" s="902">
        <v>960</v>
      </c>
      <c r="I9478" s="904" t="s">
        <v>2596</v>
      </c>
      <c r="J9478" s="904"/>
      <c r="K9478" s="904"/>
      <c r="L9478" s="904"/>
      <c r="M9478" s="904"/>
      <c r="N9478" s="904"/>
      <c r="O9478" s="902">
        <v>4</v>
      </c>
      <c r="P9478" s="906">
        <v>38274</v>
      </c>
      <c r="Q9478" s="1415">
        <f>37.5*0.873</f>
        <v>32.737499999999997</v>
      </c>
      <c r="R9478" s="908">
        <f>$A9478*Q9478</f>
        <v>130.94999999999999</v>
      </c>
      <c r="S9478" s="907"/>
      <c r="T9478" s="909">
        <f>$A9478*S9478*$T$1</f>
        <v>0</v>
      </c>
      <c r="AR9478" s="903">
        <v>4</v>
      </c>
      <c r="AS9478" s="904" t="s">
        <v>3507</v>
      </c>
    </row>
    <row r="9479" spans="1:45" s="520" customFormat="1" ht="12">
      <c r="A9479" s="758"/>
      <c r="B9479" s="758"/>
      <c r="C9479" s="758"/>
      <c r="D9479" s="758"/>
      <c r="E9479" s="758"/>
      <c r="F9479" s="753"/>
      <c r="G9479" s="758"/>
      <c r="H9479" s="758"/>
      <c r="I9479" s="519"/>
      <c r="J9479" s="758"/>
      <c r="K9479" s="758"/>
      <c r="L9479" s="758"/>
      <c r="M9479" s="758"/>
      <c r="N9479" s="758"/>
      <c r="O9479" s="758"/>
      <c r="P9479" s="758"/>
      <c r="Q9479" s="519"/>
      <c r="R9479" s="759">
        <f>$A9479*Q9479</f>
        <v>0</v>
      </c>
      <c r="S9479" s="519"/>
      <c r="T9479" s="760">
        <f>$A9479*S9479*$T$1</f>
        <v>0</v>
      </c>
      <c r="AR9479" s="758"/>
      <c r="AS9479" s="753"/>
    </row>
    <row r="9480" spans="1:45" s="520" customFormat="1" ht="12.6" thickBot="1">
      <c r="A9480" s="761" t="s">
        <v>145</v>
      </c>
      <c r="B9480" s="762">
        <f>(R9479+T9479)</f>
        <v>0</v>
      </c>
      <c r="C9480" s="763"/>
      <c r="D9480" s="763"/>
      <c r="E9480" s="763"/>
      <c r="F9480" s="764"/>
      <c r="G9480" s="763" t="s">
        <v>146</v>
      </c>
      <c r="H9480" s="763"/>
      <c r="I9480" s="765"/>
      <c r="J9480" s="763"/>
      <c r="K9480" s="763" t="s">
        <v>5</v>
      </c>
      <c r="L9480" s="766" t="s">
        <v>143</v>
      </c>
      <c r="M9480" s="766"/>
      <c r="N9480" s="766"/>
      <c r="O9480" s="766"/>
      <c r="P9480" s="766"/>
      <c r="Q9480" s="767"/>
      <c r="R9480" s="768">
        <f>SUM(R9477:R9479)</f>
        <v>130.94999999999999</v>
      </c>
      <c r="S9480" s="763"/>
      <c r="T9480" s="768">
        <f>SUM(T9477:T9479)</f>
        <v>0</v>
      </c>
      <c r="U9480" s="531"/>
      <c r="V9480" s="531"/>
      <c r="W9480" s="531"/>
      <c r="X9480" s="531"/>
      <c r="Y9480" s="531"/>
      <c r="Z9480" s="531"/>
      <c r="AA9480" s="531"/>
      <c r="AB9480" s="531"/>
      <c r="AC9480" s="531"/>
      <c r="AD9480" s="531"/>
      <c r="AE9480" s="531"/>
      <c r="AF9480" s="531"/>
      <c r="AG9480" s="531"/>
      <c r="AH9480" s="531"/>
      <c r="AI9480" s="531"/>
      <c r="AJ9480" s="531"/>
      <c r="AK9480" s="531"/>
      <c r="AL9480" s="531"/>
      <c r="AM9480" s="531"/>
      <c r="AN9480" s="531"/>
      <c r="AO9480" s="531"/>
      <c r="AR9480" s="761" t="s">
        <v>145</v>
      </c>
      <c r="AS9480" s="764"/>
    </row>
    <row r="9481" spans="1:45" s="520" customFormat="1" ht="12" thickTop="1">
      <c r="A9481" s="51"/>
      <c r="B9481" s="41"/>
      <c r="C9481" s="51"/>
      <c r="E9481" s="42" t="s">
        <v>138</v>
      </c>
      <c r="F9481" s="42" t="s">
        <v>139</v>
      </c>
      <c r="G9481" s="51"/>
      <c r="H9481" s="51"/>
      <c r="I9481" s="51"/>
      <c r="J9481" s="51"/>
      <c r="K9481" s="51" t="s">
        <v>140</v>
      </c>
      <c r="L9481" s="51"/>
      <c r="M9481" s="51"/>
      <c r="N9481" s="51"/>
      <c r="O9481" s="52"/>
      <c r="P9481" s="51"/>
      <c r="Q9481" s="51"/>
      <c r="R9481" s="51"/>
      <c r="S9481" s="51"/>
      <c r="T9481" s="41"/>
      <c r="AG9481" s="521" t="s">
        <v>268</v>
      </c>
      <c r="AH9481" s="521" t="s">
        <v>269</v>
      </c>
      <c r="AI9481" s="521" t="s">
        <v>270</v>
      </c>
      <c r="AJ9481" s="521" t="s">
        <v>271</v>
      </c>
      <c r="AK9481" s="521" t="s">
        <v>272</v>
      </c>
      <c r="AM9481" s="745" t="s">
        <v>281</v>
      </c>
      <c r="AN9481" s="746" t="s">
        <v>282</v>
      </c>
      <c r="AO9481" s="522" t="s">
        <v>278</v>
      </c>
      <c r="AR9481" s="51"/>
      <c r="AS9481" s="42" t="s">
        <v>139</v>
      </c>
    </row>
    <row r="9482" spans="1:45" s="520" customFormat="1" ht="12" customHeight="1">
      <c r="A9482" s="747">
        <v>2</v>
      </c>
      <c r="B9482" s="523" t="s">
        <v>141</v>
      </c>
      <c r="C9482" s="748"/>
      <c r="D9482" s="749" t="s">
        <v>2458</v>
      </c>
      <c r="E9482" s="1145">
        <f>IF(AND($A9482=0,$A$1="DIF"),0, ROUND(ROUND(($R9486*$S$3+($T9486*$T$3))/$A9482,2)*$C$3,2))</f>
        <v>36.950000000000003</v>
      </c>
      <c r="F9482" s="1146">
        <f>ROUND($A9482*$E9482,2)</f>
        <v>73.900000000000006</v>
      </c>
      <c r="G9482" s="752" t="s">
        <v>142</v>
      </c>
      <c r="H9482" s="753"/>
      <c r="I9482" s="754"/>
      <c r="J9482" s="753"/>
      <c r="K9482" s="753" t="s">
        <v>5</v>
      </c>
      <c r="L9482" s="755" t="s">
        <v>143</v>
      </c>
      <c r="M9482" s="755"/>
      <c r="N9482" s="755"/>
      <c r="O9482" s="755"/>
      <c r="P9482" s="755"/>
      <c r="Q9482" s="51"/>
      <c r="T9482" s="1150" t="str">
        <f>IF(AND($R9486=0,$T9486=0),"0.00","mu: "&amp; ROUND(F9482/$C$3/($R9486+$T9486*$D$9),2))</f>
        <v>mu: 1.13</v>
      </c>
      <c r="W9482" s="524"/>
      <c r="AG9482" s="1147">
        <f>IF($E9482=0,0,ROUND($R9486*$S$3*$C$3/$A9482,2))</f>
        <v>36.950000000000003</v>
      </c>
      <c r="AH9482" s="1147">
        <f>$AG9482*$A9482</f>
        <v>73.900000000000006</v>
      </c>
      <c r="AI9482" s="1148">
        <f>$E9482-$AG9482</f>
        <v>0</v>
      </c>
      <c r="AJ9482" s="1148">
        <f>$A9482*$AI9482</f>
        <v>0</v>
      </c>
      <c r="AK9482" s="1149">
        <f>ROUND(($AG9482+$AI9482)*$A9482,2)</f>
        <v>73.900000000000006</v>
      </c>
      <c r="AM9482" s="527">
        <f>ROUND(R9486,2)</f>
        <v>65.48</v>
      </c>
      <c r="AN9482" s="528">
        <f>ROUND(T9486,2)</f>
        <v>0</v>
      </c>
      <c r="AO9482" s="529">
        <f>ROUND(AM9482+AN9482,2)*A9482</f>
        <v>130.96</v>
      </c>
      <c r="AR9482" s="747">
        <v>2</v>
      </c>
      <c r="AS9482" s="1146">
        <v>80.42</v>
      </c>
    </row>
    <row r="9483" spans="1:45" s="520" customFormat="1" ht="13.2">
      <c r="A9483" s="748"/>
      <c r="B9483"/>
      <c r="C9483" s="748"/>
      <c r="D9483" s="749" t="s">
        <v>2065</v>
      </c>
      <c r="F9483" s="753"/>
      <c r="G9483" s="3"/>
      <c r="H9483" s="753"/>
      <c r="I9483" s="754"/>
      <c r="J9483" s="753"/>
      <c r="K9483" s="753" t="s">
        <v>144</v>
      </c>
      <c r="L9483" s="753"/>
      <c r="M9483" s="753"/>
      <c r="N9483" s="753"/>
      <c r="O9483" s="753"/>
      <c r="P9483" s="753"/>
      <c r="Q9483" s="51"/>
      <c r="R9483" s="530"/>
      <c r="S9483" s="757"/>
      <c r="T9483" s="753"/>
      <c r="AR9483" s="748"/>
      <c r="AS9483" s="753"/>
    </row>
    <row r="9484" spans="1:45" s="901" customFormat="1" ht="13.2">
      <c r="A9484" s="903">
        <v>2</v>
      </c>
      <c r="B9484" s="904" t="s">
        <v>863</v>
      </c>
      <c r="C9484" s="904"/>
      <c r="D9484" s="904" t="s">
        <v>2594</v>
      </c>
      <c r="E9484" s="904"/>
      <c r="F9484" s="904" t="s">
        <v>4128</v>
      </c>
      <c r="G9484" s="905" t="s">
        <v>2595</v>
      </c>
      <c r="H9484" s="902">
        <v>960</v>
      </c>
      <c r="I9484" s="904" t="s">
        <v>2596</v>
      </c>
      <c r="J9484" s="904"/>
      <c r="K9484" s="904"/>
      <c r="L9484" s="904"/>
      <c r="M9484" s="904"/>
      <c r="N9484" s="904"/>
      <c r="O9484" s="902">
        <v>4</v>
      </c>
      <c r="P9484" s="906">
        <v>38274</v>
      </c>
      <c r="Q9484" s="1415">
        <f>37.5*0.873</f>
        <v>32.737499999999997</v>
      </c>
      <c r="R9484" s="908">
        <f>$A9484*Q9484</f>
        <v>65.474999999999994</v>
      </c>
      <c r="S9484" s="907"/>
      <c r="T9484" s="909">
        <f>$A9484*S9484*$T$1</f>
        <v>0</v>
      </c>
      <c r="AR9484" s="903">
        <v>2</v>
      </c>
      <c r="AS9484" s="904" t="s">
        <v>3507</v>
      </c>
    </row>
    <row r="9485" spans="1:45" s="520" customFormat="1" ht="12">
      <c r="A9485" s="758"/>
      <c r="B9485" s="758"/>
      <c r="C9485" s="758"/>
      <c r="D9485" s="758"/>
      <c r="E9485" s="758"/>
      <c r="F9485" s="753"/>
      <c r="G9485" s="758"/>
      <c r="H9485" s="758"/>
      <c r="I9485" s="519"/>
      <c r="J9485" s="758"/>
      <c r="K9485" s="758"/>
      <c r="L9485" s="758"/>
      <c r="M9485" s="758"/>
      <c r="N9485" s="758"/>
      <c r="O9485" s="758"/>
      <c r="P9485" s="758"/>
      <c r="Q9485" s="519"/>
      <c r="R9485" s="759">
        <f>$A9485*Q9485</f>
        <v>0</v>
      </c>
      <c r="S9485" s="519"/>
      <c r="T9485" s="760">
        <f>$A9485*S9485*$T$1</f>
        <v>0</v>
      </c>
      <c r="AR9485" s="758"/>
      <c r="AS9485" s="753"/>
    </row>
    <row r="9486" spans="1:45" s="520" customFormat="1" ht="12.6" thickBot="1">
      <c r="A9486" s="761" t="s">
        <v>145</v>
      </c>
      <c r="B9486" s="762">
        <f>(R9485+T9485)</f>
        <v>0</v>
      </c>
      <c r="C9486" s="763"/>
      <c r="D9486" s="763"/>
      <c r="E9486" s="763"/>
      <c r="F9486" s="764"/>
      <c r="G9486" s="763" t="s">
        <v>146</v>
      </c>
      <c r="H9486" s="763"/>
      <c r="I9486" s="765"/>
      <c r="J9486" s="763"/>
      <c r="K9486" s="763" t="s">
        <v>5</v>
      </c>
      <c r="L9486" s="766" t="s">
        <v>143</v>
      </c>
      <c r="M9486" s="766"/>
      <c r="N9486" s="766"/>
      <c r="O9486" s="766"/>
      <c r="P9486" s="766"/>
      <c r="Q9486" s="767"/>
      <c r="R9486" s="768">
        <f>SUM(R9483:R9485)</f>
        <v>65.474999999999994</v>
      </c>
      <c r="S9486" s="763"/>
      <c r="T9486" s="768">
        <f>SUM(T9483:T9485)</f>
        <v>0</v>
      </c>
      <c r="U9486" s="531"/>
      <c r="V9486" s="531"/>
      <c r="W9486" s="531"/>
      <c r="X9486" s="531"/>
      <c r="Y9486" s="531"/>
      <c r="Z9486" s="531"/>
      <c r="AA9486" s="531"/>
      <c r="AB9486" s="531"/>
      <c r="AC9486" s="531"/>
      <c r="AD9486" s="531"/>
      <c r="AE9486" s="531"/>
      <c r="AF9486" s="531"/>
      <c r="AG9486" s="531"/>
      <c r="AH9486" s="531"/>
      <c r="AI9486" s="531"/>
      <c r="AJ9486" s="531"/>
      <c r="AK9486" s="531"/>
      <c r="AL9486" s="531"/>
      <c r="AM9486" s="531"/>
      <c r="AN9486" s="531"/>
      <c r="AO9486" s="531"/>
      <c r="AR9486" s="761" t="s">
        <v>145</v>
      </c>
      <c r="AS9486" s="764"/>
    </row>
    <row r="9487" spans="1:45" s="520" customFormat="1" ht="12" thickTop="1">
      <c r="A9487" s="51"/>
      <c r="B9487" s="41"/>
      <c r="C9487" s="51"/>
      <c r="E9487" s="42" t="s">
        <v>138</v>
      </c>
      <c r="F9487" s="42" t="s">
        <v>139</v>
      </c>
      <c r="G9487" s="51"/>
      <c r="H9487" s="51"/>
      <c r="I9487" s="51"/>
      <c r="J9487" s="51"/>
      <c r="K9487" s="51" t="s">
        <v>140</v>
      </c>
      <c r="L9487" s="51"/>
      <c r="M9487" s="51"/>
      <c r="N9487" s="51"/>
      <c r="O9487" s="52"/>
      <c r="P9487" s="51"/>
      <c r="Q9487" s="51"/>
      <c r="R9487" s="51"/>
      <c r="S9487" s="51"/>
      <c r="T9487" s="41"/>
      <c r="AG9487" s="521" t="s">
        <v>268</v>
      </c>
      <c r="AH9487" s="521" t="s">
        <v>269</v>
      </c>
      <c r="AI9487" s="521" t="s">
        <v>270</v>
      </c>
      <c r="AJ9487" s="521" t="s">
        <v>271</v>
      </c>
      <c r="AK9487" s="521" t="s">
        <v>272</v>
      </c>
      <c r="AM9487" s="745" t="s">
        <v>281</v>
      </c>
      <c r="AN9487" s="746" t="s">
        <v>282</v>
      </c>
      <c r="AO9487" s="522" t="s">
        <v>278</v>
      </c>
      <c r="AR9487" s="51"/>
      <c r="AS9487" s="42" t="s">
        <v>139</v>
      </c>
    </row>
    <row r="9488" spans="1:45" s="520" customFormat="1" ht="12" customHeight="1">
      <c r="A9488" s="747">
        <v>1</v>
      </c>
      <c r="B9488" s="523" t="s">
        <v>141</v>
      </c>
      <c r="C9488" s="748"/>
      <c r="D9488" s="749" t="s">
        <v>2459</v>
      </c>
      <c r="E9488" s="1145">
        <f>IF(AND($A9488=0,$A$1="DIF"),0, ROUND(ROUND(($R9492*$S$3+($T9492*$T$3))/$A9488,2)*$C$3,2))</f>
        <v>36.950000000000003</v>
      </c>
      <c r="F9488" s="1146">
        <f>ROUND($A9488*$E9488,2)</f>
        <v>36.950000000000003</v>
      </c>
      <c r="G9488" s="752" t="s">
        <v>142</v>
      </c>
      <c r="H9488" s="753"/>
      <c r="I9488" s="754"/>
      <c r="J9488" s="753"/>
      <c r="K9488" s="753" t="s">
        <v>5</v>
      </c>
      <c r="L9488" s="755" t="s">
        <v>143</v>
      </c>
      <c r="M9488" s="755"/>
      <c r="N9488" s="755"/>
      <c r="O9488" s="755"/>
      <c r="P9488" s="755"/>
      <c r="Q9488" s="51"/>
      <c r="T9488" s="1150" t="str">
        <f>IF(AND($R9492=0,$T9492=0),"0.00","mu: "&amp; ROUND(F9488/$C$3/($R9492+$T9492*$D$9),2))</f>
        <v>mu: 1.13</v>
      </c>
      <c r="W9488" s="524"/>
      <c r="AG9488" s="1147">
        <f>IF($E9488=0,0,ROUND($R9492*$S$3*$C$3/$A9488,2))</f>
        <v>36.950000000000003</v>
      </c>
      <c r="AH9488" s="1147">
        <f>$AG9488*$A9488</f>
        <v>36.950000000000003</v>
      </c>
      <c r="AI9488" s="1148">
        <f>$E9488-$AG9488</f>
        <v>0</v>
      </c>
      <c r="AJ9488" s="1148">
        <f>$A9488*$AI9488</f>
        <v>0</v>
      </c>
      <c r="AK9488" s="1149">
        <f>ROUND(($AG9488+$AI9488)*$A9488,2)</f>
        <v>36.950000000000003</v>
      </c>
      <c r="AM9488" s="527">
        <f>ROUND(R9492,2)</f>
        <v>32.74</v>
      </c>
      <c r="AN9488" s="528">
        <f>ROUND(T9492,2)</f>
        <v>0</v>
      </c>
      <c r="AO9488" s="529">
        <f>ROUND(AM9488+AN9488,2)*A9488</f>
        <v>32.74</v>
      </c>
      <c r="AR9488" s="747">
        <v>1</v>
      </c>
      <c r="AS9488" s="1146">
        <v>40.21</v>
      </c>
    </row>
    <row r="9489" spans="1:45" s="520" customFormat="1" ht="13.2">
      <c r="A9489" s="748"/>
      <c r="B9489"/>
      <c r="C9489" s="748"/>
      <c r="D9489" s="749" t="s">
        <v>2067</v>
      </c>
      <c r="F9489" s="753"/>
      <c r="G9489" s="3"/>
      <c r="H9489" s="753"/>
      <c r="I9489" s="754"/>
      <c r="J9489" s="753"/>
      <c r="K9489" s="753" t="s">
        <v>144</v>
      </c>
      <c r="L9489" s="753"/>
      <c r="M9489" s="753"/>
      <c r="N9489" s="753"/>
      <c r="O9489" s="753"/>
      <c r="P9489" s="753"/>
      <c r="Q9489" s="51"/>
      <c r="R9489" s="530"/>
      <c r="S9489" s="757"/>
      <c r="T9489" s="753"/>
      <c r="AR9489" s="748"/>
      <c r="AS9489" s="753"/>
    </row>
    <row r="9490" spans="1:45" s="901" customFormat="1" ht="13.2">
      <c r="A9490" s="903">
        <v>1</v>
      </c>
      <c r="B9490" s="904" t="s">
        <v>863</v>
      </c>
      <c r="C9490" s="904"/>
      <c r="D9490" s="904" t="s">
        <v>2594</v>
      </c>
      <c r="E9490" s="904"/>
      <c r="F9490" s="904" t="s">
        <v>4128</v>
      </c>
      <c r="G9490" s="905" t="s">
        <v>2595</v>
      </c>
      <c r="H9490" s="902">
        <v>960</v>
      </c>
      <c r="I9490" s="904" t="s">
        <v>2596</v>
      </c>
      <c r="J9490" s="904"/>
      <c r="K9490" s="904"/>
      <c r="L9490" s="904"/>
      <c r="M9490" s="904"/>
      <c r="N9490" s="904"/>
      <c r="O9490" s="902">
        <v>4</v>
      </c>
      <c r="P9490" s="906">
        <v>38274</v>
      </c>
      <c r="Q9490" s="1415">
        <f>37.5*0.873</f>
        <v>32.737499999999997</v>
      </c>
      <c r="R9490" s="908">
        <f>$A9490*Q9490</f>
        <v>32.737499999999997</v>
      </c>
      <c r="S9490" s="907"/>
      <c r="T9490" s="909">
        <f>$A9490*S9490*$T$1</f>
        <v>0</v>
      </c>
      <c r="AR9490" s="903">
        <v>1</v>
      </c>
      <c r="AS9490" s="904" t="s">
        <v>3507</v>
      </c>
    </row>
    <row r="9491" spans="1:45" s="520" customFormat="1" ht="12">
      <c r="A9491" s="758"/>
      <c r="B9491" s="758"/>
      <c r="C9491" s="758"/>
      <c r="D9491" s="758"/>
      <c r="E9491" s="758"/>
      <c r="F9491" s="753"/>
      <c r="G9491" s="758"/>
      <c r="H9491" s="758"/>
      <c r="I9491" s="519"/>
      <c r="J9491" s="758"/>
      <c r="K9491" s="758"/>
      <c r="L9491" s="758"/>
      <c r="M9491" s="758"/>
      <c r="N9491" s="758"/>
      <c r="O9491" s="758"/>
      <c r="P9491" s="758"/>
      <c r="Q9491" s="519"/>
      <c r="R9491" s="759">
        <f>$A9491*Q9491</f>
        <v>0</v>
      </c>
      <c r="S9491" s="519"/>
      <c r="T9491" s="760">
        <f>$A9491*S9491*$T$1</f>
        <v>0</v>
      </c>
      <c r="AR9491" s="758"/>
      <c r="AS9491" s="753"/>
    </row>
    <row r="9492" spans="1:45" s="520" customFormat="1" ht="12.6" thickBot="1">
      <c r="A9492" s="761" t="s">
        <v>145</v>
      </c>
      <c r="B9492" s="762">
        <f>(R9491+T9491)</f>
        <v>0</v>
      </c>
      <c r="C9492" s="763"/>
      <c r="D9492" s="763"/>
      <c r="E9492" s="763"/>
      <c r="F9492" s="764"/>
      <c r="G9492" s="763" t="s">
        <v>146</v>
      </c>
      <c r="H9492" s="763"/>
      <c r="I9492" s="765"/>
      <c r="J9492" s="763"/>
      <c r="K9492" s="763" t="s">
        <v>5</v>
      </c>
      <c r="L9492" s="766" t="s">
        <v>143</v>
      </c>
      <c r="M9492" s="766"/>
      <c r="N9492" s="766"/>
      <c r="O9492" s="766"/>
      <c r="P9492" s="766"/>
      <c r="Q9492" s="767"/>
      <c r="R9492" s="768">
        <f>SUM(R9489:R9491)</f>
        <v>32.737499999999997</v>
      </c>
      <c r="S9492" s="763"/>
      <c r="T9492" s="768">
        <f>SUM(T9489:T9491)</f>
        <v>0</v>
      </c>
      <c r="U9492" s="531"/>
      <c r="V9492" s="531"/>
      <c r="W9492" s="531"/>
      <c r="X9492" s="531"/>
      <c r="Y9492" s="531"/>
      <c r="Z9492" s="531"/>
      <c r="AA9492" s="531"/>
      <c r="AB9492" s="531"/>
      <c r="AC9492" s="531"/>
      <c r="AD9492" s="531"/>
      <c r="AE9492" s="531"/>
      <c r="AF9492" s="531"/>
      <c r="AG9492" s="531"/>
      <c r="AH9492" s="531"/>
      <c r="AI9492" s="531"/>
      <c r="AJ9492" s="531"/>
      <c r="AK9492" s="531"/>
      <c r="AL9492" s="531"/>
      <c r="AM9492" s="531"/>
      <c r="AN9492" s="531"/>
      <c r="AO9492" s="531"/>
      <c r="AR9492" s="761" t="s">
        <v>145</v>
      </c>
      <c r="AS9492" s="764"/>
    </row>
    <row r="9493" spans="1:45" s="520" customFormat="1" thickTop="1">
      <c r="A9493" s="51"/>
      <c r="B9493" s="51"/>
      <c r="C9493" s="3"/>
      <c r="D9493" s="3"/>
      <c r="E9493" s="51"/>
      <c r="F9493" s="51"/>
      <c r="G9493" s="51"/>
      <c r="H9493" s="51"/>
      <c r="I9493" s="51"/>
      <c r="J9493" s="51"/>
      <c r="K9493" s="51" t="s">
        <v>134</v>
      </c>
      <c r="L9493" s="51"/>
      <c r="M9493" s="51"/>
      <c r="N9493" s="51"/>
      <c r="O9493" s="52"/>
      <c r="P9493" s="51"/>
      <c r="Q9493" s="51"/>
      <c r="R9493" s="51"/>
      <c r="S9493" s="51"/>
      <c r="T9493" s="51"/>
      <c r="AR9493" s="51"/>
      <c r="AS9493" s="51"/>
    </row>
    <row r="9494" spans="1:45" s="520" customFormat="1" ht="12">
      <c r="A9494" s="51"/>
      <c r="B9494" s="51"/>
      <c r="C9494" s="51" t="s">
        <v>135</v>
      </c>
      <c r="D9494" s="37"/>
      <c r="E9494" s="51"/>
      <c r="F9494" s="51"/>
      <c r="G9494" s="51"/>
      <c r="H9494" s="51"/>
      <c r="I9494" s="51"/>
      <c r="J9494" s="51"/>
      <c r="K9494" s="51"/>
      <c r="L9494" s="51"/>
      <c r="M9494" s="51"/>
      <c r="N9494" s="51"/>
      <c r="O9494" s="52"/>
      <c r="P9494" s="51"/>
      <c r="Q9494" s="51"/>
      <c r="R9494" s="51"/>
      <c r="S9494" s="51"/>
      <c r="T9494" s="51"/>
      <c r="AR9494" s="51"/>
      <c r="AS9494" s="51"/>
    </row>
    <row r="9495" spans="1:45" s="520" customFormat="1" ht="12">
      <c r="A9495" s="51"/>
      <c r="B9495" s="51"/>
      <c r="C9495" s="51"/>
      <c r="D9495" s="37" t="s">
        <v>2070</v>
      </c>
      <c r="E9495" s="51"/>
      <c r="F9495" s="51"/>
      <c r="G9495" s="51"/>
      <c r="H9495" s="51"/>
      <c r="I9495" s="51"/>
      <c r="J9495" s="51"/>
      <c r="K9495" s="51"/>
      <c r="L9495" s="51"/>
      <c r="M9495" s="51"/>
      <c r="N9495" s="51"/>
      <c r="O9495" s="52"/>
      <c r="P9495" s="51"/>
      <c r="Q9495" s="51"/>
      <c r="R9495" s="51"/>
      <c r="S9495" s="38"/>
      <c r="T9495" s="38"/>
      <c r="AR9495" s="51"/>
      <c r="AS9495" s="51"/>
    </row>
    <row r="9496" spans="1:45" s="3" customFormat="1" thickBot="1">
      <c r="A9496" s="531"/>
      <c r="O9496" s="107"/>
      <c r="AR9496" s="531"/>
    </row>
    <row r="9497" spans="1:45" s="520" customFormat="1" ht="12" thickTop="1">
      <c r="A9497" s="51"/>
      <c r="B9497" s="41"/>
      <c r="C9497" s="51"/>
      <c r="E9497" s="42" t="s">
        <v>138</v>
      </c>
      <c r="F9497" s="42" t="s">
        <v>139</v>
      </c>
      <c r="G9497" s="51"/>
      <c r="H9497" s="51"/>
      <c r="I9497" s="51"/>
      <c r="J9497" s="51"/>
      <c r="K9497" s="51" t="s">
        <v>140</v>
      </c>
      <c r="L9497" s="51"/>
      <c r="M9497" s="51"/>
      <c r="N9497" s="51"/>
      <c r="O9497" s="52"/>
      <c r="P9497" s="51"/>
      <c r="Q9497" s="51"/>
      <c r="R9497" s="51"/>
      <c r="S9497" s="51"/>
      <c r="T9497" s="41"/>
      <c r="AG9497" s="521" t="s">
        <v>268</v>
      </c>
      <c r="AH9497" s="521" t="s">
        <v>269</v>
      </c>
      <c r="AI9497" s="521" t="s">
        <v>270</v>
      </c>
      <c r="AJ9497" s="521" t="s">
        <v>271</v>
      </c>
      <c r="AK9497" s="521" t="s">
        <v>272</v>
      </c>
      <c r="AM9497" s="745" t="s">
        <v>281</v>
      </c>
      <c r="AN9497" s="746" t="s">
        <v>282</v>
      </c>
      <c r="AO9497" s="522" t="s">
        <v>278</v>
      </c>
      <c r="AR9497" s="51"/>
      <c r="AS9497" s="42" t="s">
        <v>139</v>
      </c>
    </row>
    <row r="9498" spans="1:45" s="520" customFormat="1" ht="12" customHeight="1">
      <c r="A9498" s="747">
        <v>1</v>
      </c>
      <c r="B9498" s="523" t="s">
        <v>141</v>
      </c>
      <c r="C9498" s="748"/>
      <c r="D9498" s="749" t="s">
        <v>2460</v>
      </c>
      <c r="E9498" s="1145">
        <f>IF(AND($A9498=0,$A$1="DIF"),0, ROUND(ROUND(($R9502*$S$3+($T9502*$T$3))/$A9498,2)*$C$3,2))</f>
        <v>51.24</v>
      </c>
      <c r="F9498" s="1146">
        <f>ROUND($A9498*$E9498,2)</f>
        <v>51.24</v>
      </c>
      <c r="G9498" s="752" t="s">
        <v>142</v>
      </c>
      <c r="H9498" s="753"/>
      <c r="I9498" s="754"/>
      <c r="J9498" s="753"/>
      <c r="K9498" s="753" t="s">
        <v>5</v>
      </c>
      <c r="L9498" s="755" t="s">
        <v>143</v>
      </c>
      <c r="M9498" s="755"/>
      <c r="N9498" s="755"/>
      <c r="O9498" s="755"/>
      <c r="P9498" s="755"/>
      <c r="Q9498" s="51"/>
      <c r="T9498" s="1150" t="str">
        <f>IF(AND($R9502=0,$T9502=0),"0.00","mu: "&amp; ROUND(F9498/$C$3/($R9502+$T9502*$D$9),2))</f>
        <v>mu: 1.13</v>
      </c>
      <c r="W9498" s="524"/>
      <c r="AG9498" s="1147">
        <f>IF($E9498=0,0,ROUND($R9502*$S$3*$C$3/$A9498,2))</f>
        <v>51.24</v>
      </c>
      <c r="AH9498" s="1147">
        <f>$AG9498*$A9498</f>
        <v>51.24</v>
      </c>
      <c r="AI9498" s="1148">
        <f>$E9498-$AG9498</f>
        <v>0</v>
      </c>
      <c r="AJ9498" s="1148">
        <f>$A9498*$AI9498</f>
        <v>0</v>
      </c>
      <c r="AK9498" s="1149">
        <f>ROUND(($AG9498+$AI9498)*$A9498,2)</f>
        <v>51.24</v>
      </c>
      <c r="AM9498" s="527">
        <f>ROUND(R9502,2)</f>
        <v>45.4</v>
      </c>
      <c r="AN9498" s="528">
        <f>ROUND(T9502,2)</f>
        <v>0</v>
      </c>
      <c r="AO9498" s="529">
        <f>ROUND(AM9498+AN9498,2)*A9498</f>
        <v>45.4</v>
      </c>
      <c r="AR9498" s="747">
        <v>1</v>
      </c>
      <c r="AS9498" s="1146">
        <v>55.76</v>
      </c>
    </row>
    <row r="9499" spans="1:45" s="520" customFormat="1" ht="13.2">
      <c r="A9499" s="748"/>
      <c r="B9499"/>
      <c r="C9499" s="748"/>
      <c r="D9499" s="749" t="s">
        <v>2063</v>
      </c>
      <c r="F9499" s="753"/>
      <c r="G9499" s="3"/>
      <c r="H9499" s="753"/>
      <c r="I9499" s="754"/>
      <c r="J9499" s="753"/>
      <c r="K9499" s="753" t="s">
        <v>144</v>
      </c>
      <c r="L9499" s="753"/>
      <c r="M9499" s="753"/>
      <c r="N9499" s="753"/>
      <c r="O9499" s="753"/>
      <c r="P9499" s="753"/>
      <c r="Q9499" s="51"/>
      <c r="R9499" s="530"/>
      <c r="S9499" s="757"/>
      <c r="T9499" s="753"/>
      <c r="AR9499" s="748"/>
      <c r="AS9499" s="753"/>
    </row>
    <row r="9500" spans="1:45" s="901" customFormat="1" ht="13.2">
      <c r="A9500" s="903">
        <v>1</v>
      </c>
      <c r="B9500" s="904" t="s">
        <v>863</v>
      </c>
      <c r="C9500" s="904"/>
      <c r="D9500" s="904" t="s">
        <v>2594</v>
      </c>
      <c r="E9500" s="904"/>
      <c r="F9500" s="904" t="s">
        <v>4128</v>
      </c>
      <c r="G9500" s="905" t="s">
        <v>2595</v>
      </c>
      <c r="H9500" s="902">
        <v>960</v>
      </c>
      <c r="I9500" s="904" t="s">
        <v>2596</v>
      </c>
      <c r="J9500" s="904"/>
      <c r="K9500" s="904"/>
      <c r="L9500" s="904"/>
      <c r="M9500" s="904"/>
      <c r="N9500" s="904"/>
      <c r="O9500" s="902">
        <v>4</v>
      </c>
      <c r="P9500" s="906">
        <v>38274</v>
      </c>
      <c r="Q9500" s="1415">
        <f>52*0.873</f>
        <v>45.396000000000001</v>
      </c>
      <c r="R9500" s="908">
        <f>$A9500*Q9500</f>
        <v>45.396000000000001</v>
      </c>
      <c r="S9500" s="907"/>
      <c r="T9500" s="909">
        <f>$A9500*S9500*$T$1</f>
        <v>0</v>
      </c>
      <c r="AR9500" s="903">
        <v>1</v>
      </c>
      <c r="AS9500" s="904" t="s">
        <v>3507</v>
      </c>
    </row>
    <row r="9501" spans="1:45" s="520" customFormat="1" ht="12">
      <c r="A9501" s="758"/>
      <c r="B9501" s="758"/>
      <c r="C9501" s="758"/>
      <c r="D9501" s="758"/>
      <c r="E9501" s="758"/>
      <c r="F9501" s="753"/>
      <c r="G9501" s="758"/>
      <c r="H9501" s="758"/>
      <c r="I9501" s="519"/>
      <c r="J9501" s="758"/>
      <c r="K9501" s="758"/>
      <c r="L9501" s="758"/>
      <c r="M9501" s="758"/>
      <c r="N9501" s="758"/>
      <c r="O9501" s="758"/>
      <c r="P9501" s="758"/>
      <c r="Q9501" s="519"/>
      <c r="R9501" s="759">
        <f>$A9501*Q9501</f>
        <v>0</v>
      </c>
      <c r="S9501" s="519"/>
      <c r="T9501" s="760">
        <f>$A9501*S9501*$T$1</f>
        <v>0</v>
      </c>
      <c r="AR9501" s="758"/>
      <c r="AS9501" s="753"/>
    </row>
    <row r="9502" spans="1:45" s="520" customFormat="1" ht="12.6" thickBot="1">
      <c r="A9502" s="761" t="s">
        <v>145</v>
      </c>
      <c r="B9502" s="762">
        <f>(R9501+T9501)</f>
        <v>0</v>
      </c>
      <c r="C9502" s="763"/>
      <c r="D9502" s="763"/>
      <c r="E9502" s="763"/>
      <c r="F9502" s="764"/>
      <c r="G9502" s="763" t="s">
        <v>146</v>
      </c>
      <c r="H9502" s="763"/>
      <c r="I9502" s="765"/>
      <c r="J9502" s="763"/>
      <c r="K9502" s="763" t="s">
        <v>5</v>
      </c>
      <c r="L9502" s="766" t="s">
        <v>143</v>
      </c>
      <c r="M9502" s="766"/>
      <c r="N9502" s="766"/>
      <c r="O9502" s="766"/>
      <c r="P9502" s="766"/>
      <c r="Q9502" s="767"/>
      <c r="R9502" s="768">
        <f>SUM(R9499:R9501)</f>
        <v>45.396000000000001</v>
      </c>
      <c r="S9502" s="763"/>
      <c r="T9502" s="768">
        <f>SUM(T9499:T9501)</f>
        <v>0</v>
      </c>
      <c r="U9502" s="531"/>
      <c r="V9502" s="531"/>
      <c r="W9502" s="531"/>
      <c r="X9502" s="531"/>
      <c r="Y9502" s="531"/>
      <c r="Z9502" s="531"/>
      <c r="AA9502" s="531"/>
      <c r="AB9502" s="531"/>
      <c r="AC9502" s="531"/>
      <c r="AD9502" s="531"/>
      <c r="AE9502" s="531"/>
      <c r="AF9502" s="531"/>
      <c r="AG9502" s="531"/>
      <c r="AH9502" s="531"/>
      <c r="AI9502" s="531"/>
      <c r="AJ9502" s="531"/>
      <c r="AK9502" s="531"/>
      <c r="AL9502" s="531"/>
      <c r="AM9502" s="531"/>
      <c r="AN9502" s="531"/>
      <c r="AO9502" s="531"/>
      <c r="AR9502" s="761" t="s">
        <v>145</v>
      </c>
      <c r="AS9502" s="764"/>
    </row>
    <row r="9503" spans="1:45" s="520" customFormat="1" ht="12" thickTop="1">
      <c r="A9503" s="51"/>
      <c r="B9503" s="41"/>
      <c r="C9503" s="51"/>
      <c r="E9503" s="42" t="s">
        <v>138</v>
      </c>
      <c r="F9503" s="42" t="s">
        <v>139</v>
      </c>
      <c r="G9503" s="51"/>
      <c r="H9503" s="51"/>
      <c r="I9503" s="51"/>
      <c r="J9503" s="51"/>
      <c r="K9503" s="51" t="s">
        <v>140</v>
      </c>
      <c r="L9503" s="51"/>
      <c r="M9503" s="51"/>
      <c r="N9503" s="51"/>
      <c r="O9503" s="52"/>
      <c r="P9503" s="51"/>
      <c r="Q9503" s="51"/>
      <c r="R9503" s="51"/>
      <c r="S9503" s="51"/>
      <c r="T9503" s="41"/>
      <c r="AG9503" s="521" t="s">
        <v>268</v>
      </c>
      <c r="AH9503" s="521" t="s">
        <v>269</v>
      </c>
      <c r="AI9503" s="521" t="s">
        <v>270</v>
      </c>
      <c r="AJ9503" s="521" t="s">
        <v>271</v>
      </c>
      <c r="AK9503" s="521" t="s">
        <v>272</v>
      </c>
      <c r="AM9503" s="745" t="s">
        <v>281</v>
      </c>
      <c r="AN9503" s="746" t="s">
        <v>282</v>
      </c>
      <c r="AO9503" s="522" t="s">
        <v>278</v>
      </c>
      <c r="AR9503" s="51"/>
      <c r="AS9503" s="42" t="s">
        <v>139</v>
      </c>
    </row>
    <row r="9504" spans="1:45" s="520" customFormat="1" ht="12" customHeight="1">
      <c r="A9504" s="747">
        <v>24</v>
      </c>
      <c r="B9504" s="523" t="s">
        <v>141</v>
      </c>
      <c r="C9504" s="748"/>
      <c r="D9504" s="749" t="s">
        <v>2461</v>
      </c>
      <c r="E9504" s="1145">
        <f>IF(AND($A9504=0,$A$1="DIF"),0, ROUND(ROUND(($R9508*$S$3+($T9508*$T$3))/$A9504,2)*$C$3,2))</f>
        <v>52.23</v>
      </c>
      <c r="F9504" s="1146">
        <f>ROUND($A9504*$E9504,2)</f>
        <v>1253.52</v>
      </c>
      <c r="G9504" s="752" t="s">
        <v>142</v>
      </c>
      <c r="H9504" s="753"/>
      <c r="I9504" s="754"/>
      <c r="J9504" s="753"/>
      <c r="K9504" s="753" t="s">
        <v>5</v>
      </c>
      <c r="L9504" s="755" t="s">
        <v>143</v>
      </c>
      <c r="M9504" s="755"/>
      <c r="N9504" s="755"/>
      <c r="O9504" s="755"/>
      <c r="P9504" s="755"/>
      <c r="Q9504" s="51"/>
      <c r="T9504" s="1150" t="str">
        <f>IF(AND($R9508=0,$T9508=0),"0.00","mu: "&amp; ROUND(F9504/$C$3/($R9508+$T9508*$D$9),2))</f>
        <v>mu: 1.13</v>
      </c>
      <c r="W9504" s="524"/>
      <c r="AG9504" s="1147">
        <f>IF($E9504=0,0,ROUND($R9508*$S$3*$C$3/$A9504,2))</f>
        <v>52.23</v>
      </c>
      <c r="AH9504" s="1147">
        <f>$AG9504*$A9504</f>
        <v>1253.52</v>
      </c>
      <c r="AI9504" s="1148">
        <f>$E9504-$AG9504</f>
        <v>0</v>
      </c>
      <c r="AJ9504" s="1148">
        <f>$A9504*$AI9504</f>
        <v>0</v>
      </c>
      <c r="AK9504" s="1149">
        <f>ROUND(($AG9504+$AI9504)*$A9504,2)</f>
        <v>1253.52</v>
      </c>
      <c r="AM9504" s="527">
        <f>ROUND(R9508,2)</f>
        <v>1110.46</v>
      </c>
      <c r="AN9504" s="528">
        <f>ROUND(T9508,2)</f>
        <v>0</v>
      </c>
      <c r="AO9504" s="529">
        <f>ROUND(AM9504+AN9504,2)*A9504</f>
        <v>26651.040000000001</v>
      </c>
      <c r="AR9504" s="747">
        <v>24</v>
      </c>
      <c r="AS9504" s="1146">
        <v>1363.92</v>
      </c>
    </row>
    <row r="9505" spans="1:45" s="520" customFormat="1" ht="13.2">
      <c r="A9505" s="748"/>
      <c r="B9505"/>
      <c r="C9505" s="748"/>
      <c r="D9505" s="749" t="s">
        <v>2061</v>
      </c>
      <c r="F9505" s="753"/>
      <c r="G9505" s="3"/>
      <c r="H9505" s="753"/>
      <c r="I9505" s="754"/>
      <c r="J9505" s="753"/>
      <c r="K9505" s="753" t="s">
        <v>144</v>
      </c>
      <c r="L9505" s="753"/>
      <c r="M9505" s="753"/>
      <c r="N9505" s="753"/>
      <c r="O9505" s="753"/>
      <c r="P9505" s="753"/>
      <c r="Q9505" s="51"/>
      <c r="R9505" s="530"/>
      <c r="S9505" s="757"/>
      <c r="T9505" s="753"/>
      <c r="AR9505" s="748"/>
      <c r="AS9505" s="753"/>
    </row>
    <row r="9506" spans="1:45" s="901" customFormat="1" ht="13.2">
      <c r="A9506" s="903">
        <v>24</v>
      </c>
      <c r="B9506" s="904" t="s">
        <v>863</v>
      </c>
      <c r="C9506" s="904"/>
      <c r="D9506" s="904" t="s">
        <v>2594</v>
      </c>
      <c r="E9506" s="904"/>
      <c r="F9506" s="904" t="s">
        <v>4128</v>
      </c>
      <c r="G9506" s="905" t="s">
        <v>2595</v>
      </c>
      <c r="H9506" s="902">
        <v>960</v>
      </c>
      <c r="I9506" s="904" t="s">
        <v>2596</v>
      </c>
      <c r="J9506" s="904"/>
      <c r="K9506" s="904"/>
      <c r="L9506" s="904"/>
      <c r="M9506" s="904"/>
      <c r="N9506" s="904"/>
      <c r="O9506" s="902">
        <v>4</v>
      </c>
      <c r="P9506" s="906">
        <v>38274</v>
      </c>
      <c r="Q9506" s="1415">
        <f>53*0.873</f>
        <v>46.268999999999998</v>
      </c>
      <c r="R9506" s="908">
        <f>$A9506*Q9506</f>
        <v>1110.4559999999999</v>
      </c>
      <c r="S9506" s="907"/>
      <c r="T9506" s="909">
        <f>$A9506*S9506*$T$1</f>
        <v>0</v>
      </c>
      <c r="AR9506" s="903">
        <v>24</v>
      </c>
      <c r="AS9506" s="904" t="s">
        <v>3507</v>
      </c>
    </row>
    <row r="9507" spans="1:45" s="520" customFormat="1" ht="12">
      <c r="A9507" s="758"/>
      <c r="B9507" s="758"/>
      <c r="C9507" s="758"/>
      <c r="D9507" s="758"/>
      <c r="E9507" s="758"/>
      <c r="F9507" s="753"/>
      <c r="G9507" s="758"/>
      <c r="H9507" s="758"/>
      <c r="I9507" s="519"/>
      <c r="J9507" s="758"/>
      <c r="K9507" s="758"/>
      <c r="L9507" s="758"/>
      <c r="M9507" s="758"/>
      <c r="N9507" s="758"/>
      <c r="O9507" s="758"/>
      <c r="P9507" s="758"/>
      <c r="Q9507" s="519"/>
      <c r="R9507" s="759">
        <f>$A9507*Q9507</f>
        <v>0</v>
      </c>
      <c r="S9507" s="519"/>
      <c r="T9507" s="760">
        <f>$A9507*S9507*$T$1</f>
        <v>0</v>
      </c>
      <c r="AR9507" s="758"/>
      <c r="AS9507" s="753"/>
    </row>
    <row r="9508" spans="1:45" s="520" customFormat="1" ht="12.6" thickBot="1">
      <c r="A9508" s="761" t="s">
        <v>145</v>
      </c>
      <c r="B9508" s="762">
        <f>(R9507+T9507)</f>
        <v>0</v>
      </c>
      <c r="C9508" s="763"/>
      <c r="D9508" s="763"/>
      <c r="E9508" s="763"/>
      <c r="F9508" s="764"/>
      <c r="G9508" s="763" t="s">
        <v>146</v>
      </c>
      <c r="H9508" s="763"/>
      <c r="I9508" s="765"/>
      <c r="J9508" s="763"/>
      <c r="K9508" s="763" t="s">
        <v>5</v>
      </c>
      <c r="L9508" s="766" t="s">
        <v>143</v>
      </c>
      <c r="M9508" s="766"/>
      <c r="N9508" s="766"/>
      <c r="O9508" s="766"/>
      <c r="P9508" s="766"/>
      <c r="Q9508" s="767"/>
      <c r="R9508" s="768">
        <f>SUM(R9505:R9507)</f>
        <v>1110.4559999999999</v>
      </c>
      <c r="S9508" s="763"/>
      <c r="T9508" s="768">
        <f>SUM(T9505:T9507)</f>
        <v>0</v>
      </c>
      <c r="U9508" s="531"/>
      <c r="V9508" s="531"/>
      <c r="W9508" s="531"/>
      <c r="X9508" s="531"/>
      <c r="Y9508" s="531"/>
      <c r="Z9508" s="531"/>
      <c r="AA9508" s="531"/>
      <c r="AB9508" s="531"/>
      <c r="AC9508" s="531"/>
      <c r="AD9508" s="531"/>
      <c r="AE9508" s="531"/>
      <c r="AF9508" s="531"/>
      <c r="AG9508" s="531"/>
      <c r="AH9508" s="531"/>
      <c r="AI9508" s="531"/>
      <c r="AJ9508" s="531"/>
      <c r="AK9508" s="531"/>
      <c r="AL9508" s="531"/>
      <c r="AM9508" s="531"/>
      <c r="AN9508" s="531"/>
      <c r="AO9508" s="531"/>
      <c r="AR9508" s="761" t="s">
        <v>145</v>
      </c>
      <c r="AS9508" s="764"/>
    </row>
    <row r="9509" spans="1:45" s="520" customFormat="1" ht="12" thickTop="1">
      <c r="A9509" s="51"/>
      <c r="B9509" s="41"/>
      <c r="C9509" s="51"/>
      <c r="E9509" s="42" t="s">
        <v>138</v>
      </c>
      <c r="F9509" s="42" t="s">
        <v>139</v>
      </c>
      <c r="G9509" s="51"/>
      <c r="H9509" s="51"/>
      <c r="I9509" s="51"/>
      <c r="J9509" s="51"/>
      <c r="K9509" s="51" t="s">
        <v>140</v>
      </c>
      <c r="L9509" s="51"/>
      <c r="M9509" s="51"/>
      <c r="N9509" s="51"/>
      <c r="O9509" s="52"/>
      <c r="P9509" s="51"/>
      <c r="Q9509" s="51"/>
      <c r="R9509" s="51"/>
      <c r="S9509" s="51"/>
      <c r="T9509" s="41"/>
      <c r="AG9509" s="521" t="s">
        <v>268</v>
      </c>
      <c r="AH9509" s="521" t="s">
        <v>269</v>
      </c>
      <c r="AI9509" s="521" t="s">
        <v>270</v>
      </c>
      <c r="AJ9509" s="521" t="s">
        <v>271</v>
      </c>
      <c r="AK9509" s="521" t="s">
        <v>272</v>
      </c>
      <c r="AM9509" s="745" t="s">
        <v>281</v>
      </c>
      <c r="AN9509" s="746" t="s">
        <v>282</v>
      </c>
      <c r="AO9509" s="522" t="s">
        <v>278</v>
      </c>
      <c r="AR9509" s="51"/>
      <c r="AS9509" s="42" t="s">
        <v>139</v>
      </c>
    </row>
    <row r="9510" spans="1:45" s="520" customFormat="1" ht="12" customHeight="1">
      <c r="A9510" s="747">
        <v>4</v>
      </c>
      <c r="B9510" s="523" t="s">
        <v>141</v>
      </c>
      <c r="C9510" s="748"/>
      <c r="D9510" s="749" t="s">
        <v>2462</v>
      </c>
      <c r="E9510" s="1145">
        <f>IF(AND($A9510=0,$A$1="DIF"),0, ROUND(ROUND(($R9514*$S$3+($T9514*$T$3))/$A9510,2)*$C$3,2))</f>
        <v>93.61</v>
      </c>
      <c r="F9510" s="1146">
        <f>ROUND($A9510*$E9510,2)</f>
        <v>374.44</v>
      </c>
      <c r="G9510" s="752" t="s">
        <v>142</v>
      </c>
      <c r="H9510" s="753"/>
      <c r="I9510" s="754"/>
      <c r="J9510" s="753"/>
      <c r="K9510" s="753" t="s">
        <v>5</v>
      </c>
      <c r="L9510" s="755" t="s">
        <v>143</v>
      </c>
      <c r="M9510" s="755"/>
      <c r="N9510" s="755"/>
      <c r="O9510" s="755"/>
      <c r="P9510" s="755"/>
      <c r="Q9510" s="51"/>
      <c r="T9510" s="1150" t="str">
        <f>IF(AND($R9514=0,$T9514=0),"0.00","mu: "&amp; ROUND(F9510/$C$3/($R9514+$T9514*$D$9),2))</f>
        <v>mu: 1.13</v>
      </c>
      <c r="W9510" s="524"/>
      <c r="AG9510" s="1147">
        <f>IF($E9510=0,0,ROUND($R9514*$S$3*$C$3/$A9510,2))</f>
        <v>93.61</v>
      </c>
      <c r="AH9510" s="1147">
        <f>$AG9510*$A9510</f>
        <v>374.44</v>
      </c>
      <c r="AI9510" s="1148">
        <f>$E9510-$AG9510</f>
        <v>0</v>
      </c>
      <c r="AJ9510" s="1148">
        <f>$A9510*$AI9510</f>
        <v>0</v>
      </c>
      <c r="AK9510" s="1149">
        <f>ROUND(($AG9510+$AI9510)*$A9510,2)</f>
        <v>374.44</v>
      </c>
      <c r="AM9510" s="527">
        <f>ROUND(R9514,2)</f>
        <v>331.74</v>
      </c>
      <c r="AN9510" s="528">
        <f>ROUND(T9514,2)</f>
        <v>0</v>
      </c>
      <c r="AO9510" s="529">
        <f>ROUND(AM9510+AN9510,2)*A9510</f>
        <v>1326.96</v>
      </c>
      <c r="AR9510" s="747">
        <v>4</v>
      </c>
      <c r="AS9510" s="1146">
        <v>407.48</v>
      </c>
    </row>
    <row r="9511" spans="1:45" s="520" customFormat="1" ht="13.2">
      <c r="A9511" s="748"/>
      <c r="B9511"/>
      <c r="C9511" s="748"/>
      <c r="D9511" s="749" t="s">
        <v>2062</v>
      </c>
      <c r="F9511" s="753"/>
      <c r="G9511" s="3"/>
      <c r="H9511" s="753"/>
      <c r="I9511" s="754"/>
      <c r="J9511" s="753"/>
      <c r="K9511" s="753" t="s">
        <v>144</v>
      </c>
      <c r="L9511" s="753"/>
      <c r="M9511" s="753"/>
      <c r="N9511" s="753"/>
      <c r="O9511" s="753"/>
      <c r="P9511" s="753"/>
      <c r="Q9511" s="51"/>
      <c r="R9511" s="530"/>
      <c r="S9511" s="757"/>
      <c r="T9511" s="753"/>
      <c r="AR9511" s="748"/>
      <c r="AS9511" s="753"/>
    </row>
    <row r="9512" spans="1:45" s="901" customFormat="1" ht="13.2">
      <c r="A9512" s="903">
        <v>4</v>
      </c>
      <c r="B9512" s="904" t="s">
        <v>863</v>
      </c>
      <c r="C9512" s="904"/>
      <c r="D9512" s="904" t="s">
        <v>2594</v>
      </c>
      <c r="E9512" s="904"/>
      <c r="F9512" s="904" t="s">
        <v>4128</v>
      </c>
      <c r="G9512" s="905" t="s">
        <v>2595</v>
      </c>
      <c r="H9512" s="902">
        <v>960</v>
      </c>
      <c r="I9512" s="904" t="s">
        <v>2596</v>
      </c>
      <c r="J9512" s="904"/>
      <c r="K9512" s="904"/>
      <c r="L9512" s="904"/>
      <c r="M9512" s="904"/>
      <c r="N9512" s="904"/>
      <c r="O9512" s="902">
        <v>4</v>
      </c>
      <c r="P9512" s="906">
        <v>38274</v>
      </c>
      <c r="Q9512" s="1415">
        <f>95*0.873</f>
        <v>82.935000000000002</v>
      </c>
      <c r="R9512" s="908">
        <f>$A9512*Q9512</f>
        <v>331.74</v>
      </c>
      <c r="S9512" s="907"/>
      <c r="T9512" s="909">
        <f>$A9512*S9512*$T$1</f>
        <v>0</v>
      </c>
      <c r="AR9512" s="903">
        <v>4</v>
      </c>
      <c r="AS9512" s="904" t="s">
        <v>3507</v>
      </c>
    </row>
    <row r="9513" spans="1:45" s="520" customFormat="1" ht="12">
      <c r="A9513" s="758"/>
      <c r="B9513" s="758"/>
      <c r="C9513" s="758"/>
      <c r="D9513" s="758"/>
      <c r="E9513" s="758"/>
      <c r="F9513" s="753"/>
      <c r="G9513" s="758"/>
      <c r="H9513" s="758"/>
      <c r="I9513" s="519"/>
      <c r="J9513" s="758"/>
      <c r="K9513" s="758"/>
      <c r="L9513" s="758"/>
      <c r="M9513" s="758"/>
      <c r="N9513" s="758"/>
      <c r="O9513" s="758"/>
      <c r="P9513" s="758"/>
      <c r="Q9513" s="519"/>
      <c r="R9513" s="759">
        <f>$A9513*Q9513</f>
        <v>0</v>
      </c>
      <c r="S9513" s="519"/>
      <c r="T9513" s="760">
        <f>$A9513*S9513*$T$1</f>
        <v>0</v>
      </c>
      <c r="AR9513" s="758"/>
      <c r="AS9513" s="753"/>
    </row>
    <row r="9514" spans="1:45" s="520" customFormat="1" ht="12.6" thickBot="1">
      <c r="A9514" s="761" t="s">
        <v>145</v>
      </c>
      <c r="B9514" s="762">
        <f>(R9513+T9513)</f>
        <v>0</v>
      </c>
      <c r="C9514" s="763"/>
      <c r="D9514" s="763"/>
      <c r="E9514" s="763"/>
      <c r="F9514" s="764"/>
      <c r="G9514" s="763" t="s">
        <v>146</v>
      </c>
      <c r="H9514" s="763"/>
      <c r="I9514" s="765"/>
      <c r="J9514" s="763"/>
      <c r="K9514" s="763" t="s">
        <v>5</v>
      </c>
      <c r="L9514" s="766" t="s">
        <v>143</v>
      </c>
      <c r="M9514" s="766"/>
      <c r="N9514" s="766"/>
      <c r="O9514" s="766"/>
      <c r="P9514" s="766"/>
      <c r="Q9514" s="767"/>
      <c r="R9514" s="768">
        <f>SUM(R9511:R9513)</f>
        <v>331.74</v>
      </c>
      <c r="S9514" s="763"/>
      <c r="T9514" s="768">
        <f>SUM(T9511:T9513)</f>
        <v>0</v>
      </c>
      <c r="U9514" s="531"/>
      <c r="V9514" s="531"/>
      <c r="W9514" s="531"/>
      <c r="X9514" s="531"/>
      <c r="Y9514" s="531"/>
      <c r="Z9514" s="531"/>
      <c r="AA9514" s="531"/>
      <c r="AB9514" s="531"/>
      <c r="AC9514" s="531"/>
      <c r="AD9514" s="531"/>
      <c r="AE9514" s="531"/>
      <c r="AF9514" s="531"/>
      <c r="AG9514" s="531"/>
      <c r="AH9514" s="531"/>
      <c r="AI9514" s="531"/>
      <c r="AJ9514" s="531"/>
      <c r="AK9514" s="531"/>
      <c r="AL9514" s="531"/>
      <c r="AM9514" s="531"/>
      <c r="AN9514" s="531"/>
      <c r="AO9514" s="531"/>
      <c r="AR9514" s="761" t="s">
        <v>145</v>
      </c>
      <c r="AS9514" s="764"/>
    </row>
    <row r="9515" spans="1:45" s="520" customFormat="1" ht="12" thickTop="1">
      <c r="A9515" s="51"/>
      <c r="B9515" s="41"/>
      <c r="C9515" s="51"/>
      <c r="E9515" s="42" t="s">
        <v>138</v>
      </c>
      <c r="F9515" s="42" t="s">
        <v>139</v>
      </c>
      <c r="G9515" s="51"/>
      <c r="H9515" s="51"/>
      <c r="I9515" s="51"/>
      <c r="J9515" s="51"/>
      <c r="K9515" s="51" t="s">
        <v>140</v>
      </c>
      <c r="L9515" s="51"/>
      <c r="M9515" s="51"/>
      <c r="N9515" s="51"/>
      <c r="O9515" s="52"/>
      <c r="P9515" s="51"/>
      <c r="Q9515" s="51"/>
      <c r="R9515" s="51"/>
      <c r="S9515" s="51"/>
      <c r="T9515" s="41"/>
      <c r="AG9515" s="521" t="s">
        <v>268</v>
      </c>
      <c r="AH9515" s="521" t="s">
        <v>269</v>
      </c>
      <c r="AI9515" s="521" t="s">
        <v>270</v>
      </c>
      <c r="AJ9515" s="521" t="s">
        <v>271</v>
      </c>
      <c r="AK9515" s="521" t="s">
        <v>272</v>
      </c>
      <c r="AM9515" s="745" t="s">
        <v>281</v>
      </c>
      <c r="AN9515" s="746" t="s">
        <v>282</v>
      </c>
      <c r="AO9515" s="522" t="s">
        <v>278</v>
      </c>
      <c r="AR9515" s="51"/>
      <c r="AS9515" s="42" t="s">
        <v>139</v>
      </c>
    </row>
    <row r="9516" spans="1:45" s="520" customFormat="1" ht="12" customHeight="1">
      <c r="A9516" s="747">
        <v>2</v>
      </c>
      <c r="B9516" s="523" t="s">
        <v>141</v>
      </c>
      <c r="C9516" s="748"/>
      <c r="D9516" s="749" t="s">
        <v>2463</v>
      </c>
      <c r="E9516" s="1145">
        <f>IF(AND($A9516=0,$A$1="DIF"),0, ROUND(ROUND(($R9520*$S$3+($T9520*$T$3))/$A9516,2)*$C$3,2))</f>
        <v>54.2</v>
      </c>
      <c r="F9516" s="1146">
        <f>ROUND($A9516*$E9516,2)</f>
        <v>108.4</v>
      </c>
      <c r="G9516" s="752" t="s">
        <v>142</v>
      </c>
      <c r="H9516" s="753"/>
      <c r="I9516" s="754"/>
      <c r="J9516" s="753"/>
      <c r="K9516" s="753" t="s">
        <v>5</v>
      </c>
      <c r="L9516" s="755" t="s">
        <v>143</v>
      </c>
      <c r="M9516" s="755"/>
      <c r="N9516" s="755"/>
      <c r="O9516" s="755"/>
      <c r="P9516" s="755"/>
      <c r="Q9516" s="51"/>
      <c r="T9516" s="1150" t="str">
        <f>IF(AND($R9520=0,$T9520=0),"0.00","mu: "&amp; ROUND(F9516/$C$3/($R9520+$T9520*$D$9),2))</f>
        <v>mu: 1.13</v>
      </c>
      <c r="W9516" s="524"/>
      <c r="AG9516" s="1147">
        <f>IF($E9516=0,0,ROUND($R9520*$S$3*$C$3/$A9516,2))</f>
        <v>54.2</v>
      </c>
      <c r="AH9516" s="1147">
        <f>$AG9516*$A9516</f>
        <v>108.4</v>
      </c>
      <c r="AI9516" s="1148">
        <f>$E9516-$AG9516</f>
        <v>0</v>
      </c>
      <c r="AJ9516" s="1148">
        <f>$A9516*$AI9516</f>
        <v>0</v>
      </c>
      <c r="AK9516" s="1149">
        <f>ROUND(($AG9516+$AI9516)*$A9516,2)</f>
        <v>108.4</v>
      </c>
      <c r="AM9516" s="527">
        <f>ROUND(R9520,2)</f>
        <v>96.03</v>
      </c>
      <c r="AN9516" s="528">
        <f>ROUND(T9520,2)</f>
        <v>0</v>
      </c>
      <c r="AO9516" s="529">
        <f>ROUND(AM9516+AN9516,2)*A9516</f>
        <v>192.06</v>
      </c>
      <c r="AR9516" s="747">
        <v>2</v>
      </c>
      <c r="AS9516" s="1146">
        <v>117.96</v>
      </c>
    </row>
    <row r="9517" spans="1:45" s="520" customFormat="1" ht="13.2">
      <c r="A9517" s="748"/>
      <c r="B9517"/>
      <c r="C9517" s="748"/>
      <c r="D9517" s="749" t="s">
        <v>2071</v>
      </c>
      <c r="F9517" s="753"/>
      <c r="G9517" s="3"/>
      <c r="H9517" s="753"/>
      <c r="I9517" s="754"/>
      <c r="J9517" s="753"/>
      <c r="K9517" s="753" t="s">
        <v>144</v>
      </c>
      <c r="L9517" s="753"/>
      <c r="M9517" s="753"/>
      <c r="N9517" s="753"/>
      <c r="O9517" s="753"/>
      <c r="P9517" s="753"/>
      <c r="Q9517" s="51"/>
      <c r="R9517" s="530"/>
      <c r="S9517" s="757"/>
      <c r="T9517" s="753"/>
      <c r="AR9517" s="748"/>
      <c r="AS9517" s="753"/>
    </row>
    <row r="9518" spans="1:45" s="901" customFormat="1" ht="13.2">
      <c r="A9518" s="903">
        <v>2</v>
      </c>
      <c r="B9518" s="904" t="s">
        <v>863</v>
      </c>
      <c r="C9518" s="904"/>
      <c r="D9518" s="904" t="s">
        <v>2594</v>
      </c>
      <c r="E9518" s="904"/>
      <c r="F9518" s="904" t="s">
        <v>4128</v>
      </c>
      <c r="G9518" s="905" t="s">
        <v>2595</v>
      </c>
      <c r="H9518" s="902">
        <v>960</v>
      </c>
      <c r="I9518" s="904" t="s">
        <v>2596</v>
      </c>
      <c r="J9518" s="904"/>
      <c r="K9518" s="904"/>
      <c r="L9518" s="904"/>
      <c r="M9518" s="904"/>
      <c r="N9518" s="904"/>
      <c r="O9518" s="902">
        <v>4</v>
      </c>
      <c r="P9518" s="906">
        <v>38274</v>
      </c>
      <c r="Q9518" s="1415">
        <f>55*0.873</f>
        <v>48.015000000000001</v>
      </c>
      <c r="R9518" s="908">
        <f>$A9518*Q9518</f>
        <v>96.03</v>
      </c>
      <c r="S9518" s="907"/>
      <c r="T9518" s="909">
        <f>$A9518*S9518*$T$1</f>
        <v>0</v>
      </c>
      <c r="AR9518" s="903">
        <v>2</v>
      </c>
      <c r="AS9518" s="904" t="s">
        <v>3507</v>
      </c>
    </row>
    <row r="9519" spans="1:45" s="520" customFormat="1" ht="12">
      <c r="A9519" s="758"/>
      <c r="B9519" s="758"/>
      <c r="C9519" s="758"/>
      <c r="D9519" s="758"/>
      <c r="E9519" s="758"/>
      <c r="F9519" s="753"/>
      <c r="G9519" s="758"/>
      <c r="H9519" s="758"/>
      <c r="I9519" s="519"/>
      <c r="J9519" s="758"/>
      <c r="K9519" s="758"/>
      <c r="L9519" s="758"/>
      <c r="M9519" s="758"/>
      <c r="N9519" s="758"/>
      <c r="O9519" s="758"/>
      <c r="P9519" s="758"/>
      <c r="Q9519" s="519"/>
      <c r="R9519" s="759">
        <f>$A9519*Q9519</f>
        <v>0</v>
      </c>
      <c r="S9519" s="519"/>
      <c r="T9519" s="760">
        <f>$A9519*S9519*$T$1</f>
        <v>0</v>
      </c>
      <c r="AR9519" s="758"/>
      <c r="AS9519" s="753"/>
    </row>
    <row r="9520" spans="1:45" s="520" customFormat="1" ht="12.6" thickBot="1">
      <c r="A9520" s="761" t="s">
        <v>145</v>
      </c>
      <c r="B9520" s="762">
        <f>(R9519+T9519)</f>
        <v>0</v>
      </c>
      <c r="C9520" s="763"/>
      <c r="D9520" s="763"/>
      <c r="E9520" s="763"/>
      <c r="F9520" s="764"/>
      <c r="G9520" s="763" t="s">
        <v>146</v>
      </c>
      <c r="H9520" s="763"/>
      <c r="I9520" s="765"/>
      <c r="J9520" s="763"/>
      <c r="K9520" s="763" t="s">
        <v>5</v>
      </c>
      <c r="L9520" s="766" t="s">
        <v>143</v>
      </c>
      <c r="M9520" s="766"/>
      <c r="N9520" s="766"/>
      <c r="O9520" s="766"/>
      <c r="P9520" s="766"/>
      <c r="Q9520" s="767"/>
      <c r="R9520" s="768">
        <f>SUM(R9517:R9519)</f>
        <v>96.03</v>
      </c>
      <c r="S9520" s="763"/>
      <c r="T9520" s="768">
        <f>SUM(T9517:T9519)</f>
        <v>0</v>
      </c>
      <c r="U9520" s="531"/>
      <c r="V9520" s="531"/>
      <c r="W9520" s="531"/>
      <c r="X9520" s="531"/>
      <c r="Y9520" s="531"/>
      <c r="Z9520" s="531"/>
      <c r="AA9520" s="531"/>
      <c r="AB9520" s="531"/>
      <c r="AC9520" s="531"/>
      <c r="AD9520" s="531"/>
      <c r="AE9520" s="531"/>
      <c r="AF9520" s="531"/>
      <c r="AG9520" s="531"/>
      <c r="AH9520" s="531"/>
      <c r="AI9520" s="531"/>
      <c r="AJ9520" s="531"/>
      <c r="AK9520" s="531"/>
      <c r="AL9520" s="531"/>
      <c r="AM9520" s="531"/>
      <c r="AN9520" s="531"/>
      <c r="AO9520" s="531"/>
      <c r="AR9520" s="761" t="s">
        <v>145</v>
      </c>
      <c r="AS9520" s="764"/>
    </row>
    <row r="9521" spans="1:45" s="520" customFormat="1" ht="12" thickTop="1">
      <c r="A9521" s="51"/>
      <c r="B9521" s="41"/>
      <c r="C9521" s="51"/>
      <c r="E9521" s="42" t="s">
        <v>138</v>
      </c>
      <c r="F9521" s="42" t="s">
        <v>139</v>
      </c>
      <c r="G9521" s="51"/>
      <c r="H9521" s="51"/>
      <c r="I9521" s="51"/>
      <c r="J9521" s="51"/>
      <c r="K9521" s="51" t="s">
        <v>140</v>
      </c>
      <c r="L9521" s="51"/>
      <c r="M9521" s="51"/>
      <c r="N9521" s="51"/>
      <c r="O9521" s="52"/>
      <c r="P9521" s="51"/>
      <c r="Q9521" s="51"/>
      <c r="R9521" s="51"/>
      <c r="S9521" s="51"/>
      <c r="T9521" s="41"/>
      <c r="AG9521" s="521" t="s">
        <v>268</v>
      </c>
      <c r="AH9521" s="521" t="s">
        <v>269</v>
      </c>
      <c r="AI9521" s="521" t="s">
        <v>270</v>
      </c>
      <c r="AJ9521" s="521" t="s">
        <v>271</v>
      </c>
      <c r="AK9521" s="521" t="s">
        <v>272</v>
      </c>
      <c r="AM9521" s="745" t="s">
        <v>281</v>
      </c>
      <c r="AN9521" s="746" t="s">
        <v>282</v>
      </c>
      <c r="AO9521" s="522" t="s">
        <v>278</v>
      </c>
      <c r="AR9521" s="51"/>
      <c r="AS9521" s="42" t="s">
        <v>139</v>
      </c>
    </row>
    <row r="9522" spans="1:45" s="520" customFormat="1" ht="12" customHeight="1">
      <c r="A9522" s="747">
        <v>1</v>
      </c>
      <c r="B9522" s="523" t="s">
        <v>141</v>
      </c>
      <c r="C9522" s="748"/>
      <c r="D9522" s="749" t="s">
        <v>2464</v>
      </c>
      <c r="E9522" s="1145">
        <f>IF(AND($A9522=0,$A$1="DIF"),0, ROUND(ROUND(($R9526*$S$3+($T9526*$T$3))/$A9522,2)*$C$3,2))</f>
        <v>77.849999999999994</v>
      </c>
      <c r="F9522" s="1146">
        <f>ROUND($A9522*$E9522,2)</f>
        <v>77.849999999999994</v>
      </c>
      <c r="G9522" s="752" t="s">
        <v>142</v>
      </c>
      <c r="H9522" s="753"/>
      <c r="I9522" s="754"/>
      <c r="J9522" s="753"/>
      <c r="K9522" s="753" t="s">
        <v>5</v>
      </c>
      <c r="L9522" s="755" t="s">
        <v>143</v>
      </c>
      <c r="M9522" s="755"/>
      <c r="N9522" s="755"/>
      <c r="O9522" s="755"/>
      <c r="P9522" s="755"/>
      <c r="Q9522" s="51"/>
      <c r="T9522" s="1150" t="str">
        <f>IF(AND($R9526=0,$T9526=0),"0.00","mu: "&amp; ROUND(F9522/$C$3/($R9526+$T9526*$D$9),2))</f>
        <v>mu: 1.13</v>
      </c>
      <c r="W9522" s="524"/>
      <c r="AG9522" s="1147">
        <f>IF($E9522=0,0,ROUND($R9526*$S$3*$C$3/$A9522,2))</f>
        <v>77.849999999999994</v>
      </c>
      <c r="AH9522" s="1147">
        <f>$AG9522*$A9522</f>
        <v>77.849999999999994</v>
      </c>
      <c r="AI9522" s="1148">
        <f>$E9522-$AG9522</f>
        <v>0</v>
      </c>
      <c r="AJ9522" s="1148">
        <f>$A9522*$AI9522</f>
        <v>0</v>
      </c>
      <c r="AK9522" s="1149">
        <f>ROUND(($AG9522+$AI9522)*$A9522,2)</f>
        <v>77.849999999999994</v>
      </c>
      <c r="AM9522" s="527">
        <f>ROUND(R9526,2)</f>
        <v>68.97</v>
      </c>
      <c r="AN9522" s="528">
        <f>ROUND(T9526,2)</f>
        <v>0</v>
      </c>
      <c r="AO9522" s="529">
        <f>ROUND(AM9522+AN9522,2)*A9522</f>
        <v>68.97</v>
      </c>
      <c r="AR9522" s="747">
        <v>1</v>
      </c>
      <c r="AS9522" s="1146">
        <v>84.71</v>
      </c>
    </row>
    <row r="9523" spans="1:45" s="520" customFormat="1" ht="13.2">
      <c r="A9523" s="748"/>
      <c r="B9523"/>
      <c r="C9523" s="748"/>
      <c r="D9523" s="749" t="s">
        <v>2067</v>
      </c>
      <c r="F9523" s="753"/>
      <c r="G9523" s="3"/>
      <c r="H9523" s="753"/>
      <c r="I9523" s="754"/>
      <c r="J9523" s="753"/>
      <c r="K9523" s="753" t="s">
        <v>144</v>
      </c>
      <c r="L9523" s="753"/>
      <c r="M9523" s="753"/>
      <c r="N9523" s="753"/>
      <c r="O9523" s="753"/>
      <c r="P9523" s="753"/>
      <c r="Q9523" s="51"/>
      <c r="R9523" s="530"/>
      <c r="S9523" s="757"/>
      <c r="T9523" s="753"/>
      <c r="AR9523" s="748"/>
      <c r="AS9523" s="753"/>
    </row>
    <row r="9524" spans="1:45" s="901" customFormat="1" ht="13.2">
      <c r="A9524" s="903">
        <v>1</v>
      </c>
      <c r="B9524" s="904" t="s">
        <v>863</v>
      </c>
      <c r="C9524" s="904"/>
      <c r="D9524" s="904" t="s">
        <v>2594</v>
      </c>
      <c r="E9524" s="904"/>
      <c r="F9524" s="904" t="s">
        <v>4128</v>
      </c>
      <c r="G9524" s="905" t="s">
        <v>2595</v>
      </c>
      <c r="H9524" s="902">
        <v>960</v>
      </c>
      <c r="I9524" s="904" t="s">
        <v>2596</v>
      </c>
      <c r="J9524" s="904"/>
      <c r="K9524" s="904"/>
      <c r="L9524" s="904"/>
      <c r="M9524" s="904"/>
      <c r="N9524" s="904"/>
      <c r="O9524" s="902">
        <v>4</v>
      </c>
      <c r="P9524" s="906">
        <v>38274</v>
      </c>
      <c r="Q9524" s="1415">
        <f>79*0.873</f>
        <v>68.966999999999999</v>
      </c>
      <c r="R9524" s="908">
        <f>$A9524*Q9524</f>
        <v>68.966999999999999</v>
      </c>
      <c r="S9524" s="907"/>
      <c r="T9524" s="909">
        <f>$A9524*S9524*$T$1</f>
        <v>0</v>
      </c>
      <c r="AR9524" s="903">
        <v>1</v>
      </c>
      <c r="AS9524" s="904" t="s">
        <v>3507</v>
      </c>
    </row>
    <row r="9525" spans="1:45" s="520" customFormat="1" ht="12">
      <c r="A9525" s="758"/>
      <c r="B9525" s="758"/>
      <c r="C9525" s="758"/>
      <c r="D9525" s="758"/>
      <c r="E9525" s="758"/>
      <c r="F9525" s="753"/>
      <c r="G9525" s="758"/>
      <c r="H9525" s="758"/>
      <c r="I9525" s="519"/>
      <c r="J9525" s="758"/>
      <c r="K9525" s="758"/>
      <c r="L9525" s="758"/>
      <c r="M9525" s="758"/>
      <c r="N9525" s="758"/>
      <c r="O9525" s="758"/>
      <c r="P9525" s="758"/>
      <c r="Q9525" s="519"/>
      <c r="R9525" s="759">
        <f>$A9525*Q9525</f>
        <v>0</v>
      </c>
      <c r="S9525" s="519"/>
      <c r="T9525" s="760">
        <f>$A9525*S9525*$T$1</f>
        <v>0</v>
      </c>
      <c r="AR9525" s="758"/>
      <c r="AS9525" s="753"/>
    </row>
    <row r="9526" spans="1:45" s="520" customFormat="1" ht="12.6" thickBot="1">
      <c r="A9526" s="761" t="s">
        <v>145</v>
      </c>
      <c r="B9526" s="762">
        <f>(R9525+T9525)</f>
        <v>0</v>
      </c>
      <c r="C9526" s="763"/>
      <c r="D9526" s="763"/>
      <c r="E9526" s="763"/>
      <c r="F9526" s="764"/>
      <c r="G9526" s="763" t="s">
        <v>146</v>
      </c>
      <c r="H9526" s="763"/>
      <c r="I9526" s="765"/>
      <c r="J9526" s="763"/>
      <c r="K9526" s="763" t="s">
        <v>5</v>
      </c>
      <c r="L9526" s="766" t="s">
        <v>143</v>
      </c>
      <c r="M9526" s="766"/>
      <c r="N9526" s="766"/>
      <c r="O9526" s="766"/>
      <c r="P9526" s="766"/>
      <c r="Q9526" s="767"/>
      <c r="R9526" s="768">
        <f>SUM(R9523:R9525)</f>
        <v>68.966999999999999</v>
      </c>
      <c r="S9526" s="763"/>
      <c r="T9526" s="768">
        <f>SUM(T9523:T9525)</f>
        <v>0</v>
      </c>
      <c r="U9526" s="531"/>
      <c r="V9526" s="531"/>
      <c r="W9526" s="531"/>
      <c r="X9526" s="531"/>
      <c r="Y9526" s="531"/>
      <c r="Z9526" s="531"/>
      <c r="AA9526" s="531"/>
      <c r="AB9526" s="531"/>
      <c r="AC9526" s="531"/>
      <c r="AD9526" s="531"/>
      <c r="AE9526" s="531"/>
      <c r="AF9526" s="531"/>
      <c r="AG9526" s="531"/>
      <c r="AH9526" s="531"/>
      <c r="AI9526" s="531"/>
      <c r="AJ9526" s="531"/>
      <c r="AK9526" s="531"/>
      <c r="AL9526" s="531"/>
      <c r="AM9526" s="531"/>
      <c r="AN9526" s="531"/>
      <c r="AO9526" s="531"/>
      <c r="AR9526" s="761" t="s">
        <v>145</v>
      </c>
      <c r="AS9526" s="764"/>
    </row>
    <row r="9527" spans="1:45" s="520" customFormat="1" thickTop="1">
      <c r="A9527" s="51"/>
      <c r="B9527" s="51"/>
      <c r="C9527" s="3"/>
      <c r="D9527" s="3"/>
      <c r="E9527" s="51"/>
      <c r="F9527" s="51"/>
      <c r="G9527" s="51"/>
      <c r="H9527" s="51"/>
      <c r="I9527" s="51"/>
      <c r="J9527" s="51"/>
      <c r="K9527" s="51" t="s">
        <v>134</v>
      </c>
      <c r="L9527" s="51"/>
      <c r="M9527" s="51"/>
      <c r="N9527" s="51"/>
      <c r="O9527" s="52"/>
      <c r="P9527" s="51"/>
      <c r="Q9527" s="51"/>
      <c r="R9527" s="51"/>
      <c r="S9527" s="51"/>
      <c r="T9527" s="51"/>
      <c r="AR9527" s="51"/>
      <c r="AS9527" s="51"/>
    </row>
    <row r="9528" spans="1:45" s="520" customFormat="1" ht="12">
      <c r="A9528" s="51"/>
      <c r="B9528" s="51"/>
      <c r="C9528" s="51" t="s">
        <v>135</v>
      </c>
      <c r="D9528" s="37"/>
      <c r="E9528" s="51"/>
      <c r="F9528" s="51"/>
      <c r="G9528" s="51"/>
      <c r="H9528" s="51"/>
      <c r="I9528" s="51"/>
      <c r="J9528" s="51"/>
      <c r="K9528" s="51"/>
      <c r="L9528" s="51"/>
      <c r="M9528" s="51"/>
      <c r="N9528" s="51"/>
      <c r="O9528" s="52"/>
      <c r="P9528" s="51"/>
      <c r="Q9528" s="51"/>
      <c r="R9528" s="51"/>
      <c r="S9528" s="51"/>
      <c r="T9528" s="51"/>
      <c r="AR9528" s="51"/>
      <c r="AS9528" s="51"/>
    </row>
    <row r="9529" spans="1:45" s="520" customFormat="1" ht="12">
      <c r="A9529" s="51"/>
      <c r="B9529" s="51"/>
      <c r="C9529" s="51"/>
      <c r="D9529" s="37" t="s">
        <v>2100</v>
      </c>
      <c r="E9529" s="51"/>
      <c r="F9529" s="51"/>
      <c r="G9529" s="51"/>
      <c r="H9529" s="51"/>
      <c r="I9529" s="51"/>
      <c r="J9529" s="51"/>
      <c r="K9529" s="51"/>
      <c r="L9529" s="51"/>
      <c r="M9529" s="51"/>
      <c r="N9529" s="51"/>
      <c r="O9529" s="52"/>
      <c r="P9529" s="51"/>
      <c r="Q9529" s="51"/>
      <c r="R9529" s="51"/>
      <c r="S9529" s="38"/>
      <c r="T9529" s="38"/>
      <c r="AR9529" s="51"/>
      <c r="AS9529" s="51"/>
    </row>
    <row r="9530" spans="1:45" s="3" customFormat="1" thickBot="1">
      <c r="A9530" s="531"/>
      <c r="O9530" s="107"/>
      <c r="AR9530" s="531"/>
    </row>
    <row r="9531" spans="1:45" s="520" customFormat="1" thickTop="1">
      <c r="A9531" s="51"/>
      <c r="B9531" s="51"/>
      <c r="C9531" s="3"/>
      <c r="D9531" s="3"/>
      <c r="E9531" s="51"/>
      <c r="F9531" s="51"/>
      <c r="G9531" s="51"/>
      <c r="H9531" s="51"/>
      <c r="I9531" s="51"/>
      <c r="J9531" s="51"/>
      <c r="K9531" s="51" t="s">
        <v>134</v>
      </c>
      <c r="L9531" s="51"/>
      <c r="M9531" s="51"/>
      <c r="N9531" s="51"/>
      <c r="O9531" s="52"/>
      <c r="P9531" s="51"/>
      <c r="Q9531" s="51"/>
      <c r="R9531" s="51"/>
      <c r="S9531" s="51"/>
      <c r="T9531" s="51"/>
      <c r="AR9531" s="51"/>
      <c r="AS9531" s="51"/>
    </row>
    <row r="9532" spans="1:45" s="520" customFormat="1" ht="12">
      <c r="A9532" s="51"/>
      <c r="B9532" s="51"/>
      <c r="C9532" s="51" t="s">
        <v>135</v>
      </c>
      <c r="D9532" s="37"/>
      <c r="E9532" s="51"/>
      <c r="F9532" s="51"/>
      <c r="G9532" s="51"/>
      <c r="H9532" s="51"/>
      <c r="I9532" s="51"/>
      <c r="J9532" s="51"/>
      <c r="K9532" s="51"/>
      <c r="L9532" s="51"/>
      <c r="M9532" s="51"/>
      <c r="N9532" s="51"/>
      <c r="O9532" s="52"/>
      <c r="P9532" s="51"/>
      <c r="Q9532" s="51"/>
      <c r="R9532" s="51"/>
      <c r="S9532" s="51"/>
      <c r="T9532" s="51"/>
      <c r="AR9532" s="51"/>
      <c r="AS9532" s="51"/>
    </row>
    <row r="9533" spans="1:45" s="520" customFormat="1" ht="39.9" customHeight="1">
      <c r="A9533" s="51"/>
      <c r="B9533" s="51"/>
      <c r="C9533" s="51"/>
      <c r="D9533" s="1453" t="s">
        <v>2335</v>
      </c>
      <c r="E9533" s="1452"/>
      <c r="F9533" s="1452"/>
      <c r="G9533" s="1452"/>
      <c r="H9533" s="1452"/>
      <c r="I9533" s="1452"/>
      <c r="J9533" s="1452"/>
      <c r="K9533" s="1452"/>
      <c r="L9533" s="1452"/>
      <c r="M9533" s="1452"/>
      <c r="N9533" s="1452"/>
      <c r="O9533" s="1452"/>
      <c r="P9533" s="1452"/>
      <c r="Q9533" s="1452"/>
      <c r="R9533" s="1452"/>
      <c r="S9533" s="1452"/>
      <c r="T9533" s="1452"/>
      <c r="AR9533" s="51"/>
    </row>
    <row r="9534" spans="1:45" s="3" customFormat="1" thickBot="1">
      <c r="A9534" s="531"/>
      <c r="O9534" s="107"/>
      <c r="AR9534" s="531"/>
    </row>
    <row r="9535" spans="1:45" s="520" customFormat="1" ht="12" thickTop="1">
      <c r="A9535" s="51"/>
      <c r="B9535" s="41"/>
      <c r="C9535" s="51"/>
      <c r="E9535" s="42" t="s">
        <v>138</v>
      </c>
      <c r="F9535" s="42" t="s">
        <v>139</v>
      </c>
      <c r="G9535" s="51"/>
      <c r="H9535" s="51"/>
      <c r="I9535" s="51"/>
      <c r="J9535" s="51"/>
      <c r="K9535" s="51" t="s">
        <v>140</v>
      </c>
      <c r="L9535" s="51"/>
      <c r="M9535" s="51"/>
      <c r="N9535" s="51"/>
      <c r="O9535" s="52"/>
      <c r="P9535" s="51"/>
      <c r="Q9535" s="51"/>
      <c r="R9535" s="51"/>
      <c r="S9535" s="51"/>
      <c r="T9535" s="41"/>
      <c r="AG9535" s="521" t="s">
        <v>268</v>
      </c>
      <c r="AH9535" s="521" t="s">
        <v>269</v>
      </c>
      <c r="AI9535" s="521" t="s">
        <v>270</v>
      </c>
      <c r="AJ9535" s="521" t="s">
        <v>271</v>
      </c>
      <c r="AK9535" s="521" t="s">
        <v>272</v>
      </c>
      <c r="AM9535" s="745" t="s">
        <v>281</v>
      </c>
      <c r="AN9535" s="746" t="s">
        <v>282</v>
      </c>
      <c r="AO9535" s="522" t="s">
        <v>278</v>
      </c>
      <c r="AR9535" s="51"/>
      <c r="AS9535" s="42" t="s">
        <v>139</v>
      </c>
    </row>
    <row r="9536" spans="1:45" s="520" customFormat="1" ht="12" customHeight="1">
      <c r="A9536" s="747">
        <v>2</v>
      </c>
      <c r="B9536" s="523" t="s">
        <v>141</v>
      </c>
      <c r="C9536" s="748"/>
      <c r="D9536" s="749" t="s">
        <v>2465</v>
      </c>
      <c r="E9536" s="750">
        <f ca="1">IF(AND($A9536=0,$A$1="DIF"),0, ROUND(ROUND(($R9541*$S$2+($T9541*$T$2))/A9536,2)*$C$2,2))</f>
        <v>49.52</v>
      </c>
      <c r="F9536" s="751">
        <f ca="1">ROUND($A9536*$E9536,2)</f>
        <v>99.04</v>
      </c>
      <c r="G9536" s="752" t="s">
        <v>142</v>
      </c>
      <c r="H9536" s="753"/>
      <c r="I9536" s="754"/>
      <c r="J9536" s="753"/>
      <c r="K9536" s="753" t="s">
        <v>3</v>
      </c>
      <c r="L9536" s="755" t="s">
        <v>143</v>
      </c>
      <c r="M9536" s="755"/>
      <c r="N9536" s="755"/>
      <c r="O9536" s="755"/>
      <c r="P9536" s="755"/>
      <c r="Q9536" s="51"/>
      <c r="T9536" s="756" t="str">
        <f ca="1">IF(AND($R9541=0,$T9541=0),"0.00","mu :" &amp; ROUND($F9536/$C$2/($R9541+$T9541*$D$9),2))</f>
        <v>mu :1.23</v>
      </c>
      <c r="W9536" s="524"/>
      <c r="AG9536" s="481">
        <f ca="1">IF($E9536=0,0,ROUND($R9541*$S$2*$C$2/$A9536,2))</f>
        <v>17.73</v>
      </c>
      <c r="AH9536" s="481">
        <f ca="1">$AG9536*$A9536</f>
        <v>35.46</v>
      </c>
      <c r="AI9536" s="525">
        <f ca="1">$E9536-$AG9536</f>
        <v>31.790000000000003</v>
      </c>
      <c r="AJ9536" s="525">
        <f ca="1">$A9536*$AI9536</f>
        <v>63.580000000000005</v>
      </c>
      <c r="AK9536" s="526">
        <f ca="1">ROUND(($AG9536+$AI9536)*$A9536,2)</f>
        <v>99.04</v>
      </c>
      <c r="AM9536" s="527">
        <f ca="1">ROUND(R9541,2)</f>
        <v>28.8</v>
      </c>
      <c r="AN9536" s="528">
        <f ca="1">ROUND(T9541,2)</f>
        <v>1.88</v>
      </c>
      <c r="AO9536" s="529">
        <f ca="1">ROUND(AM9536+AN9536,2)*A9536</f>
        <v>61.36</v>
      </c>
      <c r="AR9536" s="747">
        <v>2</v>
      </c>
      <c r="AS9536" s="751">
        <v>105.8</v>
      </c>
    </row>
    <row r="9537" spans="1:45" s="520" customFormat="1" ht="13.2">
      <c r="A9537" s="748"/>
      <c r="B9537"/>
      <c r="C9537" s="748"/>
      <c r="D9537" s="749" t="s">
        <v>2061</v>
      </c>
      <c r="F9537" s="753"/>
      <c r="G9537" s="3"/>
      <c r="H9537" s="753"/>
      <c r="I9537" s="754"/>
      <c r="J9537" s="753"/>
      <c r="K9537" s="753" t="s">
        <v>144</v>
      </c>
      <c r="L9537" s="753"/>
      <c r="M9537" s="753"/>
      <c r="N9537" s="753"/>
      <c r="O9537" s="753"/>
      <c r="P9537" s="753"/>
      <c r="Q9537" s="51"/>
      <c r="R9537" s="530"/>
      <c r="S9537" s="757"/>
      <c r="T9537" s="753"/>
      <c r="AR9537" s="748"/>
      <c r="AS9537" s="753"/>
    </row>
    <row r="9538" spans="1:45" s="886" customFormat="1" ht="13.2">
      <c r="A9538"/>
      <c r="B9538" s="910"/>
      <c r="C9538" s="910" t="s">
        <v>2597</v>
      </c>
      <c r="D9538" s="910" t="str">
        <f ca="1">CELL("Address",Elec_Rates!D$1029)</f>
        <v>[E25_0062_Quintano_Foods_Elec_ELV_As_Awarded.xlsx]Elec_Rates!$D$1029</v>
      </c>
      <c r="E9538" s="911"/>
      <c r="F9538" s="911"/>
      <c r="G9538" s="912" t="s">
        <v>2598</v>
      </c>
      <c r="H9538" s="912"/>
      <c r="I9538" s="912"/>
      <c r="J9538" s="912"/>
      <c r="K9538" s="913"/>
      <c r="L9538" s="911"/>
      <c r="M9538" s="911"/>
      <c r="N9538" s="911"/>
      <c r="O9538" s="914"/>
      <c r="P9538" s="911"/>
      <c r="Q9538" s="915"/>
      <c r="R9538" s="916"/>
      <c r="S9538" s="915"/>
      <c r="T9538" s="917"/>
      <c r="U9538" s="918"/>
      <c r="AR9538"/>
      <c r="AS9538" s="911"/>
    </row>
    <row r="9539" spans="1:45" s="886" customFormat="1" ht="11.4">
      <c r="A9539" s="919">
        <v>2</v>
      </c>
      <c r="B9539" s="920">
        <v>1</v>
      </c>
      <c r="C9539" s="920">
        <f>$A9539*$B9539</f>
        <v>2</v>
      </c>
      <c r="D9539" s="921" t="str">
        <f>Elec_Rates!$D$1029</f>
        <v>092# LSZH Conduit points for Fire alarm devices</v>
      </c>
      <c r="E9539" s="921"/>
      <c r="F9539" s="921" t="s">
        <v>2599</v>
      </c>
      <c r="G9539" s="922" t="s">
        <v>2600</v>
      </c>
      <c r="H9539" s="922"/>
      <c r="I9539" s="922"/>
      <c r="J9539" s="922"/>
      <c r="K9539" s="923"/>
      <c r="L9539" s="918"/>
      <c r="M9539" s="918"/>
      <c r="N9539" s="918"/>
      <c r="O9539" s="924"/>
      <c r="P9539" s="921"/>
      <c r="Q9539" s="925">
        <f ca="1">$B9539*Elec_Rates!$R$1029</f>
        <v>14.4</v>
      </c>
      <c r="R9539" s="916">
        <f ca="1">$A9539*Q9539</f>
        <v>28.8</v>
      </c>
      <c r="S9539" s="925">
        <f ca="1">$B9539*Elec_Rates!$T$1029</f>
        <v>0.94</v>
      </c>
      <c r="T9539" s="917">
        <f ca="1">$A9539*S9539</f>
        <v>1.88</v>
      </c>
      <c r="U9539" s="926"/>
      <c r="AR9539" s="919">
        <v>2</v>
      </c>
      <c r="AS9539" s="921" t="s">
        <v>2599</v>
      </c>
    </row>
    <row r="9540" spans="1:45" s="520" customFormat="1" ht="12">
      <c r="A9540" s="758"/>
      <c r="B9540" s="758"/>
      <c r="C9540" s="758"/>
      <c r="D9540" s="758"/>
      <c r="E9540" s="758"/>
      <c r="F9540" s="753"/>
      <c r="G9540" s="758"/>
      <c r="H9540" s="758"/>
      <c r="I9540" s="519"/>
      <c r="J9540" s="758"/>
      <c r="K9540" s="758"/>
      <c r="L9540" s="758"/>
      <c r="M9540" s="758"/>
      <c r="N9540" s="758"/>
      <c r="O9540" s="758"/>
      <c r="P9540" s="758"/>
      <c r="Q9540" s="519"/>
      <c r="R9540" s="759">
        <f>$A9540*Q9540</f>
        <v>0</v>
      </c>
      <c r="S9540" s="519"/>
      <c r="T9540" s="760">
        <f>$A9540*S9540*$T$1</f>
        <v>0</v>
      </c>
      <c r="AR9540" s="758"/>
      <c r="AS9540" s="753"/>
    </row>
    <row r="9541" spans="1:45" s="520" customFormat="1" ht="12.6" thickBot="1">
      <c r="A9541" s="761" t="s">
        <v>145</v>
      </c>
      <c r="B9541" s="762">
        <f>(R9540+T9540)</f>
        <v>0</v>
      </c>
      <c r="C9541" s="763"/>
      <c r="D9541" s="763"/>
      <c r="E9541" s="763"/>
      <c r="F9541" s="764"/>
      <c r="G9541" s="763" t="s">
        <v>146</v>
      </c>
      <c r="H9541" s="763"/>
      <c r="I9541" s="765"/>
      <c r="J9541" s="763"/>
      <c r="K9541" s="763" t="s">
        <v>3</v>
      </c>
      <c r="L9541" s="766" t="s">
        <v>143</v>
      </c>
      <c r="M9541" s="766"/>
      <c r="N9541" s="766"/>
      <c r="O9541" s="766"/>
      <c r="P9541" s="766"/>
      <c r="Q9541" s="767"/>
      <c r="R9541" s="768">
        <f ca="1">SUM(R9537:R9540)</f>
        <v>28.8</v>
      </c>
      <c r="S9541" s="763"/>
      <c r="T9541" s="768">
        <f ca="1">SUM(T9537:T9540)</f>
        <v>1.88</v>
      </c>
      <c r="U9541" s="531"/>
      <c r="V9541" s="531"/>
      <c r="W9541" s="531"/>
      <c r="X9541" s="531"/>
      <c r="Y9541" s="531"/>
      <c r="Z9541" s="531"/>
      <c r="AA9541" s="531"/>
      <c r="AB9541" s="531"/>
      <c r="AC9541" s="531"/>
      <c r="AD9541" s="531"/>
      <c r="AE9541" s="531"/>
      <c r="AF9541" s="531"/>
      <c r="AG9541" s="531"/>
      <c r="AH9541" s="531"/>
      <c r="AI9541" s="531"/>
      <c r="AJ9541" s="531"/>
      <c r="AK9541" s="531"/>
      <c r="AL9541" s="531"/>
      <c r="AM9541" s="531"/>
      <c r="AN9541" s="531"/>
      <c r="AO9541" s="531"/>
      <c r="AR9541" s="761" t="s">
        <v>145</v>
      </c>
      <c r="AS9541" s="764"/>
    </row>
    <row r="9542" spans="1:45" s="520" customFormat="1" ht="12" thickTop="1">
      <c r="A9542" s="51"/>
      <c r="B9542" s="41"/>
      <c r="C9542" s="51"/>
      <c r="E9542" s="42" t="s">
        <v>138</v>
      </c>
      <c r="F9542" s="42" t="s">
        <v>139</v>
      </c>
      <c r="G9542" s="51"/>
      <c r="H9542" s="51"/>
      <c r="I9542" s="51"/>
      <c r="J9542" s="51"/>
      <c r="K9542" s="51" t="s">
        <v>140</v>
      </c>
      <c r="L9542" s="51"/>
      <c r="M9542" s="51"/>
      <c r="N9542" s="51"/>
      <c r="O9542" s="52"/>
      <c r="P9542" s="51"/>
      <c r="Q9542" s="51"/>
      <c r="R9542" s="51"/>
      <c r="S9542" s="51"/>
      <c r="T9542" s="41"/>
      <c r="AG9542" s="521" t="s">
        <v>268</v>
      </c>
      <c r="AH9542" s="521" t="s">
        <v>269</v>
      </c>
      <c r="AI9542" s="521" t="s">
        <v>270</v>
      </c>
      <c r="AJ9542" s="521" t="s">
        <v>271</v>
      </c>
      <c r="AK9542" s="521" t="s">
        <v>272</v>
      </c>
      <c r="AM9542" s="745" t="s">
        <v>281</v>
      </c>
      <c r="AN9542" s="746" t="s">
        <v>282</v>
      </c>
      <c r="AO9542" s="522" t="s">
        <v>278</v>
      </c>
      <c r="AR9542" s="51"/>
      <c r="AS9542" s="42" t="s">
        <v>139</v>
      </c>
    </row>
    <row r="9543" spans="1:45" s="520" customFormat="1" ht="12" customHeight="1">
      <c r="A9543" s="747">
        <v>1</v>
      </c>
      <c r="B9543" s="523" t="s">
        <v>141</v>
      </c>
      <c r="C9543" s="748"/>
      <c r="D9543" s="749" t="s">
        <v>2466</v>
      </c>
      <c r="E9543" s="750">
        <f ca="1">IF(AND($A9543=0,$A$1="DIF"),0, ROUND(ROUND(($R9548*$S$2+($T9548*$T$2))/A9543,2)*$C$2,2))</f>
        <v>49.52</v>
      </c>
      <c r="F9543" s="751">
        <f ca="1">ROUND($A9543*$E9543,2)</f>
        <v>49.52</v>
      </c>
      <c r="G9543" s="752" t="s">
        <v>142</v>
      </c>
      <c r="H9543" s="753"/>
      <c r="I9543" s="754"/>
      <c r="J9543" s="753"/>
      <c r="K9543" s="753" t="s">
        <v>3</v>
      </c>
      <c r="L9543" s="755" t="s">
        <v>143</v>
      </c>
      <c r="M9543" s="755"/>
      <c r="N9543" s="755"/>
      <c r="O9543" s="755"/>
      <c r="P9543" s="755"/>
      <c r="Q9543" s="51"/>
      <c r="T9543" s="756" t="str">
        <f ca="1">IF(AND($R9548=0,$T9548=0),"0.00","mu :" &amp; ROUND($F9543/$C$2/($R9548+$T9548*$D$9),2))</f>
        <v>mu :1.23</v>
      </c>
      <c r="W9543" s="524"/>
      <c r="AG9543" s="481">
        <f ca="1">IF($E9543=0,0,ROUND($R9548*$S$2*$C$2/$A9543,2))</f>
        <v>17.73</v>
      </c>
      <c r="AH9543" s="481">
        <f ca="1">$AG9543*$A9543</f>
        <v>17.73</v>
      </c>
      <c r="AI9543" s="525">
        <f ca="1">$E9543-$AG9543</f>
        <v>31.790000000000003</v>
      </c>
      <c r="AJ9543" s="525">
        <f ca="1">$A9543*$AI9543</f>
        <v>31.790000000000003</v>
      </c>
      <c r="AK9543" s="526">
        <f ca="1">ROUND(($AG9543+$AI9543)*$A9543,2)</f>
        <v>49.52</v>
      </c>
      <c r="AM9543" s="527">
        <f ca="1">ROUND(R9548,2)</f>
        <v>14.4</v>
      </c>
      <c r="AN9543" s="528">
        <f ca="1">ROUND(T9548,2)</f>
        <v>0.94</v>
      </c>
      <c r="AO9543" s="529">
        <f ca="1">ROUND(AM9543+AN9543,2)*A9543</f>
        <v>15.34</v>
      </c>
      <c r="AR9543" s="747">
        <v>1</v>
      </c>
      <c r="AS9543" s="751">
        <v>52.9</v>
      </c>
    </row>
    <row r="9544" spans="1:45" s="520" customFormat="1" ht="13.2">
      <c r="A9544" s="748"/>
      <c r="B9544"/>
      <c r="C9544" s="748"/>
      <c r="D9544" s="749" t="s">
        <v>2062</v>
      </c>
      <c r="F9544" s="753"/>
      <c r="G9544" s="3"/>
      <c r="H9544" s="753"/>
      <c r="I9544" s="754"/>
      <c r="J9544" s="753"/>
      <c r="K9544" s="753" t="s">
        <v>144</v>
      </c>
      <c r="L9544" s="753"/>
      <c r="M9544" s="753"/>
      <c r="N9544" s="753"/>
      <c r="O9544" s="753"/>
      <c r="P9544" s="753"/>
      <c r="Q9544" s="51"/>
      <c r="R9544" s="530"/>
      <c r="S9544" s="757"/>
      <c r="T9544" s="753"/>
      <c r="AR9544" s="748"/>
      <c r="AS9544" s="753"/>
    </row>
    <row r="9545" spans="1:45" s="886" customFormat="1" ht="13.2">
      <c r="A9545"/>
      <c r="B9545" s="910"/>
      <c r="C9545" s="910" t="s">
        <v>2597</v>
      </c>
      <c r="D9545" s="910" t="str">
        <f ca="1">CELL("Address",Elec_Rates!D$1029)</f>
        <v>[E25_0062_Quintano_Foods_Elec_ELV_As_Awarded.xlsx]Elec_Rates!$D$1029</v>
      </c>
      <c r="E9545" s="911"/>
      <c r="F9545" s="911"/>
      <c r="G9545" s="912" t="s">
        <v>2598</v>
      </c>
      <c r="H9545" s="912"/>
      <c r="I9545" s="912"/>
      <c r="J9545" s="912"/>
      <c r="K9545" s="913"/>
      <c r="L9545" s="911"/>
      <c r="M9545" s="911"/>
      <c r="N9545" s="911"/>
      <c r="O9545" s="914"/>
      <c r="P9545" s="911"/>
      <c r="Q9545" s="915"/>
      <c r="R9545" s="916"/>
      <c r="S9545" s="915"/>
      <c r="T9545" s="917"/>
      <c r="U9545" s="918"/>
      <c r="AR9545"/>
      <c r="AS9545" s="911"/>
    </row>
    <row r="9546" spans="1:45" s="886" customFormat="1" ht="11.4">
      <c r="A9546" s="919">
        <v>1</v>
      </c>
      <c r="B9546" s="920">
        <v>1</v>
      </c>
      <c r="C9546" s="920">
        <f>$A9546*$B9546</f>
        <v>1</v>
      </c>
      <c r="D9546" s="921" t="str">
        <f>Elec_Rates!$D$1029</f>
        <v>092# LSZH Conduit points for Fire alarm devices</v>
      </c>
      <c r="E9546" s="921"/>
      <c r="F9546" s="921" t="s">
        <v>2599</v>
      </c>
      <c r="G9546" s="922" t="s">
        <v>2600</v>
      </c>
      <c r="H9546" s="922"/>
      <c r="I9546" s="922"/>
      <c r="J9546" s="922"/>
      <c r="K9546" s="923"/>
      <c r="L9546" s="918"/>
      <c r="M9546" s="918"/>
      <c r="N9546" s="918"/>
      <c r="O9546" s="924"/>
      <c r="P9546" s="921"/>
      <c r="Q9546" s="925">
        <f ca="1">$B9546*Elec_Rates!$R$1029</f>
        <v>14.4</v>
      </c>
      <c r="R9546" s="916">
        <f ca="1">$A9546*Q9546</f>
        <v>14.4</v>
      </c>
      <c r="S9546" s="925">
        <f ca="1">$B9546*Elec_Rates!$T$1029</f>
        <v>0.94</v>
      </c>
      <c r="T9546" s="917">
        <f ca="1">$A9546*S9546</f>
        <v>0.94</v>
      </c>
      <c r="U9546" s="926"/>
      <c r="AR9546" s="919">
        <v>1</v>
      </c>
      <c r="AS9546" s="921" t="s">
        <v>2599</v>
      </c>
    </row>
    <row r="9547" spans="1:45" s="520" customFormat="1" ht="12">
      <c r="A9547" s="758"/>
      <c r="B9547" s="758"/>
      <c r="C9547" s="758"/>
      <c r="D9547" s="758"/>
      <c r="E9547" s="758"/>
      <c r="F9547" s="753"/>
      <c r="G9547" s="758"/>
      <c r="H9547" s="758"/>
      <c r="I9547" s="519"/>
      <c r="J9547" s="758"/>
      <c r="K9547" s="758"/>
      <c r="L9547" s="758"/>
      <c r="M9547" s="758"/>
      <c r="N9547" s="758"/>
      <c r="O9547" s="758"/>
      <c r="P9547" s="758"/>
      <c r="Q9547" s="519"/>
      <c r="R9547" s="759">
        <f>$A9547*Q9547</f>
        <v>0</v>
      </c>
      <c r="S9547" s="519"/>
      <c r="T9547" s="760">
        <f>$A9547*S9547*$T$1</f>
        <v>0</v>
      </c>
      <c r="AR9547" s="758"/>
      <c r="AS9547" s="753"/>
    </row>
    <row r="9548" spans="1:45" s="520" customFormat="1" ht="12.6" thickBot="1">
      <c r="A9548" s="761" t="s">
        <v>145</v>
      </c>
      <c r="B9548" s="762">
        <f>(R9547+T9547)</f>
        <v>0</v>
      </c>
      <c r="C9548" s="763"/>
      <c r="D9548" s="763"/>
      <c r="E9548" s="763"/>
      <c r="F9548" s="764"/>
      <c r="G9548" s="763" t="s">
        <v>146</v>
      </c>
      <c r="H9548" s="763"/>
      <c r="I9548" s="765"/>
      <c r="J9548" s="763"/>
      <c r="K9548" s="763" t="s">
        <v>3</v>
      </c>
      <c r="L9548" s="766" t="s">
        <v>143</v>
      </c>
      <c r="M9548" s="766"/>
      <c r="N9548" s="766"/>
      <c r="O9548" s="766"/>
      <c r="P9548" s="766"/>
      <c r="Q9548" s="767"/>
      <c r="R9548" s="768">
        <f ca="1">SUM(R9544:R9547)</f>
        <v>14.4</v>
      </c>
      <c r="S9548" s="763"/>
      <c r="T9548" s="768">
        <f ca="1">SUM(T9544:T9547)</f>
        <v>0.94</v>
      </c>
      <c r="U9548" s="531"/>
      <c r="V9548" s="531"/>
      <c r="W9548" s="531"/>
      <c r="X9548" s="531"/>
      <c r="Y9548" s="531"/>
      <c r="Z9548" s="531"/>
      <c r="AA9548" s="531"/>
      <c r="AB9548" s="531"/>
      <c r="AC9548" s="531"/>
      <c r="AD9548" s="531"/>
      <c r="AE9548" s="531"/>
      <c r="AF9548" s="531"/>
      <c r="AG9548" s="531"/>
      <c r="AH9548" s="531"/>
      <c r="AI9548" s="531"/>
      <c r="AJ9548" s="531"/>
      <c r="AK9548" s="531"/>
      <c r="AL9548" s="531"/>
      <c r="AM9548" s="531"/>
      <c r="AN9548" s="531"/>
      <c r="AO9548" s="531"/>
      <c r="AR9548" s="761" t="s">
        <v>145</v>
      </c>
      <c r="AS9548" s="764"/>
    </row>
    <row r="9549" spans="1:45" s="520" customFormat="1" ht="12" thickTop="1">
      <c r="A9549" s="51"/>
      <c r="B9549" s="41"/>
      <c r="C9549" s="51"/>
      <c r="E9549" s="42" t="s">
        <v>138</v>
      </c>
      <c r="F9549" s="42" t="s">
        <v>139</v>
      </c>
      <c r="G9549" s="51"/>
      <c r="H9549" s="51"/>
      <c r="I9549" s="51"/>
      <c r="J9549" s="51"/>
      <c r="K9549" s="51" t="s">
        <v>140</v>
      </c>
      <c r="L9549" s="51"/>
      <c r="M9549" s="51"/>
      <c r="N9549" s="51"/>
      <c r="O9549" s="52"/>
      <c r="P9549" s="51"/>
      <c r="Q9549" s="51"/>
      <c r="R9549" s="51"/>
      <c r="S9549" s="51"/>
      <c r="T9549" s="41"/>
      <c r="AG9549" s="521" t="s">
        <v>268</v>
      </c>
      <c r="AH9549" s="521" t="s">
        <v>269</v>
      </c>
      <c r="AI9549" s="521" t="s">
        <v>270</v>
      </c>
      <c r="AJ9549" s="521" t="s">
        <v>271</v>
      </c>
      <c r="AK9549" s="521" t="s">
        <v>272</v>
      </c>
      <c r="AM9549" s="745" t="s">
        <v>281</v>
      </c>
      <c r="AN9549" s="746" t="s">
        <v>282</v>
      </c>
      <c r="AO9549" s="522" t="s">
        <v>278</v>
      </c>
      <c r="AR9549" s="51"/>
      <c r="AS9549" s="42" t="s">
        <v>139</v>
      </c>
    </row>
    <row r="9550" spans="1:45" s="520" customFormat="1" ht="12" customHeight="1">
      <c r="A9550" s="747">
        <v>1</v>
      </c>
      <c r="B9550" s="523" t="s">
        <v>141</v>
      </c>
      <c r="C9550" s="748"/>
      <c r="D9550" s="749" t="s">
        <v>2467</v>
      </c>
      <c r="E9550" s="750">
        <f ca="1">IF(AND($A9550=0,$A$1="DIF"),0, ROUND(ROUND(($R9555*$S$2+($T9555*$T$2))/A9550,2)*$C$2,2))</f>
        <v>49.52</v>
      </c>
      <c r="F9550" s="751">
        <f ca="1">ROUND($A9550*$E9550,2)</f>
        <v>49.52</v>
      </c>
      <c r="G9550" s="752" t="s">
        <v>142</v>
      </c>
      <c r="H9550" s="753"/>
      <c r="I9550" s="754"/>
      <c r="J9550" s="753"/>
      <c r="K9550" s="753" t="s">
        <v>3</v>
      </c>
      <c r="L9550" s="755" t="s">
        <v>143</v>
      </c>
      <c r="M9550" s="755"/>
      <c r="N9550" s="755"/>
      <c r="O9550" s="755"/>
      <c r="P9550" s="755"/>
      <c r="Q9550" s="51"/>
      <c r="T9550" s="756" t="str">
        <f ca="1">IF(AND($R9555=0,$T9555=0),"0.00","mu :" &amp; ROUND($F9550/$C$2/($R9555+$T9555*$D$9),2))</f>
        <v>mu :1.23</v>
      </c>
      <c r="W9550" s="524"/>
      <c r="AG9550" s="481">
        <f ca="1">IF($E9550=0,0,ROUND($R9555*$S$2*$C$2/$A9550,2))</f>
        <v>17.73</v>
      </c>
      <c r="AH9550" s="481">
        <f ca="1">$AG9550*$A9550</f>
        <v>17.73</v>
      </c>
      <c r="AI9550" s="525">
        <f ca="1">$E9550-$AG9550</f>
        <v>31.790000000000003</v>
      </c>
      <c r="AJ9550" s="525">
        <f ca="1">$A9550*$AI9550</f>
        <v>31.790000000000003</v>
      </c>
      <c r="AK9550" s="526">
        <f ca="1">ROUND(($AG9550+$AI9550)*$A9550,2)</f>
        <v>49.52</v>
      </c>
      <c r="AM9550" s="527">
        <f ca="1">ROUND(R9555,2)</f>
        <v>14.4</v>
      </c>
      <c r="AN9550" s="528">
        <f ca="1">ROUND(T9555,2)</f>
        <v>0.94</v>
      </c>
      <c r="AO9550" s="529">
        <f ca="1">ROUND(AM9550+AN9550,2)*A9550</f>
        <v>15.34</v>
      </c>
      <c r="AR9550" s="747">
        <v>1</v>
      </c>
      <c r="AS9550" s="751">
        <v>52.9</v>
      </c>
    </row>
    <row r="9551" spans="1:45" s="520" customFormat="1" ht="13.2">
      <c r="A9551" s="748"/>
      <c r="B9551"/>
      <c r="C9551" s="748"/>
      <c r="D9551" s="749" t="s">
        <v>2065</v>
      </c>
      <c r="F9551" s="753"/>
      <c r="G9551" s="3"/>
      <c r="H9551" s="753"/>
      <c r="I9551" s="754"/>
      <c r="J9551" s="753"/>
      <c r="K9551" s="753" t="s">
        <v>144</v>
      </c>
      <c r="L9551" s="753"/>
      <c r="M9551" s="753"/>
      <c r="N9551" s="753"/>
      <c r="O9551" s="753"/>
      <c r="P9551" s="753"/>
      <c r="Q9551" s="51"/>
      <c r="R9551" s="530"/>
      <c r="S9551" s="757"/>
      <c r="T9551" s="753"/>
      <c r="AR9551" s="748"/>
      <c r="AS9551" s="753"/>
    </row>
    <row r="9552" spans="1:45" s="886" customFormat="1" ht="13.2">
      <c r="A9552"/>
      <c r="B9552" s="910"/>
      <c r="C9552" s="910" t="s">
        <v>2597</v>
      </c>
      <c r="D9552" s="910" t="str">
        <f ca="1">CELL("Address",Elec_Rates!D$1029)</f>
        <v>[E25_0062_Quintano_Foods_Elec_ELV_As_Awarded.xlsx]Elec_Rates!$D$1029</v>
      </c>
      <c r="E9552" s="911"/>
      <c r="F9552" s="911"/>
      <c r="G9552" s="912" t="s">
        <v>2598</v>
      </c>
      <c r="H9552" s="912"/>
      <c r="I9552" s="912"/>
      <c r="J9552" s="912"/>
      <c r="K9552" s="913"/>
      <c r="L9552" s="911"/>
      <c r="M9552" s="911"/>
      <c r="N9552" s="911"/>
      <c r="O9552" s="914"/>
      <c r="P9552" s="911"/>
      <c r="Q9552" s="915"/>
      <c r="R9552" s="916"/>
      <c r="S9552" s="915"/>
      <c r="T9552" s="917"/>
      <c r="U9552" s="918"/>
      <c r="AR9552"/>
      <c r="AS9552" s="911"/>
    </row>
    <row r="9553" spans="1:45" s="886" customFormat="1" ht="11.4">
      <c r="A9553" s="919">
        <v>1</v>
      </c>
      <c r="B9553" s="920">
        <v>1</v>
      </c>
      <c r="C9553" s="920">
        <f>$A9553*$B9553</f>
        <v>1</v>
      </c>
      <c r="D9553" s="921" t="str">
        <f>Elec_Rates!$D$1029</f>
        <v>092# LSZH Conduit points for Fire alarm devices</v>
      </c>
      <c r="E9553" s="921"/>
      <c r="F9553" s="921" t="s">
        <v>2599</v>
      </c>
      <c r="G9553" s="922" t="s">
        <v>2600</v>
      </c>
      <c r="H9553" s="922"/>
      <c r="I9553" s="922"/>
      <c r="J9553" s="922"/>
      <c r="K9553" s="923"/>
      <c r="L9553" s="918"/>
      <c r="M9553" s="918"/>
      <c r="N9553" s="918"/>
      <c r="O9553" s="924"/>
      <c r="P9553" s="921"/>
      <c r="Q9553" s="925">
        <f ca="1">$B9553*Elec_Rates!$R$1029</f>
        <v>14.4</v>
      </c>
      <c r="R9553" s="916">
        <f ca="1">$A9553*Q9553</f>
        <v>14.4</v>
      </c>
      <c r="S9553" s="925">
        <f ca="1">$B9553*Elec_Rates!$T$1029</f>
        <v>0.94</v>
      </c>
      <c r="T9553" s="917">
        <f ca="1">$A9553*S9553</f>
        <v>0.94</v>
      </c>
      <c r="U9553" s="926"/>
      <c r="AR9553" s="919">
        <v>1</v>
      </c>
      <c r="AS9553" s="921" t="s">
        <v>2599</v>
      </c>
    </row>
    <row r="9554" spans="1:45" s="520" customFormat="1" ht="12">
      <c r="A9554" s="758"/>
      <c r="B9554" s="758"/>
      <c r="C9554" s="758"/>
      <c r="D9554" s="758"/>
      <c r="E9554" s="758"/>
      <c r="F9554" s="753"/>
      <c r="G9554" s="758"/>
      <c r="H9554" s="758"/>
      <c r="I9554" s="519"/>
      <c r="J9554" s="758"/>
      <c r="K9554" s="758"/>
      <c r="L9554" s="758"/>
      <c r="M9554" s="758"/>
      <c r="N9554" s="758"/>
      <c r="O9554" s="758"/>
      <c r="P9554" s="758"/>
      <c r="Q9554" s="519"/>
      <c r="R9554" s="759">
        <f>$A9554*Q9554</f>
        <v>0</v>
      </c>
      <c r="S9554" s="519"/>
      <c r="T9554" s="760">
        <f>$A9554*S9554*$T$1</f>
        <v>0</v>
      </c>
      <c r="AR9554" s="758"/>
      <c r="AS9554" s="753"/>
    </row>
    <row r="9555" spans="1:45" s="520" customFormat="1" ht="12.6" thickBot="1">
      <c r="A9555" s="761" t="s">
        <v>145</v>
      </c>
      <c r="B9555" s="762">
        <f>(R9554+T9554)</f>
        <v>0</v>
      </c>
      <c r="C9555" s="763"/>
      <c r="D9555" s="763"/>
      <c r="E9555" s="763"/>
      <c r="F9555" s="764"/>
      <c r="G9555" s="763" t="s">
        <v>146</v>
      </c>
      <c r="H9555" s="763"/>
      <c r="I9555" s="765"/>
      <c r="J9555" s="763"/>
      <c r="K9555" s="763" t="s">
        <v>3</v>
      </c>
      <c r="L9555" s="766" t="s">
        <v>143</v>
      </c>
      <c r="M9555" s="766"/>
      <c r="N9555" s="766"/>
      <c r="O9555" s="766"/>
      <c r="P9555" s="766"/>
      <c r="Q9555" s="767"/>
      <c r="R9555" s="768">
        <f ca="1">SUM(R9551:R9554)</f>
        <v>14.4</v>
      </c>
      <c r="S9555" s="763"/>
      <c r="T9555" s="768">
        <f ca="1">SUM(T9551:T9554)</f>
        <v>0.94</v>
      </c>
      <c r="U9555" s="531"/>
      <c r="V9555" s="531"/>
      <c r="W9555" s="531"/>
      <c r="X9555" s="531"/>
      <c r="Y9555" s="531"/>
      <c r="Z9555" s="531"/>
      <c r="AA9555" s="531"/>
      <c r="AB9555" s="531"/>
      <c r="AC9555" s="531"/>
      <c r="AD9555" s="531"/>
      <c r="AE9555" s="531"/>
      <c r="AF9555" s="531"/>
      <c r="AG9555" s="531"/>
      <c r="AH9555" s="531"/>
      <c r="AI9555" s="531"/>
      <c r="AJ9555" s="531"/>
      <c r="AK9555" s="531"/>
      <c r="AL9555" s="531"/>
      <c r="AM9555" s="531"/>
      <c r="AN9555" s="531"/>
      <c r="AO9555" s="531"/>
      <c r="AR9555" s="761" t="s">
        <v>145</v>
      </c>
      <c r="AS9555" s="764"/>
    </row>
    <row r="9556" spans="1:45" s="520" customFormat="1" thickTop="1">
      <c r="A9556" s="51"/>
      <c r="B9556" s="51"/>
      <c r="C9556" s="3"/>
      <c r="D9556" s="3"/>
      <c r="E9556" s="51"/>
      <c r="F9556" s="51"/>
      <c r="G9556" s="51"/>
      <c r="H9556" s="51"/>
      <c r="I9556" s="51"/>
      <c r="J9556" s="51"/>
      <c r="K9556" s="51" t="s">
        <v>134</v>
      </c>
      <c r="L9556" s="51"/>
      <c r="M9556" s="51"/>
      <c r="N9556" s="51"/>
      <c r="O9556" s="52"/>
      <c r="P9556" s="51"/>
      <c r="Q9556" s="51"/>
      <c r="R9556" s="51"/>
      <c r="S9556" s="51"/>
      <c r="T9556" s="51"/>
      <c r="AR9556" s="51"/>
      <c r="AS9556" s="51"/>
    </row>
    <row r="9557" spans="1:45" s="520" customFormat="1" ht="12">
      <c r="A9557" s="51"/>
      <c r="B9557" s="51"/>
      <c r="C9557" s="51" t="s">
        <v>135</v>
      </c>
      <c r="D9557" s="37"/>
      <c r="E9557" s="51"/>
      <c r="F9557" s="51"/>
      <c r="G9557" s="51"/>
      <c r="H9557" s="51"/>
      <c r="I9557" s="51"/>
      <c r="J9557" s="51"/>
      <c r="K9557" s="51"/>
      <c r="L9557" s="51"/>
      <c r="M9557" s="51"/>
      <c r="N9557" s="51"/>
      <c r="O9557" s="52"/>
      <c r="P9557" s="51"/>
      <c r="Q9557" s="51"/>
      <c r="R9557" s="51"/>
      <c r="S9557" s="51"/>
      <c r="T9557" s="51"/>
      <c r="AR9557" s="51"/>
      <c r="AS9557" s="51"/>
    </row>
    <row r="9558" spans="1:45" s="520" customFormat="1" ht="39.9" customHeight="1">
      <c r="A9558" s="51"/>
      <c r="B9558" s="51"/>
      <c r="C9558" s="51"/>
      <c r="D9558" s="1453" t="s">
        <v>2286</v>
      </c>
      <c r="E9558" s="1452"/>
      <c r="F9558" s="1452"/>
      <c r="G9558" s="1452"/>
      <c r="H9558" s="1452"/>
      <c r="I9558" s="1452"/>
      <c r="J9558" s="1452"/>
      <c r="K9558" s="1452"/>
      <c r="L9558" s="1452"/>
      <c r="M9558" s="1452"/>
      <c r="N9558" s="1452"/>
      <c r="O9558" s="1452"/>
      <c r="P9558" s="1452"/>
      <c r="Q9558" s="1452"/>
      <c r="R9558" s="1452"/>
      <c r="S9558" s="1452"/>
      <c r="T9558" s="1452"/>
      <c r="AR9558" s="51"/>
    </row>
    <row r="9559" spans="1:45" s="3" customFormat="1" thickBot="1">
      <c r="A9559" s="531"/>
      <c r="O9559" s="107"/>
      <c r="AR9559" s="531"/>
    </row>
    <row r="9560" spans="1:45" s="520" customFormat="1" ht="12" thickTop="1">
      <c r="A9560" s="51"/>
      <c r="B9560" s="41"/>
      <c r="C9560" s="51"/>
      <c r="E9560" s="42" t="s">
        <v>138</v>
      </c>
      <c r="F9560" s="42" t="s">
        <v>139</v>
      </c>
      <c r="G9560" s="51"/>
      <c r="H9560" s="51"/>
      <c r="I9560" s="51"/>
      <c r="J9560" s="51"/>
      <c r="K9560" s="51" t="s">
        <v>140</v>
      </c>
      <c r="L9560" s="51"/>
      <c r="M9560" s="51"/>
      <c r="N9560" s="51"/>
      <c r="O9560" s="52"/>
      <c r="P9560" s="51"/>
      <c r="Q9560" s="51"/>
      <c r="R9560" s="51"/>
      <c r="S9560" s="51"/>
      <c r="T9560" s="41"/>
      <c r="AG9560" s="521" t="s">
        <v>268</v>
      </c>
      <c r="AH9560" s="521" t="s">
        <v>269</v>
      </c>
      <c r="AI9560" s="521" t="s">
        <v>270</v>
      </c>
      <c r="AJ9560" s="521" t="s">
        <v>271</v>
      </c>
      <c r="AK9560" s="521" t="s">
        <v>272</v>
      </c>
      <c r="AM9560" s="745" t="s">
        <v>281</v>
      </c>
      <c r="AN9560" s="746" t="s">
        <v>282</v>
      </c>
      <c r="AO9560" s="522" t="s">
        <v>278</v>
      </c>
      <c r="AR9560" s="51"/>
      <c r="AS9560" s="42" t="s">
        <v>139</v>
      </c>
    </row>
    <row r="9561" spans="1:45" s="520" customFormat="1" ht="12" customHeight="1">
      <c r="A9561" s="747">
        <v>2</v>
      </c>
      <c r="B9561" s="523" t="s">
        <v>141</v>
      </c>
      <c r="C9561" s="748"/>
      <c r="D9561" s="749" t="s">
        <v>2468</v>
      </c>
      <c r="E9561" s="1145">
        <f>IF(AND($A9561=0,$A$1="DIF"),0, ROUND(ROUND(($R9565*$S$3+($T9565*$T$3))/$A9561,2)*$C$3,2))</f>
        <v>36.950000000000003</v>
      </c>
      <c r="F9561" s="1146">
        <f>ROUND($A9561*$E9561,2)</f>
        <v>73.900000000000006</v>
      </c>
      <c r="G9561" s="752" t="s">
        <v>142</v>
      </c>
      <c r="H9561" s="753"/>
      <c r="I9561" s="754"/>
      <c r="J9561" s="753"/>
      <c r="K9561" s="753" t="s">
        <v>5</v>
      </c>
      <c r="L9561" s="755" t="s">
        <v>143</v>
      </c>
      <c r="M9561" s="755"/>
      <c r="N9561" s="755"/>
      <c r="O9561" s="755"/>
      <c r="P9561" s="755"/>
      <c r="Q9561" s="51"/>
      <c r="T9561" s="1150" t="str">
        <f>IF(AND($R9565=0,$T9565=0),"0.00","mu: "&amp; ROUND(F9561/$C$3/($R9565+$T9565*$D$9),2))</f>
        <v>mu: 1.13</v>
      </c>
      <c r="W9561" s="524"/>
      <c r="AG9561" s="1147">
        <f>IF($E9561=0,0,ROUND($R9565*$S$3*$C$3/$A9561,2))</f>
        <v>36.950000000000003</v>
      </c>
      <c r="AH9561" s="1147">
        <f>$AG9561*$A9561</f>
        <v>73.900000000000006</v>
      </c>
      <c r="AI9561" s="1148">
        <f>$E9561-$AG9561</f>
        <v>0</v>
      </c>
      <c r="AJ9561" s="1148">
        <f>$A9561*$AI9561</f>
        <v>0</v>
      </c>
      <c r="AK9561" s="1149">
        <f>ROUND(($AG9561+$AI9561)*$A9561,2)</f>
        <v>73.900000000000006</v>
      </c>
      <c r="AM9561" s="527">
        <f>ROUND(R9565,2)</f>
        <v>65.48</v>
      </c>
      <c r="AN9561" s="528">
        <f>ROUND(T9565,2)</f>
        <v>0</v>
      </c>
      <c r="AO9561" s="529">
        <f>ROUND(AM9561+AN9561,2)*A9561</f>
        <v>130.96</v>
      </c>
      <c r="AR9561" s="747">
        <v>2</v>
      </c>
      <c r="AS9561" s="1146">
        <v>80.42</v>
      </c>
    </row>
    <row r="9562" spans="1:45" s="520" customFormat="1" ht="13.2">
      <c r="A9562" s="748"/>
      <c r="B9562"/>
      <c r="C9562" s="748"/>
      <c r="D9562" s="749" t="s">
        <v>2061</v>
      </c>
      <c r="F9562" s="753"/>
      <c r="G9562" s="3"/>
      <c r="H9562" s="753"/>
      <c r="I9562" s="754"/>
      <c r="J9562" s="753"/>
      <c r="K9562" s="753" t="s">
        <v>144</v>
      </c>
      <c r="L9562" s="753"/>
      <c r="M9562" s="753"/>
      <c r="N9562" s="753"/>
      <c r="O9562" s="753"/>
      <c r="P9562" s="753"/>
      <c r="Q9562" s="51"/>
      <c r="R9562" s="530"/>
      <c r="S9562" s="757"/>
      <c r="T9562" s="753"/>
      <c r="AR9562" s="748"/>
      <c r="AS9562" s="753"/>
    </row>
    <row r="9563" spans="1:45" s="901" customFormat="1" ht="13.2">
      <c r="A9563" s="903">
        <v>2</v>
      </c>
      <c r="B9563" s="904" t="s">
        <v>863</v>
      </c>
      <c r="C9563" s="904"/>
      <c r="D9563" s="904" t="s">
        <v>2594</v>
      </c>
      <c r="E9563" s="904"/>
      <c r="F9563" s="904" t="s">
        <v>4128</v>
      </c>
      <c r="G9563" s="905" t="s">
        <v>2595</v>
      </c>
      <c r="H9563" s="902">
        <v>960</v>
      </c>
      <c r="I9563" s="904" t="s">
        <v>2596</v>
      </c>
      <c r="J9563" s="904"/>
      <c r="K9563" s="904"/>
      <c r="L9563" s="904"/>
      <c r="M9563" s="904"/>
      <c r="N9563" s="904"/>
      <c r="O9563" s="902">
        <v>4</v>
      </c>
      <c r="P9563" s="906">
        <v>38274</v>
      </c>
      <c r="Q9563" s="1415">
        <f>37.5*0.873</f>
        <v>32.737499999999997</v>
      </c>
      <c r="R9563" s="908">
        <f>$A9563*Q9563</f>
        <v>65.474999999999994</v>
      </c>
      <c r="S9563" s="907"/>
      <c r="T9563" s="909">
        <f>$A9563*S9563*$T$1</f>
        <v>0</v>
      </c>
      <c r="AR9563" s="903">
        <v>2</v>
      </c>
      <c r="AS9563" s="904" t="s">
        <v>3507</v>
      </c>
    </row>
    <row r="9564" spans="1:45" s="520" customFormat="1" ht="12">
      <c r="A9564" s="758"/>
      <c r="B9564" s="758"/>
      <c r="C9564" s="758"/>
      <c r="D9564" s="758"/>
      <c r="E9564" s="758"/>
      <c r="F9564" s="753"/>
      <c r="G9564" s="758"/>
      <c r="H9564" s="758"/>
      <c r="I9564" s="519"/>
      <c r="J9564" s="758"/>
      <c r="K9564" s="758"/>
      <c r="L9564" s="758"/>
      <c r="M9564" s="758"/>
      <c r="N9564" s="758"/>
      <c r="O9564" s="758"/>
      <c r="P9564" s="758"/>
      <c r="Q9564" s="519"/>
      <c r="R9564" s="759">
        <f>$A9564*Q9564</f>
        <v>0</v>
      </c>
      <c r="S9564" s="519"/>
      <c r="T9564" s="760">
        <f>$A9564*S9564*$T$1</f>
        <v>0</v>
      </c>
      <c r="AR9564" s="758"/>
      <c r="AS9564" s="753"/>
    </row>
    <row r="9565" spans="1:45" s="520" customFormat="1" ht="12.6" thickBot="1">
      <c r="A9565" s="761" t="s">
        <v>145</v>
      </c>
      <c r="B9565" s="762">
        <f>(R9564+T9564)</f>
        <v>0</v>
      </c>
      <c r="C9565" s="763"/>
      <c r="D9565" s="763"/>
      <c r="E9565" s="763"/>
      <c r="F9565" s="764"/>
      <c r="G9565" s="763" t="s">
        <v>146</v>
      </c>
      <c r="H9565" s="763"/>
      <c r="I9565" s="765"/>
      <c r="J9565" s="763"/>
      <c r="K9565" s="763" t="s">
        <v>5</v>
      </c>
      <c r="L9565" s="766" t="s">
        <v>143</v>
      </c>
      <c r="M9565" s="766"/>
      <c r="N9565" s="766"/>
      <c r="O9565" s="766"/>
      <c r="P9565" s="766"/>
      <c r="Q9565" s="767"/>
      <c r="R9565" s="768">
        <f>SUM(R9562:R9564)</f>
        <v>65.474999999999994</v>
      </c>
      <c r="S9565" s="763"/>
      <c r="T9565" s="768">
        <f>SUM(T9562:T9564)</f>
        <v>0</v>
      </c>
      <c r="U9565" s="531"/>
      <c r="V9565" s="531"/>
      <c r="W9565" s="531"/>
      <c r="X9565" s="531"/>
      <c r="Y9565" s="531"/>
      <c r="Z9565" s="531"/>
      <c r="AA9565" s="531"/>
      <c r="AB9565" s="531"/>
      <c r="AC9565" s="531"/>
      <c r="AD9565" s="531"/>
      <c r="AE9565" s="531"/>
      <c r="AF9565" s="531"/>
      <c r="AG9565" s="531"/>
      <c r="AH9565" s="531"/>
      <c r="AI9565" s="531"/>
      <c r="AJ9565" s="531"/>
      <c r="AK9565" s="531"/>
      <c r="AL9565" s="531"/>
      <c r="AM9565" s="531"/>
      <c r="AN9565" s="531"/>
      <c r="AO9565" s="531"/>
      <c r="AR9565" s="761" t="s">
        <v>145</v>
      </c>
      <c r="AS9565" s="764"/>
    </row>
    <row r="9566" spans="1:45" s="520" customFormat="1" ht="12" thickTop="1">
      <c r="A9566" s="51"/>
      <c r="B9566" s="41"/>
      <c r="C9566" s="51"/>
      <c r="E9566" s="42" t="s">
        <v>138</v>
      </c>
      <c r="F9566" s="42" t="s">
        <v>139</v>
      </c>
      <c r="G9566" s="51"/>
      <c r="H9566" s="51"/>
      <c r="I9566" s="51"/>
      <c r="J9566" s="51"/>
      <c r="K9566" s="51" t="s">
        <v>140</v>
      </c>
      <c r="L9566" s="51"/>
      <c r="M9566" s="51"/>
      <c r="N9566" s="51"/>
      <c r="O9566" s="52"/>
      <c r="P9566" s="51"/>
      <c r="Q9566" s="51"/>
      <c r="R9566" s="51"/>
      <c r="S9566" s="51"/>
      <c r="T9566" s="41"/>
      <c r="AG9566" s="521" t="s">
        <v>268</v>
      </c>
      <c r="AH9566" s="521" t="s">
        <v>269</v>
      </c>
      <c r="AI9566" s="521" t="s">
        <v>270</v>
      </c>
      <c r="AJ9566" s="521" t="s">
        <v>271</v>
      </c>
      <c r="AK9566" s="521" t="s">
        <v>272</v>
      </c>
      <c r="AM9566" s="745" t="s">
        <v>281</v>
      </c>
      <c r="AN9566" s="746" t="s">
        <v>282</v>
      </c>
      <c r="AO9566" s="522" t="s">
        <v>278</v>
      </c>
      <c r="AR9566" s="51"/>
      <c r="AS9566" s="42" t="s">
        <v>139</v>
      </c>
    </row>
    <row r="9567" spans="1:45" s="520" customFormat="1" ht="12" customHeight="1">
      <c r="A9567" s="747">
        <v>1</v>
      </c>
      <c r="B9567" s="523" t="s">
        <v>141</v>
      </c>
      <c r="C9567" s="748"/>
      <c r="D9567" s="749" t="s">
        <v>2469</v>
      </c>
      <c r="E9567" s="1145">
        <f>IF(AND($A9567=0,$A$1="DIF"),0, ROUND(ROUND(($R9571*$S$3+($T9571*$T$3))/$A9567,2)*$C$3,2))</f>
        <v>36.950000000000003</v>
      </c>
      <c r="F9567" s="1146">
        <f>ROUND($A9567*$E9567,2)</f>
        <v>36.950000000000003</v>
      </c>
      <c r="G9567" s="752" t="s">
        <v>142</v>
      </c>
      <c r="H9567" s="753"/>
      <c r="I9567" s="754"/>
      <c r="J9567" s="753"/>
      <c r="K9567" s="753" t="s">
        <v>5</v>
      </c>
      <c r="L9567" s="755" t="s">
        <v>143</v>
      </c>
      <c r="M9567" s="755"/>
      <c r="N9567" s="755"/>
      <c r="O9567" s="755"/>
      <c r="P9567" s="755"/>
      <c r="Q9567" s="51"/>
      <c r="T9567" s="1150" t="str">
        <f>IF(AND($R9571=0,$T9571=0),"0.00","mu: "&amp; ROUND(F9567/$C$3/($R9571+$T9571*$D$9),2))</f>
        <v>mu: 1.13</v>
      </c>
      <c r="W9567" s="524"/>
      <c r="AG9567" s="1147">
        <f>IF($E9567=0,0,ROUND($R9571*$S$3*$C$3/$A9567,2))</f>
        <v>36.950000000000003</v>
      </c>
      <c r="AH9567" s="1147">
        <f>$AG9567*$A9567</f>
        <v>36.950000000000003</v>
      </c>
      <c r="AI9567" s="1148">
        <f>$E9567-$AG9567</f>
        <v>0</v>
      </c>
      <c r="AJ9567" s="1148">
        <f>$A9567*$AI9567</f>
        <v>0</v>
      </c>
      <c r="AK9567" s="1149">
        <f>ROUND(($AG9567+$AI9567)*$A9567,2)</f>
        <v>36.950000000000003</v>
      </c>
      <c r="AM9567" s="527">
        <f>ROUND(R9571,2)</f>
        <v>32.74</v>
      </c>
      <c r="AN9567" s="528">
        <f>ROUND(T9571,2)</f>
        <v>0</v>
      </c>
      <c r="AO9567" s="529">
        <f>ROUND(AM9567+AN9567,2)*A9567</f>
        <v>32.74</v>
      </c>
      <c r="AR9567" s="747">
        <v>1</v>
      </c>
      <c r="AS9567" s="1146">
        <v>40.21</v>
      </c>
    </row>
    <row r="9568" spans="1:45" s="520" customFormat="1" ht="13.2">
      <c r="A9568" s="748"/>
      <c r="B9568"/>
      <c r="C9568" s="748"/>
      <c r="D9568" s="749" t="s">
        <v>2062</v>
      </c>
      <c r="F9568" s="753"/>
      <c r="G9568" s="3"/>
      <c r="H9568" s="753"/>
      <c r="I9568" s="754"/>
      <c r="J9568" s="753"/>
      <c r="K9568" s="753" t="s">
        <v>144</v>
      </c>
      <c r="L9568" s="753"/>
      <c r="M9568" s="753"/>
      <c r="N9568" s="753"/>
      <c r="O9568" s="753"/>
      <c r="P9568" s="753"/>
      <c r="Q9568" s="51"/>
      <c r="R9568" s="530"/>
      <c r="S9568" s="757"/>
      <c r="T9568" s="753"/>
      <c r="AR9568" s="748"/>
      <c r="AS9568" s="753"/>
    </row>
    <row r="9569" spans="1:45" s="901" customFormat="1" ht="13.2">
      <c r="A9569" s="903">
        <v>1</v>
      </c>
      <c r="B9569" s="904" t="s">
        <v>863</v>
      </c>
      <c r="C9569" s="904"/>
      <c r="D9569" s="904" t="s">
        <v>2594</v>
      </c>
      <c r="E9569" s="904"/>
      <c r="F9569" s="904" t="s">
        <v>4128</v>
      </c>
      <c r="G9569" s="905" t="s">
        <v>2595</v>
      </c>
      <c r="H9569" s="902">
        <v>960</v>
      </c>
      <c r="I9569" s="904" t="s">
        <v>2596</v>
      </c>
      <c r="J9569" s="904"/>
      <c r="K9569" s="904"/>
      <c r="L9569" s="904"/>
      <c r="M9569" s="904"/>
      <c r="N9569" s="904"/>
      <c r="O9569" s="902">
        <v>4</v>
      </c>
      <c r="P9569" s="906">
        <v>38274</v>
      </c>
      <c r="Q9569" s="1415">
        <f>37.5*0.873</f>
        <v>32.737499999999997</v>
      </c>
      <c r="R9569" s="908">
        <f>$A9569*Q9569</f>
        <v>32.737499999999997</v>
      </c>
      <c r="S9569" s="907"/>
      <c r="T9569" s="909">
        <f>$A9569*S9569*$T$1</f>
        <v>0</v>
      </c>
      <c r="AR9569" s="903">
        <v>1</v>
      </c>
      <c r="AS9569" s="904" t="s">
        <v>3507</v>
      </c>
    </row>
    <row r="9570" spans="1:45" s="520" customFormat="1" ht="12">
      <c r="A9570" s="758"/>
      <c r="B9570" s="758"/>
      <c r="C9570" s="758"/>
      <c r="D9570" s="758"/>
      <c r="E9570" s="758"/>
      <c r="F9570" s="753"/>
      <c r="G9570" s="758"/>
      <c r="H9570" s="758"/>
      <c r="I9570" s="519"/>
      <c r="J9570" s="758"/>
      <c r="K9570" s="758"/>
      <c r="L9570" s="758"/>
      <c r="M9570" s="758"/>
      <c r="N9570" s="758"/>
      <c r="O9570" s="758"/>
      <c r="P9570" s="758"/>
      <c r="Q9570" s="519"/>
      <c r="R9570" s="759">
        <f>$A9570*Q9570</f>
        <v>0</v>
      </c>
      <c r="S9570" s="519"/>
      <c r="T9570" s="760">
        <f>$A9570*S9570*$T$1</f>
        <v>0</v>
      </c>
      <c r="AR9570" s="758"/>
      <c r="AS9570" s="753"/>
    </row>
    <row r="9571" spans="1:45" s="520" customFormat="1" ht="12.6" thickBot="1">
      <c r="A9571" s="761" t="s">
        <v>145</v>
      </c>
      <c r="B9571" s="762">
        <f>(R9570+T9570)</f>
        <v>0</v>
      </c>
      <c r="C9571" s="763"/>
      <c r="D9571" s="763"/>
      <c r="E9571" s="763"/>
      <c r="F9571" s="764"/>
      <c r="G9571" s="763" t="s">
        <v>146</v>
      </c>
      <c r="H9571" s="763"/>
      <c r="I9571" s="765"/>
      <c r="J9571" s="763"/>
      <c r="K9571" s="763" t="s">
        <v>5</v>
      </c>
      <c r="L9571" s="766" t="s">
        <v>143</v>
      </c>
      <c r="M9571" s="766"/>
      <c r="N9571" s="766"/>
      <c r="O9571" s="766"/>
      <c r="P9571" s="766"/>
      <c r="Q9571" s="767"/>
      <c r="R9571" s="768">
        <f>SUM(R9568:R9570)</f>
        <v>32.737499999999997</v>
      </c>
      <c r="S9571" s="763"/>
      <c r="T9571" s="768">
        <f>SUM(T9568:T9570)</f>
        <v>0</v>
      </c>
      <c r="U9571" s="531"/>
      <c r="V9571" s="531"/>
      <c r="W9571" s="531"/>
      <c r="X9571" s="531"/>
      <c r="Y9571" s="531"/>
      <c r="Z9571" s="531"/>
      <c r="AA9571" s="531"/>
      <c r="AB9571" s="531"/>
      <c r="AC9571" s="531"/>
      <c r="AD9571" s="531"/>
      <c r="AE9571" s="531"/>
      <c r="AF9571" s="531"/>
      <c r="AG9571" s="531"/>
      <c r="AH9571" s="531"/>
      <c r="AI9571" s="531"/>
      <c r="AJ9571" s="531"/>
      <c r="AK9571" s="531"/>
      <c r="AL9571" s="531"/>
      <c r="AM9571" s="531"/>
      <c r="AN9571" s="531"/>
      <c r="AO9571" s="531"/>
      <c r="AR9571" s="761" t="s">
        <v>145</v>
      </c>
      <c r="AS9571" s="764"/>
    </row>
    <row r="9572" spans="1:45" s="520" customFormat="1" ht="12" thickTop="1">
      <c r="A9572" s="51"/>
      <c r="B9572" s="41"/>
      <c r="C9572" s="51"/>
      <c r="E9572" s="42" t="s">
        <v>138</v>
      </c>
      <c r="F9572" s="42" t="s">
        <v>139</v>
      </c>
      <c r="G9572" s="51"/>
      <c r="H9572" s="51"/>
      <c r="I9572" s="51"/>
      <c r="J9572" s="51"/>
      <c r="K9572" s="51" t="s">
        <v>140</v>
      </c>
      <c r="L9572" s="51"/>
      <c r="M9572" s="51"/>
      <c r="N9572" s="51"/>
      <c r="O9572" s="52"/>
      <c r="P9572" s="51"/>
      <c r="Q9572" s="51"/>
      <c r="R9572" s="51"/>
      <c r="S9572" s="51"/>
      <c r="T9572" s="41"/>
      <c r="AG9572" s="521" t="s">
        <v>268</v>
      </c>
      <c r="AH9572" s="521" t="s">
        <v>269</v>
      </c>
      <c r="AI9572" s="521" t="s">
        <v>270</v>
      </c>
      <c r="AJ9572" s="521" t="s">
        <v>271</v>
      </c>
      <c r="AK9572" s="521" t="s">
        <v>272</v>
      </c>
      <c r="AM9572" s="745" t="s">
        <v>281</v>
      </c>
      <c r="AN9572" s="746" t="s">
        <v>282</v>
      </c>
      <c r="AO9572" s="522" t="s">
        <v>278</v>
      </c>
      <c r="AR9572" s="51"/>
      <c r="AS9572" s="42" t="s">
        <v>139</v>
      </c>
    </row>
    <row r="9573" spans="1:45" s="520" customFormat="1" ht="12" customHeight="1">
      <c r="A9573" s="747">
        <v>1</v>
      </c>
      <c r="B9573" s="523" t="s">
        <v>141</v>
      </c>
      <c r="C9573" s="748"/>
      <c r="D9573" s="749" t="s">
        <v>2470</v>
      </c>
      <c r="E9573" s="1145">
        <f>IF(AND($A9573=0,$A$1="DIF"),0, ROUND(ROUND(($R9577*$S$3+($T9577*$T$3))/$A9573,2)*$C$3,2))</f>
        <v>36.950000000000003</v>
      </c>
      <c r="F9573" s="1146">
        <f>ROUND($A9573*$E9573,2)</f>
        <v>36.950000000000003</v>
      </c>
      <c r="G9573" s="752" t="s">
        <v>142</v>
      </c>
      <c r="H9573" s="753"/>
      <c r="I9573" s="754"/>
      <c r="J9573" s="753"/>
      <c r="K9573" s="753" t="s">
        <v>5</v>
      </c>
      <c r="L9573" s="755" t="s">
        <v>143</v>
      </c>
      <c r="M9573" s="755"/>
      <c r="N9573" s="755"/>
      <c r="O9573" s="755"/>
      <c r="P9573" s="755"/>
      <c r="Q9573" s="51"/>
      <c r="T9573" s="1150" t="str">
        <f>IF(AND($R9577=0,$T9577=0),"0.00","mu: "&amp; ROUND(F9573/$C$3/($R9577+$T9577*$D$9),2))</f>
        <v>mu: 1.13</v>
      </c>
      <c r="W9573" s="524"/>
      <c r="AG9573" s="1147">
        <f>IF($E9573=0,0,ROUND($R9577*$S$3*$C$3/$A9573,2))</f>
        <v>36.950000000000003</v>
      </c>
      <c r="AH9573" s="1147">
        <f>$AG9573*$A9573</f>
        <v>36.950000000000003</v>
      </c>
      <c r="AI9573" s="1148">
        <f>$E9573-$AG9573</f>
        <v>0</v>
      </c>
      <c r="AJ9573" s="1148">
        <f>$A9573*$AI9573</f>
        <v>0</v>
      </c>
      <c r="AK9573" s="1149">
        <f>ROUND(($AG9573+$AI9573)*$A9573,2)</f>
        <v>36.950000000000003</v>
      </c>
      <c r="AM9573" s="527">
        <f>ROUND(R9577,2)</f>
        <v>32.74</v>
      </c>
      <c r="AN9573" s="528">
        <f>ROUND(T9577,2)</f>
        <v>0</v>
      </c>
      <c r="AO9573" s="529">
        <f>ROUND(AM9573+AN9573,2)*A9573</f>
        <v>32.74</v>
      </c>
      <c r="AR9573" s="747">
        <v>1</v>
      </c>
      <c r="AS9573" s="1146">
        <v>40.21</v>
      </c>
    </row>
    <row r="9574" spans="1:45" s="520" customFormat="1" ht="13.2">
      <c r="A9574" s="748"/>
      <c r="B9574"/>
      <c r="C9574" s="748"/>
      <c r="D9574" s="749" t="s">
        <v>2065</v>
      </c>
      <c r="F9574" s="753"/>
      <c r="G9574" s="3"/>
      <c r="H9574" s="753"/>
      <c r="I9574" s="754"/>
      <c r="J9574" s="753"/>
      <c r="K9574" s="753" t="s">
        <v>144</v>
      </c>
      <c r="L9574" s="753"/>
      <c r="M9574" s="753"/>
      <c r="N9574" s="753"/>
      <c r="O9574" s="753"/>
      <c r="P9574" s="753"/>
      <c r="Q9574" s="51"/>
      <c r="R9574" s="530"/>
      <c r="S9574" s="757"/>
      <c r="T9574" s="753"/>
      <c r="AR9574" s="748"/>
      <c r="AS9574" s="753"/>
    </row>
    <row r="9575" spans="1:45" s="901" customFormat="1" ht="13.2">
      <c r="A9575" s="903">
        <v>1</v>
      </c>
      <c r="B9575" s="904" t="s">
        <v>863</v>
      </c>
      <c r="C9575" s="904"/>
      <c r="D9575" s="904" t="s">
        <v>2594</v>
      </c>
      <c r="E9575" s="904"/>
      <c r="F9575" s="904" t="s">
        <v>4128</v>
      </c>
      <c r="G9575" s="905" t="s">
        <v>2595</v>
      </c>
      <c r="H9575" s="902">
        <v>960</v>
      </c>
      <c r="I9575" s="904" t="s">
        <v>2596</v>
      </c>
      <c r="J9575" s="904"/>
      <c r="K9575" s="904"/>
      <c r="L9575" s="904"/>
      <c r="M9575" s="904"/>
      <c r="N9575" s="904"/>
      <c r="O9575" s="902">
        <v>4</v>
      </c>
      <c r="P9575" s="906">
        <v>38274</v>
      </c>
      <c r="Q9575" s="1415">
        <f>37.5*0.873</f>
        <v>32.737499999999997</v>
      </c>
      <c r="R9575" s="908">
        <f>$A9575*Q9575</f>
        <v>32.737499999999997</v>
      </c>
      <c r="S9575" s="907"/>
      <c r="T9575" s="909">
        <f>$A9575*S9575*$T$1</f>
        <v>0</v>
      </c>
      <c r="AR9575" s="903">
        <v>1</v>
      </c>
      <c r="AS9575" s="904" t="s">
        <v>3507</v>
      </c>
    </row>
    <row r="9576" spans="1:45" s="520" customFormat="1" ht="12">
      <c r="A9576" s="758"/>
      <c r="B9576" s="758"/>
      <c r="C9576" s="758"/>
      <c r="D9576" s="758"/>
      <c r="E9576" s="758"/>
      <c r="F9576" s="753"/>
      <c r="G9576" s="758"/>
      <c r="H9576" s="758"/>
      <c r="I9576" s="519"/>
      <c r="J9576" s="758"/>
      <c r="K9576" s="758"/>
      <c r="L9576" s="758"/>
      <c r="M9576" s="758"/>
      <c r="N9576" s="758"/>
      <c r="O9576" s="758"/>
      <c r="P9576" s="758"/>
      <c r="Q9576" s="519"/>
      <c r="R9576" s="759">
        <f>$A9576*Q9576</f>
        <v>0</v>
      </c>
      <c r="S9576" s="519"/>
      <c r="T9576" s="760">
        <f>$A9576*S9576*$T$1</f>
        <v>0</v>
      </c>
      <c r="AR9576" s="758"/>
      <c r="AS9576" s="753"/>
    </row>
    <row r="9577" spans="1:45" s="520" customFormat="1" ht="12.6" thickBot="1">
      <c r="A9577" s="761" t="s">
        <v>145</v>
      </c>
      <c r="B9577" s="762">
        <f>(R9576+T9576)</f>
        <v>0</v>
      </c>
      <c r="C9577" s="763"/>
      <c r="D9577" s="763"/>
      <c r="E9577" s="763"/>
      <c r="F9577" s="764"/>
      <c r="G9577" s="763" t="s">
        <v>146</v>
      </c>
      <c r="H9577" s="763"/>
      <c r="I9577" s="765"/>
      <c r="J9577" s="763"/>
      <c r="K9577" s="763" t="s">
        <v>5</v>
      </c>
      <c r="L9577" s="766" t="s">
        <v>143</v>
      </c>
      <c r="M9577" s="766"/>
      <c r="N9577" s="766"/>
      <c r="O9577" s="766"/>
      <c r="P9577" s="766"/>
      <c r="Q9577" s="767"/>
      <c r="R9577" s="768">
        <f>SUM(R9574:R9576)</f>
        <v>32.737499999999997</v>
      </c>
      <c r="S9577" s="763"/>
      <c r="T9577" s="768">
        <f>SUM(T9574:T9576)</f>
        <v>0</v>
      </c>
      <c r="U9577" s="531"/>
      <c r="V9577" s="531"/>
      <c r="W9577" s="531"/>
      <c r="X9577" s="531"/>
      <c r="Y9577" s="531"/>
      <c r="Z9577" s="531"/>
      <c r="AA9577" s="531"/>
      <c r="AB9577" s="531"/>
      <c r="AC9577" s="531"/>
      <c r="AD9577" s="531"/>
      <c r="AE9577" s="531"/>
      <c r="AF9577" s="531"/>
      <c r="AG9577" s="531"/>
      <c r="AH9577" s="531"/>
      <c r="AI9577" s="531"/>
      <c r="AJ9577" s="531"/>
      <c r="AK9577" s="531"/>
      <c r="AL9577" s="531"/>
      <c r="AM9577" s="531"/>
      <c r="AN9577" s="531"/>
      <c r="AO9577" s="531"/>
      <c r="AR9577" s="761" t="s">
        <v>145</v>
      </c>
      <c r="AS9577" s="764"/>
    </row>
    <row r="9578" spans="1:45" s="520" customFormat="1" thickTop="1">
      <c r="A9578" s="51"/>
      <c r="B9578" s="51"/>
      <c r="C9578" s="3"/>
      <c r="D9578" s="3"/>
      <c r="E9578" s="51"/>
      <c r="F9578" s="51"/>
      <c r="G9578" s="51"/>
      <c r="H9578" s="51"/>
      <c r="I9578" s="51"/>
      <c r="J9578" s="51"/>
      <c r="K9578" s="51" t="s">
        <v>134</v>
      </c>
      <c r="L9578" s="51"/>
      <c r="M9578" s="51"/>
      <c r="N9578" s="51"/>
      <c r="O9578" s="52"/>
      <c r="P9578" s="51"/>
      <c r="Q9578" s="51"/>
      <c r="R9578" s="51"/>
      <c r="S9578" s="51"/>
      <c r="T9578" s="51"/>
      <c r="AR9578" s="51"/>
      <c r="AS9578" s="51"/>
    </row>
    <row r="9579" spans="1:45" s="520" customFormat="1" ht="12">
      <c r="A9579" s="51"/>
      <c r="B9579" s="51"/>
      <c r="C9579" s="51" t="s">
        <v>135</v>
      </c>
      <c r="D9579" s="37"/>
      <c r="E9579" s="51"/>
      <c r="F9579" s="51"/>
      <c r="G9579" s="51"/>
      <c r="H9579" s="51"/>
      <c r="I9579" s="51"/>
      <c r="J9579" s="51"/>
      <c r="K9579" s="51"/>
      <c r="L9579" s="51"/>
      <c r="M9579" s="51"/>
      <c r="N9579" s="51"/>
      <c r="O9579" s="52"/>
      <c r="P9579" s="51"/>
      <c r="Q9579" s="51"/>
      <c r="R9579" s="51"/>
      <c r="S9579" s="51"/>
      <c r="T9579" s="51"/>
      <c r="AR9579" s="51"/>
      <c r="AS9579" s="51"/>
    </row>
    <row r="9580" spans="1:45" s="520" customFormat="1" ht="12">
      <c r="A9580" s="51"/>
      <c r="B9580" s="51"/>
      <c r="C9580" s="51"/>
      <c r="D9580" s="37" t="s">
        <v>2070</v>
      </c>
      <c r="E9580" s="51"/>
      <c r="F9580" s="51"/>
      <c r="G9580" s="51"/>
      <c r="H9580" s="51"/>
      <c r="I9580" s="51"/>
      <c r="J9580" s="51"/>
      <c r="K9580" s="51"/>
      <c r="L9580" s="51"/>
      <c r="M9580" s="51"/>
      <c r="N9580" s="51"/>
      <c r="O9580" s="52"/>
      <c r="P9580" s="51"/>
      <c r="Q9580" s="51"/>
      <c r="R9580" s="51"/>
      <c r="S9580" s="38"/>
      <c r="T9580" s="38"/>
      <c r="AR9580" s="51"/>
      <c r="AS9580" s="51"/>
    </row>
    <row r="9581" spans="1:45" s="3" customFormat="1" thickBot="1">
      <c r="A9581" s="531"/>
      <c r="O9581" s="107"/>
      <c r="AR9581" s="531"/>
    </row>
    <row r="9582" spans="1:45" s="520" customFormat="1" ht="12" thickTop="1">
      <c r="A9582" s="51"/>
      <c r="B9582" s="41"/>
      <c r="C9582" s="51"/>
      <c r="E9582" s="42" t="s">
        <v>138</v>
      </c>
      <c r="F9582" s="42" t="s">
        <v>139</v>
      </c>
      <c r="G9582" s="51"/>
      <c r="H9582" s="51"/>
      <c r="I9582" s="51"/>
      <c r="J9582" s="51"/>
      <c r="K9582" s="51" t="s">
        <v>140</v>
      </c>
      <c r="L9582" s="51"/>
      <c r="M9582" s="51"/>
      <c r="N9582" s="51"/>
      <c r="O9582" s="52"/>
      <c r="P9582" s="51"/>
      <c r="Q9582" s="51"/>
      <c r="R9582" s="51"/>
      <c r="S9582" s="51"/>
      <c r="T9582" s="41"/>
      <c r="AG9582" s="521" t="s">
        <v>268</v>
      </c>
      <c r="AH9582" s="521" t="s">
        <v>269</v>
      </c>
      <c r="AI9582" s="521" t="s">
        <v>270</v>
      </c>
      <c r="AJ9582" s="521" t="s">
        <v>271</v>
      </c>
      <c r="AK9582" s="521" t="s">
        <v>272</v>
      </c>
      <c r="AM9582" s="745" t="s">
        <v>281</v>
      </c>
      <c r="AN9582" s="746" t="s">
        <v>282</v>
      </c>
      <c r="AO9582" s="522" t="s">
        <v>278</v>
      </c>
      <c r="AR9582" s="51"/>
      <c r="AS9582" s="42" t="s">
        <v>139</v>
      </c>
    </row>
    <row r="9583" spans="1:45" s="520" customFormat="1" ht="12" customHeight="1">
      <c r="A9583" s="747">
        <v>2</v>
      </c>
      <c r="B9583" s="523" t="s">
        <v>141</v>
      </c>
      <c r="C9583" s="748"/>
      <c r="D9583" s="749" t="s">
        <v>2471</v>
      </c>
      <c r="E9583" s="1145">
        <f>IF(AND($A9583=0,$A$1="DIF"),0, ROUND(ROUND(($R9587*$S$3+($T9587*$T$3))/$A9583,2)*$C$3,2))</f>
        <v>52.23</v>
      </c>
      <c r="F9583" s="1146">
        <f>ROUND($A9583*$E9583,2)</f>
        <v>104.46</v>
      </c>
      <c r="G9583" s="752" t="s">
        <v>142</v>
      </c>
      <c r="H9583" s="753"/>
      <c r="I9583" s="754"/>
      <c r="J9583" s="753"/>
      <c r="K9583" s="753" t="s">
        <v>5</v>
      </c>
      <c r="L9583" s="755" t="s">
        <v>143</v>
      </c>
      <c r="M9583" s="755"/>
      <c r="N9583" s="755"/>
      <c r="O9583" s="755"/>
      <c r="P9583" s="755"/>
      <c r="Q9583" s="51"/>
      <c r="T9583" s="1150" t="str">
        <f>IF(AND($R9587=0,$T9587=0),"0.00","mu: "&amp; ROUND(F9583/$C$3/($R9587+$T9587*$D$9),2))</f>
        <v>mu: 1.13</v>
      </c>
      <c r="W9583" s="524"/>
      <c r="AG9583" s="1147">
        <f>IF($E9583=0,0,ROUND($R9587*$S$3*$C$3/$A9583,2))</f>
        <v>52.23</v>
      </c>
      <c r="AH9583" s="1147">
        <f>$AG9583*$A9583</f>
        <v>104.46</v>
      </c>
      <c r="AI9583" s="1148">
        <f>$E9583-$AG9583</f>
        <v>0</v>
      </c>
      <c r="AJ9583" s="1148">
        <f>$A9583*$AI9583</f>
        <v>0</v>
      </c>
      <c r="AK9583" s="1149">
        <f>ROUND(($AG9583+$AI9583)*$A9583,2)</f>
        <v>104.46</v>
      </c>
      <c r="AM9583" s="527">
        <f>ROUND(R9587,2)</f>
        <v>92.54</v>
      </c>
      <c r="AN9583" s="528">
        <f>ROUND(T9587,2)</f>
        <v>0</v>
      </c>
      <c r="AO9583" s="529">
        <f>ROUND(AM9583+AN9583,2)*A9583</f>
        <v>185.08</v>
      </c>
      <c r="AR9583" s="747">
        <v>2</v>
      </c>
      <c r="AS9583" s="1146">
        <v>113.66</v>
      </c>
    </row>
    <row r="9584" spans="1:45" s="520" customFormat="1" ht="13.2">
      <c r="A9584" s="748"/>
      <c r="B9584"/>
      <c r="C9584" s="748"/>
      <c r="D9584" s="749" t="s">
        <v>2061</v>
      </c>
      <c r="F9584" s="753"/>
      <c r="G9584" s="3"/>
      <c r="H9584" s="753"/>
      <c r="I9584" s="754"/>
      <c r="J9584" s="753"/>
      <c r="K9584" s="753" t="s">
        <v>144</v>
      </c>
      <c r="L9584" s="753"/>
      <c r="M9584" s="753"/>
      <c r="N9584" s="753"/>
      <c r="O9584" s="753"/>
      <c r="P9584" s="753"/>
      <c r="Q9584" s="51"/>
      <c r="R9584" s="530"/>
      <c r="S9584" s="757"/>
      <c r="T9584" s="753"/>
      <c r="AR9584" s="748"/>
      <c r="AS9584" s="753"/>
    </row>
    <row r="9585" spans="1:45" s="901" customFormat="1" ht="13.2">
      <c r="A9585" s="903">
        <v>2</v>
      </c>
      <c r="B9585" s="904" t="s">
        <v>863</v>
      </c>
      <c r="C9585" s="904"/>
      <c r="D9585" s="904" t="s">
        <v>2594</v>
      </c>
      <c r="E9585" s="904"/>
      <c r="F9585" s="904" t="s">
        <v>4128</v>
      </c>
      <c r="G9585" s="905" t="s">
        <v>2595</v>
      </c>
      <c r="H9585" s="902">
        <v>960</v>
      </c>
      <c r="I9585" s="904" t="s">
        <v>2596</v>
      </c>
      <c r="J9585" s="904"/>
      <c r="K9585" s="904"/>
      <c r="L9585" s="904"/>
      <c r="M9585" s="904"/>
      <c r="N9585" s="904"/>
      <c r="O9585" s="902">
        <v>4</v>
      </c>
      <c r="P9585" s="906">
        <v>38274</v>
      </c>
      <c r="Q9585" s="1415">
        <f>53*0.873</f>
        <v>46.268999999999998</v>
      </c>
      <c r="R9585" s="908">
        <f>$A9585*Q9585</f>
        <v>92.537999999999997</v>
      </c>
      <c r="S9585" s="907"/>
      <c r="T9585" s="909">
        <f>$A9585*S9585*$T$1</f>
        <v>0</v>
      </c>
      <c r="AR9585" s="903">
        <v>2</v>
      </c>
      <c r="AS9585" s="904" t="s">
        <v>3507</v>
      </c>
    </row>
    <row r="9586" spans="1:45" s="520" customFormat="1" ht="12">
      <c r="A9586" s="758"/>
      <c r="B9586" s="758"/>
      <c r="C9586" s="758"/>
      <c r="D9586" s="758"/>
      <c r="E9586" s="758"/>
      <c r="F9586" s="753"/>
      <c r="G9586" s="758"/>
      <c r="H9586" s="758"/>
      <c r="I9586" s="519"/>
      <c r="J9586" s="758"/>
      <c r="K9586" s="758"/>
      <c r="L9586" s="758"/>
      <c r="M9586" s="758"/>
      <c r="N9586" s="758"/>
      <c r="O9586" s="758"/>
      <c r="P9586" s="758"/>
      <c r="Q9586" s="519"/>
      <c r="R9586" s="759">
        <f>$A9586*Q9586</f>
        <v>0</v>
      </c>
      <c r="S9586" s="519"/>
      <c r="T9586" s="760">
        <f>$A9586*S9586*$T$1</f>
        <v>0</v>
      </c>
      <c r="AR9586" s="758"/>
      <c r="AS9586" s="753"/>
    </row>
    <row r="9587" spans="1:45" s="520" customFormat="1" ht="12.6" thickBot="1">
      <c r="A9587" s="761" t="s">
        <v>145</v>
      </c>
      <c r="B9587" s="762">
        <f>(R9586+T9586)</f>
        <v>0</v>
      </c>
      <c r="C9587" s="763"/>
      <c r="D9587" s="763"/>
      <c r="E9587" s="763"/>
      <c r="F9587" s="764"/>
      <c r="G9587" s="763" t="s">
        <v>146</v>
      </c>
      <c r="H9587" s="763"/>
      <c r="I9587" s="765"/>
      <c r="J9587" s="763"/>
      <c r="K9587" s="763" t="s">
        <v>5</v>
      </c>
      <c r="L9587" s="766" t="s">
        <v>143</v>
      </c>
      <c r="M9587" s="766"/>
      <c r="N9587" s="766"/>
      <c r="O9587" s="766"/>
      <c r="P9587" s="766"/>
      <c r="Q9587" s="767"/>
      <c r="R9587" s="768">
        <f>SUM(R9584:R9586)</f>
        <v>92.537999999999997</v>
      </c>
      <c r="S9587" s="763"/>
      <c r="T9587" s="768">
        <f>SUM(T9584:T9586)</f>
        <v>0</v>
      </c>
      <c r="U9587" s="531"/>
      <c r="V9587" s="531"/>
      <c r="W9587" s="531"/>
      <c r="X9587" s="531"/>
      <c r="Y9587" s="531"/>
      <c r="Z9587" s="531"/>
      <c r="AA9587" s="531"/>
      <c r="AB9587" s="531"/>
      <c r="AC9587" s="531"/>
      <c r="AD9587" s="531"/>
      <c r="AE9587" s="531"/>
      <c r="AF9587" s="531"/>
      <c r="AG9587" s="531"/>
      <c r="AH9587" s="531"/>
      <c r="AI9587" s="531"/>
      <c r="AJ9587" s="531"/>
      <c r="AK9587" s="531"/>
      <c r="AL9587" s="531"/>
      <c r="AM9587" s="531"/>
      <c r="AN9587" s="531"/>
      <c r="AO9587" s="531"/>
      <c r="AR9587" s="761" t="s">
        <v>145</v>
      </c>
      <c r="AS9587" s="764"/>
    </row>
    <row r="9588" spans="1:45" s="520" customFormat="1" ht="12" thickTop="1">
      <c r="A9588" s="51"/>
      <c r="B9588" s="41"/>
      <c r="C9588" s="51"/>
      <c r="E9588" s="42" t="s">
        <v>138</v>
      </c>
      <c r="F9588" s="42" t="s">
        <v>139</v>
      </c>
      <c r="G9588" s="51"/>
      <c r="H9588" s="51"/>
      <c r="I9588" s="51"/>
      <c r="J9588" s="51"/>
      <c r="K9588" s="51" t="s">
        <v>140</v>
      </c>
      <c r="L9588" s="51"/>
      <c r="M9588" s="51"/>
      <c r="N9588" s="51"/>
      <c r="O9588" s="52"/>
      <c r="P9588" s="51"/>
      <c r="Q9588" s="51"/>
      <c r="R9588" s="51"/>
      <c r="S9588" s="51"/>
      <c r="T9588" s="41"/>
      <c r="AG9588" s="521" t="s">
        <v>268</v>
      </c>
      <c r="AH9588" s="521" t="s">
        <v>269</v>
      </c>
      <c r="AI9588" s="521" t="s">
        <v>270</v>
      </c>
      <c r="AJ9588" s="521" t="s">
        <v>271</v>
      </c>
      <c r="AK9588" s="521" t="s">
        <v>272</v>
      </c>
      <c r="AM9588" s="745" t="s">
        <v>281</v>
      </c>
      <c r="AN9588" s="746" t="s">
        <v>282</v>
      </c>
      <c r="AO9588" s="522" t="s">
        <v>278</v>
      </c>
      <c r="AR9588" s="51"/>
      <c r="AS9588" s="42" t="s">
        <v>139</v>
      </c>
    </row>
    <row r="9589" spans="1:45" s="520" customFormat="1" ht="12" customHeight="1">
      <c r="A9589" s="747">
        <v>1</v>
      </c>
      <c r="B9589" s="523" t="s">
        <v>141</v>
      </c>
      <c r="C9589" s="748"/>
      <c r="D9589" s="749" t="s">
        <v>2472</v>
      </c>
      <c r="E9589" s="1145">
        <f>IF(AND($A9589=0,$A$1="DIF"),0, ROUND(ROUND(($R9593*$S$3+($T9593*$T$3))/$A9589,2)*$C$3,2))</f>
        <v>93.61</v>
      </c>
      <c r="F9589" s="1146">
        <f>ROUND($A9589*$E9589,2)</f>
        <v>93.61</v>
      </c>
      <c r="G9589" s="752" t="s">
        <v>142</v>
      </c>
      <c r="H9589" s="753"/>
      <c r="I9589" s="754"/>
      <c r="J9589" s="753"/>
      <c r="K9589" s="753" t="s">
        <v>5</v>
      </c>
      <c r="L9589" s="755" t="s">
        <v>143</v>
      </c>
      <c r="M9589" s="755"/>
      <c r="N9589" s="755"/>
      <c r="O9589" s="755"/>
      <c r="P9589" s="755"/>
      <c r="Q9589" s="51"/>
      <c r="T9589" s="1150" t="str">
        <f>IF(AND($R9593=0,$T9593=0),"0.00","mu: "&amp; ROUND(F9589/$C$3/($R9593+$T9593*$D$9),2))</f>
        <v>mu: 1.13</v>
      </c>
      <c r="W9589" s="524"/>
      <c r="AG9589" s="1147">
        <f>IF($E9589=0,0,ROUND($R9593*$S$3*$C$3/$A9589,2))</f>
        <v>93.61</v>
      </c>
      <c r="AH9589" s="1147">
        <f>$AG9589*$A9589</f>
        <v>93.61</v>
      </c>
      <c r="AI9589" s="1148">
        <f>$E9589-$AG9589</f>
        <v>0</v>
      </c>
      <c r="AJ9589" s="1148">
        <f>$A9589*$AI9589</f>
        <v>0</v>
      </c>
      <c r="AK9589" s="1149">
        <f>ROUND(($AG9589+$AI9589)*$A9589,2)</f>
        <v>93.61</v>
      </c>
      <c r="AM9589" s="527">
        <f>ROUND(R9593,2)</f>
        <v>82.94</v>
      </c>
      <c r="AN9589" s="528">
        <f>ROUND(T9593,2)</f>
        <v>0</v>
      </c>
      <c r="AO9589" s="529">
        <f>ROUND(AM9589+AN9589,2)*A9589</f>
        <v>82.94</v>
      </c>
      <c r="AR9589" s="747">
        <v>1</v>
      </c>
      <c r="AS9589" s="1146">
        <v>101.87</v>
      </c>
    </row>
    <row r="9590" spans="1:45" s="520" customFormat="1" ht="13.2">
      <c r="A9590" s="748"/>
      <c r="B9590"/>
      <c r="C9590" s="748"/>
      <c r="D9590" s="749" t="s">
        <v>2062</v>
      </c>
      <c r="F9590" s="753"/>
      <c r="G9590" s="3"/>
      <c r="H9590" s="753"/>
      <c r="I9590" s="754"/>
      <c r="J9590" s="753"/>
      <c r="K9590" s="753" t="s">
        <v>144</v>
      </c>
      <c r="L9590" s="753"/>
      <c r="M9590" s="753"/>
      <c r="N9590" s="753"/>
      <c r="O9590" s="753"/>
      <c r="P9590" s="753"/>
      <c r="Q9590" s="51"/>
      <c r="R9590" s="530"/>
      <c r="S9590" s="757"/>
      <c r="T9590" s="753"/>
      <c r="AR9590" s="748"/>
      <c r="AS9590" s="753"/>
    </row>
    <row r="9591" spans="1:45" s="901" customFormat="1" ht="13.2">
      <c r="A9591" s="903">
        <v>1</v>
      </c>
      <c r="B9591" s="904" t="s">
        <v>863</v>
      </c>
      <c r="C9591" s="904"/>
      <c r="D9591" s="904" t="s">
        <v>2594</v>
      </c>
      <c r="E9591" s="904"/>
      <c r="F9591" s="904" t="s">
        <v>4128</v>
      </c>
      <c r="G9591" s="905" t="s">
        <v>2595</v>
      </c>
      <c r="H9591" s="902">
        <v>960</v>
      </c>
      <c r="I9591" s="904" t="s">
        <v>2596</v>
      </c>
      <c r="J9591" s="904"/>
      <c r="K9591" s="904"/>
      <c r="L9591" s="904"/>
      <c r="M9591" s="904"/>
      <c r="N9591" s="904"/>
      <c r="O9591" s="902">
        <v>4</v>
      </c>
      <c r="P9591" s="906">
        <v>38274</v>
      </c>
      <c r="Q9591" s="1415">
        <f>95*0.873</f>
        <v>82.935000000000002</v>
      </c>
      <c r="R9591" s="908">
        <f>$A9591*Q9591</f>
        <v>82.935000000000002</v>
      </c>
      <c r="S9591" s="907"/>
      <c r="T9591" s="909">
        <f>$A9591*S9591*$T$1</f>
        <v>0</v>
      </c>
      <c r="AR9591" s="903">
        <v>1</v>
      </c>
      <c r="AS9591" s="904" t="s">
        <v>3507</v>
      </c>
    </row>
    <row r="9592" spans="1:45" s="520" customFormat="1" ht="12">
      <c r="A9592" s="758"/>
      <c r="B9592" s="758"/>
      <c r="C9592" s="758"/>
      <c r="D9592" s="758"/>
      <c r="E9592" s="758"/>
      <c r="F9592" s="753"/>
      <c r="G9592" s="758"/>
      <c r="H9592" s="758"/>
      <c r="I9592" s="519"/>
      <c r="J9592" s="758"/>
      <c r="K9592" s="758"/>
      <c r="L9592" s="758"/>
      <c r="M9592" s="758"/>
      <c r="N9592" s="758"/>
      <c r="O9592" s="758"/>
      <c r="P9592" s="758"/>
      <c r="Q9592" s="519"/>
      <c r="R9592" s="759">
        <f>$A9592*Q9592</f>
        <v>0</v>
      </c>
      <c r="S9592" s="519"/>
      <c r="T9592" s="760">
        <f>$A9592*S9592*$T$1</f>
        <v>0</v>
      </c>
      <c r="AR9592" s="758"/>
      <c r="AS9592" s="753"/>
    </row>
    <row r="9593" spans="1:45" s="520" customFormat="1" ht="12.6" thickBot="1">
      <c r="A9593" s="761" t="s">
        <v>145</v>
      </c>
      <c r="B9593" s="762">
        <f>(R9592+T9592)</f>
        <v>0</v>
      </c>
      <c r="C9593" s="763"/>
      <c r="D9593" s="763"/>
      <c r="E9593" s="763"/>
      <c r="F9593" s="764"/>
      <c r="G9593" s="763" t="s">
        <v>146</v>
      </c>
      <c r="H9593" s="763"/>
      <c r="I9593" s="765"/>
      <c r="J9593" s="763"/>
      <c r="K9593" s="763" t="s">
        <v>5</v>
      </c>
      <c r="L9593" s="766" t="s">
        <v>143</v>
      </c>
      <c r="M9593" s="766"/>
      <c r="N9593" s="766"/>
      <c r="O9593" s="766"/>
      <c r="P9593" s="766"/>
      <c r="Q9593" s="767"/>
      <c r="R9593" s="768">
        <f>SUM(R9590:R9592)</f>
        <v>82.935000000000002</v>
      </c>
      <c r="S9593" s="763"/>
      <c r="T9593" s="768">
        <f>SUM(T9590:T9592)</f>
        <v>0</v>
      </c>
      <c r="U9593" s="531"/>
      <c r="V9593" s="531"/>
      <c r="W9593" s="531"/>
      <c r="X9593" s="531"/>
      <c r="Y9593" s="531"/>
      <c r="Z9593" s="531"/>
      <c r="AA9593" s="531"/>
      <c r="AB9593" s="531"/>
      <c r="AC9593" s="531"/>
      <c r="AD9593" s="531"/>
      <c r="AE9593" s="531"/>
      <c r="AF9593" s="531"/>
      <c r="AG9593" s="531"/>
      <c r="AH9593" s="531"/>
      <c r="AI9593" s="531"/>
      <c r="AJ9593" s="531"/>
      <c r="AK9593" s="531"/>
      <c r="AL9593" s="531"/>
      <c r="AM9593" s="531"/>
      <c r="AN9593" s="531"/>
      <c r="AO9593" s="531"/>
      <c r="AR9593" s="761" t="s">
        <v>145</v>
      </c>
      <c r="AS9593" s="764"/>
    </row>
    <row r="9594" spans="1:45" s="520" customFormat="1" ht="12" thickTop="1">
      <c r="A9594" s="51"/>
      <c r="B9594" s="41"/>
      <c r="C9594" s="51"/>
      <c r="E9594" s="42" t="s">
        <v>138</v>
      </c>
      <c r="F9594" s="42" t="s">
        <v>139</v>
      </c>
      <c r="G9594" s="51"/>
      <c r="H9594" s="51"/>
      <c r="I9594" s="51"/>
      <c r="J9594" s="51"/>
      <c r="K9594" s="51" t="s">
        <v>140</v>
      </c>
      <c r="L9594" s="51"/>
      <c r="M9594" s="51"/>
      <c r="N9594" s="51"/>
      <c r="O9594" s="52"/>
      <c r="P9594" s="51"/>
      <c r="Q9594" s="51"/>
      <c r="R9594" s="51"/>
      <c r="S9594" s="51"/>
      <c r="T9594" s="41"/>
      <c r="AG9594" s="521" t="s">
        <v>268</v>
      </c>
      <c r="AH9594" s="521" t="s">
        <v>269</v>
      </c>
      <c r="AI9594" s="521" t="s">
        <v>270</v>
      </c>
      <c r="AJ9594" s="521" t="s">
        <v>271</v>
      </c>
      <c r="AK9594" s="521" t="s">
        <v>272</v>
      </c>
      <c r="AM9594" s="745" t="s">
        <v>281</v>
      </c>
      <c r="AN9594" s="746" t="s">
        <v>282</v>
      </c>
      <c r="AO9594" s="522" t="s">
        <v>278</v>
      </c>
      <c r="AR9594" s="51"/>
      <c r="AS9594" s="42" t="s">
        <v>139</v>
      </c>
    </row>
    <row r="9595" spans="1:45" s="520" customFormat="1" ht="12" customHeight="1">
      <c r="A9595" s="747">
        <v>1</v>
      </c>
      <c r="B9595" s="523" t="s">
        <v>141</v>
      </c>
      <c r="C9595" s="748"/>
      <c r="D9595" s="749" t="s">
        <v>2473</v>
      </c>
      <c r="E9595" s="1145">
        <f>IF(AND($A9595=0,$A$1="DIF"),0, ROUND(ROUND(($R9599*$S$3+($T9599*$T$3))/$A9595,2)*$C$3,2))</f>
        <v>54.2</v>
      </c>
      <c r="F9595" s="1146">
        <f>ROUND($A9595*$E9595,2)</f>
        <v>54.2</v>
      </c>
      <c r="G9595" s="752" t="s">
        <v>142</v>
      </c>
      <c r="H9595" s="753"/>
      <c r="I9595" s="754"/>
      <c r="J9595" s="753"/>
      <c r="K9595" s="753" t="s">
        <v>5</v>
      </c>
      <c r="L9595" s="755" t="s">
        <v>143</v>
      </c>
      <c r="M9595" s="755"/>
      <c r="N9595" s="755"/>
      <c r="O9595" s="755"/>
      <c r="P9595" s="755"/>
      <c r="Q9595" s="51"/>
      <c r="T9595" s="1150" t="str">
        <f>IF(AND($R9599=0,$T9599=0),"0.00","mu: "&amp; ROUND(F9595/$C$3/($R9599+$T9599*$D$9),2))</f>
        <v>mu: 1.13</v>
      </c>
      <c r="W9595" s="524"/>
      <c r="AG9595" s="1147">
        <f>IF($E9595=0,0,ROUND($R9599*$S$3*$C$3/$A9595,2))</f>
        <v>54.2</v>
      </c>
      <c r="AH9595" s="1147">
        <f>$AG9595*$A9595</f>
        <v>54.2</v>
      </c>
      <c r="AI9595" s="1148">
        <f>$E9595-$AG9595</f>
        <v>0</v>
      </c>
      <c r="AJ9595" s="1148">
        <f>$A9595*$AI9595</f>
        <v>0</v>
      </c>
      <c r="AK9595" s="1149">
        <f>ROUND(($AG9595+$AI9595)*$A9595,2)</f>
        <v>54.2</v>
      </c>
      <c r="AM9595" s="527">
        <f>ROUND(R9599,2)</f>
        <v>48.02</v>
      </c>
      <c r="AN9595" s="528">
        <f>ROUND(T9599,2)</f>
        <v>0</v>
      </c>
      <c r="AO9595" s="529">
        <f>ROUND(AM9595+AN9595,2)*A9595</f>
        <v>48.02</v>
      </c>
      <c r="AR9595" s="747">
        <v>1</v>
      </c>
      <c r="AS9595" s="1146">
        <v>58.98</v>
      </c>
    </row>
    <row r="9596" spans="1:45" s="520" customFormat="1" ht="13.2">
      <c r="A9596" s="748"/>
      <c r="B9596"/>
      <c r="C9596" s="748"/>
      <c r="D9596" s="749" t="s">
        <v>2071</v>
      </c>
      <c r="F9596" s="753"/>
      <c r="G9596" s="3"/>
      <c r="H9596" s="753"/>
      <c r="I9596" s="754"/>
      <c r="J9596" s="753"/>
      <c r="K9596" s="753" t="s">
        <v>144</v>
      </c>
      <c r="L9596" s="753"/>
      <c r="M9596" s="753"/>
      <c r="N9596" s="753"/>
      <c r="O9596" s="753"/>
      <c r="P9596" s="753"/>
      <c r="Q9596" s="51"/>
      <c r="R9596" s="530"/>
      <c r="S9596" s="757"/>
      <c r="T9596" s="753"/>
      <c r="AR9596" s="748"/>
      <c r="AS9596" s="753"/>
    </row>
    <row r="9597" spans="1:45" s="901" customFormat="1" ht="13.2">
      <c r="A9597" s="903">
        <v>1</v>
      </c>
      <c r="B9597" s="904" t="s">
        <v>863</v>
      </c>
      <c r="C9597" s="904"/>
      <c r="D9597" s="904" t="s">
        <v>2594</v>
      </c>
      <c r="E9597" s="904"/>
      <c r="F9597" s="904" t="s">
        <v>4128</v>
      </c>
      <c r="G9597" s="905" t="s">
        <v>2595</v>
      </c>
      <c r="H9597" s="902">
        <v>960</v>
      </c>
      <c r="I9597" s="904" t="s">
        <v>2596</v>
      </c>
      <c r="J9597" s="904"/>
      <c r="K9597" s="904"/>
      <c r="L9597" s="904"/>
      <c r="M9597" s="904"/>
      <c r="N9597" s="904"/>
      <c r="O9597" s="902">
        <v>4</v>
      </c>
      <c r="P9597" s="906">
        <v>38274</v>
      </c>
      <c r="Q9597" s="1415">
        <f>55*0.873</f>
        <v>48.015000000000001</v>
      </c>
      <c r="R9597" s="908">
        <f>$A9597*Q9597</f>
        <v>48.015000000000001</v>
      </c>
      <c r="S9597" s="907"/>
      <c r="T9597" s="909">
        <f>$A9597*S9597*$T$1</f>
        <v>0</v>
      </c>
      <c r="AR9597" s="903">
        <v>1</v>
      </c>
      <c r="AS9597" s="904" t="s">
        <v>3507</v>
      </c>
    </row>
    <row r="9598" spans="1:45" s="520" customFormat="1" ht="12">
      <c r="A9598" s="758"/>
      <c r="B9598" s="758"/>
      <c r="C9598" s="758"/>
      <c r="D9598" s="758"/>
      <c r="E9598" s="758"/>
      <c r="F9598" s="753"/>
      <c r="G9598" s="758"/>
      <c r="H9598" s="758"/>
      <c r="I9598" s="519"/>
      <c r="J9598" s="758"/>
      <c r="K9598" s="758"/>
      <c r="L9598" s="758"/>
      <c r="M9598" s="758"/>
      <c r="N9598" s="758"/>
      <c r="O9598" s="758"/>
      <c r="P9598" s="758"/>
      <c r="Q9598" s="519"/>
      <c r="R9598" s="759">
        <f>$A9598*Q9598</f>
        <v>0</v>
      </c>
      <c r="S9598" s="519"/>
      <c r="T9598" s="760">
        <f>$A9598*S9598*$T$1</f>
        <v>0</v>
      </c>
      <c r="AR9598" s="758"/>
      <c r="AS9598" s="753"/>
    </row>
    <row r="9599" spans="1:45" s="520" customFormat="1" ht="12.6" thickBot="1">
      <c r="A9599" s="761" t="s">
        <v>145</v>
      </c>
      <c r="B9599" s="762">
        <f>(R9598+T9598)</f>
        <v>0</v>
      </c>
      <c r="C9599" s="763"/>
      <c r="D9599" s="763"/>
      <c r="E9599" s="763"/>
      <c r="F9599" s="764"/>
      <c r="G9599" s="763" t="s">
        <v>146</v>
      </c>
      <c r="H9599" s="763"/>
      <c r="I9599" s="765"/>
      <c r="J9599" s="763"/>
      <c r="K9599" s="763" t="s">
        <v>5</v>
      </c>
      <c r="L9599" s="766" t="s">
        <v>143</v>
      </c>
      <c r="M9599" s="766"/>
      <c r="N9599" s="766"/>
      <c r="O9599" s="766"/>
      <c r="P9599" s="766"/>
      <c r="Q9599" s="767"/>
      <c r="R9599" s="768">
        <f>SUM(R9596:R9598)</f>
        <v>48.015000000000001</v>
      </c>
      <c r="S9599" s="763"/>
      <c r="T9599" s="768">
        <f>SUM(T9596:T9598)</f>
        <v>0</v>
      </c>
      <c r="U9599" s="531"/>
      <c r="V9599" s="531"/>
      <c r="W9599" s="531"/>
      <c r="X9599" s="531"/>
      <c r="Y9599" s="531"/>
      <c r="Z9599" s="531"/>
      <c r="AA9599" s="531"/>
      <c r="AB9599" s="531"/>
      <c r="AC9599" s="531"/>
      <c r="AD9599" s="531"/>
      <c r="AE9599" s="531"/>
      <c r="AF9599" s="531"/>
      <c r="AG9599" s="531"/>
      <c r="AH9599" s="531"/>
      <c r="AI9599" s="531"/>
      <c r="AJ9599" s="531"/>
      <c r="AK9599" s="531"/>
      <c r="AL9599" s="531"/>
      <c r="AM9599" s="531"/>
      <c r="AN9599" s="531"/>
      <c r="AO9599" s="531"/>
      <c r="AR9599" s="761" t="s">
        <v>145</v>
      </c>
      <c r="AS9599" s="764"/>
    </row>
    <row r="9600" spans="1:45" s="520" customFormat="1" ht="12" thickTop="1">
      <c r="A9600" s="48" t="s">
        <v>148</v>
      </c>
      <c r="D9600" s="13"/>
      <c r="E9600" s="42"/>
      <c r="O9600" s="771"/>
      <c r="AR9600" s="48" t="s">
        <v>148</v>
      </c>
    </row>
    <row r="9601" spans="1:45" s="520" customFormat="1" ht="13.2">
      <c r="B9601" s="3"/>
      <c r="O9601" s="771"/>
    </row>
    <row r="9602" spans="1:45" s="520" customFormat="1" ht="12">
      <c r="B9602" s="772">
        <f ca="1">$F9602/$C$2-($R9602*$S$2+$T9602*$T$2)</f>
        <v>-313.20733744960035</v>
      </c>
      <c r="D9602" s="773" t="s">
        <v>1065</v>
      </c>
      <c r="E9602" s="774"/>
      <c r="F9602" s="775">
        <f ca="1">SUMIF($L9416:$L9600,"ITEM",F9416:F9600)</f>
        <v>5230.6399999999994</v>
      </c>
      <c r="G9602" s="758"/>
      <c r="H9602" s="758"/>
      <c r="I9602" s="519"/>
      <c r="J9602" s="758"/>
      <c r="K9602" s="758"/>
      <c r="L9602" s="755" t="s">
        <v>157</v>
      </c>
      <c r="M9602" s="755"/>
      <c r="N9602" s="755"/>
      <c r="O9602" s="755"/>
      <c r="P9602" s="755"/>
      <c r="R9602" s="775">
        <f ca="1">SUMIF($L9416:$L9600,"ITEM",R9416:R9600)</f>
        <v>3573.027</v>
      </c>
      <c r="S9602" s="776"/>
      <c r="T9602" s="775">
        <f ca="1">SUMIF($L9416:$L9600,"ITEM",T9416:T9600)</f>
        <v>33.839999999999996</v>
      </c>
      <c r="AS9602" s="775">
        <v>5656.2999999999993</v>
      </c>
    </row>
    <row r="9603" spans="1:45" s="520" customFormat="1" ht="13.2">
      <c r="A9603" s="51"/>
      <c r="B9603" s="49" t="s">
        <v>1064</v>
      </c>
      <c r="C9603" s="51"/>
      <c r="D9603" s="3"/>
      <c r="F9603" s="777" t="s">
        <v>158</v>
      </c>
      <c r="G9603" s="758"/>
      <c r="H9603" s="758"/>
      <c r="I9603" s="519"/>
      <c r="J9603" s="758"/>
      <c r="K9603" s="758"/>
      <c r="L9603" s="758"/>
      <c r="M9603" s="758"/>
      <c r="N9603" s="758"/>
      <c r="O9603" s="758"/>
      <c r="P9603" s="758"/>
      <c r="Q9603" s="778"/>
      <c r="R9603" s="777" t="s">
        <v>159</v>
      </c>
      <c r="S9603" s="38"/>
      <c r="T9603" s="777" t="s">
        <v>160</v>
      </c>
      <c r="AR9603" s="51"/>
      <c r="AS9603" s="777" t="s">
        <v>158</v>
      </c>
    </row>
    <row r="9604" spans="1:45" s="520" customFormat="1" ht="13.2">
      <c r="A9604" s="758"/>
      <c r="B9604" s="3"/>
      <c r="C9604" s="758"/>
      <c r="D9604" s="3"/>
      <c r="E9604" s="3"/>
      <c r="G9604" s="3"/>
      <c r="H9604" s="3"/>
      <c r="I9604" s="3"/>
      <c r="J9604" s="3"/>
      <c r="K9604" s="3"/>
      <c r="L9604" s="3"/>
      <c r="M9604" s="3"/>
      <c r="N9604" s="3"/>
      <c r="O9604" s="107"/>
      <c r="P9604" s="3"/>
      <c r="Q9604" s="3"/>
      <c r="R9604" s="3"/>
      <c r="S9604" s="3"/>
      <c r="T9604" s="3"/>
      <c r="AR9604" s="758"/>
    </row>
    <row r="9605" spans="1:45" s="520" customFormat="1" ht="12" thickBot="1">
      <c r="A9605" s="531"/>
      <c r="B9605" s="763"/>
      <c r="C9605" s="763"/>
      <c r="D9605" s="531"/>
      <c r="E9605" s="39"/>
      <c r="F9605" s="779"/>
      <c r="G9605" s="763"/>
      <c r="H9605" s="763"/>
      <c r="I9605" s="765"/>
      <c r="J9605" s="763"/>
      <c r="K9605" s="763"/>
      <c r="L9605" s="766"/>
      <c r="M9605" s="766"/>
      <c r="N9605" s="766"/>
      <c r="O9605" s="766"/>
      <c r="P9605" s="766"/>
      <c r="Q9605" s="767"/>
      <c r="R9605" s="779"/>
      <c r="S9605" s="780"/>
      <c r="T9605" s="779"/>
      <c r="U9605" s="531"/>
      <c r="V9605" s="531"/>
      <c r="W9605" s="531"/>
      <c r="X9605" s="531"/>
      <c r="Y9605" s="531"/>
      <c r="Z9605" s="531"/>
      <c r="AA9605" s="531"/>
      <c r="AB9605" s="531"/>
      <c r="AC9605" s="531"/>
      <c r="AD9605" s="531"/>
      <c r="AE9605" s="531"/>
      <c r="AF9605" s="531"/>
      <c r="AG9605" s="531"/>
      <c r="AH9605" s="531"/>
      <c r="AI9605" s="531"/>
      <c r="AJ9605" s="531"/>
      <c r="AK9605" s="531"/>
      <c r="AR9605" s="531"/>
      <c r="AS9605" s="779"/>
    </row>
    <row r="9606" spans="1:45" s="520" customFormat="1" thickTop="1">
      <c r="A9606" s="51"/>
      <c r="B9606" s="51"/>
      <c r="C9606" s="3"/>
      <c r="D9606" s="3"/>
      <c r="E9606" s="51"/>
      <c r="F9606" s="51"/>
      <c r="G9606" s="51"/>
      <c r="H9606" s="51"/>
      <c r="I9606" s="51"/>
      <c r="J9606" s="51"/>
      <c r="K9606" s="51" t="s">
        <v>134</v>
      </c>
      <c r="L9606" s="51"/>
      <c r="M9606" s="51"/>
      <c r="N9606" s="51"/>
      <c r="O9606" s="52"/>
      <c r="P9606" s="51"/>
      <c r="Q9606" s="51"/>
      <c r="R9606" s="51"/>
      <c r="S9606" s="51"/>
      <c r="T9606" s="51"/>
      <c r="AR9606" s="51"/>
      <c r="AS9606" s="51"/>
    </row>
    <row r="9607" spans="1:45" s="520" customFormat="1" ht="12">
      <c r="A9607" s="51"/>
      <c r="B9607" s="51"/>
      <c r="C9607" s="51" t="s">
        <v>135</v>
      </c>
      <c r="D9607" s="37"/>
      <c r="E9607" s="51"/>
      <c r="F9607" s="51"/>
      <c r="G9607" s="51"/>
      <c r="H9607" s="51"/>
      <c r="I9607" s="51"/>
      <c r="J9607" s="51"/>
      <c r="K9607" s="51"/>
      <c r="L9607" s="51"/>
      <c r="M9607" s="51"/>
      <c r="N9607" s="51"/>
      <c r="O9607" s="52"/>
      <c r="P9607" s="51"/>
      <c r="Q9607" s="51"/>
      <c r="R9607" s="51"/>
      <c r="S9607" s="51"/>
      <c r="T9607" s="51"/>
      <c r="AR9607" s="51"/>
      <c r="AS9607" s="51"/>
    </row>
    <row r="9608" spans="1:45" s="520" customFormat="1" ht="12">
      <c r="A9608" s="51"/>
      <c r="B9608" s="51"/>
      <c r="C9608" s="51"/>
      <c r="D9608" s="37" t="s">
        <v>2101</v>
      </c>
      <c r="E9608" s="51"/>
      <c r="F9608" s="51"/>
      <c r="G9608" s="51"/>
      <c r="H9608" s="51"/>
      <c r="I9608" s="51"/>
      <c r="J9608" s="51"/>
      <c r="K9608" s="51"/>
      <c r="L9608" s="51"/>
      <c r="M9608" s="51"/>
      <c r="N9608" s="51"/>
      <c r="O9608" s="52"/>
      <c r="P9608" s="51"/>
      <c r="Q9608" s="51"/>
      <c r="R9608" s="51"/>
      <c r="S9608" s="38"/>
      <c r="T9608" s="38"/>
      <c r="AR9608" s="51"/>
      <c r="AS9608" s="51"/>
    </row>
    <row r="9609" spans="1:45" s="3" customFormat="1" thickBot="1">
      <c r="A9609" s="531"/>
      <c r="O9609" s="107"/>
      <c r="AR9609" s="531"/>
    </row>
    <row r="9610" spans="1:45" s="520" customFormat="1" thickTop="1">
      <c r="A9610" s="51"/>
      <c r="B9610" s="51"/>
      <c r="C9610" s="3"/>
      <c r="D9610" s="3"/>
      <c r="E9610" s="51"/>
      <c r="F9610" s="51"/>
      <c r="G9610" s="51"/>
      <c r="H9610" s="51"/>
      <c r="I9610" s="51"/>
      <c r="J9610" s="51"/>
      <c r="K9610" s="51" t="s">
        <v>134</v>
      </c>
      <c r="L9610" s="51"/>
      <c r="M9610" s="51"/>
      <c r="N9610" s="51"/>
      <c r="O9610" s="52"/>
      <c r="P9610" s="51"/>
      <c r="Q9610" s="51"/>
      <c r="R9610" s="51"/>
      <c r="S9610" s="51"/>
      <c r="T9610" s="51"/>
      <c r="AR9610" s="51"/>
      <c r="AS9610" s="51"/>
    </row>
    <row r="9611" spans="1:45" s="520" customFormat="1" ht="12">
      <c r="A9611" s="51"/>
      <c r="B9611" s="51"/>
      <c r="C9611" s="51" t="s">
        <v>135</v>
      </c>
      <c r="D9611" s="37"/>
      <c r="E9611" s="51"/>
      <c r="F9611" s="51"/>
      <c r="G9611" s="51"/>
      <c r="H9611" s="51"/>
      <c r="I9611" s="51"/>
      <c r="J9611" s="51"/>
      <c r="K9611" s="51"/>
      <c r="L9611" s="51"/>
      <c r="M9611" s="51"/>
      <c r="N9611" s="51"/>
      <c r="O9611" s="52"/>
      <c r="P9611" s="51"/>
      <c r="Q9611" s="51"/>
      <c r="R9611" s="51"/>
      <c r="S9611" s="51"/>
      <c r="T9611" s="51"/>
      <c r="AR9611" s="51"/>
      <c r="AS9611" s="51"/>
    </row>
    <row r="9612" spans="1:45" s="520" customFormat="1" ht="39.9" customHeight="1">
      <c r="A9612" s="51"/>
      <c r="B9612" s="51"/>
      <c r="C9612" s="51"/>
      <c r="D9612" s="1453" t="s">
        <v>2335</v>
      </c>
      <c r="E9612" s="1452"/>
      <c r="F9612" s="1452"/>
      <c r="G9612" s="1452"/>
      <c r="H9612" s="1452"/>
      <c r="I9612" s="1452"/>
      <c r="J9612" s="1452"/>
      <c r="K9612" s="1452"/>
      <c r="L9612" s="1452"/>
      <c r="M9612" s="1452"/>
      <c r="N9612" s="1452"/>
      <c r="O9612" s="1452"/>
      <c r="P9612" s="1452"/>
      <c r="Q9612" s="1452"/>
      <c r="R9612" s="1452"/>
      <c r="S9612" s="1452"/>
      <c r="T9612" s="1452"/>
      <c r="AR9612" s="51"/>
    </row>
    <row r="9613" spans="1:45" s="3" customFormat="1" thickBot="1">
      <c r="A9613" s="531"/>
      <c r="O9613" s="107"/>
      <c r="AR9613" s="531"/>
    </row>
    <row r="9614" spans="1:45" s="520" customFormat="1" ht="12" thickTop="1">
      <c r="A9614" s="51"/>
      <c r="B9614" s="41"/>
      <c r="C9614" s="51"/>
      <c r="E9614" s="42" t="s">
        <v>138</v>
      </c>
      <c r="F9614" s="42" t="s">
        <v>139</v>
      </c>
      <c r="G9614" s="51"/>
      <c r="H9614" s="51"/>
      <c r="I9614" s="51"/>
      <c r="J9614" s="51"/>
      <c r="K9614" s="51" t="s">
        <v>140</v>
      </c>
      <c r="L9614" s="51"/>
      <c r="M9614" s="51"/>
      <c r="N9614" s="51"/>
      <c r="O9614" s="52"/>
      <c r="P9614" s="51"/>
      <c r="Q9614" s="51"/>
      <c r="R9614" s="51"/>
      <c r="S9614" s="51"/>
      <c r="T9614" s="41"/>
      <c r="AG9614" s="521" t="s">
        <v>268</v>
      </c>
      <c r="AH9614" s="521" t="s">
        <v>269</v>
      </c>
      <c r="AI9614" s="521" t="s">
        <v>270</v>
      </c>
      <c r="AJ9614" s="521" t="s">
        <v>271</v>
      </c>
      <c r="AK9614" s="521" t="s">
        <v>272</v>
      </c>
      <c r="AM9614" s="745" t="s">
        <v>281</v>
      </c>
      <c r="AN9614" s="746" t="s">
        <v>282</v>
      </c>
      <c r="AO9614" s="522" t="s">
        <v>278</v>
      </c>
      <c r="AR9614" s="51"/>
      <c r="AS9614" s="42" t="s">
        <v>139</v>
      </c>
    </row>
    <row r="9615" spans="1:45" s="520" customFormat="1" ht="12" customHeight="1">
      <c r="A9615" s="747">
        <v>1</v>
      </c>
      <c r="B9615" s="523" t="s">
        <v>141</v>
      </c>
      <c r="C9615" s="748"/>
      <c r="D9615" s="749" t="s">
        <v>2474</v>
      </c>
      <c r="E9615" s="750">
        <f ca="1">IF(AND($A9615=0,$A$1="DIF"),0, ROUND(ROUND(($R9620*$S$2+($T9620*$T$2))/A9615,2)*$C$2,2))</f>
        <v>49.52</v>
      </c>
      <c r="F9615" s="751">
        <f ca="1">ROUND($A9615*$E9615,2)</f>
        <v>49.52</v>
      </c>
      <c r="G9615" s="752" t="s">
        <v>142</v>
      </c>
      <c r="H9615" s="753"/>
      <c r="I9615" s="754"/>
      <c r="J9615" s="753"/>
      <c r="K9615" s="753" t="s">
        <v>3</v>
      </c>
      <c r="L9615" s="755" t="s">
        <v>143</v>
      </c>
      <c r="M9615" s="755"/>
      <c r="N9615" s="755"/>
      <c r="O9615" s="755"/>
      <c r="P9615" s="755"/>
      <c r="Q9615" s="51"/>
      <c r="T9615" s="756" t="str">
        <f ca="1">IF(AND($R9620=0,$T9620=0),"0.00","mu :" &amp; ROUND($F9615/$C$2/($R9620+$T9620*$D$9),2))</f>
        <v>mu :1.23</v>
      </c>
      <c r="W9615" s="524"/>
      <c r="AG9615" s="481">
        <f ca="1">IF($E9615=0,0,ROUND($R9620*$S$2*$C$2/$A9615,2))</f>
        <v>17.73</v>
      </c>
      <c r="AH9615" s="481">
        <f ca="1">$AG9615*$A9615</f>
        <v>17.73</v>
      </c>
      <c r="AI9615" s="525">
        <f ca="1">$E9615-$AG9615</f>
        <v>31.790000000000003</v>
      </c>
      <c r="AJ9615" s="525">
        <f ca="1">$A9615*$AI9615</f>
        <v>31.790000000000003</v>
      </c>
      <c r="AK9615" s="526">
        <f ca="1">ROUND(($AG9615+$AI9615)*$A9615,2)</f>
        <v>49.52</v>
      </c>
      <c r="AM9615" s="527">
        <f ca="1">ROUND(R9620,2)</f>
        <v>14.4</v>
      </c>
      <c r="AN9615" s="528">
        <f ca="1">ROUND(T9620,2)</f>
        <v>0.94</v>
      </c>
      <c r="AO9615" s="529">
        <f ca="1">ROUND(AM9615+AN9615,2)*A9615</f>
        <v>15.34</v>
      </c>
      <c r="AR9615" s="747">
        <v>1</v>
      </c>
      <c r="AS9615" s="751">
        <v>52.9</v>
      </c>
    </row>
    <row r="9616" spans="1:45" s="520" customFormat="1" ht="13.2">
      <c r="A9616" s="748"/>
      <c r="B9616"/>
      <c r="C9616" s="748"/>
      <c r="D9616" s="749" t="s">
        <v>2063</v>
      </c>
      <c r="F9616" s="753"/>
      <c r="G9616" s="3"/>
      <c r="H9616" s="753"/>
      <c r="I9616" s="754"/>
      <c r="J9616" s="753"/>
      <c r="K9616" s="753" t="s">
        <v>144</v>
      </c>
      <c r="L9616" s="753"/>
      <c r="M9616" s="753"/>
      <c r="N9616" s="753"/>
      <c r="O9616" s="753"/>
      <c r="P9616" s="753"/>
      <c r="Q9616" s="51"/>
      <c r="R9616" s="530"/>
      <c r="S9616" s="757"/>
      <c r="T9616" s="753"/>
      <c r="AR9616" s="748"/>
      <c r="AS9616" s="753"/>
    </row>
    <row r="9617" spans="1:45" s="886" customFormat="1" ht="13.2">
      <c r="A9617"/>
      <c r="B9617" s="910"/>
      <c r="C9617" s="910" t="s">
        <v>2597</v>
      </c>
      <c r="D9617" s="910" t="str">
        <f ca="1">CELL("Address",Elec_Rates!D$1029)</f>
        <v>[E25_0062_Quintano_Foods_Elec_ELV_As_Awarded.xlsx]Elec_Rates!$D$1029</v>
      </c>
      <c r="E9617" s="911"/>
      <c r="F9617" s="911"/>
      <c r="G9617" s="912" t="s">
        <v>2598</v>
      </c>
      <c r="H9617" s="912"/>
      <c r="I9617" s="912"/>
      <c r="J9617" s="912"/>
      <c r="K9617" s="913"/>
      <c r="L9617" s="911"/>
      <c r="M9617" s="911"/>
      <c r="N9617" s="911"/>
      <c r="O9617" s="914"/>
      <c r="P9617" s="911"/>
      <c r="Q9617" s="915"/>
      <c r="R9617" s="916"/>
      <c r="S9617" s="915"/>
      <c r="T9617" s="917"/>
      <c r="U9617" s="918"/>
      <c r="AR9617"/>
      <c r="AS9617" s="911"/>
    </row>
    <row r="9618" spans="1:45" s="886" customFormat="1" ht="11.4">
      <c r="A9618" s="919">
        <v>1</v>
      </c>
      <c r="B9618" s="920">
        <v>1</v>
      </c>
      <c r="C9618" s="920">
        <f>$A9618*$B9618</f>
        <v>1</v>
      </c>
      <c r="D9618" s="921" t="str">
        <f>Elec_Rates!$D$1029</f>
        <v>092# LSZH Conduit points for Fire alarm devices</v>
      </c>
      <c r="E9618" s="921"/>
      <c r="F9618" s="921" t="s">
        <v>2599</v>
      </c>
      <c r="G9618" s="922" t="s">
        <v>2600</v>
      </c>
      <c r="H9618" s="922"/>
      <c r="I9618" s="922"/>
      <c r="J9618" s="922"/>
      <c r="K9618" s="923"/>
      <c r="L9618" s="918"/>
      <c r="M9618" s="918"/>
      <c r="N9618" s="918"/>
      <c r="O9618" s="924"/>
      <c r="P9618" s="921"/>
      <c r="Q9618" s="925">
        <f ca="1">$B9618*Elec_Rates!$R$1029</f>
        <v>14.4</v>
      </c>
      <c r="R9618" s="916">
        <f ca="1">$A9618*Q9618</f>
        <v>14.4</v>
      </c>
      <c r="S9618" s="925">
        <f ca="1">$B9618*Elec_Rates!$T$1029</f>
        <v>0.94</v>
      </c>
      <c r="T9618" s="917">
        <f ca="1">$A9618*S9618</f>
        <v>0.94</v>
      </c>
      <c r="U9618" s="926"/>
      <c r="AR9618" s="919">
        <v>1</v>
      </c>
      <c r="AS9618" s="921" t="s">
        <v>2599</v>
      </c>
    </row>
    <row r="9619" spans="1:45" s="520" customFormat="1" ht="12">
      <c r="A9619" s="758"/>
      <c r="B9619" s="758"/>
      <c r="C9619" s="758"/>
      <c r="D9619" s="758"/>
      <c r="E9619" s="758"/>
      <c r="F9619" s="753"/>
      <c r="G9619" s="758"/>
      <c r="H9619" s="758"/>
      <c r="I9619" s="519"/>
      <c r="J9619" s="758"/>
      <c r="K9619" s="758"/>
      <c r="L9619" s="758"/>
      <c r="M9619" s="758"/>
      <c r="N9619" s="758"/>
      <c r="O9619" s="758"/>
      <c r="P9619" s="758"/>
      <c r="Q9619" s="519"/>
      <c r="R9619" s="759">
        <f>$A9619*Q9619</f>
        <v>0</v>
      </c>
      <c r="S9619" s="519"/>
      <c r="T9619" s="760">
        <f>$A9619*S9619*$T$1</f>
        <v>0</v>
      </c>
      <c r="AR9619" s="758"/>
      <c r="AS9619" s="753"/>
    </row>
    <row r="9620" spans="1:45" s="520" customFormat="1" ht="12.6" thickBot="1">
      <c r="A9620" s="761" t="s">
        <v>145</v>
      </c>
      <c r="B9620" s="762">
        <f>(R9619+T9619)</f>
        <v>0</v>
      </c>
      <c r="C9620" s="763"/>
      <c r="D9620" s="763"/>
      <c r="E9620" s="763"/>
      <c r="F9620" s="764"/>
      <c r="G9620" s="763" t="s">
        <v>146</v>
      </c>
      <c r="H9620" s="763"/>
      <c r="I9620" s="765"/>
      <c r="J9620" s="763"/>
      <c r="K9620" s="763" t="s">
        <v>3</v>
      </c>
      <c r="L9620" s="766" t="s">
        <v>143</v>
      </c>
      <c r="M9620" s="766"/>
      <c r="N9620" s="766"/>
      <c r="O9620" s="766"/>
      <c r="P9620" s="766"/>
      <c r="Q9620" s="767"/>
      <c r="R9620" s="768">
        <f ca="1">SUM(R9616:R9619)</f>
        <v>14.4</v>
      </c>
      <c r="S9620" s="763"/>
      <c r="T9620" s="768">
        <f ca="1">SUM(T9616:T9619)</f>
        <v>0.94</v>
      </c>
      <c r="U9620" s="531"/>
      <c r="V9620" s="531"/>
      <c r="W9620" s="531"/>
      <c r="X9620" s="531"/>
      <c r="Y9620" s="531"/>
      <c r="Z9620" s="531"/>
      <c r="AA9620" s="531"/>
      <c r="AB9620" s="531"/>
      <c r="AC9620" s="531"/>
      <c r="AD9620" s="531"/>
      <c r="AE9620" s="531"/>
      <c r="AF9620" s="531"/>
      <c r="AG9620" s="531"/>
      <c r="AH9620" s="531"/>
      <c r="AI9620" s="531"/>
      <c r="AJ9620" s="531"/>
      <c r="AK9620" s="531"/>
      <c r="AL9620" s="531"/>
      <c r="AM9620" s="531"/>
      <c r="AN9620" s="531"/>
      <c r="AO9620" s="531"/>
      <c r="AR9620" s="761" t="s">
        <v>145</v>
      </c>
      <c r="AS9620" s="764"/>
    </row>
    <row r="9621" spans="1:45" s="520" customFormat="1" ht="12" thickTop="1">
      <c r="A9621" s="51"/>
      <c r="B9621" s="41"/>
      <c r="C9621" s="51"/>
      <c r="E9621" s="42" t="s">
        <v>138</v>
      </c>
      <c r="F9621" s="42" t="s">
        <v>139</v>
      </c>
      <c r="G9621" s="51"/>
      <c r="H9621" s="51"/>
      <c r="I9621" s="51"/>
      <c r="J9621" s="51"/>
      <c r="K9621" s="51" t="s">
        <v>140</v>
      </c>
      <c r="L9621" s="51"/>
      <c r="M9621" s="51"/>
      <c r="N9621" s="51"/>
      <c r="O9621" s="52"/>
      <c r="P9621" s="51"/>
      <c r="Q9621" s="51"/>
      <c r="R9621" s="51"/>
      <c r="S9621" s="51"/>
      <c r="T9621" s="41"/>
      <c r="AG9621" s="521" t="s">
        <v>268</v>
      </c>
      <c r="AH9621" s="521" t="s">
        <v>269</v>
      </c>
      <c r="AI9621" s="521" t="s">
        <v>270</v>
      </c>
      <c r="AJ9621" s="521" t="s">
        <v>271</v>
      </c>
      <c r="AK9621" s="521" t="s">
        <v>272</v>
      </c>
      <c r="AM9621" s="745" t="s">
        <v>281</v>
      </c>
      <c r="AN9621" s="746" t="s">
        <v>282</v>
      </c>
      <c r="AO9621" s="522" t="s">
        <v>278</v>
      </c>
      <c r="AR9621" s="51"/>
      <c r="AS9621" s="42" t="s">
        <v>139</v>
      </c>
    </row>
    <row r="9622" spans="1:45" s="520" customFormat="1" ht="12" customHeight="1">
      <c r="A9622" s="747">
        <v>14</v>
      </c>
      <c r="B9622" s="523" t="s">
        <v>141</v>
      </c>
      <c r="C9622" s="748"/>
      <c r="D9622" s="749" t="s">
        <v>2475</v>
      </c>
      <c r="E9622" s="750">
        <f ca="1">IF(AND($A9622=0,$A$1="DIF"),0, ROUND(ROUND(($R9627*$S$2+($T9627*$T$2))/A9622,2)*$C$2,2))</f>
        <v>49.52</v>
      </c>
      <c r="F9622" s="751">
        <f ca="1">ROUND($A9622*$E9622,2)</f>
        <v>693.28</v>
      </c>
      <c r="G9622" s="752" t="s">
        <v>142</v>
      </c>
      <c r="H9622" s="753"/>
      <c r="I9622" s="754"/>
      <c r="J9622" s="753"/>
      <c r="K9622" s="753" t="s">
        <v>3</v>
      </c>
      <c r="L9622" s="755" t="s">
        <v>143</v>
      </c>
      <c r="M9622" s="755"/>
      <c r="N9622" s="755"/>
      <c r="O9622" s="755"/>
      <c r="P9622" s="755"/>
      <c r="Q9622" s="51"/>
      <c r="T9622" s="756" t="str">
        <f ca="1">IF(AND($R9627=0,$T9627=0),"0.00","mu :" &amp; ROUND($F9622/$C$2/($R9627+$T9627*$D$9),2))</f>
        <v>mu :1.23</v>
      </c>
      <c r="W9622" s="524"/>
      <c r="AG9622" s="481">
        <f ca="1">IF($E9622=0,0,ROUND($R9627*$S$2*$C$2/$A9622,2))</f>
        <v>17.73</v>
      </c>
      <c r="AH9622" s="481">
        <f ca="1">$AG9622*$A9622</f>
        <v>248.22</v>
      </c>
      <c r="AI9622" s="525">
        <f ca="1">$E9622-$AG9622</f>
        <v>31.790000000000003</v>
      </c>
      <c r="AJ9622" s="525">
        <f ca="1">$A9622*$AI9622</f>
        <v>445.06000000000006</v>
      </c>
      <c r="AK9622" s="526">
        <f ca="1">ROUND(($AG9622+$AI9622)*$A9622,2)</f>
        <v>693.28</v>
      </c>
      <c r="AM9622" s="527">
        <f ca="1">ROUND(R9627,2)</f>
        <v>201.6</v>
      </c>
      <c r="AN9622" s="528">
        <f ca="1">ROUND(T9627,2)</f>
        <v>13.16</v>
      </c>
      <c r="AO9622" s="529">
        <f ca="1">ROUND(AM9622+AN9622,2)*A9622</f>
        <v>3006.64</v>
      </c>
      <c r="AR9622" s="747">
        <v>14</v>
      </c>
      <c r="AS9622" s="751">
        <v>740.6</v>
      </c>
    </row>
    <row r="9623" spans="1:45" s="520" customFormat="1" ht="13.2">
      <c r="A9623" s="748"/>
      <c r="B9623"/>
      <c r="C9623" s="748"/>
      <c r="D9623" s="749" t="s">
        <v>2061</v>
      </c>
      <c r="F9623" s="753"/>
      <c r="G9623" s="3"/>
      <c r="H9623" s="753"/>
      <c r="I9623" s="754"/>
      <c r="J9623" s="753"/>
      <c r="K9623" s="753" t="s">
        <v>144</v>
      </c>
      <c r="L9623" s="753"/>
      <c r="M9623" s="753"/>
      <c r="N9623" s="753"/>
      <c r="O9623" s="753"/>
      <c r="P9623" s="753"/>
      <c r="Q9623" s="51"/>
      <c r="R9623" s="530"/>
      <c r="S9623" s="757"/>
      <c r="T9623" s="753"/>
      <c r="AR9623" s="748"/>
      <c r="AS9623" s="753"/>
    </row>
    <row r="9624" spans="1:45" s="886" customFormat="1" ht="13.2">
      <c r="A9624"/>
      <c r="B9624" s="910"/>
      <c r="C9624" s="910" t="s">
        <v>2597</v>
      </c>
      <c r="D9624" s="910" t="str">
        <f ca="1">CELL("Address",Elec_Rates!D$1029)</f>
        <v>[E25_0062_Quintano_Foods_Elec_ELV_As_Awarded.xlsx]Elec_Rates!$D$1029</v>
      </c>
      <c r="E9624" s="911"/>
      <c r="F9624" s="911"/>
      <c r="G9624" s="912" t="s">
        <v>2598</v>
      </c>
      <c r="H9624" s="912"/>
      <c r="I9624" s="912"/>
      <c r="J9624" s="912"/>
      <c r="K9624" s="913"/>
      <c r="L9624" s="911"/>
      <c r="M9624" s="911"/>
      <c r="N9624" s="911"/>
      <c r="O9624" s="914"/>
      <c r="P9624" s="911"/>
      <c r="Q9624" s="915"/>
      <c r="R9624" s="916"/>
      <c r="S9624" s="915"/>
      <c r="T9624" s="917"/>
      <c r="U9624" s="918"/>
      <c r="AR9624"/>
      <c r="AS9624" s="911"/>
    </row>
    <row r="9625" spans="1:45" s="886" customFormat="1" ht="11.4">
      <c r="A9625" s="919">
        <v>14</v>
      </c>
      <c r="B9625" s="920">
        <v>1</v>
      </c>
      <c r="C9625" s="920">
        <f>$A9625*$B9625</f>
        <v>14</v>
      </c>
      <c r="D9625" s="921" t="str">
        <f>Elec_Rates!$D$1029</f>
        <v>092# LSZH Conduit points for Fire alarm devices</v>
      </c>
      <c r="E9625" s="921"/>
      <c r="F9625" s="921" t="s">
        <v>2599</v>
      </c>
      <c r="G9625" s="922" t="s">
        <v>2600</v>
      </c>
      <c r="H9625" s="922"/>
      <c r="I9625" s="922"/>
      <c r="J9625" s="922"/>
      <c r="K9625" s="923"/>
      <c r="L9625" s="918"/>
      <c r="M9625" s="918"/>
      <c r="N9625" s="918"/>
      <c r="O9625" s="924"/>
      <c r="P9625" s="921"/>
      <c r="Q9625" s="925">
        <f ca="1">$B9625*Elec_Rates!$R$1029</f>
        <v>14.4</v>
      </c>
      <c r="R9625" s="916">
        <f ca="1">$A9625*Q9625</f>
        <v>201.6</v>
      </c>
      <c r="S9625" s="925">
        <f ca="1">$B9625*Elec_Rates!$T$1029</f>
        <v>0.94</v>
      </c>
      <c r="T9625" s="917">
        <f ca="1">$A9625*S9625</f>
        <v>13.16</v>
      </c>
      <c r="U9625" s="926"/>
      <c r="AR9625" s="919">
        <v>14</v>
      </c>
      <c r="AS9625" s="921" t="s">
        <v>2599</v>
      </c>
    </row>
    <row r="9626" spans="1:45" s="520" customFormat="1" ht="12">
      <c r="A9626" s="758"/>
      <c r="B9626" s="758"/>
      <c r="C9626" s="758"/>
      <c r="D9626" s="758"/>
      <c r="E9626" s="758"/>
      <c r="F9626" s="753"/>
      <c r="G9626" s="758"/>
      <c r="H9626" s="758"/>
      <c r="I9626" s="519"/>
      <c r="J9626" s="758"/>
      <c r="K9626" s="758"/>
      <c r="L9626" s="758"/>
      <c r="M9626" s="758"/>
      <c r="N9626" s="758"/>
      <c r="O9626" s="758"/>
      <c r="P9626" s="758"/>
      <c r="Q9626" s="519"/>
      <c r="R9626" s="759">
        <f>$A9626*Q9626</f>
        <v>0</v>
      </c>
      <c r="S9626" s="519"/>
      <c r="T9626" s="760">
        <f>$A9626*S9626*$T$1</f>
        <v>0</v>
      </c>
      <c r="AR9626" s="758"/>
      <c r="AS9626" s="753"/>
    </row>
    <row r="9627" spans="1:45" s="520" customFormat="1" ht="12.6" thickBot="1">
      <c r="A9627" s="761" t="s">
        <v>145</v>
      </c>
      <c r="B9627" s="762">
        <f>(R9626+T9626)</f>
        <v>0</v>
      </c>
      <c r="C9627" s="763"/>
      <c r="D9627" s="763"/>
      <c r="E9627" s="763"/>
      <c r="F9627" s="764"/>
      <c r="G9627" s="763" t="s">
        <v>146</v>
      </c>
      <c r="H9627" s="763"/>
      <c r="I9627" s="765"/>
      <c r="J9627" s="763"/>
      <c r="K9627" s="763" t="s">
        <v>3</v>
      </c>
      <c r="L9627" s="766" t="s">
        <v>143</v>
      </c>
      <c r="M9627" s="766"/>
      <c r="N9627" s="766"/>
      <c r="O9627" s="766"/>
      <c r="P9627" s="766"/>
      <c r="Q9627" s="767"/>
      <c r="R9627" s="768">
        <f ca="1">SUM(R9623:R9626)</f>
        <v>201.6</v>
      </c>
      <c r="S9627" s="763"/>
      <c r="T9627" s="768">
        <f ca="1">SUM(T9623:T9626)</f>
        <v>13.16</v>
      </c>
      <c r="U9627" s="531"/>
      <c r="V9627" s="531"/>
      <c r="W9627" s="531"/>
      <c r="X9627" s="531"/>
      <c r="Y9627" s="531"/>
      <c r="Z9627" s="531"/>
      <c r="AA9627" s="531"/>
      <c r="AB9627" s="531"/>
      <c r="AC9627" s="531"/>
      <c r="AD9627" s="531"/>
      <c r="AE9627" s="531"/>
      <c r="AF9627" s="531"/>
      <c r="AG9627" s="531"/>
      <c r="AH9627" s="531"/>
      <c r="AI9627" s="531"/>
      <c r="AJ9627" s="531"/>
      <c r="AK9627" s="531"/>
      <c r="AL9627" s="531"/>
      <c r="AM9627" s="531"/>
      <c r="AN9627" s="531"/>
      <c r="AO9627" s="531"/>
      <c r="AR9627" s="761" t="s">
        <v>145</v>
      </c>
      <c r="AS9627" s="764"/>
    </row>
    <row r="9628" spans="1:45" s="520" customFormat="1" ht="12" thickTop="1">
      <c r="A9628" s="51"/>
      <c r="B9628" s="41"/>
      <c r="C9628" s="51"/>
      <c r="E9628" s="42" t="s">
        <v>138</v>
      </c>
      <c r="F9628" s="42" t="s">
        <v>139</v>
      </c>
      <c r="G9628" s="51"/>
      <c r="H9628" s="51"/>
      <c r="I9628" s="51"/>
      <c r="J9628" s="51"/>
      <c r="K9628" s="51" t="s">
        <v>140</v>
      </c>
      <c r="L9628" s="51"/>
      <c r="M9628" s="51"/>
      <c r="N9628" s="51"/>
      <c r="O9628" s="52"/>
      <c r="P9628" s="51"/>
      <c r="Q9628" s="51"/>
      <c r="R9628" s="51"/>
      <c r="S9628" s="51"/>
      <c r="T9628" s="41"/>
      <c r="AG9628" s="521" t="s">
        <v>268</v>
      </c>
      <c r="AH9628" s="521" t="s">
        <v>269</v>
      </c>
      <c r="AI9628" s="521" t="s">
        <v>270</v>
      </c>
      <c r="AJ9628" s="521" t="s">
        <v>271</v>
      </c>
      <c r="AK9628" s="521" t="s">
        <v>272</v>
      </c>
      <c r="AM9628" s="745" t="s">
        <v>281</v>
      </c>
      <c r="AN9628" s="746" t="s">
        <v>282</v>
      </c>
      <c r="AO9628" s="522" t="s">
        <v>278</v>
      </c>
      <c r="AR9628" s="51"/>
      <c r="AS9628" s="42" t="s">
        <v>139</v>
      </c>
    </row>
    <row r="9629" spans="1:45" s="520" customFormat="1" ht="12" customHeight="1">
      <c r="A9629" s="747">
        <v>5</v>
      </c>
      <c r="B9629" s="523" t="s">
        <v>141</v>
      </c>
      <c r="C9629" s="748"/>
      <c r="D9629" s="749" t="s">
        <v>2476</v>
      </c>
      <c r="E9629" s="750">
        <f ca="1">IF(AND($A9629=0,$A$1="DIF"),0, ROUND(ROUND(($R9634*$S$2+($T9634*$T$2))/A9629,2)*$C$2,2))</f>
        <v>49.52</v>
      </c>
      <c r="F9629" s="751">
        <f ca="1">ROUND($A9629*$E9629,2)</f>
        <v>247.6</v>
      </c>
      <c r="G9629" s="752" t="s">
        <v>142</v>
      </c>
      <c r="H9629" s="753"/>
      <c r="I9629" s="754"/>
      <c r="J9629" s="753"/>
      <c r="K9629" s="753" t="s">
        <v>3</v>
      </c>
      <c r="L9629" s="755" t="s">
        <v>143</v>
      </c>
      <c r="M9629" s="755"/>
      <c r="N9629" s="755"/>
      <c r="O9629" s="755"/>
      <c r="P9629" s="755"/>
      <c r="Q9629" s="51"/>
      <c r="T9629" s="756" t="str">
        <f ca="1">IF(AND($R9634=0,$T9634=0),"0.00","mu :" &amp; ROUND($F9629/$C$2/($R9634+$T9634*$D$9),2))</f>
        <v>mu :1.23</v>
      </c>
      <c r="W9629" s="524"/>
      <c r="AG9629" s="481">
        <f ca="1">IF($E9629=0,0,ROUND($R9634*$S$2*$C$2/$A9629,2))</f>
        <v>17.73</v>
      </c>
      <c r="AH9629" s="481">
        <f ca="1">$AG9629*$A9629</f>
        <v>88.65</v>
      </c>
      <c r="AI9629" s="525">
        <f ca="1">$E9629-$AG9629</f>
        <v>31.790000000000003</v>
      </c>
      <c r="AJ9629" s="525">
        <f ca="1">$A9629*$AI9629</f>
        <v>158.95000000000002</v>
      </c>
      <c r="AK9629" s="526">
        <f ca="1">ROUND(($AG9629+$AI9629)*$A9629,2)</f>
        <v>247.6</v>
      </c>
      <c r="AM9629" s="527">
        <f ca="1">ROUND(R9634,2)</f>
        <v>72</v>
      </c>
      <c r="AN9629" s="528">
        <f ca="1">ROUND(T9634,2)</f>
        <v>4.7</v>
      </c>
      <c r="AO9629" s="529">
        <f ca="1">ROUND(AM9629+AN9629,2)*A9629</f>
        <v>383.5</v>
      </c>
      <c r="AR9629" s="747">
        <v>5</v>
      </c>
      <c r="AS9629" s="751">
        <v>264.5</v>
      </c>
    </row>
    <row r="9630" spans="1:45" s="520" customFormat="1" ht="13.2">
      <c r="A9630" s="748"/>
      <c r="B9630"/>
      <c r="C9630" s="748"/>
      <c r="D9630" s="749" t="s">
        <v>2062</v>
      </c>
      <c r="F9630" s="753"/>
      <c r="G9630" s="3"/>
      <c r="H9630" s="753"/>
      <c r="I9630" s="754"/>
      <c r="J9630" s="753"/>
      <c r="K9630" s="753" t="s">
        <v>144</v>
      </c>
      <c r="L9630" s="753"/>
      <c r="M9630" s="753"/>
      <c r="N9630" s="753"/>
      <c r="O9630" s="753"/>
      <c r="P9630" s="753"/>
      <c r="Q9630" s="51"/>
      <c r="R9630" s="530"/>
      <c r="S9630" s="757"/>
      <c r="T9630" s="753"/>
      <c r="AR9630" s="748"/>
      <c r="AS9630" s="753"/>
    </row>
    <row r="9631" spans="1:45" s="886" customFormat="1" ht="13.2">
      <c r="A9631"/>
      <c r="B9631" s="910"/>
      <c r="C9631" s="910" t="s">
        <v>2597</v>
      </c>
      <c r="D9631" s="910" t="str">
        <f ca="1">CELL("Address",Elec_Rates!D$1029)</f>
        <v>[E25_0062_Quintano_Foods_Elec_ELV_As_Awarded.xlsx]Elec_Rates!$D$1029</v>
      </c>
      <c r="E9631" s="911"/>
      <c r="F9631" s="911"/>
      <c r="G9631" s="912" t="s">
        <v>2598</v>
      </c>
      <c r="H9631" s="912"/>
      <c r="I9631" s="912"/>
      <c r="J9631" s="912"/>
      <c r="K9631" s="913"/>
      <c r="L9631" s="911"/>
      <c r="M9631" s="911"/>
      <c r="N9631" s="911"/>
      <c r="O9631" s="914"/>
      <c r="P9631" s="911"/>
      <c r="Q9631" s="915"/>
      <c r="R9631" s="916"/>
      <c r="S9631" s="915"/>
      <c r="T9631" s="917"/>
      <c r="U9631" s="918"/>
      <c r="AR9631"/>
      <c r="AS9631" s="911"/>
    </row>
    <row r="9632" spans="1:45" s="886" customFormat="1" ht="11.4">
      <c r="A9632" s="919">
        <v>5</v>
      </c>
      <c r="B9632" s="920">
        <v>1</v>
      </c>
      <c r="C9632" s="920">
        <f>$A9632*$B9632</f>
        <v>5</v>
      </c>
      <c r="D9632" s="921" t="str">
        <f>Elec_Rates!$D$1029</f>
        <v>092# LSZH Conduit points for Fire alarm devices</v>
      </c>
      <c r="E9632" s="921"/>
      <c r="F9632" s="921" t="s">
        <v>2599</v>
      </c>
      <c r="G9632" s="922" t="s">
        <v>2600</v>
      </c>
      <c r="H9632" s="922"/>
      <c r="I9632" s="922"/>
      <c r="J9632" s="922"/>
      <c r="K9632" s="923"/>
      <c r="L9632" s="918"/>
      <c r="M9632" s="918"/>
      <c r="N9632" s="918"/>
      <c r="O9632" s="924"/>
      <c r="P9632" s="921"/>
      <c r="Q9632" s="925">
        <f ca="1">$B9632*Elec_Rates!$R$1029</f>
        <v>14.4</v>
      </c>
      <c r="R9632" s="916">
        <f ca="1">$A9632*Q9632</f>
        <v>72</v>
      </c>
      <c r="S9632" s="925">
        <f ca="1">$B9632*Elec_Rates!$T$1029</f>
        <v>0.94</v>
      </c>
      <c r="T9632" s="917">
        <f ca="1">$A9632*S9632</f>
        <v>4.6999999999999993</v>
      </c>
      <c r="U9632" s="926"/>
      <c r="AR9632" s="919">
        <v>5</v>
      </c>
      <c r="AS9632" s="921" t="s">
        <v>2599</v>
      </c>
    </row>
    <row r="9633" spans="1:45" s="520" customFormat="1" ht="12">
      <c r="A9633" s="758"/>
      <c r="B9633" s="758"/>
      <c r="C9633" s="758"/>
      <c r="D9633" s="758"/>
      <c r="E9633" s="758"/>
      <c r="F9633" s="753"/>
      <c r="G9633" s="758"/>
      <c r="H9633" s="758"/>
      <c r="I9633" s="519"/>
      <c r="J9633" s="758"/>
      <c r="K9633" s="758"/>
      <c r="L9633" s="758"/>
      <c r="M9633" s="758"/>
      <c r="N9633" s="758"/>
      <c r="O9633" s="758"/>
      <c r="P9633" s="758"/>
      <c r="Q9633" s="519"/>
      <c r="R9633" s="759">
        <f>$A9633*Q9633</f>
        <v>0</v>
      </c>
      <c r="S9633" s="519"/>
      <c r="T9633" s="760">
        <f>$A9633*S9633*$T$1</f>
        <v>0</v>
      </c>
      <c r="AR9633" s="758"/>
      <c r="AS9633" s="753"/>
    </row>
    <row r="9634" spans="1:45" s="520" customFormat="1" ht="12.6" thickBot="1">
      <c r="A9634" s="761" t="s">
        <v>145</v>
      </c>
      <c r="B9634" s="762">
        <f>(R9633+T9633)</f>
        <v>0</v>
      </c>
      <c r="C9634" s="763"/>
      <c r="D9634" s="763"/>
      <c r="E9634" s="763"/>
      <c r="F9634" s="764"/>
      <c r="G9634" s="763" t="s">
        <v>146</v>
      </c>
      <c r="H9634" s="763"/>
      <c r="I9634" s="765"/>
      <c r="J9634" s="763"/>
      <c r="K9634" s="763" t="s">
        <v>3</v>
      </c>
      <c r="L9634" s="766" t="s">
        <v>143</v>
      </c>
      <c r="M9634" s="766"/>
      <c r="N9634" s="766"/>
      <c r="O9634" s="766"/>
      <c r="P9634" s="766"/>
      <c r="Q9634" s="767"/>
      <c r="R9634" s="768">
        <f ca="1">SUM(R9630:R9633)</f>
        <v>72</v>
      </c>
      <c r="S9634" s="763"/>
      <c r="T9634" s="768">
        <f ca="1">SUM(T9630:T9633)</f>
        <v>4.6999999999999993</v>
      </c>
      <c r="U9634" s="531"/>
      <c r="V9634" s="531"/>
      <c r="W9634" s="531"/>
      <c r="X9634" s="531"/>
      <c r="Y9634" s="531"/>
      <c r="Z9634" s="531"/>
      <c r="AA9634" s="531"/>
      <c r="AB9634" s="531"/>
      <c r="AC9634" s="531"/>
      <c r="AD9634" s="531"/>
      <c r="AE9634" s="531"/>
      <c r="AF9634" s="531"/>
      <c r="AG9634" s="531"/>
      <c r="AH9634" s="531"/>
      <c r="AI9634" s="531"/>
      <c r="AJ9634" s="531"/>
      <c r="AK9634" s="531"/>
      <c r="AL9634" s="531"/>
      <c r="AM9634" s="531"/>
      <c r="AN9634" s="531"/>
      <c r="AO9634" s="531"/>
      <c r="AR9634" s="761" t="s">
        <v>145</v>
      </c>
      <c r="AS9634" s="764"/>
    </row>
    <row r="9635" spans="1:45" s="520" customFormat="1" ht="12" thickTop="1">
      <c r="A9635" s="51"/>
      <c r="B9635" s="41"/>
      <c r="C9635" s="51"/>
      <c r="E9635" s="42" t="s">
        <v>138</v>
      </c>
      <c r="F9635" s="42" t="s">
        <v>139</v>
      </c>
      <c r="G9635" s="51"/>
      <c r="H9635" s="51"/>
      <c r="I9635" s="51"/>
      <c r="J9635" s="51"/>
      <c r="K9635" s="51" t="s">
        <v>140</v>
      </c>
      <c r="L9635" s="51"/>
      <c r="M9635" s="51"/>
      <c r="N9635" s="51"/>
      <c r="O9635" s="52"/>
      <c r="P9635" s="51"/>
      <c r="Q9635" s="51"/>
      <c r="R9635" s="51"/>
      <c r="S9635" s="51"/>
      <c r="T9635" s="41"/>
      <c r="AG9635" s="521" t="s">
        <v>268</v>
      </c>
      <c r="AH9635" s="521" t="s">
        <v>269</v>
      </c>
      <c r="AI9635" s="521" t="s">
        <v>270</v>
      </c>
      <c r="AJ9635" s="521" t="s">
        <v>271</v>
      </c>
      <c r="AK9635" s="521" t="s">
        <v>272</v>
      </c>
      <c r="AM9635" s="745" t="s">
        <v>281</v>
      </c>
      <c r="AN9635" s="746" t="s">
        <v>282</v>
      </c>
      <c r="AO9635" s="522" t="s">
        <v>278</v>
      </c>
      <c r="AR9635" s="51"/>
      <c r="AS9635" s="42" t="s">
        <v>139</v>
      </c>
    </row>
    <row r="9636" spans="1:45" s="520" customFormat="1" ht="12" customHeight="1">
      <c r="A9636" s="747">
        <v>2</v>
      </c>
      <c r="B9636" s="523" t="s">
        <v>141</v>
      </c>
      <c r="C9636" s="748"/>
      <c r="D9636" s="749" t="s">
        <v>2477</v>
      </c>
      <c r="E9636" s="750">
        <f ca="1">IF(AND($A9636=0,$A$1="DIF"),0, ROUND(ROUND(($R9641*$S$2+($T9641*$T$2))/A9636,2)*$C$2,2))</f>
        <v>49.52</v>
      </c>
      <c r="F9636" s="751">
        <f ca="1">ROUND($A9636*$E9636,2)</f>
        <v>99.04</v>
      </c>
      <c r="G9636" s="752" t="s">
        <v>142</v>
      </c>
      <c r="H9636" s="753"/>
      <c r="I9636" s="754"/>
      <c r="J9636" s="753"/>
      <c r="K9636" s="753" t="s">
        <v>3</v>
      </c>
      <c r="L9636" s="755" t="s">
        <v>143</v>
      </c>
      <c r="M9636" s="755"/>
      <c r="N9636" s="755"/>
      <c r="O9636" s="755"/>
      <c r="P9636" s="755"/>
      <c r="Q9636" s="51"/>
      <c r="T9636" s="756" t="str">
        <f ca="1">IF(AND($R9641=0,$T9641=0),"0.00","mu :" &amp; ROUND($F9636/$C$2/($R9641+$T9641*$D$9),2))</f>
        <v>mu :1.23</v>
      </c>
      <c r="W9636" s="524"/>
      <c r="AG9636" s="481">
        <f ca="1">IF($E9636=0,0,ROUND($R9641*$S$2*$C$2/$A9636,2))</f>
        <v>17.73</v>
      </c>
      <c r="AH9636" s="481">
        <f ca="1">$AG9636*$A9636</f>
        <v>35.46</v>
      </c>
      <c r="AI9636" s="525">
        <f ca="1">$E9636-$AG9636</f>
        <v>31.790000000000003</v>
      </c>
      <c r="AJ9636" s="525">
        <f ca="1">$A9636*$AI9636</f>
        <v>63.580000000000005</v>
      </c>
      <c r="AK9636" s="526">
        <f ca="1">ROUND(($AG9636+$AI9636)*$A9636,2)</f>
        <v>99.04</v>
      </c>
      <c r="AM9636" s="527">
        <f ca="1">ROUND(R9641,2)</f>
        <v>28.8</v>
      </c>
      <c r="AN9636" s="528">
        <f ca="1">ROUND(T9641,2)</f>
        <v>1.88</v>
      </c>
      <c r="AO9636" s="529">
        <f ca="1">ROUND(AM9636+AN9636,2)*A9636</f>
        <v>61.36</v>
      </c>
      <c r="AR9636" s="747">
        <v>2</v>
      </c>
      <c r="AS9636" s="751">
        <v>105.8</v>
      </c>
    </row>
    <row r="9637" spans="1:45" s="520" customFormat="1" ht="13.2">
      <c r="A9637" s="748"/>
      <c r="B9637"/>
      <c r="C9637" s="748"/>
      <c r="D9637" s="749" t="s">
        <v>2065</v>
      </c>
      <c r="F9637" s="753"/>
      <c r="G9637" s="3"/>
      <c r="H9637" s="753"/>
      <c r="I9637" s="754"/>
      <c r="J9637" s="753"/>
      <c r="K9637" s="753" t="s">
        <v>144</v>
      </c>
      <c r="L9637" s="753"/>
      <c r="M9637" s="753"/>
      <c r="N9637" s="753"/>
      <c r="O9637" s="753"/>
      <c r="P9637" s="753"/>
      <c r="Q9637" s="51"/>
      <c r="R9637" s="530"/>
      <c r="S9637" s="757"/>
      <c r="T9637" s="753"/>
      <c r="AR9637" s="748"/>
      <c r="AS9637" s="753"/>
    </row>
    <row r="9638" spans="1:45" s="886" customFormat="1" ht="13.2">
      <c r="A9638"/>
      <c r="B9638" s="910"/>
      <c r="C9638" s="910" t="s">
        <v>2597</v>
      </c>
      <c r="D9638" s="910" t="str">
        <f ca="1">CELL("Address",Elec_Rates!D$1029)</f>
        <v>[E25_0062_Quintano_Foods_Elec_ELV_As_Awarded.xlsx]Elec_Rates!$D$1029</v>
      </c>
      <c r="E9638" s="911"/>
      <c r="F9638" s="911"/>
      <c r="G9638" s="912" t="s">
        <v>2598</v>
      </c>
      <c r="H9638" s="912"/>
      <c r="I9638" s="912"/>
      <c r="J9638" s="912"/>
      <c r="K9638" s="913"/>
      <c r="L9638" s="911"/>
      <c r="M9638" s="911"/>
      <c r="N9638" s="911"/>
      <c r="O9638" s="914"/>
      <c r="P9638" s="911"/>
      <c r="Q9638" s="915"/>
      <c r="R9638" s="916"/>
      <c r="S9638" s="915"/>
      <c r="T9638" s="917"/>
      <c r="U9638" s="918"/>
      <c r="AR9638"/>
      <c r="AS9638" s="911"/>
    </row>
    <row r="9639" spans="1:45" s="886" customFormat="1" ht="11.4">
      <c r="A9639" s="919">
        <v>2</v>
      </c>
      <c r="B9639" s="920">
        <v>1</v>
      </c>
      <c r="C9639" s="920">
        <f>$A9639*$B9639</f>
        <v>2</v>
      </c>
      <c r="D9639" s="921" t="str">
        <f>Elec_Rates!$D$1029</f>
        <v>092# LSZH Conduit points for Fire alarm devices</v>
      </c>
      <c r="E9639" s="921"/>
      <c r="F9639" s="921" t="s">
        <v>2599</v>
      </c>
      <c r="G9639" s="922" t="s">
        <v>2600</v>
      </c>
      <c r="H9639" s="922"/>
      <c r="I9639" s="922"/>
      <c r="J9639" s="922"/>
      <c r="K9639" s="923"/>
      <c r="L9639" s="918"/>
      <c r="M9639" s="918"/>
      <c r="N9639" s="918"/>
      <c r="O9639" s="924"/>
      <c r="P9639" s="921"/>
      <c r="Q9639" s="925">
        <f ca="1">$B9639*Elec_Rates!$R$1029</f>
        <v>14.4</v>
      </c>
      <c r="R9639" s="916">
        <f ca="1">$A9639*Q9639</f>
        <v>28.8</v>
      </c>
      <c r="S9639" s="925">
        <f ca="1">$B9639*Elec_Rates!$T$1029</f>
        <v>0.94</v>
      </c>
      <c r="T9639" s="917">
        <f ca="1">$A9639*S9639</f>
        <v>1.88</v>
      </c>
      <c r="U9639" s="926"/>
      <c r="AR9639" s="919">
        <v>2</v>
      </c>
      <c r="AS9639" s="921" t="s">
        <v>2599</v>
      </c>
    </row>
    <row r="9640" spans="1:45" s="520" customFormat="1" ht="12">
      <c r="A9640" s="758"/>
      <c r="B9640" s="758"/>
      <c r="C9640" s="758"/>
      <c r="D9640" s="758"/>
      <c r="E9640" s="758"/>
      <c r="F9640" s="753"/>
      <c r="G9640" s="758"/>
      <c r="H9640" s="758"/>
      <c r="I9640" s="519"/>
      <c r="J9640" s="758"/>
      <c r="K9640" s="758"/>
      <c r="L9640" s="758"/>
      <c r="M9640" s="758"/>
      <c r="N9640" s="758"/>
      <c r="O9640" s="758"/>
      <c r="P9640" s="758"/>
      <c r="Q9640" s="519"/>
      <c r="R9640" s="759">
        <f>$A9640*Q9640</f>
        <v>0</v>
      </c>
      <c r="S9640" s="519"/>
      <c r="T9640" s="760">
        <f>$A9640*S9640*$T$1</f>
        <v>0</v>
      </c>
      <c r="AR9640" s="758"/>
      <c r="AS9640" s="753"/>
    </row>
    <row r="9641" spans="1:45" s="520" customFormat="1" ht="12.6" thickBot="1">
      <c r="A9641" s="761" t="s">
        <v>145</v>
      </c>
      <c r="B9641" s="762">
        <f>(R9640+T9640)</f>
        <v>0</v>
      </c>
      <c r="C9641" s="763"/>
      <c r="D9641" s="763"/>
      <c r="E9641" s="763"/>
      <c r="F9641" s="764"/>
      <c r="G9641" s="763" t="s">
        <v>146</v>
      </c>
      <c r="H9641" s="763"/>
      <c r="I9641" s="765"/>
      <c r="J9641" s="763"/>
      <c r="K9641" s="763" t="s">
        <v>3</v>
      </c>
      <c r="L9641" s="766" t="s">
        <v>143</v>
      </c>
      <c r="M9641" s="766"/>
      <c r="N9641" s="766"/>
      <c r="O9641" s="766"/>
      <c r="P9641" s="766"/>
      <c r="Q9641" s="767"/>
      <c r="R9641" s="768">
        <f ca="1">SUM(R9637:R9640)</f>
        <v>28.8</v>
      </c>
      <c r="S9641" s="763"/>
      <c r="T9641" s="768">
        <f ca="1">SUM(T9637:T9640)</f>
        <v>1.88</v>
      </c>
      <c r="U9641" s="531"/>
      <c r="V9641" s="531"/>
      <c r="W9641" s="531"/>
      <c r="X9641" s="531"/>
      <c r="Y9641" s="531"/>
      <c r="Z9641" s="531"/>
      <c r="AA9641" s="531"/>
      <c r="AB9641" s="531"/>
      <c r="AC9641" s="531"/>
      <c r="AD9641" s="531"/>
      <c r="AE9641" s="531"/>
      <c r="AF9641" s="531"/>
      <c r="AG9641" s="531"/>
      <c r="AH9641" s="531"/>
      <c r="AI9641" s="531"/>
      <c r="AJ9641" s="531"/>
      <c r="AK9641" s="531"/>
      <c r="AL9641" s="531"/>
      <c r="AM9641" s="531"/>
      <c r="AN9641" s="531"/>
      <c r="AO9641" s="531"/>
      <c r="AR9641" s="761" t="s">
        <v>145</v>
      </c>
      <c r="AS9641" s="764"/>
    </row>
    <row r="9642" spans="1:45" s="520" customFormat="1" ht="12" thickTop="1">
      <c r="A9642" s="51"/>
      <c r="B9642" s="41"/>
      <c r="C9642" s="51"/>
      <c r="E9642" s="42" t="s">
        <v>138</v>
      </c>
      <c r="F9642" s="42" t="s">
        <v>139</v>
      </c>
      <c r="G9642" s="51"/>
      <c r="H9642" s="51"/>
      <c r="I9642" s="51"/>
      <c r="J9642" s="51"/>
      <c r="K9642" s="51" t="s">
        <v>140</v>
      </c>
      <c r="L9642" s="51"/>
      <c r="M9642" s="51"/>
      <c r="N9642" s="51"/>
      <c r="O9642" s="52"/>
      <c r="P9642" s="51"/>
      <c r="Q9642" s="51"/>
      <c r="R9642" s="51"/>
      <c r="S9642" s="51"/>
      <c r="T9642" s="41"/>
      <c r="AG9642" s="521" t="s">
        <v>268</v>
      </c>
      <c r="AH9642" s="521" t="s">
        <v>269</v>
      </c>
      <c r="AI9642" s="521" t="s">
        <v>270</v>
      </c>
      <c r="AJ9642" s="521" t="s">
        <v>271</v>
      </c>
      <c r="AK9642" s="521" t="s">
        <v>272</v>
      </c>
      <c r="AM9642" s="745" t="s">
        <v>281</v>
      </c>
      <c r="AN9642" s="746" t="s">
        <v>282</v>
      </c>
      <c r="AO9642" s="522" t="s">
        <v>278</v>
      </c>
      <c r="AR9642" s="51"/>
      <c r="AS9642" s="42" t="s">
        <v>139</v>
      </c>
    </row>
    <row r="9643" spans="1:45" s="520" customFormat="1" ht="12" customHeight="1">
      <c r="A9643" s="747">
        <v>1</v>
      </c>
      <c r="B9643" s="523" t="s">
        <v>141</v>
      </c>
      <c r="C9643" s="748"/>
      <c r="D9643" s="749" t="s">
        <v>2478</v>
      </c>
      <c r="E9643" s="750">
        <f ca="1">IF(AND($A9643=0,$A$1="DIF"),0, ROUND(ROUND(($R9648*$S$2+($T9648*$T$2))/A9643,2)*$C$2,2))</f>
        <v>49.52</v>
      </c>
      <c r="F9643" s="751">
        <f ca="1">ROUND($A9643*$E9643,2)</f>
        <v>49.52</v>
      </c>
      <c r="G9643" s="752" t="s">
        <v>142</v>
      </c>
      <c r="H9643" s="753"/>
      <c r="I9643" s="754"/>
      <c r="J9643" s="753"/>
      <c r="K9643" s="753" t="s">
        <v>3</v>
      </c>
      <c r="L9643" s="755" t="s">
        <v>143</v>
      </c>
      <c r="M9643" s="755"/>
      <c r="N9643" s="755"/>
      <c r="O9643" s="755"/>
      <c r="P9643" s="755"/>
      <c r="Q9643" s="51"/>
      <c r="T9643" s="756" t="str">
        <f ca="1">IF(AND($R9648=0,$T9648=0),"0.00","mu :" &amp; ROUND($F9643/$C$2/($R9648+$T9648*$D$9),2))</f>
        <v>mu :1.23</v>
      </c>
      <c r="W9643" s="524"/>
      <c r="AG9643" s="481">
        <f ca="1">IF($E9643=0,0,ROUND($R9648*$S$2*$C$2/$A9643,2))</f>
        <v>17.73</v>
      </c>
      <c r="AH9643" s="481">
        <f ca="1">$AG9643*$A9643</f>
        <v>17.73</v>
      </c>
      <c r="AI9643" s="525">
        <f ca="1">$E9643-$AG9643</f>
        <v>31.790000000000003</v>
      </c>
      <c r="AJ9643" s="525">
        <f ca="1">$A9643*$AI9643</f>
        <v>31.790000000000003</v>
      </c>
      <c r="AK9643" s="526">
        <f ca="1">ROUND(($AG9643+$AI9643)*$A9643,2)</f>
        <v>49.52</v>
      </c>
      <c r="AM9643" s="527">
        <f ca="1">ROUND(R9648,2)</f>
        <v>14.4</v>
      </c>
      <c r="AN9643" s="528">
        <f ca="1">ROUND(T9648,2)</f>
        <v>0.94</v>
      </c>
      <c r="AO9643" s="529">
        <f ca="1">ROUND(AM9643+AN9643,2)*A9643</f>
        <v>15.34</v>
      </c>
      <c r="AR9643" s="747">
        <v>1</v>
      </c>
      <c r="AS9643" s="751">
        <v>52.9</v>
      </c>
    </row>
    <row r="9644" spans="1:45" s="520" customFormat="1" ht="13.2">
      <c r="A9644" s="748"/>
      <c r="B9644"/>
      <c r="C9644" s="748"/>
      <c r="D9644" s="749" t="s">
        <v>2068</v>
      </c>
      <c r="F9644" s="753"/>
      <c r="G9644" s="3"/>
      <c r="H9644" s="753"/>
      <c r="I9644" s="754"/>
      <c r="J9644" s="753"/>
      <c r="K9644" s="753" t="s">
        <v>144</v>
      </c>
      <c r="L9644" s="753"/>
      <c r="M9644" s="753"/>
      <c r="N9644" s="753"/>
      <c r="O9644" s="753"/>
      <c r="P9644" s="753"/>
      <c r="Q9644" s="51"/>
      <c r="R9644" s="530"/>
      <c r="S9644" s="757"/>
      <c r="T9644" s="753"/>
      <c r="AR9644" s="748"/>
      <c r="AS9644" s="753"/>
    </row>
    <row r="9645" spans="1:45" s="886" customFormat="1" ht="13.2">
      <c r="A9645"/>
      <c r="B9645" s="910"/>
      <c r="C9645" s="910" t="s">
        <v>2597</v>
      </c>
      <c r="D9645" s="910" t="str">
        <f ca="1">CELL("Address",Elec_Rates!D$1029)</f>
        <v>[E25_0062_Quintano_Foods_Elec_ELV_As_Awarded.xlsx]Elec_Rates!$D$1029</v>
      </c>
      <c r="E9645" s="911"/>
      <c r="F9645" s="911"/>
      <c r="G9645" s="912" t="s">
        <v>2598</v>
      </c>
      <c r="H9645" s="912"/>
      <c r="I9645" s="912"/>
      <c r="J9645" s="912"/>
      <c r="K9645" s="913"/>
      <c r="L9645" s="911"/>
      <c r="M9645" s="911"/>
      <c r="N9645" s="911"/>
      <c r="O9645" s="914"/>
      <c r="P9645" s="911"/>
      <c r="Q9645" s="915"/>
      <c r="R9645" s="916"/>
      <c r="S9645" s="915"/>
      <c r="T9645" s="917"/>
      <c r="U9645" s="918"/>
      <c r="AR9645"/>
      <c r="AS9645" s="911"/>
    </row>
    <row r="9646" spans="1:45" s="886" customFormat="1" ht="11.4">
      <c r="A9646" s="919">
        <v>1</v>
      </c>
      <c r="B9646" s="920">
        <v>1</v>
      </c>
      <c r="C9646" s="920">
        <f>$A9646*$B9646</f>
        <v>1</v>
      </c>
      <c r="D9646" s="921" t="str">
        <f>Elec_Rates!$D$1029</f>
        <v>092# LSZH Conduit points for Fire alarm devices</v>
      </c>
      <c r="E9646" s="921"/>
      <c r="F9646" s="921" t="s">
        <v>2599</v>
      </c>
      <c r="G9646" s="922" t="s">
        <v>2600</v>
      </c>
      <c r="H9646" s="922"/>
      <c r="I9646" s="922"/>
      <c r="J9646" s="922"/>
      <c r="K9646" s="923"/>
      <c r="L9646" s="918"/>
      <c r="M9646" s="918"/>
      <c r="N9646" s="918"/>
      <c r="O9646" s="924"/>
      <c r="P9646" s="921"/>
      <c r="Q9646" s="925">
        <f ca="1">$B9646*Elec_Rates!$R$1029</f>
        <v>14.4</v>
      </c>
      <c r="R9646" s="916">
        <f ca="1">$A9646*Q9646</f>
        <v>14.4</v>
      </c>
      <c r="S9646" s="925">
        <f ca="1">$B9646*Elec_Rates!$T$1029</f>
        <v>0.94</v>
      </c>
      <c r="T9646" s="917">
        <f ca="1">$A9646*S9646</f>
        <v>0.94</v>
      </c>
      <c r="U9646" s="926"/>
      <c r="AR9646" s="919">
        <v>1</v>
      </c>
      <c r="AS9646" s="921" t="s">
        <v>2599</v>
      </c>
    </row>
    <row r="9647" spans="1:45" s="520" customFormat="1" ht="12">
      <c r="A9647" s="758"/>
      <c r="B9647" s="758"/>
      <c r="C9647" s="758"/>
      <c r="D9647" s="758"/>
      <c r="E9647" s="758"/>
      <c r="F9647" s="753"/>
      <c r="G9647" s="758"/>
      <c r="H9647" s="758"/>
      <c r="I9647" s="519"/>
      <c r="J9647" s="758"/>
      <c r="K9647" s="758"/>
      <c r="L9647" s="758"/>
      <c r="M9647" s="758"/>
      <c r="N9647" s="758"/>
      <c r="O9647" s="758"/>
      <c r="P9647" s="758"/>
      <c r="Q9647" s="519"/>
      <c r="R9647" s="759">
        <f>$A9647*Q9647</f>
        <v>0</v>
      </c>
      <c r="S9647" s="519"/>
      <c r="T9647" s="760">
        <f>$A9647*S9647*$T$1</f>
        <v>0</v>
      </c>
      <c r="AR9647" s="758"/>
      <c r="AS9647" s="753"/>
    </row>
    <row r="9648" spans="1:45" s="520" customFormat="1" ht="12.6" thickBot="1">
      <c r="A9648" s="761" t="s">
        <v>145</v>
      </c>
      <c r="B9648" s="762">
        <f>(R9647+T9647)</f>
        <v>0</v>
      </c>
      <c r="C9648" s="763"/>
      <c r="D9648" s="763"/>
      <c r="E9648" s="763"/>
      <c r="F9648" s="764"/>
      <c r="G9648" s="763" t="s">
        <v>146</v>
      </c>
      <c r="H9648" s="763"/>
      <c r="I9648" s="765"/>
      <c r="J9648" s="763"/>
      <c r="K9648" s="763" t="s">
        <v>3</v>
      </c>
      <c r="L9648" s="766" t="s">
        <v>143</v>
      </c>
      <c r="M9648" s="766"/>
      <c r="N9648" s="766"/>
      <c r="O9648" s="766"/>
      <c r="P9648" s="766"/>
      <c r="Q9648" s="767"/>
      <c r="R9648" s="768">
        <f ca="1">SUM(R9644:R9647)</f>
        <v>14.4</v>
      </c>
      <c r="S9648" s="763"/>
      <c r="T9648" s="768">
        <f ca="1">SUM(T9644:T9647)</f>
        <v>0.94</v>
      </c>
      <c r="U9648" s="531"/>
      <c r="V9648" s="531"/>
      <c r="W9648" s="531"/>
      <c r="X9648" s="531"/>
      <c r="Y9648" s="531"/>
      <c r="Z9648" s="531"/>
      <c r="AA9648" s="531"/>
      <c r="AB9648" s="531"/>
      <c r="AC9648" s="531"/>
      <c r="AD9648" s="531"/>
      <c r="AE9648" s="531"/>
      <c r="AF9648" s="531"/>
      <c r="AG9648" s="531"/>
      <c r="AH9648" s="531"/>
      <c r="AI9648" s="531"/>
      <c r="AJ9648" s="531"/>
      <c r="AK9648" s="531"/>
      <c r="AL9648" s="531"/>
      <c r="AM9648" s="531"/>
      <c r="AN9648" s="531"/>
      <c r="AO9648" s="531"/>
      <c r="AR9648" s="761" t="s">
        <v>145</v>
      </c>
      <c r="AS9648" s="764"/>
    </row>
    <row r="9649" spans="1:45" s="520" customFormat="1" thickTop="1">
      <c r="A9649" s="51"/>
      <c r="B9649" s="51"/>
      <c r="C9649" s="3"/>
      <c r="D9649" s="3"/>
      <c r="E9649" s="51"/>
      <c r="F9649" s="51"/>
      <c r="G9649" s="51"/>
      <c r="H9649" s="51"/>
      <c r="I9649" s="51"/>
      <c r="J9649" s="51"/>
      <c r="K9649" s="51" t="s">
        <v>134</v>
      </c>
      <c r="L9649" s="51"/>
      <c r="M9649" s="51"/>
      <c r="N9649" s="51"/>
      <c r="O9649" s="52"/>
      <c r="P9649" s="51"/>
      <c r="Q9649" s="51"/>
      <c r="R9649" s="51"/>
      <c r="S9649" s="51"/>
      <c r="T9649" s="51"/>
      <c r="AR9649" s="51"/>
      <c r="AS9649" s="51"/>
    </row>
    <row r="9650" spans="1:45" s="520" customFormat="1" ht="12">
      <c r="A9650" s="51"/>
      <c r="B9650" s="51"/>
      <c r="C9650" s="51" t="s">
        <v>135</v>
      </c>
      <c r="D9650" s="37"/>
      <c r="E9650" s="51"/>
      <c r="F9650" s="51"/>
      <c r="G9650" s="51"/>
      <c r="H9650" s="51"/>
      <c r="I9650" s="51"/>
      <c r="J9650" s="51"/>
      <c r="K9650" s="51"/>
      <c r="L9650" s="51"/>
      <c r="M9650" s="51"/>
      <c r="N9650" s="51"/>
      <c r="O9650" s="52"/>
      <c r="P9650" s="51"/>
      <c r="Q9650" s="51"/>
      <c r="R9650" s="51"/>
      <c r="S9650" s="51"/>
      <c r="T9650" s="51"/>
      <c r="AR9650" s="51"/>
      <c r="AS9650" s="51"/>
    </row>
    <row r="9651" spans="1:45" s="520" customFormat="1" ht="39.9" customHeight="1">
      <c r="A9651" s="51"/>
      <c r="B9651" s="51"/>
      <c r="C9651" s="51"/>
      <c r="D9651" s="1453" t="s">
        <v>2286</v>
      </c>
      <c r="E9651" s="1452"/>
      <c r="F9651" s="1452"/>
      <c r="G9651" s="1452"/>
      <c r="H9651" s="1452"/>
      <c r="I9651" s="1452"/>
      <c r="J9651" s="1452"/>
      <c r="K9651" s="1452"/>
      <c r="L9651" s="1452"/>
      <c r="M9651" s="1452"/>
      <c r="N9651" s="1452"/>
      <c r="O9651" s="1452"/>
      <c r="P9651" s="1452"/>
      <c r="Q9651" s="1452"/>
      <c r="R9651" s="1452"/>
      <c r="S9651" s="1452"/>
      <c r="T9651" s="1452"/>
      <c r="AR9651" s="51"/>
    </row>
    <row r="9652" spans="1:45" s="3" customFormat="1" thickBot="1">
      <c r="A9652" s="531"/>
      <c r="O9652" s="107"/>
      <c r="AR9652" s="531"/>
    </row>
    <row r="9653" spans="1:45" s="520" customFormat="1" ht="12" thickTop="1">
      <c r="A9653" s="51"/>
      <c r="B9653" s="41"/>
      <c r="C9653" s="51"/>
      <c r="E9653" s="42" t="s">
        <v>138</v>
      </c>
      <c r="F9653" s="42" t="s">
        <v>139</v>
      </c>
      <c r="G9653" s="51"/>
      <c r="H9653" s="51"/>
      <c r="I9653" s="51"/>
      <c r="J9653" s="51"/>
      <c r="K9653" s="51" t="s">
        <v>140</v>
      </c>
      <c r="L9653" s="51"/>
      <c r="M9653" s="51"/>
      <c r="N9653" s="51"/>
      <c r="O9653" s="52"/>
      <c r="P9653" s="51"/>
      <c r="Q9653" s="51"/>
      <c r="R9653" s="51"/>
      <c r="S9653" s="51"/>
      <c r="T9653" s="41"/>
      <c r="AG9653" s="521" t="s">
        <v>268</v>
      </c>
      <c r="AH9653" s="521" t="s">
        <v>269</v>
      </c>
      <c r="AI9653" s="521" t="s">
        <v>270</v>
      </c>
      <c r="AJ9653" s="521" t="s">
        <v>271</v>
      </c>
      <c r="AK9653" s="521" t="s">
        <v>272</v>
      </c>
      <c r="AM9653" s="745" t="s">
        <v>281</v>
      </c>
      <c r="AN9653" s="746" t="s">
        <v>282</v>
      </c>
      <c r="AO9653" s="522" t="s">
        <v>278</v>
      </c>
      <c r="AR9653" s="51"/>
      <c r="AS9653" s="42" t="s">
        <v>139</v>
      </c>
    </row>
    <row r="9654" spans="1:45" s="520" customFormat="1" ht="12" customHeight="1">
      <c r="A9654" s="747">
        <v>1</v>
      </c>
      <c r="B9654" s="523" t="s">
        <v>141</v>
      </c>
      <c r="C9654" s="748"/>
      <c r="D9654" s="749" t="s">
        <v>2479</v>
      </c>
      <c r="E9654" s="1145">
        <f>IF(AND($A9654=0,$A$1="DIF"),0, ROUND(ROUND(($R9658*$S$3+($T9658*$T$3))/$A9654,2)*$C$3,2))</f>
        <v>36.950000000000003</v>
      </c>
      <c r="F9654" s="1146">
        <f>ROUND($A9654*$E9654,2)</f>
        <v>36.950000000000003</v>
      </c>
      <c r="G9654" s="752" t="s">
        <v>142</v>
      </c>
      <c r="H9654" s="753"/>
      <c r="I9654" s="754"/>
      <c r="J9654" s="753"/>
      <c r="K9654" s="753" t="s">
        <v>5</v>
      </c>
      <c r="L9654" s="755" t="s">
        <v>143</v>
      </c>
      <c r="M9654" s="755"/>
      <c r="N9654" s="755"/>
      <c r="O9654" s="755"/>
      <c r="P9654" s="755"/>
      <c r="Q9654" s="51"/>
      <c r="T9654" s="1150" t="str">
        <f>IF(AND($R9658=0,$T9658=0),"0.00","mu: "&amp; ROUND(F9654/$C$3/($R9658+$T9658*$D$9),2))</f>
        <v>mu: 1.13</v>
      </c>
      <c r="W9654" s="524"/>
      <c r="AG9654" s="1147">
        <f>IF($E9654=0,0,ROUND($R9658*$S$3*$C$3/$A9654,2))</f>
        <v>36.950000000000003</v>
      </c>
      <c r="AH9654" s="1147">
        <f>$AG9654*$A9654</f>
        <v>36.950000000000003</v>
      </c>
      <c r="AI9654" s="1148">
        <f>$E9654-$AG9654</f>
        <v>0</v>
      </c>
      <c r="AJ9654" s="1148">
        <f>$A9654*$AI9654</f>
        <v>0</v>
      </c>
      <c r="AK9654" s="1149">
        <f>ROUND(($AG9654+$AI9654)*$A9654,2)</f>
        <v>36.950000000000003</v>
      </c>
      <c r="AM9654" s="527">
        <f>ROUND(R9658,2)</f>
        <v>32.74</v>
      </c>
      <c r="AN9654" s="528">
        <f>ROUND(T9658,2)</f>
        <v>0</v>
      </c>
      <c r="AO9654" s="529">
        <f>ROUND(AM9654+AN9654,2)*A9654</f>
        <v>32.74</v>
      </c>
      <c r="AR9654" s="747">
        <v>1</v>
      </c>
      <c r="AS9654" s="1146">
        <v>40.21</v>
      </c>
    </row>
    <row r="9655" spans="1:45" s="520" customFormat="1" ht="13.2">
      <c r="A9655" s="748"/>
      <c r="B9655"/>
      <c r="C9655" s="748"/>
      <c r="D9655" s="749" t="s">
        <v>2063</v>
      </c>
      <c r="F9655" s="753"/>
      <c r="G9655" s="3"/>
      <c r="H9655" s="753"/>
      <c r="I9655" s="754"/>
      <c r="J9655" s="753"/>
      <c r="K9655" s="753" t="s">
        <v>144</v>
      </c>
      <c r="L9655" s="753"/>
      <c r="M9655" s="753"/>
      <c r="N9655" s="753"/>
      <c r="O9655" s="753"/>
      <c r="P9655" s="753"/>
      <c r="Q9655" s="51"/>
      <c r="R9655" s="530"/>
      <c r="S9655" s="757"/>
      <c r="T9655" s="753"/>
      <c r="AR9655" s="748"/>
      <c r="AS9655" s="753"/>
    </row>
    <row r="9656" spans="1:45" s="901" customFormat="1" ht="13.2">
      <c r="A9656" s="903">
        <v>1</v>
      </c>
      <c r="B9656" s="904" t="s">
        <v>863</v>
      </c>
      <c r="C9656" s="904"/>
      <c r="D9656" s="904" t="s">
        <v>2594</v>
      </c>
      <c r="E9656" s="904"/>
      <c r="F9656" s="904" t="s">
        <v>4128</v>
      </c>
      <c r="G9656" s="905" t="s">
        <v>2595</v>
      </c>
      <c r="H9656" s="902">
        <v>960</v>
      </c>
      <c r="I9656" s="904" t="s">
        <v>2596</v>
      </c>
      <c r="J9656" s="904"/>
      <c r="K9656" s="904"/>
      <c r="L9656" s="904"/>
      <c r="M9656" s="904"/>
      <c r="N9656" s="904"/>
      <c r="O9656" s="902">
        <v>4</v>
      </c>
      <c r="P9656" s="906">
        <v>38274</v>
      </c>
      <c r="Q9656" s="1415">
        <f>37.5*0.873</f>
        <v>32.737499999999997</v>
      </c>
      <c r="R9656" s="908">
        <f>$A9656*Q9656</f>
        <v>32.737499999999997</v>
      </c>
      <c r="S9656" s="907"/>
      <c r="T9656" s="909">
        <f>$A9656*S9656*$T$1</f>
        <v>0</v>
      </c>
      <c r="AR9656" s="903">
        <v>1</v>
      </c>
      <c r="AS9656" s="904" t="s">
        <v>3507</v>
      </c>
    </row>
    <row r="9657" spans="1:45" s="520" customFormat="1" ht="12">
      <c r="A9657" s="758"/>
      <c r="B9657" s="758"/>
      <c r="C9657" s="758"/>
      <c r="D9657" s="758"/>
      <c r="E9657" s="758"/>
      <c r="F9657" s="753"/>
      <c r="G9657" s="758"/>
      <c r="H9657" s="758"/>
      <c r="I9657" s="519"/>
      <c r="J9657" s="758"/>
      <c r="K9657" s="758"/>
      <c r="L9657" s="758"/>
      <c r="M9657" s="758"/>
      <c r="N9657" s="758"/>
      <c r="O9657" s="758"/>
      <c r="P9657" s="758"/>
      <c r="Q9657" s="519"/>
      <c r="R9657" s="759">
        <f>$A9657*Q9657</f>
        <v>0</v>
      </c>
      <c r="S9657" s="519"/>
      <c r="T9657" s="760">
        <f>$A9657*S9657*$T$1</f>
        <v>0</v>
      </c>
      <c r="AR9657" s="758"/>
      <c r="AS9657" s="753"/>
    </row>
    <row r="9658" spans="1:45" s="520" customFormat="1" ht="12.6" thickBot="1">
      <c r="A9658" s="761" t="s">
        <v>145</v>
      </c>
      <c r="B9658" s="762">
        <f>(R9657+T9657)</f>
        <v>0</v>
      </c>
      <c r="C9658" s="763"/>
      <c r="D9658" s="763"/>
      <c r="E9658" s="763"/>
      <c r="F9658" s="764"/>
      <c r="G9658" s="763" t="s">
        <v>146</v>
      </c>
      <c r="H9658" s="763"/>
      <c r="I9658" s="765"/>
      <c r="J9658" s="763"/>
      <c r="K9658" s="763" t="s">
        <v>5</v>
      </c>
      <c r="L9658" s="766" t="s">
        <v>143</v>
      </c>
      <c r="M9658" s="766"/>
      <c r="N9658" s="766"/>
      <c r="O9658" s="766"/>
      <c r="P9658" s="766"/>
      <c r="Q9658" s="767"/>
      <c r="R9658" s="768">
        <f>SUM(R9655:R9657)</f>
        <v>32.737499999999997</v>
      </c>
      <c r="S9658" s="763"/>
      <c r="T9658" s="768">
        <f>SUM(T9655:T9657)</f>
        <v>0</v>
      </c>
      <c r="U9658" s="531"/>
      <c r="V9658" s="531"/>
      <c r="W9658" s="531"/>
      <c r="X9658" s="531"/>
      <c r="Y9658" s="531"/>
      <c r="Z9658" s="531"/>
      <c r="AA9658" s="531"/>
      <c r="AB9658" s="531"/>
      <c r="AC9658" s="531"/>
      <c r="AD9658" s="531"/>
      <c r="AE9658" s="531"/>
      <c r="AF9658" s="531"/>
      <c r="AG9658" s="531"/>
      <c r="AH9658" s="531"/>
      <c r="AI9658" s="531"/>
      <c r="AJ9658" s="531"/>
      <c r="AK9658" s="531"/>
      <c r="AL9658" s="531"/>
      <c r="AM9658" s="531"/>
      <c r="AN9658" s="531"/>
      <c r="AO9658" s="531"/>
      <c r="AR9658" s="761" t="s">
        <v>145</v>
      </c>
      <c r="AS9658" s="764"/>
    </row>
    <row r="9659" spans="1:45" s="520" customFormat="1" ht="12" thickTop="1">
      <c r="A9659" s="51"/>
      <c r="B9659" s="41"/>
      <c r="C9659" s="51"/>
      <c r="E9659" s="42" t="s">
        <v>138</v>
      </c>
      <c r="F9659" s="42" t="s">
        <v>139</v>
      </c>
      <c r="G9659" s="51"/>
      <c r="H9659" s="51"/>
      <c r="I9659" s="51"/>
      <c r="J9659" s="51"/>
      <c r="K9659" s="51" t="s">
        <v>140</v>
      </c>
      <c r="L9659" s="51"/>
      <c r="M9659" s="51"/>
      <c r="N9659" s="51"/>
      <c r="O9659" s="52"/>
      <c r="P9659" s="51"/>
      <c r="Q9659" s="51"/>
      <c r="R9659" s="51"/>
      <c r="S9659" s="51"/>
      <c r="T9659" s="41"/>
      <c r="AG9659" s="521" t="s">
        <v>268</v>
      </c>
      <c r="AH9659" s="521" t="s">
        <v>269</v>
      </c>
      <c r="AI9659" s="521" t="s">
        <v>270</v>
      </c>
      <c r="AJ9659" s="521" t="s">
        <v>271</v>
      </c>
      <c r="AK9659" s="521" t="s">
        <v>272</v>
      </c>
      <c r="AM9659" s="745" t="s">
        <v>281</v>
      </c>
      <c r="AN9659" s="746" t="s">
        <v>282</v>
      </c>
      <c r="AO9659" s="522" t="s">
        <v>278</v>
      </c>
      <c r="AR9659" s="51"/>
      <c r="AS9659" s="42" t="s">
        <v>139</v>
      </c>
    </row>
    <row r="9660" spans="1:45" s="520" customFormat="1" ht="12" customHeight="1">
      <c r="A9660" s="747">
        <v>14</v>
      </c>
      <c r="B9660" s="523" t="s">
        <v>141</v>
      </c>
      <c r="C9660" s="748"/>
      <c r="D9660" s="749" t="s">
        <v>2480</v>
      </c>
      <c r="E9660" s="1145">
        <f>IF(AND($A9660=0,$A$1="DIF"),0, ROUND(ROUND(($R9664*$S$3+($T9664*$T$3))/$A9660,2)*$C$3,2))</f>
        <v>36.950000000000003</v>
      </c>
      <c r="F9660" s="1146">
        <f>ROUND($A9660*$E9660,2)</f>
        <v>517.29999999999995</v>
      </c>
      <c r="G9660" s="752" t="s">
        <v>142</v>
      </c>
      <c r="H9660" s="753"/>
      <c r="I9660" s="754"/>
      <c r="J9660" s="753"/>
      <c r="K9660" s="753" t="s">
        <v>5</v>
      </c>
      <c r="L9660" s="755" t="s">
        <v>143</v>
      </c>
      <c r="M9660" s="755"/>
      <c r="N9660" s="755"/>
      <c r="O9660" s="755"/>
      <c r="P9660" s="755"/>
      <c r="Q9660" s="51"/>
      <c r="T9660" s="1150" t="str">
        <f>IF(AND($R9664=0,$T9664=0),"0.00","mu: "&amp; ROUND(F9660/$C$3/($R9664+$T9664*$D$9),2))</f>
        <v>mu: 1.13</v>
      </c>
      <c r="W9660" s="524"/>
      <c r="AG9660" s="1147">
        <f>IF($E9660=0,0,ROUND($R9664*$S$3*$C$3/$A9660,2))</f>
        <v>36.950000000000003</v>
      </c>
      <c r="AH9660" s="1147">
        <f>$AG9660*$A9660</f>
        <v>517.30000000000007</v>
      </c>
      <c r="AI9660" s="1148">
        <f>$E9660-$AG9660</f>
        <v>0</v>
      </c>
      <c r="AJ9660" s="1148">
        <f>$A9660*$AI9660</f>
        <v>0</v>
      </c>
      <c r="AK9660" s="1149">
        <f>ROUND(($AG9660+$AI9660)*$A9660,2)</f>
        <v>517.29999999999995</v>
      </c>
      <c r="AM9660" s="527">
        <f>ROUND(R9664,2)</f>
        <v>458.33</v>
      </c>
      <c r="AN9660" s="528">
        <f>ROUND(T9664,2)</f>
        <v>0</v>
      </c>
      <c r="AO9660" s="529">
        <f>ROUND(AM9660+AN9660,2)*A9660</f>
        <v>6416.62</v>
      </c>
      <c r="AR9660" s="747">
        <v>14</v>
      </c>
      <c r="AS9660" s="1146">
        <v>562.94000000000005</v>
      </c>
    </row>
    <row r="9661" spans="1:45" s="520" customFormat="1" ht="13.2">
      <c r="A9661" s="748"/>
      <c r="B9661"/>
      <c r="C9661" s="748"/>
      <c r="D9661" s="749" t="s">
        <v>2061</v>
      </c>
      <c r="F9661" s="753"/>
      <c r="G9661" s="3"/>
      <c r="H9661" s="753"/>
      <c r="I9661" s="754"/>
      <c r="J9661" s="753"/>
      <c r="K9661" s="753" t="s">
        <v>144</v>
      </c>
      <c r="L9661" s="753"/>
      <c r="M9661" s="753"/>
      <c r="N9661" s="753"/>
      <c r="O9661" s="753"/>
      <c r="P9661" s="753"/>
      <c r="Q9661" s="51"/>
      <c r="R9661" s="530"/>
      <c r="S9661" s="757"/>
      <c r="T9661" s="753"/>
      <c r="AR9661" s="748"/>
      <c r="AS9661" s="753"/>
    </row>
    <row r="9662" spans="1:45" s="901" customFormat="1" ht="13.2">
      <c r="A9662" s="903">
        <v>14</v>
      </c>
      <c r="B9662" s="904" t="s">
        <v>863</v>
      </c>
      <c r="C9662" s="904"/>
      <c r="D9662" s="904" t="s">
        <v>2594</v>
      </c>
      <c r="E9662" s="904"/>
      <c r="F9662" s="904" t="s">
        <v>4128</v>
      </c>
      <c r="G9662" s="905" t="s">
        <v>2595</v>
      </c>
      <c r="H9662" s="902">
        <v>960</v>
      </c>
      <c r="I9662" s="904" t="s">
        <v>2596</v>
      </c>
      <c r="J9662" s="904"/>
      <c r="K9662" s="904"/>
      <c r="L9662" s="904"/>
      <c r="M9662" s="904"/>
      <c r="N9662" s="904"/>
      <c r="O9662" s="902">
        <v>4</v>
      </c>
      <c r="P9662" s="906">
        <v>38274</v>
      </c>
      <c r="Q9662" s="1415">
        <f>37.5*0.873</f>
        <v>32.737499999999997</v>
      </c>
      <c r="R9662" s="908">
        <f>$A9662*Q9662</f>
        <v>458.32499999999993</v>
      </c>
      <c r="S9662" s="907"/>
      <c r="T9662" s="909">
        <f>$A9662*S9662*$T$1</f>
        <v>0</v>
      </c>
      <c r="AR9662" s="903">
        <v>14</v>
      </c>
      <c r="AS9662" s="904" t="s">
        <v>3507</v>
      </c>
    </row>
    <row r="9663" spans="1:45" s="520" customFormat="1" ht="12">
      <c r="A9663" s="758"/>
      <c r="B9663" s="758"/>
      <c r="C9663" s="758"/>
      <c r="D9663" s="758"/>
      <c r="E9663" s="758"/>
      <c r="F9663" s="753"/>
      <c r="G9663" s="758"/>
      <c r="H9663" s="758"/>
      <c r="I9663" s="519"/>
      <c r="J9663" s="758"/>
      <c r="K9663" s="758"/>
      <c r="L9663" s="758"/>
      <c r="M9663" s="758"/>
      <c r="N9663" s="758"/>
      <c r="O9663" s="758"/>
      <c r="P9663" s="758"/>
      <c r="Q9663" s="519"/>
      <c r="R9663" s="759">
        <f>$A9663*Q9663</f>
        <v>0</v>
      </c>
      <c r="S9663" s="519"/>
      <c r="T9663" s="760">
        <f>$A9663*S9663*$T$1</f>
        <v>0</v>
      </c>
      <c r="AR9663" s="758"/>
      <c r="AS9663" s="753"/>
    </row>
    <row r="9664" spans="1:45" s="520" customFormat="1" ht="12.6" thickBot="1">
      <c r="A9664" s="761" t="s">
        <v>145</v>
      </c>
      <c r="B9664" s="762">
        <f>(R9663+T9663)</f>
        <v>0</v>
      </c>
      <c r="C9664" s="763"/>
      <c r="D9664" s="763"/>
      <c r="E9664" s="763"/>
      <c r="F9664" s="764"/>
      <c r="G9664" s="763" t="s">
        <v>146</v>
      </c>
      <c r="H9664" s="763"/>
      <c r="I9664" s="765"/>
      <c r="J9664" s="763"/>
      <c r="K9664" s="763" t="s">
        <v>5</v>
      </c>
      <c r="L9664" s="766" t="s">
        <v>143</v>
      </c>
      <c r="M9664" s="766"/>
      <c r="N9664" s="766"/>
      <c r="O9664" s="766"/>
      <c r="P9664" s="766"/>
      <c r="Q9664" s="767"/>
      <c r="R9664" s="768">
        <f>SUM(R9661:R9663)</f>
        <v>458.32499999999993</v>
      </c>
      <c r="S9664" s="763"/>
      <c r="T9664" s="768">
        <f>SUM(T9661:T9663)</f>
        <v>0</v>
      </c>
      <c r="U9664" s="531"/>
      <c r="V9664" s="531"/>
      <c r="W9664" s="531"/>
      <c r="X9664" s="531"/>
      <c r="Y9664" s="531"/>
      <c r="Z9664" s="531"/>
      <c r="AA9664" s="531"/>
      <c r="AB9664" s="531"/>
      <c r="AC9664" s="531"/>
      <c r="AD9664" s="531"/>
      <c r="AE9664" s="531"/>
      <c r="AF9664" s="531"/>
      <c r="AG9664" s="531"/>
      <c r="AH9664" s="531"/>
      <c r="AI9664" s="531"/>
      <c r="AJ9664" s="531"/>
      <c r="AK9664" s="531"/>
      <c r="AL9664" s="531"/>
      <c r="AM9664" s="531"/>
      <c r="AN9664" s="531"/>
      <c r="AO9664" s="531"/>
      <c r="AR9664" s="761" t="s">
        <v>145</v>
      </c>
      <c r="AS9664" s="764"/>
    </row>
    <row r="9665" spans="1:45" s="520" customFormat="1" ht="12" thickTop="1">
      <c r="A9665" s="51"/>
      <c r="B9665" s="41"/>
      <c r="C9665" s="51"/>
      <c r="E9665" s="42" t="s">
        <v>138</v>
      </c>
      <c r="F9665" s="42" t="s">
        <v>139</v>
      </c>
      <c r="G9665" s="51"/>
      <c r="H9665" s="51"/>
      <c r="I9665" s="51"/>
      <c r="J9665" s="51"/>
      <c r="K9665" s="51" t="s">
        <v>140</v>
      </c>
      <c r="L9665" s="51"/>
      <c r="M9665" s="51"/>
      <c r="N9665" s="51"/>
      <c r="O9665" s="52"/>
      <c r="P9665" s="51"/>
      <c r="Q9665" s="51"/>
      <c r="R9665" s="51"/>
      <c r="S9665" s="51"/>
      <c r="T9665" s="41"/>
      <c r="AG9665" s="521" t="s">
        <v>268</v>
      </c>
      <c r="AH9665" s="521" t="s">
        <v>269</v>
      </c>
      <c r="AI9665" s="521" t="s">
        <v>270</v>
      </c>
      <c r="AJ9665" s="521" t="s">
        <v>271</v>
      </c>
      <c r="AK9665" s="521" t="s">
        <v>272</v>
      </c>
      <c r="AM9665" s="745" t="s">
        <v>281</v>
      </c>
      <c r="AN9665" s="746" t="s">
        <v>282</v>
      </c>
      <c r="AO9665" s="522" t="s">
        <v>278</v>
      </c>
      <c r="AR9665" s="51"/>
      <c r="AS9665" s="42" t="s">
        <v>139</v>
      </c>
    </row>
    <row r="9666" spans="1:45" s="520" customFormat="1" ht="12" customHeight="1">
      <c r="A9666" s="747">
        <v>5</v>
      </c>
      <c r="B9666" s="523" t="s">
        <v>141</v>
      </c>
      <c r="C9666" s="748"/>
      <c r="D9666" s="749" t="s">
        <v>2481</v>
      </c>
      <c r="E9666" s="1145">
        <f>IF(AND($A9666=0,$A$1="DIF"),0, ROUND(ROUND(($R9670*$S$3+($T9670*$T$3))/$A9666,2)*$C$3,2))</f>
        <v>36.950000000000003</v>
      </c>
      <c r="F9666" s="1146">
        <f>ROUND($A9666*$E9666,2)</f>
        <v>184.75</v>
      </c>
      <c r="G9666" s="752" t="s">
        <v>142</v>
      </c>
      <c r="H9666" s="753"/>
      <c r="I9666" s="754"/>
      <c r="J9666" s="753"/>
      <c r="K9666" s="753" t="s">
        <v>5</v>
      </c>
      <c r="L9666" s="755" t="s">
        <v>143</v>
      </c>
      <c r="M9666" s="755"/>
      <c r="N9666" s="755"/>
      <c r="O9666" s="755"/>
      <c r="P9666" s="755"/>
      <c r="Q9666" s="51"/>
      <c r="T9666" s="1150" t="str">
        <f>IF(AND($R9670=0,$T9670=0),"0.00","mu: "&amp; ROUND(F9666/$C$3/($R9670+$T9670*$D$9),2))</f>
        <v>mu: 1.13</v>
      </c>
      <c r="W9666" s="524"/>
      <c r="AG9666" s="1147">
        <f>IF($E9666=0,0,ROUND($R9670*$S$3*$C$3/$A9666,2))</f>
        <v>36.950000000000003</v>
      </c>
      <c r="AH9666" s="1147">
        <f>$AG9666*$A9666</f>
        <v>184.75</v>
      </c>
      <c r="AI9666" s="1148">
        <f>$E9666-$AG9666</f>
        <v>0</v>
      </c>
      <c r="AJ9666" s="1148">
        <f>$A9666*$AI9666</f>
        <v>0</v>
      </c>
      <c r="AK9666" s="1149">
        <f>ROUND(($AG9666+$AI9666)*$A9666,2)</f>
        <v>184.75</v>
      </c>
      <c r="AM9666" s="527">
        <f>ROUND(R9670,2)</f>
        <v>163.69</v>
      </c>
      <c r="AN9666" s="528">
        <f>ROUND(T9670,2)</f>
        <v>0</v>
      </c>
      <c r="AO9666" s="529">
        <f>ROUND(AM9666+AN9666,2)*A9666</f>
        <v>818.45</v>
      </c>
      <c r="AR9666" s="747">
        <v>5</v>
      </c>
      <c r="AS9666" s="1146">
        <v>201.05</v>
      </c>
    </row>
    <row r="9667" spans="1:45" s="520" customFormat="1" ht="13.2">
      <c r="A9667" s="748"/>
      <c r="B9667"/>
      <c r="C9667" s="748"/>
      <c r="D9667" s="749" t="s">
        <v>2062</v>
      </c>
      <c r="F9667" s="753"/>
      <c r="G9667" s="3"/>
      <c r="H9667" s="753"/>
      <c r="I9667" s="754"/>
      <c r="J9667" s="753"/>
      <c r="K9667" s="753" t="s">
        <v>144</v>
      </c>
      <c r="L9667" s="753"/>
      <c r="M9667" s="753"/>
      <c r="N9667" s="753"/>
      <c r="O9667" s="753"/>
      <c r="P9667" s="753"/>
      <c r="Q9667" s="51"/>
      <c r="R9667" s="530"/>
      <c r="S9667" s="757"/>
      <c r="T9667" s="753"/>
      <c r="AR9667" s="748"/>
      <c r="AS9667" s="753"/>
    </row>
    <row r="9668" spans="1:45" s="901" customFormat="1" ht="13.2">
      <c r="A9668" s="903">
        <v>5</v>
      </c>
      <c r="B9668" s="904" t="s">
        <v>863</v>
      </c>
      <c r="C9668" s="904"/>
      <c r="D9668" s="904" t="s">
        <v>2594</v>
      </c>
      <c r="E9668" s="904"/>
      <c r="F9668" s="904" t="s">
        <v>4128</v>
      </c>
      <c r="G9668" s="905" t="s">
        <v>2595</v>
      </c>
      <c r="H9668" s="902">
        <v>960</v>
      </c>
      <c r="I9668" s="904" t="s">
        <v>2596</v>
      </c>
      <c r="J9668" s="904"/>
      <c r="K9668" s="904"/>
      <c r="L9668" s="904"/>
      <c r="M9668" s="904"/>
      <c r="N9668" s="904"/>
      <c r="O9668" s="902">
        <v>4</v>
      </c>
      <c r="P9668" s="906">
        <v>38274</v>
      </c>
      <c r="Q9668" s="1415">
        <f>37.5*0.873</f>
        <v>32.737499999999997</v>
      </c>
      <c r="R9668" s="908">
        <f>$A9668*Q9668</f>
        <v>163.6875</v>
      </c>
      <c r="S9668" s="907"/>
      <c r="T9668" s="909">
        <f>$A9668*S9668*$T$1</f>
        <v>0</v>
      </c>
      <c r="AR9668" s="903">
        <v>5</v>
      </c>
      <c r="AS9668" s="904" t="s">
        <v>3507</v>
      </c>
    </row>
    <row r="9669" spans="1:45" s="520" customFormat="1" ht="12">
      <c r="A9669" s="758"/>
      <c r="B9669" s="758"/>
      <c r="C9669" s="758"/>
      <c r="D9669" s="758"/>
      <c r="E9669" s="758"/>
      <c r="F9669" s="753"/>
      <c r="G9669" s="758"/>
      <c r="H9669" s="758"/>
      <c r="I9669" s="519"/>
      <c r="J9669" s="758"/>
      <c r="K9669" s="758"/>
      <c r="L9669" s="758"/>
      <c r="M9669" s="758"/>
      <c r="N9669" s="758"/>
      <c r="O9669" s="758"/>
      <c r="P9669" s="758"/>
      <c r="Q9669" s="519"/>
      <c r="R9669" s="759">
        <f>$A9669*Q9669</f>
        <v>0</v>
      </c>
      <c r="S9669" s="519"/>
      <c r="T9669" s="760">
        <f>$A9669*S9669*$T$1</f>
        <v>0</v>
      </c>
      <c r="AR9669" s="758"/>
      <c r="AS9669" s="753"/>
    </row>
    <row r="9670" spans="1:45" s="520" customFormat="1" ht="12.6" thickBot="1">
      <c r="A9670" s="761" t="s">
        <v>145</v>
      </c>
      <c r="B9670" s="762">
        <f>(R9669+T9669)</f>
        <v>0</v>
      </c>
      <c r="C9670" s="763"/>
      <c r="D9670" s="763"/>
      <c r="E9670" s="763"/>
      <c r="F9670" s="764"/>
      <c r="G9670" s="763" t="s">
        <v>146</v>
      </c>
      <c r="H9670" s="763"/>
      <c r="I9670" s="765"/>
      <c r="J9670" s="763"/>
      <c r="K9670" s="763" t="s">
        <v>5</v>
      </c>
      <c r="L9670" s="766" t="s">
        <v>143</v>
      </c>
      <c r="M9670" s="766"/>
      <c r="N9670" s="766"/>
      <c r="O9670" s="766"/>
      <c r="P9670" s="766"/>
      <c r="Q9670" s="767"/>
      <c r="R9670" s="768">
        <f>SUM(R9667:R9669)</f>
        <v>163.6875</v>
      </c>
      <c r="S9670" s="763"/>
      <c r="T9670" s="768">
        <f>SUM(T9667:T9669)</f>
        <v>0</v>
      </c>
      <c r="U9670" s="531"/>
      <c r="V9670" s="531"/>
      <c r="W9670" s="531"/>
      <c r="X9670" s="531"/>
      <c r="Y9670" s="531"/>
      <c r="Z9670" s="531"/>
      <c r="AA9670" s="531"/>
      <c r="AB9670" s="531"/>
      <c r="AC9670" s="531"/>
      <c r="AD9670" s="531"/>
      <c r="AE9670" s="531"/>
      <c r="AF9670" s="531"/>
      <c r="AG9670" s="531"/>
      <c r="AH9670" s="531"/>
      <c r="AI9670" s="531"/>
      <c r="AJ9670" s="531"/>
      <c r="AK9670" s="531"/>
      <c r="AL9670" s="531"/>
      <c r="AM9670" s="531"/>
      <c r="AN9670" s="531"/>
      <c r="AO9670" s="531"/>
      <c r="AR9670" s="761" t="s">
        <v>145</v>
      </c>
      <c r="AS9670" s="764"/>
    </row>
    <row r="9671" spans="1:45" s="520" customFormat="1" ht="12" thickTop="1">
      <c r="A9671" s="51"/>
      <c r="B9671" s="41"/>
      <c r="C9671" s="51"/>
      <c r="E9671" s="42" t="s">
        <v>138</v>
      </c>
      <c r="F9671" s="42" t="s">
        <v>139</v>
      </c>
      <c r="G9671" s="51"/>
      <c r="H9671" s="51"/>
      <c r="I9671" s="51"/>
      <c r="J9671" s="51"/>
      <c r="K9671" s="51" t="s">
        <v>140</v>
      </c>
      <c r="L9671" s="51"/>
      <c r="M9671" s="51"/>
      <c r="N9671" s="51"/>
      <c r="O9671" s="52"/>
      <c r="P9671" s="51"/>
      <c r="Q9671" s="51"/>
      <c r="R9671" s="51"/>
      <c r="S9671" s="51"/>
      <c r="T9671" s="41"/>
      <c r="AG9671" s="521" t="s">
        <v>268</v>
      </c>
      <c r="AH9671" s="521" t="s">
        <v>269</v>
      </c>
      <c r="AI9671" s="521" t="s">
        <v>270</v>
      </c>
      <c r="AJ9671" s="521" t="s">
        <v>271</v>
      </c>
      <c r="AK9671" s="521" t="s">
        <v>272</v>
      </c>
      <c r="AM9671" s="745" t="s">
        <v>281</v>
      </c>
      <c r="AN9671" s="746" t="s">
        <v>282</v>
      </c>
      <c r="AO9671" s="522" t="s">
        <v>278</v>
      </c>
      <c r="AR9671" s="51"/>
      <c r="AS9671" s="42" t="s">
        <v>139</v>
      </c>
    </row>
    <row r="9672" spans="1:45" s="520" customFormat="1" ht="12" customHeight="1">
      <c r="A9672" s="747">
        <v>2</v>
      </c>
      <c r="B9672" s="523" t="s">
        <v>141</v>
      </c>
      <c r="C9672" s="748"/>
      <c r="D9672" s="749" t="s">
        <v>2482</v>
      </c>
      <c r="E9672" s="1145">
        <f>IF(AND($A9672=0,$A$1="DIF"),0, ROUND(ROUND(($R9676*$S$3+($T9676*$T$3))/$A9672,2)*$C$3,2))</f>
        <v>36.950000000000003</v>
      </c>
      <c r="F9672" s="1146">
        <f>ROUND($A9672*$E9672,2)</f>
        <v>73.900000000000006</v>
      </c>
      <c r="G9672" s="752" t="s">
        <v>142</v>
      </c>
      <c r="H9672" s="753"/>
      <c r="I9672" s="754"/>
      <c r="J9672" s="753"/>
      <c r="K9672" s="753" t="s">
        <v>5</v>
      </c>
      <c r="L9672" s="755" t="s">
        <v>143</v>
      </c>
      <c r="M9672" s="755"/>
      <c r="N9672" s="755"/>
      <c r="O9672" s="755"/>
      <c r="P9672" s="755"/>
      <c r="Q9672" s="51"/>
      <c r="T9672" s="1150" t="str">
        <f>IF(AND($R9676=0,$T9676=0),"0.00","mu: "&amp; ROUND(F9672/$C$3/($R9676+$T9676*$D$9),2))</f>
        <v>mu: 1.13</v>
      </c>
      <c r="W9672" s="524"/>
      <c r="AG9672" s="1147">
        <f>IF($E9672=0,0,ROUND($R9676*$S$3*$C$3/$A9672,2))</f>
        <v>36.950000000000003</v>
      </c>
      <c r="AH9672" s="1147">
        <f>$AG9672*$A9672</f>
        <v>73.900000000000006</v>
      </c>
      <c r="AI9672" s="1148">
        <f>$E9672-$AG9672</f>
        <v>0</v>
      </c>
      <c r="AJ9672" s="1148">
        <f>$A9672*$AI9672</f>
        <v>0</v>
      </c>
      <c r="AK9672" s="1149">
        <f>ROUND(($AG9672+$AI9672)*$A9672,2)</f>
        <v>73.900000000000006</v>
      </c>
      <c r="AM9672" s="527">
        <f>ROUND(R9676,2)</f>
        <v>65.48</v>
      </c>
      <c r="AN9672" s="528">
        <f>ROUND(T9676,2)</f>
        <v>0</v>
      </c>
      <c r="AO9672" s="529">
        <f>ROUND(AM9672+AN9672,2)*A9672</f>
        <v>130.96</v>
      </c>
      <c r="AR9672" s="747">
        <v>2</v>
      </c>
      <c r="AS9672" s="1146">
        <v>80.42</v>
      </c>
    </row>
    <row r="9673" spans="1:45" s="520" customFormat="1" ht="13.2">
      <c r="A9673" s="748"/>
      <c r="B9673"/>
      <c r="C9673" s="748"/>
      <c r="D9673" s="749" t="s">
        <v>2065</v>
      </c>
      <c r="F9673" s="753"/>
      <c r="G9673" s="3"/>
      <c r="H9673" s="753"/>
      <c r="I9673" s="754"/>
      <c r="J9673" s="753"/>
      <c r="K9673" s="753" t="s">
        <v>144</v>
      </c>
      <c r="L9673" s="753"/>
      <c r="M9673" s="753"/>
      <c r="N9673" s="753"/>
      <c r="O9673" s="753"/>
      <c r="P9673" s="753"/>
      <c r="Q9673" s="51"/>
      <c r="R9673" s="530"/>
      <c r="S9673" s="757"/>
      <c r="T9673" s="753"/>
      <c r="AR9673" s="748"/>
      <c r="AS9673" s="753"/>
    </row>
    <row r="9674" spans="1:45" s="901" customFormat="1" ht="13.2">
      <c r="A9674" s="903">
        <v>2</v>
      </c>
      <c r="B9674" s="904" t="s">
        <v>863</v>
      </c>
      <c r="C9674" s="904"/>
      <c r="D9674" s="904" t="s">
        <v>2594</v>
      </c>
      <c r="E9674" s="904"/>
      <c r="F9674" s="904" t="s">
        <v>4128</v>
      </c>
      <c r="G9674" s="905" t="s">
        <v>2595</v>
      </c>
      <c r="H9674" s="902">
        <v>960</v>
      </c>
      <c r="I9674" s="904" t="s">
        <v>2596</v>
      </c>
      <c r="J9674" s="904"/>
      <c r="K9674" s="904"/>
      <c r="L9674" s="904"/>
      <c r="M9674" s="904"/>
      <c r="N9674" s="904"/>
      <c r="O9674" s="902">
        <v>4</v>
      </c>
      <c r="P9674" s="906">
        <v>38274</v>
      </c>
      <c r="Q9674" s="1415">
        <f>37.5*0.873</f>
        <v>32.737499999999997</v>
      </c>
      <c r="R9674" s="908">
        <f>$A9674*Q9674</f>
        <v>65.474999999999994</v>
      </c>
      <c r="S9674" s="907"/>
      <c r="T9674" s="909">
        <f>$A9674*S9674*$T$1</f>
        <v>0</v>
      </c>
      <c r="AR9674" s="903">
        <v>2</v>
      </c>
      <c r="AS9674" s="904" t="s">
        <v>3507</v>
      </c>
    </row>
    <row r="9675" spans="1:45" s="520" customFormat="1" ht="12">
      <c r="A9675" s="758"/>
      <c r="B9675" s="758"/>
      <c r="C9675" s="758"/>
      <c r="D9675" s="758"/>
      <c r="E9675" s="758"/>
      <c r="F9675" s="753"/>
      <c r="G9675" s="758"/>
      <c r="H9675" s="758"/>
      <c r="I9675" s="519"/>
      <c r="J9675" s="758"/>
      <c r="K9675" s="758"/>
      <c r="L9675" s="758"/>
      <c r="M9675" s="758"/>
      <c r="N9675" s="758"/>
      <c r="O9675" s="758"/>
      <c r="P9675" s="758"/>
      <c r="Q9675" s="519"/>
      <c r="R9675" s="759">
        <f>$A9675*Q9675</f>
        <v>0</v>
      </c>
      <c r="S9675" s="519"/>
      <c r="T9675" s="760">
        <f>$A9675*S9675*$T$1</f>
        <v>0</v>
      </c>
      <c r="AR9675" s="758"/>
      <c r="AS9675" s="753"/>
    </row>
    <row r="9676" spans="1:45" s="520" customFormat="1" ht="12.6" thickBot="1">
      <c r="A9676" s="761" t="s">
        <v>145</v>
      </c>
      <c r="B9676" s="762">
        <f>(R9675+T9675)</f>
        <v>0</v>
      </c>
      <c r="C9676" s="763"/>
      <c r="D9676" s="763"/>
      <c r="E9676" s="763"/>
      <c r="F9676" s="764"/>
      <c r="G9676" s="763" t="s">
        <v>146</v>
      </c>
      <c r="H9676" s="763"/>
      <c r="I9676" s="765"/>
      <c r="J9676" s="763"/>
      <c r="K9676" s="763" t="s">
        <v>5</v>
      </c>
      <c r="L9676" s="766" t="s">
        <v>143</v>
      </c>
      <c r="M9676" s="766"/>
      <c r="N9676" s="766"/>
      <c r="O9676" s="766"/>
      <c r="P9676" s="766"/>
      <c r="Q9676" s="767"/>
      <c r="R9676" s="768">
        <f>SUM(R9673:R9675)</f>
        <v>65.474999999999994</v>
      </c>
      <c r="S9676" s="763"/>
      <c r="T9676" s="768">
        <f>SUM(T9673:T9675)</f>
        <v>0</v>
      </c>
      <c r="U9676" s="531"/>
      <c r="V9676" s="531"/>
      <c r="W9676" s="531"/>
      <c r="X9676" s="531"/>
      <c r="Y9676" s="531"/>
      <c r="Z9676" s="531"/>
      <c r="AA9676" s="531"/>
      <c r="AB9676" s="531"/>
      <c r="AC9676" s="531"/>
      <c r="AD9676" s="531"/>
      <c r="AE9676" s="531"/>
      <c r="AF9676" s="531"/>
      <c r="AG9676" s="531"/>
      <c r="AH9676" s="531"/>
      <c r="AI9676" s="531"/>
      <c r="AJ9676" s="531"/>
      <c r="AK9676" s="531"/>
      <c r="AL9676" s="531"/>
      <c r="AM9676" s="531"/>
      <c r="AN9676" s="531"/>
      <c r="AO9676" s="531"/>
      <c r="AR9676" s="761" t="s">
        <v>145</v>
      </c>
      <c r="AS9676" s="764"/>
    </row>
    <row r="9677" spans="1:45" s="520" customFormat="1" ht="12" thickTop="1">
      <c r="A9677" s="51"/>
      <c r="B9677" s="41"/>
      <c r="C9677" s="51"/>
      <c r="E9677" s="42" t="s">
        <v>138</v>
      </c>
      <c r="F9677" s="42" t="s">
        <v>139</v>
      </c>
      <c r="G9677" s="51"/>
      <c r="H9677" s="51"/>
      <c r="I9677" s="51"/>
      <c r="J9677" s="51"/>
      <c r="K9677" s="51" t="s">
        <v>140</v>
      </c>
      <c r="L9677" s="51"/>
      <c r="M9677" s="51"/>
      <c r="N9677" s="51"/>
      <c r="O9677" s="52"/>
      <c r="P9677" s="51"/>
      <c r="Q9677" s="51"/>
      <c r="R9677" s="51"/>
      <c r="S9677" s="51"/>
      <c r="T9677" s="41"/>
      <c r="AG9677" s="521" t="s">
        <v>268</v>
      </c>
      <c r="AH9677" s="521" t="s">
        <v>269</v>
      </c>
      <c r="AI9677" s="521" t="s">
        <v>270</v>
      </c>
      <c r="AJ9677" s="521" t="s">
        <v>271</v>
      </c>
      <c r="AK9677" s="521" t="s">
        <v>272</v>
      </c>
      <c r="AM9677" s="745" t="s">
        <v>281</v>
      </c>
      <c r="AN9677" s="746" t="s">
        <v>282</v>
      </c>
      <c r="AO9677" s="522" t="s">
        <v>278</v>
      </c>
      <c r="AR9677" s="51"/>
      <c r="AS9677" s="42" t="s">
        <v>139</v>
      </c>
    </row>
    <row r="9678" spans="1:45" s="520" customFormat="1" ht="12" customHeight="1">
      <c r="A9678" s="747">
        <v>1</v>
      </c>
      <c r="B9678" s="523" t="s">
        <v>141</v>
      </c>
      <c r="C9678" s="748"/>
      <c r="D9678" s="749" t="s">
        <v>2483</v>
      </c>
      <c r="E9678" s="1145">
        <f>IF(AND($A9678=0,$A$1="DIF"),0, ROUND(ROUND(($R9682*$S$3+($T9682*$T$3))/$A9678,2)*$C$3,2))</f>
        <v>36.950000000000003</v>
      </c>
      <c r="F9678" s="1146">
        <f>ROUND($A9678*$E9678,2)</f>
        <v>36.950000000000003</v>
      </c>
      <c r="G9678" s="752" t="s">
        <v>142</v>
      </c>
      <c r="H9678" s="753"/>
      <c r="I9678" s="754"/>
      <c r="J9678" s="753"/>
      <c r="K9678" s="753" t="s">
        <v>5</v>
      </c>
      <c r="L9678" s="755" t="s">
        <v>143</v>
      </c>
      <c r="M9678" s="755"/>
      <c r="N9678" s="755"/>
      <c r="O9678" s="755"/>
      <c r="P9678" s="755"/>
      <c r="Q9678" s="51"/>
      <c r="T9678" s="1150" t="str">
        <f>IF(AND($R9682=0,$T9682=0),"0.00","mu: "&amp; ROUND(F9678/$C$3/($R9682+$T9682*$D$9),2))</f>
        <v>mu: 1.13</v>
      </c>
      <c r="W9678" s="524"/>
      <c r="AG9678" s="1147">
        <f>IF($E9678=0,0,ROUND($R9682*$S$3*$C$3/$A9678,2))</f>
        <v>36.950000000000003</v>
      </c>
      <c r="AH9678" s="1147">
        <f>$AG9678*$A9678</f>
        <v>36.950000000000003</v>
      </c>
      <c r="AI9678" s="1148">
        <f>$E9678-$AG9678</f>
        <v>0</v>
      </c>
      <c r="AJ9678" s="1148">
        <f>$A9678*$AI9678</f>
        <v>0</v>
      </c>
      <c r="AK9678" s="1149">
        <f>ROUND(($AG9678+$AI9678)*$A9678,2)</f>
        <v>36.950000000000003</v>
      </c>
      <c r="AM9678" s="527">
        <f>ROUND(R9682,2)</f>
        <v>32.74</v>
      </c>
      <c r="AN9678" s="528">
        <f>ROUND(T9682,2)</f>
        <v>0</v>
      </c>
      <c r="AO9678" s="529">
        <f>ROUND(AM9678+AN9678,2)*A9678</f>
        <v>32.74</v>
      </c>
      <c r="AR9678" s="747">
        <v>1</v>
      </c>
      <c r="AS9678" s="1146">
        <v>40.21</v>
      </c>
    </row>
    <row r="9679" spans="1:45" s="520" customFormat="1" ht="13.2">
      <c r="A9679" s="748"/>
      <c r="B9679"/>
      <c r="C9679" s="748"/>
      <c r="D9679" s="749" t="s">
        <v>2068</v>
      </c>
      <c r="F9679" s="753"/>
      <c r="G9679" s="3"/>
      <c r="H9679" s="753"/>
      <c r="I9679" s="754"/>
      <c r="J9679" s="753"/>
      <c r="K9679" s="753" t="s">
        <v>144</v>
      </c>
      <c r="L9679" s="753"/>
      <c r="M9679" s="753"/>
      <c r="N9679" s="753"/>
      <c r="O9679" s="753"/>
      <c r="P9679" s="753"/>
      <c r="Q9679" s="51"/>
      <c r="R9679" s="530"/>
      <c r="S9679" s="757"/>
      <c r="T9679" s="753"/>
      <c r="AR9679" s="748"/>
      <c r="AS9679" s="753"/>
    </row>
    <row r="9680" spans="1:45" s="901" customFormat="1" ht="13.2">
      <c r="A9680" s="903">
        <v>1</v>
      </c>
      <c r="B9680" s="904" t="s">
        <v>863</v>
      </c>
      <c r="C9680" s="904"/>
      <c r="D9680" s="904" t="s">
        <v>2594</v>
      </c>
      <c r="E9680" s="904"/>
      <c r="F9680" s="904" t="s">
        <v>4128</v>
      </c>
      <c r="G9680" s="905" t="s">
        <v>2595</v>
      </c>
      <c r="H9680" s="902">
        <v>960</v>
      </c>
      <c r="I9680" s="904" t="s">
        <v>2596</v>
      </c>
      <c r="J9680" s="904"/>
      <c r="K9680" s="904"/>
      <c r="L9680" s="904"/>
      <c r="M9680" s="904"/>
      <c r="N9680" s="904"/>
      <c r="O9680" s="902">
        <v>4</v>
      </c>
      <c r="P9680" s="906">
        <v>38274</v>
      </c>
      <c r="Q9680" s="1415">
        <f>37.5*0.873</f>
        <v>32.737499999999997</v>
      </c>
      <c r="R9680" s="908">
        <f>$A9680*Q9680</f>
        <v>32.737499999999997</v>
      </c>
      <c r="S9680" s="907"/>
      <c r="T9680" s="909">
        <f>$A9680*S9680*$T$1</f>
        <v>0</v>
      </c>
      <c r="AR9680" s="903">
        <v>1</v>
      </c>
      <c r="AS9680" s="904" t="s">
        <v>3507</v>
      </c>
    </row>
    <row r="9681" spans="1:45" s="520" customFormat="1" ht="12">
      <c r="A9681" s="758"/>
      <c r="B9681" s="758"/>
      <c r="C9681" s="758"/>
      <c r="D9681" s="758"/>
      <c r="E9681" s="758"/>
      <c r="F9681" s="753"/>
      <c r="G9681" s="758"/>
      <c r="H9681" s="758"/>
      <c r="I9681" s="519"/>
      <c r="J9681" s="758"/>
      <c r="K9681" s="758"/>
      <c r="L9681" s="758"/>
      <c r="M9681" s="758"/>
      <c r="N9681" s="758"/>
      <c r="O9681" s="758"/>
      <c r="P9681" s="758"/>
      <c r="Q9681" s="519"/>
      <c r="R9681" s="759">
        <f>$A9681*Q9681</f>
        <v>0</v>
      </c>
      <c r="S9681" s="519"/>
      <c r="T9681" s="760">
        <f>$A9681*S9681*$T$1</f>
        <v>0</v>
      </c>
      <c r="AR9681" s="758"/>
      <c r="AS9681" s="753"/>
    </row>
    <row r="9682" spans="1:45" s="520" customFormat="1" ht="12.6" thickBot="1">
      <c r="A9682" s="761" t="s">
        <v>145</v>
      </c>
      <c r="B9682" s="762">
        <f>(R9681+T9681)</f>
        <v>0</v>
      </c>
      <c r="C9682" s="763"/>
      <c r="D9682" s="763"/>
      <c r="E9682" s="763"/>
      <c r="F9682" s="764"/>
      <c r="G9682" s="763" t="s">
        <v>146</v>
      </c>
      <c r="H9682" s="763"/>
      <c r="I9682" s="765"/>
      <c r="J9682" s="763"/>
      <c r="K9682" s="763" t="s">
        <v>5</v>
      </c>
      <c r="L9682" s="766" t="s">
        <v>143</v>
      </c>
      <c r="M9682" s="766"/>
      <c r="N9682" s="766"/>
      <c r="O9682" s="766"/>
      <c r="P9682" s="766"/>
      <c r="Q9682" s="767"/>
      <c r="R9682" s="768">
        <f>SUM(R9679:R9681)</f>
        <v>32.737499999999997</v>
      </c>
      <c r="S9682" s="763"/>
      <c r="T9682" s="768">
        <f>SUM(T9679:T9681)</f>
        <v>0</v>
      </c>
      <c r="U9682" s="531"/>
      <c r="V9682" s="531"/>
      <c r="W9682" s="531"/>
      <c r="X9682" s="531"/>
      <c r="Y9682" s="531"/>
      <c r="Z9682" s="531"/>
      <c r="AA9682" s="531"/>
      <c r="AB9682" s="531"/>
      <c r="AC9682" s="531"/>
      <c r="AD9682" s="531"/>
      <c r="AE9682" s="531"/>
      <c r="AF9682" s="531"/>
      <c r="AG9682" s="531"/>
      <c r="AH9682" s="531"/>
      <c r="AI9682" s="531"/>
      <c r="AJ9682" s="531"/>
      <c r="AK9682" s="531"/>
      <c r="AL9682" s="531"/>
      <c r="AM9682" s="531"/>
      <c r="AN9682" s="531"/>
      <c r="AO9682" s="531"/>
      <c r="AR9682" s="761" t="s">
        <v>145</v>
      </c>
      <c r="AS9682" s="764"/>
    </row>
    <row r="9683" spans="1:45" s="520" customFormat="1" thickTop="1">
      <c r="A9683" s="51"/>
      <c r="B9683" s="51"/>
      <c r="C9683" s="3"/>
      <c r="D9683" s="3"/>
      <c r="E9683" s="51"/>
      <c r="F9683" s="51"/>
      <c r="G9683" s="51"/>
      <c r="H9683" s="51"/>
      <c r="I9683" s="51"/>
      <c r="J9683" s="51"/>
      <c r="K9683" s="51" t="s">
        <v>134</v>
      </c>
      <c r="L9683" s="51"/>
      <c r="M9683" s="51"/>
      <c r="N9683" s="51"/>
      <c r="O9683" s="52"/>
      <c r="P9683" s="51"/>
      <c r="Q9683" s="51"/>
      <c r="R9683" s="51"/>
      <c r="S9683" s="51"/>
      <c r="T9683" s="51"/>
      <c r="AR9683" s="51"/>
      <c r="AS9683" s="51"/>
    </row>
    <row r="9684" spans="1:45" s="520" customFormat="1" ht="12">
      <c r="A9684" s="51"/>
      <c r="B9684" s="51"/>
      <c r="C9684" s="51" t="s">
        <v>135</v>
      </c>
      <c r="D9684" s="37"/>
      <c r="E9684" s="51"/>
      <c r="F9684" s="51"/>
      <c r="G9684" s="51"/>
      <c r="H9684" s="51"/>
      <c r="I9684" s="51"/>
      <c r="J9684" s="51"/>
      <c r="K9684" s="51"/>
      <c r="L9684" s="51"/>
      <c r="M9684" s="51"/>
      <c r="N9684" s="51"/>
      <c r="O9684" s="52"/>
      <c r="P9684" s="51"/>
      <c r="Q9684" s="51"/>
      <c r="R9684" s="51"/>
      <c r="S9684" s="51"/>
      <c r="T9684" s="51"/>
      <c r="AR9684" s="51"/>
      <c r="AS9684" s="51"/>
    </row>
    <row r="9685" spans="1:45" s="520" customFormat="1" ht="12">
      <c r="A9685" s="51"/>
      <c r="B9685" s="51"/>
      <c r="C9685" s="51"/>
      <c r="D9685" s="37" t="s">
        <v>2070</v>
      </c>
      <c r="E9685" s="51"/>
      <c r="F9685" s="51"/>
      <c r="G9685" s="51"/>
      <c r="H9685" s="51"/>
      <c r="I9685" s="51"/>
      <c r="J9685" s="51"/>
      <c r="K9685" s="51"/>
      <c r="L9685" s="51"/>
      <c r="M9685" s="51"/>
      <c r="N9685" s="51"/>
      <c r="O9685" s="52"/>
      <c r="P9685" s="51"/>
      <c r="Q9685" s="51"/>
      <c r="R9685" s="51"/>
      <c r="S9685" s="38"/>
      <c r="T9685" s="38"/>
      <c r="AR9685" s="51"/>
      <c r="AS9685" s="51"/>
    </row>
    <row r="9686" spans="1:45" s="3" customFormat="1" thickBot="1">
      <c r="A9686" s="531"/>
      <c r="O9686" s="107"/>
      <c r="AR9686" s="531"/>
    </row>
    <row r="9687" spans="1:45" s="520" customFormat="1" ht="12" thickTop="1">
      <c r="A9687" s="51"/>
      <c r="B9687" s="41"/>
      <c r="C9687" s="51"/>
      <c r="E9687" s="42" t="s">
        <v>138</v>
      </c>
      <c r="F9687" s="42" t="s">
        <v>139</v>
      </c>
      <c r="G9687" s="51"/>
      <c r="H9687" s="51"/>
      <c r="I9687" s="51"/>
      <c r="J9687" s="51"/>
      <c r="K9687" s="51" t="s">
        <v>140</v>
      </c>
      <c r="L9687" s="51"/>
      <c r="M9687" s="51"/>
      <c r="N9687" s="51"/>
      <c r="O9687" s="52"/>
      <c r="P9687" s="51"/>
      <c r="Q9687" s="51"/>
      <c r="R9687" s="51"/>
      <c r="S9687" s="51"/>
      <c r="T9687" s="41"/>
      <c r="AG9687" s="521" t="s">
        <v>268</v>
      </c>
      <c r="AH9687" s="521" t="s">
        <v>269</v>
      </c>
      <c r="AI9687" s="521" t="s">
        <v>270</v>
      </c>
      <c r="AJ9687" s="521" t="s">
        <v>271</v>
      </c>
      <c r="AK9687" s="521" t="s">
        <v>272</v>
      </c>
      <c r="AM9687" s="745" t="s">
        <v>281</v>
      </c>
      <c r="AN9687" s="746" t="s">
        <v>282</v>
      </c>
      <c r="AO9687" s="522" t="s">
        <v>278</v>
      </c>
      <c r="AR9687" s="51"/>
      <c r="AS9687" s="42" t="s">
        <v>139</v>
      </c>
    </row>
    <row r="9688" spans="1:45" s="520" customFormat="1" ht="12" customHeight="1">
      <c r="A9688" s="747">
        <v>1</v>
      </c>
      <c r="B9688" s="523" t="s">
        <v>141</v>
      </c>
      <c r="C9688" s="748"/>
      <c r="D9688" s="749" t="s">
        <v>2484</v>
      </c>
      <c r="E9688" s="1145">
        <f>IF(AND($A9688=0,$A$1="DIF"),0, ROUND(ROUND(($R9692*$S$3+($T9692*$T$3))/$A9688,2)*$C$3,2))</f>
        <v>51.24</v>
      </c>
      <c r="F9688" s="1146">
        <f>ROUND($A9688*$E9688,2)</f>
        <v>51.24</v>
      </c>
      <c r="G9688" s="752" t="s">
        <v>142</v>
      </c>
      <c r="H9688" s="753"/>
      <c r="I9688" s="754"/>
      <c r="J9688" s="753"/>
      <c r="K9688" s="753" t="s">
        <v>5</v>
      </c>
      <c r="L9688" s="755" t="s">
        <v>143</v>
      </c>
      <c r="M9688" s="755"/>
      <c r="N9688" s="755"/>
      <c r="O9688" s="755"/>
      <c r="P9688" s="755"/>
      <c r="Q9688" s="51"/>
      <c r="T9688" s="1150" t="str">
        <f>IF(AND($R9692=0,$T9692=0),"0.00","mu: "&amp; ROUND(F9688/$C$3/($R9692+$T9692*$D$9),2))</f>
        <v>mu: 1.13</v>
      </c>
      <c r="W9688" s="524"/>
      <c r="AG9688" s="1147">
        <f>IF($E9688=0,0,ROUND($R9692*$S$3*$C$3/$A9688,2))</f>
        <v>51.24</v>
      </c>
      <c r="AH9688" s="1147">
        <f>$AG9688*$A9688</f>
        <v>51.24</v>
      </c>
      <c r="AI9688" s="1148">
        <f>$E9688-$AG9688</f>
        <v>0</v>
      </c>
      <c r="AJ9688" s="1148">
        <f>$A9688*$AI9688</f>
        <v>0</v>
      </c>
      <c r="AK9688" s="1149">
        <f>ROUND(($AG9688+$AI9688)*$A9688,2)</f>
        <v>51.24</v>
      </c>
      <c r="AM9688" s="527">
        <f>ROUND(R9692,2)</f>
        <v>45.4</v>
      </c>
      <c r="AN9688" s="528">
        <f>ROUND(T9692,2)</f>
        <v>0</v>
      </c>
      <c r="AO9688" s="529">
        <f>ROUND(AM9688+AN9688,2)*A9688</f>
        <v>45.4</v>
      </c>
      <c r="AR9688" s="747">
        <v>1</v>
      </c>
      <c r="AS9688" s="1146">
        <v>55.76</v>
      </c>
    </row>
    <row r="9689" spans="1:45" s="520" customFormat="1" ht="13.2">
      <c r="A9689" s="748"/>
      <c r="B9689"/>
      <c r="C9689" s="748"/>
      <c r="D9689" s="749" t="s">
        <v>2063</v>
      </c>
      <c r="F9689" s="753"/>
      <c r="G9689" s="3"/>
      <c r="H9689" s="753"/>
      <c r="I9689" s="754"/>
      <c r="J9689" s="753"/>
      <c r="K9689" s="753" t="s">
        <v>144</v>
      </c>
      <c r="L9689" s="753"/>
      <c r="M9689" s="753"/>
      <c r="N9689" s="753"/>
      <c r="O9689" s="753"/>
      <c r="P9689" s="753"/>
      <c r="Q9689" s="51"/>
      <c r="R9689" s="530"/>
      <c r="S9689" s="757"/>
      <c r="T9689" s="753"/>
      <c r="AR9689" s="748"/>
      <c r="AS9689" s="753"/>
    </row>
    <row r="9690" spans="1:45" s="901" customFormat="1" ht="13.2">
      <c r="A9690" s="903">
        <v>1</v>
      </c>
      <c r="B9690" s="904" t="s">
        <v>863</v>
      </c>
      <c r="C9690" s="904"/>
      <c r="D9690" s="904" t="s">
        <v>2594</v>
      </c>
      <c r="E9690" s="904"/>
      <c r="F9690" s="904" t="s">
        <v>4128</v>
      </c>
      <c r="G9690" s="905" t="s">
        <v>2595</v>
      </c>
      <c r="H9690" s="902">
        <v>960</v>
      </c>
      <c r="I9690" s="904" t="s">
        <v>2596</v>
      </c>
      <c r="J9690" s="904"/>
      <c r="K9690" s="904"/>
      <c r="L9690" s="904"/>
      <c r="M9690" s="904"/>
      <c r="N9690" s="904"/>
      <c r="O9690" s="902">
        <v>4</v>
      </c>
      <c r="P9690" s="906">
        <v>38274</v>
      </c>
      <c r="Q9690" s="1415">
        <f>52*0.873</f>
        <v>45.396000000000001</v>
      </c>
      <c r="R9690" s="908">
        <f>$A9690*Q9690</f>
        <v>45.396000000000001</v>
      </c>
      <c r="S9690" s="907"/>
      <c r="T9690" s="909">
        <f>$A9690*S9690*$T$1</f>
        <v>0</v>
      </c>
      <c r="AR9690" s="903">
        <v>1</v>
      </c>
      <c r="AS9690" s="904" t="s">
        <v>3507</v>
      </c>
    </row>
    <row r="9691" spans="1:45" s="520" customFormat="1" ht="12">
      <c r="A9691" s="758"/>
      <c r="B9691" s="758"/>
      <c r="C9691" s="758"/>
      <c r="D9691" s="758"/>
      <c r="E9691" s="758"/>
      <c r="F9691" s="753"/>
      <c r="G9691" s="758"/>
      <c r="H9691" s="758"/>
      <c r="I9691" s="519"/>
      <c r="J9691" s="758"/>
      <c r="K9691" s="758"/>
      <c r="L9691" s="758"/>
      <c r="M9691" s="758"/>
      <c r="N9691" s="758"/>
      <c r="O9691" s="758"/>
      <c r="P9691" s="758"/>
      <c r="Q9691" s="519"/>
      <c r="R9691" s="759">
        <f>$A9691*Q9691</f>
        <v>0</v>
      </c>
      <c r="S9691" s="519"/>
      <c r="T9691" s="760">
        <f>$A9691*S9691*$T$1</f>
        <v>0</v>
      </c>
      <c r="AR9691" s="758"/>
      <c r="AS9691" s="753"/>
    </row>
    <row r="9692" spans="1:45" s="520" customFormat="1" ht="12.6" thickBot="1">
      <c r="A9692" s="761" t="s">
        <v>145</v>
      </c>
      <c r="B9692" s="762">
        <f>(R9691+T9691)</f>
        <v>0</v>
      </c>
      <c r="C9692" s="763"/>
      <c r="D9692" s="763"/>
      <c r="E9692" s="763"/>
      <c r="F9692" s="764"/>
      <c r="G9692" s="763" t="s">
        <v>146</v>
      </c>
      <c r="H9692" s="763"/>
      <c r="I9692" s="765"/>
      <c r="J9692" s="763"/>
      <c r="K9692" s="763" t="s">
        <v>5</v>
      </c>
      <c r="L9692" s="766" t="s">
        <v>143</v>
      </c>
      <c r="M9692" s="766"/>
      <c r="N9692" s="766"/>
      <c r="O9692" s="766"/>
      <c r="P9692" s="766"/>
      <c r="Q9692" s="767"/>
      <c r="R9692" s="768">
        <f>SUM(R9689:R9691)</f>
        <v>45.396000000000001</v>
      </c>
      <c r="S9692" s="763"/>
      <c r="T9692" s="768">
        <f>SUM(T9689:T9691)</f>
        <v>0</v>
      </c>
      <c r="U9692" s="531"/>
      <c r="V9692" s="531"/>
      <c r="W9692" s="531"/>
      <c r="X9692" s="531"/>
      <c r="Y9692" s="531"/>
      <c r="Z9692" s="531"/>
      <c r="AA9692" s="531"/>
      <c r="AB9692" s="531"/>
      <c r="AC9692" s="531"/>
      <c r="AD9692" s="531"/>
      <c r="AE9692" s="531"/>
      <c r="AF9692" s="531"/>
      <c r="AG9692" s="531"/>
      <c r="AH9692" s="531"/>
      <c r="AI9692" s="531"/>
      <c r="AJ9692" s="531"/>
      <c r="AK9692" s="531"/>
      <c r="AL9692" s="531"/>
      <c r="AM9692" s="531"/>
      <c r="AN9692" s="531"/>
      <c r="AO9692" s="531"/>
      <c r="AR9692" s="761" t="s">
        <v>145</v>
      </c>
      <c r="AS9692" s="764"/>
    </row>
    <row r="9693" spans="1:45" s="520" customFormat="1" ht="12" thickTop="1">
      <c r="A9693" s="51"/>
      <c r="B9693" s="41"/>
      <c r="C9693" s="51"/>
      <c r="E9693" s="42" t="s">
        <v>138</v>
      </c>
      <c r="F9693" s="42" t="s">
        <v>139</v>
      </c>
      <c r="G9693" s="51"/>
      <c r="H9693" s="51"/>
      <c r="I9693" s="51"/>
      <c r="J9693" s="51"/>
      <c r="K9693" s="51" t="s">
        <v>140</v>
      </c>
      <c r="L9693" s="51"/>
      <c r="M9693" s="51"/>
      <c r="N9693" s="51"/>
      <c r="O9693" s="52"/>
      <c r="P9693" s="51"/>
      <c r="Q9693" s="51"/>
      <c r="R9693" s="51"/>
      <c r="S9693" s="51"/>
      <c r="T9693" s="41"/>
      <c r="AG9693" s="521" t="s">
        <v>268</v>
      </c>
      <c r="AH9693" s="521" t="s">
        <v>269</v>
      </c>
      <c r="AI9693" s="521" t="s">
        <v>270</v>
      </c>
      <c r="AJ9693" s="521" t="s">
        <v>271</v>
      </c>
      <c r="AK9693" s="521" t="s">
        <v>272</v>
      </c>
      <c r="AM9693" s="745" t="s">
        <v>281</v>
      </c>
      <c r="AN9693" s="746" t="s">
        <v>282</v>
      </c>
      <c r="AO9693" s="522" t="s">
        <v>278</v>
      </c>
      <c r="AR9693" s="51"/>
      <c r="AS9693" s="42" t="s">
        <v>139</v>
      </c>
    </row>
    <row r="9694" spans="1:45" s="520" customFormat="1" ht="12" customHeight="1">
      <c r="A9694" s="747">
        <v>14</v>
      </c>
      <c r="B9694" s="523" t="s">
        <v>141</v>
      </c>
      <c r="C9694" s="748"/>
      <c r="D9694" s="749" t="s">
        <v>2485</v>
      </c>
      <c r="E9694" s="1145">
        <f>IF(AND($A9694=0,$A$1="DIF"),0, ROUND(ROUND(($R9698*$S$3+($T9698*$T$3))/$A9694,2)*$C$3,2))</f>
        <v>52.23</v>
      </c>
      <c r="F9694" s="1146">
        <f>ROUND($A9694*$E9694,2)</f>
        <v>731.22</v>
      </c>
      <c r="G9694" s="752" t="s">
        <v>142</v>
      </c>
      <c r="H9694" s="753"/>
      <c r="I9694" s="754"/>
      <c r="J9694" s="753"/>
      <c r="K9694" s="753" t="s">
        <v>5</v>
      </c>
      <c r="L9694" s="755" t="s">
        <v>143</v>
      </c>
      <c r="M9694" s="755"/>
      <c r="N9694" s="755"/>
      <c r="O9694" s="755"/>
      <c r="P9694" s="755"/>
      <c r="Q9694" s="51"/>
      <c r="T9694" s="1150" t="str">
        <f>IF(AND($R9698=0,$T9698=0),"0.00","mu: "&amp; ROUND(F9694/$C$3/($R9698+$T9698*$D$9),2))</f>
        <v>mu: 1.13</v>
      </c>
      <c r="W9694" s="524"/>
      <c r="AG9694" s="1147">
        <f>IF($E9694=0,0,ROUND($R9698*$S$3*$C$3/$A9694,2))</f>
        <v>52.23</v>
      </c>
      <c r="AH9694" s="1147">
        <f>$AG9694*$A9694</f>
        <v>731.21999999999991</v>
      </c>
      <c r="AI9694" s="1148">
        <f>$E9694-$AG9694</f>
        <v>0</v>
      </c>
      <c r="AJ9694" s="1148">
        <f>$A9694*$AI9694</f>
        <v>0</v>
      </c>
      <c r="AK9694" s="1149">
        <f>ROUND(($AG9694+$AI9694)*$A9694,2)</f>
        <v>731.22</v>
      </c>
      <c r="AM9694" s="527">
        <f>ROUND(R9698,2)</f>
        <v>647.77</v>
      </c>
      <c r="AN9694" s="528">
        <f>ROUND(T9698,2)</f>
        <v>0</v>
      </c>
      <c r="AO9694" s="529">
        <f>ROUND(AM9694+AN9694,2)*A9694</f>
        <v>9068.7799999999988</v>
      </c>
      <c r="AR9694" s="747">
        <v>14</v>
      </c>
      <c r="AS9694" s="1146">
        <v>795.62</v>
      </c>
    </row>
    <row r="9695" spans="1:45" s="520" customFormat="1" ht="13.2">
      <c r="A9695" s="748"/>
      <c r="B9695"/>
      <c r="C9695" s="748"/>
      <c r="D9695" s="749" t="s">
        <v>2061</v>
      </c>
      <c r="F9695" s="753"/>
      <c r="G9695" s="3"/>
      <c r="H9695" s="753"/>
      <c r="I9695" s="754"/>
      <c r="J9695" s="753"/>
      <c r="K9695" s="753" t="s">
        <v>144</v>
      </c>
      <c r="L9695" s="753"/>
      <c r="M9695" s="753"/>
      <c r="N9695" s="753"/>
      <c r="O9695" s="753"/>
      <c r="P9695" s="753"/>
      <c r="Q9695" s="51"/>
      <c r="R9695" s="530"/>
      <c r="S9695" s="757"/>
      <c r="T9695" s="753"/>
      <c r="AR9695" s="748"/>
      <c r="AS9695" s="753"/>
    </row>
    <row r="9696" spans="1:45" s="901" customFormat="1" ht="13.2">
      <c r="A9696" s="903">
        <v>14</v>
      </c>
      <c r="B9696" s="904" t="s">
        <v>863</v>
      </c>
      <c r="C9696" s="904"/>
      <c r="D9696" s="904" t="s">
        <v>2594</v>
      </c>
      <c r="E9696" s="904"/>
      <c r="F9696" s="904" t="s">
        <v>4128</v>
      </c>
      <c r="G9696" s="905" t="s">
        <v>2595</v>
      </c>
      <c r="H9696" s="902">
        <v>960</v>
      </c>
      <c r="I9696" s="904" t="s">
        <v>2596</v>
      </c>
      <c r="J9696" s="904"/>
      <c r="K9696" s="904"/>
      <c r="L9696" s="904"/>
      <c r="M9696" s="904"/>
      <c r="N9696" s="904"/>
      <c r="O9696" s="902">
        <v>4</v>
      </c>
      <c r="P9696" s="906">
        <v>38274</v>
      </c>
      <c r="Q9696" s="1415">
        <f>53*0.873</f>
        <v>46.268999999999998</v>
      </c>
      <c r="R9696" s="908">
        <f>$A9696*Q9696</f>
        <v>647.76599999999996</v>
      </c>
      <c r="S9696" s="907"/>
      <c r="T9696" s="909">
        <f>$A9696*S9696*$T$1</f>
        <v>0</v>
      </c>
      <c r="AR9696" s="903">
        <v>14</v>
      </c>
      <c r="AS9696" s="904" t="s">
        <v>3507</v>
      </c>
    </row>
    <row r="9697" spans="1:45" s="520" customFormat="1" ht="12">
      <c r="A9697" s="758"/>
      <c r="B9697" s="758"/>
      <c r="C9697" s="758"/>
      <c r="D9697" s="758"/>
      <c r="E9697" s="758"/>
      <c r="F9697" s="753"/>
      <c r="G9697" s="758"/>
      <c r="H9697" s="758"/>
      <c r="I9697" s="519"/>
      <c r="J9697" s="758"/>
      <c r="K9697" s="758"/>
      <c r="L9697" s="758"/>
      <c r="M9697" s="758"/>
      <c r="N9697" s="758"/>
      <c r="O9697" s="758"/>
      <c r="P9697" s="758"/>
      <c r="Q9697" s="519"/>
      <c r="R9697" s="759">
        <f>$A9697*Q9697</f>
        <v>0</v>
      </c>
      <c r="S9697" s="519"/>
      <c r="T9697" s="760">
        <f>$A9697*S9697*$T$1</f>
        <v>0</v>
      </c>
      <c r="AR9697" s="758"/>
      <c r="AS9697" s="753"/>
    </row>
    <row r="9698" spans="1:45" s="520" customFormat="1" ht="12.6" thickBot="1">
      <c r="A9698" s="761" t="s">
        <v>145</v>
      </c>
      <c r="B9698" s="762">
        <f>(R9697+T9697)</f>
        <v>0</v>
      </c>
      <c r="C9698" s="763"/>
      <c r="D9698" s="763"/>
      <c r="E9698" s="763"/>
      <c r="F9698" s="764"/>
      <c r="G9698" s="763" t="s">
        <v>146</v>
      </c>
      <c r="H9698" s="763"/>
      <c r="I9698" s="765"/>
      <c r="J9698" s="763"/>
      <c r="K9698" s="763" t="s">
        <v>5</v>
      </c>
      <c r="L9698" s="766" t="s">
        <v>143</v>
      </c>
      <c r="M9698" s="766"/>
      <c r="N9698" s="766"/>
      <c r="O9698" s="766"/>
      <c r="P9698" s="766"/>
      <c r="Q9698" s="767"/>
      <c r="R9698" s="768">
        <f>SUM(R9695:R9697)</f>
        <v>647.76599999999996</v>
      </c>
      <c r="S9698" s="763"/>
      <c r="T9698" s="768">
        <f>SUM(T9695:T9697)</f>
        <v>0</v>
      </c>
      <c r="U9698" s="531"/>
      <c r="V9698" s="531"/>
      <c r="W9698" s="531"/>
      <c r="X9698" s="531"/>
      <c r="Y9698" s="531"/>
      <c r="Z9698" s="531"/>
      <c r="AA9698" s="531"/>
      <c r="AB9698" s="531"/>
      <c r="AC9698" s="531"/>
      <c r="AD9698" s="531"/>
      <c r="AE9698" s="531"/>
      <c r="AF9698" s="531"/>
      <c r="AG9698" s="531"/>
      <c r="AH9698" s="531"/>
      <c r="AI9698" s="531"/>
      <c r="AJ9698" s="531"/>
      <c r="AK9698" s="531"/>
      <c r="AL9698" s="531"/>
      <c r="AM9698" s="531"/>
      <c r="AN9698" s="531"/>
      <c r="AO9698" s="531"/>
      <c r="AR9698" s="761" t="s">
        <v>145</v>
      </c>
      <c r="AS9698" s="764"/>
    </row>
    <row r="9699" spans="1:45" s="520" customFormat="1" ht="12" thickTop="1">
      <c r="A9699" s="51"/>
      <c r="B9699" s="41"/>
      <c r="C9699" s="51"/>
      <c r="E9699" s="42" t="s">
        <v>138</v>
      </c>
      <c r="F9699" s="42" t="s">
        <v>139</v>
      </c>
      <c r="G9699" s="51"/>
      <c r="H9699" s="51"/>
      <c r="I9699" s="51"/>
      <c r="J9699" s="51"/>
      <c r="K9699" s="51" t="s">
        <v>140</v>
      </c>
      <c r="L9699" s="51"/>
      <c r="M9699" s="51"/>
      <c r="N9699" s="51"/>
      <c r="O9699" s="52"/>
      <c r="P9699" s="51"/>
      <c r="Q9699" s="51"/>
      <c r="R9699" s="51"/>
      <c r="S9699" s="51"/>
      <c r="T9699" s="41"/>
      <c r="AG9699" s="521" t="s">
        <v>268</v>
      </c>
      <c r="AH9699" s="521" t="s">
        <v>269</v>
      </c>
      <c r="AI9699" s="521" t="s">
        <v>270</v>
      </c>
      <c r="AJ9699" s="521" t="s">
        <v>271</v>
      </c>
      <c r="AK9699" s="521" t="s">
        <v>272</v>
      </c>
      <c r="AM9699" s="745" t="s">
        <v>281</v>
      </c>
      <c r="AN9699" s="746" t="s">
        <v>282</v>
      </c>
      <c r="AO9699" s="522" t="s">
        <v>278</v>
      </c>
      <c r="AR9699" s="51"/>
      <c r="AS9699" s="42" t="s">
        <v>139</v>
      </c>
    </row>
    <row r="9700" spans="1:45" s="520" customFormat="1" ht="12" customHeight="1">
      <c r="A9700" s="747">
        <v>5</v>
      </c>
      <c r="B9700" s="523" t="s">
        <v>141</v>
      </c>
      <c r="C9700" s="748"/>
      <c r="D9700" s="749" t="s">
        <v>2486</v>
      </c>
      <c r="E9700" s="1145">
        <f>IF(AND($A9700=0,$A$1="DIF"),0, ROUND(ROUND(($R9704*$S$3+($T9704*$T$3))/$A9700,2)*$C$3,2))</f>
        <v>93.61</v>
      </c>
      <c r="F9700" s="1146">
        <f>ROUND($A9700*$E9700,2)</f>
        <v>468.05</v>
      </c>
      <c r="G9700" s="752" t="s">
        <v>142</v>
      </c>
      <c r="H9700" s="753"/>
      <c r="I9700" s="754"/>
      <c r="J9700" s="753"/>
      <c r="K9700" s="753" t="s">
        <v>5</v>
      </c>
      <c r="L9700" s="755" t="s">
        <v>143</v>
      </c>
      <c r="M9700" s="755"/>
      <c r="N9700" s="755"/>
      <c r="O9700" s="755"/>
      <c r="P9700" s="755"/>
      <c r="Q9700" s="51"/>
      <c r="T9700" s="1150" t="str">
        <f>IF(AND($R9704=0,$T9704=0),"0.00","mu: "&amp; ROUND(F9700/$C$3/($R9704+$T9704*$D$9),2))</f>
        <v>mu: 1.13</v>
      </c>
      <c r="W9700" s="524"/>
      <c r="AG9700" s="1147">
        <f>IF($E9700=0,0,ROUND($R9704*$S$3*$C$3/$A9700,2))</f>
        <v>93.61</v>
      </c>
      <c r="AH9700" s="1147">
        <f>$AG9700*$A9700</f>
        <v>468.05</v>
      </c>
      <c r="AI9700" s="1148">
        <f>$E9700-$AG9700</f>
        <v>0</v>
      </c>
      <c r="AJ9700" s="1148">
        <f>$A9700*$AI9700</f>
        <v>0</v>
      </c>
      <c r="AK9700" s="1149">
        <f>ROUND(($AG9700+$AI9700)*$A9700,2)</f>
        <v>468.05</v>
      </c>
      <c r="AM9700" s="527">
        <f>ROUND(R9704,2)</f>
        <v>414.68</v>
      </c>
      <c r="AN9700" s="528">
        <f>ROUND(T9704,2)</f>
        <v>0</v>
      </c>
      <c r="AO9700" s="529">
        <f>ROUND(AM9700+AN9700,2)*A9700</f>
        <v>2073.4</v>
      </c>
      <c r="AR9700" s="747">
        <v>5</v>
      </c>
      <c r="AS9700" s="1146">
        <v>509.35</v>
      </c>
    </row>
    <row r="9701" spans="1:45" s="520" customFormat="1" ht="13.2">
      <c r="A9701" s="748"/>
      <c r="B9701"/>
      <c r="C9701" s="748"/>
      <c r="D9701" s="749" t="s">
        <v>2062</v>
      </c>
      <c r="F9701" s="753"/>
      <c r="G9701" s="3"/>
      <c r="H9701" s="753"/>
      <c r="I9701" s="754"/>
      <c r="J9701" s="753"/>
      <c r="K9701" s="753" t="s">
        <v>144</v>
      </c>
      <c r="L9701" s="753"/>
      <c r="M9701" s="753"/>
      <c r="N9701" s="753"/>
      <c r="O9701" s="753"/>
      <c r="P9701" s="753"/>
      <c r="Q9701" s="51"/>
      <c r="R9701" s="530"/>
      <c r="S9701" s="757"/>
      <c r="T9701" s="753"/>
      <c r="AR9701" s="748"/>
      <c r="AS9701" s="753"/>
    </row>
    <row r="9702" spans="1:45" s="901" customFormat="1" ht="13.2">
      <c r="A9702" s="903">
        <v>5</v>
      </c>
      <c r="B9702" s="904" t="s">
        <v>863</v>
      </c>
      <c r="C9702" s="904"/>
      <c r="D9702" s="904" t="s">
        <v>2594</v>
      </c>
      <c r="E9702" s="904"/>
      <c r="F9702" s="904" t="s">
        <v>4128</v>
      </c>
      <c r="G9702" s="905" t="s">
        <v>2595</v>
      </c>
      <c r="H9702" s="902">
        <v>960</v>
      </c>
      <c r="I9702" s="904" t="s">
        <v>2596</v>
      </c>
      <c r="J9702" s="904"/>
      <c r="K9702" s="904"/>
      <c r="L9702" s="904"/>
      <c r="M9702" s="904"/>
      <c r="N9702" s="904"/>
      <c r="O9702" s="902">
        <v>4</v>
      </c>
      <c r="P9702" s="906">
        <v>38274</v>
      </c>
      <c r="Q9702" s="1415">
        <f>95*0.873</f>
        <v>82.935000000000002</v>
      </c>
      <c r="R9702" s="908">
        <f>$A9702*Q9702</f>
        <v>414.67500000000001</v>
      </c>
      <c r="S9702" s="907"/>
      <c r="T9702" s="909">
        <f>$A9702*S9702*$T$1</f>
        <v>0</v>
      </c>
      <c r="AR9702" s="903">
        <v>5</v>
      </c>
      <c r="AS9702" s="904" t="s">
        <v>3507</v>
      </c>
    </row>
    <row r="9703" spans="1:45" s="520" customFormat="1" ht="12">
      <c r="A9703" s="758"/>
      <c r="B9703" s="758"/>
      <c r="C9703" s="758"/>
      <c r="D9703" s="758"/>
      <c r="E9703" s="758"/>
      <c r="F9703" s="753"/>
      <c r="G9703" s="758"/>
      <c r="H9703" s="758"/>
      <c r="I9703" s="519"/>
      <c r="J9703" s="758"/>
      <c r="K9703" s="758"/>
      <c r="L9703" s="758"/>
      <c r="M9703" s="758"/>
      <c r="N9703" s="758"/>
      <c r="O9703" s="758"/>
      <c r="P9703" s="758"/>
      <c r="Q9703" s="519"/>
      <c r="R9703" s="759">
        <f>$A9703*Q9703</f>
        <v>0</v>
      </c>
      <c r="S9703" s="519"/>
      <c r="T9703" s="760">
        <f>$A9703*S9703*$T$1</f>
        <v>0</v>
      </c>
      <c r="AR9703" s="758"/>
      <c r="AS9703" s="753"/>
    </row>
    <row r="9704" spans="1:45" s="520" customFormat="1" ht="12.6" thickBot="1">
      <c r="A9704" s="761" t="s">
        <v>145</v>
      </c>
      <c r="B9704" s="762">
        <f>(R9703+T9703)</f>
        <v>0</v>
      </c>
      <c r="C9704" s="763"/>
      <c r="D9704" s="763"/>
      <c r="E9704" s="763"/>
      <c r="F9704" s="764"/>
      <c r="G9704" s="763" t="s">
        <v>146</v>
      </c>
      <c r="H9704" s="763"/>
      <c r="I9704" s="765"/>
      <c r="J9704" s="763"/>
      <c r="K9704" s="763" t="s">
        <v>5</v>
      </c>
      <c r="L9704" s="766" t="s">
        <v>143</v>
      </c>
      <c r="M9704" s="766"/>
      <c r="N9704" s="766"/>
      <c r="O9704" s="766"/>
      <c r="P9704" s="766"/>
      <c r="Q9704" s="767"/>
      <c r="R9704" s="768">
        <f>SUM(R9701:R9703)</f>
        <v>414.67500000000001</v>
      </c>
      <c r="S9704" s="763"/>
      <c r="T9704" s="768">
        <f>SUM(T9701:T9703)</f>
        <v>0</v>
      </c>
      <c r="U9704" s="531"/>
      <c r="V9704" s="531"/>
      <c r="W9704" s="531"/>
      <c r="X9704" s="531"/>
      <c r="Y9704" s="531"/>
      <c r="Z9704" s="531"/>
      <c r="AA9704" s="531"/>
      <c r="AB9704" s="531"/>
      <c r="AC9704" s="531"/>
      <c r="AD9704" s="531"/>
      <c r="AE9704" s="531"/>
      <c r="AF9704" s="531"/>
      <c r="AG9704" s="531"/>
      <c r="AH9704" s="531"/>
      <c r="AI9704" s="531"/>
      <c r="AJ9704" s="531"/>
      <c r="AK9704" s="531"/>
      <c r="AL9704" s="531"/>
      <c r="AM9704" s="531"/>
      <c r="AN9704" s="531"/>
      <c r="AO9704" s="531"/>
      <c r="AR9704" s="761" t="s">
        <v>145</v>
      </c>
      <c r="AS9704" s="764"/>
    </row>
    <row r="9705" spans="1:45" s="520" customFormat="1" ht="12" thickTop="1">
      <c r="A9705" s="51"/>
      <c r="B9705" s="41"/>
      <c r="C9705" s="51"/>
      <c r="E9705" s="42" t="s">
        <v>138</v>
      </c>
      <c r="F9705" s="42" t="s">
        <v>139</v>
      </c>
      <c r="G9705" s="51"/>
      <c r="H9705" s="51"/>
      <c r="I9705" s="51"/>
      <c r="J9705" s="51"/>
      <c r="K9705" s="51" t="s">
        <v>140</v>
      </c>
      <c r="L9705" s="51"/>
      <c r="M9705" s="51"/>
      <c r="N9705" s="51"/>
      <c r="O9705" s="52"/>
      <c r="P9705" s="51"/>
      <c r="Q9705" s="51"/>
      <c r="R9705" s="51"/>
      <c r="S9705" s="51"/>
      <c r="T9705" s="41"/>
      <c r="AG9705" s="521" t="s">
        <v>268</v>
      </c>
      <c r="AH9705" s="521" t="s">
        <v>269</v>
      </c>
      <c r="AI9705" s="521" t="s">
        <v>270</v>
      </c>
      <c r="AJ9705" s="521" t="s">
        <v>271</v>
      </c>
      <c r="AK9705" s="521" t="s">
        <v>272</v>
      </c>
      <c r="AM9705" s="745" t="s">
        <v>281</v>
      </c>
      <c r="AN9705" s="746" t="s">
        <v>282</v>
      </c>
      <c r="AO9705" s="522" t="s">
        <v>278</v>
      </c>
      <c r="AR9705" s="51"/>
      <c r="AS9705" s="42" t="s">
        <v>139</v>
      </c>
    </row>
    <row r="9706" spans="1:45" s="520" customFormat="1" ht="12" customHeight="1">
      <c r="A9706" s="747">
        <v>2</v>
      </c>
      <c r="B9706" s="523" t="s">
        <v>141</v>
      </c>
      <c r="C9706" s="748"/>
      <c r="D9706" s="749" t="s">
        <v>2487</v>
      </c>
      <c r="E9706" s="1145">
        <f>IF(AND($A9706=0,$A$1="DIF"),0, ROUND(ROUND(($R9710*$S$3+($T9710*$T$3))/$A9706,2)*$C$3,2))</f>
        <v>54.2</v>
      </c>
      <c r="F9706" s="1146">
        <f>ROUND($A9706*$E9706,2)</f>
        <v>108.4</v>
      </c>
      <c r="G9706" s="752" t="s">
        <v>142</v>
      </c>
      <c r="H9706" s="753"/>
      <c r="I9706" s="754"/>
      <c r="J9706" s="753"/>
      <c r="K9706" s="753" t="s">
        <v>5</v>
      </c>
      <c r="L9706" s="755" t="s">
        <v>143</v>
      </c>
      <c r="M9706" s="755"/>
      <c r="N9706" s="755"/>
      <c r="O9706" s="755"/>
      <c r="P9706" s="755"/>
      <c r="Q9706" s="51"/>
      <c r="T9706" s="1150" t="str">
        <f>IF(AND($R9710=0,$T9710=0),"0.00","mu: "&amp; ROUND(F9706/$C$3/($R9710+$T9710*$D$9),2))</f>
        <v>mu: 1.13</v>
      </c>
      <c r="W9706" s="524"/>
      <c r="AG9706" s="1147">
        <f>IF($E9706=0,0,ROUND($R9710*$S$3*$C$3/$A9706,2))</f>
        <v>54.2</v>
      </c>
      <c r="AH9706" s="1147">
        <f>$AG9706*$A9706</f>
        <v>108.4</v>
      </c>
      <c r="AI9706" s="1148">
        <f>$E9706-$AG9706</f>
        <v>0</v>
      </c>
      <c r="AJ9706" s="1148">
        <f>$A9706*$AI9706</f>
        <v>0</v>
      </c>
      <c r="AK9706" s="1149">
        <f>ROUND(($AG9706+$AI9706)*$A9706,2)</f>
        <v>108.4</v>
      </c>
      <c r="AM9706" s="527">
        <f>ROUND(R9710,2)</f>
        <v>96.03</v>
      </c>
      <c r="AN9706" s="528">
        <f>ROUND(T9710,2)</f>
        <v>0</v>
      </c>
      <c r="AO9706" s="529">
        <f>ROUND(AM9706+AN9706,2)*A9706</f>
        <v>192.06</v>
      </c>
      <c r="AR9706" s="747">
        <v>2</v>
      </c>
      <c r="AS9706" s="1146">
        <v>117.96</v>
      </c>
    </row>
    <row r="9707" spans="1:45" s="520" customFormat="1" ht="13.2">
      <c r="A9707" s="748"/>
      <c r="B9707"/>
      <c r="C9707" s="748"/>
      <c r="D9707" s="749" t="s">
        <v>2071</v>
      </c>
      <c r="F9707" s="753"/>
      <c r="G9707" s="3"/>
      <c r="H9707" s="753"/>
      <c r="I9707" s="754"/>
      <c r="J9707" s="753"/>
      <c r="K9707" s="753" t="s">
        <v>144</v>
      </c>
      <c r="L9707" s="753"/>
      <c r="M9707" s="753"/>
      <c r="N9707" s="753"/>
      <c r="O9707" s="753"/>
      <c r="P9707" s="753"/>
      <c r="Q9707" s="51"/>
      <c r="R9707" s="530"/>
      <c r="S9707" s="757"/>
      <c r="T9707" s="753"/>
      <c r="AR9707" s="748"/>
      <c r="AS9707" s="753"/>
    </row>
    <row r="9708" spans="1:45" s="901" customFormat="1" ht="13.2">
      <c r="A9708" s="903">
        <v>2</v>
      </c>
      <c r="B9708" s="904" t="s">
        <v>863</v>
      </c>
      <c r="C9708" s="904"/>
      <c r="D9708" s="904" t="s">
        <v>2594</v>
      </c>
      <c r="E9708" s="904"/>
      <c r="F9708" s="904" t="s">
        <v>4128</v>
      </c>
      <c r="G9708" s="905" t="s">
        <v>2595</v>
      </c>
      <c r="H9708" s="902">
        <v>960</v>
      </c>
      <c r="I9708" s="904" t="s">
        <v>2596</v>
      </c>
      <c r="J9708" s="904"/>
      <c r="K9708" s="904"/>
      <c r="L9708" s="904"/>
      <c r="M9708" s="904"/>
      <c r="N9708" s="904"/>
      <c r="O9708" s="902">
        <v>4</v>
      </c>
      <c r="P9708" s="906">
        <v>38274</v>
      </c>
      <c r="Q9708" s="1415">
        <f>55*0.873</f>
        <v>48.015000000000001</v>
      </c>
      <c r="R9708" s="908">
        <f>$A9708*Q9708</f>
        <v>96.03</v>
      </c>
      <c r="S9708" s="907"/>
      <c r="T9708" s="909">
        <f>$A9708*S9708*$T$1</f>
        <v>0</v>
      </c>
      <c r="AR9708" s="903">
        <v>2</v>
      </c>
      <c r="AS9708" s="904" t="s">
        <v>3507</v>
      </c>
    </row>
    <row r="9709" spans="1:45" s="520" customFormat="1" ht="12">
      <c r="A9709" s="758"/>
      <c r="B9709" s="758"/>
      <c r="C9709" s="758"/>
      <c r="D9709" s="758"/>
      <c r="E9709" s="758"/>
      <c r="F9709" s="753"/>
      <c r="G9709" s="758"/>
      <c r="H9709" s="758"/>
      <c r="I9709" s="519"/>
      <c r="J9709" s="758"/>
      <c r="K9709" s="758"/>
      <c r="L9709" s="758"/>
      <c r="M9709" s="758"/>
      <c r="N9709" s="758"/>
      <c r="O9709" s="758"/>
      <c r="P9709" s="758"/>
      <c r="Q9709" s="519"/>
      <c r="R9709" s="759">
        <f>$A9709*Q9709</f>
        <v>0</v>
      </c>
      <c r="S9709" s="519"/>
      <c r="T9709" s="760">
        <f>$A9709*S9709*$T$1</f>
        <v>0</v>
      </c>
      <c r="AR9709" s="758"/>
      <c r="AS9709" s="753"/>
    </row>
    <row r="9710" spans="1:45" s="520" customFormat="1" ht="12.6" thickBot="1">
      <c r="A9710" s="761" t="s">
        <v>145</v>
      </c>
      <c r="B9710" s="762">
        <f>(R9709+T9709)</f>
        <v>0</v>
      </c>
      <c r="C9710" s="763"/>
      <c r="D9710" s="763"/>
      <c r="E9710" s="763"/>
      <c r="F9710" s="764"/>
      <c r="G9710" s="763" t="s">
        <v>146</v>
      </c>
      <c r="H9710" s="763"/>
      <c r="I9710" s="765"/>
      <c r="J9710" s="763"/>
      <c r="K9710" s="763" t="s">
        <v>5</v>
      </c>
      <c r="L9710" s="766" t="s">
        <v>143</v>
      </c>
      <c r="M9710" s="766"/>
      <c r="N9710" s="766"/>
      <c r="O9710" s="766"/>
      <c r="P9710" s="766"/>
      <c r="Q9710" s="767"/>
      <c r="R9710" s="768">
        <f>SUM(R9707:R9709)</f>
        <v>96.03</v>
      </c>
      <c r="S9710" s="763"/>
      <c r="T9710" s="768">
        <f>SUM(T9707:T9709)</f>
        <v>0</v>
      </c>
      <c r="U9710" s="531"/>
      <c r="V9710" s="531"/>
      <c r="W9710" s="531"/>
      <c r="X9710" s="531"/>
      <c r="Y9710" s="531"/>
      <c r="Z9710" s="531"/>
      <c r="AA9710" s="531"/>
      <c r="AB9710" s="531"/>
      <c r="AC9710" s="531"/>
      <c r="AD9710" s="531"/>
      <c r="AE9710" s="531"/>
      <c r="AF9710" s="531"/>
      <c r="AG9710" s="531"/>
      <c r="AH9710" s="531"/>
      <c r="AI9710" s="531"/>
      <c r="AJ9710" s="531"/>
      <c r="AK9710" s="531"/>
      <c r="AL9710" s="531"/>
      <c r="AM9710" s="531"/>
      <c r="AN9710" s="531"/>
      <c r="AO9710" s="531"/>
      <c r="AR9710" s="761" t="s">
        <v>145</v>
      </c>
      <c r="AS9710" s="764"/>
    </row>
    <row r="9711" spans="1:45" s="520" customFormat="1" ht="12" thickTop="1">
      <c r="A9711" s="51"/>
      <c r="B9711" s="41"/>
      <c r="C9711" s="51"/>
      <c r="E9711" s="42" t="s">
        <v>138</v>
      </c>
      <c r="F9711" s="42" t="s">
        <v>139</v>
      </c>
      <c r="G9711" s="51"/>
      <c r="H9711" s="51"/>
      <c r="I9711" s="51"/>
      <c r="J9711" s="51"/>
      <c r="K9711" s="51" t="s">
        <v>140</v>
      </c>
      <c r="L9711" s="51"/>
      <c r="M9711" s="51"/>
      <c r="N9711" s="51"/>
      <c r="O9711" s="52"/>
      <c r="P9711" s="51"/>
      <c r="Q9711" s="51"/>
      <c r="R9711" s="51"/>
      <c r="S9711" s="51"/>
      <c r="T9711" s="41"/>
      <c r="AG9711" s="521" t="s">
        <v>268</v>
      </c>
      <c r="AH9711" s="521" t="s">
        <v>269</v>
      </c>
      <c r="AI9711" s="521" t="s">
        <v>270</v>
      </c>
      <c r="AJ9711" s="521" t="s">
        <v>271</v>
      </c>
      <c r="AK9711" s="521" t="s">
        <v>272</v>
      </c>
      <c r="AM9711" s="745" t="s">
        <v>281</v>
      </c>
      <c r="AN9711" s="746" t="s">
        <v>282</v>
      </c>
      <c r="AO9711" s="522" t="s">
        <v>278</v>
      </c>
      <c r="AR9711" s="51"/>
      <c r="AS9711" s="42" t="s">
        <v>139</v>
      </c>
    </row>
    <row r="9712" spans="1:45" s="520" customFormat="1" ht="12" customHeight="1">
      <c r="A9712" s="747">
        <v>1</v>
      </c>
      <c r="B9712" s="523" t="s">
        <v>141</v>
      </c>
      <c r="C9712" s="748"/>
      <c r="D9712" s="749" t="s">
        <v>2488</v>
      </c>
      <c r="E9712" s="1145">
        <f>IF(AND($A9712=0,$A$1="DIF"),0, ROUND(ROUND(($R9716*$S$3+($T9716*$T$3))/$A9712,2)*$C$3,2))</f>
        <v>77.849999999999994</v>
      </c>
      <c r="F9712" s="1146">
        <f>ROUND($A9712*$E9712,2)</f>
        <v>77.849999999999994</v>
      </c>
      <c r="G9712" s="752" t="s">
        <v>142</v>
      </c>
      <c r="H9712" s="753"/>
      <c r="I9712" s="754"/>
      <c r="J9712" s="753"/>
      <c r="K9712" s="753" t="s">
        <v>5</v>
      </c>
      <c r="L9712" s="755" t="s">
        <v>143</v>
      </c>
      <c r="M9712" s="755"/>
      <c r="N9712" s="755"/>
      <c r="O9712" s="755"/>
      <c r="P9712" s="755"/>
      <c r="Q9712" s="51"/>
      <c r="T9712" s="1150" t="str">
        <f>IF(AND($R9716=0,$T9716=0),"0.00","mu: "&amp; ROUND(F9712/$C$3/($R9716+$T9716*$D$9),2))</f>
        <v>mu: 1.13</v>
      </c>
      <c r="W9712" s="524"/>
      <c r="AG9712" s="1147">
        <f>IF($E9712=0,0,ROUND($R9716*$S$3*$C$3/$A9712,2))</f>
        <v>77.849999999999994</v>
      </c>
      <c r="AH9712" s="1147">
        <f>$AG9712*$A9712</f>
        <v>77.849999999999994</v>
      </c>
      <c r="AI9712" s="1148">
        <f>$E9712-$AG9712</f>
        <v>0</v>
      </c>
      <c r="AJ9712" s="1148">
        <f>$A9712*$AI9712</f>
        <v>0</v>
      </c>
      <c r="AK9712" s="1149">
        <f>ROUND(($AG9712+$AI9712)*$A9712,2)</f>
        <v>77.849999999999994</v>
      </c>
      <c r="AM9712" s="527">
        <f>ROUND(R9716,2)</f>
        <v>68.97</v>
      </c>
      <c r="AN9712" s="528">
        <f>ROUND(T9716,2)</f>
        <v>0</v>
      </c>
      <c r="AO9712" s="529">
        <f>ROUND(AM9712+AN9712,2)*A9712</f>
        <v>68.97</v>
      </c>
      <c r="AR9712" s="747">
        <v>1</v>
      </c>
      <c r="AS9712" s="1146">
        <v>84.71</v>
      </c>
    </row>
    <row r="9713" spans="1:45" s="520" customFormat="1" ht="13.2">
      <c r="A9713" s="748"/>
      <c r="B9713"/>
      <c r="C9713" s="748"/>
      <c r="D9713" s="749" t="s">
        <v>2068</v>
      </c>
      <c r="F9713" s="753"/>
      <c r="G9713" s="3"/>
      <c r="H9713" s="753"/>
      <c r="I9713" s="754"/>
      <c r="J9713" s="753"/>
      <c r="K9713" s="753" t="s">
        <v>144</v>
      </c>
      <c r="L9713" s="753"/>
      <c r="M9713" s="753"/>
      <c r="N9713" s="753"/>
      <c r="O9713" s="753"/>
      <c r="P9713" s="753"/>
      <c r="Q9713" s="51"/>
      <c r="R9713" s="530"/>
      <c r="S9713" s="757"/>
      <c r="T9713" s="753"/>
      <c r="AR9713" s="748"/>
      <c r="AS9713" s="753"/>
    </row>
    <row r="9714" spans="1:45" s="901" customFormat="1" ht="13.2">
      <c r="A9714" s="903">
        <v>1</v>
      </c>
      <c r="B9714" s="904" t="s">
        <v>863</v>
      </c>
      <c r="C9714" s="904"/>
      <c r="D9714" s="904" t="s">
        <v>2594</v>
      </c>
      <c r="E9714" s="904"/>
      <c r="F9714" s="904" t="s">
        <v>4128</v>
      </c>
      <c r="G9714" s="905" t="s">
        <v>2595</v>
      </c>
      <c r="H9714" s="902">
        <v>960</v>
      </c>
      <c r="I9714" s="904" t="s">
        <v>2596</v>
      </c>
      <c r="J9714" s="904"/>
      <c r="K9714" s="904"/>
      <c r="L9714" s="904"/>
      <c r="M9714" s="904"/>
      <c r="N9714" s="904"/>
      <c r="O9714" s="902">
        <v>4</v>
      </c>
      <c r="P9714" s="906">
        <v>38274</v>
      </c>
      <c r="Q9714" s="1415">
        <f>79*0.873</f>
        <v>68.966999999999999</v>
      </c>
      <c r="R9714" s="908">
        <f>$A9714*Q9714</f>
        <v>68.966999999999999</v>
      </c>
      <c r="S9714" s="907"/>
      <c r="T9714" s="909">
        <f>$A9714*S9714*$T$1</f>
        <v>0</v>
      </c>
      <c r="AR9714" s="903">
        <v>1</v>
      </c>
      <c r="AS9714" s="904" t="s">
        <v>3507</v>
      </c>
    </row>
    <row r="9715" spans="1:45" s="520" customFormat="1" ht="12">
      <c r="A9715" s="758"/>
      <c r="B9715" s="758"/>
      <c r="C9715" s="758"/>
      <c r="D9715" s="758"/>
      <c r="E9715" s="758"/>
      <c r="F9715" s="753"/>
      <c r="G9715" s="758"/>
      <c r="H9715" s="758"/>
      <c r="I9715" s="519"/>
      <c r="J9715" s="758"/>
      <c r="K9715" s="758"/>
      <c r="L9715" s="758"/>
      <c r="M9715" s="758"/>
      <c r="N9715" s="758"/>
      <c r="O9715" s="758"/>
      <c r="P9715" s="758"/>
      <c r="Q9715" s="519"/>
      <c r="R9715" s="759">
        <f>$A9715*Q9715</f>
        <v>0</v>
      </c>
      <c r="S9715" s="519"/>
      <c r="T9715" s="760">
        <f>$A9715*S9715*$T$1</f>
        <v>0</v>
      </c>
      <c r="AR9715" s="758"/>
      <c r="AS9715" s="753"/>
    </row>
    <row r="9716" spans="1:45" s="520" customFormat="1" ht="12.6" thickBot="1">
      <c r="A9716" s="761" t="s">
        <v>145</v>
      </c>
      <c r="B9716" s="762">
        <f>(R9715+T9715)</f>
        <v>0</v>
      </c>
      <c r="C9716" s="763"/>
      <c r="D9716" s="763"/>
      <c r="E9716" s="763"/>
      <c r="F9716" s="764"/>
      <c r="G9716" s="763" t="s">
        <v>146</v>
      </c>
      <c r="H9716" s="763"/>
      <c r="I9716" s="765"/>
      <c r="J9716" s="763"/>
      <c r="K9716" s="763" t="s">
        <v>5</v>
      </c>
      <c r="L9716" s="766" t="s">
        <v>143</v>
      </c>
      <c r="M9716" s="766"/>
      <c r="N9716" s="766"/>
      <c r="O9716" s="766"/>
      <c r="P9716" s="766"/>
      <c r="Q9716" s="767"/>
      <c r="R9716" s="768">
        <f>SUM(R9713:R9715)</f>
        <v>68.966999999999999</v>
      </c>
      <c r="S9716" s="763"/>
      <c r="T9716" s="768">
        <f>SUM(T9713:T9715)</f>
        <v>0</v>
      </c>
      <c r="U9716" s="531"/>
      <c r="V9716" s="531"/>
      <c r="W9716" s="531"/>
      <c r="X9716" s="531"/>
      <c r="Y9716" s="531"/>
      <c r="Z9716" s="531"/>
      <c r="AA9716" s="531"/>
      <c r="AB9716" s="531"/>
      <c r="AC9716" s="531"/>
      <c r="AD9716" s="531"/>
      <c r="AE9716" s="531"/>
      <c r="AF9716" s="531"/>
      <c r="AG9716" s="531"/>
      <c r="AH9716" s="531"/>
      <c r="AI9716" s="531"/>
      <c r="AJ9716" s="531"/>
      <c r="AK9716" s="531"/>
      <c r="AL9716" s="531"/>
      <c r="AM9716" s="531"/>
      <c r="AN9716" s="531"/>
      <c r="AO9716" s="531"/>
      <c r="AR9716" s="761" t="s">
        <v>145</v>
      </c>
      <c r="AS9716" s="764"/>
    </row>
    <row r="9717" spans="1:45" s="520" customFormat="1" thickTop="1">
      <c r="A9717" s="51"/>
      <c r="B9717" s="51"/>
      <c r="C9717" s="3"/>
      <c r="D9717" s="3"/>
      <c r="E9717" s="51"/>
      <c r="F9717" s="51"/>
      <c r="G9717" s="51"/>
      <c r="H9717" s="51"/>
      <c r="I9717" s="51"/>
      <c r="J9717" s="51"/>
      <c r="K9717" s="51" t="s">
        <v>134</v>
      </c>
      <c r="L9717" s="51"/>
      <c r="M9717" s="51"/>
      <c r="N9717" s="51"/>
      <c r="O9717" s="52"/>
      <c r="P9717" s="51"/>
      <c r="Q9717" s="51"/>
      <c r="R9717" s="51"/>
      <c r="S9717" s="51"/>
      <c r="T9717" s="51"/>
      <c r="AR9717" s="51"/>
      <c r="AS9717" s="51"/>
    </row>
    <row r="9718" spans="1:45" s="520" customFormat="1" ht="12">
      <c r="A9718" s="51"/>
      <c r="B9718" s="51"/>
      <c r="C9718" s="51" t="s">
        <v>135</v>
      </c>
      <c r="D9718" s="37"/>
      <c r="E9718" s="51"/>
      <c r="F9718" s="51"/>
      <c r="G9718" s="51"/>
      <c r="H9718" s="51"/>
      <c r="I9718" s="51"/>
      <c r="J9718" s="51"/>
      <c r="K9718" s="51"/>
      <c r="L9718" s="51"/>
      <c r="M9718" s="51"/>
      <c r="N9718" s="51"/>
      <c r="O9718" s="52"/>
      <c r="P9718" s="51"/>
      <c r="Q9718" s="51"/>
      <c r="R9718" s="51"/>
      <c r="S9718" s="51"/>
      <c r="T9718" s="51"/>
      <c r="AR9718" s="51"/>
      <c r="AS9718" s="51"/>
    </row>
    <row r="9719" spans="1:45" s="520" customFormat="1" ht="12">
      <c r="A9719" s="51"/>
      <c r="B9719" s="51"/>
      <c r="C9719" s="51"/>
      <c r="D9719" s="37" t="s">
        <v>2102</v>
      </c>
      <c r="E9719" s="51"/>
      <c r="F9719" s="51"/>
      <c r="G9719" s="51"/>
      <c r="H9719" s="51"/>
      <c r="I9719" s="51"/>
      <c r="J9719" s="51"/>
      <c r="K9719" s="51"/>
      <c r="L9719" s="51"/>
      <c r="M9719" s="51"/>
      <c r="N9719" s="51"/>
      <c r="O9719" s="52"/>
      <c r="P9719" s="51"/>
      <c r="Q9719" s="51"/>
      <c r="R9719" s="51"/>
      <c r="S9719" s="38"/>
      <c r="T9719" s="38"/>
      <c r="AR9719" s="51"/>
      <c r="AS9719" s="51"/>
    </row>
    <row r="9720" spans="1:45" s="3" customFormat="1" thickBot="1">
      <c r="A9720" s="531"/>
      <c r="O9720" s="107"/>
      <c r="AR9720" s="531"/>
    </row>
    <row r="9721" spans="1:45" s="520" customFormat="1" thickTop="1">
      <c r="A9721" s="51"/>
      <c r="B9721" s="51"/>
      <c r="C9721" s="3"/>
      <c r="D9721" s="3"/>
      <c r="E9721" s="51"/>
      <c r="F9721" s="51"/>
      <c r="G9721" s="51"/>
      <c r="H9721" s="51"/>
      <c r="I9721" s="51"/>
      <c r="J9721" s="51"/>
      <c r="K9721" s="51" t="s">
        <v>134</v>
      </c>
      <c r="L9721" s="51"/>
      <c r="M9721" s="51"/>
      <c r="N9721" s="51"/>
      <c r="O9721" s="52"/>
      <c r="P9721" s="51"/>
      <c r="Q9721" s="51"/>
      <c r="R9721" s="51"/>
      <c r="S9721" s="51"/>
      <c r="T9721" s="51"/>
      <c r="AR9721" s="51"/>
      <c r="AS9721" s="51"/>
    </row>
    <row r="9722" spans="1:45" s="520" customFormat="1" ht="12">
      <c r="A9722" s="51"/>
      <c r="B9722" s="51"/>
      <c r="C9722" s="51" t="s">
        <v>135</v>
      </c>
      <c r="D9722" s="37"/>
      <c r="E9722" s="51"/>
      <c r="F9722" s="51"/>
      <c r="G9722" s="51"/>
      <c r="H9722" s="51"/>
      <c r="I9722" s="51"/>
      <c r="J9722" s="51"/>
      <c r="K9722" s="51"/>
      <c r="L9722" s="51"/>
      <c r="M9722" s="51"/>
      <c r="N9722" s="51"/>
      <c r="O9722" s="52"/>
      <c r="P9722" s="51"/>
      <c r="Q9722" s="51"/>
      <c r="R9722" s="51"/>
      <c r="S9722" s="51"/>
      <c r="T9722" s="51"/>
      <c r="AR9722" s="51"/>
      <c r="AS9722" s="51"/>
    </row>
    <row r="9723" spans="1:45" s="520" customFormat="1" ht="39.9" customHeight="1">
      <c r="A9723" s="51"/>
      <c r="B9723" s="51"/>
      <c r="C9723" s="51"/>
      <c r="D9723" s="1453" t="s">
        <v>2335</v>
      </c>
      <c r="E9723" s="1452"/>
      <c r="F9723" s="1452"/>
      <c r="G9723" s="1452"/>
      <c r="H9723" s="1452"/>
      <c r="I9723" s="1452"/>
      <c r="J9723" s="1452"/>
      <c r="K9723" s="1452"/>
      <c r="L9723" s="1452"/>
      <c r="M9723" s="1452"/>
      <c r="N9723" s="1452"/>
      <c r="O9723" s="1452"/>
      <c r="P9723" s="1452"/>
      <c r="Q9723" s="1452"/>
      <c r="R9723" s="1452"/>
      <c r="S9723" s="1452"/>
      <c r="T9723" s="1452"/>
      <c r="AR9723" s="51"/>
    </row>
    <row r="9724" spans="1:45" s="3" customFormat="1" thickBot="1">
      <c r="A9724" s="531"/>
      <c r="O9724" s="107"/>
      <c r="AR9724" s="531"/>
    </row>
    <row r="9725" spans="1:45" s="520" customFormat="1" ht="12" thickTop="1">
      <c r="A9725" s="51"/>
      <c r="B9725" s="41"/>
      <c r="C9725" s="51"/>
      <c r="E9725" s="42" t="s">
        <v>138</v>
      </c>
      <c r="F9725" s="42" t="s">
        <v>139</v>
      </c>
      <c r="G9725" s="51"/>
      <c r="H9725" s="51"/>
      <c r="I9725" s="51"/>
      <c r="J9725" s="51"/>
      <c r="K9725" s="51" t="s">
        <v>140</v>
      </c>
      <c r="L9725" s="51"/>
      <c r="M9725" s="51"/>
      <c r="N9725" s="51"/>
      <c r="O9725" s="52"/>
      <c r="P9725" s="51"/>
      <c r="Q9725" s="51"/>
      <c r="R9725" s="51"/>
      <c r="S9725" s="51"/>
      <c r="T9725" s="41"/>
      <c r="AG9725" s="521" t="s">
        <v>268</v>
      </c>
      <c r="AH9725" s="521" t="s">
        <v>269</v>
      </c>
      <c r="AI9725" s="521" t="s">
        <v>270</v>
      </c>
      <c r="AJ9725" s="521" t="s">
        <v>271</v>
      </c>
      <c r="AK9725" s="521" t="s">
        <v>272</v>
      </c>
      <c r="AM9725" s="745" t="s">
        <v>281</v>
      </c>
      <c r="AN9725" s="746" t="s">
        <v>282</v>
      </c>
      <c r="AO9725" s="522" t="s">
        <v>278</v>
      </c>
      <c r="AR9725" s="51"/>
      <c r="AS9725" s="42" t="s">
        <v>139</v>
      </c>
    </row>
    <row r="9726" spans="1:45" s="520" customFormat="1" ht="12" customHeight="1">
      <c r="A9726" s="747">
        <v>1</v>
      </c>
      <c r="B9726" s="523" t="s">
        <v>141</v>
      </c>
      <c r="C9726" s="748"/>
      <c r="D9726" s="749" t="s">
        <v>2489</v>
      </c>
      <c r="E9726" s="750">
        <f ca="1">IF(AND($A9726=0,$A$1="DIF"),0, ROUND(ROUND(($R9731*$S$2+($T9731*$T$2))/A9726,2)*$C$2,2))</f>
        <v>49.52</v>
      </c>
      <c r="F9726" s="751">
        <f ca="1">ROUND($A9726*$E9726,2)</f>
        <v>49.52</v>
      </c>
      <c r="G9726" s="752" t="s">
        <v>142</v>
      </c>
      <c r="H9726" s="753"/>
      <c r="I9726" s="754"/>
      <c r="J9726" s="753"/>
      <c r="K9726" s="753" t="s">
        <v>3</v>
      </c>
      <c r="L9726" s="755" t="s">
        <v>143</v>
      </c>
      <c r="M9726" s="755"/>
      <c r="N9726" s="755"/>
      <c r="O9726" s="755"/>
      <c r="P9726" s="755"/>
      <c r="Q9726" s="51"/>
      <c r="T9726" s="756" t="str">
        <f ca="1">IF(AND($R9731=0,$T9731=0),"0.00","mu :" &amp; ROUND($F9726/$C$2/($R9731+$T9731*$D$9),2))</f>
        <v>mu :1.23</v>
      </c>
      <c r="W9726" s="524"/>
      <c r="AG9726" s="481">
        <f ca="1">IF($E9726=0,0,ROUND($R9731*$S$2*$C$2/$A9726,2))</f>
        <v>17.73</v>
      </c>
      <c r="AH9726" s="481">
        <f ca="1">$AG9726*$A9726</f>
        <v>17.73</v>
      </c>
      <c r="AI9726" s="525">
        <f ca="1">$E9726-$AG9726</f>
        <v>31.790000000000003</v>
      </c>
      <c r="AJ9726" s="525">
        <f ca="1">$A9726*$AI9726</f>
        <v>31.790000000000003</v>
      </c>
      <c r="AK9726" s="526">
        <f ca="1">ROUND(($AG9726+$AI9726)*$A9726,2)</f>
        <v>49.52</v>
      </c>
      <c r="AM9726" s="527">
        <f ca="1">ROUND(R9731,2)</f>
        <v>14.4</v>
      </c>
      <c r="AN9726" s="528">
        <f ca="1">ROUND(T9731,2)</f>
        <v>0.94</v>
      </c>
      <c r="AO9726" s="529">
        <f ca="1">ROUND(AM9726+AN9726,2)*A9726</f>
        <v>15.34</v>
      </c>
      <c r="AR9726" s="747">
        <v>1</v>
      </c>
      <c r="AS9726" s="751">
        <v>52.9</v>
      </c>
    </row>
    <row r="9727" spans="1:45" s="520" customFormat="1" ht="13.2">
      <c r="A9727" s="748"/>
      <c r="B9727"/>
      <c r="C9727" s="748"/>
      <c r="D9727" s="749" t="s">
        <v>2103</v>
      </c>
      <c r="F9727" s="753"/>
      <c r="G9727" s="3"/>
      <c r="H9727" s="753"/>
      <c r="I9727" s="754"/>
      <c r="J9727" s="753"/>
      <c r="K9727" s="753" t="s">
        <v>144</v>
      </c>
      <c r="L9727" s="753"/>
      <c r="M9727" s="753"/>
      <c r="N9727" s="753"/>
      <c r="O9727" s="753"/>
      <c r="P9727" s="753"/>
      <c r="Q9727" s="51"/>
      <c r="R9727" s="530"/>
      <c r="S9727" s="757"/>
      <c r="T9727" s="753"/>
      <c r="AR9727" s="748"/>
      <c r="AS9727" s="753"/>
    </row>
    <row r="9728" spans="1:45" s="886" customFormat="1" ht="13.2">
      <c r="A9728"/>
      <c r="B9728" s="910"/>
      <c r="C9728" s="910" t="s">
        <v>2597</v>
      </c>
      <c r="D9728" s="910" t="str">
        <f ca="1">CELL("Address",Elec_Rates!D$1029)</f>
        <v>[E25_0062_Quintano_Foods_Elec_ELV_As_Awarded.xlsx]Elec_Rates!$D$1029</v>
      </c>
      <c r="E9728" s="911"/>
      <c r="F9728" s="911"/>
      <c r="G9728" s="912" t="s">
        <v>2598</v>
      </c>
      <c r="H9728" s="912"/>
      <c r="I9728" s="912"/>
      <c r="J9728" s="912"/>
      <c r="K9728" s="913"/>
      <c r="L9728" s="911"/>
      <c r="M9728" s="911"/>
      <c r="N9728" s="911"/>
      <c r="O9728" s="914"/>
      <c r="P9728" s="911"/>
      <c r="Q9728" s="915"/>
      <c r="R9728" s="916"/>
      <c r="S9728" s="915"/>
      <c r="T9728" s="917"/>
      <c r="U9728" s="918"/>
      <c r="AR9728"/>
      <c r="AS9728" s="911"/>
    </row>
    <row r="9729" spans="1:45" s="886" customFormat="1" ht="11.4">
      <c r="A9729" s="919">
        <v>1</v>
      </c>
      <c r="B9729" s="920">
        <v>1</v>
      </c>
      <c r="C9729" s="920">
        <f>$A9729*$B9729</f>
        <v>1</v>
      </c>
      <c r="D9729" s="921" t="str">
        <f>Elec_Rates!$D$1029</f>
        <v>092# LSZH Conduit points for Fire alarm devices</v>
      </c>
      <c r="E9729" s="921"/>
      <c r="F9729" s="921" t="s">
        <v>2599</v>
      </c>
      <c r="G9729" s="922" t="s">
        <v>2600</v>
      </c>
      <c r="H9729" s="922"/>
      <c r="I9729" s="922"/>
      <c r="J9729" s="922"/>
      <c r="K9729" s="923"/>
      <c r="L9729" s="918"/>
      <c r="M9729" s="918"/>
      <c r="N9729" s="918"/>
      <c r="O9729" s="924"/>
      <c r="P9729" s="921"/>
      <c r="Q9729" s="925">
        <f ca="1">$B9729*Elec_Rates!$R$1029</f>
        <v>14.4</v>
      </c>
      <c r="R9729" s="916">
        <f ca="1">$A9729*Q9729</f>
        <v>14.4</v>
      </c>
      <c r="S9729" s="925">
        <f ca="1">$B9729*Elec_Rates!$T$1029</f>
        <v>0.94</v>
      </c>
      <c r="T9729" s="917">
        <f ca="1">$A9729*S9729</f>
        <v>0.94</v>
      </c>
      <c r="U9729" s="926"/>
      <c r="AR9729" s="919">
        <v>1</v>
      </c>
      <c r="AS9729" s="921" t="s">
        <v>2599</v>
      </c>
    </row>
    <row r="9730" spans="1:45" s="520" customFormat="1" ht="12">
      <c r="A9730" s="758"/>
      <c r="B9730" s="758"/>
      <c r="C9730" s="758"/>
      <c r="D9730" s="758"/>
      <c r="E9730" s="758"/>
      <c r="F9730" s="753"/>
      <c r="G9730" s="758"/>
      <c r="H9730" s="758"/>
      <c r="I9730" s="519"/>
      <c r="J9730" s="758"/>
      <c r="K9730" s="758"/>
      <c r="L9730" s="758"/>
      <c r="M9730" s="758"/>
      <c r="N9730" s="758"/>
      <c r="O9730" s="758"/>
      <c r="P9730" s="758"/>
      <c r="Q9730" s="519"/>
      <c r="R9730" s="759">
        <f>$A9730*Q9730</f>
        <v>0</v>
      </c>
      <c r="S9730" s="519"/>
      <c r="T9730" s="760">
        <f>$A9730*S9730*$T$1</f>
        <v>0</v>
      </c>
      <c r="AR9730" s="758"/>
      <c r="AS9730" s="753"/>
    </row>
    <row r="9731" spans="1:45" s="520" customFormat="1" ht="12.6" thickBot="1">
      <c r="A9731" s="761" t="s">
        <v>145</v>
      </c>
      <c r="B9731" s="762">
        <f>(R9730+T9730)</f>
        <v>0</v>
      </c>
      <c r="C9731" s="763"/>
      <c r="D9731" s="763"/>
      <c r="E9731" s="763"/>
      <c r="F9731" s="764"/>
      <c r="G9731" s="763" t="s">
        <v>146</v>
      </c>
      <c r="H9731" s="763"/>
      <c r="I9731" s="765"/>
      <c r="J9731" s="763"/>
      <c r="K9731" s="763" t="s">
        <v>3</v>
      </c>
      <c r="L9731" s="766" t="s">
        <v>143</v>
      </c>
      <c r="M9731" s="766"/>
      <c r="N9731" s="766"/>
      <c r="O9731" s="766"/>
      <c r="P9731" s="766"/>
      <c r="Q9731" s="767"/>
      <c r="R9731" s="768">
        <f ca="1">SUM(R9727:R9730)</f>
        <v>14.4</v>
      </c>
      <c r="S9731" s="763"/>
      <c r="T9731" s="768">
        <f ca="1">SUM(T9727:T9730)</f>
        <v>0.94</v>
      </c>
      <c r="U9731" s="531"/>
      <c r="V9731" s="531"/>
      <c r="W9731" s="531"/>
      <c r="X9731" s="531"/>
      <c r="Y9731" s="531"/>
      <c r="Z9731" s="531"/>
      <c r="AA9731" s="531"/>
      <c r="AB9731" s="531"/>
      <c r="AC9731" s="531"/>
      <c r="AD9731" s="531"/>
      <c r="AE9731" s="531"/>
      <c r="AF9731" s="531"/>
      <c r="AG9731" s="531"/>
      <c r="AH9731" s="531"/>
      <c r="AI9731" s="531"/>
      <c r="AJ9731" s="531"/>
      <c r="AK9731" s="531"/>
      <c r="AL9731" s="531"/>
      <c r="AM9731" s="531"/>
      <c r="AN9731" s="531"/>
      <c r="AO9731" s="531"/>
      <c r="AR9731" s="761" t="s">
        <v>145</v>
      </c>
      <c r="AS9731" s="764"/>
    </row>
    <row r="9732" spans="1:45" s="520" customFormat="1" ht="12" thickTop="1">
      <c r="A9732" s="51"/>
      <c r="B9732" s="41"/>
      <c r="C9732" s="51"/>
      <c r="E9732" s="42" t="s">
        <v>138</v>
      </c>
      <c r="F9732" s="42" t="s">
        <v>139</v>
      </c>
      <c r="G9732" s="51"/>
      <c r="H9732" s="51"/>
      <c r="I9732" s="51"/>
      <c r="J9732" s="51"/>
      <c r="K9732" s="51" t="s">
        <v>140</v>
      </c>
      <c r="L9732" s="51"/>
      <c r="M9732" s="51"/>
      <c r="N9732" s="51"/>
      <c r="O9732" s="52"/>
      <c r="P9732" s="51"/>
      <c r="Q9732" s="51"/>
      <c r="R9732" s="51"/>
      <c r="S9732" s="51"/>
      <c r="T9732" s="41"/>
      <c r="AG9732" s="521" t="s">
        <v>268</v>
      </c>
      <c r="AH9732" s="521" t="s">
        <v>269</v>
      </c>
      <c r="AI9732" s="521" t="s">
        <v>270</v>
      </c>
      <c r="AJ9732" s="521" t="s">
        <v>271</v>
      </c>
      <c r="AK9732" s="521" t="s">
        <v>272</v>
      </c>
      <c r="AM9732" s="745" t="s">
        <v>281</v>
      </c>
      <c r="AN9732" s="746" t="s">
        <v>282</v>
      </c>
      <c r="AO9732" s="522" t="s">
        <v>278</v>
      </c>
      <c r="AR9732" s="51"/>
      <c r="AS9732" s="42" t="s">
        <v>139</v>
      </c>
    </row>
    <row r="9733" spans="1:45" s="520" customFormat="1" ht="12" customHeight="1">
      <c r="A9733" s="747">
        <v>1</v>
      </c>
      <c r="B9733" s="523" t="s">
        <v>141</v>
      </c>
      <c r="C9733" s="748"/>
      <c r="D9733" s="749" t="s">
        <v>2490</v>
      </c>
      <c r="E9733" s="750">
        <f ca="1">IF(AND($A9733=0,$A$1="DIF"),0, ROUND(ROUND(($R9738*$S$2+($T9738*$T$2))/A9733,2)*$C$2,2))</f>
        <v>49.52</v>
      </c>
      <c r="F9733" s="751">
        <f ca="1">ROUND($A9733*$E9733,2)</f>
        <v>49.52</v>
      </c>
      <c r="G9733" s="752" t="s">
        <v>142</v>
      </c>
      <c r="H9733" s="753"/>
      <c r="I9733" s="754"/>
      <c r="J9733" s="753"/>
      <c r="K9733" s="753" t="s">
        <v>3</v>
      </c>
      <c r="L9733" s="755" t="s">
        <v>143</v>
      </c>
      <c r="M9733" s="755"/>
      <c r="N9733" s="755"/>
      <c r="O9733" s="755"/>
      <c r="P9733" s="755"/>
      <c r="Q9733" s="51"/>
      <c r="T9733" s="756" t="str">
        <f ca="1">IF(AND($R9738=0,$T9738=0),"0.00","mu :" &amp; ROUND($F9733/$C$2/($R9738+$T9738*$D$9),2))</f>
        <v>mu :1.23</v>
      </c>
      <c r="W9733" s="524"/>
      <c r="AG9733" s="481">
        <f ca="1">IF($E9733=0,0,ROUND($R9738*$S$2*$C$2/$A9733,2))</f>
        <v>17.73</v>
      </c>
      <c r="AH9733" s="481">
        <f ca="1">$AG9733*$A9733</f>
        <v>17.73</v>
      </c>
      <c r="AI9733" s="525">
        <f ca="1">$E9733-$AG9733</f>
        <v>31.790000000000003</v>
      </c>
      <c r="AJ9733" s="525">
        <f ca="1">$A9733*$AI9733</f>
        <v>31.790000000000003</v>
      </c>
      <c r="AK9733" s="526">
        <f ca="1">ROUND(($AG9733+$AI9733)*$A9733,2)</f>
        <v>49.52</v>
      </c>
      <c r="AM9733" s="527">
        <f ca="1">ROUND(R9738,2)</f>
        <v>14.4</v>
      </c>
      <c r="AN9733" s="528">
        <f ca="1">ROUND(T9738,2)</f>
        <v>0.94</v>
      </c>
      <c r="AO9733" s="529">
        <f ca="1">ROUND(AM9733+AN9733,2)*A9733</f>
        <v>15.34</v>
      </c>
      <c r="AR9733" s="747">
        <v>1</v>
      </c>
      <c r="AS9733" s="751">
        <v>52.9</v>
      </c>
    </row>
    <row r="9734" spans="1:45" s="520" customFormat="1" ht="13.2">
      <c r="A9734" s="748"/>
      <c r="B9734"/>
      <c r="C9734" s="748"/>
      <c r="D9734" s="749" t="s">
        <v>2104</v>
      </c>
      <c r="F9734" s="753"/>
      <c r="G9734" s="3"/>
      <c r="H9734" s="753"/>
      <c r="I9734" s="754"/>
      <c r="J9734" s="753"/>
      <c r="K9734" s="753" t="s">
        <v>144</v>
      </c>
      <c r="L9734" s="753"/>
      <c r="M9734" s="753"/>
      <c r="N9734" s="753"/>
      <c r="O9734" s="753"/>
      <c r="P9734" s="753"/>
      <c r="Q9734" s="51"/>
      <c r="R9734" s="530"/>
      <c r="S9734" s="757"/>
      <c r="T9734" s="753"/>
      <c r="AR9734" s="748"/>
      <c r="AS9734" s="753"/>
    </row>
    <row r="9735" spans="1:45" s="886" customFormat="1" ht="13.2">
      <c r="A9735"/>
      <c r="B9735" s="910"/>
      <c r="C9735" s="910" t="s">
        <v>2597</v>
      </c>
      <c r="D9735" s="910" t="str">
        <f ca="1">CELL("Address",Elec_Rates!D$1029)</f>
        <v>[E25_0062_Quintano_Foods_Elec_ELV_As_Awarded.xlsx]Elec_Rates!$D$1029</v>
      </c>
      <c r="E9735" s="911"/>
      <c r="F9735" s="911"/>
      <c r="G9735" s="912" t="s">
        <v>2598</v>
      </c>
      <c r="H9735" s="912"/>
      <c r="I9735" s="912"/>
      <c r="J9735" s="912"/>
      <c r="K9735" s="913"/>
      <c r="L9735" s="911"/>
      <c r="M9735" s="911"/>
      <c r="N9735" s="911"/>
      <c r="O9735" s="914"/>
      <c r="P9735" s="911"/>
      <c r="Q9735" s="915"/>
      <c r="R9735" s="916"/>
      <c r="S9735" s="915"/>
      <c r="T9735" s="917"/>
      <c r="U9735" s="918"/>
      <c r="AR9735"/>
      <c r="AS9735" s="911"/>
    </row>
    <row r="9736" spans="1:45" s="886" customFormat="1" ht="11.4">
      <c r="A9736" s="919">
        <v>1</v>
      </c>
      <c r="B9736" s="920">
        <v>1</v>
      </c>
      <c r="C9736" s="920">
        <f>$A9736*$B9736</f>
        <v>1</v>
      </c>
      <c r="D9736" s="921" t="str">
        <f>Elec_Rates!$D$1029</f>
        <v>092# LSZH Conduit points for Fire alarm devices</v>
      </c>
      <c r="E9736" s="921"/>
      <c r="F9736" s="921" t="s">
        <v>2599</v>
      </c>
      <c r="G9736" s="922" t="s">
        <v>2600</v>
      </c>
      <c r="H9736" s="922"/>
      <c r="I9736" s="922"/>
      <c r="J9736" s="922"/>
      <c r="K9736" s="923"/>
      <c r="L9736" s="918"/>
      <c r="M9736" s="918"/>
      <c r="N9736" s="918"/>
      <c r="O9736" s="924"/>
      <c r="P9736" s="921"/>
      <c r="Q9736" s="925">
        <f ca="1">$B9736*Elec_Rates!$R$1029</f>
        <v>14.4</v>
      </c>
      <c r="R9736" s="916">
        <f ca="1">$A9736*Q9736</f>
        <v>14.4</v>
      </c>
      <c r="S9736" s="925">
        <f ca="1">$B9736*Elec_Rates!$T$1029</f>
        <v>0.94</v>
      </c>
      <c r="T9736" s="917">
        <f ca="1">$A9736*S9736</f>
        <v>0.94</v>
      </c>
      <c r="U9736" s="926"/>
      <c r="AR9736" s="919">
        <v>1</v>
      </c>
      <c r="AS9736" s="921" t="s">
        <v>2599</v>
      </c>
    </row>
    <row r="9737" spans="1:45" s="520" customFormat="1" ht="12">
      <c r="A9737" s="758"/>
      <c r="B9737" s="758"/>
      <c r="C9737" s="758"/>
      <c r="D9737" s="758"/>
      <c r="E9737" s="758"/>
      <c r="F9737" s="753"/>
      <c r="G9737" s="758"/>
      <c r="H9737" s="758"/>
      <c r="I9737" s="519"/>
      <c r="J9737" s="758"/>
      <c r="K9737" s="758"/>
      <c r="L9737" s="758"/>
      <c r="M9737" s="758"/>
      <c r="N9737" s="758"/>
      <c r="O9737" s="758"/>
      <c r="P9737" s="758"/>
      <c r="Q9737" s="519"/>
      <c r="R9737" s="759">
        <f>$A9737*Q9737</f>
        <v>0</v>
      </c>
      <c r="S9737" s="519"/>
      <c r="T9737" s="760">
        <f>$A9737*S9737*$T$1</f>
        <v>0</v>
      </c>
      <c r="AR9737" s="758"/>
      <c r="AS9737" s="753"/>
    </row>
    <row r="9738" spans="1:45" s="520" customFormat="1" ht="12.6" thickBot="1">
      <c r="A9738" s="761" t="s">
        <v>145</v>
      </c>
      <c r="B9738" s="762">
        <f>(R9737+T9737)</f>
        <v>0</v>
      </c>
      <c r="C9738" s="763"/>
      <c r="D9738" s="763"/>
      <c r="E9738" s="763"/>
      <c r="F9738" s="764"/>
      <c r="G9738" s="763" t="s">
        <v>146</v>
      </c>
      <c r="H9738" s="763"/>
      <c r="I9738" s="765"/>
      <c r="J9738" s="763"/>
      <c r="K9738" s="763" t="s">
        <v>3</v>
      </c>
      <c r="L9738" s="766" t="s">
        <v>143</v>
      </c>
      <c r="M9738" s="766"/>
      <c r="N9738" s="766"/>
      <c r="O9738" s="766"/>
      <c r="P9738" s="766"/>
      <c r="Q9738" s="767"/>
      <c r="R9738" s="768">
        <f ca="1">SUM(R9734:R9737)</f>
        <v>14.4</v>
      </c>
      <c r="S9738" s="763"/>
      <c r="T9738" s="768">
        <f ca="1">SUM(T9734:T9737)</f>
        <v>0.94</v>
      </c>
      <c r="U9738" s="531"/>
      <c r="V9738" s="531"/>
      <c r="W9738" s="531"/>
      <c r="X9738" s="531"/>
      <c r="Y9738" s="531"/>
      <c r="Z9738" s="531"/>
      <c r="AA9738" s="531"/>
      <c r="AB9738" s="531"/>
      <c r="AC9738" s="531"/>
      <c r="AD9738" s="531"/>
      <c r="AE9738" s="531"/>
      <c r="AF9738" s="531"/>
      <c r="AG9738" s="531"/>
      <c r="AH9738" s="531"/>
      <c r="AI9738" s="531"/>
      <c r="AJ9738" s="531"/>
      <c r="AK9738" s="531"/>
      <c r="AL9738" s="531"/>
      <c r="AM9738" s="531"/>
      <c r="AN9738" s="531"/>
      <c r="AO9738" s="531"/>
      <c r="AR9738" s="761" t="s">
        <v>145</v>
      </c>
      <c r="AS9738" s="764"/>
    </row>
    <row r="9739" spans="1:45" s="520" customFormat="1" thickTop="1">
      <c r="A9739" s="51"/>
      <c r="B9739" s="51"/>
      <c r="C9739" s="3"/>
      <c r="D9739" s="3"/>
      <c r="E9739" s="51"/>
      <c r="F9739" s="51"/>
      <c r="G9739" s="51"/>
      <c r="H9739" s="51"/>
      <c r="I9739" s="51"/>
      <c r="J9739" s="51"/>
      <c r="K9739" s="51" t="s">
        <v>134</v>
      </c>
      <c r="L9739" s="51"/>
      <c r="M9739" s="51"/>
      <c r="N9739" s="51"/>
      <c r="O9739" s="52"/>
      <c r="P9739" s="51"/>
      <c r="Q9739" s="51"/>
      <c r="R9739" s="51"/>
      <c r="S9739" s="51"/>
      <c r="T9739" s="51"/>
      <c r="AR9739" s="51"/>
      <c r="AS9739" s="51"/>
    </row>
    <row r="9740" spans="1:45" s="520" customFormat="1" ht="12">
      <c r="A9740" s="51"/>
      <c r="B9740" s="51"/>
      <c r="C9740" s="51" t="s">
        <v>135</v>
      </c>
      <c r="D9740" s="37"/>
      <c r="E9740" s="51"/>
      <c r="F9740" s="51"/>
      <c r="G9740" s="51"/>
      <c r="H9740" s="51"/>
      <c r="I9740" s="51"/>
      <c r="J9740" s="51"/>
      <c r="K9740" s="51"/>
      <c r="L9740" s="51"/>
      <c r="M9740" s="51"/>
      <c r="N9740" s="51"/>
      <c r="O9740" s="52"/>
      <c r="P9740" s="51"/>
      <c r="Q9740" s="51"/>
      <c r="R9740" s="51"/>
      <c r="S9740" s="51"/>
      <c r="T9740" s="51"/>
      <c r="AR9740" s="51"/>
      <c r="AS9740" s="51"/>
    </row>
    <row r="9741" spans="1:45" s="520" customFormat="1" ht="39.9" customHeight="1">
      <c r="A9741" s="51"/>
      <c r="B9741" s="51"/>
      <c r="C9741" s="51"/>
      <c r="D9741" s="1453" t="s">
        <v>2286</v>
      </c>
      <c r="E9741" s="1452"/>
      <c r="F9741" s="1452"/>
      <c r="G9741" s="1452"/>
      <c r="H9741" s="1452"/>
      <c r="I9741" s="1452"/>
      <c r="J9741" s="1452"/>
      <c r="K9741" s="1452"/>
      <c r="L9741" s="1452"/>
      <c r="M9741" s="1452"/>
      <c r="N9741" s="1452"/>
      <c r="O9741" s="1452"/>
      <c r="P9741" s="1452"/>
      <c r="Q9741" s="1452"/>
      <c r="R9741" s="1452"/>
      <c r="S9741" s="1452"/>
      <c r="T9741" s="1452"/>
      <c r="AR9741" s="51"/>
    </row>
    <row r="9742" spans="1:45" s="3" customFormat="1" thickBot="1">
      <c r="A9742" s="531"/>
      <c r="O9742" s="107"/>
      <c r="AR9742" s="531"/>
    </row>
    <row r="9743" spans="1:45" s="520" customFormat="1" ht="12" thickTop="1">
      <c r="A9743" s="51"/>
      <c r="B9743" s="41"/>
      <c r="C9743" s="51"/>
      <c r="E9743" s="42" t="s">
        <v>138</v>
      </c>
      <c r="F9743" s="42" t="s">
        <v>139</v>
      </c>
      <c r="G9743" s="51"/>
      <c r="H9743" s="51"/>
      <c r="I9743" s="51"/>
      <c r="J9743" s="51"/>
      <c r="K9743" s="51" t="s">
        <v>140</v>
      </c>
      <c r="L9743" s="51"/>
      <c r="M9743" s="51"/>
      <c r="N9743" s="51"/>
      <c r="O9743" s="52"/>
      <c r="P9743" s="51"/>
      <c r="Q9743" s="51"/>
      <c r="R9743" s="51"/>
      <c r="S9743" s="51"/>
      <c r="T9743" s="41"/>
      <c r="AG9743" s="521" t="s">
        <v>268</v>
      </c>
      <c r="AH9743" s="521" t="s">
        <v>269</v>
      </c>
      <c r="AI9743" s="521" t="s">
        <v>270</v>
      </c>
      <c r="AJ9743" s="521" t="s">
        <v>271</v>
      </c>
      <c r="AK9743" s="521" t="s">
        <v>272</v>
      </c>
      <c r="AM9743" s="745" t="s">
        <v>281</v>
      </c>
      <c r="AN9743" s="746" t="s">
        <v>282</v>
      </c>
      <c r="AO9743" s="522" t="s">
        <v>278</v>
      </c>
      <c r="AR9743" s="51"/>
      <c r="AS9743" s="42" t="s">
        <v>139</v>
      </c>
    </row>
    <row r="9744" spans="1:45" s="520" customFormat="1" ht="12" customHeight="1">
      <c r="A9744" s="747">
        <v>1</v>
      </c>
      <c r="B9744" s="523" t="s">
        <v>141</v>
      </c>
      <c r="C9744" s="748"/>
      <c r="D9744" s="749" t="s">
        <v>2491</v>
      </c>
      <c r="E9744" s="1145">
        <f>IF(AND($A9744=0,$A$1="DIF"),0, ROUND(ROUND(($R9748*$S$3+($T9748*$T$3))/$A9744,2)*$C$3,2))</f>
        <v>44.34</v>
      </c>
      <c r="F9744" s="1146">
        <f>ROUND($A9744*$E9744,2)</f>
        <v>44.34</v>
      </c>
      <c r="G9744" s="752" t="s">
        <v>142</v>
      </c>
      <c r="H9744" s="753"/>
      <c r="I9744" s="754"/>
      <c r="J9744" s="753"/>
      <c r="K9744" s="753" t="s">
        <v>5</v>
      </c>
      <c r="L9744" s="755" t="s">
        <v>143</v>
      </c>
      <c r="M9744" s="755"/>
      <c r="N9744" s="755"/>
      <c r="O9744" s="755"/>
      <c r="P9744" s="755"/>
      <c r="Q9744" s="51"/>
      <c r="T9744" s="1150" t="str">
        <f>IF(AND($R9748=0,$T9748=0),"0.00","mu: "&amp; ROUND(F9744/$C$3/($R9748+$T9748*$D$9),2))</f>
        <v>mu: 1.13</v>
      </c>
      <c r="W9744" s="524"/>
      <c r="AG9744" s="1147">
        <f>IF($E9744=0,0,ROUND($R9748*$S$3*$C$3/$A9744,2))</f>
        <v>44.34</v>
      </c>
      <c r="AH9744" s="1147">
        <f>$AG9744*$A9744</f>
        <v>44.34</v>
      </c>
      <c r="AI9744" s="1148">
        <f>$E9744-$AG9744</f>
        <v>0</v>
      </c>
      <c r="AJ9744" s="1148">
        <f>$A9744*$AI9744</f>
        <v>0</v>
      </c>
      <c r="AK9744" s="1149">
        <f>ROUND(($AG9744+$AI9744)*$A9744,2)</f>
        <v>44.34</v>
      </c>
      <c r="AM9744" s="527">
        <f>ROUND(R9748,2)</f>
        <v>39.29</v>
      </c>
      <c r="AN9744" s="528">
        <f>ROUND(T9748,2)</f>
        <v>0</v>
      </c>
      <c r="AO9744" s="529">
        <f>ROUND(AM9744+AN9744,2)*A9744</f>
        <v>39.29</v>
      </c>
      <c r="AR9744" s="747">
        <v>1</v>
      </c>
      <c r="AS9744" s="1146">
        <v>48.25</v>
      </c>
    </row>
    <row r="9745" spans="1:45" s="520" customFormat="1" ht="13.2">
      <c r="A9745" s="748"/>
      <c r="B9745"/>
      <c r="C9745" s="748"/>
      <c r="D9745" s="749" t="s">
        <v>2103</v>
      </c>
      <c r="F9745" s="753"/>
      <c r="G9745" s="3"/>
      <c r="H9745" s="753"/>
      <c r="I9745" s="754"/>
      <c r="J9745" s="753"/>
      <c r="K9745" s="753" t="s">
        <v>144</v>
      </c>
      <c r="L9745" s="753"/>
      <c r="M9745" s="753"/>
      <c r="N9745" s="753"/>
      <c r="O9745" s="753"/>
      <c r="P9745" s="753"/>
      <c r="Q9745" s="51"/>
      <c r="R9745" s="530"/>
      <c r="S9745" s="757"/>
      <c r="T9745" s="753"/>
      <c r="AR9745" s="748"/>
      <c r="AS9745" s="753"/>
    </row>
    <row r="9746" spans="1:45" s="901" customFormat="1" ht="13.2">
      <c r="A9746" s="903">
        <v>1</v>
      </c>
      <c r="B9746" s="904" t="s">
        <v>863</v>
      </c>
      <c r="C9746" s="904"/>
      <c r="D9746" s="904" t="s">
        <v>2594</v>
      </c>
      <c r="E9746" s="904"/>
      <c r="F9746" s="904" t="s">
        <v>4128</v>
      </c>
      <c r="G9746" s="905" t="s">
        <v>2595</v>
      </c>
      <c r="H9746" s="902">
        <v>960</v>
      </c>
      <c r="I9746" s="904" t="s">
        <v>2596</v>
      </c>
      <c r="J9746" s="904"/>
      <c r="K9746" s="904"/>
      <c r="L9746" s="904"/>
      <c r="M9746" s="904"/>
      <c r="N9746" s="904"/>
      <c r="O9746" s="902">
        <v>4</v>
      </c>
      <c r="P9746" s="906">
        <v>38274</v>
      </c>
      <c r="Q9746" s="1415">
        <f>45*0.873</f>
        <v>39.284999999999997</v>
      </c>
      <c r="R9746" s="908">
        <f>$A9746*Q9746</f>
        <v>39.284999999999997</v>
      </c>
      <c r="S9746" s="907"/>
      <c r="T9746" s="909">
        <f>$A9746*S9746*$T$1</f>
        <v>0</v>
      </c>
      <c r="AR9746" s="903">
        <v>1</v>
      </c>
      <c r="AS9746" s="904" t="s">
        <v>3507</v>
      </c>
    </row>
    <row r="9747" spans="1:45" s="520" customFormat="1" ht="12">
      <c r="A9747" s="758"/>
      <c r="B9747" s="758"/>
      <c r="C9747" s="758"/>
      <c r="D9747" s="758"/>
      <c r="E9747" s="758"/>
      <c r="F9747" s="753"/>
      <c r="G9747" s="758"/>
      <c r="H9747" s="758"/>
      <c r="I9747" s="519"/>
      <c r="J9747" s="758"/>
      <c r="K9747" s="758"/>
      <c r="L9747" s="758"/>
      <c r="M9747" s="758"/>
      <c r="N9747" s="758"/>
      <c r="O9747" s="758"/>
      <c r="P9747" s="758"/>
      <c r="Q9747" s="519"/>
      <c r="R9747" s="759">
        <f>$A9747*Q9747</f>
        <v>0</v>
      </c>
      <c r="S9747" s="519"/>
      <c r="T9747" s="760">
        <f>$A9747*S9747*$T$1</f>
        <v>0</v>
      </c>
      <c r="AR9747" s="758"/>
      <c r="AS9747" s="753"/>
    </row>
    <row r="9748" spans="1:45" s="520" customFormat="1" ht="12.6" thickBot="1">
      <c r="A9748" s="761" t="s">
        <v>145</v>
      </c>
      <c r="B9748" s="762">
        <f>(R9747+T9747)</f>
        <v>0</v>
      </c>
      <c r="C9748" s="763"/>
      <c r="D9748" s="763"/>
      <c r="E9748" s="763"/>
      <c r="F9748" s="764"/>
      <c r="G9748" s="763" t="s">
        <v>146</v>
      </c>
      <c r="H9748" s="763"/>
      <c r="I9748" s="765"/>
      <c r="J9748" s="763"/>
      <c r="K9748" s="763" t="s">
        <v>5</v>
      </c>
      <c r="L9748" s="766" t="s">
        <v>143</v>
      </c>
      <c r="M9748" s="766"/>
      <c r="N9748" s="766"/>
      <c r="O9748" s="766"/>
      <c r="P9748" s="766"/>
      <c r="Q9748" s="767"/>
      <c r="R9748" s="768">
        <f>SUM(R9745:R9747)</f>
        <v>39.284999999999997</v>
      </c>
      <c r="S9748" s="763"/>
      <c r="T9748" s="768">
        <f>SUM(T9745:T9747)</f>
        <v>0</v>
      </c>
      <c r="U9748" s="531"/>
      <c r="V9748" s="531"/>
      <c r="W9748" s="531"/>
      <c r="X9748" s="531"/>
      <c r="Y9748" s="531"/>
      <c r="Z9748" s="531"/>
      <c r="AA9748" s="531"/>
      <c r="AB9748" s="531"/>
      <c r="AC9748" s="531"/>
      <c r="AD9748" s="531"/>
      <c r="AE9748" s="531"/>
      <c r="AF9748" s="531"/>
      <c r="AG9748" s="531"/>
      <c r="AH9748" s="531"/>
      <c r="AI9748" s="531"/>
      <c r="AJ9748" s="531"/>
      <c r="AK9748" s="531"/>
      <c r="AL9748" s="531"/>
      <c r="AM9748" s="531"/>
      <c r="AN9748" s="531"/>
      <c r="AO9748" s="531"/>
      <c r="AR9748" s="761" t="s">
        <v>145</v>
      </c>
      <c r="AS9748" s="764"/>
    </row>
    <row r="9749" spans="1:45" s="520" customFormat="1" ht="12" thickTop="1">
      <c r="A9749" s="51"/>
      <c r="B9749" s="41"/>
      <c r="C9749" s="51"/>
      <c r="E9749" s="42" t="s">
        <v>138</v>
      </c>
      <c r="F9749" s="42" t="s">
        <v>139</v>
      </c>
      <c r="G9749" s="51"/>
      <c r="H9749" s="51"/>
      <c r="I9749" s="51"/>
      <c r="J9749" s="51"/>
      <c r="K9749" s="51" t="s">
        <v>140</v>
      </c>
      <c r="L9749" s="51"/>
      <c r="M9749" s="51"/>
      <c r="N9749" s="51"/>
      <c r="O9749" s="52"/>
      <c r="P9749" s="51"/>
      <c r="Q9749" s="51"/>
      <c r="R9749" s="51"/>
      <c r="S9749" s="51"/>
      <c r="T9749" s="41"/>
      <c r="AG9749" s="521" t="s">
        <v>268</v>
      </c>
      <c r="AH9749" s="521" t="s">
        <v>269</v>
      </c>
      <c r="AI9749" s="521" t="s">
        <v>270</v>
      </c>
      <c r="AJ9749" s="521" t="s">
        <v>271</v>
      </c>
      <c r="AK9749" s="521" t="s">
        <v>272</v>
      </c>
      <c r="AM9749" s="745" t="s">
        <v>281</v>
      </c>
      <c r="AN9749" s="746" t="s">
        <v>282</v>
      </c>
      <c r="AO9749" s="522" t="s">
        <v>278</v>
      </c>
      <c r="AR9749" s="51"/>
      <c r="AS9749" s="42" t="s">
        <v>139</v>
      </c>
    </row>
    <row r="9750" spans="1:45" s="520" customFormat="1" ht="12" customHeight="1">
      <c r="A9750" s="747">
        <v>1</v>
      </c>
      <c r="B9750" s="523" t="s">
        <v>141</v>
      </c>
      <c r="C9750" s="748"/>
      <c r="D9750" s="749" t="s">
        <v>2492</v>
      </c>
      <c r="E9750" s="1145">
        <f>IF(AND($A9750=0,$A$1="DIF"),0, ROUND(ROUND(($R9754*$S$3+($T9754*$T$3))/$A9750,2)*$C$3,2))</f>
        <v>36.950000000000003</v>
      </c>
      <c r="F9750" s="1146">
        <f>ROUND($A9750*$E9750,2)</f>
        <v>36.950000000000003</v>
      </c>
      <c r="G9750" s="752" t="s">
        <v>142</v>
      </c>
      <c r="H9750" s="753"/>
      <c r="I9750" s="754"/>
      <c r="J9750" s="753"/>
      <c r="K9750" s="753" t="s">
        <v>5</v>
      </c>
      <c r="L9750" s="755" t="s">
        <v>143</v>
      </c>
      <c r="M9750" s="755"/>
      <c r="N9750" s="755"/>
      <c r="O9750" s="755"/>
      <c r="P9750" s="755"/>
      <c r="Q9750" s="51"/>
      <c r="T9750" s="1150" t="str">
        <f>IF(AND($R9754=0,$T9754=0),"0.00","mu: "&amp; ROUND(F9750/$C$3/($R9754+$T9754*$D$9),2))</f>
        <v>mu: 1.13</v>
      </c>
      <c r="W9750" s="524"/>
      <c r="AG9750" s="1147">
        <f>IF($E9750=0,0,ROUND($R9754*$S$3*$C$3/$A9750,2))</f>
        <v>36.950000000000003</v>
      </c>
      <c r="AH9750" s="1147">
        <f>$AG9750*$A9750</f>
        <v>36.950000000000003</v>
      </c>
      <c r="AI9750" s="1148">
        <f>$E9750-$AG9750</f>
        <v>0</v>
      </c>
      <c r="AJ9750" s="1148">
        <f>$A9750*$AI9750</f>
        <v>0</v>
      </c>
      <c r="AK9750" s="1149">
        <f>ROUND(($AG9750+$AI9750)*$A9750,2)</f>
        <v>36.950000000000003</v>
      </c>
      <c r="AM9750" s="527">
        <f>ROUND(R9754,2)</f>
        <v>32.74</v>
      </c>
      <c r="AN9750" s="528">
        <f>ROUND(T9754,2)</f>
        <v>0</v>
      </c>
      <c r="AO9750" s="529">
        <f>ROUND(AM9750+AN9750,2)*A9750</f>
        <v>32.74</v>
      </c>
      <c r="AR9750" s="747">
        <v>1</v>
      </c>
      <c r="AS9750" s="1146">
        <v>40.21</v>
      </c>
    </row>
    <row r="9751" spans="1:45" s="520" customFormat="1" ht="13.2">
      <c r="A9751" s="748"/>
      <c r="B9751"/>
      <c r="C9751" s="748"/>
      <c r="D9751" s="749" t="s">
        <v>2104</v>
      </c>
      <c r="F9751" s="753"/>
      <c r="G9751" s="3"/>
      <c r="H9751" s="753"/>
      <c r="I9751" s="754"/>
      <c r="J9751" s="753"/>
      <c r="K9751" s="753" t="s">
        <v>144</v>
      </c>
      <c r="L9751" s="753"/>
      <c r="M9751" s="753"/>
      <c r="N9751" s="753"/>
      <c r="O9751" s="753"/>
      <c r="P9751" s="753"/>
      <c r="Q9751" s="51"/>
      <c r="R9751" s="530"/>
      <c r="S9751" s="757"/>
      <c r="T9751" s="753"/>
      <c r="AR9751" s="748"/>
      <c r="AS9751" s="753"/>
    </row>
    <row r="9752" spans="1:45" s="901" customFormat="1" ht="13.2">
      <c r="A9752" s="903">
        <v>1</v>
      </c>
      <c r="B9752" s="904" t="s">
        <v>863</v>
      </c>
      <c r="C9752" s="904"/>
      <c r="D9752" s="904" t="s">
        <v>2594</v>
      </c>
      <c r="E9752" s="904"/>
      <c r="F9752" s="904" t="s">
        <v>4128</v>
      </c>
      <c r="G9752" s="905" t="s">
        <v>2595</v>
      </c>
      <c r="H9752" s="902">
        <v>960</v>
      </c>
      <c r="I9752" s="904" t="s">
        <v>2596</v>
      </c>
      <c r="J9752" s="904"/>
      <c r="K9752" s="904"/>
      <c r="L9752" s="904"/>
      <c r="M9752" s="904"/>
      <c r="N9752" s="904"/>
      <c r="O9752" s="902">
        <v>4</v>
      </c>
      <c r="P9752" s="906">
        <v>38274</v>
      </c>
      <c r="Q9752" s="1415">
        <f>37.5*0.873</f>
        <v>32.737499999999997</v>
      </c>
      <c r="R9752" s="908">
        <f>$A9752*Q9752</f>
        <v>32.737499999999997</v>
      </c>
      <c r="S9752" s="907"/>
      <c r="T9752" s="909">
        <f>$A9752*S9752*$T$1</f>
        <v>0</v>
      </c>
      <c r="AR9752" s="903">
        <v>1</v>
      </c>
      <c r="AS9752" s="904" t="s">
        <v>3507</v>
      </c>
    </row>
    <row r="9753" spans="1:45" s="520" customFormat="1" ht="12">
      <c r="A9753" s="758"/>
      <c r="B9753" s="758"/>
      <c r="C9753" s="758"/>
      <c r="D9753" s="758"/>
      <c r="E9753" s="758"/>
      <c r="F9753" s="753"/>
      <c r="G9753" s="758"/>
      <c r="H9753" s="758"/>
      <c r="I9753" s="519"/>
      <c r="J9753" s="758"/>
      <c r="K9753" s="758"/>
      <c r="L9753" s="758"/>
      <c r="M9753" s="758"/>
      <c r="N9753" s="758"/>
      <c r="O9753" s="758"/>
      <c r="P9753" s="758"/>
      <c r="Q9753" s="519"/>
      <c r="R9753" s="759">
        <f>$A9753*Q9753</f>
        <v>0</v>
      </c>
      <c r="S9753" s="519"/>
      <c r="T9753" s="760">
        <f>$A9753*S9753*$T$1</f>
        <v>0</v>
      </c>
      <c r="AR9753" s="758"/>
      <c r="AS9753" s="753"/>
    </row>
    <row r="9754" spans="1:45" s="520" customFormat="1" ht="12.6" thickBot="1">
      <c r="A9754" s="761" t="s">
        <v>145</v>
      </c>
      <c r="B9754" s="762">
        <f>(R9753+T9753)</f>
        <v>0</v>
      </c>
      <c r="C9754" s="763"/>
      <c r="D9754" s="763"/>
      <c r="E9754" s="763"/>
      <c r="F9754" s="764"/>
      <c r="G9754" s="763" t="s">
        <v>146</v>
      </c>
      <c r="H9754" s="763"/>
      <c r="I9754" s="765"/>
      <c r="J9754" s="763"/>
      <c r="K9754" s="763" t="s">
        <v>5</v>
      </c>
      <c r="L9754" s="766" t="s">
        <v>143</v>
      </c>
      <c r="M9754" s="766"/>
      <c r="N9754" s="766"/>
      <c r="O9754" s="766"/>
      <c r="P9754" s="766"/>
      <c r="Q9754" s="767"/>
      <c r="R9754" s="768">
        <f>SUM(R9751:R9753)</f>
        <v>32.737499999999997</v>
      </c>
      <c r="S9754" s="763"/>
      <c r="T9754" s="768">
        <f>SUM(T9751:T9753)</f>
        <v>0</v>
      </c>
      <c r="U9754" s="531"/>
      <c r="V9754" s="531"/>
      <c r="W9754" s="531"/>
      <c r="X9754" s="531"/>
      <c r="Y9754" s="531"/>
      <c r="Z9754" s="531"/>
      <c r="AA9754" s="531"/>
      <c r="AB9754" s="531"/>
      <c r="AC9754" s="531"/>
      <c r="AD9754" s="531"/>
      <c r="AE9754" s="531"/>
      <c r="AF9754" s="531"/>
      <c r="AG9754" s="531"/>
      <c r="AH9754" s="531"/>
      <c r="AI9754" s="531"/>
      <c r="AJ9754" s="531"/>
      <c r="AK9754" s="531"/>
      <c r="AL9754" s="531"/>
      <c r="AM9754" s="531"/>
      <c r="AN9754" s="531"/>
      <c r="AO9754" s="531"/>
      <c r="AR9754" s="761" t="s">
        <v>145</v>
      </c>
      <c r="AS9754" s="764"/>
    </row>
    <row r="9755" spans="1:45" s="520" customFormat="1" thickTop="1">
      <c r="A9755" s="51"/>
      <c r="B9755" s="51"/>
      <c r="C9755" s="3"/>
      <c r="D9755" s="3"/>
      <c r="E9755" s="51"/>
      <c r="F9755" s="51"/>
      <c r="G9755" s="51"/>
      <c r="H9755" s="51"/>
      <c r="I9755" s="51"/>
      <c r="J9755" s="51"/>
      <c r="K9755" s="51" t="s">
        <v>134</v>
      </c>
      <c r="L9755" s="51"/>
      <c r="M9755" s="51"/>
      <c r="N9755" s="51"/>
      <c r="O9755" s="52"/>
      <c r="P9755" s="51"/>
      <c r="Q9755" s="51"/>
      <c r="R9755" s="51"/>
      <c r="S9755" s="51"/>
      <c r="T9755" s="51"/>
      <c r="AR9755" s="51"/>
      <c r="AS9755" s="51"/>
    </row>
    <row r="9756" spans="1:45" s="520" customFormat="1" ht="12">
      <c r="A9756" s="51"/>
      <c r="B9756" s="51"/>
      <c r="C9756" s="51" t="s">
        <v>135</v>
      </c>
      <c r="D9756" s="37"/>
      <c r="E9756" s="51"/>
      <c r="F9756" s="51"/>
      <c r="G9756" s="51"/>
      <c r="H9756" s="51"/>
      <c r="I9756" s="51"/>
      <c r="J9756" s="51"/>
      <c r="K9756" s="51"/>
      <c r="L9756" s="51"/>
      <c r="M9756" s="51"/>
      <c r="N9756" s="51"/>
      <c r="O9756" s="52"/>
      <c r="P9756" s="51"/>
      <c r="Q9756" s="51"/>
      <c r="R9756" s="51"/>
      <c r="S9756" s="51"/>
      <c r="T9756" s="51"/>
      <c r="AR9756" s="51"/>
      <c r="AS9756" s="51"/>
    </row>
    <row r="9757" spans="1:45" s="520" customFormat="1" ht="12">
      <c r="A9757" s="51"/>
      <c r="B9757" s="51"/>
      <c r="C9757" s="51"/>
      <c r="D9757" s="37" t="s">
        <v>2070</v>
      </c>
      <c r="E9757" s="51"/>
      <c r="F9757" s="51"/>
      <c r="G9757" s="51"/>
      <c r="H9757" s="51"/>
      <c r="I9757" s="51"/>
      <c r="J9757" s="51"/>
      <c r="K9757" s="51"/>
      <c r="L9757" s="51"/>
      <c r="M9757" s="51"/>
      <c r="N9757" s="51"/>
      <c r="O9757" s="52"/>
      <c r="P9757" s="51"/>
      <c r="Q9757" s="51"/>
      <c r="R9757" s="51"/>
      <c r="S9757" s="38"/>
      <c r="T9757" s="38"/>
      <c r="AR9757" s="51"/>
      <c r="AS9757" s="51"/>
    </row>
    <row r="9758" spans="1:45" s="3" customFormat="1" thickBot="1">
      <c r="A9758" s="531"/>
      <c r="O9758" s="107"/>
      <c r="AR9758" s="531"/>
    </row>
    <row r="9759" spans="1:45" s="520" customFormat="1" ht="12" thickTop="1">
      <c r="A9759" s="51"/>
      <c r="B9759" s="41"/>
      <c r="C9759" s="51"/>
      <c r="E9759" s="42" t="s">
        <v>138</v>
      </c>
      <c r="F9759" s="42" t="s">
        <v>139</v>
      </c>
      <c r="G9759" s="51"/>
      <c r="H9759" s="51"/>
      <c r="I9759" s="51"/>
      <c r="J9759" s="51"/>
      <c r="K9759" s="51" t="s">
        <v>140</v>
      </c>
      <c r="L9759" s="51"/>
      <c r="M9759" s="51"/>
      <c r="N9759" s="51"/>
      <c r="O9759" s="52"/>
      <c r="P9759" s="51"/>
      <c r="Q9759" s="51"/>
      <c r="R9759" s="51"/>
      <c r="S9759" s="51"/>
      <c r="T9759" s="41"/>
      <c r="AG9759" s="521" t="s">
        <v>268</v>
      </c>
      <c r="AH9759" s="521" t="s">
        <v>269</v>
      </c>
      <c r="AI9759" s="521" t="s">
        <v>270</v>
      </c>
      <c r="AJ9759" s="521" t="s">
        <v>271</v>
      </c>
      <c r="AK9759" s="521" t="s">
        <v>272</v>
      </c>
      <c r="AM9759" s="745" t="s">
        <v>281</v>
      </c>
      <c r="AN9759" s="746" t="s">
        <v>282</v>
      </c>
      <c r="AO9759" s="522" t="s">
        <v>278</v>
      </c>
      <c r="AR9759" s="51"/>
      <c r="AS9759" s="42" t="s">
        <v>139</v>
      </c>
    </row>
    <row r="9760" spans="1:45" s="520" customFormat="1" ht="12" customHeight="1">
      <c r="A9760" s="747">
        <v>1</v>
      </c>
      <c r="B9760" s="523" t="s">
        <v>141</v>
      </c>
      <c r="C9760" s="748"/>
      <c r="D9760" s="749" t="s">
        <v>2493</v>
      </c>
      <c r="E9760" s="1145">
        <f>IF(AND($A9760=0,$A$1="DIF"),0, ROUND(ROUND(($R9764*$S$3+($T9764*$T$3))/$A9760,2)*$C$3,2))</f>
        <v>76.86</v>
      </c>
      <c r="F9760" s="1146">
        <f>ROUND($A9760*$E9760,2)</f>
        <v>76.86</v>
      </c>
      <c r="G9760" s="752" t="s">
        <v>142</v>
      </c>
      <c r="H9760" s="753"/>
      <c r="I9760" s="754"/>
      <c r="J9760" s="753"/>
      <c r="K9760" s="753" t="s">
        <v>5</v>
      </c>
      <c r="L9760" s="755" t="s">
        <v>143</v>
      </c>
      <c r="M9760" s="755"/>
      <c r="N9760" s="755"/>
      <c r="O9760" s="755"/>
      <c r="P9760" s="755"/>
      <c r="Q9760" s="51"/>
      <c r="T9760" s="1150" t="str">
        <f>IF(AND($R9764=0,$T9764=0),"0.00","mu: "&amp; ROUND(F9760/$C$3/($R9764+$T9764*$D$9),2))</f>
        <v>mu: 1.13</v>
      </c>
      <c r="W9760" s="524"/>
      <c r="AG9760" s="1147">
        <f>IF($E9760=0,0,ROUND($R9764*$S$3*$C$3/$A9760,2))</f>
        <v>76.86</v>
      </c>
      <c r="AH9760" s="1147">
        <f>$AG9760*$A9760</f>
        <v>76.86</v>
      </c>
      <c r="AI9760" s="1148">
        <f>$E9760-$AG9760</f>
        <v>0</v>
      </c>
      <c r="AJ9760" s="1148">
        <f>$A9760*$AI9760</f>
        <v>0</v>
      </c>
      <c r="AK9760" s="1149">
        <f>ROUND(($AG9760+$AI9760)*$A9760,2)</f>
        <v>76.86</v>
      </c>
      <c r="AM9760" s="527">
        <f>ROUND(R9764,2)</f>
        <v>68.09</v>
      </c>
      <c r="AN9760" s="528">
        <f>ROUND(T9764,2)</f>
        <v>0</v>
      </c>
      <c r="AO9760" s="529">
        <f>ROUND(AM9760+AN9760,2)*A9760</f>
        <v>68.09</v>
      </c>
      <c r="AR9760" s="747">
        <v>1</v>
      </c>
      <c r="AS9760" s="1146">
        <v>83.64</v>
      </c>
    </row>
    <row r="9761" spans="1:45" s="520" customFormat="1" ht="13.2">
      <c r="A9761" s="748"/>
      <c r="B9761"/>
      <c r="C9761" s="748"/>
      <c r="D9761" s="749" t="s">
        <v>2103</v>
      </c>
      <c r="F9761" s="753"/>
      <c r="G9761" s="3"/>
      <c r="H9761" s="753"/>
      <c r="I9761" s="754"/>
      <c r="J9761" s="753"/>
      <c r="K9761" s="753" t="s">
        <v>144</v>
      </c>
      <c r="L9761" s="753"/>
      <c r="M9761" s="753"/>
      <c r="N9761" s="753"/>
      <c r="O9761" s="753"/>
      <c r="P9761" s="753"/>
      <c r="Q9761" s="51"/>
      <c r="R9761" s="530"/>
      <c r="S9761" s="757"/>
      <c r="T9761" s="753"/>
      <c r="AR9761" s="748"/>
      <c r="AS9761" s="753"/>
    </row>
    <row r="9762" spans="1:45" s="901" customFormat="1" ht="13.2">
      <c r="A9762" s="903">
        <v>1</v>
      </c>
      <c r="B9762" s="904" t="s">
        <v>863</v>
      </c>
      <c r="C9762" s="904"/>
      <c r="D9762" s="904" t="s">
        <v>2594</v>
      </c>
      <c r="E9762" s="904"/>
      <c r="F9762" s="904" t="s">
        <v>4128</v>
      </c>
      <c r="G9762" s="905" t="s">
        <v>2595</v>
      </c>
      <c r="H9762" s="902">
        <v>960</v>
      </c>
      <c r="I9762" s="904" t="s">
        <v>2596</v>
      </c>
      <c r="J9762" s="904"/>
      <c r="K9762" s="904"/>
      <c r="L9762" s="904"/>
      <c r="M9762" s="904"/>
      <c r="N9762" s="904"/>
      <c r="O9762" s="902">
        <v>4</v>
      </c>
      <c r="P9762" s="906">
        <v>38274</v>
      </c>
      <c r="Q9762" s="1415">
        <f>78*0.873</f>
        <v>68.093999999999994</v>
      </c>
      <c r="R9762" s="908">
        <f>$A9762*Q9762</f>
        <v>68.093999999999994</v>
      </c>
      <c r="S9762" s="907"/>
      <c r="T9762" s="909">
        <f>$A9762*S9762*$T$1</f>
        <v>0</v>
      </c>
      <c r="AR9762" s="903">
        <v>1</v>
      </c>
      <c r="AS9762" s="904" t="s">
        <v>3507</v>
      </c>
    </row>
    <row r="9763" spans="1:45" s="520" customFormat="1" ht="12">
      <c r="A9763" s="758"/>
      <c r="B9763" s="758"/>
      <c r="C9763" s="758"/>
      <c r="D9763" s="758"/>
      <c r="E9763" s="758"/>
      <c r="F9763" s="753"/>
      <c r="G9763" s="758"/>
      <c r="H9763" s="758"/>
      <c r="I9763" s="519"/>
      <c r="J9763" s="758"/>
      <c r="K9763" s="758"/>
      <c r="L9763" s="758"/>
      <c r="M9763" s="758"/>
      <c r="N9763" s="758"/>
      <c r="O9763" s="758"/>
      <c r="P9763" s="758"/>
      <c r="Q9763" s="519"/>
      <c r="R9763" s="759">
        <f>$A9763*Q9763</f>
        <v>0</v>
      </c>
      <c r="S9763" s="519"/>
      <c r="T9763" s="760">
        <f>$A9763*S9763*$T$1</f>
        <v>0</v>
      </c>
      <c r="AR9763" s="758"/>
      <c r="AS9763" s="753"/>
    </row>
    <row r="9764" spans="1:45" s="520" customFormat="1" ht="12.6" thickBot="1">
      <c r="A9764" s="761" t="s">
        <v>145</v>
      </c>
      <c r="B9764" s="762">
        <f>(R9763+T9763)</f>
        <v>0</v>
      </c>
      <c r="C9764" s="763"/>
      <c r="D9764" s="763"/>
      <c r="E9764" s="763"/>
      <c r="F9764" s="764"/>
      <c r="G9764" s="763" t="s">
        <v>146</v>
      </c>
      <c r="H9764" s="763"/>
      <c r="I9764" s="765"/>
      <c r="J9764" s="763"/>
      <c r="K9764" s="763" t="s">
        <v>5</v>
      </c>
      <c r="L9764" s="766" t="s">
        <v>143</v>
      </c>
      <c r="M9764" s="766"/>
      <c r="N9764" s="766"/>
      <c r="O9764" s="766"/>
      <c r="P9764" s="766"/>
      <c r="Q9764" s="767"/>
      <c r="R9764" s="768">
        <f>SUM(R9761:R9763)</f>
        <v>68.093999999999994</v>
      </c>
      <c r="S9764" s="763"/>
      <c r="T9764" s="768">
        <f>SUM(T9761:T9763)</f>
        <v>0</v>
      </c>
      <c r="U9764" s="531"/>
      <c r="V9764" s="531"/>
      <c r="W9764" s="531"/>
      <c r="X9764" s="531"/>
      <c r="Y9764" s="531"/>
      <c r="Z9764" s="531"/>
      <c r="AA9764" s="531"/>
      <c r="AB9764" s="531"/>
      <c r="AC9764" s="531"/>
      <c r="AD9764" s="531"/>
      <c r="AE9764" s="531"/>
      <c r="AF9764" s="531"/>
      <c r="AG9764" s="531"/>
      <c r="AH9764" s="531"/>
      <c r="AI9764" s="531"/>
      <c r="AJ9764" s="531"/>
      <c r="AK9764" s="531"/>
      <c r="AL9764" s="531"/>
      <c r="AM9764" s="531"/>
      <c r="AN9764" s="531"/>
      <c r="AO9764" s="531"/>
      <c r="AR9764" s="761" t="s">
        <v>145</v>
      </c>
      <c r="AS9764" s="764"/>
    </row>
    <row r="9765" spans="1:45" s="520" customFormat="1" ht="12" thickTop="1">
      <c r="A9765" s="51"/>
      <c r="B9765" s="41"/>
      <c r="C9765" s="51"/>
      <c r="E9765" s="42" t="s">
        <v>138</v>
      </c>
      <c r="F9765" s="42" t="s">
        <v>139</v>
      </c>
      <c r="G9765" s="51"/>
      <c r="H9765" s="51"/>
      <c r="I9765" s="51"/>
      <c r="J9765" s="51"/>
      <c r="K9765" s="51" t="s">
        <v>140</v>
      </c>
      <c r="L9765" s="51"/>
      <c r="M9765" s="51"/>
      <c r="N9765" s="51"/>
      <c r="O9765" s="52"/>
      <c r="P9765" s="51"/>
      <c r="Q9765" s="51"/>
      <c r="R9765" s="51"/>
      <c r="S9765" s="51"/>
      <c r="T9765" s="41"/>
      <c r="AG9765" s="521" t="s">
        <v>268</v>
      </c>
      <c r="AH9765" s="521" t="s">
        <v>269</v>
      </c>
      <c r="AI9765" s="521" t="s">
        <v>270</v>
      </c>
      <c r="AJ9765" s="521" t="s">
        <v>271</v>
      </c>
      <c r="AK9765" s="521" t="s">
        <v>272</v>
      </c>
      <c r="AM9765" s="745" t="s">
        <v>281</v>
      </c>
      <c r="AN9765" s="746" t="s">
        <v>282</v>
      </c>
      <c r="AO9765" s="522" t="s">
        <v>278</v>
      </c>
      <c r="AR9765" s="51"/>
      <c r="AS9765" s="42" t="s">
        <v>139</v>
      </c>
    </row>
    <row r="9766" spans="1:45" s="520" customFormat="1" ht="12" customHeight="1">
      <c r="A9766" s="747">
        <v>1</v>
      </c>
      <c r="B9766" s="523" t="s">
        <v>141</v>
      </c>
      <c r="C9766" s="748"/>
      <c r="D9766" s="749" t="s">
        <v>2494</v>
      </c>
      <c r="E9766" s="1145">
        <f>IF(AND($A9766=0,$A$1="DIF"),0, ROUND(ROUND(($R9770*$S$3+($T9770*$T$3))/$A9766,2)*$C$3,2))</f>
        <v>77.849999999999994</v>
      </c>
      <c r="F9766" s="1146">
        <f>ROUND($A9766*$E9766,2)</f>
        <v>77.849999999999994</v>
      </c>
      <c r="G9766" s="752" t="s">
        <v>142</v>
      </c>
      <c r="H9766" s="753"/>
      <c r="I9766" s="754"/>
      <c r="J9766" s="753"/>
      <c r="K9766" s="753" t="s">
        <v>5</v>
      </c>
      <c r="L9766" s="755" t="s">
        <v>143</v>
      </c>
      <c r="M9766" s="755"/>
      <c r="N9766" s="755"/>
      <c r="O9766" s="755"/>
      <c r="P9766" s="755"/>
      <c r="Q9766" s="51"/>
      <c r="T9766" s="1150" t="str">
        <f>IF(AND($R9770=0,$T9770=0),"0.00","mu: "&amp; ROUND(F9766/$C$3/($R9770+$T9770*$D$9),2))</f>
        <v>mu: 1.13</v>
      </c>
      <c r="W9766" s="524"/>
      <c r="AG9766" s="1147">
        <f>IF($E9766=0,0,ROUND($R9770*$S$3*$C$3/$A9766,2))</f>
        <v>77.849999999999994</v>
      </c>
      <c r="AH9766" s="1147">
        <f>$AG9766*$A9766</f>
        <v>77.849999999999994</v>
      </c>
      <c r="AI9766" s="1148">
        <f>$E9766-$AG9766</f>
        <v>0</v>
      </c>
      <c r="AJ9766" s="1148">
        <f>$A9766*$AI9766</f>
        <v>0</v>
      </c>
      <c r="AK9766" s="1149">
        <f>ROUND(($AG9766+$AI9766)*$A9766,2)</f>
        <v>77.849999999999994</v>
      </c>
      <c r="AM9766" s="527">
        <f>ROUND(R9770,2)</f>
        <v>68.97</v>
      </c>
      <c r="AN9766" s="528">
        <f>ROUND(T9770,2)</f>
        <v>0</v>
      </c>
      <c r="AO9766" s="529">
        <f>ROUND(AM9766+AN9766,2)*A9766</f>
        <v>68.97</v>
      </c>
      <c r="AR9766" s="747">
        <v>1</v>
      </c>
      <c r="AS9766" s="1146">
        <v>84.71</v>
      </c>
    </row>
    <row r="9767" spans="1:45" s="520" customFormat="1" ht="13.2">
      <c r="A9767" s="748"/>
      <c r="B9767"/>
      <c r="C9767" s="748"/>
      <c r="D9767" s="749" t="s">
        <v>2104</v>
      </c>
      <c r="F9767" s="753"/>
      <c r="G9767" s="3"/>
      <c r="H9767" s="753"/>
      <c r="I9767" s="754"/>
      <c r="J9767" s="753"/>
      <c r="K9767" s="753" t="s">
        <v>144</v>
      </c>
      <c r="L9767" s="753"/>
      <c r="M9767" s="753"/>
      <c r="N9767" s="753"/>
      <c r="O9767" s="753"/>
      <c r="P9767" s="753"/>
      <c r="Q9767" s="51"/>
      <c r="R9767" s="530"/>
      <c r="S9767" s="757"/>
      <c r="T9767" s="753"/>
      <c r="AR9767" s="748"/>
      <c r="AS9767" s="753"/>
    </row>
    <row r="9768" spans="1:45" s="901" customFormat="1" ht="13.2">
      <c r="A9768" s="903">
        <v>1</v>
      </c>
      <c r="B9768" s="904" t="s">
        <v>863</v>
      </c>
      <c r="C9768" s="904"/>
      <c r="D9768" s="904" t="s">
        <v>2594</v>
      </c>
      <c r="E9768" s="904"/>
      <c r="F9768" s="904" t="s">
        <v>4128</v>
      </c>
      <c r="G9768" s="905" t="s">
        <v>2595</v>
      </c>
      <c r="H9768" s="902">
        <v>960</v>
      </c>
      <c r="I9768" s="904" t="s">
        <v>2596</v>
      </c>
      <c r="J9768" s="904"/>
      <c r="K9768" s="904"/>
      <c r="L9768" s="904"/>
      <c r="M9768" s="904"/>
      <c r="N9768" s="904"/>
      <c r="O9768" s="902">
        <v>4</v>
      </c>
      <c r="P9768" s="906">
        <v>38274</v>
      </c>
      <c r="Q9768" s="1415">
        <f>79*0.873</f>
        <v>68.966999999999999</v>
      </c>
      <c r="R9768" s="908">
        <f>$A9768*Q9768</f>
        <v>68.966999999999999</v>
      </c>
      <c r="S9768" s="907"/>
      <c r="T9768" s="909">
        <f>$A9768*S9768*$T$1</f>
        <v>0</v>
      </c>
      <c r="AR9768" s="903">
        <v>1</v>
      </c>
      <c r="AS9768" s="904" t="s">
        <v>3507</v>
      </c>
    </row>
    <row r="9769" spans="1:45" s="520" customFormat="1" ht="12">
      <c r="A9769" s="758"/>
      <c r="B9769" s="758"/>
      <c r="C9769" s="758"/>
      <c r="D9769" s="758"/>
      <c r="E9769" s="758"/>
      <c r="F9769" s="753"/>
      <c r="G9769" s="758"/>
      <c r="H9769" s="758"/>
      <c r="I9769" s="519"/>
      <c r="J9769" s="758"/>
      <c r="K9769" s="758"/>
      <c r="L9769" s="758"/>
      <c r="M9769" s="758"/>
      <c r="N9769" s="758"/>
      <c r="O9769" s="758"/>
      <c r="P9769" s="758"/>
      <c r="Q9769" s="519"/>
      <c r="R9769" s="759">
        <f>$A9769*Q9769</f>
        <v>0</v>
      </c>
      <c r="S9769" s="519"/>
      <c r="T9769" s="760">
        <f>$A9769*S9769*$T$1</f>
        <v>0</v>
      </c>
      <c r="AR9769" s="758"/>
      <c r="AS9769" s="753"/>
    </row>
    <row r="9770" spans="1:45" s="520" customFormat="1" ht="12.6" thickBot="1">
      <c r="A9770" s="761" t="s">
        <v>145</v>
      </c>
      <c r="B9770" s="762">
        <f>(R9769+T9769)</f>
        <v>0</v>
      </c>
      <c r="C9770" s="763"/>
      <c r="D9770" s="763"/>
      <c r="E9770" s="763"/>
      <c r="F9770" s="764"/>
      <c r="G9770" s="763" t="s">
        <v>146</v>
      </c>
      <c r="H9770" s="763"/>
      <c r="I9770" s="765"/>
      <c r="J9770" s="763"/>
      <c r="K9770" s="763" t="s">
        <v>5</v>
      </c>
      <c r="L9770" s="766" t="s">
        <v>143</v>
      </c>
      <c r="M9770" s="766"/>
      <c r="N9770" s="766"/>
      <c r="O9770" s="766"/>
      <c r="P9770" s="766"/>
      <c r="Q9770" s="767"/>
      <c r="R9770" s="768">
        <f>SUM(R9767:R9769)</f>
        <v>68.966999999999999</v>
      </c>
      <c r="S9770" s="763"/>
      <c r="T9770" s="768">
        <f>SUM(T9767:T9769)</f>
        <v>0</v>
      </c>
      <c r="U9770" s="531"/>
      <c r="V9770" s="531"/>
      <c r="W9770" s="531"/>
      <c r="X9770" s="531"/>
      <c r="Y9770" s="531"/>
      <c r="Z9770" s="531"/>
      <c r="AA9770" s="531"/>
      <c r="AB9770" s="531"/>
      <c r="AC9770" s="531"/>
      <c r="AD9770" s="531"/>
      <c r="AE9770" s="531"/>
      <c r="AF9770" s="531"/>
      <c r="AG9770" s="531"/>
      <c r="AH9770" s="531"/>
      <c r="AI9770" s="531"/>
      <c r="AJ9770" s="531"/>
      <c r="AK9770" s="531"/>
      <c r="AL9770" s="531"/>
      <c r="AM9770" s="531"/>
      <c r="AN9770" s="531"/>
      <c r="AO9770" s="531"/>
      <c r="AR9770" s="761" t="s">
        <v>145</v>
      </c>
      <c r="AS9770" s="764"/>
    </row>
    <row r="9771" spans="1:45" s="520" customFormat="1" thickTop="1">
      <c r="A9771" s="51"/>
      <c r="B9771" s="51"/>
      <c r="C9771" s="3"/>
      <c r="D9771" s="3"/>
      <c r="E9771" s="51"/>
      <c r="F9771" s="51"/>
      <c r="G9771" s="51"/>
      <c r="H9771" s="51"/>
      <c r="I9771" s="51"/>
      <c r="J9771" s="51"/>
      <c r="K9771" s="51" t="s">
        <v>134</v>
      </c>
      <c r="L9771" s="51"/>
      <c r="M9771" s="51"/>
      <c r="N9771" s="51"/>
      <c r="O9771" s="52"/>
      <c r="P9771" s="51"/>
      <c r="Q9771" s="51"/>
      <c r="R9771" s="51"/>
      <c r="S9771" s="51"/>
      <c r="T9771" s="51"/>
      <c r="AR9771" s="51"/>
      <c r="AS9771" s="51"/>
    </row>
    <row r="9772" spans="1:45" s="520" customFormat="1" ht="12">
      <c r="A9772" s="51"/>
      <c r="B9772" s="51"/>
      <c r="C9772" s="51" t="s">
        <v>135</v>
      </c>
      <c r="D9772" s="37"/>
      <c r="E9772" s="51"/>
      <c r="F9772" s="51"/>
      <c r="G9772" s="51"/>
      <c r="H9772" s="51"/>
      <c r="I9772" s="51"/>
      <c r="J9772" s="51"/>
      <c r="K9772" s="51"/>
      <c r="L9772" s="51"/>
      <c r="M9772" s="51"/>
      <c r="N9772" s="51"/>
      <c r="O9772" s="52"/>
      <c r="P9772" s="51"/>
      <c r="Q9772" s="51"/>
      <c r="R9772" s="51"/>
      <c r="S9772" s="51"/>
      <c r="T9772" s="51"/>
      <c r="AR9772" s="51"/>
      <c r="AS9772" s="51"/>
    </row>
    <row r="9773" spans="1:45" s="520" customFormat="1" ht="12">
      <c r="A9773" s="51"/>
      <c r="B9773" s="51"/>
      <c r="C9773" s="51"/>
      <c r="D9773" s="37" t="s">
        <v>379</v>
      </c>
      <c r="E9773" s="51"/>
      <c r="F9773" s="51"/>
      <c r="G9773" s="51"/>
      <c r="H9773" s="51"/>
      <c r="I9773" s="51"/>
      <c r="J9773" s="51"/>
      <c r="K9773" s="51"/>
      <c r="L9773" s="51"/>
      <c r="M9773" s="51"/>
      <c r="N9773" s="51"/>
      <c r="O9773" s="52"/>
      <c r="P9773" s="51"/>
      <c r="Q9773" s="51"/>
      <c r="R9773" s="51"/>
      <c r="S9773" s="38"/>
      <c r="T9773" s="38"/>
      <c r="AR9773" s="51"/>
      <c r="AS9773" s="51"/>
    </row>
    <row r="9774" spans="1:45" s="3" customFormat="1" thickBot="1">
      <c r="A9774" s="531"/>
      <c r="O9774" s="107"/>
      <c r="AR9774" s="531"/>
    </row>
    <row r="9775" spans="1:45" s="520" customFormat="1" ht="12" thickTop="1">
      <c r="A9775" s="51"/>
      <c r="B9775" s="41"/>
      <c r="C9775" s="51"/>
      <c r="E9775" s="42" t="s">
        <v>138</v>
      </c>
      <c r="F9775" s="42" t="s">
        <v>139</v>
      </c>
      <c r="G9775" s="51"/>
      <c r="H9775" s="51"/>
      <c r="I9775" s="51"/>
      <c r="J9775" s="51"/>
      <c r="K9775" s="51" t="s">
        <v>140</v>
      </c>
      <c r="L9775" s="51"/>
      <c r="M9775" s="51"/>
      <c r="N9775" s="51"/>
      <c r="O9775" s="52"/>
      <c r="P9775" s="51"/>
      <c r="Q9775" s="51"/>
      <c r="R9775" s="51"/>
      <c r="S9775" s="51"/>
      <c r="T9775" s="41"/>
      <c r="AG9775" s="521" t="s">
        <v>268</v>
      </c>
      <c r="AH9775" s="521" t="s">
        <v>269</v>
      </c>
      <c r="AI9775" s="521" t="s">
        <v>270</v>
      </c>
      <c r="AJ9775" s="521" t="s">
        <v>271</v>
      </c>
      <c r="AK9775" s="521" t="s">
        <v>272</v>
      </c>
      <c r="AM9775" s="745" t="s">
        <v>281</v>
      </c>
      <c r="AN9775" s="746" t="s">
        <v>282</v>
      </c>
      <c r="AO9775" s="522" t="s">
        <v>278</v>
      </c>
      <c r="AR9775" s="51"/>
      <c r="AS9775" s="42" t="s">
        <v>139</v>
      </c>
    </row>
    <row r="9776" spans="1:45" s="520" customFormat="1" ht="12" customHeight="1">
      <c r="A9776" s="747">
        <v>1</v>
      </c>
      <c r="B9776" s="523" t="s">
        <v>299</v>
      </c>
      <c r="C9776" s="748"/>
      <c r="D9776" s="749" t="s">
        <v>2495</v>
      </c>
      <c r="E9776" s="1145">
        <f>IF(AND($A9776=0,$A$1="DIF"),0, ROUND(ROUND(($R9780*$S$3+($T9780*$T$3))/$A9776,2)*$C$3,2))</f>
        <v>492.69</v>
      </c>
      <c r="F9776" s="1146">
        <f>ROUND($A9776*$E9776,2)</f>
        <v>492.69</v>
      </c>
      <c r="G9776" s="752" t="s">
        <v>142</v>
      </c>
      <c r="H9776" s="753"/>
      <c r="I9776" s="754"/>
      <c r="J9776" s="753"/>
      <c r="K9776" s="753" t="s">
        <v>5</v>
      </c>
      <c r="L9776" s="755" t="s">
        <v>143</v>
      </c>
      <c r="M9776" s="755"/>
      <c r="N9776" s="755"/>
      <c r="O9776" s="755"/>
      <c r="P9776" s="755"/>
      <c r="Q9776" s="51"/>
      <c r="T9776" s="1150" t="str">
        <f>IF(AND($R9780=0,$T9780=0),"0.00","mu: "&amp; ROUND(F9776/$C$3/($R9780+$T9780*$D$9),2))</f>
        <v>mu: 1.13</v>
      </c>
      <c r="W9776" s="524"/>
      <c r="AG9776" s="1147">
        <f>IF($E9776=0,0,ROUND($R9780*$S$3*$C$3/$A9776,2))</f>
        <v>492.69</v>
      </c>
      <c r="AH9776" s="1147">
        <f>$AG9776*$A9776</f>
        <v>492.69</v>
      </c>
      <c r="AI9776" s="1148">
        <f>$E9776-$AG9776</f>
        <v>0</v>
      </c>
      <c r="AJ9776" s="1148">
        <f>$A9776*$AI9776</f>
        <v>0</v>
      </c>
      <c r="AK9776" s="1149">
        <f>ROUND(($AG9776+$AI9776)*$A9776,2)</f>
        <v>492.69</v>
      </c>
      <c r="AM9776" s="527">
        <f>ROUND(R9780,2)</f>
        <v>436.5</v>
      </c>
      <c r="AN9776" s="528">
        <f>ROUND(T9780,2)</f>
        <v>0</v>
      </c>
      <c r="AO9776" s="529">
        <f>ROUND(AM9776+AN9776,2)*A9776</f>
        <v>436.5</v>
      </c>
      <c r="AR9776" s="747">
        <v>1</v>
      </c>
      <c r="AS9776" s="1146">
        <v>536.15</v>
      </c>
    </row>
    <row r="9777" spans="1:45" s="520" customFormat="1" ht="13.2">
      <c r="A9777" s="748"/>
      <c r="B9777"/>
      <c r="C9777" s="748"/>
      <c r="D9777" s="749" t="s">
        <v>2105</v>
      </c>
      <c r="F9777" s="753"/>
      <c r="G9777" s="3"/>
      <c r="H9777" s="753"/>
      <c r="I9777" s="754"/>
      <c r="J9777" s="753"/>
      <c r="K9777" s="753" t="s">
        <v>144</v>
      </c>
      <c r="L9777" s="753"/>
      <c r="M9777" s="753"/>
      <c r="N9777" s="753"/>
      <c r="O9777" s="753"/>
      <c r="P9777" s="753"/>
      <c r="Q9777" s="51"/>
      <c r="R9777" s="530"/>
      <c r="S9777" s="757"/>
      <c r="T9777" s="753"/>
      <c r="AR9777" s="748"/>
      <c r="AS9777" s="753"/>
    </row>
    <row r="9778" spans="1:45" s="901" customFormat="1" ht="13.2">
      <c r="A9778" s="903">
        <v>1</v>
      </c>
      <c r="B9778" s="904" t="s">
        <v>863</v>
      </c>
      <c r="C9778" s="904"/>
      <c r="D9778" s="904" t="s">
        <v>2594</v>
      </c>
      <c r="E9778" s="904"/>
      <c r="F9778" s="904" t="s">
        <v>4128</v>
      </c>
      <c r="G9778" s="905" t="s">
        <v>2595</v>
      </c>
      <c r="H9778" s="902">
        <v>960</v>
      </c>
      <c r="I9778" s="904" t="s">
        <v>2596</v>
      </c>
      <c r="J9778" s="904"/>
      <c r="K9778" s="904"/>
      <c r="L9778" s="904"/>
      <c r="M9778" s="904"/>
      <c r="N9778" s="904"/>
      <c r="O9778" s="902">
        <v>4</v>
      </c>
      <c r="P9778" s="906">
        <v>38274</v>
      </c>
      <c r="Q9778" s="1415">
        <f>500*0.873</f>
        <v>436.5</v>
      </c>
      <c r="R9778" s="908">
        <f>$A9778*Q9778</f>
        <v>436.5</v>
      </c>
      <c r="S9778" s="907"/>
      <c r="T9778" s="909">
        <f>$A9778*S9778*$T$1</f>
        <v>0</v>
      </c>
      <c r="AR9778" s="903">
        <v>1</v>
      </c>
      <c r="AS9778" s="904" t="s">
        <v>3507</v>
      </c>
    </row>
    <row r="9779" spans="1:45" s="520" customFormat="1" ht="12">
      <c r="A9779" s="758"/>
      <c r="B9779" s="758"/>
      <c r="C9779" s="758"/>
      <c r="D9779" s="758"/>
      <c r="E9779" s="758"/>
      <c r="F9779" s="753"/>
      <c r="G9779" s="758"/>
      <c r="H9779" s="758"/>
      <c r="I9779" s="519"/>
      <c r="J9779" s="758"/>
      <c r="K9779" s="758"/>
      <c r="L9779" s="758"/>
      <c r="M9779" s="758"/>
      <c r="N9779" s="758"/>
      <c r="O9779" s="758"/>
      <c r="P9779" s="758"/>
      <c r="Q9779" s="519"/>
      <c r="R9779" s="759">
        <f>$A9779*Q9779</f>
        <v>0</v>
      </c>
      <c r="S9779" s="519"/>
      <c r="T9779" s="760">
        <f>$A9779*S9779*$T$1</f>
        <v>0</v>
      </c>
      <c r="AR9779" s="758"/>
      <c r="AS9779" s="753"/>
    </row>
    <row r="9780" spans="1:45" s="520" customFormat="1" ht="12.6" thickBot="1">
      <c r="A9780" s="761" t="s">
        <v>145</v>
      </c>
      <c r="B9780" s="762">
        <f>(R9779+T9779)</f>
        <v>0</v>
      </c>
      <c r="C9780" s="763"/>
      <c r="D9780" s="763"/>
      <c r="E9780" s="763"/>
      <c r="F9780" s="764"/>
      <c r="G9780" s="763" t="s">
        <v>146</v>
      </c>
      <c r="H9780" s="763"/>
      <c r="I9780" s="765"/>
      <c r="J9780" s="763"/>
      <c r="K9780" s="763" t="s">
        <v>5</v>
      </c>
      <c r="L9780" s="766" t="s">
        <v>143</v>
      </c>
      <c r="M9780" s="766"/>
      <c r="N9780" s="766"/>
      <c r="O9780" s="766"/>
      <c r="P9780" s="766"/>
      <c r="Q9780" s="767"/>
      <c r="R9780" s="768">
        <f>SUM(R9777:R9779)</f>
        <v>436.5</v>
      </c>
      <c r="S9780" s="763"/>
      <c r="T9780" s="768">
        <f>SUM(T9777:T9779)</f>
        <v>0</v>
      </c>
      <c r="U9780" s="531"/>
      <c r="V9780" s="531"/>
      <c r="W9780" s="531"/>
      <c r="X9780" s="531"/>
      <c r="Y9780" s="531"/>
      <c r="Z9780" s="531"/>
      <c r="AA9780" s="531"/>
      <c r="AB9780" s="531"/>
      <c r="AC9780" s="531"/>
      <c r="AD9780" s="531"/>
      <c r="AE9780" s="531"/>
      <c r="AF9780" s="531"/>
      <c r="AG9780" s="531"/>
      <c r="AH9780" s="531"/>
      <c r="AI9780" s="531"/>
      <c r="AJ9780" s="531"/>
      <c r="AK9780" s="531"/>
      <c r="AL9780" s="531"/>
      <c r="AM9780" s="531"/>
      <c r="AN9780" s="531"/>
      <c r="AO9780" s="531"/>
      <c r="AR9780" s="761" t="s">
        <v>145</v>
      </c>
      <c r="AS9780" s="764"/>
    </row>
    <row r="9781" spans="1:45" s="520" customFormat="1" ht="12" thickTop="1">
      <c r="A9781" s="51"/>
      <c r="B9781" s="41"/>
      <c r="C9781" s="51"/>
      <c r="E9781" s="42" t="s">
        <v>138</v>
      </c>
      <c r="F9781" s="42" t="s">
        <v>139</v>
      </c>
      <c r="G9781" s="51"/>
      <c r="H9781" s="51"/>
      <c r="I9781" s="51"/>
      <c r="J9781" s="51"/>
      <c r="K9781" s="51" t="s">
        <v>140</v>
      </c>
      <c r="L9781" s="51"/>
      <c r="M9781" s="51"/>
      <c r="N9781" s="51"/>
      <c r="O9781" s="52"/>
      <c r="P9781" s="51"/>
      <c r="Q9781" s="51"/>
      <c r="R9781" s="51"/>
      <c r="S9781" s="51"/>
      <c r="T9781" s="41"/>
      <c r="AG9781" s="521" t="s">
        <v>268</v>
      </c>
      <c r="AH9781" s="521" t="s">
        <v>269</v>
      </c>
      <c r="AI9781" s="521" t="s">
        <v>270</v>
      </c>
      <c r="AJ9781" s="521" t="s">
        <v>271</v>
      </c>
      <c r="AK9781" s="521" t="s">
        <v>272</v>
      </c>
      <c r="AM9781" s="745" t="s">
        <v>281</v>
      </c>
      <c r="AN9781" s="746" t="s">
        <v>282</v>
      </c>
      <c r="AO9781" s="522" t="s">
        <v>278</v>
      </c>
      <c r="AR9781" s="51"/>
      <c r="AS9781" s="42" t="s">
        <v>139</v>
      </c>
    </row>
    <row r="9782" spans="1:45" s="520" customFormat="1" ht="12" customHeight="1">
      <c r="A9782" s="747">
        <v>1</v>
      </c>
      <c r="B9782" s="523" t="s">
        <v>299</v>
      </c>
      <c r="C9782" s="748"/>
      <c r="D9782" s="749" t="s">
        <v>2496</v>
      </c>
      <c r="E9782" s="1145">
        <f>IF(AND($A9782=0,$A$1="DIF"),0, ROUND(ROUND(($R9786*$S$3+($T9786*$T$3))/$A9782,2)*$C$3,2))</f>
        <v>985.38</v>
      </c>
      <c r="F9782" s="1146">
        <f>ROUND($A9782*$E9782,2)</f>
        <v>985.38</v>
      </c>
      <c r="G9782" s="752" t="s">
        <v>142</v>
      </c>
      <c r="H9782" s="753"/>
      <c r="I9782" s="754"/>
      <c r="J9782" s="753"/>
      <c r="K9782" s="753" t="s">
        <v>5</v>
      </c>
      <c r="L9782" s="755" t="s">
        <v>143</v>
      </c>
      <c r="M9782" s="755"/>
      <c r="N9782" s="755"/>
      <c r="O9782" s="755"/>
      <c r="P9782" s="755"/>
      <c r="Q9782" s="51"/>
      <c r="T9782" s="1150" t="str">
        <f>IF(AND($R9786=0,$T9786=0),"0.00","mu: "&amp; ROUND(F9782/$C$3/($R9786+$T9786*$D$9),2))</f>
        <v>mu: 1.13</v>
      </c>
      <c r="W9782" s="524"/>
      <c r="AG9782" s="1147">
        <f>IF($E9782=0,0,ROUND($R9786*$S$3*$C$3/$A9782,2))</f>
        <v>985.38</v>
      </c>
      <c r="AH9782" s="1147">
        <f>$AG9782*$A9782</f>
        <v>985.38</v>
      </c>
      <c r="AI9782" s="1148">
        <f>$E9782-$AG9782</f>
        <v>0</v>
      </c>
      <c r="AJ9782" s="1148">
        <f>$A9782*$AI9782</f>
        <v>0</v>
      </c>
      <c r="AK9782" s="1149">
        <f>ROUND(($AG9782+$AI9782)*$A9782,2)</f>
        <v>985.38</v>
      </c>
      <c r="AM9782" s="527">
        <f>ROUND(R9786,2)</f>
        <v>873</v>
      </c>
      <c r="AN9782" s="528">
        <f>ROUND(T9786,2)</f>
        <v>0</v>
      </c>
      <c r="AO9782" s="529">
        <f>ROUND(AM9782+AN9782,2)*A9782</f>
        <v>873</v>
      </c>
      <c r="AR9782" s="747">
        <v>1</v>
      </c>
      <c r="AS9782" s="1146">
        <v>1072.3</v>
      </c>
    </row>
    <row r="9783" spans="1:45" s="520" customFormat="1" ht="13.2">
      <c r="A9783" s="748"/>
      <c r="B9783"/>
      <c r="C9783" s="748"/>
      <c r="D9783" s="749" t="s">
        <v>381</v>
      </c>
      <c r="F9783" s="753"/>
      <c r="G9783" s="3"/>
      <c r="H9783" s="753"/>
      <c r="I9783" s="754"/>
      <c r="J9783" s="753"/>
      <c r="K9783" s="753" t="s">
        <v>144</v>
      </c>
      <c r="L9783" s="753"/>
      <c r="M9783" s="753"/>
      <c r="N9783" s="753"/>
      <c r="O9783" s="753"/>
      <c r="P9783" s="753"/>
      <c r="Q9783" s="51"/>
      <c r="R9783" s="530"/>
      <c r="S9783" s="757"/>
      <c r="T9783" s="753"/>
      <c r="AR9783" s="748"/>
      <c r="AS9783" s="753"/>
    </row>
    <row r="9784" spans="1:45" s="901" customFormat="1" ht="13.2">
      <c r="A9784" s="903">
        <v>1</v>
      </c>
      <c r="B9784" s="904" t="s">
        <v>863</v>
      </c>
      <c r="C9784" s="904"/>
      <c r="D9784" s="904" t="s">
        <v>2594</v>
      </c>
      <c r="E9784" s="904"/>
      <c r="F9784" s="904" t="s">
        <v>4128</v>
      </c>
      <c r="G9784" s="905" t="s">
        <v>2595</v>
      </c>
      <c r="H9784" s="902">
        <v>960</v>
      </c>
      <c r="I9784" s="904" t="s">
        <v>2596</v>
      </c>
      <c r="J9784" s="904"/>
      <c r="K9784" s="904"/>
      <c r="L9784" s="904"/>
      <c r="M9784" s="904"/>
      <c r="N9784" s="904"/>
      <c r="O9784" s="902">
        <v>4</v>
      </c>
      <c r="P9784" s="906">
        <v>38274</v>
      </c>
      <c r="Q9784" s="1415">
        <f>1000*0.873</f>
        <v>873</v>
      </c>
      <c r="R9784" s="908">
        <f>$A9784*Q9784</f>
        <v>873</v>
      </c>
      <c r="S9784" s="907"/>
      <c r="T9784" s="909">
        <f>$A9784*S9784*$T$1</f>
        <v>0</v>
      </c>
      <c r="AR9784" s="903">
        <v>1</v>
      </c>
      <c r="AS9784" s="904" t="s">
        <v>3507</v>
      </c>
    </row>
    <row r="9785" spans="1:45" s="520" customFormat="1" ht="12">
      <c r="A9785" s="758"/>
      <c r="B9785" s="758"/>
      <c r="C9785" s="758"/>
      <c r="D9785" s="758"/>
      <c r="E9785" s="758"/>
      <c r="F9785" s="753"/>
      <c r="G9785" s="758"/>
      <c r="H9785" s="758"/>
      <c r="I9785" s="519"/>
      <c r="J9785" s="758"/>
      <c r="K9785" s="758"/>
      <c r="L9785" s="758"/>
      <c r="M9785" s="758"/>
      <c r="N9785" s="758"/>
      <c r="O9785" s="758"/>
      <c r="P9785" s="758"/>
      <c r="Q9785" s="519"/>
      <c r="R9785" s="759">
        <f>$A9785*Q9785</f>
        <v>0</v>
      </c>
      <c r="S9785" s="519"/>
      <c r="T9785" s="760">
        <f>$A9785*S9785*$T$1</f>
        <v>0</v>
      </c>
      <c r="AR9785" s="758"/>
      <c r="AS9785" s="753"/>
    </row>
    <row r="9786" spans="1:45" s="520" customFormat="1" ht="12.6" thickBot="1">
      <c r="A9786" s="761" t="s">
        <v>145</v>
      </c>
      <c r="B9786" s="762">
        <f>(R9785+T9785)</f>
        <v>0</v>
      </c>
      <c r="C9786" s="763"/>
      <c r="D9786" s="763"/>
      <c r="E9786" s="763"/>
      <c r="F9786" s="764"/>
      <c r="G9786" s="763" t="s">
        <v>146</v>
      </c>
      <c r="H9786" s="763"/>
      <c r="I9786" s="765"/>
      <c r="J9786" s="763"/>
      <c r="K9786" s="763" t="s">
        <v>5</v>
      </c>
      <c r="L9786" s="766" t="s">
        <v>143</v>
      </c>
      <c r="M9786" s="766"/>
      <c r="N9786" s="766"/>
      <c r="O9786" s="766"/>
      <c r="P9786" s="766"/>
      <c r="Q9786" s="767"/>
      <c r="R9786" s="768">
        <f>SUM(R9783:R9785)</f>
        <v>873</v>
      </c>
      <c r="S9786" s="763"/>
      <c r="T9786" s="768">
        <f>SUM(T9783:T9785)</f>
        <v>0</v>
      </c>
      <c r="U9786" s="531"/>
      <c r="V9786" s="531"/>
      <c r="W9786" s="531"/>
      <c r="X9786" s="531"/>
      <c r="Y9786" s="531"/>
      <c r="Z9786" s="531"/>
      <c r="AA9786" s="531"/>
      <c r="AB9786" s="531"/>
      <c r="AC9786" s="531"/>
      <c r="AD9786" s="531"/>
      <c r="AE9786" s="531"/>
      <c r="AF9786" s="531"/>
      <c r="AG9786" s="531"/>
      <c r="AH9786" s="531"/>
      <c r="AI9786" s="531"/>
      <c r="AJ9786" s="531"/>
      <c r="AK9786" s="531"/>
      <c r="AL9786" s="531"/>
      <c r="AM9786" s="531"/>
      <c r="AN9786" s="531"/>
      <c r="AO9786" s="531"/>
      <c r="AR9786" s="761" t="s">
        <v>145</v>
      </c>
      <c r="AS9786" s="764"/>
    </row>
    <row r="9787" spans="1:45" s="520" customFormat="1" ht="12" thickTop="1">
      <c r="A9787" s="51"/>
      <c r="B9787" s="41"/>
      <c r="C9787" s="51"/>
      <c r="E9787" s="42" t="s">
        <v>138</v>
      </c>
      <c r="F9787" s="42" t="s">
        <v>139</v>
      </c>
      <c r="G9787" s="51"/>
      <c r="H9787" s="51"/>
      <c r="I9787" s="51"/>
      <c r="J9787" s="51"/>
      <c r="K9787" s="51" t="s">
        <v>140</v>
      </c>
      <c r="L9787" s="51"/>
      <c r="M9787" s="51"/>
      <c r="N9787" s="51"/>
      <c r="O9787" s="52"/>
      <c r="P9787" s="51"/>
      <c r="Q9787" s="51"/>
      <c r="R9787" s="51"/>
      <c r="S9787" s="51"/>
      <c r="T9787" s="41"/>
      <c r="AG9787" s="521" t="s">
        <v>268</v>
      </c>
      <c r="AH9787" s="521" t="s">
        <v>269</v>
      </c>
      <c r="AI9787" s="521" t="s">
        <v>270</v>
      </c>
      <c r="AJ9787" s="521" t="s">
        <v>271</v>
      </c>
      <c r="AK9787" s="521" t="s">
        <v>272</v>
      </c>
      <c r="AM9787" s="745" t="s">
        <v>281</v>
      </c>
      <c r="AN9787" s="746" t="s">
        <v>282</v>
      </c>
      <c r="AO9787" s="522" t="s">
        <v>278</v>
      </c>
      <c r="AR9787" s="51"/>
      <c r="AS9787" s="42" t="s">
        <v>139</v>
      </c>
    </row>
    <row r="9788" spans="1:45" s="520" customFormat="1" ht="12" customHeight="1">
      <c r="A9788" s="747">
        <v>1</v>
      </c>
      <c r="B9788" s="523" t="s">
        <v>383</v>
      </c>
      <c r="C9788" s="748"/>
      <c r="D9788" s="749" t="s">
        <v>2497</v>
      </c>
      <c r="E9788" s="750">
        <f>IF(AND($A9788=0,$A$1="DIF"),0, ROUND(ROUND(($R9794*$S$2+($T9794*$T$2))/A9788,2)*$C$2,2))</f>
        <v>349.83</v>
      </c>
      <c r="F9788" s="751">
        <f>ROUND($A9788*$E9788,2)</f>
        <v>349.83</v>
      </c>
      <c r="G9788" s="752" t="s">
        <v>142</v>
      </c>
      <c r="H9788" s="753"/>
      <c r="I9788" s="754"/>
      <c r="J9788" s="753"/>
      <c r="K9788" s="753" t="s">
        <v>3</v>
      </c>
      <c r="L9788" s="755" t="s">
        <v>143</v>
      </c>
      <c r="M9788" s="755"/>
      <c r="N9788" s="755"/>
      <c r="O9788" s="755"/>
      <c r="P9788" s="755"/>
      <c r="Q9788" s="51"/>
      <c r="T9788" s="756" t="str">
        <f>IF(AND($R9794=0,$T9794=0),"0.00","mu :" &amp; ROUND($F9788/$C$2/($R9794+$T9794*$D$9),2))</f>
        <v>mu :1.23</v>
      </c>
      <c r="W9788" s="524"/>
      <c r="AG9788" s="481">
        <f>IF($E9788=0,0,ROUND($R9794*$S$2*$C$2/$A9788,2))</f>
        <v>174.85</v>
      </c>
      <c r="AH9788" s="481">
        <f>$AG9788*$A9788</f>
        <v>174.85</v>
      </c>
      <c r="AI9788" s="525">
        <f>$E9788-$AG9788</f>
        <v>174.98</v>
      </c>
      <c r="AJ9788" s="525">
        <f>$A9788*$AI9788</f>
        <v>174.98</v>
      </c>
      <c r="AK9788" s="526">
        <f>ROUND(($AG9788+$AI9788)*$A9788,2)</f>
        <v>349.83</v>
      </c>
      <c r="AM9788" s="527">
        <f>ROUND(R9794,2)</f>
        <v>142</v>
      </c>
      <c r="AN9788" s="528">
        <f>ROUND(T9794,2)</f>
        <v>5.18</v>
      </c>
      <c r="AO9788" s="529">
        <f>ROUND(AM9788+AN9788,2)*A9788</f>
        <v>147.18</v>
      </c>
      <c r="AR9788" s="747">
        <v>1</v>
      </c>
      <c r="AS9788" s="751">
        <v>369.27</v>
      </c>
    </row>
    <row r="9789" spans="1:45" s="520" customFormat="1" ht="39.9" customHeight="1">
      <c r="A9789" s="748"/>
      <c r="B9789"/>
      <c r="C9789" s="748"/>
      <c r="D9789" s="1451" t="s">
        <v>382</v>
      </c>
      <c r="E9789" s="1452"/>
      <c r="F9789" s="1452"/>
      <c r="G9789" s="1452"/>
      <c r="H9789" s="1452"/>
      <c r="I9789" s="1452"/>
      <c r="J9789" s="1452"/>
      <c r="K9789" s="1452"/>
      <c r="L9789" s="1452"/>
      <c r="M9789" s="1452"/>
      <c r="N9789" s="1452"/>
      <c r="O9789" s="1452"/>
      <c r="P9789" s="1452"/>
      <c r="Q9789" s="1452"/>
      <c r="R9789" s="1452"/>
      <c r="S9789" s="1452"/>
      <c r="T9789" s="1452"/>
      <c r="AR9789" s="748"/>
    </row>
    <row r="9790" spans="1:45" s="901" customFormat="1" ht="13.2">
      <c r="A9790" s="116">
        <v>14</v>
      </c>
      <c r="B9790" s="901" t="s">
        <v>141</v>
      </c>
      <c r="D9790" s="901" t="s">
        <v>3698</v>
      </c>
      <c r="G9790" s="941" t="s">
        <v>3061</v>
      </c>
      <c r="H9790" s="942">
        <v>880</v>
      </c>
      <c r="I9790" s="901" t="s">
        <v>2607</v>
      </c>
      <c r="O9790" s="943">
        <v>3</v>
      </c>
      <c r="P9790" s="944">
        <v>36220</v>
      </c>
      <c r="Q9790" s="945">
        <v>8</v>
      </c>
      <c r="R9790" s="946">
        <f>$A9790*Q9790</f>
        <v>112</v>
      </c>
      <c r="S9790" s="945">
        <v>0.25</v>
      </c>
      <c r="T9790" s="947">
        <f>$A9790*S9790*$T$1</f>
        <v>3.15</v>
      </c>
      <c r="AR9790" s="116">
        <v>14</v>
      </c>
    </row>
    <row r="9791" spans="1:45" s="901" customFormat="1" ht="13.2">
      <c r="A9791" s="116">
        <v>1</v>
      </c>
      <c r="B9791" s="901" t="s">
        <v>141</v>
      </c>
      <c r="D9791" s="901" t="s">
        <v>3063</v>
      </c>
      <c r="G9791" s="941" t="s">
        <v>3062</v>
      </c>
      <c r="H9791" s="942">
        <v>880</v>
      </c>
      <c r="I9791" s="901" t="s">
        <v>2607</v>
      </c>
      <c r="O9791" s="943">
        <v>3</v>
      </c>
      <c r="P9791" s="944"/>
      <c r="Q9791" s="945">
        <v>10</v>
      </c>
      <c r="R9791" s="946">
        <f>$A9791*Q9791</f>
        <v>10</v>
      </c>
      <c r="S9791" s="945">
        <v>0.25</v>
      </c>
      <c r="T9791" s="947">
        <f>$A9791*S9791*$T$1</f>
        <v>0.22500000000000001</v>
      </c>
      <c r="AR9791" s="116">
        <v>1</v>
      </c>
    </row>
    <row r="9792" spans="1:45" s="901" customFormat="1" ht="13.2">
      <c r="A9792" s="116">
        <v>1</v>
      </c>
      <c r="B9792" s="901" t="s">
        <v>141</v>
      </c>
      <c r="D9792" s="901" t="s">
        <v>3064</v>
      </c>
      <c r="G9792" s="941" t="s">
        <v>3065</v>
      </c>
      <c r="H9792" s="942">
        <v>880</v>
      </c>
      <c r="I9792" s="901" t="s">
        <v>2607</v>
      </c>
      <c r="O9792" s="943">
        <v>3</v>
      </c>
      <c r="P9792" s="944"/>
      <c r="Q9792" s="945">
        <v>20</v>
      </c>
      <c r="R9792" s="946">
        <f>$A9792*Q9792</f>
        <v>20</v>
      </c>
      <c r="S9792" s="945">
        <v>2</v>
      </c>
      <c r="T9792" s="947">
        <f>$A9792*S9792*$T$1</f>
        <v>1.8</v>
      </c>
      <c r="AR9792" s="116">
        <v>1</v>
      </c>
    </row>
    <row r="9793" spans="1:45" s="520" customFormat="1" ht="12">
      <c r="A9793" s="758"/>
      <c r="B9793" s="758"/>
      <c r="C9793" s="758"/>
      <c r="D9793" s="758"/>
      <c r="E9793" s="758"/>
      <c r="F9793" s="753"/>
      <c r="G9793" s="758"/>
      <c r="H9793" s="758"/>
      <c r="I9793" s="519"/>
      <c r="J9793" s="758"/>
      <c r="K9793" s="758"/>
      <c r="L9793" s="758"/>
      <c r="M9793" s="758"/>
      <c r="N9793" s="758"/>
      <c r="O9793" s="758"/>
      <c r="P9793" s="758"/>
      <c r="Q9793" s="519"/>
      <c r="R9793" s="759">
        <f>$A9793*Q9793</f>
        <v>0</v>
      </c>
      <c r="S9793" s="519"/>
      <c r="T9793" s="760">
        <f>$A9793*S9793*$T$1</f>
        <v>0</v>
      </c>
      <c r="AR9793" s="758"/>
      <c r="AS9793" s="753"/>
    </row>
    <row r="9794" spans="1:45" s="520" customFormat="1" ht="12.6" thickBot="1">
      <c r="A9794" s="761" t="s">
        <v>145</v>
      </c>
      <c r="B9794" s="762">
        <f>(R9793+T9793)</f>
        <v>0</v>
      </c>
      <c r="C9794" s="763"/>
      <c r="D9794" s="763"/>
      <c r="E9794" s="763"/>
      <c r="F9794" s="764"/>
      <c r="G9794" s="763" t="s">
        <v>146</v>
      </c>
      <c r="H9794" s="763"/>
      <c r="I9794" s="765"/>
      <c r="J9794" s="763"/>
      <c r="K9794" s="763" t="s">
        <v>3</v>
      </c>
      <c r="L9794" s="766" t="s">
        <v>143</v>
      </c>
      <c r="M9794" s="766"/>
      <c r="N9794" s="766"/>
      <c r="O9794" s="766"/>
      <c r="P9794" s="766"/>
      <c r="Q9794" s="767"/>
      <c r="R9794" s="768">
        <f>SUM(R9789:R9793)</f>
        <v>142</v>
      </c>
      <c r="S9794" s="763"/>
      <c r="T9794" s="768">
        <f>SUM(T9789:T9793)</f>
        <v>5.1749999999999998</v>
      </c>
      <c r="U9794" s="531"/>
      <c r="V9794" s="531"/>
      <c r="W9794" s="531"/>
      <c r="X9794" s="531"/>
      <c r="Y9794" s="531"/>
      <c r="Z9794" s="531"/>
      <c r="AA9794" s="531"/>
      <c r="AB9794" s="531"/>
      <c r="AC9794" s="531"/>
      <c r="AD9794" s="531"/>
      <c r="AE9794" s="531"/>
      <c r="AF9794" s="531"/>
      <c r="AG9794" s="531"/>
      <c r="AH9794" s="531"/>
      <c r="AI9794" s="531"/>
      <c r="AJ9794" s="531"/>
      <c r="AK9794" s="531"/>
      <c r="AL9794" s="531"/>
      <c r="AM9794" s="531"/>
      <c r="AN9794" s="531"/>
      <c r="AO9794" s="531"/>
      <c r="AR9794" s="761" t="s">
        <v>145</v>
      </c>
      <c r="AS9794" s="764"/>
    </row>
    <row r="9795" spans="1:45" s="520" customFormat="1" ht="12" thickTop="1">
      <c r="A9795" s="48" t="s">
        <v>148</v>
      </c>
      <c r="D9795" s="13"/>
      <c r="E9795" s="42"/>
      <c r="O9795" s="771"/>
      <c r="AR9795" s="48" t="s">
        <v>148</v>
      </c>
    </row>
    <row r="9796" spans="1:45" s="520" customFormat="1" ht="13.2">
      <c r="B9796" s="3"/>
      <c r="O9796" s="771"/>
    </row>
    <row r="9797" spans="1:45" s="520" customFormat="1" ht="12">
      <c r="B9797" s="772">
        <f ca="1">$F9797/$C$2-($R9797*$S$2+$T9797*$T$2)</f>
        <v>-363.55508615200051</v>
      </c>
      <c r="D9797" s="773" t="s">
        <v>1065</v>
      </c>
      <c r="E9797" s="774"/>
      <c r="F9797" s="775">
        <f ca="1">SUMIF($L9606:$L9795,"ITEM",F9606:F9795)</f>
        <v>5588.51</v>
      </c>
      <c r="G9797" s="758"/>
      <c r="H9797" s="758"/>
      <c r="I9797" s="519"/>
      <c r="J9797" s="758"/>
      <c r="K9797" s="758"/>
      <c r="L9797" s="755" t="s">
        <v>157</v>
      </c>
      <c r="M9797" s="755"/>
      <c r="N9797" s="755"/>
      <c r="O9797" s="755"/>
      <c r="P9797" s="755"/>
      <c r="R9797" s="775">
        <f ca="1">SUMIF($L9606:$L9795,"ITEM",R9606:R9795)</f>
        <v>4046.3800000000006</v>
      </c>
      <c r="S9797" s="776"/>
      <c r="T9797" s="775">
        <f ca="1">SUMIF($L9606:$L9795,"ITEM",T9606:T9795)</f>
        <v>28.675000000000001</v>
      </c>
      <c r="AS9797" s="775">
        <v>6045.26</v>
      </c>
    </row>
    <row r="9798" spans="1:45" s="520" customFormat="1" ht="13.2">
      <c r="A9798" s="51"/>
      <c r="B9798" s="49" t="s">
        <v>1064</v>
      </c>
      <c r="C9798" s="51"/>
      <c r="D9798" s="3"/>
      <c r="F9798" s="777" t="s">
        <v>158</v>
      </c>
      <c r="G9798" s="758"/>
      <c r="H9798" s="758"/>
      <c r="I9798" s="519"/>
      <c r="J9798" s="758"/>
      <c r="K9798" s="758"/>
      <c r="L9798" s="758"/>
      <c r="M9798" s="758"/>
      <c r="N9798" s="758"/>
      <c r="O9798" s="758"/>
      <c r="P9798" s="758"/>
      <c r="Q9798" s="778"/>
      <c r="R9798" s="777" t="s">
        <v>159</v>
      </c>
      <c r="S9798" s="38"/>
      <c r="T9798" s="777" t="s">
        <v>160</v>
      </c>
      <c r="AR9798" s="51"/>
      <c r="AS9798" s="777" t="s">
        <v>158</v>
      </c>
    </row>
    <row r="9799" spans="1:45" s="520" customFormat="1" ht="13.2">
      <c r="A9799" s="758"/>
      <c r="B9799" s="3"/>
      <c r="C9799" s="758"/>
      <c r="D9799" s="3"/>
      <c r="E9799" s="3"/>
      <c r="G9799" s="3"/>
      <c r="H9799" s="3"/>
      <c r="I9799" s="3"/>
      <c r="J9799" s="3"/>
      <c r="K9799" s="3"/>
      <c r="L9799" s="3"/>
      <c r="M9799" s="3"/>
      <c r="N9799" s="3"/>
      <c r="O9799" s="107"/>
      <c r="P9799" s="3"/>
      <c r="Q9799" s="3"/>
      <c r="R9799" s="3"/>
      <c r="S9799" s="3"/>
      <c r="T9799" s="3"/>
      <c r="AR9799" s="758"/>
    </row>
    <row r="9800" spans="1:45" s="520" customFormat="1" ht="12" thickBot="1">
      <c r="A9800" s="531"/>
      <c r="B9800" s="763"/>
      <c r="C9800" s="763"/>
      <c r="D9800" s="531"/>
      <c r="E9800" s="39"/>
      <c r="F9800" s="779"/>
      <c r="G9800" s="763"/>
      <c r="H9800" s="763"/>
      <c r="I9800" s="765"/>
      <c r="J9800" s="763"/>
      <c r="K9800" s="763"/>
      <c r="L9800" s="766"/>
      <c r="M9800" s="766"/>
      <c r="N9800" s="766"/>
      <c r="O9800" s="766"/>
      <c r="P9800" s="766"/>
      <c r="Q9800" s="767"/>
      <c r="R9800" s="779"/>
      <c r="S9800" s="780"/>
      <c r="T9800" s="779"/>
      <c r="U9800" s="531"/>
      <c r="V9800" s="531"/>
      <c r="W9800" s="531"/>
      <c r="X9800" s="531"/>
      <c r="Y9800" s="531"/>
      <c r="Z9800" s="531"/>
      <c r="AA9800" s="531"/>
      <c r="AB9800" s="531"/>
      <c r="AC9800" s="531"/>
      <c r="AD9800" s="531"/>
      <c r="AE9800" s="531"/>
      <c r="AF9800" s="531"/>
      <c r="AG9800" s="531"/>
      <c r="AH9800" s="531"/>
      <c r="AI9800" s="531"/>
      <c r="AJ9800" s="531"/>
      <c r="AK9800" s="531"/>
      <c r="AR9800" s="531"/>
      <c r="AS9800" s="779"/>
    </row>
    <row r="9801" spans="1:45" s="520" customFormat="1" thickTop="1">
      <c r="A9801" s="48" t="s">
        <v>148</v>
      </c>
      <c r="B9801" s="3"/>
      <c r="C9801" s="51"/>
      <c r="D9801" s="51"/>
      <c r="E9801" s="51"/>
      <c r="F9801" s="51"/>
      <c r="G9801" s="51"/>
      <c r="H9801" s="51"/>
      <c r="I9801" s="51"/>
      <c r="J9801" s="51"/>
      <c r="K9801" s="51"/>
      <c r="L9801" s="51"/>
      <c r="M9801" s="51"/>
      <c r="N9801" s="51"/>
      <c r="O9801" s="52"/>
      <c r="P9801" s="51"/>
      <c r="Q9801" s="51"/>
      <c r="R9801" s="51"/>
      <c r="S9801" s="51"/>
      <c r="T9801" s="51"/>
      <c r="AR9801" s="48" t="s">
        <v>148</v>
      </c>
      <c r="AS9801" s="51"/>
    </row>
    <row r="9802" spans="1:45" s="520" customFormat="1" ht="13.2">
      <c r="A9802" s="51"/>
      <c r="B9802" s="3"/>
      <c r="C9802" s="3"/>
      <c r="E9802" s="3"/>
      <c r="F9802" s="3"/>
      <c r="G9802" s="3"/>
      <c r="H9802" s="3"/>
      <c r="I9802" s="3"/>
      <c r="J9802" s="3"/>
      <c r="K9802" s="3"/>
      <c r="L9802" s="3"/>
      <c r="M9802" s="3"/>
      <c r="N9802" s="3"/>
      <c r="O9802" s="107"/>
      <c r="P9802" s="3"/>
      <c r="Q9802" s="3"/>
      <c r="R9802" s="3"/>
      <c r="S9802" s="3"/>
      <c r="T9802" s="3"/>
      <c r="AR9802" s="51"/>
      <c r="AS9802" s="3"/>
    </row>
    <row r="9803" spans="1:45" s="520" customFormat="1" ht="12">
      <c r="A9803" s="51"/>
      <c r="B9803" s="772">
        <f ca="1">$F9803/$C$2-($R9803*$S$2+$T9803*$T$2)</f>
        <v>-4503.0432017008134</v>
      </c>
      <c r="C9803" s="51"/>
      <c r="D9803" s="121" t="s">
        <v>2106</v>
      </c>
      <c r="E9803" s="774"/>
      <c r="F9803" s="782">
        <f ca="1">SUMIF($L8155:$L9801,"PAGE",F8155:F9801)</f>
        <v>90522.44</v>
      </c>
      <c r="G9803" s="758"/>
      <c r="H9803" s="758"/>
      <c r="I9803" s="519"/>
      <c r="J9803" s="758"/>
      <c r="K9803" s="758"/>
      <c r="L9803" s="121" t="s">
        <v>1075</v>
      </c>
      <c r="M9803" s="121"/>
      <c r="N9803" s="121"/>
      <c r="O9803" s="122"/>
      <c r="P9803" s="121"/>
      <c r="Q9803" s="51"/>
      <c r="R9803" s="782">
        <f ca="1">SUMIF($L8155:$L9801,"PAGE",R8155:R9801)</f>
        <v>60411.954700000009</v>
      </c>
      <c r="S9803" s="51"/>
      <c r="T9803" s="782">
        <f ca="1">SUMIF($L8155:$L9801,"PAGE",T8155:T9801)</f>
        <v>610.35</v>
      </c>
      <c r="AR9803" s="51"/>
      <c r="AS9803" s="782">
        <v>96677.799999999988</v>
      </c>
    </row>
    <row r="9804" spans="1:45" s="520" customFormat="1" ht="12">
      <c r="A9804" s="51"/>
      <c r="B9804" s="49" t="s">
        <v>1064</v>
      </c>
      <c r="C9804" s="51"/>
      <c r="D9804" s="781"/>
      <c r="F9804" s="783" t="s">
        <v>1076</v>
      </c>
      <c r="G9804" s="758"/>
      <c r="H9804" s="758"/>
      <c r="I9804" s="519"/>
      <c r="J9804" s="758"/>
      <c r="K9804" s="758"/>
      <c r="L9804" s="51"/>
      <c r="M9804" s="51"/>
      <c r="N9804" s="51"/>
      <c r="O9804" s="52"/>
      <c r="P9804" s="51"/>
      <c r="Q9804" s="51"/>
      <c r="R9804" s="783" t="s">
        <v>1077</v>
      </c>
      <c r="S9804" s="38"/>
      <c r="T9804" s="783" t="s">
        <v>1078</v>
      </c>
      <c r="AR9804" s="51"/>
      <c r="AS9804" s="783" t="s">
        <v>1076</v>
      </c>
    </row>
    <row r="9805" spans="1:45" s="520" customFormat="1" ht="11.4">
      <c r="O9805" s="771"/>
    </row>
    <row r="9806" spans="1:45" s="520" customFormat="1" ht="12" thickBot="1">
      <c r="A9806" s="763"/>
      <c r="B9806" s="763"/>
      <c r="C9806" s="763"/>
      <c r="D9806" s="763"/>
      <c r="E9806" s="763"/>
      <c r="F9806" s="39"/>
      <c r="G9806" s="531"/>
      <c r="H9806" s="531"/>
      <c r="I9806" s="531"/>
      <c r="J9806" s="531"/>
      <c r="K9806" s="531"/>
      <c r="L9806" s="763"/>
      <c r="M9806" s="763"/>
      <c r="N9806" s="763"/>
      <c r="O9806" s="763"/>
      <c r="P9806" s="763"/>
      <c r="Q9806" s="767"/>
      <c r="R9806" s="39"/>
      <c r="S9806" s="39"/>
      <c r="T9806" s="39"/>
      <c r="U9806" s="531"/>
      <c r="V9806" s="531"/>
      <c r="W9806" s="531"/>
      <c r="X9806" s="531"/>
      <c r="Y9806" s="531"/>
      <c r="Z9806" s="531"/>
      <c r="AA9806" s="531"/>
      <c r="AB9806" s="531"/>
      <c r="AC9806" s="531"/>
      <c r="AD9806" s="531"/>
      <c r="AE9806" s="531"/>
      <c r="AF9806" s="531"/>
      <c r="AG9806" s="531"/>
      <c r="AH9806" s="531"/>
      <c r="AI9806" s="531"/>
      <c r="AJ9806" s="531"/>
      <c r="AK9806" s="531"/>
      <c r="AR9806" s="763"/>
      <c r="AS9806" s="39"/>
    </row>
    <row r="9807" spans="1:45" s="520" customFormat="1" thickTop="1">
      <c r="A9807" s="51"/>
      <c r="B9807" s="51"/>
      <c r="C9807" s="3"/>
      <c r="D9807" s="3"/>
      <c r="E9807" s="51"/>
      <c r="F9807" s="51"/>
      <c r="G9807" s="51"/>
      <c r="H9807" s="51"/>
      <c r="I9807" s="51"/>
      <c r="J9807" s="51"/>
      <c r="K9807" s="51" t="s">
        <v>134</v>
      </c>
      <c r="L9807" s="51"/>
      <c r="M9807" s="51"/>
      <c r="N9807" s="51"/>
      <c r="O9807" s="52"/>
      <c r="P9807" s="51"/>
      <c r="Q9807" s="51"/>
      <c r="R9807" s="51"/>
      <c r="S9807" s="51"/>
      <c r="T9807" s="51"/>
      <c r="AR9807" s="51"/>
      <c r="AS9807" s="51"/>
    </row>
    <row r="9808" spans="1:45" s="520" customFormat="1" ht="12">
      <c r="A9808" s="51"/>
      <c r="B9808" s="51"/>
      <c r="C9808" s="51" t="s">
        <v>135</v>
      </c>
      <c r="D9808" s="37" t="s">
        <v>1834</v>
      </c>
      <c r="E9808" s="51"/>
      <c r="F9808" s="51"/>
      <c r="G9808" s="51"/>
      <c r="H9808" s="51"/>
      <c r="I9808" s="51"/>
      <c r="J9808" s="51"/>
      <c r="K9808" s="51"/>
      <c r="L9808" s="51"/>
      <c r="M9808" s="51"/>
      <c r="N9808" s="51"/>
      <c r="O9808" s="52"/>
      <c r="P9808" s="51"/>
      <c r="Q9808" s="51"/>
      <c r="R9808" s="51"/>
      <c r="S9808" s="51"/>
      <c r="T9808" s="51"/>
      <c r="AR9808" s="51"/>
      <c r="AS9808" s="51"/>
    </row>
    <row r="9809" spans="1:45" s="520" customFormat="1" ht="12">
      <c r="A9809" s="51"/>
      <c r="B9809" s="51"/>
      <c r="C9809" s="51"/>
      <c r="D9809" s="37" t="s">
        <v>2165</v>
      </c>
      <c r="E9809" s="51"/>
      <c r="F9809" s="1153" t="s">
        <v>3507</v>
      </c>
      <c r="G9809" s="51"/>
      <c r="H9809" s="51"/>
      <c r="I9809" s="51"/>
      <c r="J9809" s="51"/>
      <c r="K9809" s="51"/>
      <c r="L9809" s="51"/>
      <c r="M9809" s="51"/>
      <c r="N9809" s="51"/>
      <c r="O9809" s="52"/>
      <c r="P9809" s="51"/>
      <c r="Q9809" s="51"/>
      <c r="R9809" s="51"/>
      <c r="S9809" s="38"/>
      <c r="T9809" s="38"/>
      <c r="AR9809" s="51"/>
      <c r="AS9809" s="1153" t="s">
        <v>3507</v>
      </c>
    </row>
    <row r="9810" spans="1:45" s="3" customFormat="1" thickBot="1">
      <c r="A9810" s="531"/>
      <c r="O9810" s="107"/>
      <c r="AR9810" s="531"/>
    </row>
    <row r="9811" spans="1:45" s="520" customFormat="1" thickTop="1">
      <c r="A9811" s="51"/>
      <c r="B9811" s="51"/>
      <c r="C9811" s="3"/>
      <c r="D9811" s="3"/>
      <c r="E9811" s="51"/>
      <c r="F9811" s="51"/>
      <c r="G9811" s="51"/>
      <c r="H9811" s="51"/>
      <c r="I9811" s="51"/>
      <c r="J9811" s="51"/>
      <c r="K9811" s="51" t="s">
        <v>134</v>
      </c>
      <c r="L9811" s="51"/>
      <c r="M9811" s="51"/>
      <c r="N9811" s="51"/>
      <c r="O9811" s="52"/>
      <c r="P9811" s="51"/>
      <c r="Q9811" s="51"/>
      <c r="R9811" s="51"/>
      <c r="S9811" s="51"/>
      <c r="T9811" s="51"/>
      <c r="AR9811" s="51"/>
      <c r="AS9811" s="51"/>
    </row>
    <row r="9812" spans="1:45" s="520" customFormat="1" ht="12">
      <c r="A9812" s="51"/>
      <c r="B9812" s="51"/>
      <c r="C9812" s="51" t="s">
        <v>135</v>
      </c>
      <c r="D9812" s="37"/>
      <c r="E9812" s="51"/>
      <c r="F9812" s="51"/>
      <c r="G9812" s="51"/>
      <c r="H9812" s="51"/>
      <c r="I9812" s="51"/>
      <c r="J9812" s="51"/>
      <c r="K9812" s="51"/>
      <c r="L9812" s="51"/>
      <c r="M9812" s="51"/>
      <c r="N9812" s="51"/>
      <c r="O9812" s="52"/>
      <c r="P9812" s="51"/>
      <c r="Q9812" s="51"/>
      <c r="R9812" s="51"/>
      <c r="S9812" s="51"/>
      <c r="T9812" s="51"/>
      <c r="AR9812" s="51"/>
      <c r="AS9812" s="51"/>
    </row>
    <row r="9813" spans="1:45" s="520" customFormat="1" ht="12">
      <c r="A9813" s="51"/>
      <c r="B9813" s="51"/>
      <c r="C9813" s="51"/>
      <c r="D9813" s="37" t="s">
        <v>343</v>
      </c>
      <c r="E9813" s="51"/>
      <c r="F9813" s="51"/>
      <c r="G9813" s="51"/>
      <c r="H9813" s="51"/>
      <c r="I9813" s="51"/>
      <c r="J9813" s="51"/>
      <c r="K9813" s="51"/>
      <c r="L9813" s="51"/>
      <c r="M9813" s="51"/>
      <c r="N9813" s="51"/>
      <c r="O9813" s="52"/>
      <c r="P9813" s="51"/>
      <c r="Q9813" s="51"/>
      <c r="R9813" s="51"/>
      <c r="S9813" s="38"/>
      <c r="T9813" s="38"/>
      <c r="AR9813" s="51"/>
      <c r="AS9813" s="51"/>
    </row>
    <row r="9814" spans="1:45" s="3" customFormat="1" thickBot="1">
      <c r="A9814" s="531"/>
      <c r="O9814" s="107"/>
      <c r="AR9814" s="531"/>
    </row>
    <row r="9815" spans="1:45" s="520" customFormat="1" thickTop="1">
      <c r="A9815" s="51"/>
      <c r="B9815" s="51"/>
      <c r="C9815" s="3"/>
      <c r="D9815" s="3"/>
      <c r="E9815" s="51"/>
      <c r="F9815" s="51"/>
      <c r="G9815" s="51"/>
      <c r="H9815" s="51"/>
      <c r="I9815" s="51"/>
      <c r="J9815" s="51"/>
      <c r="K9815" s="51" t="s">
        <v>134</v>
      </c>
      <c r="L9815" s="51"/>
      <c r="M9815" s="51"/>
      <c r="N9815" s="51"/>
      <c r="O9815" s="52"/>
      <c r="P9815" s="51"/>
      <c r="Q9815" s="51"/>
      <c r="R9815" s="51"/>
      <c r="S9815" s="51"/>
      <c r="T9815" s="51"/>
      <c r="AR9815" s="51"/>
      <c r="AS9815" s="51"/>
    </row>
    <row r="9816" spans="1:45" s="520" customFormat="1" ht="12">
      <c r="A9816" s="51"/>
      <c r="B9816" s="51"/>
      <c r="C9816" s="51" t="s">
        <v>135</v>
      </c>
      <c r="D9816" s="37"/>
      <c r="E9816" s="51"/>
      <c r="F9816" s="51"/>
      <c r="G9816" s="51"/>
      <c r="H9816" s="51"/>
      <c r="I9816" s="51"/>
      <c r="J9816" s="51"/>
      <c r="K9816" s="51"/>
      <c r="L9816" s="51"/>
      <c r="M9816" s="51"/>
      <c r="N9816" s="51"/>
      <c r="O9816" s="52"/>
      <c r="P9816" s="51"/>
      <c r="Q9816" s="51"/>
      <c r="R9816" s="51"/>
      <c r="S9816" s="51"/>
      <c r="T9816" s="51"/>
      <c r="AR9816" s="51"/>
      <c r="AS9816" s="51"/>
    </row>
    <row r="9817" spans="1:45" s="520" customFormat="1" ht="12">
      <c r="A9817" s="51"/>
      <c r="B9817" s="51"/>
      <c r="C9817" s="51"/>
      <c r="D9817" s="37" t="s">
        <v>2166</v>
      </c>
      <c r="E9817" s="51"/>
      <c r="F9817" s="51"/>
      <c r="G9817" s="51"/>
      <c r="H9817" s="51"/>
      <c r="I9817" s="51"/>
      <c r="J9817" s="51"/>
      <c r="K9817" s="51"/>
      <c r="L9817" s="51"/>
      <c r="M9817" s="51"/>
      <c r="N9817" s="51"/>
      <c r="O9817" s="52"/>
      <c r="P9817" s="51"/>
      <c r="Q9817" s="51"/>
      <c r="R9817" s="51"/>
      <c r="S9817" s="38"/>
      <c r="T9817" s="38"/>
      <c r="AR9817" s="51"/>
      <c r="AS9817" s="51"/>
    </row>
    <row r="9818" spans="1:45" s="3" customFormat="1" thickBot="1">
      <c r="A9818" s="531"/>
      <c r="O9818" s="107"/>
      <c r="AR9818" s="531"/>
    </row>
    <row r="9819" spans="1:45" s="520" customFormat="1" thickTop="1">
      <c r="A9819" s="51"/>
      <c r="B9819" s="51"/>
      <c r="C9819" s="3"/>
      <c r="D9819" s="3"/>
      <c r="E9819" s="51"/>
      <c r="F9819" s="51"/>
      <c r="G9819" s="51"/>
      <c r="H9819" s="51"/>
      <c r="I9819" s="51"/>
      <c r="J9819" s="51"/>
      <c r="K9819" s="51" t="s">
        <v>134</v>
      </c>
      <c r="L9819" s="51"/>
      <c r="M9819" s="51"/>
      <c r="N9819" s="51"/>
      <c r="O9819" s="52"/>
      <c r="P9819" s="51"/>
      <c r="Q9819" s="51"/>
      <c r="R9819" s="51"/>
      <c r="S9819" s="51"/>
      <c r="T9819" s="51"/>
      <c r="AR9819" s="51"/>
      <c r="AS9819" s="51"/>
    </row>
    <row r="9820" spans="1:45" s="520" customFormat="1" ht="12">
      <c r="A9820" s="51"/>
      <c r="B9820" s="51"/>
      <c r="C9820" s="51" t="s">
        <v>135</v>
      </c>
      <c r="D9820" s="37"/>
      <c r="E9820" s="51"/>
      <c r="F9820" s="51"/>
      <c r="G9820" s="51"/>
      <c r="H9820" s="51"/>
      <c r="I9820" s="51"/>
      <c r="J9820" s="51"/>
      <c r="K9820" s="51"/>
      <c r="L9820" s="51"/>
      <c r="M9820" s="51"/>
      <c r="N9820" s="51"/>
      <c r="O9820" s="52"/>
      <c r="P9820" s="51"/>
      <c r="Q9820" s="51"/>
      <c r="R9820" s="51"/>
      <c r="S9820" s="51"/>
      <c r="T9820" s="51"/>
      <c r="AR9820" s="51"/>
      <c r="AS9820" s="51"/>
    </row>
    <row r="9821" spans="1:45" s="520" customFormat="1" ht="12">
      <c r="A9821" s="51"/>
      <c r="B9821" s="51"/>
      <c r="C9821" s="51"/>
      <c r="D9821" s="37" t="s">
        <v>2167</v>
      </c>
      <c r="E9821" s="51"/>
      <c r="F9821" s="51"/>
      <c r="G9821" s="51"/>
      <c r="H9821" s="51"/>
      <c r="I9821" s="51"/>
      <c r="J9821" s="51"/>
      <c r="K9821" s="51"/>
      <c r="L9821" s="51"/>
      <c r="M9821" s="51"/>
      <c r="N9821" s="51"/>
      <c r="O9821" s="52"/>
      <c r="P9821" s="51"/>
      <c r="Q9821" s="51"/>
      <c r="R9821" s="51"/>
      <c r="S9821" s="38"/>
      <c r="T9821" s="38"/>
      <c r="AR9821" s="51"/>
      <c r="AS9821" s="51"/>
    </row>
    <row r="9822" spans="1:45" s="3" customFormat="1" thickBot="1">
      <c r="A9822" s="531"/>
      <c r="O9822" s="107"/>
      <c r="AR9822" s="531"/>
    </row>
    <row r="9823" spans="1:45" s="520" customFormat="1" ht="12" thickTop="1">
      <c r="A9823" s="51"/>
      <c r="B9823" s="41"/>
      <c r="C9823" s="51"/>
      <c r="E9823" s="42" t="s">
        <v>138</v>
      </c>
      <c r="F9823" s="42" t="s">
        <v>139</v>
      </c>
      <c r="G9823" s="51"/>
      <c r="H9823" s="51"/>
      <c r="I9823" s="51"/>
      <c r="J9823" s="51"/>
      <c r="K9823" s="51" t="s">
        <v>140</v>
      </c>
      <c r="L9823" s="51"/>
      <c r="M9823" s="51"/>
      <c r="N9823" s="51"/>
      <c r="O9823" s="52"/>
      <c r="P9823" s="51"/>
      <c r="Q9823" s="51"/>
      <c r="R9823" s="51"/>
      <c r="S9823" s="51"/>
      <c r="T9823" s="41"/>
      <c r="AG9823" s="521" t="s">
        <v>268</v>
      </c>
      <c r="AH9823" s="521" t="s">
        <v>269</v>
      </c>
      <c r="AI9823" s="521" t="s">
        <v>270</v>
      </c>
      <c r="AJ9823" s="521" t="s">
        <v>271</v>
      </c>
      <c r="AK9823" s="521" t="s">
        <v>272</v>
      </c>
      <c r="AM9823" s="745" t="s">
        <v>281</v>
      </c>
      <c r="AN9823" s="746" t="s">
        <v>282</v>
      </c>
      <c r="AO9823" s="522" t="s">
        <v>278</v>
      </c>
      <c r="AR9823" s="51"/>
      <c r="AS9823" s="42" t="s">
        <v>139</v>
      </c>
    </row>
    <row r="9824" spans="1:45" s="520" customFormat="1" ht="12" customHeight="1">
      <c r="A9824" s="747">
        <v>10</v>
      </c>
      <c r="B9824" s="523" t="s">
        <v>141</v>
      </c>
      <c r="C9824" s="748"/>
      <c r="D9824" s="749" t="s">
        <v>1835</v>
      </c>
      <c r="E9824" s="1145">
        <f>IF(AND($A9824=0,$A$1="DIF"),0, ROUND(ROUND(($R9828*$S$3+($T9828*$T$3))/$A9824,2)*$C$3,2))</f>
        <v>83.76</v>
      </c>
      <c r="F9824" s="1146">
        <f>ROUND($A9824*$E9824,2)</f>
        <v>837.6</v>
      </c>
      <c r="G9824" s="752" t="s">
        <v>142</v>
      </c>
      <c r="H9824" s="753"/>
      <c r="I9824" s="754"/>
      <c r="J9824" s="753"/>
      <c r="K9824" s="753" t="s">
        <v>5</v>
      </c>
      <c r="L9824" s="755" t="s">
        <v>143</v>
      </c>
      <c r="M9824" s="755"/>
      <c r="N9824" s="755"/>
      <c r="O9824" s="755"/>
      <c r="P9824" s="755"/>
      <c r="Q9824" s="51"/>
      <c r="T9824" s="1150" t="str">
        <f>IF(AND($R9828=0,$T9828=0),"0.00","mu: "&amp; ROUND(F9824/$C$3/($R9828+$T9828*$D$9),2))</f>
        <v>mu: 1.13</v>
      </c>
      <c r="W9824" s="524"/>
      <c r="AG9824" s="1147">
        <f>IF($E9824=0,0,ROUND($R9828*$S$3*$C$3/$A9824,2))</f>
        <v>83.76</v>
      </c>
      <c r="AH9824" s="1147">
        <f>$AG9824*$A9824</f>
        <v>837.6</v>
      </c>
      <c r="AI9824" s="1148">
        <f>$E9824-$AG9824</f>
        <v>0</v>
      </c>
      <c r="AJ9824" s="1148">
        <f>$A9824*$AI9824</f>
        <v>0</v>
      </c>
      <c r="AK9824" s="1149">
        <f>ROUND(($AG9824+$AI9824)*$A9824,2)</f>
        <v>837.6</v>
      </c>
      <c r="AM9824" s="527">
        <f>ROUND(R9828,2)</f>
        <v>742.05</v>
      </c>
      <c r="AN9824" s="528">
        <f>ROUND(T9828,2)</f>
        <v>0</v>
      </c>
      <c r="AO9824" s="529">
        <f>ROUND(AM9824+AN9824,2)*A9824</f>
        <v>7420.5</v>
      </c>
      <c r="AR9824" s="747">
        <v>10</v>
      </c>
      <c r="AS9824" s="1146">
        <v>911.5</v>
      </c>
    </row>
    <row r="9825" spans="1:45" s="520" customFormat="1" ht="13.2">
      <c r="A9825" s="748"/>
      <c r="B9825"/>
      <c r="C9825" s="748"/>
      <c r="D9825" s="749" t="s">
        <v>2168</v>
      </c>
      <c r="F9825" s="753"/>
      <c r="G9825" s="3"/>
      <c r="H9825" s="753"/>
      <c r="I9825" s="754"/>
      <c r="J9825" s="753"/>
      <c r="K9825" s="753" t="s">
        <v>144</v>
      </c>
      <c r="L9825" s="753"/>
      <c r="M9825" s="753"/>
      <c r="N9825" s="753"/>
      <c r="O9825" s="753"/>
      <c r="P9825" s="753"/>
      <c r="Q9825" s="51"/>
      <c r="R9825" s="530"/>
      <c r="S9825" s="757"/>
      <c r="T9825" s="753"/>
      <c r="AR9825" s="748"/>
      <c r="AS9825" s="753"/>
    </row>
    <row r="9826" spans="1:45" s="901" customFormat="1" ht="13.2">
      <c r="A9826" s="903">
        <v>10</v>
      </c>
      <c r="B9826" s="904" t="s">
        <v>863</v>
      </c>
      <c r="C9826" s="904"/>
      <c r="D9826" s="904" t="s">
        <v>2594</v>
      </c>
      <c r="E9826" s="904"/>
      <c r="F9826" s="1153" t="s">
        <v>4129</v>
      </c>
      <c r="G9826" s="905" t="s">
        <v>2595</v>
      </c>
      <c r="H9826" s="902">
        <v>960</v>
      </c>
      <c r="I9826" s="904" t="s">
        <v>2596</v>
      </c>
      <c r="J9826" s="904"/>
      <c r="K9826" s="904"/>
      <c r="L9826" s="904"/>
      <c r="M9826" s="904"/>
      <c r="N9826" s="904"/>
      <c r="O9826" s="902">
        <v>4</v>
      </c>
      <c r="P9826" s="906">
        <v>38274</v>
      </c>
      <c r="Q9826" s="1415">
        <f>85*0.873</f>
        <v>74.204999999999998</v>
      </c>
      <c r="R9826" s="908">
        <f>$A9826*Q9826</f>
        <v>742.05</v>
      </c>
      <c r="S9826" s="907"/>
      <c r="T9826" s="909">
        <f>$A9826*S9826*$T$1</f>
        <v>0</v>
      </c>
      <c r="AR9826" s="903">
        <v>10</v>
      </c>
      <c r="AS9826" s="1153" t="s">
        <v>3507</v>
      </c>
    </row>
    <row r="9827" spans="1:45" s="520" customFormat="1" ht="12">
      <c r="A9827" s="758"/>
      <c r="B9827" s="758"/>
      <c r="C9827" s="758"/>
      <c r="D9827" s="758"/>
      <c r="E9827" s="758"/>
      <c r="F9827" s="753"/>
      <c r="G9827" s="758"/>
      <c r="H9827" s="758"/>
      <c r="I9827" s="519"/>
      <c r="J9827" s="758"/>
      <c r="K9827" s="758"/>
      <c r="L9827" s="758"/>
      <c r="M9827" s="758"/>
      <c r="N9827" s="758"/>
      <c r="O9827" s="758"/>
      <c r="P9827" s="758"/>
      <c r="Q9827" s="519"/>
      <c r="R9827" s="759">
        <f>$A9827*Q9827</f>
        <v>0</v>
      </c>
      <c r="S9827" s="519"/>
      <c r="T9827" s="760">
        <f>$A9827*S9827*$T$1</f>
        <v>0</v>
      </c>
      <c r="AR9827" s="758"/>
      <c r="AS9827" s="753"/>
    </row>
    <row r="9828" spans="1:45" s="520" customFormat="1" ht="12.6" thickBot="1">
      <c r="A9828" s="761" t="s">
        <v>145</v>
      </c>
      <c r="B9828" s="762">
        <f>(R9827+T9827)</f>
        <v>0</v>
      </c>
      <c r="C9828" s="763"/>
      <c r="D9828" s="763"/>
      <c r="E9828" s="763"/>
      <c r="F9828" s="764"/>
      <c r="G9828" s="763" t="s">
        <v>146</v>
      </c>
      <c r="H9828" s="763"/>
      <c r="I9828" s="765"/>
      <c r="J9828" s="763"/>
      <c r="K9828" s="763" t="s">
        <v>5</v>
      </c>
      <c r="L9828" s="766" t="s">
        <v>143</v>
      </c>
      <c r="M9828" s="766"/>
      <c r="N9828" s="766"/>
      <c r="O9828" s="766"/>
      <c r="P9828" s="766"/>
      <c r="Q9828" s="767"/>
      <c r="R9828" s="768">
        <f>SUM(R9825:R9827)</f>
        <v>742.05</v>
      </c>
      <c r="S9828" s="763"/>
      <c r="T9828" s="768">
        <f>SUM(T9825:T9827)</f>
        <v>0</v>
      </c>
      <c r="U9828" s="531"/>
      <c r="V9828" s="531"/>
      <c r="W9828" s="531"/>
      <c r="X9828" s="531"/>
      <c r="Y9828" s="531"/>
      <c r="Z9828" s="531"/>
      <c r="AA9828" s="531"/>
      <c r="AB9828" s="531"/>
      <c r="AC9828" s="531"/>
      <c r="AD9828" s="531"/>
      <c r="AE9828" s="531"/>
      <c r="AF9828" s="531"/>
      <c r="AG9828" s="531"/>
      <c r="AH9828" s="531"/>
      <c r="AI9828" s="531"/>
      <c r="AJ9828" s="531"/>
      <c r="AK9828" s="531"/>
      <c r="AL9828" s="531"/>
      <c r="AM9828" s="531"/>
      <c r="AN9828" s="531"/>
      <c r="AO9828" s="531"/>
      <c r="AR9828" s="761" t="s">
        <v>145</v>
      </c>
      <c r="AS9828" s="764"/>
    </row>
    <row r="9829" spans="1:45" s="520" customFormat="1" ht="12" thickTop="1">
      <c r="A9829" s="51"/>
      <c r="B9829" s="41"/>
      <c r="C9829" s="51"/>
      <c r="E9829" s="42" t="s">
        <v>138</v>
      </c>
      <c r="F9829" s="42" t="s">
        <v>139</v>
      </c>
      <c r="G9829" s="51"/>
      <c r="H9829" s="51"/>
      <c r="I9829" s="51"/>
      <c r="J9829" s="51"/>
      <c r="K9829" s="51" t="s">
        <v>140</v>
      </c>
      <c r="L9829" s="51"/>
      <c r="M9829" s="51"/>
      <c r="N9829" s="51"/>
      <c r="O9829" s="52"/>
      <c r="P9829" s="51"/>
      <c r="Q9829" s="51"/>
      <c r="R9829" s="51"/>
      <c r="S9829" s="51"/>
      <c r="T9829" s="41"/>
      <c r="AG9829" s="521" t="s">
        <v>268</v>
      </c>
      <c r="AH9829" s="521" t="s">
        <v>269</v>
      </c>
      <c r="AI9829" s="521" t="s">
        <v>270</v>
      </c>
      <c r="AJ9829" s="521" t="s">
        <v>271</v>
      </c>
      <c r="AK9829" s="521" t="s">
        <v>272</v>
      </c>
      <c r="AM9829" s="745" t="s">
        <v>281</v>
      </c>
      <c r="AN9829" s="746" t="s">
        <v>282</v>
      </c>
      <c r="AO9829" s="522" t="s">
        <v>278</v>
      </c>
      <c r="AR9829" s="51"/>
      <c r="AS9829" s="42" t="s">
        <v>139</v>
      </c>
    </row>
    <row r="9830" spans="1:45" s="520" customFormat="1" ht="12" customHeight="1">
      <c r="A9830" s="747">
        <v>21</v>
      </c>
      <c r="B9830" s="523" t="s">
        <v>141</v>
      </c>
      <c r="C9830" s="748"/>
      <c r="D9830" s="749" t="s">
        <v>1836</v>
      </c>
      <c r="E9830" s="1145">
        <f>IF(AND($A9830=0,$A$1="DIF"),0, ROUND(ROUND(($R9834*$S$3+($T9834*$T$3))/$A9830,2)*$C$3,2))</f>
        <v>113.32</v>
      </c>
      <c r="F9830" s="1146">
        <f>ROUND($A9830*$E9830,2)</f>
        <v>2379.7199999999998</v>
      </c>
      <c r="G9830" s="752" t="s">
        <v>142</v>
      </c>
      <c r="H9830" s="753"/>
      <c r="I9830" s="754"/>
      <c r="J9830" s="753"/>
      <c r="K9830" s="753" t="s">
        <v>5</v>
      </c>
      <c r="L9830" s="755" t="s">
        <v>143</v>
      </c>
      <c r="M9830" s="755"/>
      <c r="N9830" s="755"/>
      <c r="O9830" s="755"/>
      <c r="P9830" s="755"/>
      <c r="Q9830" s="51"/>
      <c r="T9830" s="1150" t="str">
        <f>IF(AND($R9834=0,$T9834=0),"0.00","mu: "&amp; ROUND(F9830/$C$3/($R9834+$T9834*$D$9),2))</f>
        <v>mu: 1.13</v>
      </c>
      <c r="W9830" s="524"/>
      <c r="AG9830" s="1147">
        <f>IF($E9830=0,0,ROUND($R9834*$S$3*$C$3/$A9830,2))</f>
        <v>113.32</v>
      </c>
      <c r="AH9830" s="1147">
        <f>$AG9830*$A9830</f>
        <v>2379.7199999999998</v>
      </c>
      <c r="AI9830" s="1148">
        <f>$E9830-$AG9830</f>
        <v>0</v>
      </c>
      <c r="AJ9830" s="1148">
        <f>$A9830*$AI9830</f>
        <v>0</v>
      </c>
      <c r="AK9830" s="1149">
        <f>ROUND(($AG9830+$AI9830)*$A9830,2)</f>
        <v>2379.7199999999998</v>
      </c>
      <c r="AM9830" s="527">
        <f>ROUND(R9834,2)</f>
        <v>2108.3000000000002</v>
      </c>
      <c r="AN9830" s="528">
        <f>ROUND(T9834,2)</f>
        <v>0</v>
      </c>
      <c r="AO9830" s="529">
        <f>ROUND(AM9830+AN9830,2)*A9830</f>
        <v>44274.3</v>
      </c>
      <c r="AR9830" s="747">
        <v>21</v>
      </c>
      <c r="AS9830" s="1146">
        <v>2589.5100000000002</v>
      </c>
    </row>
    <row r="9831" spans="1:45" s="520" customFormat="1" ht="13.2">
      <c r="A9831" s="748"/>
      <c r="B9831"/>
      <c r="C9831" s="748"/>
      <c r="D9831" s="749" t="s">
        <v>2169</v>
      </c>
      <c r="F9831" s="753"/>
      <c r="G9831" s="3"/>
      <c r="H9831" s="753"/>
      <c r="I9831" s="754"/>
      <c r="J9831" s="753"/>
      <c r="K9831" s="753" t="s">
        <v>144</v>
      </c>
      <c r="L9831" s="753"/>
      <c r="M9831" s="753"/>
      <c r="N9831" s="753"/>
      <c r="O9831" s="753"/>
      <c r="P9831" s="753"/>
      <c r="Q9831" s="51"/>
      <c r="R9831" s="530"/>
      <c r="S9831" s="757"/>
      <c r="T9831" s="753"/>
      <c r="AR9831" s="748"/>
      <c r="AS9831" s="753"/>
    </row>
    <row r="9832" spans="1:45" s="901" customFormat="1" ht="13.2">
      <c r="A9832" s="903">
        <v>21</v>
      </c>
      <c r="B9832" s="904" t="s">
        <v>863</v>
      </c>
      <c r="C9832" s="904"/>
      <c r="D9832" s="904" t="s">
        <v>2594</v>
      </c>
      <c r="E9832" s="904"/>
      <c r="F9832" s="1153" t="s">
        <v>4129</v>
      </c>
      <c r="G9832" s="905" t="s">
        <v>2595</v>
      </c>
      <c r="H9832" s="902">
        <v>960</v>
      </c>
      <c r="I9832" s="904" t="s">
        <v>2596</v>
      </c>
      <c r="J9832" s="904"/>
      <c r="K9832" s="904"/>
      <c r="L9832" s="904"/>
      <c r="M9832" s="904"/>
      <c r="N9832" s="904"/>
      <c r="O9832" s="902">
        <v>4</v>
      </c>
      <c r="P9832" s="906">
        <v>38274</v>
      </c>
      <c r="Q9832" s="1415">
        <f>115*0.873</f>
        <v>100.395</v>
      </c>
      <c r="R9832" s="908">
        <f>$A9832*Q9832</f>
        <v>2108.2950000000001</v>
      </c>
      <c r="S9832" s="907"/>
      <c r="T9832" s="909">
        <f>$A9832*S9832*$T$1</f>
        <v>0</v>
      </c>
      <c r="AR9832" s="903">
        <v>21</v>
      </c>
      <c r="AS9832" s="1153" t="s">
        <v>3507</v>
      </c>
    </row>
    <row r="9833" spans="1:45" s="520" customFormat="1" ht="12">
      <c r="A9833" s="758"/>
      <c r="B9833" s="758"/>
      <c r="C9833" s="758"/>
      <c r="D9833" s="758"/>
      <c r="E9833" s="758"/>
      <c r="F9833" s="753"/>
      <c r="G9833" s="758"/>
      <c r="H9833" s="758"/>
      <c r="I9833" s="519"/>
      <c r="J9833" s="758"/>
      <c r="K9833" s="758"/>
      <c r="L9833" s="758"/>
      <c r="M9833" s="758"/>
      <c r="N9833" s="758"/>
      <c r="O9833" s="758"/>
      <c r="P9833" s="758"/>
      <c r="Q9833" s="519"/>
      <c r="R9833" s="759">
        <f>$A9833*Q9833</f>
        <v>0</v>
      </c>
      <c r="S9833" s="519"/>
      <c r="T9833" s="760">
        <f>$A9833*S9833*$T$1</f>
        <v>0</v>
      </c>
      <c r="AR9833" s="758"/>
      <c r="AS9833" s="753"/>
    </row>
    <row r="9834" spans="1:45" s="520" customFormat="1" ht="12.6" thickBot="1">
      <c r="A9834" s="761" t="s">
        <v>145</v>
      </c>
      <c r="B9834" s="762">
        <f>(R9833+T9833)</f>
        <v>0</v>
      </c>
      <c r="C9834" s="763"/>
      <c r="D9834" s="763"/>
      <c r="E9834" s="763"/>
      <c r="F9834" s="764"/>
      <c r="G9834" s="763" t="s">
        <v>146</v>
      </c>
      <c r="H9834" s="763"/>
      <c r="I9834" s="765"/>
      <c r="J9834" s="763"/>
      <c r="K9834" s="763" t="s">
        <v>5</v>
      </c>
      <c r="L9834" s="766" t="s">
        <v>143</v>
      </c>
      <c r="M9834" s="766"/>
      <c r="N9834" s="766"/>
      <c r="O9834" s="766"/>
      <c r="P9834" s="766"/>
      <c r="Q9834" s="767"/>
      <c r="R9834" s="768">
        <f>SUM(R9831:R9833)</f>
        <v>2108.2950000000001</v>
      </c>
      <c r="S9834" s="763"/>
      <c r="T9834" s="768">
        <f>SUM(T9831:T9833)</f>
        <v>0</v>
      </c>
      <c r="U9834" s="531"/>
      <c r="V9834" s="531"/>
      <c r="W9834" s="531"/>
      <c r="X9834" s="531"/>
      <c r="Y9834" s="531"/>
      <c r="Z9834" s="531"/>
      <c r="AA9834" s="531"/>
      <c r="AB9834" s="531"/>
      <c r="AC9834" s="531"/>
      <c r="AD9834" s="531"/>
      <c r="AE9834" s="531"/>
      <c r="AF9834" s="531"/>
      <c r="AG9834" s="531"/>
      <c r="AH9834" s="531"/>
      <c r="AI9834" s="531"/>
      <c r="AJ9834" s="531"/>
      <c r="AK9834" s="531"/>
      <c r="AL9834" s="531"/>
      <c r="AM9834" s="531"/>
      <c r="AN9834" s="531"/>
      <c r="AO9834" s="531"/>
      <c r="AR9834" s="761" t="s">
        <v>145</v>
      </c>
      <c r="AS9834" s="764"/>
    </row>
    <row r="9835" spans="1:45" s="520" customFormat="1" thickTop="1">
      <c r="A9835" s="51"/>
      <c r="B9835" s="51"/>
      <c r="C9835" s="3"/>
      <c r="D9835" s="3"/>
      <c r="E9835" s="51"/>
      <c r="F9835" s="51"/>
      <c r="G9835" s="51"/>
      <c r="H9835" s="51"/>
      <c r="I9835" s="51"/>
      <c r="J9835" s="51"/>
      <c r="K9835" s="51" t="s">
        <v>134</v>
      </c>
      <c r="L9835" s="51"/>
      <c r="M9835" s="51"/>
      <c r="N9835" s="51"/>
      <c r="O9835" s="52"/>
      <c r="P9835" s="51"/>
      <c r="Q9835" s="51"/>
      <c r="R9835" s="51"/>
      <c r="S9835" s="51"/>
      <c r="T9835" s="51"/>
      <c r="AR9835" s="51"/>
      <c r="AS9835" s="51"/>
    </row>
    <row r="9836" spans="1:45" s="520" customFormat="1" ht="12">
      <c r="A9836" s="51"/>
      <c r="B9836" s="51"/>
      <c r="C9836" s="51" t="s">
        <v>135</v>
      </c>
      <c r="D9836" s="37"/>
      <c r="E9836" s="51"/>
      <c r="F9836" s="51"/>
      <c r="G9836" s="51"/>
      <c r="H9836" s="51"/>
      <c r="I9836" s="51"/>
      <c r="J9836" s="51"/>
      <c r="K9836" s="51"/>
      <c r="L9836" s="51"/>
      <c r="M9836" s="51"/>
      <c r="N9836" s="51"/>
      <c r="O9836" s="52"/>
      <c r="P9836" s="51"/>
      <c r="Q9836" s="51"/>
      <c r="R9836" s="51"/>
      <c r="S9836" s="51"/>
      <c r="T9836" s="51"/>
      <c r="AR9836" s="51"/>
      <c r="AS9836" s="51"/>
    </row>
    <row r="9837" spans="1:45" s="520" customFormat="1" ht="12">
      <c r="A9837" s="51"/>
      <c r="B9837" s="51"/>
      <c r="C9837" s="51"/>
      <c r="D9837" s="37" t="s">
        <v>2170</v>
      </c>
      <c r="E9837" s="51"/>
      <c r="F9837" s="51"/>
      <c r="G9837" s="51"/>
      <c r="H9837" s="51"/>
      <c r="I9837" s="51"/>
      <c r="J9837" s="51"/>
      <c r="K9837" s="51"/>
      <c r="L9837" s="51"/>
      <c r="M9837" s="51"/>
      <c r="N9837" s="51"/>
      <c r="O9837" s="52"/>
      <c r="P9837" s="51"/>
      <c r="Q9837" s="51"/>
      <c r="R9837" s="51"/>
      <c r="S9837" s="38"/>
      <c r="T9837" s="38"/>
      <c r="AR9837" s="51"/>
      <c r="AS9837" s="51"/>
    </row>
    <row r="9838" spans="1:45" s="3" customFormat="1" thickBot="1">
      <c r="A9838" s="531"/>
      <c r="O9838" s="107"/>
      <c r="AR9838" s="531"/>
    </row>
    <row r="9839" spans="1:45" s="520" customFormat="1" ht="12" thickTop="1">
      <c r="A9839" s="51"/>
      <c r="B9839" s="41"/>
      <c r="C9839" s="51"/>
      <c r="E9839" s="42" t="s">
        <v>138</v>
      </c>
      <c r="F9839" s="42" t="s">
        <v>139</v>
      </c>
      <c r="G9839" s="51"/>
      <c r="H9839" s="51"/>
      <c r="I9839" s="51"/>
      <c r="J9839" s="51"/>
      <c r="K9839" s="51" t="s">
        <v>140</v>
      </c>
      <c r="L9839" s="51"/>
      <c r="M9839" s="51"/>
      <c r="N9839" s="51"/>
      <c r="O9839" s="52"/>
      <c r="P9839" s="51"/>
      <c r="Q9839" s="51"/>
      <c r="R9839" s="51"/>
      <c r="S9839" s="51"/>
      <c r="T9839" s="41"/>
      <c r="AG9839" s="521" t="s">
        <v>268</v>
      </c>
      <c r="AH9839" s="521" t="s">
        <v>269</v>
      </c>
      <c r="AI9839" s="521" t="s">
        <v>270</v>
      </c>
      <c r="AJ9839" s="521" t="s">
        <v>271</v>
      </c>
      <c r="AK9839" s="521" t="s">
        <v>272</v>
      </c>
      <c r="AM9839" s="745" t="s">
        <v>281</v>
      </c>
      <c r="AN9839" s="746" t="s">
        <v>282</v>
      </c>
      <c r="AO9839" s="522" t="s">
        <v>278</v>
      </c>
      <c r="AR9839" s="51"/>
      <c r="AS9839" s="42" t="s">
        <v>139</v>
      </c>
    </row>
    <row r="9840" spans="1:45" s="520" customFormat="1" ht="12" customHeight="1">
      <c r="A9840" s="747">
        <v>4</v>
      </c>
      <c r="B9840" s="523" t="s">
        <v>141</v>
      </c>
      <c r="C9840" s="748"/>
      <c r="D9840" s="749" t="s">
        <v>1837</v>
      </c>
      <c r="E9840" s="1145">
        <f>IF(AND($A9840=0,$A$1="DIF"),0, ROUND(ROUND(($R9844*$S$3+($T9844*$T$3))/$A9840,2)*$C$3,2))</f>
        <v>83.76</v>
      </c>
      <c r="F9840" s="1146">
        <f>ROUND($A9840*$E9840,2)</f>
        <v>335.04</v>
      </c>
      <c r="G9840" s="752" t="s">
        <v>142</v>
      </c>
      <c r="H9840" s="753"/>
      <c r="I9840" s="754"/>
      <c r="J9840" s="753"/>
      <c r="K9840" s="753" t="s">
        <v>5</v>
      </c>
      <c r="L9840" s="755" t="s">
        <v>143</v>
      </c>
      <c r="M9840" s="755"/>
      <c r="N9840" s="755"/>
      <c r="O9840" s="755"/>
      <c r="P9840" s="755"/>
      <c r="Q9840" s="51"/>
      <c r="T9840" s="1150" t="str">
        <f>IF(AND($R9844=0,$T9844=0),"0.00","mu: "&amp; ROUND(F9840/$C$3/($R9844+$T9844*$D$9),2))</f>
        <v>mu: 1.13</v>
      </c>
      <c r="W9840" s="524"/>
      <c r="AG9840" s="1147">
        <f>IF($E9840=0,0,ROUND($R9844*$S$3*$C$3/$A9840,2))</f>
        <v>83.76</v>
      </c>
      <c r="AH9840" s="1147">
        <f>$AG9840*$A9840</f>
        <v>335.04</v>
      </c>
      <c r="AI9840" s="1148">
        <f>$E9840-$AG9840</f>
        <v>0</v>
      </c>
      <c r="AJ9840" s="1148">
        <f>$A9840*$AI9840</f>
        <v>0</v>
      </c>
      <c r="AK9840" s="1149">
        <f>ROUND(($AG9840+$AI9840)*$A9840,2)</f>
        <v>335.04</v>
      </c>
      <c r="AM9840" s="527">
        <f>ROUND(R9844,2)</f>
        <v>296.82</v>
      </c>
      <c r="AN9840" s="528">
        <f>ROUND(T9844,2)</f>
        <v>0</v>
      </c>
      <c r="AO9840" s="529">
        <f>ROUND(AM9840+AN9840,2)*A9840</f>
        <v>1187.28</v>
      </c>
      <c r="AR9840" s="747">
        <v>4</v>
      </c>
      <c r="AS9840" s="1146">
        <v>364.6</v>
      </c>
    </row>
    <row r="9841" spans="1:45" s="520" customFormat="1" ht="13.2">
      <c r="A9841" s="748"/>
      <c r="B9841"/>
      <c r="C9841" s="748"/>
      <c r="D9841" s="749" t="s">
        <v>2168</v>
      </c>
      <c r="F9841" s="753"/>
      <c r="G9841" s="3"/>
      <c r="H9841" s="753"/>
      <c r="I9841" s="754"/>
      <c r="J9841" s="753"/>
      <c r="K9841" s="753" t="s">
        <v>144</v>
      </c>
      <c r="L9841" s="753"/>
      <c r="M9841" s="753"/>
      <c r="N9841" s="753"/>
      <c r="O9841" s="753"/>
      <c r="P9841" s="753"/>
      <c r="Q9841" s="51"/>
      <c r="R9841" s="530"/>
      <c r="S9841" s="757"/>
      <c r="T9841" s="753"/>
      <c r="AR9841" s="748"/>
      <c r="AS9841" s="753"/>
    </row>
    <row r="9842" spans="1:45" s="901" customFormat="1" ht="13.2">
      <c r="A9842" s="903">
        <v>4</v>
      </c>
      <c r="B9842" s="904" t="s">
        <v>863</v>
      </c>
      <c r="C9842" s="904"/>
      <c r="D9842" s="904" t="s">
        <v>2594</v>
      </c>
      <c r="E9842" s="904"/>
      <c r="F9842" s="1153" t="s">
        <v>4129</v>
      </c>
      <c r="G9842" s="905" t="s">
        <v>2595</v>
      </c>
      <c r="H9842" s="902">
        <v>960</v>
      </c>
      <c r="I9842" s="904" t="s">
        <v>2596</v>
      </c>
      <c r="J9842" s="904"/>
      <c r="K9842" s="904"/>
      <c r="L9842" s="904"/>
      <c r="M9842" s="904"/>
      <c r="N9842" s="904"/>
      <c r="O9842" s="902">
        <v>4</v>
      </c>
      <c r="P9842" s="906">
        <v>38274</v>
      </c>
      <c r="Q9842" s="1415">
        <f>85*0.873</f>
        <v>74.204999999999998</v>
      </c>
      <c r="R9842" s="908">
        <f>$A9842*Q9842</f>
        <v>296.82</v>
      </c>
      <c r="S9842" s="907"/>
      <c r="T9842" s="909">
        <f>$A9842*S9842*$T$1</f>
        <v>0</v>
      </c>
      <c r="AR9842" s="903">
        <v>4</v>
      </c>
      <c r="AS9842" s="1153" t="s">
        <v>3507</v>
      </c>
    </row>
    <row r="9843" spans="1:45" s="520" customFormat="1" ht="12">
      <c r="A9843" s="758"/>
      <c r="B9843" s="758"/>
      <c r="C9843" s="758"/>
      <c r="D9843" s="758"/>
      <c r="E9843" s="758"/>
      <c r="F9843" s="753"/>
      <c r="G9843" s="758"/>
      <c r="H9843" s="758"/>
      <c r="I9843" s="519"/>
      <c r="J9843" s="758"/>
      <c r="K9843" s="758"/>
      <c r="L9843" s="758"/>
      <c r="M9843" s="758"/>
      <c r="N9843" s="758"/>
      <c r="O9843" s="758"/>
      <c r="P9843" s="758"/>
      <c r="Q9843" s="519"/>
      <c r="R9843" s="759">
        <f>$A9843*Q9843</f>
        <v>0</v>
      </c>
      <c r="S9843" s="519"/>
      <c r="T9843" s="760">
        <f>$A9843*S9843*$T$1</f>
        <v>0</v>
      </c>
      <c r="AR9843" s="758"/>
      <c r="AS9843" s="753"/>
    </row>
    <row r="9844" spans="1:45" s="520" customFormat="1" ht="12.6" thickBot="1">
      <c r="A9844" s="761" t="s">
        <v>145</v>
      </c>
      <c r="B9844" s="762">
        <f>(R9843+T9843)</f>
        <v>0</v>
      </c>
      <c r="C9844" s="763"/>
      <c r="D9844" s="763"/>
      <c r="E9844" s="763"/>
      <c r="F9844" s="764"/>
      <c r="G9844" s="763" t="s">
        <v>146</v>
      </c>
      <c r="H9844" s="763"/>
      <c r="I9844" s="765"/>
      <c r="J9844" s="763"/>
      <c r="K9844" s="763" t="s">
        <v>5</v>
      </c>
      <c r="L9844" s="766" t="s">
        <v>143</v>
      </c>
      <c r="M9844" s="766"/>
      <c r="N9844" s="766"/>
      <c r="O9844" s="766"/>
      <c r="P9844" s="766"/>
      <c r="Q9844" s="767"/>
      <c r="R9844" s="768">
        <f>SUM(R9841:R9843)</f>
        <v>296.82</v>
      </c>
      <c r="S9844" s="763"/>
      <c r="T9844" s="768">
        <f>SUM(T9841:T9843)</f>
        <v>0</v>
      </c>
      <c r="U9844" s="531"/>
      <c r="V9844" s="531"/>
      <c r="W9844" s="531"/>
      <c r="X9844" s="531"/>
      <c r="Y9844" s="531"/>
      <c r="Z9844" s="531"/>
      <c r="AA9844" s="531"/>
      <c r="AB9844" s="531"/>
      <c r="AC9844" s="531"/>
      <c r="AD9844" s="531"/>
      <c r="AE9844" s="531"/>
      <c r="AF9844" s="531"/>
      <c r="AG9844" s="531"/>
      <c r="AH9844" s="531"/>
      <c r="AI9844" s="531"/>
      <c r="AJ9844" s="531"/>
      <c r="AK9844" s="531"/>
      <c r="AL9844" s="531"/>
      <c r="AM9844" s="531"/>
      <c r="AN9844" s="531"/>
      <c r="AO9844" s="531"/>
      <c r="AR9844" s="761" t="s">
        <v>145</v>
      </c>
      <c r="AS9844" s="764"/>
    </row>
    <row r="9845" spans="1:45" s="520" customFormat="1" ht="12" thickTop="1">
      <c r="A9845" s="51"/>
      <c r="B9845" s="41"/>
      <c r="C9845" s="51"/>
      <c r="E9845" s="42" t="s">
        <v>138</v>
      </c>
      <c r="F9845" s="42" t="s">
        <v>139</v>
      </c>
      <c r="G9845" s="51"/>
      <c r="H9845" s="51"/>
      <c r="I9845" s="51"/>
      <c r="J9845" s="51"/>
      <c r="K9845" s="51" t="s">
        <v>140</v>
      </c>
      <c r="L9845" s="51"/>
      <c r="M9845" s="51"/>
      <c r="N9845" s="51"/>
      <c r="O9845" s="52"/>
      <c r="P9845" s="51"/>
      <c r="Q9845" s="51"/>
      <c r="R9845" s="51"/>
      <c r="S9845" s="51"/>
      <c r="T9845" s="41"/>
      <c r="AG9845" s="521" t="s">
        <v>268</v>
      </c>
      <c r="AH9845" s="521" t="s">
        <v>269</v>
      </c>
      <c r="AI9845" s="521" t="s">
        <v>270</v>
      </c>
      <c r="AJ9845" s="521" t="s">
        <v>271</v>
      </c>
      <c r="AK9845" s="521" t="s">
        <v>272</v>
      </c>
      <c r="AM9845" s="745" t="s">
        <v>281</v>
      </c>
      <c r="AN9845" s="746" t="s">
        <v>282</v>
      </c>
      <c r="AO9845" s="522" t="s">
        <v>278</v>
      </c>
      <c r="AR9845" s="51"/>
      <c r="AS9845" s="42" t="s">
        <v>139</v>
      </c>
    </row>
    <row r="9846" spans="1:45" s="520" customFormat="1" ht="12" customHeight="1">
      <c r="A9846" s="747">
        <v>18</v>
      </c>
      <c r="B9846" s="523" t="s">
        <v>141</v>
      </c>
      <c r="C9846" s="748"/>
      <c r="D9846" s="749" t="s">
        <v>1838</v>
      </c>
      <c r="E9846" s="1145">
        <f>IF(AND($A9846=0,$A$1="DIF"),0, ROUND(ROUND(($R9850*$S$3+($T9850*$T$3))/$A9846,2)*$C$3,2))</f>
        <v>113.32</v>
      </c>
      <c r="F9846" s="1146">
        <f>ROUND($A9846*$E9846,2)</f>
        <v>2039.76</v>
      </c>
      <c r="G9846" s="752" t="s">
        <v>142</v>
      </c>
      <c r="H9846" s="753"/>
      <c r="I9846" s="754"/>
      <c r="J9846" s="753"/>
      <c r="K9846" s="753" t="s">
        <v>5</v>
      </c>
      <c r="L9846" s="755" t="s">
        <v>143</v>
      </c>
      <c r="M9846" s="755"/>
      <c r="N9846" s="755"/>
      <c r="O9846" s="755"/>
      <c r="P9846" s="755"/>
      <c r="Q9846" s="51"/>
      <c r="T9846" s="1150" t="str">
        <f>IF(AND($R9850=0,$T9850=0),"0.00","mu: "&amp; ROUND(F9846/$C$3/($R9850+$T9850*$D$9),2))</f>
        <v>mu: 1.13</v>
      </c>
      <c r="W9846" s="524"/>
      <c r="AG9846" s="1147">
        <f>IF($E9846=0,0,ROUND($R9850*$S$3*$C$3/$A9846,2))</f>
        <v>113.32</v>
      </c>
      <c r="AH9846" s="1147">
        <f>$AG9846*$A9846</f>
        <v>2039.7599999999998</v>
      </c>
      <c r="AI9846" s="1148">
        <f>$E9846-$AG9846</f>
        <v>0</v>
      </c>
      <c r="AJ9846" s="1148">
        <f>$A9846*$AI9846</f>
        <v>0</v>
      </c>
      <c r="AK9846" s="1149">
        <f>ROUND(($AG9846+$AI9846)*$A9846,2)</f>
        <v>2039.76</v>
      </c>
      <c r="AM9846" s="527">
        <f>ROUND(R9850,2)</f>
        <v>1807.11</v>
      </c>
      <c r="AN9846" s="528">
        <f>ROUND(T9850,2)</f>
        <v>0</v>
      </c>
      <c r="AO9846" s="529">
        <f>ROUND(AM9846+AN9846,2)*A9846</f>
        <v>32527.98</v>
      </c>
      <c r="AR9846" s="747">
        <v>26</v>
      </c>
      <c r="AS9846" s="1146">
        <v>3206.06</v>
      </c>
    </row>
    <row r="9847" spans="1:45" s="520" customFormat="1" ht="13.2">
      <c r="A9847" s="748"/>
      <c r="B9847"/>
      <c r="C9847" s="748"/>
      <c r="D9847" s="749" t="s">
        <v>2169</v>
      </c>
      <c r="F9847" s="753"/>
      <c r="G9847" s="3"/>
      <c r="H9847" s="753"/>
      <c r="I9847" s="754"/>
      <c r="J9847" s="753"/>
      <c r="K9847" s="753" t="s">
        <v>144</v>
      </c>
      <c r="L9847" s="753"/>
      <c r="M9847" s="753"/>
      <c r="N9847" s="753"/>
      <c r="O9847" s="753"/>
      <c r="P9847" s="753"/>
      <c r="Q9847" s="51"/>
      <c r="R9847" s="530"/>
      <c r="S9847" s="757"/>
      <c r="T9847" s="753"/>
      <c r="AR9847" s="748"/>
      <c r="AS9847" s="753"/>
    </row>
    <row r="9848" spans="1:45" s="901" customFormat="1" ht="13.2">
      <c r="A9848" s="903">
        <v>18</v>
      </c>
      <c r="B9848" s="904" t="s">
        <v>863</v>
      </c>
      <c r="C9848" s="904"/>
      <c r="D9848" s="904" t="s">
        <v>2594</v>
      </c>
      <c r="E9848" s="904"/>
      <c r="F9848" s="1153" t="s">
        <v>4129</v>
      </c>
      <c r="G9848" s="905" t="s">
        <v>2595</v>
      </c>
      <c r="H9848" s="902">
        <v>960</v>
      </c>
      <c r="I9848" s="904" t="s">
        <v>2596</v>
      </c>
      <c r="J9848" s="904"/>
      <c r="K9848" s="904"/>
      <c r="L9848" s="904"/>
      <c r="M9848" s="904"/>
      <c r="N9848" s="904"/>
      <c r="O9848" s="902">
        <v>4</v>
      </c>
      <c r="P9848" s="906">
        <v>38274</v>
      </c>
      <c r="Q9848" s="1415">
        <f>115*0.873</f>
        <v>100.395</v>
      </c>
      <c r="R9848" s="908">
        <f>$A9848*Q9848</f>
        <v>1807.11</v>
      </c>
      <c r="S9848" s="907"/>
      <c r="T9848" s="909">
        <f>$A9848*S9848*$T$1</f>
        <v>0</v>
      </c>
      <c r="AR9848" s="903">
        <v>26</v>
      </c>
      <c r="AS9848" s="1153" t="s">
        <v>3507</v>
      </c>
    </row>
    <row r="9849" spans="1:45" s="520" customFormat="1" ht="12">
      <c r="A9849" s="758"/>
      <c r="B9849" s="758"/>
      <c r="C9849" s="758"/>
      <c r="D9849" s="758"/>
      <c r="E9849" s="758"/>
      <c r="F9849" s="753"/>
      <c r="G9849" s="758"/>
      <c r="H9849" s="758"/>
      <c r="I9849" s="519"/>
      <c r="J9849" s="758"/>
      <c r="K9849" s="758"/>
      <c r="L9849" s="758"/>
      <c r="M9849" s="758"/>
      <c r="N9849" s="758"/>
      <c r="O9849" s="758"/>
      <c r="P9849" s="758"/>
      <c r="Q9849" s="519"/>
      <c r="R9849" s="759">
        <f>$A9849*Q9849</f>
        <v>0</v>
      </c>
      <c r="S9849" s="519"/>
      <c r="T9849" s="760">
        <f>$A9849*S9849*$T$1</f>
        <v>0</v>
      </c>
      <c r="AR9849" s="758"/>
      <c r="AS9849" s="753"/>
    </row>
    <row r="9850" spans="1:45" s="520" customFormat="1" ht="12.6" thickBot="1">
      <c r="A9850" s="761" t="s">
        <v>145</v>
      </c>
      <c r="B9850" s="762">
        <f>(R9849+T9849)</f>
        <v>0</v>
      </c>
      <c r="C9850" s="763"/>
      <c r="D9850" s="763"/>
      <c r="E9850" s="763"/>
      <c r="F9850" s="764"/>
      <c r="G9850" s="763" t="s">
        <v>146</v>
      </c>
      <c r="H9850" s="763"/>
      <c r="I9850" s="765"/>
      <c r="J9850" s="763"/>
      <c r="K9850" s="763" t="s">
        <v>5</v>
      </c>
      <c r="L9850" s="766" t="s">
        <v>143</v>
      </c>
      <c r="M9850" s="766"/>
      <c r="N9850" s="766"/>
      <c r="O9850" s="766"/>
      <c r="P9850" s="766"/>
      <c r="Q9850" s="767"/>
      <c r="R9850" s="768">
        <f>SUM(R9847:R9849)</f>
        <v>1807.11</v>
      </c>
      <c r="S9850" s="763"/>
      <c r="T9850" s="768">
        <f>SUM(T9847:T9849)</f>
        <v>0</v>
      </c>
      <c r="U9850" s="531"/>
      <c r="V9850" s="531"/>
      <c r="W9850" s="531"/>
      <c r="X9850" s="531"/>
      <c r="Y9850" s="531"/>
      <c r="Z9850" s="531"/>
      <c r="AA9850" s="531"/>
      <c r="AB9850" s="531"/>
      <c r="AC9850" s="531"/>
      <c r="AD9850" s="531"/>
      <c r="AE9850" s="531"/>
      <c r="AF9850" s="531"/>
      <c r="AG9850" s="531"/>
      <c r="AH9850" s="531"/>
      <c r="AI9850" s="531"/>
      <c r="AJ9850" s="531"/>
      <c r="AK9850" s="531"/>
      <c r="AL9850" s="531"/>
      <c r="AM9850" s="531"/>
      <c r="AN9850" s="531"/>
      <c r="AO9850" s="531"/>
      <c r="AR9850" s="761" t="s">
        <v>145</v>
      </c>
      <c r="AS9850" s="764"/>
    </row>
    <row r="9851" spans="1:45" s="520" customFormat="1" ht="12" thickTop="1">
      <c r="A9851" s="51"/>
      <c r="B9851" s="41"/>
      <c r="C9851" s="51"/>
      <c r="E9851" s="42" t="s">
        <v>138</v>
      </c>
      <c r="F9851" s="42" t="s">
        <v>139</v>
      </c>
      <c r="G9851" s="51"/>
      <c r="H9851" s="51"/>
      <c r="I9851" s="51"/>
      <c r="J9851" s="51"/>
      <c r="K9851" s="51" t="s">
        <v>140</v>
      </c>
      <c r="L9851" s="51"/>
      <c r="M9851" s="51"/>
      <c r="N9851" s="51"/>
      <c r="O9851" s="52"/>
      <c r="P9851" s="51"/>
      <c r="Q9851" s="51"/>
      <c r="R9851" s="51"/>
      <c r="S9851" s="51"/>
      <c r="T9851" s="41"/>
      <c r="AG9851" s="521" t="s">
        <v>268</v>
      </c>
      <c r="AH9851" s="521" t="s">
        <v>269</v>
      </c>
      <c r="AI9851" s="521" t="s">
        <v>270</v>
      </c>
      <c r="AJ9851" s="521" t="s">
        <v>271</v>
      </c>
      <c r="AK9851" s="521" t="s">
        <v>272</v>
      </c>
      <c r="AM9851" s="745" t="s">
        <v>281</v>
      </c>
      <c r="AN9851" s="746" t="s">
        <v>282</v>
      </c>
      <c r="AO9851" s="522" t="s">
        <v>278</v>
      </c>
      <c r="AR9851" s="51"/>
      <c r="AS9851" s="42" t="s">
        <v>139</v>
      </c>
    </row>
    <row r="9852" spans="1:45" s="520" customFormat="1" ht="12" customHeight="1">
      <c r="A9852" s="747">
        <v>3</v>
      </c>
      <c r="B9852" s="523" t="s">
        <v>141</v>
      </c>
      <c r="C9852" s="748"/>
      <c r="D9852" s="749" t="s">
        <v>1839</v>
      </c>
      <c r="E9852" s="1145">
        <f>IF(AND($A9852=0,$A$1="DIF"),0, ROUND(ROUND(($R9856*$S$3+($T9856*$T$3))/$A9852,2)*$C$3,2))</f>
        <v>192.15</v>
      </c>
      <c r="F9852" s="1146">
        <f>ROUND($A9852*$E9852,2)</f>
        <v>576.45000000000005</v>
      </c>
      <c r="G9852" s="752" t="s">
        <v>142</v>
      </c>
      <c r="H9852" s="753"/>
      <c r="I9852" s="754"/>
      <c r="J9852" s="753"/>
      <c r="K9852" s="753" t="s">
        <v>5</v>
      </c>
      <c r="L9852" s="755" t="s">
        <v>143</v>
      </c>
      <c r="M9852" s="755"/>
      <c r="N9852" s="755"/>
      <c r="O9852" s="755"/>
      <c r="P9852" s="755"/>
      <c r="Q9852" s="51"/>
      <c r="T9852" s="1150" t="str">
        <f>IF(AND($R9856=0,$T9856=0),"0.00","mu: "&amp; ROUND(F9852/$C$3/($R9856+$T9856*$D$9),2))</f>
        <v>mu: 1.13</v>
      </c>
      <c r="W9852" s="524"/>
      <c r="AG9852" s="1147">
        <f>IF($E9852=0,0,ROUND($R9856*$S$3*$C$3/$A9852,2))</f>
        <v>192.15</v>
      </c>
      <c r="AH9852" s="1147">
        <f>$AG9852*$A9852</f>
        <v>576.45000000000005</v>
      </c>
      <c r="AI9852" s="1148">
        <f>$E9852-$AG9852</f>
        <v>0</v>
      </c>
      <c r="AJ9852" s="1148">
        <f>$A9852*$AI9852</f>
        <v>0</v>
      </c>
      <c r="AK9852" s="1149">
        <f>ROUND(($AG9852+$AI9852)*$A9852,2)</f>
        <v>576.45000000000005</v>
      </c>
      <c r="AM9852" s="527">
        <f>ROUND(R9856,2)</f>
        <v>510.71</v>
      </c>
      <c r="AN9852" s="528">
        <f>ROUND(T9856,2)</f>
        <v>0</v>
      </c>
      <c r="AO9852" s="529">
        <f>ROUND(AM9852+AN9852,2)*A9852</f>
        <v>1532.1299999999999</v>
      </c>
      <c r="AR9852" s="747">
        <v>3</v>
      </c>
      <c r="AS9852" s="1146">
        <v>627.29999999999995</v>
      </c>
    </row>
    <row r="9853" spans="1:45" s="520" customFormat="1" ht="13.2">
      <c r="A9853" s="748"/>
      <c r="B9853"/>
      <c r="C9853" s="748"/>
      <c r="D9853" s="749" t="s">
        <v>2171</v>
      </c>
      <c r="F9853" s="753"/>
      <c r="G9853" s="3"/>
      <c r="H9853" s="753"/>
      <c r="I9853" s="754"/>
      <c r="J9853" s="753"/>
      <c r="K9853" s="753" t="s">
        <v>144</v>
      </c>
      <c r="L9853" s="753"/>
      <c r="M9853" s="753"/>
      <c r="N9853" s="753"/>
      <c r="O9853" s="753"/>
      <c r="P9853" s="753"/>
      <c r="Q9853" s="51"/>
      <c r="R9853" s="530"/>
      <c r="S9853" s="757"/>
      <c r="T9853" s="753"/>
      <c r="AR9853" s="748"/>
      <c r="AS9853" s="753"/>
    </row>
    <row r="9854" spans="1:45" s="901" customFormat="1" ht="13.2">
      <c r="A9854" s="903">
        <v>3</v>
      </c>
      <c r="B9854" s="904" t="s">
        <v>863</v>
      </c>
      <c r="C9854" s="904"/>
      <c r="D9854" s="904" t="s">
        <v>2594</v>
      </c>
      <c r="E9854" s="904"/>
      <c r="F9854" s="1153" t="s">
        <v>4129</v>
      </c>
      <c r="G9854" s="905" t="s">
        <v>2595</v>
      </c>
      <c r="H9854" s="902">
        <v>960</v>
      </c>
      <c r="I9854" s="904" t="s">
        <v>2596</v>
      </c>
      <c r="J9854" s="904"/>
      <c r="K9854" s="904"/>
      <c r="L9854" s="904"/>
      <c r="M9854" s="904"/>
      <c r="N9854" s="904"/>
      <c r="O9854" s="902">
        <v>4</v>
      </c>
      <c r="P9854" s="906">
        <v>38274</v>
      </c>
      <c r="Q9854" s="1415">
        <f>195*0.873</f>
        <v>170.23500000000001</v>
      </c>
      <c r="R9854" s="908">
        <f>$A9854*Q9854</f>
        <v>510.70500000000004</v>
      </c>
      <c r="S9854" s="907"/>
      <c r="T9854" s="909">
        <f>$A9854*S9854*$T$1</f>
        <v>0</v>
      </c>
      <c r="AR9854" s="903">
        <v>3</v>
      </c>
      <c r="AS9854" s="1153" t="s">
        <v>3507</v>
      </c>
    </row>
    <row r="9855" spans="1:45" s="520" customFormat="1" ht="12">
      <c r="A9855" s="758"/>
      <c r="B9855" s="758"/>
      <c r="C9855" s="758"/>
      <c r="D9855" s="758"/>
      <c r="E9855" s="758"/>
      <c r="F9855" s="753"/>
      <c r="G9855" s="758"/>
      <c r="H9855" s="758"/>
      <c r="I9855" s="519"/>
      <c r="J9855" s="758"/>
      <c r="K9855" s="758"/>
      <c r="L9855" s="758"/>
      <c r="M9855" s="758"/>
      <c r="N9855" s="758"/>
      <c r="O9855" s="758"/>
      <c r="P9855" s="758"/>
      <c r="Q9855" s="519"/>
      <c r="R9855" s="759">
        <f>$A9855*Q9855</f>
        <v>0</v>
      </c>
      <c r="S9855" s="519"/>
      <c r="T9855" s="760">
        <f>$A9855*S9855*$T$1</f>
        <v>0</v>
      </c>
      <c r="AR9855" s="758"/>
      <c r="AS9855" s="753"/>
    </row>
    <row r="9856" spans="1:45" s="520" customFormat="1" ht="12.6" thickBot="1">
      <c r="A9856" s="761" t="s">
        <v>145</v>
      </c>
      <c r="B9856" s="762">
        <f>(R9855+T9855)</f>
        <v>0</v>
      </c>
      <c r="C9856" s="763"/>
      <c r="D9856" s="763"/>
      <c r="E9856" s="763"/>
      <c r="F9856" s="764"/>
      <c r="G9856" s="763" t="s">
        <v>146</v>
      </c>
      <c r="H9856" s="763"/>
      <c r="I9856" s="765"/>
      <c r="J9856" s="763"/>
      <c r="K9856" s="763" t="s">
        <v>5</v>
      </c>
      <c r="L9856" s="766" t="s">
        <v>143</v>
      </c>
      <c r="M9856" s="766"/>
      <c r="N9856" s="766"/>
      <c r="O9856" s="766"/>
      <c r="P9856" s="766"/>
      <c r="Q9856" s="767"/>
      <c r="R9856" s="768">
        <f>SUM(R9853:R9855)</f>
        <v>510.70500000000004</v>
      </c>
      <c r="S9856" s="763"/>
      <c r="T9856" s="768">
        <f>SUM(T9853:T9855)</f>
        <v>0</v>
      </c>
      <c r="U9856" s="531"/>
      <c r="V9856" s="531"/>
      <c r="W9856" s="531"/>
      <c r="X9856" s="531"/>
      <c r="Y9856" s="531"/>
      <c r="Z9856" s="531"/>
      <c r="AA9856" s="531"/>
      <c r="AB9856" s="531"/>
      <c r="AC9856" s="531"/>
      <c r="AD9856" s="531"/>
      <c r="AE9856" s="531"/>
      <c r="AF9856" s="531"/>
      <c r="AG9856" s="531"/>
      <c r="AH9856" s="531"/>
      <c r="AI9856" s="531"/>
      <c r="AJ9856" s="531"/>
      <c r="AK9856" s="531"/>
      <c r="AL9856" s="531"/>
      <c r="AM9856" s="531"/>
      <c r="AN9856" s="531"/>
      <c r="AO9856" s="531"/>
      <c r="AR9856" s="761" t="s">
        <v>145</v>
      </c>
      <c r="AS9856" s="764"/>
    </row>
    <row r="9857" spans="1:45" s="520" customFormat="1" thickTop="1">
      <c r="A9857" s="51"/>
      <c r="B9857" s="51"/>
      <c r="C9857" s="3"/>
      <c r="D9857" s="3"/>
      <c r="E9857" s="51"/>
      <c r="F9857" s="51"/>
      <c r="G9857" s="51"/>
      <c r="H9857" s="51"/>
      <c r="I9857" s="51"/>
      <c r="J9857" s="51"/>
      <c r="K9857" s="51" t="s">
        <v>134</v>
      </c>
      <c r="L9857" s="51"/>
      <c r="M9857" s="51"/>
      <c r="N9857" s="51"/>
      <c r="O9857" s="52"/>
      <c r="P9857" s="51"/>
      <c r="Q9857" s="51"/>
      <c r="R9857" s="51"/>
      <c r="S9857" s="51"/>
      <c r="T9857" s="51"/>
      <c r="AR9857" s="51"/>
      <c r="AS9857" s="51"/>
    </row>
    <row r="9858" spans="1:45" s="520" customFormat="1" ht="12">
      <c r="A9858" s="51"/>
      <c r="B9858" s="51"/>
      <c r="C9858" s="51" t="s">
        <v>135</v>
      </c>
      <c r="D9858" s="37"/>
      <c r="E9858" s="51"/>
      <c r="F9858" s="51"/>
      <c r="G9858" s="51"/>
      <c r="H9858" s="51"/>
      <c r="I9858" s="51"/>
      <c r="J9858" s="51"/>
      <c r="K9858" s="51"/>
      <c r="L9858" s="51"/>
      <c r="M9858" s="51"/>
      <c r="N9858" s="51"/>
      <c r="O9858" s="52"/>
      <c r="P9858" s="51"/>
      <c r="Q9858" s="51"/>
      <c r="R9858" s="51"/>
      <c r="S9858" s="51"/>
      <c r="T9858" s="51"/>
      <c r="AR9858" s="51"/>
      <c r="AS9858" s="51"/>
    </row>
    <row r="9859" spans="1:45" s="520" customFormat="1" ht="12">
      <c r="A9859" s="51"/>
      <c r="B9859" s="51"/>
      <c r="C9859" s="51"/>
      <c r="D9859" s="37" t="s">
        <v>2172</v>
      </c>
      <c r="E9859" s="51"/>
      <c r="F9859" s="51"/>
      <c r="G9859" s="51"/>
      <c r="H9859" s="51"/>
      <c r="I9859" s="51"/>
      <c r="J9859" s="51"/>
      <c r="K9859" s="51"/>
      <c r="L9859" s="51"/>
      <c r="M9859" s="51"/>
      <c r="N9859" s="51"/>
      <c r="O9859" s="52"/>
      <c r="P9859" s="51"/>
      <c r="Q9859" s="51"/>
      <c r="R9859" s="51"/>
      <c r="S9859" s="38"/>
      <c r="T9859" s="38"/>
      <c r="AR9859" s="51"/>
      <c r="AS9859" s="51"/>
    </row>
    <row r="9860" spans="1:45" s="3" customFormat="1" thickBot="1">
      <c r="A9860" s="531"/>
      <c r="O9860" s="107"/>
      <c r="AR9860" s="531"/>
    </row>
    <row r="9861" spans="1:45" s="520" customFormat="1" thickTop="1">
      <c r="A9861" s="51"/>
      <c r="B9861" s="51"/>
      <c r="C9861" s="3"/>
      <c r="D9861" s="3"/>
      <c r="E9861" s="51"/>
      <c r="F9861" s="51"/>
      <c r="G9861" s="51"/>
      <c r="H9861" s="51"/>
      <c r="I9861" s="51"/>
      <c r="J9861" s="51"/>
      <c r="K9861" s="51" t="s">
        <v>134</v>
      </c>
      <c r="L9861" s="51"/>
      <c r="M9861" s="51"/>
      <c r="N9861" s="51"/>
      <c r="O9861" s="52"/>
      <c r="P9861" s="51"/>
      <c r="Q9861" s="51"/>
      <c r="R9861" s="51"/>
      <c r="S9861" s="51"/>
      <c r="T9861" s="51"/>
      <c r="AR9861" s="51"/>
      <c r="AS9861" s="51"/>
    </row>
    <row r="9862" spans="1:45" s="520" customFormat="1" ht="12">
      <c r="A9862" s="51"/>
      <c r="B9862" s="51"/>
      <c r="C9862" s="51" t="s">
        <v>135</v>
      </c>
      <c r="D9862" s="37"/>
      <c r="E9862" s="51"/>
      <c r="F9862" s="51"/>
      <c r="G9862" s="51"/>
      <c r="H9862" s="51"/>
      <c r="I9862" s="51"/>
      <c r="J9862" s="51"/>
      <c r="K9862" s="51"/>
      <c r="L9862" s="51"/>
      <c r="M9862" s="51"/>
      <c r="N9862" s="51"/>
      <c r="O9862" s="52"/>
      <c r="P9862" s="51"/>
      <c r="Q9862" s="51"/>
      <c r="R9862" s="51"/>
      <c r="S9862" s="51"/>
      <c r="T9862" s="51"/>
      <c r="AR9862" s="51"/>
      <c r="AS9862" s="51"/>
    </row>
    <row r="9863" spans="1:45" s="520" customFormat="1" ht="12">
      <c r="A9863" s="51"/>
      <c r="B9863" s="51"/>
      <c r="C9863" s="51"/>
      <c r="D9863" s="37" t="s">
        <v>347</v>
      </c>
      <c r="E9863" s="51"/>
      <c r="F9863" s="51"/>
      <c r="G9863" s="51"/>
      <c r="H9863" s="51"/>
      <c r="I9863" s="51"/>
      <c r="J9863" s="51"/>
      <c r="K9863" s="51"/>
      <c r="L9863" s="51"/>
      <c r="M9863" s="51"/>
      <c r="N9863" s="51"/>
      <c r="O9863" s="52"/>
      <c r="P9863" s="51"/>
      <c r="Q9863" s="51"/>
      <c r="R9863" s="51"/>
      <c r="S9863" s="38"/>
      <c r="T9863" s="38"/>
      <c r="AR9863" s="51"/>
      <c r="AS9863" s="51"/>
    </row>
    <row r="9864" spans="1:45" s="3" customFormat="1" thickBot="1">
      <c r="A9864" s="531"/>
      <c r="O9864" s="107"/>
      <c r="AR9864" s="531"/>
    </row>
    <row r="9865" spans="1:45" s="520" customFormat="1" thickTop="1">
      <c r="A9865" s="51"/>
      <c r="B9865" s="51"/>
      <c r="C9865" s="3"/>
      <c r="D9865" s="3"/>
      <c r="E9865" s="51"/>
      <c r="F9865" s="51"/>
      <c r="G9865" s="51"/>
      <c r="H9865" s="51"/>
      <c r="I9865" s="51"/>
      <c r="J9865" s="51"/>
      <c r="K9865" s="51" t="s">
        <v>134</v>
      </c>
      <c r="L9865" s="51"/>
      <c r="M9865" s="51"/>
      <c r="N9865" s="51"/>
      <c r="O9865" s="52"/>
      <c r="P9865" s="51"/>
      <c r="Q9865" s="51"/>
      <c r="R9865" s="51"/>
      <c r="S9865" s="51"/>
      <c r="T9865" s="51"/>
      <c r="AR9865" s="51"/>
      <c r="AS9865" s="51"/>
    </row>
    <row r="9866" spans="1:45" s="520" customFormat="1" ht="12">
      <c r="A9866" s="51"/>
      <c r="B9866" s="51"/>
      <c r="C9866" s="51" t="s">
        <v>135</v>
      </c>
      <c r="D9866" s="37"/>
      <c r="E9866" s="51"/>
      <c r="F9866" s="51"/>
      <c r="G9866" s="51"/>
      <c r="H9866" s="51"/>
      <c r="I9866" s="51"/>
      <c r="J9866" s="51"/>
      <c r="K9866" s="51"/>
      <c r="L9866" s="51"/>
      <c r="M9866" s="51"/>
      <c r="N9866" s="51"/>
      <c r="O9866" s="52"/>
      <c r="P9866" s="51"/>
      <c r="Q9866" s="51"/>
      <c r="R9866" s="51"/>
      <c r="S9866" s="51"/>
      <c r="T9866" s="51"/>
      <c r="AR9866" s="51"/>
      <c r="AS9866" s="51"/>
    </row>
    <row r="9867" spans="1:45" s="520" customFormat="1" ht="12">
      <c r="A9867" s="51"/>
      <c r="B9867" s="51"/>
      <c r="C9867" s="51"/>
      <c r="D9867" s="37" t="s">
        <v>2166</v>
      </c>
      <c r="E9867" s="51"/>
      <c r="F9867" s="51"/>
      <c r="G9867" s="51"/>
      <c r="H9867" s="51"/>
      <c r="I9867" s="51"/>
      <c r="J9867" s="51"/>
      <c r="K9867" s="51"/>
      <c r="L9867" s="51"/>
      <c r="M9867" s="51"/>
      <c r="N9867" s="51"/>
      <c r="O9867" s="52"/>
      <c r="P9867" s="51"/>
      <c r="Q9867" s="51"/>
      <c r="R9867" s="51"/>
      <c r="S9867" s="38"/>
      <c r="T9867" s="38"/>
      <c r="AR9867" s="51"/>
      <c r="AS9867" s="51"/>
    </row>
    <row r="9868" spans="1:45" s="3" customFormat="1" thickBot="1">
      <c r="A9868" s="531"/>
      <c r="O9868" s="107"/>
      <c r="AR9868" s="531"/>
    </row>
    <row r="9869" spans="1:45" s="520" customFormat="1" ht="12" thickTop="1">
      <c r="A9869" s="51"/>
      <c r="B9869" s="41"/>
      <c r="C9869" s="51"/>
      <c r="E9869" s="42" t="s">
        <v>138</v>
      </c>
      <c r="F9869" s="42" t="s">
        <v>139</v>
      </c>
      <c r="G9869" s="51"/>
      <c r="H9869" s="51"/>
      <c r="I9869" s="51"/>
      <c r="J9869" s="51"/>
      <c r="K9869" s="51" t="s">
        <v>140</v>
      </c>
      <c r="L9869" s="51"/>
      <c r="M9869" s="51"/>
      <c r="N9869" s="51"/>
      <c r="O9869" s="52"/>
      <c r="P9869" s="51"/>
      <c r="Q9869" s="51"/>
      <c r="R9869" s="51"/>
      <c r="S9869" s="51"/>
      <c r="T9869" s="41"/>
      <c r="AG9869" s="521" t="s">
        <v>268</v>
      </c>
      <c r="AH9869" s="521" t="s">
        <v>269</v>
      </c>
      <c r="AI9869" s="521" t="s">
        <v>270</v>
      </c>
      <c r="AJ9869" s="521" t="s">
        <v>271</v>
      </c>
      <c r="AK9869" s="521" t="s">
        <v>272</v>
      </c>
      <c r="AM9869" s="745" t="s">
        <v>281</v>
      </c>
      <c r="AN9869" s="746" t="s">
        <v>282</v>
      </c>
      <c r="AO9869" s="522" t="s">
        <v>278</v>
      </c>
      <c r="AR9869" s="51"/>
      <c r="AS9869" s="42" t="s">
        <v>139</v>
      </c>
    </row>
    <row r="9870" spans="1:45" s="520" customFormat="1" ht="12" customHeight="1">
      <c r="A9870" s="747">
        <v>6</v>
      </c>
      <c r="B9870" s="523" t="s">
        <v>141</v>
      </c>
      <c r="C9870" s="748"/>
      <c r="D9870" s="749" t="s">
        <v>1840</v>
      </c>
      <c r="E9870" s="1145">
        <f>IF(AND($A9870=0,$A$1="DIF"),0, ROUND(ROUND(($R9874*$S$3+($T9874*$T$3))/$A9870,2)*$C$3,2))</f>
        <v>83.76</v>
      </c>
      <c r="F9870" s="1146">
        <f>ROUND($A9870*$E9870,2)</f>
        <v>502.56</v>
      </c>
      <c r="G9870" s="752" t="s">
        <v>142</v>
      </c>
      <c r="H9870" s="753"/>
      <c r="I9870" s="754"/>
      <c r="J9870" s="753"/>
      <c r="K9870" s="753" t="s">
        <v>5</v>
      </c>
      <c r="L9870" s="755" t="s">
        <v>143</v>
      </c>
      <c r="M9870" s="755"/>
      <c r="N9870" s="755"/>
      <c r="O9870" s="755"/>
      <c r="P9870" s="755"/>
      <c r="Q9870" s="51"/>
      <c r="T9870" s="1150" t="str">
        <f>IF(AND($R9874=0,$T9874=0),"0.00","mu: "&amp; ROUND(F9870/$C$3/($R9874+$T9874*$D$9),2))</f>
        <v>mu: 1.13</v>
      </c>
      <c r="W9870" s="524"/>
      <c r="AG9870" s="1147">
        <f>IF($E9870=0,0,ROUND($R9874*$S$3*$C$3/$A9870,2))</f>
        <v>83.76</v>
      </c>
      <c r="AH9870" s="1147">
        <f>$AG9870*$A9870</f>
        <v>502.56000000000006</v>
      </c>
      <c r="AI9870" s="1148">
        <f>$E9870-$AG9870</f>
        <v>0</v>
      </c>
      <c r="AJ9870" s="1148">
        <f>$A9870*$AI9870</f>
        <v>0</v>
      </c>
      <c r="AK9870" s="1149">
        <f>ROUND(($AG9870+$AI9870)*$A9870,2)</f>
        <v>502.56</v>
      </c>
      <c r="AM9870" s="527">
        <f>ROUND(R9874,2)</f>
        <v>445.23</v>
      </c>
      <c r="AN9870" s="528">
        <f>ROUND(T9874,2)</f>
        <v>0</v>
      </c>
      <c r="AO9870" s="529">
        <f>ROUND(AM9870+AN9870,2)*A9870</f>
        <v>2671.38</v>
      </c>
      <c r="AR9870" s="747">
        <v>6</v>
      </c>
      <c r="AS9870" s="1146">
        <v>546.9</v>
      </c>
    </row>
    <row r="9871" spans="1:45" s="520" customFormat="1" ht="13.2">
      <c r="A9871" s="748"/>
      <c r="B9871"/>
      <c r="C9871" s="748"/>
      <c r="D9871" s="749" t="s">
        <v>2168</v>
      </c>
      <c r="F9871" s="753"/>
      <c r="G9871" s="3"/>
      <c r="H9871" s="753"/>
      <c r="I9871" s="754"/>
      <c r="J9871" s="753"/>
      <c r="K9871" s="753" t="s">
        <v>144</v>
      </c>
      <c r="L9871" s="753"/>
      <c r="M9871" s="753"/>
      <c r="N9871" s="753"/>
      <c r="O9871" s="753"/>
      <c r="P9871" s="753"/>
      <c r="Q9871" s="51"/>
      <c r="R9871" s="530"/>
      <c r="S9871" s="757"/>
      <c r="T9871" s="753"/>
      <c r="AR9871" s="748"/>
      <c r="AS9871" s="753"/>
    </row>
    <row r="9872" spans="1:45" s="901" customFormat="1" ht="13.2">
      <c r="A9872" s="903">
        <v>6</v>
      </c>
      <c r="B9872" s="904" t="s">
        <v>863</v>
      </c>
      <c r="C9872" s="904"/>
      <c r="D9872" s="904" t="s">
        <v>2594</v>
      </c>
      <c r="E9872" s="904"/>
      <c r="F9872" s="1153" t="s">
        <v>4129</v>
      </c>
      <c r="G9872" s="905" t="s">
        <v>2595</v>
      </c>
      <c r="H9872" s="902">
        <v>960</v>
      </c>
      <c r="I9872" s="904" t="s">
        <v>2596</v>
      </c>
      <c r="J9872" s="904"/>
      <c r="K9872" s="904"/>
      <c r="L9872" s="904"/>
      <c r="M9872" s="904"/>
      <c r="N9872" s="904"/>
      <c r="O9872" s="902">
        <v>4</v>
      </c>
      <c r="P9872" s="906">
        <v>38274</v>
      </c>
      <c r="Q9872" s="1415">
        <f>85*0.873</f>
        <v>74.204999999999998</v>
      </c>
      <c r="R9872" s="908">
        <f>$A9872*Q9872</f>
        <v>445.23</v>
      </c>
      <c r="S9872" s="907"/>
      <c r="T9872" s="909">
        <f>$A9872*S9872*$T$1</f>
        <v>0</v>
      </c>
      <c r="AR9872" s="903">
        <v>6</v>
      </c>
      <c r="AS9872" s="1153" t="s">
        <v>3507</v>
      </c>
    </row>
    <row r="9873" spans="1:45" s="520" customFormat="1" ht="12">
      <c r="A9873" s="758"/>
      <c r="B9873" s="758"/>
      <c r="C9873" s="758"/>
      <c r="D9873" s="758"/>
      <c r="E9873" s="758"/>
      <c r="F9873" s="753"/>
      <c r="G9873" s="758"/>
      <c r="H9873" s="758"/>
      <c r="I9873" s="519"/>
      <c r="J9873" s="758"/>
      <c r="K9873" s="758"/>
      <c r="L9873" s="758"/>
      <c r="M9873" s="758"/>
      <c r="N9873" s="758"/>
      <c r="O9873" s="758"/>
      <c r="P9873" s="758"/>
      <c r="Q9873" s="519"/>
      <c r="R9873" s="759">
        <f>$A9873*Q9873</f>
        <v>0</v>
      </c>
      <c r="S9873" s="519"/>
      <c r="T9873" s="760">
        <f>$A9873*S9873*$T$1</f>
        <v>0</v>
      </c>
      <c r="AR9873" s="758"/>
      <c r="AS9873" s="753"/>
    </row>
    <row r="9874" spans="1:45" s="520" customFormat="1" ht="12.6" thickBot="1">
      <c r="A9874" s="761" t="s">
        <v>145</v>
      </c>
      <c r="B9874" s="762">
        <f>(R9873+T9873)</f>
        <v>0</v>
      </c>
      <c r="C9874" s="763"/>
      <c r="D9874" s="763"/>
      <c r="E9874" s="763"/>
      <c r="F9874" s="764"/>
      <c r="G9874" s="763" t="s">
        <v>146</v>
      </c>
      <c r="H9874" s="763"/>
      <c r="I9874" s="765"/>
      <c r="J9874" s="763"/>
      <c r="K9874" s="763" t="s">
        <v>5</v>
      </c>
      <c r="L9874" s="766" t="s">
        <v>143</v>
      </c>
      <c r="M9874" s="766"/>
      <c r="N9874" s="766"/>
      <c r="O9874" s="766"/>
      <c r="P9874" s="766"/>
      <c r="Q9874" s="767"/>
      <c r="R9874" s="768">
        <f>SUM(R9871:R9873)</f>
        <v>445.23</v>
      </c>
      <c r="S9874" s="763"/>
      <c r="T9874" s="768">
        <f>SUM(T9871:T9873)</f>
        <v>0</v>
      </c>
      <c r="U9874" s="531"/>
      <c r="V9874" s="531"/>
      <c r="W9874" s="531"/>
      <c r="X9874" s="531"/>
      <c r="Y9874" s="531"/>
      <c r="Z9874" s="531"/>
      <c r="AA9874" s="531"/>
      <c r="AB9874" s="531"/>
      <c r="AC9874" s="531"/>
      <c r="AD9874" s="531"/>
      <c r="AE9874" s="531"/>
      <c r="AF9874" s="531"/>
      <c r="AG9874" s="531"/>
      <c r="AH9874" s="531"/>
      <c r="AI9874" s="531"/>
      <c r="AJ9874" s="531"/>
      <c r="AK9874" s="531"/>
      <c r="AL9874" s="531"/>
      <c r="AM9874" s="531"/>
      <c r="AN9874" s="531"/>
      <c r="AO9874" s="531"/>
      <c r="AR9874" s="761" t="s">
        <v>145</v>
      </c>
      <c r="AS9874" s="764"/>
    </row>
    <row r="9875" spans="1:45" s="520" customFormat="1" ht="12" thickTop="1">
      <c r="A9875" s="51"/>
      <c r="B9875" s="41"/>
      <c r="C9875" s="51"/>
      <c r="E9875" s="42" t="s">
        <v>138</v>
      </c>
      <c r="F9875" s="42" t="s">
        <v>139</v>
      </c>
      <c r="G9875" s="51"/>
      <c r="H9875" s="51"/>
      <c r="I9875" s="51"/>
      <c r="J9875" s="51"/>
      <c r="K9875" s="51" t="s">
        <v>140</v>
      </c>
      <c r="L9875" s="51"/>
      <c r="M9875" s="51"/>
      <c r="N9875" s="51"/>
      <c r="O9875" s="52"/>
      <c r="P9875" s="51"/>
      <c r="Q9875" s="51"/>
      <c r="R9875" s="51"/>
      <c r="S9875" s="51"/>
      <c r="T9875" s="41"/>
      <c r="AG9875" s="521" t="s">
        <v>268</v>
      </c>
      <c r="AH9875" s="521" t="s">
        <v>269</v>
      </c>
      <c r="AI9875" s="521" t="s">
        <v>270</v>
      </c>
      <c r="AJ9875" s="521" t="s">
        <v>271</v>
      </c>
      <c r="AK9875" s="521" t="s">
        <v>272</v>
      </c>
      <c r="AM9875" s="745" t="s">
        <v>281</v>
      </c>
      <c r="AN9875" s="746" t="s">
        <v>282</v>
      </c>
      <c r="AO9875" s="522" t="s">
        <v>278</v>
      </c>
      <c r="AR9875" s="51"/>
      <c r="AS9875" s="42" t="s">
        <v>139</v>
      </c>
    </row>
    <row r="9876" spans="1:45" s="520" customFormat="1" ht="12" customHeight="1">
      <c r="A9876" s="747">
        <v>7</v>
      </c>
      <c r="B9876" s="523" t="s">
        <v>141</v>
      </c>
      <c r="C9876" s="748"/>
      <c r="D9876" s="749" t="s">
        <v>1841</v>
      </c>
      <c r="E9876" s="1145">
        <f>IF(AND($A9876=0,$A$1="DIF"),0, ROUND(ROUND(($R9880*$S$3+($T9880*$T$3))/$A9876,2)*$C$3,2))</f>
        <v>123.17</v>
      </c>
      <c r="F9876" s="1146">
        <f>ROUND($A9876*$E9876,2)</f>
        <v>862.19</v>
      </c>
      <c r="G9876" s="752" t="s">
        <v>142</v>
      </c>
      <c r="H9876" s="753"/>
      <c r="I9876" s="754"/>
      <c r="J9876" s="753"/>
      <c r="K9876" s="753" t="s">
        <v>5</v>
      </c>
      <c r="L9876" s="755" t="s">
        <v>143</v>
      </c>
      <c r="M9876" s="755"/>
      <c r="N9876" s="755"/>
      <c r="O9876" s="755"/>
      <c r="P9876" s="755"/>
      <c r="Q9876" s="51"/>
      <c r="T9876" s="1150" t="str">
        <f>IF(AND($R9880=0,$T9880=0),"0.00","mu: "&amp; ROUND(F9876/$C$3/($R9880+$T9880*$D$9),2))</f>
        <v>mu: 1.13</v>
      </c>
      <c r="W9876" s="524"/>
      <c r="AG9876" s="1147">
        <f>IF($E9876=0,0,ROUND($R9880*$S$3*$C$3/$A9876,2))</f>
        <v>123.17</v>
      </c>
      <c r="AH9876" s="1147">
        <f>$AG9876*$A9876</f>
        <v>862.19</v>
      </c>
      <c r="AI9876" s="1148">
        <f>$E9876-$AG9876</f>
        <v>0</v>
      </c>
      <c r="AJ9876" s="1148">
        <f>$A9876*$AI9876</f>
        <v>0</v>
      </c>
      <c r="AK9876" s="1149">
        <f>ROUND(($AG9876+$AI9876)*$A9876,2)</f>
        <v>862.19</v>
      </c>
      <c r="AM9876" s="527">
        <f>ROUND(R9880,2)</f>
        <v>763.88</v>
      </c>
      <c r="AN9876" s="528">
        <f>ROUND(T9880,2)</f>
        <v>0</v>
      </c>
      <c r="AO9876" s="529">
        <f>ROUND(AM9876+AN9876,2)*A9876</f>
        <v>5347.16</v>
      </c>
      <c r="AR9876" s="747">
        <v>7</v>
      </c>
      <c r="AS9876" s="1146">
        <v>938.28</v>
      </c>
    </row>
    <row r="9877" spans="1:45" s="520" customFormat="1" ht="13.2">
      <c r="A9877" s="748"/>
      <c r="B9877"/>
      <c r="C9877" s="748"/>
      <c r="D9877" s="749" t="s">
        <v>2169</v>
      </c>
      <c r="F9877" s="753"/>
      <c r="G9877" s="3"/>
      <c r="H9877" s="753"/>
      <c r="I9877" s="754"/>
      <c r="J9877" s="753"/>
      <c r="K9877" s="753" t="s">
        <v>144</v>
      </c>
      <c r="L9877" s="753"/>
      <c r="M9877" s="753"/>
      <c r="N9877" s="753"/>
      <c r="O9877" s="753"/>
      <c r="P9877" s="753"/>
      <c r="Q9877" s="51"/>
      <c r="R9877" s="530"/>
      <c r="S9877" s="757"/>
      <c r="T9877" s="753"/>
      <c r="AR9877" s="748"/>
      <c r="AS9877" s="753"/>
    </row>
    <row r="9878" spans="1:45" s="901" customFormat="1" ht="13.2">
      <c r="A9878" s="903">
        <v>7</v>
      </c>
      <c r="B9878" s="904" t="s">
        <v>863</v>
      </c>
      <c r="C9878" s="904"/>
      <c r="D9878" s="904" t="s">
        <v>2594</v>
      </c>
      <c r="E9878" s="904"/>
      <c r="F9878" s="1153" t="s">
        <v>4129</v>
      </c>
      <c r="G9878" s="905" t="s">
        <v>2595</v>
      </c>
      <c r="H9878" s="902">
        <v>960</v>
      </c>
      <c r="I9878" s="904" t="s">
        <v>2596</v>
      </c>
      <c r="J9878" s="904"/>
      <c r="K9878" s="904"/>
      <c r="L9878" s="904"/>
      <c r="M9878" s="904"/>
      <c r="N9878" s="904"/>
      <c r="O9878" s="902">
        <v>4</v>
      </c>
      <c r="P9878" s="906">
        <v>38274</v>
      </c>
      <c r="Q9878" s="1415">
        <f>125*0.873</f>
        <v>109.125</v>
      </c>
      <c r="R9878" s="908">
        <f>$A9878*Q9878</f>
        <v>763.875</v>
      </c>
      <c r="S9878" s="907"/>
      <c r="T9878" s="909">
        <f>$A9878*S9878*$T$1</f>
        <v>0</v>
      </c>
      <c r="AR9878" s="903">
        <v>7</v>
      </c>
      <c r="AS9878" s="1153" t="s">
        <v>3507</v>
      </c>
    </row>
    <row r="9879" spans="1:45" s="520" customFormat="1" ht="12">
      <c r="A9879" s="758"/>
      <c r="B9879" s="758"/>
      <c r="C9879" s="758"/>
      <c r="D9879" s="758"/>
      <c r="E9879" s="758"/>
      <c r="F9879" s="753"/>
      <c r="G9879" s="758"/>
      <c r="H9879" s="758"/>
      <c r="I9879" s="519"/>
      <c r="J9879" s="758"/>
      <c r="K9879" s="758"/>
      <c r="L9879" s="758"/>
      <c r="M9879" s="758"/>
      <c r="N9879" s="758"/>
      <c r="O9879" s="758"/>
      <c r="P9879" s="758"/>
      <c r="Q9879" s="519"/>
      <c r="R9879" s="759">
        <f>$A9879*Q9879</f>
        <v>0</v>
      </c>
      <c r="S9879" s="519"/>
      <c r="T9879" s="760">
        <f>$A9879*S9879*$T$1</f>
        <v>0</v>
      </c>
      <c r="AR9879" s="758"/>
      <c r="AS9879" s="753"/>
    </row>
    <row r="9880" spans="1:45" s="520" customFormat="1" ht="12.6" thickBot="1">
      <c r="A9880" s="761" t="s">
        <v>145</v>
      </c>
      <c r="B9880" s="762">
        <f>(R9879+T9879)</f>
        <v>0</v>
      </c>
      <c r="C9880" s="763"/>
      <c r="D9880" s="763"/>
      <c r="E9880" s="763"/>
      <c r="F9880" s="764"/>
      <c r="G9880" s="763" t="s">
        <v>146</v>
      </c>
      <c r="H9880" s="763"/>
      <c r="I9880" s="765"/>
      <c r="J9880" s="763"/>
      <c r="K9880" s="763" t="s">
        <v>5</v>
      </c>
      <c r="L9880" s="766" t="s">
        <v>143</v>
      </c>
      <c r="M9880" s="766"/>
      <c r="N9880" s="766"/>
      <c r="O9880" s="766"/>
      <c r="P9880" s="766"/>
      <c r="Q9880" s="767"/>
      <c r="R9880" s="768">
        <f>SUM(R9877:R9879)</f>
        <v>763.875</v>
      </c>
      <c r="S9880" s="763"/>
      <c r="T9880" s="768">
        <f>SUM(T9877:T9879)</f>
        <v>0</v>
      </c>
      <c r="U9880" s="531"/>
      <c r="V9880" s="531"/>
      <c r="W9880" s="531"/>
      <c r="X9880" s="531"/>
      <c r="Y9880" s="531"/>
      <c r="Z9880" s="531"/>
      <c r="AA9880" s="531"/>
      <c r="AB9880" s="531"/>
      <c r="AC9880" s="531"/>
      <c r="AD9880" s="531"/>
      <c r="AE9880" s="531"/>
      <c r="AF9880" s="531"/>
      <c r="AG9880" s="531"/>
      <c r="AH9880" s="531"/>
      <c r="AI9880" s="531"/>
      <c r="AJ9880" s="531"/>
      <c r="AK9880" s="531"/>
      <c r="AL9880" s="531"/>
      <c r="AM9880" s="531"/>
      <c r="AN9880" s="531"/>
      <c r="AO9880" s="531"/>
      <c r="AR9880" s="761" t="s">
        <v>145</v>
      </c>
      <c r="AS9880" s="764"/>
    </row>
    <row r="9881" spans="1:45" s="520" customFormat="1" thickTop="1">
      <c r="A9881" s="51"/>
      <c r="B9881" s="51"/>
      <c r="C9881" s="3"/>
      <c r="D9881" s="3"/>
      <c r="E9881" s="51"/>
      <c r="F9881" s="51"/>
      <c r="G9881" s="51"/>
      <c r="H9881" s="51"/>
      <c r="I9881" s="51"/>
      <c r="J9881" s="51"/>
      <c r="K9881" s="51" t="s">
        <v>134</v>
      </c>
      <c r="L9881" s="51"/>
      <c r="M9881" s="51"/>
      <c r="N9881" s="51"/>
      <c r="O9881" s="52"/>
      <c r="P9881" s="51"/>
      <c r="Q9881" s="51"/>
      <c r="R9881" s="51"/>
      <c r="S9881" s="51"/>
      <c r="T9881" s="51"/>
      <c r="AR9881" s="51"/>
      <c r="AS9881" s="51"/>
    </row>
    <row r="9882" spans="1:45" s="520" customFormat="1" ht="12">
      <c r="A9882" s="51"/>
      <c r="B9882" s="51"/>
      <c r="C9882" s="51" t="s">
        <v>135</v>
      </c>
      <c r="D9882" s="37"/>
      <c r="E9882" s="51"/>
      <c r="F9882" s="51"/>
      <c r="G9882" s="51"/>
      <c r="H9882" s="51"/>
      <c r="I9882" s="51"/>
      <c r="J9882" s="51"/>
      <c r="K9882" s="51"/>
      <c r="L9882" s="51"/>
      <c r="M9882" s="51"/>
      <c r="N9882" s="51"/>
      <c r="O9882" s="52"/>
      <c r="P9882" s="51"/>
      <c r="Q9882" s="51"/>
      <c r="R9882" s="51"/>
      <c r="S9882" s="51"/>
      <c r="T9882" s="51"/>
      <c r="AR9882" s="51"/>
      <c r="AS9882" s="51"/>
    </row>
    <row r="9883" spans="1:45" s="520" customFormat="1" ht="12">
      <c r="A9883" s="51"/>
      <c r="B9883" s="51"/>
      <c r="C9883" s="51"/>
      <c r="D9883" s="37" t="s">
        <v>362</v>
      </c>
      <c r="E9883" s="51"/>
      <c r="F9883" s="51"/>
      <c r="G9883" s="51"/>
      <c r="H9883" s="51"/>
      <c r="I9883" s="51"/>
      <c r="J9883" s="51"/>
      <c r="K9883" s="51"/>
      <c r="L9883" s="51"/>
      <c r="M9883" s="51"/>
      <c r="N9883" s="51"/>
      <c r="O9883" s="52"/>
      <c r="P9883" s="51"/>
      <c r="Q9883" s="51"/>
      <c r="R9883" s="51"/>
      <c r="S9883" s="38"/>
      <c r="T9883" s="38"/>
      <c r="AR9883" s="51"/>
      <c r="AS9883" s="51"/>
    </row>
    <row r="9884" spans="1:45" s="3" customFormat="1" thickBot="1">
      <c r="A9884" s="531"/>
      <c r="O9884" s="107"/>
      <c r="AR9884" s="531"/>
    </row>
    <row r="9885" spans="1:45" s="520" customFormat="1" thickTop="1">
      <c r="A9885" s="51"/>
      <c r="B9885" s="51"/>
      <c r="C9885" s="3"/>
      <c r="D9885" s="3"/>
      <c r="E9885" s="51"/>
      <c r="F9885" s="51"/>
      <c r="G9885" s="51"/>
      <c r="H9885" s="51"/>
      <c r="I9885" s="51"/>
      <c r="J9885" s="51"/>
      <c r="K9885" s="51" t="s">
        <v>134</v>
      </c>
      <c r="L9885" s="51"/>
      <c r="M9885" s="51"/>
      <c r="N9885" s="51"/>
      <c r="O9885" s="52"/>
      <c r="P9885" s="51"/>
      <c r="Q9885" s="51"/>
      <c r="R9885" s="51"/>
      <c r="S9885" s="51"/>
      <c r="T9885" s="51"/>
      <c r="AR9885" s="51"/>
      <c r="AS9885" s="51"/>
    </row>
    <row r="9886" spans="1:45" s="520" customFormat="1" ht="12">
      <c r="A9886" s="51"/>
      <c r="B9886" s="51"/>
      <c r="C9886" s="51" t="s">
        <v>135</v>
      </c>
      <c r="D9886" s="37"/>
      <c r="E9886" s="51"/>
      <c r="F9886" s="51"/>
      <c r="G9886" s="51"/>
      <c r="H9886" s="51"/>
      <c r="I9886" s="51"/>
      <c r="J9886" s="51"/>
      <c r="K9886" s="51"/>
      <c r="L9886" s="51"/>
      <c r="M9886" s="51"/>
      <c r="N9886" s="51"/>
      <c r="O9886" s="52"/>
      <c r="P9886" s="51"/>
      <c r="Q9886" s="51"/>
      <c r="R9886" s="51"/>
      <c r="S9886" s="51"/>
      <c r="T9886" s="51"/>
      <c r="AR9886" s="51"/>
      <c r="AS9886" s="51"/>
    </row>
    <row r="9887" spans="1:45" s="520" customFormat="1" ht="12">
      <c r="A9887" s="51"/>
      <c r="B9887" s="51"/>
      <c r="C9887" s="51"/>
      <c r="D9887" s="37" t="s">
        <v>2166</v>
      </c>
      <c r="E9887" s="51"/>
      <c r="F9887" s="51"/>
      <c r="G9887" s="51"/>
      <c r="H9887" s="51"/>
      <c r="I9887" s="51"/>
      <c r="J9887" s="51"/>
      <c r="K9887" s="51"/>
      <c r="L9887" s="51"/>
      <c r="M9887" s="51"/>
      <c r="N9887" s="51"/>
      <c r="O9887" s="52"/>
      <c r="P9887" s="51"/>
      <c r="Q9887" s="51"/>
      <c r="R9887" s="51"/>
      <c r="S9887" s="38"/>
      <c r="T9887" s="38"/>
      <c r="AR9887" s="51"/>
      <c r="AS9887" s="51"/>
    </row>
    <row r="9888" spans="1:45" s="3" customFormat="1" thickBot="1">
      <c r="A9888" s="531"/>
      <c r="O9888" s="107"/>
      <c r="AR9888" s="531"/>
    </row>
    <row r="9889" spans="1:45" s="520" customFormat="1" ht="12" thickTop="1">
      <c r="A9889" s="51"/>
      <c r="B9889" s="41"/>
      <c r="C9889" s="51"/>
      <c r="E9889" s="42" t="s">
        <v>138</v>
      </c>
      <c r="F9889" s="42" t="s">
        <v>139</v>
      </c>
      <c r="G9889" s="51"/>
      <c r="H9889" s="51"/>
      <c r="I9889" s="51"/>
      <c r="J9889" s="51"/>
      <c r="K9889" s="51" t="s">
        <v>140</v>
      </c>
      <c r="L9889" s="51"/>
      <c r="M9889" s="51"/>
      <c r="N9889" s="51"/>
      <c r="O9889" s="52"/>
      <c r="P9889" s="51"/>
      <c r="Q9889" s="51"/>
      <c r="R9889" s="51"/>
      <c r="S9889" s="51"/>
      <c r="T9889" s="41"/>
      <c r="AG9889" s="521" t="s">
        <v>268</v>
      </c>
      <c r="AH9889" s="521" t="s">
        <v>269</v>
      </c>
      <c r="AI9889" s="521" t="s">
        <v>270</v>
      </c>
      <c r="AJ9889" s="521" t="s">
        <v>271</v>
      </c>
      <c r="AK9889" s="521" t="s">
        <v>272</v>
      </c>
      <c r="AM9889" s="745" t="s">
        <v>281</v>
      </c>
      <c r="AN9889" s="746" t="s">
        <v>282</v>
      </c>
      <c r="AO9889" s="522" t="s">
        <v>278</v>
      </c>
      <c r="AR9889" s="51"/>
      <c r="AS9889" s="42" t="s">
        <v>139</v>
      </c>
    </row>
    <row r="9890" spans="1:45" s="520" customFormat="1" ht="12" customHeight="1">
      <c r="A9890" s="747">
        <v>4</v>
      </c>
      <c r="B9890" s="523" t="s">
        <v>141</v>
      </c>
      <c r="C9890" s="748"/>
      <c r="D9890" s="749" t="s">
        <v>1842</v>
      </c>
      <c r="E9890" s="1145">
        <f>IF(AND($A9890=0,$A$1="DIF"),0, ROUND(ROUND(($R9894*$S$3+($T9894*$T$3))/$A9890,2)*$C$3,2))</f>
        <v>83.76</v>
      </c>
      <c r="F9890" s="1146">
        <f>ROUND($A9890*$E9890,2)</f>
        <v>335.04</v>
      </c>
      <c r="G9890" s="752" t="s">
        <v>142</v>
      </c>
      <c r="H9890" s="753"/>
      <c r="I9890" s="754"/>
      <c r="J9890" s="753"/>
      <c r="K9890" s="753" t="s">
        <v>5</v>
      </c>
      <c r="L9890" s="755" t="s">
        <v>143</v>
      </c>
      <c r="M9890" s="755"/>
      <c r="N9890" s="755"/>
      <c r="O9890" s="755"/>
      <c r="P9890" s="755"/>
      <c r="Q9890" s="51"/>
      <c r="T9890" s="1150" t="str">
        <f>IF(AND($R9894=0,$T9894=0),"0.00","mu: "&amp; ROUND(F9890/$C$3/($R9894+$T9894*$D$9),2))</f>
        <v>mu: 1.13</v>
      </c>
      <c r="W9890" s="524"/>
      <c r="AG9890" s="1147">
        <f>IF($E9890=0,0,ROUND($R9894*$S$3*$C$3/$A9890,2))</f>
        <v>83.76</v>
      </c>
      <c r="AH9890" s="1147">
        <f>$AG9890*$A9890</f>
        <v>335.04</v>
      </c>
      <c r="AI9890" s="1148">
        <f>$E9890-$AG9890</f>
        <v>0</v>
      </c>
      <c r="AJ9890" s="1148">
        <f>$A9890*$AI9890</f>
        <v>0</v>
      </c>
      <c r="AK9890" s="1149">
        <f>ROUND(($AG9890+$AI9890)*$A9890,2)</f>
        <v>335.04</v>
      </c>
      <c r="AM9890" s="527">
        <f>ROUND(R9894,2)</f>
        <v>296.82</v>
      </c>
      <c r="AN9890" s="528">
        <f>ROUND(T9894,2)</f>
        <v>0</v>
      </c>
      <c r="AO9890" s="529">
        <f>ROUND(AM9890+AN9890,2)*A9890</f>
        <v>1187.28</v>
      </c>
      <c r="AR9890" s="747">
        <v>4</v>
      </c>
      <c r="AS9890" s="1146">
        <v>364.6</v>
      </c>
    </row>
    <row r="9891" spans="1:45" s="520" customFormat="1" ht="13.2">
      <c r="A9891" s="748"/>
      <c r="B9891"/>
      <c r="C9891" s="748"/>
      <c r="D9891" s="749" t="s">
        <v>2168</v>
      </c>
      <c r="F9891" s="753"/>
      <c r="G9891" s="3"/>
      <c r="H9891" s="753"/>
      <c r="I9891" s="754"/>
      <c r="J9891" s="753"/>
      <c r="K9891" s="753" t="s">
        <v>144</v>
      </c>
      <c r="L9891" s="753"/>
      <c r="M9891" s="753"/>
      <c r="N9891" s="753"/>
      <c r="O9891" s="753"/>
      <c r="P9891" s="753"/>
      <c r="Q9891" s="51"/>
      <c r="R9891" s="530"/>
      <c r="S9891" s="757"/>
      <c r="T9891" s="753"/>
      <c r="AR9891" s="748"/>
      <c r="AS9891" s="753"/>
    </row>
    <row r="9892" spans="1:45" s="901" customFormat="1" ht="13.2">
      <c r="A9892" s="903">
        <v>4</v>
      </c>
      <c r="B9892" s="904" t="s">
        <v>863</v>
      </c>
      <c r="C9892" s="904"/>
      <c r="D9892" s="904" t="s">
        <v>2594</v>
      </c>
      <c r="E9892" s="904"/>
      <c r="F9892" s="1153" t="s">
        <v>4129</v>
      </c>
      <c r="G9892" s="905" t="s">
        <v>2595</v>
      </c>
      <c r="H9892" s="902">
        <v>960</v>
      </c>
      <c r="I9892" s="904" t="s">
        <v>2596</v>
      </c>
      <c r="J9892" s="904"/>
      <c r="K9892" s="904"/>
      <c r="L9892" s="904"/>
      <c r="M9892" s="904"/>
      <c r="N9892" s="904"/>
      <c r="O9892" s="902">
        <v>4</v>
      </c>
      <c r="P9892" s="906">
        <v>38274</v>
      </c>
      <c r="Q9892" s="1415">
        <f>85*0.873</f>
        <v>74.204999999999998</v>
      </c>
      <c r="R9892" s="908">
        <f>$A9892*Q9892</f>
        <v>296.82</v>
      </c>
      <c r="S9892" s="907"/>
      <c r="T9892" s="909">
        <f>$A9892*S9892*$T$1</f>
        <v>0</v>
      </c>
      <c r="AR9892" s="903">
        <v>4</v>
      </c>
      <c r="AS9892" s="1153" t="s">
        <v>3507</v>
      </c>
    </row>
    <row r="9893" spans="1:45" s="520" customFormat="1" ht="12">
      <c r="A9893" s="758"/>
      <c r="B9893" s="758"/>
      <c r="C9893" s="758"/>
      <c r="D9893" s="758"/>
      <c r="E9893" s="758"/>
      <c r="F9893" s="753"/>
      <c r="G9893" s="758"/>
      <c r="H9893" s="758"/>
      <c r="I9893" s="519"/>
      <c r="J9893" s="758"/>
      <c r="K9893" s="758"/>
      <c r="L9893" s="758"/>
      <c r="M9893" s="758"/>
      <c r="N9893" s="758"/>
      <c r="O9893" s="758"/>
      <c r="P9893" s="758"/>
      <c r="Q9893" s="519"/>
      <c r="R9893" s="759">
        <f>$A9893*Q9893</f>
        <v>0</v>
      </c>
      <c r="S9893" s="519"/>
      <c r="T9893" s="760">
        <f>$A9893*S9893*$T$1</f>
        <v>0</v>
      </c>
      <c r="AR9893" s="758"/>
      <c r="AS9893" s="753"/>
    </row>
    <row r="9894" spans="1:45" s="520" customFormat="1" ht="12.6" thickBot="1">
      <c r="A9894" s="761" t="s">
        <v>145</v>
      </c>
      <c r="B9894" s="762">
        <f>(R9893+T9893)</f>
        <v>0</v>
      </c>
      <c r="C9894" s="763"/>
      <c r="D9894" s="763"/>
      <c r="E9894" s="763"/>
      <c r="F9894" s="764"/>
      <c r="G9894" s="763" t="s">
        <v>146</v>
      </c>
      <c r="H9894" s="763"/>
      <c r="I9894" s="765"/>
      <c r="J9894" s="763"/>
      <c r="K9894" s="763" t="s">
        <v>5</v>
      </c>
      <c r="L9894" s="766" t="s">
        <v>143</v>
      </c>
      <c r="M9894" s="766"/>
      <c r="N9894" s="766"/>
      <c r="O9894" s="766"/>
      <c r="P9894" s="766"/>
      <c r="Q9894" s="767"/>
      <c r="R9894" s="768">
        <f>SUM(R9891:R9893)</f>
        <v>296.82</v>
      </c>
      <c r="S9894" s="763"/>
      <c r="T9894" s="768">
        <f>SUM(T9891:T9893)</f>
        <v>0</v>
      </c>
      <c r="U9894" s="531"/>
      <c r="V9894" s="531"/>
      <c r="W9894" s="531"/>
      <c r="X9894" s="531"/>
      <c r="Y9894" s="531"/>
      <c r="Z9894" s="531"/>
      <c r="AA9894" s="531"/>
      <c r="AB9894" s="531"/>
      <c r="AC9894" s="531"/>
      <c r="AD9894" s="531"/>
      <c r="AE9894" s="531"/>
      <c r="AF9894" s="531"/>
      <c r="AG9894" s="531"/>
      <c r="AH9894" s="531"/>
      <c r="AI9894" s="531"/>
      <c r="AJ9894" s="531"/>
      <c r="AK9894" s="531"/>
      <c r="AL9894" s="531"/>
      <c r="AM9894" s="531"/>
      <c r="AN9894" s="531"/>
      <c r="AO9894" s="531"/>
      <c r="AR9894" s="761" t="s">
        <v>145</v>
      </c>
      <c r="AS9894" s="764"/>
    </row>
    <row r="9895" spans="1:45" s="520" customFormat="1" ht="12" thickTop="1">
      <c r="A9895" s="51"/>
      <c r="B9895" s="41"/>
      <c r="C9895" s="51"/>
      <c r="E9895" s="42" t="s">
        <v>138</v>
      </c>
      <c r="F9895" s="42" t="s">
        <v>139</v>
      </c>
      <c r="G9895" s="51"/>
      <c r="H9895" s="51"/>
      <c r="I9895" s="51"/>
      <c r="J9895" s="51"/>
      <c r="K9895" s="51" t="s">
        <v>140</v>
      </c>
      <c r="L9895" s="51"/>
      <c r="M9895" s="51"/>
      <c r="N9895" s="51"/>
      <c r="O9895" s="52"/>
      <c r="P9895" s="51"/>
      <c r="Q9895" s="51"/>
      <c r="R9895" s="51"/>
      <c r="S9895" s="51"/>
      <c r="T9895" s="41"/>
      <c r="AG9895" s="521" t="s">
        <v>268</v>
      </c>
      <c r="AH9895" s="521" t="s">
        <v>269</v>
      </c>
      <c r="AI9895" s="521" t="s">
        <v>270</v>
      </c>
      <c r="AJ9895" s="521" t="s">
        <v>271</v>
      </c>
      <c r="AK9895" s="521" t="s">
        <v>272</v>
      </c>
      <c r="AM9895" s="745" t="s">
        <v>281</v>
      </c>
      <c r="AN9895" s="746" t="s">
        <v>282</v>
      </c>
      <c r="AO9895" s="522" t="s">
        <v>278</v>
      </c>
      <c r="AR9895" s="51"/>
      <c r="AS9895" s="42" t="s">
        <v>139</v>
      </c>
    </row>
    <row r="9896" spans="1:45" s="520" customFormat="1" ht="12" customHeight="1">
      <c r="A9896" s="747">
        <v>1</v>
      </c>
      <c r="B9896" s="523" t="s">
        <v>141</v>
      </c>
      <c r="C9896" s="748"/>
      <c r="D9896" s="749" t="s">
        <v>1843</v>
      </c>
      <c r="E9896" s="1145">
        <f>IF(AND($A9896=0,$A$1="DIF"),0, ROUND(ROUND(($R9900*$S$3+($T9900*$T$3))/$A9896,2)*$C$3,2))</f>
        <v>192.15</v>
      </c>
      <c r="F9896" s="1146">
        <f>ROUND($A9896*$E9896,2)</f>
        <v>192.15</v>
      </c>
      <c r="G9896" s="752" t="s">
        <v>142</v>
      </c>
      <c r="H9896" s="753"/>
      <c r="I9896" s="754"/>
      <c r="J9896" s="753"/>
      <c r="K9896" s="753" t="s">
        <v>5</v>
      </c>
      <c r="L9896" s="755" t="s">
        <v>143</v>
      </c>
      <c r="M9896" s="755"/>
      <c r="N9896" s="755"/>
      <c r="O9896" s="755"/>
      <c r="P9896" s="755"/>
      <c r="Q9896" s="51"/>
      <c r="T9896" s="1150" t="str">
        <f>IF(AND($R9900=0,$T9900=0),"0.00","mu: "&amp; ROUND(F9896/$C$3/($R9900+$T9900*$D$9),2))</f>
        <v>mu: 1.13</v>
      </c>
      <c r="W9896" s="524"/>
      <c r="AG9896" s="1147">
        <f>IF($E9896=0,0,ROUND($R9900*$S$3*$C$3/$A9896,2))</f>
        <v>192.15</v>
      </c>
      <c r="AH9896" s="1147">
        <f>$AG9896*$A9896</f>
        <v>192.15</v>
      </c>
      <c r="AI9896" s="1148">
        <f>$E9896-$AG9896</f>
        <v>0</v>
      </c>
      <c r="AJ9896" s="1148">
        <f>$A9896*$AI9896</f>
        <v>0</v>
      </c>
      <c r="AK9896" s="1149">
        <f>ROUND(($AG9896+$AI9896)*$A9896,2)</f>
        <v>192.15</v>
      </c>
      <c r="AM9896" s="527">
        <f>ROUND(R9900,2)</f>
        <v>170.24</v>
      </c>
      <c r="AN9896" s="528">
        <f>ROUND(T9900,2)</f>
        <v>0</v>
      </c>
      <c r="AO9896" s="529">
        <f>ROUND(AM9896+AN9896,2)*A9896</f>
        <v>170.24</v>
      </c>
      <c r="AR9896" s="747">
        <v>1</v>
      </c>
      <c r="AS9896" s="1146">
        <v>209.1</v>
      </c>
    </row>
    <row r="9897" spans="1:45" s="520" customFormat="1" ht="13.2">
      <c r="A9897" s="748"/>
      <c r="B9897"/>
      <c r="C9897" s="748"/>
      <c r="D9897" s="749" t="s">
        <v>2171</v>
      </c>
      <c r="F9897" s="753"/>
      <c r="G9897" s="3"/>
      <c r="H9897" s="753"/>
      <c r="I9897" s="754"/>
      <c r="J9897" s="753"/>
      <c r="K9897" s="753" t="s">
        <v>144</v>
      </c>
      <c r="L9897" s="753"/>
      <c r="M9897" s="753"/>
      <c r="N9897" s="753"/>
      <c r="O9897" s="753"/>
      <c r="P9897" s="753"/>
      <c r="Q9897" s="51"/>
      <c r="R9897" s="530"/>
      <c r="S9897" s="757"/>
      <c r="T9897" s="753"/>
      <c r="AR9897" s="748"/>
      <c r="AS9897" s="753"/>
    </row>
    <row r="9898" spans="1:45" s="901" customFormat="1" ht="13.2">
      <c r="A9898" s="903">
        <v>1</v>
      </c>
      <c r="B9898" s="904" t="s">
        <v>863</v>
      </c>
      <c r="C9898" s="904"/>
      <c r="D9898" s="904" t="s">
        <v>2594</v>
      </c>
      <c r="E9898" s="904"/>
      <c r="F9898" s="1153" t="s">
        <v>4129</v>
      </c>
      <c r="G9898" s="905" t="s">
        <v>2595</v>
      </c>
      <c r="H9898" s="902">
        <v>960</v>
      </c>
      <c r="I9898" s="904" t="s">
        <v>2596</v>
      </c>
      <c r="J9898" s="904"/>
      <c r="K9898" s="904"/>
      <c r="L9898" s="904"/>
      <c r="M9898" s="904"/>
      <c r="N9898" s="904"/>
      <c r="O9898" s="902">
        <v>4</v>
      </c>
      <c r="P9898" s="906">
        <v>38274</v>
      </c>
      <c r="Q9898" s="1415">
        <f>195*0.873</f>
        <v>170.23500000000001</v>
      </c>
      <c r="R9898" s="908">
        <f>$A9898*Q9898</f>
        <v>170.23500000000001</v>
      </c>
      <c r="S9898" s="907"/>
      <c r="T9898" s="909">
        <f>$A9898*S9898*$T$1</f>
        <v>0</v>
      </c>
      <c r="AR9898" s="903">
        <v>1</v>
      </c>
      <c r="AS9898" s="1153" t="s">
        <v>3507</v>
      </c>
    </row>
    <row r="9899" spans="1:45" s="520" customFormat="1" ht="12">
      <c r="A9899" s="758"/>
      <c r="B9899" s="758"/>
      <c r="C9899" s="758"/>
      <c r="D9899" s="758"/>
      <c r="E9899" s="758"/>
      <c r="F9899" s="753"/>
      <c r="G9899" s="758"/>
      <c r="H9899" s="758"/>
      <c r="I9899" s="519"/>
      <c r="J9899" s="758"/>
      <c r="K9899" s="758"/>
      <c r="L9899" s="758"/>
      <c r="M9899" s="758"/>
      <c r="N9899" s="758"/>
      <c r="O9899" s="758"/>
      <c r="P9899" s="758"/>
      <c r="Q9899" s="519"/>
      <c r="R9899" s="759">
        <f>$A9899*Q9899</f>
        <v>0</v>
      </c>
      <c r="S9899" s="519"/>
      <c r="T9899" s="760">
        <f>$A9899*S9899*$T$1</f>
        <v>0</v>
      </c>
      <c r="AR9899" s="758"/>
      <c r="AS9899" s="753"/>
    </row>
    <row r="9900" spans="1:45" s="520" customFormat="1" ht="12.6" thickBot="1">
      <c r="A9900" s="761" t="s">
        <v>145</v>
      </c>
      <c r="B9900" s="762">
        <f>(R9899+T9899)</f>
        <v>0</v>
      </c>
      <c r="C9900" s="763"/>
      <c r="D9900" s="763"/>
      <c r="E9900" s="763"/>
      <c r="F9900" s="764"/>
      <c r="G9900" s="763" t="s">
        <v>146</v>
      </c>
      <c r="H9900" s="763"/>
      <c r="I9900" s="765"/>
      <c r="J9900" s="763"/>
      <c r="K9900" s="763" t="s">
        <v>5</v>
      </c>
      <c r="L9900" s="766" t="s">
        <v>143</v>
      </c>
      <c r="M9900" s="766"/>
      <c r="N9900" s="766"/>
      <c r="O9900" s="766"/>
      <c r="P9900" s="766"/>
      <c r="Q9900" s="767"/>
      <c r="R9900" s="768">
        <f>SUM(R9897:R9899)</f>
        <v>170.23500000000001</v>
      </c>
      <c r="S9900" s="763"/>
      <c r="T9900" s="768">
        <f>SUM(T9897:T9899)</f>
        <v>0</v>
      </c>
      <c r="U9900" s="531"/>
      <c r="V9900" s="531"/>
      <c r="W9900" s="531"/>
      <c r="X9900" s="531"/>
      <c r="Y9900" s="531"/>
      <c r="Z9900" s="531"/>
      <c r="AA9900" s="531"/>
      <c r="AB9900" s="531"/>
      <c r="AC9900" s="531"/>
      <c r="AD9900" s="531"/>
      <c r="AE9900" s="531"/>
      <c r="AF9900" s="531"/>
      <c r="AG9900" s="531"/>
      <c r="AH9900" s="531"/>
      <c r="AI9900" s="531"/>
      <c r="AJ9900" s="531"/>
      <c r="AK9900" s="531"/>
      <c r="AL9900" s="531"/>
      <c r="AM9900" s="531"/>
      <c r="AN9900" s="531"/>
      <c r="AO9900" s="531"/>
      <c r="AR9900" s="761" t="s">
        <v>145</v>
      </c>
      <c r="AS9900" s="764"/>
    </row>
    <row r="9901" spans="1:45" s="520" customFormat="1" ht="12" thickTop="1">
      <c r="A9901" s="51"/>
      <c r="B9901" s="41"/>
      <c r="C9901" s="51"/>
      <c r="E9901" s="42" t="s">
        <v>138</v>
      </c>
      <c r="F9901" s="42" t="s">
        <v>139</v>
      </c>
      <c r="G9901" s="51"/>
      <c r="H9901" s="51"/>
      <c r="I9901" s="51"/>
      <c r="J9901" s="51"/>
      <c r="K9901" s="51" t="s">
        <v>140</v>
      </c>
      <c r="L9901" s="51"/>
      <c r="M9901" s="51"/>
      <c r="N9901" s="51"/>
      <c r="O9901" s="52"/>
      <c r="P9901" s="51"/>
      <c r="Q9901" s="51"/>
      <c r="R9901" s="51"/>
      <c r="S9901" s="51"/>
      <c r="T9901" s="41"/>
      <c r="AG9901" s="521" t="s">
        <v>268</v>
      </c>
      <c r="AH9901" s="521" t="s">
        <v>269</v>
      </c>
      <c r="AI9901" s="521" t="s">
        <v>270</v>
      </c>
      <c r="AJ9901" s="521" t="s">
        <v>271</v>
      </c>
      <c r="AK9901" s="521" t="s">
        <v>272</v>
      </c>
      <c r="AM9901" s="745" t="s">
        <v>281</v>
      </c>
      <c r="AN9901" s="746" t="s">
        <v>282</v>
      </c>
      <c r="AO9901" s="522" t="s">
        <v>278</v>
      </c>
      <c r="AR9901" s="51"/>
      <c r="AS9901" s="42" t="s">
        <v>139</v>
      </c>
    </row>
    <row r="9902" spans="1:45" s="520" customFormat="1" ht="12" customHeight="1">
      <c r="A9902" s="747">
        <v>2</v>
      </c>
      <c r="B9902" s="523" t="s">
        <v>141</v>
      </c>
      <c r="C9902" s="748"/>
      <c r="D9902" s="749" t="s">
        <v>1844</v>
      </c>
      <c r="E9902" s="1145">
        <f>IF(AND($A9902=0,$A$1="DIF"),0, ROUND(ROUND(($R9906*$S$3+($T9906*$T$3))/$A9902,2)*$C$3,2))</f>
        <v>793.23</v>
      </c>
      <c r="F9902" s="1146">
        <f>ROUND($A9902*$E9902,2)</f>
        <v>1586.46</v>
      </c>
      <c r="G9902" s="752" t="s">
        <v>142</v>
      </c>
      <c r="H9902" s="753"/>
      <c r="I9902" s="754"/>
      <c r="J9902" s="753"/>
      <c r="K9902" s="753" t="s">
        <v>5</v>
      </c>
      <c r="L9902" s="755" t="s">
        <v>143</v>
      </c>
      <c r="M9902" s="755"/>
      <c r="N9902" s="755"/>
      <c r="O9902" s="755"/>
      <c r="P9902" s="755"/>
      <c r="Q9902" s="51"/>
      <c r="T9902" s="1150" t="str">
        <f>IF(AND($R9906=0,$T9906=0),"0.00","mu: "&amp; ROUND(F9902/$C$3/($R9906+$T9906*$D$9),2))</f>
        <v>mu: 1.13</v>
      </c>
      <c r="W9902" s="524"/>
      <c r="AG9902" s="1147">
        <f>IF($E9902=0,0,ROUND($R9906*$S$3*$C$3/$A9902,2))</f>
        <v>793.23</v>
      </c>
      <c r="AH9902" s="1147">
        <f>$AG9902*$A9902</f>
        <v>1586.46</v>
      </c>
      <c r="AI9902" s="1148">
        <f>$E9902-$AG9902</f>
        <v>0</v>
      </c>
      <c r="AJ9902" s="1148">
        <f>$A9902*$AI9902</f>
        <v>0</v>
      </c>
      <c r="AK9902" s="1149">
        <f>ROUND(($AG9902+$AI9902)*$A9902,2)</f>
        <v>1586.46</v>
      </c>
      <c r="AM9902" s="527">
        <f>ROUND(R9906,2)</f>
        <v>1405.53</v>
      </c>
      <c r="AN9902" s="528">
        <f>ROUND(T9906,2)</f>
        <v>0</v>
      </c>
      <c r="AO9902" s="529">
        <f>ROUND(AM9902+AN9902,2)*A9902</f>
        <v>2811.06</v>
      </c>
      <c r="AR9902" s="747">
        <v>2</v>
      </c>
      <c r="AS9902" s="1146">
        <v>1726.4</v>
      </c>
    </row>
    <row r="9903" spans="1:45" s="520" customFormat="1" ht="39.9" customHeight="1">
      <c r="A9903" s="748"/>
      <c r="B9903"/>
      <c r="C9903" s="748"/>
      <c r="D9903" s="1451" t="s">
        <v>2173</v>
      </c>
      <c r="E9903" s="1452"/>
      <c r="F9903" s="1452"/>
      <c r="G9903" s="1452"/>
      <c r="H9903" s="1452"/>
      <c r="I9903" s="1452"/>
      <c r="J9903" s="1452"/>
      <c r="K9903" s="1452"/>
      <c r="L9903" s="1452"/>
      <c r="M9903" s="1452"/>
      <c r="N9903" s="1452"/>
      <c r="O9903" s="1452"/>
      <c r="P9903" s="1452"/>
      <c r="Q9903" s="1452"/>
      <c r="R9903" s="1452"/>
      <c r="S9903" s="1452"/>
      <c r="T9903" s="1452"/>
      <c r="AR9903" s="748"/>
    </row>
    <row r="9904" spans="1:45" s="901" customFormat="1" ht="13.2">
      <c r="A9904" s="903">
        <v>2</v>
      </c>
      <c r="B9904" s="904" t="s">
        <v>863</v>
      </c>
      <c r="C9904" s="904"/>
      <c r="D9904" s="904" t="s">
        <v>2594</v>
      </c>
      <c r="E9904" s="904"/>
      <c r="F9904" s="1153" t="s">
        <v>4129</v>
      </c>
      <c r="G9904" s="905" t="s">
        <v>2595</v>
      </c>
      <c r="H9904" s="902">
        <v>960</v>
      </c>
      <c r="I9904" s="904" t="s">
        <v>2596</v>
      </c>
      <c r="J9904" s="904"/>
      <c r="K9904" s="904"/>
      <c r="L9904" s="904"/>
      <c r="M9904" s="904"/>
      <c r="N9904" s="904"/>
      <c r="O9904" s="902">
        <v>4</v>
      </c>
      <c r="P9904" s="906">
        <v>38274</v>
      </c>
      <c r="Q9904" s="1415">
        <f>805*0.873</f>
        <v>702.76499999999999</v>
      </c>
      <c r="R9904" s="908">
        <f>$A9904*Q9904</f>
        <v>1405.53</v>
      </c>
      <c r="S9904" s="907"/>
      <c r="T9904" s="909">
        <f>$A9904*S9904*$T$1</f>
        <v>0</v>
      </c>
      <c r="AR9904" s="903">
        <v>2</v>
      </c>
      <c r="AS9904" s="1153" t="s">
        <v>3507</v>
      </c>
    </row>
    <row r="9905" spans="1:45" s="520" customFormat="1" ht="12">
      <c r="A9905" s="758"/>
      <c r="B9905" s="758"/>
      <c r="C9905" s="758"/>
      <c r="D9905" s="758"/>
      <c r="E9905" s="758"/>
      <c r="F9905" s="753"/>
      <c r="G9905" s="758"/>
      <c r="H9905" s="758"/>
      <c r="I9905" s="519"/>
      <c r="J9905" s="758"/>
      <c r="K9905" s="758"/>
      <c r="L9905" s="758"/>
      <c r="M9905" s="758"/>
      <c r="N9905" s="758"/>
      <c r="O9905" s="758"/>
      <c r="P9905" s="758"/>
      <c r="Q9905" s="519"/>
      <c r="R9905" s="759">
        <f>$A9905*Q9905</f>
        <v>0</v>
      </c>
      <c r="S9905" s="519"/>
      <c r="T9905" s="760">
        <f>$A9905*S9905*$T$1</f>
        <v>0</v>
      </c>
      <c r="AR9905" s="758"/>
      <c r="AS9905" s="753"/>
    </row>
    <row r="9906" spans="1:45" s="520" customFormat="1" ht="12.6" thickBot="1">
      <c r="A9906" s="761" t="s">
        <v>145</v>
      </c>
      <c r="B9906" s="762">
        <f>(R9905+T9905)</f>
        <v>0</v>
      </c>
      <c r="C9906" s="763"/>
      <c r="D9906" s="763"/>
      <c r="E9906" s="763"/>
      <c r="F9906" s="764"/>
      <c r="G9906" s="763" t="s">
        <v>146</v>
      </c>
      <c r="H9906" s="763"/>
      <c r="I9906" s="765"/>
      <c r="J9906" s="763"/>
      <c r="K9906" s="763" t="s">
        <v>5</v>
      </c>
      <c r="L9906" s="766" t="s">
        <v>143</v>
      </c>
      <c r="M9906" s="766"/>
      <c r="N9906" s="766"/>
      <c r="O9906" s="766"/>
      <c r="P9906" s="766"/>
      <c r="Q9906" s="767"/>
      <c r="R9906" s="768">
        <f>SUM(R9903:R9905)</f>
        <v>1405.53</v>
      </c>
      <c r="S9906" s="763"/>
      <c r="T9906" s="768">
        <f>SUM(T9903:T9905)</f>
        <v>0</v>
      </c>
      <c r="U9906" s="531"/>
      <c r="V9906" s="531"/>
      <c r="W9906" s="531"/>
      <c r="X9906" s="531"/>
      <c r="Y9906" s="531"/>
      <c r="Z9906" s="531"/>
      <c r="AA9906" s="531"/>
      <c r="AB9906" s="531"/>
      <c r="AC9906" s="531"/>
      <c r="AD9906" s="531"/>
      <c r="AE9906" s="531"/>
      <c r="AF9906" s="531"/>
      <c r="AG9906" s="531"/>
      <c r="AH9906" s="531"/>
      <c r="AI9906" s="531"/>
      <c r="AJ9906" s="531"/>
      <c r="AK9906" s="531"/>
      <c r="AL9906" s="531"/>
      <c r="AM9906" s="531"/>
      <c r="AN9906" s="531"/>
      <c r="AO9906" s="531"/>
      <c r="AR9906" s="761" t="s">
        <v>145</v>
      </c>
      <c r="AS9906" s="764"/>
    </row>
    <row r="9907" spans="1:45" s="520" customFormat="1" thickTop="1">
      <c r="A9907" s="51"/>
      <c r="B9907" s="51"/>
      <c r="C9907" s="3"/>
      <c r="D9907" s="3"/>
      <c r="E9907" s="51"/>
      <c r="F9907" s="51"/>
      <c r="G9907" s="51"/>
      <c r="H9907" s="51"/>
      <c r="I9907" s="51"/>
      <c r="J9907" s="51"/>
      <c r="K9907" s="51" t="s">
        <v>134</v>
      </c>
      <c r="L9907" s="51"/>
      <c r="M9907" s="51"/>
      <c r="N9907" s="51"/>
      <c r="O9907" s="52"/>
      <c r="P9907" s="51"/>
      <c r="Q9907" s="51"/>
      <c r="R9907" s="51"/>
      <c r="S9907" s="51"/>
      <c r="T9907" s="51"/>
      <c r="AR9907" s="51"/>
      <c r="AS9907" s="51"/>
    </row>
    <row r="9908" spans="1:45" s="520" customFormat="1" ht="12">
      <c r="A9908" s="51"/>
      <c r="B9908" s="51"/>
      <c r="C9908" s="51" t="s">
        <v>135</v>
      </c>
      <c r="D9908" s="37"/>
      <c r="E9908" s="51"/>
      <c r="F9908" s="51"/>
      <c r="G9908" s="51"/>
      <c r="H9908" s="51"/>
      <c r="I9908" s="51"/>
      <c r="J9908" s="51"/>
      <c r="K9908" s="51"/>
      <c r="L9908" s="51"/>
      <c r="M9908" s="51"/>
      <c r="N9908" s="51"/>
      <c r="O9908" s="52"/>
      <c r="P9908" s="51"/>
      <c r="Q9908" s="51"/>
      <c r="R9908" s="51"/>
      <c r="S9908" s="51"/>
      <c r="T9908" s="51"/>
      <c r="AR9908" s="51"/>
      <c r="AS9908" s="51"/>
    </row>
    <row r="9909" spans="1:45" s="520" customFormat="1" ht="12">
      <c r="A9909" s="51"/>
      <c r="B9909" s="51"/>
      <c r="C9909" s="51"/>
      <c r="D9909" s="37" t="s">
        <v>2174</v>
      </c>
      <c r="E9909" s="51"/>
      <c r="F9909" s="51"/>
      <c r="G9909" s="51"/>
      <c r="H9909" s="51"/>
      <c r="I9909" s="51"/>
      <c r="J9909" s="51"/>
      <c r="K9909" s="51"/>
      <c r="L9909" s="51"/>
      <c r="M9909" s="51"/>
      <c r="N9909" s="51"/>
      <c r="O9909" s="52"/>
      <c r="P9909" s="51"/>
      <c r="Q9909" s="51"/>
      <c r="R9909" s="51"/>
      <c r="S9909" s="38"/>
      <c r="T9909" s="38"/>
      <c r="AR9909" s="51"/>
      <c r="AS9909" s="51"/>
    </row>
    <row r="9910" spans="1:45" s="3" customFormat="1" thickBot="1">
      <c r="A9910" s="531"/>
      <c r="O9910" s="107"/>
      <c r="AR9910" s="531"/>
    </row>
    <row r="9911" spans="1:45" s="520" customFormat="1" thickTop="1">
      <c r="A9911" s="51"/>
      <c r="B9911" s="51"/>
      <c r="C9911" s="3"/>
      <c r="D9911" s="3"/>
      <c r="E9911" s="51"/>
      <c r="F9911" s="51"/>
      <c r="G9911" s="51"/>
      <c r="H9911" s="51"/>
      <c r="I9911" s="51"/>
      <c r="J9911" s="51"/>
      <c r="K9911" s="51" t="s">
        <v>134</v>
      </c>
      <c r="L9911" s="51"/>
      <c r="M9911" s="51"/>
      <c r="N9911" s="51"/>
      <c r="O9911" s="52"/>
      <c r="P9911" s="51"/>
      <c r="Q9911" s="51"/>
      <c r="R9911" s="51"/>
      <c r="S9911" s="51"/>
      <c r="T9911" s="51"/>
      <c r="AR9911" s="51"/>
      <c r="AS9911" s="51"/>
    </row>
    <row r="9912" spans="1:45" s="520" customFormat="1" ht="12">
      <c r="A9912" s="51"/>
      <c r="B9912" s="51"/>
      <c r="C9912" s="51" t="s">
        <v>135</v>
      </c>
      <c r="D9912" s="37"/>
      <c r="E9912" s="51"/>
      <c r="F9912" s="51"/>
      <c r="G9912" s="51"/>
      <c r="H9912" s="51"/>
      <c r="I9912" s="51"/>
      <c r="J9912" s="51"/>
      <c r="K9912" s="51"/>
      <c r="L9912" s="51"/>
      <c r="M9912" s="51"/>
      <c r="N9912" s="51"/>
      <c r="O9912" s="52"/>
      <c r="P9912" s="51"/>
      <c r="Q9912" s="51"/>
      <c r="R9912" s="51"/>
      <c r="S9912" s="51"/>
      <c r="T9912" s="51"/>
      <c r="AR9912" s="51"/>
      <c r="AS9912" s="51"/>
    </row>
    <row r="9913" spans="1:45" s="520" customFormat="1" ht="12">
      <c r="A9913" s="51"/>
      <c r="B9913" s="51"/>
      <c r="C9913" s="51"/>
      <c r="D9913" s="37" t="s">
        <v>368</v>
      </c>
      <c r="E9913" s="51"/>
      <c r="F9913" s="51"/>
      <c r="G9913" s="51"/>
      <c r="H9913" s="51"/>
      <c r="I9913" s="51"/>
      <c r="J9913" s="51"/>
      <c r="K9913" s="51"/>
      <c r="L9913" s="51"/>
      <c r="M9913" s="51"/>
      <c r="N9913" s="51"/>
      <c r="O9913" s="52"/>
      <c r="P9913" s="51"/>
      <c r="Q9913" s="51"/>
      <c r="R9913" s="51"/>
      <c r="S9913" s="38"/>
      <c r="T9913" s="38"/>
      <c r="AR9913" s="51"/>
      <c r="AS9913" s="51"/>
    </row>
    <row r="9914" spans="1:45" s="3" customFormat="1" thickBot="1">
      <c r="A9914" s="531"/>
      <c r="O9914" s="107"/>
      <c r="AR9914" s="531"/>
    </row>
    <row r="9915" spans="1:45" s="520" customFormat="1" thickTop="1">
      <c r="A9915" s="51"/>
      <c r="B9915" s="51"/>
      <c r="C9915" s="3"/>
      <c r="D9915" s="3"/>
      <c r="E9915" s="51"/>
      <c r="F9915" s="51"/>
      <c r="G9915" s="51"/>
      <c r="H9915" s="51"/>
      <c r="I9915" s="51"/>
      <c r="J9915" s="51"/>
      <c r="K9915" s="51" t="s">
        <v>134</v>
      </c>
      <c r="L9915" s="51"/>
      <c r="M9915" s="51"/>
      <c r="N9915" s="51"/>
      <c r="O9915" s="52"/>
      <c r="P9915" s="51"/>
      <c r="Q9915" s="51"/>
      <c r="R9915" s="51"/>
      <c r="S9915" s="51"/>
      <c r="T9915" s="51"/>
      <c r="AR9915" s="51"/>
      <c r="AS9915" s="51"/>
    </row>
    <row r="9916" spans="1:45" s="520" customFormat="1" ht="12">
      <c r="A9916" s="51"/>
      <c r="B9916" s="51"/>
      <c r="C9916" s="51" t="s">
        <v>135</v>
      </c>
      <c r="D9916" s="37"/>
      <c r="E9916" s="51"/>
      <c r="F9916" s="51"/>
      <c r="G9916" s="51"/>
      <c r="H9916" s="51"/>
      <c r="I9916" s="51"/>
      <c r="J9916" s="51"/>
      <c r="K9916" s="51"/>
      <c r="L9916" s="51"/>
      <c r="M9916" s="51"/>
      <c r="N9916" s="51"/>
      <c r="O9916" s="52"/>
      <c r="P9916" s="51"/>
      <c r="Q9916" s="51"/>
      <c r="R9916" s="51"/>
      <c r="S9916" s="51"/>
      <c r="T9916" s="51"/>
      <c r="AR9916" s="51"/>
      <c r="AS9916" s="51"/>
    </row>
    <row r="9917" spans="1:45" s="520" customFormat="1" ht="12">
      <c r="A9917" s="51"/>
      <c r="B9917" s="51"/>
      <c r="C9917" s="51"/>
      <c r="D9917" s="37" t="s">
        <v>2166</v>
      </c>
      <c r="E9917" s="51"/>
      <c r="F9917" s="51"/>
      <c r="G9917" s="51"/>
      <c r="H9917" s="51"/>
      <c r="I9917" s="51"/>
      <c r="J9917" s="51"/>
      <c r="K9917" s="51"/>
      <c r="L9917" s="51"/>
      <c r="M9917" s="51"/>
      <c r="N9917" s="51"/>
      <c r="O9917" s="52"/>
      <c r="P9917" s="51"/>
      <c r="Q9917" s="51"/>
      <c r="R9917" s="51"/>
      <c r="S9917" s="38"/>
      <c r="T9917" s="38"/>
      <c r="AR9917" s="51"/>
      <c r="AS9917" s="51"/>
    </row>
    <row r="9918" spans="1:45" s="3" customFormat="1" thickBot="1">
      <c r="A9918" s="531"/>
      <c r="O9918" s="107"/>
      <c r="AR9918" s="531"/>
    </row>
    <row r="9919" spans="1:45" s="520" customFormat="1" ht="12" thickTop="1">
      <c r="A9919" s="51"/>
      <c r="B9919" s="41"/>
      <c r="C9919" s="51"/>
      <c r="E9919" s="42" t="s">
        <v>138</v>
      </c>
      <c r="F9919" s="42" t="s">
        <v>139</v>
      </c>
      <c r="G9919" s="51"/>
      <c r="H9919" s="51"/>
      <c r="I9919" s="51"/>
      <c r="J9919" s="51"/>
      <c r="K9919" s="51" t="s">
        <v>140</v>
      </c>
      <c r="L9919" s="51"/>
      <c r="M9919" s="51"/>
      <c r="N9919" s="51"/>
      <c r="O9919" s="52"/>
      <c r="P9919" s="51"/>
      <c r="Q9919" s="51"/>
      <c r="R9919" s="51"/>
      <c r="S9919" s="51"/>
      <c r="T9919" s="41"/>
      <c r="AG9919" s="521" t="s">
        <v>268</v>
      </c>
      <c r="AH9919" s="521" t="s">
        <v>269</v>
      </c>
      <c r="AI9919" s="521" t="s">
        <v>270</v>
      </c>
      <c r="AJ9919" s="521" t="s">
        <v>271</v>
      </c>
      <c r="AK9919" s="521" t="s">
        <v>272</v>
      </c>
      <c r="AM9919" s="745" t="s">
        <v>281</v>
      </c>
      <c r="AN9919" s="746" t="s">
        <v>282</v>
      </c>
      <c r="AO9919" s="522" t="s">
        <v>278</v>
      </c>
      <c r="AR9919" s="51"/>
      <c r="AS9919" s="42" t="s">
        <v>139</v>
      </c>
    </row>
    <row r="9920" spans="1:45" s="520" customFormat="1" ht="12" customHeight="1">
      <c r="A9920" s="747">
        <v>8</v>
      </c>
      <c r="B9920" s="523" t="s">
        <v>141</v>
      </c>
      <c r="C9920" s="748"/>
      <c r="D9920" s="749" t="s">
        <v>1845</v>
      </c>
      <c r="E9920" s="1145">
        <f>IF(AND($A9920=0,$A$1="DIF"),0, ROUND(ROUND(($R9924*$S$3+($T9924*$T$3))/$A9920,2)*$C$3,2))</f>
        <v>83.76</v>
      </c>
      <c r="F9920" s="1146">
        <f>ROUND($A9920*$E9920,2)</f>
        <v>670.08</v>
      </c>
      <c r="G9920" s="752" t="s">
        <v>142</v>
      </c>
      <c r="H9920" s="753"/>
      <c r="I9920" s="754"/>
      <c r="J9920" s="753"/>
      <c r="K9920" s="753" t="s">
        <v>5</v>
      </c>
      <c r="L9920" s="755" t="s">
        <v>143</v>
      </c>
      <c r="M9920" s="755"/>
      <c r="N9920" s="755"/>
      <c r="O9920" s="755"/>
      <c r="P9920" s="755"/>
      <c r="Q9920" s="51"/>
      <c r="T9920" s="1150" t="str">
        <f>IF(AND($R9924=0,$T9924=0),"0.00","mu: "&amp; ROUND(F9920/$C$3/($R9924+$T9924*$D$9),2))</f>
        <v>mu: 1.13</v>
      </c>
      <c r="W9920" s="524"/>
      <c r="AG9920" s="1147">
        <f>IF($E9920=0,0,ROUND($R9924*$S$3*$C$3/$A9920,2))</f>
        <v>83.76</v>
      </c>
      <c r="AH9920" s="1147">
        <f>$AG9920*$A9920</f>
        <v>670.08</v>
      </c>
      <c r="AI9920" s="1148">
        <f>$E9920-$AG9920</f>
        <v>0</v>
      </c>
      <c r="AJ9920" s="1148">
        <f>$A9920*$AI9920</f>
        <v>0</v>
      </c>
      <c r="AK9920" s="1149">
        <f>ROUND(($AG9920+$AI9920)*$A9920,2)</f>
        <v>670.08</v>
      </c>
      <c r="AM9920" s="527">
        <f>ROUND(R9924,2)</f>
        <v>593.64</v>
      </c>
      <c r="AN9920" s="528">
        <f>ROUND(T9924,2)</f>
        <v>0</v>
      </c>
      <c r="AO9920" s="529">
        <f>ROUND(AM9920+AN9920,2)*A9920</f>
        <v>4749.12</v>
      </c>
      <c r="AR9920" s="747">
        <v>8</v>
      </c>
      <c r="AS9920" s="1146">
        <v>729.2</v>
      </c>
    </row>
    <row r="9921" spans="1:45" s="520" customFormat="1" ht="13.2">
      <c r="A9921" s="748"/>
      <c r="B9921"/>
      <c r="C9921" s="748"/>
      <c r="D9921" s="749" t="s">
        <v>2168</v>
      </c>
      <c r="F9921" s="753"/>
      <c r="G9921" s="3"/>
      <c r="H9921" s="753"/>
      <c r="I9921" s="754"/>
      <c r="J9921" s="753"/>
      <c r="K9921" s="753" t="s">
        <v>144</v>
      </c>
      <c r="L9921" s="753"/>
      <c r="M9921" s="753"/>
      <c r="N9921" s="753"/>
      <c r="O9921" s="753"/>
      <c r="P9921" s="753"/>
      <c r="Q9921" s="51"/>
      <c r="R9921" s="530"/>
      <c r="S9921" s="757"/>
      <c r="T9921" s="753"/>
      <c r="AR9921" s="748"/>
      <c r="AS9921" s="753"/>
    </row>
    <row r="9922" spans="1:45" s="901" customFormat="1" ht="13.2">
      <c r="A9922" s="903">
        <v>8</v>
      </c>
      <c r="B9922" s="904" t="s">
        <v>863</v>
      </c>
      <c r="C9922" s="904"/>
      <c r="D9922" s="904" t="s">
        <v>2594</v>
      </c>
      <c r="E9922" s="904"/>
      <c r="F9922" s="1153" t="s">
        <v>4129</v>
      </c>
      <c r="G9922" s="905" t="s">
        <v>2595</v>
      </c>
      <c r="H9922" s="902">
        <v>960</v>
      </c>
      <c r="I9922" s="904" t="s">
        <v>2596</v>
      </c>
      <c r="J9922" s="904"/>
      <c r="K9922" s="904"/>
      <c r="L9922" s="904"/>
      <c r="M9922" s="904"/>
      <c r="N9922" s="904"/>
      <c r="O9922" s="902">
        <v>4</v>
      </c>
      <c r="P9922" s="906">
        <v>38274</v>
      </c>
      <c r="Q9922" s="1415">
        <f>85*0.873</f>
        <v>74.204999999999998</v>
      </c>
      <c r="R9922" s="908">
        <f>$A9922*Q9922</f>
        <v>593.64</v>
      </c>
      <c r="S9922" s="907"/>
      <c r="T9922" s="909">
        <f>$A9922*S9922*$T$1</f>
        <v>0</v>
      </c>
      <c r="AR9922" s="903">
        <v>8</v>
      </c>
      <c r="AS9922" s="1153" t="s">
        <v>3507</v>
      </c>
    </row>
    <row r="9923" spans="1:45" s="520" customFormat="1" ht="12">
      <c r="A9923" s="758"/>
      <c r="B9923" s="758"/>
      <c r="C9923" s="758"/>
      <c r="D9923" s="758"/>
      <c r="E9923" s="758"/>
      <c r="F9923" s="753"/>
      <c r="G9923" s="758"/>
      <c r="H9923" s="758"/>
      <c r="I9923" s="519"/>
      <c r="J9923" s="758"/>
      <c r="K9923" s="758"/>
      <c r="L9923" s="758"/>
      <c r="M9923" s="758"/>
      <c r="N9923" s="758"/>
      <c r="O9923" s="758"/>
      <c r="P9923" s="758"/>
      <c r="Q9923" s="519"/>
      <c r="R9923" s="759">
        <f>$A9923*Q9923</f>
        <v>0</v>
      </c>
      <c r="S9923" s="519"/>
      <c r="T9923" s="760">
        <f>$A9923*S9923*$T$1</f>
        <v>0</v>
      </c>
      <c r="AR9923" s="758"/>
      <c r="AS9923" s="753"/>
    </row>
    <row r="9924" spans="1:45" s="520" customFormat="1" ht="12.6" thickBot="1">
      <c r="A9924" s="761" t="s">
        <v>145</v>
      </c>
      <c r="B9924" s="762">
        <f>(R9923+T9923)</f>
        <v>0</v>
      </c>
      <c r="C9924" s="763"/>
      <c r="D9924" s="763"/>
      <c r="E9924" s="763"/>
      <c r="F9924" s="764"/>
      <c r="G9924" s="763" t="s">
        <v>146</v>
      </c>
      <c r="H9924" s="763"/>
      <c r="I9924" s="765"/>
      <c r="J9924" s="763"/>
      <c r="K9924" s="763" t="s">
        <v>5</v>
      </c>
      <c r="L9924" s="766" t="s">
        <v>143</v>
      </c>
      <c r="M9924" s="766"/>
      <c r="N9924" s="766"/>
      <c r="O9924" s="766"/>
      <c r="P9924" s="766"/>
      <c r="Q9924" s="767"/>
      <c r="R9924" s="768">
        <f>SUM(R9921:R9923)</f>
        <v>593.64</v>
      </c>
      <c r="S9924" s="763"/>
      <c r="T9924" s="768">
        <f>SUM(T9921:T9923)</f>
        <v>0</v>
      </c>
      <c r="U9924" s="531"/>
      <c r="V9924" s="531"/>
      <c r="W9924" s="531"/>
      <c r="X9924" s="531"/>
      <c r="Y9924" s="531"/>
      <c r="Z9924" s="531"/>
      <c r="AA9924" s="531"/>
      <c r="AB9924" s="531"/>
      <c r="AC9924" s="531"/>
      <c r="AD9924" s="531"/>
      <c r="AE9924" s="531"/>
      <c r="AF9924" s="531"/>
      <c r="AG9924" s="531"/>
      <c r="AH9924" s="531"/>
      <c r="AI9924" s="531"/>
      <c r="AJ9924" s="531"/>
      <c r="AK9924" s="531"/>
      <c r="AL9924" s="531"/>
      <c r="AM9924" s="531"/>
      <c r="AN9924" s="531"/>
      <c r="AO9924" s="531"/>
      <c r="AR9924" s="761" t="s">
        <v>145</v>
      </c>
      <c r="AS9924" s="764"/>
    </row>
    <row r="9925" spans="1:45" s="520" customFormat="1" ht="12" thickTop="1">
      <c r="A9925" s="51"/>
      <c r="B9925" s="41"/>
      <c r="C9925" s="51"/>
      <c r="E9925" s="42" t="s">
        <v>138</v>
      </c>
      <c r="F9925" s="42" t="s">
        <v>139</v>
      </c>
      <c r="G9925" s="51"/>
      <c r="H9925" s="51"/>
      <c r="I9925" s="51"/>
      <c r="J9925" s="51"/>
      <c r="K9925" s="51" t="s">
        <v>140</v>
      </c>
      <c r="L9925" s="51"/>
      <c r="M9925" s="51"/>
      <c r="N9925" s="51"/>
      <c r="O9925" s="52"/>
      <c r="P9925" s="51"/>
      <c r="Q9925" s="51"/>
      <c r="R9925" s="51"/>
      <c r="S9925" s="51"/>
      <c r="T9925" s="41"/>
      <c r="AG9925" s="521" t="s">
        <v>268</v>
      </c>
      <c r="AH9925" s="521" t="s">
        <v>269</v>
      </c>
      <c r="AI9925" s="521" t="s">
        <v>270</v>
      </c>
      <c r="AJ9925" s="521" t="s">
        <v>271</v>
      </c>
      <c r="AK9925" s="521" t="s">
        <v>272</v>
      </c>
      <c r="AM9925" s="745" t="s">
        <v>281</v>
      </c>
      <c r="AN9925" s="746" t="s">
        <v>282</v>
      </c>
      <c r="AO9925" s="522" t="s">
        <v>278</v>
      </c>
      <c r="AR9925" s="51"/>
      <c r="AS9925" s="42" t="s">
        <v>139</v>
      </c>
    </row>
    <row r="9926" spans="1:45" s="520" customFormat="1" ht="12" customHeight="1">
      <c r="A9926" s="747">
        <v>1</v>
      </c>
      <c r="B9926" s="523" t="s">
        <v>141</v>
      </c>
      <c r="C9926" s="748"/>
      <c r="D9926" s="749" t="s">
        <v>1846</v>
      </c>
      <c r="E9926" s="1145">
        <f>IF(AND($A9926=0,$A$1="DIF"),0, ROUND(ROUND(($R9930*$S$3+($T9930*$T$3))/$A9926,2)*$C$3,2))</f>
        <v>118.25</v>
      </c>
      <c r="F9926" s="1146">
        <f>ROUND($A9926*$E9926,2)</f>
        <v>118.25</v>
      </c>
      <c r="G9926" s="752" t="s">
        <v>142</v>
      </c>
      <c r="H9926" s="753"/>
      <c r="I9926" s="754"/>
      <c r="J9926" s="753"/>
      <c r="K9926" s="753" t="s">
        <v>5</v>
      </c>
      <c r="L9926" s="755" t="s">
        <v>143</v>
      </c>
      <c r="M9926" s="755"/>
      <c r="N9926" s="755"/>
      <c r="O9926" s="755"/>
      <c r="P9926" s="755"/>
      <c r="Q9926" s="51"/>
      <c r="T9926" s="1150" t="str">
        <f>IF(AND($R9930=0,$T9930=0),"0.00","mu: "&amp; ROUND(F9926/$C$3/($R9930+$T9930*$D$9),2))</f>
        <v>mu: 1.13</v>
      </c>
      <c r="W9926" s="524"/>
      <c r="AG9926" s="1147">
        <f>IF($E9926=0,0,ROUND($R9930*$S$3*$C$3/$A9926,2))</f>
        <v>118.25</v>
      </c>
      <c r="AH9926" s="1147">
        <f>$AG9926*$A9926</f>
        <v>118.25</v>
      </c>
      <c r="AI9926" s="1148">
        <f>$E9926-$AG9926</f>
        <v>0</v>
      </c>
      <c r="AJ9926" s="1148">
        <f>$A9926*$AI9926</f>
        <v>0</v>
      </c>
      <c r="AK9926" s="1149">
        <f>ROUND(($AG9926+$AI9926)*$A9926,2)</f>
        <v>118.25</v>
      </c>
      <c r="AM9926" s="527">
        <f>ROUND(R9930,2)</f>
        <v>104.76</v>
      </c>
      <c r="AN9926" s="528">
        <f>ROUND(T9930,2)</f>
        <v>0</v>
      </c>
      <c r="AO9926" s="529">
        <f>ROUND(AM9926+AN9926,2)*A9926</f>
        <v>104.76</v>
      </c>
      <c r="AR9926" s="747">
        <v>1</v>
      </c>
      <c r="AS9926" s="1146">
        <v>128.68</v>
      </c>
    </row>
    <row r="9927" spans="1:45" s="520" customFormat="1" ht="13.2">
      <c r="A9927" s="748"/>
      <c r="B9927"/>
      <c r="C9927" s="748"/>
      <c r="D9927" s="749" t="s">
        <v>2175</v>
      </c>
      <c r="F9927" s="753"/>
      <c r="G9927" s="3"/>
      <c r="H9927" s="753"/>
      <c r="I9927" s="754"/>
      <c r="J9927" s="753"/>
      <c r="K9927" s="753" t="s">
        <v>144</v>
      </c>
      <c r="L9927" s="753"/>
      <c r="M9927" s="753"/>
      <c r="N9927" s="753"/>
      <c r="O9927" s="753"/>
      <c r="P9927" s="753"/>
      <c r="Q9927" s="51"/>
      <c r="R9927" s="530"/>
      <c r="S9927" s="757"/>
      <c r="T9927" s="753"/>
      <c r="AR9927" s="748"/>
      <c r="AS9927" s="753"/>
    </row>
    <row r="9928" spans="1:45" s="901" customFormat="1" ht="13.2">
      <c r="A9928" s="903">
        <v>1</v>
      </c>
      <c r="B9928" s="904" t="s">
        <v>863</v>
      </c>
      <c r="C9928" s="904"/>
      <c r="D9928" s="904" t="s">
        <v>2594</v>
      </c>
      <c r="E9928" s="904"/>
      <c r="F9928" s="1153" t="s">
        <v>4129</v>
      </c>
      <c r="G9928" s="905" t="s">
        <v>2595</v>
      </c>
      <c r="H9928" s="902">
        <v>960</v>
      </c>
      <c r="I9928" s="904" t="s">
        <v>2596</v>
      </c>
      <c r="J9928" s="904"/>
      <c r="K9928" s="904"/>
      <c r="L9928" s="904"/>
      <c r="M9928" s="904"/>
      <c r="N9928" s="904"/>
      <c r="O9928" s="902">
        <v>4</v>
      </c>
      <c r="P9928" s="906">
        <v>38274</v>
      </c>
      <c r="Q9928" s="1415">
        <f>120*0.873</f>
        <v>104.76</v>
      </c>
      <c r="R9928" s="908">
        <f>$A9928*Q9928</f>
        <v>104.76</v>
      </c>
      <c r="S9928" s="907"/>
      <c r="T9928" s="909">
        <f>$A9928*S9928*$T$1</f>
        <v>0</v>
      </c>
      <c r="AR9928" s="903">
        <v>1</v>
      </c>
      <c r="AS9928" s="1153" t="s">
        <v>3507</v>
      </c>
    </row>
    <row r="9929" spans="1:45" s="520" customFormat="1" ht="12">
      <c r="A9929" s="758"/>
      <c r="B9929" s="758"/>
      <c r="C9929" s="758"/>
      <c r="D9929" s="758"/>
      <c r="E9929" s="758"/>
      <c r="F9929" s="753"/>
      <c r="G9929" s="758"/>
      <c r="H9929" s="758"/>
      <c r="I9929" s="519"/>
      <c r="J9929" s="758"/>
      <c r="K9929" s="758"/>
      <c r="L9929" s="758"/>
      <c r="M9929" s="758"/>
      <c r="N9929" s="758"/>
      <c r="O9929" s="758"/>
      <c r="P9929" s="758"/>
      <c r="Q9929" s="519"/>
      <c r="R9929" s="759">
        <f>$A9929*Q9929</f>
        <v>0</v>
      </c>
      <c r="S9929" s="519"/>
      <c r="T9929" s="760">
        <f>$A9929*S9929*$T$1</f>
        <v>0</v>
      </c>
      <c r="AR9929" s="758"/>
      <c r="AS9929" s="753"/>
    </row>
    <row r="9930" spans="1:45" s="520" customFormat="1" ht="12.6" thickBot="1">
      <c r="A9930" s="761" t="s">
        <v>145</v>
      </c>
      <c r="B9930" s="762">
        <f>(R9929+T9929)</f>
        <v>0</v>
      </c>
      <c r="C9930" s="763"/>
      <c r="D9930" s="763"/>
      <c r="E9930" s="763"/>
      <c r="F9930" s="764"/>
      <c r="G9930" s="763" t="s">
        <v>146</v>
      </c>
      <c r="H9930" s="763"/>
      <c r="I9930" s="765"/>
      <c r="J9930" s="763"/>
      <c r="K9930" s="763" t="s">
        <v>5</v>
      </c>
      <c r="L9930" s="766" t="s">
        <v>143</v>
      </c>
      <c r="M9930" s="766"/>
      <c r="N9930" s="766"/>
      <c r="O9930" s="766"/>
      <c r="P9930" s="766"/>
      <c r="Q9930" s="767"/>
      <c r="R9930" s="768">
        <f>SUM(R9927:R9929)</f>
        <v>104.76</v>
      </c>
      <c r="S9930" s="763"/>
      <c r="T9930" s="768">
        <f>SUM(T9927:T9929)</f>
        <v>0</v>
      </c>
      <c r="U9930" s="531"/>
      <c r="V9930" s="531"/>
      <c r="W9930" s="531"/>
      <c r="X9930" s="531"/>
      <c r="Y9930" s="531"/>
      <c r="Z9930" s="531"/>
      <c r="AA9930" s="531"/>
      <c r="AB9930" s="531"/>
      <c r="AC9930" s="531"/>
      <c r="AD9930" s="531"/>
      <c r="AE9930" s="531"/>
      <c r="AF9930" s="531"/>
      <c r="AG9930" s="531"/>
      <c r="AH9930" s="531"/>
      <c r="AI9930" s="531"/>
      <c r="AJ9930" s="531"/>
      <c r="AK9930" s="531"/>
      <c r="AL9930" s="531"/>
      <c r="AM9930" s="531"/>
      <c r="AN9930" s="531"/>
      <c r="AO9930" s="531"/>
      <c r="AR9930" s="761" t="s">
        <v>145</v>
      </c>
      <c r="AS9930" s="764"/>
    </row>
    <row r="9931" spans="1:45" s="520" customFormat="1" ht="12" thickTop="1">
      <c r="A9931" s="51"/>
      <c r="B9931" s="41"/>
      <c r="C9931" s="51"/>
      <c r="E9931" s="42" t="s">
        <v>138</v>
      </c>
      <c r="F9931" s="42" t="s">
        <v>139</v>
      </c>
      <c r="G9931" s="51"/>
      <c r="H9931" s="51"/>
      <c r="I9931" s="51"/>
      <c r="J9931" s="51"/>
      <c r="K9931" s="51" t="s">
        <v>140</v>
      </c>
      <c r="L9931" s="51"/>
      <c r="M9931" s="51"/>
      <c r="N9931" s="51"/>
      <c r="O9931" s="52"/>
      <c r="P9931" s="51"/>
      <c r="Q9931" s="51"/>
      <c r="R9931" s="51"/>
      <c r="S9931" s="51"/>
      <c r="T9931" s="41"/>
      <c r="AG9931" s="521" t="s">
        <v>268</v>
      </c>
      <c r="AH9931" s="521" t="s">
        <v>269</v>
      </c>
      <c r="AI9931" s="521" t="s">
        <v>270</v>
      </c>
      <c r="AJ9931" s="521" t="s">
        <v>271</v>
      </c>
      <c r="AK9931" s="521" t="s">
        <v>272</v>
      </c>
      <c r="AM9931" s="745" t="s">
        <v>281</v>
      </c>
      <c r="AN9931" s="746" t="s">
        <v>282</v>
      </c>
      <c r="AO9931" s="522" t="s">
        <v>278</v>
      </c>
      <c r="AR9931" s="51"/>
      <c r="AS9931" s="42" t="s">
        <v>139</v>
      </c>
    </row>
    <row r="9932" spans="1:45" s="520" customFormat="1" ht="12" customHeight="1">
      <c r="A9932" s="747">
        <v>1</v>
      </c>
      <c r="B9932" s="523" t="s">
        <v>141</v>
      </c>
      <c r="C9932" s="748"/>
      <c r="D9932" s="749" t="s">
        <v>1847</v>
      </c>
      <c r="E9932" s="1145">
        <f>IF(AND($A9932=0,$A$1="DIF"),0, ROUND(ROUND(($R9936*$S$3+($T9936*$T$3))/$A9932,2)*$C$3,2))</f>
        <v>561.66999999999996</v>
      </c>
      <c r="F9932" s="1146">
        <f>ROUND($A9932*$E9932,2)</f>
        <v>561.66999999999996</v>
      </c>
      <c r="G9932" s="752" t="s">
        <v>142</v>
      </c>
      <c r="H9932" s="753"/>
      <c r="I9932" s="754"/>
      <c r="J9932" s="753"/>
      <c r="K9932" s="753" t="s">
        <v>5</v>
      </c>
      <c r="L9932" s="755" t="s">
        <v>143</v>
      </c>
      <c r="M9932" s="755"/>
      <c r="N9932" s="755"/>
      <c r="O9932" s="755"/>
      <c r="P9932" s="755"/>
      <c r="Q9932" s="51"/>
      <c r="T9932" s="1150" t="str">
        <f>IF(AND($R9936=0,$T9936=0),"0.00","mu: "&amp; ROUND(F9932/$C$3/($R9936+$T9936*$D$9),2))</f>
        <v>mu: 1.13</v>
      </c>
      <c r="W9932" s="524"/>
      <c r="AG9932" s="1147">
        <f>IF($E9932=0,0,ROUND($R9936*$S$3*$C$3/$A9932,2))</f>
        <v>561.66999999999996</v>
      </c>
      <c r="AH9932" s="1147">
        <f>$AG9932*$A9932</f>
        <v>561.66999999999996</v>
      </c>
      <c r="AI9932" s="1148">
        <f>$E9932-$AG9932</f>
        <v>0</v>
      </c>
      <c r="AJ9932" s="1148">
        <f>$A9932*$AI9932</f>
        <v>0</v>
      </c>
      <c r="AK9932" s="1149">
        <f>ROUND(($AG9932+$AI9932)*$A9932,2)</f>
        <v>561.66999999999996</v>
      </c>
      <c r="AM9932" s="527">
        <f>ROUND(R9936,2)</f>
        <v>497.61</v>
      </c>
      <c r="AN9932" s="528">
        <f>ROUND(T9936,2)</f>
        <v>0</v>
      </c>
      <c r="AO9932" s="529">
        <f>ROUND(AM9932+AN9932,2)*A9932</f>
        <v>497.61</v>
      </c>
      <c r="AR9932" s="747">
        <v>1</v>
      </c>
      <c r="AS9932" s="1146">
        <v>611.21</v>
      </c>
    </row>
    <row r="9933" spans="1:45" s="520" customFormat="1" ht="39.9" customHeight="1">
      <c r="A9933" s="748"/>
      <c r="B9933"/>
      <c r="C9933" s="748"/>
      <c r="D9933" s="1451" t="s">
        <v>2176</v>
      </c>
      <c r="E9933" s="1452"/>
      <c r="F9933" s="1452"/>
      <c r="G9933" s="1452"/>
      <c r="H9933" s="1452"/>
      <c r="I9933" s="1452"/>
      <c r="J9933" s="1452"/>
      <c r="K9933" s="1452"/>
      <c r="L9933" s="1452"/>
      <c r="M9933" s="1452"/>
      <c r="N9933" s="1452"/>
      <c r="O9933" s="1452"/>
      <c r="P9933" s="1452"/>
      <c r="Q9933" s="1452"/>
      <c r="R9933" s="1452"/>
      <c r="S9933" s="1452"/>
      <c r="T9933" s="1452"/>
      <c r="AR9933" s="748"/>
    </row>
    <row r="9934" spans="1:45" s="901" customFormat="1" ht="13.2">
      <c r="A9934" s="903">
        <v>1</v>
      </c>
      <c r="B9934" s="904" t="s">
        <v>863</v>
      </c>
      <c r="C9934" s="904"/>
      <c r="D9934" s="904" t="s">
        <v>2594</v>
      </c>
      <c r="E9934" s="904"/>
      <c r="F9934" s="1153" t="s">
        <v>4129</v>
      </c>
      <c r="G9934" s="905" t="s">
        <v>2595</v>
      </c>
      <c r="H9934" s="902">
        <v>960</v>
      </c>
      <c r="I9934" s="904" t="s">
        <v>2596</v>
      </c>
      <c r="J9934" s="904"/>
      <c r="K9934" s="904"/>
      <c r="L9934" s="904"/>
      <c r="M9934" s="904"/>
      <c r="N9934" s="904"/>
      <c r="O9934" s="902">
        <v>4</v>
      </c>
      <c r="P9934" s="906">
        <v>38274</v>
      </c>
      <c r="Q9934" s="1415">
        <f>570*0.873</f>
        <v>497.61</v>
      </c>
      <c r="R9934" s="908">
        <f>$A9934*Q9934</f>
        <v>497.61</v>
      </c>
      <c r="S9934" s="907"/>
      <c r="T9934" s="909">
        <f>$A9934*S9934*$T$1</f>
        <v>0</v>
      </c>
      <c r="AR9934" s="903">
        <v>1</v>
      </c>
      <c r="AS9934" s="1153" t="s">
        <v>3507</v>
      </c>
    </row>
    <row r="9935" spans="1:45" s="520" customFormat="1" ht="12">
      <c r="A9935" s="758"/>
      <c r="B9935" s="758"/>
      <c r="C9935" s="758"/>
      <c r="D9935" s="758"/>
      <c r="E9935" s="758"/>
      <c r="F9935" s="753"/>
      <c r="G9935" s="758"/>
      <c r="H9935" s="758"/>
      <c r="I9935" s="519"/>
      <c r="J9935" s="758"/>
      <c r="K9935" s="758"/>
      <c r="L9935" s="758"/>
      <c r="M9935" s="758"/>
      <c r="N9935" s="758"/>
      <c r="O9935" s="758"/>
      <c r="P9935" s="758"/>
      <c r="Q9935" s="519"/>
      <c r="R9935" s="759">
        <f>$A9935*Q9935</f>
        <v>0</v>
      </c>
      <c r="S9935" s="519"/>
      <c r="T9935" s="760">
        <f>$A9935*S9935*$T$1</f>
        <v>0</v>
      </c>
      <c r="AR9935" s="758"/>
      <c r="AS9935" s="753"/>
    </row>
    <row r="9936" spans="1:45" s="520" customFormat="1" ht="12.6" thickBot="1">
      <c r="A9936" s="761" t="s">
        <v>145</v>
      </c>
      <c r="B9936" s="762">
        <f>(R9935+T9935)</f>
        <v>0</v>
      </c>
      <c r="C9936" s="763"/>
      <c r="D9936" s="763"/>
      <c r="E9936" s="763"/>
      <c r="F9936" s="764"/>
      <c r="G9936" s="763" t="s">
        <v>146</v>
      </c>
      <c r="H9936" s="763"/>
      <c r="I9936" s="765"/>
      <c r="J9936" s="763"/>
      <c r="K9936" s="763" t="s">
        <v>5</v>
      </c>
      <c r="L9936" s="766" t="s">
        <v>143</v>
      </c>
      <c r="M9936" s="766"/>
      <c r="N9936" s="766"/>
      <c r="O9936" s="766"/>
      <c r="P9936" s="766"/>
      <c r="Q9936" s="767"/>
      <c r="R9936" s="768">
        <f>SUM(R9933:R9935)</f>
        <v>497.61</v>
      </c>
      <c r="S9936" s="763"/>
      <c r="T9936" s="768">
        <f>SUM(T9933:T9935)</f>
        <v>0</v>
      </c>
      <c r="U9936" s="531"/>
      <c r="V9936" s="531"/>
      <c r="W9936" s="531"/>
      <c r="X9936" s="531"/>
      <c r="Y9936" s="531"/>
      <c r="Z9936" s="531"/>
      <c r="AA9936" s="531"/>
      <c r="AB9936" s="531"/>
      <c r="AC9936" s="531"/>
      <c r="AD9936" s="531"/>
      <c r="AE9936" s="531"/>
      <c r="AF9936" s="531"/>
      <c r="AG9936" s="531"/>
      <c r="AH9936" s="531"/>
      <c r="AI9936" s="531"/>
      <c r="AJ9936" s="531"/>
      <c r="AK9936" s="531"/>
      <c r="AL9936" s="531"/>
      <c r="AM9936" s="531"/>
      <c r="AN9936" s="531"/>
      <c r="AO9936" s="531"/>
      <c r="AR9936" s="761" t="s">
        <v>145</v>
      </c>
      <c r="AS9936" s="764"/>
    </row>
    <row r="9937" spans="1:45" s="520" customFormat="1" thickTop="1">
      <c r="A9937" s="51"/>
      <c r="B9937" s="51"/>
      <c r="C9937" s="3"/>
      <c r="D9937" s="3"/>
      <c r="E9937" s="51"/>
      <c r="F9937" s="51"/>
      <c r="G9937" s="51"/>
      <c r="H9937" s="51"/>
      <c r="I9937" s="51"/>
      <c r="J9937" s="51"/>
      <c r="K9937" s="51" t="s">
        <v>134</v>
      </c>
      <c r="L9937" s="51"/>
      <c r="M9937" s="51"/>
      <c r="N9937" s="51"/>
      <c r="O9937" s="52"/>
      <c r="P9937" s="51"/>
      <c r="Q9937" s="51"/>
      <c r="R9937" s="51"/>
      <c r="S9937" s="51"/>
      <c r="T9937" s="51"/>
      <c r="AR9937" s="51"/>
      <c r="AS9937" s="51"/>
    </row>
    <row r="9938" spans="1:45" s="520" customFormat="1" ht="12">
      <c r="A9938" s="51"/>
      <c r="B9938" s="51"/>
      <c r="C9938" s="51" t="s">
        <v>135</v>
      </c>
      <c r="D9938" s="37"/>
      <c r="E9938" s="51"/>
      <c r="F9938" s="51"/>
      <c r="G9938" s="51"/>
      <c r="H9938" s="51"/>
      <c r="I9938" s="51"/>
      <c r="J9938" s="51"/>
      <c r="K9938" s="51"/>
      <c r="L9938" s="51"/>
      <c r="M9938" s="51"/>
      <c r="N9938" s="51"/>
      <c r="O9938" s="52"/>
      <c r="P9938" s="51"/>
      <c r="Q9938" s="51"/>
      <c r="R9938" s="51"/>
      <c r="S9938" s="51"/>
      <c r="T9938" s="51"/>
      <c r="AR9938" s="51"/>
      <c r="AS9938" s="51"/>
    </row>
    <row r="9939" spans="1:45" s="520" customFormat="1" ht="12">
      <c r="A9939" s="51"/>
      <c r="B9939" s="51"/>
      <c r="C9939" s="51"/>
      <c r="D9939" s="37" t="s">
        <v>2177</v>
      </c>
      <c r="E9939" s="51"/>
      <c r="F9939" s="51"/>
      <c r="G9939" s="51"/>
      <c r="H9939" s="51"/>
      <c r="I9939" s="51"/>
      <c r="J9939" s="51"/>
      <c r="K9939" s="51"/>
      <c r="L9939" s="51"/>
      <c r="M9939" s="51"/>
      <c r="N9939" s="51"/>
      <c r="O9939" s="52"/>
      <c r="P9939" s="51"/>
      <c r="Q9939" s="51"/>
      <c r="R9939" s="51"/>
      <c r="S9939" s="38"/>
      <c r="T9939" s="38"/>
      <c r="AR9939" s="51"/>
      <c r="AS9939" s="51"/>
    </row>
    <row r="9940" spans="1:45" s="3" customFormat="1" thickBot="1">
      <c r="A9940" s="531"/>
      <c r="O9940" s="107"/>
      <c r="AR9940" s="531"/>
    </row>
    <row r="9941" spans="1:45" s="520" customFormat="1" thickTop="1">
      <c r="A9941" s="51"/>
      <c r="B9941" s="51"/>
      <c r="C9941" s="3"/>
      <c r="D9941" s="3"/>
      <c r="E9941" s="51"/>
      <c r="F9941" s="51"/>
      <c r="G9941" s="51"/>
      <c r="H9941" s="51"/>
      <c r="I9941" s="51"/>
      <c r="J9941" s="51"/>
      <c r="K9941" s="51" t="s">
        <v>134</v>
      </c>
      <c r="L9941" s="51"/>
      <c r="M9941" s="51"/>
      <c r="N9941" s="51"/>
      <c r="O9941" s="52"/>
      <c r="P9941" s="51"/>
      <c r="Q9941" s="51"/>
      <c r="R9941" s="51"/>
      <c r="S9941" s="51"/>
      <c r="T9941" s="51"/>
      <c r="AR9941" s="51"/>
      <c r="AS9941" s="51"/>
    </row>
    <row r="9942" spans="1:45" s="520" customFormat="1" ht="12">
      <c r="A9942" s="51"/>
      <c r="B9942" s="51"/>
      <c r="C9942" s="51" t="s">
        <v>135</v>
      </c>
      <c r="D9942" s="37"/>
      <c r="E9942" s="51"/>
      <c r="F9942" s="51"/>
      <c r="G9942" s="51"/>
      <c r="H9942" s="51"/>
      <c r="I9942" s="51"/>
      <c r="J9942" s="51"/>
      <c r="K9942" s="51"/>
      <c r="L9942" s="51"/>
      <c r="M9942" s="51"/>
      <c r="N9942" s="51"/>
      <c r="O9942" s="52"/>
      <c r="P9942" s="51"/>
      <c r="Q9942" s="51"/>
      <c r="R9942" s="51"/>
      <c r="S9942" s="51"/>
      <c r="T9942" s="51"/>
      <c r="AR9942" s="51"/>
      <c r="AS9942" s="51"/>
    </row>
    <row r="9943" spans="1:45" s="520" customFormat="1" ht="12">
      <c r="A9943" s="51"/>
      <c r="B9943" s="51"/>
      <c r="C9943" s="51"/>
      <c r="D9943" s="37" t="s">
        <v>371</v>
      </c>
      <c r="E9943" s="51"/>
      <c r="F9943" s="51"/>
      <c r="G9943" s="51"/>
      <c r="H9943" s="51"/>
      <c r="I9943" s="51"/>
      <c r="J9943" s="51"/>
      <c r="K9943" s="51"/>
      <c r="L9943" s="51"/>
      <c r="M9943" s="51"/>
      <c r="N9943" s="51"/>
      <c r="O9943" s="52"/>
      <c r="P9943" s="51"/>
      <c r="Q9943" s="51"/>
      <c r="R9943" s="51"/>
      <c r="S9943" s="38"/>
      <c r="T9943" s="38"/>
      <c r="AR9943" s="51"/>
      <c r="AS9943" s="51"/>
    </row>
    <row r="9944" spans="1:45" s="3" customFormat="1" thickBot="1">
      <c r="A9944" s="531"/>
      <c r="O9944" s="107"/>
      <c r="AR9944" s="531"/>
    </row>
    <row r="9945" spans="1:45" s="520" customFormat="1" thickTop="1">
      <c r="A9945" s="51"/>
      <c r="B9945" s="51"/>
      <c r="C9945" s="3"/>
      <c r="D9945" s="3"/>
      <c r="E9945" s="51"/>
      <c r="F9945" s="51"/>
      <c r="G9945" s="51"/>
      <c r="H9945" s="51"/>
      <c r="I9945" s="51"/>
      <c r="J9945" s="51"/>
      <c r="K9945" s="51" t="s">
        <v>134</v>
      </c>
      <c r="L9945" s="51"/>
      <c r="M9945" s="51"/>
      <c r="N9945" s="51"/>
      <c r="O9945" s="52"/>
      <c r="P9945" s="51"/>
      <c r="Q9945" s="51"/>
      <c r="R9945" s="51"/>
      <c r="S9945" s="51"/>
      <c r="T9945" s="51"/>
      <c r="AR9945" s="51"/>
      <c r="AS9945" s="51"/>
    </row>
    <row r="9946" spans="1:45" s="520" customFormat="1" ht="12">
      <c r="A9946" s="51"/>
      <c r="B9946" s="51"/>
      <c r="C9946" s="51" t="s">
        <v>135</v>
      </c>
      <c r="D9946" s="37"/>
      <c r="E9946" s="51"/>
      <c r="F9946" s="51"/>
      <c r="G9946" s="51"/>
      <c r="H9946" s="51"/>
      <c r="I9946" s="51"/>
      <c r="J9946" s="51"/>
      <c r="K9946" s="51"/>
      <c r="L9946" s="51"/>
      <c r="M9946" s="51"/>
      <c r="N9946" s="51"/>
      <c r="O9946" s="52"/>
      <c r="P9946" s="51"/>
      <c r="Q9946" s="51"/>
      <c r="R9946" s="51"/>
      <c r="S9946" s="51"/>
      <c r="T9946" s="51"/>
      <c r="AR9946" s="51"/>
      <c r="AS9946" s="51"/>
    </row>
    <row r="9947" spans="1:45" s="520" customFormat="1" ht="12">
      <c r="A9947" s="51"/>
      <c r="B9947" s="51"/>
      <c r="C9947" s="51"/>
      <c r="D9947" s="37" t="s">
        <v>2166</v>
      </c>
      <c r="E9947" s="51"/>
      <c r="F9947" s="51"/>
      <c r="G9947" s="51"/>
      <c r="H9947" s="51"/>
      <c r="I9947" s="51"/>
      <c r="J9947" s="51"/>
      <c r="K9947" s="51"/>
      <c r="L9947" s="51"/>
      <c r="M9947" s="51"/>
      <c r="N9947" s="51"/>
      <c r="O9947" s="52"/>
      <c r="P9947" s="51"/>
      <c r="Q9947" s="51"/>
      <c r="R9947" s="51"/>
      <c r="S9947" s="38"/>
      <c r="T9947" s="38"/>
      <c r="AR9947" s="51"/>
      <c r="AS9947" s="51"/>
    </row>
    <row r="9948" spans="1:45" s="3" customFormat="1" thickBot="1">
      <c r="A9948" s="531"/>
      <c r="O9948" s="107"/>
      <c r="AR9948" s="531"/>
    </row>
    <row r="9949" spans="1:45" s="520" customFormat="1" ht="12" thickTop="1">
      <c r="A9949" s="51"/>
      <c r="B9949" s="41"/>
      <c r="C9949" s="51"/>
      <c r="E9949" s="42" t="s">
        <v>138</v>
      </c>
      <c r="F9949" s="42" t="s">
        <v>139</v>
      </c>
      <c r="G9949" s="51"/>
      <c r="H9949" s="51"/>
      <c r="I9949" s="51"/>
      <c r="J9949" s="51"/>
      <c r="K9949" s="51" t="s">
        <v>140</v>
      </c>
      <c r="L9949" s="51"/>
      <c r="M9949" s="51"/>
      <c r="N9949" s="51"/>
      <c r="O9949" s="52"/>
      <c r="P9949" s="51"/>
      <c r="Q9949" s="51"/>
      <c r="R9949" s="51"/>
      <c r="S9949" s="51"/>
      <c r="T9949" s="41"/>
      <c r="AG9949" s="521" t="s">
        <v>268</v>
      </c>
      <c r="AH9949" s="521" t="s">
        <v>269</v>
      </c>
      <c r="AI9949" s="521" t="s">
        <v>270</v>
      </c>
      <c r="AJ9949" s="521" t="s">
        <v>271</v>
      </c>
      <c r="AK9949" s="521" t="s">
        <v>272</v>
      </c>
      <c r="AM9949" s="745" t="s">
        <v>281</v>
      </c>
      <c r="AN9949" s="746" t="s">
        <v>282</v>
      </c>
      <c r="AO9949" s="522" t="s">
        <v>278</v>
      </c>
      <c r="AR9949" s="51"/>
      <c r="AS9949" s="42" t="s">
        <v>139</v>
      </c>
    </row>
    <row r="9950" spans="1:45" s="520" customFormat="1" ht="12" customHeight="1">
      <c r="A9950" s="747">
        <v>5</v>
      </c>
      <c r="B9950" s="523" t="s">
        <v>141</v>
      </c>
      <c r="C9950" s="748"/>
      <c r="D9950" s="749" t="s">
        <v>1848</v>
      </c>
      <c r="E9950" s="1145">
        <f>IF(AND($A9950=0,$A$1="DIF"),0, ROUND(ROUND(($R9954*$S$3+($T9954*$T$3))/$A9950,2)*$C$3,2))</f>
        <v>83.76</v>
      </c>
      <c r="F9950" s="1146">
        <f>ROUND($A9950*$E9950,2)</f>
        <v>418.8</v>
      </c>
      <c r="G9950" s="752" t="s">
        <v>142</v>
      </c>
      <c r="H9950" s="753"/>
      <c r="I9950" s="754"/>
      <c r="J9950" s="753"/>
      <c r="K9950" s="753" t="s">
        <v>5</v>
      </c>
      <c r="L9950" s="755" t="s">
        <v>143</v>
      </c>
      <c r="M9950" s="755"/>
      <c r="N9950" s="755"/>
      <c r="O9950" s="755"/>
      <c r="P9950" s="755"/>
      <c r="Q9950" s="51"/>
      <c r="T9950" s="1150" t="str">
        <f>IF(AND($R9954=0,$T9954=0),"0.00","mu: "&amp; ROUND(F9950/$C$3/($R9954+$T9954*$D$9),2))</f>
        <v>mu: 1.13</v>
      </c>
      <c r="W9950" s="524"/>
      <c r="AG9950" s="1147">
        <f>IF($E9950=0,0,ROUND($R9954*$S$3*$C$3/$A9950,2))</f>
        <v>83.76</v>
      </c>
      <c r="AH9950" s="1147">
        <f>$AG9950*$A9950</f>
        <v>418.8</v>
      </c>
      <c r="AI9950" s="1148">
        <f>$E9950-$AG9950</f>
        <v>0</v>
      </c>
      <c r="AJ9950" s="1148">
        <f>$A9950*$AI9950</f>
        <v>0</v>
      </c>
      <c r="AK9950" s="1149">
        <f>ROUND(($AG9950+$AI9950)*$A9950,2)</f>
        <v>418.8</v>
      </c>
      <c r="AM9950" s="527">
        <f>ROUND(R9954,2)</f>
        <v>371.03</v>
      </c>
      <c r="AN9950" s="528">
        <f>ROUND(T9954,2)</f>
        <v>0</v>
      </c>
      <c r="AO9950" s="529">
        <f>ROUND(AM9950+AN9950,2)*A9950</f>
        <v>1855.1499999999999</v>
      </c>
      <c r="AR9950" s="747">
        <v>5</v>
      </c>
      <c r="AS9950" s="1146">
        <v>455.75</v>
      </c>
    </row>
    <row r="9951" spans="1:45" s="520" customFormat="1" ht="13.2">
      <c r="A9951" s="748"/>
      <c r="B9951"/>
      <c r="C9951" s="748"/>
      <c r="D9951" s="749" t="s">
        <v>2168</v>
      </c>
      <c r="F9951" s="753"/>
      <c r="G9951" s="3"/>
      <c r="H9951" s="753"/>
      <c r="I9951" s="754"/>
      <c r="J9951" s="753"/>
      <c r="K9951" s="753" t="s">
        <v>144</v>
      </c>
      <c r="L9951" s="753"/>
      <c r="M9951" s="753"/>
      <c r="N9951" s="753"/>
      <c r="O9951" s="753"/>
      <c r="P9951" s="753"/>
      <c r="Q9951" s="51"/>
      <c r="R9951" s="530"/>
      <c r="S9951" s="757"/>
      <c r="T9951" s="753"/>
      <c r="AR9951" s="748"/>
      <c r="AS9951" s="753"/>
    </row>
    <row r="9952" spans="1:45" s="901" customFormat="1" ht="13.2">
      <c r="A9952" s="903">
        <v>5</v>
      </c>
      <c r="B9952" s="904" t="s">
        <v>863</v>
      </c>
      <c r="C9952" s="904"/>
      <c r="D9952" s="904" t="s">
        <v>2594</v>
      </c>
      <c r="E9952" s="904"/>
      <c r="F9952" s="1153" t="s">
        <v>4129</v>
      </c>
      <c r="G9952" s="905" t="s">
        <v>2595</v>
      </c>
      <c r="H9952" s="902">
        <v>960</v>
      </c>
      <c r="I9952" s="904" t="s">
        <v>2596</v>
      </c>
      <c r="J9952" s="904"/>
      <c r="K9952" s="904"/>
      <c r="L9952" s="904"/>
      <c r="M9952" s="904"/>
      <c r="N9952" s="904"/>
      <c r="O9952" s="902">
        <v>4</v>
      </c>
      <c r="P9952" s="906">
        <v>38274</v>
      </c>
      <c r="Q9952" s="1415">
        <f>85*0.873</f>
        <v>74.204999999999998</v>
      </c>
      <c r="R9952" s="908">
        <f>$A9952*Q9952</f>
        <v>371.02499999999998</v>
      </c>
      <c r="S9952" s="907"/>
      <c r="T9952" s="909">
        <f>$A9952*S9952*$T$1</f>
        <v>0</v>
      </c>
      <c r="AR9952" s="903">
        <v>5</v>
      </c>
      <c r="AS9952" s="1153" t="s">
        <v>3507</v>
      </c>
    </row>
    <row r="9953" spans="1:45" s="520" customFormat="1" ht="12">
      <c r="A9953" s="758"/>
      <c r="B9953" s="758"/>
      <c r="C9953" s="758"/>
      <c r="D9953" s="758"/>
      <c r="E9953" s="758"/>
      <c r="F9953" s="753"/>
      <c r="G9953" s="758"/>
      <c r="H9953" s="758"/>
      <c r="I9953" s="519"/>
      <c r="J9953" s="758"/>
      <c r="K9953" s="758"/>
      <c r="L9953" s="758"/>
      <c r="M9953" s="758"/>
      <c r="N9953" s="758"/>
      <c r="O9953" s="758"/>
      <c r="P9953" s="758"/>
      <c r="Q9953" s="519"/>
      <c r="R9953" s="759">
        <f>$A9953*Q9953</f>
        <v>0</v>
      </c>
      <c r="S9953" s="519"/>
      <c r="T9953" s="760">
        <f>$A9953*S9953*$T$1</f>
        <v>0</v>
      </c>
      <c r="AR9953" s="758"/>
      <c r="AS9953" s="753"/>
    </row>
    <row r="9954" spans="1:45" s="520" customFormat="1" ht="12.6" thickBot="1">
      <c r="A9954" s="761" t="s">
        <v>145</v>
      </c>
      <c r="B9954" s="762">
        <f>(R9953+T9953)</f>
        <v>0</v>
      </c>
      <c r="C9954" s="763"/>
      <c r="D9954" s="763"/>
      <c r="E9954" s="763"/>
      <c r="F9954" s="764"/>
      <c r="G9954" s="763" t="s">
        <v>146</v>
      </c>
      <c r="H9954" s="763"/>
      <c r="I9954" s="765"/>
      <c r="J9954" s="763"/>
      <c r="K9954" s="763" t="s">
        <v>5</v>
      </c>
      <c r="L9954" s="766" t="s">
        <v>143</v>
      </c>
      <c r="M9954" s="766"/>
      <c r="N9954" s="766"/>
      <c r="O9954" s="766"/>
      <c r="P9954" s="766"/>
      <c r="Q9954" s="767"/>
      <c r="R9954" s="768">
        <f>SUM(R9951:R9953)</f>
        <v>371.02499999999998</v>
      </c>
      <c r="S9954" s="763"/>
      <c r="T9954" s="768">
        <f>SUM(T9951:T9953)</f>
        <v>0</v>
      </c>
      <c r="U9954" s="531"/>
      <c r="V9954" s="531"/>
      <c r="W9954" s="531"/>
      <c r="X9954" s="531"/>
      <c r="Y9954" s="531"/>
      <c r="Z9954" s="531"/>
      <c r="AA9954" s="531"/>
      <c r="AB9954" s="531"/>
      <c r="AC9954" s="531"/>
      <c r="AD9954" s="531"/>
      <c r="AE9954" s="531"/>
      <c r="AF9954" s="531"/>
      <c r="AG9954" s="531"/>
      <c r="AH9954" s="531"/>
      <c r="AI9954" s="531"/>
      <c r="AJ9954" s="531"/>
      <c r="AK9954" s="531"/>
      <c r="AL9954" s="531"/>
      <c r="AM9954" s="531"/>
      <c r="AN9954" s="531"/>
      <c r="AO9954" s="531"/>
      <c r="AR9954" s="761" t="s">
        <v>145</v>
      </c>
      <c r="AS9954" s="764"/>
    </row>
    <row r="9955" spans="1:45" s="520" customFormat="1" ht="12" thickTop="1">
      <c r="A9955" s="51"/>
      <c r="B9955" s="41"/>
      <c r="C9955" s="51"/>
      <c r="E9955" s="42" t="s">
        <v>138</v>
      </c>
      <c r="F9955" s="42" t="s">
        <v>139</v>
      </c>
      <c r="G9955" s="51"/>
      <c r="H9955" s="51"/>
      <c r="I9955" s="51"/>
      <c r="J9955" s="51"/>
      <c r="K9955" s="51" t="s">
        <v>140</v>
      </c>
      <c r="L9955" s="51"/>
      <c r="M9955" s="51"/>
      <c r="N9955" s="51"/>
      <c r="O9955" s="52"/>
      <c r="P9955" s="51"/>
      <c r="Q9955" s="51"/>
      <c r="R9955" s="51"/>
      <c r="S9955" s="51"/>
      <c r="T9955" s="41"/>
      <c r="AG9955" s="521" t="s">
        <v>268</v>
      </c>
      <c r="AH9955" s="521" t="s">
        <v>269</v>
      </c>
      <c r="AI9955" s="521" t="s">
        <v>270</v>
      </c>
      <c r="AJ9955" s="521" t="s">
        <v>271</v>
      </c>
      <c r="AK9955" s="521" t="s">
        <v>272</v>
      </c>
      <c r="AM9955" s="745" t="s">
        <v>281</v>
      </c>
      <c r="AN9955" s="746" t="s">
        <v>282</v>
      </c>
      <c r="AO9955" s="522" t="s">
        <v>278</v>
      </c>
      <c r="AR9955" s="51"/>
      <c r="AS9955" s="42" t="s">
        <v>139</v>
      </c>
    </row>
    <row r="9956" spans="1:45" s="520" customFormat="1" ht="12" customHeight="1">
      <c r="A9956" s="747">
        <v>1</v>
      </c>
      <c r="B9956" s="523" t="s">
        <v>141</v>
      </c>
      <c r="C9956" s="748"/>
      <c r="D9956" s="749" t="s">
        <v>1849</v>
      </c>
      <c r="E9956" s="1145">
        <f>IF(AND($A9956=0,$A$1="DIF"),0, ROUND(ROUND(($R9960*$S$3+($T9960*$T$3))/$A9956,2)*$C$3,2))</f>
        <v>118.25</v>
      </c>
      <c r="F9956" s="1146">
        <f>ROUND($A9956*$E9956,2)</f>
        <v>118.25</v>
      </c>
      <c r="G9956" s="752" t="s">
        <v>142</v>
      </c>
      <c r="H9956" s="753"/>
      <c r="I9956" s="754"/>
      <c r="J9956" s="753"/>
      <c r="K9956" s="753" t="s">
        <v>5</v>
      </c>
      <c r="L9956" s="755" t="s">
        <v>143</v>
      </c>
      <c r="M9956" s="755"/>
      <c r="N9956" s="755"/>
      <c r="O9956" s="755"/>
      <c r="P9956" s="755"/>
      <c r="Q9956" s="51"/>
      <c r="T9956" s="1150" t="str">
        <f>IF(AND($R9960=0,$T9960=0),"0.00","mu: "&amp; ROUND(F9956/$C$3/($R9960+$T9960*$D$9),2))</f>
        <v>mu: 1.13</v>
      </c>
      <c r="W9956" s="524"/>
      <c r="AG9956" s="1147">
        <f>IF($E9956=0,0,ROUND($R9960*$S$3*$C$3/$A9956,2))</f>
        <v>118.25</v>
      </c>
      <c r="AH9956" s="1147">
        <f>$AG9956*$A9956</f>
        <v>118.25</v>
      </c>
      <c r="AI9956" s="1148">
        <f>$E9956-$AG9956</f>
        <v>0</v>
      </c>
      <c r="AJ9956" s="1148">
        <f>$A9956*$AI9956</f>
        <v>0</v>
      </c>
      <c r="AK9956" s="1149">
        <f>ROUND(($AG9956+$AI9956)*$A9956,2)</f>
        <v>118.25</v>
      </c>
      <c r="AM9956" s="527">
        <f>ROUND(R9960,2)</f>
        <v>104.76</v>
      </c>
      <c r="AN9956" s="528">
        <f>ROUND(T9960,2)</f>
        <v>0</v>
      </c>
      <c r="AO9956" s="529">
        <f>ROUND(AM9956+AN9956,2)*A9956</f>
        <v>104.76</v>
      </c>
      <c r="AR9956" s="747">
        <v>1</v>
      </c>
      <c r="AS9956" s="1146">
        <v>128.68</v>
      </c>
    </row>
    <row r="9957" spans="1:45" s="520" customFormat="1" ht="13.2">
      <c r="A9957" s="748"/>
      <c r="B9957"/>
      <c r="C9957" s="748"/>
      <c r="D9957" s="749" t="s">
        <v>2175</v>
      </c>
      <c r="F9957" s="753"/>
      <c r="G9957" s="3"/>
      <c r="H9957" s="753"/>
      <c r="I9957" s="754"/>
      <c r="J9957" s="753"/>
      <c r="K9957" s="753" t="s">
        <v>144</v>
      </c>
      <c r="L9957" s="753"/>
      <c r="M9957" s="753"/>
      <c r="N9957" s="753"/>
      <c r="O9957" s="753"/>
      <c r="P9957" s="753"/>
      <c r="Q9957" s="51"/>
      <c r="R9957" s="530"/>
      <c r="S9957" s="757"/>
      <c r="T9957" s="753"/>
      <c r="AR9957" s="748"/>
      <c r="AS9957" s="753"/>
    </row>
    <row r="9958" spans="1:45" s="901" customFormat="1" ht="13.2">
      <c r="A9958" s="903">
        <v>1</v>
      </c>
      <c r="B9958" s="904" t="s">
        <v>863</v>
      </c>
      <c r="C9958" s="904"/>
      <c r="D9958" s="904" t="s">
        <v>2594</v>
      </c>
      <c r="E9958" s="904"/>
      <c r="F9958" s="1153" t="s">
        <v>4129</v>
      </c>
      <c r="G9958" s="905" t="s">
        <v>2595</v>
      </c>
      <c r="H9958" s="902">
        <v>960</v>
      </c>
      <c r="I9958" s="904" t="s">
        <v>2596</v>
      </c>
      <c r="J9958" s="904"/>
      <c r="K9958" s="904"/>
      <c r="L9958" s="904"/>
      <c r="M9958" s="904"/>
      <c r="N9958" s="904"/>
      <c r="O9958" s="902">
        <v>4</v>
      </c>
      <c r="P9958" s="906">
        <v>38274</v>
      </c>
      <c r="Q9958" s="1415">
        <f>120*0.873</f>
        <v>104.76</v>
      </c>
      <c r="R9958" s="908">
        <f>$A9958*Q9958</f>
        <v>104.76</v>
      </c>
      <c r="S9958" s="907"/>
      <c r="T9958" s="909">
        <f>$A9958*S9958*$T$1</f>
        <v>0</v>
      </c>
      <c r="AR9958" s="903">
        <v>1</v>
      </c>
      <c r="AS9958" s="1153" t="s">
        <v>3507</v>
      </c>
    </row>
    <row r="9959" spans="1:45" s="520" customFormat="1" ht="12">
      <c r="A9959" s="758"/>
      <c r="B9959" s="758"/>
      <c r="C9959" s="758"/>
      <c r="D9959" s="758"/>
      <c r="E9959" s="758"/>
      <c r="F9959" s="753"/>
      <c r="G9959" s="758"/>
      <c r="H9959" s="758"/>
      <c r="I9959" s="519"/>
      <c r="J9959" s="758"/>
      <c r="K9959" s="758"/>
      <c r="L9959" s="758"/>
      <c r="M9959" s="758"/>
      <c r="N9959" s="758"/>
      <c r="O9959" s="758"/>
      <c r="P9959" s="758"/>
      <c r="Q9959" s="519"/>
      <c r="R9959" s="759">
        <f>$A9959*Q9959</f>
        <v>0</v>
      </c>
      <c r="S9959" s="519"/>
      <c r="T9959" s="760">
        <f>$A9959*S9959*$T$1</f>
        <v>0</v>
      </c>
      <c r="AR9959" s="758"/>
      <c r="AS9959" s="753"/>
    </row>
    <row r="9960" spans="1:45" s="520" customFormat="1" ht="12.6" thickBot="1">
      <c r="A9960" s="761" t="s">
        <v>145</v>
      </c>
      <c r="B9960" s="762">
        <f>(R9959+T9959)</f>
        <v>0</v>
      </c>
      <c r="C9960" s="763"/>
      <c r="D9960" s="763"/>
      <c r="E9960" s="763"/>
      <c r="F9960" s="764"/>
      <c r="G9960" s="763" t="s">
        <v>146</v>
      </c>
      <c r="H9960" s="763"/>
      <c r="I9960" s="765"/>
      <c r="J9960" s="763"/>
      <c r="K9960" s="763" t="s">
        <v>5</v>
      </c>
      <c r="L9960" s="766" t="s">
        <v>143</v>
      </c>
      <c r="M9960" s="766"/>
      <c r="N9960" s="766"/>
      <c r="O9960" s="766"/>
      <c r="P9960" s="766"/>
      <c r="Q9960" s="767"/>
      <c r="R9960" s="768">
        <f>SUM(R9957:R9959)</f>
        <v>104.76</v>
      </c>
      <c r="S9960" s="763"/>
      <c r="T9960" s="768">
        <f>SUM(T9957:T9959)</f>
        <v>0</v>
      </c>
      <c r="U9960" s="531"/>
      <c r="V9960" s="531"/>
      <c r="W9960" s="531"/>
      <c r="X9960" s="531"/>
      <c r="Y9960" s="531"/>
      <c r="Z9960" s="531"/>
      <c r="AA9960" s="531"/>
      <c r="AB9960" s="531"/>
      <c r="AC9960" s="531"/>
      <c r="AD9960" s="531"/>
      <c r="AE9960" s="531"/>
      <c r="AF9960" s="531"/>
      <c r="AG9960" s="531"/>
      <c r="AH9960" s="531"/>
      <c r="AI9960" s="531"/>
      <c r="AJ9960" s="531"/>
      <c r="AK9960" s="531"/>
      <c r="AL9960" s="531"/>
      <c r="AM9960" s="531"/>
      <c r="AN9960" s="531"/>
      <c r="AO9960" s="531"/>
      <c r="AR9960" s="761" t="s">
        <v>145</v>
      </c>
      <c r="AS9960" s="764"/>
    </row>
    <row r="9961" spans="1:45" s="520" customFormat="1" thickTop="1">
      <c r="A9961" s="51"/>
      <c r="B9961" s="51"/>
      <c r="C9961" s="3"/>
      <c r="D9961" s="3"/>
      <c r="E9961" s="51"/>
      <c r="F9961" s="51"/>
      <c r="G9961" s="51"/>
      <c r="H9961" s="51"/>
      <c r="I9961" s="51"/>
      <c r="J9961" s="51"/>
      <c r="K9961" s="51" t="s">
        <v>134</v>
      </c>
      <c r="L9961" s="51"/>
      <c r="M9961" s="51"/>
      <c r="N9961" s="51"/>
      <c r="O9961" s="52"/>
      <c r="P9961" s="51"/>
      <c r="Q9961" s="51"/>
      <c r="R9961" s="51"/>
      <c r="S9961" s="51"/>
      <c r="T9961" s="51"/>
      <c r="AR9961" s="51"/>
      <c r="AS9961" s="51"/>
    </row>
    <row r="9962" spans="1:45" s="520" customFormat="1" ht="12">
      <c r="A9962" s="51"/>
      <c r="B9962" s="51"/>
      <c r="C9962" s="51" t="s">
        <v>135</v>
      </c>
      <c r="D9962" s="37"/>
      <c r="E9962" s="51"/>
      <c r="F9962" s="51"/>
      <c r="G9962" s="51"/>
      <c r="H9962" s="51"/>
      <c r="I9962" s="51"/>
      <c r="J9962" s="51"/>
      <c r="K9962" s="51"/>
      <c r="L9962" s="51"/>
      <c r="M9962" s="51"/>
      <c r="N9962" s="51"/>
      <c r="O9962" s="52"/>
      <c r="P9962" s="51"/>
      <c r="Q9962" s="51"/>
      <c r="R9962" s="51"/>
      <c r="S9962" s="51"/>
      <c r="T9962" s="51"/>
      <c r="AR9962" s="51"/>
      <c r="AS9962" s="51"/>
    </row>
    <row r="9963" spans="1:45" s="520" customFormat="1" ht="12">
      <c r="A9963" s="51"/>
      <c r="B9963" s="51"/>
      <c r="C9963" s="51"/>
      <c r="D9963" s="37" t="s">
        <v>2178</v>
      </c>
      <c r="E9963" s="51"/>
      <c r="F9963" s="51"/>
      <c r="G9963" s="51"/>
      <c r="H9963" s="51"/>
      <c r="I9963" s="51"/>
      <c r="J9963" s="51"/>
      <c r="K9963" s="51"/>
      <c r="L9963" s="51"/>
      <c r="M9963" s="51"/>
      <c r="N9963" s="51"/>
      <c r="O9963" s="52"/>
      <c r="P9963" s="51"/>
      <c r="Q9963" s="51"/>
      <c r="R9963" s="51"/>
      <c r="S9963" s="38"/>
      <c r="T9963" s="38"/>
      <c r="AR9963" s="51"/>
      <c r="AS9963" s="51"/>
    </row>
    <row r="9964" spans="1:45" s="3" customFormat="1" thickBot="1">
      <c r="A9964" s="531"/>
      <c r="O9964" s="107"/>
      <c r="AR9964" s="531"/>
    </row>
    <row r="9965" spans="1:45" s="520" customFormat="1" thickTop="1">
      <c r="A9965" s="51"/>
      <c r="B9965" s="51"/>
      <c r="C9965" s="3"/>
      <c r="D9965" s="3"/>
      <c r="E9965" s="51"/>
      <c r="F9965" s="51"/>
      <c r="G9965" s="51"/>
      <c r="H9965" s="51"/>
      <c r="I9965" s="51"/>
      <c r="J9965" s="51"/>
      <c r="K9965" s="51" t="s">
        <v>134</v>
      </c>
      <c r="L9965" s="51"/>
      <c r="M9965" s="51"/>
      <c r="N9965" s="51"/>
      <c r="O9965" s="52"/>
      <c r="P9965" s="51"/>
      <c r="Q9965" s="51"/>
      <c r="R9965" s="51"/>
      <c r="S9965" s="51"/>
      <c r="T9965" s="51"/>
      <c r="AR9965" s="51"/>
      <c r="AS9965" s="51"/>
    </row>
    <row r="9966" spans="1:45" s="520" customFormat="1" ht="12">
      <c r="A9966" s="51"/>
      <c r="B9966" s="51"/>
      <c r="C9966" s="51" t="s">
        <v>135</v>
      </c>
      <c r="D9966" s="37"/>
      <c r="E9966" s="51"/>
      <c r="F9966" s="51"/>
      <c r="G9966" s="51"/>
      <c r="H9966" s="51"/>
      <c r="I9966" s="51"/>
      <c r="J9966" s="51"/>
      <c r="K9966" s="51"/>
      <c r="L9966" s="51"/>
      <c r="M9966" s="51"/>
      <c r="N9966" s="51"/>
      <c r="O9966" s="52"/>
      <c r="P9966" s="51"/>
      <c r="Q9966" s="51"/>
      <c r="R9966" s="51"/>
      <c r="S9966" s="51"/>
      <c r="T9966" s="51"/>
      <c r="AR9966" s="51"/>
      <c r="AS9966" s="51"/>
    </row>
    <row r="9967" spans="1:45" s="520" customFormat="1" ht="12">
      <c r="A9967" s="51"/>
      <c r="B9967" s="51"/>
      <c r="C9967" s="51"/>
      <c r="D9967" s="37" t="s">
        <v>347</v>
      </c>
      <c r="E9967" s="51"/>
      <c r="F9967" s="51"/>
      <c r="G9967" s="51"/>
      <c r="H9967" s="51"/>
      <c r="I9967" s="51"/>
      <c r="J9967" s="51"/>
      <c r="K9967" s="51"/>
      <c r="L9967" s="51"/>
      <c r="M9967" s="51"/>
      <c r="N9967" s="51"/>
      <c r="O9967" s="52"/>
      <c r="P9967" s="51"/>
      <c r="Q9967" s="51"/>
      <c r="R9967" s="51"/>
      <c r="S9967" s="38"/>
      <c r="T9967" s="38"/>
      <c r="AR9967" s="51"/>
      <c r="AS9967" s="51"/>
    </row>
    <row r="9968" spans="1:45" s="3" customFormat="1" thickBot="1">
      <c r="A9968" s="531"/>
      <c r="O9968" s="107"/>
      <c r="AR9968" s="531"/>
    </row>
    <row r="9969" spans="1:45" s="520" customFormat="1" thickTop="1">
      <c r="A9969" s="51"/>
      <c r="B9969" s="51"/>
      <c r="C9969" s="3"/>
      <c r="D9969" s="3"/>
      <c r="E9969" s="51"/>
      <c r="F9969" s="51"/>
      <c r="G9969" s="51"/>
      <c r="H9969" s="51"/>
      <c r="I9969" s="51"/>
      <c r="J9969" s="51"/>
      <c r="K9969" s="51" t="s">
        <v>134</v>
      </c>
      <c r="L9969" s="51"/>
      <c r="M9969" s="51"/>
      <c r="N9969" s="51"/>
      <c r="O9969" s="52"/>
      <c r="P9969" s="51"/>
      <c r="Q9969" s="51"/>
      <c r="R9969" s="51"/>
      <c r="S9969" s="51"/>
      <c r="T9969" s="51"/>
      <c r="AR9969" s="51"/>
      <c r="AS9969" s="51"/>
    </row>
    <row r="9970" spans="1:45" s="520" customFormat="1" ht="12">
      <c r="A9970" s="51"/>
      <c r="B9970" s="51"/>
      <c r="C9970" s="51" t="s">
        <v>135</v>
      </c>
      <c r="D9970" s="37"/>
      <c r="E9970" s="51"/>
      <c r="F9970" s="51"/>
      <c r="G9970" s="51"/>
      <c r="H9970" s="51"/>
      <c r="I9970" s="51"/>
      <c r="J9970" s="51"/>
      <c r="K9970" s="51"/>
      <c r="L9970" s="51"/>
      <c r="M9970" s="51"/>
      <c r="N9970" s="51"/>
      <c r="O9970" s="52"/>
      <c r="P9970" s="51"/>
      <c r="Q9970" s="51"/>
      <c r="R9970" s="51"/>
      <c r="S9970" s="51"/>
      <c r="T9970" s="51"/>
      <c r="AR9970" s="51"/>
      <c r="AS9970" s="51"/>
    </row>
    <row r="9971" spans="1:45" s="520" customFormat="1" ht="12">
      <c r="A9971" s="51"/>
      <c r="B9971" s="51"/>
      <c r="C9971" s="51"/>
      <c r="D9971" s="37" t="s">
        <v>2166</v>
      </c>
      <c r="E9971" s="51"/>
      <c r="F9971" s="51"/>
      <c r="G9971" s="51"/>
      <c r="H9971" s="51"/>
      <c r="I9971" s="51"/>
      <c r="J9971" s="51"/>
      <c r="K9971" s="51"/>
      <c r="L9971" s="51"/>
      <c r="M9971" s="51"/>
      <c r="N9971" s="51"/>
      <c r="O9971" s="52"/>
      <c r="P9971" s="51"/>
      <c r="Q9971" s="51"/>
      <c r="R9971" s="51"/>
      <c r="S9971" s="38"/>
      <c r="T9971" s="38"/>
      <c r="AR9971" s="51"/>
      <c r="AS9971" s="51"/>
    </row>
    <row r="9972" spans="1:45" s="3" customFormat="1" thickBot="1">
      <c r="A9972" s="531"/>
      <c r="O9972" s="107"/>
      <c r="AR9972" s="531"/>
    </row>
    <row r="9973" spans="1:45" s="520" customFormat="1" ht="12" thickTop="1">
      <c r="A9973" s="51"/>
      <c r="B9973" s="41"/>
      <c r="C9973" s="51"/>
      <c r="E9973" s="42" t="s">
        <v>138</v>
      </c>
      <c r="F9973" s="42" t="s">
        <v>139</v>
      </c>
      <c r="G9973" s="51"/>
      <c r="H9973" s="51"/>
      <c r="I9973" s="51"/>
      <c r="J9973" s="51"/>
      <c r="K9973" s="51" t="s">
        <v>140</v>
      </c>
      <c r="L9973" s="51"/>
      <c r="M9973" s="51"/>
      <c r="N9973" s="51"/>
      <c r="O9973" s="52"/>
      <c r="P9973" s="51"/>
      <c r="Q9973" s="51"/>
      <c r="R9973" s="51"/>
      <c r="S9973" s="51"/>
      <c r="T9973" s="41"/>
      <c r="AG9973" s="521" t="s">
        <v>268</v>
      </c>
      <c r="AH9973" s="521" t="s">
        <v>269</v>
      </c>
      <c r="AI9973" s="521" t="s">
        <v>270</v>
      </c>
      <c r="AJ9973" s="521" t="s">
        <v>271</v>
      </c>
      <c r="AK9973" s="521" t="s">
        <v>272</v>
      </c>
      <c r="AM9973" s="745" t="s">
        <v>281</v>
      </c>
      <c r="AN9973" s="746" t="s">
        <v>282</v>
      </c>
      <c r="AO9973" s="522" t="s">
        <v>278</v>
      </c>
      <c r="AR9973" s="51"/>
      <c r="AS9973" s="42" t="s">
        <v>139</v>
      </c>
    </row>
    <row r="9974" spans="1:45" s="520" customFormat="1" ht="12" customHeight="1">
      <c r="A9974" s="747">
        <v>3</v>
      </c>
      <c r="B9974" s="523" t="s">
        <v>141</v>
      </c>
      <c r="C9974" s="748"/>
      <c r="D9974" s="749" t="s">
        <v>1850</v>
      </c>
      <c r="E9974" s="1145">
        <f>IF(AND($A9974=0,$A$1="DIF"),0, ROUND(ROUND(($R9978*$S$3+($T9978*$T$3))/$A9974,2)*$C$3,2))</f>
        <v>83.76</v>
      </c>
      <c r="F9974" s="1146">
        <f>ROUND($A9974*$E9974,2)</f>
        <v>251.28</v>
      </c>
      <c r="G9974" s="752" t="s">
        <v>142</v>
      </c>
      <c r="H9974" s="753"/>
      <c r="I9974" s="754"/>
      <c r="J9974" s="753"/>
      <c r="K9974" s="753" t="s">
        <v>5</v>
      </c>
      <c r="L9974" s="755" t="s">
        <v>143</v>
      </c>
      <c r="M9974" s="755"/>
      <c r="N9974" s="755"/>
      <c r="O9974" s="755"/>
      <c r="P9974" s="755"/>
      <c r="Q9974" s="51"/>
      <c r="T9974" s="1150" t="str">
        <f>IF(AND($R9978=0,$T9978=0),"0.00","mu: "&amp; ROUND(F9974/$C$3/($R9978+$T9978*$D$9),2))</f>
        <v>mu: 1.13</v>
      </c>
      <c r="W9974" s="524"/>
      <c r="AG9974" s="1147">
        <f>IF($E9974=0,0,ROUND($R9978*$S$3*$C$3/$A9974,2))</f>
        <v>83.76</v>
      </c>
      <c r="AH9974" s="1147">
        <f>$AG9974*$A9974</f>
        <v>251.28000000000003</v>
      </c>
      <c r="AI9974" s="1148">
        <f>$E9974-$AG9974</f>
        <v>0</v>
      </c>
      <c r="AJ9974" s="1148">
        <f>$A9974*$AI9974</f>
        <v>0</v>
      </c>
      <c r="AK9974" s="1149">
        <f>ROUND(($AG9974+$AI9974)*$A9974,2)</f>
        <v>251.28</v>
      </c>
      <c r="AM9974" s="527">
        <f>ROUND(R9978,2)</f>
        <v>222.62</v>
      </c>
      <c r="AN9974" s="528">
        <f>ROUND(T9978,2)</f>
        <v>0</v>
      </c>
      <c r="AO9974" s="529">
        <f>ROUND(AM9974+AN9974,2)*A9974</f>
        <v>667.86</v>
      </c>
      <c r="AR9974" s="747">
        <v>3</v>
      </c>
      <c r="AS9974" s="1146">
        <v>273.45</v>
      </c>
    </row>
    <row r="9975" spans="1:45" s="520" customFormat="1" ht="13.2">
      <c r="A9975" s="748"/>
      <c r="B9975"/>
      <c r="C9975" s="748"/>
      <c r="D9975" s="749" t="s">
        <v>2168</v>
      </c>
      <c r="F9975" s="753"/>
      <c r="G9975" s="3"/>
      <c r="H9975" s="753"/>
      <c r="I9975" s="754"/>
      <c r="J9975" s="753"/>
      <c r="K9975" s="753" t="s">
        <v>144</v>
      </c>
      <c r="L9975" s="753"/>
      <c r="M9975" s="753"/>
      <c r="N9975" s="753"/>
      <c r="O9975" s="753"/>
      <c r="P9975" s="753"/>
      <c r="Q9975" s="51"/>
      <c r="R9975" s="530"/>
      <c r="S9975" s="757"/>
      <c r="T9975" s="753"/>
      <c r="AR9975" s="748"/>
      <c r="AS9975" s="753"/>
    </row>
    <row r="9976" spans="1:45" s="901" customFormat="1" ht="13.2">
      <c r="A9976" s="903">
        <v>3</v>
      </c>
      <c r="B9976" s="904" t="s">
        <v>863</v>
      </c>
      <c r="C9976" s="904"/>
      <c r="D9976" s="904" t="s">
        <v>2594</v>
      </c>
      <c r="E9976" s="904"/>
      <c r="F9976" s="1153" t="s">
        <v>4129</v>
      </c>
      <c r="G9976" s="905" t="s">
        <v>2595</v>
      </c>
      <c r="H9976" s="902">
        <v>960</v>
      </c>
      <c r="I9976" s="904" t="s">
        <v>2596</v>
      </c>
      <c r="J9976" s="904"/>
      <c r="K9976" s="904"/>
      <c r="L9976" s="904"/>
      <c r="M9976" s="904"/>
      <c r="N9976" s="904"/>
      <c r="O9976" s="902">
        <v>4</v>
      </c>
      <c r="P9976" s="906">
        <v>38274</v>
      </c>
      <c r="Q9976" s="1415">
        <f>85*0.873</f>
        <v>74.204999999999998</v>
      </c>
      <c r="R9976" s="908">
        <f>$A9976*Q9976</f>
        <v>222.61500000000001</v>
      </c>
      <c r="S9976" s="907"/>
      <c r="T9976" s="909">
        <f>$A9976*S9976*$T$1</f>
        <v>0</v>
      </c>
      <c r="AR9976" s="903">
        <v>3</v>
      </c>
      <c r="AS9976" s="1153" t="s">
        <v>3507</v>
      </c>
    </row>
    <row r="9977" spans="1:45" s="520" customFormat="1" ht="12">
      <c r="A9977" s="758"/>
      <c r="B9977" s="758"/>
      <c r="C9977" s="758"/>
      <c r="D9977" s="758"/>
      <c r="E9977" s="758"/>
      <c r="F9977" s="753"/>
      <c r="G9977" s="758"/>
      <c r="H9977" s="758"/>
      <c r="I9977" s="519"/>
      <c r="J9977" s="758"/>
      <c r="K9977" s="758"/>
      <c r="L9977" s="758"/>
      <c r="M9977" s="758"/>
      <c r="N9977" s="758"/>
      <c r="O9977" s="758"/>
      <c r="P9977" s="758"/>
      <c r="Q9977" s="519"/>
      <c r="R9977" s="759">
        <f>$A9977*Q9977</f>
        <v>0</v>
      </c>
      <c r="S9977" s="519"/>
      <c r="T9977" s="760">
        <f>$A9977*S9977*$T$1</f>
        <v>0</v>
      </c>
      <c r="AR9977" s="758"/>
      <c r="AS9977" s="753"/>
    </row>
    <row r="9978" spans="1:45" s="520" customFormat="1" ht="12.6" thickBot="1">
      <c r="A9978" s="761" t="s">
        <v>145</v>
      </c>
      <c r="B9978" s="762">
        <f>(R9977+T9977)</f>
        <v>0</v>
      </c>
      <c r="C9978" s="763"/>
      <c r="D9978" s="763"/>
      <c r="E9978" s="763"/>
      <c r="F9978" s="764"/>
      <c r="G9978" s="763" t="s">
        <v>146</v>
      </c>
      <c r="H9978" s="763"/>
      <c r="I9978" s="765"/>
      <c r="J9978" s="763"/>
      <c r="K9978" s="763" t="s">
        <v>5</v>
      </c>
      <c r="L9978" s="766" t="s">
        <v>143</v>
      </c>
      <c r="M9978" s="766"/>
      <c r="N9978" s="766"/>
      <c r="O9978" s="766"/>
      <c r="P9978" s="766"/>
      <c r="Q9978" s="767"/>
      <c r="R9978" s="768">
        <f>SUM(R9975:R9977)</f>
        <v>222.61500000000001</v>
      </c>
      <c r="S9978" s="763"/>
      <c r="T9978" s="768">
        <f>SUM(T9975:T9977)</f>
        <v>0</v>
      </c>
      <c r="U9978" s="531"/>
      <c r="V9978" s="531"/>
      <c r="W9978" s="531"/>
      <c r="X9978" s="531"/>
      <c r="Y9978" s="531"/>
      <c r="Z9978" s="531"/>
      <c r="AA9978" s="531"/>
      <c r="AB9978" s="531"/>
      <c r="AC9978" s="531"/>
      <c r="AD9978" s="531"/>
      <c r="AE9978" s="531"/>
      <c r="AF9978" s="531"/>
      <c r="AG9978" s="531"/>
      <c r="AH9978" s="531"/>
      <c r="AI9978" s="531"/>
      <c r="AJ9978" s="531"/>
      <c r="AK9978" s="531"/>
      <c r="AL9978" s="531"/>
      <c r="AM9978" s="531"/>
      <c r="AN9978" s="531"/>
      <c r="AO9978" s="531"/>
      <c r="AR9978" s="761" t="s">
        <v>145</v>
      </c>
      <c r="AS9978" s="764"/>
    </row>
    <row r="9979" spans="1:45" s="520" customFormat="1" ht="12" thickTop="1">
      <c r="A9979" s="51"/>
      <c r="B9979" s="41"/>
      <c r="C9979" s="51"/>
      <c r="E9979" s="42" t="s">
        <v>138</v>
      </c>
      <c r="F9979" s="42" t="s">
        <v>139</v>
      </c>
      <c r="G9979" s="51"/>
      <c r="H9979" s="51"/>
      <c r="I9979" s="51"/>
      <c r="J9979" s="51"/>
      <c r="K9979" s="51" t="s">
        <v>140</v>
      </c>
      <c r="L9979" s="51"/>
      <c r="M9979" s="51"/>
      <c r="N9979" s="51"/>
      <c r="O9979" s="52"/>
      <c r="P9979" s="51"/>
      <c r="Q9979" s="51"/>
      <c r="R9979" s="51"/>
      <c r="S9979" s="51"/>
      <c r="T9979" s="41"/>
      <c r="AG9979" s="521" t="s">
        <v>268</v>
      </c>
      <c r="AH9979" s="521" t="s">
        <v>269</v>
      </c>
      <c r="AI9979" s="521" t="s">
        <v>270</v>
      </c>
      <c r="AJ9979" s="521" t="s">
        <v>271</v>
      </c>
      <c r="AK9979" s="521" t="s">
        <v>272</v>
      </c>
      <c r="AM9979" s="745" t="s">
        <v>281</v>
      </c>
      <c r="AN9979" s="746" t="s">
        <v>282</v>
      </c>
      <c r="AO9979" s="522" t="s">
        <v>278</v>
      </c>
      <c r="AR9979" s="51"/>
      <c r="AS9979" s="42" t="s">
        <v>139</v>
      </c>
    </row>
    <row r="9980" spans="1:45" s="520" customFormat="1" ht="12" customHeight="1">
      <c r="A9980" s="747">
        <v>69</v>
      </c>
      <c r="B9980" s="523" t="s">
        <v>141</v>
      </c>
      <c r="C9980" s="748"/>
      <c r="D9980" s="749" t="s">
        <v>1851</v>
      </c>
      <c r="E9980" s="1145">
        <f>IF(AND($A9980=0,$A$1="DIF"),0, ROUND(ROUND(($R9984*$S$3+($T9984*$T$3))/$A9980,2)*$C$3,2))</f>
        <v>123.17</v>
      </c>
      <c r="F9980" s="1146">
        <f>ROUND($A9980*$E9980,2)</f>
        <v>8498.73</v>
      </c>
      <c r="G9980" s="752" t="s">
        <v>142</v>
      </c>
      <c r="H9980" s="753"/>
      <c r="I9980" s="754"/>
      <c r="J9980" s="753"/>
      <c r="K9980" s="753" t="s">
        <v>5</v>
      </c>
      <c r="L9980" s="755" t="s">
        <v>143</v>
      </c>
      <c r="M9980" s="755"/>
      <c r="N9980" s="755"/>
      <c r="O9980" s="755"/>
      <c r="P9980" s="755"/>
      <c r="Q9980" s="51"/>
      <c r="T9980" s="1150" t="str">
        <f>IF(AND($R9984=0,$T9984=0),"0.00","mu: "&amp; ROUND(F9980/$C$3/($R9984+$T9984*$D$9),2))</f>
        <v>mu: 1.13</v>
      </c>
      <c r="W9980" s="524"/>
      <c r="AG9980" s="1147">
        <f>IF($E9980=0,0,ROUND($R9984*$S$3*$C$3/$A9980,2))</f>
        <v>123.17</v>
      </c>
      <c r="AH9980" s="1147">
        <f>$AG9980*$A9980</f>
        <v>8498.73</v>
      </c>
      <c r="AI9980" s="1148">
        <f>$E9980-$AG9980</f>
        <v>0</v>
      </c>
      <c r="AJ9980" s="1148">
        <f>$A9980*$AI9980</f>
        <v>0</v>
      </c>
      <c r="AK9980" s="1149">
        <f>ROUND(($AG9980+$AI9980)*$A9980,2)</f>
        <v>8498.73</v>
      </c>
      <c r="AM9980" s="527">
        <f>ROUND(R9984,2)</f>
        <v>7529.63</v>
      </c>
      <c r="AN9980" s="528">
        <f>ROUND(T9984,2)</f>
        <v>0</v>
      </c>
      <c r="AO9980" s="529">
        <f>ROUND(AM9980+AN9980,2)*A9980</f>
        <v>519544.47000000003</v>
      </c>
      <c r="AR9980" s="747">
        <v>71</v>
      </c>
      <c r="AS9980" s="1146">
        <v>9516.84</v>
      </c>
    </row>
    <row r="9981" spans="1:45" s="520" customFormat="1" ht="13.2">
      <c r="A9981" s="748"/>
      <c r="B9981"/>
      <c r="C9981" s="748"/>
      <c r="D9981" s="749" t="s">
        <v>2169</v>
      </c>
      <c r="F9981" s="753"/>
      <c r="G9981" s="3"/>
      <c r="H9981" s="753"/>
      <c r="I9981" s="754"/>
      <c r="J9981" s="753"/>
      <c r="K9981" s="753" t="s">
        <v>144</v>
      </c>
      <c r="L9981" s="753"/>
      <c r="M9981" s="753"/>
      <c r="N9981" s="753"/>
      <c r="O9981" s="753"/>
      <c r="P9981" s="753"/>
      <c r="Q9981" s="51"/>
      <c r="R9981" s="530"/>
      <c r="S9981" s="757"/>
      <c r="T9981" s="753"/>
      <c r="AR9981" s="748"/>
      <c r="AS9981" s="753"/>
    </row>
    <row r="9982" spans="1:45" s="901" customFormat="1" ht="13.2">
      <c r="A9982" s="903">
        <v>69</v>
      </c>
      <c r="B9982" s="904" t="s">
        <v>863</v>
      </c>
      <c r="C9982" s="904"/>
      <c r="D9982" s="904" t="s">
        <v>2594</v>
      </c>
      <c r="E9982" s="904"/>
      <c r="F9982" s="1153" t="s">
        <v>4129</v>
      </c>
      <c r="G9982" s="905" t="s">
        <v>2595</v>
      </c>
      <c r="H9982" s="902">
        <v>960</v>
      </c>
      <c r="I9982" s="904" t="s">
        <v>2596</v>
      </c>
      <c r="J9982" s="904"/>
      <c r="K9982" s="904"/>
      <c r="L9982" s="904"/>
      <c r="M9982" s="904"/>
      <c r="N9982" s="904"/>
      <c r="O9982" s="902">
        <v>4</v>
      </c>
      <c r="P9982" s="906">
        <v>38274</v>
      </c>
      <c r="Q9982" s="1415">
        <f>125*0.873</f>
        <v>109.125</v>
      </c>
      <c r="R9982" s="908">
        <f>$A9982*Q9982</f>
        <v>7529.625</v>
      </c>
      <c r="S9982" s="907"/>
      <c r="T9982" s="909">
        <f>$A9982*S9982*$T$1</f>
        <v>0</v>
      </c>
      <c r="AR9982" s="903">
        <v>71</v>
      </c>
      <c r="AS9982" s="1153" t="s">
        <v>3507</v>
      </c>
    </row>
    <row r="9983" spans="1:45" s="520" customFormat="1" ht="12">
      <c r="A9983" s="758"/>
      <c r="B9983" s="758"/>
      <c r="C9983" s="758"/>
      <c r="D9983" s="758"/>
      <c r="E9983" s="758"/>
      <c r="F9983" s="753"/>
      <c r="G9983" s="758"/>
      <c r="H9983" s="758"/>
      <c r="I9983" s="519"/>
      <c r="J9983" s="758"/>
      <c r="K9983" s="758"/>
      <c r="L9983" s="758"/>
      <c r="M9983" s="758"/>
      <c r="N9983" s="758"/>
      <c r="O9983" s="758"/>
      <c r="P9983" s="758"/>
      <c r="Q9983" s="519"/>
      <c r="R9983" s="759">
        <f>$A9983*Q9983</f>
        <v>0</v>
      </c>
      <c r="S9983" s="519"/>
      <c r="T9983" s="760">
        <f>$A9983*S9983*$T$1</f>
        <v>0</v>
      </c>
      <c r="AR9983" s="758"/>
      <c r="AS9983" s="753"/>
    </row>
    <row r="9984" spans="1:45" s="520" customFormat="1" ht="12.6" thickBot="1">
      <c r="A9984" s="761" t="s">
        <v>145</v>
      </c>
      <c r="B9984" s="762">
        <f>(R9983+T9983)</f>
        <v>0</v>
      </c>
      <c r="C9984" s="763"/>
      <c r="D9984" s="763"/>
      <c r="E9984" s="763"/>
      <c r="F9984" s="764"/>
      <c r="G9984" s="763" t="s">
        <v>146</v>
      </c>
      <c r="H9984" s="763"/>
      <c r="I9984" s="765"/>
      <c r="J9984" s="763"/>
      <c r="K9984" s="763" t="s">
        <v>5</v>
      </c>
      <c r="L9984" s="766" t="s">
        <v>143</v>
      </c>
      <c r="M9984" s="766"/>
      <c r="N9984" s="766"/>
      <c r="O9984" s="766"/>
      <c r="P9984" s="766"/>
      <c r="Q9984" s="767"/>
      <c r="R9984" s="768">
        <f>SUM(R9981:R9983)</f>
        <v>7529.625</v>
      </c>
      <c r="S9984" s="763"/>
      <c r="T9984" s="768">
        <f>SUM(T9981:T9983)</f>
        <v>0</v>
      </c>
      <c r="U9984" s="531"/>
      <c r="V9984" s="531"/>
      <c r="W9984" s="531"/>
      <c r="X9984" s="531"/>
      <c r="Y9984" s="531"/>
      <c r="Z9984" s="531"/>
      <c r="AA9984" s="531"/>
      <c r="AB9984" s="531"/>
      <c r="AC9984" s="531"/>
      <c r="AD9984" s="531"/>
      <c r="AE9984" s="531"/>
      <c r="AF9984" s="531"/>
      <c r="AG9984" s="531"/>
      <c r="AH9984" s="531"/>
      <c r="AI9984" s="531"/>
      <c r="AJ9984" s="531"/>
      <c r="AK9984" s="531"/>
      <c r="AL9984" s="531"/>
      <c r="AM9984" s="531"/>
      <c r="AN9984" s="531"/>
      <c r="AO9984" s="531"/>
      <c r="AR9984" s="761" t="s">
        <v>145</v>
      </c>
      <c r="AS9984" s="764"/>
    </row>
    <row r="9985" spans="1:45" s="520" customFormat="1" ht="12" thickTop="1">
      <c r="A9985" s="51"/>
      <c r="B9985" s="41"/>
      <c r="C9985" s="51"/>
      <c r="E9985" s="42" t="s">
        <v>138</v>
      </c>
      <c r="F9985" s="42" t="s">
        <v>139</v>
      </c>
      <c r="G9985" s="51"/>
      <c r="H9985" s="51"/>
      <c r="I9985" s="51"/>
      <c r="J9985" s="51"/>
      <c r="K9985" s="51" t="s">
        <v>140</v>
      </c>
      <c r="L9985" s="51"/>
      <c r="M9985" s="51"/>
      <c r="N9985" s="51"/>
      <c r="O9985" s="52"/>
      <c r="P9985" s="51"/>
      <c r="Q9985" s="51"/>
      <c r="R9985" s="51"/>
      <c r="S9985" s="51"/>
      <c r="T9985" s="41"/>
      <c r="AG9985" s="521" t="s">
        <v>268</v>
      </c>
      <c r="AH9985" s="521" t="s">
        <v>269</v>
      </c>
      <c r="AI9985" s="521" t="s">
        <v>270</v>
      </c>
      <c r="AJ9985" s="521" t="s">
        <v>271</v>
      </c>
      <c r="AK9985" s="521" t="s">
        <v>272</v>
      </c>
      <c r="AM9985" s="745" t="s">
        <v>281</v>
      </c>
      <c r="AN9985" s="746" t="s">
        <v>282</v>
      </c>
      <c r="AO9985" s="522" t="s">
        <v>278</v>
      </c>
      <c r="AR9985" s="51"/>
      <c r="AS9985" s="42" t="s">
        <v>139</v>
      </c>
    </row>
    <row r="9986" spans="1:45" s="520" customFormat="1" ht="12" customHeight="1">
      <c r="A9986" s="747">
        <v>4</v>
      </c>
      <c r="B9986" s="523" t="s">
        <v>141</v>
      </c>
      <c r="C9986" s="748"/>
      <c r="D9986" s="749" t="s">
        <v>1852</v>
      </c>
      <c r="E9986" s="1145">
        <f>IF(AND($A9986=0,$A$1="DIF"),0, ROUND(ROUND(($R9990*$S$3+($T9990*$T$3))/$A9986,2)*$C$3,2))</f>
        <v>192.15</v>
      </c>
      <c r="F9986" s="1146">
        <f>ROUND($A9986*$E9986,2)</f>
        <v>768.6</v>
      </c>
      <c r="G9986" s="752" t="s">
        <v>142</v>
      </c>
      <c r="H9986" s="753"/>
      <c r="I9986" s="754"/>
      <c r="J9986" s="753"/>
      <c r="K9986" s="753" t="s">
        <v>5</v>
      </c>
      <c r="L9986" s="755" t="s">
        <v>143</v>
      </c>
      <c r="M9986" s="755"/>
      <c r="N9986" s="755"/>
      <c r="O9986" s="755"/>
      <c r="P9986" s="755"/>
      <c r="Q9986" s="51"/>
      <c r="T9986" s="1150" t="str">
        <f>IF(AND($R9990=0,$T9990=0),"0.00","mu: "&amp; ROUND(F9986/$C$3/($R9990+$T9990*$D$9),2))</f>
        <v>mu: 1.13</v>
      </c>
      <c r="W9986" s="524"/>
      <c r="AG9986" s="1147">
        <f>IF($E9986=0,0,ROUND($R9990*$S$3*$C$3/$A9986,2))</f>
        <v>192.15</v>
      </c>
      <c r="AH9986" s="1147">
        <f>$AG9986*$A9986</f>
        <v>768.6</v>
      </c>
      <c r="AI9986" s="1148">
        <f>$E9986-$AG9986</f>
        <v>0</v>
      </c>
      <c r="AJ9986" s="1148">
        <f>$A9986*$AI9986</f>
        <v>0</v>
      </c>
      <c r="AK9986" s="1149">
        <f>ROUND(($AG9986+$AI9986)*$A9986,2)</f>
        <v>768.6</v>
      </c>
      <c r="AM9986" s="527">
        <f>ROUND(R9990,2)</f>
        <v>680.94</v>
      </c>
      <c r="AN9986" s="528">
        <f>ROUND(T9990,2)</f>
        <v>0</v>
      </c>
      <c r="AO9986" s="529">
        <f>ROUND(AM9986+AN9986,2)*A9986</f>
        <v>2723.76</v>
      </c>
      <c r="AR9986" s="747">
        <v>4</v>
      </c>
      <c r="AS9986" s="1146">
        <v>836.4</v>
      </c>
    </row>
    <row r="9987" spans="1:45" s="520" customFormat="1" ht="13.2">
      <c r="A9987" s="748"/>
      <c r="B9987"/>
      <c r="C9987" s="748"/>
      <c r="D9987" s="749" t="s">
        <v>2171</v>
      </c>
      <c r="F9987" s="753"/>
      <c r="G9987" s="3"/>
      <c r="H9987" s="753"/>
      <c r="I9987" s="754"/>
      <c r="J9987" s="753"/>
      <c r="K9987" s="753" t="s">
        <v>144</v>
      </c>
      <c r="L9987" s="753"/>
      <c r="M9987" s="753"/>
      <c r="N9987" s="753"/>
      <c r="O9987" s="753"/>
      <c r="P9987" s="753"/>
      <c r="Q9987" s="51"/>
      <c r="R9987" s="530"/>
      <c r="S9987" s="757"/>
      <c r="T9987" s="753"/>
      <c r="AR9987" s="748"/>
      <c r="AS9987" s="753"/>
    </row>
    <row r="9988" spans="1:45" s="901" customFormat="1" ht="13.2">
      <c r="A9988" s="903">
        <v>4</v>
      </c>
      <c r="B9988" s="904" t="s">
        <v>863</v>
      </c>
      <c r="C9988" s="904"/>
      <c r="D9988" s="904" t="s">
        <v>2594</v>
      </c>
      <c r="E9988" s="904"/>
      <c r="F9988" s="1153" t="s">
        <v>4129</v>
      </c>
      <c r="G9988" s="905" t="s">
        <v>2595</v>
      </c>
      <c r="H9988" s="902">
        <v>960</v>
      </c>
      <c r="I9988" s="904" t="s">
        <v>2596</v>
      </c>
      <c r="J9988" s="904"/>
      <c r="K9988" s="904"/>
      <c r="L9988" s="904"/>
      <c r="M9988" s="904"/>
      <c r="N9988" s="904"/>
      <c r="O9988" s="902">
        <v>4</v>
      </c>
      <c r="P9988" s="906">
        <v>38274</v>
      </c>
      <c r="Q9988" s="1415">
        <f>195*0.873</f>
        <v>170.23500000000001</v>
      </c>
      <c r="R9988" s="908">
        <f>$A9988*Q9988</f>
        <v>680.94</v>
      </c>
      <c r="S9988" s="907"/>
      <c r="T9988" s="909">
        <f>$A9988*S9988*$T$1</f>
        <v>0</v>
      </c>
      <c r="AR9988" s="903">
        <v>4</v>
      </c>
      <c r="AS9988" s="1153" t="s">
        <v>3507</v>
      </c>
    </row>
    <row r="9989" spans="1:45" s="520" customFormat="1" ht="12">
      <c r="A9989" s="758"/>
      <c r="B9989" s="758"/>
      <c r="C9989" s="758"/>
      <c r="D9989" s="758"/>
      <c r="E9989" s="758"/>
      <c r="F9989" s="753"/>
      <c r="G9989" s="758"/>
      <c r="H9989" s="758"/>
      <c r="I9989" s="519"/>
      <c r="J9989" s="758"/>
      <c r="K9989" s="758"/>
      <c r="L9989" s="758"/>
      <c r="M9989" s="758"/>
      <c r="N9989" s="758"/>
      <c r="O9989" s="758"/>
      <c r="P9989" s="758"/>
      <c r="Q9989" s="519"/>
      <c r="R9989" s="759">
        <f>$A9989*Q9989</f>
        <v>0</v>
      </c>
      <c r="S9989" s="519"/>
      <c r="T9989" s="760">
        <f>$A9989*S9989*$T$1</f>
        <v>0</v>
      </c>
      <c r="AR9989" s="758"/>
      <c r="AS9989" s="753"/>
    </row>
    <row r="9990" spans="1:45" s="520" customFormat="1" ht="12.6" thickBot="1">
      <c r="A9990" s="761" t="s">
        <v>145</v>
      </c>
      <c r="B9990" s="762">
        <f>(R9989+T9989)</f>
        <v>0</v>
      </c>
      <c r="C9990" s="763"/>
      <c r="D9990" s="763"/>
      <c r="E9990" s="763"/>
      <c r="F9990" s="764"/>
      <c r="G9990" s="763" t="s">
        <v>146</v>
      </c>
      <c r="H9990" s="763"/>
      <c r="I9990" s="765"/>
      <c r="J9990" s="763"/>
      <c r="K9990" s="763" t="s">
        <v>5</v>
      </c>
      <c r="L9990" s="766" t="s">
        <v>143</v>
      </c>
      <c r="M9990" s="766"/>
      <c r="N9990" s="766"/>
      <c r="O9990" s="766"/>
      <c r="P9990" s="766"/>
      <c r="Q9990" s="767"/>
      <c r="R9990" s="768">
        <f>SUM(R9987:R9989)</f>
        <v>680.94</v>
      </c>
      <c r="S9990" s="763"/>
      <c r="T9990" s="768">
        <f>SUM(T9987:T9989)</f>
        <v>0</v>
      </c>
      <c r="U9990" s="531"/>
      <c r="V9990" s="531"/>
      <c r="W9990" s="531"/>
      <c r="X9990" s="531"/>
      <c r="Y9990" s="531"/>
      <c r="Z9990" s="531"/>
      <c r="AA9990" s="531"/>
      <c r="AB9990" s="531"/>
      <c r="AC9990" s="531"/>
      <c r="AD9990" s="531"/>
      <c r="AE9990" s="531"/>
      <c r="AF9990" s="531"/>
      <c r="AG9990" s="531"/>
      <c r="AH9990" s="531"/>
      <c r="AI9990" s="531"/>
      <c r="AJ9990" s="531"/>
      <c r="AK9990" s="531"/>
      <c r="AL9990" s="531"/>
      <c r="AM9990" s="531"/>
      <c r="AN9990" s="531"/>
      <c r="AO9990" s="531"/>
      <c r="AR9990" s="761" t="s">
        <v>145</v>
      </c>
      <c r="AS9990" s="764"/>
    </row>
    <row r="9991" spans="1:45" s="520" customFormat="1" thickTop="1">
      <c r="A9991" s="51"/>
      <c r="B9991" s="51"/>
      <c r="C9991" s="3"/>
      <c r="D9991" s="3"/>
      <c r="E9991" s="51"/>
      <c r="F9991" s="51"/>
      <c r="G9991" s="51"/>
      <c r="H9991" s="51"/>
      <c r="I9991" s="51"/>
      <c r="J9991" s="51"/>
      <c r="K9991" s="51" t="s">
        <v>134</v>
      </c>
      <c r="L9991" s="51"/>
      <c r="M9991" s="51"/>
      <c r="N9991" s="51"/>
      <c r="O9991" s="52"/>
      <c r="P9991" s="51"/>
      <c r="Q9991" s="51"/>
      <c r="R9991" s="51"/>
      <c r="S9991" s="51"/>
      <c r="T9991" s="51"/>
      <c r="AR9991" s="51"/>
      <c r="AS9991" s="51"/>
    </row>
    <row r="9992" spans="1:45" s="520" customFormat="1" ht="12">
      <c r="A9992" s="51"/>
      <c r="B9992" s="51"/>
      <c r="C9992" s="51" t="s">
        <v>135</v>
      </c>
      <c r="D9992" s="37"/>
      <c r="E9992" s="51"/>
      <c r="F9992" s="51"/>
      <c r="G9992" s="51"/>
      <c r="H9992" s="51"/>
      <c r="I9992" s="51"/>
      <c r="J9992" s="51"/>
      <c r="K9992" s="51"/>
      <c r="L9992" s="51"/>
      <c r="M9992" s="51"/>
      <c r="N9992" s="51"/>
      <c r="O9992" s="52"/>
      <c r="P9992" s="51"/>
      <c r="Q9992" s="51"/>
      <c r="R9992" s="51"/>
      <c r="S9992" s="51"/>
      <c r="T9992" s="51"/>
      <c r="AR9992" s="51"/>
      <c r="AS9992" s="51"/>
    </row>
    <row r="9993" spans="1:45" s="520" customFormat="1" ht="12">
      <c r="A9993" s="51"/>
      <c r="B9993" s="51"/>
      <c r="C9993" s="51"/>
      <c r="D9993" s="37" t="s">
        <v>362</v>
      </c>
      <c r="E9993" s="51"/>
      <c r="F9993" s="51"/>
      <c r="G9993" s="51"/>
      <c r="H9993" s="51"/>
      <c r="I9993" s="51"/>
      <c r="J9993" s="51"/>
      <c r="K9993" s="51"/>
      <c r="L9993" s="51"/>
      <c r="M9993" s="51"/>
      <c r="N9993" s="51"/>
      <c r="O9993" s="52"/>
      <c r="P9993" s="51"/>
      <c r="Q9993" s="51"/>
      <c r="R9993" s="51"/>
      <c r="S9993" s="38"/>
      <c r="T9993" s="38"/>
      <c r="AR9993" s="51"/>
      <c r="AS9993" s="51"/>
    </row>
    <row r="9994" spans="1:45" s="3" customFormat="1" thickBot="1">
      <c r="A9994" s="531"/>
      <c r="O9994" s="107"/>
      <c r="AR9994" s="531"/>
    </row>
    <row r="9995" spans="1:45" s="520" customFormat="1" thickTop="1">
      <c r="A9995" s="51"/>
      <c r="B9995" s="51"/>
      <c r="C9995" s="3"/>
      <c r="D9995" s="3"/>
      <c r="E9995" s="51"/>
      <c r="F9995" s="51"/>
      <c r="G9995" s="51"/>
      <c r="H9995" s="51"/>
      <c r="I9995" s="51"/>
      <c r="J9995" s="51"/>
      <c r="K9995" s="51" t="s">
        <v>134</v>
      </c>
      <c r="L9995" s="51"/>
      <c r="M9995" s="51"/>
      <c r="N9995" s="51"/>
      <c r="O9995" s="52"/>
      <c r="P9995" s="51"/>
      <c r="Q9995" s="51"/>
      <c r="R9995" s="51"/>
      <c r="S9995" s="51"/>
      <c r="T9995" s="51"/>
      <c r="AR9995" s="51"/>
      <c r="AS9995" s="51"/>
    </row>
    <row r="9996" spans="1:45" s="520" customFormat="1" ht="12">
      <c r="A9996" s="51"/>
      <c r="B9996" s="51"/>
      <c r="C9996" s="51" t="s">
        <v>135</v>
      </c>
      <c r="D9996" s="37"/>
      <c r="E9996" s="51"/>
      <c r="F9996" s="51"/>
      <c r="G9996" s="51"/>
      <c r="H9996" s="51"/>
      <c r="I9996" s="51"/>
      <c r="J9996" s="51"/>
      <c r="K9996" s="51"/>
      <c r="L9996" s="51"/>
      <c r="M9996" s="51"/>
      <c r="N9996" s="51"/>
      <c r="O9996" s="52"/>
      <c r="P9996" s="51"/>
      <c r="Q9996" s="51"/>
      <c r="R9996" s="51"/>
      <c r="S9996" s="51"/>
      <c r="T9996" s="51"/>
      <c r="AR9996" s="51"/>
      <c r="AS9996" s="51"/>
    </row>
    <row r="9997" spans="1:45" s="520" customFormat="1" ht="12">
      <c r="A9997" s="51"/>
      <c r="B9997" s="51"/>
      <c r="C9997" s="51"/>
      <c r="D9997" s="37" t="s">
        <v>2166</v>
      </c>
      <c r="E9997" s="51"/>
      <c r="F9997" s="51"/>
      <c r="G9997" s="51"/>
      <c r="H9997" s="51"/>
      <c r="I9997" s="51"/>
      <c r="J9997" s="51"/>
      <c r="K9997" s="51"/>
      <c r="L9997" s="51"/>
      <c r="M9997" s="51"/>
      <c r="N9997" s="51"/>
      <c r="O9997" s="52"/>
      <c r="P9997" s="51"/>
      <c r="Q9997" s="51"/>
      <c r="R9997" s="51"/>
      <c r="S9997" s="38"/>
      <c r="T9997" s="38"/>
      <c r="AR9997" s="51"/>
      <c r="AS9997" s="51"/>
    </row>
    <row r="9998" spans="1:45" s="3" customFormat="1" thickBot="1">
      <c r="A9998" s="531"/>
      <c r="O9998" s="107"/>
      <c r="AR9998" s="531"/>
    </row>
    <row r="9999" spans="1:45" s="520" customFormat="1" ht="12" thickTop="1">
      <c r="A9999" s="51"/>
      <c r="B9999" s="41"/>
      <c r="C9999" s="51"/>
      <c r="E9999" s="42" t="s">
        <v>138</v>
      </c>
      <c r="F9999" s="42" t="s">
        <v>139</v>
      </c>
      <c r="G9999" s="51"/>
      <c r="H9999" s="51"/>
      <c r="I9999" s="51"/>
      <c r="J9999" s="51"/>
      <c r="K9999" s="51" t="s">
        <v>140</v>
      </c>
      <c r="L9999" s="51"/>
      <c r="M9999" s="51"/>
      <c r="N9999" s="51"/>
      <c r="O9999" s="52"/>
      <c r="P9999" s="51"/>
      <c r="Q9999" s="51"/>
      <c r="R9999" s="51"/>
      <c r="S9999" s="51"/>
      <c r="T9999" s="41"/>
      <c r="AG9999" s="521" t="s">
        <v>268</v>
      </c>
      <c r="AH9999" s="521" t="s">
        <v>269</v>
      </c>
      <c r="AI9999" s="521" t="s">
        <v>270</v>
      </c>
      <c r="AJ9999" s="521" t="s">
        <v>271</v>
      </c>
      <c r="AK9999" s="521" t="s">
        <v>272</v>
      </c>
      <c r="AM9999" s="745" t="s">
        <v>281</v>
      </c>
      <c r="AN9999" s="746" t="s">
        <v>282</v>
      </c>
      <c r="AO9999" s="522" t="s">
        <v>278</v>
      </c>
      <c r="AR9999" s="51"/>
      <c r="AS9999" s="42" t="s">
        <v>139</v>
      </c>
    </row>
    <row r="10000" spans="1:45" s="520" customFormat="1" ht="12" customHeight="1">
      <c r="A10000" s="747">
        <v>2</v>
      </c>
      <c r="B10000" s="523" t="s">
        <v>141</v>
      </c>
      <c r="C10000" s="748"/>
      <c r="D10000" s="749" t="s">
        <v>1853</v>
      </c>
      <c r="E10000" s="1145">
        <f>IF(AND($A10000=0,$A$1="DIF"),0, ROUND(ROUND(($R10004*$S$3+($T10004*$T$3))/$A10000,2)*$C$3,2))</f>
        <v>83.76</v>
      </c>
      <c r="F10000" s="1146">
        <f>ROUND($A10000*$E10000,2)</f>
        <v>167.52</v>
      </c>
      <c r="G10000" s="752" t="s">
        <v>142</v>
      </c>
      <c r="H10000" s="753"/>
      <c r="I10000" s="754"/>
      <c r="J10000" s="753"/>
      <c r="K10000" s="753" t="s">
        <v>5</v>
      </c>
      <c r="L10000" s="755" t="s">
        <v>143</v>
      </c>
      <c r="M10000" s="755"/>
      <c r="N10000" s="755"/>
      <c r="O10000" s="755"/>
      <c r="P10000" s="755"/>
      <c r="Q10000" s="51"/>
      <c r="T10000" s="1150" t="str">
        <f>IF(AND($R10004=0,$T10004=0),"0.00","mu: "&amp; ROUND(F10000/$C$3/($R10004+$T10004*$D$9),2))</f>
        <v>mu: 1.13</v>
      </c>
      <c r="W10000" s="524"/>
      <c r="AG10000" s="1147">
        <f>IF($E10000=0,0,ROUND($R10004*$S$3*$C$3/$A10000,2))</f>
        <v>83.76</v>
      </c>
      <c r="AH10000" s="1147">
        <f>$AG10000*$A10000</f>
        <v>167.52</v>
      </c>
      <c r="AI10000" s="1148">
        <f>$E10000-$AG10000</f>
        <v>0</v>
      </c>
      <c r="AJ10000" s="1148">
        <f>$A10000*$AI10000</f>
        <v>0</v>
      </c>
      <c r="AK10000" s="1149">
        <f>ROUND(($AG10000+$AI10000)*$A10000,2)</f>
        <v>167.52</v>
      </c>
      <c r="AM10000" s="527">
        <f>ROUND(R10004,2)</f>
        <v>148.41</v>
      </c>
      <c r="AN10000" s="528">
        <f>ROUND(T10004,2)</f>
        <v>0</v>
      </c>
      <c r="AO10000" s="529">
        <f>ROUND(AM10000+AN10000,2)*A10000</f>
        <v>296.82</v>
      </c>
      <c r="AR10000" s="747">
        <v>2</v>
      </c>
      <c r="AS10000" s="1146">
        <v>182.3</v>
      </c>
    </row>
    <row r="10001" spans="1:45" s="520" customFormat="1" ht="13.2">
      <c r="A10001" s="748"/>
      <c r="B10001"/>
      <c r="C10001" s="748"/>
      <c r="D10001" s="749" t="s">
        <v>2168</v>
      </c>
      <c r="F10001" s="753"/>
      <c r="G10001" s="3"/>
      <c r="H10001" s="753"/>
      <c r="I10001" s="754"/>
      <c r="J10001" s="753"/>
      <c r="K10001" s="753" t="s">
        <v>144</v>
      </c>
      <c r="L10001" s="753"/>
      <c r="M10001" s="753"/>
      <c r="N10001" s="753"/>
      <c r="O10001" s="753"/>
      <c r="P10001" s="753"/>
      <c r="Q10001" s="51"/>
      <c r="R10001" s="530"/>
      <c r="S10001" s="757"/>
      <c r="T10001" s="753"/>
      <c r="AR10001" s="748"/>
      <c r="AS10001" s="753"/>
    </row>
    <row r="10002" spans="1:45" s="901" customFormat="1" ht="13.2">
      <c r="A10002" s="903">
        <v>2</v>
      </c>
      <c r="B10002" s="904" t="s">
        <v>863</v>
      </c>
      <c r="C10002" s="904"/>
      <c r="D10002" s="904" t="s">
        <v>2594</v>
      </c>
      <c r="E10002" s="904"/>
      <c r="F10002" s="1153" t="s">
        <v>4129</v>
      </c>
      <c r="G10002" s="905" t="s">
        <v>2595</v>
      </c>
      <c r="H10002" s="902">
        <v>960</v>
      </c>
      <c r="I10002" s="904" t="s">
        <v>2596</v>
      </c>
      <c r="J10002" s="904"/>
      <c r="K10002" s="904"/>
      <c r="L10002" s="904"/>
      <c r="M10002" s="904"/>
      <c r="N10002" s="904"/>
      <c r="O10002" s="902">
        <v>4</v>
      </c>
      <c r="P10002" s="906">
        <v>38274</v>
      </c>
      <c r="Q10002" s="1415">
        <f>85*0.873</f>
        <v>74.204999999999998</v>
      </c>
      <c r="R10002" s="908">
        <f>$A10002*Q10002</f>
        <v>148.41</v>
      </c>
      <c r="S10002" s="907"/>
      <c r="T10002" s="909">
        <f>$A10002*S10002*$T$1</f>
        <v>0</v>
      </c>
      <c r="AR10002" s="903">
        <v>2</v>
      </c>
      <c r="AS10002" s="1153" t="s">
        <v>3507</v>
      </c>
    </row>
    <row r="10003" spans="1:45" s="520" customFormat="1" ht="12">
      <c r="A10003" s="758"/>
      <c r="B10003" s="758"/>
      <c r="C10003" s="758"/>
      <c r="D10003" s="758"/>
      <c r="E10003" s="758"/>
      <c r="F10003" s="753"/>
      <c r="G10003" s="758"/>
      <c r="H10003" s="758"/>
      <c r="I10003" s="519"/>
      <c r="J10003" s="758"/>
      <c r="K10003" s="758"/>
      <c r="L10003" s="758"/>
      <c r="M10003" s="758"/>
      <c r="N10003" s="758"/>
      <c r="O10003" s="758"/>
      <c r="P10003" s="758"/>
      <c r="Q10003" s="519"/>
      <c r="R10003" s="759">
        <f>$A10003*Q10003</f>
        <v>0</v>
      </c>
      <c r="S10003" s="519"/>
      <c r="T10003" s="760">
        <f>$A10003*S10003*$T$1</f>
        <v>0</v>
      </c>
      <c r="AR10003" s="758"/>
      <c r="AS10003" s="753"/>
    </row>
    <row r="10004" spans="1:45" s="520" customFormat="1" ht="12.6" thickBot="1">
      <c r="A10004" s="761" t="s">
        <v>145</v>
      </c>
      <c r="B10004" s="762">
        <f>(R10003+T10003)</f>
        <v>0</v>
      </c>
      <c r="C10004" s="763"/>
      <c r="D10004" s="763"/>
      <c r="E10004" s="763"/>
      <c r="F10004" s="764"/>
      <c r="G10004" s="763" t="s">
        <v>146</v>
      </c>
      <c r="H10004" s="763"/>
      <c r="I10004" s="765"/>
      <c r="J10004" s="763"/>
      <c r="K10004" s="763" t="s">
        <v>5</v>
      </c>
      <c r="L10004" s="766" t="s">
        <v>143</v>
      </c>
      <c r="M10004" s="766"/>
      <c r="N10004" s="766"/>
      <c r="O10004" s="766"/>
      <c r="P10004" s="766"/>
      <c r="Q10004" s="767"/>
      <c r="R10004" s="768">
        <f>SUM(R10001:R10003)</f>
        <v>148.41</v>
      </c>
      <c r="S10004" s="763"/>
      <c r="T10004" s="768">
        <f>SUM(T10001:T10003)</f>
        <v>0</v>
      </c>
      <c r="U10004" s="531"/>
      <c r="V10004" s="531"/>
      <c r="W10004" s="531"/>
      <c r="X10004" s="531"/>
      <c r="Y10004" s="531"/>
      <c r="Z10004" s="531"/>
      <c r="AA10004" s="531"/>
      <c r="AB10004" s="531"/>
      <c r="AC10004" s="531"/>
      <c r="AD10004" s="531"/>
      <c r="AE10004" s="531"/>
      <c r="AF10004" s="531"/>
      <c r="AG10004" s="531"/>
      <c r="AH10004" s="531"/>
      <c r="AI10004" s="531"/>
      <c r="AJ10004" s="531"/>
      <c r="AK10004" s="531"/>
      <c r="AL10004" s="531"/>
      <c r="AM10004" s="531"/>
      <c r="AN10004" s="531"/>
      <c r="AO10004" s="531"/>
      <c r="AR10004" s="761" t="s">
        <v>145</v>
      </c>
      <c r="AS10004" s="764"/>
    </row>
    <row r="10005" spans="1:45" s="520" customFormat="1" ht="12" thickTop="1">
      <c r="A10005" s="51"/>
      <c r="B10005" s="41"/>
      <c r="C10005" s="51"/>
      <c r="E10005" s="42" t="s">
        <v>138</v>
      </c>
      <c r="F10005" s="42" t="s">
        <v>139</v>
      </c>
      <c r="G10005" s="51"/>
      <c r="H10005" s="51"/>
      <c r="I10005" s="51"/>
      <c r="J10005" s="51"/>
      <c r="K10005" s="51" t="s">
        <v>140</v>
      </c>
      <c r="L10005" s="51"/>
      <c r="M10005" s="51"/>
      <c r="N10005" s="51"/>
      <c r="O10005" s="52"/>
      <c r="P10005" s="51"/>
      <c r="Q10005" s="51"/>
      <c r="R10005" s="51"/>
      <c r="S10005" s="51"/>
      <c r="T10005" s="41"/>
      <c r="AG10005" s="521" t="s">
        <v>268</v>
      </c>
      <c r="AH10005" s="521" t="s">
        <v>269</v>
      </c>
      <c r="AI10005" s="521" t="s">
        <v>270</v>
      </c>
      <c r="AJ10005" s="521" t="s">
        <v>271</v>
      </c>
      <c r="AK10005" s="521" t="s">
        <v>272</v>
      </c>
      <c r="AM10005" s="745" t="s">
        <v>281</v>
      </c>
      <c r="AN10005" s="746" t="s">
        <v>282</v>
      </c>
      <c r="AO10005" s="522" t="s">
        <v>278</v>
      </c>
      <c r="AR10005" s="51"/>
      <c r="AS10005" s="42" t="s">
        <v>139</v>
      </c>
    </row>
    <row r="10006" spans="1:45" s="520" customFormat="1" ht="12" customHeight="1">
      <c r="A10006" s="747">
        <v>1</v>
      </c>
      <c r="B10006" s="523" t="s">
        <v>141</v>
      </c>
      <c r="C10006" s="748"/>
      <c r="D10006" s="749" t="s">
        <v>1854</v>
      </c>
      <c r="E10006" s="1145">
        <f>IF(AND($A10006=0,$A$1="DIF"),0, ROUND(ROUND(($R10010*$S$3+($T10010*$T$3))/$A10006,2)*$C$3,2))</f>
        <v>118.25</v>
      </c>
      <c r="F10006" s="1146">
        <f>ROUND($A10006*$E10006,2)</f>
        <v>118.25</v>
      </c>
      <c r="G10006" s="752" t="s">
        <v>142</v>
      </c>
      <c r="H10006" s="753"/>
      <c r="I10006" s="754"/>
      <c r="J10006" s="753"/>
      <c r="K10006" s="753" t="s">
        <v>5</v>
      </c>
      <c r="L10006" s="755" t="s">
        <v>143</v>
      </c>
      <c r="M10006" s="755"/>
      <c r="N10006" s="755"/>
      <c r="O10006" s="755"/>
      <c r="P10006" s="755"/>
      <c r="Q10006" s="51"/>
      <c r="T10006" s="1150" t="str">
        <f>IF(AND($R10010=0,$T10010=0),"0.00","mu: "&amp; ROUND(F10006/$C$3/($R10010+$T10010*$D$9),2))</f>
        <v>mu: 1.13</v>
      </c>
      <c r="W10006" s="524"/>
      <c r="AG10006" s="1147">
        <f>IF($E10006=0,0,ROUND($R10010*$S$3*$C$3/$A10006,2))</f>
        <v>118.25</v>
      </c>
      <c r="AH10006" s="1147">
        <f>$AG10006*$A10006</f>
        <v>118.25</v>
      </c>
      <c r="AI10006" s="1148">
        <f>$E10006-$AG10006</f>
        <v>0</v>
      </c>
      <c r="AJ10006" s="1148">
        <f>$A10006*$AI10006</f>
        <v>0</v>
      </c>
      <c r="AK10006" s="1149">
        <f>ROUND(($AG10006+$AI10006)*$A10006,2)</f>
        <v>118.25</v>
      </c>
      <c r="AM10006" s="527">
        <f>ROUND(R10010,2)</f>
        <v>104.76</v>
      </c>
      <c r="AN10006" s="528">
        <f>ROUND(T10010,2)</f>
        <v>0</v>
      </c>
      <c r="AO10006" s="529">
        <f>ROUND(AM10006+AN10006,2)*A10006</f>
        <v>104.76</v>
      </c>
      <c r="AR10006" s="747">
        <v>1</v>
      </c>
      <c r="AS10006" s="1146">
        <v>128.68</v>
      </c>
    </row>
    <row r="10007" spans="1:45" s="520" customFormat="1" ht="13.2">
      <c r="A10007" s="748"/>
      <c r="B10007"/>
      <c r="C10007" s="748"/>
      <c r="D10007" s="749" t="s">
        <v>2175</v>
      </c>
      <c r="F10007" s="753"/>
      <c r="G10007" s="3"/>
      <c r="H10007" s="753"/>
      <c r="I10007" s="754"/>
      <c r="J10007" s="753"/>
      <c r="K10007" s="753" t="s">
        <v>144</v>
      </c>
      <c r="L10007" s="753"/>
      <c r="M10007" s="753"/>
      <c r="N10007" s="753"/>
      <c r="O10007" s="753"/>
      <c r="P10007" s="753"/>
      <c r="Q10007" s="51"/>
      <c r="R10007" s="530"/>
      <c r="S10007" s="757"/>
      <c r="T10007" s="753"/>
      <c r="AR10007" s="748"/>
      <c r="AS10007" s="753"/>
    </row>
    <row r="10008" spans="1:45" s="901" customFormat="1" ht="13.2">
      <c r="A10008" s="903">
        <v>1</v>
      </c>
      <c r="B10008" s="904" t="s">
        <v>863</v>
      </c>
      <c r="C10008" s="904"/>
      <c r="D10008" s="904" t="s">
        <v>2594</v>
      </c>
      <c r="E10008" s="904"/>
      <c r="F10008" s="1153" t="s">
        <v>4129</v>
      </c>
      <c r="G10008" s="905" t="s">
        <v>2595</v>
      </c>
      <c r="H10008" s="902">
        <v>960</v>
      </c>
      <c r="I10008" s="904" t="s">
        <v>2596</v>
      </c>
      <c r="J10008" s="904"/>
      <c r="K10008" s="904"/>
      <c r="L10008" s="904"/>
      <c r="M10008" s="904"/>
      <c r="N10008" s="904"/>
      <c r="O10008" s="902">
        <v>4</v>
      </c>
      <c r="P10008" s="906">
        <v>38274</v>
      </c>
      <c r="Q10008" s="1415">
        <f>120*0.873</f>
        <v>104.76</v>
      </c>
      <c r="R10008" s="908">
        <f>$A10008*Q10008</f>
        <v>104.76</v>
      </c>
      <c r="S10008" s="907"/>
      <c r="T10008" s="909">
        <f>$A10008*S10008*$T$1</f>
        <v>0</v>
      </c>
      <c r="AR10008" s="903">
        <v>1</v>
      </c>
      <c r="AS10008" s="1153" t="s">
        <v>3507</v>
      </c>
    </row>
    <row r="10009" spans="1:45" s="520" customFormat="1" ht="12">
      <c r="A10009" s="758"/>
      <c r="B10009" s="758"/>
      <c r="C10009" s="758"/>
      <c r="D10009" s="758"/>
      <c r="E10009" s="758"/>
      <c r="F10009" s="753"/>
      <c r="G10009" s="758"/>
      <c r="H10009" s="758"/>
      <c r="I10009" s="519"/>
      <c r="J10009" s="758"/>
      <c r="K10009" s="758"/>
      <c r="L10009" s="758"/>
      <c r="M10009" s="758"/>
      <c r="N10009" s="758"/>
      <c r="O10009" s="758"/>
      <c r="P10009" s="758"/>
      <c r="Q10009" s="519"/>
      <c r="R10009" s="759">
        <f>$A10009*Q10009</f>
        <v>0</v>
      </c>
      <c r="S10009" s="519"/>
      <c r="T10009" s="760">
        <f>$A10009*S10009*$T$1</f>
        <v>0</v>
      </c>
      <c r="AR10009" s="758"/>
      <c r="AS10009" s="753"/>
    </row>
    <row r="10010" spans="1:45" s="520" customFormat="1" ht="12.6" thickBot="1">
      <c r="A10010" s="761" t="s">
        <v>145</v>
      </c>
      <c r="B10010" s="762">
        <f>(R10009+T10009)</f>
        <v>0</v>
      </c>
      <c r="C10010" s="763"/>
      <c r="D10010" s="763"/>
      <c r="E10010" s="763"/>
      <c r="F10010" s="764"/>
      <c r="G10010" s="763" t="s">
        <v>146</v>
      </c>
      <c r="H10010" s="763"/>
      <c r="I10010" s="765"/>
      <c r="J10010" s="763"/>
      <c r="K10010" s="763" t="s">
        <v>5</v>
      </c>
      <c r="L10010" s="766" t="s">
        <v>143</v>
      </c>
      <c r="M10010" s="766"/>
      <c r="N10010" s="766"/>
      <c r="O10010" s="766"/>
      <c r="P10010" s="766"/>
      <c r="Q10010" s="767"/>
      <c r="R10010" s="768">
        <f>SUM(R10007:R10009)</f>
        <v>104.76</v>
      </c>
      <c r="S10010" s="763"/>
      <c r="T10010" s="768">
        <f>SUM(T10007:T10009)</f>
        <v>0</v>
      </c>
      <c r="U10010" s="531"/>
      <c r="V10010" s="531"/>
      <c r="W10010" s="531"/>
      <c r="X10010" s="531"/>
      <c r="Y10010" s="531"/>
      <c r="Z10010" s="531"/>
      <c r="AA10010" s="531"/>
      <c r="AB10010" s="531"/>
      <c r="AC10010" s="531"/>
      <c r="AD10010" s="531"/>
      <c r="AE10010" s="531"/>
      <c r="AF10010" s="531"/>
      <c r="AG10010" s="531"/>
      <c r="AH10010" s="531"/>
      <c r="AI10010" s="531"/>
      <c r="AJ10010" s="531"/>
      <c r="AK10010" s="531"/>
      <c r="AL10010" s="531"/>
      <c r="AM10010" s="531"/>
      <c r="AN10010" s="531"/>
      <c r="AO10010" s="531"/>
      <c r="AR10010" s="761" t="s">
        <v>145</v>
      </c>
      <c r="AS10010" s="764"/>
    </row>
    <row r="10011" spans="1:45" s="520" customFormat="1" ht="12" thickTop="1">
      <c r="A10011" s="51"/>
      <c r="B10011" s="41"/>
      <c r="C10011" s="51"/>
      <c r="E10011" s="42" t="s">
        <v>138</v>
      </c>
      <c r="F10011" s="42" t="s">
        <v>139</v>
      </c>
      <c r="G10011" s="51"/>
      <c r="H10011" s="51"/>
      <c r="I10011" s="51"/>
      <c r="J10011" s="51"/>
      <c r="K10011" s="51" t="s">
        <v>140</v>
      </c>
      <c r="L10011" s="51"/>
      <c r="M10011" s="51"/>
      <c r="N10011" s="51"/>
      <c r="O10011" s="52"/>
      <c r="P10011" s="51"/>
      <c r="Q10011" s="51"/>
      <c r="R10011" s="51"/>
      <c r="S10011" s="51"/>
      <c r="T10011" s="41"/>
      <c r="AG10011" s="521" t="s">
        <v>268</v>
      </c>
      <c r="AH10011" s="521" t="s">
        <v>269</v>
      </c>
      <c r="AI10011" s="521" t="s">
        <v>270</v>
      </c>
      <c r="AJ10011" s="521" t="s">
        <v>271</v>
      </c>
      <c r="AK10011" s="521" t="s">
        <v>272</v>
      </c>
      <c r="AM10011" s="745" t="s">
        <v>281</v>
      </c>
      <c r="AN10011" s="746" t="s">
        <v>282</v>
      </c>
      <c r="AO10011" s="522" t="s">
        <v>278</v>
      </c>
      <c r="AR10011" s="51"/>
      <c r="AS10011" s="42" t="s">
        <v>139</v>
      </c>
    </row>
    <row r="10012" spans="1:45" s="520" customFormat="1" ht="12" customHeight="1">
      <c r="A10012" s="747">
        <v>2</v>
      </c>
      <c r="B10012" s="523" t="s">
        <v>141</v>
      </c>
      <c r="C10012" s="748"/>
      <c r="D10012" s="749" t="s">
        <v>1855</v>
      </c>
      <c r="E10012" s="1145">
        <f>IF(AND($A10012=0,$A$1="DIF"),0, ROUND(ROUND(($R10016*$S$3+($T10016*$T$3))/$A10012,2)*$C$3,2))</f>
        <v>1724.42</v>
      </c>
      <c r="F10012" s="1146">
        <f>ROUND($A10012*$E10012,2)</f>
        <v>3448.84</v>
      </c>
      <c r="G10012" s="752" t="s">
        <v>142</v>
      </c>
      <c r="H10012" s="753"/>
      <c r="I10012" s="754"/>
      <c r="J10012" s="753"/>
      <c r="K10012" s="753" t="s">
        <v>5</v>
      </c>
      <c r="L10012" s="755" t="s">
        <v>143</v>
      </c>
      <c r="M10012" s="755"/>
      <c r="N10012" s="755"/>
      <c r="O10012" s="755"/>
      <c r="P10012" s="755"/>
      <c r="Q10012" s="51"/>
      <c r="T10012" s="1150" t="str">
        <f>IF(AND($R10016=0,$T10016=0),"0.00","mu: "&amp; ROUND(F10012/$C$3/($R10016+$T10016*$D$9),2))</f>
        <v>mu: 1.13</v>
      </c>
      <c r="W10012" s="524"/>
      <c r="AG10012" s="1147">
        <f>IF($E10012=0,0,ROUND($R10016*$S$3*$C$3/$A10012,2))</f>
        <v>1724.42</v>
      </c>
      <c r="AH10012" s="1147">
        <f>$AG10012*$A10012</f>
        <v>3448.84</v>
      </c>
      <c r="AI10012" s="1148">
        <f>$E10012-$AG10012</f>
        <v>0</v>
      </c>
      <c r="AJ10012" s="1148">
        <f>$A10012*$AI10012</f>
        <v>0</v>
      </c>
      <c r="AK10012" s="1149">
        <f>ROUND(($AG10012+$AI10012)*$A10012,2)</f>
        <v>3448.84</v>
      </c>
      <c r="AM10012" s="527">
        <f>ROUND(R10016,2)</f>
        <v>3055.5</v>
      </c>
      <c r="AN10012" s="528">
        <f>ROUND(T10016,2)</f>
        <v>0</v>
      </c>
      <c r="AO10012" s="529">
        <f>ROUND(AM10012+AN10012,2)*A10012</f>
        <v>6111</v>
      </c>
      <c r="AR10012" s="747">
        <v>2</v>
      </c>
      <c r="AS10012" s="1146">
        <v>3753.04</v>
      </c>
    </row>
    <row r="10013" spans="1:45" s="520" customFormat="1" ht="39.9" customHeight="1">
      <c r="A10013" s="748"/>
      <c r="B10013"/>
      <c r="C10013" s="748"/>
      <c r="D10013" s="1451" t="s">
        <v>2179</v>
      </c>
      <c r="E10013" s="1452"/>
      <c r="F10013" s="1452"/>
      <c r="G10013" s="1452"/>
      <c r="H10013" s="1452"/>
      <c r="I10013" s="1452"/>
      <c r="J10013" s="1452"/>
      <c r="K10013" s="1452"/>
      <c r="L10013" s="1452"/>
      <c r="M10013" s="1452"/>
      <c r="N10013" s="1452"/>
      <c r="O10013" s="1452"/>
      <c r="P10013" s="1452"/>
      <c r="Q10013" s="1452"/>
      <c r="R10013" s="1452"/>
      <c r="S10013" s="1452"/>
      <c r="T10013" s="1452"/>
      <c r="AR10013" s="748"/>
    </row>
    <row r="10014" spans="1:45" s="901" customFormat="1" ht="13.2">
      <c r="A10014" s="903">
        <v>2</v>
      </c>
      <c r="B10014" s="904" t="s">
        <v>863</v>
      </c>
      <c r="C10014" s="904"/>
      <c r="D10014" s="904" t="s">
        <v>2594</v>
      </c>
      <c r="E10014" s="904"/>
      <c r="F10014" s="1153" t="s">
        <v>4129</v>
      </c>
      <c r="G10014" s="905" t="s">
        <v>2595</v>
      </c>
      <c r="H10014" s="902">
        <v>960</v>
      </c>
      <c r="I10014" s="904" t="s">
        <v>2596</v>
      </c>
      <c r="J10014" s="904"/>
      <c r="K10014" s="904"/>
      <c r="L10014" s="904"/>
      <c r="M10014" s="904"/>
      <c r="N10014" s="904"/>
      <c r="O10014" s="902">
        <v>4</v>
      </c>
      <c r="P10014" s="906">
        <v>38274</v>
      </c>
      <c r="Q10014" s="1415">
        <f>1750*0.873</f>
        <v>1527.75</v>
      </c>
      <c r="R10014" s="908">
        <f>$A10014*Q10014</f>
        <v>3055.5</v>
      </c>
      <c r="S10014" s="907"/>
      <c r="T10014" s="909">
        <f>$A10014*S10014*$T$1</f>
        <v>0</v>
      </c>
      <c r="AR10014" s="903">
        <v>2</v>
      </c>
      <c r="AS10014" s="1153" t="s">
        <v>3507</v>
      </c>
    </row>
    <row r="10015" spans="1:45" s="520" customFormat="1" ht="12">
      <c r="A10015" s="758"/>
      <c r="B10015" s="758"/>
      <c r="C10015" s="758"/>
      <c r="D10015" s="758"/>
      <c r="E10015" s="758"/>
      <c r="F10015" s="753"/>
      <c r="G10015" s="758"/>
      <c r="H10015" s="758"/>
      <c r="I10015" s="519"/>
      <c r="J10015" s="758"/>
      <c r="K10015" s="758"/>
      <c r="L10015" s="758"/>
      <c r="M10015" s="758"/>
      <c r="N10015" s="758"/>
      <c r="O10015" s="758"/>
      <c r="P10015" s="758"/>
      <c r="Q10015" s="519"/>
      <c r="R10015" s="759">
        <f>$A10015*Q10015</f>
        <v>0</v>
      </c>
      <c r="S10015" s="519"/>
      <c r="T10015" s="760">
        <f>$A10015*S10015*$T$1</f>
        <v>0</v>
      </c>
      <c r="AR10015" s="758"/>
      <c r="AS10015" s="753"/>
    </row>
    <row r="10016" spans="1:45" s="520" customFormat="1" ht="12.6" thickBot="1">
      <c r="A10016" s="761" t="s">
        <v>145</v>
      </c>
      <c r="B10016" s="762">
        <f>(R10015+T10015)</f>
        <v>0</v>
      </c>
      <c r="C10016" s="763"/>
      <c r="D10016" s="763"/>
      <c r="E10016" s="763"/>
      <c r="F10016" s="764"/>
      <c r="G10016" s="763" t="s">
        <v>146</v>
      </c>
      <c r="H10016" s="763"/>
      <c r="I10016" s="765"/>
      <c r="J10016" s="763"/>
      <c r="K10016" s="763" t="s">
        <v>5</v>
      </c>
      <c r="L10016" s="766" t="s">
        <v>143</v>
      </c>
      <c r="M10016" s="766"/>
      <c r="N10016" s="766"/>
      <c r="O10016" s="766"/>
      <c r="P10016" s="766"/>
      <c r="Q10016" s="767"/>
      <c r="R10016" s="768">
        <f>SUM(R10013:R10015)</f>
        <v>3055.5</v>
      </c>
      <c r="S10016" s="763"/>
      <c r="T10016" s="768">
        <f>SUM(T10013:T10015)</f>
        <v>0</v>
      </c>
      <c r="U10016" s="531"/>
      <c r="V10016" s="531"/>
      <c r="W10016" s="531"/>
      <c r="X10016" s="531"/>
      <c r="Y10016" s="531"/>
      <c r="Z10016" s="531"/>
      <c r="AA10016" s="531"/>
      <c r="AB10016" s="531"/>
      <c r="AC10016" s="531"/>
      <c r="AD10016" s="531"/>
      <c r="AE10016" s="531"/>
      <c r="AF10016" s="531"/>
      <c r="AG10016" s="531"/>
      <c r="AH10016" s="531"/>
      <c r="AI10016" s="531"/>
      <c r="AJ10016" s="531"/>
      <c r="AK10016" s="531"/>
      <c r="AL10016" s="531"/>
      <c r="AM10016" s="531"/>
      <c r="AN10016" s="531"/>
      <c r="AO10016" s="531"/>
      <c r="AR10016" s="761" t="s">
        <v>145</v>
      </c>
      <c r="AS10016" s="764"/>
    </row>
    <row r="10017" spans="1:45" s="520" customFormat="1" thickTop="1">
      <c r="A10017" s="51"/>
      <c r="B10017" s="51"/>
      <c r="C10017" s="3"/>
      <c r="D10017" s="3"/>
      <c r="E10017" s="51"/>
      <c r="F10017" s="51"/>
      <c r="G10017" s="51"/>
      <c r="H10017" s="51"/>
      <c r="I10017" s="51"/>
      <c r="J10017" s="51"/>
      <c r="K10017" s="51" t="s">
        <v>134</v>
      </c>
      <c r="L10017" s="51"/>
      <c r="M10017" s="51"/>
      <c r="N10017" s="51"/>
      <c r="O10017" s="52"/>
      <c r="P10017" s="51"/>
      <c r="Q10017" s="51"/>
      <c r="R10017" s="51"/>
      <c r="S10017" s="51"/>
      <c r="T10017" s="51"/>
      <c r="AR10017" s="51"/>
      <c r="AS10017" s="51"/>
    </row>
    <row r="10018" spans="1:45" s="520" customFormat="1" ht="12">
      <c r="A10018" s="51"/>
      <c r="B10018" s="51"/>
      <c r="C10018" s="51" t="s">
        <v>135</v>
      </c>
      <c r="D10018" s="37"/>
      <c r="E10018" s="51"/>
      <c r="F10018" s="51"/>
      <c r="G10018" s="51"/>
      <c r="H10018" s="51"/>
      <c r="I10018" s="51"/>
      <c r="J10018" s="51"/>
      <c r="K10018" s="51"/>
      <c r="L10018" s="51"/>
      <c r="M10018" s="51"/>
      <c r="N10018" s="51"/>
      <c r="O10018" s="52"/>
      <c r="P10018" s="51"/>
      <c r="Q10018" s="51"/>
      <c r="R10018" s="51"/>
      <c r="S10018" s="51"/>
      <c r="T10018" s="51"/>
      <c r="AR10018" s="51"/>
      <c r="AS10018" s="51"/>
    </row>
    <row r="10019" spans="1:45" s="520" customFormat="1" ht="12">
      <c r="A10019" s="51"/>
      <c r="B10019" s="51"/>
      <c r="C10019" s="51"/>
      <c r="D10019" s="37" t="s">
        <v>368</v>
      </c>
      <c r="E10019" s="51"/>
      <c r="F10019" s="51"/>
      <c r="G10019" s="51"/>
      <c r="H10019" s="51"/>
      <c r="I10019" s="51"/>
      <c r="J10019" s="51"/>
      <c r="K10019" s="51"/>
      <c r="L10019" s="51"/>
      <c r="M10019" s="51"/>
      <c r="N10019" s="51"/>
      <c r="O10019" s="52"/>
      <c r="P10019" s="51"/>
      <c r="Q10019" s="51"/>
      <c r="R10019" s="51"/>
      <c r="S10019" s="38"/>
      <c r="T10019" s="38"/>
      <c r="AR10019" s="51"/>
      <c r="AS10019" s="51"/>
    </row>
    <row r="10020" spans="1:45" s="3" customFormat="1" thickBot="1">
      <c r="A10020" s="531"/>
      <c r="O10020" s="107"/>
      <c r="AR10020" s="531"/>
    </row>
    <row r="10021" spans="1:45" s="520" customFormat="1" thickTop="1">
      <c r="A10021" s="51"/>
      <c r="B10021" s="51"/>
      <c r="C10021" s="3"/>
      <c r="D10021" s="3"/>
      <c r="E10021" s="51"/>
      <c r="F10021" s="51"/>
      <c r="G10021" s="51"/>
      <c r="H10021" s="51"/>
      <c r="I10021" s="51"/>
      <c r="J10021" s="51"/>
      <c r="K10021" s="51" t="s">
        <v>134</v>
      </c>
      <c r="L10021" s="51"/>
      <c r="M10021" s="51"/>
      <c r="N10021" s="51"/>
      <c r="O10021" s="52"/>
      <c r="P10021" s="51"/>
      <c r="Q10021" s="51"/>
      <c r="R10021" s="51"/>
      <c r="S10021" s="51"/>
      <c r="T10021" s="51"/>
      <c r="AR10021" s="51"/>
      <c r="AS10021" s="51"/>
    </row>
    <row r="10022" spans="1:45" s="520" customFormat="1" ht="12">
      <c r="A10022" s="51"/>
      <c r="B10022" s="51"/>
      <c r="C10022" s="51" t="s">
        <v>135</v>
      </c>
      <c r="D10022" s="37"/>
      <c r="E10022" s="51"/>
      <c r="F10022" s="51"/>
      <c r="G10022" s="51"/>
      <c r="H10022" s="51"/>
      <c r="I10022" s="51"/>
      <c r="J10022" s="51"/>
      <c r="K10022" s="51"/>
      <c r="L10022" s="51"/>
      <c r="M10022" s="51"/>
      <c r="N10022" s="51"/>
      <c r="O10022" s="52"/>
      <c r="P10022" s="51"/>
      <c r="Q10022" s="51"/>
      <c r="R10022" s="51"/>
      <c r="S10022" s="51"/>
      <c r="T10022" s="51"/>
      <c r="AR10022" s="51"/>
      <c r="AS10022" s="51"/>
    </row>
    <row r="10023" spans="1:45" s="520" customFormat="1" ht="12">
      <c r="A10023" s="51"/>
      <c r="B10023" s="51"/>
      <c r="C10023" s="51"/>
      <c r="D10023" s="37" t="s">
        <v>2166</v>
      </c>
      <c r="E10023" s="51"/>
      <c r="F10023" s="51"/>
      <c r="G10023" s="51"/>
      <c r="H10023" s="51"/>
      <c r="I10023" s="51"/>
      <c r="J10023" s="51"/>
      <c r="K10023" s="51"/>
      <c r="L10023" s="51"/>
      <c r="M10023" s="51"/>
      <c r="N10023" s="51"/>
      <c r="O10023" s="52"/>
      <c r="P10023" s="51"/>
      <c r="Q10023" s="51"/>
      <c r="R10023" s="51"/>
      <c r="S10023" s="38"/>
      <c r="T10023" s="38"/>
      <c r="AR10023" s="51"/>
      <c r="AS10023" s="51"/>
    </row>
    <row r="10024" spans="1:45" s="3" customFormat="1" thickBot="1">
      <c r="A10024" s="531"/>
      <c r="O10024" s="107"/>
      <c r="AR10024" s="531"/>
    </row>
    <row r="10025" spans="1:45" s="520" customFormat="1" ht="12" thickTop="1">
      <c r="A10025" s="51"/>
      <c r="B10025" s="41"/>
      <c r="C10025" s="51"/>
      <c r="E10025" s="42" t="s">
        <v>138</v>
      </c>
      <c r="F10025" s="42" t="s">
        <v>139</v>
      </c>
      <c r="G10025" s="51"/>
      <c r="H10025" s="51"/>
      <c r="I10025" s="51"/>
      <c r="J10025" s="51"/>
      <c r="K10025" s="51" t="s">
        <v>140</v>
      </c>
      <c r="L10025" s="51"/>
      <c r="M10025" s="51"/>
      <c r="N10025" s="51"/>
      <c r="O10025" s="52"/>
      <c r="P10025" s="51"/>
      <c r="Q10025" s="51"/>
      <c r="R10025" s="51"/>
      <c r="S10025" s="51"/>
      <c r="T10025" s="41"/>
      <c r="AG10025" s="521" t="s">
        <v>268</v>
      </c>
      <c r="AH10025" s="521" t="s">
        <v>269</v>
      </c>
      <c r="AI10025" s="521" t="s">
        <v>270</v>
      </c>
      <c r="AJ10025" s="521" t="s">
        <v>271</v>
      </c>
      <c r="AK10025" s="521" t="s">
        <v>272</v>
      </c>
      <c r="AM10025" s="745" t="s">
        <v>281</v>
      </c>
      <c r="AN10025" s="746" t="s">
        <v>282</v>
      </c>
      <c r="AO10025" s="522" t="s">
        <v>278</v>
      </c>
      <c r="AR10025" s="51"/>
      <c r="AS10025" s="42" t="s">
        <v>139</v>
      </c>
    </row>
    <row r="10026" spans="1:45" s="520" customFormat="1" ht="12" customHeight="1">
      <c r="A10026" s="747">
        <v>1</v>
      </c>
      <c r="B10026" s="523" t="s">
        <v>141</v>
      </c>
      <c r="C10026" s="748"/>
      <c r="D10026" s="749" t="s">
        <v>1856</v>
      </c>
      <c r="E10026" s="1145">
        <f>IF(AND($A10026=0,$A$1="DIF"),0, ROUND(ROUND(($R10030*$S$3+($T10030*$T$3))/$A10026,2)*$C$3,2))</f>
        <v>123.17</v>
      </c>
      <c r="F10026" s="1146">
        <f>ROUND($A10026*$E10026,2)</f>
        <v>123.17</v>
      </c>
      <c r="G10026" s="752" t="s">
        <v>142</v>
      </c>
      <c r="H10026" s="753"/>
      <c r="I10026" s="754"/>
      <c r="J10026" s="753"/>
      <c r="K10026" s="753" t="s">
        <v>5</v>
      </c>
      <c r="L10026" s="755" t="s">
        <v>143</v>
      </c>
      <c r="M10026" s="755"/>
      <c r="N10026" s="755"/>
      <c r="O10026" s="755"/>
      <c r="P10026" s="755"/>
      <c r="Q10026" s="51"/>
      <c r="T10026" s="1150" t="str">
        <f>IF(AND($R10030=0,$T10030=0),"0.00","mu: "&amp; ROUND(F10026/$C$3/($R10030+$T10030*$D$9),2))</f>
        <v>mu: 1.13</v>
      </c>
      <c r="W10026" s="524"/>
      <c r="AG10026" s="1147">
        <f>IF($E10026=0,0,ROUND($R10030*$S$3*$C$3/$A10026,2))</f>
        <v>123.17</v>
      </c>
      <c r="AH10026" s="1147">
        <f>$AG10026*$A10026</f>
        <v>123.17</v>
      </c>
      <c r="AI10026" s="1148">
        <f>$E10026-$AG10026</f>
        <v>0</v>
      </c>
      <c r="AJ10026" s="1148">
        <f>$A10026*$AI10026</f>
        <v>0</v>
      </c>
      <c r="AK10026" s="1149">
        <f>ROUND(($AG10026+$AI10026)*$A10026,2)</f>
        <v>123.17</v>
      </c>
      <c r="AM10026" s="527">
        <f>ROUND(R10030,2)</f>
        <v>109.13</v>
      </c>
      <c r="AN10026" s="528">
        <f>ROUND(T10030,2)</f>
        <v>0</v>
      </c>
      <c r="AO10026" s="529">
        <f>ROUND(AM10026+AN10026,2)*A10026</f>
        <v>109.13</v>
      </c>
      <c r="AR10026" s="747">
        <v>1</v>
      </c>
      <c r="AS10026" s="1146">
        <v>134.04</v>
      </c>
    </row>
    <row r="10027" spans="1:45" s="520" customFormat="1" ht="13.2">
      <c r="A10027" s="748"/>
      <c r="B10027"/>
      <c r="C10027" s="748"/>
      <c r="D10027" s="749" t="s">
        <v>2169</v>
      </c>
      <c r="F10027" s="753"/>
      <c r="G10027" s="3"/>
      <c r="H10027" s="753"/>
      <c r="I10027" s="754"/>
      <c r="J10027" s="753"/>
      <c r="K10027" s="753" t="s">
        <v>144</v>
      </c>
      <c r="L10027" s="753"/>
      <c r="M10027" s="753"/>
      <c r="N10027" s="753"/>
      <c r="O10027" s="753"/>
      <c r="P10027" s="753"/>
      <c r="Q10027" s="51"/>
      <c r="R10027" s="530"/>
      <c r="S10027" s="757"/>
      <c r="T10027" s="753"/>
      <c r="AR10027" s="748"/>
      <c r="AS10027" s="753"/>
    </row>
    <row r="10028" spans="1:45" s="901" customFormat="1" ht="13.2">
      <c r="A10028" s="903">
        <v>1</v>
      </c>
      <c r="B10028" s="904" t="s">
        <v>863</v>
      </c>
      <c r="C10028" s="904"/>
      <c r="D10028" s="904" t="s">
        <v>2594</v>
      </c>
      <c r="E10028" s="904"/>
      <c r="F10028" s="1153" t="s">
        <v>4129</v>
      </c>
      <c r="G10028" s="905" t="s">
        <v>2595</v>
      </c>
      <c r="H10028" s="902">
        <v>960</v>
      </c>
      <c r="I10028" s="904" t="s">
        <v>2596</v>
      </c>
      <c r="J10028" s="904"/>
      <c r="K10028" s="904"/>
      <c r="L10028" s="904"/>
      <c r="M10028" s="904"/>
      <c r="N10028" s="904"/>
      <c r="O10028" s="902">
        <v>4</v>
      </c>
      <c r="P10028" s="906">
        <v>38274</v>
      </c>
      <c r="Q10028" s="1415">
        <f>125*0.873</f>
        <v>109.125</v>
      </c>
      <c r="R10028" s="908">
        <f>$A10028*Q10028</f>
        <v>109.125</v>
      </c>
      <c r="S10028" s="907"/>
      <c r="T10028" s="909">
        <f>$A10028*S10028*$T$1</f>
        <v>0</v>
      </c>
      <c r="AR10028" s="903">
        <v>1</v>
      </c>
      <c r="AS10028" s="1153" t="s">
        <v>3507</v>
      </c>
    </row>
    <row r="10029" spans="1:45" s="520" customFormat="1" ht="12">
      <c r="A10029" s="758"/>
      <c r="B10029" s="758"/>
      <c r="C10029" s="758"/>
      <c r="D10029" s="758"/>
      <c r="E10029" s="758"/>
      <c r="F10029" s="753"/>
      <c r="G10029" s="758"/>
      <c r="H10029" s="758"/>
      <c r="I10029" s="519"/>
      <c r="J10029" s="758"/>
      <c r="K10029" s="758"/>
      <c r="L10029" s="758"/>
      <c r="M10029" s="758"/>
      <c r="N10029" s="758"/>
      <c r="O10029" s="758"/>
      <c r="P10029" s="758"/>
      <c r="Q10029" s="519"/>
      <c r="R10029" s="759">
        <f>$A10029*Q10029</f>
        <v>0</v>
      </c>
      <c r="S10029" s="519"/>
      <c r="T10029" s="760">
        <f>$A10029*S10029*$T$1</f>
        <v>0</v>
      </c>
      <c r="AR10029" s="758"/>
      <c r="AS10029" s="753"/>
    </row>
    <row r="10030" spans="1:45" s="520" customFormat="1" ht="12.6" thickBot="1">
      <c r="A10030" s="761" t="s">
        <v>145</v>
      </c>
      <c r="B10030" s="762">
        <f>(R10029+T10029)</f>
        <v>0</v>
      </c>
      <c r="C10030" s="763"/>
      <c r="D10030" s="763"/>
      <c r="E10030" s="763"/>
      <c r="F10030" s="764"/>
      <c r="G10030" s="763" t="s">
        <v>146</v>
      </c>
      <c r="H10030" s="763"/>
      <c r="I10030" s="765"/>
      <c r="J10030" s="763"/>
      <c r="K10030" s="763" t="s">
        <v>5</v>
      </c>
      <c r="L10030" s="766" t="s">
        <v>143</v>
      </c>
      <c r="M10030" s="766"/>
      <c r="N10030" s="766"/>
      <c r="O10030" s="766"/>
      <c r="P10030" s="766"/>
      <c r="Q10030" s="767"/>
      <c r="R10030" s="768">
        <f>SUM(R10027:R10029)</f>
        <v>109.125</v>
      </c>
      <c r="S10030" s="763"/>
      <c r="T10030" s="768">
        <f>SUM(T10027:T10029)</f>
        <v>0</v>
      </c>
      <c r="U10030" s="531"/>
      <c r="V10030" s="531"/>
      <c r="W10030" s="531"/>
      <c r="X10030" s="531"/>
      <c r="Y10030" s="531"/>
      <c r="Z10030" s="531"/>
      <c r="AA10030" s="531"/>
      <c r="AB10030" s="531"/>
      <c r="AC10030" s="531"/>
      <c r="AD10030" s="531"/>
      <c r="AE10030" s="531"/>
      <c r="AF10030" s="531"/>
      <c r="AG10030" s="531"/>
      <c r="AH10030" s="531"/>
      <c r="AI10030" s="531"/>
      <c r="AJ10030" s="531"/>
      <c r="AK10030" s="531"/>
      <c r="AL10030" s="531"/>
      <c r="AM10030" s="531"/>
      <c r="AN10030" s="531"/>
      <c r="AO10030" s="531"/>
      <c r="AR10030" s="761" t="s">
        <v>145</v>
      </c>
      <c r="AS10030" s="764"/>
    </row>
    <row r="10031" spans="1:45" s="520" customFormat="1" thickTop="1">
      <c r="A10031" s="51"/>
      <c r="B10031" s="51"/>
      <c r="C10031" s="3"/>
      <c r="D10031" s="3"/>
      <c r="E10031" s="51"/>
      <c r="F10031" s="51"/>
      <c r="G10031" s="51"/>
      <c r="H10031" s="51"/>
      <c r="I10031" s="51"/>
      <c r="J10031" s="51"/>
      <c r="K10031" s="51" t="s">
        <v>134</v>
      </c>
      <c r="L10031" s="51"/>
      <c r="M10031" s="51"/>
      <c r="N10031" s="51"/>
      <c r="O10031" s="52"/>
      <c r="P10031" s="51"/>
      <c r="Q10031" s="51"/>
      <c r="R10031" s="51"/>
      <c r="S10031" s="51"/>
      <c r="T10031" s="51"/>
      <c r="AR10031" s="51"/>
      <c r="AS10031" s="51"/>
    </row>
    <row r="10032" spans="1:45" s="520" customFormat="1" ht="12">
      <c r="A10032" s="51"/>
      <c r="B10032" s="51"/>
      <c r="C10032" s="51" t="s">
        <v>135</v>
      </c>
      <c r="D10032" s="37"/>
      <c r="E10032" s="51"/>
      <c r="F10032" s="51"/>
      <c r="G10032" s="51"/>
      <c r="H10032" s="51"/>
      <c r="I10032" s="51"/>
      <c r="J10032" s="51"/>
      <c r="K10032" s="51"/>
      <c r="L10032" s="51"/>
      <c r="M10032" s="51"/>
      <c r="N10032" s="51"/>
      <c r="O10032" s="52"/>
      <c r="P10032" s="51"/>
      <c r="Q10032" s="51"/>
      <c r="R10032" s="51"/>
      <c r="S10032" s="51"/>
      <c r="T10032" s="51"/>
      <c r="AR10032" s="51"/>
      <c r="AS10032" s="51"/>
    </row>
    <row r="10033" spans="1:45" s="520" customFormat="1" ht="12">
      <c r="A10033" s="51"/>
      <c r="B10033" s="51"/>
      <c r="C10033" s="51"/>
      <c r="D10033" s="37" t="s">
        <v>379</v>
      </c>
      <c r="E10033" s="51"/>
      <c r="F10033" s="51"/>
      <c r="G10033" s="51"/>
      <c r="H10033" s="51"/>
      <c r="I10033" s="51"/>
      <c r="J10033" s="51"/>
      <c r="K10033" s="51"/>
      <c r="L10033" s="51"/>
      <c r="M10033" s="51"/>
      <c r="N10033" s="51"/>
      <c r="O10033" s="52"/>
      <c r="P10033" s="51"/>
      <c r="Q10033" s="51"/>
      <c r="R10033" s="51"/>
      <c r="S10033" s="38"/>
      <c r="T10033" s="38"/>
      <c r="AR10033" s="51"/>
      <c r="AS10033" s="51"/>
    </row>
    <row r="10034" spans="1:45" s="3" customFormat="1" thickBot="1">
      <c r="A10034" s="531"/>
      <c r="O10034" s="107"/>
      <c r="AR10034" s="531"/>
    </row>
    <row r="10035" spans="1:45" s="520" customFormat="1" ht="12" thickTop="1">
      <c r="A10035" s="51"/>
      <c r="B10035" s="41"/>
      <c r="C10035" s="51"/>
      <c r="E10035" s="42" t="s">
        <v>138</v>
      </c>
      <c r="F10035" s="42" t="s">
        <v>139</v>
      </c>
      <c r="G10035" s="51"/>
      <c r="H10035" s="51"/>
      <c r="I10035" s="51"/>
      <c r="J10035" s="51"/>
      <c r="K10035" s="51" t="s">
        <v>140</v>
      </c>
      <c r="L10035" s="51"/>
      <c r="M10035" s="51"/>
      <c r="N10035" s="51"/>
      <c r="O10035" s="52"/>
      <c r="P10035" s="51"/>
      <c r="Q10035" s="51"/>
      <c r="R10035" s="51"/>
      <c r="S10035" s="51"/>
      <c r="T10035" s="41"/>
      <c r="AG10035" s="521" t="s">
        <v>268</v>
      </c>
      <c r="AH10035" s="521" t="s">
        <v>269</v>
      </c>
      <c r="AI10035" s="521" t="s">
        <v>270</v>
      </c>
      <c r="AJ10035" s="521" t="s">
        <v>271</v>
      </c>
      <c r="AK10035" s="521" t="s">
        <v>272</v>
      </c>
      <c r="AM10035" s="745" t="s">
        <v>281</v>
      </c>
      <c r="AN10035" s="746" t="s">
        <v>282</v>
      </c>
      <c r="AO10035" s="522" t="s">
        <v>278</v>
      </c>
      <c r="AR10035" s="51"/>
      <c r="AS10035" s="42" t="s">
        <v>139</v>
      </c>
    </row>
    <row r="10036" spans="1:45" s="520" customFormat="1" ht="12" customHeight="1">
      <c r="A10036" s="747">
        <v>3</v>
      </c>
      <c r="B10036" s="523" t="s">
        <v>141</v>
      </c>
      <c r="C10036" s="748"/>
      <c r="D10036" s="749" t="s">
        <v>1857</v>
      </c>
      <c r="E10036" s="1145">
        <f>IF(AND($A10036=0,$A$1="DIF"),0, ROUND(ROUND(($R10040*$S$3+($T10040*$T$3))/$A10036,2)*$C$3,2))</f>
        <v>108.39</v>
      </c>
      <c r="F10036" s="1146">
        <f>ROUND($A10036*$E10036,2)</f>
        <v>325.17</v>
      </c>
      <c r="G10036" s="752" t="s">
        <v>142</v>
      </c>
      <c r="H10036" s="753"/>
      <c r="I10036" s="754"/>
      <c r="J10036" s="753"/>
      <c r="K10036" s="753" t="s">
        <v>5</v>
      </c>
      <c r="L10036" s="755" t="s">
        <v>143</v>
      </c>
      <c r="M10036" s="755"/>
      <c r="N10036" s="755"/>
      <c r="O10036" s="755"/>
      <c r="P10036" s="755"/>
      <c r="Q10036" s="51"/>
      <c r="T10036" s="1150" t="str">
        <f>IF(AND($R10040=0,$T10040=0),"0.00","mu: "&amp; ROUND(F10036/$C$3/($R10040+$T10040*$D$9),2))</f>
        <v>mu: 1.13</v>
      </c>
      <c r="W10036" s="524"/>
      <c r="AG10036" s="1147">
        <f>IF($E10036=0,0,ROUND($R10040*$S$3*$C$3/$A10036,2))</f>
        <v>108.39</v>
      </c>
      <c r="AH10036" s="1147">
        <f>$AG10036*$A10036</f>
        <v>325.17</v>
      </c>
      <c r="AI10036" s="1148">
        <f>$E10036-$AG10036</f>
        <v>0</v>
      </c>
      <c r="AJ10036" s="1148">
        <f>$A10036*$AI10036</f>
        <v>0</v>
      </c>
      <c r="AK10036" s="1149">
        <f>ROUND(($AG10036+$AI10036)*$A10036,2)</f>
        <v>325.17</v>
      </c>
      <c r="AM10036" s="527">
        <f>ROUND(R10040,2)</f>
        <v>288.08999999999997</v>
      </c>
      <c r="AN10036" s="528">
        <f>ROUND(T10040,2)</f>
        <v>0</v>
      </c>
      <c r="AO10036" s="529">
        <f>ROUND(AM10036+AN10036,2)*A10036</f>
        <v>864.27</v>
      </c>
      <c r="AR10036" s="747">
        <v>3</v>
      </c>
      <c r="AS10036" s="1146">
        <v>353.85</v>
      </c>
    </row>
    <row r="10037" spans="1:45" s="520" customFormat="1" ht="13.2">
      <c r="A10037" s="748"/>
      <c r="B10037"/>
      <c r="C10037" s="748"/>
      <c r="D10037" s="749" t="s">
        <v>2180</v>
      </c>
      <c r="F10037" s="753"/>
      <c r="G10037" s="3"/>
      <c r="H10037" s="753"/>
      <c r="I10037" s="754"/>
      <c r="J10037" s="753"/>
      <c r="K10037" s="753" t="s">
        <v>144</v>
      </c>
      <c r="L10037" s="753"/>
      <c r="M10037" s="753"/>
      <c r="N10037" s="753"/>
      <c r="O10037" s="753"/>
      <c r="P10037" s="753"/>
      <c r="Q10037" s="51"/>
      <c r="R10037" s="530"/>
      <c r="S10037" s="757"/>
      <c r="T10037" s="753"/>
      <c r="AR10037" s="748"/>
      <c r="AS10037" s="753"/>
    </row>
    <row r="10038" spans="1:45" s="901" customFormat="1" ht="13.2">
      <c r="A10038" s="903">
        <v>3</v>
      </c>
      <c r="B10038" s="904" t="s">
        <v>863</v>
      </c>
      <c r="C10038" s="904"/>
      <c r="D10038" s="904" t="s">
        <v>2594</v>
      </c>
      <c r="E10038" s="904"/>
      <c r="F10038" s="1153" t="s">
        <v>4129</v>
      </c>
      <c r="G10038" s="905" t="s">
        <v>2595</v>
      </c>
      <c r="H10038" s="902">
        <v>960</v>
      </c>
      <c r="I10038" s="904" t="s">
        <v>2596</v>
      </c>
      <c r="J10038" s="904"/>
      <c r="K10038" s="904"/>
      <c r="L10038" s="904"/>
      <c r="M10038" s="904"/>
      <c r="N10038" s="904"/>
      <c r="O10038" s="902">
        <v>4</v>
      </c>
      <c r="P10038" s="906">
        <v>38274</v>
      </c>
      <c r="Q10038" s="1415">
        <f>110*0.873</f>
        <v>96.03</v>
      </c>
      <c r="R10038" s="908">
        <f>$A10038*Q10038</f>
        <v>288.09000000000003</v>
      </c>
      <c r="S10038" s="907"/>
      <c r="T10038" s="909">
        <f>$A10038*S10038*$T$1</f>
        <v>0</v>
      </c>
      <c r="AR10038" s="903">
        <v>3</v>
      </c>
      <c r="AS10038" s="1153" t="s">
        <v>3507</v>
      </c>
    </row>
    <row r="10039" spans="1:45" s="520" customFormat="1" ht="12">
      <c r="A10039" s="758"/>
      <c r="B10039" s="758"/>
      <c r="C10039" s="758"/>
      <c r="D10039" s="758"/>
      <c r="E10039" s="758"/>
      <c r="F10039" s="753"/>
      <c r="G10039" s="758"/>
      <c r="H10039" s="758"/>
      <c r="I10039" s="519"/>
      <c r="J10039" s="758"/>
      <c r="K10039" s="758"/>
      <c r="L10039" s="758"/>
      <c r="M10039" s="758"/>
      <c r="N10039" s="758"/>
      <c r="O10039" s="758"/>
      <c r="P10039" s="758"/>
      <c r="Q10039" s="519"/>
      <c r="R10039" s="759">
        <f>$A10039*Q10039</f>
        <v>0</v>
      </c>
      <c r="S10039" s="519"/>
      <c r="T10039" s="760">
        <f>$A10039*S10039*$T$1</f>
        <v>0</v>
      </c>
      <c r="AR10039" s="758"/>
      <c r="AS10039" s="753"/>
    </row>
    <row r="10040" spans="1:45" s="520" customFormat="1" ht="12.6" thickBot="1">
      <c r="A10040" s="761" t="s">
        <v>145</v>
      </c>
      <c r="B10040" s="762">
        <f>(R10039+T10039)</f>
        <v>0</v>
      </c>
      <c r="C10040" s="763"/>
      <c r="D10040" s="763"/>
      <c r="E10040" s="763"/>
      <c r="F10040" s="764"/>
      <c r="G10040" s="763" t="s">
        <v>146</v>
      </c>
      <c r="H10040" s="763"/>
      <c r="I10040" s="765"/>
      <c r="J10040" s="763"/>
      <c r="K10040" s="763" t="s">
        <v>5</v>
      </c>
      <c r="L10040" s="766" t="s">
        <v>143</v>
      </c>
      <c r="M10040" s="766"/>
      <c r="N10040" s="766"/>
      <c r="O10040" s="766"/>
      <c r="P10040" s="766"/>
      <c r="Q10040" s="767"/>
      <c r="R10040" s="768">
        <f>SUM(R10037:R10039)</f>
        <v>288.09000000000003</v>
      </c>
      <c r="S10040" s="763"/>
      <c r="T10040" s="768">
        <f>SUM(T10037:T10039)</f>
        <v>0</v>
      </c>
      <c r="U10040" s="531"/>
      <c r="V10040" s="531"/>
      <c r="W10040" s="531"/>
      <c r="X10040" s="531"/>
      <c r="Y10040" s="531"/>
      <c r="Z10040" s="531"/>
      <c r="AA10040" s="531"/>
      <c r="AB10040" s="531"/>
      <c r="AC10040" s="531"/>
      <c r="AD10040" s="531"/>
      <c r="AE10040" s="531"/>
      <c r="AF10040" s="531"/>
      <c r="AG10040" s="531"/>
      <c r="AH10040" s="531"/>
      <c r="AI10040" s="531"/>
      <c r="AJ10040" s="531"/>
      <c r="AK10040" s="531"/>
      <c r="AL10040" s="531"/>
      <c r="AM10040" s="531"/>
      <c r="AN10040" s="531"/>
      <c r="AO10040" s="531"/>
      <c r="AR10040" s="761" t="s">
        <v>145</v>
      </c>
      <c r="AS10040" s="764"/>
    </row>
    <row r="10041" spans="1:45" s="520" customFormat="1" ht="12" thickTop="1">
      <c r="A10041" s="51"/>
      <c r="B10041" s="41"/>
      <c r="C10041" s="51"/>
      <c r="E10041" s="42" t="s">
        <v>138</v>
      </c>
      <c r="F10041" s="42" t="s">
        <v>139</v>
      </c>
      <c r="G10041" s="51"/>
      <c r="H10041" s="51"/>
      <c r="I10041" s="51"/>
      <c r="J10041" s="51"/>
      <c r="K10041" s="51" t="s">
        <v>140</v>
      </c>
      <c r="L10041" s="51"/>
      <c r="M10041" s="51"/>
      <c r="N10041" s="51"/>
      <c r="O10041" s="52"/>
      <c r="P10041" s="51"/>
      <c r="Q10041" s="51"/>
      <c r="R10041" s="51"/>
      <c r="S10041" s="51"/>
      <c r="T10041" s="41"/>
      <c r="AG10041" s="521" t="s">
        <v>268</v>
      </c>
      <c r="AH10041" s="521" t="s">
        <v>269</v>
      </c>
      <c r="AI10041" s="521" t="s">
        <v>270</v>
      </c>
      <c r="AJ10041" s="521" t="s">
        <v>271</v>
      </c>
      <c r="AK10041" s="521" t="s">
        <v>272</v>
      </c>
      <c r="AM10041" s="745" t="s">
        <v>281</v>
      </c>
      <c r="AN10041" s="746" t="s">
        <v>282</v>
      </c>
      <c r="AO10041" s="522" t="s">
        <v>278</v>
      </c>
      <c r="AR10041" s="51"/>
      <c r="AS10041" s="42" t="s">
        <v>139</v>
      </c>
    </row>
    <row r="10042" spans="1:45" s="520" customFormat="1" ht="12" customHeight="1">
      <c r="A10042" s="747">
        <v>1</v>
      </c>
      <c r="B10042" s="523" t="s">
        <v>299</v>
      </c>
      <c r="C10042" s="748"/>
      <c r="D10042" s="749" t="s">
        <v>1858</v>
      </c>
      <c r="E10042" s="1145">
        <f>IF(AND($A10042=0,$A$1="DIF"),0, ROUND(ROUND(($R10046*$S$3+($T10046*$T$3))/$A10042,2)*$C$3,2))</f>
        <v>788.31</v>
      </c>
      <c r="F10042" s="1146">
        <f>ROUND($A10042*$E10042,2)</f>
        <v>788.31</v>
      </c>
      <c r="G10042" s="752" t="s">
        <v>142</v>
      </c>
      <c r="H10042" s="753"/>
      <c r="I10042" s="754"/>
      <c r="J10042" s="753"/>
      <c r="K10042" s="753" t="s">
        <v>5</v>
      </c>
      <c r="L10042" s="755" t="s">
        <v>143</v>
      </c>
      <c r="M10042" s="755"/>
      <c r="N10042" s="755"/>
      <c r="O10042" s="755"/>
      <c r="P10042" s="755"/>
      <c r="Q10042" s="51"/>
      <c r="T10042" s="1150" t="str">
        <f>IF(AND($R10046=0,$T10046=0),"0.00","mu: "&amp; ROUND(F10042/$C$3/($R10046+$T10046*$D$9),2))</f>
        <v>mu: 1.13</v>
      </c>
      <c r="W10042" s="524"/>
      <c r="AG10042" s="1147">
        <f>IF($E10042=0,0,ROUND($R10046*$S$3*$C$3/$A10042,2))</f>
        <v>788.31</v>
      </c>
      <c r="AH10042" s="1147">
        <f>$AG10042*$A10042</f>
        <v>788.31</v>
      </c>
      <c r="AI10042" s="1148">
        <f>$E10042-$AG10042</f>
        <v>0</v>
      </c>
      <c r="AJ10042" s="1148">
        <f>$A10042*$AI10042</f>
        <v>0</v>
      </c>
      <c r="AK10042" s="1149">
        <f>ROUND(($AG10042+$AI10042)*$A10042,2)</f>
        <v>788.31</v>
      </c>
      <c r="AM10042" s="527">
        <f>ROUND(R10046,2)</f>
        <v>698.4</v>
      </c>
      <c r="AN10042" s="528">
        <f>ROUND(T10046,2)</f>
        <v>0</v>
      </c>
      <c r="AO10042" s="529">
        <f>ROUND(AM10042+AN10042,2)*A10042</f>
        <v>698.4</v>
      </c>
      <c r="AR10042" s="747">
        <v>1</v>
      </c>
      <c r="AS10042" s="1146">
        <v>857.84</v>
      </c>
    </row>
    <row r="10043" spans="1:45" s="520" customFormat="1" ht="13.2">
      <c r="A10043" s="748"/>
      <c r="B10043"/>
      <c r="C10043" s="748"/>
      <c r="D10043" s="749" t="s">
        <v>381</v>
      </c>
      <c r="F10043" s="753"/>
      <c r="G10043" s="3"/>
      <c r="H10043" s="753"/>
      <c r="I10043" s="754"/>
      <c r="J10043" s="753"/>
      <c r="K10043" s="753" t="s">
        <v>144</v>
      </c>
      <c r="L10043" s="753"/>
      <c r="M10043" s="753"/>
      <c r="N10043" s="753"/>
      <c r="O10043" s="753"/>
      <c r="P10043" s="753"/>
      <c r="Q10043" s="51"/>
      <c r="R10043" s="530"/>
      <c r="S10043" s="757"/>
      <c r="T10043" s="753"/>
      <c r="AR10043" s="748"/>
      <c r="AS10043" s="753"/>
    </row>
    <row r="10044" spans="1:45" s="901" customFormat="1" ht="13.2">
      <c r="A10044" s="903">
        <v>1</v>
      </c>
      <c r="B10044" s="904" t="s">
        <v>863</v>
      </c>
      <c r="C10044" s="904"/>
      <c r="D10044" s="904" t="s">
        <v>2594</v>
      </c>
      <c r="E10044" s="904"/>
      <c r="F10044" s="1153" t="s">
        <v>4129</v>
      </c>
      <c r="G10044" s="905" t="s">
        <v>2595</v>
      </c>
      <c r="H10044" s="902">
        <v>960</v>
      </c>
      <c r="I10044" s="904" t="s">
        <v>2596</v>
      </c>
      <c r="J10044" s="904"/>
      <c r="K10044" s="904"/>
      <c r="L10044" s="904"/>
      <c r="M10044" s="904"/>
      <c r="N10044" s="904"/>
      <c r="O10044" s="902">
        <v>4</v>
      </c>
      <c r="P10044" s="906">
        <v>38274</v>
      </c>
      <c r="Q10044" s="1415">
        <f>800*0.873</f>
        <v>698.4</v>
      </c>
      <c r="R10044" s="908">
        <f>$A10044*Q10044</f>
        <v>698.4</v>
      </c>
      <c r="S10044" s="907"/>
      <c r="T10044" s="909">
        <f>$A10044*S10044*$T$1</f>
        <v>0</v>
      </c>
      <c r="AR10044" s="903">
        <v>1</v>
      </c>
      <c r="AS10044" s="1153" t="s">
        <v>3507</v>
      </c>
    </row>
    <row r="10045" spans="1:45" s="520" customFormat="1" ht="12">
      <c r="A10045" s="758"/>
      <c r="B10045" s="758"/>
      <c r="C10045" s="758"/>
      <c r="D10045" s="758"/>
      <c r="E10045" s="758"/>
      <c r="F10045" s="753"/>
      <c r="G10045" s="758"/>
      <c r="H10045" s="758"/>
      <c r="I10045" s="519"/>
      <c r="J10045" s="758"/>
      <c r="K10045" s="758"/>
      <c r="L10045" s="758"/>
      <c r="M10045" s="758"/>
      <c r="N10045" s="758"/>
      <c r="O10045" s="758"/>
      <c r="P10045" s="758"/>
      <c r="Q10045" s="519"/>
      <c r="R10045" s="759">
        <f>$A10045*Q10045</f>
        <v>0</v>
      </c>
      <c r="S10045" s="519"/>
      <c r="T10045" s="760">
        <f>$A10045*S10045*$T$1</f>
        <v>0</v>
      </c>
      <c r="AR10045" s="758"/>
      <c r="AS10045" s="753"/>
    </row>
    <row r="10046" spans="1:45" s="520" customFormat="1" ht="12.6" thickBot="1">
      <c r="A10046" s="761" t="s">
        <v>145</v>
      </c>
      <c r="B10046" s="762">
        <f>(R10045+T10045)</f>
        <v>0</v>
      </c>
      <c r="C10046" s="763"/>
      <c r="D10046" s="763"/>
      <c r="E10046" s="763"/>
      <c r="F10046" s="764"/>
      <c r="G10046" s="763" t="s">
        <v>146</v>
      </c>
      <c r="H10046" s="763"/>
      <c r="I10046" s="765"/>
      <c r="J10046" s="763"/>
      <c r="K10046" s="763" t="s">
        <v>5</v>
      </c>
      <c r="L10046" s="766" t="s">
        <v>143</v>
      </c>
      <c r="M10046" s="766"/>
      <c r="N10046" s="766"/>
      <c r="O10046" s="766"/>
      <c r="P10046" s="766"/>
      <c r="Q10046" s="767"/>
      <c r="R10046" s="768">
        <f>SUM(R10043:R10045)</f>
        <v>698.4</v>
      </c>
      <c r="S10046" s="763"/>
      <c r="T10046" s="768">
        <f>SUM(T10043:T10045)</f>
        <v>0</v>
      </c>
      <c r="U10046" s="531"/>
      <c r="V10046" s="531"/>
      <c r="W10046" s="531"/>
      <c r="X10046" s="531"/>
      <c r="Y10046" s="531"/>
      <c r="Z10046" s="531"/>
      <c r="AA10046" s="531"/>
      <c r="AB10046" s="531"/>
      <c r="AC10046" s="531"/>
      <c r="AD10046" s="531"/>
      <c r="AE10046" s="531"/>
      <c r="AF10046" s="531"/>
      <c r="AG10046" s="531"/>
      <c r="AH10046" s="531"/>
      <c r="AI10046" s="531"/>
      <c r="AJ10046" s="531"/>
      <c r="AK10046" s="531"/>
      <c r="AL10046" s="531"/>
      <c r="AM10046" s="531"/>
      <c r="AN10046" s="531"/>
      <c r="AO10046" s="531"/>
      <c r="AR10046" s="761" t="s">
        <v>145</v>
      </c>
      <c r="AS10046" s="764"/>
    </row>
    <row r="10047" spans="1:45" s="520" customFormat="1" ht="12" thickTop="1">
      <c r="A10047" s="51"/>
      <c r="B10047" s="41"/>
      <c r="C10047" s="51"/>
      <c r="E10047" s="42" t="s">
        <v>138</v>
      </c>
      <c r="F10047" s="42" t="s">
        <v>139</v>
      </c>
      <c r="G10047" s="51"/>
      <c r="H10047" s="51"/>
      <c r="I10047" s="51"/>
      <c r="J10047" s="51"/>
      <c r="K10047" s="51" t="s">
        <v>140</v>
      </c>
      <c r="L10047" s="51"/>
      <c r="M10047" s="51"/>
      <c r="N10047" s="51"/>
      <c r="O10047" s="52"/>
      <c r="P10047" s="51"/>
      <c r="Q10047" s="51"/>
      <c r="R10047" s="51"/>
      <c r="S10047" s="51"/>
      <c r="T10047" s="41"/>
      <c r="AG10047" s="521" t="s">
        <v>268</v>
      </c>
      <c r="AH10047" s="521" t="s">
        <v>269</v>
      </c>
      <c r="AI10047" s="521" t="s">
        <v>270</v>
      </c>
      <c r="AJ10047" s="521" t="s">
        <v>271</v>
      </c>
      <c r="AK10047" s="521" t="s">
        <v>272</v>
      </c>
      <c r="AM10047" s="745" t="s">
        <v>281</v>
      </c>
      <c r="AN10047" s="746" t="s">
        <v>282</v>
      </c>
      <c r="AO10047" s="522" t="s">
        <v>278</v>
      </c>
      <c r="AR10047" s="51"/>
      <c r="AS10047" s="42" t="s">
        <v>139</v>
      </c>
    </row>
    <row r="10048" spans="1:45" s="520" customFormat="1" ht="12" customHeight="1">
      <c r="A10048" s="747">
        <v>1</v>
      </c>
      <c r="B10048" s="523" t="s">
        <v>383</v>
      </c>
      <c r="C10048" s="748"/>
      <c r="D10048" s="749" t="s">
        <v>1859</v>
      </c>
      <c r="E10048" s="750">
        <f>IF(AND($A10048=0,$A$1="DIF"),0, ROUND(ROUND(($R10054*$S$2+($T10054*$T$2))/$A10048,2)*$C$2,2))</f>
        <v>349.83</v>
      </c>
      <c r="F10048" s="751">
        <f>ROUND($A10048*$E10048,2)</f>
        <v>349.83</v>
      </c>
      <c r="G10048" s="752" t="s">
        <v>142</v>
      </c>
      <c r="H10048" s="753"/>
      <c r="I10048" s="754"/>
      <c r="J10048" s="753"/>
      <c r="K10048" s="753" t="s">
        <v>3</v>
      </c>
      <c r="L10048" s="755" t="s">
        <v>143</v>
      </c>
      <c r="M10048" s="755"/>
      <c r="N10048" s="755"/>
      <c r="O10048" s="755"/>
      <c r="P10048" s="755"/>
      <c r="Q10048" s="51"/>
      <c r="T10048" s="756" t="str">
        <f>IF(AND($R10054=0,$T10054=0),"0.00","mu: "&amp; ROUND(F10048/$C$2/($R10054+$T10054*$D$9),2))</f>
        <v>mu: 1.23</v>
      </c>
      <c r="W10048" s="524"/>
      <c r="AG10048" s="481">
        <f>IF($E10048=0,0,ROUND($R10054*$S$2*$C$2/$A10048,2))</f>
        <v>174.85</v>
      </c>
      <c r="AH10048" s="481">
        <f>$AG10048*$A10048</f>
        <v>174.85</v>
      </c>
      <c r="AI10048" s="525">
        <f>$E10048-$AG10048</f>
        <v>174.98</v>
      </c>
      <c r="AJ10048" s="525">
        <f>$A10048*$AI10048</f>
        <v>174.98</v>
      </c>
      <c r="AK10048" s="526">
        <f>ROUND(($AG10048+$AI10048)*$A10048,2)</f>
        <v>349.83</v>
      </c>
      <c r="AM10048" s="527">
        <f>ROUND(R10054,2)</f>
        <v>142</v>
      </c>
      <c r="AN10048" s="528">
        <f>ROUND(T10054,2)</f>
        <v>5.18</v>
      </c>
      <c r="AO10048" s="529">
        <f>ROUND(AM10048+AN10048,2)*A10048</f>
        <v>147.18</v>
      </c>
      <c r="AR10048" s="747">
        <v>1</v>
      </c>
      <c r="AS10048" s="751">
        <v>369.27</v>
      </c>
    </row>
    <row r="10049" spans="1:45" s="520" customFormat="1" ht="39.9" customHeight="1">
      <c r="A10049" s="748"/>
      <c r="B10049"/>
      <c r="C10049" s="748"/>
      <c r="D10049" s="1451" t="s">
        <v>382</v>
      </c>
      <c r="E10049" s="1452"/>
      <c r="F10049" s="1452"/>
      <c r="G10049" s="1452"/>
      <c r="H10049" s="1452"/>
      <c r="I10049" s="1452"/>
      <c r="J10049" s="1452"/>
      <c r="K10049" s="1452"/>
      <c r="L10049" s="1452"/>
      <c r="M10049" s="1452"/>
      <c r="N10049" s="1452"/>
      <c r="O10049" s="1452"/>
      <c r="P10049" s="1452"/>
      <c r="Q10049" s="1452"/>
      <c r="R10049" s="1452"/>
      <c r="S10049" s="1452"/>
      <c r="T10049" s="1452"/>
      <c r="AR10049" s="748"/>
    </row>
    <row r="10050" spans="1:45" s="901" customFormat="1" ht="13.2">
      <c r="A10050" s="116">
        <v>14</v>
      </c>
      <c r="B10050" s="901" t="s">
        <v>141</v>
      </c>
      <c r="D10050" s="901" t="s">
        <v>3698</v>
      </c>
      <c r="G10050" s="941" t="s">
        <v>3061</v>
      </c>
      <c r="H10050" s="942">
        <v>880</v>
      </c>
      <c r="I10050" s="901" t="s">
        <v>2607</v>
      </c>
      <c r="O10050" s="943">
        <v>3</v>
      </c>
      <c r="P10050" s="944">
        <v>36220</v>
      </c>
      <c r="Q10050" s="945">
        <v>8</v>
      </c>
      <c r="R10050" s="946">
        <f>$A10050*Q10050</f>
        <v>112</v>
      </c>
      <c r="S10050" s="945">
        <v>0.25</v>
      </c>
      <c r="T10050" s="947">
        <f>$A10050*S10050*$T$1</f>
        <v>3.15</v>
      </c>
      <c r="AR10050" s="116">
        <v>14</v>
      </c>
    </row>
    <row r="10051" spans="1:45" s="901" customFormat="1" ht="13.2">
      <c r="A10051" s="116">
        <v>1</v>
      </c>
      <c r="B10051" s="901" t="s">
        <v>141</v>
      </c>
      <c r="D10051" s="901" t="s">
        <v>3063</v>
      </c>
      <c r="G10051" s="941" t="s">
        <v>3062</v>
      </c>
      <c r="H10051" s="942">
        <v>880</v>
      </c>
      <c r="I10051" s="901" t="s">
        <v>2607</v>
      </c>
      <c r="O10051" s="943">
        <v>3</v>
      </c>
      <c r="P10051" s="944"/>
      <c r="Q10051" s="945">
        <v>10</v>
      </c>
      <c r="R10051" s="946">
        <f>$A10051*Q10051</f>
        <v>10</v>
      </c>
      <c r="S10051" s="945">
        <v>0.25</v>
      </c>
      <c r="T10051" s="947">
        <f>$A10051*S10051*$T$1</f>
        <v>0.22500000000000001</v>
      </c>
      <c r="AR10051" s="116">
        <v>1</v>
      </c>
    </row>
    <row r="10052" spans="1:45" s="901" customFormat="1" ht="13.2">
      <c r="A10052" s="116">
        <v>1</v>
      </c>
      <c r="B10052" s="901" t="s">
        <v>141</v>
      </c>
      <c r="D10052" s="901" t="s">
        <v>3064</v>
      </c>
      <c r="G10052" s="941" t="s">
        <v>3065</v>
      </c>
      <c r="H10052" s="942">
        <v>880</v>
      </c>
      <c r="I10052" s="901" t="s">
        <v>2607</v>
      </c>
      <c r="O10052" s="943">
        <v>3</v>
      </c>
      <c r="P10052" s="944"/>
      <c r="Q10052" s="945">
        <v>20</v>
      </c>
      <c r="R10052" s="946">
        <f>$A10052*Q10052</f>
        <v>20</v>
      </c>
      <c r="S10052" s="945">
        <v>2</v>
      </c>
      <c r="T10052" s="947">
        <f>$A10052*S10052*$T$1</f>
        <v>1.8</v>
      </c>
      <c r="AR10052" s="116">
        <v>1</v>
      </c>
    </row>
    <row r="10053" spans="1:45" s="520" customFormat="1" ht="12">
      <c r="A10053" s="758"/>
      <c r="B10053" s="758"/>
      <c r="C10053" s="758"/>
      <c r="D10053" s="758"/>
      <c r="E10053" s="758"/>
      <c r="F10053" s="753"/>
      <c r="G10053" s="758"/>
      <c r="H10053" s="758"/>
      <c r="I10053" s="519"/>
      <c r="J10053" s="758"/>
      <c r="K10053" s="758"/>
      <c r="L10053" s="758"/>
      <c r="M10053" s="758"/>
      <c r="N10053" s="758"/>
      <c r="O10053" s="758"/>
      <c r="P10053" s="758"/>
      <c r="Q10053" s="519"/>
      <c r="R10053" s="759">
        <f>$A10053*Q10053</f>
        <v>0</v>
      </c>
      <c r="S10053" s="519"/>
      <c r="T10053" s="760">
        <f>$A10053*S10053*$T$1</f>
        <v>0</v>
      </c>
      <c r="AR10053" s="758"/>
      <c r="AS10053" s="753"/>
    </row>
    <row r="10054" spans="1:45" s="520" customFormat="1" ht="12.6" thickBot="1">
      <c r="A10054" s="761" t="s">
        <v>145</v>
      </c>
      <c r="B10054" s="762">
        <f>(R10053+T10053)</f>
        <v>0</v>
      </c>
      <c r="C10054" s="763"/>
      <c r="D10054" s="763"/>
      <c r="E10054" s="763"/>
      <c r="F10054" s="764"/>
      <c r="G10054" s="763" t="s">
        <v>146</v>
      </c>
      <c r="H10054" s="763"/>
      <c r="I10054" s="765"/>
      <c r="J10054" s="763"/>
      <c r="K10054" s="763" t="s">
        <v>3</v>
      </c>
      <c r="L10054" s="766" t="s">
        <v>143</v>
      </c>
      <c r="M10054" s="766"/>
      <c r="N10054" s="766"/>
      <c r="O10054" s="766"/>
      <c r="P10054" s="766"/>
      <c r="Q10054" s="767"/>
      <c r="R10054" s="768">
        <f>SUM(R10049:R10053)</f>
        <v>142</v>
      </c>
      <c r="S10054" s="763"/>
      <c r="T10054" s="768">
        <f>SUM(T10049:T10053)</f>
        <v>5.1749999999999998</v>
      </c>
      <c r="U10054" s="531"/>
      <c r="V10054" s="531"/>
      <c r="W10054" s="531"/>
      <c r="X10054" s="531"/>
      <c r="Y10054" s="531"/>
      <c r="Z10054" s="531"/>
      <c r="AA10054" s="531"/>
      <c r="AB10054" s="531"/>
      <c r="AC10054" s="531"/>
      <c r="AD10054" s="531"/>
      <c r="AE10054" s="531"/>
      <c r="AF10054" s="531"/>
      <c r="AG10054" s="531"/>
      <c r="AH10054" s="531"/>
      <c r="AI10054" s="531"/>
      <c r="AJ10054" s="531"/>
      <c r="AK10054" s="531"/>
      <c r="AL10054" s="531"/>
      <c r="AM10054" s="531"/>
      <c r="AN10054" s="531"/>
      <c r="AO10054" s="531"/>
      <c r="AR10054" s="761" t="s">
        <v>145</v>
      </c>
      <c r="AS10054" s="764"/>
    </row>
    <row r="10055" spans="1:45" s="520" customFormat="1" ht="12" thickTop="1">
      <c r="A10055" s="48" t="s">
        <v>148</v>
      </c>
      <c r="D10055" s="13"/>
      <c r="E10055" s="42"/>
      <c r="O10055" s="771"/>
      <c r="AR10055" s="48" t="s">
        <v>148</v>
      </c>
    </row>
    <row r="10056" spans="1:45" s="520" customFormat="1" ht="13.2">
      <c r="B10056" s="3"/>
      <c r="O10056" s="771"/>
    </row>
    <row r="10057" spans="1:45" s="520" customFormat="1" ht="12">
      <c r="B10057" s="772">
        <f>$F10057/$C$2-($R10057*$S$2+$T10057*$T$2)</f>
        <v>-2365.8926727120015</v>
      </c>
      <c r="D10057" s="773" t="s">
        <v>1065</v>
      </c>
      <c r="E10057" s="774"/>
      <c r="F10057" s="775">
        <f>SUMIF($L9801:$L10055,"ITEM",F9801:F10055)</f>
        <v>26373.719999999998</v>
      </c>
      <c r="G10057" s="758"/>
      <c r="H10057" s="758"/>
      <c r="I10057" s="519"/>
      <c r="J10057" s="758"/>
      <c r="K10057" s="758"/>
      <c r="L10057" s="755" t="s">
        <v>157</v>
      </c>
      <c r="M10057" s="755"/>
      <c r="N10057" s="755"/>
      <c r="O10057" s="755"/>
      <c r="P10057" s="755"/>
      <c r="R10057" s="775">
        <f>SUMIF($L9801:$L10055,"ITEM",R9801:R10055)</f>
        <v>23197.93</v>
      </c>
      <c r="S10057" s="776"/>
      <c r="T10057" s="775">
        <f>SUMIF($L9801:$L10055,"ITEM",T9801:T10055)</f>
        <v>5.1749999999999998</v>
      </c>
      <c r="AS10057" s="775">
        <v>29943.480000000007</v>
      </c>
    </row>
    <row r="10058" spans="1:45" s="520" customFormat="1" ht="13.2">
      <c r="A10058" s="51"/>
      <c r="B10058" s="49" t="s">
        <v>1064</v>
      </c>
      <c r="C10058" s="51"/>
      <c r="D10058" s="3"/>
      <c r="F10058" s="777" t="s">
        <v>158</v>
      </c>
      <c r="G10058" s="758"/>
      <c r="H10058" s="758"/>
      <c r="I10058" s="519"/>
      <c r="J10058" s="758"/>
      <c r="K10058" s="758"/>
      <c r="L10058" s="758"/>
      <c r="M10058" s="758"/>
      <c r="N10058" s="758"/>
      <c r="O10058" s="758"/>
      <c r="P10058" s="758"/>
      <c r="Q10058" s="778"/>
      <c r="R10058" s="777" t="s">
        <v>159</v>
      </c>
      <c r="S10058" s="38"/>
      <c r="T10058" s="777" t="s">
        <v>160</v>
      </c>
      <c r="AR10058" s="51"/>
      <c r="AS10058" s="777" t="s">
        <v>158</v>
      </c>
    </row>
    <row r="10059" spans="1:45" s="520" customFormat="1" ht="13.2">
      <c r="A10059" s="758"/>
      <c r="B10059" s="3"/>
      <c r="C10059" s="758"/>
      <c r="D10059" s="3"/>
      <c r="E10059" s="3"/>
      <c r="G10059" s="3"/>
      <c r="H10059" s="3"/>
      <c r="I10059" s="3"/>
      <c r="J10059" s="3"/>
      <c r="K10059" s="3"/>
      <c r="L10059" s="3"/>
      <c r="M10059" s="3"/>
      <c r="N10059" s="3"/>
      <c r="O10059" s="107"/>
      <c r="P10059" s="3"/>
      <c r="Q10059" s="3"/>
      <c r="R10059" s="3"/>
      <c r="S10059" s="3"/>
      <c r="T10059" s="3"/>
      <c r="AR10059" s="758"/>
    </row>
    <row r="10060" spans="1:45" s="520" customFormat="1" ht="12" thickBot="1">
      <c r="A10060" s="531"/>
      <c r="B10060" s="763"/>
      <c r="C10060" s="763"/>
      <c r="D10060" s="531"/>
      <c r="E10060" s="39"/>
      <c r="F10060" s="779"/>
      <c r="G10060" s="763"/>
      <c r="H10060" s="763"/>
      <c r="I10060" s="765"/>
      <c r="J10060" s="763"/>
      <c r="K10060" s="763"/>
      <c r="L10060" s="766"/>
      <c r="M10060" s="766"/>
      <c r="N10060" s="766"/>
      <c r="O10060" s="766"/>
      <c r="P10060" s="766"/>
      <c r="Q10060" s="767"/>
      <c r="R10060" s="779"/>
      <c r="S10060" s="780"/>
      <c r="T10060" s="779"/>
      <c r="U10060" s="531"/>
      <c r="V10060" s="531"/>
      <c r="W10060" s="531"/>
      <c r="X10060" s="531"/>
      <c r="Y10060" s="531"/>
      <c r="Z10060" s="531"/>
      <c r="AA10060" s="531"/>
      <c r="AB10060" s="531"/>
      <c r="AC10060" s="531"/>
      <c r="AD10060" s="531"/>
      <c r="AE10060" s="531"/>
      <c r="AF10060" s="531"/>
      <c r="AG10060" s="531"/>
      <c r="AH10060" s="531"/>
      <c r="AI10060" s="531"/>
      <c r="AJ10060" s="531"/>
      <c r="AK10060" s="531"/>
      <c r="AR10060" s="531"/>
      <c r="AS10060" s="779"/>
    </row>
    <row r="10061" spans="1:45" s="520" customFormat="1" thickTop="1">
      <c r="A10061" s="48" t="s">
        <v>148</v>
      </c>
      <c r="B10061" s="3"/>
      <c r="C10061" s="51"/>
      <c r="D10061" s="51"/>
      <c r="E10061" s="51"/>
      <c r="F10061" s="51"/>
      <c r="G10061" s="51"/>
      <c r="H10061" s="51"/>
      <c r="I10061" s="51"/>
      <c r="J10061" s="51"/>
      <c r="K10061" s="51"/>
      <c r="L10061" s="51"/>
      <c r="M10061" s="51"/>
      <c r="N10061" s="51"/>
      <c r="O10061" s="52"/>
      <c r="P10061" s="51"/>
      <c r="Q10061" s="51"/>
      <c r="R10061" s="51"/>
      <c r="S10061" s="51"/>
      <c r="T10061" s="51"/>
      <c r="AR10061" s="48" t="s">
        <v>148</v>
      </c>
      <c r="AS10061" s="51"/>
    </row>
    <row r="10062" spans="1:45" s="520" customFormat="1" ht="13.2">
      <c r="A10062" s="51"/>
      <c r="B10062" s="3"/>
      <c r="C10062" s="3"/>
      <c r="E10062" s="3"/>
      <c r="F10062" s="3"/>
      <c r="G10062" s="3"/>
      <c r="H10062" s="3"/>
      <c r="I10062" s="3"/>
      <c r="J10062" s="3"/>
      <c r="K10062" s="3"/>
      <c r="L10062" s="3"/>
      <c r="M10062" s="3"/>
      <c r="N10062" s="3"/>
      <c r="O10062" s="107"/>
      <c r="P10062" s="3"/>
      <c r="Q10062" s="3"/>
      <c r="R10062" s="3"/>
      <c r="S10062" s="3"/>
      <c r="T10062" s="3"/>
      <c r="AR10062" s="51"/>
      <c r="AS10062" s="3"/>
    </row>
    <row r="10063" spans="1:45" s="520" customFormat="1" ht="12">
      <c r="A10063" s="51"/>
      <c r="B10063" s="772">
        <f>$F10063/$C$2-($R10063*$S$2+$T10063*$T$2)</f>
        <v>-2365.8926727120015</v>
      </c>
      <c r="C10063" s="51"/>
      <c r="D10063" s="121" t="s">
        <v>2181</v>
      </c>
      <c r="E10063" s="774"/>
      <c r="F10063" s="782">
        <f>SUMIF($L9807:$L10061,"PAGE",F9807:F10061)</f>
        <v>26373.719999999998</v>
      </c>
      <c r="G10063" s="758"/>
      <c r="H10063" s="758"/>
      <c r="I10063" s="519"/>
      <c r="J10063" s="758"/>
      <c r="K10063" s="758"/>
      <c r="L10063" s="121" t="s">
        <v>1075</v>
      </c>
      <c r="M10063" s="121"/>
      <c r="N10063" s="121"/>
      <c r="O10063" s="122"/>
      <c r="P10063" s="121"/>
      <c r="Q10063" s="51"/>
      <c r="R10063" s="782">
        <f>SUMIF($L9807:$L10061,"PAGE",R9807:R10061)</f>
        <v>23197.93</v>
      </c>
      <c r="S10063" s="51"/>
      <c r="T10063" s="782">
        <f>SUMIF($L9807:$L10061,"PAGE",T9807:T10061)</f>
        <v>5.1749999999999998</v>
      </c>
      <c r="AR10063" s="51"/>
      <c r="AS10063" s="782">
        <v>29943.480000000007</v>
      </c>
    </row>
    <row r="10064" spans="1:45" s="520" customFormat="1" ht="12">
      <c r="A10064" s="51"/>
      <c r="B10064" s="49" t="s">
        <v>1064</v>
      </c>
      <c r="C10064" s="51"/>
      <c r="D10064" s="781"/>
      <c r="F10064" s="783" t="s">
        <v>1076</v>
      </c>
      <c r="G10064" s="758"/>
      <c r="H10064" s="758"/>
      <c r="I10064" s="519"/>
      <c r="J10064" s="758"/>
      <c r="K10064" s="758"/>
      <c r="L10064" s="51"/>
      <c r="M10064" s="51"/>
      <c r="N10064" s="51"/>
      <c r="O10064" s="52"/>
      <c r="P10064" s="51"/>
      <c r="Q10064" s="51"/>
      <c r="R10064" s="783" t="s">
        <v>1077</v>
      </c>
      <c r="S10064" s="38"/>
      <c r="T10064" s="783" t="s">
        <v>1078</v>
      </c>
      <c r="AR10064" s="51"/>
      <c r="AS10064" s="783" t="s">
        <v>1076</v>
      </c>
    </row>
    <row r="10065" spans="1:45" s="520" customFormat="1" ht="11.4">
      <c r="O10065" s="771"/>
    </row>
    <row r="10066" spans="1:45" s="520" customFormat="1" ht="12" thickBot="1">
      <c r="A10066" s="763"/>
      <c r="B10066" s="763"/>
      <c r="C10066" s="763"/>
      <c r="D10066" s="763"/>
      <c r="E10066" s="763"/>
      <c r="F10066" s="39"/>
      <c r="G10066" s="531"/>
      <c r="H10066" s="531"/>
      <c r="I10066" s="531"/>
      <c r="J10066" s="531"/>
      <c r="K10066" s="531"/>
      <c r="L10066" s="763"/>
      <c r="M10066" s="763"/>
      <c r="N10066" s="763"/>
      <c r="O10066" s="763"/>
      <c r="P10066" s="763"/>
      <c r="Q10066" s="767"/>
      <c r="R10066" s="39"/>
      <c r="S10066" s="39"/>
      <c r="T10066" s="39"/>
      <c r="U10066" s="531"/>
      <c r="V10066" s="531"/>
      <c r="W10066" s="531"/>
      <c r="X10066" s="531"/>
      <c r="Y10066" s="531"/>
      <c r="Z10066" s="531"/>
      <c r="AA10066" s="531"/>
      <c r="AB10066" s="531"/>
      <c r="AC10066" s="531"/>
      <c r="AD10066" s="531"/>
      <c r="AE10066" s="531"/>
      <c r="AF10066" s="531"/>
      <c r="AG10066" s="531"/>
      <c r="AH10066" s="531"/>
      <c r="AI10066" s="531"/>
      <c r="AJ10066" s="531"/>
      <c r="AK10066" s="531"/>
      <c r="AR10066" s="763"/>
      <c r="AS10066" s="39"/>
    </row>
    <row r="10067" spans="1:45" s="520" customFormat="1" thickTop="1">
      <c r="A10067" s="51"/>
      <c r="B10067" s="51"/>
      <c r="C10067" s="3"/>
      <c r="D10067" s="3"/>
      <c r="E10067" s="51"/>
      <c r="F10067" s="51"/>
      <c r="G10067" s="51"/>
      <c r="H10067" s="51"/>
      <c r="I10067" s="51"/>
      <c r="J10067" s="51"/>
      <c r="K10067" s="51" t="s">
        <v>134</v>
      </c>
      <c r="L10067" s="51"/>
      <c r="M10067" s="51"/>
      <c r="N10067" s="51"/>
      <c r="O10067" s="52"/>
      <c r="P10067" s="51"/>
      <c r="Q10067" s="51"/>
      <c r="R10067" s="51"/>
      <c r="S10067" s="51"/>
      <c r="T10067" s="51"/>
      <c r="AR10067" s="51"/>
      <c r="AS10067" s="51"/>
    </row>
    <row r="10068" spans="1:45" s="520" customFormat="1" ht="12">
      <c r="A10068" s="51"/>
      <c r="B10068" s="51"/>
      <c r="C10068" s="51" t="s">
        <v>135</v>
      </c>
      <c r="D10068" s="37" t="s">
        <v>1860</v>
      </c>
      <c r="E10068" s="51"/>
      <c r="F10068" s="51"/>
      <c r="G10068" s="51"/>
      <c r="H10068" s="51"/>
      <c r="I10068" s="51"/>
      <c r="J10068" s="51"/>
      <c r="K10068" s="51"/>
      <c r="L10068" s="51"/>
      <c r="M10068" s="51"/>
      <c r="N10068" s="51"/>
      <c r="O10068" s="52"/>
      <c r="P10068" s="51"/>
      <c r="Q10068" s="51"/>
      <c r="R10068" s="51"/>
      <c r="S10068" s="51"/>
      <c r="T10068" s="51"/>
      <c r="AR10068" s="51"/>
      <c r="AS10068" s="51"/>
    </row>
    <row r="10069" spans="1:45" s="520" customFormat="1" ht="12">
      <c r="A10069" s="51"/>
      <c r="B10069" s="51"/>
      <c r="C10069" s="51"/>
      <c r="D10069" s="37" t="s">
        <v>2182</v>
      </c>
      <c r="E10069" s="51"/>
      <c r="F10069" s="1153" t="s">
        <v>4142</v>
      </c>
      <c r="G10069" s="51"/>
      <c r="H10069" s="51"/>
      <c r="I10069" s="51"/>
      <c r="J10069" s="51"/>
      <c r="K10069" s="51"/>
      <c r="L10069" s="51"/>
      <c r="M10069" s="51"/>
      <c r="N10069" s="51"/>
      <c r="O10069" s="52"/>
      <c r="P10069" s="51"/>
      <c r="Q10069" s="51"/>
      <c r="R10069" s="51"/>
      <c r="S10069" s="38"/>
      <c r="T10069" s="38"/>
      <c r="AR10069" s="51"/>
      <c r="AS10069" s="1153" t="s">
        <v>3507</v>
      </c>
    </row>
    <row r="10070" spans="1:45" s="3" customFormat="1" thickBot="1">
      <c r="A10070" s="531"/>
      <c r="O10070" s="107"/>
      <c r="AR10070" s="531"/>
    </row>
    <row r="10071" spans="1:45" s="520" customFormat="1" thickTop="1">
      <c r="A10071" s="51"/>
      <c r="B10071" s="51"/>
      <c r="C10071" s="3"/>
      <c r="D10071" s="3"/>
      <c r="E10071" s="51"/>
      <c r="F10071" s="51"/>
      <c r="G10071" s="51"/>
      <c r="H10071" s="51"/>
      <c r="I10071" s="51"/>
      <c r="J10071" s="51"/>
      <c r="K10071" s="51" t="s">
        <v>134</v>
      </c>
      <c r="L10071" s="51"/>
      <c r="M10071" s="51"/>
      <c r="N10071" s="51"/>
      <c r="O10071" s="52"/>
      <c r="P10071" s="51"/>
      <c r="Q10071" s="51"/>
      <c r="R10071" s="51"/>
      <c r="S10071" s="51"/>
      <c r="T10071" s="51"/>
      <c r="AR10071" s="51"/>
      <c r="AS10071" s="51"/>
    </row>
    <row r="10072" spans="1:45" s="520" customFormat="1" ht="12">
      <c r="A10072" s="51"/>
      <c r="B10072" s="51"/>
      <c r="C10072" s="51" t="s">
        <v>135</v>
      </c>
      <c r="D10072" s="37"/>
      <c r="E10072" s="51"/>
      <c r="F10072" s="51"/>
      <c r="G10072" s="51"/>
      <c r="H10072" s="51"/>
      <c r="I10072" s="51"/>
      <c r="J10072" s="51"/>
      <c r="K10072" s="51"/>
      <c r="L10072" s="51"/>
      <c r="M10072" s="51"/>
      <c r="N10072" s="51"/>
      <c r="O10072" s="52"/>
      <c r="P10072" s="51"/>
      <c r="Q10072" s="51"/>
      <c r="R10072" s="51"/>
      <c r="S10072" s="51"/>
      <c r="T10072" s="51"/>
      <c r="AR10072" s="51"/>
      <c r="AS10072" s="51"/>
    </row>
    <row r="10073" spans="1:45" s="520" customFormat="1" ht="12">
      <c r="A10073" s="51"/>
      <c r="B10073" s="51"/>
      <c r="C10073" s="51"/>
      <c r="D10073" s="37" t="s">
        <v>343</v>
      </c>
      <c r="E10073" s="51"/>
      <c r="F10073" s="51"/>
      <c r="G10073" s="51"/>
      <c r="H10073" s="51"/>
      <c r="I10073" s="51"/>
      <c r="J10073" s="51"/>
      <c r="K10073" s="51"/>
      <c r="L10073" s="51"/>
      <c r="M10073" s="51"/>
      <c r="N10073" s="51"/>
      <c r="O10073" s="52"/>
      <c r="P10073" s="51"/>
      <c r="Q10073" s="51"/>
      <c r="R10073" s="51"/>
      <c r="S10073" s="38"/>
      <c r="T10073" s="38"/>
      <c r="AR10073" s="51"/>
      <c r="AS10073" s="51"/>
    </row>
    <row r="10074" spans="1:45" s="3" customFormat="1" thickBot="1">
      <c r="A10074" s="531"/>
      <c r="O10074" s="107"/>
      <c r="AR10074" s="531"/>
    </row>
    <row r="10075" spans="1:45" s="520" customFormat="1" thickTop="1">
      <c r="A10075" s="51"/>
      <c r="B10075" s="51"/>
      <c r="C10075" s="3"/>
      <c r="D10075" s="3"/>
      <c r="E10075" s="51"/>
      <c r="F10075" s="51"/>
      <c r="G10075" s="51"/>
      <c r="H10075" s="51"/>
      <c r="I10075" s="51"/>
      <c r="J10075" s="51"/>
      <c r="K10075" s="51" t="s">
        <v>134</v>
      </c>
      <c r="L10075" s="51"/>
      <c r="M10075" s="51"/>
      <c r="N10075" s="51"/>
      <c r="O10075" s="52"/>
      <c r="P10075" s="51"/>
      <c r="Q10075" s="51"/>
      <c r="R10075" s="51"/>
      <c r="S10075" s="51"/>
      <c r="T10075" s="51"/>
      <c r="AR10075" s="51"/>
      <c r="AS10075" s="51"/>
    </row>
    <row r="10076" spans="1:45" s="520" customFormat="1" ht="12">
      <c r="A10076" s="51"/>
      <c r="B10076" s="51"/>
      <c r="C10076" s="51" t="s">
        <v>135</v>
      </c>
      <c r="D10076" s="37"/>
      <c r="E10076" s="51"/>
      <c r="F10076" s="51"/>
      <c r="G10076" s="51"/>
      <c r="H10076" s="51"/>
      <c r="I10076" s="51"/>
      <c r="J10076" s="51"/>
      <c r="K10076" s="51"/>
      <c r="L10076" s="51"/>
      <c r="M10076" s="51"/>
      <c r="N10076" s="51"/>
      <c r="O10076" s="52"/>
      <c r="P10076" s="51"/>
      <c r="Q10076" s="51"/>
      <c r="R10076" s="51"/>
      <c r="S10076" s="51"/>
      <c r="T10076" s="51"/>
      <c r="AR10076" s="51"/>
      <c r="AS10076" s="51"/>
    </row>
    <row r="10077" spans="1:45" s="520" customFormat="1" ht="39.9" customHeight="1">
      <c r="A10077" s="51"/>
      <c r="B10077" s="51"/>
      <c r="C10077" s="51"/>
      <c r="D10077" s="1453" t="s">
        <v>2498</v>
      </c>
      <c r="E10077" s="1452"/>
      <c r="F10077" s="1452"/>
      <c r="G10077" s="1452"/>
      <c r="H10077" s="1452"/>
      <c r="I10077" s="1452"/>
      <c r="J10077" s="1452"/>
      <c r="K10077" s="1452"/>
      <c r="L10077" s="1452"/>
      <c r="M10077" s="1452"/>
      <c r="N10077" s="1452"/>
      <c r="O10077" s="1452"/>
      <c r="P10077" s="1452"/>
      <c r="Q10077" s="1452"/>
      <c r="R10077" s="1452"/>
      <c r="S10077" s="1452"/>
      <c r="T10077" s="1452"/>
      <c r="AR10077" s="51"/>
    </row>
    <row r="10078" spans="1:45" s="3" customFormat="1" thickBot="1">
      <c r="A10078" s="531"/>
      <c r="O10078" s="107"/>
      <c r="AR10078" s="531"/>
    </row>
    <row r="10079" spans="1:45" s="520" customFormat="1" ht="12" thickTop="1">
      <c r="A10079" s="51"/>
      <c r="B10079" s="41"/>
      <c r="C10079" s="51"/>
      <c r="E10079" s="42" t="s">
        <v>138</v>
      </c>
      <c r="F10079" s="42" t="s">
        <v>139</v>
      </c>
      <c r="G10079" s="51"/>
      <c r="H10079" s="51"/>
      <c r="I10079" s="51"/>
      <c r="J10079" s="51"/>
      <c r="K10079" s="51" t="s">
        <v>140</v>
      </c>
      <c r="L10079" s="51"/>
      <c r="M10079" s="51"/>
      <c r="N10079" s="51"/>
      <c r="O10079" s="52"/>
      <c r="P10079" s="51"/>
      <c r="Q10079" s="51"/>
      <c r="R10079" s="51"/>
      <c r="S10079" s="51"/>
      <c r="T10079" s="41"/>
      <c r="AG10079" s="521" t="s">
        <v>268</v>
      </c>
      <c r="AH10079" s="521" t="s">
        <v>269</v>
      </c>
      <c r="AI10079" s="521" t="s">
        <v>270</v>
      </c>
      <c r="AJ10079" s="521" t="s">
        <v>271</v>
      </c>
      <c r="AK10079" s="521" t="s">
        <v>272</v>
      </c>
      <c r="AM10079" s="745" t="s">
        <v>281</v>
      </c>
      <c r="AN10079" s="746" t="s">
        <v>282</v>
      </c>
      <c r="AO10079" s="522" t="s">
        <v>278</v>
      </c>
      <c r="AR10079" s="51"/>
      <c r="AS10079" s="42" t="s">
        <v>139</v>
      </c>
    </row>
    <row r="10080" spans="1:45" s="520" customFormat="1" ht="12" customHeight="1">
      <c r="A10080" s="747">
        <v>2</v>
      </c>
      <c r="B10080" s="523" t="s">
        <v>329</v>
      </c>
      <c r="C10080" s="748"/>
      <c r="D10080" s="749" t="s">
        <v>1861</v>
      </c>
      <c r="E10080" s="750">
        <f ca="1">IF(AND($A10080=0,$A$1="DIF"),0, ROUND(ROUND(($R10085*$S$2+($T10085*$T$2))/A10080,2)*$C$2,2))</f>
        <v>245.43</v>
      </c>
      <c r="F10080" s="751">
        <f ca="1">ROUND($A10080*$E10080,2)</f>
        <v>490.86</v>
      </c>
      <c r="G10080" s="752" t="s">
        <v>142</v>
      </c>
      <c r="H10080" s="753"/>
      <c r="I10080" s="754"/>
      <c r="J10080" s="753"/>
      <c r="K10080" s="753" t="s">
        <v>3</v>
      </c>
      <c r="L10080" s="755" t="s">
        <v>143</v>
      </c>
      <c r="M10080" s="755"/>
      <c r="N10080" s="755"/>
      <c r="O10080" s="755"/>
      <c r="P10080" s="755"/>
      <c r="Q10080" s="51"/>
      <c r="T10080" s="756" t="str">
        <f ca="1">IF(AND($R10085=0,$T10085=0),"0.00","mu :" &amp; ROUND($F10080/$C$2/($R10085+$T10085*$D$9),2))</f>
        <v>mu :1.23</v>
      </c>
      <c r="W10080" s="524"/>
      <c r="AG10080" s="481">
        <f ca="1">IF($E10080=0,0,ROUND($R10085*$S$2*$C$2/$A10080,2))</f>
        <v>93.27</v>
      </c>
      <c r="AH10080" s="481">
        <f ca="1">$AG10080*$A10080</f>
        <v>186.54</v>
      </c>
      <c r="AI10080" s="525">
        <f ca="1">$E10080-$AG10080</f>
        <v>152.16000000000003</v>
      </c>
      <c r="AJ10080" s="525">
        <f ca="1">$A10080*$AI10080</f>
        <v>304.32000000000005</v>
      </c>
      <c r="AK10080" s="526">
        <f ca="1">ROUND(($AG10080+$AI10080)*$A10080,2)</f>
        <v>490.86</v>
      </c>
      <c r="AM10080" s="527">
        <f ca="1">ROUND(R10085,2)</f>
        <v>151.5</v>
      </c>
      <c r="AN10080" s="528">
        <f ca="1">ROUND(T10085,2)</f>
        <v>9</v>
      </c>
      <c r="AO10080" s="529">
        <f ca="1">ROUND(AM10080+AN10080,2)*A10080</f>
        <v>321</v>
      </c>
      <c r="AR10080" s="747">
        <v>2</v>
      </c>
      <c r="AS10080" s="751">
        <v>524.67999999999995</v>
      </c>
    </row>
    <row r="10081" spans="1:45" s="520" customFormat="1" ht="13.2">
      <c r="A10081" s="748"/>
      <c r="B10081"/>
      <c r="C10081" s="748"/>
      <c r="D10081" s="749" t="s">
        <v>2184</v>
      </c>
      <c r="F10081" s="753"/>
      <c r="G10081" s="3"/>
      <c r="H10081" s="753"/>
      <c r="I10081" s="754"/>
      <c r="J10081" s="753"/>
      <c r="K10081" s="753" t="s">
        <v>144</v>
      </c>
      <c r="L10081" s="753"/>
      <c r="M10081" s="753"/>
      <c r="N10081" s="753"/>
      <c r="O10081" s="753"/>
      <c r="P10081" s="753"/>
      <c r="Q10081" s="51"/>
      <c r="R10081" s="530"/>
      <c r="S10081" s="757"/>
      <c r="T10081" s="753"/>
      <c r="AR10081" s="748"/>
      <c r="AS10081" s="753"/>
    </row>
    <row r="10082" spans="1:45" s="886" customFormat="1" ht="13.2">
      <c r="A10082"/>
      <c r="B10082" s="910"/>
      <c r="C10082" s="910" t="s">
        <v>2597</v>
      </c>
      <c r="D10082" s="910" t="str">
        <f ca="1">CELL("Address",Elec_Rates!D$1035)</f>
        <v>[E25_0062_Quintano_Foods_Elec_ELV_As_Awarded.xlsx]Elec_Rates!$D$1035</v>
      </c>
      <c r="E10082" s="911"/>
      <c r="F10082" s="911"/>
      <c r="G10082" s="912" t="s">
        <v>2598</v>
      </c>
      <c r="H10082" s="912"/>
      <c r="I10082" s="912"/>
      <c r="J10082" s="912"/>
      <c r="K10082" s="913"/>
      <c r="L10082" s="911"/>
      <c r="M10082" s="911"/>
      <c r="N10082" s="911"/>
      <c r="O10082" s="914"/>
      <c r="P10082" s="911"/>
      <c r="Q10082" s="915"/>
      <c r="R10082" s="916"/>
      <c r="S10082" s="915"/>
      <c r="T10082" s="917"/>
      <c r="U10082" s="918"/>
      <c r="AR10082"/>
      <c r="AS10082" s="911"/>
    </row>
    <row r="10083" spans="1:45" s="886" customFormat="1" ht="11.4">
      <c r="A10083" s="919">
        <v>2</v>
      </c>
      <c r="B10083" s="920">
        <v>1</v>
      </c>
      <c r="C10083" s="920">
        <f>$A10083*$B10083</f>
        <v>2</v>
      </c>
      <c r="D10083" s="921" t="str">
        <f>Elec_Rates!$D$1035</f>
        <v>093# Galvanised Conduit points for access control</v>
      </c>
      <c r="E10083" s="921"/>
      <c r="F10083" s="921" t="s">
        <v>2599</v>
      </c>
      <c r="G10083" s="922" t="s">
        <v>2600</v>
      </c>
      <c r="H10083" s="922"/>
      <c r="I10083" s="922"/>
      <c r="J10083" s="922"/>
      <c r="K10083" s="923"/>
      <c r="L10083" s="918"/>
      <c r="M10083" s="918"/>
      <c r="N10083" s="918"/>
      <c r="O10083" s="924"/>
      <c r="P10083" s="921"/>
      <c r="Q10083" s="925">
        <f ca="1">$B10083*Elec_Rates!$R$1035</f>
        <v>75.75</v>
      </c>
      <c r="R10083" s="916">
        <f ca="1">$A10083*Q10083</f>
        <v>151.5</v>
      </c>
      <c r="S10083" s="925">
        <f ca="1">$B10083*Elec_Rates!$T$1035</f>
        <v>4.5</v>
      </c>
      <c r="T10083" s="917">
        <f ca="1">$A10083*S10083</f>
        <v>9</v>
      </c>
      <c r="U10083" s="926"/>
      <c r="AR10083" s="919">
        <v>2</v>
      </c>
      <c r="AS10083" s="921" t="s">
        <v>2599</v>
      </c>
    </row>
    <row r="10084" spans="1:45" s="520" customFormat="1" ht="12">
      <c r="A10084" s="758"/>
      <c r="B10084" s="758"/>
      <c r="C10084" s="758"/>
      <c r="D10084" s="758"/>
      <c r="E10084" s="758"/>
      <c r="F10084" s="753"/>
      <c r="G10084" s="758"/>
      <c r="H10084" s="758"/>
      <c r="I10084" s="519"/>
      <c r="J10084" s="758"/>
      <c r="K10084" s="758"/>
      <c r="L10084" s="758"/>
      <c r="M10084" s="758"/>
      <c r="N10084" s="758"/>
      <c r="O10084" s="758"/>
      <c r="P10084" s="758"/>
      <c r="Q10084" s="519"/>
      <c r="R10084" s="759">
        <f>$A10084*Q10084</f>
        <v>0</v>
      </c>
      <c r="S10084" s="519"/>
      <c r="T10084" s="760">
        <f>$A10084*S10084*$T$1</f>
        <v>0</v>
      </c>
      <c r="AR10084" s="758"/>
      <c r="AS10084" s="753"/>
    </row>
    <row r="10085" spans="1:45" s="520" customFormat="1" ht="12.6" thickBot="1">
      <c r="A10085" s="761" t="s">
        <v>145</v>
      </c>
      <c r="B10085" s="762">
        <f>(R10084+T10084)</f>
        <v>0</v>
      </c>
      <c r="C10085" s="763"/>
      <c r="D10085" s="763"/>
      <c r="E10085" s="763"/>
      <c r="F10085" s="764"/>
      <c r="G10085" s="763" t="s">
        <v>146</v>
      </c>
      <c r="H10085" s="763"/>
      <c r="I10085" s="765"/>
      <c r="J10085" s="763"/>
      <c r="K10085" s="763" t="s">
        <v>3</v>
      </c>
      <c r="L10085" s="766" t="s">
        <v>143</v>
      </c>
      <c r="M10085" s="766"/>
      <c r="N10085" s="766"/>
      <c r="O10085" s="766"/>
      <c r="P10085" s="766"/>
      <c r="Q10085" s="767"/>
      <c r="R10085" s="768">
        <f ca="1">SUM(R10081:R10084)</f>
        <v>151.5</v>
      </c>
      <c r="S10085" s="763"/>
      <c r="T10085" s="768">
        <f ca="1">SUM(T10081:T10084)</f>
        <v>9</v>
      </c>
      <c r="U10085" s="531"/>
      <c r="V10085" s="531"/>
      <c r="W10085" s="531"/>
      <c r="X10085" s="531"/>
      <c r="Y10085" s="531"/>
      <c r="Z10085" s="531"/>
      <c r="AA10085" s="531"/>
      <c r="AB10085" s="531"/>
      <c r="AC10085" s="531"/>
      <c r="AD10085" s="531"/>
      <c r="AE10085" s="531"/>
      <c r="AF10085" s="531"/>
      <c r="AG10085" s="531"/>
      <c r="AH10085" s="531"/>
      <c r="AI10085" s="531"/>
      <c r="AJ10085" s="531"/>
      <c r="AK10085" s="531"/>
      <c r="AL10085" s="531"/>
      <c r="AM10085" s="531"/>
      <c r="AN10085" s="531"/>
      <c r="AO10085" s="531"/>
      <c r="AR10085" s="761" t="s">
        <v>145</v>
      </c>
      <c r="AS10085" s="764"/>
    </row>
    <row r="10086" spans="1:45" s="520" customFormat="1" thickTop="1">
      <c r="A10086" s="51"/>
      <c r="B10086" s="51"/>
      <c r="C10086" s="3"/>
      <c r="D10086" s="3"/>
      <c r="E10086" s="51"/>
      <c r="F10086" s="51"/>
      <c r="G10086" s="51"/>
      <c r="H10086" s="51"/>
      <c r="I10086" s="51"/>
      <c r="J10086" s="51"/>
      <c r="K10086" s="51" t="s">
        <v>134</v>
      </c>
      <c r="L10086" s="51"/>
      <c r="M10086" s="51"/>
      <c r="N10086" s="51"/>
      <c r="O10086" s="52"/>
      <c r="P10086" s="51"/>
      <c r="Q10086" s="51"/>
      <c r="R10086" s="51"/>
      <c r="S10086" s="51"/>
      <c r="T10086" s="51"/>
      <c r="AR10086" s="51"/>
      <c r="AS10086" s="51"/>
    </row>
    <row r="10087" spans="1:45" s="520" customFormat="1" ht="12">
      <c r="A10087" s="51"/>
      <c r="B10087" s="51"/>
      <c r="C10087" s="51" t="s">
        <v>135</v>
      </c>
      <c r="D10087" s="37"/>
      <c r="E10087" s="51"/>
      <c r="F10087" s="51"/>
      <c r="G10087" s="51"/>
      <c r="H10087" s="51"/>
      <c r="I10087" s="51"/>
      <c r="J10087" s="51"/>
      <c r="K10087" s="51"/>
      <c r="L10087" s="51"/>
      <c r="M10087" s="51"/>
      <c r="N10087" s="51"/>
      <c r="O10087" s="52"/>
      <c r="P10087" s="51"/>
      <c r="Q10087" s="51"/>
      <c r="R10087" s="51"/>
      <c r="S10087" s="51"/>
      <c r="T10087" s="51"/>
      <c r="AR10087" s="51"/>
      <c r="AS10087" s="51"/>
    </row>
    <row r="10088" spans="1:45" s="520" customFormat="1" ht="39.9" customHeight="1">
      <c r="A10088" s="51"/>
      <c r="B10088" s="51"/>
      <c r="C10088" s="51"/>
      <c r="D10088" s="1453" t="s">
        <v>2185</v>
      </c>
      <c r="E10088" s="1452"/>
      <c r="F10088" s="1452"/>
      <c r="G10088" s="1452"/>
      <c r="H10088" s="1452"/>
      <c r="I10088" s="1452"/>
      <c r="J10088" s="1452"/>
      <c r="K10088" s="1452"/>
      <c r="L10088" s="1452"/>
      <c r="M10088" s="1452"/>
      <c r="N10088" s="1452"/>
      <c r="O10088" s="1452"/>
      <c r="P10088" s="1452"/>
      <c r="Q10088" s="1452"/>
      <c r="R10088" s="1452"/>
      <c r="S10088" s="1452"/>
      <c r="T10088" s="1452"/>
      <c r="AR10088" s="51"/>
    </row>
    <row r="10089" spans="1:45" s="3" customFormat="1" thickBot="1">
      <c r="A10089" s="531"/>
      <c r="O10089" s="107"/>
      <c r="AR10089" s="531"/>
    </row>
    <row r="10090" spans="1:45" s="520" customFormat="1" ht="12" thickTop="1">
      <c r="A10090" s="51"/>
      <c r="B10090" s="41"/>
      <c r="C10090" s="51"/>
      <c r="E10090" s="42" t="s">
        <v>138</v>
      </c>
      <c r="F10090" s="42" t="s">
        <v>139</v>
      </c>
      <c r="G10090" s="51"/>
      <c r="H10090" s="51"/>
      <c r="I10090" s="51"/>
      <c r="J10090" s="51"/>
      <c r="K10090" s="51" t="s">
        <v>140</v>
      </c>
      <c r="L10090" s="51"/>
      <c r="M10090" s="51"/>
      <c r="N10090" s="51"/>
      <c r="O10090" s="52"/>
      <c r="P10090" s="51"/>
      <c r="Q10090" s="51"/>
      <c r="R10090" s="51"/>
      <c r="S10090" s="51"/>
      <c r="T10090" s="41"/>
      <c r="AG10090" s="521" t="s">
        <v>268</v>
      </c>
      <c r="AH10090" s="521" t="s">
        <v>269</v>
      </c>
      <c r="AI10090" s="521" t="s">
        <v>270</v>
      </c>
      <c r="AJ10090" s="521" t="s">
        <v>271</v>
      </c>
      <c r="AK10090" s="521" t="s">
        <v>272</v>
      </c>
      <c r="AM10090" s="745" t="s">
        <v>281</v>
      </c>
      <c r="AN10090" s="746" t="s">
        <v>282</v>
      </c>
      <c r="AO10090" s="522" t="s">
        <v>278</v>
      </c>
      <c r="AR10090" s="51"/>
      <c r="AS10090" s="42" t="s">
        <v>139</v>
      </c>
    </row>
    <row r="10091" spans="1:45" s="520" customFormat="1" ht="12" customHeight="1">
      <c r="A10091" s="747">
        <v>2</v>
      </c>
      <c r="B10091" s="523" t="s">
        <v>329</v>
      </c>
      <c r="C10091" s="748"/>
      <c r="D10091" s="749" t="s">
        <v>1862</v>
      </c>
      <c r="E10091" s="1145">
        <f>IF(AND($A10091=0,$A$1="DIF"),0, ROUND(ROUND(($R10095*$S$3+($T10095*$T$3))/$A10091,2)*$C$3,2))</f>
        <v>34.49</v>
      </c>
      <c r="F10091" s="1146">
        <f>ROUND($A10091*$E10091,2)</f>
        <v>68.98</v>
      </c>
      <c r="G10091" s="752" t="s">
        <v>142</v>
      </c>
      <c r="H10091" s="753"/>
      <c r="I10091" s="754"/>
      <c r="J10091" s="753"/>
      <c r="K10091" s="753" t="s">
        <v>5</v>
      </c>
      <c r="L10091" s="755" t="s">
        <v>143</v>
      </c>
      <c r="M10091" s="755"/>
      <c r="N10091" s="755"/>
      <c r="O10091" s="755"/>
      <c r="P10091" s="755"/>
      <c r="Q10091" s="51"/>
      <c r="T10091" s="1150" t="str">
        <f>IF(AND($R10095=0,$T10095=0),"0.00","mu: "&amp; ROUND(F10091/$C$3/($R10095+$T10095*$D$9),2))</f>
        <v>mu: 1.13</v>
      </c>
      <c r="W10091" s="524"/>
      <c r="AG10091" s="1147">
        <f>IF($E10091=0,0,ROUND($R10095*$S$3*$C$3/$A10091,2))</f>
        <v>34.49</v>
      </c>
      <c r="AH10091" s="1147">
        <f>$AG10091*$A10091</f>
        <v>68.98</v>
      </c>
      <c r="AI10091" s="1148">
        <f>$E10091-$AG10091</f>
        <v>0</v>
      </c>
      <c r="AJ10091" s="1148">
        <f>$A10091*$AI10091</f>
        <v>0</v>
      </c>
      <c r="AK10091" s="1149">
        <f>ROUND(($AG10091+$AI10091)*$A10091,2)</f>
        <v>68.98</v>
      </c>
      <c r="AM10091" s="527">
        <f>ROUND(R10095,2)</f>
        <v>61.11</v>
      </c>
      <c r="AN10091" s="528">
        <f>ROUND(T10095,2)</f>
        <v>0</v>
      </c>
      <c r="AO10091" s="529">
        <f>ROUND(AM10091+AN10091,2)*A10091</f>
        <v>122.22</v>
      </c>
      <c r="AR10091" s="747">
        <v>2</v>
      </c>
      <c r="AS10091" s="1146">
        <v>75.06</v>
      </c>
    </row>
    <row r="10092" spans="1:45" s="520" customFormat="1" ht="13.2">
      <c r="A10092" s="748"/>
      <c r="B10092"/>
      <c r="C10092" s="748"/>
      <c r="D10092" s="749" t="s">
        <v>2184</v>
      </c>
      <c r="F10092" s="753"/>
      <c r="G10092" s="3"/>
      <c r="H10092" s="753"/>
      <c r="I10092" s="754"/>
      <c r="J10092" s="753"/>
      <c r="K10092" s="753" t="s">
        <v>144</v>
      </c>
      <c r="L10092" s="753"/>
      <c r="M10092" s="753"/>
      <c r="N10092" s="753"/>
      <c r="O10092" s="753"/>
      <c r="P10092" s="753"/>
      <c r="Q10092" s="51"/>
      <c r="R10092" s="530"/>
      <c r="S10092" s="757"/>
      <c r="T10092" s="753"/>
      <c r="AR10092" s="748"/>
      <c r="AS10092" s="753"/>
    </row>
    <row r="10093" spans="1:45" s="901" customFormat="1" ht="13.2">
      <c r="A10093" s="903">
        <v>2</v>
      </c>
      <c r="B10093" s="904" t="s">
        <v>863</v>
      </c>
      <c r="C10093" s="904"/>
      <c r="D10093" s="904" t="s">
        <v>2594</v>
      </c>
      <c r="E10093" s="904"/>
      <c r="F10093" s="1153" t="s">
        <v>4142</v>
      </c>
      <c r="G10093" s="905" t="s">
        <v>2595</v>
      </c>
      <c r="H10093" s="902">
        <v>960</v>
      </c>
      <c r="I10093" s="904" t="s">
        <v>2596</v>
      </c>
      <c r="J10093" s="904"/>
      <c r="K10093" s="904"/>
      <c r="L10093" s="904"/>
      <c r="M10093" s="904"/>
      <c r="N10093" s="904"/>
      <c r="O10093" s="902">
        <v>4</v>
      </c>
      <c r="P10093" s="906">
        <v>38274</v>
      </c>
      <c r="Q10093" s="1415">
        <f>35*0.873</f>
        <v>30.555</v>
      </c>
      <c r="R10093" s="908">
        <f>$A10093*Q10093</f>
        <v>61.11</v>
      </c>
      <c r="S10093" s="907"/>
      <c r="T10093" s="909">
        <f>$A10093*S10093*$T$1</f>
        <v>0</v>
      </c>
      <c r="AR10093" s="903">
        <v>2</v>
      </c>
      <c r="AS10093" s="1153" t="s">
        <v>3507</v>
      </c>
    </row>
    <row r="10094" spans="1:45" s="520" customFormat="1" ht="12">
      <c r="A10094" s="758"/>
      <c r="B10094" s="758"/>
      <c r="C10094" s="758"/>
      <c r="D10094" s="758"/>
      <c r="E10094" s="758"/>
      <c r="F10094" s="753"/>
      <c r="G10094" s="758"/>
      <c r="H10094" s="758"/>
      <c r="I10094" s="519"/>
      <c r="J10094" s="758"/>
      <c r="K10094" s="758"/>
      <c r="L10094" s="758"/>
      <c r="M10094" s="758"/>
      <c r="N10094" s="758"/>
      <c r="O10094" s="758"/>
      <c r="P10094" s="758"/>
      <c r="Q10094" s="519"/>
      <c r="R10094" s="759">
        <f>$A10094*Q10094</f>
        <v>0</v>
      </c>
      <c r="S10094" s="519"/>
      <c r="T10094" s="760">
        <f>$A10094*S10094*$T$1</f>
        <v>0</v>
      </c>
      <c r="AR10094" s="758"/>
      <c r="AS10094" s="753"/>
    </row>
    <row r="10095" spans="1:45" s="520" customFormat="1" ht="12.6" thickBot="1">
      <c r="A10095" s="761" t="s">
        <v>145</v>
      </c>
      <c r="B10095" s="762">
        <f>(R10094+T10094)</f>
        <v>0</v>
      </c>
      <c r="C10095" s="763"/>
      <c r="D10095" s="763"/>
      <c r="E10095" s="763"/>
      <c r="F10095" s="764"/>
      <c r="G10095" s="763" t="s">
        <v>146</v>
      </c>
      <c r="H10095" s="763"/>
      <c r="I10095" s="765"/>
      <c r="J10095" s="763"/>
      <c r="K10095" s="763" t="s">
        <v>5</v>
      </c>
      <c r="L10095" s="766" t="s">
        <v>143</v>
      </c>
      <c r="M10095" s="766"/>
      <c r="N10095" s="766"/>
      <c r="O10095" s="766"/>
      <c r="P10095" s="766"/>
      <c r="Q10095" s="767"/>
      <c r="R10095" s="768">
        <f>SUM(R10092:R10094)</f>
        <v>61.11</v>
      </c>
      <c r="S10095" s="763"/>
      <c r="T10095" s="768">
        <f>SUM(T10092:T10094)</f>
        <v>0</v>
      </c>
      <c r="U10095" s="531"/>
      <c r="V10095" s="531"/>
      <c r="W10095" s="531"/>
      <c r="X10095" s="531"/>
      <c r="Y10095" s="531"/>
      <c r="Z10095" s="531"/>
      <c r="AA10095" s="531"/>
      <c r="AB10095" s="531"/>
      <c r="AC10095" s="531"/>
      <c r="AD10095" s="531"/>
      <c r="AE10095" s="531"/>
      <c r="AF10095" s="531"/>
      <c r="AG10095" s="531"/>
      <c r="AH10095" s="531"/>
      <c r="AI10095" s="531"/>
      <c r="AJ10095" s="531"/>
      <c r="AK10095" s="531"/>
      <c r="AL10095" s="531"/>
      <c r="AM10095" s="531"/>
      <c r="AN10095" s="531"/>
      <c r="AO10095" s="531"/>
      <c r="AR10095" s="761" t="s">
        <v>145</v>
      </c>
      <c r="AS10095" s="764"/>
    </row>
    <row r="10096" spans="1:45" s="520" customFormat="1" thickTop="1">
      <c r="A10096" s="51"/>
      <c r="B10096" s="51"/>
      <c r="C10096" s="3"/>
      <c r="D10096" s="3"/>
      <c r="E10096" s="51"/>
      <c r="F10096" s="51"/>
      <c r="G10096" s="51"/>
      <c r="H10096" s="51"/>
      <c r="I10096" s="51"/>
      <c r="J10096" s="51"/>
      <c r="K10096" s="51" t="s">
        <v>134</v>
      </c>
      <c r="L10096" s="51"/>
      <c r="M10096" s="51"/>
      <c r="N10096" s="51"/>
      <c r="O10096" s="52"/>
      <c r="P10096" s="51"/>
      <c r="Q10096" s="51"/>
      <c r="R10096" s="51"/>
      <c r="S10096" s="51"/>
      <c r="T10096" s="51"/>
      <c r="AR10096" s="51"/>
      <c r="AS10096" s="51"/>
    </row>
    <row r="10097" spans="1:45" s="520" customFormat="1" ht="12">
      <c r="A10097" s="51"/>
      <c r="B10097" s="51"/>
      <c r="C10097" s="51" t="s">
        <v>135</v>
      </c>
      <c r="D10097" s="37"/>
      <c r="E10097" s="51"/>
      <c r="F10097" s="51"/>
      <c r="G10097" s="51"/>
      <c r="H10097" s="51"/>
      <c r="I10097" s="51"/>
      <c r="J10097" s="51"/>
      <c r="K10097" s="51"/>
      <c r="L10097" s="51"/>
      <c r="M10097" s="51"/>
      <c r="N10097" s="51"/>
      <c r="O10097" s="52"/>
      <c r="P10097" s="51"/>
      <c r="Q10097" s="51"/>
      <c r="R10097" s="51"/>
      <c r="S10097" s="51"/>
      <c r="T10097" s="51"/>
      <c r="AR10097" s="51"/>
      <c r="AS10097" s="51"/>
    </row>
    <row r="10098" spans="1:45" s="520" customFormat="1" ht="12">
      <c r="A10098" s="51"/>
      <c r="B10098" s="51"/>
      <c r="C10098" s="51"/>
      <c r="D10098" s="37" t="s">
        <v>2186</v>
      </c>
      <c r="E10098" s="51"/>
      <c r="F10098" s="51"/>
      <c r="G10098" s="51"/>
      <c r="H10098" s="51"/>
      <c r="I10098" s="51"/>
      <c r="J10098" s="51"/>
      <c r="K10098" s="51"/>
      <c r="L10098" s="51"/>
      <c r="M10098" s="51"/>
      <c r="N10098" s="51"/>
      <c r="O10098" s="52"/>
      <c r="P10098" s="51"/>
      <c r="Q10098" s="51"/>
      <c r="R10098" s="51"/>
      <c r="S10098" s="38"/>
      <c r="T10098" s="38"/>
      <c r="AR10098" s="51"/>
      <c r="AS10098" s="51"/>
    </row>
    <row r="10099" spans="1:45" s="3" customFormat="1" thickBot="1">
      <c r="A10099" s="531"/>
      <c r="O10099" s="107"/>
      <c r="AR10099" s="531"/>
    </row>
    <row r="10100" spans="1:45" s="520" customFormat="1" ht="12" thickTop="1">
      <c r="A10100" s="51"/>
      <c r="B10100" s="41"/>
      <c r="C10100" s="51"/>
      <c r="E10100" s="42" t="s">
        <v>138</v>
      </c>
      <c r="F10100" s="42" t="s">
        <v>139</v>
      </c>
      <c r="G10100" s="51"/>
      <c r="H10100" s="51"/>
      <c r="I10100" s="51"/>
      <c r="J10100" s="51"/>
      <c r="K10100" s="51" t="s">
        <v>140</v>
      </c>
      <c r="L10100" s="51"/>
      <c r="M10100" s="51"/>
      <c r="N10100" s="51"/>
      <c r="O10100" s="52"/>
      <c r="P10100" s="51"/>
      <c r="Q10100" s="51"/>
      <c r="R10100" s="51"/>
      <c r="S10100" s="51"/>
      <c r="T10100" s="41"/>
      <c r="AG10100" s="521" t="s">
        <v>268</v>
      </c>
      <c r="AH10100" s="521" t="s">
        <v>269</v>
      </c>
      <c r="AI10100" s="521" t="s">
        <v>270</v>
      </c>
      <c r="AJ10100" s="521" t="s">
        <v>271</v>
      </c>
      <c r="AK10100" s="521" t="s">
        <v>272</v>
      </c>
      <c r="AM10100" s="745" t="s">
        <v>281</v>
      </c>
      <c r="AN10100" s="746" t="s">
        <v>282</v>
      </c>
      <c r="AO10100" s="522" t="s">
        <v>278</v>
      </c>
      <c r="AR10100" s="51"/>
      <c r="AS10100" s="42" t="s">
        <v>139</v>
      </c>
    </row>
    <row r="10101" spans="1:45" s="520" customFormat="1" ht="12" customHeight="1">
      <c r="A10101" s="747">
        <v>2</v>
      </c>
      <c r="B10101" s="523" t="s">
        <v>329</v>
      </c>
      <c r="C10101" s="748"/>
      <c r="D10101" s="749" t="s">
        <v>1863</v>
      </c>
      <c r="E10101" s="1145">
        <f>IF(AND($A10101=0,$A$1="DIF"),0, ROUND(ROUND(($R10105*$S$3+($T10105*$T$3))/$A10101,2)*$C$3,2))</f>
        <v>211.86</v>
      </c>
      <c r="F10101" s="1146">
        <f>ROUND($A10101*$E10101,2)</f>
        <v>423.72</v>
      </c>
      <c r="G10101" s="752" t="s">
        <v>142</v>
      </c>
      <c r="H10101" s="753"/>
      <c r="I10101" s="754"/>
      <c r="J10101" s="753"/>
      <c r="K10101" s="753" t="s">
        <v>5</v>
      </c>
      <c r="L10101" s="755" t="s">
        <v>143</v>
      </c>
      <c r="M10101" s="755"/>
      <c r="N10101" s="755"/>
      <c r="O10101" s="755"/>
      <c r="P10101" s="755"/>
      <c r="Q10101" s="51"/>
      <c r="T10101" s="1150" t="str">
        <f>IF(AND($R10105=0,$T10105=0),"0.00","mu: "&amp; ROUND(F10101/$C$3/($R10105+$T10105*$D$9),2))</f>
        <v>mu: 1.13</v>
      </c>
      <c r="W10101" s="524"/>
      <c r="AG10101" s="1147">
        <f>IF($E10101=0,0,ROUND($R10105*$S$3*$C$3/$A10101,2))</f>
        <v>211.86</v>
      </c>
      <c r="AH10101" s="1147">
        <f>$AG10101*$A10101</f>
        <v>423.72</v>
      </c>
      <c r="AI10101" s="1148">
        <f>$E10101-$AG10101</f>
        <v>0</v>
      </c>
      <c r="AJ10101" s="1148">
        <f>$A10101*$AI10101</f>
        <v>0</v>
      </c>
      <c r="AK10101" s="1149">
        <f>ROUND(($AG10101+$AI10101)*$A10101,2)</f>
        <v>423.72</v>
      </c>
      <c r="AM10101" s="527">
        <f>ROUND(R10105,2)</f>
        <v>375.39</v>
      </c>
      <c r="AN10101" s="528">
        <f>ROUND(T10105,2)</f>
        <v>0</v>
      </c>
      <c r="AO10101" s="529">
        <f>ROUND(AM10101+AN10101,2)*A10101</f>
        <v>750.78</v>
      </c>
      <c r="AR10101" s="747">
        <v>2</v>
      </c>
      <c r="AS10101" s="1146">
        <v>461.08</v>
      </c>
    </row>
    <row r="10102" spans="1:45" s="520" customFormat="1" ht="13.2">
      <c r="A10102" s="748"/>
      <c r="B10102"/>
      <c r="C10102" s="748"/>
      <c r="D10102" s="749" t="s">
        <v>2184</v>
      </c>
      <c r="F10102" s="753"/>
      <c r="G10102" s="3"/>
      <c r="H10102" s="753"/>
      <c r="I10102" s="754"/>
      <c r="J10102" s="753"/>
      <c r="K10102" s="753" t="s">
        <v>144</v>
      </c>
      <c r="L10102" s="753"/>
      <c r="M10102" s="753"/>
      <c r="N10102" s="753"/>
      <c r="O10102" s="753"/>
      <c r="P10102" s="753"/>
      <c r="Q10102" s="51"/>
      <c r="R10102" s="530"/>
      <c r="S10102" s="757"/>
      <c r="T10102" s="753"/>
      <c r="AR10102" s="748"/>
      <c r="AS10102" s="753"/>
    </row>
    <row r="10103" spans="1:45" s="901" customFormat="1" ht="13.2">
      <c r="A10103" s="903">
        <v>2</v>
      </c>
      <c r="B10103" s="904" t="s">
        <v>863</v>
      </c>
      <c r="C10103" s="904"/>
      <c r="D10103" s="904" t="s">
        <v>2594</v>
      </c>
      <c r="E10103" s="904"/>
      <c r="F10103" s="1153" t="s">
        <v>4142</v>
      </c>
      <c r="G10103" s="905" t="s">
        <v>2595</v>
      </c>
      <c r="H10103" s="902">
        <v>960</v>
      </c>
      <c r="I10103" s="904" t="s">
        <v>2596</v>
      </c>
      <c r="J10103" s="904"/>
      <c r="K10103" s="904"/>
      <c r="L10103" s="904"/>
      <c r="M10103" s="904"/>
      <c r="N10103" s="904"/>
      <c r="O10103" s="902">
        <v>4</v>
      </c>
      <c r="P10103" s="906">
        <v>38274</v>
      </c>
      <c r="Q10103" s="1415">
        <f>215*0.873</f>
        <v>187.69499999999999</v>
      </c>
      <c r="R10103" s="908">
        <f>$A10103*Q10103</f>
        <v>375.39</v>
      </c>
      <c r="S10103" s="907"/>
      <c r="T10103" s="909">
        <f>$A10103*S10103*$T$1</f>
        <v>0</v>
      </c>
      <c r="AR10103" s="903">
        <v>2</v>
      </c>
      <c r="AS10103" s="1153" t="s">
        <v>3507</v>
      </c>
    </row>
    <row r="10104" spans="1:45" s="520" customFormat="1" ht="12">
      <c r="A10104" s="758"/>
      <c r="B10104" s="758"/>
      <c r="C10104" s="758"/>
      <c r="D10104" s="758"/>
      <c r="E10104" s="758"/>
      <c r="F10104" s="753"/>
      <c r="G10104" s="758"/>
      <c r="H10104" s="758"/>
      <c r="I10104" s="519"/>
      <c r="J10104" s="758"/>
      <c r="K10104" s="758"/>
      <c r="L10104" s="758"/>
      <c r="M10104" s="758"/>
      <c r="N10104" s="758"/>
      <c r="O10104" s="758"/>
      <c r="P10104" s="758"/>
      <c r="Q10104" s="519"/>
      <c r="R10104" s="759">
        <f>$A10104*Q10104</f>
        <v>0</v>
      </c>
      <c r="S10104" s="519"/>
      <c r="T10104" s="760">
        <f>$A10104*S10104*$T$1</f>
        <v>0</v>
      </c>
      <c r="AR10104" s="758"/>
      <c r="AS10104" s="753"/>
    </row>
    <row r="10105" spans="1:45" s="520" customFormat="1" ht="12.6" thickBot="1">
      <c r="A10105" s="761" t="s">
        <v>145</v>
      </c>
      <c r="B10105" s="762">
        <f>(R10104+T10104)</f>
        <v>0</v>
      </c>
      <c r="C10105" s="763"/>
      <c r="D10105" s="763"/>
      <c r="E10105" s="763"/>
      <c r="F10105" s="764"/>
      <c r="G10105" s="763" t="s">
        <v>146</v>
      </c>
      <c r="H10105" s="763"/>
      <c r="I10105" s="765"/>
      <c r="J10105" s="763"/>
      <c r="K10105" s="763" t="s">
        <v>5</v>
      </c>
      <c r="L10105" s="766" t="s">
        <v>143</v>
      </c>
      <c r="M10105" s="766"/>
      <c r="N10105" s="766"/>
      <c r="O10105" s="766"/>
      <c r="P10105" s="766"/>
      <c r="Q10105" s="767"/>
      <c r="R10105" s="768">
        <f>SUM(R10102:R10104)</f>
        <v>375.39</v>
      </c>
      <c r="S10105" s="763"/>
      <c r="T10105" s="768">
        <f>SUM(T10102:T10104)</f>
        <v>0</v>
      </c>
      <c r="U10105" s="531"/>
      <c r="V10105" s="531"/>
      <c r="W10105" s="531"/>
      <c r="X10105" s="531"/>
      <c r="Y10105" s="531"/>
      <c r="Z10105" s="531"/>
      <c r="AA10105" s="531"/>
      <c r="AB10105" s="531"/>
      <c r="AC10105" s="531"/>
      <c r="AD10105" s="531"/>
      <c r="AE10105" s="531"/>
      <c r="AF10105" s="531"/>
      <c r="AG10105" s="531"/>
      <c r="AH10105" s="531"/>
      <c r="AI10105" s="531"/>
      <c r="AJ10105" s="531"/>
      <c r="AK10105" s="531"/>
      <c r="AL10105" s="531"/>
      <c r="AM10105" s="531"/>
      <c r="AN10105" s="531"/>
      <c r="AO10105" s="531"/>
      <c r="AR10105" s="761" t="s">
        <v>145</v>
      </c>
      <c r="AS10105" s="764"/>
    </row>
    <row r="10106" spans="1:45" s="520" customFormat="1" thickTop="1">
      <c r="A10106" s="51"/>
      <c r="B10106" s="51"/>
      <c r="C10106" s="3"/>
      <c r="D10106" s="3"/>
      <c r="E10106" s="51"/>
      <c r="F10106" s="51"/>
      <c r="G10106" s="51"/>
      <c r="H10106" s="51"/>
      <c r="I10106" s="51"/>
      <c r="J10106" s="51"/>
      <c r="K10106" s="51" t="s">
        <v>134</v>
      </c>
      <c r="L10106" s="51"/>
      <c r="M10106" s="51"/>
      <c r="N10106" s="51"/>
      <c r="O10106" s="52"/>
      <c r="P10106" s="51"/>
      <c r="Q10106" s="51"/>
      <c r="R10106" s="51"/>
      <c r="S10106" s="51"/>
      <c r="T10106" s="51"/>
      <c r="AR10106" s="51"/>
      <c r="AS10106" s="51"/>
    </row>
    <row r="10107" spans="1:45" s="520" customFormat="1" ht="12">
      <c r="A10107" s="51"/>
      <c r="B10107" s="51"/>
      <c r="C10107" s="51" t="s">
        <v>135</v>
      </c>
      <c r="D10107" s="37"/>
      <c r="E10107" s="51"/>
      <c r="F10107" s="51"/>
      <c r="G10107" s="51"/>
      <c r="H10107" s="51"/>
      <c r="I10107" s="51"/>
      <c r="J10107" s="51"/>
      <c r="K10107" s="51"/>
      <c r="L10107" s="51"/>
      <c r="M10107" s="51"/>
      <c r="N10107" s="51"/>
      <c r="O10107" s="52"/>
      <c r="P10107" s="51"/>
      <c r="Q10107" s="51"/>
      <c r="R10107" s="51"/>
      <c r="S10107" s="51"/>
      <c r="T10107" s="51"/>
      <c r="AR10107" s="51"/>
      <c r="AS10107" s="51"/>
    </row>
    <row r="10108" spans="1:45" s="520" customFormat="1" ht="12">
      <c r="A10108" s="51"/>
      <c r="B10108" s="51"/>
      <c r="C10108" s="51"/>
      <c r="D10108" s="37" t="s">
        <v>347</v>
      </c>
      <c r="E10108" s="51"/>
      <c r="F10108" s="51"/>
      <c r="G10108" s="51"/>
      <c r="H10108" s="51"/>
      <c r="I10108" s="51"/>
      <c r="J10108" s="51"/>
      <c r="K10108" s="51"/>
      <c r="L10108" s="51"/>
      <c r="M10108" s="51"/>
      <c r="N10108" s="51"/>
      <c r="O10108" s="52"/>
      <c r="P10108" s="51"/>
      <c r="Q10108" s="51"/>
      <c r="R10108" s="51"/>
      <c r="S10108" s="38"/>
      <c r="T10108" s="38"/>
      <c r="AR10108" s="51"/>
      <c r="AS10108" s="51"/>
    </row>
    <row r="10109" spans="1:45" s="3" customFormat="1" thickBot="1">
      <c r="A10109" s="531"/>
      <c r="O10109" s="107"/>
      <c r="AR10109" s="531"/>
    </row>
    <row r="10110" spans="1:45" s="520" customFormat="1" thickTop="1">
      <c r="A10110" s="51"/>
      <c r="B10110" s="51"/>
      <c r="C10110" s="3"/>
      <c r="D10110" s="3"/>
      <c r="E10110" s="51"/>
      <c r="F10110" s="51"/>
      <c r="G10110" s="51"/>
      <c r="H10110" s="51"/>
      <c r="I10110" s="51"/>
      <c r="J10110" s="51"/>
      <c r="K10110" s="51" t="s">
        <v>134</v>
      </c>
      <c r="L10110" s="51"/>
      <c r="M10110" s="51"/>
      <c r="N10110" s="51"/>
      <c r="O10110" s="52"/>
      <c r="P10110" s="51"/>
      <c r="Q10110" s="51"/>
      <c r="R10110" s="51"/>
      <c r="S10110" s="51"/>
      <c r="T10110" s="51"/>
      <c r="AR10110" s="51"/>
      <c r="AS10110" s="51"/>
    </row>
    <row r="10111" spans="1:45" s="520" customFormat="1" ht="12">
      <c r="A10111" s="51"/>
      <c r="B10111" s="51"/>
      <c r="C10111" s="51" t="s">
        <v>135</v>
      </c>
      <c r="D10111" s="37"/>
      <c r="E10111" s="51"/>
      <c r="F10111" s="51"/>
      <c r="G10111" s="51"/>
      <c r="H10111" s="51"/>
      <c r="I10111" s="51"/>
      <c r="J10111" s="51"/>
      <c r="K10111" s="51"/>
      <c r="L10111" s="51"/>
      <c r="M10111" s="51"/>
      <c r="N10111" s="51"/>
      <c r="O10111" s="52"/>
      <c r="P10111" s="51"/>
      <c r="Q10111" s="51"/>
      <c r="R10111" s="51"/>
      <c r="S10111" s="51"/>
      <c r="T10111" s="51"/>
      <c r="AR10111" s="51"/>
      <c r="AS10111" s="51"/>
    </row>
    <row r="10112" spans="1:45" s="520" customFormat="1" ht="39.9" customHeight="1">
      <c r="A10112" s="51"/>
      <c r="B10112" s="51"/>
      <c r="C10112" s="51"/>
      <c r="D10112" s="1453" t="s">
        <v>2498</v>
      </c>
      <c r="E10112" s="1452"/>
      <c r="F10112" s="1452"/>
      <c r="G10112" s="1452"/>
      <c r="H10112" s="1452"/>
      <c r="I10112" s="1452"/>
      <c r="J10112" s="1452"/>
      <c r="K10112" s="1452"/>
      <c r="L10112" s="1452"/>
      <c r="M10112" s="1452"/>
      <c r="N10112" s="1452"/>
      <c r="O10112" s="1452"/>
      <c r="P10112" s="1452"/>
      <c r="Q10112" s="1452"/>
      <c r="R10112" s="1452"/>
      <c r="S10112" s="1452"/>
      <c r="T10112" s="1452"/>
      <c r="AR10112" s="51"/>
    </row>
    <row r="10113" spans="1:45" s="3" customFormat="1" thickBot="1">
      <c r="A10113" s="531"/>
      <c r="O10113" s="107"/>
      <c r="AR10113" s="531"/>
    </row>
    <row r="10114" spans="1:45" s="520" customFormat="1" ht="12" thickTop="1">
      <c r="A10114" s="51"/>
      <c r="B10114" s="41"/>
      <c r="C10114" s="51"/>
      <c r="E10114" s="42" t="s">
        <v>138</v>
      </c>
      <c r="F10114" s="42" t="s">
        <v>139</v>
      </c>
      <c r="G10114" s="51"/>
      <c r="H10114" s="51"/>
      <c r="I10114" s="51"/>
      <c r="J10114" s="51"/>
      <c r="K10114" s="51" t="s">
        <v>140</v>
      </c>
      <c r="L10114" s="51"/>
      <c r="M10114" s="51"/>
      <c r="N10114" s="51"/>
      <c r="O10114" s="52"/>
      <c r="P10114" s="51"/>
      <c r="Q10114" s="51"/>
      <c r="R10114" s="51"/>
      <c r="S10114" s="51"/>
      <c r="T10114" s="41"/>
      <c r="AG10114" s="521" t="s">
        <v>268</v>
      </c>
      <c r="AH10114" s="521" t="s">
        <v>269</v>
      </c>
      <c r="AI10114" s="521" t="s">
        <v>270</v>
      </c>
      <c r="AJ10114" s="521" t="s">
        <v>271</v>
      </c>
      <c r="AK10114" s="521" t="s">
        <v>272</v>
      </c>
      <c r="AM10114" s="745" t="s">
        <v>281</v>
      </c>
      <c r="AN10114" s="746" t="s">
        <v>282</v>
      </c>
      <c r="AO10114" s="522" t="s">
        <v>278</v>
      </c>
      <c r="AR10114" s="51"/>
      <c r="AS10114" s="42" t="s">
        <v>139</v>
      </c>
    </row>
    <row r="10115" spans="1:45" s="520" customFormat="1" ht="12" customHeight="1">
      <c r="A10115" s="747">
        <v>2</v>
      </c>
      <c r="B10115" s="523" t="s">
        <v>329</v>
      </c>
      <c r="C10115" s="748"/>
      <c r="D10115" s="749" t="s">
        <v>1864</v>
      </c>
      <c r="E10115" s="750">
        <f ca="1">IF(AND($A10115=0,$A$1="DIF"),0, ROUND(ROUND(($R10120*$S$2+($T10120*$T$2))/A10115,2)*$C$2,2))</f>
        <v>245.43</v>
      </c>
      <c r="F10115" s="751">
        <f ca="1">ROUND($A10115*$E10115,2)</f>
        <v>490.86</v>
      </c>
      <c r="G10115" s="752" t="s">
        <v>142</v>
      </c>
      <c r="H10115" s="753"/>
      <c r="I10115" s="754"/>
      <c r="J10115" s="753"/>
      <c r="K10115" s="753" t="s">
        <v>3</v>
      </c>
      <c r="L10115" s="755" t="s">
        <v>143</v>
      </c>
      <c r="M10115" s="755"/>
      <c r="N10115" s="755"/>
      <c r="O10115" s="755"/>
      <c r="P10115" s="755"/>
      <c r="Q10115" s="51"/>
      <c r="T10115" s="756" t="str">
        <f ca="1">IF(AND($R10120=0,$T10120=0),"0.00","mu :" &amp; ROUND($F10115/$C$2/($R10120+$T10120*$D$9),2))</f>
        <v>mu :1.23</v>
      </c>
      <c r="W10115" s="524"/>
      <c r="AG10115" s="481">
        <f ca="1">IF($E10115=0,0,ROUND($R10120*$S$2*$C$2/$A10115,2))</f>
        <v>93.27</v>
      </c>
      <c r="AH10115" s="481">
        <f ca="1">$AG10115*$A10115</f>
        <v>186.54</v>
      </c>
      <c r="AI10115" s="525">
        <f ca="1">$E10115-$AG10115</f>
        <v>152.16000000000003</v>
      </c>
      <c r="AJ10115" s="525">
        <f ca="1">$A10115*$AI10115</f>
        <v>304.32000000000005</v>
      </c>
      <c r="AK10115" s="526">
        <f ca="1">ROUND(($AG10115+$AI10115)*$A10115,2)</f>
        <v>490.86</v>
      </c>
      <c r="AM10115" s="527">
        <f ca="1">ROUND(R10120,2)</f>
        <v>151.5</v>
      </c>
      <c r="AN10115" s="528">
        <f ca="1">ROUND(T10120,2)</f>
        <v>9</v>
      </c>
      <c r="AO10115" s="529">
        <f ca="1">ROUND(AM10115+AN10115,2)*A10115</f>
        <v>321</v>
      </c>
      <c r="AR10115" s="747">
        <v>2</v>
      </c>
      <c r="AS10115" s="751">
        <v>524.67999999999995</v>
      </c>
    </row>
    <row r="10116" spans="1:45" s="520" customFormat="1" ht="13.2">
      <c r="A10116" s="748"/>
      <c r="B10116"/>
      <c r="C10116" s="748"/>
      <c r="D10116" s="749" t="s">
        <v>2184</v>
      </c>
      <c r="F10116" s="753"/>
      <c r="G10116" s="3"/>
      <c r="H10116" s="753"/>
      <c r="I10116" s="754"/>
      <c r="J10116" s="753"/>
      <c r="K10116" s="753" t="s">
        <v>144</v>
      </c>
      <c r="L10116" s="753"/>
      <c r="M10116" s="753"/>
      <c r="N10116" s="753"/>
      <c r="O10116" s="753"/>
      <c r="P10116" s="753"/>
      <c r="Q10116" s="51"/>
      <c r="R10116" s="530"/>
      <c r="S10116" s="757"/>
      <c r="T10116" s="753"/>
      <c r="AR10116" s="748"/>
      <c r="AS10116" s="753"/>
    </row>
    <row r="10117" spans="1:45" s="886" customFormat="1" ht="13.2">
      <c r="A10117"/>
      <c r="B10117" s="910"/>
      <c r="C10117" s="910" t="s">
        <v>2597</v>
      </c>
      <c r="D10117" s="910" t="str">
        <f ca="1">CELL("Address",Elec_Rates!D$1035)</f>
        <v>[E25_0062_Quintano_Foods_Elec_ELV_As_Awarded.xlsx]Elec_Rates!$D$1035</v>
      </c>
      <c r="E10117" s="911"/>
      <c r="F10117" s="911"/>
      <c r="G10117" s="912" t="s">
        <v>2598</v>
      </c>
      <c r="H10117" s="912"/>
      <c r="I10117" s="912"/>
      <c r="J10117" s="912"/>
      <c r="K10117" s="913"/>
      <c r="L10117" s="911"/>
      <c r="M10117" s="911"/>
      <c r="N10117" s="911"/>
      <c r="O10117" s="914"/>
      <c r="P10117" s="911"/>
      <c r="Q10117" s="915"/>
      <c r="R10117" s="916"/>
      <c r="S10117" s="915"/>
      <c r="T10117" s="917"/>
      <c r="U10117" s="918"/>
      <c r="AR10117"/>
      <c r="AS10117" s="911"/>
    </row>
    <row r="10118" spans="1:45" s="886" customFormat="1" ht="11.4">
      <c r="A10118" s="919">
        <v>2</v>
      </c>
      <c r="B10118" s="920">
        <v>1</v>
      </c>
      <c r="C10118" s="920">
        <f>$A10118*$B10118</f>
        <v>2</v>
      </c>
      <c r="D10118" s="921" t="str">
        <f>Elec_Rates!$D$1035</f>
        <v>093# Galvanised Conduit points for access control</v>
      </c>
      <c r="E10118" s="921"/>
      <c r="F10118" s="921" t="s">
        <v>2599</v>
      </c>
      <c r="G10118" s="922" t="s">
        <v>2600</v>
      </c>
      <c r="H10118" s="922"/>
      <c r="I10118" s="922"/>
      <c r="J10118" s="922"/>
      <c r="K10118" s="923"/>
      <c r="L10118" s="918"/>
      <c r="M10118" s="918"/>
      <c r="N10118" s="918"/>
      <c r="O10118" s="924"/>
      <c r="P10118" s="921"/>
      <c r="Q10118" s="925">
        <f ca="1">$B10118*Elec_Rates!$R$1035</f>
        <v>75.75</v>
      </c>
      <c r="R10118" s="916">
        <f ca="1">$A10118*Q10118</f>
        <v>151.5</v>
      </c>
      <c r="S10118" s="925">
        <f ca="1">$B10118*Elec_Rates!$T$1035</f>
        <v>4.5</v>
      </c>
      <c r="T10118" s="917">
        <f ca="1">$A10118*S10118</f>
        <v>9</v>
      </c>
      <c r="U10118" s="926"/>
      <c r="AR10118" s="919">
        <v>2</v>
      </c>
      <c r="AS10118" s="921" t="s">
        <v>2599</v>
      </c>
    </row>
    <row r="10119" spans="1:45" s="520" customFormat="1" ht="12">
      <c r="A10119" s="758"/>
      <c r="B10119" s="758"/>
      <c r="C10119" s="758"/>
      <c r="D10119" s="758"/>
      <c r="E10119" s="758"/>
      <c r="F10119" s="753"/>
      <c r="G10119" s="758"/>
      <c r="H10119" s="758"/>
      <c r="I10119" s="519"/>
      <c r="J10119" s="758"/>
      <c r="K10119" s="758"/>
      <c r="L10119" s="758"/>
      <c r="M10119" s="758"/>
      <c r="N10119" s="758"/>
      <c r="O10119" s="758"/>
      <c r="P10119" s="758"/>
      <c r="Q10119" s="519"/>
      <c r="R10119" s="759">
        <f>$A10119*Q10119</f>
        <v>0</v>
      </c>
      <c r="S10119" s="519"/>
      <c r="T10119" s="760">
        <f>$A10119*S10119*$T$1</f>
        <v>0</v>
      </c>
      <c r="AR10119" s="758"/>
      <c r="AS10119" s="753"/>
    </row>
    <row r="10120" spans="1:45" s="520" customFormat="1" ht="12.6" thickBot="1">
      <c r="A10120" s="761" t="s">
        <v>145</v>
      </c>
      <c r="B10120" s="762">
        <f>(R10119+T10119)</f>
        <v>0</v>
      </c>
      <c r="C10120" s="763"/>
      <c r="D10120" s="763"/>
      <c r="E10120" s="763"/>
      <c r="F10120" s="764"/>
      <c r="G10120" s="763" t="s">
        <v>146</v>
      </c>
      <c r="H10120" s="763"/>
      <c r="I10120" s="765"/>
      <c r="J10120" s="763"/>
      <c r="K10120" s="763" t="s">
        <v>3</v>
      </c>
      <c r="L10120" s="766" t="s">
        <v>143</v>
      </c>
      <c r="M10120" s="766"/>
      <c r="N10120" s="766"/>
      <c r="O10120" s="766"/>
      <c r="P10120" s="766"/>
      <c r="Q10120" s="767"/>
      <c r="R10120" s="768">
        <f ca="1">SUM(R10116:R10119)</f>
        <v>151.5</v>
      </c>
      <c r="S10120" s="763"/>
      <c r="T10120" s="768">
        <f ca="1">SUM(T10116:T10119)</f>
        <v>9</v>
      </c>
      <c r="U10120" s="531"/>
      <c r="V10120" s="531"/>
      <c r="W10120" s="531"/>
      <c r="X10120" s="531"/>
      <c r="Y10120" s="531"/>
      <c r="Z10120" s="531"/>
      <c r="AA10120" s="531"/>
      <c r="AB10120" s="531"/>
      <c r="AC10120" s="531"/>
      <c r="AD10120" s="531"/>
      <c r="AE10120" s="531"/>
      <c r="AF10120" s="531"/>
      <c r="AG10120" s="531"/>
      <c r="AH10120" s="531"/>
      <c r="AI10120" s="531"/>
      <c r="AJ10120" s="531"/>
      <c r="AK10120" s="531"/>
      <c r="AL10120" s="531"/>
      <c r="AM10120" s="531"/>
      <c r="AN10120" s="531"/>
      <c r="AO10120" s="531"/>
      <c r="AR10120" s="761" t="s">
        <v>145</v>
      </c>
      <c r="AS10120" s="764"/>
    </row>
    <row r="10121" spans="1:45" s="520" customFormat="1" thickTop="1">
      <c r="A10121" s="51"/>
      <c r="B10121" s="51"/>
      <c r="C10121" s="3"/>
      <c r="D10121" s="3"/>
      <c r="E10121" s="51"/>
      <c r="F10121" s="51"/>
      <c r="G10121" s="51"/>
      <c r="H10121" s="51"/>
      <c r="I10121" s="51"/>
      <c r="J10121" s="51"/>
      <c r="K10121" s="51" t="s">
        <v>134</v>
      </c>
      <c r="L10121" s="51"/>
      <c r="M10121" s="51"/>
      <c r="N10121" s="51"/>
      <c r="O10121" s="52"/>
      <c r="P10121" s="51"/>
      <c r="Q10121" s="51"/>
      <c r="R10121" s="51"/>
      <c r="S10121" s="51"/>
      <c r="T10121" s="51"/>
      <c r="AR10121" s="51"/>
      <c r="AS10121" s="51"/>
    </row>
    <row r="10122" spans="1:45" s="520" customFormat="1" ht="12">
      <c r="A10122" s="51"/>
      <c r="B10122" s="51"/>
      <c r="C10122" s="51" t="s">
        <v>135</v>
      </c>
      <c r="D10122" s="37"/>
      <c r="E10122" s="51"/>
      <c r="F10122" s="51"/>
      <c r="G10122" s="51"/>
      <c r="H10122" s="51"/>
      <c r="I10122" s="51"/>
      <c r="J10122" s="51"/>
      <c r="K10122" s="51"/>
      <c r="L10122" s="51"/>
      <c r="M10122" s="51"/>
      <c r="N10122" s="51"/>
      <c r="O10122" s="52"/>
      <c r="P10122" s="51"/>
      <c r="Q10122" s="51"/>
      <c r="R10122" s="51"/>
      <c r="S10122" s="51"/>
      <c r="T10122" s="51"/>
      <c r="AR10122" s="51"/>
      <c r="AS10122" s="51"/>
    </row>
    <row r="10123" spans="1:45" s="520" customFormat="1" ht="39.9" customHeight="1">
      <c r="A10123" s="51"/>
      <c r="B10123" s="51"/>
      <c r="C10123" s="51"/>
      <c r="D10123" s="1453" t="s">
        <v>2499</v>
      </c>
      <c r="E10123" s="1452"/>
      <c r="F10123" s="1452"/>
      <c r="G10123" s="1452"/>
      <c r="H10123" s="1452"/>
      <c r="I10123" s="1452"/>
      <c r="J10123" s="1452"/>
      <c r="K10123" s="1452"/>
      <c r="L10123" s="1452"/>
      <c r="M10123" s="1452"/>
      <c r="N10123" s="1452"/>
      <c r="O10123" s="1452"/>
      <c r="P10123" s="1452"/>
      <c r="Q10123" s="1452"/>
      <c r="R10123" s="1452"/>
      <c r="S10123" s="1452"/>
      <c r="T10123" s="1452"/>
      <c r="AR10123" s="51"/>
    </row>
    <row r="10124" spans="1:45" s="3" customFormat="1" thickBot="1">
      <c r="A10124" s="531"/>
      <c r="O10124" s="107"/>
      <c r="AR10124" s="531"/>
    </row>
    <row r="10125" spans="1:45" s="520" customFormat="1" ht="12" thickTop="1">
      <c r="A10125" s="51"/>
      <c r="B10125" s="41"/>
      <c r="C10125" s="51"/>
      <c r="E10125" s="42" t="s">
        <v>138</v>
      </c>
      <c r="F10125" s="42" t="s">
        <v>139</v>
      </c>
      <c r="G10125" s="51"/>
      <c r="H10125" s="51"/>
      <c r="I10125" s="51"/>
      <c r="J10125" s="51"/>
      <c r="K10125" s="51" t="s">
        <v>140</v>
      </c>
      <c r="L10125" s="51"/>
      <c r="M10125" s="51"/>
      <c r="N10125" s="51"/>
      <c r="O10125" s="52"/>
      <c r="P10125" s="51"/>
      <c r="Q10125" s="51"/>
      <c r="R10125" s="51"/>
      <c r="S10125" s="51"/>
      <c r="T10125" s="41"/>
      <c r="AG10125" s="521" t="s">
        <v>268</v>
      </c>
      <c r="AH10125" s="521" t="s">
        <v>269</v>
      </c>
      <c r="AI10125" s="521" t="s">
        <v>270</v>
      </c>
      <c r="AJ10125" s="521" t="s">
        <v>271</v>
      </c>
      <c r="AK10125" s="521" t="s">
        <v>272</v>
      </c>
      <c r="AM10125" s="745" t="s">
        <v>281</v>
      </c>
      <c r="AN10125" s="746" t="s">
        <v>282</v>
      </c>
      <c r="AO10125" s="522" t="s">
        <v>278</v>
      </c>
      <c r="AR10125" s="51"/>
      <c r="AS10125" s="42" t="s">
        <v>139</v>
      </c>
    </row>
    <row r="10126" spans="1:45" s="520" customFormat="1" ht="12" customHeight="1">
      <c r="A10126" s="747">
        <v>2</v>
      </c>
      <c r="B10126" s="523" t="s">
        <v>329</v>
      </c>
      <c r="C10126" s="748"/>
      <c r="D10126" s="749" t="s">
        <v>1865</v>
      </c>
      <c r="E10126" s="750">
        <f ca="1">IF(AND($A10126=0,$A$1="DIF"),0, ROUND(ROUND(($R10131*$S$2+($T10131*$T$2))/A10126,2)*$C$2,2))</f>
        <v>36.97</v>
      </c>
      <c r="F10126" s="751">
        <f ca="1">ROUND($A10126*$E10126,2)</f>
        <v>73.94</v>
      </c>
      <c r="G10126" s="752" t="s">
        <v>142</v>
      </c>
      <c r="H10126" s="753"/>
      <c r="I10126" s="754"/>
      <c r="J10126" s="753"/>
      <c r="K10126" s="753" t="s">
        <v>3</v>
      </c>
      <c r="L10126" s="755" t="s">
        <v>143</v>
      </c>
      <c r="M10126" s="755"/>
      <c r="N10126" s="755"/>
      <c r="O10126" s="755"/>
      <c r="P10126" s="755"/>
      <c r="Q10126" s="51"/>
      <c r="T10126" s="756" t="str">
        <f ca="1">IF(AND($R10131=0,$T10131=0),"0.00","mu :" &amp; ROUND($F10126/$C$2/($R10131+$T10131*$D$9),2))</f>
        <v>mu :1.23</v>
      </c>
      <c r="W10126" s="524"/>
      <c r="AG10126" s="481">
        <f ca="1">IF($E10126=0,0,ROUND($R10131*$S$2*$C$2/$A10126,2))</f>
        <v>13.3</v>
      </c>
      <c r="AH10126" s="481">
        <f ca="1">$AG10126*$A10126</f>
        <v>26.6</v>
      </c>
      <c r="AI10126" s="525">
        <f ca="1">$E10126-$AG10126</f>
        <v>23.669999999999998</v>
      </c>
      <c r="AJ10126" s="525">
        <f ca="1">$A10126*$AI10126</f>
        <v>47.339999999999996</v>
      </c>
      <c r="AK10126" s="526">
        <f ca="1">ROUND(($AG10126+$AI10126)*$A10126,2)</f>
        <v>73.94</v>
      </c>
      <c r="AM10126" s="527">
        <f ca="1">ROUND(R10131,2)</f>
        <v>21.6</v>
      </c>
      <c r="AN10126" s="528">
        <f ca="1">ROUND(T10131,2)</f>
        <v>1.4</v>
      </c>
      <c r="AO10126" s="529">
        <f ca="1">ROUND(AM10126+AN10126,2)*A10126</f>
        <v>46</v>
      </c>
      <c r="AR10126" s="747">
        <v>2</v>
      </c>
      <c r="AS10126" s="751">
        <v>79.34</v>
      </c>
    </row>
    <row r="10127" spans="1:45" s="520" customFormat="1" ht="13.2">
      <c r="A10127" s="748"/>
      <c r="B10127"/>
      <c r="C10127" s="748"/>
      <c r="D10127" s="749" t="s">
        <v>2188</v>
      </c>
      <c r="F10127" s="753"/>
      <c r="G10127" s="3"/>
      <c r="H10127" s="753"/>
      <c r="I10127" s="754"/>
      <c r="J10127" s="753"/>
      <c r="K10127" s="753" t="s">
        <v>144</v>
      </c>
      <c r="L10127" s="753"/>
      <c r="M10127" s="753"/>
      <c r="N10127" s="753"/>
      <c r="O10127" s="753"/>
      <c r="P10127" s="753"/>
      <c r="Q10127" s="51"/>
      <c r="R10127" s="530"/>
      <c r="S10127" s="757"/>
      <c r="T10127" s="753"/>
      <c r="AR10127" s="748"/>
      <c r="AS10127" s="753"/>
    </row>
    <row r="10128" spans="1:45" s="886" customFormat="1" ht="13.2">
      <c r="A10128"/>
      <c r="B10128" s="910"/>
      <c r="C10128" s="910" t="s">
        <v>2597</v>
      </c>
      <c r="D10128" s="910" t="str">
        <f ca="1">CELL("Address",Elec_Rates!D$1041)</f>
        <v>[E25_0062_Quintano_Foods_Elec_ELV_As_Awarded.xlsx]Elec_Rates!$D$1041</v>
      </c>
      <c r="E10128" s="911"/>
      <c r="F10128" s="911"/>
      <c r="G10128" s="912" t="s">
        <v>2598</v>
      </c>
      <c r="H10128" s="912"/>
      <c r="I10128" s="912"/>
      <c r="J10128" s="912"/>
      <c r="K10128" s="913"/>
      <c r="L10128" s="911"/>
      <c r="M10128" s="911"/>
      <c r="N10128" s="911"/>
      <c r="O10128" s="914"/>
      <c r="P10128" s="911"/>
      <c r="Q10128" s="915"/>
      <c r="R10128" s="916"/>
      <c r="S10128" s="915"/>
      <c r="T10128" s="917"/>
      <c r="U10128" s="918"/>
      <c r="AR10128"/>
      <c r="AS10128" s="911"/>
    </row>
    <row r="10129" spans="1:45" s="886" customFormat="1" ht="11.4">
      <c r="A10129" s="919">
        <v>2</v>
      </c>
      <c r="B10129" s="920">
        <v>1</v>
      </c>
      <c r="C10129" s="920">
        <f>$A10129*$B10129</f>
        <v>2</v>
      </c>
      <c r="D10129" s="921" t="str">
        <f>Elec_Rates!$D$1041</f>
        <v>094# LSZH Conduit points for access control</v>
      </c>
      <c r="E10129" s="921"/>
      <c r="F10129" s="921" t="s">
        <v>2599</v>
      </c>
      <c r="G10129" s="922" t="s">
        <v>2601</v>
      </c>
      <c r="H10129" s="922"/>
      <c r="I10129" s="922"/>
      <c r="J10129" s="922"/>
      <c r="K10129" s="923"/>
      <c r="L10129" s="918"/>
      <c r="M10129" s="918"/>
      <c r="N10129" s="918"/>
      <c r="O10129" s="924"/>
      <c r="P10129" s="921"/>
      <c r="Q10129" s="925">
        <f ca="1">$B10129*Elec_Rates!$R$1041</f>
        <v>10.8</v>
      </c>
      <c r="R10129" s="916">
        <f ca="1">$A10129*Q10129</f>
        <v>21.6</v>
      </c>
      <c r="S10129" s="925">
        <f ca="1">$B10129*Elec_Rates!$T$1041</f>
        <v>0.7</v>
      </c>
      <c r="T10129" s="917">
        <f ca="1">$A10129*S10129</f>
        <v>1.4</v>
      </c>
      <c r="U10129" s="926"/>
      <c r="AR10129" s="919">
        <v>2</v>
      </c>
      <c r="AS10129" s="921" t="s">
        <v>2599</v>
      </c>
    </row>
    <row r="10130" spans="1:45" s="520" customFormat="1" ht="12">
      <c r="A10130" s="758"/>
      <c r="B10130" s="758"/>
      <c r="C10130" s="758"/>
      <c r="D10130" s="758"/>
      <c r="E10130" s="758"/>
      <c r="F10130" s="753"/>
      <c r="G10130" s="758"/>
      <c r="H10130" s="758"/>
      <c r="I10130" s="519"/>
      <c r="J10130" s="758"/>
      <c r="K10130" s="758"/>
      <c r="L10130" s="758"/>
      <c r="M10130" s="758"/>
      <c r="N10130" s="758"/>
      <c r="O10130" s="758"/>
      <c r="P10130" s="758"/>
      <c r="Q10130" s="519"/>
      <c r="R10130" s="759">
        <f>$A10130*Q10130</f>
        <v>0</v>
      </c>
      <c r="S10130" s="519"/>
      <c r="T10130" s="760">
        <f>$A10130*S10130*$T$1</f>
        <v>0</v>
      </c>
      <c r="AR10130" s="758"/>
      <c r="AS10130" s="753"/>
    </row>
    <row r="10131" spans="1:45" s="520" customFormat="1" ht="12.6" thickBot="1">
      <c r="A10131" s="761" t="s">
        <v>145</v>
      </c>
      <c r="B10131" s="762">
        <f>(R10130+T10130)</f>
        <v>0</v>
      </c>
      <c r="C10131" s="763"/>
      <c r="D10131" s="763"/>
      <c r="E10131" s="763"/>
      <c r="F10131" s="764"/>
      <c r="G10131" s="763" t="s">
        <v>146</v>
      </c>
      <c r="H10131" s="763"/>
      <c r="I10131" s="765"/>
      <c r="J10131" s="763"/>
      <c r="K10131" s="763" t="s">
        <v>3</v>
      </c>
      <c r="L10131" s="766" t="s">
        <v>143</v>
      </c>
      <c r="M10131" s="766"/>
      <c r="N10131" s="766"/>
      <c r="O10131" s="766"/>
      <c r="P10131" s="766"/>
      <c r="Q10131" s="767"/>
      <c r="R10131" s="768">
        <f ca="1">SUM(R10127:R10130)</f>
        <v>21.6</v>
      </c>
      <c r="S10131" s="763"/>
      <c r="T10131" s="768">
        <f ca="1">SUM(T10127:T10130)</f>
        <v>1.4</v>
      </c>
      <c r="U10131" s="531"/>
      <c r="V10131" s="531"/>
      <c r="W10131" s="531"/>
      <c r="X10131" s="531"/>
      <c r="Y10131" s="531"/>
      <c r="Z10131" s="531"/>
      <c r="AA10131" s="531"/>
      <c r="AB10131" s="531"/>
      <c r="AC10131" s="531"/>
      <c r="AD10131" s="531"/>
      <c r="AE10131" s="531"/>
      <c r="AF10131" s="531"/>
      <c r="AG10131" s="531"/>
      <c r="AH10131" s="531"/>
      <c r="AI10131" s="531"/>
      <c r="AJ10131" s="531"/>
      <c r="AK10131" s="531"/>
      <c r="AL10131" s="531"/>
      <c r="AM10131" s="531"/>
      <c r="AN10131" s="531"/>
      <c r="AO10131" s="531"/>
      <c r="AR10131" s="761" t="s">
        <v>145</v>
      </c>
      <c r="AS10131" s="764"/>
    </row>
    <row r="10132" spans="1:45" s="520" customFormat="1" thickTop="1">
      <c r="A10132" s="51"/>
      <c r="B10132" s="51"/>
      <c r="C10132" s="3"/>
      <c r="D10132" s="3"/>
      <c r="E10132" s="51"/>
      <c r="F10132" s="51"/>
      <c r="G10132" s="51"/>
      <c r="H10132" s="51"/>
      <c r="I10132" s="51"/>
      <c r="J10132" s="51"/>
      <c r="K10132" s="51" t="s">
        <v>134</v>
      </c>
      <c r="L10132" s="51"/>
      <c r="M10132" s="51"/>
      <c r="N10132" s="51"/>
      <c r="O10132" s="52"/>
      <c r="P10132" s="51"/>
      <c r="Q10132" s="51"/>
      <c r="R10132" s="51"/>
      <c r="S10132" s="51"/>
      <c r="T10132" s="51"/>
      <c r="AR10132" s="51"/>
      <c r="AS10132" s="51"/>
    </row>
    <row r="10133" spans="1:45" s="520" customFormat="1" ht="12">
      <c r="A10133" s="51"/>
      <c r="B10133" s="51"/>
      <c r="C10133" s="51" t="s">
        <v>135</v>
      </c>
      <c r="D10133" s="37"/>
      <c r="E10133" s="51"/>
      <c r="F10133" s="51"/>
      <c r="G10133" s="51"/>
      <c r="H10133" s="51"/>
      <c r="I10133" s="51"/>
      <c r="J10133" s="51"/>
      <c r="K10133" s="51"/>
      <c r="L10133" s="51"/>
      <c r="M10133" s="51"/>
      <c r="N10133" s="51"/>
      <c r="O10133" s="52"/>
      <c r="P10133" s="51"/>
      <c r="Q10133" s="51"/>
      <c r="R10133" s="51"/>
      <c r="S10133" s="51"/>
      <c r="T10133" s="51"/>
      <c r="AR10133" s="51"/>
      <c r="AS10133" s="51"/>
    </row>
    <row r="10134" spans="1:45" s="520" customFormat="1" ht="39.9" customHeight="1">
      <c r="A10134" s="51"/>
      <c r="B10134" s="51"/>
      <c r="C10134" s="51"/>
      <c r="D10134" s="1453" t="s">
        <v>2185</v>
      </c>
      <c r="E10134" s="1452"/>
      <c r="F10134" s="1452"/>
      <c r="G10134" s="1452"/>
      <c r="H10134" s="1452"/>
      <c r="I10134" s="1452"/>
      <c r="J10134" s="1452"/>
      <c r="K10134" s="1452"/>
      <c r="L10134" s="1452"/>
      <c r="M10134" s="1452"/>
      <c r="N10134" s="1452"/>
      <c r="O10134" s="1452"/>
      <c r="P10134" s="1452"/>
      <c r="Q10134" s="1452"/>
      <c r="R10134" s="1452"/>
      <c r="S10134" s="1452"/>
      <c r="T10134" s="1452"/>
      <c r="AR10134" s="51"/>
    </row>
    <row r="10135" spans="1:45" s="3" customFormat="1" thickBot="1">
      <c r="A10135" s="531"/>
      <c r="O10135" s="107"/>
      <c r="AR10135" s="531"/>
    </row>
    <row r="10136" spans="1:45" s="520" customFormat="1" ht="12" thickTop="1">
      <c r="A10136" s="51"/>
      <c r="B10136" s="41"/>
      <c r="C10136" s="51"/>
      <c r="E10136" s="42" t="s">
        <v>138</v>
      </c>
      <c r="F10136" s="42" t="s">
        <v>139</v>
      </c>
      <c r="G10136" s="51"/>
      <c r="H10136" s="51"/>
      <c r="I10136" s="51"/>
      <c r="J10136" s="51"/>
      <c r="K10136" s="51" t="s">
        <v>140</v>
      </c>
      <c r="L10136" s="51"/>
      <c r="M10136" s="51"/>
      <c r="N10136" s="51"/>
      <c r="O10136" s="52"/>
      <c r="P10136" s="51"/>
      <c r="Q10136" s="51"/>
      <c r="R10136" s="51"/>
      <c r="S10136" s="51"/>
      <c r="T10136" s="41"/>
      <c r="AG10136" s="521" t="s">
        <v>268</v>
      </c>
      <c r="AH10136" s="521" t="s">
        <v>269</v>
      </c>
      <c r="AI10136" s="521" t="s">
        <v>270</v>
      </c>
      <c r="AJ10136" s="521" t="s">
        <v>271</v>
      </c>
      <c r="AK10136" s="521" t="s">
        <v>272</v>
      </c>
      <c r="AM10136" s="745" t="s">
        <v>281</v>
      </c>
      <c r="AN10136" s="746" t="s">
        <v>282</v>
      </c>
      <c r="AO10136" s="522" t="s">
        <v>278</v>
      </c>
      <c r="AR10136" s="51"/>
      <c r="AS10136" s="42" t="s">
        <v>139</v>
      </c>
    </row>
    <row r="10137" spans="1:45" s="520" customFormat="1" ht="12" customHeight="1">
      <c r="A10137" s="747">
        <v>2</v>
      </c>
      <c r="B10137" s="523" t="s">
        <v>329</v>
      </c>
      <c r="C10137" s="748"/>
      <c r="D10137" s="749" t="s">
        <v>1866</v>
      </c>
      <c r="E10137" s="1145">
        <f>IF(AND($A10137=0,$A$1="DIF"),0, ROUND(ROUND(($R10141*$S$3+($T10141*$T$3))/$A10137,2)*$C$3,2))</f>
        <v>24.63</v>
      </c>
      <c r="F10137" s="1146">
        <f>ROUND($A10137*$E10137,2)</f>
        <v>49.26</v>
      </c>
      <c r="G10137" s="752" t="s">
        <v>142</v>
      </c>
      <c r="H10137" s="753"/>
      <c r="I10137" s="754"/>
      <c r="J10137" s="753"/>
      <c r="K10137" s="753" t="s">
        <v>5</v>
      </c>
      <c r="L10137" s="755" t="s">
        <v>143</v>
      </c>
      <c r="M10137" s="755"/>
      <c r="N10137" s="755"/>
      <c r="O10137" s="755"/>
      <c r="P10137" s="755"/>
      <c r="Q10137" s="51"/>
      <c r="T10137" s="1150" t="str">
        <f>IF(AND($R10141=0,$T10141=0),"0.00","mu: "&amp; ROUND(F10137/$C$3/($R10141+$T10141*$D$9),2))</f>
        <v>mu: 1.13</v>
      </c>
      <c r="W10137" s="524"/>
      <c r="AG10137" s="1147">
        <f>IF($E10137=0,0,ROUND($R10141*$S$3*$C$3/$A10137,2))</f>
        <v>24.63</v>
      </c>
      <c r="AH10137" s="1147">
        <f>$AG10137*$A10137</f>
        <v>49.26</v>
      </c>
      <c r="AI10137" s="1148">
        <f>$E10137-$AG10137</f>
        <v>0</v>
      </c>
      <c r="AJ10137" s="1148">
        <f>$A10137*$AI10137</f>
        <v>0</v>
      </c>
      <c r="AK10137" s="1149">
        <f>ROUND(($AG10137+$AI10137)*$A10137,2)</f>
        <v>49.26</v>
      </c>
      <c r="AM10137" s="527">
        <f>ROUND(R10141,2)</f>
        <v>43.65</v>
      </c>
      <c r="AN10137" s="528">
        <f>ROUND(T10141,2)</f>
        <v>0</v>
      </c>
      <c r="AO10137" s="529">
        <f>ROUND(AM10137+AN10137,2)*A10137</f>
        <v>87.3</v>
      </c>
      <c r="AR10137" s="747">
        <v>2</v>
      </c>
      <c r="AS10137" s="1146">
        <v>53.62</v>
      </c>
    </row>
    <row r="10138" spans="1:45" s="520" customFormat="1" ht="13.2">
      <c r="A10138" s="748"/>
      <c r="B10138"/>
      <c r="C10138" s="748"/>
      <c r="D10138" s="749" t="s">
        <v>2188</v>
      </c>
      <c r="F10138" s="753"/>
      <c r="G10138" s="3"/>
      <c r="H10138" s="753"/>
      <c r="I10138" s="754"/>
      <c r="J10138" s="753"/>
      <c r="K10138" s="753" t="s">
        <v>144</v>
      </c>
      <c r="L10138" s="753"/>
      <c r="M10138" s="753"/>
      <c r="N10138" s="753"/>
      <c r="O10138" s="753"/>
      <c r="P10138" s="753"/>
      <c r="Q10138" s="51"/>
      <c r="R10138" s="530"/>
      <c r="S10138" s="757"/>
      <c r="T10138" s="753"/>
      <c r="AR10138" s="748"/>
      <c r="AS10138" s="753"/>
    </row>
    <row r="10139" spans="1:45" s="901" customFormat="1" ht="13.2">
      <c r="A10139" s="903">
        <v>2</v>
      </c>
      <c r="B10139" s="904" t="s">
        <v>863</v>
      </c>
      <c r="C10139" s="904"/>
      <c r="D10139" s="904" t="s">
        <v>2594</v>
      </c>
      <c r="E10139" s="904"/>
      <c r="F10139" s="1153" t="s">
        <v>4142</v>
      </c>
      <c r="G10139" s="905" t="s">
        <v>2595</v>
      </c>
      <c r="H10139" s="902">
        <v>960</v>
      </c>
      <c r="I10139" s="904" t="s">
        <v>2596</v>
      </c>
      <c r="J10139" s="904"/>
      <c r="K10139" s="904"/>
      <c r="L10139" s="904"/>
      <c r="M10139" s="904"/>
      <c r="N10139" s="904"/>
      <c r="O10139" s="902">
        <v>4</v>
      </c>
      <c r="P10139" s="906">
        <v>38274</v>
      </c>
      <c r="Q10139" s="1415">
        <f>25*0.873</f>
        <v>21.824999999999999</v>
      </c>
      <c r="R10139" s="908">
        <f>$A10139*Q10139</f>
        <v>43.65</v>
      </c>
      <c r="S10139" s="907"/>
      <c r="T10139" s="909">
        <f>$A10139*S10139*$T$1</f>
        <v>0</v>
      </c>
      <c r="AR10139" s="903">
        <v>2</v>
      </c>
      <c r="AS10139" s="1153" t="s">
        <v>3507</v>
      </c>
    </row>
    <row r="10140" spans="1:45" s="520" customFormat="1" ht="12">
      <c r="A10140" s="758"/>
      <c r="B10140" s="758"/>
      <c r="C10140" s="758"/>
      <c r="D10140" s="758"/>
      <c r="E10140" s="758"/>
      <c r="F10140" s="753"/>
      <c r="G10140" s="758"/>
      <c r="H10140" s="758"/>
      <c r="I10140" s="519"/>
      <c r="J10140" s="758"/>
      <c r="K10140" s="758"/>
      <c r="L10140" s="758"/>
      <c r="M10140" s="758"/>
      <c r="N10140" s="758"/>
      <c r="O10140" s="758"/>
      <c r="P10140" s="758"/>
      <c r="Q10140" s="519"/>
      <c r="R10140" s="759">
        <f>$A10140*Q10140</f>
        <v>0</v>
      </c>
      <c r="S10140" s="519"/>
      <c r="T10140" s="760">
        <f>$A10140*S10140*$T$1</f>
        <v>0</v>
      </c>
      <c r="AR10140" s="758"/>
      <c r="AS10140" s="753"/>
    </row>
    <row r="10141" spans="1:45" s="520" customFormat="1" ht="12.6" thickBot="1">
      <c r="A10141" s="761" t="s">
        <v>145</v>
      </c>
      <c r="B10141" s="762">
        <f>(R10140+T10140)</f>
        <v>0</v>
      </c>
      <c r="C10141" s="763"/>
      <c r="D10141" s="763"/>
      <c r="E10141" s="763"/>
      <c r="F10141" s="764"/>
      <c r="G10141" s="763" t="s">
        <v>146</v>
      </c>
      <c r="H10141" s="763"/>
      <c r="I10141" s="765"/>
      <c r="J10141" s="763"/>
      <c r="K10141" s="763" t="s">
        <v>5</v>
      </c>
      <c r="L10141" s="766" t="s">
        <v>143</v>
      </c>
      <c r="M10141" s="766"/>
      <c r="N10141" s="766"/>
      <c r="O10141" s="766"/>
      <c r="P10141" s="766"/>
      <c r="Q10141" s="767"/>
      <c r="R10141" s="768">
        <f>SUM(R10138:R10140)</f>
        <v>43.65</v>
      </c>
      <c r="S10141" s="763"/>
      <c r="T10141" s="768">
        <f>SUM(T10138:T10140)</f>
        <v>0</v>
      </c>
      <c r="U10141" s="531"/>
      <c r="V10141" s="531"/>
      <c r="W10141" s="531"/>
      <c r="X10141" s="531"/>
      <c r="Y10141" s="531"/>
      <c r="Z10141" s="531"/>
      <c r="AA10141" s="531"/>
      <c r="AB10141" s="531"/>
      <c r="AC10141" s="531"/>
      <c r="AD10141" s="531"/>
      <c r="AE10141" s="531"/>
      <c r="AF10141" s="531"/>
      <c r="AG10141" s="531"/>
      <c r="AH10141" s="531"/>
      <c r="AI10141" s="531"/>
      <c r="AJ10141" s="531"/>
      <c r="AK10141" s="531"/>
      <c r="AL10141" s="531"/>
      <c r="AM10141" s="531"/>
      <c r="AN10141" s="531"/>
      <c r="AO10141" s="531"/>
      <c r="AR10141" s="761" t="s">
        <v>145</v>
      </c>
      <c r="AS10141" s="764"/>
    </row>
    <row r="10142" spans="1:45" s="520" customFormat="1" ht="12" thickTop="1">
      <c r="A10142" s="51"/>
      <c r="B10142" s="41"/>
      <c r="C10142" s="51"/>
      <c r="E10142" s="42" t="s">
        <v>138</v>
      </c>
      <c r="F10142" s="42" t="s">
        <v>139</v>
      </c>
      <c r="G10142" s="51"/>
      <c r="H10142" s="51"/>
      <c r="I10142" s="51"/>
      <c r="J10142" s="51"/>
      <c r="K10142" s="51" t="s">
        <v>140</v>
      </c>
      <c r="L10142" s="51"/>
      <c r="M10142" s="51"/>
      <c r="N10142" s="51"/>
      <c r="O10142" s="52"/>
      <c r="P10142" s="51"/>
      <c r="Q10142" s="51"/>
      <c r="R10142" s="51"/>
      <c r="S10142" s="51"/>
      <c r="T10142" s="41"/>
      <c r="AG10142" s="521" t="s">
        <v>268</v>
      </c>
      <c r="AH10142" s="521" t="s">
        <v>269</v>
      </c>
      <c r="AI10142" s="521" t="s">
        <v>270</v>
      </c>
      <c r="AJ10142" s="521" t="s">
        <v>271</v>
      </c>
      <c r="AK10142" s="521" t="s">
        <v>272</v>
      </c>
      <c r="AM10142" s="745" t="s">
        <v>281</v>
      </c>
      <c r="AN10142" s="746" t="s">
        <v>282</v>
      </c>
      <c r="AO10142" s="522" t="s">
        <v>278</v>
      </c>
      <c r="AR10142" s="51"/>
      <c r="AS10142" s="42" t="s">
        <v>139</v>
      </c>
    </row>
    <row r="10143" spans="1:45" s="520" customFormat="1" ht="12" customHeight="1">
      <c r="A10143" s="747">
        <v>2</v>
      </c>
      <c r="B10143" s="523" t="s">
        <v>329</v>
      </c>
      <c r="C10143" s="748"/>
      <c r="D10143" s="749" t="s">
        <v>1867</v>
      </c>
      <c r="E10143" s="1145">
        <f>IF(AND($A10143=0,$A$1="DIF"),0, ROUND(ROUND(($R10147*$S$3+($T10147*$T$3))/$A10143,2)*$C$3,2))</f>
        <v>34.49</v>
      </c>
      <c r="F10143" s="1146">
        <f>ROUND($A10143*$E10143,2)</f>
        <v>68.98</v>
      </c>
      <c r="G10143" s="752" t="s">
        <v>142</v>
      </c>
      <c r="H10143" s="753"/>
      <c r="I10143" s="754"/>
      <c r="J10143" s="753"/>
      <c r="K10143" s="753" t="s">
        <v>5</v>
      </c>
      <c r="L10143" s="755" t="s">
        <v>143</v>
      </c>
      <c r="M10143" s="755"/>
      <c r="N10143" s="755"/>
      <c r="O10143" s="755"/>
      <c r="P10143" s="755"/>
      <c r="Q10143" s="51"/>
      <c r="T10143" s="1150" t="str">
        <f>IF(AND($R10147=0,$T10147=0),"0.00","mu: "&amp; ROUND(F10143/$C$3/($R10147+$T10147*$D$9),2))</f>
        <v>mu: 1.13</v>
      </c>
      <c r="W10143" s="524"/>
      <c r="AG10143" s="1147">
        <f>IF($E10143=0,0,ROUND($R10147*$S$3*$C$3/$A10143,2))</f>
        <v>34.49</v>
      </c>
      <c r="AH10143" s="1147">
        <f>$AG10143*$A10143</f>
        <v>68.98</v>
      </c>
      <c r="AI10143" s="1148">
        <f>$E10143-$AG10143</f>
        <v>0</v>
      </c>
      <c r="AJ10143" s="1148">
        <f>$A10143*$AI10143</f>
        <v>0</v>
      </c>
      <c r="AK10143" s="1149">
        <f>ROUND(($AG10143+$AI10143)*$A10143,2)</f>
        <v>68.98</v>
      </c>
      <c r="AM10143" s="527">
        <f>ROUND(R10147,2)</f>
        <v>61.11</v>
      </c>
      <c r="AN10143" s="528">
        <f>ROUND(T10147,2)</f>
        <v>0</v>
      </c>
      <c r="AO10143" s="529">
        <f>ROUND(AM10143+AN10143,2)*A10143</f>
        <v>122.22</v>
      </c>
      <c r="AR10143" s="747">
        <v>2</v>
      </c>
      <c r="AS10143" s="1146">
        <v>75.06</v>
      </c>
    </row>
    <row r="10144" spans="1:45" s="520" customFormat="1" ht="13.2">
      <c r="A10144" s="748"/>
      <c r="B10144"/>
      <c r="C10144" s="748"/>
      <c r="D10144" s="749" t="s">
        <v>2184</v>
      </c>
      <c r="F10144" s="753"/>
      <c r="G10144" s="3"/>
      <c r="H10144" s="753"/>
      <c r="I10144" s="754"/>
      <c r="J10144" s="753"/>
      <c r="K10144" s="753" t="s">
        <v>144</v>
      </c>
      <c r="L10144" s="753"/>
      <c r="M10144" s="753"/>
      <c r="N10144" s="753"/>
      <c r="O10144" s="753"/>
      <c r="P10144" s="753"/>
      <c r="Q10144" s="51"/>
      <c r="R10144" s="530"/>
      <c r="S10144" s="757"/>
      <c r="T10144" s="753"/>
      <c r="AR10144" s="748"/>
      <c r="AS10144" s="753"/>
    </row>
    <row r="10145" spans="1:45" s="901" customFormat="1" ht="13.2">
      <c r="A10145" s="903">
        <v>2</v>
      </c>
      <c r="B10145" s="904" t="s">
        <v>863</v>
      </c>
      <c r="C10145" s="904"/>
      <c r="D10145" s="904" t="s">
        <v>2594</v>
      </c>
      <c r="E10145" s="904"/>
      <c r="F10145" s="1153" t="s">
        <v>4142</v>
      </c>
      <c r="G10145" s="905" t="s">
        <v>2595</v>
      </c>
      <c r="H10145" s="902">
        <v>960</v>
      </c>
      <c r="I10145" s="904" t="s">
        <v>2596</v>
      </c>
      <c r="J10145" s="904"/>
      <c r="K10145" s="904"/>
      <c r="L10145" s="904"/>
      <c r="M10145" s="904"/>
      <c r="N10145" s="904"/>
      <c r="O10145" s="902">
        <v>4</v>
      </c>
      <c r="P10145" s="906">
        <v>38274</v>
      </c>
      <c r="Q10145" s="1415">
        <f>35*0.873</f>
        <v>30.555</v>
      </c>
      <c r="R10145" s="908">
        <f>$A10145*Q10145</f>
        <v>61.11</v>
      </c>
      <c r="S10145" s="907"/>
      <c r="T10145" s="909">
        <f>$A10145*S10145*$T$1</f>
        <v>0</v>
      </c>
      <c r="AR10145" s="903">
        <v>2</v>
      </c>
      <c r="AS10145" s="1153" t="s">
        <v>3507</v>
      </c>
    </row>
    <row r="10146" spans="1:45" s="520" customFormat="1" ht="12">
      <c r="A10146" s="758"/>
      <c r="B10146" s="758"/>
      <c r="C10146" s="758"/>
      <c r="D10146" s="758"/>
      <c r="E10146" s="758"/>
      <c r="F10146" s="753"/>
      <c r="G10146" s="758"/>
      <c r="H10146" s="758"/>
      <c r="I10146" s="519"/>
      <c r="J10146" s="758"/>
      <c r="K10146" s="758"/>
      <c r="L10146" s="758"/>
      <c r="M10146" s="758"/>
      <c r="N10146" s="758"/>
      <c r="O10146" s="758"/>
      <c r="P10146" s="758"/>
      <c r="Q10146" s="519"/>
      <c r="R10146" s="759">
        <f>$A10146*Q10146</f>
        <v>0</v>
      </c>
      <c r="S10146" s="519"/>
      <c r="T10146" s="760">
        <f>$A10146*S10146*$T$1</f>
        <v>0</v>
      </c>
      <c r="AR10146" s="758"/>
      <c r="AS10146" s="753"/>
    </row>
    <row r="10147" spans="1:45" s="520" customFormat="1" ht="12.6" thickBot="1">
      <c r="A10147" s="761" t="s">
        <v>145</v>
      </c>
      <c r="B10147" s="762">
        <f>(R10146+T10146)</f>
        <v>0</v>
      </c>
      <c r="C10147" s="763"/>
      <c r="D10147" s="763"/>
      <c r="E10147" s="763"/>
      <c r="F10147" s="764"/>
      <c r="G10147" s="763" t="s">
        <v>146</v>
      </c>
      <c r="H10147" s="763"/>
      <c r="I10147" s="765"/>
      <c r="J10147" s="763"/>
      <c r="K10147" s="763" t="s">
        <v>5</v>
      </c>
      <c r="L10147" s="766" t="s">
        <v>143</v>
      </c>
      <c r="M10147" s="766"/>
      <c r="N10147" s="766"/>
      <c r="O10147" s="766"/>
      <c r="P10147" s="766"/>
      <c r="Q10147" s="767"/>
      <c r="R10147" s="768">
        <f>SUM(R10144:R10146)</f>
        <v>61.11</v>
      </c>
      <c r="S10147" s="763"/>
      <c r="T10147" s="768">
        <f>SUM(T10144:T10146)</f>
        <v>0</v>
      </c>
      <c r="U10147" s="531"/>
      <c r="V10147" s="531"/>
      <c r="W10147" s="531"/>
      <c r="X10147" s="531"/>
      <c r="Y10147" s="531"/>
      <c r="Z10147" s="531"/>
      <c r="AA10147" s="531"/>
      <c r="AB10147" s="531"/>
      <c r="AC10147" s="531"/>
      <c r="AD10147" s="531"/>
      <c r="AE10147" s="531"/>
      <c r="AF10147" s="531"/>
      <c r="AG10147" s="531"/>
      <c r="AH10147" s="531"/>
      <c r="AI10147" s="531"/>
      <c r="AJ10147" s="531"/>
      <c r="AK10147" s="531"/>
      <c r="AL10147" s="531"/>
      <c r="AM10147" s="531"/>
      <c r="AN10147" s="531"/>
      <c r="AO10147" s="531"/>
      <c r="AR10147" s="761" t="s">
        <v>145</v>
      </c>
      <c r="AS10147" s="764"/>
    </row>
    <row r="10148" spans="1:45" s="520" customFormat="1" thickTop="1">
      <c r="A10148" s="51"/>
      <c r="B10148" s="51"/>
      <c r="C10148" s="3"/>
      <c r="D10148" s="3"/>
      <c r="E10148" s="51"/>
      <c r="F10148" s="51"/>
      <c r="G10148" s="51"/>
      <c r="H10148" s="51"/>
      <c r="I10148" s="51"/>
      <c r="J10148" s="51"/>
      <c r="K10148" s="51" t="s">
        <v>134</v>
      </c>
      <c r="L10148" s="51"/>
      <c r="M10148" s="51"/>
      <c r="N10148" s="51"/>
      <c r="O10148" s="52"/>
      <c r="P10148" s="51"/>
      <c r="Q10148" s="51"/>
      <c r="R10148" s="51"/>
      <c r="S10148" s="51"/>
      <c r="T10148" s="51"/>
      <c r="AR10148" s="51"/>
      <c r="AS10148" s="51"/>
    </row>
    <row r="10149" spans="1:45" s="520" customFormat="1" ht="12">
      <c r="A10149" s="51"/>
      <c r="B10149" s="51"/>
      <c r="C10149" s="51" t="s">
        <v>135</v>
      </c>
      <c r="D10149" s="37"/>
      <c r="E10149" s="51"/>
      <c r="F10149" s="51"/>
      <c r="G10149" s="51"/>
      <c r="H10149" s="51"/>
      <c r="I10149" s="51"/>
      <c r="J10149" s="51"/>
      <c r="K10149" s="51"/>
      <c r="L10149" s="51"/>
      <c r="M10149" s="51"/>
      <c r="N10149" s="51"/>
      <c r="O10149" s="52"/>
      <c r="P10149" s="51"/>
      <c r="Q10149" s="51"/>
      <c r="R10149" s="51"/>
      <c r="S10149" s="51"/>
      <c r="T10149" s="51"/>
      <c r="AR10149" s="51"/>
      <c r="AS10149" s="51"/>
    </row>
    <row r="10150" spans="1:45" s="520" customFormat="1" ht="12">
      <c r="A10150" s="51"/>
      <c r="B10150" s="51"/>
      <c r="C10150" s="51"/>
      <c r="D10150" s="37" t="s">
        <v>2186</v>
      </c>
      <c r="E10150" s="51"/>
      <c r="F10150" s="51"/>
      <c r="G10150" s="51"/>
      <c r="H10150" s="51"/>
      <c r="I10150" s="51"/>
      <c r="J10150" s="51"/>
      <c r="K10150" s="51"/>
      <c r="L10150" s="51"/>
      <c r="M10150" s="51"/>
      <c r="N10150" s="51"/>
      <c r="O10150" s="52"/>
      <c r="P10150" s="51"/>
      <c r="Q10150" s="51"/>
      <c r="R10150" s="51"/>
      <c r="S10150" s="38"/>
      <c r="T10150" s="38"/>
      <c r="AR10150" s="51"/>
      <c r="AS10150" s="51"/>
    </row>
    <row r="10151" spans="1:45" s="3" customFormat="1" thickBot="1">
      <c r="A10151" s="531"/>
      <c r="O10151" s="107"/>
      <c r="AR10151" s="531"/>
    </row>
    <row r="10152" spans="1:45" s="520" customFormat="1" ht="12" thickTop="1">
      <c r="A10152" s="51"/>
      <c r="B10152" s="41"/>
      <c r="C10152" s="51"/>
      <c r="E10152" s="42" t="s">
        <v>138</v>
      </c>
      <c r="F10152" s="42" t="s">
        <v>139</v>
      </c>
      <c r="G10152" s="51"/>
      <c r="H10152" s="51"/>
      <c r="I10152" s="51"/>
      <c r="J10152" s="51"/>
      <c r="K10152" s="51" t="s">
        <v>140</v>
      </c>
      <c r="L10152" s="51"/>
      <c r="M10152" s="51"/>
      <c r="N10152" s="51"/>
      <c r="O10152" s="52"/>
      <c r="P10152" s="51"/>
      <c r="Q10152" s="51"/>
      <c r="R10152" s="51"/>
      <c r="S10152" s="51"/>
      <c r="T10152" s="41"/>
      <c r="AG10152" s="521" t="s">
        <v>268</v>
      </c>
      <c r="AH10152" s="521" t="s">
        <v>269</v>
      </c>
      <c r="AI10152" s="521" t="s">
        <v>270</v>
      </c>
      <c r="AJ10152" s="521" t="s">
        <v>271</v>
      </c>
      <c r="AK10152" s="521" t="s">
        <v>272</v>
      </c>
      <c r="AM10152" s="745" t="s">
        <v>281</v>
      </c>
      <c r="AN10152" s="746" t="s">
        <v>282</v>
      </c>
      <c r="AO10152" s="522" t="s">
        <v>278</v>
      </c>
      <c r="AR10152" s="51"/>
      <c r="AS10152" s="42" t="s">
        <v>139</v>
      </c>
    </row>
    <row r="10153" spans="1:45" s="520" customFormat="1" ht="12" customHeight="1">
      <c r="A10153" s="747">
        <v>2</v>
      </c>
      <c r="B10153" s="523" t="s">
        <v>329</v>
      </c>
      <c r="C10153" s="748"/>
      <c r="D10153" s="749" t="s">
        <v>1868</v>
      </c>
      <c r="E10153" s="1145">
        <f>IF(AND($A10153=0,$A$1="DIF"),0, ROUND(ROUND(($R10157*$S$3+($T10157*$T$3))/$A10153,2)*$C$3,2))</f>
        <v>211.86</v>
      </c>
      <c r="F10153" s="1146">
        <f>ROUND($A10153*$E10153,2)</f>
        <v>423.72</v>
      </c>
      <c r="G10153" s="752" t="s">
        <v>142</v>
      </c>
      <c r="H10153" s="753"/>
      <c r="I10153" s="754"/>
      <c r="J10153" s="753"/>
      <c r="K10153" s="753" t="s">
        <v>5</v>
      </c>
      <c r="L10153" s="755" t="s">
        <v>143</v>
      </c>
      <c r="M10153" s="755"/>
      <c r="N10153" s="755"/>
      <c r="O10153" s="755"/>
      <c r="P10153" s="755"/>
      <c r="Q10153" s="51"/>
      <c r="T10153" s="1150" t="str">
        <f>IF(AND($R10157=0,$T10157=0),"0.00","mu: "&amp; ROUND(F10153/$C$3/($R10157+$T10157*$D$9),2))</f>
        <v>mu: 1.13</v>
      </c>
      <c r="W10153" s="524"/>
      <c r="AG10153" s="1147">
        <f>IF($E10153=0,0,ROUND($R10157*$S$3*$C$3/$A10153,2))</f>
        <v>211.86</v>
      </c>
      <c r="AH10153" s="1147">
        <f>$AG10153*$A10153</f>
        <v>423.72</v>
      </c>
      <c r="AI10153" s="1148">
        <f>$E10153-$AG10153</f>
        <v>0</v>
      </c>
      <c r="AJ10153" s="1148">
        <f>$A10153*$AI10153</f>
        <v>0</v>
      </c>
      <c r="AK10153" s="1149">
        <f>ROUND(($AG10153+$AI10153)*$A10153,2)</f>
        <v>423.72</v>
      </c>
      <c r="AM10153" s="527">
        <f>ROUND(R10157,2)</f>
        <v>375.39</v>
      </c>
      <c r="AN10153" s="528">
        <f>ROUND(T10157,2)</f>
        <v>0</v>
      </c>
      <c r="AO10153" s="529">
        <f>ROUND(AM10153+AN10153,2)*A10153</f>
        <v>750.78</v>
      </c>
      <c r="AR10153" s="747">
        <v>2</v>
      </c>
      <c r="AS10153" s="1146">
        <v>461.08</v>
      </c>
    </row>
    <row r="10154" spans="1:45" s="520" customFormat="1" ht="13.2">
      <c r="A10154" s="748"/>
      <c r="B10154"/>
      <c r="C10154" s="748"/>
      <c r="D10154" s="749" t="s">
        <v>2188</v>
      </c>
      <c r="F10154" s="753"/>
      <c r="G10154" s="3"/>
      <c r="H10154" s="753"/>
      <c r="I10154" s="754"/>
      <c r="J10154" s="753"/>
      <c r="K10154" s="753" t="s">
        <v>144</v>
      </c>
      <c r="L10154" s="753"/>
      <c r="M10154" s="753"/>
      <c r="N10154" s="753"/>
      <c r="O10154" s="753"/>
      <c r="P10154" s="753"/>
      <c r="Q10154" s="51"/>
      <c r="R10154" s="530"/>
      <c r="S10154" s="757"/>
      <c r="T10154" s="753"/>
      <c r="AR10154" s="748"/>
      <c r="AS10154" s="753"/>
    </row>
    <row r="10155" spans="1:45" s="901" customFormat="1" ht="13.2">
      <c r="A10155" s="903">
        <v>2</v>
      </c>
      <c r="B10155" s="904" t="s">
        <v>863</v>
      </c>
      <c r="C10155" s="904"/>
      <c r="D10155" s="904" t="s">
        <v>2594</v>
      </c>
      <c r="E10155" s="904"/>
      <c r="F10155" s="1153" t="s">
        <v>4142</v>
      </c>
      <c r="G10155" s="905" t="s">
        <v>2595</v>
      </c>
      <c r="H10155" s="902">
        <v>960</v>
      </c>
      <c r="I10155" s="904" t="s">
        <v>2596</v>
      </c>
      <c r="J10155" s="904"/>
      <c r="K10155" s="904"/>
      <c r="L10155" s="904"/>
      <c r="M10155" s="904"/>
      <c r="N10155" s="904"/>
      <c r="O10155" s="902">
        <v>4</v>
      </c>
      <c r="P10155" s="906">
        <v>38274</v>
      </c>
      <c r="Q10155" s="1415">
        <f>215*0.873</f>
        <v>187.69499999999999</v>
      </c>
      <c r="R10155" s="908">
        <f>$A10155*Q10155</f>
        <v>375.39</v>
      </c>
      <c r="S10155" s="907"/>
      <c r="T10155" s="909">
        <f>$A10155*S10155*$T$1</f>
        <v>0</v>
      </c>
      <c r="AR10155" s="903">
        <v>2</v>
      </c>
      <c r="AS10155" s="1153" t="s">
        <v>3507</v>
      </c>
    </row>
    <row r="10156" spans="1:45" s="520" customFormat="1" ht="12">
      <c r="A10156" s="758"/>
      <c r="B10156" s="758"/>
      <c r="C10156" s="758"/>
      <c r="D10156" s="758"/>
      <c r="E10156" s="758"/>
      <c r="F10156" s="753"/>
      <c r="G10156" s="758"/>
      <c r="H10156" s="758"/>
      <c r="I10156" s="519"/>
      <c r="J10156" s="758"/>
      <c r="K10156" s="758"/>
      <c r="L10156" s="758"/>
      <c r="M10156" s="758"/>
      <c r="N10156" s="758"/>
      <c r="O10156" s="758"/>
      <c r="P10156" s="758"/>
      <c r="Q10156" s="519"/>
      <c r="R10156" s="759">
        <f>$A10156*Q10156</f>
        <v>0</v>
      </c>
      <c r="S10156" s="519"/>
      <c r="T10156" s="760">
        <f>$A10156*S10156*$T$1</f>
        <v>0</v>
      </c>
      <c r="AR10156" s="758"/>
      <c r="AS10156" s="753"/>
    </row>
    <row r="10157" spans="1:45" s="520" customFormat="1" ht="12.6" thickBot="1">
      <c r="A10157" s="761" t="s">
        <v>145</v>
      </c>
      <c r="B10157" s="762">
        <f>(R10156+T10156)</f>
        <v>0</v>
      </c>
      <c r="C10157" s="763"/>
      <c r="D10157" s="763"/>
      <c r="E10157" s="763"/>
      <c r="F10157" s="764"/>
      <c r="G10157" s="763" t="s">
        <v>146</v>
      </c>
      <c r="H10157" s="763"/>
      <c r="I10157" s="765"/>
      <c r="J10157" s="763"/>
      <c r="K10157" s="763" t="s">
        <v>5</v>
      </c>
      <c r="L10157" s="766" t="s">
        <v>143</v>
      </c>
      <c r="M10157" s="766"/>
      <c r="N10157" s="766"/>
      <c r="O10157" s="766"/>
      <c r="P10157" s="766"/>
      <c r="Q10157" s="767"/>
      <c r="R10157" s="768">
        <f>SUM(R10154:R10156)</f>
        <v>375.39</v>
      </c>
      <c r="S10157" s="763"/>
      <c r="T10157" s="768">
        <f>SUM(T10154:T10156)</f>
        <v>0</v>
      </c>
      <c r="U10157" s="531"/>
      <c r="V10157" s="531"/>
      <c r="W10157" s="531"/>
      <c r="X10157" s="531"/>
      <c r="Y10157" s="531"/>
      <c r="Z10157" s="531"/>
      <c r="AA10157" s="531"/>
      <c r="AB10157" s="531"/>
      <c r="AC10157" s="531"/>
      <c r="AD10157" s="531"/>
      <c r="AE10157" s="531"/>
      <c r="AF10157" s="531"/>
      <c r="AG10157" s="531"/>
      <c r="AH10157" s="531"/>
      <c r="AI10157" s="531"/>
      <c r="AJ10157" s="531"/>
      <c r="AK10157" s="531"/>
      <c r="AL10157" s="531"/>
      <c r="AM10157" s="531"/>
      <c r="AN10157" s="531"/>
      <c r="AO10157" s="531"/>
      <c r="AR10157" s="761" t="s">
        <v>145</v>
      </c>
      <c r="AS10157" s="764"/>
    </row>
    <row r="10158" spans="1:45" s="520" customFormat="1" ht="12" thickTop="1">
      <c r="A10158" s="51"/>
      <c r="B10158" s="41"/>
      <c r="C10158" s="51"/>
      <c r="E10158" s="42" t="s">
        <v>138</v>
      </c>
      <c r="F10158" s="42" t="s">
        <v>139</v>
      </c>
      <c r="G10158" s="51"/>
      <c r="H10158" s="51"/>
      <c r="I10158" s="51"/>
      <c r="J10158" s="51"/>
      <c r="K10158" s="51" t="s">
        <v>140</v>
      </c>
      <c r="L10158" s="51"/>
      <c r="M10158" s="51"/>
      <c r="N10158" s="51"/>
      <c r="O10158" s="52"/>
      <c r="P10158" s="51"/>
      <c r="Q10158" s="51"/>
      <c r="R10158" s="51"/>
      <c r="S10158" s="51"/>
      <c r="T10158" s="41"/>
      <c r="AG10158" s="521" t="s">
        <v>268</v>
      </c>
      <c r="AH10158" s="521" t="s">
        <v>269</v>
      </c>
      <c r="AI10158" s="521" t="s">
        <v>270</v>
      </c>
      <c r="AJ10158" s="521" t="s">
        <v>271</v>
      </c>
      <c r="AK10158" s="521" t="s">
        <v>272</v>
      </c>
      <c r="AM10158" s="745" t="s">
        <v>281</v>
      </c>
      <c r="AN10158" s="746" t="s">
        <v>282</v>
      </c>
      <c r="AO10158" s="522" t="s">
        <v>278</v>
      </c>
      <c r="AR10158" s="51"/>
      <c r="AS10158" s="42" t="s">
        <v>139</v>
      </c>
    </row>
    <row r="10159" spans="1:45" s="520" customFormat="1" ht="12" customHeight="1">
      <c r="A10159" s="747">
        <v>2</v>
      </c>
      <c r="B10159" s="523" t="s">
        <v>329</v>
      </c>
      <c r="C10159" s="748"/>
      <c r="D10159" s="749" t="s">
        <v>1869</v>
      </c>
      <c r="E10159" s="1145">
        <f>IF(AND($A10159=0,$A$1="DIF"),0, ROUND(ROUND(($R10163*$S$3+($T10163*$T$3))/$A10159,2)*$C$3,2))</f>
        <v>211.86</v>
      </c>
      <c r="F10159" s="1146">
        <f>ROUND($A10159*$E10159,2)</f>
        <v>423.72</v>
      </c>
      <c r="G10159" s="752" t="s">
        <v>142</v>
      </c>
      <c r="H10159" s="753"/>
      <c r="I10159" s="754"/>
      <c r="J10159" s="753"/>
      <c r="K10159" s="753" t="s">
        <v>5</v>
      </c>
      <c r="L10159" s="755" t="s">
        <v>143</v>
      </c>
      <c r="M10159" s="755"/>
      <c r="N10159" s="755"/>
      <c r="O10159" s="755"/>
      <c r="P10159" s="755"/>
      <c r="Q10159" s="51"/>
      <c r="T10159" s="1150" t="str">
        <f>IF(AND($R10163=0,$T10163=0),"0.00","mu: "&amp; ROUND(F10159/$C$3/($R10163+$T10163*$D$9),2))</f>
        <v>mu: 1.13</v>
      </c>
      <c r="W10159" s="524"/>
      <c r="AG10159" s="1147">
        <f>IF($E10159=0,0,ROUND($R10163*$S$3*$C$3/$A10159,2))</f>
        <v>211.86</v>
      </c>
      <c r="AH10159" s="1147">
        <f>$AG10159*$A10159</f>
        <v>423.72</v>
      </c>
      <c r="AI10159" s="1148">
        <f>$E10159-$AG10159</f>
        <v>0</v>
      </c>
      <c r="AJ10159" s="1148">
        <f>$A10159*$AI10159</f>
        <v>0</v>
      </c>
      <c r="AK10159" s="1149">
        <f>ROUND(($AG10159+$AI10159)*$A10159,2)</f>
        <v>423.72</v>
      </c>
      <c r="AM10159" s="527">
        <f>ROUND(R10163,2)</f>
        <v>375.39</v>
      </c>
      <c r="AN10159" s="528">
        <f>ROUND(T10163,2)</f>
        <v>0</v>
      </c>
      <c r="AO10159" s="529">
        <f>ROUND(AM10159+AN10159,2)*A10159</f>
        <v>750.78</v>
      </c>
      <c r="AR10159" s="747">
        <v>2</v>
      </c>
      <c r="AS10159" s="1146">
        <v>461.08</v>
      </c>
    </row>
    <row r="10160" spans="1:45" s="520" customFormat="1" ht="13.2">
      <c r="A10160" s="748"/>
      <c r="B10160"/>
      <c r="C10160" s="748"/>
      <c r="D10160" s="749" t="s">
        <v>2184</v>
      </c>
      <c r="F10160" s="753"/>
      <c r="G10160" s="3"/>
      <c r="H10160" s="753"/>
      <c r="I10160" s="754"/>
      <c r="J10160" s="753"/>
      <c r="K10160" s="753" t="s">
        <v>144</v>
      </c>
      <c r="L10160" s="753"/>
      <c r="M10160" s="753"/>
      <c r="N10160" s="753"/>
      <c r="O10160" s="753"/>
      <c r="P10160" s="753"/>
      <c r="Q10160" s="51"/>
      <c r="R10160" s="530"/>
      <c r="S10160" s="757"/>
      <c r="T10160" s="753"/>
      <c r="AR10160" s="748"/>
      <c r="AS10160" s="753"/>
    </row>
    <row r="10161" spans="1:45" s="901" customFormat="1" ht="13.2">
      <c r="A10161" s="903">
        <v>2</v>
      </c>
      <c r="B10161" s="904" t="s">
        <v>863</v>
      </c>
      <c r="C10161" s="904"/>
      <c r="D10161" s="904" t="s">
        <v>2594</v>
      </c>
      <c r="E10161" s="904"/>
      <c r="F10161" s="1153" t="s">
        <v>4142</v>
      </c>
      <c r="G10161" s="905" t="s">
        <v>2595</v>
      </c>
      <c r="H10161" s="902">
        <v>960</v>
      </c>
      <c r="I10161" s="904" t="s">
        <v>2596</v>
      </c>
      <c r="J10161" s="904"/>
      <c r="K10161" s="904"/>
      <c r="L10161" s="904"/>
      <c r="M10161" s="904"/>
      <c r="N10161" s="904"/>
      <c r="O10161" s="902">
        <v>4</v>
      </c>
      <c r="P10161" s="906">
        <v>38274</v>
      </c>
      <c r="Q10161" s="1415">
        <f>215*0.873</f>
        <v>187.69499999999999</v>
      </c>
      <c r="R10161" s="908">
        <f>$A10161*Q10161</f>
        <v>375.39</v>
      </c>
      <c r="S10161" s="907"/>
      <c r="T10161" s="909">
        <f>$A10161*S10161*$T$1</f>
        <v>0</v>
      </c>
      <c r="AR10161" s="903">
        <v>2</v>
      </c>
      <c r="AS10161" s="1153" t="s">
        <v>3507</v>
      </c>
    </row>
    <row r="10162" spans="1:45" s="520" customFormat="1" ht="12">
      <c r="A10162" s="758"/>
      <c r="B10162" s="758"/>
      <c r="C10162" s="758"/>
      <c r="D10162" s="758"/>
      <c r="E10162" s="758"/>
      <c r="F10162" s="753"/>
      <c r="G10162" s="758"/>
      <c r="H10162" s="758"/>
      <c r="I10162" s="519"/>
      <c r="J10162" s="758"/>
      <c r="K10162" s="758"/>
      <c r="L10162" s="758"/>
      <c r="M10162" s="758"/>
      <c r="N10162" s="758"/>
      <c r="O10162" s="758"/>
      <c r="P10162" s="758"/>
      <c r="Q10162" s="519"/>
      <c r="R10162" s="759">
        <f>$A10162*Q10162</f>
        <v>0</v>
      </c>
      <c r="S10162" s="519"/>
      <c r="T10162" s="760">
        <f>$A10162*S10162*$T$1</f>
        <v>0</v>
      </c>
      <c r="AR10162" s="758"/>
      <c r="AS10162" s="753"/>
    </row>
    <row r="10163" spans="1:45" s="520" customFormat="1" ht="12.6" thickBot="1">
      <c r="A10163" s="761" t="s">
        <v>145</v>
      </c>
      <c r="B10163" s="762">
        <f>(R10162+T10162)</f>
        <v>0</v>
      </c>
      <c r="C10163" s="763"/>
      <c r="D10163" s="763"/>
      <c r="E10163" s="763"/>
      <c r="F10163" s="764"/>
      <c r="G10163" s="763" t="s">
        <v>146</v>
      </c>
      <c r="H10163" s="763"/>
      <c r="I10163" s="765"/>
      <c r="J10163" s="763"/>
      <c r="K10163" s="763" t="s">
        <v>5</v>
      </c>
      <c r="L10163" s="766" t="s">
        <v>143</v>
      </c>
      <c r="M10163" s="766"/>
      <c r="N10163" s="766"/>
      <c r="O10163" s="766"/>
      <c r="P10163" s="766"/>
      <c r="Q10163" s="767"/>
      <c r="R10163" s="768">
        <f>SUM(R10160:R10162)</f>
        <v>375.39</v>
      </c>
      <c r="S10163" s="763"/>
      <c r="T10163" s="768">
        <f>SUM(T10160:T10162)</f>
        <v>0</v>
      </c>
      <c r="U10163" s="531"/>
      <c r="V10163" s="531"/>
      <c r="W10163" s="531"/>
      <c r="X10163" s="531"/>
      <c r="Y10163" s="531"/>
      <c r="Z10163" s="531"/>
      <c r="AA10163" s="531"/>
      <c r="AB10163" s="531"/>
      <c r="AC10163" s="531"/>
      <c r="AD10163" s="531"/>
      <c r="AE10163" s="531"/>
      <c r="AF10163" s="531"/>
      <c r="AG10163" s="531"/>
      <c r="AH10163" s="531"/>
      <c r="AI10163" s="531"/>
      <c r="AJ10163" s="531"/>
      <c r="AK10163" s="531"/>
      <c r="AL10163" s="531"/>
      <c r="AM10163" s="531"/>
      <c r="AN10163" s="531"/>
      <c r="AO10163" s="531"/>
      <c r="AR10163" s="761" t="s">
        <v>145</v>
      </c>
      <c r="AS10163" s="764"/>
    </row>
    <row r="10164" spans="1:45" s="520" customFormat="1" thickTop="1">
      <c r="A10164" s="51"/>
      <c r="B10164" s="51"/>
      <c r="C10164" s="3"/>
      <c r="D10164" s="3"/>
      <c r="E10164" s="51"/>
      <c r="F10164" s="51"/>
      <c r="G10164" s="51"/>
      <c r="H10164" s="51"/>
      <c r="I10164" s="51"/>
      <c r="J10164" s="51"/>
      <c r="K10164" s="51" t="s">
        <v>134</v>
      </c>
      <c r="L10164" s="51"/>
      <c r="M10164" s="51"/>
      <c r="N10164" s="51"/>
      <c r="O10164" s="52"/>
      <c r="P10164" s="51"/>
      <c r="Q10164" s="51"/>
      <c r="R10164" s="51"/>
      <c r="S10164" s="51"/>
      <c r="T10164" s="51"/>
      <c r="AR10164" s="51"/>
      <c r="AS10164" s="51"/>
    </row>
    <row r="10165" spans="1:45" s="520" customFormat="1" ht="12">
      <c r="A10165" s="51"/>
      <c r="B10165" s="51"/>
      <c r="C10165" s="51" t="s">
        <v>135</v>
      </c>
      <c r="D10165" s="37"/>
      <c r="E10165" s="51"/>
      <c r="F10165" s="51"/>
      <c r="G10165" s="51"/>
      <c r="H10165" s="51"/>
      <c r="I10165" s="51"/>
      <c r="J10165" s="51"/>
      <c r="K10165" s="51"/>
      <c r="L10165" s="51"/>
      <c r="M10165" s="51"/>
      <c r="N10165" s="51"/>
      <c r="O10165" s="52"/>
      <c r="P10165" s="51"/>
      <c r="Q10165" s="51"/>
      <c r="R10165" s="51"/>
      <c r="S10165" s="51"/>
      <c r="T10165" s="51"/>
      <c r="AR10165" s="51"/>
      <c r="AS10165" s="51"/>
    </row>
    <row r="10166" spans="1:45" s="520" customFormat="1" ht="12">
      <c r="A10166" s="51"/>
      <c r="B10166" s="51"/>
      <c r="C10166" s="51"/>
      <c r="D10166" s="37" t="s">
        <v>362</v>
      </c>
      <c r="E10166" s="51"/>
      <c r="F10166" s="51"/>
      <c r="G10166" s="51"/>
      <c r="H10166" s="51"/>
      <c r="I10166" s="51"/>
      <c r="J10166" s="51"/>
      <c r="K10166" s="51"/>
      <c r="L10166" s="51"/>
      <c r="M10166" s="51"/>
      <c r="N10166" s="51"/>
      <c r="O10166" s="52"/>
      <c r="P10166" s="51"/>
      <c r="Q10166" s="51"/>
      <c r="R10166" s="51"/>
      <c r="S10166" s="38"/>
      <c r="T10166" s="38"/>
      <c r="AR10166" s="51"/>
      <c r="AS10166" s="51"/>
    </row>
    <row r="10167" spans="1:45" s="3" customFormat="1" thickBot="1">
      <c r="A10167" s="531"/>
      <c r="O10167" s="107"/>
      <c r="AR10167" s="531"/>
    </row>
    <row r="10168" spans="1:45" s="520" customFormat="1" thickTop="1">
      <c r="A10168" s="51"/>
      <c r="B10168" s="51"/>
      <c r="C10168" s="3"/>
      <c r="D10168" s="3"/>
      <c r="E10168" s="51"/>
      <c r="F10168" s="51"/>
      <c r="G10168" s="51"/>
      <c r="H10168" s="51"/>
      <c r="I10168" s="51"/>
      <c r="J10168" s="51"/>
      <c r="K10168" s="51" t="s">
        <v>134</v>
      </c>
      <c r="L10168" s="51"/>
      <c r="M10168" s="51"/>
      <c r="N10168" s="51"/>
      <c r="O10168" s="52"/>
      <c r="P10168" s="51"/>
      <c r="Q10168" s="51"/>
      <c r="R10168" s="51"/>
      <c r="S10168" s="51"/>
      <c r="T10168" s="51"/>
      <c r="AR10168" s="51"/>
      <c r="AS10168" s="51"/>
    </row>
    <row r="10169" spans="1:45" s="520" customFormat="1" ht="12">
      <c r="A10169" s="51"/>
      <c r="B10169" s="51"/>
      <c r="C10169" s="51" t="s">
        <v>135</v>
      </c>
      <c r="D10169" s="37"/>
      <c r="E10169" s="51"/>
      <c r="F10169" s="51"/>
      <c r="G10169" s="51"/>
      <c r="H10169" s="51"/>
      <c r="I10169" s="51"/>
      <c r="J10169" s="51"/>
      <c r="K10169" s="51"/>
      <c r="L10169" s="51"/>
      <c r="M10169" s="51"/>
      <c r="N10169" s="51"/>
      <c r="O10169" s="52"/>
      <c r="P10169" s="51"/>
      <c r="Q10169" s="51"/>
      <c r="R10169" s="51"/>
      <c r="S10169" s="51"/>
      <c r="T10169" s="51"/>
      <c r="AR10169" s="51"/>
      <c r="AS10169" s="51"/>
    </row>
    <row r="10170" spans="1:45" s="520" customFormat="1" ht="39.9" customHeight="1">
      <c r="A10170" s="51"/>
      <c r="B10170" s="51"/>
      <c r="C10170" s="51"/>
      <c r="D10170" s="1453" t="s">
        <v>2499</v>
      </c>
      <c r="E10170" s="1452"/>
      <c r="F10170" s="1452"/>
      <c r="G10170" s="1452"/>
      <c r="H10170" s="1452"/>
      <c r="I10170" s="1452"/>
      <c r="J10170" s="1452"/>
      <c r="K10170" s="1452"/>
      <c r="L10170" s="1452"/>
      <c r="M10170" s="1452"/>
      <c r="N10170" s="1452"/>
      <c r="O10170" s="1452"/>
      <c r="P10170" s="1452"/>
      <c r="Q10170" s="1452"/>
      <c r="R10170" s="1452"/>
      <c r="S10170" s="1452"/>
      <c r="T10170" s="1452"/>
      <c r="AR10170" s="51"/>
    </row>
    <row r="10171" spans="1:45" s="3" customFormat="1" thickBot="1">
      <c r="A10171" s="531"/>
      <c r="O10171" s="107"/>
      <c r="AR10171" s="531"/>
    </row>
    <row r="10172" spans="1:45" s="520" customFormat="1" ht="12" thickTop="1">
      <c r="A10172" s="51"/>
      <c r="B10172" s="41"/>
      <c r="C10172" s="51"/>
      <c r="E10172" s="42" t="s">
        <v>138</v>
      </c>
      <c r="F10172" s="42" t="s">
        <v>139</v>
      </c>
      <c r="G10172" s="51"/>
      <c r="H10172" s="51"/>
      <c r="I10172" s="51"/>
      <c r="J10172" s="51"/>
      <c r="K10172" s="51" t="s">
        <v>140</v>
      </c>
      <c r="L10172" s="51"/>
      <c r="M10172" s="51"/>
      <c r="N10172" s="51"/>
      <c r="O10172" s="52"/>
      <c r="P10172" s="51"/>
      <c r="Q10172" s="51"/>
      <c r="R10172" s="51"/>
      <c r="S10172" s="51"/>
      <c r="T10172" s="41"/>
      <c r="AG10172" s="521" t="s">
        <v>268</v>
      </c>
      <c r="AH10172" s="521" t="s">
        <v>269</v>
      </c>
      <c r="AI10172" s="521" t="s">
        <v>270</v>
      </c>
      <c r="AJ10172" s="521" t="s">
        <v>271</v>
      </c>
      <c r="AK10172" s="521" t="s">
        <v>272</v>
      </c>
      <c r="AM10172" s="745" t="s">
        <v>281</v>
      </c>
      <c r="AN10172" s="746" t="s">
        <v>282</v>
      </c>
      <c r="AO10172" s="522" t="s">
        <v>278</v>
      </c>
      <c r="AR10172" s="51"/>
      <c r="AS10172" s="42" t="s">
        <v>139</v>
      </c>
    </row>
    <row r="10173" spans="1:45" s="520" customFormat="1" ht="12" customHeight="1">
      <c r="A10173" s="747">
        <v>4</v>
      </c>
      <c r="B10173" s="523" t="s">
        <v>329</v>
      </c>
      <c r="C10173" s="748"/>
      <c r="D10173" s="749" t="s">
        <v>1870</v>
      </c>
      <c r="E10173" s="750">
        <f ca="1">IF(AND($A10173=0,$A$1="DIF"),0, ROUND(ROUND(($R10178*$S$2+($T10178*$T$2))/A10173,2)*$C$2,2))</f>
        <v>36.97</v>
      </c>
      <c r="F10173" s="751">
        <f ca="1">ROUND($A10173*$E10173,2)</f>
        <v>147.88</v>
      </c>
      <c r="G10173" s="752" t="s">
        <v>142</v>
      </c>
      <c r="H10173" s="753"/>
      <c r="I10173" s="754"/>
      <c r="J10173" s="753"/>
      <c r="K10173" s="753" t="s">
        <v>3</v>
      </c>
      <c r="L10173" s="755" t="s">
        <v>143</v>
      </c>
      <c r="M10173" s="755"/>
      <c r="N10173" s="755"/>
      <c r="O10173" s="755"/>
      <c r="P10173" s="755"/>
      <c r="Q10173" s="51"/>
      <c r="T10173" s="756" t="str">
        <f ca="1">IF(AND($R10178=0,$T10178=0),"0.00","mu :" &amp; ROUND($F10173/$C$2/($R10178+$T10178*$D$9),2))</f>
        <v>mu :1.23</v>
      </c>
      <c r="W10173" s="524"/>
      <c r="AG10173" s="481">
        <f ca="1">IF($E10173=0,0,ROUND($R10178*$S$2*$C$2/$A10173,2))</f>
        <v>13.3</v>
      </c>
      <c r="AH10173" s="481">
        <f ca="1">$AG10173*$A10173</f>
        <v>53.2</v>
      </c>
      <c r="AI10173" s="525">
        <f ca="1">$E10173-$AG10173</f>
        <v>23.669999999999998</v>
      </c>
      <c r="AJ10173" s="525">
        <f ca="1">$A10173*$AI10173</f>
        <v>94.679999999999993</v>
      </c>
      <c r="AK10173" s="526">
        <f ca="1">ROUND(($AG10173+$AI10173)*$A10173,2)</f>
        <v>147.88</v>
      </c>
      <c r="AM10173" s="527">
        <f ca="1">ROUND(R10178,2)</f>
        <v>43.2</v>
      </c>
      <c r="AN10173" s="528">
        <f ca="1">ROUND(T10178,2)</f>
        <v>2.8</v>
      </c>
      <c r="AO10173" s="529">
        <f ca="1">ROUND(AM10173+AN10173,2)*A10173</f>
        <v>184</v>
      </c>
      <c r="AR10173" s="747">
        <v>4</v>
      </c>
      <c r="AS10173" s="751">
        <v>158.68</v>
      </c>
    </row>
    <row r="10174" spans="1:45" s="520" customFormat="1" ht="13.2">
      <c r="A10174" s="748"/>
      <c r="B10174"/>
      <c r="C10174" s="748"/>
      <c r="D10174" s="749" t="s">
        <v>2188</v>
      </c>
      <c r="F10174" s="753"/>
      <c r="G10174" s="3"/>
      <c r="H10174" s="753"/>
      <c r="I10174" s="754"/>
      <c r="J10174" s="753"/>
      <c r="K10174" s="753" t="s">
        <v>144</v>
      </c>
      <c r="L10174" s="753"/>
      <c r="M10174" s="753"/>
      <c r="N10174" s="753"/>
      <c r="O10174" s="753"/>
      <c r="P10174" s="753"/>
      <c r="Q10174" s="51"/>
      <c r="R10174" s="530"/>
      <c r="S10174" s="757"/>
      <c r="T10174" s="753"/>
      <c r="AR10174" s="748"/>
      <c r="AS10174" s="753"/>
    </row>
    <row r="10175" spans="1:45" s="886" customFormat="1" ht="13.2">
      <c r="A10175"/>
      <c r="B10175" s="910"/>
      <c r="C10175" s="910" t="s">
        <v>2597</v>
      </c>
      <c r="D10175" s="910" t="str">
        <f ca="1">CELL("Address",Elec_Rates!D$1041)</f>
        <v>[E25_0062_Quintano_Foods_Elec_ELV_As_Awarded.xlsx]Elec_Rates!$D$1041</v>
      </c>
      <c r="E10175" s="911"/>
      <c r="F10175" s="911"/>
      <c r="G10175" s="912" t="s">
        <v>2598</v>
      </c>
      <c r="H10175" s="912"/>
      <c r="I10175" s="912"/>
      <c r="J10175" s="912"/>
      <c r="K10175" s="913"/>
      <c r="L10175" s="911"/>
      <c r="M10175" s="911"/>
      <c r="N10175" s="911"/>
      <c r="O10175" s="914"/>
      <c r="P10175" s="911"/>
      <c r="Q10175" s="915"/>
      <c r="R10175" s="916"/>
      <c r="S10175" s="915"/>
      <c r="T10175" s="917"/>
      <c r="U10175" s="918"/>
      <c r="AR10175"/>
      <c r="AS10175" s="911"/>
    </row>
    <row r="10176" spans="1:45" s="886" customFormat="1" ht="11.4">
      <c r="A10176" s="919">
        <v>4</v>
      </c>
      <c r="B10176" s="920">
        <v>1</v>
      </c>
      <c r="C10176" s="920">
        <f>$A10176*$B10176</f>
        <v>4</v>
      </c>
      <c r="D10176" s="921" t="str">
        <f>Elec_Rates!$D$1041</f>
        <v>094# LSZH Conduit points for access control</v>
      </c>
      <c r="E10176" s="921"/>
      <c r="F10176" s="921" t="s">
        <v>2599</v>
      </c>
      <c r="G10176" s="922" t="s">
        <v>2601</v>
      </c>
      <c r="H10176" s="922"/>
      <c r="I10176" s="922"/>
      <c r="J10176" s="922"/>
      <c r="K10176" s="923"/>
      <c r="L10176" s="918"/>
      <c r="M10176" s="918"/>
      <c r="N10176" s="918"/>
      <c r="O10176" s="924"/>
      <c r="P10176" s="921"/>
      <c r="Q10176" s="925">
        <f ca="1">$B10176*Elec_Rates!$R$1041</f>
        <v>10.8</v>
      </c>
      <c r="R10176" s="916">
        <f ca="1">$A10176*Q10176</f>
        <v>43.2</v>
      </c>
      <c r="S10176" s="925">
        <f ca="1">$B10176*Elec_Rates!$T$1041</f>
        <v>0.7</v>
      </c>
      <c r="T10176" s="917">
        <f ca="1">$A10176*S10176</f>
        <v>2.8</v>
      </c>
      <c r="U10176" s="926"/>
      <c r="AR10176" s="919">
        <v>4</v>
      </c>
      <c r="AS10176" s="921" t="s">
        <v>2599</v>
      </c>
    </row>
    <row r="10177" spans="1:45" s="520" customFormat="1" ht="12">
      <c r="A10177" s="758"/>
      <c r="B10177" s="758"/>
      <c r="C10177" s="758"/>
      <c r="D10177" s="758"/>
      <c r="E10177" s="758"/>
      <c r="F10177" s="753"/>
      <c r="G10177" s="758"/>
      <c r="H10177" s="758"/>
      <c r="I10177" s="519"/>
      <c r="J10177" s="758"/>
      <c r="K10177" s="758"/>
      <c r="L10177" s="758"/>
      <c r="M10177" s="758"/>
      <c r="N10177" s="758"/>
      <c r="O10177" s="758"/>
      <c r="P10177" s="758"/>
      <c r="Q10177" s="519"/>
      <c r="R10177" s="759">
        <f>$A10177*Q10177</f>
        <v>0</v>
      </c>
      <c r="S10177" s="519"/>
      <c r="T10177" s="760">
        <f>$A10177*S10177*$T$1</f>
        <v>0</v>
      </c>
      <c r="AR10177" s="758"/>
      <c r="AS10177" s="753"/>
    </row>
    <row r="10178" spans="1:45" s="520" customFormat="1" ht="12.6" thickBot="1">
      <c r="A10178" s="761" t="s">
        <v>145</v>
      </c>
      <c r="B10178" s="762">
        <f>(R10177+T10177)</f>
        <v>0</v>
      </c>
      <c r="C10178" s="763"/>
      <c r="D10178" s="763"/>
      <c r="E10178" s="763"/>
      <c r="F10178" s="764"/>
      <c r="G10178" s="763" t="s">
        <v>146</v>
      </c>
      <c r="H10178" s="763"/>
      <c r="I10178" s="765"/>
      <c r="J10178" s="763"/>
      <c r="K10178" s="763" t="s">
        <v>3</v>
      </c>
      <c r="L10178" s="766" t="s">
        <v>143</v>
      </c>
      <c r="M10178" s="766"/>
      <c r="N10178" s="766"/>
      <c r="O10178" s="766"/>
      <c r="P10178" s="766"/>
      <c r="Q10178" s="767"/>
      <c r="R10178" s="768">
        <f ca="1">SUM(R10174:R10177)</f>
        <v>43.2</v>
      </c>
      <c r="S10178" s="763"/>
      <c r="T10178" s="768">
        <f ca="1">SUM(T10174:T10177)</f>
        <v>2.8</v>
      </c>
      <c r="U10178" s="531"/>
      <c r="V10178" s="531"/>
      <c r="W10178" s="531"/>
      <c r="X10178" s="531"/>
      <c r="Y10178" s="531"/>
      <c r="Z10178" s="531"/>
      <c r="AA10178" s="531"/>
      <c r="AB10178" s="531"/>
      <c r="AC10178" s="531"/>
      <c r="AD10178" s="531"/>
      <c r="AE10178" s="531"/>
      <c r="AF10178" s="531"/>
      <c r="AG10178" s="531"/>
      <c r="AH10178" s="531"/>
      <c r="AI10178" s="531"/>
      <c r="AJ10178" s="531"/>
      <c r="AK10178" s="531"/>
      <c r="AL10178" s="531"/>
      <c r="AM10178" s="531"/>
      <c r="AN10178" s="531"/>
      <c r="AO10178" s="531"/>
      <c r="AR10178" s="761" t="s">
        <v>145</v>
      </c>
      <c r="AS10178" s="764"/>
    </row>
    <row r="10179" spans="1:45" s="520" customFormat="1" ht="12" thickTop="1">
      <c r="A10179" s="51"/>
      <c r="B10179" s="41"/>
      <c r="C10179" s="51"/>
      <c r="E10179" s="42" t="s">
        <v>138</v>
      </c>
      <c r="F10179" s="42" t="s">
        <v>139</v>
      </c>
      <c r="G10179" s="51"/>
      <c r="H10179" s="51"/>
      <c r="I10179" s="51"/>
      <c r="J10179" s="51"/>
      <c r="K10179" s="51" t="s">
        <v>140</v>
      </c>
      <c r="L10179" s="51"/>
      <c r="M10179" s="51"/>
      <c r="N10179" s="51"/>
      <c r="O10179" s="52"/>
      <c r="P10179" s="51"/>
      <c r="Q10179" s="51"/>
      <c r="R10179" s="51"/>
      <c r="S10179" s="51"/>
      <c r="T10179" s="41"/>
      <c r="AG10179" s="521" t="s">
        <v>268</v>
      </c>
      <c r="AH10179" s="521" t="s">
        <v>269</v>
      </c>
      <c r="AI10179" s="521" t="s">
        <v>270</v>
      </c>
      <c r="AJ10179" s="521" t="s">
        <v>271</v>
      </c>
      <c r="AK10179" s="521" t="s">
        <v>272</v>
      </c>
      <c r="AM10179" s="745" t="s">
        <v>281</v>
      </c>
      <c r="AN10179" s="746" t="s">
        <v>282</v>
      </c>
      <c r="AO10179" s="522" t="s">
        <v>278</v>
      </c>
      <c r="AR10179" s="51"/>
      <c r="AS10179" s="42" t="s">
        <v>139</v>
      </c>
    </row>
    <row r="10180" spans="1:45" s="520" customFormat="1" ht="12" customHeight="1">
      <c r="A10180" s="747">
        <v>2</v>
      </c>
      <c r="B10180" s="523" t="s">
        <v>329</v>
      </c>
      <c r="C10180" s="748"/>
      <c r="D10180" s="749" t="s">
        <v>1871</v>
      </c>
      <c r="E10180" s="750">
        <f ca="1">IF(AND($A10180=0,$A$1="DIF"),0, ROUND(ROUND(($R10185*$S$2+($T10185*$T$2))/A10180,2)*$C$2,2))</f>
        <v>36.97</v>
      </c>
      <c r="F10180" s="751">
        <f ca="1">ROUND($A10180*$E10180,2)</f>
        <v>73.94</v>
      </c>
      <c r="G10180" s="752" t="s">
        <v>142</v>
      </c>
      <c r="H10180" s="753"/>
      <c r="I10180" s="754"/>
      <c r="J10180" s="753"/>
      <c r="K10180" s="753" t="s">
        <v>3</v>
      </c>
      <c r="L10180" s="755" t="s">
        <v>143</v>
      </c>
      <c r="M10180" s="755"/>
      <c r="N10180" s="755"/>
      <c r="O10180" s="755"/>
      <c r="P10180" s="755"/>
      <c r="Q10180" s="51"/>
      <c r="T10180" s="756" t="str">
        <f ca="1">IF(AND($R10185=0,$T10185=0),"0.00","mu :" &amp; ROUND($F10180/$C$2/($R10185+$T10185*$D$9),2))</f>
        <v>mu :1.23</v>
      </c>
      <c r="W10180" s="524"/>
      <c r="AG10180" s="481">
        <f ca="1">IF($E10180=0,0,ROUND($R10185*$S$2*$C$2/$A10180,2))</f>
        <v>13.3</v>
      </c>
      <c r="AH10180" s="481">
        <f ca="1">$AG10180*$A10180</f>
        <v>26.6</v>
      </c>
      <c r="AI10180" s="525">
        <f ca="1">$E10180-$AG10180</f>
        <v>23.669999999999998</v>
      </c>
      <c r="AJ10180" s="525">
        <f ca="1">$A10180*$AI10180</f>
        <v>47.339999999999996</v>
      </c>
      <c r="AK10180" s="526">
        <f ca="1">ROUND(($AG10180+$AI10180)*$A10180,2)</f>
        <v>73.94</v>
      </c>
      <c r="AM10180" s="527">
        <f ca="1">ROUND(R10185,2)</f>
        <v>21.6</v>
      </c>
      <c r="AN10180" s="528">
        <f ca="1">ROUND(T10185,2)</f>
        <v>1.4</v>
      </c>
      <c r="AO10180" s="529">
        <f ca="1">ROUND(AM10180+AN10180,2)*A10180</f>
        <v>46</v>
      </c>
      <c r="AR10180" s="747">
        <v>2</v>
      </c>
      <c r="AS10180" s="751">
        <v>79.34</v>
      </c>
    </row>
    <row r="10181" spans="1:45" s="520" customFormat="1" ht="13.2">
      <c r="A10181" s="748"/>
      <c r="B10181"/>
      <c r="C10181" s="748"/>
      <c r="D10181" s="749" t="s">
        <v>2189</v>
      </c>
      <c r="F10181" s="753"/>
      <c r="G10181" s="3"/>
      <c r="H10181" s="753"/>
      <c r="I10181" s="754"/>
      <c r="J10181" s="753"/>
      <c r="K10181" s="753" t="s">
        <v>144</v>
      </c>
      <c r="L10181" s="753"/>
      <c r="M10181" s="753"/>
      <c r="N10181" s="753"/>
      <c r="O10181" s="753"/>
      <c r="P10181" s="753"/>
      <c r="Q10181" s="51"/>
      <c r="R10181" s="530"/>
      <c r="S10181" s="757"/>
      <c r="T10181" s="753"/>
      <c r="AR10181" s="748"/>
      <c r="AS10181" s="753"/>
    </row>
    <row r="10182" spans="1:45" s="886" customFormat="1" ht="13.2">
      <c r="A10182"/>
      <c r="B10182" s="910"/>
      <c r="C10182" s="910" t="s">
        <v>2597</v>
      </c>
      <c r="D10182" s="910" t="str">
        <f ca="1">CELL("Address",Elec_Rates!D$1041)</f>
        <v>[E25_0062_Quintano_Foods_Elec_ELV_As_Awarded.xlsx]Elec_Rates!$D$1041</v>
      </c>
      <c r="E10182" s="911"/>
      <c r="F10182" s="911"/>
      <c r="G10182" s="912" t="s">
        <v>2598</v>
      </c>
      <c r="H10182" s="912"/>
      <c r="I10182" s="912"/>
      <c r="J10182" s="912"/>
      <c r="K10182" s="913"/>
      <c r="L10182" s="911"/>
      <c r="M10182" s="911"/>
      <c r="N10182" s="911"/>
      <c r="O10182" s="914"/>
      <c r="P10182" s="911"/>
      <c r="Q10182" s="915"/>
      <c r="R10182" s="916"/>
      <c r="S10182" s="915"/>
      <c r="T10182" s="917"/>
      <c r="U10182" s="918"/>
      <c r="AR10182"/>
      <c r="AS10182" s="911"/>
    </row>
    <row r="10183" spans="1:45" s="886" customFormat="1" ht="11.4">
      <c r="A10183" s="919">
        <v>2</v>
      </c>
      <c r="B10183" s="920">
        <v>1</v>
      </c>
      <c r="C10183" s="920">
        <f>$A10183*$B10183</f>
        <v>2</v>
      </c>
      <c r="D10183" s="921" t="str">
        <f>Elec_Rates!$D$1041</f>
        <v>094# LSZH Conduit points for access control</v>
      </c>
      <c r="E10183" s="921"/>
      <c r="F10183" s="921" t="s">
        <v>2599</v>
      </c>
      <c r="G10183" s="922" t="s">
        <v>2601</v>
      </c>
      <c r="H10183" s="922"/>
      <c r="I10183" s="922"/>
      <c r="J10183" s="922"/>
      <c r="K10183" s="923"/>
      <c r="L10183" s="918"/>
      <c r="M10183" s="918"/>
      <c r="N10183" s="918"/>
      <c r="O10183" s="924"/>
      <c r="P10183" s="921"/>
      <c r="Q10183" s="925">
        <f ca="1">$B10183*Elec_Rates!$R$1041</f>
        <v>10.8</v>
      </c>
      <c r="R10183" s="916">
        <f ca="1">$A10183*Q10183</f>
        <v>21.6</v>
      </c>
      <c r="S10183" s="925">
        <f ca="1">$B10183*Elec_Rates!$T$1041</f>
        <v>0.7</v>
      </c>
      <c r="T10183" s="917">
        <f ca="1">$A10183*S10183</f>
        <v>1.4</v>
      </c>
      <c r="U10183" s="926"/>
      <c r="AR10183" s="919">
        <v>2</v>
      </c>
      <c r="AS10183" s="921" t="s">
        <v>2599</v>
      </c>
    </row>
    <row r="10184" spans="1:45" s="520" customFormat="1" ht="12">
      <c r="A10184" s="758"/>
      <c r="B10184" s="758"/>
      <c r="C10184" s="758"/>
      <c r="D10184" s="758"/>
      <c r="E10184" s="758"/>
      <c r="F10184" s="753"/>
      <c r="G10184" s="758"/>
      <c r="H10184" s="758"/>
      <c r="I10184" s="519"/>
      <c r="J10184" s="758"/>
      <c r="K10184" s="758"/>
      <c r="L10184" s="758"/>
      <c r="M10184" s="758"/>
      <c r="N10184" s="758"/>
      <c r="O10184" s="758"/>
      <c r="P10184" s="758"/>
      <c r="Q10184" s="519"/>
      <c r="R10184" s="759">
        <f>$A10184*Q10184</f>
        <v>0</v>
      </c>
      <c r="S10184" s="519"/>
      <c r="T10184" s="760">
        <f>$A10184*S10184*$T$1</f>
        <v>0</v>
      </c>
      <c r="AR10184" s="758"/>
      <c r="AS10184" s="753"/>
    </row>
    <row r="10185" spans="1:45" s="520" customFormat="1" ht="12.6" thickBot="1">
      <c r="A10185" s="761" t="s">
        <v>145</v>
      </c>
      <c r="B10185" s="762">
        <f>(R10184+T10184)</f>
        <v>0</v>
      </c>
      <c r="C10185" s="763"/>
      <c r="D10185" s="763"/>
      <c r="E10185" s="763"/>
      <c r="F10185" s="764"/>
      <c r="G10185" s="763" t="s">
        <v>146</v>
      </c>
      <c r="H10185" s="763"/>
      <c r="I10185" s="765"/>
      <c r="J10185" s="763"/>
      <c r="K10185" s="763" t="s">
        <v>3</v>
      </c>
      <c r="L10185" s="766" t="s">
        <v>143</v>
      </c>
      <c r="M10185" s="766"/>
      <c r="N10185" s="766"/>
      <c r="O10185" s="766"/>
      <c r="P10185" s="766"/>
      <c r="Q10185" s="767"/>
      <c r="R10185" s="768">
        <f ca="1">SUM(R10181:R10184)</f>
        <v>21.6</v>
      </c>
      <c r="S10185" s="763"/>
      <c r="T10185" s="768">
        <f ca="1">SUM(T10181:T10184)</f>
        <v>1.4</v>
      </c>
      <c r="U10185" s="531"/>
      <c r="V10185" s="531"/>
      <c r="W10185" s="531"/>
      <c r="X10185" s="531"/>
      <c r="Y10185" s="531"/>
      <c r="Z10185" s="531"/>
      <c r="AA10185" s="531"/>
      <c r="AB10185" s="531"/>
      <c r="AC10185" s="531"/>
      <c r="AD10185" s="531"/>
      <c r="AE10185" s="531"/>
      <c r="AF10185" s="531"/>
      <c r="AG10185" s="531"/>
      <c r="AH10185" s="531"/>
      <c r="AI10185" s="531"/>
      <c r="AJ10185" s="531"/>
      <c r="AK10185" s="531"/>
      <c r="AL10185" s="531"/>
      <c r="AM10185" s="531"/>
      <c r="AN10185" s="531"/>
      <c r="AO10185" s="531"/>
      <c r="AR10185" s="761" t="s">
        <v>145</v>
      </c>
      <c r="AS10185" s="764"/>
    </row>
    <row r="10186" spans="1:45" s="520" customFormat="1" thickTop="1">
      <c r="A10186" s="51"/>
      <c r="B10186" s="51"/>
      <c r="C10186" s="3"/>
      <c r="D10186" s="3"/>
      <c r="E10186" s="51"/>
      <c r="F10186" s="51"/>
      <c r="G10186" s="51"/>
      <c r="H10186" s="51"/>
      <c r="I10186" s="51"/>
      <c r="J10186" s="51"/>
      <c r="K10186" s="51" t="s">
        <v>134</v>
      </c>
      <c r="L10186" s="51"/>
      <c r="M10186" s="51"/>
      <c r="N10186" s="51"/>
      <c r="O10186" s="52"/>
      <c r="P10186" s="51"/>
      <c r="Q10186" s="51"/>
      <c r="R10186" s="51"/>
      <c r="S10186" s="51"/>
      <c r="T10186" s="51"/>
      <c r="AR10186" s="51"/>
      <c r="AS10186" s="51"/>
    </row>
    <row r="10187" spans="1:45" s="520" customFormat="1" ht="12">
      <c r="A10187" s="51"/>
      <c r="B10187" s="51"/>
      <c r="C10187" s="51" t="s">
        <v>135</v>
      </c>
      <c r="D10187" s="37"/>
      <c r="E10187" s="51"/>
      <c r="F10187" s="51"/>
      <c r="G10187" s="51"/>
      <c r="H10187" s="51"/>
      <c r="I10187" s="51"/>
      <c r="J10187" s="51"/>
      <c r="K10187" s="51"/>
      <c r="L10187" s="51"/>
      <c r="M10187" s="51"/>
      <c r="N10187" s="51"/>
      <c r="O10187" s="52"/>
      <c r="P10187" s="51"/>
      <c r="Q10187" s="51"/>
      <c r="R10187" s="51"/>
      <c r="S10187" s="51"/>
      <c r="T10187" s="51"/>
      <c r="AR10187" s="51"/>
      <c r="AS10187" s="51"/>
    </row>
    <row r="10188" spans="1:45" s="520" customFormat="1" ht="39.9" customHeight="1">
      <c r="A10188" s="51"/>
      <c r="B10188" s="51"/>
      <c r="C10188" s="51"/>
      <c r="D10188" s="1453" t="s">
        <v>2185</v>
      </c>
      <c r="E10188" s="1452"/>
      <c r="F10188" s="1452"/>
      <c r="G10188" s="1452"/>
      <c r="H10188" s="1452"/>
      <c r="I10188" s="1452"/>
      <c r="J10188" s="1452"/>
      <c r="K10188" s="1452"/>
      <c r="L10188" s="1452"/>
      <c r="M10188" s="1452"/>
      <c r="N10188" s="1452"/>
      <c r="O10188" s="1452"/>
      <c r="P10188" s="1452"/>
      <c r="Q10188" s="1452"/>
      <c r="R10188" s="1452"/>
      <c r="S10188" s="1452"/>
      <c r="T10188" s="1452"/>
      <c r="AR10188" s="51"/>
    </row>
    <row r="10189" spans="1:45" s="3" customFormat="1" thickBot="1">
      <c r="A10189" s="531"/>
      <c r="O10189" s="107"/>
      <c r="AR10189" s="531"/>
    </row>
    <row r="10190" spans="1:45" s="520" customFormat="1" ht="12" thickTop="1">
      <c r="A10190" s="51"/>
      <c r="B10190" s="41"/>
      <c r="C10190" s="51"/>
      <c r="E10190" s="42" t="s">
        <v>138</v>
      </c>
      <c r="F10190" s="42" t="s">
        <v>139</v>
      </c>
      <c r="G10190" s="51"/>
      <c r="H10190" s="51"/>
      <c r="I10190" s="51"/>
      <c r="J10190" s="51"/>
      <c r="K10190" s="51" t="s">
        <v>140</v>
      </c>
      <c r="L10190" s="51"/>
      <c r="M10190" s="51"/>
      <c r="N10190" s="51"/>
      <c r="O10190" s="52"/>
      <c r="P10190" s="51"/>
      <c r="Q10190" s="51"/>
      <c r="R10190" s="51"/>
      <c r="S10190" s="51"/>
      <c r="T10190" s="41"/>
      <c r="AG10190" s="521" t="s">
        <v>268</v>
      </c>
      <c r="AH10190" s="521" t="s">
        <v>269</v>
      </c>
      <c r="AI10190" s="521" t="s">
        <v>270</v>
      </c>
      <c r="AJ10190" s="521" t="s">
        <v>271</v>
      </c>
      <c r="AK10190" s="521" t="s">
        <v>272</v>
      </c>
      <c r="AM10190" s="745" t="s">
        <v>281</v>
      </c>
      <c r="AN10190" s="746" t="s">
        <v>282</v>
      </c>
      <c r="AO10190" s="522" t="s">
        <v>278</v>
      </c>
      <c r="AR10190" s="51"/>
      <c r="AS10190" s="42" t="s">
        <v>139</v>
      </c>
    </row>
    <row r="10191" spans="1:45" s="520" customFormat="1" ht="12" customHeight="1">
      <c r="A10191" s="747">
        <v>4</v>
      </c>
      <c r="B10191" s="523" t="s">
        <v>329</v>
      </c>
      <c r="C10191" s="748"/>
      <c r="D10191" s="749" t="s">
        <v>1872</v>
      </c>
      <c r="E10191" s="1145">
        <f>IF(AND($A10191=0,$A$1="DIF"),0, ROUND(ROUND(($R10195*$S$3+($T10195*$T$3))/$A10191,2)*$C$3,2))</f>
        <v>24.63</v>
      </c>
      <c r="F10191" s="1146">
        <f>ROUND($A10191*$E10191,2)</f>
        <v>98.52</v>
      </c>
      <c r="G10191" s="752" t="s">
        <v>142</v>
      </c>
      <c r="H10191" s="753"/>
      <c r="I10191" s="754"/>
      <c r="J10191" s="753"/>
      <c r="K10191" s="753" t="s">
        <v>5</v>
      </c>
      <c r="L10191" s="755" t="s">
        <v>143</v>
      </c>
      <c r="M10191" s="755"/>
      <c r="N10191" s="755"/>
      <c r="O10191" s="755"/>
      <c r="P10191" s="755"/>
      <c r="Q10191" s="51"/>
      <c r="T10191" s="1150" t="str">
        <f>IF(AND($R10195=0,$T10195=0),"0.00","mu: "&amp; ROUND(F10191/$C$3/($R10195+$T10195*$D$9),2))</f>
        <v>mu: 1.13</v>
      </c>
      <c r="W10191" s="524"/>
      <c r="AG10191" s="1147">
        <f>IF($E10191=0,0,ROUND($R10195*$S$3*$C$3/$A10191,2))</f>
        <v>24.63</v>
      </c>
      <c r="AH10191" s="1147">
        <f>$AG10191*$A10191</f>
        <v>98.52</v>
      </c>
      <c r="AI10191" s="1148">
        <f>$E10191-$AG10191</f>
        <v>0</v>
      </c>
      <c r="AJ10191" s="1148">
        <f>$A10191*$AI10191</f>
        <v>0</v>
      </c>
      <c r="AK10191" s="1149">
        <f>ROUND(($AG10191+$AI10191)*$A10191,2)</f>
        <v>98.52</v>
      </c>
      <c r="AM10191" s="527">
        <f>ROUND(R10195,2)</f>
        <v>87.3</v>
      </c>
      <c r="AN10191" s="528">
        <f>ROUND(T10195,2)</f>
        <v>0</v>
      </c>
      <c r="AO10191" s="529">
        <f>ROUND(AM10191+AN10191,2)*A10191</f>
        <v>349.2</v>
      </c>
      <c r="AR10191" s="747">
        <v>4</v>
      </c>
      <c r="AS10191" s="1146">
        <v>107.24</v>
      </c>
    </row>
    <row r="10192" spans="1:45" s="520" customFormat="1" ht="13.2">
      <c r="A10192" s="748"/>
      <c r="B10192"/>
      <c r="C10192" s="748"/>
      <c r="D10192" s="749" t="s">
        <v>2188</v>
      </c>
      <c r="F10192" s="753"/>
      <c r="G10192" s="3"/>
      <c r="H10192" s="753"/>
      <c r="I10192" s="754"/>
      <c r="J10192" s="753"/>
      <c r="K10192" s="753" t="s">
        <v>144</v>
      </c>
      <c r="L10192" s="753"/>
      <c r="M10192" s="753"/>
      <c r="N10192" s="753"/>
      <c r="O10192" s="753"/>
      <c r="P10192" s="753"/>
      <c r="Q10192" s="51"/>
      <c r="R10192" s="530"/>
      <c r="S10192" s="757"/>
      <c r="T10192" s="753"/>
      <c r="AR10192" s="748"/>
      <c r="AS10192" s="753"/>
    </row>
    <row r="10193" spans="1:45" s="901" customFormat="1" ht="13.2">
      <c r="A10193" s="903">
        <v>4</v>
      </c>
      <c r="B10193" s="904" t="s">
        <v>863</v>
      </c>
      <c r="C10193" s="904"/>
      <c r="D10193" s="904" t="s">
        <v>2594</v>
      </c>
      <c r="E10193" s="904"/>
      <c r="F10193" s="1153" t="s">
        <v>4142</v>
      </c>
      <c r="G10193" s="905" t="s">
        <v>2595</v>
      </c>
      <c r="H10193" s="902">
        <v>960</v>
      </c>
      <c r="I10193" s="904" t="s">
        <v>2596</v>
      </c>
      <c r="J10193" s="904"/>
      <c r="K10193" s="904"/>
      <c r="L10193" s="904"/>
      <c r="M10193" s="904"/>
      <c r="N10193" s="904"/>
      <c r="O10193" s="902">
        <v>4</v>
      </c>
      <c r="P10193" s="906">
        <v>38274</v>
      </c>
      <c r="Q10193" s="1415">
        <f>25*0.873</f>
        <v>21.824999999999999</v>
      </c>
      <c r="R10193" s="908">
        <f>$A10193*Q10193</f>
        <v>87.3</v>
      </c>
      <c r="S10193" s="907"/>
      <c r="T10193" s="909">
        <f>$A10193*S10193*$T$1</f>
        <v>0</v>
      </c>
      <c r="AR10193" s="903">
        <v>4</v>
      </c>
      <c r="AS10193" s="1153" t="s">
        <v>3507</v>
      </c>
    </row>
    <row r="10194" spans="1:45" s="520" customFormat="1" ht="12">
      <c r="A10194" s="758"/>
      <c r="B10194" s="758"/>
      <c r="C10194" s="758"/>
      <c r="D10194" s="758"/>
      <c r="E10194" s="758"/>
      <c r="F10194" s="753"/>
      <c r="G10194" s="758"/>
      <c r="H10194" s="758"/>
      <c r="I10194" s="519"/>
      <c r="J10194" s="758"/>
      <c r="K10194" s="758"/>
      <c r="L10194" s="758"/>
      <c r="M10194" s="758"/>
      <c r="N10194" s="758"/>
      <c r="O10194" s="758"/>
      <c r="P10194" s="758"/>
      <c r="Q10194" s="519"/>
      <c r="R10194" s="759">
        <f>$A10194*Q10194</f>
        <v>0</v>
      </c>
      <c r="S10194" s="519"/>
      <c r="T10194" s="760">
        <f>$A10194*S10194*$T$1</f>
        <v>0</v>
      </c>
      <c r="AR10194" s="758"/>
      <c r="AS10194" s="753"/>
    </row>
    <row r="10195" spans="1:45" s="520" customFormat="1" ht="12.6" thickBot="1">
      <c r="A10195" s="761" t="s">
        <v>145</v>
      </c>
      <c r="B10195" s="762">
        <f>(R10194+T10194)</f>
        <v>0</v>
      </c>
      <c r="C10195" s="763"/>
      <c r="D10195" s="763"/>
      <c r="E10195" s="763"/>
      <c r="F10195" s="764"/>
      <c r="G10195" s="763" t="s">
        <v>146</v>
      </c>
      <c r="H10195" s="763"/>
      <c r="I10195" s="765"/>
      <c r="J10195" s="763"/>
      <c r="K10195" s="763" t="s">
        <v>5</v>
      </c>
      <c r="L10195" s="766" t="s">
        <v>143</v>
      </c>
      <c r="M10195" s="766"/>
      <c r="N10195" s="766"/>
      <c r="O10195" s="766"/>
      <c r="P10195" s="766"/>
      <c r="Q10195" s="767"/>
      <c r="R10195" s="768">
        <f>SUM(R10192:R10194)</f>
        <v>87.3</v>
      </c>
      <c r="S10195" s="763"/>
      <c r="T10195" s="768">
        <f>SUM(T10192:T10194)</f>
        <v>0</v>
      </c>
      <c r="U10195" s="531"/>
      <c r="V10195" s="531"/>
      <c r="W10195" s="531"/>
      <c r="X10195" s="531"/>
      <c r="Y10195" s="531"/>
      <c r="Z10195" s="531"/>
      <c r="AA10195" s="531"/>
      <c r="AB10195" s="531"/>
      <c r="AC10195" s="531"/>
      <c r="AD10195" s="531"/>
      <c r="AE10195" s="531"/>
      <c r="AF10195" s="531"/>
      <c r="AG10195" s="531"/>
      <c r="AH10195" s="531"/>
      <c r="AI10195" s="531"/>
      <c r="AJ10195" s="531"/>
      <c r="AK10195" s="531"/>
      <c r="AL10195" s="531"/>
      <c r="AM10195" s="531"/>
      <c r="AN10195" s="531"/>
      <c r="AO10195" s="531"/>
      <c r="AR10195" s="761" t="s">
        <v>145</v>
      </c>
      <c r="AS10195" s="764"/>
    </row>
    <row r="10196" spans="1:45" s="520" customFormat="1" ht="12" thickTop="1">
      <c r="A10196" s="51"/>
      <c r="B10196" s="41"/>
      <c r="C10196" s="51"/>
      <c r="E10196" s="42" t="s">
        <v>138</v>
      </c>
      <c r="F10196" s="42" t="s">
        <v>139</v>
      </c>
      <c r="G10196" s="51"/>
      <c r="H10196" s="51"/>
      <c r="I10196" s="51"/>
      <c r="J10196" s="51"/>
      <c r="K10196" s="51" t="s">
        <v>140</v>
      </c>
      <c r="L10196" s="51"/>
      <c r="M10196" s="51"/>
      <c r="N10196" s="51"/>
      <c r="O10196" s="52"/>
      <c r="P10196" s="51"/>
      <c r="Q10196" s="51"/>
      <c r="R10196" s="51"/>
      <c r="S10196" s="51"/>
      <c r="T10196" s="41"/>
      <c r="AG10196" s="521" t="s">
        <v>268</v>
      </c>
      <c r="AH10196" s="521" t="s">
        <v>269</v>
      </c>
      <c r="AI10196" s="521" t="s">
        <v>270</v>
      </c>
      <c r="AJ10196" s="521" t="s">
        <v>271</v>
      </c>
      <c r="AK10196" s="521" t="s">
        <v>272</v>
      </c>
      <c r="AM10196" s="745" t="s">
        <v>281</v>
      </c>
      <c r="AN10196" s="746" t="s">
        <v>282</v>
      </c>
      <c r="AO10196" s="522" t="s">
        <v>278</v>
      </c>
      <c r="AR10196" s="51"/>
      <c r="AS10196" s="42" t="s">
        <v>139</v>
      </c>
    </row>
    <row r="10197" spans="1:45" s="520" customFormat="1" ht="12" customHeight="1">
      <c r="A10197" s="747">
        <v>2</v>
      </c>
      <c r="B10197" s="523" t="s">
        <v>329</v>
      </c>
      <c r="C10197" s="748"/>
      <c r="D10197" s="749" t="s">
        <v>1873</v>
      </c>
      <c r="E10197" s="1145">
        <f>IF(AND($A10197=0,$A$1="DIF"),0, ROUND(ROUND(($R10201*$S$3+($T10201*$T$3))/$A10197,2)*$C$3,2))</f>
        <v>24.63</v>
      </c>
      <c r="F10197" s="1146">
        <f>ROUND($A10197*$E10197,2)</f>
        <v>49.26</v>
      </c>
      <c r="G10197" s="752" t="s">
        <v>142</v>
      </c>
      <c r="H10197" s="753"/>
      <c r="I10197" s="754"/>
      <c r="J10197" s="753"/>
      <c r="K10197" s="753" t="s">
        <v>5</v>
      </c>
      <c r="L10197" s="755" t="s">
        <v>143</v>
      </c>
      <c r="M10197" s="755"/>
      <c r="N10197" s="755"/>
      <c r="O10197" s="755"/>
      <c r="P10197" s="755"/>
      <c r="Q10197" s="51"/>
      <c r="T10197" s="1150" t="str">
        <f>IF(AND($R10201=0,$T10201=0),"0.00","mu: "&amp; ROUND(F10197/$C$3/($R10201+$T10201*$D$9),2))</f>
        <v>mu: 1.13</v>
      </c>
      <c r="W10197" s="524"/>
      <c r="AG10197" s="1147">
        <f>IF($E10197=0,0,ROUND($R10201*$S$3*$C$3/$A10197,2))</f>
        <v>24.63</v>
      </c>
      <c r="AH10197" s="1147">
        <f>$AG10197*$A10197</f>
        <v>49.26</v>
      </c>
      <c r="AI10197" s="1148">
        <f>$E10197-$AG10197</f>
        <v>0</v>
      </c>
      <c r="AJ10197" s="1148">
        <f>$A10197*$AI10197</f>
        <v>0</v>
      </c>
      <c r="AK10197" s="1149">
        <f>ROUND(($AG10197+$AI10197)*$A10197,2)</f>
        <v>49.26</v>
      </c>
      <c r="AM10197" s="527">
        <f>ROUND(R10201,2)</f>
        <v>43.65</v>
      </c>
      <c r="AN10197" s="528">
        <f>ROUND(T10201,2)</f>
        <v>0</v>
      </c>
      <c r="AO10197" s="529">
        <f>ROUND(AM10197+AN10197,2)*A10197</f>
        <v>87.3</v>
      </c>
      <c r="AR10197" s="747">
        <v>2</v>
      </c>
      <c r="AS10197" s="1146">
        <v>53.62</v>
      </c>
    </row>
    <row r="10198" spans="1:45" s="520" customFormat="1" ht="13.2">
      <c r="A10198" s="748"/>
      <c r="B10198"/>
      <c r="C10198" s="748"/>
      <c r="D10198" s="749" t="s">
        <v>2189</v>
      </c>
      <c r="F10198" s="753"/>
      <c r="G10198" s="3"/>
      <c r="H10198" s="753"/>
      <c r="I10198" s="754"/>
      <c r="J10198" s="753"/>
      <c r="K10198" s="753" t="s">
        <v>144</v>
      </c>
      <c r="L10198" s="753"/>
      <c r="M10198" s="753"/>
      <c r="N10198" s="753"/>
      <c r="O10198" s="753"/>
      <c r="P10198" s="753"/>
      <c r="Q10198" s="51"/>
      <c r="R10198" s="530"/>
      <c r="S10198" s="757"/>
      <c r="T10198" s="753"/>
      <c r="AR10198" s="748"/>
      <c r="AS10198" s="753"/>
    </row>
    <row r="10199" spans="1:45" s="901" customFormat="1" ht="13.2">
      <c r="A10199" s="903">
        <v>2</v>
      </c>
      <c r="B10199" s="904" t="s">
        <v>863</v>
      </c>
      <c r="C10199" s="904"/>
      <c r="D10199" s="904" t="s">
        <v>2594</v>
      </c>
      <c r="E10199" s="904"/>
      <c r="F10199" s="1153" t="s">
        <v>4142</v>
      </c>
      <c r="G10199" s="905" t="s">
        <v>2595</v>
      </c>
      <c r="H10199" s="902">
        <v>960</v>
      </c>
      <c r="I10199" s="904" t="s">
        <v>2596</v>
      </c>
      <c r="J10199" s="904"/>
      <c r="K10199" s="904"/>
      <c r="L10199" s="904"/>
      <c r="M10199" s="904"/>
      <c r="N10199" s="904"/>
      <c r="O10199" s="902">
        <v>4</v>
      </c>
      <c r="P10199" s="906">
        <v>38274</v>
      </c>
      <c r="Q10199" s="1415">
        <f>25*0.873</f>
        <v>21.824999999999999</v>
      </c>
      <c r="R10199" s="908">
        <f>$A10199*Q10199</f>
        <v>43.65</v>
      </c>
      <c r="S10199" s="907"/>
      <c r="T10199" s="909">
        <f>$A10199*S10199*$T$1</f>
        <v>0</v>
      </c>
      <c r="AR10199" s="903">
        <v>2</v>
      </c>
      <c r="AS10199" s="1153" t="s">
        <v>3507</v>
      </c>
    </row>
    <row r="10200" spans="1:45" s="520" customFormat="1" ht="12">
      <c r="A10200" s="758"/>
      <c r="B10200" s="758"/>
      <c r="C10200" s="758"/>
      <c r="D10200" s="758"/>
      <c r="E10200" s="758"/>
      <c r="F10200" s="753"/>
      <c r="G10200" s="758"/>
      <c r="H10200" s="758"/>
      <c r="I10200" s="519"/>
      <c r="J10200" s="758"/>
      <c r="K10200" s="758"/>
      <c r="L10200" s="758"/>
      <c r="M10200" s="758"/>
      <c r="N10200" s="758"/>
      <c r="O10200" s="758"/>
      <c r="P10200" s="758"/>
      <c r="Q10200" s="519"/>
      <c r="R10200" s="759">
        <f>$A10200*Q10200</f>
        <v>0</v>
      </c>
      <c r="S10200" s="519"/>
      <c r="T10200" s="760">
        <f>$A10200*S10200*$T$1</f>
        <v>0</v>
      </c>
      <c r="AR10200" s="758"/>
      <c r="AS10200" s="753"/>
    </row>
    <row r="10201" spans="1:45" s="520" customFormat="1" ht="12.6" thickBot="1">
      <c r="A10201" s="761" t="s">
        <v>145</v>
      </c>
      <c r="B10201" s="762">
        <f>(R10200+T10200)</f>
        <v>0</v>
      </c>
      <c r="C10201" s="763"/>
      <c r="D10201" s="763"/>
      <c r="E10201" s="763"/>
      <c r="F10201" s="764"/>
      <c r="G10201" s="763" t="s">
        <v>146</v>
      </c>
      <c r="H10201" s="763"/>
      <c r="I10201" s="765"/>
      <c r="J10201" s="763"/>
      <c r="K10201" s="763" t="s">
        <v>5</v>
      </c>
      <c r="L10201" s="766" t="s">
        <v>143</v>
      </c>
      <c r="M10201" s="766"/>
      <c r="N10201" s="766"/>
      <c r="O10201" s="766"/>
      <c r="P10201" s="766"/>
      <c r="Q10201" s="767"/>
      <c r="R10201" s="768">
        <f>SUM(R10198:R10200)</f>
        <v>43.65</v>
      </c>
      <c r="S10201" s="763"/>
      <c r="T10201" s="768">
        <f>SUM(T10198:T10200)</f>
        <v>0</v>
      </c>
      <c r="U10201" s="531"/>
      <c r="V10201" s="531"/>
      <c r="W10201" s="531"/>
      <c r="X10201" s="531"/>
      <c r="Y10201" s="531"/>
      <c r="Z10201" s="531"/>
      <c r="AA10201" s="531"/>
      <c r="AB10201" s="531"/>
      <c r="AC10201" s="531"/>
      <c r="AD10201" s="531"/>
      <c r="AE10201" s="531"/>
      <c r="AF10201" s="531"/>
      <c r="AG10201" s="531"/>
      <c r="AH10201" s="531"/>
      <c r="AI10201" s="531"/>
      <c r="AJ10201" s="531"/>
      <c r="AK10201" s="531"/>
      <c r="AL10201" s="531"/>
      <c r="AM10201" s="531"/>
      <c r="AN10201" s="531"/>
      <c r="AO10201" s="531"/>
      <c r="AR10201" s="761" t="s">
        <v>145</v>
      </c>
      <c r="AS10201" s="764"/>
    </row>
    <row r="10202" spans="1:45" s="520" customFormat="1" thickTop="1">
      <c r="A10202" s="51"/>
      <c r="B10202" s="51"/>
      <c r="C10202" s="3"/>
      <c r="D10202" s="3"/>
      <c r="E10202" s="51"/>
      <c r="F10202" s="51"/>
      <c r="G10202" s="51"/>
      <c r="H10202" s="51"/>
      <c r="I10202" s="51"/>
      <c r="J10202" s="51"/>
      <c r="K10202" s="51" t="s">
        <v>134</v>
      </c>
      <c r="L10202" s="51"/>
      <c r="M10202" s="51"/>
      <c r="N10202" s="51"/>
      <c r="O10202" s="52"/>
      <c r="P10202" s="51"/>
      <c r="Q10202" s="51"/>
      <c r="R10202" s="51"/>
      <c r="S10202" s="51"/>
      <c r="T10202" s="51"/>
      <c r="AR10202" s="51"/>
      <c r="AS10202" s="51"/>
    </row>
    <row r="10203" spans="1:45" s="520" customFormat="1" ht="12">
      <c r="A10203" s="51"/>
      <c r="B10203" s="51"/>
      <c r="C10203" s="51" t="s">
        <v>135</v>
      </c>
      <c r="D10203" s="37"/>
      <c r="E10203" s="51"/>
      <c r="F10203" s="51"/>
      <c r="G10203" s="51"/>
      <c r="H10203" s="51"/>
      <c r="I10203" s="51"/>
      <c r="J10203" s="51"/>
      <c r="K10203" s="51"/>
      <c r="L10203" s="51"/>
      <c r="M10203" s="51"/>
      <c r="N10203" s="51"/>
      <c r="O10203" s="52"/>
      <c r="P10203" s="51"/>
      <c r="Q10203" s="51"/>
      <c r="R10203" s="51"/>
      <c r="S10203" s="51"/>
      <c r="T10203" s="51"/>
      <c r="AR10203" s="51"/>
      <c r="AS10203" s="51"/>
    </row>
    <row r="10204" spans="1:45" s="520" customFormat="1" ht="12">
      <c r="A10204" s="51"/>
      <c r="B10204" s="51"/>
      <c r="C10204" s="51"/>
      <c r="D10204" s="37" t="s">
        <v>2186</v>
      </c>
      <c r="E10204" s="51"/>
      <c r="F10204" s="51"/>
      <c r="G10204" s="51"/>
      <c r="H10204" s="51"/>
      <c r="I10204" s="51"/>
      <c r="J10204" s="51"/>
      <c r="K10204" s="51"/>
      <c r="L10204" s="51"/>
      <c r="M10204" s="51"/>
      <c r="N10204" s="51"/>
      <c r="O10204" s="52"/>
      <c r="P10204" s="51"/>
      <c r="Q10204" s="51"/>
      <c r="R10204" s="51"/>
      <c r="S10204" s="38"/>
      <c r="T10204" s="38"/>
      <c r="AR10204" s="51"/>
      <c r="AS10204" s="51"/>
    </row>
    <row r="10205" spans="1:45" s="3" customFormat="1" thickBot="1">
      <c r="A10205" s="531"/>
      <c r="O10205" s="107"/>
      <c r="AR10205" s="531"/>
    </row>
    <row r="10206" spans="1:45" s="520" customFormat="1" ht="12" thickTop="1">
      <c r="A10206" s="51"/>
      <c r="B10206" s="41"/>
      <c r="C10206" s="51"/>
      <c r="E10206" s="42" t="s">
        <v>138</v>
      </c>
      <c r="F10206" s="42" t="s">
        <v>139</v>
      </c>
      <c r="G10206" s="51"/>
      <c r="H10206" s="51"/>
      <c r="I10206" s="51"/>
      <c r="J10206" s="51"/>
      <c r="K10206" s="51" t="s">
        <v>140</v>
      </c>
      <c r="L10206" s="51"/>
      <c r="M10206" s="51"/>
      <c r="N10206" s="51"/>
      <c r="O10206" s="52"/>
      <c r="P10206" s="51"/>
      <c r="Q10206" s="51"/>
      <c r="R10206" s="51"/>
      <c r="S10206" s="51"/>
      <c r="T10206" s="41"/>
      <c r="AG10206" s="521" t="s">
        <v>268</v>
      </c>
      <c r="AH10206" s="521" t="s">
        <v>269</v>
      </c>
      <c r="AI10206" s="521" t="s">
        <v>270</v>
      </c>
      <c r="AJ10206" s="521" t="s">
        <v>271</v>
      </c>
      <c r="AK10206" s="521" t="s">
        <v>272</v>
      </c>
      <c r="AM10206" s="745" t="s">
        <v>281</v>
      </c>
      <c r="AN10206" s="746" t="s">
        <v>282</v>
      </c>
      <c r="AO10206" s="522" t="s">
        <v>278</v>
      </c>
      <c r="AR10206" s="51"/>
      <c r="AS10206" s="42" t="s">
        <v>139</v>
      </c>
    </row>
    <row r="10207" spans="1:45" s="520" customFormat="1" ht="12" customHeight="1">
      <c r="A10207" s="747">
        <v>4</v>
      </c>
      <c r="B10207" s="523" t="s">
        <v>329</v>
      </c>
      <c r="C10207" s="748"/>
      <c r="D10207" s="749" t="s">
        <v>1874</v>
      </c>
      <c r="E10207" s="1145">
        <f>IF(AND($A10207=0,$A$1="DIF"),0, ROUND(ROUND(($R10211*$S$3+($T10211*$T$3))/$A10207,2)*$C$3,2))</f>
        <v>211.86</v>
      </c>
      <c r="F10207" s="1146">
        <f>ROUND($A10207*$E10207,2)</f>
        <v>847.44</v>
      </c>
      <c r="G10207" s="752" t="s">
        <v>142</v>
      </c>
      <c r="H10207" s="753"/>
      <c r="I10207" s="754"/>
      <c r="J10207" s="753"/>
      <c r="K10207" s="753" t="s">
        <v>5</v>
      </c>
      <c r="L10207" s="755" t="s">
        <v>143</v>
      </c>
      <c r="M10207" s="755"/>
      <c r="N10207" s="755"/>
      <c r="O10207" s="755"/>
      <c r="P10207" s="755"/>
      <c r="Q10207" s="51"/>
      <c r="T10207" s="1150" t="str">
        <f>IF(AND($R10211=0,$T10211=0),"0.00","mu: "&amp; ROUND(F10207/$C$3/($R10211+$T10211*$D$9),2))</f>
        <v>mu: 1.13</v>
      </c>
      <c r="W10207" s="524"/>
      <c r="AG10207" s="1147">
        <f>IF($E10207=0,0,ROUND($R10211*$S$3*$C$3/$A10207,2))</f>
        <v>211.86</v>
      </c>
      <c r="AH10207" s="1147">
        <f>$AG10207*$A10207</f>
        <v>847.44</v>
      </c>
      <c r="AI10207" s="1148">
        <f>$E10207-$AG10207</f>
        <v>0</v>
      </c>
      <c r="AJ10207" s="1148">
        <f>$A10207*$AI10207</f>
        <v>0</v>
      </c>
      <c r="AK10207" s="1149">
        <f>ROUND(($AG10207+$AI10207)*$A10207,2)</f>
        <v>847.44</v>
      </c>
      <c r="AM10207" s="527">
        <f>ROUND(R10211,2)</f>
        <v>750.78</v>
      </c>
      <c r="AN10207" s="528">
        <f>ROUND(T10211,2)</f>
        <v>0</v>
      </c>
      <c r="AO10207" s="529">
        <f>ROUND(AM10207+AN10207,2)*A10207</f>
        <v>3003.12</v>
      </c>
      <c r="AR10207" s="747">
        <v>4</v>
      </c>
      <c r="AS10207" s="1146">
        <v>922.16</v>
      </c>
    </row>
    <row r="10208" spans="1:45" s="520" customFormat="1" ht="13.2">
      <c r="A10208" s="748"/>
      <c r="B10208"/>
      <c r="C10208" s="748"/>
      <c r="D10208" s="749" t="s">
        <v>2188</v>
      </c>
      <c r="F10208" s="753"/>
      <c r="G10208" s="3"/>
      <c r="H10208" s="753"/>
      <c r="I10208" s="754"/>
      <c r="J10208" s="753"/>
      <c r="K10208" s="753" t="s">
        <v>144</v>
      </c>
      <c r="L10208" s="753"/>
      <c r="M10208" s="753"/>
      <c r="N10208" s="753"/>
      <c r="O10208" s="753"/>
      <c r="P10208" s="753"/>
      <c r="Q10208" s="51"/>
      <c r="R10208" s="530"/>
      <c r="S10208" s="757"/>
      <c r="T10208" s="753"/>
      <c r="AR10208" s="748"/>
      <c r="AS10208" s="753"/>
    </row>
    <row r="10209" spans="1:45" s="901" customFormat="1" ht="13.2">
      <c r="A10209" s="903">
        <v>4</v>
      </c>
      <c r="B10209" s="904" t="s">
        <v>863</v>
      </c>
      <c r="C10209" s="904"/>
      <c r="D10209" s="904" t="s">
        <v>2594</v>
      </c>
      <c r="E10209" s="904"/>
      <c r="F10209" s="1153" t="s">
        <v>4142</v>
      </c>
      <c r="G10209" s="905" t="s">
        <v>2595</v>
      </c>
      <c r="H10209" s="902">
        <v>960</v>
      </c>
      <c r="I10209" s="904" t="s">
        <v>2596</v>
      </c>
      <c r="J10209" s="904"/>
      <c r="K10209" s="904"/>
      <c r="L10209" s="904"/>
      <c r="M10209" s="904"/>
      <c r="N10209" s="904"/>
      <c r="O10209" s="902">
        <v>4</v>
      </c>
      <c r="P10209" s="906">
        <v>38274</v>
      </c>
      <c r="Q10209" s="1415">
        <f>215*0.873</f>
        <v>187.69499999999999</v>
      </c>
      <c r="R10209" s="908">
        <f>$A10209*Q10209</f>
        <v>750.78</v>
      </c>
      <c r="S10209" s="907"/>
      <c r="T10209" s="909">
        <f>$A10209*S10209*$T$1</f>
        <v>0</v>
      </c>
      <c r="AR10209" s="903">
        <v>4</v>
      </c>
      <c r="AS10209" s="1153" t="s">
        <v>3507</v>
      </c>
    </row>
    <row r="10210" spans="1:45" s="520" customFormat="1" ht="12">
      <c r="A10210" s="758"/>
      <c r="B10210" s="758"/>
      <c r="C10210" s="758"/>
      <c r="D10210" s="758"/>
      <c r="E10210" s="758"/>
      <c r="F10210" s="753"/>
      <c r="G10210" s="758"/>
      <c r="H10210" s="758"/>
      <c r="I10210" s="519"/>
      <c r="J10210" s="758"/>
      <c r="K10210" s="758"/>
      <c r="L10210" s="758"/>
      <c r="M10210" s="758"/>
      <c r="N10210" s="758"/>
      <c r="O10210" s="758"/>
      <c r="P10210" s="758"/>
      <c r="Q10210" s="519"/>
      <c r="R10210" s="759">
        <f>$A10210*Q10210</f>
        <v>0</v>
      </c>
      <c r="S10210" s="519"/>
      <c r="T10210" s="760">
        <f>$A10210*S10210*$T$1</f>
        <v>0</v>
      </c>
      <c r="AR10210" s="758"/>
      <c r="AS10210" s="753"/>
    </row>
    <row r="10211" spans="1:45" s="520" customFormat="1" ht="12.6" thickBot="1">
      <c r="A10211" s="761" t="s">
        <v>145</v>
      </c>
      <c r="B10211" s="762">
        <f>(R10210+T10210)</f>
        <v>0</v>
      </c>
      <c r="C10211" s="763"/>
      <c r="D10211" s="763"/>
      <c r="E10211" s="763"/>
      <c r="F10211" s="764"/>
      <c r="G10211" s="763" t="s">
        <v>146</v>
      </c>
      <c r="H10211" s="763"/>
      <c r="I10211" s="765"/>
      <c r="J10211" s="763"/>
      <c r="K10211" s="763" t="s">
        <v>5</v>
      </c>
      <c r="L10211" s="766" t="s">
        <v>143</v>
      </c>
      <c r="M10211" s="766"/>
      <c r="N10211" s="766"/>
      <c r="O10211" s="766"/>
      <c r="P10211" s="766"/>
      <c r="Q10211" s="767"/>
      <c r="R10211" s="768">
        <f>SUM(R10208:R10210)</f>
        <v>750.78</v>
      </c>
      <c r="S10211" s="763"/>
      <c r="T10211" s="768">
        <f>SUM(T10208:T10210)</f>
        <v>0</v>
      </c>
      <c r="U10211" s="531"/>
      <c r="V10211" s="531"/>
      <c r="W10211" s="531"/>
      <c r="X10211" s="531"/>
      <c r="Y10211" s="531"/>
      <c r="Z10211" s="531"/>
      <c r="AA10211" s="531"/>
      <c r="AB10211" s="531"/>
      <c r="AC10211" s="531"/>
      <c r="AD10211" s="531"/>
      <c r="AE10211" s="531"/>
      <c r="AF10211" s="531"/>
      <c r="AG10211" s="531"/>
      <c r="AH10211" s="531"/>
      <c r="AI10211" s="531"/>
      <c r="AJ10211" s="531"/>
      <c r="AK10211" s="531"/>
      <c r="AL10211" s="531"/>
      <c r="AM10211" s="531"/>
      <c r="AN10211" s="531"/>
      <c r="AO10211" s="531"/>
      <c r="AR10211" s="761" t="s">
        <v>145</v>
      </c>
      <c r="AS10211" s="764"/>
    </row>
    <row r="10212" spans="1:45" s="520" customFormat="1" ht="12" thickTop="1">
      <c r="A10212" s="51"/>
      <c r="B10212" s="41"/>
      <c r="C10212" s="51"/>
      <c r="E10212" s="42" t="s">
        <v>138</v>
      </c>
      <c r="F10212" s="42" t="s">
        <v>139</v>
      </c>
      <c r="G10212" s="51"/>
      <c r="H10212" s="51"/>
      <c r="I10212" s="51"/>
      <c r="J10212" s="51"/>
      <c r="K10212" s="51" t="s">
        <v>140</v>
      </c>
      <c r="L10212" s="51"/>
      <c r="M10212" s="51"/>
      <c r="N10212" s="51"/>
      <c r="O10212" s="52"/>
      <c r="P10212" s="51"/>
      <c r="Q10212" s="51"/>
      <c r="R10212" s="51"/>
      <c r="S10212" s="51"/>
      <c r="T10212" s="41"/>
      <c r="AG10212" s="521" t="s">
        <v>268</v>
      </c>
      <c r="AH10212" s="521" t="s">
        <v>269</v>
      </c>
      <c r="AI10212" s="521" t="s">
        <v>270</v>
      </c>
      <c r="AJ10212" s="521" t="s">
        <v>271</v>
      </c>
      <c r="AK10212" s="521" t="s">
        <v>272</v>
      </c>
      <c r="AM10212" s="745" t="s">
        <v>281</v>
      </c>
      <c r="AN10212" s="746" t="s">
        <v>282</v>
      </c>
      <c r="AO10212" s="522" t="s">
        <v>278</v>
      </c>
      <c r="AR10212" s="51"/>
      <c r="AS10212" s="42" t="s">
        <v>139</v>
      </c>
    </row>
    <row r="10213" spans="1:45" s="520" customFormat="1" ht="12" customHeight="1">
      <c r="A10213" s="747">
        <v>2</v>
      </c>
      <c r="B10213" s="523" t="s">
        <v>329</v>
      </c>
      <c r="C10213" s="748"/>
      <c r="D10213" s="749" t="s">
        <v>1875</v>
      </c>
      <c r="E10213" s="1145">
        <f>IF(AND($A10213=0,$A$1="DIF"),0, ROUND(ROUND(($R10217*$S$3+($T10217*$T$3))/$A10213,2)*$C$3,2))</f>
        <v>310.39999999999998</v>
      </c>
      <c r="F10213" s="1146">
        <f>ROUND($A10213*$E10213,2)</f>
        <v>620.79999999999995</v>
      </c>
      <c r="G10213" s="752" t="s">
        <v>142</v>
      </c>
      <c r="H10213" s="753"/>
      <c r="I10213" s="754"/>
      <c r="J10213" s="753"/>
      <c r="K10213" s="753" t="s">
        <v>5</v>
      </c>
      <c r="L10213" s="755" t="s">
        <v>143</v>
      </c>
      <c r="M10213" s="755"/>
      <c r="N10213" s="755"/>
      <c r="O10213" s="755"/>
      <c r="P10213" s="755"/>
      <c r="Q10213" s="51"/>
      <c r="T10213" s="1150" t="str">
        <f>IF(AND($R10217=0,$T10217=0),"0.00","mu: "&amp; ROUND(F10213/$C$3/($R10217+$T10217*$D$9),2))</f>
        <v>mu: 1.13</v>
      </c>
      <c r="W10213" s="524"/>
      <c r="AG10213" s="1147">
        <f>IF($E10213=0,0,ROUND($R10217*$S$3*$C$3/$A10213,2))</f>
        <v>310.39999999999998</v>
      </c>
      <c r="AH10213" s="1147">
        <f>$AG10213*$A10213</f>
        <v>620.79999999999995</v>
      </c>
      <c r="AI10213" s="1148">
        <f>$E10213-$AG10213</f>
        <v>0</v>
      </c>
      <c r="AJ10213" s="1148">
        <f>$A10213*$AI10213</f>
        <v>0</v>
      </c>
      <c r="AK10213" s="1149">
        <f>ROUND(($AG10213+$AI10213)*$A10213,2)</f>
        <v>620.79999999999995</v>
      </c>
      <c r="AM10213" s="527">
        <f>ROUND(R10217,2)</f>
        <v>549.99</v>
      </c>
      <c r="AN10213" s="528">
        <f>ROUND(T10217,2)</f>
        <v>0</v>
      </c>
      <c r="AO10213" s="529">
        <f>ROUND(AM10213+AN10213,2)*A10213</f>
        <v>1099.98</v>
      </c>
      <c r="AR10213" s="747">
        <v>2</v>
      </c>
      <c r="AS10213" s="1146">
        <v>675.54</v>
      </c>
    </row>
    <row r="10214" spans="1:45" s="520" customFormat="1" ht="13.2">
      <c r="A10214" s="748"/>
      <c r="B10214"/>
      <c r="C10214" s="748"/>
      <c r="D10214" s="749" t="s">
        <v>2189</v>
      </c>
      <c r="F10214" s="753"/>
      <c r="G10214" s="3"/>
      <c r="H10214" s="753"/>
      <c r="I10214" s="754"/>
      <c r="J10214" s="753"/>
      <c r="K10214" s="753" t="s">
        <v>144</v>
      </c>
      <c r="L10214" s="753"/>
      <c r="M10214" s="753"/>
      <c r="N10214" s="753"/>
      <c r="O10214" s="753"/>
      <c r="P10214" s="753"/>
      <c r="Q10214" s="51"/>
      <c r="R10214" s="530"/>
      <c r="S10214" s="757"/>
      <c r="T10214" s="753"/>
      <c r="AR10214" s="748"/>
      <c r="AS10214" s="753"/>
    </row>
    <row r="10215" spans="1:45" s="901" customFormat="1" ht="13.2">
      <c r="A10215" s="903">
        <v>2</v>
      </c>
      <c r="B10215" s="904" t="s">
        <v>863</v>
      </c>
      <c r="C10215" s="904"/>
      <c r="D10215" s="904" t="s">
        <v>2594</v>
      </c>
      <c r="E10215" s="904"/>
      <c r="F10215" s="1153" t="s">
        <v>4142</v>
      </c>
      <c r="G10215" s="905" t="s">
        <v>2595</v>
      </c>
      <c r="H10215" s="902">
        <v>960</v>
      </c>
      <c r="I10215" s="904" t="s">
        <v>2596</v>
      </c>
      <c r="J10215" s="904"/>
      <c r="K10215" s="904"/>
      <c r="L10215" s="904"/>
      <c r="M10215" s="904"/>
      <c r="N10215" s="904"/>
      <c r="O10215" s="902">
        <v>4</v>
      </c>
      <c r="P10215" s="906">
        <v>38274</v>
      </c>
      <c r="Q10215" s="1415">
        <f>315*0.873</f>
        <v>274.995</v>
      </c>
      <c r="R10215" s="908">
        <f>$A10215*Q10215</f>
        <v>549.99</v>
      </c>
      <c r="S10215" s="907"/>
      <c r="T10215" s="909">
        <f>$A10215*S10215*$T$1</f>
        <v>0</v>
      </c>
      <c r="AR10215" s="903">
        <v>2</v>
      </c>
      <c r="AS10215" s="1153" t="s">
        <v>3507</v>
      </c>
    </row>
    <row r="10216" spans="1:45" s="520" customFormat="1" ht="12">
      <c r="A10216" s="758"/>
      <c r="B10216" s="758"/>
      <c r="C10216" s="758"/>
      <c r="D10216" s="758"/>
      <c r="E10216" s="758"/>
      <c r="F10216" s="753"/>
      <c r="G10216" s="758"/>
      <c r="H10216" s="758"/>
      <c r="I10216" s="519"/>
      <c r="J10216" s="758"/>
      <c r="K10216" s="758"/>
      <c r="L10216" s="758"/>
      <c r="M10216" s="758"/>
      <c r="N10216" s="758"/>
      <c r="O10216" s="758"/>
      <c r="P10216" s="758"/>
      <c r="Q10216" s="519"/>
      <c r="R10216" s="759">
        <f>$A10216*Q10216</f>
        <v>0</v>
      </c>
      <c r="S10216" s="519"/>
      <c r="T10216" s="760">
        <f>$A10216*S10216*$T$1</f>
        <v>0</v>
      </c>
      <c r="AR10216" s="758"/>
      <c r="AS10216" s="753"/>
    </row>
    <row r="10217" spans="1:45" s="520" customFormat="1" ht="12.6" thickBot="1">
      <c r="A10217" s="761" t="s">
        <v>145</v>
      </c>
      <c r="B10217" s="762">
        <f>(R10216+T10216)</f>
        <v>0</v>
      </c>
      <c r="C10217" s="763"/>
      <c r="D10217" s="763"/>
      <c r="E10217" s="763"/>
      <c r="F10217" s="764"/>
      <c r="G10217" s="763" t="s">
        <v>146</v>
      </c>
      <c r="H10217" s="763"/>
      <c r="I10217" s="765"/>
      <c r="J10217" s="763"/>
      <c r="K10217" s="763" t="s">
        <v>5</v>
      </c>
      <c r="L10217" s="766" t="s">
        <v>143</v>
      </c>
      <c r="M10217" s="766"/>
      <c r="N10217" s="766"/>
      <c r="O10217" s="766"/>
      <c r="P10217" s="766"/>
      <c r="Q10217" s="767"/>
      <c r="R10217" s="768">
        <f>SUM(R10214:R10216)</f>
        <v>549.99</v>
      </c>
      <c r="S10217" s="763"/>
      <c r="T10217" s="768">
        <f>SUM(T10214:T10216)</f>
        <v>0</v>
      </c>
      <c r="U10217" s="531"/>
      <c r="V10217" s="531"/>
      <c r="W10217" s="531"/>
      <c r="X10217" s="531"/>
      <c r="Y10217" s="531"/>
      <c r="Z10217" s="531"/>
      <c r="AA10217" s="531"/>
      <c r="AB10217" s="531"/>
      <c r="AC10217" s="531"/>
      <c r="AD10217" s="531"/>
      <c r="AE10217" s="531"/>
      <c r="AF10217" s="531"/>
      <c r="AG10217" s="531"/>
      <c r="AH10217" s="531"/>
      <c r="AI10217" s="531"/>
      <c r="AJ10217" s="531"/>
      <c r="AK10217" s="531"/>
      <c r="AL10217" s="531"/>
      <c r="AM10217" s="531"/>
      <c r="AN10217" s="531"/>
      <c r="AO10217" s="531"/>
      <c r="AR10217" s="761" t="s">
        <v>145</v>
      </c>
      <c r="AS10217" s="764"/>
    </row>
    <row r="10218" spans="1:45" s="520" customFormat="1" thickTop="1">
      <c r="A10218" s="51"/>
      <c r="B10218" s="51"/>
      <c r="C10218" s="3"/>
      <c r="D10218" s="3"/>
      <c r="E10218" s="51"/>
      <c r="F10218" s="51"/>
      <c r="G10218" s="51"/>
      <c r="H10218" s="51"/>
      <c r="I10218" s="51"/>
      <c r="J10218" s="51"/>
      <c r="K10218" s="51" t="s">
        <v>134</v>
      </c>
      <c r="L10218" s="51"/>
      <c r="M10218" s="51"/>
      <c r="N10218" s="51"/>
      <c r="O10218" s="52"/>
      <c r="P10218" s="51"/>
      <c r="Q10218" s="51"/>
      <c r="R10218" s="51"/>
      <c r="S10218" s="51"/>
      <c r="T10218" s="51"/>
      <c r="AR10218" s="51"/>
      <c r="AS10218" s="51"/>
    </row>
    <row r="10219" spans="1:45" s="520" customFormat="1" ht="12">
      <c r="A10219" s="51"/>
      <c r="B10219" s="51"/>
      <c r="C10219" s="51" t="s">
        <v>135</v>
      </c>
      <c r="D10219" s="37"/>
      <c r="E10219" s="51"/>
      <c r="F10219" s="51"/>
      <c r="G10219" s="51"/>
      <c r="H10219" s="51"/>
      <c r="I10219" s="51"/>
      <c r="J10219" s="51"/>
      <c r="K10219" s="51"/>
      <c r="L10219" s="51"/>
      <c r="M10219" s="51"/>
      <c r="N10219" s="51"/>
      <c r="O10219" s="52"/>
      <c r="P10219" s="51"/>
      <c r="Q10219" s="51"/>
      <c r="R10219" s="51"/>
      <c r="S10219" s="51"/>
      <c r="T10219" s="51"/>
      <c r="AR10219" s="51"/>
      <c r="AS10219" s="51"/>
    </row>
    <row r="10220" spans="1:45" s="520" customFormat="1" ht="12">
      <c r="A10220" s="51"/>
      <c r="B10220" s="51"/>
      <c r="C10220" s="51"/>
      <c r="D10220" s="37" t="s">
        <v>368</v>
      </c>
      <c r="E10220" s="51"/>
      <c r="F10220" s="51"/>
      <c r="G10220" s="51"/>
      <c r="H10220" s="51"/>
      <c r="I10220" s="51"/>
      <c r="J10220" s="51"/>
      <c r="K10220" s="51"/>
      <c r="L10220" s="51"/>
      <c r="M10220" s="51"/>
      <c r="N10220" s="51"/>
      <c r="O10220" s="52"/>
      <c r="P10220" s="51"/>
      <c r="Q10220" s="51"/>
      <c r="R10220" s="51"/>
      <c r="S10220" s="38"/>
      <c r="T10220" s="38"/>
      <c r="AR10220" s="51"/>
      <c r="AS10220" s="51"/>
    </row>
    <row r="10221" spans="1:45" s="3" customFormat="1" thickBot="1">
      <c r="A10221" s="531"/>
      <c r="O10221" s="107"/>
      <c r="AR10221" s="531"/>
    </row>
    <row r="10222" spans="1:45" s="520" customFormat="1" thickTop="1">
      <c r="A10222" s="51"/>
      <c r="B10222" s="51"/>
      <c r="C10222" s="3"/>
      <c r="D10222" s="3"/>
      <c r="E10222" s="51"/>
      <c r="F10222" s="51"/>
      <c r="G10222" s="51"/>
      <c r="H10222" s="51"/>
      <c r="I10222" s="51"/>
      <c r="J10222" s="51"/>
      <c r="K10222" s="51" t="s">
        <v>134</v>
      </c>
      <c r="L10222" s="51"/>
      <c r="M10222" s="51"/>
      <c r="N10222" s="51"/>
      <c r="O10222" s="52"/>
      <c r="P10222" s="51"/>
      <c r="Q10222" s="51"/>
      <c r="R10222" s="51"/>
      <c r="S10222" s="51"/>
      <c r="T10222" s="51"/>
      <c r="AR10222" s="51"/>
      <c r="AS10222" s="51"/>
    </row>
    <row r="10223" spans="1:45" s="520" customFormat="1" ht="12">
      <c r="A10223" s="51"/>
      <c r="B10223" s="51"/>
      <c r="C10223" s="51" t="s">
        <v>135</v>
      </c>
      <c r="D10223" s="37"/>
      <c r="E10223" s="51"/>
      <c r="F10223" s="51"/>
      <c r="G10223" s="51"/>
      <c r="H10223" s="51"/>
      <c r="I10223" s="51"/>
      <c r="J10223" s="51"/>
      <c r="K10223" s="51"/>
      <c r="L10223" s="51"/>
      <c r="M10223" s="51"/>
      <c r="N10223" s="51"/>
      <c r="O10223" s="52"/>
      <c r="P10223" s="51"/>
      <c r="Q10223" s="51"/>
      <c r="R10223" s="51"/>
      <c r="S10223" s="51"/>
      <c r="T10223" s="51"/>
      <c r="AR10223" s="51"/>
      <c r="AS10223" s="51"/>
    </row>
    <row r="10224" spans="1:45" s="520" customFormat="1" ht="39.9" customHeight="1">
      <c r="A10224" s="51"/>
      <c r="B10224" s="51"/>
      <c r="C10224" s="51"/>
      <c r="D10224" s="1453" t="s">
        <v>2499</v>
      </c>
      <c r="E10224" s="1452"/>
      <c r="F10224" s="1452"/>
      <c r="G10224" s="1452"/>
      <c r="H10224" s="1452"/>
      <c r="I10224" s="1452"/>
      <c r="J10224" s="1452"/>
      <c r="K10224" s="1452"/>
      <c r="L10224" s="1452"/>
      <c r="M10224" s="1452"/>
      <c r="N10224" s="1452"/>
      <c r="O10224" s="1452"/>
      <c r="P10224" s="1452"/>
      <c r="Q10224" s="1452"/>
      <c r="R10224" s="1452"/>
      <c r="S10224" s="1452"/>
      <c r="T10224" s="1452"/>
      <c r="AR10224" s="51"/>
    </row>
    <row r="10225" spans="1:45" s="3" customFormat="1" thickBot="1">
      <c r="A10225" s="531"/>
      <c r="O10225" s="107"/>
      <c r="AR10225" s="531"/>
    </row>
    <row r="10226" spans="1:45" s="520" customFormat="1" ht="12" thickTop="1">
      <c r="A10226" s="51"/>
      <c r="B10226" s="41"/>
      <c r="C10226" s="51"/>
      <c r="E10226" s="42" t="s">
        <v>138</v>
      </c>
      <c r="F10226" s="42" t="s">
        <v>139</v>
      </c>
      <c r="G10226" s="51"/>
      <c r="H10226" s="51"/>
      <c r="I10226" s="51"/>
      <c r="J10226" s="51"/>
      <c r="K10226" s="51" t="s">
        <v>140</v>
      </c>
      <c r="L10226" s="51"/>
      <c r="M10226" s="51"/>
      <c r="N10226" s="51"/>
      <c r="O10226" s="52"/>
      <c r="P10226" s="51"/>
      <c r="Q10226" s="51"/>
      <c r="R10226" s="51"/>
      <c r="S10226" s="51"/>
      <c r="T10226" s="41"/>
      <c r="AG10226" s="521" t="s">
        <v>268</v>
      </c>
      <c r="AH10226" s="521" t="s">
        <v>269</v>
      </c>
      <c r="AI10226" s="521" t="s">
        <v>270</v>
      </c>
      <c r="AJ10226" s="521" t="s">
        <v>271</v>
      </c>
      <c r="AK10226" s="521" t="s">
        <v>272</v>
      </c>
      <c r="AM10226" s="745" t="s">
        <v>281</v>
      </c>
      <c r="AN10226" s="746" t="s">
        <v>282</v>
      </c>
      <c r="AO10226" s="522" t="s">
        <v>278</v>
      </c>
      <c r="AR10226" s="51"/>
      <c r="AS10226" s="42" t="s">
        <v>139</v>
      </c>
    </row>
    <row r="10227" spans="1:45" s="520" customFormat="1" ht="12" customHeight="1">
      <c r="A10227" s="747">
        <v>5</v>
      </c>
      <c r="B10227" s="523" t="s">
        <v>329</v>
      </c>
      <c r="C10227" s="748"/>
      <c r="D10227" s="749" t="s">
        <v>1876</v>
      </c>
      <c r="E10227" s="750">
        <f ca="1">IF(AND($A10227=0,$A$1="DIF"),0, ROUND(ROUND(($R10232*$S$2+($T10232*$T$2))/A10227,2)*$C$2,2))</f>
        <v>36.97</v>
      </c>
      <c r="F10227" s="751">
        <f ca="1">ROUND($A10227*$E10227,2)</f>
        <v>184.85</v>
      </c>
      <c r="G10227" s="752" t="s">
        <v>142</v>
      </c>
      <c r="H10227" s="753"/>
      <c r="I10227" s="754"/>
      <c r="J10227" s="753"/>
      <c r="K10227" s="753" t="s">
        <v>3</v>
      </c>
      <c r="L10227" s="755" t="s">
        <v>143</v>
      </c>
      <c r="M10227" s="755"/>
      <c r="N10227" s="755"/>
      <c r="O10227" s="755"/>
      <c r="P10227" s="755"/>
      <c r="Q10227" s="51"/>
      <c r="T10227" s="756" t="str">
        <f ca="1">IF(AND($R10232=0,$T10232=0),"0.00","mu :" &amp; ROUND($F10227/$C$2/($R10232+$T10232*$D$9),2))</f>
        <v>mu :1.23</v>
      </c>
      <c r="W10227" s="524"/>
      <c r="AG10227" s="481">
        <f ca="1">IF($E10227=0,0,ROUND($R10232*$S$2*$C$2/$A10227,2))</f>
        <v>13.3</v>
      </c>
      <c r="AH10227" s="481">
        <f ca="1">$AG10227*$A10227</f>
        <v>66.5</v>
      </c>
      <c r="AI10227" s="525">
        <f ca="1">$E10227-$AG10227</f>
        <v>23.669999999999998</v>
      </c>
      <c r="AJ10227" s="525">
        <f ca="1">$A10227*$AI10227</f>
        <v>118.35</v>
      </c>
      <c r="AK10227" s="526">
        <f ca="1">ROUND(($AG10227+$AI10227)*$A10227,2)</f>
        <v>184.85</v>
      </c>
      <c r="AM10227" s="527">
        <f ca="1">ROUND(R10232,2)</f>
        <v>54</v>
      </c>
      <c r="AN10227" s="528">
        <f ca="1">ROUND(T10232,2)</f>
        <v>3.5</v>
      </c>
      <c r="AO10227" s="529">
        <f ca="1">ROUND(AM10227+AN10227,2)*A10227</f>
        <v>287.5</v>
      </c>
      <c r="AR10227" s="747">
        <v>5</v>
      </c>
      <c r="AS10227" s="751">
        <v>198.35</v>
      </c>
    </row>
    <row r="10228" spans="1:45" s="520" customFormat="1" ht="13.2">
      <c r="A10228" s="748"/>
      <c r="B10228"/>
      <c r="C10228" s="748"/>
      <c r="D10228" s="749" t="s">
        <v>2188</v>
      </c>
      <c r="F10228" s="753"/>
      <c r="G10228" s="3"/>
      <c r="H10228" s="753"/>
      <c r="I10228" s="754"/>
      <c r="J10228" s="753"/>
      <c r="K10228" s="753" t="s">
        <v>144</v>
      </c>
      <c r="L10228" s="753"/>
      <c r="M10228" s="753"/>
      <c r="N10228" s="753"/>
      <c r="O10228" s="753"/>
      <c r="P10228" s="753"/>
      <c r="Q10228" s="51"/>
      <c r="R10228" s="530"/>
      <c r="S10228" s="757"/>
      <c r="T10228" s="753"/>
      <c r="AR10228" s="748"/>
      <c r="AS10228" s="753"/>
    </row>
    <row r="10229" spans="1:45" s="886" customFormat="1" ht="13.2">
      <c r="A10229"/>
      <c r="B10229" s="910"/>
      <c r="C10229" s="910" t="s">
        <v>2597</v>
      </c>
      <c r="D10229" s="910" t="str">
        <f ca="1">CELL("Address",Elec_Rates!D$1041)</f>
        <v>[E25_0062_Quintano_Foods_Elec_ELV_As_Awarded.xlsx]Elec_Rates!$D$1041</v>
      </c>
      <c r="E10229" s="911"/>
      <c r="F10229" s="911"/>
      <c r="G10229" s="912" t="s">
        <v>2598</v>
      </c>
      <c r="H10229" s="912"/>
      <c r="I10229" s="912"/>
      <c r="J10229" s="912"/>
      <c r="K10229" s="913"/>
      <c r="L10229" s="911"/>
      <c r="M10229" s="911"/>
      <c r="N10229" s="911"/>
      <c r="O10229" s="914"/>
      <c r="P10229" s="911"/>
      <c r="Q10229" s="915"/>
      <c r="R10229" s="916"/>
      <c r="S10229" s="915"/>
      <c r="T10229" s="917"/>
      <c r="U10229" s="918"/>
      <c r="AR10229"/>
      <c r="AS10229" s="911"/>
    </row>
    <row r="10230" spans="1:45" s="886" customFormat="1" ht="11.4">
      <c r="A10230" s="919">
        <v>5</v>
      </c>
      <c r="B10230" s="920">
        <v>1</v>
      </c>
      <c r="C10230" s="920">
        <f>$A10230*$B10230</f>
        <v>5</v>
      </c>
      <c r="D10230" s="921" t="str">
        <f>Elec_Rates!$D$1041</f>
        <v>094# LSZH Conduit points for access control</v>
      </c>
      <c r="E10230" s="921"/>
      <c r="F10230" s="921" t="s">
        <v>2599</v>
      </c>
      <c r="G10230" s="922" t="s">
        <v>2601</v>
      </c>
      <c r="H10230" s="922"/>
      <c r="I10230" s="922"/>
      <c r="J10230" s="922"/>
      <c r="K10230" s="923"/>
      <c r="L10230" s="918"/>
      <c r="M10230" s="918"/>
      <c r="N10230" s="918"/>
      <c r="O10230" s="924"/>
      <c r="P10230" s="921"/>
      <c r="Q10230" s="925">
        <f ca="1">$B10230*Elec_Rates!$R$1041</f>
        <v>10.8</v>
      </c>
      <c r="R10230" s="916">
        <f ca="1">$A10230*Q10230</f>
        <v>54</v>
      </c>
      <c r="S10230" s="925">
        <f ca="1">$B10230*Elec_Rates!$T$1041</f>
        <v>0.7</v>
      </c>
      <c r="T10230" s="917">
        <f ca="1">$A10230*S10230</f>
        <v>3.5</v>
      </c>
      <c r="U10230" s="926"/>
      <c r="AR10230" s="919">
        <v>5</v>
      </c>
      <c r="AS10230" s="921" t="s">
        <v>2599</v>
      </c>
    </row>
    <row r="10231" spans="1:45" s="520" customFormat="1" ht="12">
      <c r="A10231" s="758"/>
      <c r="B10231" s="758"/>
      <c r="C10231" s="758"/>
      <c r="D10231" s="758"/>
      <c r="E10231" s="758"/>
      <c r="F10231" s="753"/>
      <c r="G10231" s="758"/>
      <c r="H10231" s="758"/>
      <c r="I10231" s="519"/>
      <c r="J10231" s="758"/>
      <c r="K10231" s="758"/>
      <c r="L10231" s="758"/>
      <c r="M10231" s="758"/>
      <c r="N10231" s="758"/>
      <c r="O10231" s="758"/>
      <c r="P10231" s="758"/>
      <c r="Q10231" s="519"/>
      <c r="R10231" s="759">
        <f>$A10231*Q10231</f>
        <v>0</v>
      </c>
      <c r="S10231" s="519"/>
      <c r="T10231" s="760">
        <f>$A10231*S10231*$T$1</f>
        <v>0</v>
      </c>
      <c r="AR10231" s="758"/>
      <c r="AS10231" s="753"/>
    </row>
    <row r="10232" spans="1:45" s="520" customFormat="1" ht="12.6" thickBot="1">
      <c r="A10232" s="761" t="s">
        <v>145</v>
      </c>
      <c r="B10232" s="762">
        <f>(R10231+T10231)</f>
        <v>0</v>
      </c>
      <c r="C10232" s="763"/>
      <c r="D10232" s="763"/>
      <c r="E10232" s="763"/>
      <c r="F10232" s="764"/>
      <c r="G10232" s="763" t="s">
        <v>146</v>
      </c>
      <c r="H10232" s="763"/>
      <c r="I10232" s="765"/>
      <c r="J10232" s="763"/>
      <c r="K10232" s="763" t="s">
        <v>3</v>
      </c>
      <c r="L10232" s="766" t="s">
        <v>143</v>
      </c>
      <c r="M10232" s="766"/>
      <c r="N10232" s="766"/>
      <c r="O10232" s="766"/>
      <c r="P10232" s="766"/>
      <c r="Q10232" s="767"/>
      <c r="R10232" s="768">
        <f ca="1">SUM(R10228:R10231)</f>
        <v>54</v>
      </c>
      <c r="S10232" s="763"/>
      <c r="T10232" s="768">
        <f ca="1">SUM(T10228:T10231)</f>
        <v>3.5</v>
      </c>
      <c r="U10232" s="531"/>
      <c r="V10232" s="531"/>
      <c r="W10232" s="531"/>
      <c r="X10232" s="531"/>
      <c r="Y10232" s="531"/>
      <c r="Z10232" s="531"/>
      <c r="AA10232" s="531"/>
      <c r="AB10232" s="531"/>
      <c r="AC10232" s="531"/>
      <c r="AD10232" s="531"/>
      <c r="AE10232" s="531"/>
      <c r="AF10232" s="531"/>
      <c r="AG10232" s="531"/>
      <c r="AH10232" s="531"/>
      <c r="AI10232" s="531"/>
      <c r="AJ10232" s="531"/>
      <c r="AK10232" s="531"/>
      <c r="AL10232" s="531"/>
      <c r="AM10232" s="531"/>
      <c r="AN10232" s="531"/>
      <c r="AO10232" s="531"/>
      <c r="AR10232" s="761" t="s">
        <v>145</v>
      </c>
      <c r="AS10232" s="764"/>
    </row>
    <row r="10233" spans="1:45" s="520" customFormat="1" ht="12" thickTop="1">
      <c r="A10233" s="51"/>
      <c r="B10233" s="41"/>
      <c r="C10233" s="51"/>
      <c r="E10233" s="42" t="s">
        <v>138</v>
      </c>
      <c r="F10233" s="42" t="s">
        <v>139</v>
      </c>
      <c r="G10233" s="51"/>
      <c r="H10233" s="51"/>
      <c r="I10233" s="51"/>
      <c r="J10233" s="51"/>
      <c r="K10233" s="51" t="s">
        <v>140</v>
      </c>
      <c r="L10233" s="51"/>
      <c r="M10233" s="51"/>
      <c r="N10233" s="51"/>
      <c r="O10233" s="52"/>
      <c r="P10233" s="51"/>
      <c r="Q10233" s="51"/>
      <c r="R10233" s="51"/>
      <c r="S10233" s="51"/>
      <c r="T10233" s="41"/>
      <c r="AG10233" s="521" t="s">
        <v>268</v>
      </c>
      <c r="AH10233" s="521" t="s">
        <v>269</v>
      </c>
      <c r="AI10233" s="521" t="s">
        <v>270</v>
      </c>
      <c r="AJ10233" s="521" t="s">
        <v>271</v>
      </c>
      <c r="AK10233" s="521" t="s">
        <v>272</v>
      </c>
      <c r="AM10233" s="745" t="s">
        <v>281</v>
      </c>
      <c r="AN10233" s="746" t="s">
        <v>282</v>
      </c>
      <c r="AO10233" s="522" t="s">
        <v>278</v>
      </c>
      <c r="AR10233" s="51"/>
      <c r="AS10233" s="42" t="s">
        <v>139</v>
      </c>
    </row>
    <row r="10234" spans="1:45" s="520" customFormat="1" ht="12" customHeight="1">
      <c r="A10234" s="747">
        <v>1</v>
      </c>
      <c r="B10234" s="523" t="s">
        <v>329</v>
      </c>
      <c r="C10234" s="748"/>
      <c r="D10234" s="749" t="s">
        <v>1877</v>
      </c>
      <c r="E10234" s="750">
        <f ca="1">IF(AND($A10234=0,$A$1="DIF"),0, ROUND(ROUND(($R10239*$S$2+($T10239*$T$2))/A10234,2)*$C$2,2))</f>
        <v>36.97</v>
      </c>
      <c r="F10234" s="751">
        <f ca="1">ROUND($A10234*$E10234,2)</f>
        <v>36.97</v>
      </c>
      <c r="G10234" s="752" t="s">
        <v>142</v>
      </c>
      <c r="H10234" s="753"/>
      <c r="I10234" s="754"/>
      <c r="J10234" s="753"/>
      <c r="K10234" s="753" t="s">
        <v>3</v>
      </c>
      <c r="L10234" s="755" t="s">
        <v>143</v>
      </c>
      <c r="M10234" s="755"/>
      <c r="N10234" s="755"/>
      <c r="O10234" s="755"/>
      <c r="P10234" s="755"/>
      <c r="Q10234" s="51"/>
      <c r="T10234" s="756" t="str">
        <f ca="1">IF(AND($R10239=0,$T10239=0),"0.00","mu :" &amp; ROUND($F10234/$C$2/($R10239+$T10239*$D$9),2))</f>
        <v>mu :1.23</v>
      </c>
      <c r="W10234" s="524"/>
      <c r="AG10234" s="481">
        <f ca="1">IF($E10234=0,0,ROUND($R10239*$S$2*$C$2/$A10234,2))</f>
        <v>13.3</v>
      </c>
      <c r="AH10234" s="481">
        <f ca="1">$AG10234*$A10234</f>
        <v>13.3</v>
      </c>
      <c r="AI10234" s="525">
        <f ca="1">$E10234-$AG10234</f>
        <v>23.669999999999998</v>
      </c>
      <c r="AJ10234" s="525">
        <f ca="1">$A10234*$AI10234</f>
        <v>23.669999999999998</v>
      </c>
      <c r="AK10234" s="526">
        <f ca="1">ROUND(($AG10234+$AI10234)*$A10234,2)</f>
        <v>36.97</v>
      </c>
      <c r="AM10234" s="527">
        <f ca="1">ROUND(R10239,2)</f>
        <v>10.8</v>
      </c>
      <c r="AN10234" s="528">
        <f ca="1">ROUND(T10239,2)</f>
        <v>0.7</v>
      </c>
      <c r="AO10234" s="529">
        <f ca="1">ROUND(AM10234+AN10234,2)*A10234</f>
        <v>11.5</v>
      </c>
      <c r="AR10234" s="747">
        <v>1</v>
      </c>
      <c r="AS10234" s="751">
        <v>39.67</v>
      </c>
    </row>
    <row r="10235" spans="1:45" s="520" customFormat="1" ht="13.2">
      <c r="A10235" s="748"/>
      <c r="B10235"/>
      <c r="C10235" s="748"/>
      <c r="D10235" s="749" t="s">
        <v>2189</v>
      </c>
      <c r="F10235" s="753"/>
      <c r="G10235" s="3"/>
      <c r="H10235" s="753"/>
      <c r="I10235" s="754"/>
      <c r="J10235" s="753"/>
      <c r="K10235" s="753" t="s">
        <v>144</v>
      </c>
      <c r="L10235" s="753"/>
      <c r="M10235" s="753"/>
      <c r="N10235" s="753"/>
      <c r="O10235" s="753"/>
      <c r="P10235" s="753"/>
      <c r="Q10235" s="51"/>
      <c r="R10235" s="530"/>
      <c r="S10235" s="757"/>
      <c r="T10235" s="753"/>
      <c r="AR10235" s="748"/>
      <c r="AS10235" s="753"/>
    </row>
    <row r="10236" spans="1:45" s="886" customFormat="1" ht="13.2">
      <c r="A10236"/>
      <c r="B10236" s="910"/>
      <c r="C10236" s="910" t="s">
        <v>2597</v>
      </c>
      <c r="D10236" s="910" t="str">
        <f ca="1">CELL("Address",Elec_Rates!D$1041)</f>
        <v>[E25_0062_Quintano_Foods_Elec_ELV_As_Awarded.xlsx]Elec_Rates!$D$1041</v>
      </c>
      <c r="E10236" s="911"/>
      <c r="F10236" s="911"/>
      <c r="G10236" s="912" t="s">
        <v>2598</v>
      </c>
      <c r="H10236" s="912"/>
      <c r="I10236" s="912"/>
      <c r="J10236" s="912"/>
      <c r="K10236" s="913"/>
      <c r="L10236" s="911"/>
      <c r="M10236" s="911"/>
      <c r="N10236" s="911"/>
      <c r="O10236" s="914"/>
      <c r="P10236" s="911"/>
      <c r="Q10236" s="915"/>
      <c r="R10236" s="916"/>
      <c r="S10236" s="915"/>
      <c r="T10236" s="917"/>
      <c r="U10236" s="918"/>
      <c r="AR10236"/>
      <c r="AS10236" s="911"/>
    </row>
    <row r="10237" spans="1:45" s="886" customFormat="1" ht="11.4">
      <c r="A10237" s="919">
        <v>1</v>
      </c>
      <c r="B10237" s="920">
        <v>1</v>
      </c>
      <c r="C10237" s="920">
        <f>$A10237*$B10237</f>
        <v>1</v>
      </c>
      <c r="D10237" s="921" t="str">
        <f>Elec_Rates!$D$1041</f>
        <v>094# LSZH Conduit points for access control</v>
      </c>
      <c r="E10237" s="921"/>
      <c r="F10237" s="921" t="s">
        <v>2599</v>
      </c>
      <c r="G10237" s="922" t="s">
        <v>2601</v>
      </c>
      <c r="H10237" s="922"/>
      <c r="I10237" s="922"/>
      <c r="J10237" s="922"/>
      <c r="K10237" s="923"/>
      <c r="L10237" s="918"/>
      <c r="M10237" s="918"/>
      <c r="N10237" s="918"/>
      <c r="O10237" s="924"/>
      <c r="P10237" s="921"/>
      <c r="Q10237" s="925">
        <f ca="1">$B10237*Elec_Rates!$R$1041</f>
        <v>10.8</v>
      </c>
      <c r="R10237" s="916">
        <f ca="1">$A10237*Q10237</f>
        <v>10.8</v>
      </c>
      <c r="S10237" s="925">
        <f ca="1">$B10237*Elec_Rates!$T$1041</f>
        <v>0.7</v>
      </c>
      <c r="T10237" s="917">
        <f ca="1">$A10237*S10237</f>
        <v>0.7</v>
      </c>
      <c r="U10237" s="926"/>
      <c r="AR10237" s="919">
        <v>1</v>
      </c>
      <c r="AS10237" s="921" t="s">
        <v>2599</v>
      </c>
    </row>
    <row r="10238" spans="1:45" s="520" customFormat="1" ht="12">
      <c r="A10238" s="758"/>
      <c r="B10238" s="758"/>
      <c r="C10238" s="758"/>
      <c r="D10238" s="758"/>
      <c r="E10238" s="758"/>
      <c r="F10238" s="753"/>
      <c r="G10238" s="758"/>
      <c r="H10238" s="758"/>
      <c r="I10238" s="519"/>
      <c r="J10238" s="758"/>
      <c r="K10238" s="758"/>
      <c r="L10238" s="758"/>
      <c r="M10238" s="758"/>
      <c r="N10238" s="758"/>
      <c r="O10238" s="758"/>
      <c r="P10238" s="758"/>
      <c r="Q10238" s="519"/>
      <c r="R10238" s="759">
        <f>$A10238*Q10238</f>
        <v>0</v>
      </c>
      <c r="S10238" s="519"/>
      <c r="T10238" s="760">
        <f>$A10238*S10238*$T$1</f>
        <v>0</v>
      </c>
      <c r="AR10238" s="758"/>
      <c r="AS10238" s="753"/>
    </row>
    <row r="10239" spans="1:45" s="520" customFormat="1" ht="12.6" thickBot="1">
      <c r="A10239" s="761" t="s">
        <v>145</v>
      </c>
      <c r="B10239" s="762">
        <f>(R10238+T10238)</f>
        <v>0</v>
      </c>
      <c r="C10239" s="763"/>
      <c r="D10239" s="763"/>
      <c r="E10239" s="763"/>
      <c r="F10239" s="764"/>
      <c r="G10239" s="763" t="s">
        <v>146</v>
      </c>
      <c r="H10239" s="763"/>
      <c r="I10239" s="765"/>
      <c r="J10239" s="763"/>
      <c r="K10239" s="763" t="s">
        <v>3</v>
      </c>
      <c r="L10239" s="766" t="s">
        <v>143</v>
      </c>
      <c r="M10239" s="766"/>
      <c r="N10239" s="766"/>
      <c r="O10239" s="766"/>
      <c r="P10239" s="766"/>
      <c r="Q10239" s="767"/>
      <c r="R10239" s="768">
        <f ca="1">SUM(R10235:R10238)</f>
        <v>10.8</v>
      </c>
      <c r="S10239" s="763"/>
      <c r="T10239" s="768">
        <f ca="1">SUM(T10235:T10238)</f>
        <v>0.7</v>
      </c>
      <c r="U10239" s="531"/>
      <c r="V10239" s="531"/>
      <c r="W10239" s="531"/>
      <c r="X10239" s="531"/>
      <c r="Y10239" s="531"/>
      <c r="Z10239" s="531"/>
      <c r="AA10239" s="531"/>
      <c r="AB10239" s="531"/>
      <c r="AC10239" s="531"/>
      <c r="AD10239" s="531"/>
      <c r="AE10239" s="531"/>
      <c r="AF10239" s="531"/>
      <c r="AG10239" s="531"/>
      <c r="AH10239" s="531"/>
      <c r="AI10239" s="531"/>
      <c r="AJ10239" s="531"/>
      <c r="AK10239" s="531"/>
      <c r="AL10239" s="531"/>
      <c r="AM10239" s="531"/>
      <c r="AN10239" s="531"/>
      <c r="AO10239" s="531"/>
      <c r="AR10239" s="761" t="s">
        <v>145</v>
      </c>
      <c r="AS10239" s="764"/>
    </row>
    <row r="10240" spans="1:45" s="520" customFormat="1" thickTop="1">
      <c r="A10240" s="51"/>
      <c r="B10240" s="51"/>
      <c r="C10240" s="3"/>
      <c r="D10240" s="3"/>
      <c r="E10240" s="51"/>
      <c r="F10240" s="51"/>
      <c r="G10240" s="51"/>
      <c r="H10240" s="51"/>
      <c r="I10240" s="51"/>
      <c r="J10240" s="51"/>
      <c r="K10240" s="51" t="s">
        <v>134</v>
      </c>
      <c r="L10240" s="51"/>
      <c r="M10240" s="51"/>
      <c r="N10240" s="51"/>
      <c r="O10240" s="52"/>
      <c r="P10240" s="51"/>
      <c r="Q10240" s="51"/>
      <c r="R10240" s="51"/>
      <c r="S10240" s="51"/>
      <c r="T10240" s="51"/>
      <c r="AR10240" s="51"/>
      <c r="AS10240" s="51"/>
    </row>
    <row r="10241" spans="1:45" s="520" customFormat="1" ht="12">
      <c r="A10241" s="51"/>
      <c r="B10241" s="51"/>
      <c r="C10241" s="51" t="s">
        <v>135</v>
      </c>
      <c r="D10241" s="37"/>
      <c r="E10241" s="51"/>
      <c r="F10241" s="51"/>
      <c r="G10241" s="51"/>
      <c r="H10241" s="51"/>
      <c r="I10241" s="51"/>
      <c r="J10241" s="51"/>
      <c r="K10241" s="51"/>
      <c r="L10241" s="51"/>
      <c r="M10241" s="51"/>
      <c r="N10241" s="51"/>
      <c r="O10241" s="52"/>
      <c r="P10241" s="51"/>
      <c r="Q10241" s="51"/>
      <c r="R10241" s="51"/>
      <c r="S10241" s="51"/>
      <c r="T10241" s="51"/>
      <c r="AR10241" s="51"/>
      <c r="AS10241" s="51"/>
    </row>
    <row r="10242" spans="1:45" s="520" customFormat="1" ht="39.9" customHeight="1">
      <c r="A10242" s="51"/>
      <c r="B10242" s="51"/>
      <c r="C10242" s="51"/>
      <c r="D10242" s="1453" t="s">
        <v>2185</v>
      </c>
      <c r="E10242" s="1452"/>
      <c r="F10242" s="1452"/>
      <c r="G10242" s="1452"/>
      <c r="H10242" s="1452"/>
      <c r="I10242" s="1452"/>
      <c r="J10242" s="1452"/>
      <c r="K10242" s="1452"/>
      <c r="L10242" s="1452"/>
      <c r="M10242" s="1452"/>
      <c r="N10242" s="1452"/>
      <c r="O10242" s="1452"/>
      <c r="P10242" s="1452"/>
      <c r="Q10242" s="1452"/>
      <c r="R10242" s="1452"/>
      <c r="S10242" s="1452"/>
      <c r="T10242" s="1452"/>
      <c r="AR10242" s="51"/>
    </row>
    <row r="10243" spans="1:45" s="3" customFormat="1" thickBot="1">
      <c r="A10243" s="531"/>
      <c r="O10243" s="107"/>
      <c r="AR10243" s="531"/>
    </row>
    <row r="10244" spans="1:45" s="520" customFormat="1" ht="12" thickTop="1">
      <c r="A10244" s="51"/>
      <c r="B10244" s="41"/>
      <c r="C10244" s="51"/>
      <c r="E10244" s="42" t="s">
        <v>138</v>
      </c>
      <c r="F10244" s="42" t="s">
        <v>139</v>
      </c>
      <c r="G10244" s="51"/>
      <c r="H10244" s="51"/>
      <c r="I10244" s="51"/>
      <c r="J10244" s="51"/>
      <c r="K10244" s="51" t="s">
        <v>140</v>
      </c>
      <c r="L10244" s="51"/>
      <c r="M10244" s="51"/>
      <c r="N10244" s="51"/>
      <c r="O10244" s="52"/>
      <c r="P10244" s="51"/>
      <c r="Q10244" s="51"/>
      <c r="R10244" s="51"/>
      <c r="S10244" s="51"/>
      <c r="T10244" s="41"/>
      <c r="AG10244" s="521" t="s">
        <v>268</v>
      </c>
      <c r="AH10244" s="521" t="s">
        <v>269</v>
      </c>
      <c r="AI10244" s="521" t="s">
        <v>270</v>
      </c>
      <c r="AJ10244" s="521" t="s">
        <v>271</v>
      </c>
      <c r="AK10244" s="521" t="s">
        <v>272</v>
      </c>
      <c r="AM10244" s="745" t="s">
        <v>281</v>
      </c>
      <c r="AN10244" s="746" t="s">
        <v>282</v>
      </c>
      <c r="AO10244" s="522" t="s">
        <v>278</v>
      </c>
      <c r="AR10244" s="51"/>
      <c r="AS10244" s="42" t="s">
        <v>139</v>
      </c>
    </row>
    <row r="10245" spans="1:45" s="520" customFormat="1" ht="12" customHeight="1">
      <c r="A10245" s="747">
        <v>5</v>
      </c>
      <c r="B10245" s="523" t="s">
        <v>329</v>
      </c>
      <c r="C10245" s="748"/>
      <c r="D10245" s="749" t="s">
        <v>1878</v>
      </c>
      <c r="E10245" s="1145">
        <f>IF(AND($A10245=0,$A$1="DIF"),0, ROUND(ROUND(($R10249*$S$3+($T10249*$T$3))/$A10245,2)*$C$3,2))</f>
        <v>24.63</v>
      </c>
      <c r="F10245" s="1146">
        <f>ROUND($A10245*$E10245,2)</f>
        <v>123.15</v>
      </c>
      <c r="G10245" s="752" t="s">
        <v>142</v>
      </c>
      <c r="H10245" s="753"/>
      <c r="I10245" s="754"/>
      <c r="J10245" s="753"/>
      <c r="K10245" s="753" t="s">
        <v>5</v>
      </c>
      <c r="L10245" s="755" t="s">
        <v>143</v>
      </c>
      <c r="M10245" s="755"/>
      <c r="N10245" s="755"/>
      <c r="O10245" s="755"/>
      <c r="P10245" s="755"/>
      <c r="Q10245" s="51"/>
      <c r="T10245" s="1150" t="str">
        <f>IF(AND($R10249=0,$T10249=0),"0.00","mu: "&amp; ROUND(F10245/$C$3/($R10249+$T10249*$D$9),2))</f>
        <v>mu: 1.13</v>
      </c>
      <c r="W10245" s="524"/>
      <c r="AG10245" s="1147">
        <f>IF($E10245=0,0,ROUND($R10249*$S$3*$C$3/$A10245,2))</f>
        <v>24.63</v>
      </c>
      <c r="AH10245" s="1147">
        <f>$AG10245*$A10245</f>
        <v>123.14999999999999</v>
      </c>
      <c r="AI10245" s="1148">
        <f>$E10245-$AG10245</f>
        <v>0</v>
      </c>
      <c r="AJ10245" s="1148">
        <f>$A10245*$AI10245</f>
        <v>0</v>
      </c>
      <c r="AK10245" s="1149">
        <f>ROUND(($AG10245+$AI10245)*$A10245,2)</f>
        <v>123.15</v>
      </c>
      <c r="AM10245" s="527">
        <f>ROUND(R10249,2)</f>
        <v>109.13</v>
      </c>
      <c r="AN10245" s="528">
        <f>ROUND(T10249,2)</f>
        <v>0</v>
      </c>
      <c r="AO10245" s="529">
        <f>ROUND(AM10245+AN10245,2)*A10245</f>
        <v>545.65</v>
      </c>
      <c r="AR10245" s="747">
        <v>5</v>
      </c>
      <c r="AS10245" s="1146">
        <v>134.05000000000001</v>
      </c>
    </row>
    <row r="10246" spans="1:45" s="520" customFormat="1" ht="13.2">
      <c r="A10246" s="748"/>
      <c r="B10246"/>
      <c r="C10246" s="748"/>
      <c r="D10246" s="749" t="s">
        <v>2188</v>
      </c>
      <c r="F10246" s="753"/>
      <c r="G10246" s="3"/>
      <c r="H10246" s="753"/>
      <c r="I10246" s="754"/>
      <c r="J10246" s="753"/>
      <c r="K10246" s="753" t="s">
        <v>144</v>
      </c>
      <c r="L10246" s="753"/>
      <c r="M10246" s="753"/>
      <c r="N10246" s="753"/>
      <c r="O10246" s="753"/>
      <c r="P10246" s="753"/>
      <c r="Q10246" s="51"/>
      <c r="R10246" s="530"/>
      <c r="S10246" s="757"/>
      <c r="T10246" s="753"/>
      <c r="AR10246" s="748"/>
      <c r="AS10246" s="753"/>
    </row>
    <row r="10247" spans="1:45" s="901" customFormat="1" ht="13.2">
      <c r="A10247" s="903">
        <v>5</v>
      </c>
      <c r="B10247" s="904" t="s">
        <v>863</v>
      </c>
      <c r="C10247" s="904"/>
      <c r="D10247" s="904" t="s">
        <v>2594</v>
      </c>
      <c r="E10247" s="904"/>
      <c r="F10247" s="1153" t="s">
        <v>4142</v>
      </c>
      <c r="G10247" s="905" t="s">
        <v>2595</v>
      </c>
      <c r="H10247" s="902">
        <v>960</v>
      </c>
      <c r="I10247" s="904" t="s">
        <v>2596</v>
      </c>
      <c r="J10247" s="904"/>
      <c r="K10247" s="904"/>
      <c r="L10247" s="904"/>
      <c r="M10247" s="904"/>
      <c r="N10247" s="904"/>
      <c r="O10247" s="902">
        <v>4</v>
      </c>
      <c r="P10247" s="906">
        <v>38274</v>
      </c>
      <c r="Q10247" s="1415">
        <f>25*0.873</f>
        <v>21.824999999999999</v>
      </c>
      <c r="R10247" s="908">
        <f>$A10247*Q10247</f>
        <v>109.125</v>
      </c>
      <c r="S10247" s="907"/>
      <c r="T10247" s="909">
        <f>$A10247*S10247*$T$1</f>
        <v>0</v>
      </c>
      <c r="AR10247" s="903">
        <v>5</v>
      </c>
      <c r="AS10247" s="1153" t="s">
        <v>3507</v>
      </c>
    </row>
    <row r="10248" spans="1:45" s="520" customFormat="1" ht="12">
      <c r="A10248" s="758"/>
      <c r="B10248" s="758"/>
      <c r="C10248" s="758"/>
      <c r="D10248" s="758"/>
      <c r="E10248" s="758"/>
      <c r="F10248" s="753"/>
      <c r="G10248" s="758"/>
      <c r="H10248" s="758"/>
      <c r="I10248" s="519"/>
      <c r="J10248" s="758"/>
      <c r="K10248" s="758"/>
      <c r="L10248" s="758"/>
      <c r="M10248" s="758"/>
      <c r="N10248" s="758"/>
      <c r="O10248" s="758"/>
      <c r="P10248" s="758"/>
      <c r="Q10248" s="519"/>
      <c r="R10248" s="759">
        <f>$A10248*Q10248</f>
        <v>0</v>
      </c>
      <c r="S10248" s="519"/>
      <c r="T10248" s="760">
        <f>$A10248*S10248*$T$1</f>
        <v>0</v>
      </c>
      <c r="AR10248" s="758"/>
      <c r="AS10248" s="753"/>
    </row>
    <row r="10249" spans="1:45" s="520" customFormat="1" ht="12.6" thickBot="1">
      <c r="A10249" s="761" t="s">
        <v>145</v>
      </c>
      <c r="B10249" s="762">
        <f>(R10248+T10248)</f>
        <v>0</v>
      </c>
      <c r="C10249" s="763"/>
      <c r="D10249" s="763"/>
      <c r="E10249" s="763"/>
      <c r="F10249" s="764"/>
      <c r="G10249" s="763" t="s">
        <v>146</v>
      </c>
      <c r="H10249" s="763"/>
      <c r="I10249" s="765"/>
      <c r="J10249" s="763"/>
      <c r="K10249" s="763" t="s">
        <v>5</v>
      </c>
      <c r="L10249" s="766" t="s">
        <v>143</v>
      </c>
      <c r="M10249" s="766"/>
      <c r="N10249" s="766"/>
      <c r="O10249" s="766"/>
      <c r="P10249" s="766"/>
      <c r="Q10249" s="767"/>
      <c r="R10249" s="768">
        <f>SUM(R10246:R10248)</f>
        <v>109.125</v>
      </c>
      <c r="S10249" s="763"/>
      <c r="T10249" s="768">
        <f>SUM(T10246:T10248)</f>
        <v>0</v>
      </c>
      <c r="U10249" s="531"/>
      <c r="V10249" s="531"/>
      <c r="W10249" s="531"/>
      <c r="X10249" s="531"/>
      <c r="Y10249" s="531"/>
      <c r="Z10249" s="531"/>
      <c r="AA10249" s="531"/>
      <c r="AB10249" s="531"/>
      <c r="AC10249" s="531"/>
      <c r="AD10249" s="531"/>
      <c r="AE10249" s="531"/>
      <c r="AF10249" s="531"/>
      <c r="AG10249" s="531"/>
      <c r="AH10249" s="531"/>
      <c r="AI10249" s="531"/>
      <c r="AJ10249" s="531"/>
      <c r="AK10249" s="531"/>
      <c r="AL10249" s="531"/>
      <c r="AM10249" s="531"/>
      <c r="AN10249" s="531"/>
      <c r="AO10249" s="531"/>
      <c r="AR10249" s="761" t="s">
        <v>145</v>
      </c>
      <c r="AS10249" s="764"/>
    </row>
    <row r="10250" spans="1:45" s="520" customFormat="1" ht="12" thickTop="1">
      <c r="A10250" s="51"/>
      <c r="B10250" s="41"/>
      <c r="C10250" s="51"/>
      <c r="E10250" s="42" t="s">
        <v>138</v>
      </c>
      <c r="F10250" s="42" t="s">
        <v>139</v>
      </c>
      <c r="G10250" s="51"/>
      <c r="H10250" s="51"/>
      <c r="I10250" s="51"/>
      <c r="J10250" s="51"/>
      <c r="K10250" s="51" t="s">
        <v>140</v>
      </c>
      <c r="L10250" s="51"/>
      <c r="M10250" s="51"/>
      <c r="N10250" s="51"/>
      <c r="O10250" s="52"/>
      <c r="P10250" s="51"/>
      <c r="Q10250" s="51"/>
      <c r="R10250" s="51"/>
      <c r="S10250" s="51"/>
      <c r="T10250" s="41"/>
      <c r="AG10250" s="521" t="s">
        <v>268</v>
      </c>
      <c r="AH10250" s="521" t="s">
        <v>269</v>
      </c>
      <c r="AI10250" s="521" t="s">
        <v>270</v>
      </c>
      <c r="AJ10250" s="521" t="s">
        <v>271</v>
      </c>
      <c r="AK10250" s="521" t="s">
        <v>272</v>
      </c>
      <c r="AM10250" s="745" t="s">
        <v>281</v>
      </c>
      <c r="AN10250" s="746" t="s">
        <v>282</v>
      </c>
      <c r="AO10250" s="522" t="s">
        <v>278</v>
      </c>
      <c r="AR10250" s="51"/>
      <c r="AS10250" s="42" t="s">
        <v>139</v>
      </c>
    </row>
    <row r="10251" spans="1:45" s="520" customFormat="1" ht="12" customHeight="1">
      <c r="A10251" s="747">
        <v>1</v>
      </c>
      <c r="B10251" s="523" t="s">
        <v>329</v>
      </c>
      <c r="C10251" s="748"/>
      <c r="D10251" s="749" t="s">
        <v>1879</v>
      </c>
      <c r="E10251" s="1145">
        <f>IF(AND($A10251=0,$A$1="DIF"),0, ROUND(ROUND(($R10255*$S$3+($T10255*$T$3))/$A10251,2)*$C$3,2))</f>
        <v>24.63</v>
      </c>
      <c r="F10251" s="1146">
        <f>ROUND($A10251*$E10251,2)</f>
        <v>24.63</v>
      </c>
      <c r="G10251" s="752" t="s">
        <v>142</v>
      </c>
      <c r="H10251" s="753"/>
      <c r="I10251" s="754"/>
      <c r="J10251" s="753"/>
      <c r="K10251" s="753" t="s">
        <v>5</v>
      </c>
      <c r="L10251" s="755" t="s">
        <v>143</v>
      </c>
      <c r="M10251" s="755"/>
      <c r="N10251" s="755"/>
      <c r="O10251" s="755"/>
      <c r="P10251" s="755"/>
      <c r="Q10251" s="51"/>
      <c r="T10251" s="1150" t="str">
        <f>IF(AND($R10255=0,$T10255=0),"0.00","mu: "&amp; ROUND(F10251/$C$3/($R10255+$T10255*$D$9),2))</f>
        <v>mu: 1.13</v>
      </c>
      <c r="W10251" s="524"/>
      <c r="AG10251" s="1147">
        <f>IF($E10251=0,0,ROUND($R10255*$S$3*$C$3/$A10251,2))</f>
        <v>24.63</v>
      </c>
      <c r="AH10251" s="1147">
        <f>$AG10251*$A10251</f>
        <v>24.63</v>
      </c>
      <c r="AI10251" s="1148">
        <f>$E10251-$AG10251</f>
        <v>0</v>
      </c>
      <c r="AJ10251" s="1148">
        <f>$A10251*$AI10251</f>
        <v>0</v>
      </c>
      <c r="AK10251" s="1149">
        <f>ROUND(($AG10251+$AI10251)*$A10251,2)</f>
        <v>24.63</v>
      </c>
      <c r="AM10251" s="527">
        <f>ROUND(R10255,2)</f>
        <v>21.83</v>
      </c>
      <c r="AN10251" s="528">
        <f>ROUND(T10255,2)</f>
        <v>0</v>
      </c>
      <c r="AO10251" s="529">
        <f>ROUND(AM10251+AN10251,2)*A10251</f>
        <v>21.83</v>
      </c>
      <c r="AR10251" s="747">
        <v>1</v>
      </c>
      <c r="AS10251" s="1146">
        <v>26.81</v>
      </c>
    </row>
    <row r="10252" spans="1:45" s="520" customFormat="1" ht="13.2">
      <c r="A10252" s="748"/>
      <c r="B10252"/>
      <c r="C10252" s="748"/>
      <c r="D10252" s="749" t="s">
        <v>2189</v>
      </c>
      <c r="F10252" s="753"/>
      <c r="G10252" s="3"/>
      <c r="H10252" s="753"/>
      <c r="I10252" s="754"/>
      <c r="J10252" s="753"/>
      <c r="K10252" s="753" t="s">
        <v>144</v>
      </c>
      <c r="L10252" s="753"/>
      <c r="M10252" s="753"/>
      <c r="N10252" s="753"/>
      <c r="O10252" s="753"/>
      <c r="P10252" s="753"/>
      <c r="Q10252" s="51"/>
      <c r="R10252" s="530"/>
      <c r="S10252" s="757"/>
      <c r="T10252" s="753"/>
      <c r="AR10252" s="748"/>
      <c r="AS10252" s="753"/>
    </row>
    <row r="10253" spans="1:45" s="901" customFormat="1" ht="13.2">
      <c r="A10253" s="903">
        <v>1</v>
      </c>
      <c r="B10253" s="904" t="s">
        <v>863</v>
      </c>
      <c r="C10253" s="904"/>
      <c r="D10253" s="904" t="s">
        <v>2594</v>
      </c>
      <c r="E10253" s="904"/>
      <c r="F10253" s="1153" t="s">
        <v>4142</v>
      </c>
      <c r="G10253" s="905" t="s">
        <v>2595</v>
      </c>
      <c r="H10253" s="902">
        <v>960</v>
      </c>
      <c r="I10253" s="904" t="s">
        <v>2596</v>
      </c>
      <c r="J10253" s="904"/>
      <c r="K10253" s="904"/>
      <c r="L10253" s="904"/>
      <c r="M10253" s="904"/>
      <c r="N10253" s="904"/>
      <c r="O10253" s="902">
        <v>4</v>
      </c>
      <c r="P10253" s="906">
        <v>38274</v>
      </c>
      <c r="Q10253" s="1415">
        <f>25*0.873</f>
        <v>21.824999999999999</v>
      </c>
      <c r="R10253" s="908">
        <f>$A10253*Q10253</f>
        <v>21.824999999999999</v>
      </c>
      <c r="S10253" s="907"/>
      <c r="T10253" s="909">
        <f>$A10253*S10253*$T$1</f>
        <v>0</v>
      </c>
      <c r="AR10253" s="903">
        <v>1</v>
      </c>
      <c r="AS10253" s="1153" t="s">
        <v>3507</v>
      </c>
    </row>
    <row r="10254" spans="1:45" s="520" customFormat="1" ht="12">
      <c r="A10254" s="758"/>
      <c r="B10254" s="758"/>
      <c r="C10254" s="758"/>
      <c r="D10254" s="758"/>
      <c r="E10254" s="758"/>
      <c r="F10254" s="753"/>
      <c r="G10254" s="758"/>
      <c r="H10254" s="758"/>
      <c r="I10254" s="519"/>
      <c r="J10254" s="758"/>
      <c r="K10254" s="758"/>
      <c r="L10254" s="758"/>
      <c r="M10254" s="758"/>
      <c r="N10254" s="758"/>
      <c r="O10254" s="758"/>
      <c r="P10254" s="758"/>
      <c r="Q10254" s="519"/>
      <c r="R10254" s="759">
        <f>$A10254*Q10254</f>
        <v>0</v>
      </c>
      <c r="S10254" s="519"/>
      <c r="T10254" s="760">
        <f>$A10254*S10254*$T$1</f>
        <v>0</v>
      </c>
      <c r="AR10254" s="758"/>
      <c r="AS10254" s="753"/>
    </row>
    <row r="10255" spans="1:45" s="520" customFormat="1" ht="12.6" thickBot="1">
      <c r="A10255" s="761" t="s">
        <v>145</v>
      </c>
      <c r="B10255" s="762">
        <f>(R10254+T10254)</f>
        <v>0</v>
      </c>
      <c r="C10255" s="763"/>
      <c r="D10255" s="763"/>
      <c r="E10255" s="763"/>
      <c r="F10255" s="764"/>
      <c r="G10255" s="763" t="s">
        <v>146</v>
      </c>
      <c r="H10255" s="763"/>
      <c r="I10255" s="765"/>
      <c r="J10255" s="763"/>
      <c r="K10255" s="763" t="s">
        <v>5</v>
      </c>
      <c r="L10255" s="766" t="s">
        <v>143</v>
      </c>
      <c r="M10255" s="766"/>
      <c r="N10255" s="766"/>
      <c r="O10255" s="766"/>
      <c r="P10255" s="766"/>
      <c r="Q10255" s="767"/>
      <c r="R10255" s="768">
        <f>SUM(R10252:R10254)</f>
        <v>21.824999999999999</v>
      </c>
      <c r="S10255" s="763"/>
      <c r="T10255" s="768">
        <f>SUM(T10252:T10254)</f>
        <v>0</v>
      </c>
      <c r="U10255" s="531"/>
      <c r="V10255" s="531"/>
      <c r="W10255" s="531"/>
      <c r="X10255" s="531"/>
      <c r="Y10255" s="531"/>
      <c r="Z10255" s="531"/>
      <c r="AA10255" s="531"/>
      <c r="AB10255" s="531"/>
      <c r="AC10255" s="531"/>
      <c r="AD10255" s="531"/>
      <c r="AE10255" s="531"/>
      <c r="AF10255" s="531"/>
      <c r="AG10255" s="531"/>
      <c r="AH10255" s="531"/>
      <c r="AI10255" s="531"/>
      <c r="AJ10255" s="531"/>
      <c r="AK10255" s="531"/>
      <c r="AL10255" s="531"/>
      <c r="AM10255" s="531"/>
      <c r="AN10255" s="531"/>
      <c r="AO10255" s="531"/>
      <c r="AR10255" s="761" t="s">
        <v>145</v>
      </c>
      <c r="AS10255" s="764"/>
    </row>
    <row r="10256" spans="1:45" s="520" customFormat="1" thickTop="1">
      <c r="A10256" s="51"/>
      <c r="B10256" s="51"/>
      <c r="C10256" s="3"/>
      <c r="D10256" s="3"/>
      <c r="E10256" s="51"/>
      <c r="F10256" s="51"/>
      <c r="G10256" s="51"/>
      <c r="H10256" s="51"/>
      <c r="I10256" s="51"/>
      <c r="J10256" s="51"/>
      <c r="K10256" s="51" t="s">
        <v>134</v>
      </c>
      <c r="L10256" s="51"/>
      <c r="M10256" s="51"/>
      <c r="N10256" s="51"/>
      <c r="O10256" s="52"/>
      <c r="P10256" s="51"/>
      <c r="Q10256" s="51"/>
      <c r="R10256" s="51"/>
      <c r="S10256" s="51"/>
      <c r="T10256" s="51"/>
      <c r="AR10256" s="51"/>
      <c r="AS10256" s="51"/>
    </row>
    <row r="10257" spans="1:45" s="520" customFormat="1" ht="12">
      <c r="A10257" s="51"/>
      <c r="B10257" s="51"/>
      <c r="C10257" s="51" t="s">
        <v>135</v>
      </c>
      <c r="D10257" s="37"/>
      <c r="E10257" s="51"/>
      <c r="F10257" s="51"/>
      <c r="G10257" s="51"/>
      <c r="H10257" s="51"/>
      <c r="I10257" s="51"/>
      <c r="J10257" s="51"/>
      <c r="K10257" s="51"/>
      <c r="L10257" s="51"/>
      <c r="M10257" s="51"/>
      <c r="N10257" s="51"/>
      <c r="O10257" s="52"/>
      <c r="P10257" s="51"/>
      <c r="Q10257" s="51"/>
      <c r="R10257" s="51"/>
      <c r="S10257" s="51"/>
      <c r="T10257" s="51"/>
      <c r="AR10257" s="51"/>
      <c r="AS10257" s="51"/>
    </row>
    <row r="10258" spans="1:45" s="520" customFormat="1" ht="12">
      <c r="A10258" s="51"/>
      <c r="B10258" s="51"/>
      <c r="C10258" s="51"/>
      <c r="D10258" s="37" t="s">
        <v>2186</v>
      </c>
      <c r="E10258" s="51"/>
      <c r="F10258" s="51"/>
      <c r="G10258" s="51"/>
      <c r="H10258" s="51"/>
      <c r="I10258" s="51"/>
      <c r="J10258" s="51"/>
      <c r="K10258" s="51"/>
      <c r="L10258" s="51"/>
      <c r="M10258" s="51"/>
      <c r="N10258" s="51"/>
      <c r="O10258" s="52"/>
      <c r="P10258" s="51"/>
      <c r="Q10258" s="51"/>
      <c r="R10258" s="51"/>
      <c r="S10258" s="38"/>
      <c r="T10258" s="38"/>
      <c r="AR10258" s="51"/>
      <c r="AS10258" s="51"/>
    </row>
    <row r="10259" spans="1:45" s="3" customFormat="1" thickBot="1">
      <c r="A10259" s="531"/>
      <c r="O10259" s="107"/>
      <c r="AR10259" s="531"/>
    </row>
    <row r="10260" spans="1:45" s="520" customFormat="1" ht="12" thickTop="1">
      <c r="A10260" s="51"/>
      <c r="B10260" s="41"/>
      <c r="C10260" s="51"/>
      <c r="E10260" s="42" t="s">
        <v>138</v>
      </c>
      <c r="F10260" s="42" t="s">
        <v>139</v>
      </c>
      <c r="G10260" s="51"/>
      <c r="H10260" s="51"/>
      <c r="I10260" s="51"/>
      <c r="J10260" s="51"/>
      <c r="K10260" s="51" t="s">
        <v>140</v>
      </c>
      <c r="L10260" s="51"/>
      <c r="M10260" s="51"/>
      <c r="N10260" s="51"/>
      <c r="O10260" s="52"/>
      <c r="P10260" s="51"/>
      <c r="Q10260" s="51"/>
      <c r="R10260" s="51"/>
      <c r="S10260" s="51"/>
      <c r="T10260" s="41"/>
      <c r="AG10260" s="521" t="s">
        <v>268</v>
      </c>
      <c r="AH10260" s="521" t="s">
        <v>269</v>
      </c>
      <c r="AI10260" s="521" t="s">
        <v>270</v>
      </c>
      <c r="AJ10260" s="521" t="s">
        <v>271</v>
      </c>
      <c r="AK10260" s="521" t="s">
        <v>272</v>
      </c>
      <c r="AM10260" s="745" t="s">
        <v>281</v>
      </c>
      <c r="AN10260" s="746" t="s">
        <v>282</v>
      </c>
      <c r="AO10260" s="522" t="s">
        <v>278</v>
      </c>
      <c r="AR10260" s="51"/>
      <c r="AS10260" s="42" t="s">
        <v>139</v>
      </c>
    </row>
    <row r="10261" spans="1:45" s="520" customFormat="1" ht="12" customHeight="1">
      <c r="A10261" s="747">
        <v>5</v>
      </c>
      <c r="B10261" s="523" t="s">
        <v>329</v>
      </c>
      <c r="C10261" s="748"/>
      <c r="D10261" s="749" t="s">
        <v>1880</v>
      </c>
      <c r="E10261" s="1145">
        <f>IF(AND($A10261=0,$A$1="DIF"),0, ROUND(ROUND(($R10265*$S$3+($T10265*$T$3))/$A10261,2)*$C$3,2))</f>
        <v>211.86</v>
      </c>
      <c r="F10261" s="1146">
        <f>ROUND($A10261*$E10261,2)</f>
        <v>1059.3</v>
      </c>
      <c r="G10261" s="752" t="s">
        <v>142</v>
      </c>
      <c r="H10261" s="753"/>
      <c r="I10261" s="754"/>
      <c r="J10261" s="753"/>
      <c r="K10261" s="753" t="s">
        <v>5</v>
      </c>
      <c r="L10261" s="755" t="s">
        <v>143</v>
      </c>
      <c r="M10261" s="755"/>
      <c r="N10261" s="755"/>
      <c r="O10261" s="755"/>
      <c r="P10261" s="755"/>
      <c r="Q10261" s="51"/>
      <c r="T10261" s="1150" t="str">
        <f>IF(AND($R10265=0,$T10265=0),"0.00","mu: "&amp; ROUND(F10261/$C$3/($R10265+$T10265*$D$9),2))</f>
        <v>mu: 1.13</v>
      </c>
      <c r="W10261" s="524"/>
      <c r="AG10261" s="1147">
        <f>IF($E10261=0,0,ROUND($R10265*$S$3*$C$3/$A10261,2))</f>
        <v>211.86</v>
      </c>
      <c r="AH10261" s="1147">
        <f>$AG10261*$A10261</f>
        <v>1059.3000000000002</v>
      </c>
      <c r="AI10261" s="1148">
        <f>$E10261-$AG10261</f>
        <v>0</v>
      </c>
      <c r="AJ10261" s="1148">
        <f>$A10261*$AI10261</f>
        <v>0</v>
      </c>
      <c r="AK10261" s="1149">
        <f>ROUND(($AG10261+$AI10261)*$A10261,2)</f>
        <v>1059.3</v>
      </c>
      <c r="AM10261" s="527">
        <f>ROUND(R10265,2)</f>
        <v>938.48</v>
      </c>
      <c r="AN10261" s="528">
        <f>ROUND(T10265,2)</f>
        <v>0</v>
      </c>
      <c r="AO10261" s="529">
        <f>ROUND(AM10261+AN10261,2)*A10261</f>
        <v>4692.3999999999996</v>
      </c>
      <c r="AR10261" s="747">
        <v>5</v>
      </c>
      <c r="AS10261" s="1146">
        <v>1152.7</v>
      </c>
    </row>
    <row r="10262" spans="1:45" s="520" customFormat="1" ht="13.2">
      <c r="A10262" s="748"/>
      <c r="B10262"/>
      <c r="C10262" s="748"/>
      <c r="D10262" s="749" t="s">
        <v>2188</v>
      </c>
      <c r="F10262" s="753"/>
      <c r="G10262" s="3"/>
      <c r="H10262" s="753"/>
      <c r="I10262" s="754"/>
      <c r="J10262" s="753"/>
      <c r="K10262" s="753" t="s">
        <v>144</v>
      </c>
      <c r="L10262" s="753"/>
      <c r="M10262" s="753"/>
      <c r="N10262" s="753"/>
      <c r="O10262" s="753"/>
      <c r="P10262" s="753"/>
      <c r="Q10262" s="51"/>
      <c r="R10262" s="530"/>
      <c r="S10262" s="757"/>
      <c r="T10262" s="753"/>
      <c r="AR10262" s="748"/>
      <c r="AS10262" s="753"/>
    </row>
    <row r="10263" spans="1:45" s="901" customFormat="1" ht="13.2">
      <c r="A10263" s="903">
        <v>5</v>
      </c>
      <c r="B10263" s="904" t="s">
        <v>863</v>
      </c>
      <c r="C10263" s="904"/>
      <c r="D10263" s="904" t="s">
        <v>2594</v>
      </c>
      <c r="E10263" s="904"/>
      <c r="F10263" s="1153" t="s">
        <v>4142</v>
      </c>
      <c r="G10263" s="905" t="s">
        <v>2595</v>
      </c>
      <c r="H10263" s="902">
        <v>960</v>
      </c>
      <c r="I10263" s="904" t="s">
        <v>2596</v>
      </c>
      <c r="J10263" s="904"/>
      <c r="K10263" s="904"/>
      <c r="L10263" s="904"/>
      <c r="M10263" s="904"/>
      <c r="N10263" s="904"/>
      <c r="O10263" s="902">
        <v>4</v>
      </c>
      <c r="P10263" s="906">
        <v>38274</v>
      </c>
      <c r="Q10263" s="1415">
        <f>215*0.873</f>
        <v>187.69499999999999</v>
      </c>
      <c r="R10263" s="908">
        <f>$A10263*Q10263</f>
        <v>938.47499999999991</v>
      </c>
      <c r="S10263" s="907"/>
      <c r="T10263" s="909">
        <f>$A10263*S10263*$T$1</f>
        <v>0</v>
      </c>
      <c r="AR10263" s="903">
        <v>5</v>
      </c>
      <c r="AS10263" s="1153" t="s">
        <v>3507</v>
      </c>
    </row>
    <row r="10264" spans="1:45" s="520" customFormat="1" ht="12">
      <c r="A10264" s="758"/>
      <c r="B10264" s="758"/>
      <c r="C10264" s="758"/>
      <c r="D10264" s="758"/>
      <c r="E10264" s="758"/>
      <c r="F10264" s="753"/>
      <c r="G10264" s="758"/>
      <c r="H10264" s="758"/>
      <c r="I10264" s="519"/>
      <c r="J10264" s="758"/>
      <c r="K10264" s="758"/>
      <c r="L10264" s="758"/>
      <c r="M10264" s="758"/>
      <c r="N10264" s="758"/>
      <c r="O10264" s="758"/>
      <c r="P10264" s="758"/>
      <c r="Q10264" s="519"/>
      <c r="R10264" s="759">
        <f>$A10264*Q10264</f>
        <v>0</v>
      </c>
      <c r="S10264" s="519"/>
      <c r="T10264" s="760">
        <f>$A10264*S10264*$T$1</f>
        <v>0</v>
      </c>
      <c r="AR10264" s="758"/>
      <c r="AS10264" s="753"/>
    </row>
    <row r="10265" spans="1:45" s="520" customFormat="1" ht="12.6" thickBot="1">
      <c r="A10265" s="761" t="s">
        <v>145</v>
      </c>
      <c r="B10265" s="762">
        <f>(R10264+T10264)</f>
        <v>0</v>
      </c>
      <c r="C10265" s="763"/>
      <c r="D10265" s="763"/>
      <c r="E10265" s="763"/>
      <c r="F10265" s="764"/>
      <c r="G10265" s="763" t="s">
        <v>146</v>
      </c>
      <c r="H10265" s="763"/>
      <c r="I10265" s="765"/>
      <c r="J10265" s="763"/>
      <c r="K10265" s="763" t="s">
        <v>5</v>
      </c>
      <c r="L10265" s="766" t="s">
        <v>143</v>
      </c>
      <c r="M10265" s="766"/>
      <c r="N10265" s="766"/>
      <c r="O10265" s="766"/>
      <c r="P10265" s="766"/>
      <c r="Q10265" s="767"/>
      <c r="R10265" s="768">
        <f>SUM(R10262:R10264)</f>
        <v>938.47499999999991</v>
      </c>
      <c r="S10265" s="763"/>
      <c r="T10265" s="768">
        <f>SUM(T10262:T10264)</f>
        <v>0</v>
      </c>
      <c r="U10265" s="531"/>
      <c r="V10265" s="531"/>
      <c r="W10265" s="531"/>
      <c r="X10265" s="531"/>
      <c r="Y10265" s="531"/>
      <c r="Z10265" s="531"/>
      <c r="AA10265" s="531"/>
      <c r="AB10265" s="531"/>
      <c r="AC10265" s="531"/>
      <c r="AD10265" s="531"/>
      <c r="AE10265" s="531"/>
      <c r="AF10265" s="531"/>
      <c r="AG10265" s="531"/>
      <c r="AH10265" s="531"/>
      <c r="AI10265" s="531"/>
      <c r="AJ10265" s="531"/>
      <c r="AK10265" s="531"/>
      <c r="AL10265" s="531"/>
      <c r="AM10265" s="531"/>
      <c r="AN10265" s="531"/>
      <c r="AO10265" s="531"/>
      <c r="AR10265" s="761" t="s">
        <v>145</v>
      </c>
      <c r="AS10265" s="764"/>
    </row>
    <row r="10266" spans="1:45" s="520" customFormat="1" ht="12" thickTop="1">
      <c r="A10266" s="51"/>
      <c r="B10266" s="41"/>
      <c r="C10266" s="51"/>
      <c r="E10266" s="42" t="s">
        <v>138</v>
      </c>
      <c r="F10266" s="42" t="s">
        <v>139</v>
      </c>
      <c r="G10266" s="51"/>
      <c r="H10266" s="51"/>
      <c r="I10266" s="51"/>
      <c r="J10266" s="51"/>
      <c r="K10266" s="51" t="s">
        <v>140</v>
      </c>
      <c r="L10266" s="51"/>
      <c r="M10266" s="51"/>
      <c r="N10266" s="51"/>
      <c r="O10266" s="52"/>
      <c r="P10266" s="51"/>
      <c r="Q10266" s="51"/>
      <c r="R10266" s="51"/>
      <c r="S10266" s="51"/>
      <c r="T10266" s="41"/>
      <c r="AG10266" s="521" t="s">
        <v>268</v>
      </c>
      <c r="AH10266" s="521" t="s">
        <v>269</v>
      </c>
      <c r="AI10266" s="521" t="s">
        <v>270</v>
      </c>
      <c r="AJ10266" s="521" t="s">
        <v>271</v>
      </c>
      <c r="AK10266" s="521" t="s">
        <v>272</v>
      </c>
      <c r="AM10266" s="745" t="s">
        <v>281</v>
      </c>
      <c r="AN10266" s="746" t="s">
        <v>282</v>
      </c>
      <c r="AO10266" s="522" t="s">
        <v>278</v>
      </c>
      <c r="AR10266" s="51"/>
      <c r="AS10266" s="42" t="s">
        <v>139</v>
      </c>
    </row>
    <row r="10267" spans="1:45" s="520" customFormat="1" ht="12" customHeight="1">
      <c r="A10267" s="747">
        <v>1</v>
      </c>
      <c r="B10267" s="523" t="s">
        <v>329</v>
      </c>
      <c r="C10267" s="748"/>
      <c r="D10267" s="749" t="s">
        <v>1881</v>
      </c>
      <c r="E10267" s="1145">
        <f>IF(AND($A10267=0,$A$1="DIF"),0, ROUND(ROUND(($R10271*$S$3+($T10271*$T$3))/$A10267,2)*$C$3,2))</f>
        <v>310.39999999999998</v>
      </c>
      <c r="F10267" s="1146">
        <f>ROUND($A10267*$E10267,2)</f>
        <v>310.39999999999998</v>
      </c>
      <c r="G10267" s="752" t="s">
        <v>142</v>
      </c>
      <c r="H10267" s="753"/>
      <c r="I10267" s="754"/>
      <c r="J10267" s="753"/>
      <c r="K10267" s="753" t="s">
        <v>5</v>
      </c>
      <c r="L10267" s="755" t="s">
        <v>143</v>
      </c>
      <c r="M10267" s="755"/>
      <c r="N10267" s="755"/>
      <c r="O10267" s="755"/>
      <c r="P10267" s="755"/>
      <c r="Q10267" s="51"/>
      <c r="T10267" s="1150" t="str">
        <f>IF(AND($R10271=0,$T10271=0),"0.00","mu: "&amp; ROUND(F10267/$C$3/($R10271+$T10271*$D$9),2))</f>
        <v>mu: 1.13</v>
      </c>
      <c r="W10267" s="524"/>
      <c r="AG10267" s="1147">
        <f>IF($E10267=0,0,ROUND($R10271*$S$3*$C$3/$A10267,2))</f>
        <v>310.39999999999998</v>
      </c>
      <c r="AH10267" s="1147">
        <f>$AG10267*$A10267</f>
        <v>310.39999999999998</v>
      </c>
      <c r="AI10267" s="1148">
        <f>$E10267-$AG10267</f>
        <v>0</v>
      </c>
      <c r="AJ10267" s="1148">
        <f>$A10267*$AI10267</f>
        <v>0</v>
      </c>
      <c r="AK10267" s="1149">
        <f>ROUND(($AG10267+$AI10267)*$A10267,2)</f>
        <v>310.39999999999998</v>
      </c>
      <c r="AM10267" s="527">
        <f>ROUND(R10271,2)</f>
        <v>275</v>
      </c>
      <c r="AN10267" s="528">
        <f>ROUND(T10271,2)</f>
        <v>0</v>
      </c>
      <c r="AO10267" s="529">
        <f>ROUND(AM10267+AN10267,2)*A10267</f>
        <v>275</v>
      </c>
      <c r="AR10267" s="747">
        <v>1</v>
      </c>
      <c r="AS10267" s="1146">
        <v>337.77</v>
      </c>
    </row>
    <row r="10268" spans="1:45" s="520" customFormat="1" ht="13.2">
      <c r="A10268" s="748"/>
      <c r="B10268"/>
      <c r="C10268" s="748"/>
      <c r="D10268" s="749" t="s">
        <v>2189</v>
      </c>
      <c r="F10268" s="753"/>
      <c r="G10268" s="3"/>
      <c r="H10268" s="753"/>
      <c r="I10268" s="754"/>
      <c r="J10268" s="753"/>
      <c r="K10268" s="753" t="s">
        <v>144</v>
      </c>
      <c r="L10268" s="753"/>
      <c r="M10268" s="753"/>
      <c r="N10268" s="753"/>
      <c r="O10268" s="753"/>
      <c r="P10268" s="753"/>
      <c r="Q10268" s="51"/>
      <c r="R10268" s="530"/>
      <c r="S10268" s="757"/>
      <c r="T10268" s="753"/>
      <c r="AR10268" s="748"/>
      <c r="AS10268" s="753"/>
    </row>
    <row r="10269" spans="1:45" s="901" customFormat="1" ht="13.2">
      <c r="A10269" s="903">
        <v>1</v>
      </c>
      <c r="B10269" s="904" t="s">
        <v>863</v>
      </c>
      <c r="C10269" s="904"/>
      <c r="D10269" s="904" t="s">
        <v>2594</v>
      </c>
      <c r="E10269" s="904"/>
      <c r="F10269" s="1153" t="s">
        <v>4142</v>
      </c>
      <c r="G10269" s="905" t="s">
        <v>2595</v>
      </c>
      <c r="H10269" s="902">
        <v>960</v>
      </c>
      <c r="I10269" s="904" t="s">
        <v>2596</v>
      </c>
      <c r="J10269" s="904"/>
      <c r="K10269" s="904"/>
      <c r="L10269" s="904"/>
      <c r="M10269" s="904"/>
      <c r="N10269" s="904"/>
      <c r="O10269" s="902">
        <v>4</v>
      </c>
      <c r="P10269" s="906">
        <v>38274</v>
      </c>
      <c r="Q10269" s="1415">
        <f>315*0.873</f>
        <v>274.995</v>
      </c>
      <c r="R10269" s="908">
        <f>$A10269*Q10269</f>
        <v>274.995</v>
      </c>
      <c r="S10269" s="907"/>
      <c r="T10269" s="909">
        <f>$A10269*S10269*$T$1</f>
        <v>0</v>
      </c>
      <c r="AR10269" s="903">
        <v>1</v>
      </c>
      <c r="AS10269" s="1153" t="s">
        <v>3507</v>
      </c>
    </row>
    <row r="10270" spans="1:45" s="520" customFormat="1" ht="12">
      <c r="A10270" s="758"/>
      <c r="B10270" s="758"/>
      <c r="C10270" s="758"/>
      <c r="D10270" s="758"/>
      <c r="E10270" s="758"/>
      <c r="F10270" s="753"/>
      <c r="G10270" s="758"/>
      <c r="H10270" s="758"/>
      <c r="I10270" s="519"/>
      <c r="J10270" s="758"/>
      <c r="K10270" s="758"/>
      <c r="L10270" s="758"/>
      <c r="M10270" s="758"/>
      <c r="N10270" s="758"/>
      <c r="O10270" s="758"/>
      <c r="P10270" s="758"/>
      <c r="Q10270" s="519"/>
      <c r="R10270" s="759">
        <f>$A10270*Q10270</f>
        <v>0</v>
      </c>
      <c r="S10270" s="519"/>
      <c r="T10270" s="760">
        <f>$A10270*S10270*$T$1</f>
        <v>0</v>
      </c>
      <c r="AR10270" s="758"/>
      <c r="AS10270" s="753"/>
    </row>
    <row r="10271" spans="1:45" s="520" customFormat="1" ht="12.6" thickBot="1">
      <c r="A10271" s="761" t="s">
        <v>145</v>
      </c>
      <c r="B10271" s="762">
        <f>(R10270+T10270)</f>
        <v>0</v>
      </c>
      <c r="C10271" s="763"/>
      <c r="D10271" s="763"/>
      <c r="E10271" s="763"/>
      <c r="F10271" s="764"/>
      <c r="G10271" s="763" t="s">
        <v>146</v>
      </c>
      <c r="H10271" s="763"/>
      <c r="I10271" s="765"/>
      <c r="J10271" s="763"/>
      <c r="K10271" s="763" t="s">
        <v>5</v>
      </c>
      <c r="L10271" s="766" t="s">
        <v>143</v>
      </c>
      <c r="M10271" s="766"/>
      <c r="N10271" s="766"/>
      <c r="O10271" s="766"/>
      <c r="P10271" s="766"/>
      <c r="Q10271" s="767"/>
      <c r="R10271" s="768">
        <f>SUM(R10268:R10270)</f>
        <v>274.995</v>
      </c>
      <c r="S10271" s="763"/>
      <c r="T10271" s="768">
        <f>SUM(T10268:T10270)</f>
        <v>0</v>
      </c>
      <c r="U10271" s="531"/>
      <c r="V10271" s="531"/>
      <c r="W10271" s="531"/>
      <c r="X10271" s="531"/>
      <c r="Y10271" s="531"/>
      <c r="Z10271" s="531"/>
      <c r="AA10271" s="531"/>
      <c r="AB10271" s="531"/>
      <c r="AC10271" s="531"/>
      <c r="AD10271" s="531"/>
      <c r="AE10271" s="531"/>
      <c r="AF10271" s="531"/>
      <c r="AG10271" s="531"/>
      <c r="AH10271" s="531"/>
      <c r="AI10271" s="531"/>
      <c r="AJ10271" s="531"/>
      <c r="AK10271" s="531"/>
      <c r="AL10271" s="531"/>
      <c r="AM10271" s="531"/>
      <c r="AN10271" s="531"/>
      <c r="AO10271" s="531"/>
      <c r="AR10271" s="761" t="s">
        <v>145</v>
      </c>
      <c r="AS10271" s="764"/>
    </row>
    <row r="10272" spans="1:45" s="520" customFormat="1" ht="12" thickTop="1">
      <c r="A10272" s="48" t="s">
        <v>148</v>
      </c>
      <c r="D10272" s="13"/>
      <c r="E10272" s="42"/>
      <c r="O10272" s="771"/>
      <c r="AR10272" s="48" t="s">
        <v>148</v>
      </c>
    </row>
    <row r="10273" spans="1:45" s="520" customFormat="1" ht="13.2">
      <c r="B10273" s="3"/>
      <c r="O10273" s="771"/>
    </row>
    <row r="10274" spans="1:45" s="520" customFormat="1" ht="12">
      <c r="B10274" s="772">
        <f ca="1">$F10274/$C$2-($R10274*$S$2+$T10274*$T$2)</f>
        <v>-417.41871219199948</v>
      </c>
      <c r="D10274" s="773" t="s">
        <v>1065</v>
      </c>
      <c r="E10274" s="774"/>
      <c r="F10274" s="775">
        <f ca="1">SUMIF($L10061:$L10272,"ITEM",F10061:F10272)</f>
        <v>6091.18</v>
      </c>
      <c r="G10274" s="758"/>
      <c r="H10274" s="758"/>
      <c r="I10274" s="519"/>
      <c r="J10274" s="758"/>
      <c r="K10274" s="758"/>
      <c r="L10274" s="755" t="s">
        <v>157</v>
      </c>
      <c r="M10274" s="755"/>
      <c r="N10274" s="755"/>
      <c r="O10274" s="755"/>
      <c r="P10274" s="755"/>
      <c r="R10274" s="775">
        <f ca="1">SUMIF($L10061:$L10272,"ITEM",R10061:R10272)</f>
        <v>4522.38</v>
      </c>
      <c r="S10274" s="776"/>
      <c r="T10274" s="775">
        <f ca="1">SUMIF($L10061:$L10272,"ITEM",T10061:T10272)</f>
        <v>27.799999999999997</v>
      </c>
      <c r="AS10274" s="775">
        <v>6601.6100000000006</v>
      </c>
    </row>
    <row r="10275" spans="1:45" s="520" customFormat="1" ht="13.2">
      <c r="A10275" s="51"/>
      <c r="B10275" s="49" t="s">
        <v>1064</v>
      </c>
      <c r="C10275" s="51"/>
      <c r="D10275" s="3"/>
      <c r="F10275" s="777" t="s">
        <v>158</v>
      </c>
      <c r="G10275" s="758"/>
      <c r="H10275" s="758"/>
      <c r="I10275" s="519"/>
      <c r="J10275" s="758"/>
      <c r="K10275" s="758"/>
      <c r="L10275" s="758"/>
      <c r="M10275" s="758"/>
      <c r="N10275" s="758"/>
      <c r="O10275" s="758"/>
      <c r="P10275" s="758"/>
      <c r="Q10275" s="778"/>
      <c r="R10275" s="777" t="s">
        <v>159</v>
      </c>
      <c r="S10275" s="38"/>
      <c r="T10275" s="777" t="s">
        <v>160</v>
      </c>
      <c r="AR10275" s="51"/>
      <c r="AS10275" s="777" t="s">
        <v>158</v>
      </c>
    </row>
    <row r="10276" spans="1:45" s="520" customFormat="1" ht="13.2">
      <c r="A10276" s="758"/>
      <c r="B10276" s="3"/>
      <c r="C10276" s="758"/>
      <c r="D10276" s="3"/>
      <c r="E10276" s="3"/>
      <c r="G10276" s="3"/>
      <c r="H10276" s="3"/>
      <c r="I10276" s="3"/>
      <c r="J10276" s="3"/>
      <c r="K10276" s="3"/>
      <c r="L10276" s="3"/>
      <c r="M10276" s="3"/>
      <c r="N10276" s="3"/>
      <c r="O10276" s="107"/>
      <c r="P10276" s="3"/>
      <c r="Q10276" s="3"/>
      <c r="R10276" s="3"/>
      <c r="S10276" s="3"/>
      <c r="T10276" s="3"/>
      <c r="AR10276" s="758"/>
    </row>
    <row r="10277" spans="1:45" s="520" customFormat="1" ht="12" thickBot="1">
      <c r="A10277" s="531"/>
      <c r="B10277" s="763"/>
      <c r="C10277" s="763"/>
      <c r="D10277" s="531"/>
      <c r="E10277" s="39"/>
      <c r="F10277" s="779"/>
      <c r="G10277" s="763"/>
      <c r="H10277" s="763"/>
      <c r="I10277" s="765"/>
      <c r="J10277" s="763"/>
      <c r="K10277" s="763"/>
      <c r="L10277" s="766"/>
      <c r="M10277" s="766"/>
      <c r="N10277" s="766"/>
      <c r="O10277" s="766"/>
      <c r="P10277" s="766"/>
      <c r="Q10277" s="767"/>
      <c r="R10277" s="779"/>
      <c r="S10277" s="780"/>
      <c r="T10277" s="779"/>
      <c r="U10277" s="531"/>
      <c r="V10277" s="531"/>
      <c r="W10277" s="531"/>
      <c r="X10277" s="531"/>
      <c r="Y10277" s="531"/>
      <c r="Z10277" s="531"/>
      <c r="AA10277" s="531"/>
      <c r="AB10277" s="531"/>
      <c r="AC10277" s="531"/>
      <c r="AD10277" s="531"/>
      <c r="AE10277" s="531"/>
      <c r="AF10277" s="531"/>
      <c r="AG10277" s="531"/>
      <c r="AH10277" s="531"/>
      <c r="AI10277" s="531"/>
      <c r="AJ10277" s="531"/>
      <c r="AK10277" s="531"/>
      <c r="AR10277" s="531"/>
      <c r="AS10277" s="779"/>
    </row>
    <row r="10278" spans="1:45" s="520" customFormat="1" thickTop="1">
      <c r="A10278" s="51"/>
      <c r="B10278" s="51"/>
      <c r="C10278" s="3"/>
      <c r="D10278" s="3"/>
      <c r="E10278" s="51"/>
      <c r="F10278" s="51"/>
      <c r="G10278" s="51"/>
      <c r="H10278" s="51"/>
      <c r="I10278" s="51"/>
      <c r="J10278" s="51"/>
      <c r="K10278" s="51" t="s">
        <v>134</v>
      </c>
      <c r="L10278" s="51"/>
      <c r="M10278" s="51"/>
      <c r="N10278" s="51"/>
      <c r="O10278" s="52"/>
      <c r="P10278" s="51"/>
      <c r="Q10278" s="51"/>
      <c r="R10278" s="51"/>
      <c r="S10278" s="51"/>
      <c r="T10278" s="51"/>
      <c r="AR10278" s="51"/>
      <c r="AS10278" s="51"/>
    </row>
    <row r="10279" spans="1:45" s="520" customFormat="1" ht="12">
      <c r="A10279" s="51"/>
      <c r="B10279" s="51"/>
      <c r="C10279" s="51" t="s">
        <v>135</v>
      </c>
      <c r="D10279" s="37"/>
      <c r="E10279" s="51"/>
      <c r="F10279" s="51"/>
      <c r="G10279" s="51"/>
      <c r="H10279" s="51"/>
      <c r="I10279" s="51"/>
      <c r="J10279" s="51"/>
      <c r="K10279" s="51"/>
      <c r="L10279" s="51"/>
      <c r="M10279" s="51"/>
      <c r="N10279" s="51"/>
      <c r="O10279" s="52"/>
      <c r="P10279" s="51"/>
      <c r="Q10279" s="51"/>
      <c r="R10279" s="51"/>
      <c r="S10279" s="51"/>
      <c r="T10279" s="51"/>
      <c r="AR10279" s="51"/>
      <c r="AS10279" s="51"/>
    </row>
    <row r="10280" spans="1:45" s="520" customFormat="1" ht="12">
      <c r="A10280" s="51"/>
      <c r="B10280" s="51"/>
      <c r="C10280" s="51"/>
      <c r="D10280" s="37" t="s">
        <v>371</v>
      </c>
      <c r="E10280" s="51"/>
      <c r="F10280" s="51"/>
      <c r="G10280" s="51"/>
      <c r="H10280" s="51"/>
      <c r="I10280" s="51"/>
      <c r="J10280" s="51"/>
      <c r="K10280" s="51"/>
      <c r="L10280" s="51"/>
      <c r="M10280" s="51"/>
      <c r="N10280" s="51"/>
      <c r="O10280" s="52"/>
      <c r="P10280" s="51"/>
      <c r="Q10280" s="51"/>
      <c r="R10280" s="51"/>
      <c r="S10280" s="38"/>
      <c r="T10280" s="38"/>
      <c r="AR10280" s="51"/>
      <c r="AS10280" s="51"/>
    </row>
    <row r="10281" spans="1:45" s="3" customFormat="1" thickBot="1">
      <c r="A10281" s="531"/>
      <c r="O10281" s="107"/>
      <c r="AR10281" s="531"/>
    </row>
    <row r="10282" spans="1:45" s="520" customFormat="1" thickTop="1">
      <c r="A10282" s="51"/>
      <c r="B10282" s="51"/>
      <c r="C10282" s="3"/>
      <c r="D10282" s="3"/>
      <c r="E10282" s="51"/>
      <c r="F10282" s="51"/>
      <c r="G10282" s="51"/>
      <c r="H10282" s="51"/>
      <c r="I10282" s="51"/>
      <c r="J10282" s="51"/>
      <c r="K10282" s="51" t="s">
        <v>134</v>
      </c>
      <c r="L10282" s="51"/>
      <c r="M10282" s="51"/>
      <c r="N10282" s="51"/>
      <c r="O10282" s="52"/>
      <c r="P10282" s="51"/>
      <c r="Q10282" s="51"/>
      <c r="R10282" s="51"/>
      <c r="S10282" s="51"/>
      <c r="T10282" s="51"/>
      <c r="AR10282" s="51"/>
      <c r="AS10282" s="51"/>
    </row>
    <row r="10283" spans="1:45" s="520" customFormat="1" ht="12">
      <c r="A10283" s="51"/>
      <c r="B10283" s="51"/>
      <c r="C10283" s="51" t="s">
        <v>135</v>
      </c>
      <c r="D10283" s="37"/>
      <c r="E10283" s="51"/>
      <c r="F10283" s="51"/>
      <c r="G10283" s="51"/>
      <c r="H10283" s="51"/>
      <c r="I10283" s="51"/>
      <c r="J10283" s="51"/>
      <c r="K10283" s="51"/>
      <c r="L10283" s="51"/>
      <c r="M10283" s="51"/>
      <c r="N10283" s="51"/>
      <c r="O10283" s="52"/>
      <c r="P10283" s="51"/>
      <c r="Q10283" s="51"/>
      <c r="R10283" s="51"/>
      <c r="S10283" s="51"/>
      <c r="T10283" s="51"/>
      <c r="AR10283" s="51"/>
      <c r="AS10283" s="51"/>
    </row>
    <row r="10284" spans="1:45" s="520" customFormat="1" ht="39.9" customHeight="1">
      <c r="A10284" s="51"/>
      <c r="B10284" s="51"/>
      <c r="C10284" s="51"/>
      <c r="D10284" s="1453" t="s">
        <v>2499</v>
      </c>
      <c r="E10284" s="1452"/>
      <c r="F10284" s="1452"/>
      <c r="G10284" s="1452"/>
      <c r="H10284" s="1452"/>
      <c r="I10284" s="1452"/>
      <c r="J10284" s="1452"/>
      <c r="K10284" s="1452"/>
      <c r="L10284" s="1452"/>
      <c r="M10284" s="1452"/>
      <c r="N10284" s="1452"/>
      <c r="O10284" s="1452"/>
      <c r="P10284" s="1452"/>
      <c r="Q10284" s="1452"/>
      <c r="R10284" s="1452"/>
      <c r="S10284" s="1452"/>
      <c r="T10284" s="1452"/>
      <c r="AR10284" s="51"/>
    </row>
    <row r="10285" spans="1:45" s="3" customFormat="1" thickBot="1">
      <c r="A10285" s="531"/>
      <c r="O10285" s="107"/>
      <c r="AR10285" s="531"/>
    </row>
    <row r="10286" spans="1:45" s="520" customFormat="1" ht="12" thickTop="1">
      <c r="A10286" s="51"/>
      <c r="B10286" s="41"/>
      <c r="C10286" s="51"/>
      <c r="E10286" s="42" t="s">
        <v>138</v>
      </c>
      <c r="F10286" s="42" t="s">
        <v>139</v>
      </c>
      <c r="G10286" s="51"/>
      <c r="H10286" s="51"/>
      <c r="I10286" s="51"/>
      <c r="J10286" s="51"/>
      <c r="K10286" s="51" t="s">
        <v>140</v>
      </c>
      <c r="L10286" s="51"/>
      <c r="M10286" s="51"/>
      <c r="N10286" s="51"/>
      <c r="O10286" s="52"/>
      <c r="P10286" s="51"/>
      <c r="Q10286" s="51"/>
      <c r="R10286" s="51"/>
      <c r="S10286" s="51"/>
      <c r="T10286" s="41"/>
      <c r="AG10286" s="521" t="s">
        <v>268</v>
      </c>
      <c r="AH10286" s="521" t="s">
        <v>269</v>
      </c>
      <c r="AI10286" s="521" t="s">
        <v>270</v>
      </c>
      <c r="AJ10286" s="521" t="s">
        <v>271</v>
      </c>
      <c r="AK10286" s="521" t="s">
        <v>272</v>
      </c>
      <c r="AM10286" s="745" t="s">
        <v>281</v>
      </c>
      <c r="AN10286" s="746" t="s">
        <v>282</v>
      </c>
      <c r="AO10286" s="522" t="s">
        <v>278</v>
      </c>
      <c r="AR10286" s="51"/>
      <c r="AS10286" s="42" t="s">
        <v>139</v>
      </c>
    </row>
    <row r="10287" spans="1:45" s="520" customFormat="1" ht="12" customHeight="1">
      <c r="A10287" s="747">
        <v>1</v>
      </c>
      <c r="B10287" s="523" t="s">
        <v>329</v>
      </c>
      <c r="C10287" s="748"/>
      <c r="D10287" s="749" t="s">
        <v>1882</v>
      </c>
      <c r="E10287" s="750">
        <f ca="1">IF(AND($A10287=0,$A$1="DIF"),0, ROUND(ROUND(($R10292*$S$2+($T10292*$T$2))/A10287,2)*$C$2,2))</f>
        <v>36.97</v>
      </c>
      <c r="F10287" s="751">
        <f ca="1">ROUND($A10287*$E10287,2)</f>
        <v>36.97</v>
      </c>
      <c r="G10287" s="752" t="s">
        <v>142</v>
      </c>
      <c r="H10287" s="753"/>
      <c r="I10287" s="754"/>
      <c r="J10287" s="753"/>
      <c r="K10287" s="753" t="s">
        <v>3</v>
      </c>
      <c r="L10287" s="755" t="s">
        <v>143</v>
      </c>
      <c r="M10287" s="755"/>
      <c r="N10287" s="755"/>
      <c r="O10287" s="755"/>
      <c r="P10287" s="755"/>
      <c r="Q10287" s="51"/>
      <c r="T10287" s="756" t="str">
        <f ca="1">IF(AND($R10292=0,$T10292=0),"0.00","mu :" &amp; ROUND($F10287/$C$2/($R10292+$T10292*$D$9),2))</f>
        <v>mu :1.23</v>
      </c>
      <c r="W10287" s="524"/>
      <c r="AG10287" s="481">
        <f ca="1">IF($E10287=0,0,ROUND($R10292*$S$2*$C$2/$A10287,2))</f>
        <v>13.3</v>
      </c>
      <c r="AH10287" s="481">
        <f ca="1">$AG10287*$A10287</f>
        <v>13.3</v>
      </c>
      <c r="AI10287" s="525">
        <f ca="1">$E10287-$AG10287</f>
        <v>23.669999999999998</v>
      </c>
      <c r="AJ10287" s="525">
        <f ca="1">$A10287*$AI10287</f>
        <v>23.669999999999998</v>
      </c>
      <c r="AK10287" s="526">
        <f ca="1">ROUND(($AG10287+$AI10287)*$A10287,2)</f>
        <v>36.97</v>
      </c>
      <c r="AM10287" s="527">
        <f ca="1">ROUND(R10292,2)</f>
        <v>10.8</v>
      </c>
      <c r="AN10287" s="528">
        <f ca="1">ROUND(T10292,2)</f>
        <v>0.7</v>
      </c>
      <c r="AO10287" s="529">
        <f ca="1">ROUND(AM10287+AN10287,2)*A10287</f>
        <v>11.5</v>
      </c>
      <c r="AR10287" s="747">
        <v>1</v>
      </c>
      <c r="AS10287" s="751">
        <v>39.67</v>
      </c>
    </row>
    <row r="10288" spans="1:45" s="520" customFormat="1" ht="13.2">
      <c r="A10288" s="748"/>
      <c r="B10288"/>
      <c r="C10288" s="748"/>
      <c r="D10288" s="749" t="s">
        <v>2188</v>
      </c>
      <c r="F10288" s="753"/>
      <c r="G10288" s="3"/>
      <c r="H10288" s="753"/>
      <c r="I10288" s="754"/>
      <c r="J10288" s="753"/>
      <c r="K10288" s="753" t="s">
        <v>144</v>
      </c>
      <c r="L10288" s="753"/>
      <c r="M10288" s="753"/>
      <c r="N10288" s="753"/>
      <c r="O10288" s="753"/>
      <c r="P10288" s="753"/>
      <c r="Q10288" s="51"/>
      <c r="R10288" s="530"/>
      <c r="S10288" s="757"/>
      <c r="T10288" s="753"/>
      <c r="AR10288" s="748"/>
      <c r="AS10288" s="753"/>
    </row>
    <row r="10289" spans="1:45" s="886" customFormat="1" ht="13.2">
      <c r="A10289"/>
      <c r="B10289" s="910"/>
      <c r="C10289" s="910" t="s">
        <v>2597</v>
      </c>
      <c r="D10289" s="910" t="str">
        <f ca="1">CELL("Address",Elec_Rates!D$1041)</f>
        <v>[E25_0062_Quintano_Foods_Elec_ELV_As_Awarded.xlsx]Elec_Rates!$D$1041</v>
      </c>
      <c r="E10289" s="911"/>
      <c r="F10289" s="911"/>
      <c r="G10289" s="912" t="s">
        <v>2598</v>
      </c>
      <c r="H10289" s="912"/>
      <c r="I10289" s="912"/>
      <c r="J10289" s="912"/>
      <c r="K10289" s="913"/>
      <c r="L10289" s="911"/>
      <c r="M10289" s="911"/>
      <c r="N10289" s="911"/>
      <c r="O10289" s="914"/>
      <c r="P10289" s="911"/>
      <c r="Q10289" s="915"/>
      <c r="R10289" s="916"/>
      <c r="S10289" s="915"/>
      <c r="T10289" s="917"/>
      <c r="U10289" s="918"/>
      <c r="AR10289"/>
      <c r="AS10289" s="911"/>
    </row>
    <row r="10290" spans="1:45" s="886" customFormat="1" ht="11.4">
      <c r="A10290" s="919">
        <v>1</v>
      </c>
      <c r="B10290" s="920">
        <v>1</v>
      </c>
      <c r="C10290" s="920">
        <f>$A10290*$B10290</f>
        <v>1</v>
      </c>
      <c r="D10290" s="921" t="str">
        <f>Elec_Rates!$D$1041</f>
        <v>094# LSZH Conduit points for access control</v>
      </c>
      <c r="E10290" s="921"/>
      <c r="F10290" s="921" t="s">
        <v>2599</v>
      </c>
      <c r="G10290" s="922" t="s">
        <v>2601</v>
      </c>
      <c r="H10290" s="922"/>
      <c r="I10290" s="922"/>
      <c r="J10290" s="922"/>
      <c r="K10290" s="923"/>
      <c r="L10290" s="918"/>
      <c r="M10290" s="918"/>
      <c r="N10290" s="918"/>
      <c r="O10290" s="924"/>
      <c r="P10290" s="921"/>
      <c r="Q10290" s="925">
        <f ca="1">$B10290*Elec_Rates!$R$1041</f>
        <v>10.8</v>
      </c>
      <c r="R10290" s="916">
        <f ca="1">$A10290*Q10290</f>
        <v>10.8</v>
      </c>
      <c r="S10290" s="925">
        <f ca="1">$B10290*Elec_Rates!$T$1041</f>
        <v>0.7</v>
      </c>
      <c r="T10290" s="917">
        <f ca="1">$A10290*S10290</f>
        <v>0.7</v>
      </c>
      <c r="U10290" s="926"/>
      <c r="AR10290" s="919">
        <v>1</v>
      </c>
      <c r="AS10290" s="921" t="s">
        <v>2599</v>
      </c>
    </row>
    <row r="10291" spans="1:45" s="520" customFormat="1" ht="12">
      <c r="A10291" s="758"/>
      <c r="B10291" s="758"/>
      <c r="C10291" s="758"/>
      <c r="D10291" s="758"/>
      <c r="E10291" s="758"/>
      <c r="F10291" s="753"/>
      <c r="G10291" s="758"/>
      <c r="H10291" s="758"/>
      <c r="I10291" s="519"/>
      <c r="J10291" s="758"/>
      <c r="K10291" s="758"/>
      <c r="L10291" s="758"/>
      <c r="M10291" s="758"/>
      <c r="N10291" s="758"/>
      <c r="O10291" s="758"/>
      <c r="P10291" s="758"/>
      <c r="Q10291" s="519"/>
      <c r="R10291" s="759">
        <f>$A10291*Q10291</f>
        <v>0</v>
      </c>
      <c r="S10291" s="519"/>
      <c r="T10291" s="760">
        <f>$A10291*S10291*$T$1</f>
        <v>0</v>
      </c>
      <c r="AR10291" s="758"/>
      <c r="AS10291" s="753"/>
    </row>
    <row r="10292" spans="1:45" s="520" customFormat="1" ht="12.6" thickBot="1">
      <c r="A10292" s="761" t="s">
        <v>145</v>
      </c>
      <c r="B10292" s="762">
        <f>(R10291+T10291)</f>
        <v>0</v>
      </c>
      <c r="C10292" s="763"/>
      <c r="D10292" s="763"/>
      <c r="E10292" s="763"/>
      <c r="F10292" s="764"/>
      <c r="G10292" s="763" t="s">
        <v>146</v>
      </c>
      <c r="H10292" s="763"/>
      <c r="I10292" s="765"/>
      <c r="J10292" s="763"/>
      <c r="K10292" s="763" t="s">
        <v>3</v>
      </c>
      <c r="L10292" s="766" t="s">
        <v>143</v>
      </c>
      <c r="M10292" s="766"/>
      <c r="N10292" s="766"/>
      <c r="O10292" s="766"/>
      <c r="P10292" s="766"/>
      <c r="Q10292" s="767"/>
      <c r="R10292" s="768">
        <f ca="1">SUM(R10288:R10291)</f>
        <v>10.8</v>
      </c>
      <c r="S10292" s="763"/>
      <c r="T10292" s="768">
        <f ca="1">SUM(T10288:T10291)</f>
        <v>0.7</v>
      </c>
      <c r="U10292" s="531"/>
      <c r="V10292" s="531"/>
      <c r="W10292" s="531"/>
      <c r="X10292" s="531"/>
      <c r="Y10292" s="531"/>
      <c r="Z10292" s="531"/>
      <c r="AA10292" s="531"/>
      <c r="AB10292" s="531"/>
      <c r="AC10292" s="531"/>
      <c r="AD10292" s="531"/>
      <c r="AE10292" s="531"/>
      <c r="AF10292" s="531"/>
      <c r="AG10292" s="531"/>
      <c r="AH10292" s="531"/>
      <c r="AI10292" s="531"/>
      <c r="AJ10292" s="531"/>
      <c r="AK10292" s="531"/>
      <c r="AL10292" s="531"/>
      <c r="AM10292" s="531"/>
      <c r="AN10292" s="531"/>
      <c r="AO10292" s="531"/>
      <c r="AR10292" s="761" t="s">
        <v>145</v>
      </c>
      <c r="AS10292" s="764"/>
    </row>
    <row r="10293" spans="1:45" s="520" customFormat="1" thickTop="1">
      <c r="A10293" s="51"/>
      <c r="B10293" s="51"/>
      <c r="C10293" s="3"/>
      <c r="D10293" s="3"/>
      <c r="E10293" s="51"/>
      <c r="F10293" s="51"/>
      <c r="G10293" s="51"/>
      <c r="H10293" s="51"/>
      <c r="I10293" s="51"/>
      <c r="J10293" s="51"/>
      <c r="K10293" s="51" t="s">
        <v>134</v>
      </c>
      <c r="L10293" s="51"/>
      <c r="M10293" s="51"/>
      <c r="N10293" s="51"/>
      <c r="O10293" s="52"/>
      <c r="P10293" s="51"/>
      <c r="Q10293" s="51"/>
      <c r="R10293" s="51"/>
      <c r="S10293" s="51"/>
      <c r="T10293" s="51"/>
      <c r="AR10293" s="51"/>
      <c r="AS10293" s="51"/>
    </row>
    <row r="10294" spans="1:45" s="520" customFormat="1" ht="12">
      <c r="A10294" s="51"/>
      <c r="B10294" s="51"/>
      <c r="C10294" s="51" t="s">
        <v>135</v>
      </c>
      <c r="D10294" s="37"/>
      <c r="E10294" s="51"/>
      <c r="F10294" s="51"/>
      <c r="G10294" s="51"/>
      <c r="H10294" s="51"/>
      <c r="I10294" s="51"/>
      <c r="J10294" s="51"/>
      <c r="K10294" s="51"/>
      <c r="L10294" s="51"/>
      <c r="M10294" s="51"/>
      <c r="N10294" s="51"/>
      <c r="O10294" s="52"/>
      <c r="P10294" s="51"/>
      <c r="Q10294" s="51"/>
      <c r="R10294" s="51"/>
      <c r="S10294" s="51"/>
      <c r="T10294" s="51"/>
      <c r="AR10294" s="51"/>
      <c r="AS10294" s="51"/>
    </row>
    <row r="10295" spans="1:45" s="520" customFormat="1" ht="39.9" customHeight="1">
      <c r="A10295" s="51"/>
      <c r="B10295" s="51"/>
      <c r="C10295" s="51"/>
      <c r="D10295" s="1453" t="s">
        <v>2185</v>
      </c>
      <c r="E10295" s="1452"/>
      <c r="F10295" s="1452"/>
      <c r="G10295" s="1452"/>
      <c r="H10295" s="1452"/>
      <c r="I10295" s="1452"/>
      <c r="J10295" s="1452"/>
      <c r="K10295" s="1452"/>
      <c r="L10295" s="1452"/>
      <c r="M10295" s="1452"/>
      <c r="N10295" s="1452"/>
      <c r="O10295" s="1452"/>
      <c r="P10295" s="1452"/>
      <c r="Q10295" s="1452"/>
      <c r="R10295" s="1452"/>
      <c r="S10295" s="1452"/>
      <c r="T10295" s="1452"/>
      <c r="AR10295" s="51"/>
    </row>
    <row r="10296" spans="1:45" s="3" customFormat="1" thickBot="1">
      <c r="A10296" s="531"/>
      <c r="O10296" s="107"/>
      <c r="AR10296" s="531"/>
    </row>
    <row r="10297" spans="1:45" s="520" customFormat="1" ht="12" thickTop="1">
      <c r="A10297" s="51"/>
      <c r="B10297" s="41"/>
      <c r="C10297" s="51"/>
      <c r="E10297" s="42" t="s">
        <v>138</v>
      </c>
      <c r="F10297" s="42" t="s">
        <v>139</v>
      </c>
      <c r="G10297" s="51"/>
      <c r="H10297" s="51"/>
      <c r="I10297" s="51"/>
      <c r="J10297" s="51"/>
      <c r="K10297" s="51" t="s">
        <v>140</v>
      </c>
      <c r="L10297" s="51"/>
      <c r="M10297" s="51"/>
      <c r="N10297" s="51"/>
      <c r="O10297" s="52"/>
      <c r="P10297" s="51"/>
      <c r="Q10297" s="51"/>
      <c r="R10297" s="51"/>
      <c r="S10297" s="51"/>
      <c r="T10297" s="41"/>
      <c r="AG10297" s="521" t="s">
        <v>268</v>
      </c>
      <c r="AH10297" s="521" t="s">
        <v>269</v>
      </c>
      <c r="AI10297" s="521" t="s">
        <v>270</v>
      </c>
      <c r="AJ10297" s="521" t="s">
        <v>271</v>
      </c>
      <c r="AK10297" s="521" t="s">
        <v>272</v>
      </c>
      <c r="AM10297" s="745" t="s">
        <v>281</v>
      </c>
      <c r="AN10297" s="746" t="s">
        <v>282</v>
      </c>
      <c r="AO10297" s="522" t="s">
        <v>278</v>
      </c>
      <c r="AR10297" s="51"/>
      <c r="AS10297" s="42" t="s">
        <v>139</v>
      </c>
    </row>
    <row r="10298" spans="1:45" s="520" customFormat="1" ht="12" customHeight="1">
      <c r="A10298" s="747">
        <v>1</v>
      </c>
      <c r="B10298" s="523" t="s">
        <v>329</v>
      </c>
      <c r="C10298" s="748"/>
      <c r="D10298" s="749" t="s">
        <v>1883</v>
      </c>
      <c r="E10298" s="1145">
        <f>IF(AND($A10298=0,$A$1="DIF"),0, ROUND(ROUND(($R10302*$S$3+($T10302*$T$3))/$A10298,2)*$C$3,2))</f>
        <v>24.63</v>
      </c>
      <c r="F10298" s="1146">
        <f>ROUND($A10298*$E10298,2)</f>
        <v>24.63</v>
      </c>
      <c r="G10298" s="752" t="s">
        <v>142</v>
      </c>
      <c r="H10298" s="753"/>
      <c r="I10298" s="754"/>
      <c r="J10298" s="753"/>
      <c r="K10298" s="753" t="s">
        <v>5</v>
      </c>
      <c r="L10298" s="755" t="s">
        <v>143</v>
      </c>
      <c r="M10298" s="755"/>
      <c r="N10298" s="755"/>
      <c r="O10298" s="755"/>
      <c r="P10298" s="755"/>
      <c r="Q10298" s="51"/>
      <c r="T10298" s="1150" t="str">
        <f>IF(AND($R10302=0,$T10302=0),"0.00","mu: "&amp; ROUND(F10298/$C$3/($R10302+$T10302*$D$9),2))</f>
        <v>mu: 1.13</v>
      </c>
      <c r="W10298" s="524"/>
      <c r="AG10298" s="1147">
        <f>IF($E10298=0,0,ROUND($R10302*$S$3*$C$3/$A10298,2))</f>
        <v>24.63</v>
      </c>
      <c r="AH10298" s="1147">
        <f>$AG10298*$A10298</f>
        <v>24.63</v>
      </c>
      <c r="AI10298" s="1148">
        <f>$E10298-$AG10298</f>
        <v>0</v>
      </c>
      <c r="AJ10298" s="1148">
        <f>$A10298*$AI10298</f>
        <v>0</v>
      </c>
      <c r="AK10298" s="1149">
        <f>ROUND(($AG10298+$AI10298)*$A10298,2)</f>
        <v>24.63</v>
      </c>
      <c r="AM10298" s="527">
        <f>ROUND(R10302,2)</f>
        <v>21.83</v>
      </c>
      <c r="AN10298" s="528">
        <f>ROUND(T10302,2)</f>
        <v>0</v>
      </c>
      <c r="AO10298" s="529">
        <f>ROUND(AM10298+AN10298,2)*A10298</f>
        <v>21.83</v>
      </c>
      <c r="AR10298" s="747">
        <v>1</v>
      </c>
      <c r="AS10298" s="1146">
        <v>26.81</v>
      </c>
    </row>
    <row r="10299" spans="1:45" s="520" customFormat="1" ht="13.2">
      <c r="A10299" s="748"/>
      <c r="B10299"/>
      <c r="C10299" s="748"/>
      <c r="D10299" s="749" t="s">
        <v>2188</v>
      </c>
      <c r="F10299" s="753"/>
      <c r="G10299" s="3"/>
      <c r="H10299" s="753"/>
      <c r="I10299" s="754"/>
      <c r="J10299" s="753"/>
      <c r="K10299" s="753" t="s">
        <v>144</v>
      </c>
      <c r="L10299" s="753"/>
      <c r="M10299" s="753"/>
      <c r="N10299" s="753"/>
      <c r="O10299" s="753"/>
      <c r="P10299" s="753"/>
      <c r="Q10299" s="51"/>
      <c r="R10299" s="530"/>
      <c r="S10299" s="757"/>
      <c r="T10299" s="753"/>
      <c r="AR10299" s="748"/>
      <c r="AS10299" s="753"/>
    </row>
    <row r="10300" spans="1:45" s="901" customFormat="1" ht="13.2">
      <c r="A10300" s="903">
        <v>1</v>
      </c>
      <c r="B10300" s="904" t="s">
        <v>863</v>
      </c>
      <c r="C10300" s="904"/>
      <c r="D10300" s="904" t="s">
        <v>2594</v>
      </c>
      <c r="E10300" s="904"/>
      <c r="F10300" s="1153" t="s">
        <v>4142</v>
      </c>
      <c r="G10300" s="905" t="s">
        <v>2595</v>
      </c>
      <c r="H10300" s="902">
        <v>960</v>
      </c>
      <c r="I10300" s="904" t="s">
        <v>2596</v>
      </c>
      <c r="J10300" s="904"/>
      <c r="K10300" s="904"/>
      <c r="L10300" s="904"/>
      <c r="M10300" s="904"/>
      <c r="N10300" s="904"/>
      <c r="O10300" s="902">
        <v>4</v>
      </c>
      <c r="P10300" s="906">
        <v>38274</v>
      </c>
      <c r="Q10300" s="1415">
        <f>25*0.873</f>
        <v>21.824999999999999</v>
      </c>
      <c r="R10300" s="908">
        <f>$A10300*Q10300</f>
        <v>21.824999999999999</v>
      </c>
      <c r="S10300" s="907"/>
      <c r="T10300" s="909">
        <f>$A10300*S10300*$T$1</f>
        <v>0</v>
      </c>
      <c r="AR10300" s="903">
        <v>1</v>
      </c>
      <c r="AS10300" s="1153" t="s">
        <v>3507</v>
      </c>
    </row>
    <row r="10301" spans="1:45" s="520" customFormat="1" ht="12">
      <c r="A10301" s="758"/>
      <c r="B10301" s="758"/>
      <c r="C10301" s="758"/>
      <c r="D10301" s="758"/>
      <c r="E10301" s="758"/>
      <c r="F10301" s="753"/>
      <c r="G10301" s="758"/>
      <c r="H10301" s="758"/>
      <c r="I10301" s="519"/>
      <c r="J10301" s="758"/>
      <c r="K10301" s="758"/>
      <c r="L10301" s="758"/>
      <c r="M10301" s="758"/>
      <c r="N10301" s="758"/>
      <c r="O10301" s="758"/>
      <c r="P10301" s="758"/>
      <c r="Q10301" s="519"/>
      <c r="R10301" s="759">
        <f>$A10301*Q10301</f>
        <v>0</v>
      </c>
      <c r="S10301" s="519"/>
      <c r="T10301" s="760">
        <f>$A10301*S10301*$T$1</f>
        <v>0</v>
      </c>
      <c r="AR10301" s="758"/>
      <c r="AS10301" s="753"/>
    </row>
    <row r="10302" spans="1:45" s="520" customFormat="1" ht="12.6" thickBot="1">
      <c r="A10302" s="761" t="s">
        <v>145</v>
      </c>
      <c r="B10302" s="762">
        <f>(R10301+T10301)</f>
        <v>0</v>
      </c>
      <c r="C10302" s="763"/>
      <c r="D10302" s="763"/>
      <c r="E10302" s="763"/>
      <c r="F10302" s="764"/>
      <c r="G10302" s="763" t="s">
        <v>146</v>
      </c>
      <c r="H10302" s="763"/>
      <c r="I10302" s="765"/>
      <c r="J10302" s="763"/>
      <c r="K10302" s="763" t="s">
        <v>5</v>
      </c>
      <c r="L10302" s="766" t="s">
        <v>143</v>
      </c>
      <c r="M10302" s="766"/>
      <c r="N10302" s="766"/>
      <c r="O10302" s="766"/>
      <c r="P10302" s="766"/>
      <c r="Q10302" s="767"/>
      <c r="R10302" s="768">
        <f>SUM(R10299:R10301)</f>
        <v>21.824999999999999</v>
      </c>
      <c r="S10302" s="763"/>
      <c r="T10302" s="768">
        <f>SUM(T10299:T10301)</f>
        <v>0</v>
      </c>
      <c r="U10302" s="531"/>
      <c r="V10302" s="531"/>
      <c r="W10302" s="531"/>
      <c r="X10302" s="531"/>
      <c r="Y10302" s="531"/>
      <c r="Z10302" s="531"/>
      <c r="AA10302" s="531"/>
      <c r="AB10302" s="531"/>
      <c r="AC10302" s="531"/>
      <c r="AD10302" s="531"/>
      <c r="AE10302" s="531"/>
      <c r="AF10302" s="531"/>
      <c r="AG10302" s="531"/>
      <c r="AH10302" s="531"/>
      <c r="AI10302" s="531"/>
      <c r="AJ10302" s="531"/>
      <c r="AK10302" s="531"/>
      <c r="AL10302" s="531"/>
      <c r="AM10302" s="531"/>
      <c r="AN10302" s="531"/>
      <c r="AO10302" s="531"/>
      <c r="AR10302" s="761" t="s">
        <v>145</v>
      </c>
      <c r="AS10302" s="764"/>
    </row>
    <row r="10303" spans="1:45" s="520" customFormat="1" thickTop="1">
      <c r="A10303" s="51"/>
      <c r="B10303" s="51"/>
      <c r="C10303" s="3"/>
      <c r="D10303" s="3"/>
      <c r="E10303" s="51"/>
      <c r="F10303" s="51"/>
      <c r="G10303" s="51"/>
      <c r="H10303" s="51"/>
      <c r="I10303" s="51"/>
      <c r="J10303" s="51"/>
      <c r="K10303" s="51" t="s">
        <v>134</v>
      </c>
      <c r="L10303" s="51"/>
      <c r="M10303" s="51"/>
      <c r="N10303" s="51"/>
      <c r="O10303" s="52"/>
      <c r="P10303" s="51"/>
      <c r="Q10303" s="51"/>
      <c r="R10303" s="51"/>
      <c r="S10303" s="51"/>
      <c r="T10303" s="51"/>
      <c r="AR10303" s="51"/>
      <c r="AS10303" s="51"/>
    </row>
    <row r="10304" spans="1:45" s="520" customFormat="1" ht="12">
      <c r="A10304" s="51"/>
      <c r="B10304" s="51"/>
      <c r="C10304" s="51" t="s">
        <v>135</v>
      </c>
      <c r="D10304" s="37"/>
      <c r="E10304" s="51"/>
      <c r="F10304" s="51"/>
      <c r="G10304" s="51"/>
      <c r="H10304" s="51"/>
      <c r="I10304" s="51"/>
      <c r="J10304" s="51"/>
      <c r="K10304" s="51"/>
      <c r="L10304" s="51"/>
      <c r="M10304" s="51"/>
      <c r="N10304" s="51"/>
      <c r="O10304" s="52"/>
      <c r="P10304" s="51"/>
      <c r="Q10304" s="51"/>
      <c r="R10304" s="51"/>
      <c r="S10304" s="51"/>
      <c r="T10304" s="51"/>
      <c r="AR10304" s="51"/>
      <c r="AS10304" s="51"/>
    </row>
    <row r="10305" spans="1:45" s="520" customFormat="1" ht="12">
      <c r="A10305" s="51"/>
      <c r="B10305" s="51"/>
      <c r="C10305" s="51"/>
      <c r="D10305" s="37" t="s">
        <v>2186</v>
      </c>
      <c r="E10305" s="51"/>
      <c r="F10305" s="51"/>
      <c r="G10305" s="51"/>
      <c r="H10305" s="51"/>
      <c r="I10305" s="51"/>
      <c r="J10305" s="51"/>
      <c r="K10305" s="51"/>
      <c r="L10305" s="51"/>
      <c r="M10305" s="51"/>
      <c r="N10305" s="51"/>
      <c r="O10305" s="52"/>
      <c r="P10305" s="51"/>
      <c r="Q10305" s="51"/>
      <c r="R10305" s="51"/>
      <c r="S10305" s="38"/>
      <c r="T10305" s="38"/>
      <c r="AR10305" s="51"/>
      <c r="AS10305" s="51"/>
    </row>
    <row r="10306" spans="1:45" s="3" customFormat="1" thickBot="1">
      <c r="A10306" s="531"/>
      <c r="O10306" s="107"/>
      <c r="AR10306" s="531"/>
    </row>
    <row r="10307" spans="1:45" s="520" customFormat="1" ht="12" thickTop="1">
      <c r="A10307" s="51"/>
      <c r="B10307" s="41"/>
      <c r="C10307" s="51"/>
      <c r="E10307" s="42" t="s">
        <v>138</v>
      </c>
      <c r="F10307" s="42" t="s">
        <v>139</v>
      </c>
      <c r="G10307" s="51"/>
      <c r="H10307" s="51"/>
      <c r="I10307" s="51"/>
      <c r="J10307" s="51"/>
      <c r="K10307" s="51" t="s">
        <v>140</v>
      </c>
      <c r="L10307" s="51"/>
      <c r="M10307" s="51"/>
      <c r="N10307" s="51"/>
      <c r="O10307" s="52"/>
      <c r="P10307" s="51"/>
      <c r="Q10307" s="51"/>
      <c r="R10307" s="51"/>
      <c r="S10307" s="51"/>
      <c r="T10307" s="41"/>
      <c r="AG10307" s="521" t="s">
        <v>268</v>
      </c>
      <c r="AH10307" s="521" t="s">
        <v>269</v>
      </c>
      <c r="AI10307" s="521" t="s">
        <v>270</v>
      </c>
      <c r="AJ10307" s="521" t="s">
        <v>271</v>
      </c>
      <c r="AK10307" s="521" t="s">
        <v>272</v>
      </c>
      <c r="AM10307" s="745" t="s">
        <v>281</v>
      </c>
      <c r="AN10307" s="746" t="s">
        <v>282</v>
      </c>
      <c r="AO10307" s="522" t="s">
        <v>278</v>
      </c>
      <c r="AR10307" s="51"/>
      <c r="AS10307" s="42" t="s">
        <v>139</v>
      </c>
    </row>
    <row r="10308" spans="1:45" s="520" customFormat="1" ht="12" customHeight="1">
      <c r="A10308" s="747">
        <v>1</v>
      </c>
      <c r="B10308" s="523" t="s">
        <v>329</v>
      </c>
      <c r="C10308" s="748"/>
      <c r="D10308" s="749" t="s">
        <v>1884</v>
      </c>
      <c r="E10308" s="1145">
        <f>IF(AND($A10308=0,$A$1="DIF"),0, ROUND(ROUND(($R10312*$S$3+($T10312*$T$3))/$A10308,2)*$C$3,2))</f>
        <v>211.86</v>
      </c>
      <c r="F10308" s="1146">
        <f>ROUND($A10308*$E10308,2)</f>
        <v>211.86</v>
      </c>
      <c r="G10308" s="752" t="s">
        <v>142</v>
      </c>
      <c r="H10308" s="753"/>
      <c r="I10308" s="754"/>
      <c r="J10308" s="753"/>
      <c r="K10308" s="753" t="s">
        <v>5</v>
      </c>
      <c r="L10308" s="755" t="s">
        <v>143</v>
      </c>
      <c r="M10308" s="755"/>
      <c r="N10308" s="755"/>
      <c r="O10308" s="755"/>
      <c r="P10308" s="755"/>
      <c r="Q10308" s="51"/>
      <c r="T10308" s="1150" t="str">
        <f>IF(AND($R10312=0,$T10312=0),"0.00","mu: "&amp; ROUND(F10308/$C$3/($R10312+$T10312*$D$9),2))</f>
        <v>mu: 1.13</v>
      </c>
      <c r="W10308" s="524"/>
      <c r="AG10308" s="1147">
        <f>IF($E10308=0,0,ROUND($R10312*$S$3*$C$3/$A10308,2))</f>
        <v>211.86</v>
      </c>
      <c r="AH10308" s="1147">
        <f>$AG10308*$A10308</f>
        <v>211.86</v>
      </c>
      <c r="AI10308" s="1148">
        <f>$E10308-$AG10308</f>
        <v>0</v>
      </c>
      <c r="AJ10308" s="1148">
        <f>$A10308*$AI10308</f>
        <v>0</v>
      </c>
      <c r="AK10308" s="1149">
        <f>ROUND(($AG10308+$AI10308)*$A10308,2)</f>
        <v>211.86</v>
      </c>
      <c r="AM10308" s="527">
        <f>ROUND(R10312,2)</f>
        <v>187.7</v>
      </c>
      <c r="AN10308" s="528">
        <f>ROUND(T10312,2)</f>
        <v>0</v>
      </c>
      <c r="AO10308" s="529">
        <f>ROUND(AM10308+AN10308,2)*A10308</f>
        <v>187.7</v>
      </c>
      <c r="AR10308" s="747">
        <v>1</v>
      </c>
      <c r="AS10308" s="1146">
        <v>230.54</v>
      </c>
    </row>
    <row r="10309" spans="1:45" s="520" customFormat="1" ht="13.2">
      <c r="A10309" s="748"/>
      <c r="B10309"/>
      <c r="C10309" s="748"/>
      <c r="D10309" s="749" t="s">
        <v>2188</v>
      </c>
      <c r="F10309" s="753"/>
      <c r="G10309" s="3"/>
      <c r="H10309" s="753"/>
      <c r="I10309" s="754"/>
      <c r="J10309" s="753"/>
      <c r="K10309" s="753" t="s">
        <v>144</v>
      </c>
      <c r="L10309" s="753"/>
      <c r="M10309" s="753"/>
      <c r="N10309" s="753"/>
      <c r="O10309" s="753"/>
      <c r="P10309" s="753"/>
      <c r="Q10309" s="51"/>
      <c r="R10309" s="530"/>
      <c r="S10309" s="757"/>
      <c r="T10309" s="753"/>
      <c r="AR10309" s="748"/>
      <c r="AS10309" s="753"/>
    </row>
    <row r="10310" spans="1:45" s="901" customFormat="1" ht="13.2">
      <c r="A10310" s="903">
        <v>1</v>
      </c>
      <c r="B10310" s="904" t="s">
        <v>863</v>
      </c>
      <c r="C10310" s="904"/>
      <c r="D10310" s="904" t="s">
        <v>2594</v>
      </c>
      <c r="E10310" s="904"/>
      <c r="F10310" s="1153" t="s">
        <v>4142</v>
      </c>
      <c r="G10310" s="905" t="s">
        <v>2595</v>
      </c>
      <c r="H10310" s="902">
        <v>960</v>
      </c>
      <c r="I10310" s="904" t="s">
        <v>2596</v>
      </c>
      <c r="J10310" s="904"/>
      <c r="K10310" s="904"/>
      <c r="L10310" s="904"/>
      <c r="M10310" s="904"/>
      <c r="N10310" s="904"/>
      <c r="O10310" s="902">
        <v>4</v>
      </c>
      <c r="P10310" s="906">
        <v>38274</v>
      </c>
      <c r="Q10310" s="1415">
        <f>215*0.873</f>
        <v>187.69499999999999</v>
      </c>
      <c r="R10310" s="908">
        <f>$A10310*Q10310</f>
        <v>187.69499999999999</v>
      </c>
      <c r="S10310" s="907"/>
      <c r="T10310" s="909">
        <f>$A10310*S10310*$T$1</f>
        <v>0</v>
      </c>
      <c r="AR10310" s="903">
        <v>1</v>
      </c>
      <c r="AS10310" s="1153" t="s">
        <v>3507</v>
      </c>
    </row>
    <row r="10311" spans="1:45" s="520" customFormat="1" ht="12">
      <c r="A10311" s="758"/>
      <c r="B10311" s="758"/>
      <c r="C10311" s="758"/>
      <c r="D10311" s="758"/>
      <c r="E10311" s="758"/>
      <c r="F10311" s="753"/>
      <c r="G10311" s="758"/>
      <c r="H10311" s="758"/>
      <c r="I10311" s="519"/>
      <c r="J10311" s="758"/>
      <c r="K10311" s="758"/>
      <c r="L10311" s="758"/>
      <c r="M10311" s="758"/>
      <c r="N10311" s="758"/>
      <c r="O10311" s="758"/>
      <c r="P10311" s="758"/>
      <c r="Q10311" s="519"/>
      <c r="R10311" s="759">
        <f>$A10311*Q10311</f>
        <v>0</v>
      </c>
      <c r="S10311" s="519"/>
      <c r="T10311" s="760">
        <f>$A10311*S10311*$T$1</f>
        <v>0</v>
      </c>
      <c r="AR10311" s="758"/>
      <c r="AS10311" s="753"/>
    </row>
    <row r="10312" spans="1:45" s="520" customFormat="1" ht="12.6" thickBot="1">
      <c r="A10312" s="761" t="s">
        <v>145</v>
      </c>
      <c r="B10312" s="762">
        <f>(R10311+T10311)</f>
        <v>0</v>
      </c>
      <c r="C10312" s="763"/>
      <c r="D10312" s="763"/>
      <c r="E10312" s="763"/>
      <c r="F10312" s="764"/>
      <c r="G10312" s="763" t="s">
        <v>146</v>
      </c>
      <c r="H10312" s="763"/>
      <c r="I10312" s="765"/>
      <c r="J10312" s="763"/>
      <c r="K10312" s="763" t="s">
        <v>5</v>
      </c>
      <c r="L10312" s="766" t="s">
        <v>143</v>
      </c>
      <c r="M10312" s="766"/>
      <c r="N10312" s="766"/>
      <c r="O10312" s="766"/>
      <c r="P10312" s="766"/>
      <c r="Q10312" s="767"/>
      <c r="R10312" s="768">
        <f>SUM(R10309:R10311)</f>
        <v>187.69499999999999</v>
      </c>
      <c r="S10312" s="763"/>
      <c r="T10312" s="768">
        <f>SUM(T10309:T10311)</f>
        <v>0</v>
      </c>
      <c r="U10312" s="531"/>
      <c r="V10312" s="531"/>
      <c r="W10312" s="531"/>
      <c r="X10312" s="531"/>
      <c r="Y10312" s="531"/>
      <c r="Z10312" s="531"/>
      <c r="AA10312" s="531"/>
      <c r="AB10312" s="531"/>
      <c r="AC10312" s="531"/>
      <c r="AD10312" s="531"/>
      <c r="AE10312" s="531"/>
      <c r="AF10312" s="531"/>
      <c r="AG10312" s="531"/>
      <c r="AH10312" s="531"/>
      <c r="AI10312" s="531"/>
      <c r="AJ10312" s="531"/>
      <c r="AK10312" s="531"/>
      <c r="AL10312" s="531"/>
      <c r="AM10312" s="531"/>
      <c r="AN10312" s="531"/>
      <c r="AO10312" s="531"/>
      <c r="AR10312" s="761" t="s">
        <v>145</v>
      </c>
      <c r="AS10312" s="764"/>
    </row>
    <row r="10313" spans="1:45" s="520" customFormat="1" thickTop="1">
      <c r="A10313" s="51"/>
      <c r="B10313" s="51"/>
      <c r="C10313" s="3"/>
      <c r="D10313" s="3"/>
      <c r="E10313" s="51"/>
      <c r="F10313" s="51"/>
      <c r="G10313" s="51"/>
      <c r="H10313" s="51"/>
      <c r="I10313" s="51"/>
      <c r="J10313" s="51"/>
      <c r="K10313" s="51" t="s">
        <v>134</v>
      </c>
      <c r="L10313" s="51"/>
      <c r="M10313" s="51"/>
      <c r="N10313" s="51"/>
      <c r="O10313" s="52"/>
      <c r="P10313" s="51"/>
      <c r="Q10313" s="51"/>
      <c r="R10313" s="51"/>
      <c r="S10313" s="51"/>
      <c r="T10313" s="51"/>
      <c r="AR10313" s="51"/>
      <c r="AS10313" s="51"/>
    </row>
    <row r="10314" spans="1:45" s="520" customFormat="1" ht="12">
      <c r="A10314" s="51"/>
      <c r="B10314" s="51"/>
      <c r="C10314" s="51" t="s">
        <v>135</v>
      </c>
      <c r="D10314" s="37"/>
      <c r="E10314" s="51"/>
      <c r="F10314" s="51"/>
      <c r="G10314" s="51"/>
      <c r="H10314" s="51"/>
      <c r="I10314" s="51"/>
      <c r="J10314" s="51"/>
      <c r="K10314" s="51"/>
      <c r="L10314" s="51"/>
      <c r="M10314" s="51"/>
      <c r="N10314" s="51"/>
      <c r="O10314" s="52"/>
      <c r="P10314" s="51"/>
      <c r="Q10314" s="51"/>
      <c r="R10314" s="51"/>
      <c r="S10314" s="51"/>
      <c r="T10314" s="51"/>
      <c r="AR10314" s="51"/>
      <c r="AS10314" s="51"/>
    </row>
    <row r="10315" spans="1:45" s="520" customFormat="1" ht="12">
      <c r="A10315" s="51"/>
      <c r="B10315" s="51"/>
      <c r="C10315" s="51"/>
      <c r="D10315" s="37" t="s">
        <v>379</v>
      </c>
      <c r="E10315" s="51"/>
      <c r="F10315" s="51"/>
      <c r="G10315" s="51"/>
      <c r="H10315" s="51"/>
      <c r="I10315" s="51"/>
      <c r="J10315" s="51"/>
      <c r="K10315" s="51"/>
      <c r="L10315" s="51"/>
      <c r="M10315" s="51"/>
      <c r="N10315" s="51"/>
      <c r="O10315" s="52"/>
      <c r="P10315" s="51"/>
      <c r="Q10315" s="51"/>
      <c r="R10315" s="51"/>
      <c r="S10315" s="38"/>
      <c r="T10315" s="38"/>
      <c r="AR10315" s="51"/>
      <c r="AS10315" s="51"/>
    </row>
    <row r="10316" spans="1:45" s="3" customFormat="1" thickBot="1">
      <c r="A10316" s="531"/>
      <c r="O10316" s="107"/>
      <c r="AR10316" s="531"/>
    </row>
    <row r="10317" spans="1:45" s="520" customFormat="1" thickTop="1">
      <c r="A10317" s="51"/>
      <c r="B10317" s="51"/>
      <c r="C10317" s="3"/>
      <c r="D10317" s="3"/>
      <c r="E10317" s="51"/>
      <c r="F10317" s="51"/>
      <c r="G10317" s="51"/>
      <c r="H10317" s="51"/>
      <c r="I10317" s="51"/>
      <c r="J10317" s="51"/>
      <c r="K10317" s="51" t="s">
        <v>134</v>
      </c>
      <c r="L10317" s="51"/>
      <c r="M10317" s="51"/>
      <c r="N10317" s="51"/>
      <c r="O10317" s="52"/>
      <c r="P10317" s="51"/>
      <c r="Q10317" s="51"/>
      <c r="R10317" s="51"/>
      <c r="S10317" s="51"/>
      <c r="T10317" s="51"/>
      <c r="AR10317" s="51"/>
      <c r="AS10317" s="51"/>
    </row>
    <row r="10318" spans="1:45" s="520" customFormat="1" ht="12">
      <c r="A10318" s="51"/>
      <c r="B10318" s="51"/>
      <c r="C10318" s="51" t="s">
        <v>135</v>
      </c>
      <c r="D10318" s="37"/>
      <c r="E10318" s="51"/>
      <c r="F10318" s="51"/>
      <c r="G10318" s="51"/>
      <c r="H10318" s="51"/>
      <c r="I10318" s="51"/>
      <c r="J10318" s="51"/>
      <c r="K10318" s="51"/>
      <c r="L10318" s="51"/>
      <c r="M10318" s="51"/>
      <c r="N10318" s="51"/>
      <c r="O10318" s="52"/>
      <c r="P10318" s="51"/>
      <c r="Q10318" s="51"/>
      <c r="R10318" s="51"/>
      <c r="S10318" s="51"/>
      <c r="T10318" s="51"/>
      <c r="AR10318" s="51"/>
      <c r="AS10318" s="51"/>
    </row>
    <row r="10319" spans="1:45" s="520" customFormat="1" ht="12">
      <c r="A10319" s="51"/>
      <c r="B10319" s="51"/>
      <c r="C10319" s="51"/>
      <c r="D10319" s="37" t="s">
        <v>2186</v>
      </c>
      <c r="E10319" s="51"/>
      <c r="F10319" s="51"/>
      <c r="G10319" s="51"/>
      <c r="H10319" s="51"/>
      <c r="I10319" s="51"/>
      <c r="J10319" s="51"/>
      <c r="K10319" s="51"/>
      <c r="L10319" s="51"/>
      <c r="M10319" s="51"/>
      <c r="N10319" s="51"/>
      <c r="O10319" s="52"/>
      <c r="P10319" s="51"/>
      <c r="Q10319" s="51"/>
      <c r="R10319" s="51"/>
      <c r="S10319" s="38"/>
      <c r="T10319" s="38"/>
      <c r="AR10319" s="51"/>
      <c r="AS10319" s="51"/>
    </row>
    <row r="10320" spans="1:45" s="3" customFormat="1" thickBot="1">
      <c r="A10320" s="531"/>
      <c r="O10320" s="107"/>
      <c r="AR10320" s="531"/>
    </row>
    <row r="10321" spans="1:45" s="520" customFormat="1" ht="12" thickTop="1">
      <c r="A10321" s="51"/>
      <c r="B10321" s="41"/>
      <c r="C10321" s="51"/>
      <c r="E10321" s="42" t="s">
        <v>138</v>
      </c>
      <c r="F10321" s="42" t="s">
        <v>139</v>
      </c>
      <c r="G10321" s="51"/>
      <c r="H10321" s="51"/>
      <c r="I10321" s="51"/>
      <c r="J10321" s="51"/>
      <c r="K10321" s="51" t="s">
        <v>140</v>
      </c>
      <c r="L10321" s="51"/>
      <c r="M10321" s="51"/>
      <c r="N10321" s="51"/>
      <c r="O10321" s="52"/>
      <c r="P10321" s="51"/>
      <c r="Q10321" s="51"/>
      <c r="R10321" s="51"/>
      <c r="S10321" s="51"/>
      <c r="T10321" s="41"/>
      <c r="AG10321" s="521" t="s">
        <v>268</v>
      </c>
      <c r="AH10321" s="521" t="s">
        <v>269</v>
      </c>
      <c r="AI10321" s="521" t="s">
        <v>270</v>
      </c>
      <c r="AJ10321" s="521" t="s">
        <v>271</v>
      </c>
      <c r="AK10321" s="521" t="s">
        <v>272</v>
      </c>
      <c r="AM10321" s="745" t="s">
        <v>281</v>
      </c>
      <c r="AN10321" s="746" t="s">
        <v>282</v>
      </c>
      <c r="AO10321" s="522" t="s">
        <v>278</v>
      </c>
      <c r="AR10321" s="51"/>
      <c r="AS10321" s="42" t="s">
        <v>139</v>
      </c>
    </row>
    <row r="10322" spans="1:45" s="520" customFormat="1" ht="12" customHeight="1">
      <c r="A10322" s="747">
        <v>1</v>
      </c>
      <c r="B10322" s="523" t="s">
        <v>329</v>
      </c>
      <c r="C10322" s="748"/>
      <c r="D10322" s="749" t="s">
        <v>1885</v>
      </c>
      <c r="E10322" s="1145">
        <f>IF(AND($A10322=0,$A$1="DIF"),0, ROUND(ROUND(($R10326*$S$3+($T10326*$T$3))/$A10322,2)*$C$3,2))</f>
        <v>739.04</v>
      </c>
      <c r="F10322" s="1146">
        <f>ROUND($A10322*$E10322,2)</f>
        <v>739.04</v>
      </c>
      <c r="G10322" s="752" t="s">
        <v>142</v>
      </c>
      <c r="H10322" s="753"/>
      <c r="I10322" s="754"/>
      <c r="J10322" s="753"/>
      <c r="K10322" s="753" t="s">
        <v>5</v>
      </c>
      <c r="L10322" s="755" t="s">
        <v>143</v>
      </c>
      <c r="M10322" s="755"/>
      <c r="N10322" s="755"/>
      <c r="O10322" s="755"/>
      <c r="P10322" s="755"/>
      <c r="Q10322" s="51"/>
      <c r="T10322" s="1150" t="str">
        <f>IF(AND($R10326=0,$T10326=0),"0.00","mu: "&amp; ROUND(F10322/$C$3/($R10326+$T10326*$D$9),2))</f>
        <v>mu: 1.13</v>
      </c>
      <c r="W10322" s="524"/>
      <c r="AG10322" s="1147">
        <f>IF($E10322=0,0,ROUND($R10326*$S$3*$C$3/$A10322,2))</f>
        <v>739.04</v>
      </c>
      <c r="AH10322" s="1147">
        <f>$AG10322*$A10322</f>
        <v>739.04</v>
      </c>
      <c r="AI10322" s="1148">
        <f>$E10322-$AG10322</f>
        <v>0</v>
      </c>
      <c r="AJ10322" s="1148">
        <f>$A10322*$AI10322</f>
        <v>0</v>
      </c>
      <c r="AK10322" s="1149">
        <f>ROUND(($AG10322+$AI10322)*$A10322,2)</f>
        <v>739.04</v>
      </c>
      <c r="AM10322" s="527">
        <f>ROUND(R10326,2)</f>
        <v>654.75</v>
      </c>
      <c r="AN10322" s="528">
        <f>ROUND(T10326,2)</f>
        <v>0</v>
      </c>
      <c r="AO10322" s="529">
        <f>ROUND(AM10322+AN10322,2)*A10322</f>
        <v>654.75</v>
      </c>
      <c r="AR10322" s="747">
        <v>1</v>
      </c>
      <c r="AS10322" s="1146">
        <v>804.22</v>
      </c>
    </row>
    <row r="10323" spans="1:45" s="520" customFormat="1" ht="39.9" customHeight="1">
      <c r="A10323" s="748"/>
      <c r="B10323"/>
      <c r="C10323" s="748"/>
      <c r="D10323" s="1451" t="s">
        <v>2190</v>
      </c>
      <c r="E10323" s="1452"/>
      <c r="F10323" s="1452"/>
      <c r="G10323" s="1452"/>
      <c r="H10323" s="1452"/>
      <c r="I10323" s="1452"/>
      <c r="J10323" s="1452"/>
      <c r="K10323" s="1452"/>
      <c r="L10323" s="1452"/>
      <c r="M10323" s="1452"/>
      <c r="N10323" s="1452"/>
      <c r="O10323" s="1452"/>
      <c r="P10323" s="1452"/>
      <c r="Q10323" s="1452"/>
      <c r="R10323" s="1452"/>
      <c r="S10323" s="1452"/>
      <c r="T10323" s="1452"/>
      <c r="AR10323" s="748"/>
    </row>
    <row r="10324" spans="1:45" s="901" customFormat="1" ht="13.2">
      <c r="A10324" s="903">
        <v>1</v>
      </c>
      <c r="B10324" s="904" t="s">
        <v>863</v>
      </c>
      <c r="C10324" s="904"/>
      <c r="D10324" s="904" t="s">
        <v>2594</v>
      </c>
      <c r="E10324" s="904"/>
      <c r="F10324" s="1153" t="s">
        <v>4142</v>
      </c>
      <c r="G10324" s="905" t="s">
        <v>2595</v>
      </c>
      <c r="H10324" s="902">
        <v>960</v>
      </c>
      <c r="I10324" s="904" t="s">
        <v>2596</v>
      </c>
      <c r="J10324" s="904"/>
      <c r="K10324" s="904"/>
      <c r="L10324" s="904"/>
      <c r="M10324" s="904"/>
      <c r="N10324" s="904"/>
      <c r="O10324" s="902">
        <v>4</v>
      </c>
      <c r="P10324" s="906">
        <v>38274</v>
      </c>
      <c r="Q10324" s="1415">
        <f>750*0.873</f>
        <v>654.75</v>
      </c>
      <c r="R10324" s="908">
        <f>$A10324*Q10324</f>
        <v>654.75</v>
      </c>
      <c r="S10324" s="907"/>
      <c r="T10324" s="909">
        <f>$A10324*S10324*$T$1</f>
        <v>0</v>
      </c>
      <c r="AR10324" s="903">
        <v>1</v>
      </c>
      <c r="AS10324" s="1153" t="s">
        <v>3507</v>
      </c>
    </row>
    <row r="10325" spans="1:45" s="520" customFormat="1" ht="12">
      <c r="A10325" s="758"/>
      <c r="B10325" s="758"/>
      <c r="C10325" s="758"/>
      <c r="D10325" s="758"/>
      <c r="E10325" s="758"/>
      <c r="F10325" s="753"/>
      <c r="G10325" s="758"/>
      <c r="H10325" s="758"/>
      <c r="I10325" s="519"/>
      <c r="J10325" s="758"/>
      <c r="K10325" s="758"/>
      <c r="L10325" s="758"/>
      <c r="M10325" s="758"/>
      <c r="N10325" s="758"/>
      <c r="O10325" s="758"/>
      <c r="P10325" s="758"/>
      <c r="Q10325" s="519"/>
      <c r="R10325" s="759">
        <f>$A10325*Q10325</f>
        <v>0</v>
      </c>
      <c r="S10325" s="519"/>
      <c r="T10325" s="760">
        <f>$A10325*S10325*$T$1</f>
        <v>0</v>
      </c>
      <c r="AR10325" s="758"/>
      <c r="AS10325" s="753"/>
    </row>
    <row r="10326" spans="1:45" s="520" customFormat="1" ht="12.6" thickBot="1">
      <c r="A10326" s="761" t="s">
        <v>145</v>
      </c>
      <c r="B10326" s="762">
        <f>(R10325+T10325)</f>
        <v>0</v>
      </c>
      <c r="C10326" s="763"/>
      <c r="D10326" s="763"/>
      <c r="E10326" s="763"/>
      <c r="F10326" s="764"/>
      <c r="G10326" s="763" t="s">
        <v>146</v>
      </c>
      <c r="H10326" s="763"/>
      <c r="I10326" s="765"/>
      <c r="J10326" s="763"/>
      <c r="K10326" s="763" t="s">
        <v>5</v>
      </c>
      <c r="L10326" s="766" t="s">
        <v>143</v>
      </c>
      <c r="M10326" s="766"/>
      <c r="N10326" s="766"/>
      <c r="O10326" s="766"/>
      <c r="P10326" s="766"/>
      <c r="Q10326" s="767"/>
      <c r="R10326" s="768">
        <f>SUM(R10323:R10325)</f>
        <v>654.75</v>
      </c>
      <c r="S10326" s="763"/>
      <c r="T10326" s="768">
        <f>SUM(T10323:T10325)</f>
        <v>0</v>
      </c>
      <c r="U10326" s="531"/>
      <c r="V10326" s="531"/>
      <c r="W10326" s="531"/>
      <c r="X10326" s="531"/>
      <c r="Y10326" s="531"/>
      <c r="Z10326" s="531"/>
      <c r="AA10326" s="531"/>
      <c r="AB10326" s="531"/>
      <c r="AC10326" s="531"/>
      <c r="AD10326" s="531"/>
      <c r="AE10326" s="531"/>
      <c r="AF10326" s="531"/>
      <c r="AG10326" s="531"/>
      <c r="AH10326" s="531"/>
      <c r="AI10326" s="531"/>
      <c r="AJ10326" s="531"/>
      <c r="AK10326" s="531"/>
      <c r="AL10326" s="531"/>
      <c r="AM10326" s="531"/>
      <c r="AN10326" s="531"/>
      <c r="AO10326" s="531"/>
      <c r="AR10326" s="761" t="s">
        <v>145</v>
      </c>
      <c r="AS10326" s="764"/>
    </row>
    <row r="10327" spans="1:45" s="520" customFormat="1" ht="12" thickTop="1">
      <c r="A10327" s="51"/>
      <c r="B10327" s="41"/>
      <c r="C10327" s="51"/>
      <c r="E10327" s="42" t="s">
        <v>138</v>
      </c>
      <c r="F10327" s="42" t="s">
        <v>139</v>
      </c>
      <c r="G10327" s="51"/>
      <c r="H10327" s="51"/>
      <c r="I10327" s="51"/>
      <c r="J10327" s="51"/>
      <c r="K10327" s="51" t="s">
        <v>140</v>
      </c>
      <c r="L10327" s="51"/>
      <c r="M10327" s="51"/>
      <c r="N10327" s="51"/>
      <c r="O10327" s="52"/>
      <c r="P10327" s="51"/>
      <c r="Q10327" s="51"/>
      <c r="R10327" s="51"/>
      <c r="S10327" s="51"/>
      <c r="T10327" s="41"/>
      <c r="AG10327" s="521" t="s">
        <v>268</v>
      </c>
      <c r="AH10327" s="521" t="s">
        <v>269</v>
      </c>
      <c r="AI10327" s="521" t="s">
        <v>270</v>
      </c>
      <c r="AJ10327" s="521" t="s">
        <v>271</v>
      </c>
      <c r="AK10327" s="521" t="s">
        <v>272</v>
      </c>
      <c r="AM10327" s="745" t="s">
        <v>281</v>
      </c>
      <c r="AN10327" s="746" t="s">
        <v>282</v>
      </c>
      <c r="AO10327" s="522" t="s">
        <v>278</v>
      </c>
      <c r="AR10327" s="51"/>
      <c r="AS10327" s="42" t="s">
        <v>139</v>
      </c>
    </row>
    <row r="10328" spans="1:45" s="520" customFormat="1" ht="12" customHeight="1">
      <c r="A10328" s="747">
        <v>1</v>
      </c>
      <c r="B10328" s="523" t="s">
        <v>329</v>
      </c>
      <c r="C10328" s="748"/>
      <c r="D10328" s="749" t="s">
        <v>1886</v>
      </c>
      <c r="E10328" s="1145">
        <f>IF(AND($A10328=0,$A$1="DIF"),0, ROUND(ROUND(($R10332*$S$3+($T10332*$T$3))/$A10328,2)*$C$3,2))</f>
        <v>739.04</v>
      </c>
      <c r="F10328" s="1146">
        <f>ROUND($A10328*$E10328,2)</f>
        <v>739.04</v>
      </c>
      <c r="G10328" s="752" t="s">
        <v>142</v>
      </c>
      <c r="H10328" s="753"/>
      <c r="I10328" s="754"/>
      <c r="J10328" s="753"/>
      <c r="K10328" s="753" t="s">
        <v>5</v>
      </c>
      <c r="L10328" s="755" t="s">
        <v>143</v>
      </c>
      <c r="M10328" s="755"/>
      <c r="N10328" s="755"/>
      <c r="O10328" s="755"/>
      <c r="P10328" s="755"/>
      <c r="Q10328" s="51"/>
      <c r="T10328" s="1150" t="str">
        <f>IF(AND($R10332=0,$T10332=0),"0.00","mu: "&amp; ROUND(F10328/$C$3/($R10332+$T10332*$D$9),2))</f>
        <v>mu: 1.13</v>
      </c>
      <c r="W10328" s="524"/>
      <c r="AG10328" s="1147">
        <f>IF($E10328=0,0,ROUND($R10332*$S$3*$C$3/$A10328,2))</f>
        <v>739.04</v>
      </c>
      <c r="AH10328" s="1147">
        <f>$AG10328*$A10328</f>
        <v>739.04</v>
      </c>
      <c r="AI10328" s="1148">
        <f>$E10328-$AG10328</f>
        <v>0</v>
      </c>
      <c r="AJ10328" s="1148">
        <f>$A10328*$AI10328</f>
        <v>0</v>
      </c>
      <c r="AK10328" s="1149">
        <f>ROUND(($AG10328+$AI10328)*$A10328,2)</f>
        <v>739.04</v>
      </c>
      <c r="AM10328" s="527">
        <f>ROUND(R10332,2)</f>
        <v>654.75</v>
      </c>
      <c r="AN10328" s="528">
        <f>ROUND(T10332,2)</f>
        <v>0</v>
      </c>
      <c r="AO10328" s="529">
        <f>ROUND(AM10328+AN10328,2)*A10328</f>
        <v>654.75</v>
      </c>
      <c r="AR10328" s="747">
        <v>1</v>
      </c>
      <c r="AS10328" s="1146">
        <v>804.22</v>
      </c>
    </row>
    <row r="10329" spans="1:45" s="520" customFormat="1" ht="39.9" customHeight="1">
      <c r="A10329" s="748"/>
      <c r="B10329"/>
      <c r="C10329" s="748"/>
      <c r="D10329" s="1451" t="s">
        <v>2191</v>
      </c>
      <c r="E10329" s="1452"/>
      <c r="F10329" s="1452"/>
      <c r="G10329" s="1452"/>
      <c r="H10329" s="1452"/>
      <c r="I10329" s="1452"/>
      <c r="J10329" s="1452"/>
      <c r="K10329" s="1452"/>
      <c r="L10329" s="1452"/>
      <c r="M10329" s="1452"/>
      <c r="N10329" s="1452"/>
      <c r="O10329" s="1452"/>
      <c r="P10329" s="1452"/>
      <c r="Q10329" s="1452"/>
      <c r="R10329" s="1452"/>
      <c r="S10329" s="1452"/>
      <c r="T10329" s="1452"/>
      <c r="AR10329" s="748"/>
    </row>
    <row r="10330" spans="1:45" s="901" customFormat="1" ht="13.2">
      <c r="A10330" s="903">
        <v>1</v>
      </c>
      <c r="B10330" s="904" t="s">
        <v>863</v>
      </c>
      <c r="C10330" s="904"/>
      <c r="D10330" s="904" t="s">
        <v>2594</v>
      </c>
      <c r="E10330" s="904"/>
      <c r="F10330" s="1153" t="s">
        <v>4142</v>
      </c>
      <c r="G10330" s="905" t="s">
        <v>2595</v>
      </c>
      <c r="H10330" s="902">
        <v>960</v>
      </c>
      <c r="I10330" s="904" t="s">
        <v>2596</v>
      </c>
      <c r="J10330" s="904"/>
      <c r="K10330" s="904"/>
      <c r="L10330" s="904"/>
      <c r="M10330" s="904"/>
      <c r="N10330" s="904"/>
      <c r="O10330" s="902">
        <v>4</v>
      </c>
      <c r="P10330" s="906">
        <v>38274</v>
      </c>
      <c r="Q10330" s="1415">
        <f>750*0.873</f>
        <v>654.75</v>
      </c>
      <c r="R10330" s="908">
        <f>$A10330*Q10330</f>
        <v>654.75</v>
      </c>
      <c r="S10330" s="907"/>
      <c r="T10330" s="909">
        <f>$A10330*S10330*$T$1</f>
        <v>0</v>
      </c>
      <c r="AR10330" s="903">
        <v>1</v>
      </c>
      <c r="AS10330" s="1153" t="s">
        <v>3507</v>
      </c>
    </row>
    <row r="10331" spans="1:45" s="520" customFormat="1" ht="12">
      <c r="A10331" s="758"/>
      <c r="B10331" s="758"/>
      <c r="C10331" s="758"/>
      <c r="D10331" s="758"/>
      <c r="E10331" s="758"/>
      <c r="F10331" s="753"/>
      <c r="G10331" s="758"/>
      <c r="H10331" s="758"/>
      <c r="I10331" s="519"/>
      <c r="J10331" s="758"/>
      <c r="K10331" s="758"/>
      <c r="L10331" s="758"/>
      <c r="M10331" s="758"/>
      <c r="N10331" s="758"/>
      <c r="O10331" s="758"/>
      <c r="P10331" s="758"/>
      <c r="Q10331" s="519"/>
      <c r="R10331" s="759">
        <f>$A10331*Q10331</f>
        <v>0</v>
      </c>
      <c r="S10331" s="519"/>
      <c r="T10331" s="760">
        <f>$A10331*S10331*$T$1</f>
        <v>0</v>
      </c>
      <c r="AR10331" s="758"/>
      <c r="AS10331" s="753"/>
    </row>
    <row r="10332" spans="1:45" s="520" customFormat="1" ht="12.6" thickBot="1">
      <c r="A10332" s="761" t="s">
        <v>145</v>
      </c>
      <c r="B10332" s="762">
        <f>(R10331+T10331)</f>
        <v>0</v>
      </c>
      <c r="C10332" s="763"/>
      <c r="D10332" s="763"/>
      <c r="E10332" s="763"/>
      <c r="F10332" s="764"/>
      <c r="G10332" s="763" t="s">
        <v>146</v>
      </c>
      <c r="H10332" s="763"/>
      <c r="I10332" s="765"/>
      <c r="J10332" s="763"/>
      <c r="K10332" s="763" t="s">
        <v>5</v>
      </c>
      <c r="L10332" s="766" t="s">
        <v>143</v>
      </c>
      <c r="M10332" s="766"/>
      <c r="N10332" s="766"/>
      <c r="O10332" s="766"/>
      <c r="P10332" s="766"/>
      <c r="Q10332" s="767"/>
      <c r="R10332" s="768">
        <f>SUM(R10329:R10331)</f>
        <v>654.75</v>
      </c>
      <c r="S10332" s="763"/>
      <c r="T10332" s="768">
        <f>SUM(T10329:T10331)</f>
        <v>0</v>
      </c>
      <c r="U10332" s="531"/>
      <c r="V10332" s="531"/>
      <c r="W10332" s="531"/>
      <c r="X10332" s="531"/>
      <c r="Y10332" s="531"/>
      <c r="Z10332" s="531"/>
      <c r="AA10332" s="531"/>
      <c r="AB10332" s="531"/>
      <c r="AC10332" s="531"/>
      <c r="AD10332" s="531"/>
      <c r="AE10332" s="531"/>
      <c r="AF10332" s="531"/>
      <c r="AG10332" s="531"/>
      <c r="AH10332" s="531"/>
      <c r="AI10332" s="531"/>
      <c r="AJ10332" s="531"/>
      <c r="AK10332" s="531"/>
      <c r="AL10332" s="531"/>
      <c r="AM10332" s="531"/>
      <c r="AN10332" s="531"/>
      <c r="AO10332" s="531"/>
      <c r="AR10332" s="761" t="s">
        <v>145</v>
      </c>
      <c r="AS10332" s="764"/>
    </row>
    <row r="10333" spans="1:45" s="520" customFormat="1" ht="12" thickTop="1">
      <c r="A10333" s="51"/>
      <c r="B10333" s="41"/>
      <c r="C10333" s="51"/>
      <c r="E10333" s="42" t="s">
        <v>138</v>
      </c>
      <c r="F10333" s="42" t="s">
        <v>139</v>
      </c>
      <c r="G10333" s="51"/>
      <c r="H10333" s="51"/>
      <c r="I10333" s="51"/>
      <c r="J10333" s="51"/>
      <c r="K10333" s="51" t="s">
        <v>140</v>
      </c>
      <c r="L10333" s="51"/>
      <c r="M10333" s="51"/>
      <c r="N10333" s="51"/>
      <c r="O10333" s="52"/>
      <c r="P10333" s="51"/>
      <c r="Q10333" s="51"/>
      <c r="R10333" s="51"/>
      <c r="S10333" s="51"/>
      <c r="T10333" s="41"/>
      <c r="AG10333" s="521" t="s">
        <v>268</v>
      </c>
      <c r="AH10333" s="521" t="s">
        <v>269</v>
      </c>
      <c r="AI10333" s="521" t="s">
        <v>270</v>
      </c>
      <c r="AJ10333" s="521" t="s">
        <v>271</v>
      </c>
      <c r="AK10333" s="521" t="s">
        <v>272</v>
      </c>
      <c r="AM10333" s="745" t="s">
        <v>281</v>
      </c>
      <c r="AN10333" s="746" t="s">
        <v>282</v>
      </c>
      <c r="AO10333" s="522" t="s">
        <v>278</v>
      </c>
      <c r="AR10333" s="51"/>
      <c r="AS10333" s="42" t="s">
        <v>139</v>
      </c>
    </row>
    <row r="10334" spans="1:45" s="520" customFormat="1" ht="12" customHeight="1">
      <c r="A10334" s="747">
        <v>500</v>
      </c>
      <c r="B10334" s="523" t="s">
        <v>329</v>
      </c>
      <c r="C10334" s="748"/>
      <c r="D10334" s="749" t="s">
        <v>1887</v>
      </c>
      <c r="E10334" s="1145">
        <f>IF(AND($A10334=0,$A$1="DIF"),0, ROUND(ROUND(($R10338*$S$3+($T10338*$T$3))/$A10334,2)*$C$3,2))</f>
        <v>0.99</v>
      </c>
      <c r="F10334" s="1146">
        <f>ROUND($A10334*$E10334,2)</f>
        <v>495</v>
      </c>
      <c r="G10334" s="752" t="s">
        <v>142</v>
      </c>
      <c r="H10334" s="753"/>
      <c r="I10334" s="754"/>
      <c r="J10334" s="753"/>
      <c r="K10334" s="753" t="s">
        <v>5</v>
      </c>
      <c r="L10334" s="755" t="s">
        <v>143</v>
      </c>
      <c r="M10334" s="755"/>
      <c r="N10334" s="755"/>
      <c r="O10334" s="755"/>
      <c r="P10334" s="755"/>
      <c r="Q10334" s="51"/>
      <c r="T10334" s="1150" t="str">
        <f>IF(AND($R10338=0,$T10338=0),"0.00","mu: "&amp; ROUND(F10334/$C$3/($R10338+$T10338*$D$9),2))</f>
        <v>mu: 1.13</v>
      </c>
      <c r="W10334" s="524"/>
      <c r="AG10334" s="1147">
        <f>IF($E10334=0,0,ROUND($R10338*$S$3*$C$3/$A10334,2))</f>
        <v>0.99</v>
      </c>
      <c r="AH10334" s="1147">
        <f>$AG10334*$A10334</f>
        <v>495</v>
      </c>
      <c r="AI10334" s="1148">
        <f>$E10334-$AG10334</f>
        <v>0</v>
      </c>
      <c r="AJ10334" s="1148">
        <f>$A10334*$AI10334</f>
        <v>0</v>
      </c>
      <c r="AK10334" s="1149">
        <f>ROUND(($AG10334+$AI10334)*$A10334,2)</f>
        <v>495</v>
      </c>
      <c r="AM10334" s="527">
        <f>ROUND(R10338,2)</f>
        <v>436.5</v>
      </c>
      <c r="AN10334" s="528">
        <f>ROUND(T10338,2)</f>
        <v>0</v>
      </c>
      <c r="AO10334" s="529">
        <f>ROUND(AM10334+AN10334,2)*A10334</f>
        <v>218250</v>
      </c>
      <c r="AR10334" s="747">
        <v>500</v>
      </c>
      <c r="AS10334" s="1146">
        <v>535</v>
      </c>
    </row>
    <row r="10335" spans="1:45" s="520" customFormat="1" ht="13.2">
      <c r="A10335" s="748"/>
      <c r="B10335"/>
      <c r="C10335" s="748"/>
      <c r="D10335" s="749" t="s">
        <v>2192</v>
      </c>
      <c r="F10335" s="753"/>
      <c r="G10335" s="3"/>
      <c r="H10335" s="753"/>
      <c r="I10335" s="754"/>
      <c r="J10335" s="753"/>
      <c r="K10335" s="753" t="s">
        <v>144</v>
      </c>
      <c r="L10335" s="753"/>
      <c r="M10335" s="753"/>
      <c r="N10335" s="753"/>
      <c r="O10335" s="753"/>
      <c r="P10335" s="753"/>
      <c r="Q10335" s="51"/>
      <c r="R10335" s="530"/>
      <c r="S10335" s="757"/>
      <c r="T10335" s="753"/>
      <c r="AR10335" s="748"/>
      <c r="AS10335" s="753"/>
    </row>
    <row r="10336" spans="1:45" s="901" customFormat="1" ht="13.2">
      <c r="A10336" s="903">
        <v>500</v>
      </c>
      <c r="B10336" s="904" t="s">
        <v>863</v>
      </c>
      <c r="C10336" s="904"/>
      <c r="D10336" s="904" t="s">
        <v>2594</v>
      </c>
      <c r="E10336" s="904"/>
      <c r="F10336" s="1153" t="s">
        <v>4142</v>
      </c>
      <c r="G10336" s="905" t="s">
        <v>2595</v>
      </c>
      <c r="H10336" s="902">
        <v>960</v>
      </c>
      <c r="I10336" s="904" t="s">
        <v>2596</v>
      </c>
      <c r="J10336" s="904"/>
      <c r="K10336" s="904"/>
      <c r="L10336" s="904"/>
      <c r="M10336" s="904"/>
      <c r="N10336" s="904"/>
      <c r="O10336" s="902">
        <v>4</v>
      </c>
      <c r="P10336" s="906">
        <v>38274</v>
      </c>
      <c r="Q10336" s="1415">
        <f>1*0.873</f>
        <v>0.873</v>
      </c>
      <c r="R10336" s="908">
        <f>$A10336*Q10336</f>
        <v>436.5</v>
      </c>
      <c r="S10336" s="907"/>
      <c r="T10336" s="909">
        <f>$A10336*S10336*$T$1</f>
        <v>0</v>
      </c>
      <c r="AR10336" s="903">
        <v>500</v>
      </c>
      <c r="AS10336" s="1153" t="s">
        <v>3507</v>
      </c>
    </row>
    <row r="10337" spans="1:45" s="520" customFormat="1" ht="12">
      <c r="A10337" s="758"/>
      <c r="B10337" s="758"/>
      <c r="C10337" s="758"/>
      <c r="D10337" s="758"/>
      <c r="E10337" s="758"/>
      <c r="F10337" s="753"/>
      <c r="G10337" s="758"/>
      <c r="H10337" s="758"/>
      <c r="I10337" s="519"/>
      <c r="J10337" s="758"/>
      <c r="K10337" s="758"/>
      <c r="L10337" s="758"/>
      <c r="M10337" s="758"/>
      <c r="N10337" s="758"/>
      <c r="O10337" s="758"/>
      <c r="P10337" s="758"/>
      <c r="Q10337" s="519"/>
      <c r="R10337" s="759">
        <f>$A10337*Q10337</f>
        <v>0</v>
      </c>
      <c r="S10337" s="519"/>
      <c r="T10337" s="760">
        <f>$A10337*S10337*$T$1</f>
        <v>0</v>
      </c>
      <c r="AR10337" s="758"/>
      <c r="AS10337" s="753"/>
    </row>
    <row r="10338" spans="1:45" s="520" customFormat="1" ht="12.6" thickBot="1">
      <c r="A10338" s="761" t="s">
        <v>145</v>
      </c>
      <c r="B10338" s="762">
        <f>(R10337+T10337)</f>
        <v>0</v>
      </c>
      <c r="C10338" s="763"/>
      <c r="D10338" s="763"/>
      <c r="E10338" s="763"/>
      <c r="F10338" s="764"/>
      <c r="G10338" s="763" t="s">
        <v>146</v>
      </c>
      <c r="H10338" s="763"/>
      <c r="I10338" s="765"/>
      <c r="J10338" s="763"/>
      <c r="K10338" s="763" t="s">
        <v>5</v>
      </c>
      <c r="L10338" s="766" t="s">
        <v>143</v>
      </c>
      <c r="M10338" s="766"/>
      <c r="N10338" s="766"/>
      <c r="O10338" s="766"/>
      <c r="P10338" s="766"/>
      <c r="Q10338" s="767"/>
      <c r="R10338" s="768">
        <f>SUM(R10335:R10337)</f>
        <v>436.5</v>
      </c>
      <c r="S10338" s="763"/>
      <c r="T10338" s="768">
        <f>SUM(T10335:T10337)</f>
        <v>0</v>
      </c>
      <c r="U10338" s="531"/>
      <c r="V10338" s="531"/>
      <c r="W10338" s="531"/>
      <c r="X10338" s="531"/>
      <c r="Y10338" s="531"/>
      <c r="Z10338" s="531"/>
      <c r="AA10338" s="531"/>
      <c r="AB10338" s="531"/>
      <c r="AC10338" s="531"/>
      <c r="AD10338" s="531"/>
      <c r="AE10338" s="531"/>
      <c r="AF10338" s="531"/>
      <c r="AG10338" s="531"/>
      <c r="AH10338" s="531"/>
      <c r="AI10338" s="531"/>
      <c r="AJ10338" s="531"/>
      <c r="AK10338" s="531"/>
      <c r="AL10338" s="531"/>
      <c r="AM10338" s="531"/>
      <c r="AN10338" s="531"/>
      <c r="AO10338" s="531"/>
      <c r="AR10338" s="761" t="s">
        <v>145</v>
      </c>
      <c r="AS10338" s="764"/>
    </row>
    <row r="10339" spans="1:45" s="520" customFormat="1" ht="12" thickTop="1">
      <c r="A10339" s="51"/>
      <c r="B10339" s="41"/>
      <c r="C10339" s="51"/>
      <c r="E10339" s="42" t="s">
        <v>138</v>
      </c>
      <c r="F10339" s="42" t="s">
        <v>139</v>
      </c>
      <c r="G10339" s="51"/>
      <c r="H10339" s="51"/>
      <c r="I10339" s="51"/>
      <c r="J10339" s="51"/>
      <c r="K10339" s="51" t="s">
        <v>140</v>
      </c>
      <c r="L10339" s="51"/>
      <c r="M10339" s="51"/>
      <c r="N10339" s="51"/>
      <c r="O10339" s="52"/>
      <c r="P10339" s="51"/>
      <c r="Q10339" s="51"/>
      <c r="R10339" s="51"/>
      <c r="S10339" s="51"/>
      <c r="T10339" s="41"/>
      <c r="AG10339" s="521" t="s">
        <v>268</v>
      </c>
      <c r="AH10339" s="521" t="s">
        <v>269</v>
      </c>
      <c r="AI10339" s="521" t="s">
        <v>270</v>
      </c>
      <c r="AJ10339" s="521" t="s">
        <v>271</v>
      </c>
      <c r="AK10339" s="521" t="s">
        <v>272</v>
      </c>
      <c r="AM10339" s="745" t="s">
        <v>281</v>
      </c>
      <c r="AN10339" s="746" t="s">
        <v>282</v>
      </c>
      <c r="AO10339" s="522" t="s">
        <v>278</v>
      </c>
      <c r="AR10339" s="51"/>
      <c r="AS10339" s="42" t="s">
        <v>139</v>
      </c>
    </row>
    <row r="10340" spans="1:45" s="520" customFormat="1" ht="12" customHeight="1">
      <c r="A10340" s="747">
        <v>2</v>
      </c>
      <c r="B10340" s="523" t="s">
        <v>329</v>
      </c>
      <c r="C10340" s="748"/>
      <c r="D10340" s="749" t="s">
        <v>1888</v>
      </c>
      <c r="E10340" s="750">
        <f>IF(AND($A10340=0,$A$1="DIF"),0, ROUND(ROUND(($R10344*$S$2+($T10344*$T$2))/A10340,2)*$C$2,2))</f>
        <v>180.04</v>
      </c>
      <c r="F10340" s="751">
        <f>ROUND($A10340*$E10340,2)</f>
        <v>360.08</v>
      </c>
      <c r="G10340" s="752" t="s">
        <v>142</v>
      </c>
      <c r="H10340" s="753"/>
      <c r="I10340" s="754"/>
      <c r="J10340" s="753"/>
      <c r="K10340" s="753" t="s">
        <v>3</v>
      </c>
      <c r="L10340" s="755" t="s">
        <v>143</v>
      </c>
      <c r="M10340" s="755"/>
      <c r="N10340" s="755"/>
      <c r="O10340" s="755"/>
      <c r="P10340" s="755"/>
      <c r="Q10340" s="51"/>
      <c r="T10340" s="756" t="str">
        <f>IF(AND($R10344=0,$T10344=0),"0.00","mu :" &amp; ROUND($F10340/$C$2/($R10344+$T10344*$D$9),2))</f>
        <v>mu :1.23</v>
      </c>
      <c r="W10340" s="524"/>
      <c r="AG10340" s="481">
        <f>IF($E10340=0,0,ROUND($R10344*$S$2*$C$2/$A10340,2))</f>
        <v>56.8</v>
      </c>
      <c r="AH10340" s="481">
        <f>$AG10340*$A10340</f>
        <v>113.6</v>
      </c>
      <c r="AI10340" s="525">
        <f>$E10340-$AG10340</f>
        <v>123.24</v>
      </c>
      <c r="AJ10340" s="525">
        <f>$A10340*$AI10340</f>
        <v>246.48</v>
      </c>
      <c r="AK10340" s="526">
        <f>ROUND(($AG10340+$AI10340)*$A10340,2)</f>
        <v>360.08</v>
      </c>
      <c r="AM10340" s="527">
        <f>ROUND(R10344,2)</f>
        <v>92.25</v>
      </c>
      <c r="AN10340" s="528">
        <f>ROUND(T10344,2)</f>
        <v>7.29</v>
      </c>
      <c r="AO10340" s="529">
        <f>ROUND(AM10340+AN10340,2)*A10340</f>
        <v>199.08</v>
      </c>
      <c r="AR10340" s="747">
        <v>2</v>
      </c>
      <c r="AS10340" s="751">
        <v>387.48</v>
      </c>
    </row>
    <row r="10341" spans="1:45" s="520" customFormat="1" ht="39.9" customHeight="1">
      <c r="A10341" s="748"/>
      <c r="B10341"/>
      <c r="C10341" s="748"/>
      <c r="D10341" s="1451" t="s">
        <v>2193</v>
      </c>
      <c r="E10341" s="1452"/>
      <c r="F10341" s="1452"/>
      <c r="G10341" s="1452"/>
      <c r="H10341" s="1452"/>
      <c r="I10341" s="1452"/>
      <c r="J10341" s="1452"/>
      <c r="K10341" s="1452"/>
      <c r="L10341" s="1452"/>
      <c r="M10341" s="1452"/>
      <c r="N10341" s="1452"/>
      <c r="O10341" s="1452"/>
      <c r="P10341" s="1452"/>
      <c r="Q10341" s="1452"/>
      <c r="R10341" s="1452"/>
      <c r="S10341" s="1452"/>
      <c r="T10341" s="1452"/>
      <c r="AR10341" s="748"/>
    </row>
    <row r="10342" spans="1:45" s="901" customFormat="1" ht="11.4">
      <c r="A10342" s="51">
        <v>45</v>
      </c>
      <c r="B10342" s="901" t="s">
        <v>320</v>
      </c>
      <c r="D10342" s="901" t="s">
        <v>3006</v>
      </c>
      <c r="F10342" s="901" t="s">
        <v>3237</v>
      </c>
      <c r="G10342" s="941" t="s">
        <v>3007</v>
      </c>
      <c r="H10342" s="942">
        <v>700</v>
      </c>
      <c r="I10342" s="901" t="s">
        <v>3008</v>
      </c>
      <c r="J10342" s="901" t="s">
        <v>2947</v>
      </c>
      <c r="O10342" s="943">
        <v>1</v>
      </c>
      <c r="P10342" s="944">
        <v>42213</v>
      </c>
      <c r="Q10342" s="945">
        <v>2.0499999999999998</v>
      </c>
      <c r="R10342" s="946">
        <f>$A10342*Q10342</f>
        <v>92.249999999999986</v>
      </c>
      <c r="S10342" s="945">
        <v>0.18</v>
      </c>
      <c r="T10342" s="947">
        <f>$A10342*S10342*$T$1</f>
        <v>7.29</v>
      </c>
      <c r="AR10342" s="51">
        <v>45</v>
      </c>
      <c r="AS10342" s="901" t="s">
        <v>3237</v>
      </c>
    </row>
    <row r="10343" spans="1:45" s="520" customFormat="1" ht="12">
      <c r="A10343" s="758"/>
      <c r="B10343" s="758"/>
      <c r="C10343" s="758"/>
      <c r="D10343" s="758"/>
      <c r="E10343" s="758"/>
      <c r="F10343" s="753"/>
      <c r="G10343" s="758"/>
      <c r="H10343" s="758"/>
      <c r="I10343" s="519"/>
      <c r="J10343" s="758"/>
      <c r="K10343" s="758"/>
      <c r="L10343" s="758"/>
      <c r="M10343" s="758"/>
      <c r="N10343" s="758"/>
      <c r="O10343" s="758"/>
      <c r="P10343" s="758"/>
      <c r="Q10343" s="519"/>
      <c r="R10343" s="759">
        <f>$A10343*Q10343</f>
        <v>0</v>
      </c>
      <c r="S10343" s="519"/>
      <c r="T10343" s="760">
        <f>$A10343*S10343*$T$1</f>
        <v>0</v>
      </c>
      <c r="AR10343" s="758"/>
      <c r="AS10343" s="753"/>
    </row>
    <row r="10344" spans="1:45" s="520" customFormat="1" ht="12.6" thickBot="1">
      <c r="A10344" s="761" t="s">
        <v>145</v>
      </c>
      <c r="B10344" s="762">
        <f>(R10343+T10343)</f>
        <v>0</v>
      </c>
      <c r="C10344" s="763"/>
      <c r="D10344" s="763"/>
      <c r="E10344" s="763"/>
      <c r="F10344" s="764"/>
      <c r="G10344" s="763" t="s">
        <v>146</v>
      </c>
      <c r="H10344" s="763"/>
      <c r="I10344" s="765"/>
      <c r="J10344" s="763"/>
      <c r="K10344" s="763" t="s">
        <v>3</v>
      </c>
      <c r="L10344" s="766" t="s">
        <v>143</v>
      </c>
      <c r="M10344" s="766"/>
      <c r="N10344" s="766"/>
      <c r="O10344" s="766"/>
      <c r="P10344" s="766"/>
      <c r="Q10344" s="767"/>
      <c r="R10344" s="768">
        <f>SUM(R10341:R10343)</f>
        <v>92.249999999999986</v>
      </c>
      <c r="S10344" s="763"/>
      <c r="T10344" s="768">
        <f>SUM(T10341:T10343)</f>
        <v>7.29</v>
      </c>
      <c r="U10344" s="531"/>
      <c r="V10344" s="531"/>
      <c r="W10344" s="531"/>
      <c r="X10344" s="531"/>
      <c r="Y10344" s="531"/>
      <c r="Z10344" s="531"/>
      <c r="AA10344" s="531"/>
      <c r="AB10344" s="531"/>
      <c r="AC10344" s="531"/>
      <c r="AD10344" s="531"/>
      <c r="AE10344" s="531"/>
      <c r="AF10344" s="531"/>
      <c r="AG10344" s="531"/>
      <c r="AH10344" s="531"/>
      <c r="AI10344" s="531"/>
      <c r="AJ10344" s="531"/>
      <c r="AK10344" s="531"/>
      <c r="AL10344" s="531"/>
      <c r="AM10344" s="531"/>
      <c r="AN10344" s="531"/>
      <c r="AO10344" s="531"/>
      <c r="AR10344" s="761" t="s">
        <v>145</v>
      </c>
      <c r="AS10344" s="764"/>
    </row>
    <row r="10345" spans="1:45" s="520" customFormat="1" ht="12" thickTop="1">
      <c r="A10345" s="51"/>
      <c r="B10345" s="41"/>
      <c r="C10345" s="51"/>
      <c r="E10345" s="42" t="s">
        <v>138</v>
      </c>
      <c r="F10345" s="42" t="s">
        <v>139</v>
      </c>
      <c r="G10345" s="51"/>
      <c r="H10345" s="51"/>
      <c r="I10345" s="51"/>
      <c r="J10345" s="51"/>
      <c r="K10345" s="51" t="s">
        <v>140</v>
      </c>
      <c r="L10345" s="51"/>
      <c r="M10345" s="51"/>
      <c r="N10345" s="51"/>
      <c r="O10345" s="52"/>
      <c r="P10345" s="51"/>
      <c r="Q10345" s="51"/>
      <c r="R10345" s="51"/>
      <c r="S10345" s="51"/>
      <c r="T10345" s="41"/>
      <c r="AG10345" s="521" t="s">
        <v>268</v>
      </c>
      <c r="AH10345" s="521" t="s">
        <v>269</v>
      </c>
      <c r="AI10345" s="521" t="s">
        <v>270</v>
      </c>
      <c r="AJ10345" s="521" t="s">
        <v>271</v>
      </c>
      <c r="AK10345" s="521" t="s">
        <v>272</v>
      </c>
      <c r="AM10345" s="745" t="s">
        <v>281</v>
      </c>
      <c r="AN10345" s="746" t="s">
        <v>282</v>
      </c>
      <c r="AO10345" s="522" t="s">
        <v>278</v>
      </c>
      <c r="AR10345" s="51"/>
      <c r="AS10345" s="42" t="s">
        <v>139</v>
      </c>
    </row>
    <row r="10346" spans="1:45" s="520" customFormat="1" ht="12" customHeight="1">
      <c r="A10346" s="747">
        <v>2</v>
      </c>
      <c r="B10346" s="523" t="s">
        <v>329</v>
      </c>
      <c r="C10346" s="748"/>
      <c r="D10346" s="749" t="s">
        <v>1889</v>
      </c>
      <c r="E10346" s="750">
        <f>IF(AND($A10346=0,$A$1="DIF"),0, ROUND(ROUND(($R10350*$S$2+($T10350*$T$2))/A10346,2)*$C$2,2))</f>
        <v>140.03</v>
      </c>
      <c r="F10346" s="751">
        <f>ROUND($A10346*$E10346,2)</f>
        <v>280.06</v>
      </c>
      <c r="G10346" s="752" t="s">
        <v>142</v>
      </c>
      <c r="H10346" s="753"/>
      <c r="I10346" s="754"/>
      <c r="J10346" s="753"/>
      <c r="K10346" s="753" t="s">
        <v>3</v>
      </c>
      <c r="L10346" s="755" t="s">
        <v>143</v>
      </c>
      <c r="M10346" s="755"/>
      <c r="N10346" s="755"/>
      <c r="O10346" s="755"/>
      <c r="P10346" s="755"/>
      <c r="Q10346" s="51"/>
      <c r="T10346" s="756" t="str">
        <f>IF(AND($R10350=0,$T10350=0),"0.00","mu :" &amp; ROUND($F10346/$C$2/($R10350+$T10350*$D$9),2))</f>
        <v>mu :1.23</v>
      </c>
      <c r="W10346" s="524"/>
      <c r="AG10346" s="481">
        <f>IF($E10346=0,0,ROUND($R10350*$S$2*$C$2/$A10346,2))</f>
        <v>44.17</v>
      </c>
      <c r="AH10346" s="481">
        <f>$AG10346*$A10346</f>
        <v>88.34</v>
      </c>
      <c r="AI10346" s="525">
        <f>$E10346-$AG10346</f>
        <v>95.86</v>
      </c>
      <c r="AJ10346" s="525">
        <f>$A10346*$AI10346</f>
        <v>191.72</v>
      </c>
      <c r="AK10346" s="526">
        <f>ROUND(($AG10346+$AI10346)*$A10346,2)</f>
        <v>280.06</v>
      </c>
      <c r="AM10346" s="527">
        <f>ROUND(R10350,2)</f>
        <v>71.75</v>
      </c>
      <c r="AN10346" s="528">
        <f>ROUND(T10350,2)</f>
        <v>5.67</v>
      </c>
      <c r="AO10346" s="529">
        <f>ROUND(AM10346+AN10346,2)*A10346</f>
        <v>154.84</v>
      </c>
      <c r="AR10346" s="747">
        <v>2</v>
      </c>
      <c r="AS10346" s="751">
        <v>301.36</v>
      </c>
    </row>
    <row r="10347" spans="1:45" s="520" customFormat="1" ht="39.9" customHeight="1">
      <c r="A10347" s="748"/>
      <c r="B10347"/>
      <c r="C10347" s="748"/>
      <c r="D10347" s="1451" t="s">
        <v>2194</v>
      </c>
      <c r="E10347" s="1452"/>
      <c r="F10347" s="1452"/>
      <c r="G10347" s="1452"/>
      <c r="H10347" s="1452"/>
      <c r="I10347" s="1452"/>
      <c r="J10347" s="1452"/>
      <c r="K10347" s="1452"/>
      <c r="L10347" s="1452"/>
      <c r="M10347" s="1452"/>
      <c r="N10347" s="1452"/>
      <c r="O10347" s="1452"/>
      <c r="P10347" s="1452"/>
      <c r="Q10347" s="1452"/>
      <c r="R10347" s="1452"/>
      <c r="S10347" s="1452"/>
      <c r="T10347" s="1452"/>
      <c r="AR10347" s="748"/>
    </row>
    <row r="10348" spans="1:45" s="901" customFormat="1" ht="11.4">
      <c r="A10348" s="51">
        <v>35</v>
      </c>
      <c r="B10348" s="901" t="s">
        <v>320</v>
      </c>
      <c r="D10348" s="901" t="s">
        <v>3006</v>
      </c>
      <c r="F10348" s="901" t="s">
        <v>3237</v>
      </c>
      <c r="G10348" s="941" t="s">
        <v>3007</v>
      </c>
      <c r="H10348" s="942">
        <v>700</v>
      </c>
      <c r="I10348" s="901" t="s">
        <v>3008</v>
      </c>
      <c r="J10348" s="901" t="s">
        <v>2947</v>
      </c>
      <c r="O10348" s="943">
        <v>1</v>
      </c>
      <c r="P10348" s="944">
        <v>42213</v>
      </c>
      <c r="Q10348" s="945">
        <v>2.0499999999999998</v>
      </c>
      <c r="R10348" s="946">
        <f>$A10348*Q10348</f>
        <v>71.75</v>
      </c>
      <c r="S10348" s="945">
        <v>0.18</v>
      </c>
      <c r="T10348" s="947">
        <f>$A10348*S10348*$T$1</f>
        <v>5.67</v>
      </c>
      <c r="AR10348" s="51">
        <v>35</v>
      </c>
      <c r="AS10348" s="901" t="s">
        <v>3237</v>
      </c>
    </row>
    <row r="10349" spans="1:45" s="520" customFormat="1" ht="12">
      <c r="A10349" s="758"/>
      <c r="B10349" s="758"/>
      <c r="C10349" s="758"/>
      <c r="D10349" s="758"/>
      <c r="E10349" s="758"/>
      <c r="F10349" s="753"/>
      <c r="G10349" s="758"/>
      <c r="H10349" s="758"/>
      <c r="I10349" s="519"/>
      <c r="J10349" s="758"/>
      <c r="K10349" s="758"/>
      <c r="L10349" s="758"/>
      <c r="M10349" s="758"/>
      <c r="N10349" s="758"/>
      <c r="O10349" s="758"/>
      <c r="P10349" s="758"/>
      <c r="Q10349" s="519"/>
      <c r="R10349" s="759">
        <f>$A10349*Q10349</f>
        <v>0</v>
      </c>
      <c r="S10349" s="519"/>
      <c r="T10349" s="760">
        <f>$A10349*S10349*$T$1</f>
        <v>0</v>
      </c>
      <c r="AR10349" s="758"/>
      <c r="AS10349" s="753"/>
    </row>
    <row r="10350" spans="1:45" s="520" customFormat="1" ht="12.6" thickBot="1">
      <c r="A10350" s="761" t="s">
        <v>145</v>
      </c>
      <c r="B10350" s="762">
        <f>(R10349+T10349)</f>
        <v>0</v>
      </c>
      <c r="C10350" s="763"/>
      <c r="D10350" s="763"/>
      <c r="E10350" s="763"/>
      <c r="F10350" s="764"/>
      <c r="G10350" s="763" t="s">
        <v>146</v>
      </c>
      <c r="H10350" s="763"/>
      <c r="I10350" s="765"/>
      <c r="J10350" s="763"/>
      <c r="K10350" s="763" t="s">
        <v>3</v>
      </c>
      <c r="L10350" s="766" t="s">
        <v>143</v>
      </c>
      <c r="M10350" s="766"/>
      <c r="N10350" s="766"/>
      <c r="O10350" s="766"/>
      <c r="P10350" s="766"/>
      <c r="Q10350" s="767"/>
      <c r="R10350" s="768">
        <f>SUM(R10347:R10349)</f>
        <v>71.75</v>
      </c>
      <c r="S10350" s="763"/>
      <c r="T10350" s="768">
        <f>SUM(T10347:T10349)</f>
        <v>5.67</v>
      </c>
      <c r="U10350" s="531"/>
      <c r="V10350" s="531"/>
      <c r="W10350" s="531"/>
      <c r="X10350" s="531"/>
      <c r="Y10350" s="531"/>
      <c r="Z10350" s="531"/>
      <c r="AA10350" s="531"/>
      <c r="AB10350" s="531"/>
      <c r="AC10350" s="531"/>
      <c r="AD10350" s="531"/>
      <c r="AE10350" s="531"/>
      <c r="AF10350" s="531"/>
      <c r="AG10350" s="531"/>
      <c r="AH10350" s="531"/>
      <c r="AI10350" s="531"/>
      <c r="AJ10350" s="531"/>
      <c r="AK10350" s="531"/>
      <c r="AL10350" s="531"/>
      <c r="AM10350" s="531"/>
      <c r="AN10350" s="531"/>
      <c r="AO10350" s="531"/>
      <c r="AR10350" s="761" t="s">
        <v>145</v>
      </c>
      <c r="AS10350" s="764"/>
    </row>
    <row r="10351" spans="1:45" s="520" customFormat="1" ht="12" thickTop="1">
      <c r="A10351" s="51"/>
      <c r="B10351" s="41"/>
      <c r="C10351" s="51"/>
      <c r="E10351" s="42" t="s">
        <v>138</v>
      </c>
      <c r="F10351" s="42" t="s">
        <v>139</v>
      </c>
      <c r="G10351" s="51"/>
      <c r="H10351" s="51"/>
      <c r="I10351" s="51"/>
      <c r="J10351" s="51"/>
      <c r="K10351" s="51" t="s">
        <v>140</v>
      </c>
      <c r="L10351" s="51"/>
      <c r="M10351" s="51"/>
      <c r="N10351" s="51"/>
      <c r="O10351" s="52"/>
      <c r="P10351" s="51"/>
      <c r="Q10351" s="51"/>
      <c r="R10351" s="51"/>
      <c r="S10351" s="51"/>
      <c r="T10351" s="41"/>
      <c r="AG10351" s="521" t="s">
        <v>268</v>
      </c>
      <c r="AH10351" s="521" t="s">
        <v>269</v>
      </c>
      <c r="AI10351" s="521" t="s">
        <v>270</v>
      </c>
      <c r="AJ10351" s="521" t="s">
        <v>271</v>
      </c>
      <c r="AK10351" s="521" t="s">
        <v>272</v>
      </c>
      <c r="AM10351" s="745" t="s">
        <v>281</v>
      </c>
      <c r="AN10351" s="746" t="s">
        <v>282</v>
      </c>
      <c r="AO10351" s="522" t="s">
        <v>278</v>
      </c>
      <c r="AR10351" s="51"/>
      <c r="AS10351" s="42" t="s">
        <v>139</v>
      </c>
    </row>
    <row r="10352" spans="1:45" s="520" customFormat="1" ht="12" customHeight="1">
      <c r="A10352" s="747">
        <v>1</v>
      </c>
      <c r="B10352" s="523" t="s">
        <v>299</v>
      </c>
      <c r="C10352" s="748"/>
      <c r="D10352" s="749" t="s">
        <v>1890</v>
      </c>
      <c r="E10352" s="1145">
        <f>IF(AND($A10352=0,$A$1="DIF"),0, ROUND(ROUND(($R10356*$S$3+($T10356*$T$3))/$A10352,2)*$C$3,2))</f>
        <v>985.38</v>
      </c>
      <c r="F10352" s="1146">
        <f>ROUND($A10352*$E10352,2)</f>
        <v>985.38</v>
      </c>
      <c r="G10352" s="752" t="s">
        <v>142</v>
      </c>
      <c r="H10352" s="753"/>
      <c r="I10352" s="754"/>
      <c r="J10352" s="753"/>
      <c r="K10352" s="753" t="s">
        <v>5</v>
      </c>
      <c r="L10352" s="755" t="s">
        <v>143</v>
      </c>
      <c r="M10352" s="755"/>
      <c r="N10352" s="755"/>
      <c r="O10352" s="755"/>
      <c r="P10352" s="755"/>
      <c r="Q10352" s="51"/>
      <c r="T10352" s="1150" t="str">
        <f>IF(AND($R10356=0,$T10356=0),"0.00","mu: "&amp; ROUND(F10352/$C$3/($R10356+$T10356*$D$9),2))</f>
        <v>mu: 1.13</v>
      </c>
      <c r="W10352" s="524"/>
      <c r="AG10352" s="1147">
        <f>IF($E10352=0,0,ROUND($R10356*$S$3*$C$3/$A10352,2))</f>
        <v>985.38</v>
      </c>
      <c r="AH10352" s="1147">
        <f>$AG10352*$A10352</f>
        <v>985.38</v>
      </c>
      <c r="AI10352" s="1148">
        <f>$E10352-$AG10352</f>
        <v>0</v>
      </c>
      <c r="AJ10352" s="1148">
        <f>$A10352*$AI10352</f>
        <v>0</v>
      </c>
      <c r="AK10352" s="1149">
        <f>ROUND(($AG10352+$AI10352)*$A10352,2)</f>
        <v>985.38</v>
      </c>
      <c r="AM10352" s="527">
        <f>ROUND(R10356,2)</f>
        <v>873</v>
      </c>
      <c r="AN10352" s="528">
        <f>ROUND(T10356,2)</f>
        <v>0</v>
      </c>
      <c r="AO10352" s="529">
        <f>ROUND(AM10352+AN10352,2)*A10352</f>
        <v>873</v>
      </c>
      <c r="AR10352" s="747">
        <v>1</v>
      </c>
      <c r="AS10352" s="1146">
        <v>1072.3</v>
      </c>
    </row>
    <row r="10353" spans="1:45" s="520" customFormat="1" ht="13.2">
      <c r="A10353" s="748"/>
      <c r="B10353"/>
      <c r="C10353" s="748"/>
      <c r="D10353" s="749" t="s">
        <v>381</v>
      </c>
      <c r="F10353" s="753"/>
      <c r="G10353" s="3"/>
      <c r="H10353" s="753"/>
      <c r="I10353" s="754"/>
      <c r="J10353" s="753"/>
      <c r="K10353" s="753" t="s">
        <v>144</v>
      </c>
      <c r="L10353" s="753"/>
      <c r="M10353" s="753"/>
      <c r="N10353" s="753"/>
      <c r="O10353" s="753"/>
      <c r="P10353" s="753"/>
      <c r="Q10353" s="51"/>
      <c r="R10353" s="530"/>
      <c r="S10353" s="757"/>
      <c r="T10353" s="753"/>
      <c r="AR10353" s="748"/>
      <c r="AS10353" s="753"/>
    </row>
    <row r="10354" spans="1:45" s="901" customFormat="1" ht="13.2">
      <c r="A10354" s="903">
        <v>1</v>
      </c>
      <c r="B10354" s="904" t="s">
        <v>863</v>
      </c>
      <c r="C10354" s="904"/>
      <c r="D10354" s="904" t="s">
        <v>2594</v>
      </c>
      <c r="E10354" s="904"/>
      <c r="F10354" s="1153" t="s">
        <v>4142</v>
      </c>
      <c r="G10354" s="905" t="s">
        <v>2595</v>
      </c>
      <c r="H10354" s="902">
        <v>960</v>
      </c>
      <c r="I10354" s="904" t="s">
        <v>2596</v>
      </c>
      <c r="J10354" s="904"/>
      <c r="K10354" s="904"/>
      <c r="L10354" s="904"/>
      <c r="M10354" s="904"/>
      <c r="N10354" s="904"/>
      <c r="O10354" s="902">
        <v>4</v>
      </c>
      <c r="P10354" s="906">
        <v>38274</v>
      </c>
      <c r="Q10354" s="1415">
        <f>1000*0.873</f>
        <v>873</v>
      </c>
      <c r="R10354" s="908">
        <f>$A10354*Q10354</f>
        <v>873</v>
      </c>
      <c r="S10354" s="907"/>
      <c r="T10354" s="909">
        <f>$A10354*S10354*$T$1</f>
        <v>0</v>
      </c>
      <c r="AR10354" s="903">
        <v>1</v>
      </c>
      <c r="AS10354" s="1153" t="s">
        <v>3507</v>
      </c>
    </row>
    <row r="10355" spans="1:45" s="520" customFormat="1" ht="12">
      <c r="A10355" s="758"/>
      <c r="B10355" s="758"/>
      <c r="C10355" s="758"/>
      <c r="D10355" s="758"/>
      <c r="E10355" s="758"/>
      <c r="F10355" s="753"/>
      <c r="G10355" s="758"/>
      <c r="H10355" s="758"/>
      <c r="I10355" s="519"/>
      <c r="J10355" s="758"/>
      <c r="K10355" s="758"/>
      <c r="L10355" s="758"/>
      <c r="M10355" s="758"/>
      <c r="N10355" s="758"/>
      <c r="O10355" s="758"/>
      <c r="P10355" s="758"/>
      <c r="Q10355" s="519"/>
      <c r="R10355" s="759">
        <f>$A10355*Q10355</f>
        <v>0</v>
      </c>
      <c r="S10355" s="519"/>
      <c r="T10355" s="760">
        <f>$A10355*S10355*$T$1</f>
        <v>0</v>
      </c>
      <c r="AR10355" s="758"/>
      <c r="AS10355" s="753"/>
    </row>
    <row r="10356" spans="1:45" s="520" customFormat="1" ht="12.6" thickBot="1">
      <c r="A10356" s="761" t="s">
        <v>145</v>
      </c>
      <c r="B10356" s="762">
        <f>(R10355+T10355)</f>
        <v>0</v>
      </c>
      <c r="C10356" s="763"/>
      <c r="D10356" s="763"/>
      <c r="E10356" s="763"/>
      <c r="F10356" s="764"/>
      <c r="G10356" s="763" t="s">
        <v>146</v>
      </c>
      <c r="H10356" s="763"/>
      <c r="I10356" s="765"/>
      <c r="J10356" s="763"/>
      <c r="K10356" s="763" t="s">
        <v>5</v>
      </c>
      <c r="L10356" s="766" t="s">
        <v>143</v>
      </c>
      <c r="M10356" s="766"/>
      <c r="N10356" s="766"/>
      <c r="O10356" s="766"/>
      <c r="P10356" s="766"/>
      <c r="Q10356" s="767"/>
      <c r="R10356" s="768">
        <f>SUM(R10353:R10355)</f>
        <v>873</v>
      </c>
      <c r="S10356" s="763"/>
      <c r="T10356" s="768">
        <f>SUM(T10353:T10355)</f>
        <v>0</v>
      </c>
      <c r="U10356" s="531"/>
      <c r="V10356" s="531"/>
      <c r="W10356" s="531"/>
      <c r="X10356" s="531"/>
      <c r="Y10356" s="531"/>
      <c r="Z10356" s="531"/>
      <c r="AA10356" s="531"/>
      <c r="AB10356" s="531"/>
      <c r="AC10356" s="531"/>
      <c r="AD10356" s="531"/>
      <c r="AE10356" s="531"/>
      <c r="AF10356" s="531"/>
      <c r="AG10356" s="531"/>
      <c r="AH10356" s="531"/>
      <c r="AI10356" s="531"/>
      <c r="AJ10356" s="531"/>
      <c r="AK10356" s="531"/>
      <c r="AL10356" s="531"/>
      <c r="AM10356" s="531"/>
      <c r="AN10356" s="531"/>
      <c r="AO10356" s="531"/>
      <c r="AR10356" s="761" t="s">
        <v>145</v>
      </c>
      <c r="AS10356" s="764"/>
    </row>
    <row r="10357" spans="1:45" s="520" customFormat="1" ht="12" thickTop="1">
      <c r="A10357" s="51"/>
      <c r="B10357" s="41"/>
      <c r="C10357" s="51"/>
      <c r="E10357" s="42" t="s">
        <v>138</v>
      </c>
      <c r="F10357" s="42" t="s">
        <v>139</v>
      </c>
      <c r="G10357" s="51"/>
      <c r="H10357" s="51"/>
      <c r="I10357" s="51"/>
      <c r="J10357" s="51"/>
      <c r="K10357" s="51" t="s">
        <v>140</v>
      </c>
      <c r="L10357" s="51"/>
      <c r="M10357" s="51"/>
      <c r="N10357" s="51"/>
      <c r="O10357" s="52"/>
      <c r="P10357" s="51"/>
      <c r="Q10357" s="51"/>
      <c r="R10357" s="51"/>
      <c r="S10357" s="51"/>
      <c r="T10357" s="41"/>
      <c r="AG10357" s="521" t="s">
        <v>268</v>
      </c>
      <c r="AH10357" s="521" t="s">
        <v>269</v>
      </c>
      <c r="AI10357" s="521" t="s">
        <v>270</v>
      </c>
      <c r="AJ10357" s="521" t="s">
        <v>271</v>
      </c>
      <c r="AK10357" s="521" t="s">
        <v>272</v>
      </c>
      <c r="AM10357" s="745" t="s">
        <v>281</v>
      </c>
      <c r="AN10357" s="746" t="s">
        <v>282</v>
      </c>
      <c r="AO10357" s="522" t="s">
        <v>278</v>
      </c>
      <c r="AR10357" s="51"/>
      <c r="AS10357" s="42" t="s">
        <v>139</v>
      </c>
    </row>
    <row r="10358" spans="1:45" s="520" customFormat="1" ht="12" customHeight="1">
      <c r="A10358" s="747">
        <v>1</v>
      </c>
      <c r="B10358" s="523" t="s">
        <v>383</v>
      </c>
      <c r="C10358" s="748"/>
      <c r="D10358" s="749" t="s">
        <v>1891</v>
      </c>
      <c r="E10358" s="750">
        <f>IF(AND($A10358=0,$A$1="DIF"),0, ROUND(ROUND(($R10364*$S$2+($T10364*$T$2))/A10358,2)*$C$2,2))</f>
        <v>349.83</v>
      </c>
      <c r="F10358" s="751">
        <f>ROUND($A10358*$E10358,2)</f>
        <v>349.83</v>
      </c>
      <c r="G10358" s="752" t="s">
        <v>142</v>
      </c>
      <c r="H10358" s="753"/>
      <c r="I10358" s="754"/>
      <c r="J10358" s="753"/>
      <c r="K10358" s="753" t="s">
        <v>3</v>
      </c>
      <c r="L10358" s="755" t="s">
        <v>143</v>
      </c>
      <c r="M10358" s="755"/>
      <c r="N10358" s="755"/>
      <c r="O10358" s="755"/>
      <c r="P10358" s="755"/>
      <c r="Q10358" s="51"/>
      <c r="T10358" s="756" t="str">
        <f>IF(AND($R10364=0,$T10364=0),"0.00","mu :" &amp; ROUND($F10358/$C$2/($R10364+$T10364*$D$9),2))</f>
        <v>mu :1.23</v>
      </c>
      <c r="W10358" s="524"/>
      <c r="AG10358" s="481">
        <f>IF($E10358=0,0,ROUND($R10364*$S$2*$C$2/$A10358,2))</f>
        <v>174.85</v>
      </c>
      <c r="AH10358" s="481">
        <f>$AG10358*$A10358</f>
        <v>174.85</v>
      </c>
      <c r="AI10358" s="525">
        <f>$E10358-$AG10358</f>
        <v>174.98</v>
      </c>
      <c r="AJ10358" s="525">
        <f>$A10358*$AI10358</f>
        <v>174.98</v>
      </c>
      <c r="AK10358" s="526">
        <f>ROUND(($AG10358+$AI10358)*$A10358,2)</f>
        <v>349.83</v>
      </c>
      <c r="AM10358" s="527">
        <f>ROUND(R10364,2)</f>
        <v>142</v>
      </c>
      <c r="AN10358" s="528">
        <f>ROUND(T10364,2)</f>
        <v>5.18</v>
      </c>
      <c r="AO10358" s="529">
        <f>ROUND(AM10358+AN10358,2)*A10358</f>
        <v>147.18</v>
      </c>
      <c r="AR10358" s="747">
        <v>1</v>
      </c>
      <c r="AS10358" s="751">
        <v>369.27</v>
      </c>
    </row>
    <row r="10359" spans="1:45" s="520" customFormat="1" ht="39.9" customHeight="1">
      <c r="A10359" s="748"/>
      <c r="B10359"/>
      <c r="C10359" s="748"/>
      <c r="D10359" s="1451" t="s">
        <v>382</v>
      </c>
      <c r="E10359" s="1452"/>
      <c r="F10359" s="1452"/>
      <c r="G10359" s="1452"/>
      <c r="H10359" s="1452"/>
      <c r="I10359" s="1452"/>
      <c r="J10359" s="1452"/>
      <c r="K10359" s="1452"/>
      <c r="L10359" s="1452"/>
      <c r="M10359" s="1452"/>
      <c r="N10359" s="1452"/>
      <c r="O10359" s="1452"/>
      <c r="P10359" s="1452"/>
      <c r="Q10359" s="1452"/>
      <c r="R10359" s="1452"/>
      <c r="S10359" s="1452"/>
      <c r="T10359" s="1452"/>
      <c r="AR10359" s="748"/>
    </row>
    <row r="10360" spans="1:45" s="901" customFormat="1" ht="13.2">
      <c r="A10360" s="116">
        <v>14</v>
      </c>
      <c r="B10360" s="901" t="s">
        <v>141</v>
      </c>
      <c r="D10360" s="901" t="s">
        <v>3698</v>
      </c>
      <c r="G10360" s="941" t="s">
        <v>3061</v>
      </c>
      <c r="H10360" s="942">
        <v>880</v>
      </c>
      <c r="I10360" s="901" t="s">
        <v>2607</v>
      </c>
      <c r="O10360" s="943">
        <v>3</v>
      </c>
      <c r="P10360" s="944">
        <v>36220</v>
      </c>
      <c r="Q10360" s="945">
        <v>8</v>
      </c>
      <c r="R10360" s="946">
        <f>$A10360*Q10360</f>
        <v>112</v>
      </c>
      <c r="S10360" s="945">
        <v>0.25</v>
      </c>
      <c r="T10360" s="947">
        <f>$A10360*S10360*$T$1</f>
        <v>3.15</v>
      </c>
      <c r="AR10360" s="116">
        <v>14</v>
      </c>
    </row>
    <row r="10361" spans="1:45" s="901" customFormat="1" ht="13.2">
      <c r="A10361" s="116">
        <v>1</v>
      </c>
      <c r="B10361" s="901" t="s">
        <v>141</v>
      </c>
      <c r="D10361" s="901" t="s">
        <v>3063</v>
      </c>
      <c r="G10361" s="941" t="s">
        <v>3062</v>
      </c>
      <c r="H10361" s="942">
        <v>880</v>
      </c>
      <c r="I10361" s="901" t="s">
        <v>2607</v>
      </c>
      <c r="O10361" s="943">
        <v>3</v>
      </c>
      <c r="P10361" s="944"/>
      <c r="Q10361" s="945">
        <v>10</v>
      </c>
      <c r="R10361" s="946">
        <f>$A10361*Q10361</f>
        <v>10</v>
      </c>
      <c r="S10361" s="945">
        <v>0.25</v>
      </c>
      <c r="T10361" s="947">
        <f>$A10361*S10361*$T$1</f>
        <v>0.22500000000000001</v>
      </c>
      <c r="AR10361" s="116">
        <v>1</v>
      </c>
    </row>
    <row r="10362" spans="1:45" s="901" customFormat="1" ht="13.2">
      <c r="A10362" s="116">
        <v>1</v>
      </c>
      <c r="B10362" s="901" t="s">
        <v>141</v>
      </c>
      <c r="D10362" s="901" t="s">
        <v>3064</v>
      </c>
      <c r="G10362" s="941" t="s">
        <v>3065</v>
      </c>
      <c r="H10362" s="942">
        <v>880</v>
      </c>
      <c r="I10362" s="901" t="s">
        <v>2607</v>
      </c>
      <c r="O10362" s="943">
        <v>3</v>
      </c>
      <c r="P10362" s="944"/>
      <c r="Q10362" s="945">
        <v>20</v>
      </c>
      <c r="R10362" s="946">
        <f>$A10362*Q10362</f>
        <v>20</v>
      </c>
      <c r="S10362" s="945">
        <v>2</v>
      </c>
      <c r="T10362" s="947">
        <f>$A10362*S10362*$T$1</f>
        <v>1.8</v>
      </c>
      <c r="AR10362" s="116">
        <v>1</v>
      </c>
    </row>
    <row r="10363" spans="1:45" s="520" customFormat="1" ht="12">
      <c r="A10363" s="758"/>
      <c r="B10363" s="758"/>
      <c r="C10363" s="758"/>
      <c r="D10363" s="758"/>
      <c r="E10363" s="758"/>
      <c r="F10363" s="753"/>
      <c r="G10363" s="758"/>
      <c r="H10363" s="758"/>
      <c r="I10363" s="519"/>
      <c r="J10363" s="758"/>
      <c r="K10363" s="758"/>
      <c r="L10363" s="758"/>
      <c r="M10363" s="758"/>
      <c r="N10363" s="758"/>
      <c r="O10363" s="758"/>
      <c r="P10363" s="758"/>
      <c r="Q10363" s="519"/>
      <c r="R10363" s="759">
        <f>$A10363*Q10363</f>
        <v>0</v>
      </c>
      <c r="S10363" s="519"/>
      <c r="T10363" s="760">
        <f>$A10363*S10363*$T$1</f>
        <v>0</v>
      </c>
      <c r="AR10363" s="758"/>
      <c r="AS10363" s="753"/>
    </row>
    <row r="10364" spans="1:45" s="520" customFormat="1" ht="12.6" thickBot="1">
      <c r="A10364" s="761" t="s">
        <v>145</v>
      </c>
      <c r="B10364" s="762">
        <f>(R10363+T10363)</f>
        <v>0</v>
      </c>
      <c r="C10364" s="763"/>
      <c r="D10364" s="763"/>
      <c r="E10364" s="763"/>
      <c r="F10364" s="764"/>
      <c r="G10364" s="763" t="s">
        <v>146</v>
      </c>
      <c r="H10364" s="763"/>
      <c r="I10364" s="765"/>
      <c r="J10364" s="763"/>
      <c r="K10364" s="763" t="s">
        <v>3</v>
      </c>
      <c r="L10364" s="766" t="s">
        <v>143</v>
      </c>
      <c r="M10364" s="766"/>
      <c r="N10364" s="766"/>
      <c r="O10364" s="766"/>
      <c r="P10364" s="766"/>
      <c r="Q10364" s="767"/>
      <c r="R10364" s="768">
        <f>SUM(R10359:R10363)</f>
        <v>142</v>
      </c>
      <c r="S10364" s="763"/>
      <c r="T10364" s="768">
        <f>SUM(T10359:T10363)</f>
        <v>5.1749999999999998</v>
      </c>
      <c r="U10364" s="531"/>
      <c r="V10364" s="531"/>
      <c r="W10364" s="531"/>
      <c r="X10364" s="531"/>
      <c r="Y10364" s="531"/>
      <c r="Z10364" s="531"/>
      <c r="AA10364" s="531"/>
      <c r="AB10364" s="531"/>
      <c r="AC10364" s="531"/>
      <c r="AD10364" s="531"/>
      <c r="AE10364" s="531"/>
      <c r="AF10364" s="531"/>
      <c r="AG10364" s="531"/>
      <c r="AH10364" s="531"/>
      <c r="AI10364" s="531"/>
      <c r="AJ10364" s="531"/>
      <c r="AK10364" s="531"/>
      <c r="AL10364" s="531"/>
      <c r="AM10364" s="531"/>
      <c r="AN10364" s="531"/>
      <c r="AO10364" s="531"/>
      <c r="AR10364" s="761" t="s">
        <v>145</v>
      </c>
      <c r="AS10364" s="764"/>
    </row>
    <row r="10365" spans="1:45" s="520" customFormat="1" ht="12" thickTop="1">
      <c r="A10365" s="48" t="s">
        <v>148</v>
      </c>
      <c r="D10365" s="13"/>
      <c r="E10365" s="42"/>
      <c r="O10365" s="771"/>
      <c r="AR10365" s="48" t="s">
        <v>148</v>
      </c>
    </row>
    <row r="10366" spans="1:45" s="520" customFormat="1" ht="13.2">
      <c r="B10366" s="3"/>
      <c r="O10366" s="771"/>
    </row>
    <row r="10367" spans="1:45" s="520" customFormat="1" ht="12">
      <c r="B10367" s="772">
        <f ca="1">$F10367/$C$2-($R10367*$S$2+$T10367*$T$2)</f>
        <v>-287.94323211039955</v>
      </c>
      <c r="D10367" s="773" t="s">
        <v>1065</v>
      </c>
      <c r="E10367" s="774"/>
      <c r="F10367" s="775">
        <f ca="1">SUMIF($L10278:$L10365,"ITEM",F10278:F10365)</f>
        <v>4221.8900000000003</v>
      </c>
      <c r="G10367" s="758"/>
      <c r="H10367" s="758"/>
      <c r="I10367" s="519"/>
      <c r="J10367" s="758"/>
      <c r="K10367" s="758"/>
      <c r="L10367" s="755" t="s">
        <v>157</v>
      </c>
      <c r="M10367" s="755"/>
      <c r="N10367" s="755"/>
      <c r="O10367" s="755"/>
      <c r="P10367" s="755"/>
      <c r="R10367" s="775">
        <f ca="1">SUMIF($L10278:$L10365,"ITEM",R10278:R10365)</f>
        <v>3145.3199999999997</v>
      </c>
      <c r="S10367" s="776"/>
      <c r="T10367" s="775">
        <f ca="1">SUMIF($L10278:$L10365,"ITEM",T10278:T10365)</f>
        <v>18.835000000000001</v>
      </c>
      <c r="AS10367" s="775">
        <v>4570.8700000000008</v>
      </c>
    </row>
    <row r="10368" spans="1:45" s="520" customFormat="1" ht="13.2">
      <c r="A10368" s="51"/>
      <c r="B10368" s="49" t="s">
        <v>1064</v>
      </c>
      <c r="C10368" s="51"/>
      <c r="D10368" s="3"/>
      <c r="F10368" s="777" t="s">
        <v>158</v>
      </c>
      <c r="G10368" s="758"/>
      <c r="H10368" s="758"/>
      <c r="I10368" s="519"/>
      <c r="J10368" s="758"/>
      <c r="K10368" s="758"/>
      <c r="L10368" s="758"/>
      <c r="M10368" s="758"/>
      <c r="N10368" s="758"/>
      <c r="O10368" s="758"/>
      <c r="P10368" s="758"/>
      <c r="Q10368" s="778"/>
      <c r="R10368" s="777" t="s">
        <v>159</v>
      </c>
      <c r="S10368" s="38"/>
      <c r="T10368" s="777" t="s">
        <v>160</v>
      </c>
      <c r="AR10368" s="51"/>
      <c r="AS10368" s="777" t="s">
        <v>158</v>
      </c>
    </row>
    <row r="10369" spans="1:45" s="520" customFormat="1" ht="13.2">
      <c r="A10369" s="758"/>
      <c r="B10369" s="3"/>
      <c r="C10369" s="758"/>
      <c r="D10369" s="3"/>
      <c r="E10369" s="3"/>
      <c r="G10369" s="3"/>
      <c r="H10369" s="3"/>
      <c r="I10369" s="3"/>
      <c r="J10369" s="3"/>
      <c r="K10369" s="3"/>
      <c r="L10369" s="3"/>
      <c r="M10369" s="3"/>
      <c r="N10369" s="3"/>
      <c r="O10369" s="107"/>
      <c r="P10369" s="3"/>
      <c r="Q10369" s="3"/>
      <c r="R10369" s="3"/>
      <c r="S10369" s="3"/>
      <c r="T10369" s="3"/>
      <c r="AR10369" s="758"/>
    </row>
    <row r="10370" spans="1:45" s="520" customFormat="1" ht="12" thickBot="1">
      <c r="A10370" s="531"/>
      <c r="B10370" s="763"/>
      <c r="C10370" s="763"/>
      <c r="D10370" s="531"/>
      <c r="E10370" s="39"/>
      <c r="F10370" s="779"/>
      <c r="G10370" s="763"/>
      <c r="H10370" s="763"/>
      <c r="I10370" s="765"/>
      <c r="J10370" s="763"/>
      <c r="K10370" s="763"/>
      <c r="L10370" s="766"/>
      <c r="M10370" s="766"/>
      <c r="N10370" s="766"/>
      <c r="O10370" s="766"/>
      <c r="P10370" s="766"/>
      <c r="Q10370" s="767"/>
      <c r="R10370" s="779"/>
      <c r="S10370" s="780"/>
      <c r="T10370" s="779"/>
      <c r="U10370" s="531"/>
      <c r="V10370" s="531"/>
      <c r="W10370" s="531"/>
      <c r="X10370" s="531"/>
      <c r="Y10370" s="531"/>
      <c r="Z10370" s="531"/>
      <c r="AA10370" s="531"/>
      <c r="AB10370" s="531"/>
      <c r="AC10370" s="531"/>
      <c r="AD10370" s="531"/>
      <c r="AE10370" s="531"/>
      <c r="AF10370" s="531"/>
      <c r="AG10370" s="531"/>
      <c r="AH10370" s="531"/>
      <c r="AI10370" s="531"/>
      <c r="AJ10370" s="531"/>
      <c r="AK10370" s="531"/>
      <c r="AR10370" s="531"/>
      <c r="AS10370" s="779"/>
    </row>
    <row r="10371" spans="1:45" s="520" customFormat="1" thickTop="1">
      <c r="A10371" s="48" t="s">
        <v>148</v>
      </c>
      <c r="B10371" s="3"/>
      <c r="C10371" s="51"/>
      <c r="D10371" s="51"/>
      <c r="E10371" s="51"/>
      <c r="F10371" s="51"/>
      <c r="G10371" s="51"/>
      <c r="H10371" s="51"/>
      <c r="I10371" s="51"/>
      <c r="J10371" s="51"/>
      <c r="K10371" s="51"/>
      <c r="L10371" s="51"/>
      <c r="M10371" s="51"/>
      <c r="N10371" s="51"/>
      <c r="O10371" s="52"/>
      <c r="P10371" s="51"/>
      <c r="Q10371" s="51"/>
      <c r="R10371" s="51"/>
      <c r="S10371" s="51"/>
      <c r="T10371" s="51"/>
      <c r="AR10371" s="48" t="s">
        <v>148</v>
      </c>
      <c r="AS10371" s="51"/>
    </row>
    <row r="10372" spans="1:45" s="520" customFormat="1" ht="13.2">
      <c r="A10372" s="51"/>
      <c r="B10372" s="3"/>
      <c r="C10372" s="3"/>
      <c r="E10372" s="3"/>
      <c r="F10372" s="3"/>
      <c r="G10372" s="3"/>
      <c r="H10372" s="3"/>
      <c r="I10372" s="3"/>
      <c r="J10372" s="3"/>
      <c r="K10372" s="3"/>
      <c r="L10372" s="3"/>
      <c r="M10372" s="3"/>
      <c r="N10372" s="3"/>
      <c r="O10372" s="107"/>
      <c r="P10372" s="3"/>
      <c r="Q10372" s="3"/>
      <c r="R10372" s="3"/>
      <c r="S10372" s="3"/>
      <c r="T10372" s="3"/>
      <c r="AR10372" s="51"/>
      <c r="AS10372" s="3"/>
    </row>
    <row r="10373" spans="1:45" s="520" customFormat="1" ht="12">
      <c r="A10373" s="51"/>
      <c r="B10373" s="772">
        <f ca="1">$F10373/$C$2-($R10373*$S$2+$T10373*$T$2)</f>
        <v>-705.36194430239993</v>
      </c>
      <c r="C10373" s="51"/>
      <c r="D10373" s="121" t="s">
        <v>2195</v>
      </c>
      <c r="E10373" s="774"/>
      <c r="F10373" s="782">
        <f ca="1">SUMIF($L10067:$L10371,"PAGE",F10067:F10371)</f>
        <v>10313.07</v>
      </c>
      <c r="G10373" s="758"/>
      <c r="H10373" s="758"/>
      <c r="I10373" s="519"/>
      <c r="J10373" s="758"/>
      <c r="K10373" s="758"/>
      <c r="L10373" s="121" t="s">
        <v>1075</v>
      </c>
      <c r="M10373" s="121"/>
      <c r="N10373" s="121"/>
      <c r="O10373" s="122"/>
      <c r="P10373" s="121"/>
      <c r="Q10373" s="51"/>
      <c r="R10373" s="782">
        <f ca="1">SUMIF($L10067:$L10371,"PAGE",R10067:R10371)</f>
        <v>7667.7</v>
      </c>
      <c r="S10373" s="51"/>
      <c r="T10373" s="782">
        <f ca="1">SUMIF($L10067:$L10371,"PAGE",T10067:T10371)</f>
        <v>46.634999999999998</v>
      </c>
      <c r="AR10373" s="51"/>
      <c r="AS10373" s="782">
        <v>11172.480000000001</v>
      </c>
    </row>
    <row r="10374" spans="1:45" s="520" customFormat="1" ht="12">
      <c r="A10374" s="51"/>
      <c r="B10374" s="49" t="s">
        <v>1064</v>
      </c>
      <c r="C10374" s="51"/>
      <c r="D10374" s="781"/>
      <c r="F10374" s="783" t="s">
        <v>1076</v>
      </c>
      <c r="G10374" s="758"/>
      <c r="H10374" s="758"/>
      <c r="I10374" s="519"/>
      <c r="J10374" s="758"/>
      <c r="K10374" s="758"/>
      <c r="L10374" s="51"/>
      <c r="M10374" s="51"/>
      <c r="N10374" s="51"/>
      <c r="O10374" s="52"/>
      <c r="P10374" s="51"/>
      <c r="Q10374" s="51"/>
      <c r="R10374" s="783" t="s">
        <v>1077</v>
      </c>
      <c r="S10374" s="38"/>
      <c r="T10374" s="783" t="s">
        <v>1078</v>
      </c>
      <c r="AR10374" s="51"/>
      <c r="AS10374" s="783" t="s">
        <v>1076</v>
      </c>
    </row>
    <row r="10375" spans="1:45" s="520" customFormat="1" ht="11.4">
      <c r="O10375" s="771"/>
    </row>
    <row r="10376" spans="1:45" s="520" customFormat="1" ht="12" thickBot="1">
      <c r="A10376" s="763"/>
      <c r="B10376" s="763"/>
      <c r="C10376" s="763"/>
      <c r="D10376" s="763"/>
      <c r="E10376" s="763"/>
      <c r="F10376" s="39"/>
      <c r="G10376" s="531"/>
      <c r="H10376" s="531"/>
      <c r="I10376" s="531"/>
      <c r="J10376" s="531"/>
      <c r="K10376" s="531"/>
      <c r="L10376" s="763"/>
      <c r="M10376" s="763"/>
      <c r="N10376" s="763"/>
      <c r="O10376" s="763"/>
      <c r="P10376" s="763"/>
      <c r="Q10376" s="767"/>
      <c r="R10376" s="39"/>
      <c r="S10376" s="39"/>
      <c r="T10376" s="39"/>
      <c r="U10376" s="531"/>
      <c r="V10376" s="531"/>
      <c r="W10376" s="531"/>
      <c r="X10376" s="531"/>
      <c r="Y10376" s="531"/>
      <c r="Z10376" s="531"/>
      <c r="AA10376" s="531"/>
      <c r="AB10376" s="531"/>
      <c r="AC10376" s="531"/>
      <c r="AD10376" s="531"/>
      <c r="AE10376" s="531"/>
      <c r="AF10376" s="531"/>
      <c r="AG10376" s="531"/>
      <c r="AH10376" s="531"/>
      <c r="AI10376" s="531"/>
      <c r="AJ10376" s="531"/>
      <c r="AK10376" s="531"/>
      <c r="AR10376" s="763"/>
      <c r="AS10376" s="39"/>
    </row>
    <row r="10377" spans="1:45" s="520" customFormat="1" thickTop="1">
      <c r="A10377" s="51"/>
      <c r="B10377" s="51"/>
      <c r="C10377" s="3"/>
      <c r="D10377" s="3"/>
      <c r="E10377" s="51"/>
      <c r="F10377" s="51"/>
      <c r="G10377" s="51"/>
      <c r="H10377" s="51"/>
      <c r="I10377" s="51"/>
      <c r="J10377" s="51"/>
      <c r="K10377" s="51" t="s">
        <v>134</v>
      </c>
      <c r="L10377" s="51"/>
      <c r="M10377" s="51"/>
      <c r="N10377" s="51"/>
      <c r="O10377" s="52"/>
      <c r="P10377" s="51"/>
      <c r="Q10377" s="51"/>
      <c r="R10377" s="51"/>
      <c r="S10377" s="51"/>
      <c r="T10377" s="51"/>
      <c r="AR10377" s="51"/>
      <c r="AS10377" s="51"/>
    </row>
    <row r="10378" spans="1:45" s="520" customFormat="1" ht="12">
      <c r="A10378" s="51"/>
      <c r="B10378" s="51"/>
      <c r="C10378" s="51" t="s">
        <v>135</v>
      </c>
      <c r="D10378" s="37" t="s">
        <v>1915</v>
      </c>
      <c r="E10378" s="51"/>
      <c r="F10378" s="51"/>
      <c r="G10378" s="51"/>
      <c r="H10378" s="51"/>
      <c r="I10378" s="51"/>
      <c r="J10378" s="51"/>
      <c r="K10378" s="51"/>
      <c r="L10378" s="51"/>
      <c r="M10378" s="51"/>
      <c r="N10378" s="51"/>
      <c r="O10378" s="52"/>
      <c r="P10378" s="51"/>
      <c r="Q10378" s="51"/>
      <c r="R10378" s="51"/>
      <c r="S10378" s="51"/>
      <c r="T10378" s="51"/>
      <c r="AR10378" s="51"/>
      <c r="AS10378" s="51"/>
    </row>
    <row r="10379" spans="1:45" s="520" customFormat="1" ht="12">
      <c r="A10379" s="51"/>
      <c r="B10379" s="51"/>
      <c r="C10379" s="51"/>
      <c r="D10379" s="37" t="s">
        <v>2196</v>
      </c>
      <c r="E10379" s="51"/>
      <c r="F10379" s="1153" t="s">
        <v>4140</v>
      </c>
      <c r="G10379" s="51"/>
      <c r="H10379" s="51"/>
      <c r="I10379" s="51"/>
      <c r="J10379" s="51"/>
      <c r="K10379" s="51"/>
      <c r="L10379" s="51"/>
      <c r="M10379" s="51"/>
      <c r="N10379" s="51"/>
      <c r="O10379" s="52"/>
      <c r="P10379" s="51"/>
      <c r="Q10379" s="51"/>
      <c r="R10379" s="51"/>
      <c r="S10379" s="38"/>
      <c r="T10379" s="38"/>
      <c r="AR10379" s="51"/>
      <c r="AS10379" s="1153" t="s">
        <v>3507</v>
      </c>
    </row>
    <row r="10380" spans="1:45" s="3" customFormat="1" thickBot="1">
      <c r="A10380" s="531"/>
      <c r="O10380" s="107"/>
      <c r="AR10380" s="531"/>
    </row>
    <row r="10381" spans="1:45" s="520" customFormat="1" thickTop="1">
      <c r="A10381" s="51"/>
      <c r="B10381" s="51"/>
      <c r="C10381" s="3"/>
      <c r="D10381" s="3"/>
      <c r="E10381" s="51"/>
      <c r="F10381" s="51"/>
      <c r="G10381" s="51"/>
      <c r="H10381" s="51"/>
      <c r="I10381" s="51"/>
      <c r="J10381" s="51"/>
      <c r="K10381" s="51" t="s">
        <v>134</v>
      </c>
      <c r="L10381" s="51"/>
      <c r="M10381" s="51"/>
      <c r="N10381" s="51"/>
      <c r="O10381" s="52"/>
      <c r="P10381" s="51"/>
      <c r="Q10381" s="51"/>
      <c r="R10381" s="51"/>
      <c r="S10381" s="51"/>
      <c r="T10381" s="51"/>
      <c r="AR10381" s="51"/>
      <c r="AS10381" s="51"/>
    </row>
    <row r="10382" spans="1:45" s="520" customFormat="1" ht="12">
      <c r="A10382" s="51"/>
      <c r="B10382" s="51"/>
      <c r="C10382" s="51" t="s">
        <v>135</v>
      </c>
      <c r="D10382" s="37"/>
      <c r="E10382" s="51"/>
      <c r="F10382" s="51"/>
      <c r="G10382" s="51"/>
      <c r="H10382" s="51"/>
      <c r="I10382" s="51"/>
      <c r="J10382" s="51"/>
      <c r="K10382" s="51"/>
      <c r="L10382" s="51"/>
      <c r="M10382" s="51"/>
      <c r="N10382" s="51"/>
      <c r="O10382" s="52"/>
      <c r="P10382" s="51"/>
      <c r="Q10382" s="51"/>
      <c r="R10382" s="51"/>
      <c r="S10382" s="51"/>
      <c r="T10382" s="51"/>
      <c r="AR10382" s="51"/>
      <c r="AS10382" s="51"/>
    </row>
    <row r="10383" spans="1:45" s="520" customFormat="1" ht="12">
      <c r="A10383" s="51"/>
      <c r="B10383" s="51"/>
      <c r="C10383" s="51"/>
      <c r="D10383" s="37" t="s">
        <v>347</v>
      </c>
      <c r="E10383" s="51"/>
      <c r="F10383" s="51"/>
      <c r="G10383" s="51"/>
      <c r="H10383" s="51"/>
      <c r="I10383" s="51"/>
      <c r="J10383" s="51"/>
      <c r="K10383" s="51"/>
      <c r="L10383" s="51"/>
      <c r="M10383" s="51"/>
      <c r="N10383" s="51"/>
      <c r="O10383" s="52"/>
      <c r="P10383" s="51"/>
      <c r="Q10383" s="51"/>
      <c r="R10383" s="51"/>
      <c r="S10383" s="38"/>
      <c r="T10383" s="38"/>
      <c r="AR10383" s="51"/>
      <c r="AS10383" s="51"/>
    </row>
    <row r="10384" spans="1:45" s="3" customFormat="1" thickBot="1">
      <c r="A10384" s="531"/>
      <c r="O10384" s="107"/>
      <c r="AR10384" s="531"/>
    </row>
    <row r="10385" spans="1:45" s="520" customFormat="1" thickTop="1">
      <c r="A10385" s="51"/>
      <c r="B10385" s="51"/>
      <c r="C10385" s="3"/>
      <c r="D10385" s="3"/>
      <c r="E10385" s="51"/>
      <c r="F10385" s="51"/>
      <c r="G10385" s="51"/>
      <c r="H10385" s="51"/>
      <c r="I10385" s="51"/>
      <c r="J10385" s="51"/>
      <c r="K10385" s="51" t="s">
        <v>134</v>
      </c>
      <c r="L10385" s="51"/>
      <c r="M10385" s="51"/>
      <c r="N10385" s="51"/>
      <c r="O10385" s="52"/>
      <c r="P10385" s="51"/>
      <c r="Q10385" s="51"/>
      <c r="R10385" s="51"/>
      <c r="S10385" s="51"/>
      <c r="T10385" s="51"/>
      <c r="AR10385" s="51"/>
      <c r="AS10385" s="51"/>
    </row>
    <row r="10386" spans="1:45" s="520" customFormat="1" ht="12">
      <c r="A10386" s="51"/>
      <c r="B10386" s="51"/>
      <c r="C10386" s="51" t="s">
        <v>135</v>
      </c>
      <c r="D10386" s="37"/>
      <c r="E10386" s="51"/>
      <c r="F10386" s="51"/>
      <c r="G10386" s="51"/>
      <c r="H10386" s="51"/>
      <c r="I10386" s="51"/>
      <c r="J10386" s="51"/>
      <c r="K10386" s="51"/>
      <c r="L10386" s="51"/>
      <c r="M10386" s="51"/>
      <c r="N10386" s="51"/>
      <c r="O10386" s="52"/>
      <c r="P10386" s="51"/>
      <c r="Q10386" s="51"/>
      <c r="R10386" s="51"/>
      <c r="S10386" s="51"/>
      <c r="T10386" s="51"/>
      <c r="AR10386" s="51"/>
      <c r="AS10386" s="51"/>
    </row>
    <row r="10387" spans="1:45" s="520" customFormat="1" ht="39.9" customHeight="1">
      <c r="A10387" s="51"/>
      <c r="B10387" s="51"/>
      <c r="C10387" s="51"/>
      <c r="D10387" s="1453" t="s">
        <v>2498</v>
      </c>
      <c r="E10387" s="1452"/>
      <c r="F10387" s="1452"/>
      <c r="G10387" s="1452"/>
      <c r="H10387" s="1452"/>
      <c r="I10387" s="1452"/>
      <c r="J10387" s="1452"/>
      <c r="K10387" s="1452"/>
      <c r="L10387" s="1452"/>
      <c r="M10387" s="1452"/>
      <c r="N10387" s="1452"/>
      <c r="O10387" s="1452"/>
      <c r="P10387" s="1452"/>
      <c r="Q10387" s="1452"/>
      <c r="R10387" s="1452"/>
      <c r="S10387" s="1452"/>
      <c r="T10387" s="1452"/>
      <c r="AR10387" s="51"/>
    </row>
    <row r="10388" spans="1:45" s="3" customFormat="1" thickBot="1">
      <c r="A10388" s="531"/>
      <c r="O10388" s="107"/>
      <c r="AR10388" s="531"/>
    </row>
    <row r="10389" spans="1:45" s="520" customFormat="1" ht="12" thickTop="1">
      <c r="A10389" s="51"/>
      <c r="B10389" s="41"/>
      <c r="C10389" s="51"/>
      <c r="E10389" s="42" t="s">
        <v>138</v>
      </c>
      <c r="F10389" s="42" t="s">
        <v>139</v>
      </c>
      <c r="G10389" s="51"/>
      <c r="H10389" s="51"/>
      <c r="I10389" s="51"/>
      <c r="J10389" s="51"/>
      <c r="K10389" s="51" t="s">
        <v>140</v>
      </c>
      <c r="L10389" s="51"/>
      <c r="M10389" s="51"/>
      <c r="N10389" s="51"/>
      <c r="O10389" s="52"/>
      <c r="P10389" s="51"/>
      <c r="Q10389" s="51"/>
      <c r="R10389" s="51"/>
      <c r="S10389" s="51"/>
      <c r="T10389" s="41"/>
      <c r="AG10389" s="521" t="s">
        <v>268</v>
      </c>
      <c r="AH10389" s="521" t="s">
        <v>269</v>
      </c>
      <c r="AI10389" s="521" t="s">
        <v>270</v>
      </c>
      <c r="AJ10389" s="521" t="s">
        <v>271</v>
      </c>
      <c r="AK10389" s="521" t="s">
        <v>272</v>
      </c>
      <c r="AM10389" s="745" t="s">
        <v>281</v>
      </c>
      <c r="AN10389" s="746" t="s">
        <v>282</v>
      </c>
      <c r="AO10389" s="522" t="s">
        <v>278</v>
      </c>
      <c r="AR10389" s="51"/>
      <c r="AS10389" s="42" t="s">
        <v>139</v>
      </c>
    </row>
    <row r="10390" spans="1:45" s="520" customFormat="1" ht="12" customHeight="1">
      <c r="A10390" s="747">
        <v>2</v>
      </c>
      <c r="B10390" s="523" t="s">
        <v>329</v>
      </c>
      <c r="C10390" s="748"/>
      <c r="D10390" s="749" t="s">
        <v>1917</v>
      </c>
      <c r="E10390" s="750">
        <f>IF(AND($A10390=0,$A$1="DIF"),0, ROUND(ROUND(($R10394*$S$2+($T10394*$T$2))/A10390,2)*$C$2,2))</f>
        <v>122.72</v>
      </c>
      <c r="F10390" s="751">
        <f>ROUND($A10390*$E10390,2)</f>
        <v>245.44</v>
      </c>
      <c r="G10390" s="752" t="s">
        <v>142</v>
      </c>
      <c r="H10390" s="753"/>
      <c r="I10390" s="754"/>
      <c r="J10390" s="753"/>
      <c r="K10390" s="753" t="s">
        <v>3</v>
      </c>
      <c r="L10390" s="755" t="s">
        <v>143</v>
      </c>
      <c r="M10390" s="755"/>
      <c r="N10390" s="755"/>
      <c r="O10390" s="755"/>
      <c r="P10390" s="755"/>
      <c r="Q10390" s="51"/>
      <c r="T10390" s="756" t="str">
        <f>IF(AND($R10394=0,$T10394=0),"0.00","mu :" &amp; ROUND($F10390/$C$2/($R10394+$T10394*$D$9),2))</f>
        <v>mu :1.23</v>
      </c>
      <c r="W10390" s="524"/>
      <c r="AG10390" s="481">
        <f>IF($E10390=0,0,ROUND($R10394*$S$2*$C$2/$A10390,2))</f>
        <v>46.64</v>
      </c>
      <c r="AH10390" s="481">
        <f>$AG10390*$A10390</f>
        <v>93.28</v>
      </c>
      <c r="AI10390" s="525">
        <f>$E10390-$AG10390</f>
        <v>76.08</v>
      </c>
      <c r="AJ10390" s="525">
        <f>$A10390*$AI10390</f>
        <v>152.16</v>
      </c>
      <c r="AK10390" s="526">
        <f>ROUND(($AG10390+$AI10390)*$A10390,2)</f>
        <v>245.44</v>
      </c>
      <c r="AM10390" s="527">
        <f>ROUND(R10394,2)</f>
        <v>75.75</v>
      </c>
      <c r="AN10390" s="528">
        <f>ROUND(T10394,2)</f>
        <v>4.5</v>
      </c>
      <c r="AO10390" s="529">
        <f>ROUND(AM10390+AN10390,2)*A10390</f>
        <v>160.5</v>
      </c>
      <c r="AR10390" s="747">
        <v>2</v>
      </c>
      <c r="AS10390" s="751">
        <v>262.33999999999997</v>
      </c>
    </row>
    <row r="10391" spans="1:45" s="520" customFormat="1" ht="13.2">
      <c r="A10391" s="748"/>
      <c r="B10391"/>
      <c r="C10391" s="748"/>
      <c r="D10391" s="749" t="s">
        <v>2197</v>
      </c>
      <c r="F10391" s="753"/>
      <c r="G10391" s="3"/>
      <c r="H10391" s="753"/>
      <c r="I10391" s="754"/>
      <c r="J10391" s="753"/>
      <c r="K10391" s="753" t="s">
        <v>144</v>
      </c>
      <c r="L10391" s="753"/>
      <c r="M10391" s="753"/>
      <c r="N10391" s="753"/>
      <c r="O10391" s="753"/>
      <c r="P10391" s="753"/>
      <c r="Q10391" s="51"/>
      <c r="R10391" s="530"/>
      <c r="S10391" s="757"/>
      <c r="T10391" s="753"/>
      <c r="AR10391" s="748"/>
      <c r="AS10391" s="753"/>
    </row>
    <row r="10392" spans="1:45" s="901" customFormat="1" ht="13.2">
      <c r="A10392" s="116">
        <v>25</v>
      </c>
      <c r="B10392" s="901" t="s">
        <v>320</v>
      </c>
      <c r="D10392" s="901" t="s">
        <v>2951</v>
      </c>
      <c r="G10392" s="941" t="s">
        <v>2952</v>
      </c>
      <c r="H10392" s="942">
        <v>690</v>
      </c>
      <c r="I10392" s="901" t="s">
        <v>2946</v>
      </c>
      <c r="J10392" s="901" t="s">
        <v>2953</v>
      </c>
      <c r="O10392" s="943">
        <v>1</v>
      </c>
      <c r="P10392" s="944">
        <v>34669</v>
      </c>
      <c r="Q10392" s="1197">
        <v>3.03</v>
      </c>
      <c r="R10392" s="946">
        <f>$A10392*Q10392</f>
        <v>75.75</v>
      </c>
      <c r="S10392" s="945">
        <v>0.2</v>
      </c>
      <c r="T10392" s="947">
        <f>$A10392*S10392*$T$1</f>
        <v>4.5</v>
      </c>
      <c r="AR10392" s="116">
        <v>25</v>
      </c>
    </row>
    <row r="10393" spans="1:45" s="520" customFormat="1" ht="12">
      <c r="A10393" s="758"/>
      <c r="B10393" s="758"/>
      <c r="C10393" s="758"/>
      <c r="D10393" s="758"/>
      <c r="E10393" s="758"/>
      <c r="F10393" s="753"/>
      <c r="G10393" s="758"/>
      <c r="H10393" s="758"/>
      <c r="I10393" s="519"/>
      <c r="J10393" s="758"/>
      <c r="K10393" s="758"/>
      <c r="L10393" s="758"/>
      <c r="M10393" s="758"/>
      <c r="N10393" s="758"/>
      <c r="O10393" s="758"/>
      <c r="P10393" s="758"/>
      <c r="Q10393" s="519"/>
      <c r="R10393" s="759">
        <f>$A10393*Q10393</f>
        <v>0</v>
      </c>
      <c r="S10393" s="519"/>
      <c r="T10393" s="760">
        <f>$A10393*S10393*$T$1</f>
        <v>0</v>
      </c>
      <c r="AR10393" s="758"/>
      <c r="AS10393" s="753"/>
    </row>
    <row r="10394" spans="1:45" s="520" customFormat="1" ht="12.6" thickBot="1">
      <c r="A10394" s="761" t="s">
        <v>145</v>
      </c>
      <c r="B10394" s="762">
        <f>(R10393+T10393)</f>
        <v>0</v>
      </c>
      <c r="C10394" s="763"/>
      <c r="D10394" s="763"/>
      <c r="E10394" s="763"/>
      <c r="F10394" s="764"/>
      <c r="G10394" s="763" t="s">
        <v>146</v>
      </c>
      <c r="H10394" s="763"/>
      <c r="I10394" s="765"/>
      <c r="J10394" s="763"/>
      <c r="K10394" s="763" t="s">
        <v>3</v>
      </c>
      <c r="L10394" s="766" t="s">
        <v>143</v>
      </c>
      <c r="M10394" s="766"/>
      <c r="N10394" s="766"/>
      <c r="O10394" s="766"/>
      <c r="P10394" s="766"/>
      <c r="Q10394" s="767"/>
      <c r="R10394" s="768">
        <f>SUM(R10391:R10393)</f>
        <v>75.75</v>
      </c>
      <c r="S10394" s="763"/>
      <c r="T10394" s="768">
        <f>SUM(T10391:T10393)</f>
        <v>4.5</v>
      </c>
      <c r="U10394" s="531"/>
      <c r="V10394" s="531"/>
      <c r="W10394" s="531"/>
      <c r="X10394" s="531"/>
      <c r="Y10394" s="531"/>
      <c r="Z10394" s="531"/>
      <c r="AA10394" s="531"/>
      <c r="AB10394" s="531"/>
      <c r="AC10394" s="531"/>
      <c r="AD10394" s="531"/>
      <c r="AE10394" s="531"/>
      <c r="AF10394" s="531"/>
      <c r="AG10394" s="531"/>
      <c r="AH10394" s="531"/>
      <c r="AI10394" s="531"/>
      <c r="AJ10394" s="531"/>
      <c r="AK10394" s="531"/>
      <c r="AL10394" s="531"/>
      <c r="AM10394" s="531"/>
      <c r="AN10394" s="531"/>
      <c r="AO10394" s="531"/>
      <c r="AR10394" s="761" t="s">
        <v>145</v>
      </c>
      <c r="AS10394" s="764"/>
    </row>
    <row r="10395" spans="1:45" s="520" customFormat="1" thickTop="1">
      <c r="A10395" s="51"/>
      <c r="B10395" s="51"/>
      <c r="C10395" s="3"/>
      <c r="D10395" s="3"/>
      <c r="E10395" s="51"/>
      <c r="F10395" s="51"/>
      <c r="G10395" s="51"/>
      <c r="H10395" s="51"/>
      <c r="I10395" s="51"/>
      <c r="J10395" s="51"/>
      <c r="K10395" s="51" t="s">
        <v>134</v>
      </c>
      <c r="L10395" s="51"/>
      <c r="M10395" s="51"/>
      <c r="N10395" s="51"/>
      <c r="O10395" s="52"/>
      <c r="P10395" s="51"/>
      <c r="Q10395" s="51"/>
      <c r="R10395" s="51"/>
      <c r="S10395" s="51"/>
      <c r="T10395" s="51"/>
      <c r="AR10395" s="51"/>
      <c r="AS10395" s="51"/>
    </row>
    <row r="10396" spans="1:45" s="520" customFormat="1" ht="12">
      <c r="A10396" s="51"/>
      <c r="B10396" s="51"/>
      <c r="C10396" s="51" t="s">
        <v>135</v>
      </c>
      <c r="D10396" s="37"/>
      <c r="E10396" s="51"/>
      <c r="F10396" s="51"/>
      <c r="G10396" s="51"/>
      <c r="H10396" s="51"/>
      <c r="I10396" s="51"/>
      <c r="J10396" s="51"/>
      <c r="K10396" s="51"/>
      <c r="L10396" s="51"/>
      <c r="M10396" s="51"/>
      <c r="N10396" s="51"/>
      <c r="O10396" s="52"/>
      <c r="P10396" s="51"/>
      <c r="Q10396" s="51"/>
      <c r="R10396" s="51"/>
      <c r="S10396" s="51"/>
      <c r="T10396" s="51"/>
      <c r="AR10396" s="51"/>
      <c r="AS10396" s="51"/>
    </row>
    <row r="10397" spans="1:45" s="520" customFormat="1" ht="39.9" customHeight="1">
      <c r="A10397" s="51"/>
      <c r="B10397" s="51"/>
      <c r="C10397" s="51"/>
      <c r="D10397" s="1453" t="s">
        <v>2499</v>
      </c>
      <c r="E10397" s="1452"/>
      <c r="F10397" s="1452"/>
      <c r="G10397" s="1452"/>
      <c r="H10397" s="1452"/>
      <c r="I10397" s="1452"/>
      <c r="J10397" s="1452"/>
      <c r="K10397" s="1452"/>
      <c r="L10397" s="1452"/>
      <c r="M10397" s="1452"/>
      <c r="N10397" s="1452"/>
      <c r="O10397" s="1452"/>
      <c r="P10397" s="1452"/>
      <c r="Q10397" s="1452"/>
      <c r="R10397" s="1452"/>
      <c r="S10397" s="1452"/>
      <c r="T10397" s="1452"/>
      <c r="AR10397" s="51"/>
    </row>
    <row r="10398" spans="1:45" s="3" customFormat="1" thickBot="1">
      <c r="A10398" s="531"/>
      <c r="O10398" s="107"/>
      <c r="AR10398" s="531"/>
    </row>
    <row r="10399" spans="1:45" s="520" customFormat="1" ht="12" thickTop="1">
      <c r="A10399" s="51"/>
      <c r="B10399" s="41"/>
      <c r="C10399" s="51"/>
      <c r="E10399" s="42" t="s">
        <v>138</v>
      </c>
      <c r="F10399" s="42" t="s">
        <v>139</v>
      </c>
      <c r="G10399" s="51"/>
      <c r="H10399" s="51"/>
      <c r="I10399" s="51"/>
      <c r="J10399" s="51"/>
      <c r="K10399" s="51" t="s">
        <v>140</v>
      </c>
      <c r="L10399" s="51"/>
      <c r="M10399" s="51"/>
      <c r="N10399" s="51"/>
      <c r="O10399" s="52"/>
      <c r="P10399" s="51"/>
      <c r="Q10399" s="51"/>
      <c r="R10399" s="51"/>
      <c r="S10399" s="51"/>
      <c r="T10399" s="41"/>
      <c r="AG10399" s="521" t="s">
        <v>268</v>
      </c>
      <c r="AH10399" s="521" t="s">
        <v>269</v>
      </c>
      <c r="AI10399" s="521" t="s">
        <v>270</v>
      </c>
      <c r="AJ10399" s="521" t="s">
        <v>271</v>
      </c>
      <c r="AK10399" s="521" t="s">
        <v>272</v>
      </c>
      <c r="AM10399" s="745" t="s">
        <v>281</v>
      </c>
      <c r="AN10399" s="746" t="s">
        <v>282</v>
      </c>
      <c r="AO10399" s="522" t="s">
        <v>278</v>
      </c>
      <c r="AR10399" s="51"/>
      <c r="AS10399" s="42" t="s">
        <v>139</v>
      </c>
    </row>
    <row r="10400" spans="1:45" s="520" customFormat="1" ht="12" customHeight="1">
      <c r="A10400" s="747">
        <v>1</v>
      </c>
      <c r="B10400" s="523" t="s">
        <v>329</v>
      </c>
      <c r="C10400" s="748"/>
      <c r="D10400" s="749" t="s">
        <v>1918</v>
      </c>
      <c r="E10400" s="750">
        <f>IF(AND($A10400=0,$A$1="DIF"),0, ROUND(ROUND(($R10404*$S$2+($T10404*$T$2))/A10400,2)*$C$2,2))</f>
        <v>40.01</v>
      </c>
      <c r="F10400" s="751">
        <f>ROUND($A10400*$E10400,2)</f>
        <v>40.01</v>
      </c>
      <c r="G10400" s="752" t="s">
        <v>142</v>
      </c>
      <c r="H10400" s="753"/>
      <c r="I10400" s="754"/>
      <c r="J10400" s="753"/>
      <c r="K10400" s="753" t="s">
        <v>3</v>
      </c>
      <c r="L10400" s="755" t="s">
        <v>143</v>
      </c>
      <c r="M10400" s="755"/>
      <c r="N10400" s="755"/>
      <c r="O10400" s="755"/>
      <c r="P10400" s="755"/>
      <c r="Q10400" s="51"/>
      <c r="T10400" s="756" t="str">
        <f>IF(AND($R10404=0,$T10404=0),"0.00","mu :" &amp; ROUND($F10400/$C$2/($R10404+$T10404*$D$9),2))</f>
        <v>mu :1.23</v>
      </c>
      <c r="W10400" s="524"/>
      <c r="AG10400" s="481">
        <f>IF($E10400=0,0,ROUND($R10404*$S$2*$C$2/$A10400,2))</f>
        <v>12.62</v>
      </c>
      <c r="AH10400" s="481">
        <f>$AG10400*$A10400</f>
        <v>12.62</v>
      </c>
      <c r="AI10400" s="525">
        <f>$E10400-$AG10400</f>
        <v>27.39</v>
      </c>
      <c r="AJ10400" s="525">
        <f>$A10400*$AI10400</f>
        <v>27.39</v>
      </c>
      <c r="AK10400" s="526">
        <f>ROUND(($AG10400+$AI10400)*$A10400,2)</f>
        <v>40.01</v>
      </c>
      <c r="AM10400" s="527">
        <f>ROUND(R10404,2)</f>
        <v>10.25</v>
      </c>
      <c r="AN10400" s="528">
        <f>ROUND(T10404,2)</f>
        <v>0.81</v>
      </c>
      <c r="AO10400" s="529">
        <f>ROUND(AM10400+AN10400,2)*A10400</f>
        <v>11.06</v>
      </c>
      <c r="AR10400" s="747">
        <v>1</v>
      </c>
      <c r="AS10400" s="751">
        <v>43.05</v>
      </c>
    </row>
    <row r="10401" spans="1:45" s="520" customFormat="1" ht="13.2">
      <c r="A10401" s="748"/>
      <c r="B10401"/>
      <c r="C10401" s="748"/>
      <c r="D10401" s="749" t="s">
        <v>2198</v>
      </c>
      <c r="F10401" s="753"/>
      <c r="G10401" s="3"/>
      <c r="H10401" s="753"/>
      <c r="I10401" s="754"/>
      <c r="J10401" s="753"/>
      <c r="K10401" s="753" t="s">
        <v>144</v>
      </c>
      <c r="L10401" s="753"/>
      <c r="M10401" s="753"/>
      <c r="N10401" s="753"/>
      <c r="O10401" s="753"/>
      <c r="P10401" s="753"/>
      <c r="Q10401" s="51"/>
      <c r="R10401" s="530"/>
      <c r="S10401" s="757"/>
      <c r="T10401" s="753"/>
      <c r="AR10401" s="748"/>
      <c r="AS10401" s="753"/>
    </row>
    <row r="10402" spans="1:45" s="901" customFormat="1" ht="11.4">
      <c r="A10402" s="1222">
        <v>5</v>
      </c>
      <c r="B10402" s="901" t="s">
        <v>320</v>
      </c>
      <c r="D10402" s="901" t="s">
        <v>3006</v>
      </c>
      <c r="F10402" s="901" t="s">
        <v>3237</v>
      </c>
      <c r="G10402" s="941" t="s">
        <v>3007</v>
      </c>
      <c r="H10402" s="942">
        <v>700</v>
      </c>
      <c r="I10402" s="901" t="s">
        <v>3008</v>
      </c>
      <c r="J10402" s="901" t="s">
        <v>2947</v>
      </c>
      <c r="O10402" s="943">
        <v>1</v>
      </c>
      <c r="P10402" s="944">
        <v>42213</v>
      </c>
      <c r="Q10402" s="945">
        <v>2.0499999999999998</v>
      </c>
      <c r="R10402" s="946">
        <f>$A10402*Q10402</f>
        <v>10.25</v>
      </c>
      <c r="S10402" s="945">
        <v>0.18</v>
      </c>
      <c r="T10402" s="947">
        <f>$A10402*S10402*$T$1</f>
        <v>0.80999999999999994</v>
      </c>
      <c r="AR10402" s="1222">
        <v>5</v>
      </c>
      <c r="AS10402" s="901" t="s">
        <v>3237</v>
      </c>
    </row>
    <row r="10403" spans="1:45" s="520" customFormat="1" ht="12">
      <c r="A10403" s="758"/>
      <c r="B10403" s="758"/>
      <c r="C10403" s="758"/>
      <c r="D10403" s="758"/>
      <c r="E10403" s="758"/>
      <c r="F10403" s="753"/>
      <c r="G10403" s="758"/>
      <c r="H10403" s="758"/>
      <c r="I10403" s="519"/>
      <c r="J10403" s="758"/>
      <c r="K10403" s="758"/>
      <c r="L10403" s="758"/>
      <c r="M10403" s="758"/>
      <c r="N10403" s="758"/>
      <c r="O10403" s="758"/>
      <c r="P10403" s="758"/>
      <c r="Q10403" s="519"/>
      <c r="R10403" s="759">
        <f>$A10403*Q10403</f>
        <v>0</v>
      </c>
      <c r="S10403" s="519"/>
      <c r="T10403" s="760">
        <f>$A10403*S10403*$T$1</f>
        <v>0</v>
      </c>
      <c r="AR10403" s="758"/>
      <c r="AS10403" s="753"/>
    </row>
    <row r="10404" spans="1:45" s="520" customFormat="1" ht="12.6" thickBot="1">
      <c r="A10404" s="761" t="s">
        <v>145</v>
      </c>
      <c r="B10404" s="762">
        <f>(R10403+T10403)</f>
        <v>0</v>
      </c>
      <c r="C10404" s="763"/>
      <c r="D10404" s="763"/>
      <c r="E10404" s="763"/>
      <c r="F10404" s="764"/>
      <c r="G10404" s="763" t="s">
        <v>146</v>
      </c>
      <c r="H10404" s="763"/>
      <c r="I10404" s="765"/>
      <c r="J10404" s="763"/>
      <c r="K10404" s="763" t="s">
        <v>3</v>
      </c>
      <c r="L10404" s="766" t="s">
        <v>143</v>
      </c>
      <c r="M10404" s="766"/>
      <c r="N10404" s="766"/>
      <c r="O10404" s="766"/>
      <c r="P10404" s="766"/>
      <c r="Q10404" s="767"/>
      <c r="R10404" s="768">
        <f>SUM(R10401:R10403)</f>
        <v>10.25</v>
      </c>
      <c r="S10404" s="763"/>
      <c r="T10404" s="768">
        <f>SUM(T10401:T10403)</f>
        <v>0.80999999999999994</v>
      </c>
      <c r="U10404" s="531"/>
      <c r="V10404" s="531"/>
      <c r="W10404" s="531"/>
      <c r="X10404" s="531"/>
      <c r="Y10404" s="531"/>
      <c r="Z10404" s="531"/>
      <c r="AA10404" s="531"/>
      <c r="AB10404" s="531"/>
      <c r="AC10404" s="531"/>
      <c r="AD10404" s="531"/>
      <c r="AE10404" s="531"/>
      <c r="AF10404" s="531"/>
      <c r="AG10404" s="531"/>
      <c r="AH10404" s="531"/>
      <c r="AI10404" s="531"/>
      <c r="AJ10404" s="531"/>
      <c r="AK10404" s="531"/>
      <c r="AL10404" s="531"/>
      <c r="AM10404" s="531"/>
      <c r="AN10404" s="531"/>
      <c r="AO10404" s="531"/>
      <c r="AR10404" s="761" t="s">
        <v>145</v>
      </c>
      <c r="AS10404" s="764"/>
    </row>
    <row r="10405" spans="1:45" s="520" customFormat="1" ht="12" thickTop="1">
      <c r="A10405" s="51"/>
      <c r="B10405" s="41"/>
      <c r="C10405" s="51"/>
      <c r="E10405" s="42" t="s">
        <v>138</v>
      </c>
      <c r="F10405" s="42" t="s">
        <v>139</v>
      </c>
      <c r="G10405" s="51"/>
      <c r="H10405" s="51"/>
      <c r="I10405" s="51"/>
      <c r="J10405" s="51"/>
      <c r="K10405" s="51" t="s">
        <v>140</v>
      </c>
      <c r="L10405" s="51"/>
      <c r="M10405" s="51"/>
      <c r="N10405" s="51"/>
      <c r="O10405" s="52"/>
      <c r="P10405" s="51"/>
      <c r="Q10405" s="51"/>
      <c r="R10405" s="51"/>
      <c r="S10405" s="51"/>
      <c r="T10405" s="41"/>
      <c r="AG10405" s="521" t="s">
        <v>268</v>
      </c>
      <c r="AH10405" s="521" t="s">
        <v>269</v>
      </c>
      <c r="AI10405" s="521" t="s">
        <v>270</v>
      </c>
      <c r="AJ10405" s="521" t="s">
        <v>271</v>
      </c>
      <c r="AK10405" s="521" t="s">
        <v>272</v>
      </c>
      <c r="AM10405" s="745" t="s">
        <v>281</v>
      </c>
      <c r="AN10405" s="746" t="s">
        <v>282</v>
      </c>
      <c r="AO10405" s="522" t="s">
        <v>278</v>
      </c>
      <c r="AR10405" s="51"/>
      <c r="AS10405" s="42" t="s">
        <v>139</v>
      </c>
    </row>
    <row r="10406" spans="1:45" s="520" customFormat="1" ht="12" customHeight="1">
      <c r="A10406" s="747">
        <v>2</v>
      </c>
      <c r="B10406" s="523" t="s">
        <v>329</v>
      </c>
      <c r="C10406" s="748"/>
      <c r="D10406" s="749" t="s">
        <v>1919</v>
      </c>
      <c r="E10406" s="750">
        <f>IF(AND($A10406=0,$A$1="DIF"),0, ROUND(ROUND(($R10410*$S$2+($T10410*$T$2))/A10406,2)*$C$2,2))</f>
        <v>40.01</v>
      </c>
      <c r="F10406" s="751">
        <f>ROUND($A10406*$E10406,2)</f>
        <v>80.02</v>
      </c>
      <c r="G10406" s="752" t="s">
        <v>142</v>
      </c>
      <c r="H10406" s="753"/>
      <c r="I10406" s="754"/>
      <c r="J10406" s="753"/>
      <c r="K10406" s="753" t="s">
        <v>3</v>
      </c>
      <c r="L10406" s="755" t="s">
        <v>143</v>
      </c>
      <c r="M10406" s="755"/>
      <c r="N10406" s="755"/>
      <c r="O10406" s="755"/>
      <c r="P10406" s="755"/>
      <c r="Q10406" s="51"/>
      <c r="T10406" s="756" t="str">
        <f>IF(AND($R10410=0,$T10410=0),"0.00","mu :" &amp; ROUND($F10406/$C$2/($R10410+$T10410*$D$9),2))</f>
        <v>mu :1.23</v>
      </c>
      <c r="W10406" s="524"/>
      <c r="AG10406" s="481">
        <f>IF($E10406=0,0,ROUND($R10410*$S$2*$C$2/$A10406,2))</f>
        <v>12.62</v>
      </c>
      <c r="AH10406" s="481">
        <f>$AG10406*$A10406</f>
        <v>25.24</v>
      </c>
      <c r="AI10406" s="525">
        <f>$E10406-$AG10406</f>
        <v>27.39</v>
      </c>
      <c r="AJ10406" s="525">
        <f>$A10406*$AI10406</f>
        <v>54.78</v>
      </c>
      <c r="AK10406" s="526">
        <f>ROUND(($AG10406+$AI10406)*$A10406,2)</f>
        <v>80.02</v>
      </c>
      <c r="AM10406" s="527">
        <f>ROUND(R10410,2)</f>
        <v>20.5</v>
      </c>
      <c r="AN10406" s="528">
        <f>ROUND(T10410,2)</f>
        <v>1.62</v>
      </c>
      <c r="AO10406" s="529">
        <f>ROUND(AM10406+AN10406,2)*A10406</f>
        <v>44.24</v>
      </c>
      <c r="AR10406" s="747">
        <v>2</v>
      </c>
      <c r="AS10406" s="751">
        <v>86.1</v>
      </c>
    </row>
    <row r="10407" spans="1:45" s="520" customFormat="1" ht="13.2">
      <c r="A10407" s="748"/>
      <c r="B10407"/>
      <c r="C10407" s="748"/>
      <c r="D10407" s="749" t="s">
        <v>2199</v>
      </c>
      <c r="F10407" s="753"/>
      <c r="G10407" s="3"/>
      <c r="H10407" s="753"/>
      <c r="I10407" s="754"/>
      <c r="J10407" s="753"/>
      <c r="K10407" s="753" t="s">
        <v>144</v>
      </c>
      <c r="L10407" s="753"/>
      <c r="M10407" s="753"/>
      <c r="N10407" s="753"/>
      <c r="O10407" s="753"/>
      <c r="P10407" s="753"/>
      <c r="Q10407" s="51"/>
      <c r="R10407" s="530"/>
      <c r="S10407" s="757"/>
      <c r="T10407" s="753"/>
      <c r="AR10407" s="748"/>
      <c r="AS10407" s="753"/>
    </row>
    <row r="10408" spans="1:45" s="901" customFormat="1" ht="11.4">
      <c r="A10408" s="1222">
        <v>10</v>
      </c>
      <c r="B10408" s="901" t="s">
        <v>320</v>
      </c>
      <c r="D10408" s="901" t="s">
        <v>3006</v>
      </c>
      <c r="F10408" s="901" t="s">
        <v>3237</v>
      </c>
      <c r="G10408" s="941" t="s">
        <v>3007</v>
      </c>
      <c r="H10408" s="942">
        <v>700</v>
      </c>
      <c r="I10408" s="901" t="s">
        <v>3008</v>
      </c>
      <c r="J10408" s="901" t="s">
        <v>2947</v>
      </c>
      <c r="O10408" s="943">
        <v>1</v>
      </c>
      <c r="P10408" s="944">
        <v>42213</v>
      </c>
      <c r="Q10408" s="945">
        <v>2.0499999999999998</v>
      </c>
      <c r="R10408" s="946">
        <f>$A10408*Q10408</f>
        <v>20.5</v>
      </c>
      <c r="S10408" s="945">
        <v>0.18</v>
      </c>
      <c r="T10408" s="947">
        <f>$A10408*S10408*$T$1</f>
        <v>1.6199999999999999</v>
      </c>
      <c r="AR10408" s="1222">
        <v>10</v>
      </c>
      <c r="AS10408" s="901" t="s">
        <v>3237</v>
      </c>
    </row>
    <row r="10409" spans="1:45" s="520" customFormat="1" ht="12">
      <c r="A10409" s="758"/>
      <c r="B10409" s="758"/>
      <c r="C10409" s="758"/>
      <c r="D10409" s="758"/>
      <c r="E10409" s="758"/>
      <c r="F10409" s="753"/>
      <c r="G10409" s="758"/>
      <c r="H10409" s="758"/>
      <c r="I10409" s="519"/>
      <c r="J10409" s="758"/>
      <c r="K10409" s="758"/>
      <c r="L10409" s="758"/>
      <c r="M10409" s="758"/>
      <c r="N10409" s="758"/>
      <c r="O10409" s="758"/>
      <c r="P10409" s="758"/>
      <c r="Q10409" s="519"/>
      <c r="R10409" s="759">
        <f>$A10409*Q10409</f>
        <v>0</v>
      </c>
      <c r="S10409" s="519"/>
      <c r="T10409" s="760">
        <f>$A10409*S10409*$T$1</f>
        <v>0</v>
      </c>
      <c r="AR10409" s="758"/>
      <c r="AS10409" s="753"/>
    </row>
    <row r="10410" spans="1:45" s="520" customFormat="1" ht="12.6" thickBot="1">
      <c r="A10410" s="761" t="s">
        <v>145</v>
      </c>
      <c r="B10410" s="762">
        <f>(R10409+T10409)</f>
        <v>0</v>
      </c>
      <c r="C10410" s="763"/>
      <c r="D10410" s="763"/>
      <c r="E10410" s="763"/>
      <c r="F10410" s="764"/>
      <c r="G10410" s="763" t="s">
        <v>146</v>
      </c>
      <c r="H10410" s="763"/>
      <c r="I10410" s="765"/>
      <c r="J10410" s="763"/>
      <c r="K10410" s="763" t="s">
        <v>3</v>
      </c>
      <c r="L10410" s="766" t="s">
        <v>143</v>
      </c>
      <c r="M10410" s="766"/>
      <c r="N10410" s="766"/>
      <c r="O10410" s="766"/>
      <c r="P10410" s="766"/>
      <c r="Q10410" s="767"/>
      <c r="R10410" s="768">
        <f>SUM(R10407:R10409)</f>
        <v>20.5</v>
      </c>
      <c r="S10410" s="763"/>
      <c r="T10410" s="768">
        <f>SUM(T10407:T10409)</f>
        <v>1.6199999999999999</v>
      </c>
      <c r="U10410" s="531"/>
      <c r="V10410" s="531"/>
      <c r="W10410" s="531"/>
      <c r="X10410" s="531"/>
      <c r="Y10410" s="531"/>
      <c r="Z10410" s="531"/>
      <c r="AA10410" s="531"/>
      <c r="AB10410" s="531"/>
      <c r="AC10410" s="531"/>
      <c r="AD10410" s="531"/>
      <c r="AE10410" s="531"/>
      <c r="AF10410" s="531"/>
      <c r="AG10410" s="531"/>
      <c r="AH10410" s="531"/>
      <c r="AI10410" s="531"/>
      <c r="AJ10410" s="531"/>
      <c r="AK10410" s="531"/>
      <c r="AL10410" s="531"/>
      <c r="AM10410" s="531"/>
      <c r="AN10410" s="531"/>
      <c r="AO10410" s="531"/>
      <c r="AR10410" s="761" t="s">
        <v>145</v>
      </c>
      <c r="AS10410" s="764"/>
    </row>
    <row r="10411" spans="1:45" s="520" customFormat="1" thickTop="1">
      <c r="A10411" s="51"/>
      <c r="B10411" s="51"/>
      <c r="C10411" s="3"/>
      <c r="D10411" s="3"/>
      <c r="E10411" s="51"/>
      <c r="F10411" s="51"/>
      <c r="G10411" s="51"/>
      <c r="H10411" s="51"/>
      <c r="I10411" s="51"/>
      <c r="J10411" s="51"/>
      <c r="K10411" s="51" t="s">
        <v>134</v>
      </c>
      <c r="L10411" s="51"/>
      <c r="M10411" s="51"/>
      <c r="N10411" s="51"/>
      <c r="O10411" s="52"/>
      <c r="P10411" s="51"/>
      <c r="Q10411" s="51"/>
      <c r="R10411" s="51"/>
      <c r="S10411" s="51"/>
      <c r="T10411" s="51"/>
      <c r="AR10411" s="51"/>
      <c r="AS10411" s="51"/>
    </row>
    <row r="10412" spans="1:45" s="520" customFormat="1" ht="12">
      <c r="A10412" s="51"/>
      <c r="B10412" s="51"/>
      <c r="C10412" s="51" t="s">
        <v>135</v>
      </c>
      <c r="D10412" s="37"/>
      <c r="E10412" s="51"/>
      <c r="F10412" s="51"/>
      <c r="G10412" s="51"/>
      <c r="H10412" s="51"/>
      <c r="I10412" s="51"/>
      <c r="J10412" s="51"/>
      <c r="K10412" s="51"/>
      <c r="L10412" s="51"/>
      <c r="M10412" s="51"/>
      <c r="N10412" s="51"/>
      <c r="O10412" s="52"/>
      <c r="P10412" s="51"/>
      <c r="Q10412" s="51"/>
      <c r="R10412" s="51"/>
      <c r="S10412" s="51"/>
      <c r="T10412" s="51"/>
      <c r="AR10412" s="51"/>
      <c r="AS10412" s="51"/>
    </row>
    <row r="10413" spans="1:45" s="520" customFormat="1" ht="39.9" customHeight="1">
      <c r="A10413" s="51"/>
      <c r="B10413" s="51"/>
      <c r="C10413" s="51"/>
      <c r="D10413" s="1453" t="s">
        <v>2185</v>
      </c>
      <c r="E10413" s="1452"/>
      <c r="F10413" s="1452"/>
      <c r="G10413" s="1452"/>
      <c r="H10413" s="1452"/>
      <c r="I10413" s="1452"/>
      <c r="J10413" s="1452"/>
      <c r="K10413" s="1452"/>
      <c r="L10413" s="1452"/>
      <c r="M10413" s="1452"/>
      <c r="N10413" s="1452"/>
      <c r="O10413" s="1452"/>
      <c r="P10413" s="1452"/>
      <c r="Q10413" s="1452"/>
      <c r="R10413" s="1452"/>
      <c r="S10413" s="1452"/>
      <c r="T10413" s="1452"/>
      <c r="AR10413" s="51"/>
    </row>
    <row r="10414" spans="1:45" s="3" customFormat="1" thickBot="1">
      <c r="A10414" s="531"/>
      <c r="O10414" s="107"/>
      <c r="AR10414" s="531"/>
    </row>
    <row r="10415" spans="1:45" s="520" customFormat="1" ht="12" thickTop="1">
      <c r="A10415" s="51"/>
      <c r="B10415" s="41"/>
      <c r="C10415" s="51"/>
      <c r="E10415" s="42" t="s">
        <v>138</v>
      </c>
      <c r="F10415" s="42" t="s">
        <v>139</v>
      </c>
      <c r="G10415" s="51"/>
      <c r="H10415" s="51"/>
      <c r="I10415" s="51"/>
      <c r="J10415" s="51"/>
      <c r="K10415" s="51" t="s">
        <v>140</v>
      </c>
      <c r="L10415" s="51"/>
      <c r="M10415" s="51"/>
      <c r="N10415" s="51"/>
      <c r="O10415" s="52"/>
      <c r="P10415" s="51"/>
      <c r="Q10415" s="51"/>
      <c r="R10415" s="51"/>
      <c r="S10415" s="51"/>
      <c r="T10415" s="41"/>
      <c r="AG10415" s="521" t="s">
        <v>268</v>
      </c>
      <c r="AH10415" s="521" t="s">
        <v>269</v>
      </c>
      <c r="AI10415" s="521" t="s">
        <v>270</v>
      </c>
      <c r="AJ10415" s="521" t="s">
        <v>271</v>
      </c>
      <c r="AK10415" s="521" t="s">
        <v>272</v>
      </c>
      <c r="AM10415" s="745" t="s">
        <v>281</v>
      </c>
      <c r="AN10415" s="746" t="s">
        <v>282</v>
      </c>
      <c r="AO10415" s="522" t="s">
        <v>278</v>
      </c>
      <c r="AR10415" s="51"/>
      <c r="AS10415" s="42" t="s">
        <v>139</v>
      </c>
    </row>
    <row r="10416" spans="1:45" s="520" customFormat="1" ht="12" customHeight="1">
      <c r="A10416" s="747">
        <v>2</v>
      </c>
      <c r="B10416" s="523" t="s">
        <v>329</v>
      </c>
      <c r="C10416" s="748"/>
      <c r="D10416" s="749" t="s">
        <v>1920</v>
      </c>
      <c r="E10416" s="1145">
        <f>IF(AND($A10416=0,$A$1="DIF"),0, ROUND(ROUND(($R10420*$S$3+($T10420*$T$3))/$A10416,2)*$C$3,2))</f>
        <v>34.49</v>
      </c>
      <c r="F10416" s="1146">
        <f>ROUND($A10416*$E10416,2)</f>
        <v>68.98</v>
      </c>
      <c r="G10416" s="752" t="s">
        <v>142</v>
      </c>
      <c r="H10416" s="753"/>
      <c r="I10416" s="754"/>
      <c r="J10416" s="753"/>
      <c r="K10416" s="753" t="s">
        <v>5</v>
      </c>
      <c r="L10416" s="755" t="s">
        <v>143</v>
      </c>
      <c r="M10416" s="755"/>
      <c r="N10416" s="755"/>
      <c r="O10416" s="755"/>
      <c r="P10416" s="755"/>
      <c r="Q10416" s="51"/>
      <c r="T10416" s="1150" t="str">
        <f>IF(AND($R10420=0,$T10420=0),"0.00","mu: "&amp; ROUND(F10416/$C$3/($R10420+$T10420*$D$9),2))</f>
        <v>mu: 1.13</v>
      </c>
      <c r="W10416" s="524"/>
      <c r="AG10416" s="1147">
        <f>IF($E10416=0,0,ROUND($R10420*$S$3*$C$3/$A10416,2))</f>
        <v>34.49</v>
      </c>
      <c r="AH10416" s="1147">
        <f>$AG10416*$A10416</f>
        <v>68.98</v>
      </c>
      <c r="AI10416" s="1148">
        <f>$E10416-$AG10416</f>
        <v>0</v>
      </c>
      <c r="AJ10416" s="1148">
        <f>$A10416*$AI10416</f>
        <v>0</v>
      </c>
      <c r="AK10416" s="1149">
        <f>ROUND(($AG10416+$AI10416)*$A10416,2)</f>
        <v>68.98</v>
      </c>
      <c r="AM10416" s="527">
        <f>ROUND(R10420,2)</f>
        <v>61.11</v>
      </c>
      <c r="AN10416" s="528">
        <f>ROUND(T10420,2)</f>
        <v>0</v>
      </c>
      <c r="AO10416" s="529">
        <f>ROUND(AM10416+AN10416,2)*A10416</f>
        <v>122.22</v>
      </c>
      <c r="AR10416" s="747">
        <v>2</v>
      </c>
      <c r="AS10416" s="1146">
        <v>75.06</v>
      </c>
    </row>
    <row r="10417" spans="1:45" s="520" customFormat="1" ht="13.2">
      <c r="A10417" s="748"/>
      <c r="B10417"/>
      <c r="C10417" s="748"/>
      <c r="D10417" s="749" t="s">
        <v>2197</v>
      </c>
      <c r="F10417" s="753"/>
      <c r="G10417" s="3"/>
      <c r="H10417" s="753"/>
      <c r="I10417" s="754"/>
      <c r="J10417" s="753"/>
      <c r="K10417" s="753" t="s">
        <v>144</v>
      </c>
      <c r="L10417" s="753"/>
      <c r="M10417" s="753"/>
      <c r="N10417" s="753"/>
      <c r="O10417" s="753"/>
      <c r="P10417" s="753"/>
      <c r="Q10417" s="51"/>
      <c r="R10417" s="530"/>
      <c r="S10417" s="757"/>
      <c r="T10417" s="753"/>
      <c r="AR10417" s="748"/>
      <c r="AS10417" s="753"/>
    </row>
    <row r="10418" spans="1:45" s="901" customFormat="1" ht="13.2">
      <c r="A10418" s="903">
        <v>2</v>
      </c>
      <c r="B10418" s="904" t="s">
        <v>863</v>
      </c>
      <c r="C10418" s="904"/>
      <c r="D10418" s="904" t="s">
        <v>2594</v>
      </c>
      <c r="E10418" s="904"/>
      <c r="F10418" s="1153" t="s">
        <v>4140</v>
      </c>
      <c r="G10418" s="905" t="s">
        <v>2595</v>
      </c>
      <c r="H10418" s="902">
        <v>960</v>
      </c>
      <c r="I10418" s="904" t="s">
        <v>2596</v>
      </c>
      <c r="J10418" s="904"/>
      <c r="K10418" s="904"/>
      <c r="L10418" s="904"/>
      <c r="M10418" s="904"/>
      <c r="N10418" s="904"/>
      <c r="O10418" s="902">
        <v>4</v>
      </c>
      <c r="P10418" s="906">
        <v>38274</v>
      </c>
      <c r="Q10418" s="1415">
        <f>35*0.873</f>
        <v>30.555</v>
      </c>
      <c r="R10418" s="908">
        <f>$A10418*Q10418</f>
        <v>61.11</v>
      </c>
      <c r="S10418" s="907"/>
      <c r="T10418" s="909">
        <f>$A10418*S10418*$T$1</f>
        <v>0</v>
      </c>
      <c r="AR10418" s="903">
        <v>2</v>
      </c>
      <c r="AS10418" s="1153" t="s">
        <v>3507</v>
      </c>
    </row>
    <row r="10419" spans="1:45" s="520" customFormat="1" ht="12">
      <c r="A10419" s="758"/>
      <c r="B10419" s="758"/>
      <c r="C10419" s="758"/>
      <c r="D10419" s="758"/>
      <c r="E10419" s="758"/>
      <c r="F10419" s="753"/>
      <c r="G10419" s="758"/>
      <c r="H10419" s="758"/>
      <c r="I10419" s="519"/>
      <c r="J10419" s="758"/>
      <c r="K10419" s="758"/>
      <c r="L10419" s="758"/>
      <c r="M10419" s="758"/>
      <c r="N10419" s="758"/>
      <c r="O10419" s="758"/>
      <c r="P10419" s="758"/>
      <c r="Q10419" s="519"/>
      <c r="R10419" s="759">
        <f>$A10419*Q10419</f>
        <v>0</v>
      </c>
      <c r="S10419" s="519"/>
      <c r="T10419" s="760">
        <f>$A10419*S10419*$T$1</f>
        <v>0</v>
      </c>
      <c r="AR10419" s="758"/>
      <c r="AS10419" s="753"/>
    </row>
    <row r="10420" spans="1:45" s="520" customFormat="1" ht="12.6" thickBot="1">
      <c r="A10420" s="761" t="s">
        <v>145</v>
      </c>
      <c r="B10420" s="762">
        <f>(R10419+T10419)</f>
        <v>0</v>
      </c>
      <c r="C10420" s="763"/>
      <c r="D10420" s="763"/>
      <c r="E10420" s="763"/>
      <c r="F10420" s="764"/>
      <c r="G10420" s="763" t="s">
        <v>146</v>
      </c>
      <c r="H10420" s="763"/>
      <c r="I10420" s="765"/>
      <c r="J10420" s="763"/>
      <c r="K10420" s="763" t="s">
        <v>5</v>
      </c>
      <c r="L10420" s="766" t="s">
        <v>143</v>
      </c>
      <c r="M10420" s="766"/>
      <c r="N10420" s="766"/>
      <c r="O10420" s="766"/>
      <c r="P10420" s="766"/>
      <c r="Q10420" s="767"/>
      <c r="R10420" s="768">
        <f>SUM(R10417:R10419)</f>
        <v>61.11</v>
      </c>
      <c r="S10420" s="763"/>
      <c r="T10420" s="768">
        <f>SUM(T10417:T10419)</f>
        <v>0</v>
      </c>
      <c r="U10420" s="531"/>
      <c r="V10420" s="531"/>
      <c r="W10420" s="531"/>
      <c r="X10420" s="531"/>
      <c r="Y10420" s="531"/>
      <c r="Z10420" s="531"/>
      <c r="AA10420" s="531"/>
      <c r="AB10420" s="531"/>
      <c r="AC10420" s="531"/>
      <c r="AD10420" s="531"/>
      <c r="AE10420" s="531"/>
      <c r="AF10420" s="531"/>
      <c r="AG10420" s="531"/>
      <c r="AH10420" s="531"/>
      <c r="AI10420" s="531"/>
      <c r="AJ10420" s="531"/>
      <c r="AK10420" s="531"/>
      <c r="AL10420" s="531"/>
      <c r="AM10420" s="531"/>
      <c r="AN10420" s="531"/>
      <c r="AO10420" s="531"/>
      <c r="AR10420" s="761" t="s">
        <v>145</v>
      </c>
      <c r="AS10420" s="764"/>
    </row>
    <row r="10421" spans="1:45" s="520" customFormat="1" ht="12" thickTop="1">
      <c r="A10421" s="51"/>
      <c r="B10421" s="41"/>
      <c r="C10421" s="51"/>
      <c r="E10421" s="42" t="s">
        <v>138</v>
      </c>
      <c r="F10421" s="42" t="s">
        <v>139</v>
      </c>
      <c r="G10421" s="51"/>
      <c r="H10421" s="51"/>
      <c r="I10421" s="51"/>
      <c r="J10421" s="51"/>
      <c r="K10421" s="51" t="s">
        <v>140</v>
      </c>
      <c r="L10421" s="51"/>
      <c r="M10421" s="51"/>
      <c r="N10421" s="51"/>
      <c r="O10421" s="52"/>
      <c r="P10421" s="51"/>
      <c r="Q10421" s="51"/>
      <c r="R10421" s="51"/>
      <c r="S10421" s="51"/>
      <c r="T10421" s="41"/>
      <c r="AG10421" s="521" t="s">
        <v>268</v>
      </c>
      <c r="AH10421" s="521" t="s">
        <v>269</v>
      </c>
      <c r="AI10421" s="521" t="s">
        <v>270</v>
      </c>
      <c r="AJ10421" s="521" t="s">
        <v>271</v>
      </c>
      <c r="AK10421" s="521" t="s">
        <v>272</v>
      </c>
      <c r="AM10421" s="745" t="s">
        <v>281</v>
      </c>
      <c r="AN10421" s="746" t="s">
        <v>282</v>
      </c>
      <c r="AO10421" s="522" t="s">
        <v>278</v>
      </c>
      <c r="AR10421" s="51"/>
      <c r="AS10421" s="42" t="s">
        <v>139</v>
      </c>
    </row>
    <row r="10422" spans="1:45" s="520" customFormat="1" ht="12" customHeight="1">
      <c r="A10422" s="747">
        <v>1</v>
      </c>
      <c r="B10422" s="523" t="s">
        <v>329</v>
      </c>
      <c r="C10422" s="748"/>
      <c r="D10422" s="749" t="s">
        <v>1921</v>
      </c>
      <c r="E10422" s="1145">
        <f>IF(AND($A10422=0,$A$1="DIF"),0, ROUND(ROUND(($R10426*$S$3+($T10426*$T$3))/$A10422,2)*$C$3,2))</f>
        <v>24.63</v>
      </c>
      <c r="F10422" s="1146">
        <f>ROUND($A10422*$E10422,2)</f>
        <v>24.63</v>
      </c>
      <c r="G10422" s="752" t="s">
        <v>142</v>
      </c>
      <c r="H10422" s="753"/>
      <c r="I10422" s="754"/>
      <c r="J10422" s="753"/>
      <c r="K10422" s="753" t="s">
        <v>5</v>
      </c>
      <c r="L10422" s="755" t="s">
        <v>143</v>
      </c>
      <c r="M10422" s="755"/>
      <c r="N10422" s="755"/>
      <c r="O10422" s="755"/>
      <c r="P10422" s="755"/>
      <c r="Q10422" s="51"/>
      <c r="T10422" s="1150" t="str">
        <f>IF(AND($R10426=0,$T10426=0),"0.00","mu: "&amp; ROUND(F10422/$C$3/($R10426+$T10426*$D$9),2))</f>
        <v>mu: 1.13</v>
      </c>
      <c r="W10422" s="524"/>
      <c r="AG10422" s="1147">
        <f>IF($E10422=0,0,ROUND($R10426*$S$3*$C$3/$A10422,2))</f>
        <v>24.63</v>
      </c>
      <c r="AH10422" s="1147">
        <f>$AG10422*$A10422</f>
        <v>24.63</v>
      </c>
      <c r="AI10422" s="1148">
        <f>$E10422-$AG10422</f>
        <v>0</v>
      </c>
      <c r="AJ10422" s="1148">
        <f>$A10422*$AI10422</f>
        <v>0</v>
      </c>
      <c r="AK10422" s="1149">
        <f>ROUND(($AG10422+$AI10422)*$A10422,2)</f>
        <v>24.63</v>
      </c>
      <c r="AM10422" s="527">
        <f>ROUND(R10426,2)</f>
        <v>21.83</v>
      </c>
      <c r="AN10422" s="528">
        <f>ROUND(T10426,2)</f>
        <v>0</v>
      </c>
      <c r="AO10422" s="529">
        <f>ROUND(AM10422+AN10422,2)*A10422</f>
        <v>21.83</v>
      </c>
      <c r="AR10422" s="747">
        <v>1</v>
      </c>
      <c r="AS10422" s="1146">
        <v>26.81</v>
      </c>
    </row>
    <row r="10423" spans="1:45" s="520" customFormat="1" ht="13.2">
      <c r="A10423" s="748"/>
      <c r="B10423"/>
      <c r="C10423" s="748"/>
      <c r="D10423" s="749" t="s">
        <v>2198</v>
      </c>
      <c r="F10423" s="753"/>
      <c r="G10423" s="3"/>
      <c r="H10423" s="753"/>
      <c r="I10423" s="754"/>
      <c r="J10423" s="753"/>
      <c r="K10423" s="753" t="s">
        <v>144</v>
      </c>
      <c r="L10423" s="753"/>
      <c r="M10423" s="753"/>
      <c r="N10423" s="753"/>
      <c r="O10423" s="753"/>
      <c r="P10423" s="753"/>
      <c r="Q10423" s="51"/>
      <c r="R10423" s="530"/>
      <c r="S10423" s="757"/>
      <c r="T10423" s="753"/>
      <c r="AR10423" s="748"/>
      <c r="AS10423" s="753"/>
    </row>
    <row r="10424" spans="1:45" s="901" customFormat="1" ht="13.2">
      <c r="A10424" s="903">
        <v>1</v>
      </c>
      <c r="B10424" s="904" t="s">
        <v>863</v>
      </c>
      <c r="C10424" s="904"/>
      <c r="D10424" s="904" t="s">
        <v>2594</v>
      </c>
      <c r="E10424" s="904"/>
      <c r="F10424" s="1153" t="s">
        <v>4140</v>
      </c>
      <c r="G10424" s="905" t="s">
        <v>2595</v>
      </c>
      <c r="H10424" s="902">
        <v>960</v>
      </c>
      <c r="I10424" s="904" t="s">
        <v>2596</v>
      </c>
      <c r="J10424" s="904"/>
      <c r="K10424" s="904"/>
      <c r="L10424" s="904"/>
      <c r="M10424" s="904"/>
      <c r="N10424" s="904"/>
      <c r="O10424" s="902">
        <v>4</v>
      </c>
      <c r="P10424" s="906">
        <v>38274</v>
      </c>
      <c r="Q10424" s="1415">
        <f>25*0.873</f>
        <v>21.824999999999999</v>
      </c>
      <c r="R10424" s="908">
        <f>$A10424*Q10424</f>
        <v>21.824999999999999</v>
      </c>
      <c r="S10424" s="907"/>
      <c r="T10424" s="909">
        <f>$A10424*S10424*$T$1</f>
        <v>0</v>
      </c>
      <c r="AR10424" s="903">
        <v>1</v>
      </c>
      <c r="AS10424" s="1153" t="s">
        <v>3507</v>
      </c>
    </row>
    <row r="10425" spans="1:45" s="520" customFormat="1" ht="12">
      <c r="A10425" s="758"/>
      <c r="B10425" s="758"/>
      <c r="C10425" s="758"/>
      <c r="D10425" s="758"/>
      <c r="E10425" s="758"/>
      <c r="F10425" s="753"/>
      <c r="G10425" s="758"/>
      <c r="H10425" s="758"/>
      <c r="I10425" s="519"/>
      <c r="J10425" s="758"/>
      <c r="K10425" s="758"/>
      <c r="L10425" s="758"/>
      <c r="M10425" s="758"/>
      <c r="N10425" s="758"/>
      <c r="O10425" s="758"/>
      <c r="P10425" s="758"/>
      <c r="Q10425" s="519"/>
      <c r="R10425" s="759">
        <f>$A10425*Q10425</f>
        <v>0</v>
      </c>
      <c r="S10425" s="519"/>
      <c r="T10425" s="760">
        <f>$A10425*S10425*$T$1</f>
        <v>0</v>
      </c>
      <c r="AR10425" s="758"/>
      <c r="AS10425" s="753"/>
    </row>
    <row r="10426" spans="1:45" s="520" customFormat="1" ht="12.6" thickBot="1">
      <c r="A10426" s="761" t="s">
        <v>145</v>
      </c>
      <c r="B10426" s="762">
        <f>(R10425+T10425)</f>
        <v>0</v>
      </c>
      <c r="C10426" s="763"/>
      <c r="D10426" s="763"/>
      <c r="E10426" s="763"/>
      <c r="F10426" s="764"/>
      <c r="G10426" s="763" t="s">
        <v>146</v>
      </c>
      <c r="H10426" s="763"/>
      <c r="I10426" s="765"/>
      <c r="J10426" s="763"/>
      <c r="K10426" s="763" t="s">
        <v>5</v>
      </c>
      <c r="L10426" s="766" t="s">
        <v>143</v>
      </c>
      <c r="M10426" s="766"/>
      <c r="N10426" s="766"/>
      <c r="O10426" s="766"/>
      <c r="P10426" s="766"/>
      <c r="Q10426" s="767"/>
      <c r="R10426" s="768">
        <f>SUM(R10423:R10425)</f>
        <v>21.824999999999999</v>
      </c>
      <c r="S10426" s="763"/>
      <c r="T10426" s="768">
        <f>SUM(T10423:T10425)</f>
        <v>0</v>
      </c>
      <c r="U10426" s="531"/>
      <c r="V10426" s="531"/>
      <c r="W10426" s="531"/>
      <c r="X10426" s="531"/>
      <c r="Y10426" s="531"/>
      <c r="Z10426" s="531"/>
      <c r="AA10426" s="531"/>
      <c r="AB10426" s="531"/>
      <c r="AC10426" s="531"/>
      <c r="AD10426" s="531"/>
      <c r="AE10426" s="531"/>
      <c r="AF10426" s="531"/>
      <c r="AG10426" s="531"/>
      <c r="AH10426" s="531"/>
      <c r="AI10426" s="531"/>
      <c r="AJ10426" s="531"/>
      <c r="AK10426" s="531"/>
      <c r="AL10426" s="531"/>
      <c r="AM10426" s="531"/>
      <c r="AN10426" s="531"/>
      <c r="AO10426" s="531"/>
      <c r="AR10426" s="761" t="s">
        <v>145</v>
      </c>
      <c r="AS10426" s="764"/>
    </row>
    <row r="10427" spans="1:45" s="520" customFormat="1" ht="12" thickTop="1">
      <c r="A10427" s="51"/>
      <c r="B10427" s="41"/>
      <c r="C10427" s="51"/>
      <c r="E10427" s="42" t="s">
        <v>138</v>
      </c>
      <c r="F10427" s="42" t="s">
        <v>139</v>
      </c>
      <c r="G10427" s="51"/>
      <c r="H10427" s="51"/>
      <c r="I10427" s="51"/>
      <c r="J10427" s="51"/>
      <c r="K10427" s="51" t="s">
        <v>140</v>
      </c>
      <c r="L10427" s="51"/>
      <c r="M10427" s="51"/>
      <c r="N10427" s="51"/>
      <c r="O10427" s="52"/>
      <c r="P10427" s="51"/>
      <c r="Q10427" s="51"/>
      <c r="R10427" s="51"/>
      <c r="S10427" s="51"/>
      <c r="T10427" s="41"/>
      <c r="AG10427" s="521" t="s">
        <v>268</v>
      </c>
      <c r="AH10427" s="521" t="s">
        <v>269</v>
      </c>
      <c r="AI10427" s="521" t="s">
        <v>270</v>
      </c>
      <c r="AJ10427" s="521" t="s">
        <v>271</v>
      </c>
      <c r="AK10427" s="521" t="s">
        <v>272</v>
      </c>
      <c r="AM10427" s="745" t="s">
        <v>281</v>
      </c>
      <c r="AN10427" s="746" t="s">
        <v>282</v>
      </c>
      <c r="AO10427" s="522" t="s">
        <v>278</v>
      </c>
      <c r="AR10427" s="51"/>
      <c r="AS10427" s="42" t="s">
        <v>139</v>
      </c>
    </row>
    <row r="10428" spans="1:45" s="520" customFormat="1" ht="12" customHeight="1">
      <c r="A10428" s="747">
        <v>2</v>
      </c>
      <c r="B10428" s="523" t="s">
        <v>329</v>
      </c>
      <c r="C10428" s="748"/>
      <c r="D10428" s="749" t="s">
        <v>1923</v>
      </c>
      <c r="E10428" s="1145">
        <f>IF(AND($A10428=0,$A$1="DIF"),0, ROUND(ROUND(($R10432*$S$3+($T10432*$T$3))/$A10428,2)*$C$3,2))</f>
        <v>24.63</v>
      </c>
      <c r="F10428" s="1146">
        <f>ROUND($A10428*$E10428,2)</f>
        <v>49.26</v>
      </c>
      <c r="G10428" s="752" t="s">
        <v>142</v>
      </c>
      <c r="H10428" s="753"/>
      <c r="I10428" s="754"/>
      <c r="J10428" s="753"/>
      <c r="K10428" s="753" t="s">
        <v>5</v>
      </c>
      <c r="L10428" s="755" t="s">
        <v>143</v>
      </c>
      <c r="M10428" s="755"/>
      <c r="N10428" s="755"/>
      <c r="O10428" s="755"/>
      <c r="P10428" s="755"/>
      <c r="Q10428" s="51"/>
      <c r="T10428" s="1150" t="str">
        <f>IF(AND($R10432=0,$T10432=0),"0.00","mu: "&amp; ROUND(F10428/$C$3/($R10432+$T10432*$D$9),2))</f>
        <v>mu: 1.13</v>
      </c>
      <c r="W10428" s="524"/>
      <c r="AG10428" s="1147">
        <f>IF($E10428=0,0,ROUND($R10432*$S$3*$C$3/$A10428,2))</f>
        <v>24.63</v>
      </c>
      <c r="AH10428" s="1147">
        <f>$AG10428*$A10428</f>
        <v>49.26</v>
      </c>
      <c r="AI10428" s="1148">
        <f>$E10428-$AG10428</f>
        <v>0</v>
      </c>
      <c r="AJ10428" s="1148">
        <f>$A10428*$AI10428</f>
        <v>0</v>
      </c>
      <c r="AK10428" s="1149">
        <f>ROUND(($AG10428+$AI10428)*$A10428,2)</f>
        <v>49.26</v>
      </c>
      <c r="AM10428" s="527">
        <f>ROUND(R10432,2)</f>
        <v>43.65</v>
      </c>
      <c r="AN10428" s="528">
        <f>ROUND(T10432,2)</f>
        <v>0</v>
      </c>
      <c r="AO10428" s="529">
        <f>ROUND(AM10428+AN10428,2)*A10428</f>
        <v>87.3</v>
      </c>
      <c r="AR10428" s="747">
        <v>2</v>
      </c>
      <c r="AS10428" s="1146">
        <v>53.62</v>
      </c>
    </row>
    <row r="10429" spans="1:45" s="520" customFormat="1" ht="13.2">
      <c r="A10429" s="748"/>
      <c r="B10429"/>
      <c r="C10429" s="748"/>
      <c r="D10429" s="749" t="s">
        <v>2199</v>
      </c>
      <c r="F10429" s="753"/>
      <c r="G10429" s="3"/>
      <c r="H10429" s="753"/>
      <c r="I10429" s="754"/>
      <c r="J10429" s="753"/>
      <c r="K10429" s="753" t="s">
        <v>144</v>
      </c>
      <c r="L10429" s="753"/>
      <c r="M10429" s="753"/>
      <c r="N10429" s="753"/>
      <c r="O10429" s="753"/>
      <c r="P10429" s="753"/>
      <c r="Q10429" s="51"/>
      <c r="R10429" s="530"/>
      <c r="S10429" s="757"/>
      <c r="T10429" s="753"/>
      <c r="AR10429" s="748"/>
      <c r="AS10429" s="753"/>
    </row>
    <row r="10430" spans="1:45" s="901" customFormat="1" ht="13.2">
      <c r="A10430" s="903">
        <v>2</v>
      </c>
      <c r="B10430" s="904" t="s">
        <v>863</v>
      </c>
      <c r="C10430" s="904"/>
      <c r="D10430" s="904" t="s">
        <v>2594</v>
      </c>
      <c r="E10430" s="904"/>
      <c r="F10430" s="1153" t="s">
        <v>4140</v>
      </c>
      <c r="G10430" s="905" t="s">
        <v>2595</v>
      </c>
      <c r="H10430" s="902">
        <v>960</v>
      </c>
      <c r="I10430" s="904" t="s">
        <v>2596</v>
      </c>
      <c r="J10430" s="904"/>
      <c r="K10430" s="904"/>
      <c r="L10430" s="904"/>
      <c r="M10430" s="904"/>
      <c r="N10430" s="904"/>
      <c r="O10430" s="902">
        <v>4</v>
      </c>
      <c r="P10430" s="906">
        <v>38274</v>
      </c>
      <c r="Q10430" s="1415">
        <f>25*0.873</f>
        <v>21.824999999999999</v>
      </c>
      <c r="R10430" s="908">
        <f>$A10430*Q10430</f>
        <v>43.65</v>
      </c>
      <c r="S10430" s="907"/>
      <c r="T10430" s="909">
        <f>$A10430*S10430*$T$1</f>
        <v>0</v>
      </c>
      <c r="AR10430" s="903">
        <v>2</v>
      </c>
      <c r="AS10430" s="1153" t="s">
        <v>3507</v>
      </c>
    </row>
    <row r="10431" spans="1:45" s="520" customFormat="1" ht="12">
      <c r="A10431" s="758"/>
      <c r="B10431" s="758"/>
      <c r="C10431" s="758"/>
      <c r="D10431" s="758"/>
      <c r="E10431" s="758"/>
      <c r="F10431" s="753"/>
      <c r="G10431" s="758"/>
      <c r="H10431" s="758"/>
      <c r="I10431" s="519"/>
      <c r="J10431" s="758"/>
      <c r="K10431" s="758"/>
      <c r="L10431" s="758"/>
      <c r="M10431" s="758"/>
      <c r="N10431" s="758"/>
      <c r="O10431" s="758"/>
      <c r="P10431" s="758"/>
      <c r="Q10431" s="519"/>
      <c r="R10431" s="759">
        <f>$A10431*Q10431</f>
        <v>0</v>
      </c>
      <c r="S10431" s="519"/>
      <c r="T10431" s="760">
        <f>$A10431*S10431*$T$1</f>
        <v>0</v>
      </c>
      <c r="AR10431" s="758"/>
      <c r="AS10431" s="753"/>
    </row>
    <row r="10432" spans="1:45" s="520" customFormat="1" ht="12.6" thickBot="1">
      <c r="A10432" s="761" t="s">
        <v>145</v>
      </c>
      <c r="B10432" s="762">
        <f>(R10431+T10431)</f>
        <v>0</v>
      </c>
      <c r="C10432" s="763"/>
      <c r="D10432" s="763"/>
      <c r="E10432" s="763"/>
      <c r="F10432" s="764"/>
      <c r="G10432" s="763" t="s">
        <v>146</v>
      </c>
      <c r="H10432" s="763"/>
      <c r="I10432" s="765"/>
      <c r="J10432" s="763"/>
      <c r="K10432" s="763" t="s">
        <v>5</v>
      </c>
      <c r="L10432" s="766" t="s">
        <v>143</v>
      </c>
      <c r="M10432" s="766"/>
      <c r="N10432" s="766"/>
      <c r="O10432" s="766"/>
      <c r="P10432" s="766"/>
      <c r="Q10432" s="767"/>
      <c r="R10432" s="768">
        <f>SUM(R10429:R10431)</f>
        <v>43.65</v>
      </c>
      <c r="S10432" s="763"/>
      <c r="T10432" s="768">
        <f>SUM(T10429:T10431)</f>
        <v>0</v>
      </c>
      <c r="U10432" s="531"/>
      <c r="V10432" s="531"/>
      <c r="W10432" s="531"/>
      <c r="X10432" s="531"/>
      <c r="Y10432" s="531"/>
      <c r="Z10432" s="531"/>
      <c r="AA10432" s="531"/>
      <c r="AB10432" s="531"/>
      <c r="AC10432" s="531"/>
      <c r="AD10432" s="531"/>
      <c r="AE10432" s="531"/>
      <c r="AF10432" s="531"/>
      <c r="AG10432" s="531"/>
      <c r="AH10432" s="531"/>
      <c r="AI10432" s="531"/>
      <c r="AJ10432" s="531"/>
      <c r="AK10432" s="531"/>
      <c r="AL10432" s="531"/>
      <c r="AM10432" s="531"/>
      <c r="AN10432" s="531"/>
      <c r="AO10432" s="531"/>
      <c r="AR10432" s="761" t="s">
        <v>145</v>
      </c>
      <c r="AS10432" s="764"/>
    </row>
    <row r="10433" spans="1:45" s="520" customFormat="1" thickTop="1">
      <c r="A10433" s="51"/>
      <c r="B10433" s="51"/>
      <c r="C10433" s="3"/>
      <c r="D10433" s="3"/>
      <c r="E10433" s="51"/>
      <c r="F10433" s="51"/>
      <c r="G10433" s="51"/>
      <c r="H10433" s="51"/>
      <c r="I10433" s="51"/>
      <c r="J10433" s="51"/>
      <c r="K10433" s="51" t="s">
        <v>134</v>
      </c>
      <c r="L10433" s="51"/>
      <c r="M10433" s="51"/>
      <c r="N10433" s="51"/>
      <c r="O10433" s="52"/>
      <c r="P10433" s="51"/>
      <c r="Q10433" s="51"/>
      <c r="R10433" s="51"/>
      <c r="S10433" s="51"/>
      <c r="T10433" s="51"/>
      <c r="AR10433" s="51"/>
      <c r="AS10433" s="51"/>
    </row>
    <row r="10434" spans="1:45" s="520" customFormat="1" ht="12">
      <c r="A10434" s="51"/>
      <c r="B10434" s="51"/>
      <c r="C10434" s="51" t="s">
        <v>135</v>
      </c>
      <c r="D10434" s="37"/>
      <c r="E10434" s="51"/>
      <c r="F10434" s="51"/>
      <c r="G10434" s="51"/>
      <c r="H10434" s="51"/>
      <c r="I10434" s="51"/>
      <c r="J10434" s="51"/>
      <c r="K10434" s="51"/>
      <c r="L10434" s="51"/>
      <c r="M10434" s="51"/>
      <c r="N10434" s="51"/>
      <c r="O10434" s="52"/>
      <c r="P10434" s="51"/>
      <c r="Q10434" s="51"/>
      <c r="R10434" s="51"/>
      <c r="S10434" s="51"/>
      <c r="T10434" s="51"/>
      <c r="AR10434" s="51"/>
      <c r="AS10434" s="51"/>
    </row>
    <row r="10435" spans="1:45" s="520" customFormat="1" ht="12">
      <c r="A10435" s="51"/>
      <c r="B10435" s="51"/>
      <c r="C10435" s="51"/>
      <c r="D10435" s="37" t="s">
        <v>2186</v>
      </c>
      <c r="E10435" s="51"/>
      <c r="F10435" s="51"/>
      <c r="G10435" s="51"/>
      <c r="H10435" s="51"/>
      <c r="I10435" s="51"/>
      <c r="J10435" s="51"/>
      <c r="K10435" s="51"/>
      <c r="L10435" s="51"/>
      <c r="M10435" s="51"/>
      <c r="N10435" s="51"/>
      <c r="O10435" s="52"/>
      <c r="P10435" s="51"/>
      <c r="Q10435" s="51"/>
      <c r="R10435" s="51"/>
      <c r="S10435" s="38"/>
      <c r="T10435" s="38"/>
      <c r="AR10435" s="51"/>
      <c r="AS10435" s="51"/>
    </row>
    <row r="10436" spans="1:45" s="3" customFormat="1" thickBot="1">
      <c r="A10436" s="531"/>
      <c r="O10436" s="107"/>
      <c r="AR10436" s="531"/>
    </row>
    <row r="10437" spans="1:45" s="520" customFormat="1" ht="12" thickTop="1">
      <c r="A10437" s="51"/>
      <c r="B10437" s="41"/>
      <c r="C10437" s="51"/>
      <c r="E10437" s="42" t="s">
        <v>138</v>
      </c>
      <c r="F10437" s="42" t="s">
        <v>139</v>
      </c>
      <c r="G10437" s="51"/>
      <c r="H10437" s="51"/>
      <c r="I10437" s="51"/>
      <c r="J10437" s="51"/>
      <c r="K10437" s="51" t="s">
        <v>140</v>
      </c>
      <c r="L10437" s="51"/>
      <c r="M10437" s="51"/>
      <c r="N10437" s="51"/>
      <c r="O10437" s="52"/>
      <c r="P10437" s="51"/>
      <c r="Q10437" s="51"/>
      <c r="R10437" s="51"/>
      <c r="S10437" s="51"/>
      <c r="T10437" s="41"/>
      <c r="AG10437" s="521" t="s">
        <v>268</v>
      </c>
      <c r="AH10437" s="521" t="s">
        <v>269</v>
      </c>
      <c r="AI10437" s="521" t="s">
        <v>270</v>
      </c>
      <c r="AJ10437" s="521" t="s">
        <v>271</v>
      </c>
      <c r="AK10437" s="521" t="s">
        <v>272</v>
      </c>
      <c r="AM10437" s="745" t="s">
        <v>281</v>
      </c>
      <c r="AN10437" s="746" t="s">
        <v>282</v>
      </c>
      <c r="AO10437" s="522" t="s">
        <v>278</v>
      </c>
      <c r="AR10437" s="51"/>
      <c r="AS10437" s="42" t="s">
        <v>139</v>
      </c>
    </row>
    <row r="10438" spans="1:45" s="520" customFormat="1" ht="12" customHeight="1">
      <c r="A10438" s="747">
        <v>2</v>
      </c>
      <c r="B10438" s="523" t="s">
        <v>329</v>
      </c>
      <c r="C10438" s="748"/>
      <c r="D10438" s="749" t="s">
        <v>1925</v>
      </c>
      <c r="E10438" s="1145">
        <f>IF(AND($A10438=0,$A$1="DIF"),0, ROUND(ROUND(($R10442*$S$3+($T10442*$T$3))/$A10438,2)*$C$3,2))</f>
        <v>317.29000000000002</v>
      </c>
      <c r="F10438" s="1146">
        <f>ROUND($A10438*$E10438,2)</f>
        <v>634.58000000000004</v>
      </c>
      <c r="G10438" s="752" t="s">
        <v>142</v>
      </c>
      <c r="H10438" s="753"/>
      <c r="I10438" s="754"/>
      <c r="J10438" s="753"/>
      <c r="K10438" s="753" t="s">
        <v>5</v>
      </c>
      <c r="L10438" s="755" t="s">
        <v>143</v>
      </c>
      <c r="M10438" s="755"/>
      <c r="N10438" s="755"/>
      <c r="O10438" s="755"/>
      <c r="P10438" s="755"/>
      <c r="Q10438" s="51"/>
      <c r="T10438" s="1150" t="str">
        <f>IF(AND($R10442=0,$T10442=0),"0.00","mu: "&amp; ROUND(F10438/$C$3/($R10442+$T10442*$D$9),2))</f>
        <v>mu: 1.13</v>
      </c>
      <c r="W10438" s="524"/>
      <c r="AG10438" s="1147">
        <f>IF($E10438=0,0,ROUND($R10442*$S$3*$C$3/$A10438,2))</f>
        <v>317.29000000000002</v>
      </c>
      <c r="AH10438" s="1147">
        <f>$AG10438*$A10438</f>
        <v>634.58000000000004</v>
      </c>
      <c r="AI10438" s="1148">
        <f>$E10438-$AG10438</f>
        <v>0</v>
      </c>
      <c r="AJ10438" s="1148">
        <f>$A10438*$AI10438</f>
        <v>0</v>
      </c>
      <c r="AK10438" s="1149">
        <f>ROUND(($AG10438+$AI10438)*$A10438,2)</f>
        <v>634.58000000000004</v>
      </c>
      <c r="AM10438" s="527">
        <f>ROUND(R10442,2)</f>
        <v>562.21</v>
      </c>
      <c r="AN10438" s="528">
        <f>ROUND(T10442,2)</f>
        <v>0</v>
      </c>
      <c r="AO10438" s="529">
        <f>ROUND(AM10438+AN10438,2)*A10438</f>
        <v>1124.42</v>
      </c>
      <c r="AR10438" s="747">
        <v>2</v>
      </c>
      <c r="AS10438" s="1146">
        <v>690.56</v>
      </c>
    </row>
    <row r="10439" spans="1:45" s="520" customFormat="1" ht="13.2">
      <c r="A10439" s="748"/>
      <c r="B10439"/>
      <c r="C10439" s="748"/>
      <c r="D10439" s="749" t="s">
        <v>2197</v>
      </c>
      <c r="F10439" s="753"/>
      <c r="G10439" s="3"/>
      <c r="H10439" s="753"/>
      <c r="I10439" s="754"/>
      <c r="J10439" s="753"/>
      <c r="K10439" s="753" t="s">
        <v>144</v>
      </c>
      <c r="L10439" s="753"/>
      <c r="M10439" s="753"/>
      <c r="N10439" s="753"/>
      <c r="O10439" s="753"/>
      <c r="P10439" s="753"/>
      <c r="Q10439" s="51"/>
      <c r="R10439" s="530"/>
      <c r="S10439" s="757"/>
      <c r="T10439" s="753"/>
      <c r="AR10439" s="748"/>
      <c r="AS10439" s="753"/>
    </row>
    <row r="10440" spans="1:45" s="901" customFormat="1" ht="13.2">
      <c r="A10440" s="903">
        <v>2</v>
      </c>
      <c r="B10440" s="904" t="s">
        <v>863</v>
      </c>
      <c r="C10440" s="904"/>
      <c r="D10440" s="904" t="s">
        <v>2594</v>
      </c>
      <c r="E10440" s="904"/>
      <c r="F10440" s="1153" t="s">
        <v>4140</v>
      </c>
      <c r="G10440" s="905" t="s">
        <v>2595</v>
      </c>
      <c r="H10440" s="902">
        <v>960</v>
      </c>
      <c r="I10440" s="904" t="s">
        <v>2596</v>
      </c>
      <c r="J10440" s="904"/>
      <c r="K10440" s="904"/>
      <c r="L10440" s="904"/>
      <c r="M10440" s="904"/>
      <c r="N10440" s="904"/>
      <c r="O10440" s="902">
        <v>4</v>
      </c>
      <c r="P10440" s="906">
        <v>38274</v>
      </c>
      <c r="Q10440" s="1415">
        <f>322*0.873</f>
        <v>281.10599999999999</v>
      </c>
      <c r="R10440" s="908">
        <f>$A10440*Q10440</f>
        <v>562.21199999999999</v>
      </c>
      <c r="S10440" s="907"/>
      <c r="T10440" s="909">
        <f>$A10440*S10440*$T$1</f>
        <v>0</v>
      </c>
      <c r="AR10440" s="903">
        <v>2</v>
      </c>
      <c r="AS10440" s="1153" t="s">
        <v>3507</v>
      </c>
    </row>
    <row r="10441" spans="1:45" s="520" customFormat="1" ht="12">
      <c r="A10441" s="758"/>
      <c r="B10441" s="758"/>
      <c r="C10441" s="758"/>
      <c r="D10441" s="758"/>
      <c r="E10441" s="758"/>
      <c r="F10441" s="753"/>
      <c r="G10441" s="758"/>
      <c r="H10441" s="758"/>
      <c r="I10441" s="519"/>
      <c r="J10441" s="758"/>
      <c r="K10441" s="758"/>
      <c r="L10441" s="758"/>
      <c r="M10441" s="758"/>
      <c r="N10441" s="758"/>
      <c r="O10441" s="758"/>
      <c r="P10441" s="758"/>
      <c r="Q10441" s="519"/>
      <c r="R10441" s="759">
        <f>$A10441*Q10441</f>
        <v>0</v>
      </c>
      <c r="S10441" s="519"/>
      <c r="T10441" s="760">
        <f>$A10441*S10441*$T$1</f>
        <v>0</v>
      </c>
      <c r="AR10441" s="758"/>
      <c r="AS10441" s="753"/>
    </row>
    <row r="10442" spans="1:45" s="520" customFormat="1" ht="12.6" thickBot="1">
      <c r="A10442" s="761" t="s">
        <v>145</v>
      </c>
      <c r="B10442" s="762">
        <f>(R10441+T10441)</f>
        <v>0</v>
      </c>
      <c r="C10442" s="763"/>
      <c r="D10442" s="763"/>
      <c r="E10442" s="763"/>
      <c r="F10442" s="764"/>
      <c r="G10442" s="763" t="s">
        <v>146</v>
      </c>
      <c r="H10442" s="763"/>
      <c r="I10442" s="765"/>
      <c r="J10442" s="763"/>
      <c r="K10442" s="763" t="s">
        <v>5</v>
      </c>
      <c r="L10442" s="766" t="s">
        <v>143</v>
      </c>
      <c r="M10442" s="766"/>
      <c r="N10442" s="766"/>
      <c r="O10442" s="766"/>
      <c r="P10442" s="766"/>
      <c r="Q10442" s="767"/>
      <c r="R10442" s="768">
        <f>SUM(R10439:R10441)</f>
        <v>562.21199999999999</v>
      </c>
      <c r="S10442" s="763"/>
      <c r="T10442" s="768">
        <f>SUM(T10439:T10441)</f>
        <v>0</v>
      </c>
      <c r="U10442" s="531"/>
      <c r="V10442" s="531"/>
      <c r="W10442" s="531"/>
      <c r="X10442" s="531"/>
      <c r="Y10442" s="531"/>
      <c r="Z10442" s="531"/>
      <c r="AA10442" s="531"/>
      <c r="AB10442" s="531"/>
      <c r="AC10442" s="531"/>
      <c r="AD10442" s="531"/>
      <c r="AE10442" s="531"/>
      <c r="AF10442" s="531"/>
      <c r="AG10442" s="531"/>
      <c r="AH10442" s="531"/>
      <c r="AI10442" s="531"/>
      <c r="AJ10442" s="531"/>
      <c r="AK10442" s="531"/>
      <c r="AL10442" s="531"/>
      <c r="AM10442" s="531"/>
      <c r="AN10442" s="531"/>
      <c r="AO10442" s="531"/>
      <c r="AR10442" s="761" t="s">
        <v>145</v>
      </c>
      <c r="AS10442" s="764"/>
    </row>
    <row r="10443" spans="1:45" s="520" customFormat="1" ht="12" thickTop="1">
      <c r="A10443" s="51"/>
      <c r="B10443" s="41"/>
      <c r="C10443" s="51"/>
      <c r="E10443" s="42" t="s">
        <v>138</v>
      </c>
      <c r="F10443" s="42" t="s">
        <v>139</v>
      </c>
      <c r="G10443" s="51"/>
      <c r="H10443" s="51"/>
      <c r="I10443" s="51"/>
      <c r="J10443" s="51"/>
      <c r="K10443" s="51" t="s">
        <v>140</v>
      </c>
      <c r="L10443" s="51"/>
      <c r="M10443" s="51"/>
      <c r="N10443" s="51"/>
      <c r="O10443" s="52"/>
      <c r="P10443" s="51"/>
      <c r="Q10443" s="51"/>
      <c r="R10443" s="51"/>
      <c r="S10443" s="51"/>
      <c r="T10443" s="41"/>
      <c r="AG10443" s="521" t="s">
        <v>268</v>
      </c>
      <c r="AH10443" s="521" t="s">
        <v>269</v>
      </c>
      <c r="AI10443" s="521" t="s">
        <v>270</v>
      </c>
      <c r="AJ10443" s="521" t="s">
        <v>271</v>
      </c>
      <c r="AK10443" s="521" t="s">
        <v>272</v>
      </c>
      <c r="AM10443" s="745" t="s">
        <v>281</v>
      </c>
      <c r="AN10443" s="746" t="s">
        <v>282</v>
      </c>
      <c r="AO10443" s="522" t="s">
        <v>278</v>
      </c>
      <c r="AR10443" s="51"/>
      <c r="AS10443" s="42" t="s">
        <v>139</v>
      </c>
    </row>
    <row r="10444" spans="1:45" s="520" customFormat="1" ht="12" customHeight="1">
      <c r="A10444" s="747">
        <v>1</v>
      </c>
      <c r="B10444" s="523" t="s">
        <v>329</v>
      </c>
      <c r="C10444" s="748"/>
      <c r="D10444" s="749" t="s">
        <v>1927</v>
      </c>
      <c r="E10444" s="1145">
        <f>IF(AND($A10444=0,$A$1="DIF"),0, ROUND(ROUND(($R10448*$S$3+($T10448*$T$3))/$A10444,2)*$C$3,2))</f>
        <v>317.29000000000002</v>
      </c>
      <c r="F10444" s="1146">
        <f>ROUND($A10444*$E10444,2)</f>
        <v>317.29000000000002</v>
      </c>
      <c r="G10444" s="752" t="s">
        <v>142</v>
      </c>
      <c r="H10444" s="753"/>
      <c r="I10444" s="754"/>
      <c r="J10444" s="753"/>
      <c r="K10444" s="753" t="s">
        <v>5</v>
      </c>
      <c r="L10444" s="755" t="s">
        <v>143</v>
      </c>
      <c r="M10444" s="755"/>
      <c r="N10444" s="755"/>
      <c r="O10444" s="755"/>
      <c r="P10444" s="755"/>
      <c r="Q10444" s="51"/>
      <c r="T10444" s="1150" t="str">
        <f>IF(AND($R10448=0,$T10448=0),"0.00","mu: "&amp; ROUND(F10444/$C$3/($R10448+$T10448*$D$9),2))</f>
        <v>mu: 1.13</v>
      </c>
      <c r="W10444" s="524"/>
      <c r="AG10444" s="1147">
        <f>IF($E10444=0,0,ROUND($R10448*$S$3*$C$3/$A10444,2))</f>
        <v>317.29000000000002</v>
      </c>
      <c r="AH10444" s="1147">
        <f>$AG10444*$A10444</f>
        <v>317.29000000000002</v>
      </c>
      <c r="AI10444" s="1148">
        <f>$E10444-$AG10444</f>
        <v>0</v>
      </c>
      <c r="AJ10444" s="1148">
        <f>$A10444*$AI10444</f>
        <v>0</v>
      </c>
      <c r="AK10444" s="1149">
        <f>ROUND(($AG10444+$AI10444)*$A10444,2)</f>
        <v>317.29000000000002</v>
      </c>
      <c r="AM10444" s="527">
        <f>ROUND(R10448,2)</f>
        <v>281.11</v>
      </c>
      <c r="AN10444" s="528">
        <f>ROUND(T10448,2)</f>
        <v>0</v>
      </c>
      <c r="AO10444" s="529">
        <f>ROUND(AM10444+AN10444,2)*A10444</f>
        <v>281.11</v>
      </c>
      <c r="AR10444" s="747">
        <v>1</v>
      </c>
      <c r="AS10444" s="1146">
        <v>345.28</v>
      </c>
    </row>
    <row r="10445" spans="1:45" s="520" customFormat="1" ht="13.2">
      <c r="A10445" s="748"/>
      <c r="B10445"/>
      <c r="C10445" s="748"/>
      <c r="D10445" s="749" t="s">
        <v>2198</v>
      </c>
      <c r="F10445" s="753"/>
      <c r="G10445" s="3"/>
      <c r="H10445" s="753"/>
      <c r="I10445" s="754"/>
      <c r="J10445" s="753"/>
      <c r="K10445" s="753" t="s">
        <v>144</v>
      </c>
      <c r="L10445" s="753"/>
      <c r="M10445" s="753"/>
      <c r="N10445" s="753"/>
      <c r="O10445" s="753"/>
      <c r="P10445" s="753"/>
      <c r="Q10445" s="51"/>
      <c r="R10445" s="530"/>
      <c r="S10445" s="757"/>
      <c r="T10445" s="753"/>
      <c r="AR10445" s="748"/>
      <c r="AS10445" s="753"/>
    </row>
    <row r="10446" spans="1:45" s="901" customFormat="1" ht="13.2">
      <c r="A10446" s="903">
        <v>1</v>
      </c>
      <c r="B10446" s="904" t="s">
        <v>863</v>
      </c>
      <c r="C10446" s="904"/>
      <c r="D10446" s="904" t="s">
        <v>2594</v>
      </c>
      <c r="E10446" s="904"/>
      <c r="F10446" s="1153" t="s">
        <v>4140</v>
      </c>
      <c r="G10446" s="905" t="s">
        <v>2595</v>
      </c>
      <c r="H10446" s="902">
        <v>960</v>
      </c>
      <c r="I10446" s="904" t="s">
        <v>2596</v>
      </c>
      <c r="J10446" s="904"/>
      <c r="K10446" s="904"/>
      <c r="L10446" s="904"/>
      <c r="M10446" s="904"/>
      <c r="N10446" s="904"/>
      <c r="O10446" s="902">
        <v>4</v>
      </c>
      <c r="P10446" s="906">
        <v>38274</v>
      </c>
      <c r="Q10446" s="1415">
        <f>322*0.873</f>
        <v>281.10599999999999</v>
      </c>
      <c r="R10446" s="908">
        <f>$A10446*Q10446</f>
        <v>281.10599999999999</v>
      </c>
      <c r="S10446" s="907"/>
      <c r="T10446" s="909">
        <f>$A10446*S10446*$T$1</f>
        <v>0</v>
      </c>
      <c r="AR10446" s="903">
        <v>1</v>
      </c>
      <c r="AS10446" s="1153" t="s">
        <v>3507</v>
      </c>
    </row>
    <row r="10447" spans="1:45" s="520" customFormat="1" ht="12">
      <c r="A10447" s="758"/>
      <c r="B10447" s="758"/>
      <c r="C10447" s="758"/>
      <c r="D10447" s="758"/>
      <c r="E10447" s="758"/>
      <c r="F10447" s="753"/>
      <c r="G10447" s="758"/>
      <c r="H10447" s="758"/>
      <c r="I10447" s="519"/>
      <c r="J10447" s="758"/>
      <c r="K10447" s="758"/>
      <c r="L10447" s="758"/>
      <c r="M10447" s="758"/>
      <c r="N10447" s="758"/>
      <c r="O10447" s="758"/>
      <c r="P10447" s="758"/>
      <c r="Q10447" s="519"/>
      <c r="R10447" s="759">
        <f>$A10447*Q10447</f>
        <v>0</v>
      </c>
      <c r="S10447" s="519"/>
      <c r="T10447" s="760">
        <f>$A10447*S10447*$T$1</f>
        <v>0</v>
      </c>
      <c r="AR10447" s="758"/>
      <c r="AS10447" s="753"/>
    </row>
    <row r="10448" spans="1:45" s="520" customFormat="1" ht="12.6" thickBot="1">
      <c r="A10448" s="761" t="s">
        <v>145</v>
      </c>
      <c r="B10448" s="762">
        <f>(R10447+T10447)</f>
        <v>0</v>
      </c>
      <c r="C10448" s="763"/>
      <c r="D10448" s="763"/>
      <c r="E10448" s="763"/>
      <c r="F10448" s="764"/>
      <c r="G10448" s="763" t="s">
        <v>146</v>
      </c>
      <c r="H10448" s="763"/>
      <c r="I10448" s="765"/>
      <c r="J10448" s="763"/>
      <c r="K10448" s="763" t="s">
        <v>5</v>
      </c>
      <c r="L10448" s="766" t="s">
        <v>143</v>
      </c>
      <c r="M10448" s="766"/>
      <c r="N10448" s="766"/>
      <c r="O10448" s="766"/>
      <c r="P10448" s="766"/>
      <c r="Q10448" s="767"/>
      <c r="R10448" s="768">
        <f>SUM(R10445:R10447)</f>
        <v>281.10599999999999</v>
      </c>
      <c r="S10448" s="763"/>
      <c r="T10448" s="768">
        <f>SUM(T10445:T10447)</f>
        <v>0</v>
      </c>
      <c r="U10448" s="531"/>
      <c r="V10448" s="531"/>
      <c r="W10448" s="531"/>
      <c r="X10448" s="531"/>
      <c r="Y10448" s="531"/>
      <c r="Z10448" s="531"/>
      <c r="AA10448" s="531"/>
      <c r="AB10448" s="531"/>
      <c r="AC10448" s="531"/>
      <c r="AD10448" s="531"/>
      <c r="AE10448" s="531"/>
      <c r="AF10448" s="531"/>
      <c r="AG10448" s="531"/>
      <c r="AH10448" s="531"/>
      <c r="AI10448" s="531"/>
      <c r="AJ10448" s="531"/>
      <c r="AK10448" s="531"/>
      <c r="AL10448" s="531"/>
      <c r="AM10448" s="531"/>
      <c r="AN10448" s="531"/>
      <c r="AO10448" s="531"/>
      <c r="AR10448" s="761" t="s">
        <v>145</v>
      </c>
      <c r="AS10448" s="764"/>
    </row>
    <row r="10449" spans="1:45" s="520" customFormat="1" ht="12" thickTop="1">
      <c r="A10449" s="51"/>
      <c r="B10449" s="41"/>
      <c r="C10449" s="51"/>
      <c r="E10449" s="42" t="s">
        <v>138</v>
      </c>
      <c r="F10449" s="42" t="s">
        <v>139</v>
      </c>
      <c r="G10449" s="51"/>
      <c r="H10449" s="51"/>
      <c r="I10449" s="51"/>
      <c r="J10449" s="51"/>
      <c r="K10449" s="51" t="s">
        <v>140</v>
      </c>
      <c r="L10449" s="51"/>
      <c r="M10449" s="51"/>
      <c r="N10449" s="51"/>
      <c r="O10449" s="52"/>
      <c r="P10449" s="51"/>
      <c r="Q10449" s="51"/>
      <c r="R10449" s="51"/>
      <c r="S10449" s="51"/>
      <c r="T10449" s="41"/>
      <c r="AG10449" s="521" t="s">
        <v>268</v>
      </c>
      <c r="AH10449" s="521" t="s">
        <v>269</v>
      </c>
      <c r="AI10449" s="521" t="s">
        <v>270</v>
      </c>
      <c r="AJ10449" s="521" t="s">
        <v>271</v>
      </c>
      <c r="AK10449" s="521" t="s">
        <v>272</v>
      </c>
      <c r="AM10449" s="745" t="s">
        <v>281</v>
      </c>
      <c r="AN10449" s="746" t="s">
        <v>282</v>
      </c>
      <c r="AO10449" s="522" t="s">
        <v>278</v>
      </c>
      <c r="AR10449" s="51"/>
      <c r="AS10449" s="42" t="s">
        <v>139</v>
      </c>
    </row>
    <row r="10450" spans="1:45" s="520" customFormat="1" ht="12" customHeight="1">
      <c r="A10450" s="747">
        <v>1</v>
      </c>
      <c r="B10450" s="523" t="s">
        <v>329</v>
      </c>
      <c r="C10450" s="748"/>
      <c r="D10450" s="749" t="s">
        <v>1929</v>
      </c>
      <c r="E10450" s="1145">
        <f>IF(AND($A10450=0,$A$1="DIF"),0, ROUND(ROUND(($R10454*$S$3+($T10454*$T$3))/$A10450,2)*$C$3,2))</f>
        <v>295.61</v>
      </c>
      <c r="F10450" s="1146">
        <f>ROUND($A10450*$E10450,2)</f>
        <v>295.61</v>
      </c>
      <c r="G10450" s="752" t="s">
        <v>142</v>
      </c>
      <c r="H10450" s="753"/>
      <c r="I10450" s="754"/>
      <c r="J10450" s="753"/>
      <c r="K10450" s="753" t="s">
        <v>5</v>
      </c>
      <c r="L10450" s="755" t="s">
        <v>143</v>
      </c>
      <c r="M10450" s="755"/>
      <c r="N10450" s="755"/>
      <c r="O10450" s="755"/>
      <c r="P10450" s="755"/>
      <c r="Q10450" s="51"/>
      <c r="T10450" s="1150" t="str">
        <f>IF(AND($R10454=0,$T10454=0),"0.00","mu: "&amp; ROUND(F10450/$C$3/($R10454+$T10454*$D$9),2))</f>
        <v>mu: 1.13</v>
      </c>
      <c r="W10450" s="524"/>
      <c r="AG10450" s="1147">
        <f>IF($E10450=0,0,ROUND($R10454*$S$3*$C$3/$A10450,2))</f>
        <v>295.61</v>
      </c>
      <c r="AH10450" s="1147">
        <f>$AG10450*$A10450</f>
        <v>295.61</v>
      </c>
      <c r="AI10450" s="1148">
        <f>$E10450-$AG10450</f>
        <v>0</v>
      </c>
      <c r="AJ10450" s="1148">
        <f>$A10450*$AI10450</f>
        <v>0</v>
      </c>
      <c r="AK10450" s="1149">
        <f>ROUND(($AG10450+$AI10450)*$A10450,2)</f>
        <v>295.61</v>
      </c>
      <c r="AM10450" s="527">
        <f>ROUND(R10454,2)</f>
        <v>261.89999999999998</v>
      </c>
      <c r="AN10450" s="528">
        <f>ROUND(T10454,2)</f>
        <v>0</v>
      </c>
      <c r="AO10450" s="529">
        <f>ROUND(AM10450+AN10450,2)*A10450</f>
        <v>261.89999999999998</v>
      </c>
      <c r="AR10450" s="747">
        <v>1</v>
      </c>
      <c r="AS10450" s="1146">
        <v>321.69</v>
      </c>
    </row>
    <row r="10451" spans="1:45" s="520" customFormat="1" ht="13.2">
      <c r="A10451" s="748"/>
      <c r="B10451"/>
      <c r="C10451" s="748"/>
      <c r="D10451" s="749" t="s">
        <v>2199</v>
      </c>
      <c r="F10451" s="753"/>
      <c r="G10451" s="3"/>
      <c r="H10451" s="753"/>
      <c r="I10451" s="754"/>
      <c r="J10451" s="753"/>
      <c r="K10451" s="753" t="s">
        <v>144</v>
      </c>
      <c r="L10451" s="753"/>
      <c r="M10451" s="753"/>
      <c r="N10451" s="753"/>
      <c r="O10451" s="753"/>
      <c r="P10451" s="753"/>
      <c r="Q10451" s="51"/>
      <c r="R10451" s="530"/>
      <c r="S10451" s="757"/>
      <c r="T10451" s="753"/>
      <c r="AR10451" s="748"/>
      <c r="AS10451" s="753"/>
    </row>
    <row r="10452" spans="1:45" s="901" customFormat="1" ht="13.2">
      <c r="A10452" s="903">
        <v>1</v>
      </c>
      <c r="B10452" s="904" t="s">
        <v>863</v>
      </c>
      <c r="C10452" s="904"/>
      <c r="D10452" s="904" t="s">
        <v>2594</v>
      </c>
      <c r="E10452" s="904"/>
      <c r="F10452" s="1153" t="s">
        <v>4140</v>
      </c>
      <c r="G10452" s="905" t="s">
        <v>2595</v>
      </c>
      <c r="H10452" s="902">
        <v>960</v>
      </c>
      <c r="I10452" s="904" t="s">
        <v>2596</v>
      </c>
      <c r="J10452" s="904"/>
      <c r="K10452" s="904"/>
      <c r="L10452" s="904"/>
      <c r="M10452" s="904"/>
      <c r="N10452" s="904"/>
      <c r="O10452" s="902">
        <v>4</v>
      </c>
      <c r="P10452" s="906">
        <v>38274</v>
      </c>
      <c r="Q10452" s="1415">
        <f>300*0.873</f>
        <v>261.89999999999998</v>
      </c>
      <c r="R10452" s="908">
        <f>$A10452*Q10452</f>
        <v>261.89999999999998</v>
      </c>
      <c r="S10452" s="907"/>
      <c r="T10452" s="909">
        <f>$A10452*S10452*$T$1</f>
        <v>0</v>
      </c>
      <c r="AR10452" s="903">
        <v>1</v>
      </c>
      <c r="AS10452" s="1153" t="s">
        <v>3507</v>
      </c>
    </row>
    <row r="10453" spans="1:45" s="520" customFormat="1" ht="12">
      <c r="A10453" s="758"/>
      <c r="B10453" s="758"/>
      <c r="C10453" s="758"/>
      <c r="D10453" s="758"/>
      <c r="E10453" s="758"/>
      <c r="F10453" s="753"/>
      <c r="G10453" s="758"/>
      <c r="H10453" s="758"/>
      <c r="I10453" s="519"/>
      <c r="J10453" s="758"/>
      <c r="K10453" s="758"/>
      <c r="L10453" s="758"/>
      <c r="M10453" s="758"/>
      <c r="N10453" s="758"/>
      <c r="O10453" s="758"/>
      <c r="P10453" s="758"/>
      <c r="Q10453" s="519"/>
      <c r="R10453" s="759">
        <f>$A10453*Q10453</f>
        <v>0</v>
      </c>
      <c r="S10453" s="519"/>
      <c r="T10453" s="760">
        <f>$A10453*S10453*$T$1</f>
        <v>0</v>
      </c>
      <c r="AR10453" s="758"/>
      <c r="AS10453" s="753"/>
    </row>
    <row r="10454" spans="1:45" s="520" customFormat="1" ht="12.6" thickBot="1">
      <c r="A10454" s="761" t="s">
        <v>145</v>
      </c>
      <c r="B10454" s="762">
        <f>(R10453+T10453)</f>
        <v>0</v>
      </c>
      <c r="C10454" s="763"/>
      <c r="D10454" s="763"/>
      <c r="E10454" s="763"/>
      <c r="F10454" s="764"/>
      <c r="G10454" s="763" t="s">
        <v>146</v>
      </c>
      <c r="H10454" s="763"/>
      <c r="I10454" s="765"/>
      <c r="J10454" s="763"/>
      <c r="K10454" s="763" t="s">
        <v>5</v>
      </c>
      <c r="L10454" s="766" t="s">
        <v>143</v>
      </c>
      <c r="M10454" s="766"/>
      <c r="N10454" s="766"/>
      <c r="O10454" s="766"/>
      <c r="P10454" s="766"/>
      <c r="Q10454" s="767"/>
      <c r="R10454" s="768">
        <f>SUM(R10451:R10453)</f>
        <v>261.89999999999998</v>
      </c>
      <c r="S10454" s="763"/>
      <c r="T10454" s="768">
        <f>SUM(T10451:T10453)</f>
        <v>0</v>
      </c>
      <c r="U10454" s="531"/>
      <c r="V10454" s="531"/>
      <c r="W10454" s="531"/>
      <c r="X10454" s="531"/>
      <c r="Y10454" s="531"/>
      <c r="Z10454" s="531"/>
      <c r="AA10454" s="531"/>
      <c r="AB10454" s="531"/>
      <c r="AC10454" s="531"/>
      <c r="AD10454" s="531"/>
      <c r="AE10454" s="531"/>
      <c r="AF10454" s="531"/>
      <c r="AG10454" s="531"/>
      <c r="AH10454" s="531"/>
      <c r="AI10454" s="531"/>
      <c r="AJ10454" s="531"/>
      <c r="AK10454" s="531"/>
      <c r="AL10454" s="531"/>
      <c r="AM10454" s="531"/>
      <c r="AN10454" s="531"/>
      <c r="AO10454" s="531"/>
      <c r="AR10454" s="761" t="s">
        <v>145</v>
      </c>
      <c r="AS10454" s="764"/>
    </row>
    <row r="10455" spans="1:45" s="520" customFormat="1" ht="12" thickTop="1">
      <c r="A10455" s="51"/>
      <c r="B10455" s="41"/>
      <c r="C10455" s="51"/>
      <c r="E10455" s="42" t="s">
        <v>138</v>
      </c>
      <c r="F10455" s="42" t="s">
        <v>139</v>
      </c>
      <c r="G10455" s="51"/>
      <c r="H10455" s="51"/>
      <c r="I10455" s="51"/>
      <c r="J10455" s="51"/>
      <c r="K10455" s="51" t="s">
        <v>140</v>
      </c>
      <c r="L10455" s="51"/>
      <c r="M10455" s="51"/>
      <c r="N10455" s="51"/>
      <c r="O10455" s="52"/>
      <c r="P10455" s="51"/>
      <c r="Q10455" s="51"/>
      <c r="R10455" s="51"/>
      <c r="S10455" s="51"/>
      <c r="T10455" s="41"/>
      <c r="AG10455" s="521" t="s">
        <v>268</v>
      </c>
      <c r="AH10455" s="521" t="s">
        <v>269</v>
      </c>
      <c r="AI10455" s="521" t="s">
        <v>270</v>
      </c>
      <c r="AJ10455" s="521" t="s">
        <v>271</v>
      </c>
      <c r="AK10455" s="521" t="s">
        <v>272</v>
      </c>
      <c r="AM10455" s="745" t="s">
        <v>281</v>
      </c>
      <c r="AN10455" s="746" t="s">
        <v>282</v>
      </c>
      <c r="AO10455" s="522" t="s">
        <v>278</v>
      </c>
      <c r="AR10455" s="51"/>
      <c r="AS10455" s="42" t="s">
        <v>139</v>
      </c>
    </row>
    <row r="10456" spans="1:45" s="520" customFormat="1" ht="12" customHeight="1">
      <c r="A10456" s="747">
        <v>1</v>
      </c>
      <c r="B10456" s="523" t="s">
        <v>329</v>
      </c>
      <c r="C10456" s="748"/>
      <c r="D10456" s="749" t="s">
        <v>1930</v>
      </c>
      <c r="E10456" s="1145">
        <f>IF(AND($A10456=0,$A$1="DIF"),0, ROUND(ROUND(($R10460*$S$3+($T10460*$T$3))/$A10456,2)*$C$3,2))</f>
        <v>177.37</v>
      </c>
      <c r="F10456" s="1146">
        <f>ROUND($A10456*$E10456,2)</f>
        <v>177.37</v>
      </c>
      <c r="G10456" s="752" t="s">
        <v>142</v>
      </c>
      <c r="H10456" s="753"/>
      <c r="I10456" s="754"/>
      <c r="J10456" s="753"/>
      <c r="K10456" s="753" t="s">
        <v>5</v>
      </c>
      <c r="L10456" s="755" t="s">
        <v>143</v>
      </c>
      <c r="M10456" s="755"/>
      <c r="N10456" s="755"/>
      <c r="O10456" s="755"/>
      <c r="P10456" s="755"/>
      <c r="Q10456" s="51"/>
      <c r="T10456" s="1150" t="str">
        <f>IF(AND($R10460=0,$T10460=0),"0.00","mu: "&amp; ROUND(F10456/$C$3/($R10460+$T10460*$D$9),2))</f>
        <v>mu: 1.13</v>
      </c>
      <c r="W10456" s="524"/>
      <c r="AG10456" s="1147">
        <f>IF($E10456=0,0,ROUND($R10460*$S$3*$C$3/$A10456,2))</f>
        <v>177.37</v>
      </c>
      <c r="AH10456" s="1147">
        <f>$AG10456*$A10456</f>
        <v>177.37</v>
      </c>
      <c r="AI10456" s="1148">
        <f>$E10456-$AG10456</f>
        <v>0</v>
      </c>
      <c r="AJ10456" s="1148">
        <f>$A10456*$AI10456</f>
        <v>0</v>
      </c>
      <c r="AK10456" s="1149">
        <f>ROUND(($AG10456+$AI10456)*$A10456,2)</f>
        <v>177.37</v>
      </c>
      <c r="AM10456" s="527">
        <f>ROUND(R10460,2)</f>
        <v>157.13999999999999</v>
      </c>
      <c r="AN10456" s="528">
        <f>ROUND(T10460,2)</f>
        <v>0</v>
      </c>
      <c r="AO10456" s="529">
        <f>ROUND(AM10456+AN10456,2)*A10456</f>
        <v>157.13999999999999</v>
      </c>
      <c r="AR10456" s="747">
        <v>1</v>
      </c>
      <c r="AS10456" s="1146">
        <v>193.01</v>
      </c>
    </row>
    <row r="10457" spans="1:45" s="520" customFormat="1" ht="13.2">
      <c r="A10457" s="748"/>
      <c r="B10457"/>
      <c r="C10457" s="748"/>
      <c r="D10457" s="749" t="s">
        <v>2200</v>
      </c>
      <c r="F10457" s="753"/>
      <c r="G10457" s="3"/>
      <c r="H10457" s="753"/>
      <c r="I10457" s="754"/>
      <c r="J10457" s="753"/>
      <c r="K10457" s="753" t="s">
        <v>144</v>
      </c>
      <c r="L10457" s="753"/>
      <c r="M10457" s="753"/>
      <c r="N10457" s="753"/>
      <c r="O10457" s="753"/>
      <c r="P10457" s="753"/>
      <c r="Q10457" s="51"/>
      <c r="R10457" s="530"/>
      <c r="S10457" s="757"/>
      <c r="T10457" s="753"/>
      <c r="AR10457" s="748"/>
      <c r="AS10457" s="753"/>
    </row>
    <row r="10458" spans="1:45" s="901" customFormat="1" ht="13.2">
      <c r="A10458" s="903">
        <v>1</v>
      </c>
      <c r="B10458" s="904" t="s">
        <v>863</v>
      </c>
      <c r="C10458" s="904"/>
      <c r="D10458" s="904" t="s">
        <v>2594</v>
      </c>
      <c r="E10458" s="904"/>
      <c r="F10458" s="1153" t="s">
        <v>4140</v>
      </c>
      <c r="G10458" s="905" t="s">
        <v>2595</v>
      </c>
      <c r="H10458" s="902">
        <v>960</v>
      </c>
      <c r="I10458" s="904" t="s">
        <v>2596</v>
      </c>
      <c r="J10458" s="904"/>
      <c r="K10458" s="904"/>
      <c r="L10458" s="904"/>
      <c r="M10458" s="904"/>
      <c r="N10458" s="904"/>
      <c r="O10458" s="902">
        <v>4</v>
      </c>
      <c r="P10458" s="906">
        <v>38274</v>
      </c>
      <c r="Q10458" s="1415">
        <f>180*0.873</f>
        <v>157.13999999999999</v>
      </c>
      <c r="R10458" s="908">
        <f>$A10458*Q10458</f>
        <v>157.13999999999999</v>
      </c>
      <c r="S10458" s="907"/>
      <c r="T10458" s="909">
        <f>$A10458*S10458*$T$1</f>
        <v>0</v>
      </c>
      <c r="AR10458" s="903">
        <v>1</v>
      </c>
      <c r="AS10458" s="1153" t="s">
        <v>3507</v>
      </c>
    </row>
    <row r="10459" spans="1:45" s="520" customFormat="1" ht="12">
      <c r="A10459" s="758"/>
      <c r="B10459" s="758"/>
      <c r="C10459" s="758"/>
      <c r="D10459" s="758"/>
      <c r="E10459" s="758"/>
      <c r="F10459" s="753"/>
      <c r="G10459" s="758"/>
      <c r="H10459" s="758"/>
      <c r="I10459" s="519"/>
      <c r="J10459" s="758"/>
      <c r="K10459" s="758"/>
      <c r="L10459" s="758"/>
      <c r="M10459" s="758"/>
      <c r="N10459" s="758"/>
      <c r="O10459" s="758"/>
      <c r="P10459" s="758"/>
      <c r="Q10459" s="519"/>
      <c r="R10459" s="759">
        <f>$A10459*Q10459</f>
        <v>0</v>
      </c>
      <c r="S10459" s="519"/>
      <c r="T10459" s="760">
        <f>$A10459*S10459*$T$1</f>
        <v>0</v>
      </c>
      <c r="AR10459" s="758"/>
      <c r="AS10459" s="753"/>
    </row>
    <row r="10460" spans="1:45" s="520" customFormat="1" ht="12.6" thickBot="1">
      <c r="A10460" s="761" t="s">
        <v>145</v>
      </c>
      <c r="B10460" s="762">
        <f>(R10459+T10459)</f>
        <v>0</v>
      </c>
      <c r="C10460" s="763"/>
      <c r="D10460" s="763"/>
      <c r="E10460" s="763"/>
      <c r="F10460" s="764"/>
      <c r="G10460" s="763" t="s">
        <v>146</v>
      </c>
      <c r="H10460" s="763"/>
      <c r="I10460" s="765"/>
      <c r="J10460" s="763"/>
      <c r="K10460" s="763" t="s">
        <v>5</v>
      </c>
      <c r="L10460" s="766" t="s">
        <v>143</v>
      </c>
      <c r="M10460" s="766"/>
      <c r="N10460" s="766"/>
      <c r="O10460" s="766"/>
      <c r="P10460" s="766"/>
      <c r="Q10460" s="767"/>
      <c r="R10460" s="768">
        <f>SUM(R10457:R10459)</f>
        <v>157.13999999999999</v>
      </c>
      <c r="S10460" s="763"/>
      <c r="T10460" s="768">
        <f>SUM(T10457:T10459)</f>
        <v>0</v>
      </c>
      <c r="U10460" s="531"/>
      <c r="V10460" s="531"/>
      <c r="W10460" s="531"/>
      <c r="X10460" s="531"/>
      <c r="Y10460" s="531"/>
      <c r="Z10460" s="531"/>
      <c r="AA10460" s="531"/>
      <c r="AB10460" s="531"/>
      <c r="AC10460" s="531"/>
      <c r="AD10460" s="531"/>
      <c r="AE10460" s="531"/>
      <c r="AF10460" s="531"/>
      <c r="AG10460" s="531"/>
      <c r="AH10460" s="531"/>
      <c r="AI10460" s="531"/>
      <c r="AJ10460" s="531"/>
      <c r="AK10460" s="531"/>
      <c r="AL10460" s="531"/>
      <c r="AM10460" s="531"/>
      <c r="AN10460" s="531"/>
      <c r="AO10460" s="531"/>
      <c r="AR10460" s="761" t="s">
        <v>145</v>
      </c>
      <c r="AS10460" s="764"/>
    </row>
    <row r="10461" spans="1:45" s="520" customFormat="1" thickTop="1">
      <c r="A10461" s="51"/>
      <c r="B10461" s="51"/>
      <c r="C10461" s="3"/>
      <c r="D10461" s="3"/>
      <c r="E10461" s="51"/>
      <c r="F10461" s="51"/>
      <c r="G10461" s="51"/>
      <c r="H10461" s="51"/>
      <c r="I10461" s="51"/>
      <c r="J10461" s="51"/>
      <c r="K10461" s="51" t="s">
        <v>134</v>
      </c>
      <c r="L10461" s="51"/>
      <c r="M10461" s="51"/>
      <c r="N10461" s="51"/>
      <c r="O10461" s="52"/>
      <c r="P10461" s="51"/>
      <c r="Q10461" s="51"/>
      <c r="R10461" s="51"/>
      <c r="S10461" s="51"/>
      <c r="T10461" s="51"/>
      <c r="AR10461" s="51"/>
      <c r="AS10461" s="51"/>
    </row>
    <row r="10462" spans="1:45" s="520" customFormat="1" ht="12">
      <c r="A10462" s="51"/>
      <c r="B10462" s="51"/>
      <c r="C10462" s="51" t="s">
        <v>135</v>
      </c>
      <c r="D10462" s="37"/>
      <c r="E10462" s="51"/>
      <c r="F10462" s="51"/>
      <c r="G10462" s="51"/>
      <c r="H10462" s="51"/>
      <c r="I10462" s="51"/>
      <c r="J10462" s="51"/>
      <c r="K10462" s="51"/>
      <c r="L10462" s="51"/>
      <c r="M10462" s="51"/>
      <c r="N10462" s="51"/>
      <c r="O10462" s="52"/>
      <c r="P10462" s="51"/>
      <c r="Q10462" s="51"/>
      <c r="R10462" s="51"/>
      <c r="S10462" s="51"/>
      <c r="T10462" s="51"/>
      <c r="AR10462" s="51"/>
      <c r="AS10462" s="51"/>
    </row>
    <row r="10463" spans="1:45" s="520" customFormat="1" ht="12">
      <c r="A10463" s="51"/>
      <c r="B10463" s="51"/>
      <c r="C10463" s="51"/>
      <c r="D10463" s="37" t="s">
        <v>362</v>
      </c>
      <c r="E10463" s="51"/>
      <c r="F10463" s="51"/>
      <c r="G10463" s="51"/>
      <c r="H10463" s="51"/>
      <c r="I10463" s="51"/>
      <c r="J10463" s="51"/>
      <c r="K10463" s="51"/>
      <c r="L10463" s="51"/>
      <c r="M10463" s="51"/>
      <c r="N10463" s="51"/>
      <c r="O10463" s="52"/>
      <c r="P10463" s="51"/>
      <c r="Q10463" s="51"/>
      <c r="R10463" s="51"/>
      <c r="S10463" s="38"/>
      <c r="T10463" s="38"/>
      <c r="AR10463" s="51"/>
      <c r="AS10463" s="51"/>
    </row>
    <row r="10464" spans="1:45" s="3" customFormat="1" thickBot="1">
      <c r="A10464" s="531"/>
      <c r="O10464" s="107"/>
      <c r="AR10464" s="531"/>
    </row>
    <row r="10465" spans="1:45" s="520" customFormat="1" thickTop="1">
      <c r="A10465" s="51"/>
      <c r="B10465" s="51"/>
      <c r="C10465" s="3"/>
      <c r="D10465" s="3"/>
      <c r="E10465" s="51"/>
      <c r="F10465" s="51"/>
      <c r="G10465" s="51"/>
      <c r="H10465" s="51"/>
      <c r="I10465" s="51"/>
      <c r="J10465" s="51"/>
      <c r="K10465" s="51" t="s">
        <v>134</v>
      </c>
      <c r="L10465" s="51"/>
      <c r="M10465" s="51"/>
      <c r="N10465" s="51"/>
      <c r="O10465" s="52"/>
      <c r="P10465" s="51"/>
      <c r="Q10465" s="51"/>
      <c r="R10465" s="51"/>
      <c r="S10465" s="51"/>
      <c r="T10465" s="51"/>
      <c r="AR10465" s="51"/>
      <c r="AS10465" s="51"/>
    </row>
    <row r="10466" spans="1:45" s="520" customFormat="1" ht="12">
      <c r="A10466" s="51"/>
      <c r="B10466" s="51"/>
      <c r="C10466" s="51" t="s">
        <v>135</v>
      </c>
      <c r="D10466" s="37"/>
      <c r="E10466" s="51"/>
      <c r="F10466" s="51"/>
      <c r="G10466" s="51"/>
      <c r="H10466" s="51"/>
      <c r="I10466" s="51"/>
      <c r="J10466" s="51"/>
      <c r="K10466" s="51"/>
      <c r="L10466" s="51"/>
      <c r="M10466" s="51"/>
      <c r="N10466" s="51"/>
      <c r="O10466" s="52"/>
      <c r="P10466" s="51"/>
      <c r="Q10466" s="51"/>
      <c r="R10466" s="51"/>
      <c r="S10466" s="51"/>
      <c r="T10466" s="51"/>
      <c r="AR10466" s="51"/>
      <c r="AS10466" s="51"/>
    </row>
    <row r="10467" spans="1:45" s="520" customFormat="1" ht="39.9" customHeight="1">
      <c r="A10467" s="51"/>
      <c r="B10467" s="51"/>
      <c r="C10467" s="51"/>
      <c r="D10467" s="1453" t="s">
        <v>2499</v>
      </c>
      <c r="E10467" s="1452"/>
      <c r="F10467" s="1452"/>
      <c r="G10467" s="1452"/>
      <c r="H10467" s="1452"/>
      <c r="I10467" s="1452"/>
      <c r="J10467" s="1452"/>
      <c r="K10467" s="1452"/>
      <c r="L10467" s="1452"/>
      <c r="M10467" s="1452"/>
      <c r="N10467" s="1452"/>
      <c r="O10467" s="1452"/>
      <c r="P10467" s="1452"/>
      <c r="Q10467" s="1452"/>
      <c r="R10467" s="1452"/>
      <c r="S10467" s="1452"/>
      <c r="T10467" s="1452"/>
      <c r="AR10467" s="51"/>
    </row>
    <row r="10468" spans="1:45" s="3" customFormat="1" thickBot="1">
      <c r="A10468" s="531"/>
      <c r="O10468" s="107"/>
      <c r="AR10468" s="531"/>
    </row>
    <row r="10469" spans="1:45" s="520" customFormat="1" ht="12" thickTop="1">
      <c r="A10469" s="51"/>
      <c r="B10469" s="41"/>
      <c r="C10469" s="51"/>
      <c r="E10469" s="42" t="s">
        <v>138</v>
      </c>
      <c r="F10469" s="42" t="s">
        <v>139</v>
      </c>
      <c r="G10469" s="51"/>
      <c r="H10469" s="51"/>
      <c r="I10469" s="51"/>
      <c r="J10469" s="51"/>
      <c r="K10469" s="51" t="s">
        <v>140</v>
      </c>
      <c r="L10469" s="51"/>
      <c r="M10469" s="51"/>
      <c r="N10469" s="51"/>
      <c r="O10469" s="52"/>
      <c r="P10469" s="51"/>
      <c r="Q10469" s="51"/>
      <c r="R10469" s="51"/>
      <c r="S10469" s="51"/>
      <c r="T10469" s="41"/>
      <c r="AG10469" s="521" t="s">
        <v>268</v>
      </c>
      <c r="AH10469" s="521" t="s">
        <v>269</v>
      </c>
      <c r="AI10469" s="521" t="s">
        <v>270</v>
      </c>
      <c r="AJ10469" s="521" t="s">
        <v>271</v>
      </c>
      <c r="AK10469" s="521" t="s">
        <v>272</v>
      </c>
      <c r="AM10469" s="745" t="s">
        <v>281</v>
      </c>
      <c r="AN10469" s="746" t="s">
        <v>282</v>
      </c>
      <c r="AO10469" s="522" t="s">
        <v>278</v>
      </c>
      <c r="AR10469" s="51"/>
      <c r="AS10469" s="42" t="s">
        <v>139</v>
      </c>
    </row>
    <row r="10470" spans="1:45" s="520" customFormat="1" ht="12" customHeight="1">
      <c r="A10470" s="747">
        <v>1</v>
      </c>
      <c r="B10470" s="523" t="s">
        <v>329</v>
      </c>
      <c r="C10470" s="748"/>
      <c r="D10470" s="749" t="s">
        <v>1931</v>
      </c>
      <c r="E10470" s="750">
        <f>IF(AND($A10470=0,$A$1="DIF"),0, ROUND(ROUND(($R10474*$S$2+($T10474*$T$2))/A10470,2)*$C$2,2))</f>
        <v>40.01</v>
      </c>
      <c r="F10470" s="751">
        <f>ROUND($A10470*$E10470,2)</f>
        <v>40.01</v>
      </c>
      <c r="G10470" s="752" t="s">
        <v>142</v>
      </c>
      <c r="H10470" s="753"/>
      <c r="I10470" s="754"/>
      <c r="J10470" s="753"/>
      <c r="K10470" s="753" t="s">
        <v>3</v>
      </c>
      <c r="L10470" s="755" t="s">
        <v>143</v>
      </c>
      <c r="M10470" s="755"/>
      <c r="N10470" s="755"/>
      <c r="O10470" s="755"/>
      <c r="P10470" s="755"/>
      <c r="Q10470" s="51"/>
      <c r="T10470" s="756" t="str">
        <f>IF(AND($R10474=0,$T10474=0),"0.00","mu :" &amp; ROUND($F10470/$C$2/($R10474+$T10474*$D$9),2))</f>
        <v>mu :1.23</v>
      </c>
      <c r="W10470" s="524"/>
      <c r="AG10470" s="481">
        <f>IF($E10470=0,0,ROUND($R10474*$S$2*$C$2/$A10470,2))</f>
        <v>12.62</v>
      </c>
      <c r="AH10470" s="481">
        <f>$AG10470*$A10470</f>
        <v>12.62</v>
      </c>
      <c r="AI10470" s="525">
        <f>$E10470-$AG10470</f>
        <v>27.39</v>
      </c>
      <c r="AJ10470" s="525">
        <f>$A10470*$AI10470</f>
        <v>27.39</v>
      </c>
      <c r="AK10470" s="526">
        <f>ROUND(($AG10470+$AI10470)*$A10470,2)</f>
        <v>40.01</v>
      </c>
      <c r="AM10470" s="527">
        <f>ROUND(R10474,2)</f>
        <v>10.25</v>
      </c>
      <c r="AN10470" s="528">
        <f>ROUND(T10474,2)</f>
        <v>0.81</v>
      </c>
      <c r="AO10470" s="529">
        <f>ROUND(AM10470+AN10470,2)*A10470</f>
        <v>11.06</v>
      </c>
      <c r="AR10470" s="747">
        <v>1</v>
      </c>
      <c r="AS10470" s="751">
        <v>43.05</v>
      </c>
    </row>
    <row r="10471" spans="1:45" s="520" customFormat="1" ht="13.2">
      <c r="A10471" s="748"/>
      <c r="B10471"/>
      <c r="C10471" s="748"/>
      <c r="D10471" s="749" t="s">
        <v>2199</v>
      </c>
      <c r="F10471" s="753"/>
      <c r="G10471" s="3"/>
      <c r="H10471" s="753"/>
      <c r="I10471" s="754"/>
      <c r="J10471" s="753"/>
      <c r="K10471" s="753" t="s">
        <v>144</v>
      </c>
      <c r="L10471" s="753"/>
      <c r="M10471" s="753"/>
      <c r="N10471" s="753"/>
      <c r="O10471" s="753"/>
      <c r="P10471" s="753"/>
      <c r="Q10471" s="51"/>
      <c r="R10471" s="530"/>
      <c r="S10471" s="757"/>
      <c r="T10471" s="753"/>
      <c r="AR10471" s="748"/>
      <c r="AS10471" s="753"/>
    </row>
    <row r="10472" spans="1:45" s="901" customFormat="1" ht="11.4">
      <c r="A10472" s="1222">
        <v>5</v>
      </c>
      <c r="B10472" s="901" t="s">
        <v>320</v>
      </c>
      <c r="D10472" s="901" t="s">
        <v>3006</v>
      </c>
      <c r="F10472" s="901" t="s">
        <v>3237</v>
      </c>
      <c r="G10472" s="941" t="s">
        <v>3007</v>
      </c>
      <c r="H10472" s="942">
        <v>700</v>
      </c>
      <c r="I10472" s="901" t="s">
        <v>3008</v>
      </c>
      <c r="J10472" s="901" t="s">
        <v>2947</v>
      </c>
      <c r="O10472" s="943">
        <v>1</v>
      </c>
      <c r="P10472" s="944">
        <v>42213</v>
      </c>
      <c r="Q10472" s="945">
        <v>2.0499999999999998</v>
      </c>
      <c r="R10472" s="946">
        <f>$A10472*Q10472</f>
        <v>10.25</v>
      </c>
      <c r="S10472" s="945">
        <v>0.18</v>
      </c>
      <c r="T10472" s="947">
        <f>$A10472*S10472*$T$1</f>
        <v>0.80999999999999994</v>
      </c>
      <c r="AR10472" s="1222">
        <v>5</v>
      </c>
      <c r="AS10472" s="901" t="s">
        <v>3237</v>
      </c>
    </row>
    <row r="10473" spans="1:45" s="520" customFormat="1" ht="12">
      <c r="A10473" s="758"/>
      <c r="B10473" s="758"/>
      <c r="C10473" s="758"/>
      <c r="D10473" s="758"/>
      <c r="E10473" s="758"/>
      <c r="F10473" s="753"/>
      <c r="G10473" s="758"/>
      <c r="H10473" s="758"/>
      <c r="I10473" s="519"/>
      <c r="J10473" s="758"/>
      <c r="K10473" s="758"/>
      <c r="L10473" s="758"/>
      <c r="M10473" s="758"/>
      <c r="N10473" s="758"/>
      <c r="O10473" s="758"/>
      <c r="P10473" s="758"/>
      <c r="Q10473" s="519"/>
      <c r="R10473" s="759">
        <f>$A10473*Q10473</f>
        <v>0</v>
      </c>
      <c r="S10473" s="519"/>
      <c r="T10473" s="760">
        <f>$A10473*S10473*$T$1</f>
        <v>0</v>
      </c>
      <c r="AR10473" s="758"/>
      <c r="AS10473" s="753"/>
    </row>
    <row r="10474" spans="1:45" s="520" customFormat="1" ht="12.6" thickBot="1">
      <c r="A10474" s="761" t="s">
        <v>145</v>
      </c>
      <c r="B10474" s="762">
        <f>(R10473+T10473)</f>
        <v>0</v>
      </c>
      <c r="C10474" s="763"/>
      <c r="D10474" s="763"/>
      <c r="E10474" s="763"/>
      <c r="F10474" s="764"/>
      <c r="G10474" s="763" t="s">
        <v>146</v>
      </c>
      <c r="H10474" s="763"/>
      <c r="I10474" s="765"/>
      <c r="J10474" s="763"/>
      <c r="K10474" s="763" t="s">
        <v>3</v>
      </c>
      <c r="L10474" s="766" t="s">
        <v>143</v>
      </c>
      <c r="M10474" s="766"/>
      <c r="N10474" s="766"/>
      <c r="O10474" s="766"/>
      <c r="P10474" s="766"/>
      <c r="Q10474" s="767"/>
      <c r="R10474" s="768">
        <f>SUM(R10471:R10473)</f>
        <v>10.25</v>
      </c>
      <c r="S10474" s="763"/>
      <c r="T10474" s="768">
        <f>SUM(T10471:T10473)</f>
        <v>0.80999999999999994</v>
      </c>
      <c r="U10474" s="531"/>
      <c r="V10474" s="531"/>
      <c r="W10474" s="531"/>
      <c r="X10474" s="531"/>
      <c r="Y10474" s="531"/>
      <c r="Z10474" s="531"/>
      <c r="AA10474" s="531"/>
      <c r="AB10474" s="531"/>
      <c r="AC10474" s="531"/>
      <c r="AD10474" s="531"/>
      <c r="AE10474" s="531"/>
      <c r="AF10474" s="531"/>
      <c r="AG10474" s="531"/>
      <c r="AH10474" s="531"/>
      <c r="AI10474" s="531"/>
      <c r="AJ10474" s="531"/>
      <c r="AK10474" s="531"/>
      <c r="AL10474" s="531"/>
      <c r="AM10474" s="531"/>
      <c r="AN10474" s="531"/>
      <c r="AO10474" s="531"/>
      <c r="AR10474" s="761" t="s">
        <v>145</v>
      </c>
      <c r="AS10474" s="764"/>
    </row>
    <row r="10475" spans="1:45" s="520" customFormat="1" thickTop="1">
      <c r="A10475" s="51"/>
      <c r="B10475" s="51"/>
      <c r="C10475" s="3"/>
      <c r="D10475" s="3"/>
      <c r="E10475" s="51"/>
      <c r="F10475" s="51"/>
      <c r="G10475" s="51"/>
      <c r="H10475" s="51"/>
      <c r="I10475" s="51"/>
      <c r="J10475" s="51"/>
      <c r="K10475" s="51" t="s">
        <v>134</v>
      </c>
      <c r="L10475" s="51"/>
      <c r="M10475" s="51"/>
      <c r="N10475" s="51"/>
      <c r="O10475" s="52"/>
      <c r="P10475" s="51"/>
      <c r="Q10475" s="51"/>
      <c r="R10475" s="51"/>
      <c r="S10475" s="51"/>
      <c r="T10475" s="51"/>
      <c r="AR10475" s="51"/>
      <c r="AS10475" s="51"/>
    </row>
    <row r="10476" spans="1:45" s="520" customFormat="1" ht="12">
      <c r="A10476" s="51"/>
      <c r="B10476" s="51"/>
      <c r="C10476" s="51" t="s">
        <v>135</v>
      </c>
      <c r="D10476" s="37"/>
      <c r="E10476" s="51"/>
      <c r="F10476" s="51"/>
      <c r="G10476" s="51"/>
      <c r="H10476" s="51"/>
      <c r="I10476" s="51"/>
      <c r="J10476" s="51"/>
      <c r="K10476" s="51"/>
      <c r="L10476" s="51"/>
      <c r="M10476" s="51"/>
      <c r="N10476" s="51"/>
      <c r="O10476" s="52"/>
      <c r="P10476" s="51"/>
      <c r="Q10476" s="51"/>
      <c r="R10476" s="51"/>
      <c r="S10476" s="51"/>
      <c r="T10476" s="51"/>
      <c r="AR10476" s="51"/>
      <c r="AS10476" s="51"/>
    </row>
    <row r="10477" spans="1:45" s="520" customFormat="1" ht="39.9" customHeight="1">
      <c r="A10477" s="51"/>
      <c r="B10477" s="51"/>
      <c r="C10477" s="51"/>
      <c r="D10477" s="1453" t="s">
        <v>2185</v>
      </c>
      <c r="E10477" s="1452"/>
      <c r="F10477" s="1452"/>
      <c r="G10477" s="1452"/>
      <c r="H10477" s="1452"/>
      <c r="I10477" s="1452"/>
      <c r="J10477" s="1452"/>
      <c r="K10477" s="1452"/>
      <c r="L10477" s="1452"/>
      <c r="M10477" s="1452"/>
      <c r="N10477" s="1452"/>
      <c r="O10477" s="1452"/>
      <c r="P10477" s="1452"/>
      <c r="Q10477" s="1452"/>
      <c r="R10477" s="1452"/>
      <c r="S10477" s="1452"/>
      <c r="T10477" s="1452"/>
      <c r="AR10477" s="51"/>
    </row>
    <row r="10478" spans="1:45" s="3" customFormat="1" thickBot="1">
      <c r="A10478" s="531"/>
      <c r="O10478" s="107"/>
      <c r="AR10478" s="531"/>
    </row>
    <row r="10479" spans="1:45" s="520" customFormat="1" ht="12" thickTop="1">
      <c r="A10479" s="51"/>
      <c r="B10479" s="41"/>
      <c r="C10479" s="51"/>
      <c r="E10479" s="42" t="s">
        <v>138</v>
      </c>
      <c r="F10479" s="42" t="s">
        <v>139</v>
      </c>
      <c r="G10479" s="51"/>
      <c r="H10479" s="51"/>
      <c r="I10479" s="51"/>
      <c r="J10479" s="51"/>
      <c r="K10479" s="51" t="s">
        <v>140</v>
      </c>
      <c r="L10479" s="51"/>
      <c r="M10479" s="51"/>
      <c r="N10479" s="51"/>
      <c r="O10479" s="52"/>
      <c r="P10479" s="51"/>
      <c r="Q10479" s="51"/>
      <c r="R10479" s="51"/>
      <c r="S10479" s="51"/>
      <c r="T10479" s="41"/>
      <c r="AG10479" s="521" t="s">
        <v>268</v>
      </c>
      <c r="AH10479" s="521" t="s">
        <v>269</v>
      </c>
      <c r="AI10479" s="521" t="s">
        <v>270</v>
      </c>
      <c r="AJ10479" s="521" t="s">
        <v>271</v>
      </c>
      <c r="AK10479" s="521" t="s">
        <v>272</v>
      </c>
      <c r="AM10479" s="745" t="s">
        <v>281</v>
      </c>
      <c r="AN10479" s="746" t="s">
        <v>282</v>
      </c>
      <c r="AO10479" s="522" t="s">
        <v>278</v>
      </c>
      <c r="AR10479" s="51"/>
      <c r="AS10479" s="42" t="s">
        <v>139</v>
      </c>
    </row>
    <row r="10480" spans="1:45" s="520" customFormat="1" ht="12" customHeight="1">
      <c r="A10480" s="747">
        <v>1</v>
      </c>
      <c r="B10480" s="523" t="s">
        <v>329</v>
      </c>
      <c r="C10480" s="748"/>
      <c r="D10480" s="749" t="s">
        <v>1932</v>
      </c>
      <c r="E10480" s="1145">
        <f>IF(AND($A10480=0,$A$1="DIF"),0, ROUND(ROUND(($R10484*$S$3+($T10484*$T$3))/$A10480,2)*$C$3,2))</f>
        <v>24.63</v>
      </c>
      <c r="F10480" s="1146">
        <f>ROUND($A10480*$E10480,2)</f>
        <v>24.63</v>
      </c>
      <c r="G10480" s="752" t="s">
        <v>142</v>
      </c>
      <c r="H10480" s="753"/>
      <c r="I10480" s="754"/>
      <c r="J10480" s="753"/>
      <c r="K10480" s="753" t="s">
        <v>5</v>
      </c>
      <c r="L10480" s="755" t="s">
        <v>143</v>
      </c>
      <c r="M10480" s="755"/>
      <c r="N10480" s="755"/>
      <c r="O10480" s="755"/>
      <c r="P10480" s="755"/>
      <c r="Q10480" s="51"/>
      <c r="T10480" s="1150" t="str">
        <f>IF(AND($R10484=0,$T10484=0),"0.00","mu: "&amp; ROUND(F10480/$C$3/($R10484+$T10484*$D$9),2))</f>
        <v>mu: 1.13</v>
      </c>
      <c r="W10480" s="524"/>
      <c r="AG10480" s="1147">
        <f>IF($E10480=0,0,ROUND($R10484*$S$3*$C$3/$A10480,2))</f>
        <v>24.63</v>
      </c>
      <c r="AH10480" s="1147">
        <f>$AG10480*$A10480</f>
        <v>24.63</v>
      </c>
      <c r="AI10480" s="1148">
        <f>$E10480-$AG10480</f>
        <v>0</v>
      </c>
      <c r="AJ10480" s="1148">
        <f>$A10480*$AI10480</f>
        <v>0</v>
      </c>
      <c r="AK10480" s="1149">
        <f>ROUND(($AG10480+$AI10480)*$A10480,2)</f>
        <v>24.63</v>
      </c>
      <c r="AM10480" s="527">
        <f>ROUND(R10484,2)</f>
        <v>21.83</v>
      </c>
      <c r="AN10480" s="528">
        <f>ROUND(T10484,2)</f>
        <v>0</v>
      </c>
      <c r="AO10480" s="529">
        <f>ROUND(AM10480+AN10480,2)*A10480</f>
        <v>21.83</v>
      </c>
      <c r="AR10480" s="747">
        <v>1</v>
      </c>
      <c r="AS10480" s="1146">
        <v>26.81</v>
      </c>
    </row>
    <row r="10481" spans="1:45" s="520" customFormat="1" ht="13.2">
      <c r="A10481" s="748"/>
      <c r="B10481"/>
      <c r="C10481" s="748"/>
      <c r="D10481" s="749" t="s">
        <v>2199</v>
      </c>
      <c r="F10481" s="753"/>
      <c r="G10481" s="3"/>
      <c r="H10481" s="753"/>
      <c r="I10481" s="754"/>
      <c r="J10481" s="753"/>
      <c r="K10481" s="753" t="s">
        <v>144</v>
      </c>
      <c r="L10481" s="753"/>
      <c r="M10481" s="753"/>
      <c r="N10481" s="753"/>
      <c r="O10481" s="753"/>
      <c r="P10481" s="753"/>
      <c r="Q10481" s="51"/>
      <c r="R10481" s="530"/>
      <c r="S10481" s="757"/>
      <c r="T10481" s="753"/>
      <c r="AR10481" s="748"/>
      <c r="AS10481" s="753"/>
    </row>
    <row r="10482" spans="1:45" s="901" customFormat="1" ht="13.2">
      <c r="A10482" s="903">
        <v>1</v>
      </c>
      <c r="B10482" s="904" t="s">
        <v>863</v>
      </c>
      <c r="C10482" s="904"/>
      <c r="D10482" s="904" t="s">
        <v>2594</v>
      </c>
      <c r="E10482" s="904"/>
      <c r="F10482" s="904" t="s">
        <v>4140</v>
      </c>
      <c r="G10482" s="905" t="s">
        <v>2595</v>
      </c>
      <c r="H10482" s="902">
        <v>960</v>
      </c>
      <c r="I10482" s="904" t="s">
        <v>2596</v>
      </c>
      <c r="J10482" s="904"/>
      <c r="K10482" s="904"/>
      <c r="L10482" s="904"/>
      <c r="M10482" s="904"/>
      <c r="N10482" s="904"/>
      <c r="O10482" s="902">
        <v>4</v>
      </c>
      <c r="P10482" s="906">
        <v>38274</v>
      </c>
      <c r="Q10482" s="1415">
        <f>25*0.873</f>
        <v>21.824999999999999</v>
      </c>
      <c r="R10482" s="908">
        <f>$A10482*Q10482</f>
        <v>21.824999999999999</v>
      </c>
      <c r="S10482" s="907"/>
      <c r="T10482" s="909">
        <f>$A10482*S10482*$T$1</f>
        <v>0</v>
      </c>
      <c r="AR10482" s="903">
        <v>1</v>
      </c>
      <c r="AS10482" s="904" t="s">
        <v>3507</v>
      </c>
    </row>
    <row r="10483" spans="1:45" s="520" customFormat="1" ht="12">
      <c r="A10483" s="758"/>
      <c r="B10483" s="758"/>
      <c r="C10483" s="758"/>
      <c r="D10483" s="758"/>
      <c r="E10483" s="758"/>
      <c r="F10483" s="753"/>
      <c r="G10483" s="758"/>
      <c r="H10483" s="758"/>
      <c r="I10483" s="519"/>
      <c r="J10483" s="758"/>
      <c r="K10483" s="758"/>
      <c r="L10483" s="758"/>
      <c r="M10483" s="758"/>
      <c r="N10483" s="758"/>
      <c r="O10483" s="758"/>
      <c r="P10483" s="758"/>
      <c r="Q10483" s="519"/>
      <c r="R10483" s="759">
        <f>$A10483*Q10483</f>
        <v>0</v>
      </c>
      <c r="S10483" s="519"/>
      <c r="T10483" s="760">
        <f>$A10483*S10483*$T$1</f>
        <v>0</v>
      </c>
      <c r="AR10483" s="758"/>
      <c r="AS10483" s="753"/>
    </row>
    <row r="10484" spans="1:45" s="520" customFormat="1" ht="12.6" thickBot="1">
      <c r="A10484" s="761" t="s">
        <v>145</v>
      </c>
      <c r="B10484" s="762">
        <f>(R10483+T10483)</f>
        <v>0</v>
      </c>
      <c r="C10484" s="763"/>
      <c r="D10484" s="763"/>
      <c r="E10484" s="763"/>
      <c r="F10484" s="764"/>
      <c r="G10484" s="763" t="s">
        <v>146</v>
      </c>
      <c r="H10484" s="763"/>
      <c r="I10484" s="765"/>
      <c r="J10484" s="763"/>
      <c r="K10484" s="763" t="s">
        <v>5</v>
      </c>
      <c r="L10484" s="766" t="s">
        <v>143</v>
      </c>
      <c r="M10484" s="766"/>
      <c r="N10484" s="766"/>
      <c r="O10484" s="766"/>
      <c r="P10484" s="766"/>
      <c r="Q10484" s="767"/>
      <c r="R10484" s="768">
        <f>SUM(R10481:R10483)</f>
        <v>21.824999999999999</v>
      </c>
      <c r="S10484" s="763"/>
      <c r="T10484" s="768">
        <f>SUM(T10481:T10483)</f>
        <v>0</v>
      </c>
      <c r="U10484" s="531"/>
      <c r="V10484" s="531"/>
      <c r="W10484" s="531"/>
      <c r="X10484" s="531"/>
      <c r="Y10484" s="531"/>
      <c r="Z10484" s="531"/>
      <c r="AA10484" s="531"/>
      <c r="AB10484" s="531"/>
      <c r="AC10484" s="531"/>
      <c r="AD10484" s="531"/>
      <c r="AE10484" s="531"/>
      <c r="AF10484" s="531"/>
      <c r="AG10484" s="531"/>
      <c r="AH10484" s="531"/>
      <c r="AI10484" s="531"/>
      <c r="AJ10484" s="531"/>
      <c r="AK10484" s="531"/>
      <c r="AL10484" s="531"/>
      <c r="AM10484" s="531"/>
      <c r="AN10484" s="531"/>
      <c r="AO10484" s="531"/>
      <c r="AR10484" s="761" t="s">
        <v>145</v>
      </c>
      <c r="AS10484" s="764"/>
    </row>
    <row r="10485" spans="1:45" s="520" customFormat="1" thickTop="1">
      <c r="A10485" s="51"/>
      <c r="B10485" s="51"/>
      <c r="C10485" s="3"/>
      <c r="D10485" s="3"/>
      <c r="E10485" s="51"/>
      <c r="F10485" s="51"/>
      <c r="G10485" s="51"/>
      <c r="H10485" s="51"/>
      <c r="I10485" s="51"/>
      <c r="J10485" s="51"/>
      <c r="K10485" s="51" t="s">
        <v>134</v>
      </c>
      <c r="L10485" s="51"/>
      <c r="M10485" s="51"/>
      <c r="N10485" s="51"/>
      <c r="O10485" s="52"/>
      <c r="P10485" s="51"/>
      <c r="Q10485" s="51"/>
      <c r="R10485" s="51"/>
      <c r="S10485" s="51"/>
      <c r="T10485" s="51"/>
      <c r="AR10485" s="51"/>
      <c r="AS10485" s="51"/>
    </row>
    <row r="10486" spans="1:45" s="520" customFormat="1" ht="12">
      <c r="A10486" s="51"/>
      <c r="B10486" s="51"/>
      <c r="C10486" s="51" t="s">
        <v>135</v>
      </c>
      <c r="D10486" s="37"/>
      <c r="E10486" s="51"/>
      <c r="F10486" s="51"/>
      <c r="G10486" s="51"/>
      <c r="H10486" s="51"/>
      <c r="I10486" s="51"/>
      <c r="J10486" s="51"/>
      <c r="K10486" s="51"/>
      <c r="L10486" s="51"/>
      <c r="M10486" s="51"/>
      <c r="N10486" s="51"/>
      <c r="O10486" s="52"/>
      <c r="P10486" s="51"/>
      <c r="Q10486" s="51"/>
      <c r="R10486" s="51"/>
      <c r="S10486" s="51"/>
      <c r="T10486" s="51"/>
      <c r="AR10486" s="51"/>
      <c r="AS10486" s="51"/>
    </row>
    <row r="10487" spans="1:45" s="520" customFormat="1" ht="12">
      <c r="A10487" s="51"/>
      <c r="B10487" s="51"/>
      <c r="C10487" s="51"/>
      <c r="D10487" s="37" t="s">
        <v>2186</v>
      </c>
      <c r="E10487" s="51"/>
      <c r="F10487" s="51"/>
      <c r="G10487" s="51"/>
      <c r="H10487" s="51"/>
      <c r="I10487" s="51"/>
      <c r="J10487" s="51"/>
      <c r="K10487" s="51"/>
      <c r="L10487" s="51"/>
      <c r="M10487" s="51"/>
      <c r="N10487" s="51"/>
      <c r="O10487" s="52"/>
      <c r="P10487" s="51"/>
      <c r="Q10487" s="51"/>
      <c r="R10487" s="51"/>
      <c r="S10487" s="38"/>
      <c r="T10487" s="38"/>
      <c r="AR10487" s="51"/>
      <c r="AS10487" s="51"/>
    </row>
    <row r="10488" spans="1:45" s="3" customFormat="1" thickBot="1">
      <c r="A10488" s="531"/>
      <c r="O10488" s="107"/>
      <c r="AR10488" s="531"/>
    </row>
    <row r="10489" spans="1:45" s="520" customFormat="1" ht="12" thickTop="1">
      <c r="A10489" s="51"/>
      <c r="B10489" s="41"/>
      <c r="C10489" s="51"/>
      <c r="E10489" s="42" t="s">
        <v>138</v>
      </c>
      <c r="F10489" s="42" t="s">
        <v>139</v>
      </c>
      <c r="G10489" s="51"/>
      <c r="H10489" s="51"/>
      <c r="I10489" s="51"/>
      <c r="J10489" s="51"/>
      <c r="K10489" s="51" t="s">
        <v>140</v>
      </c>
      <c r="L10489" s="51"/>
      <c r="M10489" s="51"/>
      <c r="N10489" s="51"/>
      <c r="O10489" s="52"/>
      <c r="P10489" s="51"/>
      <c r="Q10489" s="51"/>
      <c r="R10489" s="51"/>
      <c r="S10489" s="51"/>
      <c r="T10489" s="41"/>
      <c r="AG10489" s="521" t="s">
        <v>268</v>
      </c>
      <c r="AH10489" s="521" t="s">
        <v>269</v>
      </c>
      <c r="AI10489" s="521" t="s">
        <v>270</v>
      </c>
      <c r="AJ10489" s="521" t="s">
        <v>271</v>
      </c>
      <c r="AK10489" s="521" t="s">
        <v>272</v>
      </c>
      <c r="AM10489" s="745" t="s">
        <v>281</v>
      </c>
      <c r="AN10489" s="746" t="s">
        <v>282</v>
      </c>
      <c r="AO10489" s="522" t="s">
        <v>278</v>
      </c>
      <c r="AR10489" s="51"/>
      <c r="AS10489" s="42" t="s">
        <v>139</v>
      </c>
    </row>
    <row r="10490" spans="1:45" s="520" customFormat="1" ht="12" customHeight="1">
      <c r="A10490" s="747">
        <v>1</v>
      </c>
      <c r="B10490" s="523" t="s">
        <v>329</v>
      </c>
      <c r="C10490" s="748"/>
      <c r="D10490" s="749" t="s">
        <v>1933</v>
      </c>
      <c r="E10490" s="1145">
        <f>IF(AND($A10490=0,$A$1="DIF"),0, ROUND(ROUND(($R10494*$S$3+($T10494*$T$3))/$A10490,2)*$C$3,2))</f>
        <v>177.37</v>
      </c>
      <c r="F10490" s="1146">
        <f>ROUND($A10490*$E10490,2)</f>
        <v>177.37</v>
      </c>
      <c r="G10490" s="752" t="s">
        <v>142</v>
      </c>
      <c r="H10490" s="753"/>
      <c r="I10490" s="754"/>
      <c r="J10490" s="753"/>
      <c r="K10490" s="753" t="s">
        <v>5</v>
      </c>
      <c r="L10490" s="755" t="s">
        <v>143</v>
      </c>
      <c r="M10490" s="755"/>
      <c r="N10490" s="755"/>
      <c r="O10490" s="755"/>
      <c r="P10490" s="755"/>
      <c r="Q10490" s="51"/>
      <c r="T10490" s="1150" t="str">
        <f>IF(AND($R10494=0,$T10494=0),"0.00","mu: "&amp; ROUND(F10490/$C$3/($R10494+$T10494*$D$9),2))</f>
        <v>mu: 1.13</v>
      </c>
      <c r="W10490" s="524"/>
      <c r="AG10490" s="1147">
        <f>IF($E10490=0,0,ROUND($R10494*$S$3*$C$3/$A10490,2))</f>
        <v>177.37</v>
      </c>
      <c r="AH10490" s="1147">
        <f>$AG10490*$A10490</f>
        <v>177.37</v>
      </c>
      <c r="AI10490" s="1148">
        <f>$E10490-$AG10490</f>
        <v>0</v>
      </c>
      <c r="AJ10490" s="1148">
        <f>$A10490*$AI10490</f>
        <v>0</v>
      </c>
      <c r="AK10490" s="1149">
        <f>ROUND(($AG10490+$AI10490)*$A10490,2)</f>
        <v>177.37</v>
      </c>
      <c r="AM10490" s="527">
        <f>ROUND(R10494,2)</f>
        <v>157.13999999999999</v>
      </c>
      <c r="AN10490" s="528">
        <f>ROUND(T10494,2)</f>
        <v>0</v>
      </c>
      <c r="AO10490" s="529">
        <f>ROUND(AM10490+AN10490,2)*A10490</f>
        <v>157.13999999999999</v>
      </c>
      <c r="AR10490" s="747">
        <v>1</v>
      </c>
      <c r="AS10490" s="1146">
        <v>193.01</v>
      </c>
    </row>
    <row r="10491" spans="1:45" s="520" customFormat="1" ht="13.2">
      <c r="A10491" s="748"/>
      <c r="B10491"/>
      <c r="C10491" s="748"/>
      <c r="D10491" s="749" t="s">
        <v>2200</v>
      </c>
      <c r="F10491" s="753"/>
      <c r="G10491" s="3"/>
      <c r="H10491" s="753"/>
      <c r="I10491" s="754"/>
      <c r="J10491" s="753"/>
      <c r="K10491" s="753" t="s">
        <v>144</v>
      </c>
      <c r="L10491" s="753"/>
      <c r="M10491" s="753"/>
      <c r="N10491" s="753"/>
      <c r="O10491" s="753"/>
      <c r="P10491" s="753"/>
      <c r="Q10491" s="51"/>
      <c r="R10491" s="530"/>
      <c r="S10491" s="757"/>
      <c r="T10491" s="753"/>
      <c r="AR10491" s="748"/>
      <c r="AS10491" s="753"/>
    </row>
    <row r="10492" spans="1:45" s="901" customFormat="1" ht="13.2">
      <c r="A10492" s="903">
        <v>1</v>
      </c>
      <c r="B10492" s="904" t="s">
        <v>863</v>
      </c>
      <c r="C10492" s="904"/>
      <c r="D10492" s="904" t="s">
        <v>2594</v>
      </c>
      <c r="E10492" s="904"/>
      <c r="F10492" s="904" t="s">
        <v>4140</v>
      </c>
      <c r="G10492" s="905" t="s">
        <v>2595</v>
      </c>
      <c r="H10492" s="902">
        <v>960</v>
      </c>
      <c r="I10492" s="904" t="s">
        <v>2596</v>
      </c>
      <c r="J10492" s="904"/>
      <c r="K10492" s="904"/>
      <c r="L10492" s="904"/>
      <c r="M10492" s="904"/>
      <c r="N10492" s="904"/>
      <c r="O10492" s="902">
        <v>4</v>
      </c>
      <c r="P10492" s="906">
        <v>38274</v>
      </c>
      <c r="Q10492" s="1415">
        <f>180*0.873</f>
        <v>157.13999999999999</v>
      </c>
      <c r="R10492" s="908">
        <f>$A10492*Q10492</f>
        <v>157.13999999999999</v>
      </c>
      <c r="S10492" s="907"/>
      <c r="T10492" s="909">
        <f>$A10492*S10492*$T$1</f>
        <v>0</v>
      </c>
      <c r="AR10492" s="903">
        <v>1</v>
      </c>
      <c r="AS10492" s="904" t="s">
        <v>3507</v>
      </c>
    </row>
    <row r="10493" spans="1:45" s="520" customFormat="1" ht="12">
      <c r="A10493" s="758"/>
      <c r="B10493" s="758"/>
      <c r="C10493" s="758"/>
      <c r="D10493" s="758"/>
      <c r="E10493" s="758"/>
      <c r="F10493" s="753"/>
      <c r="G10493" s="758"/>
      <c r="H10493" s="758"/>
      <c r="I10493" s="519"/>
      <c r="J10493" s="758"/>
      <c r="K10493" s="758"/>
      <c r="L10493" s="758"/>
      <c r="M10493" s="758"/>
      <c r="N10493" s="758"/>
      <c r="O10493" s="758"/>
      <c r="P10493" s="758"/>
      <c r="Q10493" s="519"/>
      <c r="R10493" s="759">
        <f>$A10493*Q10493</f>
        <v>0</v>
      </c>
      <c r="S10493" s="519"/>
      <c r="T10493" s="760">
        <f>$A10493*S10493*$T$1</f>
        <v>0</v>
      </c>
      <c r="AR10493" s="758"/>
      <c r="AS10493" s="753"/>
    </row>
    <row r="10494" spans="1:45" s="520" customFormat="1" ht="12.6" thickBot="1">
      <c r="A10494" s="761" t="s">
        <v>145</v>
      </c>
      <c r="B10494" s="762">
        <f>(R10493+T10493)</f>
        <v>0</v>
      </c>
      <c r="C10494" s="763"/>
      <c r="D10494" s="763"/>
      <c r="E10494" s="763"/>
      <c r="F10494" s="764"/>
      <c r="G10494" s="763" t="s">
        <v>146</v>
      </c>
      <c r="H10494" s="763"/>
      <c r="I10494" s="765"/>
      <c r="J10494" s="763"/>
      <c r="K10494" s="763" t="s">
        <v>5</v>
      </c>
      <c r="L10494" s="766" t="s">
        <v>143</v>
      </c>
      <c r="M10494" s="766"/>
      <c r="N10494" s="766"/>
      <c r="O10494" s="766"/>
      <c r="P10494" s="766"/>
      <c r="Q10494" s="767"/>
      <c r="R10494" s="768">
        <f>SUM(R10491:R10493)</f>
        <v>157.13999999999999</v>
      </c>
      <c r="S10494" s="763"/>
      <c r="T10494" s="768">
        <f>SUM(T10491:T10493)</f>
        <v>0</v>
      </c>
      <c r="U10494" s="531"/>
      <c r="V10494" s="531"/>
      <c r="W10494" s="531"/>
      <c r="X10494" s="531"/>
      <c r="Y10494" s="531"/>
      <c r="Z10494" s="531"/>
      <c r="AA10494" s="531"/>
      <c r="AB10494" s="531"/>
      <c r="AC10494" s="531"/>
      <c r="AD10494" s="531"/>
      <c r="AE10494" s="531"/>
      <c r="AF10494" s="531"/>
      <c r="AG10494" s="531"/>
      <c r="AH10494" s="531"/>
      <c r="AI10494" s="531"/>
      <c r="AJ10494" s="531"/>
      <c r="AK10494" s="531"/>
      <c r="AL10494" s="531"/>
      <c r="AM10494" s="531"/>
      <c r="AN10494" s="531"/>
      <c r="AO10494" s="531"/>
      <c r="AR10494" s="761" t="s">
        <v>145</v>
      </c>
      <c r="AS10494" s="764"/>
    </row>
    <row r="10495" spans="1:45" s="520" customFormat="1" thickTop="1">
      <c r="A10495" s="51"/>
      <c r="B10495" s="51"/>
      <c r="C10495" s="3"/>
      <c r="D10495" s="3"/>
      <c r="E10495" s="51"/>
      <c r="F10495" s="51"/>
      <c r="G10495" s="51"/>
      <c r="H10495" s="51"/>
      <c r="I10495" s="51"/>
      <c r="J10495" s="51"/>
      <c r="K10495" s="51" t="s">
        <v>134</v>
      </c>
      <c r="L10495" s="51"/>
      <c r="M10495" s="51"/>
      <c r="N10495" s="51"/>
      <c r="O10495" s="52"/>
      <c r="P10495" s="51"/>
      <c r="Q10495" s="51"/>
      <c r="R10495" s="51"/>
      <c r="S10495" s="51"/>
      <c r="T10495" s="51"/>
      <c r="AR10495" s="51"/>
      <c r="AS10495" s="51"/>
    </row>
    <row r="10496" spans="1:45" s="520" customFormat="1" ht="12">
      <c r="A10496" s="51"/>
      <c r="B10496" s="51"/>
      <c r="C10496" s="51" t="s">
        <v>135</v>
      </c>
      <c r="D10496" s="37"/>
      <c r="E10496" s="51"/>
      <c r="F10496" s="51"/>
      <c r="G10496" s="51"/>
      <c r="H10496" s="51"/>
      <c r="I10496" s="51"/>
      <c r="J10496" s="51"/>
      <c r="K10496" s="51"/>
      <c r="L10496" s="51"/>
      <c r="M10496" s="51"/>
      <c r="N10496" s="51"/>
      <c r="O10496" s="52"/>
      <c r="P10496" s="51"/>
      <c r="Q10496" s="51"/>
      <c r="R10496" s="51"/>
      <c r="S10496" s="51"/>
      <c r="T10496" s="51"/>
      <c r="AR10496" s="51"/>
      <c r="AS10496" s="51"/>
    </row>
    <row r="10497" spans="1:45" s="520" customFormat="1" ht="12">
      <c r="A10497" s="51"/>
      <c r="B10497" s="51"/>
      <c r="C10497" s="51"/>
      <c r="D10497" s="37" t="s">
        <v>379</v>
      </c>
      <c r="E10497" s="51"/>
      <c r="F10497" s="51"/>
      <c r="G10497" s="51"/>
      <c r="H10497" s="51"/>
      <c r="I10497" s="51"/>
      <c r="J10497" s="51"/>
      <c r="K10497" s="51"/>
      <c r="L10497" s="51"/>
      <c r="M10497" s="51"/>
      <c r="N10497" s="51"/>
      <c r="O10497" s="52"/>
      <c r="P10497" s="51"/>
      <c r="Q10497" s="51"/>
      <c r="R10497" s="51"/>
      <c r="S10497" s="38"/>
      <c r="T10497" s="38"/>
      <c r="AR10497" s="51"/>
      <c r="AS10497" s="51"/>
    </row>
    <row r="10498" spans="1:45" s="3" customFormat="1" thickBot="1">
      <c r="A10498" s="531"/>
      <c r="O10498" s="107"/>
      <c r="AR10498" s="531"/>
    </row>
    <row r="10499" spans="1:45" s="520" customFormat="1" ht="12" thickTop="1">
      <c r="A10499" s="51"/>
      <c r="B10499" s="41"/>
      <c r="C10499" s="51"/>
      <c r="E10499" s="42" t="s">
        <v>138</v>
      </c>
      <c r="F10499" s="42" t="s">
        <v>139</v>
      </c>
      <c r="G10499" s="51"/>
      <c r="H10499" s="51"/>
      <c r="I10499" s="51"/>
      <c r="J10499" s="51"/>
      <c r="K10499" s="51" t="s">
        <v>140</v>
      </c>
      <c r="L10499" s="51"/>
      <c r="M10499" s="51"/>
      <c r="N10499" s="51"/>
      <c r="O10499" s="52"/>
      <c r="P10499" s="51"/>
      <c r="Q10499" s="51"/>
      <c r="R10499" s="51"/>
      <c r="S10499" s="51"/>
      <c r="T10499" s="41"/>
      <c r="AG10499" s="521" t="s">
        <v>268</v>
      </c>
      <c r="AH10499" s="521" t="s">
        <v>269</v>
      </c>
      <c r="AI10499" s="521" t="s">
        <v>270</v>
      </c>
      <c r="AJ10499" s="521" t="s">
        <v>271</v>
      </c>
      <c r="AK10499" s="521" t="s">
        <v>272</v>
      </c>
      <c r="AM10499" s="745" t="s">
        <v>281</v>
      </c>
      <c r="AN10499" s="746" t="s">
        <v>282</v>
      </c>
      <c r="AO10499" s="522" t="s">
        <v>278</v>
      </c>
      <c r="AR10499" s="51"/>
      <c r="AS10499" s="42" t="s">
        <v>139</v>
      </c>
    </row>
    <row r="10500" spans="1:45" s="520" customFormat="1" ht="12" customHeight="1">
      <c r="A10500" s="747">
        <v>2</v>
      </c>
      <c r="B10500" s="523" t="s">
        <v>329</v>
      </c>
      <c r="C10500" s="748"/>
      <c r="D10500" s="749" t="s">
        <v>1934</v>
      </c>
      <c r="E10500" s="750">
        <f>IF(AND($A10500=0,$A$1="DIF"),0, ROUND(ROUND(($R10504*$S$2+($T10504*$T$2))/A10500,2)*$C$2,2))</f>
        <v>120.03</v>
      </c>
      <c r="F10500" s="751">
        <f>ROUND($A10500*$E10500,2)</f>
        <v>240.06</v>
      </c>
      <c r="G10500" s="752" t="s">
        <v>142</v>
      </c>
      <c r="H10500" s="753"/>
      <c r="I10500" s="754"/>
      <c r="J10500" s="753"/>
      <c r="K10500" s="753" t="s">
        <v>3</v>
      </c>
      <c r="L10500" s="755" t="s">
        <v>143</v>
      </c>
      <c r="M10500" s="755"/>
      <c r="N10500" s="755"/>
      <c r="O10500" s="755"/>
      <c r="P10500" s="755"/>
      <c r="Q10500" s="51"/>
      <c r="T10500" s="756" t="str">
        <f>IF(AND($R10504=0,$T10504=0),"0.00","mu :" &amp; ROUND($F10500/$C$2/($R10504+$T10504*$D$9),2))</f>
        <v>mu :1.23</v>
      </c>
      <c r="W10500" s="524"/>
      <c r="AG10500" s="481">
        <f>IF($E10500=0,0,ROUND($R10504*$S$2*$C$2/$A10500,2))</f>
        <v>37.86</v>
      </c>
      <c r="AH10500" s="481">
        <f>$AG10500*$A10500</f>
        <v>75.72</v>
      </c>
      <c r="AI10500" s="525">
        <f>$E10500-$AG10500</f>
        <v>82.17</v>
      </c>
      <c r="AJ10500" s="525">
        <f>$A10500*$AI10500</f>
        <v>164.34</v>
      </c>
      <c r="AK10500" s="526">
        <f>ROUND(($AG10500+$AI10500)*$A10500,2)</f>
        <v>240.06</v>
      </c>
      <c r="AM10500" s="527">
        <f>ROUND(R10504,2)</f>
        <v>61.5</v>
      </c>
      <c r="AN10500" s="528">
        <f>ROUND(T10504,2)</f>
        <v>4.8600000000000003</v>
      </c>
      <c r="AO10500" s="529">
        <f>ROUND(AM10500+AN10500,2)*A10500</f>
        <v>132.72</v>
      </c>
      <c r="AR10500" s="747">
        <v>2</v>
      </c>
      <c r="AS10500" s="751">
        <v>258.32</v>
      </c>
    </row>
    <row r="10501" spans="1:45" s="520" customFormat="1" ht="39.9" customHeight="1">
      <c r="A10501" s="748"/>
      <c r="B10501"/>
      <c r="C10501" s="748"/>
      <c r="D10501" s="1451" t="s">
        <v>2194</v>
      </c>
      <c r="E10501" s="1452"/>
      <c r="F10501" s="1452"/>
      <c r="G10501" s="1452"/>
      <c r="H10501" s="1452"/>
      <c r="I10501" s="1452"/>
      <c r="J10501" s="1452"/>
      <c r="K10501" s="1452"/>
      <c r="L10501" s="1452"/>
      <c r="M10501" s="1452"/>
      <c r="N10501" s="1452"/>
      <c r="O10501" s="1452"/>
      <c r="P10501" s="1452"/>
      <c r="Q10501" s="1452"/>
      <c r="R10501" s="1452"/>
      <c r="S10501" s="1452"/>
      <c r="T10501" s="1452"/>
      <c r="AR10501" s="748"/>
    </row>
    <row r="10502" spans="1:45" s="901" customFormat="1" ht="11.4">
      <c r="A10502" s="51">
        <v>30</v>
      </c>
      <c r="B10502" s="901" t="s">
        <v>320</v>
      </c>
      <c r="D10502" s="901" t="s">
        <v>3006</v>
      </c>
      <c r="F10502" s="901" t="s">
        <v>3237</v>
      </c>
      <c r="G10502" s="941" t="s">
        <v>3007</v>
      </c>
      <c r="H10502" s="942">
        <v>700</v>
      </c>
      <c r="I10502" s="901" t="s">
        <v>3008</v>
      </c>
      <c r="J10502" s="901" t="s">
        <v>2947</v>
      </c>
      <c r="O10502" s="943">
        <v>1</v>
      </c>
      <c r="P10502" s="944">
        <v>42213</v>
      </c>
      <c r="Q10502" s="945">
        <v>2.0499999999999998</v>
      </c>
      <c r="R10502" s="946">
        <f>$A10502*Q10502</f>
        <v>61.499999999999993</v>
      </c>
      <c r="S10502" s="945">
        <v>0.18</v>
      </c>
      <c r="T10502" s="947">
        <f>$A10502*S10502*$T$1</f>
        <v>4.8599999999999994</v>
      </c>
      <c r="AR10502" s="51">
        <v>30</v>
      </c>
      <c r="AS10502" s="901" t="s">
        <v>3237</v>
      </c>
    </row>
    <row r="10503" spans="1:45" s="520" customFormat="1" ht="12">
      <c r="A10503" s="758"/>
      <c r="B10503" s="758"/>
      <c r="C10503" s="758"/>
      <c r="D10503" s="758"/>
      <c r="E10503" s="758"/>
      <c r="F10503" s="753"/>
      <c r="G10503" s="758"/>
      <c r="H10503" s="758"/>
      <c r="I10503" s="519"/>
      <c r="J10503" s="758"/>
      <c r="K10503" s="758"/>
      <c r="L10503" s="758"/>
      <c r="M10503" s="758"/>
      <c r="N10503" s="758"/>
      <c r="O10503" s="758"/>
      <c r="P10503" s="758"/>
      <c r="Q10503" s="519"/>
      <c r="R10503" s="759">
        <f>$A10503*Q10503</f>
        <v>0</v>
      </c>
      <c r="S10503" s="519"/>
      <c r="T10503" s="760">
        <f>$A10503*S10503*$T$1</f>
        <v>0</v>
      </c>
      <c r="AR10503" s="758"/>
      <c r="AS10503" s="753"/>
    </row>
    <row r="10504" spans="1:45" s="520" customFormat="1" ht="12.6" thickBot="1">
      <c r="A10504" s="761" t="s">
        <v>145</v>
      </c>
      <c r="B10504" s="762">
        <f>(R10503+T10503)</f>
        <v>0</v>
      </c>
      <c r="C10504" s="763"/>
      <c r="D10504" s="763"/>
      <c r="E10504" s="763"/>
      <c r="F10504" s="764"/>
      <c r="G10504" s="763" t="s">
        <v>146</v>
      </c>
      <c r="H10504" s="763"/>
      <c r="I10504" s="765"/>
      <c r="J10504" s="763"/>
      <c r="K10504" s="763" t="s">
        <v>3</v>
      </c>
      <c r="L10504" s="766" t="s">
        <v>143</v>
      </c>
      <c r="M10504" s="766"/>
      <c r="N10504" s="766"/>
      <c r="O10504" s="766"/>
      <c r="P10504" s="766"/>
      <c r="Q10504" s="767"/>
      <c r="R10504" s="768">
        <f>SUM(R10501:R10503)</f>
        <v>61.499999999999993</v>
      </c>
      <c r="S10504" s="763"/>
      <c r="T10504" s="768">
        <f>SUM(T10501:T10503)</f>
        <v>4.8599999999999994</v>
      </c>
      <c r="U10504" s="531"/>
      <c r="V10504" s="531"/>
      <c r="W10504" s="531"/>
      <c r="X10504" s="531"/>
      <c r="Y10504" s="531"/>
      <c r="Z10504" s="531"/>
      <c r="AA10504" s="531"/>
      <c r="AB10504" s="531"/>
      <c r="AC10504" s="531"/>
      <c r="AD10504" s="531"/>
      <c r="AE10504" s="531"/>
      <c r="AF10504" s="531"/>
      <c r="AG10504" s="531"/>
      <c r="AH10504" s="531"/>
      <c r="AI10504" s="531"/>
      <c r="AJ10504" s="531"/>
      <c r="AK10504" s="531"/>
      <c r="AL10504" s="531"/>
      <c r="AM10504" s="531"/>
      <c r="AN10504" s="531"/>
      <c r="AO10504" s="531"/>
      <c r="AR10504" s="761" t="s">
        <v>145</v>
      </c>
      <c r="AS10504" s="764"/>
    </row>
    <row r="10505" spans="1:45" s="520" customFormat="1" ht="12" thickTop="1">
      <c r="A10505" s="51"/>
      <c r="B10505" s="41"/>
      <c r="C10505" s="51"/>
      <c r="E10505" s="42" t="s">
        <v>138</v>
      </c>
      <c r="F10505" s="42" t="s">
        <v>139</v>
      </c>
      <c r="G10505" s="51"/>
      <c r="H10505" s="51"/>
      <c r="I10505" s="51"/>
      <c r="J10505" s="51"/>
      <c r="K10505" s="51" t="s">
        <v>140</v>
      </c>
      <c r="L10505" s="51"/>
      <c r="M10505" s="51"/>
      <c r="N10505" s="51"/>
      <c r="O10505" s="52"/>
      <c r="P10505" s="51"/>
      <c r="Q10505" s="51"/>
      <c r="R10505" s="51"/>
      <c r="S10505" s="51"/>
      <c r="T10505" s="41"/>
      <c r="AG10505" s="521" t="s">
        <v>268</v>
      </c>
      <c r="AH10505" s="521" t="s">
        <v>269</v>
      </c>
      <c r="AI10505" s="521" t="s">
        <v>270</v>
      </c>
      <c r="AJ10505" s="521" t="s">
        <v>271</v>
      </c>
      <c r="AK10505" s="521" t="s">
        <v>272</v>
      </c>
      <c r="AM10505" s="745" t="s">
        <v>281</v>
      </c>
      <c r="AN10505" s="746" t="s">
        <v>282</v>
      </c>
      <c r="AO10505" s="522" t="s">
        <v>278</v>
      </c>
      <c r="AR10505" s="51"/>
      <c r="AS10505" s="42" t="s">
        <v>139</v>
      </c>
    </row>
    <row r="10506" spans="1:45" s="520" customFormat="1" ht="12" customHeight="1">
      <c r="A10506" s="747">
        <v>1</v>
      </c>
      <c r="B10506" s="523" t="s">
        <v>329</v>
      </c>
      <c r="C10506" s="748"/>
      <c r="D10506" s="749" t="s">
        <v>1935</v>
      </c>
      <c r="E10506" s="1145">
        <f>IF(AND($A10506=0,$A$1="DIF"),0, ROUND(ROUND(($R10510*$S$3+($T10510*$T$3))/$A10506,2)*$C$3,2))</f>
        <v>344.88</v>
      </c>
      <c r="F10506" s="1146">
        <f>ROUND($A10506*$E10506,2)</f>
        <v>344.88</v>
      </c>
      <c r="G10506" s="752" t="s">
        <v>142</v>
      </c>
      <c r="H10506" s="753"/>
      <c r="I10506" s="754"/>
      <c r="J10506" s="753"/>
      <c r="K10506" s="753" t="s">
        <v>5</v>
      </c>
      <c r="L10506" s="755" t="s">
        <v>143</v>
      </c>
      <c r="M10506" s="755"/>
      <c r="N10506" s="755"/>
      <c r="O10506" s="755"/>
      <c r="P10506" s="755"/>
      <c r="Q10506" s="51"/>
      <c r="T10506" s="1150" t="str">
        <f>IF(AND($R10510=0,$T10510=0),"0.00","mu: "&amp; ROUND(F10506/$C$3/($R10510+$T10510*$D$9),2))</f>
        <v>mu: 1.13</v>
      </c>
      <c r="W10506" s="524"/>
      <c r="AG10506" s="1147">
        <f>IF($E10506=0,0,ROUND($R10510*$S$3*$C$3/$A10506,2))</f>
        <v>344.88</v>
      </c>
      <c r="AH10506" s="1147">
        <f>$AG10506*$A10506</f>
        <v>344.88</v>
      </c>
      <c r="AI10506" s="1148">
        <f>$E10506-$AG10506</f>
        <v>0</v>
      </c>
      <c r="AJ10506" s="1148">
        <f>$A10506*$AI10506</f>
        <v>0</v>
      </c>
      <c r="AK10506" s="1149">
        <f>ROUND(($AG10506+$AI10506)*$A10506,2)</f>
        <v>344.88</v>
      </c>
      <c r="AM10506" s="527">
        <f>ROUND(R10510,2)</f>
        <v>305.55</v>
      </c>
      <c r="AN10506" s="528">
        <f>ROUND(T10510,2)</f>
        <v>0</v>
      </c>
      <c r="AO10506" s="529">
        <f>ROUND(AM10506+AN10506,2)*A10506</f>
        <v>305.55</v>
      </c>
      <c r="AR10506" s="747">
        <v>1</v>
      </c>
      <c r="AS10506" s="1146">
        <v>375.3</v>
      </c>
    </row>
    <row r="10507" spans="1:45" s="520" customFormat="1" ht="39.9" customHeight="1">
      <c r="A10507" s="748"/>
      <c r="B10507"/>
      <c r="C10507" s="748"/>
      <c r="D10507" s="1451" t="s">
        <v>2500</v>
      </c>
      <c r="E10507" s="1452"/>
      <c r="F10507" s="1452"/>
      <c r="G10507" s="1452"/>
      <c r="H10507" s="1452"/>
      <c r="I10507" s="1452"/>
      <c r="J10507" s="1452"/>
      <c r="K10507" s="1452"/>
      <c r="L10507" s="1452"/>
      <c r="M10507" s="1452"/>
      <c r="N10507" s="1452"/>
      <c r="O10507" s="1452"/>
      <c r="P10507" s="1452"/>
      <c r="Q10507" s="1452"/>
      <c r="R10507" s="1452"/>
      <c r="S10507" s="1452"/>
      <c r="T10507" s="1452"/>
      <c r="AR10507" s="748"/>
    </row>
    <row r="10508" spans="1:45" s="901" customFormat="1" ht="13.2">
      <c r="A10508" s="903">
        <v>1</v>
      </c>
      <c r="B10508" s="904" t="s">
        <v>863</v>
      </c>
      <c r="C10508" s="904"/>
      <c r="D10508" s="904" t="s">
        <v>2594</v>
      </c>
      <c r="E10508" s="904"/>
      <c r="F10508" s="904" t="s">
        <v>4140</v>
      </c>
      <c r="G10508" s="905" t="s">
        <v>2595</v>
      </c>
      <c r="H10508" s="902">
        <v>960</v>
      </c>
      <c r="I10508" s="904" t="s">
        <v>2596</v>
      </c>
      <c r="J10508" s="904"/>
      <c r="K10508" s="904"/>
      <c r="L10508" s="904"/>
      <c r="M10508" s="904"/>
      <c r="N10508" s="904"/>
      <c r="O10508" s="902">
        <v>4</v>
      </c>
      <c r="P10508" s="906">
        <v>38274</v>
      </c>
      <c r="Q10508" s="1415">
        <f>350*0.873</f>
        <v>305.55</v>
      </c>
      <c r="R10508" s="908">
        <f>$A10508*Q10508</f>
        <v>305.55</v>
      </c>
      <c r="S10508" s="907"/>
      <c r="T10508" s="909">
        <f>$A10508*S10508*$T$1</f>
        <v>0</v>
      </c>
      <c r="AR10508" s="903">
        <v>1</v>
      </c>
      <c r="AS10508" s="904" t="s">
        <v>3507</v>
      </c>
    </row>
    <row r="10509" spans="1:45" s="520" customFormat="1" ht="12">
      <c r="A10509" s="758"/>
      <c r="B10509" s="758"/>
      <c r="C10509" s="758"/>
      <c r="D10509" s="758"/>
      <c r="E10509" s="758"/>
      <c r="F10509" s="753"/>
      <c r="G10509" s="758"/>
      <c r="H10509" s="758"/>
      <c r="I10509" s="519"/>
      <c r="J10509" s="758"/>
      <c r="K10509" s="758"/>
      <c r="L10509" s="758"/>
      <c r="M10509" s="758"/>
      <c r="N10509" s="758"/>
      <c r="O10509" s="758"/>
      <c r="P10509" s="758"/>
      <c r="Q10509" s="519"/>
      <c r="R10509" s="759">
        <f>$A10509*Q10509</f>
        <v>0</v>
      </c>
      <c r="S10509" s="519"/>
      <c r="T10509" s="760">
        <f>$A10509*S10509*$T$1</f>
        <v>0</v>
      </c>
      <c r="AR10509" s="758"/>
      <c r="AS10509" s="753"/>
    </row>
    <row r="10510" spans="1:45" s="520" customFormat="1" ht="12.6" thickBot="1">
      <c r="A10510" s="761" t="s">
        <v>145</v>
      </c>
      <c r="B10510" s="762">
        <f>(R10509+T10509)</f>
        <v>0</v>
      </c>
      <c r="C10510" s="763"/>
      <c r="D10510" s="763"/>
      <c r="E10510" s="763"/>
      <c r="F10510" s="764"/>
      <c r="G10510" s="763" t="s">
        <v>146</v>
      </c>
      <c r="H10510" s="763"/>
      <c r="I10510" s="765"/>
      <c r="J10510" s="763"/>
      <c r="K10510" s="763" t="s">
        <v>5</v>
      </c>
      <c r="L10510" s="766" t="s">
        <v>143</v>
      </c>
      <c r="M10510" s="766"/>
      <c r="N10510" s="766"/>
      <c r="O10510" s="766"/>
      <c r="P10510" s="766"/>
      <c r="Q10510" s="767"/>
      <c r="R10510" s="768">
        <f>SUM(R10507:R10509)</f>
        <v>305.55</v>
      </c>
      <c r="S10510" s="763"/>
      <c r="T10510" s="768">
        <f>SUM(T10507:T10509)</f>
        <v>0</v>
      </c>
      <c r="U10510" s="531"/>
      <c r="V10510" s="531"/>
      <c r="W10510" s="531"/>
      <c r="X10510" s="531"/>
      <c r="Y10510" s="531"/>
      <c r="Z10510" s="531"/>
      <c r="AA10510" s="531"/>
      <c r="AB10510" s="531"/>
      <c r="AC10510" s="531"/>
      <c r="AD10510" s="531"/>
      <c r="AE10510" s="531"/>
      <c r="AF10510" s="531"/>
      <c r="AG10510" s="531"/>
      <c r="AH10510" s="531"/>
      <c r="AI10510" s="531"/>
      <c r="AJ10510" s="531"/>
      <c r="AK10510" s="531"/>
      <c r="AL10510" s="531"/>
      <c r="AM10510" s="531"/>
      <c r="AN10510" s="531"/>
      <c r="AO10510" s="531"/>
      <c r="AR10510" s="761" t="s">
        <v>145</v>
      </c>
      <c r="AS10510" s="764"/>
    </row>
    <row r="10511" spans="1:45" s="520" customFormat="1" ht="12" thickTop="1">
      <c r="A10511" s="51"/>
      <c r="B10511" s="41"/>
      <c r="C10511" s="51"/>
      <c r="E10511" s="42" t="s">
        <v>138</v>
      </c>
      <c r="F10511" s="42" t="s">
        <v>139</v>
      </c>
      <c r="G10511" s="51"/>
      <c r="H10511" s="51"/>
      <c r="I10511" s="51"/>
      <c r="J10511" s="51"/>
      <c r="K10511" s="51" t="s">
        <v>140</v>
      </c>
      <c r="L10511" s="51"/>
      <c r="M10511" s="51"/>
      <c r="N10511" s="51"/>
      <c r="O10511" s="52"/>
      <c r="P10511" s="51"/>
      <c r="Q10511" s="51"/>
      <c r="R10511" s="51"/>
      <c r="S10511" s="51"/>
      <c r="T10511" s="41"/>
      <c r="AG10511" s="521" t="s">
        <v>268</v>
      </c>
      <c r="AH10511" s="521" t="s">
        <v>269</v>
      </c>
      <c r="AI10511" s="521" t="s">
        <v>270</v>
      </c>
      <c r="AJ10511" s="521" t="s">
        <v>271</v>
      </c>
      <c r="AK10511" s="521" t="s">
        <v>272</v>
      </c>
      <c r="AM10511" s="745" t="s">
        <v>281</v>
      </c>
      <c r="AN10511" s="746" t="s">
        <v>282</v>
      </c>
      <c r="AO10511" s="522" t="s">
        <v>278</v>
      </c>
      <c r="AR10511" s="51"/>
      <c r="AS10511" s="42" t="s">
        <v>139</v>
      </c>
    </row>
    <row r="10512" spans="1:45" s="520" customFormat="1" ht="12" customHeight="1">
      <c r="A10512" s="747">
        <v>1</v>
      </c>
      <c r="B10512" s="523" t="s">
        <v>299</v>
      </c>
      <c r="C10512" s="748"/>
      <c r="D10512" s="749" t="s">
        <v>1937</v>
      </c>
      <c r="E10512" s="1145">
        <f>IF(AND($A10512=0,$A$1="DIF"),0, ROUND(ROUND(($R10516*$S$3+($T10516*$T$3))/$A10512,2)*$C$3,2))</f>
        <v>492.69</v>
      </c>
      <c r="F10512" s="1146">
        <f>ROUND($A10512*$E10512,2)</f>
        <v>492.69</v>
      </c>
      <c r="G10512" s="752" t="s">
        <v>142</v>
      </c>
      <c r="H10512" s="753"/>
      <c r="I10512" s="754"/>
      <c r="J10512" s="753"/>
      <c r="K10512" s="753" t="s">
        <v>5</v>
      </c>
      <c r="L10512" s="755" t="s">
        <v>143</v>
      </c>
      <c r="M10512" s="755"/>
      <c r="N10512" s="755"/>
      <c r="O10512" s="755"/>
      <c r="P10512" s="755"/>
      <c r="Q10512" s="51"/>
      <c r="T10512" s="1150" t="str">
        <f>IF(AND($R10516=0,$T10516=0),"0.00","mu: "&amp; ROUND(F10512/$C$3/($R10516+$T10516*$D$9),2))</f>
        <v>mu: 1.13</v>
      </c>
      <c r="W10512" s="524"/>
      <c r="AG10512" s="1147">
        <f>IF($E10512=0,0,ROUND($R10516*$S$3*$C$3/$A10512,2))</f>
        <v>492.69</v>
      </c>
      <c r="AH10512" s="1147">
        <f>$AG10512*$A10512</f>
        <v>492.69</v>
      </c>
      <c r="AI10512" s="1148">
        <f>$E10512-$AG10512</f>
        <v>0</v>
      </c>
      <c r="AJ10512" s="1148">
        <f>$A10512*$AI10512</f>
        <v>0</v>
      </c>
      <c r="AK10512" s="1149">
        <f>ROUND(($AG10512+$AI10512)*$A10512,2)</f>
        <v>492.69</v>
      </c>
      <c r="AM10512" s="527">
        <f>ROUND(R10516,2)</f>
        <v>436.5</v>
      </c>
      <c r="AN10512" s="528">
        <f>ROUND(T10516,2)</f>
        <v>0</v>
      </c>
      <c r="AO10512" s="529">
        <f>ROUND(AM10512+AN10512,2)*A10512</f>
        <v>436.5</v>
      </c>
      <c r="AR10512" s="747">
        <v>1</v>
      </c>
      <c r="AS10512" s="1146">
        <v>536.15</v>
      </c>
    </row>
    <row r="10513" spans="1:45" s="520" customFormat="1" ht="13.2">
      <c r="A10513" s="748"/>
      <c r="B10513"/>
      <c r="C10513" s="748"/>
      <c r="D10513" s="749" t="s">
        <v>381</v>
      </c>
      <c r="F10513" s="753"/>
      <c r="G10513" s="3"/>
      <c r="H10513" s="753"/>
      <c r="I10513" s="754"/>
      <c r="J10513" s="753"/>
      <c r="K10513" s="753" t="s">
        <v>144</v>
      </c>
      <c r="L10513" s="753"/>
      <c r="M10513" s="753"/>
      <c r="N10513" s="753"/>
      <c r="O10513" s="753"/>
      <c r="P10513" s="753"/>
      <c r="Q10513" s="51"/>
      <c r="R10513" s="530"/>
      <c r="S10513" s="757"/>
      <c r="T10513" s="753"/>
      <c r="AR10513" s="748"/>
      <c r="AS10513" s="753"/>
    </row>
    <row r="10514" spans="1:45" s="901" customFormat="1" ht="13.2">
      <c r="A10514" s="903">
        <v>1</v>
      </c>
      <c r="B10514" s="904" t="s">
        <v>863</v>
      </c>
      <c r="C10514" s="904"/>
      <c r="D10514" s="904" t="s">
        <v>2594</v>
      </c>
      <c r="E10514" s="904"/>
      <c r="F10514" s="904" t="s">
        <v>4140</v>
      </c>
      <c r="G10514" s="905" t="s">
        <v>2595</v>
      </c>
      <c r="H10514" s="902">
        <v>960</v>
      </c>
      <c r="I10514" s="904" t="s">
        <v>2596</v>
      </c>
      <c r="J10514" s="904"/>
      <c r="K10514" s="904"/>
      <c r="L10514" s="904"/>
      <c r="M10514" s="904"/>
      <c r="N10514" s="904"/>
      <c r="O10514" s="902">
        <v>4</v>
      </c>
      <c r="P10514" s="906">
        <v>38274</v>
      </c>
      <c r="Q10514" s="1415">
        <f>500*0.873</f>
        <v>436.5</v>
      </c>
      <c r="R10514" s="908">
        <f>$A10514*Q10514</f>
        <v>436.5</v>
      </c>
      <c r="S10514" s="907"/>
      <c r="T10514" s="909">
        <f>$A10514*S10514*$T$1</f>
        <v>0</v>
      </c>
      <c r="AR10514" s="903">
        <v>1</v>
      </c>
      <c r="AS10514" s="904" t="s">
        <v>3507</v>
      </c>
    </row>
    <row r="10515" spans="1:45" s="520" customFormat="1" ht="12">
      <c r="A10515" s="758"/>
      <c r="B10515" s="758"/>
      <c r="C10515" s="758"/>
      <c r="D10515" s="758"/>
      <c r="E10515" s="758"/>
      <c r="F10515" s="753"/>
      <c r="G10515" s="758"/>
      <c r="H10515" s="758"/>
      <c r="I10515" s="519"/>
      <c r="J10515" s="758"/>
      <c r="K10515" s="758"/>
      <c r="L10515" s="758"/>
      <c r="M10515" s="758"/>
      <c r="N10515" s="758"/>
      <c r="O10515" s="758"/>
      <c r="P10515" s="758"/>
      <c r="Q10515" s="519"/>
      <c r="R10515" s="759">
        <f>$A10515*Q10515</f>
        <v>0</v>
      </c>
      <c r="S10515" s="519"/>
      <c r="T10515" s="760">
        <f>$A10515*S10515*$T$1</f>
        <v>0</v>
      </c>
      <c r="AR10515" s="758"/>
      <c r="AS10515" s="753"/>
    </row>
    <row r="10516" spans="1:45" s="520" customFormat="1" ht="12.6" thickBot="1">
      <c r="A10516" s="761" t="s">
        <v>145</v>
      </c>
      <c r="B10516" s="762">
        <f>(R10515+T10515)</f>
        <v>0</v>
      </c>
      <c r="C10516" s="763"/>
      <c r="D10516" s="763"/>
      <c r="E10516" s="763"/>
      <c r="F10516" s="764"/>
      <c r="G10516" s="763" t="s">
        <v>146</v>
      </c>
      <c r="H10516" s="763"/>
      <c r="I10516" s="765"/>
      <c r="J10516" s="763"/>
      <c r="K10516" s="763" t="s">
        <v>5</v>
      </c>
      <c r="L10516" s="766" t="s">
        <v>143</v>
      </c>
      <c r="M10516" s="766"/>
      <c r="N10516" s="766"/>
      <c r="O10516" s="766"/>
      <c r="P10516" s="766"/>
      <c r="Q10516" s="767"/>
      <c r="R10516" s="768">
        <f>SUM(R10513:R10515)</f>
        <v>436.5</v>
      </c>
      <c r="S10516" s="763"/>
      <c r="T10516" s="768">
        <f>SUM(T10513:T10515)</f>
        <v>0</v>
      </c>
      <c r="U10516" s="531"/>
      <c r="V10516" s="531"/>
      <c r="W10516" s="531"/>
      <c r="X10516" s="531"/>
      <c r="Y10516" s="531"/>
      <c r="Z10516" s="531"/>
      <c r="AA10516" s="531"/>
      <c r="AB10516" s="531"/>
      <c r="AC10516" s="531"/>
      <c r="AD10516" s="531"/>
      <c r="AE10516" s="531"/>
      <c r="AF10516" s="531"/>
      <c r="AG10516" s="531"/>
      <c r="AH10516" s="531"/>
      <c r="AI10516" s="531"/>
      <c r="AJ10516" s="531"/>
      <c r="AK10516" s="531"/>
      <c r="AL10516" s="531"/>
      <c r="AM10516" s="531"/>
      <c r="AN10516" s="531"/>
      <c r="AO10516" s="531"/>
      <c r="AR10516" s="761" t="s">
        <v>145</v>
      </c>
      <c r="AS10516" s="764"/>
    </row>
    <row r="10517" spans="1:45" s="520" customFormat="1" ht="12" thickTop="1">
      <c r="A10517" s="51"/>
      <c r="B10517" s="41"/>
      <c r="C10517" s="51"/>
      <c r="E10517" s="42" t="s">
        <v>138</v>
      </c>
      <c r="F10517" s="42" t="s">
        <v>139</v>
      </c>
      <c r="G10517" s="51"/>
      <c r="H10517" s="51"/>
      <c r="I10517" s="51"/>
      <c r="J10517" s="51"/>
      <c r="K10517" s="51" t="s">
        <v>140</v>
      </c>
      <c r="L10517" s="51"/>
      <c r="M10517" s="51"/>
      <c r="N10517" s="51"/>
      <c r="O10517" s="52"/>
      <c r="P10517" s="51"/>
      <c r="Q10517" s="51"/>
      <c r="R10517" s="51"/>
      <c r="S10517" s="51"/>
      <c r="T10517" s="41"/>
      <c r="AG10517" s="521" t="s">
        <v>268</v>
      </c>
      <c r="AH10517" s="521" t="s">
        <v>269</v>
      </c>
      <c r="AI10517" s="521" t="s">
        <v>270</v>
      </c>
      <c r="AJ10517" s="521" t="s">
        <v>271</v>
      </c>
      <c r="AK10517" s="521" t="s">
        <v>272</v>
      </c>
      <c r="AM10517" s="745" t="s">
        <v>281</v>
      </c>
      <c r="AN10517" s="746" t="s">
        <v>282</v>
      </c>
      <c r="AO10517" s="522" t="s">
        <v>278</v>
      </c>
      <c r="AR10517" s="51"/>
      <c r="AS10517" s="42" t="s">
        <v>139</v>
      </c>
    </row>
    <row r="10518" spans="1:45" s="520" customFormat="1" ht="12" customHeight="1">
      <c r="A10518" s="747">
        <v>1</v>
      </c>
      <c r="B10518" s="523" t="s">
        <v>383</v>
      </c>
      <c r="C10518" s="748"/>
      <c r="D10518" s="749" t="s">
        <v>1938</v>
      </c>
      <c r="E10518" s="750">
        <f>IF(AND($A10518=0,$A$1="DIF"),0, ROUND(ROUND(($R10524*$S$2+($T10524*$T$2))/$A10518,2)*$C$2,2))</f>
        <v>227.62</v>
      </c>
      <c r="F10518" s="751">
        <f>ROUND($A10518*$E10518,2)</f>
        <v>227.62</v>
      </c>
      <c r="G10518" s="752" t="s">
        <v>142</v>
      </c>
      <c r="H10518" s="753"/>
      <c r="I10518" s="754"/>
      <c r="J10518" s="753"/>
      <c r="K10518" s="753" t="s">
        <v>3</v>
      </c>
      <c r="L10518" s="755" t="s">
        <v>143</v>
      </c>
      <c r="M10518" s="755"/>
      <c r="N10518" s="755"/>
      <c r="O10518" s="755"/>
      <c r="P10518" s="755"/>
      <c r="Q10518" s="51"/>
      <c r="T10518" s="756" t="str">
        <f>IF(AND($R10524=0,$T10524=0),"0.00","mu: "&amp; ROUND(F10518/$C$2/($R10524+$T10524*$D$9),2))</f>
        <v>mu: 1.23</v>
      </c>
      <c r="W10518" s="524"/>
      <c r="AG10518" s="481">
        <f>IF($E10518=0,0,ROUND($R10524*$S$2*$C$2/$A10518,2))</f>
        <v>105.9</v>
      </c>
      <c r="AH10518" s="481">
        <f>$AG10518*$A10518</f>
        <v>105.9</v>
      </c>
      <c r="AI10518" s="525">
        <f>$E10518-$AG10518</f>
        <v>121.72</v>
      </c>
      <c r="AJ10518" s="525">
        <f>$A10518*$AI10518</f>
        <v>121.72</v>
      </c>
      <c r="AK10518" s="526">
        <f>ROUND(($AG10518+$AI10518)*$A10518,2)</f>
        <v>227.62</v>
      </c>
      <c r="AM10518" s="527">
        <f>ROUND(R10524,2)</f>
        <v>86</v>
      </c>
      <c r="AN10518" s="528">
        <f>ROUND(T10524,2)</f>
        <v>3.6</v>
      </c>
      <c r="AO10518" s="529">
        <f>ROUND(AM10518+AN10518,2)*A10518</f>
        <v>89.6</v>
      </c>
      <c r="AR10518" s="747">
        <v>1</v>
      </c>
      <c r="AS10518" s="751">
        <v>241.15</v>
      </c>
    </row>
    <row r="10519" spans="1:45" s="520" customFormat="1" ht="39.9" customHeight="1">
      <c r="A10519" s="1154"/>
      <c r="B10519"/>
      <c r="C10519" s="748"/>
      <c r="D10519" s="1451" t="s">
        <v>382</v>
      </c>
      <c r="E10519" s="1452"/>
      <c r="F10519" s="1452"/>
      <c r="G10519" s="1452"/>
      <c r="H10519" s="1452"/>
      <c r="I10519" s="1452"/>
      <c r="J10519" s="1452"/>
      <c r="K10519" s="1452"/>
      <c r="L10519" s="1452"/>
      <c r="M10519" s="1452"/>
      <c r="N10519" s="1452"/>
      <c r="O10519" s="1452"/>
      <c r="P10519" s="1452"/>
      <c r="Q10519" s="1452"/>
      <c r="R10519" s="1452"/>
      <c r="S10519" s="1452"/>
      <c r="T10519" s="1452"/>
      <c r="AR10519" s="1154"/>
    </row>
    <row r="10520" spans="1:45" s="901" customFormat="1" ht="13.2">
      <c r="A10520" s="116">
        <v>7</v>
      </c>
      <c r="B10520" s="901" t="s">
        <v>141</v>
      </c>
      <c r="D10520" s="901" t="s">
        <v>3698</v>
      </c>
      <c r="G10520" s="941" t="s">
        <v>3061</v>
      </c>
      <c r="H10520" s="942">
        <v>880</v>
      </c>
      <c r="I10520" s="901" t="s">
        <v>2607</v>
      </c>
      <c r="O10520" s="943">
        <v>3</v>
      </c>
      <c r="P10520" s="944">
        <v>36220</v>
      </c>
      <c r="Q10520" s="945">
        <v>8</v>
      </c>
      <c r="R10520" s="946">
        <f>$A10520*Q10520</f>
        <v>56</v>
      </c>
      <c r="S10520" s="945">
        <v>0.25</v>
      </c>
      <c r="T10520" s="947">
        <f>$A10520*S10520*$T$1</f>
        <v>1.575</v>
      </c>
      <c r="AR10520" s="116">
        <v>7</v>
      </c>
    </row>
    <row r="10521" spans="1:45" s="901" customFormat="1" ht="13.2">
      <c r="A10521" s="116">
        <v>1</v>
      </c>
      <c r="B10521" s="901" t="s">
        <v>141</v>
      </c>
      <c r="D10521" s="901" t="s">
        <v>3063</v>
      </c>
      <c r="G10521" s="941" t="s">
        <v>3062</v>
      </c>
      <c r="H10521" s="942">
        <v>880</v>
      </c>
      <c r="I10521" s="901" t="s">
        <v>2607</v>
      </c>
      <c r="O10521" s="943">
        <v>3</v>
      </c>
      <c r="P10521" s="944"/>
      <c r="Q10521" s="945">
        <v>10</v>
      </c>
      <c r="R10521" s="946">
        <f>$A10521*Q10521</f>
        <v>10</v>
      </c>
      <c r="S10521" s="945">
        <v>0.25</v>
      </c>
      <c r="T10521" s="947">
        <f>$A10521*S10521*$T$1</f>
        <v>0.22500000000000001</v>
      </c>
      <c r="AR10521" s="116">
        <v>1</v>
      </c>
    </row>
    <row r="10522" spans="1:45" s="901" customFormat="1" ht="13.2">
      <c r="A10522" s="116">
        <v>1</v>
      </c>
      <c r="B10522" s="901" t="s">
        <v>141</v>
      </c>
      <c r="D10522" s="901" t="s">
        <v>3064</v>
      </c>
      <c r="G10522" s="941" t="s">
        <v>3065</v>
      </c>
      <c r="H10522" s="942">
        <v>880</v>
      </c>
      <c r="I10522" s="901" t="s">
        <v>2607</v>
      </c>
      <c r="O10522" s="943">
        <v>3</v>
      </c>
      <c r="P10522" s="944"/>
      <c r="Q10522" s="945">
        <v>20</v>
      </c>
      <c r="R10522" s="946">
        <f>$A10522*Q10522</f>
        <v>20</v>
      </c>
      <c r="S10522" s="945">
        <v>2</v>
      </c>
      <c r="T10522" s="947">
        <f>$A10522*S10522*$T$1</f>
        <v>1.8</v>
      </c>
      <c r="AR10522" s="116">
        <v>1</v>
      </c>
    </row>
    <row r="10523" spans="1:45" s="520" customFormat="1" ht="12">
      <c r="A10523" s="758"/>
      <c r="B10523" s="758"/>
      <c r="C10523" s="758"/>
      <c r="D10523" s="758"/>
      <c r="E10523" s="758"/>
      <c r="F10523" s="753"/>
      <c r="G10523" s="758"/>
      <c r="H10523" s="758"/>
      <c r="I10523" s="519"/>
      <c r="J10523" s="758"/>
      <c r="K10523" s="758"/>
      <c r="L10523" s="758"/>
      <c r="M10523" s="758"/>
      <c r="N10523" s="758"/>
      <c r="O10523" s="758"/>
      <c r="P10523" s="758"/>
      <c r="Q10523" s="519"/>
      <c r="R10523" s="759">
        <f>$A10523*Q10523</f>
        <v>0</v>
      </c>
      <c r="S10523" s="519"/>
      <c r="T10523" s="760">
        <f>$A10523*S10523*$T$1</f>
        <v>0</v>
      </c>
      <c r="AR10523" s="758"/>
      <c r="AS10523" s="753"/>
    </row>
    <row r="10524" spans="1:45" s="520" customFormat="1" ht="12.6" thickBot="1">
      <c r="A10524" s="761" t="s">
        <v>145</v>
      </c>
      <c r="B10524" s="762">
        <f>(R10523+T10523)</f>
        <v>0</v>
      </c>
      <c r="C10524" s="763"/>
      <c r="D10524" s="763"/>
      <c r="E10524" s="763"/>
      <c r="F10524" s="764"/>
      <c r="G10524" s="763" t="s">
        <v>146</v>
      </c>
      <c r="H10524" s="763"/>
      <c r="I10524" s="765"/>
      <c r="J10524" s="763"/>
      <c r="K10524" s="763" t="s">
        <v>3</v>
      </c>
      <c r="L10524" s="766" t="s">
        <v>143</v>
      </c>
      <c r="M10524" s="766"/>
      <c r="N10524" s="766"/>
      <c r="O10524" s="766"/>
      <c r="P10524" s="766"/>
      <c r="Q10524" s="767"/>
      <c r="R10524" s="768">
        <f>SUM(R10519:R10523)</f>
        <v>86</v>
      </c>
      <c r="S10524" s="763"/>
      <c r="T10524" s="768">
        <f>SUM(T10519:T10523)</f>
        <v>3.6</v>
      </c>
      <c r="U10524" s="531"/>
      <c r="V10524" s="531"/>
      <c r="W10524" s="531"/>
      <c r="X10524" s="531"/>
      <c r="Y10524" s="531"/>
      <c r="Z10524" s="531"/>
      <c r="AA10524" s="531"/>
      <c r="AB10524" s="531"/>
      <c r="AC10524" s="531"/>
      <c r="AD10524" s="531"/>
      <c r="AE10524" s="531"/>
      <c r="AF10524" s="531"/>
      <c r="AG10524" s="531"/>
      <c r="AH10524" s="531"/>
      <c r="AI10524" s="531"/>
      <c r="AJ10524" s="531"/>
      <c r="AK10524" s="531"/>
      <c r="AL10524" s="531"/>
      <c r="AM10524" s="531"/>
      <c r="AN10524" s="531"/>
      <c r="AO10524" s="531"/>
      <c r="AR10524" s="761" t="s">
        <v>145</v>
      </c>
      <c r="AS10524" s="764"/>
    </row>
    <row r="10525" spans="1:45" s="520" customFormat="1" ht="12" thickTop="1">
      <c r="A10525" s="48" t="s">
        <v>148</v>
      </c>
      <c r="D10525" s="13"/>
      <c r="E10525" s="42"/>
      <c r="O10525" s="771"/>
      <c r="AR10525" s="48" t="s">
        <v>148</v>
      </c>
    </row>
    <row r="10526" spans="1:45" s="520" customFormat="1" ht="13.2">
      <c r="B10526" s="3"/>
      <c r="O10526" s="771"/>
    </row>
    <row r="10527" spans="1:45" s="520" customFormat="1" ht="12">
      <c r="B10527" s="772">
        <f>$F10527/$C$2-($R10527*$S$2+$T10527*$T$2)</f>
        <v>-237.05141663999984</v>
      </c>
      <c r="D10527" s="773" t="s">
        <v>1065</v>
      </c>
      <c r="E10527" s="774"/>
      <c r="F10527" s="775">
        <f>SUMIF($L10371:$L10525,"ITEM",F10371:F10525)</f>
        <v>3480.4500000000003</v>
      </c>
      <c r="G10527" s="758"/>
      <c r="H10527" s="758"/>
      <c r="I10527" s="519"/>
      <c r="J10527" s="758"/>
      <c r="K10527" s="758"/>
      <c r="L10527" s="755" t="s">
        <v>157</v>
      </c>
      <c r="M10527" s="755"/>
      <c r="N10527" s="755"/>
      <c r="O10527" s="755"/>
      <c r="P10527" s="755"/>
      <c r="R10527" s="775">
        <f>SUMIF($L10371:$L10525,"ITEM",R10371:R10525)</f>
        <v>2574.2080000000001</v>
      </c>
      <c r="S10527" s="776"/>
      <c r="T10527" s="775">
        <f>SUMIF($L10371:$L10525,"ITEM",T10371:T10525)</f>
        <v>16.2</v>
      </c>
      <c r="AS10527" s="775">
        <v>3771.3100000000009</v>
      </c>
    </row>
    <row r="10528" spans="1:45" s="520" customFormat="1" ht="13.2">
      <c r="A10528" s="51"/>
      <c r="B10528" s="49" t="s">
        <v>1064</v>
      </c>
      <c r="C10528" s="51"/>
      <c r="D10528" s="3"/>
      <c r="F10528" s="777" t="s">
        <v>158</v>
      </c>
      <c r="G10528" s="758"/>
      <c r="H10528" s="758"/>
      <c r="I10528" s="519"/>
      <c r="J10528" s="758"/>
      <c r="K10528" s="758"/>
      <c r="L10528" s="758"/>
      <c r="M10528" s="758"/>
      <c r="N10528" s="758"/>
      <c r="O10528" s="758"/>
      <c r="P10528" s="758"/>
      <c r="Q10528" s="778"/>
      <c r="R10528" s="777" t="s">
        <v>159</v>
      </c>
      <c r="S10528" s="38"/>
      <c r="T10528" s="777" t="s">
        <v>160</v>
      </c>
      <c r="AR10528" s="51"/>
      <c r="AS10528" s="777" t="s">
        <v>158</v>
      </c>
    </row>
    <row r="10529" spans="1:45" s="520" customFormat="1" ht="13.2">
      <c r="A10529" s="758"/>
      <c r="B10529" s="3"/>
      <c r="C10529" s="758"/>
      <c r="D10529" s="3"/>
      <c r="E10529" s="3"/>
      <c r="G10529" s="3"/>
      <c r="H10529" s="3"/>
      <c r="I10529" s="3"/>
      <c r="J10529" s="3"/>
      <c r="K10529" s="3"/>
      <c r="L10529" s="3"/>
      <c r="M10529" s="3"/>
      <c r="N10529" s="3"/>
      <c r="O10529" s="107"/>
      <c r="P10529" s="3"/>
      <c r="Q10529" s="3"/>
      <c r="R10529" s="3"/>
      <c r="S10529" s="3"/>
      <c r="T10529" s="3"/>
      <c r="AR10529" s="758"/>
    </row>
    <row r="10530" spans="1:45" s="520" customFormat="1" ht="12" thickBot="1">
      <c r="A10530" s="531"/>
      <c r="B10530" s="763"/>
      <c r="C10530" s="763"/>
      <c r="D10530" s="531"/>
      <c r="E10530" s="39"/>
      <c r="F10530" s="779"/>
      <c r="G10530" s="763"/>
      <c r="H10530" s="763"/>
      <c r="I10530" s="765"/>
      <c r="J10530" s="763"/>
      <c r="K10530" s="763"/>
      <c r="L10530" s="766"/>
      <c r="M10530" s="766"/>
      <c r="N10530" s="766"/>
      <c r="O10530" s="766"/>
      <c r="P10530" s="766"/>
      <c r="Q10530" s="767"/>
      <c r="R10530" s="779"/>
      <c r="S10530" s="780"/>
      <c r="T10530" s="779"/>
      <c r="U10530" s="531"/>
      <c r="V10530" s="531"/>
      <c r="W10530" s="531"/>
      <c r="X10530" s="531"/>
      <c r="Y10530" s="531"/>
      <c r="Z10530" s="531"/>
      <c r="AA10530" s="531"/>
      <c r="AB10530" s="531"/>
      <c r="AC10530" s="531"/>
      <c r="AD10530" s="531"/>
      <c r="AE10530" s="531"/>
      <c r="AF10530" s="531"/>
      <c r="AG10530" s="531"/>
      <c r="AH10530" s="531"/>
      <c r="AI10530" s="531"/>
      <c r="AJ10530" s="531"/>
      <c r="AK10530" s="531"/>
      <c r="AR10530" s="531"/>
      <c r="AS10530" s="779"/>
    </row>
    <row r="10531" spans="1:45" s="520" customFormat="1" thickTop="1">
      <c r="A10531" s="48" t="s">
        <v>148</v>
      </c>
      <c r="B10531" s="3"/>
      <c r="C10531" s="51"/>
      <c r="D10531" s="51"/>
      <c r="E10531" s="51"/>
      <c r="F10531" s="51"/>
      <c r="G10531" s="51"/>
      <c r="H10531" s="51"/>
      <c r="I10531" s="51"/>
      <c r="J10531" s="51"/>
      <c r="K10531" s="51"/>
      <c r="L10531" s="51"/>
      <c r="M10531" s="51"/>
      <c r="N10531" s="51"/>
      <c r="O10531" s="52"/>
      <c r="P10531" s="51"/>
      <c r="Q10531" s="51"/>
      <c r="R10531" s="51"/>
      <c r="S10531" s="51"/>
      <c r="T10531" s="51"/>
      <c r="AR10531" s="48" t="s">
        <v>148</v>
      </c>
      <c r="AS10531" s="51"/>
    </row>
    <row r="10532" spans="1:45" s="520" customFormat="1" ht="13.2">
      <c r="A10532" s="51"/>
      <c r="B10532" s="3"/>
      <c r="C10532" s="3"/>
      <c r="E10532" s="3"/>
      <c r="F10532" s="3"/>
      <c r="G10532" s="3"/>
      <c r="H10532" s="3"/>
      <c r="I10532" s="3"/>
      <c r="J10532" s="3"/>
      <c r="K10532" s="3"/>
      <c r="L10532" s="3"/>
      <c r="M10532" s="3"/>
      <c r="N10532" s="3"/>
      <c r="O10532" s="107"/>
      <c r="P10532" s="3"/>
      <c r="Q10532" s="3"/>
      <c r="R10532" s="3"/>
      <c r="S10532" s="3"/>
      <c r="T10532" s="3"/>
      <c r="AR10532" s="51"/>
      <c r="AS10532" s="3"/>
    </row>
    <row r="10533" spans="1:45" s="520" customFormat="1" ht="12">
      <c r="A10533" s="51"/>
      <c r="B10533" s="772">
        <f>$F10533/$C$2-($R10533*$S$2+$T10533*$T$2)</f>
        <v>-237.05141663999984</v>
      </c>
      <c r="C10533" s="51"/>
      <c r="D10533" s="121" t="s">
        <v>2202</v>
      </c>
      <c r="E10533" s="774"/>
      <c r="F10533" s="782">
        <f>SUMIF($L10377:$L10531,"PAGE",F10377:F10531)</f>
        <v>3480.4500000000003</v>
      </c>
      <c r="G10533" s="758"/>
      <c r="H10533" s="758"/>
      <c r="I10533" s="519"/>
      <c r="J10533" s="758"/>
      <c r="K10533" s="758"/>
      <c r="L10533" s="121" t="s">
        <v>1075</v>
      </c>
      <c r="M10533" s="121"/>
      <c r="N10533" s="121"/>
      <c r="O10533" s="122"/>
      <c r="P10533" s="121"/>
      <c r="Q10533" s="51"/>
      <c r="R10533" s="782">
        <f>SUMIF($L10377:$L10531,"PAGE",R10377:R10531)</f>
        <v>2574.2080000000001</v>
      </c>
      <c r="S10533" s="51"/>
      <c r="T10533" s="782">
        <f>SUMIF($L10377:$L10531,"PAGE",T10377:T10531)</f>
        <v>16.2</v>
      </c>
      <c r="AR10533" s="51"/>
      <c r="AS10533" s="782">
        <v>3771.3100000000009</v>
      </c>
    </row>
    <row r="10534" spans="1:45" s="520" customFormat="1" ht="12">
      <c r="A10534" s="51"/>
      <c r="B10534" s="49" t="s">
        <v>1064</v>
      </c>
      <c r="C10534" s="51"/>
      <c r="D10534" s="781"/>
      <c r="F10534" s="783" t="s">
        <v>1076</v>
      </c>
      <c r="G10534" s="758"/>
      <c r="H10534" s="758"/>
      <c r="I10534" s="519"/>
      <c r="J10534" s="758"/>
      <c r="K10534" s="758"/>
      <c r="L10534" s="51"/>
      <c r="M10534" s="51"/>
      <c r="N10534" s="51"/>
      <c r="O10534" s="52"/>
      <c r="P10534" s="51"/>
      <c r="Q10534" s="51"/>
      <c r="R10534" s="783" t="s">
        <v>1077</v>
      </c>
      <c r="S10534" s="38"/>
      <c r="T10534" s="783" t="s">
        <v>1078</v>
      </c>
      <c r="AR10534" s="51"/>
      <c r="AS10534" s="783" t="s">
        <v>1076</v>
      </c>
    </row>
    <row r="10535" spans="1:45" s="520" customFormat="1" ht="11.4">
      <c r="O10535" s="771"/>
    </row>
    <row r="10536" spans="1:45" s="520" customFormat="1" ht="12" thickBot="1">
      <c r="A10536" s="763"/>
      <c r="B10536" s="763"/>
      <c r="C10536" s="763"/>
      <c r="D10536" s="763"/>
      <c r="E10536" s="763"/>
      <c r="F10536" s="39"/>
      <c r="G10536" s="531"/>
      <c r="H10536" s="531"/>
      <c r="I10536" s="531"/>
      <c r="J10536" s="531"/>
      <c r="K10536" s="531"/>
      <c r="L10536" s="763"/>
      <c r="M10536" s="763"/>
      <c r="N10536" s="763"/>
      <c r="O10536" s="763"/>
      <c r="P10536" s="763"/>
      <c r="Q10536" s="767"/>
      <c r="R10536" s="39"/>
      <c r="S10536" s="39"/>
      <c r="T10536" s="39"/>
      <c r="U10536" s="531"/>
      <c r="V10536" s="531"/>
      <c r="W10536" s="531"/>
      <c r="X10536" s="531"/>
      <c r="Y10536" s="531"/>
      <c r="Z10536" s="531"/>
      <c r="AA10536" s="531"/>
      <c r="AB10536" s="531"/>
      <c r="AC10536" s="531"/>
      <c r="AD10536" s="531"/>
      <c r="AE10536" s="531"/>
      <c r="AF10536" s="531"/>
      <c r="AG10536" s="531"/>
      <c r="AH10536" s="531"/>
      <c r="AI10536" s="531"/>
      <c r="AJ10536" s="531"/>
      <c r="AK10536" s="531"/>
      <c r="AR10536" s="763"/>
      <c r="AS10536" s="39"/>
    </row>
    <row r="10537" spans="1:45" s="520" customFormat="1" thickTop="1">
      <c r="A10537" s="51"/>
      <c r="B10537" s="51"/>
      <c r="C10537" s="3"/>
      <c r="D10537" s="3"/>
      <c r="E10537" s="51"/>
      <c r="F10537" s="51"/>
      <c r="G10537" s="51"/>
      <c r="H10537" s="51"/>
      <c r="I10537" s="51"/>
      <c r="J10537" s="51"/>
      <c r="K10537" s="51" t="s">
        <v>134</v>
      </c>
      <c r="L10537" s="51"/>
      <c r="M10537" s="51"/>
      <c r="N10537" s="51"/>
      <c r="O10537" s="52"/>
      <c r="P10537" s="51"/>
      <c r="Q10537" s="51"/>
      <c r="R10537" s="51"/>
      <c r="S10537" s="51"/>
      <c r="T10537" s="51"/>
      <c r="AR10537" s="51"/>
      <c r="AS10537" s="51"/>
    </row>
    <row r="10538" spans="1:45" s="520" customFormat="1" ht="12">
      <c r="A10538" s="51"/>
      <c r="B10538" s="51"/>
      <c r="C10538" s="51" t="s">
        <v>135</v>
      </c>
      <c r="D10538" s="37" t="s">
        <v>2027</v>
      </c>
      <c r="E10538" s="51"/>
      <c r="F10538" s="51"/>
      <c r="G10538" s="51"/>
      <c r="H10538" s="51"/>
      <c r="I10538" s="51"/>
      <c r="J10538" s="51"/>
      <c r="K10538" s="51"/>
      <c r="L10538" s="51"/>
      <c r="M10538" s="51"/>
      <c r="N10538" s="51"/>
      <c r="O10538" s="52"/>
      <c r="P10538" s="51"/>
      <c r="Q10538" s="51"/>
      <c r="R10538" s="51"/>
      <c r="S10538" s="51"/>
      <c r="T10538" s="51"/>
      <c r="AR10538" s="51"/>
      <c r="AS10538" s="51"/>
    </row>
    <row r="10539" spans="1:45" s="520" customFormat="1" ht="12">
      <c r="A10539" s="51"/>
      <c r="B10539" s="51"/>
      <c r="C10539" s="51"/>
      <c r="D10539" s="37" t="s">
        <v>2203</v>
      </c>
      <c r="E10539" s="51"/>
      <c r="F10539" s="51"/>
      <c r="G10539" s="51"/>
      <c r="H10539" s="51"/>
      <c r="I10539" s="51"/>
      <c r="J10539" s="51"/>
      <c r="K10539" s="51"/>
      <c r="L10539" s="51"/>
      <c r="M10539" s="51"/>
      <c r="N10539" s="51"/>
      <c r="O10539" s="52"/>
      <c r="P10539" s="51"/>
      <c r="Q10539" s="51"/>
      <c r="R10539" s="51"/>
      <c r="S10539" s="38"/>
      <c r="T10539" s="38"/>
      <c r="AR10539" s="51"/>
      <c r="AS10539" s="51"/>
    </row>
    <row r="10540" spans="1:45" s="3" customFormat="1" thickBot="1">
      <c r="A10540" s="531"/>
      <c r="O10540" s="107"/>
      <c r="AR10540" s="531"/>
    </row>
    <row r="10541" spans="1:45" s="520" customFormat="1" thickTop="1">
      <c r="A10541" s="51"/>
      <c r="B10541" s="51"/>
      <c r="C10541" s="3"/>
      <c r="D10541" s="3"/>
      <c r="E10541" s="51"/>
      <c r="F10541" s="51"/>
      <c r="G10541" s="51"/>
      <c r="H10541" s="51"/>
      <c r="I10541" s="51"/>
      <c r="J10541" s="51"/>
      <c r="K10541" s="51" t="s">
        <v>134</v>
      </c>
      <c r="L10541" s="51"/>
      <c r="M10541" s="51"/>
      <c r="N10541" s="51"/>
      <c r="O10541" s="52"/>
      <c r="P10541" s="51"/>
      <c r="Q10541" s="51"/>
      <c r="R10541" s="51"/>
      <c r="S10541" s="51"/>
      <c r="T10541" s="51"/>
      <c r="AR10541" s="51"/>
      <c r="AS10541" s="51"/>
    </row>
    <row r="10542" spans="1:45" s="520" customFormat="1" ht="12">
      <c r="A10542" s="51"/>
      <c r="B10542" s="51"/>
      <c r="C10542" s="51" t="s">
        <v>135</v>
      </c>
      <c r="D10542" s="37"/>
      <c r="E10542" s="51"/>
      <c r="F10542" s="51"/>
      <c r="G10542" s="51"/>
      <c r="H10542" s="51"/>
      <c r="I10542" s="51"/>
      <c r="J10542" s="51"/>
      <c r="K10542" s="51"/>
      <c r="L10542" s="51"/>
      <c r="M10542" s="51"/>
      <c r="N10542" s="51"/>
      <c r="O10542" s="52"/>
      <c r="P10542" s="51"/>
      <c r="Q10542" s="51"/>
      <c r="R10542" s="51"/>
      <c r="S10542" s="51"/>
      <c r="T10542" s="51"/>
      <c r="AR10542" s="51"/>
      <c r="AS10542" s="51"/>
    </row>
    <row r="10543" spans="1:45" s="520" customFormat="1" ht="12">
      <c r="A10543" s="51"/>
      <c r="B10543" s="51"/>
      <c r="C10543" s="51"/>
      <c r="D10543" s="37" t="s">
        <v>2204</v>
      </c>
      <c r="E10543" s="51"/>
      <c r="F10543" s="1153" t="s">
        <v>4143</v>
      </c>
      <c r="G10543" s="51"/>
      <c r="H10543" s="51"/>
      <c r="I10543" s="51"/>
      <c r="J10543" s="51"/>
      <c r="K10543" s="51"/>
      <c r="L10543" s="51"/>
      <c r="M10543" s="51"/>
      <c r="N10543" s="51"/>
      <c r="O10543" s="52"/>
      <c r="P10543" s="51"/>
      <c r="Q10543" s="51"/>
      <c r="R10543" s="51"/>
      <c r="S10543" s="38"/>
      <c r="T10543" s="38"/>
      <c r="AR10543" s="51"/>
      <c r="AS10543" s="1153" t="s">
        <v>3507</v>
      </c>
    </row>
    <row r="10544" spans="1:45" s="3" customFormat="1" thickBot="1">
      <c r="A10544" s="531"/>
      <c r="O10544" s="107"/>
      <c r="AR10544" s="531"/>
    </row>
    <row r="10545" spans="1:45" s="520" customFormat="1" thickTop="1">
      <c r="A10545" s="51"/>
      <c r="B10545" s="51"/>
      <c r="C10545" s="3"/>
      <c r="D10545" s="3"/>
      <c r="E10545" s="51"/>
      <c r="F10545" s="51"/>
      <c r="G10545" s="51"/>
      <c r="H10545" s="51"/>
      <c r="I10545" s="51"/>
      <c r="J10545" s="51"/>
      <c r="K10545" s="51" t="s">
        <v>134</v>
      </c>
      <c r="L10545" s="51"/>
      <c r="M10545" s="51"/>
      <c r="N10545" s="51"/>
      <c r="O10545" s="52"/>
      <c r="P10545" s="51"/>
      <c r="Q10545" s="51"/>
      <c r="R10545" s="51"/>
      <c r="S10545" s="51"/>
      <c r="T10545" s="51"/>
      <c r="AR10545" s="51"/>
      <c r="AS10545" s="51"/>
    </row>
    <row r="10546" spans="1:45" s="520" customFormat="1" ht="12">
      <c r="A10546" s="51"/>
      <c r="B10546" s="51"/>
      <c r="C10546" s="51" t="s">
        <v>135</v>
      </c>
      <c r="D10546" s="37"/>
      <c r="E10546" s="51"/>
      <c r="F10546" s="51"/>
      <c r="G10546" s="51"/>
      <c r="H10546" s="51"/>
      <c r="I10546" s="51"/>
      <c r="J10546" s="51"/>
      <c r="K10546" s="51"/>
      <c r="L10546" s="51"/>
      <c r="M10546" s="51"/>
      <c r="N10546" s="51"/>
      <c r="O10546" s="52"/>
      <c r="P10546" s="51"/>
      <c r="Q10546" s="51"/>
      <c r="R10546" s="51"/>
      <c r="S10546" s="51"/>
      <c r="T10546" s="51"/>
      <c r="AR10546" s="51"/>
      <c r="AS10546" s="51"/>
    </row>
    <row r="10547" spans="1:45" s="520" customFormat="1" ht="12">
      <c r="A10547" s="51"/>
      <c r="B10547" s="51"/>
      <c r="C10547" s="51"/>
      <c r="D10547" s="37" t="s">
        <v>343</v>
      </c>
      <c r="E10547" s="51"/>
      <c r="F10547" s="51"/>
      <c r="G10547" s="51"/>
      <c r="H10547" s="51"/>
      <c r="I10547" s="51"/>
      <c r="J10547" s="51"/>
      <c r="K10547" s="51"/>
      <c r="L10547" s="51"/>
      <c r="M10547" s="51"/>
      <c r="N10547" s="51"/>
      <c r="O10547" s="52"/>
      <c r="P10547" s="51"/>
      <c r="Q10547" s="51"/>
      <c r="R10547" s="51"/>
      <c r="S10547" s="38"/>
      <c r="T10547" s="38"/>
      <c r="AR10547" s="51"/>
      <c r="AS10547" s="51"/>
    </row>
    <row r="10548" spans="1:45" s="3" customFormat="1" thickBot="1">
      <c r="A10548" s="531"/>
      <c r="O10548" s="107"/>
      <c r="AR10548" s="531"/>
    </row>
    <row r="10549" spans="1:45" s="520" customFormat="1" thickTop="1">
      <c r="A10549" s="51"/>
      <c r="B10549" s="51"/>
      <c r="C10549" s="3"/>
      <c r="D10549" s="3"/>
      <c r="E10549" s="51"/>
      <c r="F10549" s="51"/>
      <c r="G10549" s="51"/>
      <c r="H10549" s="51"/>
      <c r="I10549" s="51"/>
      <c r="J10549" s="51"/>
      <c r="K10549" s="51" t="s">
        <v>134</v>
      </c>
      <c r="L10549" s="51"/>
      <c r="M10549" s="51"/>
      <c r="N10549" s="51"/>
      <c r="O10549" s="52"/>
      <c r="P10549" s="51"/>
      <c r="Q10549" s="51"/>
      <c r="R10549" s="51"/>
      <c r="S10549" s="51"/>
      <c r="T10549" s="51"/>
      <c r="AR10549" s="51"/>
      <c r="AS10549" s="51"/>
    </row>
    <row r="10550" spans="1:45" s="520" customFormat="1" ht="12">
      <c r="A10550" s="51"/>
      <c r="B10550" s="51"/>
      <c r="C10550" s="51" t="s">
        <v>135</v>
      </c>
      <c r="D10550" s="37"/>
      <c r="E10550" s="51"/>
      <c r="F10550" s="51"/>
      <c r="G10550" s="51"/>
      <c r="H10550" s="51"/>
      <c r="I10550" s="51"/>
      <c r="J10550" s="51"/>
      <c r="K10550" s="51"/>
      <c r="L10550" s="51"/>
      <c r="M10550" s="51"/>
      <c r="N10550" s="51"/>
      <c r="O10550" s="52"/>
      <c r="P10550" s="51"/>
      <c r="Q10550" s="51"/>
      <c r="R10550" s="51"/>
      <c r="S10550" s="51"/>
      <c r="T10550" s="51"/>
      <c r="AR10550" s="51"/>
      <c r="AS10550" s="51"/>
    </row>
    <row r="10551" spans="1:45" s="520" customFormat="1" ht="39.9" customHeight="1">
      <c r="A10551" s="51"/>
      <c r="B10551" s="51"/>
      <c r="C10551" s="51"/>
      <c r="D10551" s="1453" t="s">
        <v>2498</v>
      </c>
      <c r="E10551" s="1452"/>
      <c r="F10551" s="1452"/>
      <c r="G10551" s="1452"/>
      <c r="H10551" s="1452"/>
      <c r="I10551" s="1452"/>
      <c r="J10551" s="1452"/>
      <c r="K10551" s="1452"/>
      <c r="L10551" s="1452"/>
      <c r="M10551" s="1452"/>
      <c r="N10551" s="1452"/>
      <c r="O10551" s="1452"/>
      <c r="P10551" s="1452"/>
      <c r="Q10551" s="1452"/>
      <c r="R10551" s="1452"/>
      <c r="S10551" s="1452"/>
      <c r="T10551" s="1452"/>
      <c r="AR10551" s="51"/>
    </row>
    <row r="10552" spans="1:45" s="3" customFormat="1" thickBot="1">
      <c r="A10552" s="531"/>
      <c r="O10552" s="107"/>
      <c r="AR10552" s="531"/>
    </row>
    <row r="10553" spans="1:45" s="520" customFormat="1" ht="12" thickTop="1">
      <c r="A10553" s="51"/>
      <c r="B10553" s="41"/>
      <c r="C10553" s="51"/>
      <c r="E10553" s="42" t="s">
        <v>138</v>
      </c>
      <c r="F10553" s="42" t="s">
        <v>139</v>
      </c>
      <c r="G10553" s="51"/>
      <c r="H10553" s="51"/>
      <c r="I10553" s="51"/>
      <c r="J10553" s="51"/>
      <c r="K10553" s="51" t="s">
        <v>140</v>
      </c>
      <c r="L10553" s="51"/>
      <c r="M10553" s="51"/>
      <c r="N10553" s="51"/>
      <c r="O10553" s="52"/>
      <c r="P10553" s="51"/>
      <c r="Q10553" s="51"/>
      <c r="R10553" s="51"/>
      <c r="S10553" s="51"/>
      <c r="T10553" s="41"/>
      <c r="AG10553" s="521" t="s">
        <v>268</v>
      </c>
      <c r="AH10553" s="521" t="s">
        <v>269</v>
      </c>
      <c r="AI10553" s="521" t="s">
        <v>270</v>
      </c>
      <c r="AJ10553" s="521" t="s">
        <v>271</v>
      </c>
      <c r="AK10553" s="521" t="s">
        <v>272</v>
      </c>
      <c r="AM10553" s="745" t="s">
        <v>281</v>
      </c>
      <c r="AN10553" s="746" t="s">
        <v>282</v>
      </c>
      <c r="AO10553" s="522" t="s">
        <v>278</v>
      </c>
      <c r="AR10553" s="51"/>
      <c r="AS10553" s="42" t="s">
        <v>139</v>
      </c>
    </row>
    <row r="10554" spans="1:45" s="520" customFormat="1" ht="12" customHeight="1">
      <c r="A10554" s="747">
        <v>3</v>
      </c>
      <c r="B10554" s="523" t="s">
        <v>329</v>
      </c>
      <c r="C10554" s="748"/>
      <c r="D10554" s="749" t="s">
        <v>2028</v>
      </c>
      <c r="E10554" s="750">
        <f>IF(AND($A10554=0,$A$1="DIF"),0, ROUND(ROUND(($R10558*$S$2+($T10558*$T$2))/A10554,2)*$C$2,2))</f>
        <v>39.270000000000003</v>
      </c>
      <c r="F10554" s="751">
        <f>ROUND($A10554*$E10554,2)</f>
        <v>117.81</v>
      </c>
      <c r="G10554" s="752" t="s">
        <v>142</v>
      </c>
      <c r="H10554" s="753"/>
      <c r="I10554" s="754"/>
      <c r="J10554" s="753"/>
      <c r="K10554" s="753" t="s">
        <v>3</v>
      </c>
      <c r="L10554" s="755" t="s">
        <v>143</v>
      </c>
      <c r="M10554" s="755"/>
      <c r="N10554" s="755"/>
      <c r="O10554" s="755"/>
      <c r="P10554" s="755"/>
      <c r="Q10554" s="51"/>
      <c r="T10554" s="756" t="str">
        <f>IF(AND($R10558=0,$T10558=0),"0.00","mu :" &amp; ROUND($F10554/$C$2/($R10558+$T10558*$D$9),2))</f>
        <v>mu :1.23</v>
      </c>
      <c r="W10554" s="524"/>
      <c r="AG10554" s="481">
        <f>IF($E10554=0,0,ROUND($R10558*$S$2*$C$2/$A10554,2))</f>
        <v>14.92</v>
      </c>
      <c r="AH10554" s="481">
        <f>$AG10554*$A10554</f>
        <v>44.76</v>
      </c>
      <c r="AI10554" s="525">
        <f>$E10554-$AG10554</f>
        <v>24.35</v>
      </c>
      <c r="AJ10554" s="525">
        <f>$A10554*$AI10554</f>
        <v>73.050000000000011</v>
      </c>
      <c r="AK10554" s="526">
        <f>ROUND(($AG10554+$AI10554)*$A10554,2)</f>
        <v>117.81</v>
      </c>
      <c r="AM10554" s="527">
        <f>ROUND(R10558,2)</f>
        <v>36.36</v>
      </c>
      <c r="AN10554" s="528">
        <f>ROUND(T10558,2)</f>
        <v>2.16</v>
      </c>
      <c r="AO10554" s="529">
        <f>ROUND(AM10554+AN10554,2)*A10554</f>
        <v>115.56</v>
      </c>
      <c r="AR10554" s="747">
        <v>3</v>
      </c>
      <c r="AS10554" s="751">
        <v>125.91</v>
      </c>
    </row>
    <row r="10555" spans="1:45" s="520" customFormat="1" ht="13.2">
      <c r="A10555" s="748"/>
      <c r="B10555"/>
      <c r="C10555" s="748"/>
      <c r="D10555" s="749" t="s">
        <v>2205</v>
      </c>
      <c r="F10555" s="753"/>
      <c r="G10555" s="3"/>
      <c r="H10555" s="753"/>
      <c r="I10555" s="754"/>
      <c r="J10555" s="753"/>
      <c r="K10555" s="753" t="s">
        <v>144</v>
      </c>
      <c r="L10555" s="753"/>
      <c r="M10555" s="753"/>
      <c r="N10555" s="753"/>
      <c r="O10555" s="753"/>
      <c r="P10555" s="753"/>
      <c r="Q10555" s="51"/>
      <c r="R10555" s="530"/>
      <c r="S10555" s="757"/>
      <c r="T10555" s="753"/>
      <c r="AR10555" s="748"/>
      <c r="AS10555" s="753"/>
    </row>
    <row r="10556" spans="1:45" s="901" customFormat="1" ht="13.2">
      <c r="A10556" s="1219">
        <f>3*4</f>
        <v>12</v>
      </c>
      <c r="B10556" s="901" t="s">
        <v>320</v>
      </c>
      <c r="D10556" s="901" t="s">
        <v>2951</v>
      </c>
      <c r="G10556" s="941" t="s">
        <v>2952</v>
      </c>
      <c r="H10556" s="942">
        <v>690</v>
      </c>
      <c r="I10556" s="901" t="s">
        <v>2946</v>
      </c>
      <c r="J10556" s="901" t="s">
        <v>2953</v>
      </c>
      <c r="O10556" s="943">
        <v>1</v>
      </c>
      <c r="P10556" s="944">
        <v>34669</v>
      </c>
      <c r="Q10556" s="1197">
        <v>3.03</v>
      </c>
      <c r="R10556" s="946">
        <f>$A10556*Q10556</f>
        <v>36.36</v>
      </c>
      <c r="S10556" s="945">
        <v>0.2</v>
      </c>
      <c r="T10556" s="947">
        <f>$A10556*S10556*$T$1</f>
        <v>2.1600000000000006</v>
      </c>
      <c r="AR10556" s="1219">
        <v>12</v>
      </c>
    </row>
    <row r="10557" spans="1:45" s="520" customFormat="1" ht="12">
      <c r="A10557" s="758"/>
      <c r="B10557" s="758"/>
      <c r="C10557" s="758"/>
      <c r="D10557" s="758"/>
      <c r="E10557" s="758"/>
      <c r="F10557" s="753"/>
      <c r="G10557" s="758"/>
      <c r="H10557" s="758"/>
      <c r="I10557" s="519"/>
      <c r="J10557" s="758"/>
      <c r="K10557" s="758"/>
      <c r="L10557" s="758"/>
      <c r="M10557" s="758"/>
      <c r="N10557" s="758"/>
      <c r="O10557" s="758"/>
      <c r="P10557" s="758"/>
      <c r="Q10557" s="519"/>
      <c r="R10557" s="759">
        <f>$A10557*Q10557</f>
        <v>0</v>
      </c>
      <c r="S10557" s="519"/>
      <c r="T10557" s="760">
        <f>$A10557*S10557*$T$1</f>
        <v>0</v>
      </c>
      <c r="AR10557" s="758"/>
      <c r="AS10557" s="753"/>
    </row>
    <row r="10558" spans="1:45" s="520" customFormat="1" ht="12.6" thickBot="1">
      <c r="A10558" s="761" t="s">
        <v>145</v>
      </c>
      <c r="B10558" s="762">
        <f>(R10557+T10557)</f>
        <v>0</v>
      </c>
      <c r="C10558" s="763"/>
      <c r="D10558" s="763"/>
      <c r="E10558" s="763"/>
      <c r="F10558" s="764"/>
      <c r="G10558" s="763" t="s">
        <v>146</v>
      </c>
      <c r="H10558" s="763"/>
      <c r="I10558" s="765"/>
      <c r="J10558" s="763"/>
      <c r="K10558" s="763" t="s">
        <v>3</v>
      </c>
      <c r="L10558" s="766" t="s">
        <v>143</v>
      </c>
      <c r="M10558" s="766"/>
      <c r="N10558" s="766"/>
      <c r="O10558" s="766"/>
      <c r="P10558" s="766"/>
      <c r="Q10558" s="767"/>
      <c r="R10558" s="768">
        <f>SUM(R10555:R10557)</f>
        <v>36.36</v>
      </c>
      <c r="S10558" s="763"/>
      <c r="T10558" s="768">
        <f>SUM(T10555:T10557)</f>
        <v>2.1600000000000006</v>
      </c>
      <c r="U10558" s="531"/>
      <c r="V10558" s="531"/>
      <c r="W10558" s="531"/>
      <c r="X10558" s="531"/>
      <c r="Y10558" s="531"/>
      <c r="Z10558" s="531"/>
      <c r="AA10558" s="531"/>
      <c r="AB10558" s="531"/>
      <c r="AC10558" s="531"/>
      <c r="AD10558" s="531"/>
      <c r="AE10558" s="531"/>
      <c r="AF10558" s="531"/>
      <c r="AG10558" s="531"/>
      <c r="AH10558" s="531"/>
      <c r="AI10558" s="531"/>
      <c r="AJ10558" s="531"/>
      <c r="AK10558" s="531"/>
      <c r="AL10558" s="531"/>
      <c r="AM10558" s="531"/>
      <c r="AN10558" s="531"/>
      <c r="AO10558" s="531"/>
      <c r="AR10558" s="761" t="s">
        <v>145</v>
      </c>
      <c r="AS10558" s="764"/>
    </row>
    <row r="10559" spans="1:45" s="520" customFormat="1" thickTop="1">
      <c r="A10559" s="51"/>
      <c r="B10559" s="51"/>
      <c r="C10559" s="3"/>
      <c r="D10559" s="3"/>
      <c r="E10559" s="51"/>
      <c r="F10559" s="51"/>
      <c r="G10559" s="51"/>
      <c r="H10559" s="51"/>
      <c r="I10559" s="51"/>
      <c r="J10559" s="51"/>
      <c r="K10559" s="51" t="s">
        <v>134</v>
      </c>
      <c r="L10559" s="51"/>
      <c r="M10559" s="51"/>
      <c r="N10559" s="51"/>
      <c r="O10559" s="52"/>
      <c r="P10559" s="51"/>
      <c r="Q10559" s="51"/>
      <c r="R10559" s="51"/>
      <c r="S10559" s="51"/>
      <c r="T10559" s="51"/>
      <c r="AR10559" s="51"/>
      <c r="AS10559" s="51"/>
    </row>
    <row r="10560" spans="1:45" s="520" customFormat="1" ht="12">
      <c r="A10560" s="51"/>
      <c r="B10560" s="51"/>
      <c r="C10560" s="51" t="s">
        <v>135</v>
      </c>
      <c r="D10560" s="37"/>
      <c r="E10560" s="51"/>
      <c r="F10560" s="51"/>
      <c r="G10560" s="51"/>
      <c r="H10560" s="51"/>
      <c r="I10560" s="51"/>
      <c r="J10560" s="51"/>
      <c r="K10560" s="51"/>
      <c r="L10560" s="51"/>
      <c r="M10560" s="51"/>
      <c r="N10560" s="51"/>
      <c r="O10560" s="52"/>
      <c r="P10560" s="51"/>
      <c r="Q10560" s="51"/>
      <c r="R10560" s="51"/>
      <c r="S10560" s="51"/>
      <c r="T10560" s="51"/>
      <c r="AR10560" s="51"/>
      <c r="AS10560" s="51"/>
    </row>
    <row r="10561" spans="1:45" s="520" customFormat="1" ht="39.9" customHeight="1">
      <c r="A10561" s="51"/>
      <c r="B10561" s="51"/>
      <c r="C10561" s="51"/>
      <c r="D10561" s="1453" t="s">
        <v>2185</v>
      </c>
      <c r="E10561" s="1452"/>
      <c r="F10561" s="1452"/>
      <c r="G10561" s="1452"/>
      <c r="H10561" s="1452"/>
      <c r="I10561" s="1452"/>
      <c r="J10561" s="1452"/>
      <c r="K10561" s="1452"/>
      <c r="L10561" s="1452"/>
      <c r="M10561" s="1452"/>
      <c r="N10561" s="1452"/>
      <c r="O10561" s="1452"/>
      <c r="P10561" s="1452"/>
      <c r="Q10561" s="1452"/>
      <c r="R10561" s="1452"/>
      <c r="S10561" s="1452"/>
      <c r="T10561" s="1452"/>
      <c r="AR10561" s="51"/>
    </row>
    <row r="10562" spans="1:45" s="3" customFormat="1" thickBot="1">
      <c r="A10562" s="531"/>
      <c r="O10562" s="107"/>
      <c r="AR10562" s="531"/>
    </row>
    <row r="10563" spans="1:45" s="520" customFormat="1" ht="12" thickTop="1">
      <c r="A10563" s="51"/>
      <c r="B10563" s="41"/>
      <c r="C10563" s="51"/>
      <c r="E10563" s="42" t="s">
        <v>138</v>
      </c>
      <c r="F10563" s="42" t="s">
        <v>139</v>
      </c>
      <c r="G10563" s="51"/>
      <c r="H10563" s="51"/>
      <c r="I10563" s="51"/>
      <c r="J10563" s="51"/>
      <c r="K10563" s="51" t="s">
        <v>140</v>
      </c>
      <c r="L10563" s="51"/>
      <c r="M10563" s="51"/>
      <c r="N10563" s="51"/>
      <c r="O10563" s="52"/>
      <c r="P10563" s="51"/>
      <c r="Q10563" s="51"/>
      <c r="R10563" s="51"/>
      <c r="S10563" s="51"/>
      <c r="T10563" s="41"/>
      <c r="AG10563" s="521" t="s">
        <v>268</v>
      </c>
      <c r="AH10563" s="521" t="s">
        <v>269</v>
      </c>
      <c r="AI10563" s="521" t="s">
        <v>270</v>
      </c>
      <c r="AJ10563" s="521" t="s">
        <v>271</v>
      </c>
      <c r="AK10563" s="521" t="s">
        <v>272</v>
      </c>
      <c r="AM10563" s="745" t="s">
        <v>281</v>
      </c>
      <c r="AN10563" s="746" t="s">
        <v>282</v>
      </c>
      <c r="AO10563" s="522" t="s">
        <v>278</v>
      </c>
      <c r="AR10563" s="51"/>
      <c r="AS10563" s="42" t="s">
        <v>139</v>
      </c>
    </row>
    <row r="10564" spans="1:45" s="520" customFormat="1" ht="12" customHeight="1">
      <c r="A10564" s="747">
        <v>3</v>
      </c>
      <c r="B10564" s="523" t="s">
        <v>329</v>
      </c>
      <c r="C10564" s="748"/>
      <c r="D10564" s="749" t="s">
        <v>2029</v>
      </c>
      <c r="E10564" s="1145">
        <f>IF(AND($A10564=0,$A$1="DIF"),0, ROUND(ROUND(($R10568*$S$3+($T10568*$T$3))/$A10564,2)*$C$3,2))</f>
        <v>29.56</v>
      </c>
      <c r="F10564" s="1146">
        <f>ROUND($A10564*$E10564,2)</f>
        <v>88.68</v>
      </c>
      <c r="G10564" s="752" t="s">
        <v>142</v>
      </c>
      <c r="H10564" s="753"/>
      <c r="I10564" s="754"/>
      <c r="J10564" s="753"/>
      <c r="K10564" s="753" t="s">
        <v>5</v>
      </c>
      <c r="L10564" s="755" t="s">
        <v>143</v>
      </c>
      <c r="M10564" s="755"/>
      <c r="N10564" s="755"/>
      <c r="O10564" s="755"/>
      <c r="P10564" s="755"/>
      <c r="Q10564" s="51"/>
      <c r="T10564" s="1150" t="str">
        <f>IF(AND($R10568=0,$T10568=0),"0.00","mu: "&amp; ROUND(F10564/$C$3/($R10568+$T10568*$D$9),2))</f>
        <v>mu: 1.13</v>
      </c>
      <c r="W10564" s="524"/>
      <c r="AG10564" s="1147">
        <f>IF($E10564=0,0,ROUND($R10568*$S$3*$C$3/$A10564,2))</f>
        <v>29.56</v>
      </c>
      <c r="AH10564" s="1147">
        <f>$AG10564*$A10564</f>
        <v>88.679999999999993</v>
      </c>
      <c r="AI10564" s="1148">
        <f>$E10564-$AG10564</f>
        <v>0</v>
      </c>
      <c r="AJ10564" s="1148">
        <f>$A10564*$AI10564</f>
        <v>0</v>
      </c>
      <c r="AK10564" s="1149">
        <f>ROUND(($AG10564+$AI10564)*$A10564,2)</f>
        <v>88.68</v>
      </c>
      <c r="AM10564" s="527">
        <f>ROUND(R10568,2)</f>
        <v>78.569999999999993</v>
      </c>
      <c r="AN10564" s="528">
        <f>ROUND(T10568,2)</f>
        <v>0</v>
      </c>
      <c r="AO10564" s="529">
        <f>ROUND(AM10564+AN10564,2)*A10564</f>
        <v>235.70999999999998</v>
      </c>
      <c r="AR10564" s="747">
        <v>3</v>
      </c>
      <c r="AS10564" s="1146">
        <v>96.51</v>
      </c>
    </row>
    <row r="10565" spans="1:45" s="520" customFormat="1" ht="13.2">
      <c r="A10565" s="748"/>
      <c r="B10565"/>
      <c r="C10565" s="748"/>
      <c r="D10565" s="749" t="s">
        <v>2205</v>
      </c>
      <c r="F10565" s="753"/>
      <c r="G10565" s="3"/>
      <c r="H10565" s="753"/>
      <c r="I10565" s="754"/>
      <c r="J10565" s="753"/>
      <c r="K10565" s="753" t="s">
        <v>144</v>
      </c>
      <c r="L10565" s="753"/>
      <c r="M10565" s="753"/>
      <c r="N10565" s="753"/>
      <c r="O10565" s="753"/>
      <c r="P10565" s="753"/>
      <c r="Q10565" s="51"/>
      <c r="R10565" s="530"/>
      <c r="S10565" s="757"/>
      <c r="T10565" s="753"/>
      <c r="AR10565" s="748"/>
      <c r="AS10565" s="753"/>
    </row>
    <row r="10566" spans="1:45" s="901" customFormat="1" ht="13.2">
      <c r="A10566" s="903">
        <v>3</v>
      </c>
      <c r="B10566" s="904" t="s">
        <v>863</v>
      </c>
      <c r="C10566" s="904"/>
      <c r="D10566" s="904" t="s">
        <v>2594</v>
      </c>
      <c r="E10566" s="904"/>
      <c r="F10566" s="1153" t="s">
        <v>4143</v>
      </c>
      <c r="G10566" s="905" t="s">
        <v>2595</v>
      </c>
      <c r="H10566" s="902">
        <v>960</v>
      </c>
      <c r="I10566" s="904" t="s">
        <v>2596</v>
      </c>
      <c r="J10566" s="904"/>
      <c r="K10566" s="904"/>
      <c r="L10566" s="904"/>
      <c r="M10566" s="904"/>
      <c r="N10566" s="904"/>
      <c r="O10566" s="902">
        <v>4</v>
      </c>
      <c r="P10566" s="906">
        <v>38274</v>
      </c>
      <c r="Q10566" s="1416">
        <f>30*0.873</f>
        <v>26.19</v>
      </c>
      <c r="R10566" s="908">
        <f>$A10566*Q10566</f>
        <v>78.570000000000007</v>
      </c>
      <c r="S10566" s="907"/>
      <c r="T10566" s="909">
        <f>$A10566*S10566*$T$1</f>
        <v>0</v>
      </c>
      <c r="AR10566" s="903">
        <v>3</v>
      </c>
      <c r="AS10566" s="1153" t="s">
        <v>3507</v>
      </c>
    </row>
    <row r="10567" spans="1:45" s="520" customFormat="1" ht="12">
      <c r="A10567" s="758"/>
      <c r="B10567" s="758"/>
      <c r="C10567" s="758"/>
      <c r="D10567" s="758"/>
      <c r="E10567" s="758"/>
      <c r="F10567" s="753"/>
      <c r="G10567" s="758"/>
      <c r="H10567" s="758"/>
      <c r="I10567" s="519"/>
      <c r="J10567" s="758"/>
      <c r="K10567" s="758"/>
      <c r="L10567" s="758"/>
      <c r="M10567" s="758"/>
      <c r="N10567" s="758"/>
      <c r="O10567" s="758"/>
      <c r="P10567" s="758"/>
      <c r="Q10567" s="519"/>
      <c r="R10567" s="759">
        <f>$A10567*Q10567</f>
        <v>0</v>
      </c>
      <c r="S10567" s="519"/>
      <c r="T10567" s="760">
        <f>$A10567*S10567*$T$1</f>
        <v>0</v>
      </c>
      <c r="AR10567" s="758"/>
      <c r="AS10567" s="753"/>
    </row>
    <row r="10568" spans="1:45" s="520" customFormat="1" ht="12.6" thickBot="1">
      <c r="A10568" s="761" t="s">
        <v>145</v>
      </c>
      <c r="B10568" s="762">
        <f>(R10567+T10567)</f>
        <v>0</v>
      </c>
      <c r="C10568" s="763"/>
      <c r="D10568" s="763"/>
      <c r="E10568" s="763"/>
      <c r="F10568" s="764"/>
      <c r="G10568" s="763" t="s">
        <v>146</v>
      </c>
      <c r="H10568" s="763"/>
      <c r="I10568" s="765"/>
      <c r="J10568" s="763"/>
      <c r="K10568" s="763" t="s">
        <v>5</v>
      </c>
      <c r="L10568" s="766" t="s">
        <v>143</v>
      </c>
      <c r="M10568" s="766"/>
      <c r="N10568" s="766"/>
      <c r="O10568" s="766"/>
      <c r="P10568" s="766"/>
      <c r="Q10568" s="767"/>
      <c r="R10568" s="768">
        <f>SUM(R10565:R10567)</f>
        <v>78.570000000000007</v>
      </c>
      <c r="S10568" s="763"/>
      <c r="T10568" s="768">
        <f>SUM(T10565:T10567)</f>
        <v>0</v>
      </c>
      <c r="U10568" s="531"/>
      <c r="V10568" s="531"/>
      <c r="W10568" s="531"/>
      <c r="X10568" s="531"/>
      <c r="Y10568" s="531"/>
      <c r="Z10568" s="531"/>
      <c r="AA10568" s="531"/>
      <c r="AB10568" s="531"/>
      <c r="AC10568" s="531"/>
      <c r="AD10568" s="531"/>
      <c r="AE10568" s="531"/>
      <c r="AF10568" s="531"/>
      <c r="AG10568" s="531"/>
      <c r="AH10568" s="531"/>
      <c r="AI10568" s="531"/>
      <c r="AJ10568" s="531"/>
      <c r="AK10568" s="531"/>
      <c r="AL10568" s="531"/>
      <c r="AM10568" s="531"/>
      <c r="AN10568" s="531"/>
      <c r="AO10568" s="531"/>
      <c r="AR10568" s="761" t="s">
        <v>145</v>
      </c>
      <c r="AS10568" s="764"/>
    </row>
    <row r="10569" spans="1:45" s="520" customFormat="1" thickTop="1">
      <c r="A10569" s="51"/>
      <c r="B10569" s="51"/>
      <c r="C10569" s="3"/>
      <c r="D10569" s="3"/>
      <c r="E10569" s="51"/>
      <c r="F10569" s="51"/>
      <c r="G10569" s="51"/>
      <c r="H10569" s="51"/>
      <c r="I10569" s="51"/>
      <c r="J10569" s="51"/>
      <c r="K10569" s="51" t="s">
        <v>134</v>
      </c>
      <c r="L10569" s="51"/>
      <c r="M10569" s="51"/>
      <c r="N10569" s="51"/>
      <c r="O10569" s="52"/>
      <c r="P10569" s="51"/>
      <c r="Q10569" s="51"/>
      <c r="R10569" s="51"/>
      <c r="S10569" s="51"/>
      <c r="T10569" s="51"/>
      <c r="AR10569" s="51"/>
      <c r="AS10569" s="51"/>
    </row>
    <row r="10570" spans="1:45" s="520" customFormat="1" ht="12">
      <c r="A10570" s="51"/>
      <c r="B10570" s="51"/>
      <c r="C10570" s="51" t="s">
        <v>135</v>
      </c>
      <c r="D10570" s="37"/>
      <c r="E10570" s="51"/>
      <c r="F10570" s="51"/>
      <c r="G10570" s="51"/>
      <c r="H10570" s="51"/>
      <c r="I10570" s="51"/>
      <c r="J10570" s="51"/>
      <c r="K10570" s="51"/>
      <c r="L10570" s="51"/>
      <c r="M10570" s="51"/>
      <c r="N10570" s="51"/>
      <c r="O10570" s="52"/>
      <c r="P10570" s="51"/>
      <c r="Q10570" s="51"/>
      <c r="R10570" s="51"/>
      <c r="S10570" s="51"/>
      <c r="T10570" s="51"/>
      <c r="AR10570" s="51"/>
      <c r="AS10570" s="51"/>
    </row>
    <row r="10571" spans="1:45" s="520" customFormat="1" ht="12">
      <c r="A10571" s="51"/>
      <c r="B10571" s="51"/>
      <c r="C10571" s="51"/>
      <c r="D10571" s="37" t="s">
        <v>2186</v>
      </c>
      <c r="E10571" s="51"/>
      <c r="F10571" s="51"/>
      <c r="G10571" s="51"/>
      <c r="H10571" s="51"/>
      <c r="I10571" s="51"/>
      <c r="J10571" s="51"/>
      <c r="K10571" s="51"/>
      <c r="L10571" s="51"/>
      <c r="M10571" s="51"/>
      <c r="N10571" s="51"/>
      <c r="O10571" s="52"/>
      <c r="P10571" s="51"/>
      <c r="Q10571" s="51"/>
      <c r="R10571" s="51"/>
      <c r="S10571" s="38"/>
      <c r="T10571" s="38"/>
      <c r="AR10571" s="51"/>
      <c r="AS10571" s="51"/>
    </row>
    <row r="10572" spans="1:45" s="3" customFormat="1" thickBot="1">
      <c r="A10572" s="531"/>
      <c r="O10572" s="107"/>
      <c r="AR10572" s="531"/>
    </row>
    <row r="10573" spans="1:45" s="520" customFormat="1" ht="12" thickTop="1">
      <c r="A10573" s="51"/>
      <c r="B10573" s="41"/>
      <c r="C10573" s="51"/>
      <c r="E10573" s="42" t="s">
        <v>138</v>
      </c>
      <c r="F10573" s="42" t="s">
        <v>139</v>
      </c>
      <c r="G10573" s="51"/>
      <c r="H10573" s="51"/>
      <c r="I10573" s="51"/>
      <c r="J10573" s="51"/>
      <c r="K10573" s="51" t="s">
        <v>140</v>
      </c>
      <c r="L10573" s="51"/>
      <c r="M10573" s="51"/>
      <c r="N10573" s="51"/>
      <c r="O10573" s="52"/>
      <c r="P10573" s="51"/>
      <c r="Q10573" s="51"/>
      <c r="R10573" s="51"/>
      <c r="S10573" s="51"/>
      <c r="T10573" s="41"/>
      <c r="AG10573" s="521" t="s">
        <v>268</v>
      </c>
      <c r="AH10573" s="521" t="s">
        <v>269</v>
      </c>
      <c r="AI10573" s="521" t="s">
        <v>270</v>
      </c>
      <c r="AJ10573" s="521" t="s">
        <v>271</v>
      </c>
      <c r="AK10573" s="521" t="s">
        <v>272</v>
      </c>
      <c r="AM10573" s="745" t="s">
        <v>281</v>
      </c>
      <c r="AN10573" s="746" t="s">
        <v>282</v>
      </c>
      <c r="AO10573" s="522" t="s">
        <v>278</v>
      </c>
      <c r="AR10573" s="51"/>
      <c r="AS10573" s="42" t="s">
        <v>139</v>
      </c>
    </row>
    <row r="10574" spans="1:45" s="520" customFormat="1" ht="12" customHeight="1">
      <c r="A10574" s="747">
        <v>3</v>
      </c>
      <c r="B10574" s="523" t="s">
        <v>329</v>
      </c>
      <c r="C10574" s="748"/>
      <c r="D10574" s="749" t="s">
        <v>2030</v>
      </c>
      <c r="E10574" s="1145">
        <f>IF(AND($A10574=0,$A$1="DIF"),0, ROUND(ROUND(($R10578*$S$3+($T10578*$T$3))/$A10574,2)*$C$3,2))</f>
        <v>44.34</v>
      </c>
      <c r="F10574" s="1146">
        <f>ROUND($A10574*$E10574,2)</f>
        <v>133.02000000000001</v>
      </c>
      <c r="G10574" s="752" t="s">
        <v>142</v>
      </c>
      <c r="H10574" s="753"/>
      <c r="I10574" s="754"/>
      <c r="J10574" s="753"/>
      <c r="K10574" s="753" t="s">
        <v>5</v>
      </c>
      <c r="L10574" s="755" t="s">
        <v>143</v>
      </c>
      <c r="M10574" s="755"/>
      <c r="N10574" s="755"/>
      <c r="O10574" s="755"/>
      <c r="P10574" s="755"/>
      <c r="Q10574" s="51"/>
      <c r="T10574" s="1150" t="str">
        <f>IF(AND($R10578=0,$T10578=0),"0.00","mu: "&amp; ROUND(F10574/$C$3/($R10578+$T10578*$D$9),2))</f>
        <v>mu: 1.13</v>
      </c>
      <c r="W10574" s="524"/>
      <c r="AG10574" s="1147">
        <f>IF($E10574=0,0,ROUND($R10578*$S$3*$C$3/$A10574,2))</f>
        <v>44.34</v>
      </c>
      <c r="AH10574" s="1147">
        <f>$AG10574*$A10574</f>
        <v>133.02000000000001</v>
      </c>
      <c r="AI10574" s="1148">
        <f>$E10574-$AG10574</f>
        <v>0</v>
      </c>
      <c r="AJ10574" s="1148">
        <f>$A10574*$AI10574</f>
        <v>0</v>
      </c>
      <c r="AK10574" s="1149">
        <f>ROUND(($AG10574+$AI10574)*$A10574,2)</f>
        <v>133.02000000000001</v>
      </c>
      <c r="AM10574" s="527">
        <f>ROUND(R10578,2)</f>
        <v>117.86</v>
      </c>
      <c r="AN10574" s="528">
        <f>ROUND(T10578,2)</f>
        <v>0</v>
      </c>
      <c r="AO10574" s="529">
        <f>ROUND(AM10574+AN10574,2)*A10574</f>
        <v>353.58</v>
      </c>
      <c r="AR10574" s="747">
        <v>3</v>
      </c>
      <c r="AS10574" s="1146">
        <v>144.75</v>
      </c>
    </row>
    <row r="10575" spans="1:45" s="520" customFormat="1" ht="13.2">
      <c r="A10575" s="748"/>
      <c r="B10575"/>
      <c r="C10575" s="748"/>
      <c r="D10575" s="749" t="s">
        <v>2205</v>
      </c>
      <c r="F10575" s="753"/>
      <c r="G10575" s="3"/>
      <c r="H10575" s="753"/>
      <c r="I10575" s="754"/>
      <c r="J10575" s="753"/>
      <c r="K10575" s="753" t="s">
        <v>144</v>
      </c>
      <c r="L10575" s="753"/>
      <c r="M10575" s="753"/>
      <c r="N10575" s="753"/>
      <c r="O10575" s="753"/>
      <c r="P10575" s="753"/>
      <c r="Q10575" s="51"/>
      <c r="R10575" s="530"/>
      <c r="S10575" s="757"/>
      <c r="T10575" s="753"/>
      <c r="AR10575" s="748"/>
      <c r="AS10575" s="753"/>
    </row>
    <row r="10576" spans="1:45" s="901" customFormat="1" ht="13.2">
      <c r="A10576" s="903">
        <v>3</v>
      </c>
      <c r="B10576" s="904" t="s">
        <v>863</v>
      </c>
      <c r="C10576" s="904"/>
      <c r="D10576" s="904" t="s">
        <v>2594</v>
      </c>
      <c r="E10576" s="904"/>
      <c r="F10576" s="1153" t="s">
        <v>4143</v>
      </c>
      <c r="G10576" s="905" t="s">
        <v>2595</v>
      </c>
      <c r="H10576" s="902">
        <v>960</v>
      </c>
      <c r="I10576" s="904" t="s">
        <v>2596</v>
      </c>
      <c r="J10576" s="904"/>
      <c r="K10576" s="904"/>
      <c r="L10576" s="904"/>
      <c r="M10576" s="904"/>
      <c r="N10576" s="904"/>
      <c r="O10576" s="902">
        <v>4</v>
      </c>
      <c r="P10576" s="906">
        <v>38274</v>
      </c>
      <c r="Q10576" s="1416">
        <f>45*0.873</f>
        <v>39.284999999999997</v>
      </c>
      <c r="R10576" s="908">
        <f>$A10576*Q10576</f>
        <v>117.85499999999999</v>
      </c>
      <c r="S10576" s="907"/>
      <c r="T10576" s="909">
        <f>$A10576*S10576*$T$1</f>
        <v>0</v>
      </c>
      <c r="AR10576" s="903">
        <v>3</v>
      </c>
      <c r="AS10576" s="1153" t="s">
        <v>3507</v>
      </c>
    </row>
    <row r="10577" spans="1:45" s="520" customFormat="1" ht="12">
      <c r="A10577" s="758"/>
      <c r="B10577" s="758"/>
      <c r="C10577" s="758"/>
      <c r="D10577" s="758"/>
      <c r="E10577" s="758"/>
      <c r="F10577" s="753"/>
      <c r="G10577" s="758"/>
      <c r="H10577" s="758"/>
      <c r="I10577" s="519"/>
      <c r="J10577" s="758"/>
      <c r="K10577" s="758"/>
      <c r="L10577" s="758"/>
      <c r="M10577" s="758"/>
      <c r="N10577" s="758"/>
      <c r="O10577" s="758"/>
      <c r="P10577" s="758"/>
      <c r="Q10577" s="519"/>
      <c r="R10577" s="759">
        <f>$A10577*Q10577</f>
        <v>0</v>
      </c>
      <c r="S10577" s="519"/>
      <c r="T10577" s="760">
        <f>$A10577*S10577*$T$1</f>
        <v>0</v>
      </c>
      <c r="AR10577" s="758"/>
      <c r="AS10577" s="753"/>
    </row>
    <row r="10578" spans="1:45" s="520" customFormat="1" ht="12.6" thickBot="1">
      <c r="A10578" s="761" t="s">
        <v>145</v>
      </c>
      <c r="B10578" s="762">
        <f>(R10577+T10577)</f>
        <v>0</v>
      </c>
      <c r="C10578" s="763"/>
      <c r="D10578" s="763"/>
      <c r="E10578" s="763"/>
      <c r="F10578" s="764"/>
      <c r="G10578" s="763" t="s">
        <v>146</v>
      </c>
      <c r="H10578" s="763"/>
      <c r="I10578" s="765"/>
      <c r="J10578" s="763"/>
      <c r="K10578" s="763" t="s">
        <v>5</v>
      </c>
      <c r="L10578" s="766" t="s">
        <v>143</v>
      </c>
      <c r="M10578" s="766"/>
      <c r="N10578" s="766"/>
      <c r="O10578" s="766"/>
      <c r="P10578" s="766"/>
      <c r="Q10578" s="767"/>
      <c r="R10578" s="768">
        <f>SUM(R10575:R10577)</f>
        <v>117.85499999999999</v>
      </c>
      <c r="S10578" s="763"/>
      <c r="T10578" s="768">
        <f>SUM(T10575:T10577)</f>
        <v>0</v>
      </c>
      <c r="U10578" s="531"/>
      <c r="V10578" s="531"/>
      <c r="W10578" s="531"/>
      <c r="X10578" s="531"/>
      <c r="Y10578" s="531"/>
      <c r="Z10578" s="531"/>
      <c r="AA10578" s="531"/>
      <c r="AB10578" s="531"/>
      <c r="AC10578" s="531"/>
      <c r="AD10578" s="531"/>
      <c r="AE10578" s="531"/>
      <c r="AF10578" s="531"/>
      <c r="AG10578" s="531"/>
      <c r="AH10578" s="531"/>
      <c r="AI10578" s="531"/>
      <c r="AJ10578" s="531"/>
      <c r="AK10578" s="531"/>
      <c r="AL10578" s="531"/>
      <c r="AM10578" s="531"/>
      <c r="AN10578" s="531"/>
      <c r="AO10578" s="531"/>
      <c r="AR10578" s="761" t="s">
        <v>145</v>
      </c>
      <c r="AS10578" s="764"/>
    </row>
    <row r="10579" spans="1:45" s="520" customFormat="1" thickTop="1">
      <c r="A10579" s="51"/>
      <c r="B10579" s="51"/>
      <c r="C10579" s="3"/>
      <c r="D10579" s="3"/>
      <c r="E10579" s="51"/>
      <c r="F10579" s="51"/>
      <c r="G10579" s="51"/>
      <c r="H10579" s="51"/>
      <c r="I10579" s="51"/>
      <c r="J10579" s="51"/>
      <c r="K10579" s="51" t="s">
        <v>134</v>
      </c>
      <c r="L10579" s="51"/>
      <c r="M10579" s="51"/>
      <c r="N10579" s="51"/>
      <c r="O10579" s="52"/>
      <c r="P10579" s="51"/>
      <c r="Q10579" s="51"/>
      <c r="R10579" s="51"/>
      <c r="S10579" s="51"/>
      <c r="T10579" s="51"/>
      <c r="AR10579" s="51"/>
      <c r="AS10579" s="51"/>
    </row>
    <row r="10580" spans="1:45" s="520" customFormat="1" ht="12">
      <c r="A10580" s="51"/>
      <c r="B10580" s="51"/>
      <c r="C10580" s="51" t="s">
        <v>135</v>
      </c>
      <c r="D10580" s="37"/>
      <c r="E10580" s="51"/>
      <c r="F10580" s="51"/>
      <c r="G10580" s="51"/>
      <c r="H10580" s="51"/>
      <c r="I10580" s="51"/>
      <c r="J10580" s="51"/>
      <c r="K10580" s="51"/>
      <c r="L10580" s="51"/>
      <c r="M10580" s="51"/>
      <c r="N10580" s="51"/>
      <c r="O10580" s="52"/>
      <c r="P10580" s="51"/>
      <c r="Q10580" s="51"/>
      <c r="R10580" s="51"/>
      <c r="S10580" s="51"/>
      <c r="T10580" s="51"/>
      <c r="AR10580" s="51"/>
      <c r="AS10580" s="51"/>
    </row>
    <row r="10581" spans="1:45" s="520" customFormat="1" ht="12">
      <c r="A10581" s="51"/>
      <c r="B10581" s="51"/>
      <c r="C10581" s="51"/>
      <c r="D10581" s="37" t="s">
        <v>347</v>
      </c>
      <c r="E10581" s="51"/>
      <c r="F10581" s="51"/>
      <c r="G10581" s="51"/>
      <c r="H10581" s="51"/>
      <c r="I10581" s="51"/>
      <c r="J10581" s="51"/>
      <c r="K10581" s="51"/>
      <c r="L10581" s="51"/>
      <c r="M10581" s="51"/>
      <c r="N10581" s="51"/>
      <c r="O10581" s="52"/>
      <c r="P10581" s="51"/>
      <c r="Q10581" s="51"/>
      <c r="R10581" s="51"/>
      <c r="S10581" s="38"/>
      <c r="T10581" s="38"/>
      <c r="AR10581" s="51"/>
      <c r="AS10581" s="51"/>
    </row>
    <row r="10582" spans="1:45" s="3" customFormat="1" thickBot="1">
      <c r="A10582" s="531"/>
      <c r="O10582" s="107"/>
      <c r="AR10582" s="531"/>
    </row>
    <row r="10583" spans="1:45" s="520" customFormat="1" thickTop="1">
      <c r="A10583" s="51"/>
      <c r="B10583" s="51"/>
      <c r="C10583" s="3"/>
      <c r="D10583" s="3"/>
      <c r="E10583" s="51"/>
      <c r="F10583" s="51"/>
      <c r="G10583" s="51"/>
      <c r="H10583" s="51"/>
      <c r="I10583" s="51"/>
      <c r="J10583" s="51"/>
      <c r="K10583" s="51" t="s">
        <v>134</v>
      </c>
      <c r="L10583" s="51"/>
      <c r="M10583" s="51"/>
      <c r="N10583" s="51"/>
      <c r="O10583" s="52"/>
      <c r="P10583" s="51"/>
      <c r="Q10583" s="51"/>
      <c r="R10583" s="51"/>
      <c r="S10583" s="51"/>
      <c r="T10583" s="51"/>
      <c r="AR10583" s="51"/>
      <c r="AS10583" s="51"/>
    </row>
    <row r="10584" spans="1:45" s="520" customFormat="1" ht="12">
      <c r="A10584" s="51"/>
      <c r="B10584" s="51"/>
      <c r="C10584" s="51" t="s">
        <v>135</v>
      </c>
      <c r="D10584" s="37"/>
      <c r="E10584" s="51"/>
      <c r="F10584" s="51"/>
      <c r="G10584" s="51"/>
      <c r="H10584" s="51"/>
      <c r="I10584" s="51"/>
      <c r="J10584" s="51"/>
      <c r="K10584" s="51"/>
      <c r="L10584" s="51"/>
      <c r="M10584" s="51"/>
      <c r="N10584" s="51"/>
      <c r="O10584" s="52"/>
      <c r="P10584" s="51"/>
      <c r="Q10584" s="51"/>
      <c r="R10584" s="51"/>
      <c r="S10584" s="51"/>
      <c r="T10584" s="51"/>
      <c r="AR10584" s="51"/>
      <c r="AS10584" s="51"/>
    </row>
    <row r="10585" spans="1:45" s="520" customFormat="1" ht="39.9" customHeight="1">
      <c r="A10585" s="51"/>
      <c r="B10585" s="51"/>
      <c r="C10585" s="51"/>
      <c r="D10585" s="1453" t="s">
        <v>2499</v>
      </c>
      <c r="E10585" s="1452"/>
      <c r="F10585" s="1452"/>
      <c r="G10585" s="1452"/>
      <c r="H10585" s="1452"/>
      <c r="I10585" s="1452"/>
      <c r="J10585" s="1452"/>
      <c r="K10585" s="1452"/>
      <c r="L10585" s="1452"/>
      <c r="M10585" s="1452"/>
      <c r="N10585" s="1452"/>
      <c r="O10585" s="1452"/>
      <c r="P10585" s="1452"/>
      <c r="Q10585" s="1452"/>
      <c r="R10585" s="1452"/>
      <c r="S10585" s="1452"/>
      <c r="T10585" s="1452"/>
      <c r="AR10585" s="51"/>
    </row>
    <row r="10586" spans="1:45" s="3" customFormat="1" thickBot="1">
      <c r="A10586" s="531"/>
      <c r="O10586" s="107"/>
      <c r="AR10586" s="531"/>
    </row>
    <row r="10587" spans="1:45" s="520" customFormat="1" ht="12" thickTop="1">
      <c r="A10587" s="51"/>
      <c r="B10587" s="41"/>
      <c r="C10587" s="51"/>
      <c r="E10587" s="42" t="s">
        <v>138</v>
      </c>
      <c r="F10587" s="42" t="s">
        <v>139</v>
      </c>
      <c r="G10587" s="51"/>
      <c r="H10587" s="51"/>
      <c r="I10587" s="51"/>
      <c r="J10587" s="51"/>
      <c r="K10587" s="51" t="s">
        <v>140</v>
      </c>
      <c r="L10587" s="51"/>
      <c r="M10587" s="51"/>
      <c r="N10587" s="51"/>
      <c r="O10587" s="52"/>
      <c r="P10587" s="51"/>
      <c r="Q10587" s="51"/>
      <c r="R10587" s="51"/>
      <c r="S10587" s="51"/>
      <c r="T10587" s="41"/>
      <c r="AG10587" s="521" t="s">
        <v>268</v>
      </c>
      <c r="AH10587" s="521" t="s">
        <v>269</v>
      </c>
      <c r="AI10587" s="521" t="s">
        <v>270</v>
      </c>
      <c r="AJ10587" s="521" t="s">
        <v>271</v>
      </c>
      <c r="AK10587" s="521" t="s">
        <v>272</v>
      </c>
      <c r="AM10587" s="745" t="s">
        <v>281</v>
      </c>
      <c r="AN10587" s="746" t="s">
        <v>282</v>
      </c>
      <c r="AO10587" s="522" t="s">
        <v>278</v>
      </c>
      <c r="AR10587" s="51"/>
      <c r="AS10587" s="42" t="s">
        <v>139</v>
      </c>
    </row>
    <row r="10588" spans="1:45" s="520" customFormat="1" ht="12" customHeight="1">
      <c r="A10588" s="747">
        <v>4</v>
      </c>
      <c r="B10588" s="523" t="s">
        <v>329</v>
      </c>
      <c r="C10588" s="748"/>
      <c r="D10588" s="749" t="s">
        <v>2031</v>
      </c>
      <c r="E10588" s="750">
        <f>IF(AND($A10588=0,$A$1="DIF"),0, ROUND(ROUND(($R10592*$S$2+($T10592*$T$2))/A10588,2)*$C$2,2))</f>
        <v>30.86</v>
      </c>
      <c r="F10588" s="751">
        <f>ROUND($A10588*$E10588,2)</f>
        <v>123.44</v>
      </c>
      <c r="G10588" s="752" t="s">
        <v>142</v>
      </c>
      <c r="H10588" s="753"/>
      <c r="I10588" s="754"/>
      <c r="J10588" s="753"/>
      <c r="K10588" s="753" t="s">
        <v>3</v>
      </c>
      <c r="L10588" s="755" t="s">
        <v>143</v>
      </c>
      <c r="M10588" s="755"/>
      <c r="N10588" s="755"/>
      <c r="O10588" s="755"/>
      <c r="P10588" s="755"/>
      <c r="Q10588" s="51"/>
      <c r="T10588" s="756" t="str">
        <f>IF(AND($R10592=0,$T10592=0),"0.00","mu :" &amp; ROUND($F10588/$C$2/($R10592+$T10592*$D$9),2))</f>
        <v>mu :1.23</v>
      </c>
      <c r="W10588" s="524"/>
      <c r="AG10588" s="481">
        <f>IF($E10588=0,0,ROUND($R10592*$S$2*$C$2/$A10588,2))</f>
        <v>11.08</v>
      </c>
      <c r="AH10588" s="481">
        <f>$AG10588*$A10588</f>
        <v>44.32</v>
      </c>
      <c r="AI10588" s="525">
        <f>$E10588-$AG10588</f>
        <v>19.78</v>
      </c>
      <c r="AJ10588" s="525">
        <f>$A10588*$AI10588</f>
        <v>79.12</v>
      </c>
      <c r="AK10588" s="526">
        <f>ROUND(($AG10588+$AI10588)*$A10588,2)</f>
        <v>123.44</v>
      </c>
      <c r="AM10588" s="527">
        <f>ROUND(R10592,2)</f>
        <v>36</v>
      </c>
      <c r="AN10588" s="528">
        <f>ROUND(T10592,2)</f>
        <v>2.34</v>
      </c>
      <c r="AO10588" s="529">
        <f>ROUND(AM10588+AN10588,2)*A10588</f>
        <v>153.36000000000001</v>
      </c>
      <c r="AR10588" s="747">
        <v>4</v>
      </c>
      <c r="AS10588" s="751">
        <v>132.24</v>
      </c>
    </row>
    <row r="10589" spans="1:45" s="520" customFormat="1" ht="13.2">
      <c r="A10589" s="748"/>
      <c r="B10589"/>
      <c r="C10589" s="748"/>
      <c r="D10589" s="749" t="s">
        <v>2205</v>
      </c>
      <c r="F10589" s="753"/>
      <c r="G10589" s="3"/>
      <c r="H10589" s="753"/>
      <c r="I10589" s="754"/>
      <c r="J10589" s="753"/>
      <c r="K10589" s="753" t="s">
        <v>144</v>
      </c>
      <c r="L10589" s="753"/>
      <c r="M10589" s="753"/>
      <c r="N10589" s="753"/>
      <c r="O10589" s="753"/>
      <c r="P10589" s="753"/>
      <c r="Q10589" s="51"/>
      <c r="R10589" s="530"/>
      <c r="S10589" s="757"/>
      <c r="T10589" s="753"/>
      <c r="AR10589" s="748"/>
      <c r="AS10589" s="753"/>
    </row>
    <row r="10590" spans="1:45" s="901" customFormat="1" ht="13.2">
      <c r="A10590" s="1219">
        <f>4*5</f>
        <v>20</v>
      </c>
      <c r="B10590" s="901" t="s">
        <v>320</v>
      </c>
      <c r="D10590" s="901" t="s">
        <v>3209</v>
      </c>
      <c r="F10590" s="901" t="s">
        <v>3237</v>
      </c>
      <c r="G10590" s="941" t="s">
        <v>3210</v>
      </c>
      <c r="H10590" s="942">
        <v>700</v>
      </c>
      <c r="I10590" s="901" t="s">
        <v>3008</v>
      </c>
      <c r="J10590" s="901" t="s">
        <v>2953</v>
      </c>
      <c r="O10590" s="943">
        <v>1</v>
      </c>
      <c r="P10590" s="944">
        <v>42213</v>
      </c>
      <c r="Q10590" s="945">
        <v>1.8</v>
      </c>
      <c r="R10590" s="946">
        <f>$A10590*Q10590</f>
        <v>36</v>
      </c>
      <c r="S10590" s="945">
        <v>0.13</v>
      </c>
      <c r="T10590" s="947">
        <f>$A10590*S10590*$T$1</f>
        <v>2.3400000000000003</v>
      </c>
      <c r="AR10590" s="1219">
        <v>20</v>
      </c>
      <c r="AS10590" s="901" t="s">
        <v>3237</v>
      </c>
    </row>
    <row r="10591" spans="1:45" s="520" customFormat="1" ht="12">
      <c r="A10591" s="758"/>
      <c r="B10591" s="758"/>
      <c r="C10591" s="758"/>
      <c r="D10591" s="758"/>
      <c r="E10591" s="758"/>
      <c r="F10591" s="753"/>
      <c r="G10591" s="758"/>
      <c r="H10591" s="758"/>
      <c r="I10591" s="519"/>
      <c r="J10591" s="758"/>
      <c r="K10591" s="758"/>
      <c r="L10591" s="758"/>
      <c r="M10591" s="758"/>
      <c r="N10591" s="758"/>
      <c r="O10591" s="758"/>
      <c r="P10591" s="758"/>
      <c r="Q10591" s="519"/>
      <c r="R10591" s="759">
        <f>$A10591*Q10591</f>
        <v>0</v>
      </c>
      <c r="S10591" s="519"/>
      <c r="T10591" s="760">
        <f>$A10591*S10591*$T$1</f>
        <v>0</v>
      </c>
      <c r="AR10591" s="758"/>
      <c r="AS10591" s="753"/>
    </row>
    <row r="10592" spans="1:45" s="520" customFormat="1" ht="12.6" thickBot="1">
      <c r="A10592" s="761" t="s">
        <v>145</v>
      </c>
      <c r="B10592" s="762">
        <f>(R10591+T10591)</f>
        <v>0</v>
      </c>
      <c r="C10592" s="763"/>
      <c r="D10592" s="763"/>
      <c r="E10592" s="763"/>
      <c r="F10592" s="764"/>
      <c r="G10592" s="763" t="s">
        <v>146</v>
      </c>
      <c r="H10592" s="763"/>
      <c r="I10592" s="765"/>
      <c r="J10592" s="763"/>
      <c r="K10592" s="763" t="s">
        <v>3</v>
      </c>
      <c r="L10592" s="766" t="s">
        <v>143</v>
      </c>
      <c r="M10592" s="766"/>
      <c r="N10592" s="766"/>
      <c r="O10592" s="766"/>
      <c r="P10592" s="766"/>
      <c r="Q10592" s="767"/>
      <c r="R10592" s="768">
        <f>SUM(R10589:R10591)</f>
        <v>36</v>
      </c>
      <c r="S10592" s="763"/>
      <c r="T10592" s="768">
        <f>SUM(T10589:T10591)</f>
        <v>2.3400000000000003</v>
      </c>
      <c r="U10592" s="531"/>
      <c r="V10592" s="531"/>
      <c r="W10592" s="531"/>
      <c r="X10592" s="531"/>
      <c r="Y10592" s="531"/>
      <c r="Z10592" s="531"/>
      <c r="AA10592" s="531"/>
      <c r="AB10592" s="531"/>
      <c r="AC10592" s="531"/>
      <c r="AD10592" s="531"/>
      <c r="AE10592" s="531"/>
      <c r="AF10592" s="531"/>
      <c r="AG10592" s="531"/>
      <c r="AH10592" s="531"/>
      <c r="AI10592" s="531"/>
      <c r="AJ10592" s="531"/>
      <c r="AK10592" s="531"/>
      <c r="AL10592" s="531"/>
      <c r="AM10592" s="531"/>
      <c r="AN10592" s="531"/>
      <c r="AO10592" s="531"/>
      <c r="AR10592" s="761" t="s">
        <v>145</v>
      </c>
      <c r="AS10592" s="764"/>
    </row>
    <row r="10593" spans="1:45" s="520" customFormat="1" ht="12" thickTop="1">
      <c r="A10593" s="51"/>
      <c r="B10593" s="41"/>
      <c r="C10593" s="51"/>
      <c r="E10593" s="42" t="s">
        <v>138</v>
      </c>
      <c r="F10593" s="42" t="s">
        <v>139</v>
      </c>
      <c r="G10593" s="51"/>
      <c r="H10593" s="51"/>
      <c r="I10593" s="51"/>
      <c r="J10593" s="51"/>
      <c r="K10593" s="51" t="s">
        <v>140</v>
      </c>
      <c r="L10593" s="51"/>
      <c r="M10593" s="51"/>
      <c r="N10593" s="51"/>
      <c r="O10593" s="52"/>
      <c r="P10593" s="51"/>
      <c r="Q10593" s="51"/>
      <c r="R10593" s="51"/>
      <c r="S10593" s="51"/>
      <c r="T10593" s="41"/>
      <c r="AG10593" s="521" t="s">
        <v>268</v>
      </c>
      <c r="AH10593" s="521" t="s">
        <v>269</v>
      </c>
      <c r="AI10593" s="521" t="s">
        <v>270</v>
      </c>
      <c r="AJ10593" s="521" t="s">
        <v>271</v>
      </c>
      <c r="AK10593" s="521" t="s">
        <v>272</v>
      </c>
      <c r="AM10593" s="745" t="s">
        <v>281</v>
      </c>
      <c r="AN10593" s="746" t="s">
        <v>282</v>
      </c>
      <c r="AO10593" s="522" t="s">
        <v>278</v>
      </c>
      <c r="AR10593" s="51"/>
      <c r="AS10593" s="42" t="s">
        <v>139</v>
      </c>
    </row>
    <row r="10594" spans="1:45" s="520" customFormat="1" ht="12" customHeight="1">
      <c r="A10594" s="747">
        <v>1</v>
      </c>
      <c r="B10594" s="523" t="s">
        <v>329</v>
      </c>
      <c r="C10594" s="748"/>
      <c r="D10594" s="749" t="s">
        <v>2032</v>
      </c>
      <c r="E10594" s="750">
        <f>IF(AND($A10594=0,$A$1="DIF"),0, ROUND(ROUND(($R10598*$S$2+($T10598*$T$2))/A10594,2)*$C$2,2))</f>
        <v>18.52</v>
      </c>
      <c r="F10594" s="751">
        <f>ROUND($A10594*$E10594,2)</f>
        <v>18.52</v>
      </c>
      <c r="G10594" s="752" t="s">
        <v>142</v>
      </c>
      <c r="H10594" s="753"/>
      <c r="I10594" s="754"/>
      <c r="J10594" s="753"/>
      <c r="K10594" s="753" t="s">
        <v>3</v>
      </c>
      <c r="L10594" s="755" t="s">
        <v>143</v>
      </c>
      <c r="M10594" s="755"/>
      <c r="N10594" s="755"/>
      <c r="O10594" s="755"/>
      <c r="P10594" s="755"/>
      <c r="Q10594" s="51"/>
      <c r="T10594" s="756" t="str">
        <f>IF(AND($R10598=0,$T10598=0),"0.00","mu :" &amp; ROUND($F10594/$C$2/($R10598+$T10598*$D$9),2))</f>
        <v>mu :1.23</v>
      </c>
      <c r="W10594" s="524"/>
      <c r="AG10594" s="481">
        <f>IF($E10594=0,0,ROUND($R10598*$S$2*$C$2/$A10594,2))</f>
        <v>6.65</v>
      </c>
      <c r="AH10594" s="481">
        <f>$AG10594*$A10594</f>
        <v>6.65</v>
      </c>
      <c r="AI10594" s="525">
        <f>$E10594-$AG10594</f>
        <v>11.87</v>
      </c>
      <c r="AJ10594" s="525">
        <f>$A10594*$AI10594</f>
        <v>11.87</v>
      </c>
      <c r="AK10594" s="526">
        <f>ROUND(($AG10594+$AI10594)*$A10594,2)</f>
        <v>18.52</v>
      </c>
      <c r="AM10594" s="527">
        <f>ROUND(R10598,2)</f>
        <v>5.4</v>
      </c>
      <c r="AN10594" s="528">
        <f>ROUND(T10598,2)</f>
        <v>0.35</v>
      </c>
      <c r="AO10594" s="529">
        <f>ROUND(AM10594+AN10594,2)*A10594</f>
        <v>5.75</v>
      </c>
      <c r="AR10594" s="747">
        <v>1</v>
      </c>
      <c r="AS10594" s="751">
        <v>19.84</v>
      </c>
    </row>
    <row r="10595" spans="1:45" s="520" customFormat="1" ht="13.2">
      <c r="A10595" s="748"/>
      <c r="B10595"/>
      <c r="C10595" s="748"/>
      <c r="D10595" s="749" t="s">
        <v>2206</v>
      </c>
      <c r="F10595" s="753"/>
      <c r="G10595" s="3"/>
      <c r="H10595" s="753"/>
      <c r="I10595" s="754"/>
      <c r="J10595" s="753"/>
      <c r="K10595" s="753" t="s">
        <v>144</v>
      </c>
      <c r="L10595" s="753"/>
      <c r="M10595" s="753"/>
      <c r="N10595" s="753"/>
      <c r="O10595" s="753"/>
      <c r="P10595" s="753"/>
      <c r="Q10595" s="51"/>
      <c r="R10595" s="530"/>
      <c r="S10595" s="757"/>
      <c r="T10595" s="753"/>
      <c r="AR10595" s="748"/>
      <c r="AS10595" s="753"/>
    </row>
    <row r="10596" spans="1:45" s="901" customFormat="1" ht="13.2">
      <c r="A10596" s="1220">
        <v>3</v>
      </c>
      <c r="B10596" s="901" t="s">
        <v>320</v>
      </c>
      <c r="D10596" s="901" t="s">
        <v>3209</v>
      </c>
      <c r="F10596" s="901" t="s">
        <v>3237</v>
      </c>
      <c r="G10596" s="941" t="s">
        <v>3210</v>
      </c>
      <c r="H10596" s="942">
        <v>700</v>
      </c>
      <c r="I10596" s="901" t="s">
        <v>3008</v>
      </c>
      <c r="J10596" s="901" t="s">
        <v>2953</v>
      </c>
      <c r="O10596" s="943">
        <v>1</v>
      </c>
      <c r="P10596" s="944">
        <v>42213</v>
      </c>
      <c r="Q10596" s="945">
        <v>1.8</v>
      </c>
      <c r="R10596" s="946">
        <f>$A10596*Q10596</f>
        <v>5.4</v>
      </c>
      <c r="S10596" s="945">
        <v>0.13</v>
      </c>
      <c r="T10596" s="947">
        <f>$A10596*S10596*$T$1</f>
        <v>0.35100000000000003</v>
      </c>
      <c r="AR10596" s="1220">
        <v>3</v>
      </c>
      <c r="AS10596" s="901" t="s">
        <v>3237</v>
      </c>
    </row>
    <row r="10597" spans="1:45" s="520" customFormat="1" ht="12">
      <c r="A10597" s="758"/>
      <c r="B10597" s="758"/>
      <c r="C10597" s="758"/>
      <c r="D10597" s="758"/>
      <c r="E10597" s="758"/>
      <c r="F10597" s="753"/>
      <c r="G10597" s="758"/>
      <c r="H10597" s="758"/>
      <c r="I10597" s="519"/>
      <c r="J10597" s="758"/>
      <c r="K10597" s="758"/>
      <c r="L10597" s="758"/>
      <c r="M10597" s="758"/>
      <c r="N10597" s="758"/>
      <c r="O10597" s="758"/>
      <c r="P10597" s="758"/>
      <c r="Q10597" s="519"/>
      <c r="R10597" s="759">
        <f>$A10597*Q10597</f>
        <v>0</v>
      </c>
      <c r="S10597" s="519"/>
      <c r="T10597" s="760">
        <f>$A10597*S10597*$T$1</f>
        <v>0</v>
      </c>
      <c r="AR10597" s="758"/>
      <c r="AS10597" s="753"/>
    </row>
    <row r="10598" spans="1:45" s="520" customFormat="1" ht="12.6" thickBot="1">
      <c r="A10598" s="761" t="s">
        <v>145</v>
      </c>
      <c r="B10598" s="762">
        <f>(R10597+T10597)</f>
        <v>0</v>
      </c>
      <c r="C10598" s="763"/>
      <c r="D10598" s="763"/>
      <c r="E10598" s="763"/>
      <c r="F10598" s="764"/>
      <c r="G10598" s="763" t="s">
        <v>146</v>
      </c>
      <c r="H10598" s="763"/>
      <c r="I10598" s="765"/>
      <c r="J10598" s="763"/>
      <c r="K10598" s="763" t="s">
        <v>3</v>
      </c>
      <c r="L10598" s="766" t="s">
        <v>143</v>
      </c>
      <c r="M10598" s="766"/>
      <c r="N10598" s="766"/>
      <c r="O10598" s="766"/>
      <c r="P10598" s="766"/>
      <c r="Q10598" s="767"/>
      <c r="R10598" s="768">
        <f>SUM(R10595:R10597)</f>
        <v>5.4</v>
      </c>
      <c r="S10598" s="763"/>
      <c r="T10598" s="768">
        <f>SUM(T10595:T10597)</f>
        <v>0.35100000000000003</v>
      </c>
      <c r="U10598" s="531"/>
      <c r="V10598" s="531"/>
      <c r="W10598" s="531"/>
      <c r="X10598" s="531"/>
      <c r="Y10598" s="531"/>
      <c r="Z10598" s="531"/>
      <c r="AA10598" s="531"/>
      <c r="AB10598" s="531"/>
      <c r="AC10598" s="531"/>
      <c r="AD10598" s="531"/>
      <c r="AE10598" s="531"/>
      <c r="AF10598" s="531"/>
      <c r="AG10598" s="531"/>
      <c r="AH10598" s="531"/>
      <c r="AI10598" s="531"/>
      <c r="AJ10598" s="531"/>
      <c r="AK10598" s="531"/>
      <c r="AL10598" s="531"/>
      <c r="AM10598" s="531"/>
      <c r="AN10598" s="531"/>
      <c r="AO10598" s="531"/>
      <c r="AR10598" s="761" t="s">
        <v>145</v>
      </c>
      <c r="AS10598" s="764"/>
    </row>
    <row r="10599" spans="1:45" s="520" customFormat="1" ht="12" thickTop="1">
      <c r="A10599" s="51"/>
      <c r="B10599" s="41"/>
      <c r="C10599" s="51"/>
      <c r="E10599" s="42" t="s">
        <v>138</v>
      </c>
      <c r="F10599" s="42" t="s">
        <v>139</v>
      </c>
      <c r="G10599" s="51"/>
      <c r="H10599" s="51"/>
      <c r="I10599" s="51"/>
      <c r="J10599" s="51"/>
      <c r="K10599" s="51" t="s">
        <v>140</v>
      </c>
      <c r="L10599" s="51"/>
      <c r="M10599" s="51"/>
      <c r="N10599" s="51"/>
      <c r="O10599" s="52"/>
      <c r="P10599" s="51"/>
      <c r="Q10599" s="51"/>
      <c r="R10599" s="51"/>
      <c r="S10599" s="51"/>
      <c r="T10599" s="41"/>
      <c r="AG10599" s="521" t="s">
        <v>268</v>
      </c>
      <c r="AH10599" s="521" t="s">
        <v>269</v>
      </c>
      <c r="AI10599" s="521" t="s">
        <v>270</v>
      </c>
      <c r="AJ10599" s="521" t="s">
        <v>271</v>
      </c>
      <c r="AK10599" s="521" t="s">
        <v>272</v>
      </c>
      <c r="AM10599" s="745" t="s">
        <v>281</v>
      </c>
      <c r="AN10599" s="746" t="s">
        <v>282</v>
      </c>
      <c r="AO10599" s="522" t="s">
        <v>278</v>
      </c>
      <c r="AR10599" s="51"/>
      <c r="AS10599" s="42" t="s">
        <v>139</v>
      </c>
    </row>
    <row r="10600" spans="1:45" s="520" customFormat="1" ht="12" customHeight="1">
      <c r="A10600" s="747">
        <v>1</v>
      </c>
      <c r="B10600" s="523" t="s">
        <v>329</v>
      </c>
      <c r="C10600" s="748"/>
      <c r="D10600" s="749" t="s">
        <v>2033</v>
      </c>
      <c r="E10600" s="750">
        <f>IF(AND($A10600=0,$A$1="DIF"),0, ROUND(ROUND(($R10604*$S$2+($T10604*$T$2))/A10600,2)*$C$2,2))</f>
        <v>111.11</v>
      </c>
      <c r="F10600" s="751">
        <f>ROUND($A10600*$E10600,2)</f>
        <v>111.11</v>
      </c>
      <c r="G10600" s="752" t="s">
        <v>142</v>
      </c>
      <c r="H10600" s="753"/>
      <c r="I10600" s="754"/>
      <c r="J10600" s="753"/>
      <c r="K10600" s="753" t="s">
        <v>3</v>
      </c>
      <c r="L10600" s="755" t="s">
        <v>143</v>
      </c>
      <c r="M10600" s="755"/>
      <c r="N10600" s="755"/>
      <c r="O10600" s="755"/>
      <c r="P10600" s="755"/>
      <c r="Q10600" s="51"/>
      <c r="T10600" s="756" t="str">
        <f>IF(AND($R10604=0,$T10604=0),"0.00","mu :" &amp; ROUND($F10600/$C$2/($R10604+$T10604*$D$9),2))</f>
        <v>mu :1.23</v>
      </c>
      <c r="W10600" s="524"/>
      <c r="AG10600" s="481">
        <f>IF($E10600=0,0,ROUND($R10604*$S$2*$C$2/$A10600,2))</f>
        <v>39.9</v>
      </c>
      <c r="AH10600" s="481">
        <f>$AG10600*$A10600</f>
        <v>39.9</v>
      </c>
      <c r="AI10600" s="525">
        <f>$E10600-$AG10600</f>
        <v>71.210000000000008</v>
      </c>
      <c r="AJ10600" s="525">
        <f>$A10600*$AI10600</f>
        <v>71.210000000000008</v>
      </c>
      <c r="AK10600" s="526">
        <f>ROUND(($AG10600+$AI10600)*$A10600,2)</f>
        <v>111.11</v>
      </c>
      <c r="AM10600" s="527">
        <f>ROUND(R10604,2)</f>
        <v>32.4</v>
      </c>
      <c r="AN10600" s="528">
        <f>ROUND(T10604,2)</f>
        <v>2.11</v>
      </c>
      <c r="AO10600" s="529">
        <f>ROUND(AM10600+AN10600,2)*A10600</f>
        <v>34.51</v>
      </c>
      <c r="AR10600" s="747">
        <v>1</v>
      </c>
      <c r="AS10600" s="751">
        <v>119.02</v>
      </c>
    </row>
    <row r="10601" spans="1:45" s="520" customFormat="1" ht="13.2">
      <c r="A10601" s="748"/>
      <c r="B10601"/>
      <c r="C10601" s="748"/>
      <c r="D10601" s="749" t="s">
        <v>2207</v>
      </c>
      <c r="F10601" s="753"/>
      <c r="G10601" s="3"/>
      <c r="H10601" s="753"/>
      <c r="I10601" s="754"/>
      <c r="J10601" s="753"/>
      <c r="K10601" s="753" t="s">
        <v>144</v>
      </c>
      <c r="L10601" s="753"/>
      <c r="M10601" s="753"/>
      <c r="N10601" s="753"/>
      <c r="O10601" s="753"/>
      <c r="P10601" s="753"/>
      <c r="Q10601" s="51"/>
      <c r="R10601" s="530"/>
      <c r="S10601" s="757"/>
      <c r="T10601" s="753"/>
      <c r="AR10601" s="748"/>
      <c r="AS10601" s="753"/>
    </row>
    <row r="10602" spans="1:45" s="901" customFormat="1" ht="13.2">
      <c r="A10602" s="116">
        <v>18</v>
      </c>
      <c r="B10602" s="901" t="s">
        <v>320</v>
      </c>
      <c r="D10602" s="901" t="s">
        <v>3209</v>
      </c>
      <c r="F10602" s="901" t="s">
        <v>3237</v>
      </c>
      <c r="G10602" s="941" t="s">
        <v>3210</v>
      </c>
      <c r="H10602" s="942">
        <v>700</v>
      </c>
      <c r="I10602" s="901" t="s">
        <v>3008</v>
      </c>
      <c r="J10602" s="901" t="s">
        <v>2953</v>
      </c>
      <c r="O10602" s="943">
        <v>1</v>
      </c>
      <c r="P10602" s="944">
        <v>42213</v>
      </c>
      <c r="Q10602" s="945">
        <v>1.8</v>
      </c>
      <c r="R10602" s="946">
        <f>$A10602*Q10602</f>
        <v>32.4</v>
      </c>
      <c r="S10602" s="945">
        <v>0.13</v>
      </c>
      <c r="T10602" s="947">
        <f>$A10602*S10602*$T$1</f>
        <v>2.1059999999999999</v>
      </c>
      <c r="AR10602" s="116">
        <v>18</v>
      </c>
      <c r="AS10602" s="901" t="s">
        <v>3237</v>
      </c>
    </row>
    <row r="10603" spans="1:45" s="520" customFormat="1" ht="12">
      <c r="A10603" s="758"/>
      <c r="B10603" s="758"/>
      <c r="C10603" s="758"/>
      <c r="D10603" s="758"/>
      <c r="E10603" s="758"/>
      <c r="F10603" s="753"/>
      <c r="G10603" s="758"/>
      <c r="H10603" s="758"/>
      <c r="I10603" s="519"/>
      <c r="J10603" s="758"/>
      <c r="K10603" s="758"/>
      <c r="L10603" s="758"/>
      <c r="M10603" s="758"/>
      <c r="N10603" s="758"/>
      <c r="O10603" s="758"/>
      <c r="P10603" s="758"/>
      <c r="Q10603" s="519"/>
      <c r="R10603" s="759">
        <f>$A10603*Q10603</f>
        <v>0</v>
      </c>
      <c r="S10603" s="519"/>
      <c r="T10603" s="760">
        <f>$A10603*S10603*$T$1</f>
        <v>0</v>
      </c>
      <c r="AR10603" s="758"/>
      <c r="AS10603" s="753"/>
    </row>
    <row r="10604" spans="1:45" s="520" customFormat="1" ht="12.6" thickBot="1">
      <c r="A10604" s="761" t="s">
        <v>145</v>
      </c>
      <c r="B10604" s="762">
        <f>(R10603+T10603)</f>
        <v>0</v>
      </c>
      <c r="C10604" s="763"/>
      <c r="D10604" s="763"/>
      <c r="E10604" s="763"/>
      <c r="F10604" s="764"/>
      <c r="G10604" s="763" t="s">
        <v>146</v>
      </c>
      <c r="H10604" s="763"/>
      <c r="I10604" s="765"/>
      <c r="J10604" s="763"/>
      <c r="K10604" s="763" t="s">
        <v>3</v>
      </c>
      <c r="L10604" s="766" t="s">
        <v>143</v>
      </c>
      <c r="M10604" s="766"/>
      <c r="N10604" s="766"/>
      <c r="O10604" s="766"/>
      <c r="P10604" s="766"/>
      <c r="Q10604" s="767"/>
      <c r="R10604" s="768">
        <f>SUM(R10601:R10603)</f>
        <v>32.4</v>
      </c>
      <c r="S10604" s="763"/>
      <c r="T10604" s="768">
        <f>SUM(T10601:T10603)</f>
        <v>2.1059999999999999</v>
      </c>
      <c r="U10604" s="531"/>
      <c r="V10604" s="531"/>
      <c r="W10604" s="531"/>
      <c r="X10604" s="531"/>
      <c r="Y10604" s="531"/>
      <c r="Z10604" s="531"/>
      <c r="AA10604" s="531"/>
      <c r="AB10604" s="531"/>
      <c r="AC10604" s="531"/>
      <c r="AD10604" s="531"/>
      <c r="AE10604" s="531"/>
      <c r="AF10604" s="531"/>
      <c r="AG10604" s="531"/>
      <c r="AH10604" s="531"/>
      <c r="AI10604" s="531"/>
      <c r="AJ10604" s="531"/>
      <c r="AK10604" s="531"/>
      <c r="AL10604" s="531"/>
      <c r="AM10604" s="531"/>
      <c r="AN10604" s="531"/>
      <c r="AO10604" s="531"/>
      <c r="AR10604" s="761" t="s">
        <v>145</v>
      </c>
      <c r="AS10604" s="764"/>
    </row>
    <row r="10605" spans="1:45" s="520" customFormat="1" ht="12" thickTop="1">
      <c r="A10605" s="51"/>
      <c r="B10605" s="41"/>
      <c r="C10605" s="51"/>
      <c r="E10605" s="42" t="s">
        <v>138</v>
      </c>
      <c r="F10605" s="42" t="s">
        <v>139</v>
      </c>
      <c r="G10605" s="51"/>
      <c r="H10605" s="51"/>
      <c r="I10605" s="51"/>
      <c r="J10605" s="51"/>
      <c r="K10605" s="51" t="s">
        <v>140</v>
      </c>
      <c r="L10605" s="51"/>
      <c r="M10605" s="51"/>
      <c r="N10605" s="51"/>
      <c r="O10605" s="52"/>
      <c r="P10605" s="51"/>
      <c r="Q10605" s="51"/>
      <c r="R10605" s="51"/>
      <c r="S10605" s="51"/>
      <c r="T10605" s="41"/>
      <c r="AG10605" s="521" t="s">
        <v>268</v>
      </c>
      <c r="AH10605" s="521" t="s">
        <v>269</v>
      </c>
      <c r="AI10605" s="521" t="s">
        <v>270</v>
      </c>
      <c r="AJ10605" s="521" t="s">
        <v>271</v>
      </c>
      <c r="AK10605" s="521" t="s">
        <v>272</v>
      </c>
      <c r="AM10605" s="745" t="s">
        <v>281</v>
      </c>
      <c r="AN10605" s="746" t="s">
        <v>282</v>
      </c>
      <c r="AO10605" s="522" t="s">
        <v>278</v>
      </c>
      <c r="AR10605" s="51"/>
      <c r="AS10605" s="42" t="s">
        <v>139</v>
      </c>
    </row>
    <row r="10606" spans="1:45" s="520" customFormat="1" ht="12" customHeight="1">
      <c r="A10606" s="747">
        <v>1</v>
      </c>
      <c r="B10606" s="523" t="s">
        <v>329</v>
      </c>
      <c r="C10606" s="748"/>
      <c r="D10606" s="749" t="s">
        <v>2034</v>
      </c>
      <c r="E10606" s="750">
        <f>IF(AND($A10606=0,$A$1="DIF"),0, ROUND(ROUND(($R10610*$S$2+($T10610*$T$2))/A10606,2)*$C$2,2))</f>
        <v>67.900000000000006</v>
      </c>
      <c r="F10606" s="751">
        <f>ROUND($A10606*$E10606,2)</f>
        <v>67.900000000000006</v>
      </c>
      <c r="G10606" s="752" t="s">
        <v>142</v>
      </c>
      <c r="H10606" s="753"/>
      <c r="I10606" s="754"/>
      <c r="J10606" s="753"/>
      <c r="K10606" s="753" t="s">
        <v>3</v>
      </c>
      <c r="L10606" s="755" t="s">
        <v>143</v>
      </c>
      <c r="M10606" s="755"/>
      <c r="N10606" s="755"/>
      <c r="O10606" s="755"/>
      <c r="P10606" s="755"/>
      <c r="Q10606" s="51"/>
      <c r="T10606" s="756" t="str">
        <f>IF(AND($R10610=0,$T10610=0),"0.00","mu :" &amp; ROUND($F10606/$C$2/($R10610+$T10610*$D$9),2))</f>
        <v>mu :1.23</v>
      </c>
      <c r="W10606" s="524"/>
      <c r="AG10606" s="481">
        <f>IF($E10606=0,0,ROUND($R10610*$S$2*$C$2/$A10606,2))</f>
        <v>24.38</v>
      </c>
      <c r="AH10606" s="481">
        <f>$AG10606*$A10606</f>
        <v>24.38</v>
      </c>
      <c r="AI10606" s="525">
        <f>$E10606-$AG10606</f>
        <v>43.52000000000001</v>
      </c>
      <c r="AJ10606" s="525">
        <f>$A10606*$AI10606</f>
        <v>43.52000000000001</v>
      </c>
      <c r="AK10606" s="526">
        <f>ROUND(($AG10606+$AI10606)*$A10606,2)</f>
        <v>67.900000000000006</v>
      </c>
      <c r="AM10606" s="527">
        <f>ROUND(R10610,2)</f>
        <v>19.8</v>
      </c>
      <c r="AN10606" s="528">
        <f>ROUND(T10610,2)</f>
        <v>1.29</v>
      </c>
      <c r="AO10606" s="529">
        <f>ROUND(AM10606+AN10606,2)*A10606</f>
        <v>21.09</v>
      </c>
      <c r="AR10606" s="747">
        <v>1</v>
      </c>
      <c r="AS10606" s="751">
        <v>72.73</v>
      </c>
    </row>
    <row r="10607" spans="1:45" s="520" customFormat="1" ht="13.2">
      <c r="A10607" s="748"/>
      <c r="B10607"/>
      <c r="C10607" s="748"/>
      <c r="D10607" s="749" t="s">
        <v>2208</v>
      </c>
      <c r="F10607" s="753"/>
      <c r="G10607" s="3"/>
      <c r="H10607" s="753"/>
      <c r="I10607" s="754"/>
      <c r="J10607" s="753"/>
      <c r="K10607" s="753" t="s">
        <v>144</v>
      </c>
      <c r="L10607" s="753"/>
      <c r="M10607" s="753"/>
      <c r="N10607" s="753"/>
      <c r="O10607" s="753"/>
      <c r="P10607" s="753"/>
      <c r="Q10607" s="51"/>
      <c r="R10607" s="530"/>
      <c r="S10607" s="757"/>
      <c r="T10607" s="753"/>
      <c r="AR10607" s="748"/>
      <c r="AS10607" s="753"/>
    </row>
    <row r="10608" spans="1:45" s="901" customFormat="1" ht="13.2">
      <c r="A10608" s="116">
        <v>11</v>
      </c>
      <c r="B10608" s="901" t="s">
        <v>320</v>
      </c>
      <c r="D10608" s="901" t="s">
        <v>3209</v>
      </c>
      <c r="F10608" s="901" t="s">
        <v>3237</v>
      </c>
      <c r="G10608" s="941" t="s">
        <v>3210</v>
      </c>
      <c r="H10608" s="942">
        <v>700</v>
      </c>
      <c r="I10608" s="901" t="s">
        <v>3008</v>
      </c>
      <c r="J10608" s="901" t="s">
        <v>2953</v>
      </c>
      <c r="O10608" s="943">
        <v>1</v>
      </c>
      <c r="P10608" s="944">
        <v>42213</v>
      </c>
      <c r="Q10608" s="945">
        <v>1.8</v>
      </c>
      <c r="R10608" s="946">
        <f>$A10608*Q10608</f>
        <v>19.8</v>
      </c>
      <c r="S10608" s="945">
        <v>0.13</v>
      </c>
      <c r="T10608" s="947">
        <f>$A10608*S10608*$T$1</f>
        <v>1.2870000000000001</v>
      </c>
      <c r="AR10608" s="116">
        <v>11</v>
      </c>
      <c r="AS10608" s="901" t="s">
        <v>3237</v>
      </c>
    </row>
    <row r="10609" spans="1:45" s="520" customFormat="1" ht="12">
      <c r="A10609" s="758"/>
      <c r="B10609" s="758"/>
      <c r="C10609" s="758"/>
      <c r="D10609" s="758"/>
      <c r="E10609" s="758"/>
      <c r="F10609" s="753"/>
      <c r="G10609" s="758"/>
      <c r="H10609" s="758"/>
      <c r="I10609" s="519"/>
      <c r="J10609" s="758"/>
      <c r="K10609" s="758"/>
      <c r="L10609" s="758"/>
      <c r="M10609" s="758"/>
      <c r="N10609" s="758"/>
      <c r="O10609" s="758"/>
      <c r="P10609" s="758"/>
      <c r="Q10609" s="519"/>
      <c r="R10609" s="759">
        <f>$A10609*Q10609</f>
        <v>0</v>
      </c>
      <c r="S10609" s="519"/>
      <c r="T10609" s="760">
        <f>$A10609*S10609*$T$1</f>
        <v>0</v>
      </c>
      <c r="AR10609" s="758"/>
      <c r="AS10609" s="753"/>
    </row>
    <row r="10610" spans="1:45" s="520" customFormat="1" ht="12.6" thickBot="1">
      <c r="A10610" s="761" t="s">
        <v>145</v>
      </c>
      <c r="B10610" s="762">
        <f>(R10609+T10609)</f>
        <v>0</v>
      </c>
      <c r="C10610" s="763"/>
      <c r="D10610" s="763"/>
      <c r="E10610" s="763"/>
      <c r="F10610" s="764"/>
      <c r="G10610" s="763" t="s">
        <v>146</v>
      </c>
      <c r="H10610" s="763"/>
      <c r="I10610" s="765"/>
      <c r="J10610" s="763"/>
      <c r="K10610" s="763" t="s">
        <v>3</v>
      </c>
      <c r="L10610" s="766" t="s">
        <v>143</v>
      </c>
      <c r="M10610" s="766"/>
      <c r="N10610" s="766"/>
      <c r="O10610" s="766"/>
      <c r="P10610" s="766"/>
      <c r="Q10610" s="767"/>
      <c r="R10610" s="768">
        <f>SUM(R10607:R10609)</f>
        <v>19.8</v>
      </c>
      <c r="S10610" s="763"/>
      <c r="T10610" s="768">
        <f>SUM(T10607:T10609)</f>
        <v>1.2870000000000001</v>
      </c>
      <c r="U10610" s="531"/>
      <c r="V10610" s="531"/>
      <c r="W10610" s="531"/>
      <c r="X10610" s="531"/>
      <c r="Y10610" s="531"/>
      <c r="Z10610" s="531"/>
      <c r="AA10610" s="531"/>
      <c r="AB10610" s="531"/>
      <c r="AC10610" s="531"/>
      <c r="AD10610" s="531"/>
      <c r="AE10610" s="531"/>
      <c r="AF10610" s="531"/>
      <c r="AG10610" s="531"/>
      <c r="AH10610" s="531"/>
      <c r="AI10610" s="531"/>
      <c r="AJ10610" s="531"/>
      <c r="AK10610" s="531"/>
      <c r="AL10610" s="531"/>
      <c r="AM10610" s="531"/>
      <c r="AN10610" s="531"/>
      <c r="AO10610" s="531"/>
      <c r="AR10610" s="761" t="s">
        <v>145</v>
      </c>
      <c r="AS10610" s="764"/>
    </row>
    <row r="10611" spans="1:45" s="520" customFormat="1" thickTop="1">
      <c r="A10611" s="51"/>
      <c r="B10611" s="51"/>
      <c r="C10611" s="3"/>
      <c r="D10611" s="3"/>
      <c r="E10611" s="51"/>
      <c r="F10611" s="51"/>
      <c r="G10611" s="51"/>
      <c r="H10611" s="51"/>
      <c r="I10611" s="51"/>
      <c r="J10611" s="51"/>
      <c r="K10611" s="51" t="s">
        <v>134</v>
      </c>
      <c r="L10611" s="51"/>
      <c r="M10611" s="51"/>
      <c r="N10611" s="51"/>
      <c r="O10611" s="52"/>
      <c r="P10611" s="51"/>
      <c r="Q10611" s="51"/>
      <c r="R10611" s="51"/>
      <c r="S10611" s="51"/>
      <c r="T10611" s="51"/>
      <c r="AR10611" s="51"/>
      <c r="AS10611" s="51"/>
    </row>
    <row r="10612" spans="1:45" s="520" customFormat="1" ht="12">
      <c r="A10612" s="51"/>
      <c r="B10612" s="51"/>
      <c r="C10612" s="51" t="s">
        <v>135</v>
      </c>
      <c r="D10612" s="37"/>
      <c r="E10612" s="51"/>
      <c r="F10612" s="51"/>
      <c r="G10612" s="51"/>
      <c r="H10612" s="51"/>
      <c r="I10612" s="51"/>
      <c r="J10612" s="51"/>
      <c r="K10612" s="51"/>
      <c r="L10612" s="51"/>
      <c r="M10612" s="51"/>
      <c r="N10612" s="51"/>
      <c r="O10612" s="52"/>
      <c r="P10612" s="51"/>
      <c r="Q10612" s="51"/>
      <c r="R10612" s="51"/>
      <c r="S10612" s="51"/>
      <c r="T10612" s="51"/>
      <c r="AR10612" s="51"/>
      <c r="AS10612" s="51"/>
    </row>
    <row r="10613" spans="1:45" s="520" customFormat="1" ht="39.9" customHeight="1">
      <c r="A10613" s="51"/>
      <c r="B10613" s="51"/>
      <c r="C10613" s="51"/>
      <c r="D10613" s="1453" t="s">
        <v>2185</v>
      </c>
      <c r="E10613" s="1452"/>
      <c r="F10613" s="1452"/>
      <c r="G10613" s="1452"/>
      <c r="H10613" s="1452"/>
      <c r="I10613" s="1452"/>
      <c r="J10613" s="1452"/>
      <c r="K10613" s="1452"/>
      <c r="L10613" s="1452"/>
      <c r="M10613" s="1452"/>
      <c r="N10613" s="1452"/>
      <c r="O10613" s="1452"/>
      <c r="P10613" s="1452"/>
      <c r="Q10613" s="1452"/>
      <c r="R10613" s="1452"/>
      <c r="S10613" s="1452"/>
      <c r="T10613" s="1452"/>
      <c r="AR10613" s="51"/>
    </row>
    <row r="10614" spans="1:45" s="3" customFormat="1" thickBot="1">
      <c r="A10614" s="531"/>
      <c r="O10614" s="107"/>
      <c r="AR10614" s="531"/>
    </row>
    <row r="10615" spans="1:45" s="520" customFormat="1" ht="12" thickTop="1">
      <c r="A10615" s="51"/>
      <c r="B10615" s="41"/>
      <c r="C10615" s="51"/>
      <c r="E10615" s="42" t="s">
        <v>138</v>
      </c>
      <c r="F10615" s="42" t="s">
        <v>139</v>
      </c>
      <c r="G10615" s="51"/>
      <c r="H10615" s="51"/>
      <c r="I10615" s="51"/>
      <c r="J10615" s="51"/>
      <c r="K10615" s="51" t="s">
        <v>140</v>
      </c>
      <c r="L10615" s="51"/>
      <c r="M10615" s="51"/>
      <c r="N10615" s="51"/>
      <c r="O10615" s="52"/>
      <c r="P10615" s="51"/>
      <c r="Q10615" s="51"/>
      <c r="R10615" s="51"/>
      <c r="S10615" s="51"/>
      <c r="T10615" s="41"/>
      <c r="AG10615" s="521" t="s">
        <v>268</v>
      </c>
      <c r="AH10615" s="521" t="s">
        <v>269</v>
      </c>
      <c r="AI10615" s="521" t="s">
        <v>270</v>
      </c>
      <c r="AJ10615" s="521" t="s">
        <v>271</v>
      </c>
      <c r="AK10615" s="521" t="s">
        <v>272</v>
      </c>
      <c r="AM10615" s="745" t="s">
        <v>281</v>
      </c>
      <c r="AN10615" s="746" t="s">
        <v>282</v>
      </c>
      <c r="AO10615" s="522" t="s">
        <v>278</v>
      </c>
      <c r="AR10615" s="51"/>
      <c r="AS10615" s="42" t="s">
        <v>139</v>
      </c>
    </row>
    <row r="10616" spans="1:45" s="520" customFormat="1" ht="12" customHeight="1">
      <c r="A10616" s="747">
        <v>4</v>
      </c>
      <c r="B10616" s="523" t="s">
        <v>329</v>
      </c>
      <c r="C10616" s="748"/>
      <c r="D10616" s="749" t="s">
        <v>2035</v>
      </c>
      <c r="E10616" s="1145">
        <f>IF(AND($A10616=0,$A$1="DIF"),0, ROUND(ROUND(($R10620*$S$3+($T10620*$T$3))/$A10616,2)*$C$3,2))</f>
        <v>29.56</v>
      </c>
      <c r="F10616" s="1146">
        <f>ROUND($A10616*$E10616,2)</f>
        <v>118.24</v>
      </c>
      <c r="G10616" s="752" t="s">
        <v>142</v>
      </c>
      <c r="H10616" s="753"/>
      <c r="I10616" s="754"/>
      <c r="J10616" s="753"/>
      <c r="K10616" s="753" t="s">
        <v>5</v>
      </c>
      <c r="L10616" s="755" t="s">
        <v>143</v>
      </c>
      <c r="M10616" s="755"/>
      <c r="N10616" s="755"/>
      <c r="O10616" s="755"/>
      <c r="P10616" s="755"/>
      <c r="Q10616" s="51"/>
      <c r="T10616" s="1150" t="str">
        <f>IF(AND($R10620=0,$T10620=0),"0.00","mu: "&amp; ROUND(F10616/$C$3/($R10620+$T10620*$D$9),2))</f>
        <v>mu: 1.13</v>
      </c>
      <c r="W10616" s="524"/>
      <c r="AG10616" s="1147">
        <f>IF($E10616=0,0,ROUND($R10620*$S$3*$C$3/$A10616,2))</f>
        <v>29.56</v>
      </c>
      <c r="AH10616" s="1147">
        <f>$AG10616*$A10616</f>
        <v>118.24</v>
      </c>
      <c r="AI10616" s="1148">
        <f>$E10616-$AG10616</f>
        <v>0</v>
      </c>
      <c r="AJ10616" s="1148">
        <f>$A10616*$AI10616</f>
        <v>0</v>
      </c>
      <c r="AK10616" s="1149">
        <f>ROUND(($AG10616+$AI10616)*$A10616,2)</f>
        <v>118.24</v>
      </c>
      <c r="AM10616" s="527">
        <f>ROUND(R10620,2)</f>
        <v>104.76</v>
      </c>
      <c r="AN10616" s="528">
        <f>ROUND(T10620,2)</f>
        <v>0</v>
      </c>
      <c r="AO10616" s="529">
        <f>ROUND(AM10616+AN10616,2)*A10616</f>
        <v>419.04</v>
      </c>
      <c r="AR10616" s="747">
        <v>4</v>
      </c>
      <c r="AS10616" s="1146">
        <v>128.68</v>
      </c>
    </row>
    <row r="10617" spans="1:45" s="520" customFormat="1" ht="13.2">
      <c r="A10617" s="748"/>
      <c r="B10617"/>
      <c r="C10617" s="748"/>
      <c r="D10617" s="749" t="s">
        <v>2205</v>
      </c>
      <c r="F10617" s="753"/>
      <c r="G10617" s="3"/>
      <c r="H10617" s="753"/>
      <c r="I10617" s="754"/>
      <c r="J10617" s="753"/>
      <c r="K10617" s="753" t="s">
        <v>144</v>
      </c>
      <c r="L10617" s="753"/>
      <c r="M10617" s="753"/>
      <c r="N10617" s="753"/>
      <c r="O10617" s="753"/>
      <c r="P10617" s="753"/>
      <c r="Q10617" s="51"/>
      <c r="R10617" s="530"/>
      <c r="S10617" s="757"/>
      <c r="T10617" s="753"/>
      <c r="AR10617" s="748"/>
      <c r="AS10617" s="753"/>
    </row>
    <row r="10618" spans="1:45" s="901" customFormat="1" ht="13.2">
      <c r="A10618" s="903">
        <v>4</v>
      </c>
      <c r="B10618" s="904" t="s">
        <v>863</v>
      </c>
      <c r="C10618" s="904"/>
      <c r="D10618" s="904" t="s">
        <v>2594</v>
      </c>
      <c r="E10618" s="904"/>
      <c r="F10618" s="1153" t="s">
        <v>4143</v>
      </c>
      <c r="G10618" s="905" t="s">
        <v>2595</v>
      </c>
      <c r="H10618" s="902">
        <v>960</v>
      </c>
      <c r="I10618" s="904" t="s">
        <v>2596</v>
      </c>
      <c r="J10618" s="904"/>
      <c r="K10618" s="904"/>
      <c r="L10618" s="904"/>
      <c r="M10618" s="904"/>
      <c r="N10618" s="904"/>
      <c r="O10618" s="902">
        <v>4</v>
      </c>
      <c r="P10618" s="906">
        <v>38274</v>
      </c>
      <c r="Q10618" s="1415">
        <f>30*0.873</f>
        <v>26.19</v>
      </c>
      <c r="R10618" s="908">
        <f>$A10618*Q10618</f>
        <v>104.76</v>
      </c>
      <c r="S10618" s="907"/>
      <c r="T10618" s="909">
        <f>$A10618*S10618*$T$1</f>
        <v>0</v>
      </c>
      <c r="AR10618" s="903">
        <v>4</v>
      </c>
      <c r="AS10618" s="1153" t="s">
        <v>3507</v>
      </c>
    </row>
    <row r="10619" spans="1:45" s="520" customFormat="1" ht="12">
      <c r="A10619" s="758"/>
      <c r="B10619" s="758"/>
      <c r="C10619" s="758"/>
      <c r="D10619" s="758"/>
      <c r="E10619" s="758"/>
      <c r="F10619" s="753"/>
      <c r="G10619" s="758"/>
      <c r="H10619" s="758"/>
      <c r="I10619" s="519"/>
      <c r="J10619" s="758"/>
      <c r="K10619" s="758"/>
      <c r="L10619" s="758"/>
      <c r="M10619" s="758"/>
      <c r="N10619" s="758"/>
      <c r="O10619" s="758"/>
      <c r="P10619" s="758"/>
      <c r="Q10619" s="519"/>
      <c r="R10619" s="759">
        <f>$A10619*Q10619</f>
        <v>0</v>
      </c>
      <c r="S10619" s="519"/>
      <c r="T10619" s="760">
        <f>$A10619*S10619*$T$1</f>
        <v>0</v>
      </c>
      <c r="AR10619" s="758"/>
      <c r="AS10619" s="753"/>
    </row>
    <row r="10620" spans="1:45" s="520" customFormat="1" ht="12.6" thickBot="1">
      <c r="A10620" s="761" t="s">
        <v>145</v>
      </c>
      <c r="B10620" s="762">
        <f>(R10619+T10619)</f>
        <v>0</v>
      </c>
      <c r="C10620" s="763"/>
      <c r="D10620" s="763"/>
      <c r="E10620" s="763"/>
      <c r="F10620" s="764"/>
      <c r="G10620" s="763" t="s">
        <v>146</v>
      </c>
      <c r="H10620" s="763"/>
      <c r="I10620" s="765"/>
      <c r="J10620" s="763"/>
      <c r="K10620" s="763" t="s">
        <v>5</v>
      </c>
      <c r="L10620" s="766" t="s">
        <v>143</v>
      </c>
      <c r="M10620" s="766"/>
      <c r="N10620" s="766"/>
      <c r="O10620" s="766"/>
      <c r="P10620" s="766"/>
      <c r="Q10620" s="767"/>
      <c r="R10620" s="768">
        <f>SUM(R10617:R10619)</f>
        <v>104.76</v>
      </c>
      <c r="S10620" s="763"/>
      <c r="T10620" s="768">
        <f>SUM(T10617:T10619)</f>
        <v>0</v>
      </c>
      <c r="U10620" s="531"/>
      <c r="V10620" s="531"/>
      <c r="W10620" s="531"/>
      <c r="X10620" s="531"/>
      <c r="Y10620" s="531"/>
      <c r="Z10620" s="531"/>
      <c r="AA10620" s="531"/>
      <c r="AB10620" s="531"/>
      <c r="AC10620" s="531"/>
      <c r="AD10620" s="531"/>
      <c r="AE10620" s="531"/>
      <c r="AF10620" s="531"/>
      <c r="AG10620" s="531"/>
      <c r="AH10620" s="531"/>
      <c r="AI10620" s="531"/>
      <c r="AJ10620" s="531"/>
      <c r="AK10620" s="531"/>
      <c r="AL10620" s="531"/>
      <c r="AM10620" s="531"/>
      <c r="AN10620" s="531"/>
      <c r="AO10620" s="531"/>
      <c r="AR10620" s="761" t="s">
        <v>145</v>
      </c>
      <c r="AS10620" s="764"/>
    </row>
    <row r="10621" spans="1:45" s="520" customFormat="1" ht="12" thickTop="1">
      <c r="A10621" s="51"/>
      <c r="B10621" s="41"/>
      <c r="C10621" s="51"/>
      <c r="E10621" s="42" t="s">
        <v>138</v>
      </c>
      <c r="F10621" s="42" t="s">
        <v>139</v>
      </c>
      <c r="G10621" s="51"/>
      <c r="H10621" s="51"/>
      <c r="I10621" s="51"/>
      <c r="J10621" s="51"/>
      <c r="K10621" s="51" t="s">
        <v>140</v>
      </c>
      <c r="L10621" s="51"/>
      <c r="M10621" s="51"/>
      <c r="N10621" s="51"/>
      <c r="O10621" s="52"/>
      <c r="P10621" s="51"/>
      <c r="Q10621" s="51"/>
      <c r="R10621" s="51"/>
      <c r="S10621" s="51"/>
      <c r="T10621" s="41"/>
      <c r="AG10621" s="521" t="s">
        <v>268</v>
      </c>
      <c r="AH10621" s="521" t="s">
        <v>269</v>
      </c>
      <c r="AI10621" s="521" t="s">
        <v>270</v>
      </c>
      <c r="AJ10621" s="521" t="s">
        <v>271</v>
      </c>
      <c r="AK10621" s="521" t="s">
        <v>272</v>
      </c>
      <c r="AM10621" s="745" t="s">
        <v>281</v>
      </c>
      <c r="AN10621" s="746" t="s">
        <v>282</v>
      </c>
      <c r="AO10621" s="522" t="s">
        <v>278</v>
      </c>
      <c r="AR10621" s="51"/>
      <c r="AS10621" s="42" t="s">
        <v>139</v>
      </c>
    </row>
    <row r="10622" spans="1:45" s="520" customFormat="1" ht="12" customHeight="1">
      <c r="A10622" s="747">
        <v>1</v>
      </c>
      <c r="B10622" s="523" t="s">
        <v>329</v>
      </c>
      <c r="C10622" s="748"/>
      <c r="D10622" s="749" t="s">
        <v>2036</v>
      </c>
      <c r="E10622" s="1145">
        <f>IF(AND($A10622=0,$A$1="DIF"),0, ROUND(ROUND(($R10626*$S$3+($T10626*$T$3))/$A10622,2)*$C$3,2))</f>
        <v>29.56</v>
      </c>
      <c r="F10622" s="1146">
        <f>ROUND($A10622*$E10622,2)</f>
        <v>29.56</v>
      </c>
      <c r="G10622" s="752" t="s">
        <v>142</v>
      </c>
      <c r="H10622" s="753"/>
      <c r="I10622" s="754"/>
      <c r="J10622" s="753"/>
      <c r="K10622" s="753" t="s">
        <v>5</v>
      </c>
      <c r="L10622" s="755" t="s">
        <v>143</v>
      </c>
      <c r="M10622" s="755"/>
      <c r="N10622" s="755"/>
      <c r="O10622" s="755"/>
      <c r="P10622" s="755"/>
      <c r="Q10622" s="51"/>
      <c r="T10622" s="1150" t="str">
        <f>IF(AND($R10626=0,$T10626=0),"0.00","mu: "&amp; ROUND(F10622/$C$3/($R10626+$T10626*$D$9),2))</f>
        <v>mu: 1.13</v>
      </c>
      <c r="W10622" s="524"/>
      <c r="AG10622" s="1147">
        <f>IF($E10622=0,0,ROUND($R10626*$S$3*$C$3/$A10622,2))</f>
        <v>29.56</v>
      </c>
      <c r="AH10622" s="1147">
        <f>$AG10622*$A10622</f>
        <v>29.56</v>
      </c>
      <c r="AI10622" s="1148">
        <f>$E10622-$AG10622</f>
        <v>0</v>
      </c>
      <c r="AJ10622" s="1148">
        <f>$A10622*$AI10622</f>
        <v>0</v>
      </c>
      <c r="AK10622" s="1149">
        <f>ROUND(($AG10622+$AI10622)*$A10622,2)</f>
        <v>29.56</v>
      </c>
      <c r="AM10622" s="527">
        <f>ROUND(R10626,2)</f>
        <v>26.19</v>
      </c>
      <c r="AN10622" s="528">
        <f>ROUND(T10626,2)</f>
        <v>0</v>
      </c>
      <c r="AO10622" s="529">
        <f>ROUND(AM10622+AN10622,2)*A10622</f>
        <v>26.19</v>
      </c>
      <c r="AR10622" s="747">
        <v>1</v>
      </c>
      <c r="AS10622" s="1146">
        <v>32.17</v>
      </c>
    </row>
    <row r="10623" spans="1:45" s="520" customFormat="1" ht="13.2">
      <c r="A10623" s="748"/>
      <c r="B10623"/>
      <c r="C10623" s="748"/>
      <c r="D10623" s="749" t="s">
        <v>2206</v>
      </c>
      <c r="F10623" s="753"/>
      <c r="G10623" s="3"/>
      <c r="H10623" s="753"/>
      <c r="I10623" s="754"/>
      <c r="J10623" s="753"/>
      <c r="K10623" s="753" t="s">
        <v>144</v>
      </c>
      <c r="L10623" s="753"/>
      <c r="M10623" s="753"/>
      <c r="N10623" s="753"/>
      <c r="O10623" s="753"/>
      <c r="P10623" s="753"/>
      <c r="Q10623" s="51"/>
      <c r="R10623" s="530"/>
      <c r="S10623" s="757"/>
      <c r="T10623" s="753"/>
      <c r="AR10623" s="748"/>
      <c r="AS10623" s="753"/>
    </row>
    <row r="10624" spans="1:45" s="901" customFormat="1" ht="13.2">
      <c r="A10624" s="903">
        <v>1</v>
      </c>
      <c r="B10624" s="904" t="s">
        <v>863</v>
      </c>
      <c r="C10624" s="904"/>
      <c r="D10624" s="904" t="s">
        <v>2594</v>
      </c>
      <c r="E10624" s="904"/>
      <c r="F10624" s="1153" t="s">
        <v>4143</v>
      </c>
      <c r="G10624" s="905" t="s">
        <v>2595</v>
      </c>
      <c r="H10624" s="902">
        <v>960</v>
      </c>
      <c r="I10624" s="904" t="s">
        <v>2596</v>
      </c>
      <c r="J10624" s="904"/>
      <c r="K10624" s="904"/>
      <c r="L10624" s="904"/>
      <c r="M10624" s="904"/>
      <c r="N10624" s="904"/>
      <c r="O10624" s="902">
        <v>4</v>
      </c>
      <c r="P10624" s="906">
        <v>38274</v>
      </c>
      <c r="Q10624" s="1415">
        <f>30*0.873</f>
        <v>26.19</v>
      </c>
      <c r="R10624" s="908">
        <f>$A10624*Q10624</f>
        <v>26.19</v>
      </c>
      <c r="S10624" s="907"/>
      <c r="T10624" s="909">
        <f>$A10624*S10624*$T$1</f>
        <v>0</v>
      </c>
      <c r="AR10624" s="903">
        <v>1</v>
      </c>
      <c r="AS10624" s="1153" t="s">
        <v>3507</v>
      </c>
    </row>
    <row r="10625" spans="1:45" s="520" customFormat="1" ht="12">
      <c r="A10625" s="758"/>
      <c r="B10625" s="758"/>
      <c r="C10625" s="758"/>
      <c r="D10625" s="758"/>
      <c r="E10625" s="758"/>
      <c r="F10625" s="753"/>
      <c r="G10625" s="758"/>
      <c r="H10625" s="758"/>
      <c r="I10625" s="519"/>
      <c r="J10625" s="758"/>
      <c r="K10625" s="758"/>
      <c r="L10625" s="758"/>
      <c r="M10625" s="758"/>
      <c r="N10625" s="758"/>
      <c r="O10625" s="758"/>
      <c r="P10625" s="758"/>
      <c r="Q10625" s="519"/>
      <c r="R10625" s="759">
        <f>$A10625*Q10625</f>
        <v>0</v>
      </c>
      <c r="S10625" s="519"/>
      <c r="T10625" s="760">
        <f>$A10625*S10625*$T$1</f>
        <v>0</v>
      </c>
      <c r="AR10625" s="758"/>
      <c r="AS10625" s="753"/>
    </row>
    <row r="10626" spans="1:45" s="520" customFormat="1" ht="12.6" thickBot="1">
      <c r="A10626" s="761" t="s">
        <v>145</v>
      </c>
      <c r="B10626" s="762">
        <f>(R10625+T10625)</f>
        <v>0</v>
      </c>
      <c r="C10626" s="763"/>
      <c r="D10626" s="763"/>
      <c r="E10626" s="763"/>
      <c r="F10626" s="764"/>
      <c r="G10626" s="763" t="s">
        <v>146</v>
      </c>
      <c r="H10626" s="763"/>
      <c r="I10626" s="765"/>
      <c r="J10626" s="763"/>
      <c r="K10626" s="763" t="s">
        <v>5</v>
      </c>
      <c r="L10626" s="766" t="s">
        <v>143</v>
      </c>
      <c r="M10626" s="766"/>
      <c r="N10626" s="766"/>
      <c r="O10626" s="766"/>
      <c r="P10626" s="766"/>
      <c r="Q10626" s="767"/>
      <c r="R10626" s="768">
        <f>SUM(R10623:R10625)</f>
        <v>26.19</v>
      </c>
      <c r="S10626" s="763"/>
      <c r="T10626" s="768">
        <f>SUM(T10623:T10625)</f>
        <v>0</v>
      </c>
      <c r="U10626" s="531"/>
      <c r="V10626" s="531"/>
      <c r="W10626" s="531"/>
      <c r="X10626" s="531"/>
      <c r="Y10626" s="531"/>
      <c r="Z10626" s="531"/>
      <c r="AA10626" s="531"/>
      <c r="AB10626" s="531"/>
      <c r="AC10626" s="531"/>
      <c r="AD10626" s="531"/>
      <c r="AE10626" s="531"/>
      <c r="AF10626" s="531"/>
      <c r="AG10626" s="531"/>
      <c r="AH10626" s="531"/>
      <c r="AI10626" s="531"/>
      <c r="AJ10626" s="531"/>
      <c r="AK10626" s="531"/>
      <c r="AL10626" s="531"/>
      <c r="AM10626" s="531"/>
      <c r="AN10626" s="531"/>
      <c r="AO10626" s="531"/>
      <c r="AR10626" s="761" t="s">
        <v>145</v>
      </c>
      <c r="AS10626" s="764"/>
    </row>
    <row r="10627" spans="1:45" s="520" customFormat="1" ht="12" thickTop="1">
      <c r="A10627" s="51"/>
      <c r="B10627" s="41"/>
      <c r="C10627" s="51"/>
      <c r="E10627" s="42" t="s">
        <v>138</v>
      </c>
      <c r="F10627" s="42" t="s">
        <v>139</v>
      </c>
      <c r="G10627" s="51"/>
      <c r="H10627" s="51"/>
      <c r="I10627" s="51"/>
      <c r="J10627" s="51"/>
      <c r="K10627" s="51" t="s">
        <v>140</v>
      </c>
      <c r="L10627" s="51"/>
      <c r="M10627" s="51"/>
      <c r="N10627" s="51"/>
      <c r="O10627" s="52"/>
      <c r="P10627" s="51"/>
      <c r="Q10627" s="51"/>
      <c r="R10627" s="51"/>
      <c r="S10627" s="51"/>
      <c r="T10627" s="41"/>
      <c r="AG10627" s="521" t="s">
        <v>268</v>
      </c>
      <c r="AH10627" s="521" t="s">
        <v>269</v>
      </c>
      <c r="AI10627" s="521" t="s">
        <v>270</v>
      </c>
      <c r="AJ10627" s="521" t="s">
        <v>271</v>
      </c>
      <c r="AK10627" s="521" t="s">
        <v>272</v>
      </c>
      <c r="AM10627" s="745" t="s">
        <v>281</v>
      </c>
      <c r="AN10627" s="746" t="s">
        <v>282</v>
      </c>
      <c r="AO10627" s="522" t="s">
        <v>278</v>
      </c>
      <c r="AR10627" s="51"/>
      <c r="AS10627" s="42" t="s">
        <v>139</v>
      </c>
    </row>
    <row r="10628" spans="1:45" s="520" customFormat="1" ht="12" customHeight="1">
      <c r="A10628" s="747">
        <v>1</v>
      </c>
      <c r="B10628" s="523" t="s">
        <v>329</v>
      </c>
      <c r="C10628" s="748"/>
      <c r="D10628" s="749" t="s">
        <v>2037</v>
      </c>
      <c r="E10628" s="1145">
        <f>IF(AND($A10628=0,$A$1="DIF"),0, ROUND(ROUND(($R10632*$S$3+($T10632*$T$3))/$A10628,2)*$C$3,2))</f>
        <v>39.42</v>
      </c>
      <c r="F10628" s="1146">
        <f>ROUND($A10628*$E10628,2)</f>
        <v>39.42</v>
      </c>
      <c r="G10628" s="752" t="s">
        <v>142</v>
      </c>
      <c r="H10628" s="753"/>
      <c r="I10628" s="754"/>
      <c r="J10628" s="753"/>
      <c r="K10628" s="753" t="s">
        <v>5</v>
      </c>
      <c r="L10628" s="755" t="s">
        <v>143</v>
      </c>
      <c r="M10628" s="755"/>
      <c r="N10628" s="755"/>
      <c r="O10628" s="755"/>
      <c r="P10628" s="755"/>
      <c r="Q10628" s="51"/>
      <c r="T10628" s="1150" t="str">
        <f>IF(AND($R10632=0,$T10632=0),"0.00","mu: "&amp; ROUND(F10628/$C$3/($R10632+$T10632*$D$9),2))</f>
        <v>mu: 1.13</v>
      </c>
      <c r="W10628" s="524"/>
      <c r="AG10628" s="1147">
        <f>IF($E10628=0,0,ROUND($R10632*$S$3*$C$3/$A10628,2))</f>
        <v>39.42</v>
      </c>
      <c r="AH10628" s="1147">
        <f>$AG10628*$A10628</f>
        <v>39.42</v>
      </c>
      <c r="AI10628" s="1148">
        <f>$E10628-$AG10628</f>
        <v>0</v>
      </c>
      <c r="AJ10628" s="1148">
        <f>$A10628*$AI10628</f>
        <v>0</v>
      </c>
      <c r="AK10628" s="1149">
        <f>ROUND(($AG10628+$AI10628)*$A10628,2)</f>
        <v>39.42</v>
      </c>
      <c r="AM10628" s="527">
        <f>ROUND(R10632,2)</f>
        <v>34.92</v>
      </c>
      <c r="AN10628" s="528">
        <f>ROUND(T10632,2)</f>
        <v>0</v>
      </c>
      <c r="AO10628" s="529">
        <f>ROUND(AM10628+AN10628,2)*A10628</f>
        <v>34.92</v>
      </c>
      <c r="AR10628" s="747">
        <v>1</v>
      </c>
      <c r="AS10628" s="1146">
        <v>42.89</v>
      </c>
    </row>
    <row r="10629" spans="1:45" s="520" customFormat="1" ht="13.2">
      <c r="A10629" s="748"/>
      <c r="B10629"/>
      <c r="C10629" s="748"/>
      <c r="D10629" s="749" t="s">
        <v>2207</v>
      </c>
      <c r="F10629" s="753"/>
      <c r="G10629" s="3"/>
      <c r="H10629" s="753"/>
      <c r="I10629" s="754"/>
      <c r="J10629" s="753"/>
      <c r="K10629" s="753" t="s">
        <v>144</v>
      </c>
      <c r="L10629" s="753"/>
      <c r="M10629" s="753"/>
      <c r="N10629" s="753"/>
      <c r="O10629" s="753"/>
      <c r="P10629" s="753"/>
      <c r="Q10629" s="51"/>
      <c r="R10629" s="530"/>
      <c r="S10629" s="757"/>
      <c r="T10629" s="753"/>
      <c r="AR10629" s="748"/>
      <c r="AS10629" s="753"/>
    </row>
    <row r="10630" spans="1:45" s="901" customFormat="1" ht="13.2">
      <c r="A10630" s="903">
        <v>1</v>
      </c>
      <c r="B10630" s="904" t="s">
        <v>863</v>
      </c>
      <c r="C10630" s="904"/>
      <c r="D10630" s="904" t="s">
        <v>2594</v>
      </c>
      <c r="E10630" s="904"/>
      <c r="F10630" s="1153" t="s">
        <v>4143</v>
      </c>
      <c r="G10630" s="905" t="s">
        <v>2595</v>
      </c>
      <c r="H10630" s="902">
        <v>960</v>
      </c>
      <c r="I10630" s="904" t="s">
        <v>2596</v>
      </c>
      <c r="J10630" s="904"/>
      <c r="K10630" s="904"/>
      <c r="L10630" s="904"/>
      <c r="M10630" s="904"/>
      <c r="N10630" s="904"/>
      <c r="O10630" s="902">
        <v>4</v>
      </c>
      <c r="P10630" s="906">
        <v>38274</v>
      </c>
      <c r="Q10630" s="1415">
        <f>40*0.873</f>
        <v>34.92</v>
      </c>
      <c r="R10630" s="908">
        <f>$A10630*Q10630</f>
        <v>34.92</v>
      </c>
      <c r="S10630" s="907"/>
      <c r="T10630" s="909">
        <f>$A10630*S10630*$T$1</f>
        <v>0</v>
      </c>
      <c r="AR10630" s="903">
        <v>1</v>
      </c>
      <c r="AS10630" s="1153" t="s">
        <v>3507</v>
      </c>
    </row>
    <row r="10631" spans="1:45" s="520" customFormat="1" ht="12">
      <c r="A10631" s="758"/>
      <c r="B10631" s="758"/>
      <c r="C10631" s="758"/>
      <c r="D10631" s="758"/>
      <c r="E10631" s="758"/>
      <c r="F10631" s="753"/>
      <c r="G10631" s="758"/>
      <c r="H10631" s="758"/>
      <c r="I10631" s="519"/>
      <c r="J10631" s="758"/>
      <c r="K10631" s="758"/>
      <c r="L10631" s="758"/>
      <c r="M10631" s="758"/>
      <c r="N10631" s="758"/>
      <c r="O10631" s="758"/>
      <c r="P10631" s="758"/>
      <c r="Q10631" s="519"/>
      <c r="R10631" s="759">
        <f>$A10631*Q10631</f>
        <v>0</v>
      </c>
      <c r="S10631" s="519"/>
      <c r="T10631" s="760">
        <f>$A10631*S10631*$T$1</f>
        <v>0</v>
      </c>
      <c r="AR10631" s="758"/>
      <c r="AS10631" s="753"/>
    </row>
    <row r="10632" spans="1:45" s="520" customFormat="1" ht="12.6" thickBot="1">
      <c r="A10632" s="761" t="s">
        <v>145</v>
      </c>
      <c r="B10632" s="762">
        <f>(R10631+T10631)</f>
        <v>0</v>
      </c>
      <c r="C10632" s="763"/>
      <c r="D10632" s="763"/>
      <c r="E10632" s="763"/>
      <c r="F10632" s="764"/>
      <c r="G10632" s="763" t="s">
        <v>146</v>
      </c>
      <c r="H10632" s="763"/>
      <c r="I10632" s="765"/>
      <c r="J10632" s="763"/>
      <c r="K10632" s="763" t="s">
        <v>5</v>
      </c>
      <c r="L10632" s="766" t="s">
        <v>143</v>
      </c>
      <c r="M10632" s="766"/>
      <c r="N10632" s="766"/>
      <c r="O10632" s="766"/>
      <c r="P10632" s="766"/>
      <c r="Q10632" s="767"/>
      <c r="R10632" s="768">
        <f>SUM(R10629:R10631)</f>
        <v>34.92</v>
      </c>
      <c r="S10632" s="763"/>
      <c r="T10632" s="768">
        <f>SUM(T10629:T10631)</f>
        <v>0</v>
      </c>
      <c r="U10632" s="531"/>
      <c r="V10632" s="531"/>
      <c r="W10632" s="531"/>
      <c r="X10632" s="531"/>
      <c r="Y10632" s="531"/>
      <c r="Z10632" s="531"/>
      <c r="AA10632" s="531"/>
      <c r="AB10632" s="531"/>
      <c r="AC10632" s="531"/>
      <c r="AD10632" s="531"/>
      <c r="AE10632" s="531"/>
      <c r="AF10632" s="531"/>
      <c r="AG10632" s="531"/>
      <c r="AH10632" s="531"/>
      <c r="AI10632" s="531"/>
      <c r="AJ10632" s="531"/>
      <c r="AK10632" s="531"/>
      <c r="AL10632" s="531"/>
      <c r="AM10632" s="531"/>
      <c r="AN10632" s="531"/>
      <c r="AO10632" s="531"/>
      <c r="AR10632" s="761" t="s">
        <v>145</v>
      </c>
      <c r="AS10632" s="764"/>
    </row>
    <row r="10633" spans="1:45" s="520" customFormat="1" ht="12" thickTop="1">
      <c r="A10633" s="51"/>
      <c r="B10633" s="41"/>
      <c r="C10633" s="51"/>
      <c r="E10633" s="42" t="s">
        <v>138</v>
      </c>
      <c r="F10633" s="42" t="s">
        <v>139</v>
      </c>
      <c r="G10633" s="51"/>
      <c r="H10633" s="51"/>
      <c r="I10633" s="51"/>
      <c r="J10633" s="51"/>
      <c r="K10633" s="51" t="s">
        <v>140</v>
      </c>
      <c r="L10633" s="51"/>
      <c r="M10633" s="51"/>
      <c r="N10633" s="51"/>
      <c r="O10633" s="52"/>
      <c r="P10633" s="51"/>
      <c r="Q10633" s="51"/>
      <c r="R10633" s="51"/>
      <c r="S10633" s="51"/>
      <c r="T10633" s="41"/>
      <c r="AG10633" s="521" t="s">
        <v>268</v>
      </c>
      <c r="AH10633" s="521" t="s">
        <v>269</v>
      </c>
      <c r="AI10633" s="521" t="s">
        <v>270</v>
      </c>
      <c r="AJ10633" s="521" t="s">
        <v>271</v>
      </c>
      <c r="AK10633" s="521" t="s">
        <v>272</v>
      </c>
      <c r="AM10633" s="745" t="s">
        <v>281</v>
      </c>
      <c r="AN10633" s="746" t="s">
        <v>282</v>
      </c>
      <c r="AO10633" s="522" t="s">
        <v>278</v>
      </c>
      <c r="AR10633" s="51"/>
      <c r="AS10633" s="42" t="s">
        <v>139</v>
      </c>
    </row>
    <row r="10634" spans="1:45" s="520" customFormat="1" ht="12" customHeight="1">
      <c r="A10634" s="747">
        <v>1</v>
      </c>
      <c r="B10634" s="523" t="s">
        <v>329</v>
      </c>
      <c r="C10634" s="748"/>
      <c r="D10634" s="749" t="s">
        <v>2038</v>
      </c>
      <c r="E10634" s="1145">
        <f>IF(AND($A10634=0,$A$1="DIF"),0, ROUND(ROUND(($R10638*$S$3+($T10638*$T$3))/$A10634,2)*$C$3,2))</f>
        <v>29.56</v>
      </c>
      <c r="F10634" s="1146">
        <f>ROUND($A10634*$E10634,2)</f>
        <v>29.56</v>
      </c>
      <c r="G10634" s="752" t="s">
        <v>142</v>
      </c>
      <c r="H10634" s="753"/>
      <c r="I10634" s="754"/>
      <c r="J10634" s="753"/>
      <c r="K10634" s="753" t="s">
        <v>5</v>
      </c>
      <c r="L10634" s="755" t="s">
        <v>143</v>
      </c>
      <c r="M10634" s="755"/>
      <c r="N10634" s="755"/>
      <c r="O10634" s="755"/>
      <c r="P10634" s="755"/>
      <c r="Q10634" s="51"/>
      <c r="T10634" s="1150" t="str">
        <f>IF(AND($R10638=0,$T10638=0),"0.00","mu: "&amp; ROUND(F10634/$C$3/($R10638+$T10638*$D$9),2))</f>
        <v>mu: 1.13</v>
      </c>
      <c r="W10634" s="524"/>
      <c r="AG10634" s="1147">
        <f>IF($E10634=0,0,ROUND($R10638*$S$3*$C$3/$A10634,2))</f>
        <v>29.56</v>
      </c>
      <c r="AH10634" s="1147">
        <f>$AG10634*$A10634</f>
        <v>29.56</v>
      </c>
      <c r="AI10634" s="1148">
        <f>$E10634-$AG10634</f>
        <v>0</v>
      </c>
      <c r="AJ10634" s="1148">
        <f>$A10634*$AI10634</f>
        <v>0</v>
      </c>
      <c r="AK10634" s="1149">
        <f>ROUND(($AG10634+$AI10634)*$A10634,2)</f>
        <v>29.56</v>
      </c>
      <c r="AM10634" s="527">
        <f>ROUND(R10638,2)</f>
        <v>26.19</v>
      </c>
      <c r="AN10634" s="528">
        <f>ROUND(T10638,2)</f>
        <v>0</v>
      </c>
      <c r="AO10634" s="529">
        <f>ROUND(AM10634+AN10634,2)*A10634</f>
        <v>26.19</v>
      </c>
      <c r="AR10634" s="747">
        <v>1</v>
      </c>
      <c r="AS10634" s="1146">
        <v>32.17</v>
      </c>
    </row>
    <row r="10635" spans="1:45" s="520" customFormat="1" ht="13.2">
      <c r="A10635" s="748"/>
      <c r="B10635"/>
      <c r="C10635" s="748"/>
      <c r="D10635" s="749" t="s">
        <v>2208</v>
      </c>
      <c r="F10635" s="753"/>
      <c r="G10635" s="3"/>
      <c r="H10635" s="753"/>
      <c r="I10635" s="754"/>
      <c r="J10635" s="753"/>
      <c r="K10635" s="753" t="s">
        <v>144</v>
      </c>
      <c r="L10635" s="753"/>
      <c r="M10635" s="753"/>
      <c r="N10635" s="753"/>
      <c r="O10635" s="753"/>
      <c r="P10635" s="753"/>
      <c r="Q10635" s="51"/>
      <c r="R10635" s="530"/>
      <c r="S10635" s="757"/>
      <c r="T10635" s="753"/>
      <c r="AR10635" s="748"/>
      <c r="AS10635" s="753"/>
    </row>
    <row r="10636" spans="1:45" s="901" customFormat="1" ht="13.2">
      <c r="A10636" s="903">
        <v>1</v>
      </c>
      <c r="B10636" s="904" t="s">
        <v>863</v>
      </c>
      <c r="C10636" s="904"/>
      <c r="D10636" s="904" t="s">
        <v>2594</v>
      </c>
      <c r="E10636" s="904"/>
      <c r="F10636" s="1153" t="s">
        <v>4143</v>
      </c>
      <c r="G10636" s="905" t="s">
        <v>2595</v>
      </c>
      <c r="H10636" s="902">
        <v>960</v>
      </c>
      <c r="I10636" s="904" t="s">
        <v>2596</v>
      </c>
      <c r="J10636" s="904"/>
      <c r="K10636" s="904"/>
      <c r="L10636" s="904"/>
      <c r="M10636" s="904"/>
      <c r="N10636" s="904"/>
      <c r="O10636" s="902">
        <v>4</v>
      </c>
      <c r="P10636" s="906">
        <v>38274</v>
      </c>
      <c r="Q10636" s="1415">
        <f>30*0.873</f>
        <v>26.19</v>
      </c>
      <c r="R10636" s="908">
        <f>$A10636*Q10636</f>
        <v>26.19</v>
      </c>
      <c r="S10636" s="907"/>
      <c r="T10636" s="909">
        <f>$A10636*S10636*$T$1</f>
        <v>0</v>
      </c>
      <c r="AR10636" s="903">
        <v>1</v>
      </c>
      <c r="AS10636" s="1153" t="s">
        <v>3507</v>
      </c>
    </row>
    <row r="10637" spans="1:45" s="520" customFormat="1" ht="12">
      <c r="A10637" s="758"/>
      <c r="B10637" s="758"/>
      <c r="C10637" s="758"/>
      <c r="D10637" s="758"/>
      <c r="E10637" s="758"/>
      <c r="F10637" s="753"/>
      <c r="G10637" s="758"/>
      <c r="H10637" s="758"/>
      <c r="I10637" s="519"/>
      <c r="J10637" s="758"/>
      <c r="K10637" s="758"/>
      <c r="L10637" s="758"/>
      <c r="M10637" s="758"/>
      <c r="N10637" s="758"/>
      <c r="O10637" s="758"/>
      <c r="P10637" s="758"/>
      <c r="Q10637" s="519"/>
      <c r="R10637" s="759">
        <f>$A10637*Q10637</f>
        <v>0</v>
      </c>
      <c r="S10637" s="519"/>
      <c r="T10637" s="760">
        <f>$A10637*S10637*$T$1</f>
        <v>0</v>
      </c>
      <c r="AR10637" s="758"/>
      <c r="AS10637" s="753"/>
    </row>
    <row r="10638" spans="1:45" s="520" customFormat="1" ht="12.6" thickBot="1">
      <c r="A10638" s="761" t="s">
        <v>145</v>
      </c>
      <c r="B10638" s="762">
        <f>(R10637+T10637)</f>
        <v>0</v>
      </c>
      <c r="C10638" s="763"/>
      <c r="D10638" s="763"/>
      <c r="E10638" s="763"/>
      <c r="F10638" s="764"/>
      <c r="G10638" s="763" t="s">
        <v>146</v>
      </c>
      <c r="H10638" s="763"/>
      <c r="I10638" s="765"/>
      <c r="J10638" s="763"/>
      <c r="K10638" s="763" t="s">
        <v>5</v>
      </c>
      <c r="L10638" s="766" t="s">
        <v>143</v>
      </c>
      <c r="M10638" s="766"/>
      <c r="N10638" s="766"/>
      <c r="O10638" s="766"/>
      <c r="P10638" s="766"/>
      <c r="Q10638" s="767"/>
      <c r="R10638" s="768">
        <f>SUM(R10635:R10637)</f>
        <v>26.19</v>
      </c>
      <c r="S10638" s="763"/>
      <c r="T10638" s="768">
        <f>SUM(T10635:T10637)</f>
        <v>0</v>
      </c>
      <c r="U10638" s="531"/>
      <c r="V10638" s="531"/>
      <c r="W10638" s="531"/>
      <c r="X10638" s="531"/>
      <c r="Y10638" s="531"/>
      <c r="Z10638" s="531"/>
      <c r="AA10638" s="531"/>
      <c r="AB10638" s="531"/>
      <c r="AC10638" s="531"/>
      <c r="AD10638" s="531"/>
      <c r="AE10638" s="531"/>
      <c r="AF10638" s="531"/>
      <c r="AG10638" s="531"/>
      <c r="AH10638" s="531"/>
      <c r="AI10638" s="531"/>
      <c r="AJ10638" s="531"/>
      <c r="AK10638" s="531"/>
      <c r="AL10638" s="531"/>
      <c r="AM10638" s="531"/>
      <c r="AN10638" s="531"/>
      <c r="AO10638" s="531"/>
      <c r="AR10638" s="761" t="s">
        <v>145</v>
      </c>
      <c r="AS10638" s="764"/>
    </row>
    <row r="10639" spans="1:45" s="520" customFormat="1" thickTop="1">
      <c r="A10639" s="51"/>
      <c r="B10639" s="51"/>
      <c r="C10639" s="3"/>
      <c r="D10639" s="3"/>
      <c r="E10639" s="51"/>
      <c r="F10639" s="51"/>
      <c r="G10639" s="51"/>
      <c r="H10639" s="51"/>
      <c r="I10639" s="51"/>
      <c r="J10639" s="51"/>
      <c r="K10639" s="51" t="s">
        <v>134</v>
      </c>
      <c r="L10639" s="51"/>
      <c r="M10639" s="51"/>
      <c r="N10639" s="51"/>
      <c r="O10639" s="52"/>
      <c r="P10639" s="51"/>
      <c r="Q10639" s="51"/>
      <c r="R10639" s="51"/>
      <c r="S10639" s="51"/>
      <c r="T10639" s="51"/>
      <c r="AR10639" s="51"/>
      <c r="AS10639" s="51"/>
    </row>
    <row r="10640" spans="1:45" s="520" customFormat="1" ht="12">
      <c r="A10640" s="51"/>
      <c r="B10640" s="51"/>
      <c r="C10640" s="51" t="s">
        <v>135</v>
      </c>
      <c r="D10640" s="37"/>
      <c r="E10640" s="51"/>
      <c r="F10640" s="51"/>
      <c r="G10640" s="51"/>
      <c r="H10640" s="51"/>
      <c r="I10640" s="51"/>
      <c r="J10640" s="51"/>
      <c r="K10640" s="51"/>
      <c r="L10640" s="51"/>
      <c r="M10640" s="51"/>
      <c r="N10640" s="51"/>
      <c r="O10640" s="52"/>
      <c r="P10640" s="51"/>
      <c r="Q10640" s="51"/>
      <c r="R10640" s="51"/>
      <c r="S10640" s="51"/>
      <c r="T10640" s="51"/>
      <c r="AR10640" s="51"/>
      <c r="AS10640" s="51"/>
    </row>
    <row r="10641" spans="1:45" s="520" customFormat="1" ht="12">
      <c r="A10641" s="51"/>
      <c r="B10641" s="51"/>
      <c r="C10641" s="51"/>
      <c r="D10641" s="37" t="s">
        <v>2186</v>
      </c>
      <c r="E10641" s="51"/>
      <c r="F10641" s="51"/>
      <c r="G10641" s="51"/>
      <c r="H10641" s="51"/>
      <c r="I10641" s="51"/>
      <c r="J10641" s="51"/>
      <c r="K10641" s="51"/>
      <c r="L10641" s="51"/>
      <c r="M10641" s="51"/>
      <c r="N10641" s="51"/>
      <c r="O10641" s="52"/>
      <c r="P10641" s="51"/>
      <c r="Q10641" s="51"/>
      <c r="R10641" s="51"/>
      <c r="S10641" s="38"/>
      <c r="T10641" s="38"/>
      <c r="AR10641" s="51"/>
      <c r="AS10641" s="51"/>
    </row>
    <row r="10642" spans="1:45" s="3" customFormat="1" thickBot="1">
      <c r="A10642" s="531"/>
      <c r="O10642" s="107"/>
      <c r="AR10642" s="531"/>
    </row>
    <row r="10643" spans="1:45" s="520" customFormat="1" ht="12" thickTop="1">
      <c r="A10643" s="51"/>
      <c r="B10643" s="41"/>
      <c r="C10643" s="51"/>
      <c r="E10643" s="42" t="s">
        <v>138</v>
      </c>
      <c r="F10643" s="42" t="s">
        <v>139</v>
      </c>
      <c r="G10643" s="51"/>
      <c r="H10643" s="51"/>
      <c r="I10643" s="51"/>
      <c r="J10643" s="51"/>
      <c r="K10643" s="51" t="s">
        <v>140</v>
      </c>
      <c r="L10643" s="51"/>
      <c r="M10643" s="51"/>
      <c r="N10643" s="51"/>
      <c r="O10643" s="52"/>
      <c r="P10643" s="51"/>
      <c r="Q10643" s="51"/>
      <c r="R10643" s="51"/>
      <c r="S10643" s="51"/>
      <c r="T10643" s="41"/>
      <c r="AG10643" s="521" t="s">
        <v>268</v>
      </c>
      <c r="AH10643" s="521" t="s">
        <v>269</v>
      </c>
      <c r="AI10643" s="521" t="s">
        <v>270</v>
      </c>
      <c r="AJ10643" s="521" t="s">
        <v>271</v>
      </c>
      <c r="AK10643" s="521" t="s">
        <v>272</v>
      </c>
      <c r="AM10643" s="745" t="s">
        <v>281</v>
      </c>
      <c r="AN10643" s="746" t="s">
        <v>282</v>
      </c>
      <c r="AO10643" s="522" t="s">
        <v>278</v>
      </c>
      <c r="AR10643" s="51"/>
      <c r="AS10643" s="42" t="s">
        <v>139</v>
      </c>
    </row>
    <row r="10644" spans="1:45" s="520" customFormat="1" ht="12" customHeight="1">
      <c r="A10644" s="747">
        <v>4</v>
      </c>
      <c r="B10644" s="523" t="s">
        <v>329</v>
      </c>
      <c r="C10644" s="748"/>
      <c r="D10644" s="749" t="s">
        <v>2039</v>
      </c>
      <c r="E10644" s="1145">
        <f>IF(AND($A10644=0,$A$1="DIF"),0, ROUND(ROUND(($R10648*$S$3+($T10648*$T$3))/$A10644,2)*$C$3,2))</f>
        <v>44.34</v>
      </c>
      <c r="F10644" s="1146">
        <f>ROUND($A10644*$E10644,2)</f>
        <v>177.36</v>
      </c>
      <c r="G10644" s="752" t="s">
        <v>142</v>
      </c>
      <c r="H10644" s="753"/>
      <c r="I10644" s="754"/>
      <c r="J10644" s="753"/>
      <c r="K10644" s="753" t="s">
        <v>5</v>
      </c>
      <c r="L10644" s="755" t="s">
        <v>143</v>
      </c>
      <c r="M10644" s="755"/>
      <c r="N10644" s="755"/>
      <c r="O10644" s="755"/>
      <c r="P10644" s="755"/>
      <c r="Q10644" s="51"/>
      <c r="T10644" s="1150" t="str">
        <f>IF(AND($R10648=0,$T10648=0),"0.00","mu: "&amp; ROUND(F10644/$C$3/($R10648+$T10648*$D$9),2))</f>
        <v>mu: 1.13</v>
      </c>
      <c r="W10644" s="524"/>
      <c r="AG10644" s="1147">
        <f>IF($E10644=0,0,ROUND($R10648*$S$3*$C$3/$A10644,2))</f>
        <v>44.34</v>
      </c>
      <c r="AH10644" s="1147">
        <f>$AG10644*$A10644</f>
        <v>177.36</v>
      </c>
      <c r="AI10644" s="1148">
        <f>$E10644-$AG10644</f>
        <v>0</v>
      </c>
      <c r="AJ10644" s="1148">
        <f>$A10644*$AI10644</f>
        <v>0</v>
      </c>
      <c r="AK10644" s="1149">
        <f>ROUND(($AG10644+$AI10644)*$A10644,2)</f>
        <v>177.36</v>
      </c>
      <c r="AM10644" s="527">
        <f>ROUND(R10648,2)</f>
        <v>157.13999999999999</v>
      </c>
      <c r="AN10644" s="528">
        <f>ROUND(T10648,2)</f>
        <v>0</v>
      </c>
      <c r="AO10644" s="529">
        <f>ROUND(AM10644+AN10644,2)*A10644</f>
        <v>628.55999999999995</v>
      </c>
      <c r="AR10644" s="747">
        <v>4</v>
      </c>
      <c r="AS10644" s="1146">
        <v>193</v>
      </c>
    </row>
    <row r="10645" spans="1:45" s="520" customFormat="1" ht="13.2">
      <c r="A10645" s="748"/>
      <c r="B10645"/>
      <c r="C10645" s="748"/>
      <c r="D10645" s="749" t="s">
        <v>2205</v>
      </c>
      <c r="F10645" s="753"/>
      <c r="G10645" s="3"/>
      <c r="H10645" s="753"/>
      <c r="I10645" s="754"/>
      <c r="J10645" s="753"/>
      <c r="K10645" s="753" t="s">
        <v>144</v>
      </c>
      <c r="L10645" s="753"/>
      <c r="M10645" s="753"/>
      <c r="N10645" s="753"/>
      <c r="O10645" s="753"/>
      <c r="P10645" s="753"/>
      <c r="Q10645" s="51"/>
      <c r="R10645" s="530"/>
      <c r="S10645" s="757"/>
      <c r="T10645" s="753"/>
      <c r="AR10645" s="748"/>
      <c r="AS10645" s="753"/>
    </row>
    <row r="10646" spans="1:45" s="901" customFormat="1" ht="13.2">
      <c r="A10646" s="903">
        <v>4</v>
      </c>
      <c r="B10646" s="904" t="s">
        <v>863</v>
      </c>
      <c r="C10646" s="904"/>
      <c r="D10646" s="904" t="s">
        <v>2594</v>
      </c>
      <c r="E10646" s="904"/>
      <c r="F10646" s="1153" t="s">
        <v>4143</v>
      </c>
      <c r="G10646" s="905" t="s">
        <v>2595</v>
      </c>
      <c r="H10646" s="902">
        <v>960</v>
      </c>
      <c r="I10646" s="904" t="s">
        <v>2596</v>
      </c>
      <c r="J10646" s="904"/>
      <c r="K10646" s="904"/>
      <c r="L10646" s="904"/>
      <c r="M10646" s="904"/>
      <c r="N10646" s="904"/>
      <c r="O10646" s="902">
        <v>4</v>
      </c>
      <c r="P10646" s="906">
        <v>38274</v>
      </c>
      <c r="Q10646" s="1415">
        <f>45*0.873</f>
        <v>39.284999999999997</v>
      </c>
      <c r="R10646" s="908">
        <f>$A10646*Q10646</f>
        <v>157.13999999999999</v>
      </c>
      <c r="S10646" s="907"/>
      <c r="T10646" s="909">
        <f>$A10646*S10646*$T$1</f>
        <v>0</v>
      </c>
      <c r="AR10646" s="903">
        <v>4</v>
      </c>
      <c r="AS10646" s="1153" t="s">
        <v>3507</v>
      </c>
    </row>
    <row r="10647" spans="1:45" s="520" customFormat="1" ht="12">
      <c r="A10647" s="758"/>
      <c r="B10647" s="758"/>
      <c r="C10647" s="758"/>
      <c r="D10647" s="758"/>
      <c r="E10647" s="758"/>
      <c r="F10647" s="753"/>
      <c r="G10647" s="758"/>
      <c r="H10647" s="758"/>
      <c r="I10647" s="519"/>
      <c r="J10647" s="758"/>
      <c r="K10647" s="758"/>
      <c r="L10647" s="758"/>
      <c r="M10647" s="758"/>
      <c r="N10647" s="758"/>
      <c r="O10647" s="758"/>
      <c r="P10647" s="758"/>
      <c r="Q10647" s="519"/>
      <c r="R10647" s="759">
        <f>$A10647*Q10647</f>
        <v>0</v>
      </c>
      <c r="S10647" s="519"/>
      <c r="T10647" s="760">
        <f>$A10647*S10647*$T$1</f>
        <v>0</v>
      </c>
      <c r="AR10647" s="758"/>
      <c r="AS10647" s="753"/>
    </row>
    <row r="10648" spans="1:45" s="520" customFormat="1" ht="12.6" thickBot="1">
      <c r="A10648" s="761" t="s">
        <v>145</v>
      </c>
      <c r="B10648" s="762">
        <f>(R10647+T10647)</f>
        <v>0</v>
      </c>
      <c r="C10648" s="763"/>
      <c r="D10648" s="763"/>
      <c r="E10648" s="763"/>
      <c r="F10648" s="764"/>
      <c r="G10648" s="763" t="s">
        <v>146</v>
      </c>
      <c r="H10648" s="763"/>
      <c r="I10648" s="765"/>
      <c r="J10648" s="763"/>
      <c r="K10648" s="763" t="s">
        <v>5</v>
      </c>
      <c r="L10648" s="766" t="s">
        <v>143</v>
      </c>
      <c r="M10648" s="766"/>
      <c r="N10648" s="766"/>
      <c r="O10648" s="766"/>
      <c r="P10648" s="766"/>
      <c r="Q10648" s="767"/>
      <c r="R10648" s="768">
        <f>SUM(R10645:R10647)</f>
        <v>157.13999999999999</v>
      </c>
      <c r="S10648" s="763"/>
      <c r="T10648" s="768">
        <f>SUM(T10645:T10647)</f>
        <v>0</v>
      </c>
      <c r="U10648" s="531"/>
      <c r="V10648" s="531"/>
      <c r="W10648" s="531"/>
      <c r="X10648" s="531"/>
      <c r="Y10648" s="531"/>
      <c r="Z10648" s="531"/>
      <c r="AA10648" s="531"/>
      <c r="AB10648" s="531"/>
      <c r="AC10648" s="531"/>
      <c r="AD10648" s="531"/>
      <c r="AE10648" s="531"/>
      <c r="AF10648" s="531"/>
      <c r="AG10648" s="531"/>
      <c r="AH10648" s="531"/>
      <c r="AI10648" s="531"/>
      <c r="AJ10648" s="531"/>
      <c r="AK10648" s="531"/>
      <c r="AL10648" s="531"/>
      <c r="AM10648" s="531"/>
      <c r="AN10648" s="531"/>
      <c r="AO10648" s="531"/>
      <c r="AR10648" s="761" t="s">
        <v>145</v>
      </c>
      <c r="AS10648" s="764"/>
    </row>
    <row r="10649" spans="1:45" s="520" customFormat="1" ht="12" thickTop="1">
      <c r="A10649" s="51"/>
      <c r="B10649" s="41"/>
      <c r="C10649" s="51"/>
      <c r="E10649" s="42" t="s">
        <v>138</v>
      </c>
      <c r="F10649" s="42" t="s">
        <v>139</v>
      </c>
      <c r="G10649" s="51"/>
      <c r="H10649" s="51"/>
      <c r="I10649" s="51"/>
      <c r="J10649" s="51"/>
      <c r="K10649" s="51" t="s">
        <v>140</v>
      </c>
      <c r="L10649" s="51"/>
      <c r="M10649" s="51"/>
      <c r="N10649" s="51"/>
      <c r="O10649" s="52"/>
      <c r="P10649" s="51"/>
      <c r="Q10649" s="51"/>
      <c r="R10649" s="51"/>
      <c r="S10649" s="51"/>
      <c r="T10649" s="41"/>
      <c r="AG10649" s="521" t="s">
        <v>268</v>
      </c>
      <c r="AH10649" s="521" t="s">
        <v>269</v>
      </c>
      <c r="AI10649" s="521" t="s">
        <v>270</v>
      </c>
      <c r="AJ10649" s="521" t="s">
        <v>271</v>
      </c>
      <c r="AK10649" s="521" t="s">
        <v>272</v>
      </c>
      <c r="AM10649" s="745" t="s">
        <v>281</v>
      </c>
      <c r="AN10649" s="746" t="s">
        <v>282</v>
      </c>
      <c r="AO10649" s="522" t="s">
        <v>278</v>
      </c>
      <c r="AR10649" s="51"/>
      <c r="AS10649" s="42" t="s">
        <v>139</v>
      </c>
    </row>
    <row r="10650" spans="1:45" s="520" customFormat="1" ht="12" customHeight="1">
      <c r="A10650" s="747">
        <v>1</v>
      </c>
      <c r="B10650" s="523" t="s">
        <v>329</v>
      </c>
      <c r="C10650" s="748"/>
      <c r="D10650" s="749" t="s">
        <v>2501</v>
      </c>
      <c r="E10650" s="1145">
        <f>IF(AND($A10650=0,$A$1="DIF"),0, ROUND(ROUND(($R10654*$S$3+($T10654*$T$3))/$A10650,2)*$C$3,2))</f>
        <v>31.53</v>
      </c>
      <c r="F10650" s="1146">
        <f>ROUND($A10650*$E10650,2)</f>
        <v>31.53</v>
      </c>
      <c r="G10650" s="752" t="s">
        <v>142</v>
      </c>
      <c r="H10650" s="753"/>
      <c r="I10650" s="754"/>
      <c r="J10650" s="753"/>
      <c r="K10650" s="753" t="s">
        <v>5</v>
      </c>
      <c r="L10650" s="755" t="s">
        <v>143</v>
      </c>
      <c r="M10650" s="755"/>
      <c r="N10650" s="755"/>
      <c r="O10650" s="755"/>
      <c r="P10650" s="755"/>
      <c r="Q10650" s="51"/>
      <c r="T10650" s="1150" t="str">
        <f>IF(AND($R10654=0,$T10654=0),"0.00","mu: "&amp; ROUND(F10650/$C$3/($R10654+$T10654*$D$9),2))</f>
        <v>mu: 1.13</v>
      </c>
      <c r="W10650" s="524"/>
      <c r="AG10650" s="1147">
        <f>IF($E10650=0,0,ROUND($R10654*$S$3*$C$3/$A10650,2))</f>
        <v>31.53</v>
      </c>
      <c r="AH10650" s="1147">
        <f>$AG10650*$A10650</f>
        <v>31.53</v>
      </c>
      <c r="AI10650" s="1148">
        <f>$E10650-$AG10650</f>
        <v>0</v>
      </c>
      <c r="AJ10650" s="1148">
        <f>$A10650*$AI10650</f>
        <v>0</v>
      </c>
      <c r="AK10650" s="1149">
        <f>ROUND(($AG10650+$AI10650)*$A10650,2)</f>
        <v>31.53</v>
      </c>
      <c r="AM10650" s="527">
        <f>ROUND(R10654,2)</f>
        <v>27.94</v>
      </c>
      <c r="AN10650" s="528">
        <f>ROUND(T10654,2)</f>
        <v>0</v>
      </c>
      <c r="AO10650" s="529">
        <f>ROUND(AM10650+AN10650,2)*A10650</f>
        <v>27.94</v>
      </c>
      <c r="AR10650" s="747">
        <v>1</v>
      </c>
      <c r="AS10650" s="1146">
        <v>34.31</v>
      </c>
    </row>
    <row r="10651" spans="1:45" s="520" customFormat="1" ht="13.2">
      <c r="A10651" s="748"/>
      <c r="B10651"/>
      <c r="C10651" s="748"/>
      <c r="D10651" s="749" t="s">
        <v>2206</v>
      </c>
      <c r="F10651" s="753"/>
      <c r="G10651" s="3"/>
      <c r="H10651" s="753"/>
      <c r="I10651" s="754"/>
      <c r="J10651" s="753"/>
      <c r="K10651" s="753" t="s">
        <v>144</v>
      </c>
      <c r="L10651" s="753"/>
      <c r="M10651" s="753"/>
      <c r="N10651" s="753"/>
      <c r="O10651" s="753"/>
      <c r="P10651" s="753"/>
      <c r="Q10651" s="51"/>
      <c r="R10651" s="530"/>
      <c r="S10651" s="757"/>
      <c r="T10651" s="753"/>
      <c r="AR10651" s="748"/>
      <c r="AS10651" s="753"/>
    </row>
    <row r="10652" spans="1:45" s="901" customFormat="1" ht="13.2">
      <c r="A10652" s="903">
        <v>1</v>
      </c>
      <c r="B10652" s="904" t="s">
        <v>863</v>
      </c>
      <c r="C10652" s="904"/>
      <c r="D10652" s="904" t="s">
        <v>2594</v>
      </c>
      <c r="E10652" s="904"/>
      <c r="F10652" s="1153" t="s">
        <v>4143</v>
      </c>
      <c r="G10652" s="905" t="s">
        <v>2595</v>
      </c>
      <c r="H10652" s="902">
        <v>960</v>
      </c>
      <c r="I10652" s="904" t="s">
        <v>2596</v>
      </c>
      <c r="J10652" s="904"/>
      <c r="K10652" s="904"/>
      <c r="L10652" s="904"/>
      <c r="M10652" s="904"/>
      <c r="N10652" s="904"/>
      <c r="O10652" s="902">
        <v>4</v>
      </c>
      <c r="P10652" s="906">
        <v>38274</v>
      </c>
      <c r="Q10652" s="1415">
        <f>32*0.873</f>
        <v>27.936</v>
      </c>
      <c r="R10652" s="908">
        <f>$A10652*Q10652</f>
        <v>27.936</v>
      </c>
      <c r="S10652" s="907"/>
      <c r="T10652" s="909">
        <f>$A10652*S10652*$T$1</f>
        <v>0</v>
      </c>
      <c r="AR10652" s="903">
        <v>1</v>
      </c>
      <c r="AS10652" s="1153" t="s">
        <v>3507</v>
      </c>
    </row>
    <row r="10653" spans="1:45" s="520" customFormat="1" ht="12">
      <c r="A10653" s="758"/>
      <c r="B10653" s="758"/>
      <c r="C10653" s="758"/>
      <c r="D10653" s="758"/>
      <c r="E10653" s="758"/>
      <c r="F10653" s="753"/>
      <c r="G10653" s="758"/>
      <c r="H10653" s="758"/>
      <c r="I10653" s="519"/>
      <c r="J10653" s="758"/>
      <c r="K10653" s="758"/>
      <c r="L10653" s="758"/>
      <c r="M10653" s="758"/>
      <c r="N10653" s="758"/>
      <c r="O10653" s="758"/>
      <c r="P10653" s="758"/>
      <c r="Q10653" s="519"/>
      <c r="R10653" s="759">
        <f>$A10653*Q10653</f>
        <v>0</v>
      </c>
      <c r="S10653" s="519"/>
      <c r="T10653" s="760">
        <f>$A10653*S10653*$T$1</f>
        <v>0</v>
      </c>
      <c r="AR10653" s="758"/>
      <c r="AS10653" s="753"/>
    </row>
    <row r="10654" spans="1:45" s="520" customFormat="1" ht="12.6" thickBot="1">
      <c r="A10654" s="761" t="s">
        <v>145</v>
      </c>
      <c r="B10654" s="762">
        <f>(R10653+T10653)</f>
        <v>0</v>
      </c>
      <c r="C10654" s="763"/>
      <c r="D10654" s="763"/>
      <c r="E10654" s="763"/>
      <c r="F10654" s="764"/>
      <c r="G10654" s="763" t="s">
        <v>146</v>
      </c>
      <c r="H10654" s="763"/>
      <c r="I10654" s="765"/>
      <c r="J10654" s="763"/>
      <c r="K10654" s="763" t="s">
        <v>5</v>
      </c>
      <c r="L10654" s="766" t="s">
        <v>143</v>
      </c>
      <c r="M10654" s="766"/>
      <c r="N10654" s="766"/>
      <c r="O10654" s="766"/>
      <c r="P10654" s="766"/>
      <c r="Q10654" s="767"/>
      <c r="R10654" s="768">
        <f>SUM(R10651:R10653)</f>
        <v>27.936</v>
      </c>
      <c r="S10654" s="763"/>
      <c r="T10654" s="768">
        <f>SUM(T10651:T10653)</f>
        <v>0</v>
      </c>
      <c r="U10654" s="531"/>
      <c r="V10654" s="531"/>
      <c r="W10654" s="531"/>
      <c r="X10654" s="531"/>
      <c r="Y10654" s="531"/>
      <c r="Z10654" s="531"/>
      <c r="AA10654" s="531"/>
      <c r="AB10654" s="531"/>
      <c r="AC10654" s="531"/>
      <c r="AD10654" s="531"/>
      <c r="AE10654" s="531"/>
      <c r="AF10654" s="531"/>
      <c r="AG10654" s="531"/>
      <c r="AH10654" s="531"/>
      <c r="AI10654" s="531"/>
      <c r="AJ10654" s="531"/>
      <c r="AK10654" s="531"/>
      <c r="AL10654" s="531"/>
      <c r="AM10654" s="531"/>
      <c r="AN10654" s="531"/>
      <c r="AO10654" s="531"/>
      <c r="AR10654" s="761" t="s">
        <v>145</v>
      </c>
      <c r="AS10654" s="764"/>
    </row>
    <row r="10655" spans="1:45" s="520" customFormat="1" ht="12" thickTop="1">
      <c r="A10655" s="51"/>
      <c r="B10655" s="41"/>
      <c r="C10655" s="51"/>
      <c r="E10655" s="42" t="s">
        <v>138</v>
      </c>
      <c r="F10655" s="42" t="s">
        <v>139</v>
      </c>
      <c r="G10655" s="51"/>
      <c r="H10655" s="51"/>
      <c r="I10655" s="51"/>
      <c r="J10655" s="51"/>
      <c r="K10655" s="51" t="s">
        <v>140</v>
      </c>
      <c r="L10655" s="51"/>
      <c r="M10655" s="51"/>
      <c r="N10655" s="51"/>
      <c r="O10655" s="52"/>
      <c r="P10655" s="51"/>
      <c r="Q10655" s="51"/>
      <c r="R10655" s="51"/>
      <c r="S10655" s="51"/>
      <c r="T10655" s="41"/>
      <c r="AG10655" s="521" t="s">
        <v>268</v>
      </c>
      <c r="AH10655" s="521" t="s">
        <v>269</v>
      </c>
      <c r="AI10655" s="521" t="s">
        <v>270</v>
      </c>
      <c r="AJ10655" s="521" t="s">
        <v>271</v>
      </c>
      <c r="AK10655" s="521" t="s">
        <v>272</v>
      </c>
      <c r="AM10655" s="745" t="s">
        <v>281</v>
      </c>
      <c r="AN10655" s="746" t="s">
        <v>282</v>
      </c>
      <c r="AO10655" s="522" t="s">
        <v>278</v>
      </c>
      <c r="AR10655" s="51"/>
      <c r="AS10655" s="42" t="s">
        <v>139</v>
      </c>
    </row>
    <row r="10656" spans="1:45" s="520" customFormat="1" ht="12" customHeight="1">
      <c r="A10656" s="747">
        <v>1</v>
      </c>
      <c r="B10656" s="523" t="s">
        <v>329</v>
      </c>
      <c r="C10656" s="748"/>
      <c r="D10656" s="749" t="s">
        <v>2502</v>
      </c>
      <c r="E10656" s="1145">
        <f>IF(AND($A10656=0,$A$1="DIF"),0, ROUND(ROUND(($R10660*$S$3+($T10660*$T$3))/$A10656,2)*$C$3,2))</f>
        <v>64.05</v>
      </c>
      <c r="F10656" s="1146">
        <f>ROUND($A10656*$E10656,2)</f>
        <v>64.05</v>
      </c>
      <c r="G10656" s="752" t="s">
        <v>142</v>
      </c>
      <c r="H10656" s="753"/>
      <c r="I10656" s="754"/>
      <c r="J10656" s="753"/>
      <c r="K10656" s="753" t="s">
        <v>5</v>
      </c>
      <c r="L10656" s="755" t="s">
        <v>143</v>
      </c>
      <c r="M10656" s="755"/>
      <c r="N10656" s="755"/>
      <c r="O10656" s="755"/>
      <c r="P10656" s="755"/>
      <c r="Q10656" s="51"/>
      <c r="T10656" s="1150" t="str">
        <f>IF(AND($R10660=0,$T10660=0),"0.00","mu: "&amp; ROUND(F10656/$C$3/($R10660+$T10660*$D$9),2))</f>
        <v>mu: 1.13</v>
      </c>
      <c r="W10656" s="524"/>
      <c r="AG10656" s="1147">
        <f>IF($E10656=0,0,ROUND($R10660*$S$3*$C$3/$A10656,2))</f>
        <v>64.05</v>
      </c>
      <c r="AH10656" s="1147">
        <f>$AG10656*$A10656</f>
        <v>64.05</v>
      </c>
      <c r="AI10656" s="1148">
        <f>$E10656-$AG10656</f>
        <v>0</v>
      </c>
      <c r="AJ10656" s="1148">
        <f>$A10656*$AI10656</f>
        <v>0</v>
      </c>
      <c r="AK10656" s="1149">
        <f>ROUND(($AG10656+$AI10656)*$A10656,2)</f>
        <v>64.05</v>
      </c>
      <c r="AM10656" s="527">
        <f>ROUND(R10660,2)</f>
        <v>56.75</v>
      </c>
      <c r="AN10656" s="528">
        <f>ROUND(T10660,2)</f>
        <v>0</v>
      </c>
      <c r="AO10656" s="529">
        <f>ROUND(AM10656+AN10656,2)*A10656</f>
        <v>56.75</v>
      </c>
      <c r="AR10656" s="747">
        <v>1</v>
      </c>
      <c r="AS10656" s="1146">
        <v>69.7</v>
      </c>
    </row>
    <row r="10657" spans="1:45" s="520" customFormat="1" ht="13.2">
      <c r="A10657" s="748"/>
      <c r="B10657"/>
      <c r="C10657" s="748"/>
      <c r="D10657" s="749" t="s">
        <v>2207</v>
      </c>
      <c r="F10657" s="753"/>
      <c r="G10657" s="3"/>
      <c r="H10657" s="753"/>
      <c r="I10657" s="754"/>
      <c r="J10657" s="753"/>
      <c r="K10657" s="753" t="s">
        <v>144</v>
      </c>
      <c r="L10657" s="753"/>
      <c r="M10657" s="753"/>
      <c r="N10657" s="753"/>
      <c r="O10657" s="753"/>
      <c r="P10657" s="753"/>
      <c r="Q10657" s="51"/>
      <c r="R10657" s="530"/>
      <c r="S10657" s="757"/>
      <c r="T10657" s="753"/>
      <c r="AR10657" s="748"/>
      <c r="AS10657" s="753"/>
    </row>
    <row r="10658" spans="1:45" s="901" customFormat="1" ht="13.2">
      <c r="A10658" s="903">
        <v>1</v>
      </c>
      <c r="B10658" s="904" t="s">
        <v>863</v>
      </c>
      <c r="C10658" s="904"/>
      <c r="D10658" s="904" t="s">
        <v>2594</v>
      </c>
      <c r="E10658" s="904"/>
      <c r="F10658" s="1153" t="s">
        <v>4143</v>
      </c>
      <c r="G10658" s="905" t="s">
        <v>2595</v>
      </c>
      <c r="H10658" s="902">
        <v>960</v>
      </c>
      <c r="I10658" s="904" t="s">
        <v>2596</v>
      </c>
      <c r="J10658" s="904"/>
      <c r="K10658" s="904"/>
      <c r="L10658" s="904"/>
      <c r="M10658" s="904"/>
      <c r="N10658" s="904"/>
      <c r="O10658" s="902">
        <v>4</v>
      </c>
      <c r="P10658" s="906">
        <v>38274</v>
      </c>
      <c r="Q10658" s="1415">
        <f>65*0.873</f>
        <v>56.744999999999997</v>
      </c>
      <c r="R10658" s="908">
        <f>$A10658*Q10658</f>
        <v>56.744999999999997</v>
      </c>
      <c r="S10658" s="907"/>
      <c r="T10658" s="909">
        <f>$A10658*S10658*$T$1</f>
        <v>0</v>
      </c>
      <c r="AR10658" s="903">
        <v>1</v>
      </c>
      <c r="AS10658" s="1153" t="s">
        <v>3507</v>
      </c>
    </row>
    <row r="10659" spans="1:45" s="520" customFormat="1" ht="12">
      <c r="A10659" s="758"/>
      <c r="B10659" s="758"/>
      <c r="C10659" s="758"/>
      <c r="D10659" s="758"/>
      <c r="E10659" s="758"/>
      <c r="F10659" s="753"/>
      <c r="G10659" s="758"/>
      <c r="H10659" s="758"/>
      <c r="I10659" s="519"/>
      <c r="J10659" s="758"/>
      <c r="K10659" s="758"/>
      <c r="L10659" s="758"/>
      <c r="M10659" s="758"/>
      <c r="N10659" s="758"/>
      <c r="O10659" s="758"/>
      <c r="P10659" s="758"/>
      <c r="Q10659" s="519"/>
      <c r="R10659" s="759">
        <f>$A10659*Q10659</f>
        <v>0</v>
      </c>
      <c r="S10659" s="519"/>
      <c r="T10659" s="760">
        <f>$A10659*S10659*$T$1</f>
        <v>0</v>
      </c>
      <c r="AR10659" s="758"/>
      <c r="AS10659" s="753"/>
    </row>
    <row r="10660" spans="1:45" s="520" customFormat="1" ht="12.6" thickBot="1">
      <c r="A10660" s="761" t="s">
        <v>145</v>
      </c>
      <c r="B10660" s="762">
        <f>(R10659+T10659)</f>
        <v>0</v>
      </c>
      <c r="C10660" s="763"/>
      <c r="D10660" s="763"/>
      <c r="E10660" s="763"/>
      <c r="F10660" s="764"/>
      <c r="G10660" s="763" t="s">
        <v>146</v>
      </c>
      <c r="H10660" s="763"/>
      <c r="I10660" s="765"/>
      <c r="J10660" s="763"/>
      <c r="K10660" s="763" t="s">
        <v>5</v>
      </c>
      <c r="L10660" s="766" t="s">
        <v>143</v>
      </c>
      <c r="M10660" s="766"/>
      <c r="N10660" s="766"/>
      <c r="O10660" s="766"/>
      <c r="P10660" s="766"/>
      <c r="Q10660" s="767"/>
      <c r="R10660" s="768">
        <f>SUM(R10657:R10659)</f>
        <v>56.744999999999997</v>
      </c>
      <c r="S10660" s="763"/>
      <c r="T10660" s="768">
        <f>SUM(T10657:T10659)</f>
        <v>0</v>
      </c>
      <c r="U10660" s="531"/>
      <c r="V10660" s="531"/>
      <c r="W10660" s="531"/>
      <c r="X10660" s="531"/>
      <c r="Y10660" s="531"/>
      <c r="Z10660" s="531"/>
      <c r="AA10660" s="531"/>
      <c r="AB10660" s="531"/>
      <c r="AC10660" s="531"/>
      <c r="AD10660" s="531"/>
      <c r="AE10660" s="531"/>
      <c r="AF10660" s="531"/>
      <c r="AG10660" s="531"/>
      <c r="AH10660" s="531"/>
      <c r="AI10660" s="531"/>
      <c r="AJ10660" s="531"/>
      <c r="AK10660" s="531"/>
      <c r="AL10660" s="531"/>
      <c r="AM10660" s="531"/>
      <c r="AN10660" s="531"/>
      <c r="AO10660" s="531"/>
      <c r="AR10660" s="761" t="s">
        <v>145</v>
      </c>
      <c r="AS10660" s="764"/>
    </row>
    <row r="10661" spans="1:45" s="520" customFormat="1" ht="12" thickTop="1">
      <c r="A10661" s="51"/>
      <c r="B10661" s="41"/>
      <c r="C10661" s="51"/>
      <c r="E10661" s="42" t="s">
        <v>138</v>
      </c>
      <c r="F10661" s="42" t="s">
        <v>139</v>
      </c>
      <c r="G10661" s="51"/>
      <c r="H10661" s="51"/>
      <c r="I10661" s="51"/>
      <c r="J10661" s="51"/>
      <c r="K10661" s="51" t="s">
        <v>140</v>
      </c>
      <c r="L10661" s="51"/>
      <c r="M10661" s="51"/>
      <c r="N10661" s="51"/>
      <c r="O10661" s="52"/>
      <c r="P10661" s="51"/>
      <c r="Q10661" s="51"/>
      <c r="R10661" s="51"/>
      <c r="S10661" s="51"/>
      <c r="T10661" s="41"/>
      <c r="AG10661" s="521" t="s">
        <v>268</v>
      </c>
      <c r="AH10661" s="521" t="s">
        <v>269</v>
      </c>
      <c r="AI10661" s="521" t="s">
        <v>270</v>
      </c>
      <c r="AJ10661" s="521" t="s">
        <v>271</v>
      </c>
      <c r="AK10661" s="521" t="s">
        <v>272</v>
      </c>
      <c r="AM10661" s="745" t="s">
        <v>281</v>
      </c>
      <c r="AN10661" s="746" t="s">
        <v>282</v>
      </c>
      <c r="AO10661" s="522" t="s">
        <v>278</v>
      </c>
      <c r="AR10661" s="51"/>
      <c r="AS10661" s="42" t="s">
        <v>139</v>
      </c>
    </row>
    <row r="10662" spans="1:45" s="520" customFormat="1" ht="12" customHeight="1">
      <c r="A10662" s="747">
        <v>1</v>
      </c>
      <c r="B10662" s="523" t="s">
        <v>329</v>
      </c>
      <c r="C10662" s="748"/>
      <c r="D10662" s="749" t="s">
        <v>2503</v>
      </c>
      <c r="E10662" s="1145">
        <f>IF(AND($A10662=0,$A$1="DIF"),0, ROUND(ROUND(($R10666*$S$3+($T10666*$T$3))/$A10662,2)*$C$3,2))</f>
        <v>142.88</v>
      </c>
      <c r="F10662" s="1146">
        <f>ROUND($A10662*$E10662,2)</f>
        <v>142.88</v>
      </c>
      <c r="G10662" s="752" t="s">
        <v>142</v>
      </c>
      <c r="H10662" s="753"/>
      <c r="I10662" s="754"/>
      <c r="J10662" s="753"/>
      <c r="K10662" s="753" t="s">
        <v>5</v>
      </c>
      <c r="L10662" s="755" t="s">
        <v>143</v>
      </c>
      <c r="M10662" s="755"/>
      <c r="N10662" s="755"/>
      <c r="O10662" s="755"/>
      <c r="P10662" s="755"/>
      <c r="Q10662" s="51"/>
      <c r="T10662" s="1150" t="str">
        <f>IF(AND($R10666=0,$T10666=0),"0.00","mu: "&amp; ROUND(F10662/$C$3/($R10666+$T10666*$D$9),2))</f>
        <v>mu: 1.13</v>
      </c>
      <c r="W10662" s="524"/>
      <c r="AG10662" s="1147">
        <f>IF($E10662=0,0,ROUND($R10666*$S$3*$C$3/$A10662,2))</f>
        <v>142.88</v>
      </c>
      <c r="AH10662" s="1147">
        <f>$AG10662*$A10662</f>
        <v>142.88</v>
      </c>
      <c r="AI10662" s="1148">
        <f>$E10662-$AG10662</f>
        <v>0</v>
      </c>
      <c r="AJ10662" s="1148">
        <f>$A10662*$AI10662</f>
        <v>0</v>
      </c>
      <c r="AK10662" s="1149">
        <f>ROUND(($AG10662+$AI10662)*$A10662,2)</f>
        <v>142.88</v>
      </c>
      <c r="AM10662" s="527">
        <f>ROUND(R10666,2)</f>
        <v>126.59</v>
      </c>
      <c r="AN10662" s="528">
        <f>ROUND(T10666,2)</f>
        <v>0</v>
      </c>
      <c r="AO10662" s="529">
        <f>ROUND(AM10662+AN10662,2)*A10662</f>
        <v>126.59</v>
      </c>
      <c r="AR10662" s="747">
        <v>1</v>
      </c>
      <c r="AS10662" s="1146">
        <v>155.47999999999999</v>
      </c>
    </row>
    <row r="10663" spans="1:45" s="520" customFormat="1" ht="13.2">
      <c r="A10663" s="748"/>
      <c r="B10663"/>
      <c r="C10663" s="748"/>
      <c r="D10663" s="749" t="s">
        <v>2208</v>
      </c>
      <c r="F10663" s="753"/>
      <c r="G10663" s="3"/>
      <c r="H10663" s="753"/>
      <c r="I10663" s="754"/>
      <c r="J10663" s="753"/>
      <c r="K10663" s="753" t="s">
        <v>144</v>
      </c>
      <c r="L10663" s="753"/>
      <c r="M10663" s="753"/>
      <c r="N10663" s="753"/>
      <c r="O10663" s="753"/>
      <c r="P10663" s="753"/>
      <c r="Q10663" s="51"/>
      <c r="R10663" s="530"/>
      <c r="S10663" s="757"/>
      <c r="T10663" s="753"/>
      <c r="AR10663" s="748"/>
      <c r="AS10663" s="753"/>
    </row>
    <row r="10664" spans="1:45" s="901" customFormat="1" ht="13.2">
      <c r="A10664" s="903">
        <v>1</v>
      </c>
      <c r="B10664" s="904" t="s">
        <v>863</v>
      </c>
      <c r="C10664" s="904"/>
      <c r="D10664" s="904" t="s">
        <v>2594</v>
      </c>
      <c r="E10664" s="904"/>
      <c r="F10664" s="1153" t="s">
        <v>4143</v>
      </c>
      <c r="G10664" s="905" t="s">
        <v>2595</v>
      </c>
      <c r="H10664" s="902">
        <v>960</v>
      </c>
      <c r="I10664" s="904" t="s">
        <v>2596</v>
      </c>
      <c r="J10664" s="904"/>
      <c r="K10664" s="904"/>
      <c r="L10664" s="904"/>
      <c r="M10664" s="904"/>
      <c r="N10664" s="904"/>
      <c r="O10664" s="902">
        <v>4</v>
      </c>
      <c r="P10664" s="906">
        <v>38274</v>
      </c>
      <c r="Q10664" s="1415">
        <f>145*0.873</f>
        <v>126.58499999999999</v>
      </c>
      <c r="R10664" s="908">
        <f>$A10664*Q10664</f>
        <v>126.58499999999999</v>
      </c>
      <c r="S10664" s="907"/>
      <c r="T10664" s="909">
        <f>$A10664*S10664*$T$1</f>
        <v>0</v>
      </c>
      <c r="AR10664" s="903">
        <v>1</v>
      </c>
      <c r="AS10664" s="1153" t="s">
        <v>3507</v>
      </c>
    </row>
    <row r="10665" spans="1:45" s="520" customFormat="1" ht="12">
      <c r="A10665" s="758"/>
      <c r="B10665" s="758"/>
      <c r="C10665" s="758"/>
      <c r="D10665" s="758"/>
      <c r="E10665" s="758"/>
      <c r="F10665" s="753"/>
      <c r="G10665" s="758"/>
      <c r="H10665" s="758"/>
      <c r="I10665" s="519"/>
      <c r="J10665" s="758"/>
      <c r="K10665" s="758"/>
      <c r="L10665" s="758"/>
      <c r="M10665" s="758"/>
      <c r="N10665" s="758"/>
      <c r="O10665" s="758"/>
      <c r="P10665" s="758"/>
      <c r="Q10665" s="519"/>
      <c r="R10665" s="759">
        <f>$A10665*Q10665</f>
        <v>0</v>
      </c>
      <c r="S10665" s="519"/>
      <c r="T10665" s="760">
        <f>$A10665*S10665*$T$1</f>
        <v>0</v>
      </c>
      <c r="AR10665" s="758"/>
      <c r="AS10665" s="753"/>
    </row>
    <row r="10666" spans="1:45" s="520" customFormat="1" ht="12.6" thickBot="1">
      <c r="A10666" s="761" t="s">
        <v>145</v>
      </c>
      <c r="B10666" s="762">
        <f>(R10665+T10665)</f>
        <v>0</v>
      </c>
      <c r="C10666" s="763"/>
      <c r="D10666" s="763"/>
      <c r="E10666" s="763"/>
      <c r="F10666" s="764"/>
      <c r="G10666" s="763" t="s">
        <v>146</v>
      </c>
      <c r="H10666" s="763"/>
      <c r="I10666" s="765"/>
      <c r="J10666" s="763"/>
      <c r="K10666" s="763" t="s">
        <v>5</v>
      </c>
      <c r="L10666" s="766" t="s">
        <v>143</v>
      </c>
      <c r="M10666" s="766"/>
      <c r="N10666" s="766"/>
      <c r="O10666" s="766"/>
      <c r="P10666" s="766"/>
      <c r="Q10666" s="767"/>
      <c r="R10666" s="768">
        <f>SUM(R10663:R10665)</f>
        <v>126.58499999999999</v>
      </c>
      <c r="S10666" s="763"/>
      <c r="T10666" s="768">
        <f>SUM(T10663:T10665)</f>
        <v>0</v>
      </c>
      <c r="U10666" s="531"/>
      <c r="V10666" s="531"/>
      <c r="W10666" s="531"/>
      <c r="X10666" s="531"/>
      <c r="Y10666" s="531"/>
      <c r="Z10666" s="531"/>
      <c r="AA10666" s="531"/>
      <c r="AB10666" s="531"/>
      <c r="AC10666" s="531"/>
      <c r="AD10666" s="531"/>
      <c r="AE10666" s="531"/>
      <c r="AF10666" s="531"/>
      <c r="AG10666" s="531"/>
      <c r="AH10666" s="531"/>
      <c r="AI10666" s="531"/>
      <c r="AJ10666" s="531"/>
      <c r="AK10666" s="531"/>
      <c r="AL10666" s="531"/>
      <c r="AM10666" s="531"/>
      <c r="AN10666" s="531"/>
      <c r="AO10666" s="531"/>
      <c r="AR10666" s="761" t="s">
        <v>145</v>
      </c>
      <c r="AS10666" s="764"/>
    </row>
    <row r="10667" spans="1:45" s="520" customFormat="1" thickTop="1">
      <c r="A10667" s="51"/>
      <c r="B10667" s="51"/>
      <c r="C10667" s="3"/>
      <c r="D10667" s="3"/>
      <c r="E10667" s="51"/>
      <c r="F10667" s="51"/>
      <c r="G10667" s="51"/>
      <c r="H10667" s="51"/>
      <c r="I10667" s="51"/>
      <c r="J10667" s="51"/>
      <c r="K10667" s="51" t="s">
        <v>134</v>
      </c>
      <c r="L10667" s="51"/>
      <c r="M10667" s="51"/>
      <c r="N10667" s="51"/>
      <c r="O10667" s="52"/>
      <c r="P10667" s="51"/>
      <c r="Q10667" s="51"/>
      <c r="R10667" s="51"/>
      <c r="S10667" s="51"/>
      <c r="T10667" s="51"/>
      <c r="AR10667" s="51"/>
      <c r="AS10667" s="51"/>
    </row>
    <row r="10668" spans="1:45" s="520" customFormat="1" ht="12">
      <c r="A10668" s="51"/>
      <c r="B10668" s="51"/>
      <c r="C10668" s="51" t="s">
        <v>135</v>
      </c>
      <c r="D10668" s="37"/>
      <c r="E10668" s="51"/>
      <c r="F10668" s="51"/>
      <c r="G10668" s="51"/>
      <c r="H10668" s="51"/>
      <c r="I10668" s="51"/>
      <c r="J10668" s="51"/>
      <c r="K10668" s="51"/>
      <c r="L10668" s="51"/>
      <c r="M10668" s="51"/>
      <c r="N10668" s="51"/>
      <c r="O10668" s="52"/>
      <c r="P10668" s="51"/>
      <c r="Q10668" s="51"/>
      <c r="R10668" s="51"/>
      <c r="S10668" s="51"/>
      <c r="T10668" s="51"/>
      <c r="AR10668" s="51"/>
      <c r="AS10668" s="51"/>
    </row>
    <row r="10669" spans="1:45" s="520" customFormat="1" ht="12">
      <c r="A10669" s="51"/>
      <c r="B10669" s="51"/>
      <c r="C10669" s="51"/>
      <c r="D10669" s="37" t="s">
        <v>362</v>
      </c>
      <c r="E10669" s="51"/>
      <c r="F10669" s="51"/>
      <c r="G10669" s="51"/>
      <c r="H10669" s="51"/>
      <c r="I10669" s="51"/>
      <c r="J10669" s="51"/>
      <c r="K10669" s="51"/>
      <c r="L10669" s="51"/>
      <c r="M10669" s="51"/>
      <c r="N10669" s="51"/>
      <c r="O10669" s="52"/>
      <c r="P10669" s="51"/>
      <c r="Q10669" s="51"/>
      <c r="R10669" s="51"/>
      <c r="S10669" s="38"/>
      <c r="T10669" s="38"/>
      <c r="AR10669" s="51"/>
      <c r="AS10669" s="51"/>
    </row>
    <row r="10670" spans="1:45" s="3" customFormat="1" thickBot="1">
      <c r="A10670" s="531"/>
      <c r="O10670" s="107"/>
      <c r="AR10670" s="531"/>
    </row>
    <row r="10671" spans="1:45" s="520" customFormat="1" thickTop="1">
      <c r="A10671" s="51"/>
      <c r="B10671" s="51"/>
      <c r="C10671" s="3"/>
      <c r="D10671" s="3"/>
      <c r="E10671" s="51"/>
      <c r="F10671" s="51"/>
      <c r="G10671" s="51"/>
      <c r="H10671" s="51"/>
      <c r="I10671" s="51"/>
      <c r="J10671" s="51"/>
      <c r="K10671" s="51" t="s">
        <v>134</v>
      </c>
      <c r="L10671" s="51"/>
      <c r="M10671" s="51"/>
      <c r="N10671" s="51"/>
      <c r="O10671" s="52"/>
      <c r="P10671" s="51"/>
      <c r="Q10671" s="51"/>
      <c r="R10671" s="51"/>
      <c r="S10671" s="51"/>
      <c r="T10671" s="51"/>
      <c r="AR10671" s="51"/>
      <c r="AS10671" s="51"/>
    </row>
    <row r="10672" spans="1:45" s="520" customFormat="1" ht="12">
      <c r="A10672" s="51"/>
      <c r="B10672" s="51"/>
      <c r="C10672" s="51" t="s">
        <v>135</v>
      </c>
      <c r="D10672" s="37"/>
      <c r="E10672" s="51"/>
      <c r="F10672" s="51"/>
      <c r="G10672" s="51"/>
      <c r="H10672" s="51"/>
      <c r="I10672" s="51"/>
      <c r="J10672" s="51"/>
      <c r="K10672" s="51"/>
      <c r="L10672" s="51"/>
      <c r="M10672" s="51"/>
      <c r="N10672" s="51"/>
      <c r="O10672" s="52"/>
      <c r="P10672" s="51"/>
      <c r="Q10672" s="51"/>
      <c r="R10672" s="51"/>
      <c r="S10672" s="51"/>
      <c r="T10672" s="51"/>
      <c r="AR10672" s="51"/>
      <c r="AS10672" s="51"/>
    </row>
    <row r="10673" spans="1:45" s="520" customFormat="1" ht="39.9" customHeight="1">
      <c r="A10673" s="51"/>
      <c r="B10673" s="51"/>
      <c r="C10673" s="51"/>
      <c r="D10673" s="1453" t="s">
        <v>2499</v>
      </c>
      <c r="E10673" s="1452"/>
      <c r="F10673" s="1452"/>
      <c r="G10673" s="1452"/>
      <c r="H10673" s="1452"/>
      <c r="I10673" s="1452"/>
      <c r="J10673" s="1452"/>
      <c r="K10673" s="1452"/>
      <c r="L10673" s="1452"/>
      <c r="M10673" s="1452"/>
      <c r="N10673" s="1452"/>
      <c r="O10673" s="1452"/>
      <c r="P10673" s="1452"/>
      <c r="Q10673" s="1452"/>
      <c r="R10673" s="1452"/>
      <c r="S10673" s="1452"/>
      <c r="T10673" s="1452"/>
      <c r="AR10673" s="51"/>
    </row>
    <row r="10674" spans="1:45" s="3" customFormat="1" thickBot="1">
      <c r="A10674" s="531"/>
      <c r="O10674" s="107"/>
      <c r="AR10674" s="531"/>
    </row>
    <row r="10675" spans="1:45" s="520" customFormat="1" ht="12" thickTop="1">
      <c r="A10675" s="51"/>
      <c r="B10675" s="41"/>
      <c r="C10675" s="51"/>
      <c r="E10675" s="42" t="s">
        <v>138</v>
      </c>
      <c r="F10675" s="42" t="s">
        <v>139</v>
      </c>
      <c r="G10675" s="51"/>
      <c r="H10675" s="51"/>
      <c r="I10675" s="51"/>
      <c r="J10675" s="51"/>
      <c r="K10675" s="51" t="s">
        <v>140</v>
      </c>
      <c r="L10675" s="51"/>
      <c r="M10675" s="51"/>
      <c r="N10675" s="51"/>
      <c r="O10675" s="52"/>
      <c r="P10675" s="51"/>
      <c r="Q10675" s="51"/>
      <c r="R10675" s="51"/>
      <c r="S10675" s="51"/>
      <c r="T10675" s="41"/>
      <c r="AG10675" s="521" t="s">
        <v>268</v>
      </c>
      <c r="AH10675" s="521" t="s">
        <v>269</v>
      </c>
      <c r="AI10675" s="521" t="s">
        <v>270</v>
      </c>
      <c r="AJ10675" s="521" t="s">
        <v>271</v>
      </c>
      <c r="AK10675" s="521" t="s">
        <v>272</v>
      </c>
      <c r="AM10675" s="745" t="s">
        <v>281</v>
      </c>
      <c r="AN10675" s="746" t="s">
        <v>282</v>
      </c>
      <c r="AO10675" s="522" t="s">
        <v>278</v>
      </c>
      <c r="AR10675" s="51"/>
      <c r="AS10675" s="42" t="s">
        <v>139</v>
      </c>
    </row>
    <row r="10676" spans="1:45" s="520" customFormat="1" ht="12" customHeight="1">
      <c r="A10676" s="747">
        <v>1</v>
      </c>
      <c r="B10676" s="523" t="s">
        <v>329</v>
      </c>
      <c r="C10676" s="748"/>
      <c r="D10676" s="749" t="s">
        <v>2504</v>
      </c>
      <c r="E10676" s="750">
        <f>IF(AND($A10676=0,$A$1="DIF"),0, ROUND(ROUND(($R10680*$S$2+($T10680*$T$2))/A10676,2)*$C$2,2))</f>
        <v>30.86</v>
      </c>
      <c r="F10676" s="751">
        <f>ROUND($A10676*$E10676,2)</f>
        <v>30.86</v>
      </c>
      <c r="G10676" s="752" t="s">
        <v>142</v>
      </c>
      <c r="H10676" s="753"/>
      <c r="I10676" s="754"/>
      <c r="J10676" s="753"/>
      <c r="K10676" s="753" t="s">
        <v>3</v>
      </c>
      <c r="L10676" s="755" t="s">
        <v>143</v>
      </c>
      <c r="M10676" s="755"/>
      <c r="N10676" s="755"/>
      <c r="O10676" s="755"/>
      <c r="P10676" s="755"/>
      <c r="Q10676" s="51"/>
      <c r="T10676" s="756" t="str">
        <f>IF(AND($R10680=0,$T10680=0),"0.00","mu :" &amp; ROUND($F10676/$C$2/($R10680+$T10680*$D$9),2))</f>
        <v>mu :1.23</v>
      </c>
      <c r="W10676" s="524"/>
      <c r="AG10676" s="481">
        <f>IF($E10676=0,0,ROUND($R10680*$S$2*$C$2/$A10676,2))</f>
        <v>11.08</v>
      </c>
      <c r="AH10676" s="481">
        <f>$AG10676*$A10676</f>
        <v>11.08</v>
      </c>
      <c r="AI10676" s="525">
        <f>$E10676-$AG10676</f>
        <v>19.78</v>
      </c>
      <c r="AJ10676" s="525">
        <f>$A10676*$AI10676</f>
        <v>19.78</v>
      </c>
      <c r="AK10676" s="526">
        <f>ROUND(($AG10676+$AI10676)*$A10676,2)</f>
        <v>30.86</v>
      </c>
      <c r="AM10676" s="527">
        <f>ROUND(R10680,2)</f>
        <v>9</v>
      </c>
      <c r="AN10676" s="528">
        <f>ROUND(T10680,2)</f>
        <v>0.59</v>
      </c>
      <c r="AO10676" s="529">
        <f>ROUND(AM10676+AN10676,2)*A10676</f>
        <v>9.59</v>
      </c>
      <c r="AR10676" s="747">
        <v>1</v>
      </c>
      <c r="AS10676" s="751">
        <v>33.06</v>
      </c>
    </row>
    <row r="10677" spans="1:45" s="520" customFormat="1" ht="13.2">
      <c r="A10677" s="748"/>
      <c r="B10677"/>
      <c r="C10677" s="748"/>
      <c r="D10677" s="749" t="s">
        <v>2205</v>
      </c>
      <c r="F10677" s="753"/>
      <c r="G10677" s="3"/>
      <c r="H10677" s="753"/>
      <c r="I10677" s="754"/>
      <c r="J10677" s="753"/>
      <c r="K10677" s="753" t="s">
        <v>144</v>
      </c>
      <c r="L10677" s="753"/>
      <c r="M10677" s="753"/>
      <c r="N10677" s="753"/>
      <c r="O10677" s="753"/>
      <c r="P10677" s="753"/>
      <c r="Q10677" s="51"/>
      <c r="R10677" s="530"/>
      <c r="S10677" s="757"/>
      <c r="T10677" s="753"/>
      <c r="AR10677" s="748"/>
      <c r="AS10677" s="753"/>
    </row>
    <row r="10678" spans="1:45" s="901" customFormat="1" ht="13.2">
      <c r="A10678" s="1220">
        <v>5</v>
      </c>
      <c r="B10678" s="901" t="s">
        <v>320</v>
      </c>
      <c r="D10678" s="901" t="s">
        <v>3209</v>
      </c>
      <c r="F10678" s="901" t="s">
        <v>3237</v>
      </c>
      <c r="G10678" s="941" t="s">
        <v>3210</v>
      </c>
      <c r="H10678" s="942">
        <v>700</v>
      </c>
      <c r="I10678" s="901" t="s">
        <v>3008</v>
      </c>
      <c r="J10678" s="901" t="s">
        <v>2953</v>
      </c>
      <c r="O10678" s="943">
        <v>1</v>
      </c>
      <c r="P10678" s="944">
        <v>42213</v>
      </c>
      <c r="Q10678" s="945">
        <v>1.8</v>
      </c>
      <c r="R10678" s="946">
        <f>$A10678*Q10678</f>
        <v>9</v>
      </c>
      <c r="S10678" s="945">
        <v>0.13</v>
      </c>
      <c r="T10678" s="947">
        <f>$A10678*S10678*$T$1</f>
        <v>0.58500000000000008</v>
      </c>
      <c r="AR10678" s="1220">
        <v>5</v>
      </c>
      <c r="AS10678" s="901" t="s">
        <v>3237</v>
      </c>
    </row>
    <row r="10679" spans="1:45" s="520" customFormat="1" ht="12">
      <c r="A10679" s="758"/>
      <c r="B10679" s="758"/>
      <c r="C10679" s="758"/>
      <c r="D10679" s="758"/>
      <c r="E10679" s="758"/>
      <c r="F10679" s="753"/>
      <c r="G10679" s="758"/>
      <c r="H10679" s="758"/>
      <c r="I10679" s="519"/>
      <c r="J10679" s="758"/>
      <c r="K10679" s="758"/>
      <c r="L10679" s="758"/>
      <c r="M10679" s="758"/>
      <c r="N10679" s="758"/>
      <c r="O10679" s="758"/>
      <c r="P10679" s="758"/>
      <c r="Q10679" s="519"/>
      <c r="R10679" s="759">
        <f>$A10679*Q10679</f>
        <v>0</v>
      </c>
      <c r="S10679" s="519"/>
      <c r="T10679" s="760">
        <f>$A10679*S10679*$T$1</f>
        <v>0</v>
      </c>
      <c r="AR10679" s="758"/>
      <c r="AS10679" s="753"/>
    </row>
    <row r="10680" spans="1:45" s="520" customFormat="1" ht="12.6" thickBot="1">
      <c r="A10680" s="761" t="s">
        <v>145</v>
      </c>
      <c r="B10680" s="762">
        <f>(R10679+T10679)</f>
        <v>0</v>
      </c>
      <c r="C10680" s="763"/>
      <c r="D10680" s="763"/>
      <c r="E10680" s="763"/>
      <c r="F10680" s="764"/>
      <c r="G10680" s="763" t="s">
        <v>146</v>
      </c>
      <c r="H10680" s="763"/>
      <c r="I10680" s="765"/>
      <c r="J10680" s="763"/>
      <c r="K10680" s="763" t="s">
        <v>3</v>
      </c>
      <c r="L10680" s="766" t="s">
        <v>143</v>
      </c>
      <c r="M10680" s="766"/>
      <c r="N10680" s="766"/>
      <c r="O10680" s="766"/>
      <c r="P10680" s="766"/>
      <c r="Q10680" s="767"/>
      <c r="R10680" s="768">
        <f>SUM(R10677:R10679)</f>
        <v>9</v>
      </c>
      <c r="S10680" s="763"/>
      <c r="T10680" s="768">
        <f>SUM(T10677:T10679)</f>
        <v>0.58500000000000008</v>
      </c>
      <c r="U10680" s="531"/>
      <c r="V10680" s="531"/>
      <c r="W10680" s="531"/>
      <c r="X10680" s="531"/>
      <c r="Y10680" s="531"/>
      <c r="Z10680" s="531"/>
      <c r="AA10680" s="531"/>
      <c r="AB10680" s="531"/>
      <c r="AC10680" s="531"/>
      <c r="AD10680" s="531"/>
      <c r="AE10680" s="531"/>
      <c r="AF10680" s="531"/>
      <c r="AG10680" s="531"/>
      <c r="AH10680" s="531"/>
      <c r="AI10680" s="531"/>
      <c r="AJ10680" s="531"/>
      <c r="AK10680" s="531"/>
      <c r="AL10680" s="531"/>
      <c r="AM10680" s="531"/>
      <c r="AN10680" s="531"/>
      <c r="AO10680" s="531"/>
      <c r="AR10680" s="761" t="s">
        <v>145</v>
      </c>
      <c r="AS10680" s="764"/>
    </row>
    <row r="10681" spans="1:45" s="520" customFormat="1" ht="12" thickTop="1">
      <c r="A10681" s="51"/>
      <c r="B10681" s="41"/>
      <c r="C10681" s="51"/>
      <c r="E10681" s="42" t="s">
        <v>138</v>
      </c>
      <c r="F10681" s="42" t="s">
        <v>139</v>
      </c>
      <c r="G10681" s="51"/>
      <c r="H10681" s="51"/>
      <c r="I10681" s="51"/>
      <c r="J10681" s="51"/>
      <c r="K10681" s="51" t="s">
        <v>140</v>
      </c>
      <c r="L10681" s="51"/>
      <c r="M10681" s="51"/>
      <c r="N10681" s="51"/>
      <c r="O10681" s="52"/>
      <c r="P10681" s="51"/>
      <c r="Q10681" s="51"/>
      <c r="R10681" s="51"/>
      <c r="S10681" s="51"/>
      <c r="T10681" s="41"/>
      <c r="AG10681" s="521" t="s">
        <v>268</v>
      </c>
      <c r="AH10681" s="521" t="s">
        <v>269</v>
      </c>
      <c r="AI10681" s="521" t="s">
        <v>270</v>
      </c>
      <c r="AJ10681" s="521" t="s">
        <v>271</v>
      </c>
      <c r="AK10681" s="521" t="s">
        <v>272</v>
      </c>
      <c r="AM10681" s="745" t="s">
        <v>281</v>
      </c>
      <c r="AN10681" s="746" t="s">
        <v>282</v>
      </c>
      <c r="AO10681" s="522" t="s">
        <v>278</v>
      </c>
      <c r="AR10681" s="51"/>
      <c r="AS10681" s="42" t="s">
        <v>139</v>
      </c>
    </row>
    <row r="10682" spans="1:45" s="520" customFormat="1" ht="12" customHeight="1">
      <c r="A10682" s="747">
        <v>1</v>
      </c>
      <c r="B10682" s="523" t="s">
        <v>329</v>
      </c>
      <c r="C10682" s="748"/>
      <c r="D10682" s="749" t="s">
        <v>2505</v>
      </c>
      <c r="E10682" s="750">
        <f>IF(AND($A10682=0,$A$1="DIF"),0, ROUND(ROUND(($R10686*$S$2+($T10686*$T$2))/A10682,2)*$C$2,2))</f>
        <v>18.52</v>
      </c>
      <c r="F10682" s="751">
        <f>ROUND($A10682*$E10682,2)</f>
        <v>18.52</v>
      </c>
      <c r="G10682" s="752" t="s">
        <v>142</v>
      </c>
      <c r="H10682" s="753"/>
      <c r="I10682" s="754"/>
      <c r="J10682" s="753"/>
      <c r="K10682" s="753" t="s">
        <v>3</v>
      </c>
      <c r="L10682" s="755" t="s">
        <v>143</v>
      </c>
      <c r="M10682" s="755"/>
      <c r="N10682" s="755"/>
      <c r="O10682" s="755"/>
      <c r="P10682" s="755"/>
      <c r="Q10682" s="51"/>
      <c r="T10682" s="756" t="str">
        <f>IF(AND($R10686=0,$T10686=0),"0.00","mu :" &amp; ROUND($F10682/$C$2/($R10686+$T10686*$D$9),2))</f>
        <v>mu :1.23</v>
      </c>
      <c r="W10682" s="524"/>
      <c r="AG10682" s="481">
        <f>IF($E10682=0,0,ROUND($R10686*$S$2*$C$2/$A10682,2))</f>
        <v>6.65</v>
      </c>
      <c r="AH10682" s="481">
        <f>$AG10682*$A10682</f>
        <v>6.65</v>
      </c>
      <c r="AI10682" s="525">
        <f>$E10682-$AG10682</f>
        <v>11.87</v>
      </c>
      <c r="AJ10682" s="525">
        <f>$A10682*$AI10682</f>
        <v>11.87</v>
      </c>
      <c r="AK10682" s="526">
        <f>ROUND(($AG10682+$AI10682)*$A10682,2)</f>
        <v>18.52</v>
      </c>
      <c r="AM10682" s="527">
        <f>ROUND(R10686,2)</f>
        <v>5.4</v>
      </c>
      <c r="AN10682" s="528">
        <f>ROUND(T10686,2)</f>
        <v>0.35</v>
      </c>
      <c r="AO10682" s="529">
        <f>ROUND(AM10682+AN10682,2)*A10682</f>
        <v>5.75</v>
      </c>
      <c r="AR10682" s="747">
        <v>1</v>
      </c>
      <c r="AS10682" s="751">
        <v>19.84</v>
      </c>
    </row>
    <row r="10683" spans="1:45" s="520" customFormat="1" ht="13.2">
      <c r="A10683" s="748"/>
      <c r="B10683"/>
      <c r="C10683" s="748"/>
      <c r="D10683" s="749" t="s">
        <v>2206</v>
      </c>
      <c r="F10683" s="753"/>
      <c r="G10683" s="3"/>
      <c r="H10683" s="753"/>
      <c r="I10683" s="754"/>
      <c r="J10683" s="753"/>
      <c r="K10683" s="753" t="s">
        <v>144</v>
      </c>
      <c r="L10683" s="753"/>
      <c r="M10683" s="753"/>
      <c r="N10683" s="753"/>
      <c r="O10683" s="753"/>
      <c r="P10683" s="753"/>
      <c r="Q10683" s="51"/>
      <c r="R10683" s="530"/>
      <c r="S10683" s="757"/>
      <c r="T10683" s="753"/>
      <c r="AR10683" s="748"/>
      <c r="AS10683" s="753"/>
    </row>
    <row r="10684" spans="1:45" s="901" customFormat="1" ht="13.2">
      <c r="A10684" s="1220">
        <v>3</v>
      </c>
      <c r="B10684" s="901" t="s">
        <v>320</v>
      </c>
      <c r="D10684" s="901" t="s">
        <v>3209</v>
      </c>
      <c r="F10684" s="901" t="s">
        <v>3237</v>
      </c>
      <c r="G10684" s="941" t="s">
        <v>3210</v>
      </c>
      <c r="H10684" s="942">
        <v>700</v>
      </c>
      <c r="I10684" s="901" t="s">
        <v>3008</v>
      </c>
      <c r="J10684" s="901" t="s">
        <v>2953</v>
      </c>
      <c r="O10684" s="943">
        <v>1</v>
      </c>
      <c r="P10684" s="944">
        <v>42213</v>
      </c>
      <c r="Q10684" s="945">
        <v>1.8</v>
      </c>
      <c r="R10684" s="946">
        <f>$A10684*Q10684</f>
        <v>5.4</v>
      </c>
      <c r="S10684" s="945">
        <v>0.13</v>
      </c>
      <c r="T10684" s="947">
        <f>$A10684*S10684*$T$1</f>
        <v>0.35100000000000003</v>
      </c>
      <c r="AR10684" s="1220">
        <v>3</v>
      </c>
      <c r="AS10684" s="901" t="s">
        <v>3237</v>
      </c>
    </row>
    <row r="10685" spans="1:45" s="520" customFormat="1" ht="12">
      <c r="A10685" s="758"/>
      <c r="B10685" s="758"/>
      <c r="C10685" s="758"/>
      <c r="D10685" s="758"/>
      <c r="E10685" s="758"/>
      <c r="F10685" s="753"/>
      <c r="G10685" s="758"/>
      <c r="H10685" s="758"/>
      <c r="I10685" s="519"/>
      <c r="J10685" s="758"/>
      <c r="K10685" s="758"/>
      <c r="L10685" s="758"/>
      <c r="M10685" s="758"/>
      <c r="N10685" s="758"/>
      <c r="O10685" s="758"/>
      <c r="P10685" s="758"/>
      <c r="Q10685" s="519"/>
      <c r="R10685" s="759">
        <f>$A10685*Q10685</f>
        <v>0</v>
      </c>
      <c r="S10685" s="519"/>
      <c r="T10685" s="760">
        <f>$A10685*S10685*$T$1</f>
        <v>0</v>
      </c>
      <c r="AR10685" s="758"/>
      <c r="AS10685" s="753"/>
    </row>
    <row r="10686" spans="1:45" s="520" customFormat="1" ht="12.6" thickBot="1">
      <c r="A10686" s="761" t="s">
        <v>145</v>
      </c>
      <c r="B10686" s="762">
        <f>(R10685+T10685)</f>
        <v>0</v>
      </c>
      <c r="C10686" s="763"/>
      <c r="D10686" s="763"/>
      <c r="E10686" s="763"/>
      <c r="F10686" s="764"/>
      <c r="G10686" s="763" t="s">
        <v>146</v>
      </c>
      <c r="H10686" s="763"/>
      <c r="I10686" s="765"/>
      <c r="J10686" s="763"/>
      <c r="K10686" s="763" t="s">
        <v>3</v>
      </c>
      <c r="L10686" s="766" t="s">
        <v>143</v>
      </c>
      <c r="M10686" s="766"/>
      <c r="N10686" s="766"/>
      <c r="O10686" s="766"/>
      <c r="P10686" s="766"/>
      <c r="Q10686" s="767"/>
      <c r="R10686" s="768">
        <f>SUM(R10683:R10685)</f>
        <v>5.4</v>
      </c>
      <c r="S10686" s="763"/>
      <c r="T10686" s="768">
        <f>SUM(T10683:T10685)</f>
        <v>0.35100000000000003</v>
      </c>
      <c r="U10686" s="531"/>
      <c r="V10686" s="531"/>
      <c r="W10686" s="531"/>
      <c r="X10686" s="531"/>
      <c r="Y10686" s="531"/>
      <c r="Z10686" s="531"/>
      <c r="AA10686" s="531"/>
      <c r="AB10686" s="531"/>
      <c r="AC10686" s="531"/>
      <c r="AD10686" s="531"/>
      <c r="AE10686" s="531"/>
      <c r="AF10686" s="531"/>
      <c r="AG10686" s="531"/>
      <c r="AH10686" s="531"/>
      <c r="AI10686" s="531"/>
      <c r="AJ10686" s="531"/>
      <c r="AK10686" s="531"/>
      <c r="AL10686" s="531"/>
      <c r="AM10686" s="531"/>
      <c r="AN10686" s="531"/>
      <c r="AO10686" s="531"/>
      <c r="AR10686" s="761" t="s">
        <v>145</v>
      </c>
      <c r="AS10686" s="764"/>
    </row>
    <row r="10687" spans="1:45" s="520" customFormat="1" ht="12" thickTop="1">
      <c r="A10687" s="51"/>
      <c r="B10687" s="41"/>
      <c r="C10687" s="51"/>
      <c r="E10687" s="42" t="s">
        <v>138</v>
      </c>
      <c r="F10687" s="42" t="s">
        <v>139</v>
      </c>
      <c r="G10687" s="51"/>
      <c r="H10687" s="51"/>
      <c r="I10687" s="51"/>
      <c r="J10687" s="51"/>
      <c r="K10687" s="51" t="s">
        <v>140</v>
      </c>
      <c r="L10687" s="51"/>
      <c r="M10687" s="51"/>
      <c r="N10687" s="51"/>
      <c r="O10687" s="52"/>
      <c r="P10687" s="51"/>
      <c r="Q10687" s="51"/>
      <c r="R10687" s="51"/>
      <c r="S10687" s="51"/>
      <c r="T10687" s="41"/>
      <c r="AG10687" s="521" t="s">
        <v>268</v>
      </c>
      <c r="AH10687" s="521" t="s">
        <v>269</v>
      </c>
      <c r="AI10687" s="521" t="s">
        <v>270</v>
      </c>
      <c r="AJ10687" s="521" t="s">
        <v>271</v>
      </c>
      <c r="AK10687" s="521" t="s">
        <v>272</v>
      </c>
      <c r="AM10687" s="745" t="s">
        <v>281</v>
      </c>
      <c r="AN10687" s="746" t="s">
        <v>282</v>
      </c>
      <c r="AO10687" s="522" t="s">
        <v>278</v>
      </c>
      <c r="AR10687" s="51"/>
      <c r="AS10687" s="42" t="s">
        <v>139</v>
      </c>
    </row>
    <row r="10688" spans="1:45" s="520" customFormat="1" ht="12" customHeight="1">
      <c r="A10688" s="747">
        <v>1</v>
      </c>
      <c r="B10688" s="523" t="s">
        <v>329</v>
      </c>
      <c r="C10688" s="748"/>
      <c r="D10688" s="749" t="s">
        <v>2506</v>
      </c>
      <c r="E10688" s="750">
        <f>IF(AND($A10688=0,$A$1="DIF"),0, ROUND(ROUND(($R10692*$S$2+($T10692*$T$2))/A10688,2)*$C$2,2))</f>
        <v>30.86</v>
      </c>
      <c r="F10688" s="751">
        <f>ROUND($A10688*$E10688,2)</f>
        <v>30.86</v>
      </c>
      <c r="G10688" s="752" t="s">
        <v>142</v>
      </c>
      <c r="H10688" s="753"/>
      <c r="I10688" s="754"/>
      <c r="J10688" s="753"/>
      <c r="K10688" s="753" t="s">
        <v>3</v>
      </c>
      <c r="L10688" s="755" t="s">
        <v>143</v>
      </c>
      <c r="M10688" s="755"/>
      <c r="N10688" s="755"/>
      <c r="O10688" s="755"/>
      <c r="P10688" s="755"/>
      <c r="Q10688" s="51"/>
      <c r="T10688" s="756" t="str">
        <f>IF(AND($R10692=0,$T10692=0),"0.00","mu :" &amp; ROUND($F10688/$C$2/($R10692+$T10692*$D$9),2))</f>
        <v>mu :1.23</v>
      </c>
      <c r="W10688" s="524"/>
      <c r="AG10688" s="481">
        <f>IF($E10688=0,0,ROUND($R10692*$S$2*$C$2/$A10688,2))</f>
        <v>11.08</v>
      </c>
      <c r="AH10688" s="481">
        <f>$AG10688*$A10688</f>
        <v>11.08</v>
      </c>
      <c r="AI10688" s="525">
        <f>$E10688-$AG10688</f>
        <v>19.78</v>
      </c>
      <c r="AJ10688" s="525">
        <f>$A10688*$AI10688</f>
        <v>19.78</v>
      </c>
      <c r="AK10688" s="526">
        <f>ROUND(($AG10688+$AI10688)*$A10688,2)</f>
        <v>30.86</v>
      </c>
      <c r="AM10688" s="527">
        <f>ROUND(R10692,2)</f>
        <v>9</v>
      </c>
      <c r="AN10688" s="528">
        <f>ROUND(T10692,2)</f>
        <v>0.59</v>
      </c>
      <c r="AO10688" s="529">
        <f>ROUND(AM10688+AN10688,2)*A10688</f>
        <v>9.59</v>
      </c>
      <c r="AR10688" s="747">
        <v>1</v>
      </c>
      <c r="AS10688" s="751">
        <v>33.06</v>
      </c>
    </row>
    <row r="10689" spans="1:45" s="520" customFormat="1" ht="13.2">
      <c r="A10689" s="748"/>
      <c r="B10689"/>
      <c r="C10689" s="748"/>
      <c r="D10689" s="749" t="s">
        <v>2083</v>
      </c>
      <c r="F10689" s="753"/>
      <c r="G10689" s="3"/>
      <c r="H10689" s="753"/>
      <c r="I10689" s="754"/>
      <c r="J10689" s="753"/>
      <c r="K10689" s="753" t="s">
        <v>144</v>
      </c>
      <c r="L10689" s="753"/>
      <c r="M10689" s="753"/>
      <c r="N10689" s="753"/>
      <c r="O10689" s="753"/>
      <c r="P10689" s="753"/>
      <c r="Q10689" s="51"/>
      <c r="R10689" s="530"/>
      <c r="S10689" s="757"/>
      <c r="T10689" s="753"/>
      <c r="AR10689" s="748"/>
      <c r="AS10689" s="753"/>
    </row>
    <row r="10690" spans="1:45" s="901" customFormat="1" ht="13.2">
      <c r="A10690" s="116">
        <v>5</v>
      </c>
      <c r="B10690" s="901" t="s">
        <v>320</v>
      </c>
      <c r="D10690" s="901" t="s">
        <v>3209</v>
      </c>
      <c r="F10690" s="901" t="s">
        <v>3237</v>
      </c>
      <c r="G10690" s="941" t="s">
        <v>3210</v>
      </c>
      <c r="H10690" s="942">
        <v>700</v>
      </c>
      <c r="I10690" s="901" t="s">
        <v>3008</v>
      </c>
      <c r="J10690" s="901" t="s">
        <v>2953</v>
      </c>
      <c r="O10690" s="943">
        <v>1</v>
      </c>
      <c r="P10690" s="944">
        <v>42213</v>
      </c>
      <c r="Q10690" s="945">
        <v>1.8</v>
      </c>
      <c r="R10690" s="946">
        <f>$A10690*Q10690</f>
        <v>9</v>
      </c>
      <c r="S10690" s="945">
        <v>0.13</v>
      </c>
      <c r="T10690" s="947">
        <f>$A10690*S10690*$T$1</f>
        <v>0.58500000000000008</v>
      </c>
      <c r="AR10690" s="116">
        <v>5</v>
      </c>
      <c r="AS10690" s="901" t="s">
        <v>3237</v>
      </c>
    </row>
    <row r="10691" spans="1:45" s="520" customFormat="1" ht="12">
      <c r="A10691" s="758"/>
      <c r="B10691" s="758"/>
      <c r="C10691" s="758"/>
      <c r="D10691" s="758"/>
      <c r="E10691" s="758"/>
      <c r="F10691" s="753"/>
      <c r="G10691" s="758"/>
      <c r="H10691" s="758"/>
      <c r="I10691" s="519"/>
      <c r="J10691" s="758"/>
      <c r="K10691" s="758"/>
      <c r="L10691" s="758"/>
      <c r="M10691" s="758"/>
      <c r="N10691" s="758"/>
      <c r="O10691" s="758"/>
      <c r="P10691" s="758"/>
      <c r="Q10691" s="519"/>
      <c r="R10691" s="759">
        <f>$A10691*Q10691</f>
        <v>0</v>
      </c>
      <c r="S10691" s="519"/>
      <c r="T10691" s="760">
        <f>$A10691*S10691*$T$1</f>
        <v>0</v>
      </c>
      <c r="AR10691" s="758"/>
      <c r="AS10691" s="753"/>
    </row>
    <row r="10692" spans="1:45" s="520" customFormat="1" ht="12.6" thickBot="1">
      <c r="A10692" s="761" t="s">
        <v>145</v>
      </c>
      <c r="B10692" s="762">
        <f>(R10691+T10691)</f>
        <v>0</v>
      </c>
      <c r="C10692" s="763"/>
      <c r="D10692" s="763"/>
      <c r="E10692" s="763"/>
      <c r="F10692" s="764"/>
      <c r="G10692" s="763" t="s">
        <v>146</v>
      </c>
      <c r="H10692" s="763"/>
      <c r="I10692" s="765"/>
      <c r="J10692" s="763"/>
      <c r="K10692" s="763" t="s">
        <v>3</v>
      </c>
      <c r="L10692" s="766" t="s">
        <v>143</v>
      </c>
      <c r="M10692" s="766"/>
      <c r="N10692" s="766"/>
      <c r="O10692" s="766"/>
      <c r="P10692" s="766"/>
      <c r="Q10692" s="767"/>
      <c r="R10692" s="768">
        <f>SUM(R10689:R10691)</f>
        <v>9</v>
      </c>
      <c r="S10692" s="763"/>
      <c r="T10692" s="768">
        <f>SUM(T10689:T10691)</f>
        <v>0.58500000000000008</v>
      </c>
      <c r="U10692" s="531"/>
      <c r="V10692" s="531"/>
      <c r="W10692" s="531"/>
      <c r="X10692" s="531"/>
      <c r="Y10692" s="531"/>
      <c r="Z10692" s="531"/>
      <c r="AA10692" s="531"/>
      <c r="AB10692" s="531"/>
      <c r="AC10692" s="531"/>
      <c r="AD10692" s="531"/>
      <c r="AE10692" s="531"/>
      <c r="AF10692" s="531"/>
      <c r="AG10692" s="531"/>
      <c r="AH10692" s="531"/>
      <c r="AI10692" s="531"/>
      <c r="AJ10692" s="531"/>
      <c r="AK10692" s="531"/>
      <c r="AL10692" s="531"/>
      <c r="AM10692" s="531"/>
      <c r="AN10692" s="531"/>
      <c r="AO10692" s="531"/>
      <c r="AR10692" s="761" t="s">
        <v>145</v>
      </c>
      <c r="AS10692" s="764"/>
    </row>
    <row r="10693" spans="1:45" s="520" customFormat="1" thickTop="1">
      <c r="A10693" s="51"/>
      <c r="B10693" s="51"/>
      <c r="C10693" s="3"/>
      <c r="D10693" s="3"/>
      <c r="E10693" s="51"/>
      <c r="F10693" s="51"/>
      <c r="G10693" s="51"/>
      <c r="H10693" s="51"/>
      <c r="I10693" s="51"/>
      <c r="J10693" s="51"/>
      <c r="K10693" s="51" t="s">
        <v>134</v>
      </c>
      <c r="L10693" s="51"/>
      <c r="M10693" s="51"/>
      <c r="N10693" s="51"/>
      <c r="O10693" s="52"/>
      <c r="P10693" s="51"/>
      <c r="Q10693" s="51"/>
      <c r="R10693" s="51"/>
      <c r="S10693" s="51"/>
      <c r="T10693" s="51"/>
      <c r="AR10693" s="51"/>
      <c r="AS10693" s="51"/>
    </row>
    <row r="10694" spans="1:45" s="520" customFormat="1" ht="12">
      <c r="A10694" s="51"/>
      <c r="B10694" s="51"/>
      <c r="C10694" s="51" t="s">
        <v>135</v>
      </c>
      <c r="D10694" s="37"/>
      <c r="E10694" s="51"/>
      <c r="F10694" s="51"/>
      <c r="G10694" s="51"/>
      <c r="H10694" s="51"/>
      <c r="I10694" s="51"/>
      <c r="J10694" s="51"/>
      <c r="K10694" s="51"/>
      <c r="L10694" s="51"/>
      <c r="M10694" s="51"/>
      <c r="N10694" s="51"/>
      <c r="O10694" s="52"/>
      <c r="P10694" s="51"/>
      <c r="Q10694" s="51"/>
      <c r="R10694" s="51"/>
      <c r="S10694" s="51"/>
      <c r="T10694" s="51"/>
      <c r="AR10694" s="51"/>
      <c r="AS10694" s="51"/>
    </row>
    <row r="10695" spans="1:45" s="520" customFormat="1" ht="39.9" customHeight="1">
      <c r="A10695" s="51"/>
      <c r="B10695" s="51"/>
      <c r="C10695" s="51"/>
      <c r="D10695" s="1453" t="s">
        <v>2185</v>
      </c>
      <c r="E10695" s="1452"/>
      <c r="F10695" s="1452"/>
      <c r="G10695" s="1452"/>
      <c r="H10695" s="1452"/>
      <c r="I10695" s="1452"/>
      <c r="J10695" s="1452"/>
      <c r="K10695" s="1452"/>
      <c r="L10695" s="1452"/>
      <c r="M10695" s="1452"/>
      <c r="N10695" s="1452"/>
      <c r="O10695" s="1452"/>
      <c r="P10695" s="1452"/>
      <c r="Q10695" s="1452"/>
      <c r="R10695" s="1452"/>
      <c r="S10695" s="1452"/>
      <c r="T10695" s="1452"/>
      <c r="AR10695" s="51"/>
    </row>
    <row r="10696" spans="1:45" s="3" customFormat="1" thickBot="1">
      <c r="A10696" s="531"/>
      <c r="O10696" s="107"/>
      <c r="AR10696" s="531"/>
    </row>
    <row r="10697" spans="1:45" s="520" customFormat="1" ht="12" thickTop="1">
      <c r="A10697" s="51"/>
      <c r="B10697" s="41"/>
      <c r="C10697" s="51"/>
      <c r="E10697" s="42" t="s">
        <v>138</v>
      </c>
      <c r="F10697" s="42" t="s">
        <v>139</v>
      </c>
      <c r="G10697" s="51"/>
      <c r="H10697" s="51"/>
      <c r="I10697" s="51"/>
      <c r="J10697" s="51"/>
      <c r="K10697" s="51" t="s">
        <v>140</v>
      </c>
      <c r="L10697" s="51"/>
      <c r="M10697" s="51"/>
      <c r="N10697" s="51"/>
      <c r="O10697" s="52"/>
      <c r="P10697" s="51"/>
      <c r="Q10697" s="51"/>
      <c r="R10697" s="51"/>
      <c r="S10697" s="51"/>
      <c r="T10697" s="41"/>
      <c r="AG10697" s="521" t="s">
        <v>268</v>
      </c>
      <c r="AH10697" s="521" t="s">
        <v>269</v>
      </c>
      <c r="AI10697" s="521" t="s">
        <v>270</v>
      </c>
      <c r="AJ10697" s="521" t="s">
        <v>271</v>
      </c>
      <c r="AK10697" s="521" t="s">
        <v>272</v>
      </c>
      <c r="AM10697" s="745" t="s">
        <v>281</v>
      </c>
      <c r="AN10697" s="746" t="s">
        <v>282</v>
      </c>
      <c r="AO10697" s="522" t="s">
        <v>278</v>
      </c>
      <c r="AR10697" s="51"/>
      <c r="AS10697" s="42" t="s">
        <v>139</v>
      </c>
    </row>
    <row r="10698" spans="1:45" s="520" customFormat="1" ht="12" customHeight="1">
      <c r="A10698" s="747">
        <v>1</v>
      </c>
      <c r="B10698" s="523" t="s">
        <v>329</v>
      </c>
      <c r="C10698" s="748"/>
      <c r="D10698" s="749" t="s">
        <v>2507</v>
      </c>
      <c r="E10698" s="1145">
        <f>IF(AND($A10698=0,$A$1="DIF"),0, ROUND(ROUND(($R10702*$S$3+($T10702*$T$3))/$A10698,2)*$C$3,2))</f>
        <v>29.56</v>
      </c>
      <c r="F10698" s="1146">
        <f>ROUND($A10698*$E10698,2)</f>
        <v>29.56</v>
      </c>
      <c r="G10698" s="752" t="s">
        <v>142</v>
      </c>
      <c r="H10698" s="753"/>
      <c r="I10698" s="754"/>
      <c r="J10698" s="753"/>
      <c r="K10698" s="753" t="s">
        <v>5</v>
      </c>
      <c r="L10698" s="755" t="s">
        <v>143</v>
      </c>
      <c r="M10698" s="755"/>
      <c r="N10698" s="755"/>
      <c r="O10698" s="755"/>
      <c r="P10698" s="755"/>
      <c r="Q10698" s="51"/>
      <c r="T10698" s="1150" t="str">
        <f>IF(AND($R10702=0,$T10702=0),"0.00","mu: "&amp; ROUND(F10698/$C$3/($R10702+$T10702*$D$9),2))</f>
        <v>mu: 1.13</v>
      </c>
      <c r="W10698" s="524"/>
      <c r="AG10698" s="1147">
        <f>IF($E10698=0,0,ROUND($R10702*$S$3*$C$3/$A10698,2))</f>
        <v>29.56</v>
      </c>
      <c r="AH10698" s="1147">
        <f>$AG10698*$A10698</f>
        <v>29.56</v>
      </c>
      <c r="AI10698" s="1148">
        <f>$E10698-$AG10698</f>
        <v>0</v>
      </c>
      <c r="AJ10698" s="1148">
        <f>$A10698*$AI10698</f>
        <v>0</v>
      </c>
      <c r="AK10698" s="1149">
        <f>ROUND(($AG10698+$AI10698)*$A10698,2)</f>
        <v>29.56</v>
      </c>
      <c r="AM10698" s="527">
        <f>ROUND(R10702,2)</f>
        <v>26.19</v>
      </c>
      <c r="AN10698" s="528">
        <f>ROUND(T10702,2)</f>
        <v>0</v>
      </c>
      <c r="AO10698" s="529">
        <f>ROUND(AM10698+AN10698,2)*A10698</f>
        <v>26.19</v>
      </c>
      <c r="AR10698" s="747">
        <v>1</v>
      </c>
      <c r="AS10698" s="1146">
        <v>32.17</v>
      </c>
    </row>
    <row r="10699" spans="1:45" s="520" customFormat="1" ht="13.2">
      <c r="A10699" s="748"/>
      <c r="B10699"/>
      <c r="C10699" s="748"/>
      <c r="D10699" s="749" t="s">
        <v>2205</v>
      </c>
      <c r="F10699" s="753"/>
      <c r="G10699" s="3"/>
      <c r="H10699" s="753"/>
      <c r="I10699" s="754"/>
      <c r="J10699" s="753"/>
      <c r="K10699" s="753" t="s">
        <v>144</v>
      </c>
      <c r="L10699" s="753"/>
      <c r="M10699" s="753"/>
      <c r="N10699" s="753"/>
      <c r="O10699" s="753"/>
      <c r="P10699" s="753"/>
      <c r="Q10699" s="51"/>
      <c r="R10699" s="530"/>
      <c r="S10699" s="757"/>
      <c r="T10699" s="753"/>
      <c r="AR10699" s="748"/>
      <c r="AS10699" s="753"/>
    </row>
    <row r="10700" spans="1:45" s="901" customFormat="1" ht="13.2">
      <c r="A10700" s="903">
        <v>1</v>
      </c>
      <c r="B10700" s="904" t="s">
        <v>863</v>
      </c>
      <c r="C10700" s="904"/>
      <c r="D10700" s="904" t="s">
        <v>2594</v>
      </c>
      <c r="E10700" s="904"/>
      <c r="F10700" s="1153" t="s">
        <v>4143</v>
      </c>
      <c r="G10700" s="905" t="s">
        <v>2595</v>
      </c>
      <c r="H10700" s="902">
        <v>960</v>
      </c>
      <c r="I10700" s="904" t="s">
        <v>2596</v>
      </c>
      <c r="J10700" s="904"/>
      <c r="K10700" s="904"/>
      <c r="L10700" s="904"/>
      <c r="M10700" s="904"/>
      <c r="N10700" s="904"/>
      <c r="O10700" s="902">
        <v>4</v>
      </c>
      <c r="P10700" s="906">
        <v>38274</v>
      </c>
      <c r="Q10700" s="1415">
        <f>30*0.873</f>
        <v>26.19</v>
      </c>
      <c r="R10700" s="908">
        <f>$A10700*Q10700</f>
        <v>26.19</v>
      </c>
      <c r="S10700" s="907"/>
      <c r="T10700" s="909">
        <f>$A10700*S10700*$T$1</f>
        <v>0</v>
      </c>
      <c r="AR10700" s="903">
        <v>1</v>
      </c>
      <c r="AS10700" s="1153" t="s">
        <v>3507</v>
      </c>
    </row>
    <row r="10701" spans="1:45" s="520" customFormat="1" ht="12">
      <c r="A10701" s="758"/>
      <c r="B10701" s="758"/>
      <c r="C10701" s="758"/>
      <c r="D10701" s="758"/>
      <c r="E10701" s="758"/>
      <c r="F10701" s="753"/>
      <c r="G10701" s="758"/>
      <c r="H10701" s="758"/>
      <c r="I10701" s="519"/>
      <c r="J10701" s="758"/>
      <c r="K10701" s="758"/>
      <c r="L10701" s="758"/>
      <c r="M10701" s="758"/>
      <c r="N10701" s="758"/>
      <c r="O10701" s="758"/>
      <c r="P10701" s="758"/>
      <c r="Q10701" s="519"/>
      <c r="R10701" s="759">
        <f>$A10701*Q10701</f>
        <v>0</v>
      </c>
      <c r="S10701" s="519"/>
      <c r="T10701" s="760">
        <f>$A10701*S10701*$T$1</f>
        <v>0</v>
      </c>
      <c r="AR10701" s="758"/>
      <c r="AS10701" s="753"/>
    </row>
    <row r="10702" spans="1:45" s="520" customFormat="1" ht="12.6" thickBot="1">
      <c r="A10702" s="761" t="s">
        <v>145</v>
      </c>
      <c r="B10702" s="762">
        <f>(R10701+T10701)</f>
        <v>0</v>
      </c>
      <c r="C10702" s="763"/>
      <c r="D10702" s="763"/>
      <c r="E10702" s="763"/>
      <c r="F10702" s="764"/>
      <c r="G10702" s="763" t="s">
        <v>146</v>
      </c>
      <c r="H10702" s="763"/>
      <c r="I10702" s="765"/>
      <c r="J10702" s="763"/>
      <c r="K10702" s="763" t="s">
        <v>5</v>
      </c>
      <c r="L10702" s="766" t="s">
        <v>143</v>
      </c>
      <c r="M10702" s="766"/>
      <c r="N10702" s="766"/>
      <c r="O10702" s="766"/>
      <c r="P10702" s="766"/>
      <c r="Q10702" s="767"/>
      <c r="R10702" s="768">
        <f>SUM(R10699:R10701)</f>
        <v>26.19</v>
      </c>
      <c r="S10702" s="763"/>
      <c r="T10702" s="768">
        <f>SUM(T10699:T10701)</f>
        <v>0</v>
      </c>
      <c r="U10702" s="531"/>
      <c r="V10702" s="531"/>
      <c r="W10702" s="531"/>
      <c r="X10702" s="531"/>
      <c r="Y10702" s="531"/>
      <c r="Z10702" s="531"/>
      <c r="AA10702" s="531"/>
      <c r="AB10702" s="531"/>
      <c r="AC10702" s="531"/>
      <c r="AD10702" s="531"/>
      <c r="AE10702" s="531"/>
      <c r="AF10702" s="531"/>
      <c r="AG10702" s="531"/>
      <c r="AH10702" s="531"/>
      <c r="AI10702" s="531"/>
      <c r="AJ10702" s="531"/>
      <c r="AK10702" s="531"/>
      <c r="AL10702" s="531"/>
      <c r="AM10702" s="531"/>
      <c r="AN10702" s="531"/>
      <c r="AO10702" s="531"/>
      <c r="AR10702" s="761" t="s">
        <v>145</v>
      </c>
      <c r="AS10702" s="764"/>
    </row>
    <row r="10703" spans="1:45" s="520" customFormat="1" ht="12" thickTop="1">
      <c r="A10703" s="51"/>
      <c r="B10703" s="41"/>
      <c r="C10703" s="51"/>
      <c r="E10703" s="42" t="s">
        <v>138</v>
      </c>
      <c r="F10703" s="42" t="s">
        <v>139</v>
      </c>
      <c r="G10703" s="51"/>
      <c r="H10703" s="51"/>
      <c r="I10703" s="51"/>
      <c r="J10703" s="51"/>
      <c r="K10703" s="51" t="s">
        <v>140</v>
      </c>
      <c r="L10703" s="51"/>
      <c r="M10703" s="51"/>
      <c r="N10703" s="51"/>
      <c r="O10703" s="52"/>
      <c r="P10703" s="51"/>
      <c r="Q10703" s="51"/>
      <c r="R10703" s="51"/>
      <c r="S10703" s="51"/>
      <c r="T10703" s="41"/>
      <c r="AG10703" s="521" t="s">
        <v>268</v>
      </c>
      <c r="AH10703" s="521" t="s">
        <v>269</v>
      </c>
      <c r="AI10703" s="521" t="s">
        <v>270</v>
      </c>
      <c r="AJ10703" s="521" t="s">
        <v>271</v>
      </c>
      <c r="AK10703" s="521" t="s">
        <v>272</v>
      </c>
      <c r="AM10703" s="745" t="s">
        <v>281</v>
      </c>
      <c r="AN10703" s="746" t="s">
        <v>282</v>
      </c>
      <c r="AO10703" s="522" t="s">
        <v>278</v>
      </c>
      <c r="AR10703" s="51"/>
      <c r="AS10703" s="42" t="s">
        <v>139</v>
      </c>
    </row>
    <row r="10704" spans="1:45" s="520" customFormat="1" ht="12" customHeight="1">
      <c r="A10704" s="747">
        <v>1</v>
      </c>
      <c r="B10704" s="523" t="s">
        <v>329</v>
      </c>
      <c r="C10704" s="748"/>
      <c r="D10704" s="749" t="s">
        <v>2508</v>
      </c>
      <c r="E10704" s="1145">
        <f>IF(AND($A10704=0,$A$1="DIF"),0, ROUND(ROUND(($R10708*$S$3+($T10708*$T$3))/$A10704,2)*$C$3,2))</f>
        <v>29.56</v>
      </c>
      <c r="F10704" s="1146">
        <f>ROUND($A10704*$E10704,2)</f>
        <v>29.56</v>
      </c>
      <c r="G10704" s="752" t="s">
        <v>142</v>
      </c>
      <c r="H10704" s="753"/>
      <c r="I10704" s="754"/>
      <c r="J10704" s="753"/>
      <c r="K10704" s="753" t="s">
        <v>5</v>
      </c>
      <c r="L10704" s="755" t="s">
        <v>143</v>
      </c>
      <c r="M10704" s="755"/>
      <c r="N10704" s="755"/>
      <c r="O10704" s="755"/>
      <c r="P10704" s="755"/>
      <c r="Q10704" s="51"/>
      <c r="T10704" s="1150" t="str">
        <f>IF(AND($R10708=0,$T10708=0),"0.00","mu: "&amp; ROUND(F10704/$C$3/($R10708+$T10708*$D$9),2))</f>
        <v>mu: 1.13</v>
      </c>
      <c r="W10704" s="524"/>
      <c r="AG10704" s="1147">
        <f>IF($E10704=0,0,ROUND($R10708*$S$3*$C$3/$A10704,2))</f>
        <v>29.56</v>
      </c>
      <c r="AH10704" s="1147">
        <f>$AG10704*$A10704</f>
        <v>29.56</v>
      </c>
      <c r="AI10704" s="1148">
        <f>$E10704-$AG10704</f>
        <v>0</v>
      </c>
      <c r="AJ10704" s="1148">
        <f>$A10704*$AI10704</f>
        <v>0</v>
      </c>
      <c r="AK10704" s="1149">
        <f>ROUND(($AG10704+$AI10704)*$A10704,2)</f>
        <v>29.56</v>
      </c>
      <c r="AM10704" s="527">
        <f>ROUND(R10708,2)</f>
        <v>26.19</v>
      </c>
      <c r="AN10704" s="528">
        <f>ROUND(T10708,2)</f>
        <v>0</v>
      </c>
      <c r="AO10704" s="529">
        <f>ROUND(AM10704+AN10704,2)*A10704</f>
        <v>26.19</v>
      </c>
      <c r="AR10704" s="747">
        <v>1</v>
      </c>
      <c r="AS10704" s="1146">
        <v>32.17</v>
      </c>
    </row>
    <row r="10705" spans="1:45" s="520" customFormat="1" ht="13.2">
      <c r="A10705" s="748"/>
      <c r="B10705"/>
      <c r="C10705" s="748"/>
      <c r="D10705" s="749" t="s">
        <v>2206</v>
      </c>
      <c r="F10705" s="753"/>
      <c r="G10705" s="3"/>
      <c r="H10705" s="753"/>
      <c r="I10705" s="754"/>
      <c r="J10705" s="753"/>
      <c r="K10705" s="753" t="s">
        <v>144</v>
      </c>
      <c r="L10705" s="753"/>
      <c r="M10705" s="753"/>
      <c r="N10705" s="753"/>
      <c r="O10705" s="753"/>
      <c r="P10705" s="753"/>
      <c r="Q10705" s="51"/>
      <c r="R10705" s="530"/>
      <c r="S10705" s="757"/>
      <c r="T10705" s="753"/>
      <c r="AR10705" s="748"/>
      <c r="AS10705" s="753"/>
    </row>
    <row r="10706" spans="1:45" s="901" customFormat="1" ht="13.2">
      <c r="A10706" s="903">
        <v>1</v>
      </c>
      <c r="B10706" s="904" t="s">
        <v>863</v>
      </c>
      <c r="C10706" s="904"/>
      <c r="D10706" s="904" t="s">
        <v>2594</v>
      </c>
      <c r="E10706" s="904"/>
      <c r="F10706" s="1153" t="s">
        <v>4143</v>
      </c>
      <c r="G10706" s="905" t="s">
        <v>2595</v>
      </c>
      <c r="H10706" s="902">
        <v>960</v>
      </c>
      <c r="I10706" s="904" t="s">
        <v>2596</v>
      </c>
      <c r="J10706" s="904"/>
      <c r="K10706" s="904"/>
      <c r="L10706" s="904"/>
      <c r="M10706" s="904"/>
      <c r="N10706" s="904"/>
      <c r="O10706" s="902">
        <v>4</v>
      </c>
      <c r="P10706" s="906">
        <v>38274</v>
      </c>
      <c r="Q10706" s="1415">
        <f>30*0.873</f>
        <v>26.19</v>
      </c>
      <c r="R10706" s="908">
        <f>$A10706*Q10706</f>
        <v>26.19</v>
      </c>
      <c r="S10706" s="907"/>
      <c r="T10706" s="909">
        <f>$A10706*S10706*$T$1</f>
        <v>0</v>
      </c>
      <c r="AR10706" s="903">
        <v>1</v>
      </c>
      <c r="AS10706" s="1153" t="s">
        <v>3507</v>
      </c>
    </row>
    <row r="10707" spans="1:45" s="520" customFormat="1" ht="12">
      <c r="A10707" s="758"/>
      <c r="B10707" s="758"/>
      <c r="C10707" s="758"/>
      <c r="D10707" s="758"/>
      <c r="E10707" s="758"/>
      <c r="F10707" s="753"/>
      <c r="G10707" s="758"/>
      <c r="H10707" s="758"/>
      <c r="I10707" s="519"/>
      <c r="J10707" s="758"/>
      <c r="K10707" s="758"/>
      <c r="L10707" s="758"/>
      <c r="M10707" s="758"/>
      <c r="N10707" s="758"/>
      <c r="O10707" s="758"/>
      <c r="P10707" s="758"/>
      <c r="Q10707" s="519"/>
      <c r="R10707" s="759">
        <f>$A10707*Q10707</f>
        <v>0</v>
      </c>
      <c r="S10707" s="519"/>
      <c r="T10707" s="760">
        <f>$A10707*S10707*$T$1</f>
        <v>0</v>
      </c>
      <c r="AR10707" s="758"/>
      <c r="AS10707" s="753"/>
    </row>
    <row r="10708" spans="1:45" s="520" customFormat="1" ht="12.6" thickBot="1">
      <c r="A10708" s="761" t="s">
        <v>145</v>
      </c>
      <c r="B10708" s="762">
        <f>(R10707+T10707)</f>
        <v>0</v>
      </c>
      <c r="C10708" s="763"/>
      <c r="D10708" s="763"/>
      <c r="E10708" s="763"/>
      <c r="F10708" s="764"/>
      <c r="G10708" s="763" t="s">
        <v>146</v>
      </c>
      <c r="H10708" s="763"/>
      <c r="I10708" s="765"/>
      <c r="J10708" s="763"/>
      <c r="K10708" s="763" t="s">
        <v>5</v>
      </c>
      <c r="L10708" s="766" t="s">
        <v>143</v>
      </c>
      <c r="M10708" s="766"/>
      <c r="N10708" s="766"/>
      <c r="O10708" s="766"/>
      <c r="P10708" s="766"/>
      <c r="Q10708" s="767"/>
      <c r="R10708" s="768">
        <f>SUM(R10705:R10707)</f>
        <v>26.19</v>
      </c>
      <c r="S10708" s="763"/>
      <c r="T10708" s="768">
        <f>SUM(T10705:T10707)</f>
        <v>0</v>
      </c>
      <c r="U10708" s="531"/>
      <c r="V10708" s="531"/>
      <c r="W10708" s="531"/>
      <c r="X10708" s="531"/>
      <c r="Y10708" s="531"/>
      <c r="Z10708" s="531"/>
      <c r="AA10708" s="531"/>
      <c r="AB10708" s="531"/>
      <c r="AC10708" s="531"/>
      <c r="AD10708" s="531"/>
      <c r="AE10708" s="531"/>
      <c r="AF10708" s="531"/>
      <c r="AG10708" s="531"/>
      <c r="AH10708" s="531"/>
      <c r="AI10708" s="531"/>
      <c r="AJ10708" s="531"/>
      <c r="AK10708" s="531"/>
      <c r="AL10708" s="531"/>
      <c r="AM10708" s="531"/>
      <c r="AN10708" s="531"/>
      <c r="AO10708" s="531"/>
      <c r="AR10708" s="761" t="s">
        <v>145</v>
      </c>
      <c r="AS10708" s="764"/>
    </row>
    <row r="10709" spans="1:45" s="520" customFormat="1" ht="12" thickTop="1">
      <c r="A10709" s="51"/>
      <c r="B10709" s="41"/>
      <c r="C10709" s="51"/>
      <c r="E10709" s="42" t="s">
        <v>138</v>
      </c>
      <c r="F10709" s="42" t="s">
        <v>139</v>
      </c>
      <c r="G10709" s="51"/>
      <c r="H10709" s="51"/>
      <c r="I10709" s="51"/>
      <c r="J10709" s="51"/>
      <c r="K10709" s="51" t="s">
        <v>140</v>
      </c>
      <c r="L10709" s="51"/>
      <c r="M10709" s="51"/>
      <c r="N10709" s="51"/>
      <c r="O10709" s="52"/>
      <c r="P10709" s="51"/>
      <c r="Q10709" s="51"/>
      <c r="R10709" s="51"/>
      <c r="S10709" s="51"/>
      <c r="T10709" s="41"/>
      <c r="AG10709" s="521" t="s">
        <v>268</v>
      </c>
      <c r="AH10709" s="521" t="s">
        <v>269</v>
      </c>
      <c r="AI10709" s="521" t="s">
        <v>270</v>
      </c>
      <c r="AJ10709" s="521" t="s">
        <v>271</v>
      </c>
      <c r="AK10709" s="521" t="s">
        <v>272</v>
      </c>
      <c r="AM10709" s="745" t="s">
        <v>281</v>
      </c>
      <c r="AN10709" s="746" t="s">
        <v>282</v>
      </c>
      <c r="AO10709" s="522" t="s">
        <v>278</v>
      </c>
      <c r="AR10709" s="51"/>
      <c r="AS10709" s="42" t="s">
        <v>139</v>
      </c>
    </row>
    <row r="10710" spans="1:45" s="520" customFormat="1" ht="12" customHeight="1">
      <c r="A10710" s="747">
        <v>1</v>
      </c>
      <c r="B10710" s="523" t="s">
        <v>329</v>
      </c>
      <c r="C10710" s="748"/>
      <c r="D10710" s="749" t="s">
        <v>2509</v>
      </c>
      <c r="E10710" s="1145">
        <f>IF(AND($A10710=0,$A$1="DIF"),0, ROUND(ROUND(($R10714*$S$3+($T10714*$T$3))/$A10710,2)*$C$3,2))</f>
        <v>14.78</v>
      </c>
      <c r="F10710" s="1146">
        <f>ROUND($A10710*$E10710,2)</f>
        <v>14.78</v>
      </c>
      <c r="G10710" s="752" t="s">
        <v>142</v>
      </c>
      <c r="H10710" s="753"/>
      <c r="I10710" s="754"/>
      <c r="J10710" s="753"/>
      <c r="K10710" s="753" t="s">
        <v>5</v>
      </c>
      <c r="L10710" s="755" t="s">
        <v>143</v>
      </c>
      <c r="M10710" s="755"/>
      <c r="N10710" s="755"/>
      <c r="O10710" s="755"/>
      <c r="P10710" s="755"/>
      <c r="Q10710" s="51"/>
      <c r="T10710" s="1150" t="str">
        <f>IF(AND($R10714=0,$T10714=0),"0.00","mu: "&amp; ROUND(F10710/$C$3/($R10714+$T10714*$D$9),2))</f>
        <v>mu: 1.13</v>
      </c>
      <c r="W10710" s="524"/>
      <c r="AG10710" s="1147">
        <f>IF($E10710=0,0,ROUND($R10714*$S$3*$C$3/$A10710,2))</f>
        <v>14.78</v>
      </c>
      <c r="AH10710" s="1147">
        <f>$AG10710*$A10710</f>
        <v>14.78</v>
      </c>
      <c r="AI10710" s="1148">
        <f>$E10710-$AG10710</f>
        <v>0</v>
      </c>
      <c r="AJ10710" s="1148">
        <f>$A10710*$AI10710</f>
        <v>0</v>
      </c>
      <c r="AK10710" s="1149">
        <f>ROUND(($AG10710+$AI10710)*$A10710,2)</f>
        <v>14.78</v>
      </c>
      <c r="AM10710" s="527">
        <f>ROUND(R10714,2)</f>
        <v>13.1</v>
      </c>
      <c r="AN10710" s="528">
        <f>ROUND(T10714,2)</f>
        <v>0</v>
      </c>
      <c r="AO10710" s="529">
        <f>ROUND(AM10710+AN10710,2)*A10710</f>
        <v>13.1</v>
      </c>
      <c r="AR10710" s="747">
        <v>1</v>
      </c>
      <c r="AS10710" s="1146">
        <v>16.079999999999998</v>
      </c>
    </row>
    <row r="10711" spans="1:45" s="520" customFormat="1" ht="13.2">
      <c r="A10711" s="748"/>
      <c r="B10711"/>
      <c r="C10711" s="748"/>
      <c r="D10711" s="749" t="s">
        <v>2083</v>
      </c>
      <c r="F10711" s="753"/>
      <c r="G10711" s="3"/>
      <c r="H10711" s="753"/>
      <c r="I10711" s="754"/>
      <c r="J10711" s="753"/>
      <c r="K10711" s="753" t="s">
        <v>144</v>
      </c>
      <c r="L10711" s="753"/>
      <c r="M10711" s="753"/>
      <c r="N10711" s="753"/>
      <c r="O10711" s="753"/>
      <c r="P10711" s="753"/>
      <c r="Q10711" s="51"/>
      <c r="R10711" s="530"/>
      <c r="S10711" s="757"/>
      <c r="T10711" s="753"/>
      <c r="AR10711" s="748"/>
      <c r="AS10711" s="753"/>
    </row>
    <row r="10712" spans="1:45" s="901" customFormat="1" ht="13.2">
      <c r="A10712" s="903">
        <v>1</v>
      </c>
      <c r="B10712" s="904" t="s">
        <v>863</v>
      </c>
      <c r="C10712" s="904"/>
      <c r="D10712" s="904" t="s">
        <v>2594</v>
      </c>
      <c r="E10712" s="904"/>
      <c r="F10712" s="1153" t="s">
        <v>4143</v>
      </c>
      <c r="G10712" s="905" t="s">
        <v>2595</v>
      </c>
      <c r="H10712" s="902">
        <v>960</v>
      </c>
      <c r="I10712" s="904" t="s">
        <v>2596</v>
      </c>
      <c r="J10712" s="904"/>
      <c r="K10712" s="904"/>
      <c r="L10712" s="904"/>
      <c r="M10712" s="904"/>
      <c r="N10712" s="904"/>
      <c r="O10712" s="902">
        <v>4</v>
      </c>
      <c r="P10712" s="906">
        <v>38274</v>
      </c>
      <c r="Q10712" s="1415">
        <f>15*0.873</f>
        <v>13.095000000000001</v>
      </c>
      <c r="R10712" s="908">
        <f>$A10712*Q10712</f>
        <v>13.095000000000001</v>
      </c>
      <c r="S10712" s="907"/>
      <c r="T10712" s="909">
        <f>$A10712*S10712*$T$1</f>
        <v>0</v>
      </c>
      <c r="AR10712" s="903">
        <v>1</v>
      </c>
      <c r="AS10712" s="1153" t="s">
        <v>3507</v>
      </c>
    </row>
    <row r="10713" spans="1:45" s="520" customFormat="1" ht="12">
      <c r="A10713" s="758"/>
      <c r="B10713" s="758"/>
      <c r="C10713" s="758"/>
      <c r="D10713" s="758"/>
      <c r="E10713" s="758"/>
      <c r="F10713" s="753"/>
      <c r="G10713" s="758"/>
      <c r="H10713" s="758"/>
      <c r="I10713" s="519"/>
      <c r="J10713" s="758"/>
      <c r="K10713" s="758"/>
      <c r="L10713" s="758"/>
      <c r="M10713" s="758"/>
      <c r="N10713" s="758"/>
      <c r="O10713" s="758"/>
      <c r="P10713" s="758"/>
      <c r="Q10713" s="519"/>
      <c r="R10713" s="759">
        <f>$A10713*Q10713</f>
        <v>0</v>
      </c>
      <c r="S10713" s="519"/>
      <c r="T10713" s="760">
        <f>$A10713*S10713*$T$1</f>
        <v>0</v>
      </c>
      <c r="AR10713" s="758"/>
      <c r="AS10713" s="753"/>
    </row>
    <row r="10714" spans="1:45" s="520" customFormat="1" ht="12.6" thickBot="1">
      <c r="A10714" s="761" t="s">
        <v>145</v>
      </c>
      <c r="B10714" s="762">
        <f>(R10713+T10713)</f>
        <v>0</v>
      </c>
      <c r="C10714" s="763"/>
      <c r="D10714" s="763"/>
      <c r="E10714" s="763"/>
      <c r="F10714" s="764"/>
      <c r="G10714" s="763" t="s">
        <v>146</v>
      </c>
      <c r="H10714" s="763"/>
      <c r="I10714" s="765"/>
      <c r="J10714" s="763"/>
      <c r="K10714" s="763" t="s">
        <v>5</v>
      </c>
      <c r="L10714" s="766" t="s">
        <v>143</v>
      </c>
      <c r="M10714" s="766"/>
      <c r="N10714" s="766"/>
      <c r="O10714" s="766"/>
      <c r="P10714" s="766"/>
      <c r="Q10714" s="767"/>
      <c r="R10714" s="768">
        <f>SUM(R10711:R10713)</f>
        <v>13.095000000000001</v>
      </c>
      <c r="S10714" s="763"/>
      <c r="T10714" s="768">
        <f>SUM(T10711:T10713)</f>
        <v>0</v>
      </c>
      <c r="U10714" s="531"/>
      <c r="V10714" s="531"/>
      <c r="W10714" s="531"/>
      <c r="X10714" s="531"/>
      <c r="Y10714" s="531"/>
      <c r="Z10714" s="531"/>
      <c r="AA10714" s="531"/>
      <c r="AB10714" s="531"/>
      <c r="AC10714" s="531"/>
      <c r="AD10714" s="531"/>
      <c r="AE10714" s="531"/>
      <c r="AF10714" s="531"/>
      <c r="AG10714" s="531"/>
      <c r="AH10714" s="531"/>
      <c r="AI10714" s="531"/>
      <c r="AJ10714" s="531"/>
      <c r="AK10714" s="531"/>
      <c r="AL10714" s="531"/>
      <c r="AM10714" s="531"/>
      <c r="AN10714" s="531"/>
      <c r="AO10714" s="531"/>
      <c r="AR10714" s="761" t="s">
        <v>145</v>
      </c>
      <c r="AS10714" s="764"/>
    </row>
    <row r="10715" spans="1:45" s="520" customFormat="1" thickTop="1">
      <c r="A10715" s="51"/>
      <c r="B10715" s="51"/>
      <c r="C10715" s="3"/>
      <c r="D10715" s="3"/>
      <c r="E10715" s="51"/>
      <c r="F10715" s="51"/>
      <c r="G10715" s="51"/>
      <c r="H10715" s="51"/>
      <c r="I10715" s="51"/>
      <c r="J10715" s="51"/>
      <c r="K10715" s="51" t="s">
        <v>134</v>
      </c>
      <c r="L10715" s="51"/>
      <c r="M10715" s="51"/>
      <c r="N10715" s="51"/>
      <c r="O10715" s="52"/>
      <c r="P10715" s="51"/>
      <c r="Q10715" s="51"/>
      <c r="R10715" s="51"/>
      <c r="S10715" s="51"/>
      <c r="T10715" s="51"/>
      <c r="AR10715" s="51"/>
      <c r="AS10715" s="51"/>
    </row>
    <row r="10716" spans="1:45" s="520" customFormat="1" ht="12">
      <c r="A10716" s="51"/>
      <c r="B10716" s="51"/>
      <c r="C10716" s="51" t="s">
        <v>135</v>
      </c>
      <c r="D10716" s="37"/>
      <c r="E10716" s="51"/>
      <c r="F10716" s="51"/>
      <c r="G10716" s="51"/>
      <c r="H10716" s="51"/>
      <c r="I10716" s="51"/>
      <c r="J10716" s="51"/>
      <c r="K10716" s="51"/>
      <c r="L10716" s="51"/>
      <c r="M10716" s="51"/>
      <c r="N10716" s="51"/>
      <c r="O10716" s="52"/>
      <c r="P10716" s="51"/>
      <c r="Q10716" s="51"/>
      <c r="R10716" s="51"/>
      <c r="S10716" s="51"/>
      <c r="T10716" s="51"/>
      <c r="AR10716" s="51"/>
      <c r="AS10716" s="51"/>
    </row>
    <row r="10717" spans="1:45" s="520" customFormat="1" ht="12">
      <c r="A10717" s="51"/>
      <c r="B10717" s="51"/>
      <c r="C10717" s="51"/>
      <c r="D10717" s="37" t="s">
        <v>2186</v>
      </c>
      <c r="E10717" s="51"/>
      <c r="F10717" s="51"/>
      <c r="G10717" s="51"/>
      <c r="H10717" s="51"/>
      <c r="I10717" s="51"/>
      <c r="J10717" s="51"/>
      <c r="K10717" s="51"/>
      <c r="L10717" s="51"/>
      <c r="M10717" s="51"/>
      <c r="N10717" s="51"/>
      <c r="O10717" s="52"/>
      <c r="P10717" s="51"/>
      <c r="Q10717" s="51"/>
      <c r="R10717" s="51"/>
      <c r="S10717" s="38"/>
      <c r="T10717" s="38"/>
      <c r="AR10717" s="51"/>
      <c r="AS10717" s="51"/>
    </row>
    <row r="10718" spans="1:45" s="3" customFormat="1" thickBot="1">
      <c r="A10718" s="531"/>
      <c r="O10718" s="107"/>
      <c r="AR10718" s="531"/>
    </row>
    <row r="10719" spans="1:45" s="520" customFormat="1" ht="12" thickTop="1">
      <c r="A10719" s="51"/>
      <c r="B10719" s="41"/>
      <c r="C10719" s="51"/>
      <c r="E10719" s="42" t="s">
        <v>138</v>
      </c>
      <c r="F10719" s="42" t="s">
        <v>139</v>
      </c>
      <c r="G10719" s="51"/>
      <c r="H10719" s="51"/>
      <c r="I10719" s="51"/>
      <c r="J10719" s="51"/>
      <c r="K10719" s="51" t="s">
        <v>140</v>
      </c>
      <c r="L10719" s="51"/>
      <c r="M10719" s="51"/>
      <c r="N10719" s="51"/>
      <c r="O10719" s="52"/>
      <c r="P10719" s="51"/>
      <c r="Q10719" s="51"/>
      <c r="R10719" s="51"/>
      <c r="S10719" s="51"/>
      <c r="T10719" s="41"/>
      <c r="AG10719" s="521" t="s">
        <v>268</v>
      </c>
      <c r="AH10719" s="521" t="s">
        <v>269</v>
      </c>
      <c r="AI10719" s="521" t="s">
        <v>270</v>
      </c>
      <c r="AJ10719" s="521" t="s">
        <v>271</v>
      </c>
      <c r="AK10719" s="521" t="s">
        <v>272</v>
      </c>
      <c r="AM10719" s="745" t="s">
        <v>281</v>
      </c>
      <c r="AN10719" s="746" t="s">
        <v>282</v>
      </c>
      <c r="AO10719" s="522" t="s">
        <v>278</v>
      </c>
      <c r="AR10719" s="51"/>
      <c r="AS10719" s="42" t="s">
        <v>139</v>
      </c>
    </row>
    <row r="10720" spans="1:45" s="520" customFormat="1" ht="12" customHeight="1">
      <c r="A10720" s="747">
        <v>1</v>
      </c>
      <c r="B10720" s="523" t="s">
        <v>329</v>
      </c>
      <c r="C10720" s="748"/>
      <c r="D10720" s="749" t="s">
        <v>2510</v>
      </c>
      <c r="E10720" s="1145">
        <f>IF(AND($A10720=0,$A$1="DIF"),0, ROUND(ROUND(($R10724*$S$3+($T10724*$T$3))/$A10720,2)*$C$3,2))</f>
        <v>44.34</v>
      </c>
      <c r="F10720" s="1146">
        <f>ROUND($A10720*$E10720,2)</f>
        <v>44.34</v>
      </c>
      <c r="G10720" s="752" t="s">
        <v>142</v>
      </c>
      <c r="H10720" s="753"/>
      <c r="I10720" s="754"/>
      <c r="J10720" s="753"/>
      <c r="K10720" s="753" t="s">
        <v>5</v>
      </c>
      <c r="L10720" s="755" t="s">
        <v>143</v>
      </c>
      <c r="M10720" s="755"/>
      <c r="N10720" s="755"/>
      <c r="O10720" s="755"/>
      <c r="P10720" s="755"/>
      <c r="Q10720" s="51"/>
      <c r="T10720" s="1150" t="str">
        <f>IF(AND($R10724=0,$T10724=0),"0.00","mu: "&amp; ROUND(F10720/$C$3/($R10724+$T10724*$D$9),2))</f>
        <v>mu: 1.13</v>
      </c>
      <c r="W10720" s="524"/>
      <c r="AG10720" s="1147">
        <f>IF($E10720=0,0,ROUND($R10724*$S$3*$C$3/$A10720,2))</f>
        <v>44.34</v>
      </c>
      <c r="AH10720" s="1147">
        <f>$AG10720*$A10720</f>
        <v>44.34</v>
      </c>
      <c r="AI10720" s="1148">
        <f>$E10720-$AG10720</f>
        <v>0</v>
      </c>
      <c r="AJ10720" s="1148">
        <f>$A10720*$AI10720</f>
        <v>0</v>
      </c>
      <c r="AK10720" s="1149">
        <f>ROUND(($AG10720+$AI10720)*$A10720,2)</f>
        <v>44.34</v>
      </c>
      <c r="AM10720" s="527">
        <f>ROUND(R10724,2)</f>
        <v>39.29</v>
      </c>
      <c r="AN10720" s="528">
        <f>ROUND(T10724,2)</f>
        <v>0</v>
      </c>
      <c r="AO10720" s="529">
        <f>ROUND(AM10720+AN10720,2)*A10720</f>
        <v>39.29</v>
      </c>
      <c r="AR10720" s="747">
        <v>1</v>
      </c>
      <c r="AS10720" s="1146">
        <v>48.25</v>
      </c>
    </row>
    <row r="10721" spans="1:45" s="520" customFormat="1" ht="13.2">
      <c r="A10721" s="748"/>
      <c r="B10721"/>
      <c r="C10721" s="748"/>
      <c r="D10721" s="749" t="s">
        <v>2205</v>
      </c>
      <c r="F10721" s="753"/>
      <c r="G10721" s="3"/>
      <c r="H10721" s="753"/>
      <c r="I10721" s="754"/>
      <c r="J10721" s="753"/>
      <c r="K10721" s="753" t="s">
        <v>144</v>
      </c>
      <c r="L10721" s="753"/>
      <c r="M10721" s="753"/>
      <c r="N10721" s="753"/>
      <c r="O10721" s="753"/>
      <c r="P10721" s="753"/>
      <c r="Q10721" s="51"/>
      <c r="R10721" s="530"/>
      <c r="S10721" s="757"/>
      <c r="T10721" s="753"/>
      <c r="AR10721" s="748"/>
      <c r="AS10721" s="753"/>
    </row>
    <row r="10722" spans="1:45" s="901" customFormat="1" ht="13.2">
      <c r="A10722" s="903">
        <v>1</v>
      </c>
      <c r="B10722" s="904" t="s">
        <v>863</v>
      </c>
      <c r="C10722" s="904"/>
      <c r="D10722" s="904" t="s">
        <v>2594</v>
      </c>
      <c r="E10722" s="904"/>
      <c r="F10722" s="1153" t="s">
        <v>4143</v>
      </c>
      <c r="G10722" s="905" t="s">
        <v>2595</v>
      </c>
      <c r="H10722" s="902">
        <v>960</v>
      </c>
      <c r="I10722" s="904" t="s">
        <v>2596</v>
      </c>
      <c r="J10722" s="904"/>
      <c r="K10722" s="904"/>
      <c r="L10722" s="904"/>
      <c r="M10722" s="904"/>
      <c r="N10722" s="904"/>
      <c r="O10722" s="902">
        <v>4</v>
      </c>
      <c r="P10722" s="906">
        <v>38274</v>
      </c>
      <c r="Q10722" s="1415">
        <f>45*0.873</f>
        <v>39.284999999999997</v>
      </c>
      <c r="R10722" s="908">
        <f>$A10722*Q10722</f>
        <v>39.284999999999997</v>
      </c>
      <c r="S10722" s="907"/>
      <c r="T10722" s="909">
        <f>$A10722*S10722*$T$1</f>
        <v>0</v>
      </c>
      <c r="AR10722" s="903">
        <v>1</v>
      </c>
      <c r="AS10722" s="1153" t="s">
        <v>3507</v>
      </c>
    </row>
    <row r="10723" spans="1:45" s="520" customFormat="1" ht="12">
      <c r="A10723" s="758"/>
      <c r="B10723" s="758"/>
      <c r="C10723" s="758"/>
      <c r="D10723" s="758"/>
      <c r="E10723" s="758"/>
      <c r="F10723" s="753"/>
      <c r="G10723" s="758"/>
      <c r="H10723" s="758"/>
      <c r="I10723" s="519"/>
      <c r="J10723" s="758"/>
      <c r="K10723" s="758"/>
      <c r="L10723" s="758"/>
      <c r="M10723" s="758"/>
      <c r="N10723" s="758"/>
      <c r="O10723" s="758"/>
      <c r="P10723" s="758"/>
      <c r="Q10723" s="519"/>
      <c r="R10723" s="759">
        <f>$A10723*Q10723</f>
        <v>0</v>
      </c>
      <c r="S10723" s="519"/>
      <c r="T10723" s="760">
        <f>$A10723*S10723*$T$1</f>
        <v>0</v>
      </c>
      <c r="AR10723" s="758"/>
      <c r="AS10723" s="753"/>
    </row>
    <row r="10724" spans="1:45" s="520" customFormat="1" ht="12.6" thickBot="1">
      <c r="A10724" s="761" t="s">
        <v>145</v>
      </c>
      <c r="B10724" s="762">
        <f>(R10723+T10723)</f>
        <v>0</v>
      </c>
      <c r="C10724" s="763"/>
      <c r="D10724" s="763"/>
      <c r="E10724" s="763"/>
      <c r="F10724" s="764"/>
      <c r="G10724" s="763" t="s">
        <v>146</v>
      </c>
      <c r="H10724" s="763"/>
      <c r="I10724" s="765"/>
      <c r="J10724" s="763"/>
      <c r="K10724" s="763" t="s">
        <v>5</v>
      </c>
      <c r="L10724" s="766" t="s">
        <v>143</v>
      </c>
      <c r="M10724" s="766"/>
      <c r="N10724" s="766"/>
      <c r="O10724" s="766"/>
      <c r="P10724" s="766"/>
      <c r="Q10724" s="767"/>
      <c r="R10724" s="768">
        <f>SUM(R10721:R10723)</f>
        <v>39.284999999999997</v>
      </c>
      <c r="S10724" s="763"/>
      <c r="T10724" s="768">
        <f>SUM(T10721:T10723)</f>
        <v>0</v>
      </c>
      <c r="U10724" s="531"/>
      <c r="V10724" s="531"/>
      <c r="W10724" s="531"/>
      <c r="X10724" s="531"/>
      <c r="Y10724" s="531"/>
      <c r="Z10724" s="531"/>
      <c r="AA10724" s="531"/>
      <c r="AB10724" s="531"/>
      <c r="AC10724" s="531"/>
      <c r="AD10724" s="531"/>
      <c r="AE10724" s="531"/>
      <c r="AF10724" s="531"/>
      <c r="AG10724" s="531"/>
      <c r="AH10724" s="531"/>
      <c r="AI10724" s="531"/>
      <c r="AJ10724" s="531"/>
      <c r="AK10724" s="531"/>
      <c r="AL10724" s="531"/>
      <c r="AM10724" s="531"/>
      <c r="AN10724" s="531"/>
      <c r="AO10724" s="531"/>
      <c r="AR10724" s="761" t="s">
        <v>145</v>
      </c>
      <c r="AS10724" s="764"/>
    </row>
    <row r="10725" spans="1:45" s="520" customFormat="1" ht="12" thickTop="1">
      <c r="A10725" s="51"/>
      <c r="B10725" s="41"/>
      <c r="C10725" s="51"/>
      <c r="E10725" s="42" t="s">
        <v>138</v>
      </c>
      <c r="F10725" s="42" t="s">
        <v>139</v>
      </c>
      <c r="G10725" s="51"/>
      <c r="H10725" s="51"/>
      <c r="I10725" s="51"/>
      <c r="J10725" s="51"/>
      <c r="K10725" s="51" t="s">
        <v>140</v>
      </c>
      <c r="L10725" s="51"/>
      <c r="M10725" s="51"/>
      <c r="N10725" s="51"/>
      <c r="O10725" s="52"/>
      <c r="P10725" s="51"/>
      <c r="Q10725" s="51"/>
      <c r="R10725" s="51"/>
      <c r="S10725" s="51"/>
      <c r="T10725" s="41"/>
      <c r="AG10725" s="521" t="s">
        <v>268</v>
      </c>
      <c r="AH10725" s="521" t="s">
        <v>269</v>
      </c>
      <c r="AI10725" s="521" t="s">
        <v>270</v>
      </c>
      <c r="AJ10725" s="521" t="s">
        <v>271</v>
      </c>
      <c r="AK10725" s="521" t="s">
        <v>272</v>
      </c>
      <c r="AM10725" s="745" t="s">
        <v>281</v>
      </c>
      <c r="AN10725" s="746" t="s">
        <v>282</v>
      </c>
      <c r="AO10725" s="522" t="s">
        <v>278</v>
      </c>
      <c r="AR10725" s="51"/>
      <c r="AS10725" s="42" t="s">
        <v>139</v>
      </c>
    </row>
    <row r="10726" spans="1:45" s="520" customFormat="1" ht="12" customHeight="1">
      <c r="A10726" s="747">
        <v>1</v>
      </c>
      <c r="B10726" s="523" t="s">
        <v>329</v>
      </c>
      <c r="C10726" s="748"/>
      <c r="D10726" s="749" t="s">
        <v>2511</v>
      </c>
      <c r="E10726" s="1145">
        <f>IF(AND($A10726=0,$A$1="DIF"),0, ROUND(ROUND(($R10730*$S$3+($T10730*$T$3))/$A10726,2)*$C$3,2))</f>
        <v>31.53</v>
      </c>
      <c r="F10726" s="1146">
        <f>ROUND($A10726*$E10726,2)</f>
        <v>31.53</v>
      </c>
      <c r="G10726" s="752" t="s">
        <v>142</v>
      </c>
      <c r="H10726" s="753"/>
      <c r="I10726" s="754"/>
      <c r="J10726" s="753"/>
      <c r="K10726" s="753" t="s">
        <v>5</v>
      </c>
      <c r="L10726" s="755" t="s">
        <v>143</v>
      </c>
      <c r="M10726" s="755"/>
      <c r="N10726" s="755"/>
      <c r="O10726" s="755"/>
      <c r="P10726" s="755"/>
      <c r="Q10726" s="51"/>
      <c r="T10726" s="1150" t="str">
        <f>IF(AND($R10730=0,$T10730=0),"0.00","mu: "&amp; ROUND(F10726/$C$3/($R10730+$T10730*$D$9),2))</f>
        <v>mu: 1.13</v>
      </c>
      <c r="W10726" s="524"/>
      <c r="AG10726" s="1147">
        <f>IF($E10726=0,0,ROUND($R10730*$S$3*$C$3/$A10726,2))</f>
        <v>31.53</v>
      </c>
      <c r="AH10726" s="1147">
        <f>$AG10726*$A10726</f>
        <v>31.53</v>
      </c>
      <c r="AI10726" s="1148">
        <f>$E10726-$AG10726</f>
        <v>0</v>
      </c>
      <c r="AJ10726" s="1148">
        <f>$A10726*$AI10726</f>
        <v>0</v>
      </c>
      <c r="AK10726" s="1149">
        <f>ROUND(($AG10726+$AI10726)*$A10726,2)</f>
        <v>31.53</v>
      </c>
      <c r="AM10726" s="527">
        <f>ROUND(R10730,2)</f>
        <v>27.94</v>
      </c>
      <c r="AN10726" s="528">
        <f>ROUND(T10730,2)</f>
        <v>0</v>
      </c>
      <c r="AO10726" s="529">
        <f>ROUND(AM10726+AN10726,2)*A10726</f>
        <v>27.94</v>
      </c>
      <c r="AR10726" s="747">
        <v>1</v>
      </c>
      <c r="AS10726" s="1146">
        <v>34.31</v>
      </c>
    </row>
    <row r="10727" spans="1:45" s="520" customFormat="1" ht="13.2">
      <c r="A10727" s="748"/>
      <c r="B10727"/>
      <c r="C10727" s="748"/>
      <c r="D10727" s="749" t="s">
        <v>2206</v>
      </c>
      <c r="F10727" s="753"/>
      <c r="G10727" s="3"/>
      <c r="H10727" s="753"/>
      <c r="I10727" s="754"/>
      <c r="J10727" s="753"/>
      <c r="K10727" s="753" t="s">
        <v>144</v>
      </c>
      <c r="L10727" s="753"/>
      <c r="M10727" s="753"/>
      <c r="N10727" s="753"/>
      <c r="O10727" s="753"/>
      <c r="P10727" s="753"/>
      <c r="Q10727" s="51"/>
      <c r="R10727" s="530"/>
      <c r="S10727" s="757"/>
      <c r="T10727" s="753"/>
      <c r="AR10727" s="748"/>
      <c r="AS10727" s="753"/>
    </row>
    <row r="10728" spans="1:45" s="901" customFormat="1" ht="13.2">
      <c r="A10728" s="903">
        <v>1</v>
      </c>
      <c r="B10728" s="904" t="s">
        <v>863</v>
      </c>
      <c r="C10728" s="904"/>
      <c r="D10728" s="904" t="s">
        <v>2594</v>
      </c>
      <c r="E10728" s="904"/>
      <c r="F10728" s="1153" t="s">
        <v>4143</v>
      </c>
      <c r="G10728" s="905" t="s">
        <v>2595</v>
      </c>
      <c r="H10728" s="902">
        <v>960</v>
      </c>
      <c r="I10728" s="904" t="s">
        <v>2596</v>
      </c>
      <c r="J10728" s="904"/>
      <c r="K10728" s="904"/>
      <c r="L10728" s="904"/>
      <c r="M10728" s="904"/>
      <c r="N10728" s="904"/>
      <c r="O10728" s="902">
        <v>4</v>
      </c>
      <c r="P10728" s="906">
        <v>38274</v>
      </c>
      <c r="Q10728" s="1415">
        <f>32*0.873</f>
        <v>27.936</v>
      </c>
      <c r="R10728" s="908">
        <f>$A10728*Q10728</f>
        <v>27.936</v>
      </c>
      <c r="S10728" s="907"/>
      <c r="T10728" s="909">
        <f>$A10728*S10728*$T$1</f>
        <v>0</v>
      </c>
      <c r="AR10728" s="903">
        <v>1</v>
      </c>
      <c r="AS10728" s="1153" t="s">
        <v>3507</v>
      </c>
    </row>
    <row r="10729" spans="1:45" s="520" customFormat="1" ht="12">
      <c r="A10729" s="758"/>
      <c r="B10729" s="758"/>
      <c r="C10729" s="758"/>
      <c r="D10729" s="758"/>
      <c r="E10729" s="758"/>
      <c r="F10729" s="753"/>
      <c r="G10729" s="758"/>
      <c r="H10729" s="758"/>
      <c r="I10729" s="519"/>
      <c r="J10729" s="758"/>
      <c r="K10729" s="758"/>
      <c r="L10729" s="758"/>
      <c r="M10729" s="758"/>
      <c r="N10729" s="758"/>
      <c r="O10729" s="758"/>
      <c r="P10729" s="758"/>
      <c r="Q10729" s="519"/>
      <c r="R10729" s="759">
        <f>$A10729*Q10729</f>
        <v>0</v>
      </c>
      <c r="S10729" s="519"/>
      <c r="T10729" s="760">
        <f>$A10729*S10729*$T$1</f>
        <v>0</v>
      </c>
      <c r="AR10729" s="758"/>
      <c r="AS10729" s="753"/>
    </row>
    <row r="10730" spans="1:45" s="520" customFormat="1" ht="12.6" thickBot="1">
      <c r="A10730" s="761" t="s">
        <v>145</v>
      </c>
      <c r="B10730" s="762">
        <f>(R10729+T10729)</f>
        <v>0</v>
      </c>
      <c r="C10730" s="763"/>
      <c r="D10730" s="763"/>
      <c r="E10730" s="763"/>
      <c r="F10730" s="764"/>
      <c r="G10730" s="763" t="s">
        <v>146</v>
      </c>
      <c r="H10730" s="763"/>
      <c r="I10730" s="765"/>
      <c r="J10730" s="763"/>
      <c r="K10730" s="763" t="s">
        <v>5</v>
      </c>
      <c r="L10730" s="766" t="s">
        <v>143</v>
      </c>
      <c r="M10730" s="766"/>
      <c r="N10730" s="766"/>
      <c r="O10730" s="766"/>
      <c r="P10730" s="766"/>
      <c r="Q10730" s="767"/>
      <c r="R10730" s="768">
        <f>SUM(R10727:R10729)</f>
        <v>27.936</v>
      </c>
      <c r="S10730" s="763"/>
      <c r="T10730" s="768">
        <f>SUM(T10727:T10729)</f>
        <v>0</v>
      </c>
      <c r="U10730" s="531"/>
      <c r="V10730" s="531"/>
      <c r="W10730" s="531"/>
      <c r="X10730" s="531"/>
      <c r="Y10730" s="531"/>
      <c r="Z10730" s="531"/>
      <c r="AA10730" s="531"/>
      <c r="AB10730" s="531"/>
      <c r="AC10730" s="531"/>
      <c r="AD10730" s="531"/>
      <c r="AE10730" s="531"/>
      <c r="AF10730" s="531"/>
      <c r="AG10730" s="531"/>
      <c r="AH10730" s="531"/>
      <c r="AI10730" s="531"/>
      <c r="AJ10730" s="531"/>
      <c r="AK10730" s="531"/>
      <c r="AL10730" s="531"/>
      <c r="AM10730" s="531"/>
      <c r="AN10730" s="531"/>
      <c r="AO10730" s="531"/>
      <c r="AR10730" s="761" t="s">
        <v>145</v>
      </c>
      <c r="AS10730" s="764"/>
    </row>
    <row r="10731" spans="1:45" s="520" customFormat="1" ht="12" thickTop="1">
      <c r="A10731" s="51"/>
      <c r="B10731" s="41"/>
      <c r="C10731" s="51"/>
      <c r="E10731" s="42" t="s">
        <v>138</v>
      </c>
      <c r="F10731" s="42" t="s">
        <v>139</v>
      </c>
      <c r="G10731" s="51"/>
      <c r="H10731" s="51"/>
      <c r="I10731" s="51"/>
      <c r="J10731" s="51"/>
      <c r="K10731" s="51" t="s">
        <v>140</v>
      </c>
      <c r="L10731" s="51"/>
      <c r="M10731" s="51"/>
      <c r="N10731" s="51"/>
      <c r="O10731" s="52"/>
      <c r="P10731" s="51"/>
      <c r="Q10731" s="51"/>
      <c r="R10731" s="51"/>
      <c r="S10731" s="51"/>
      <c r="T10731" s="41"/>
      <c r="AG10731" s="521" t="s">
        <v>268</v>
      </c>
      <c r="AH10731" s="521" t="s">
        <v>269</v>
      </c>
      <c r="AI10731" s="521" t="s">
        <v>270</v>
      </c>
      <c r="AJ10731" s="521" t="s">
        <v>271</v>
      </c>
      <c r="AK10731" s="521" t="s">
        <v>272</v>
      </c>
      <c r="AM10731" s="745" t="s">
        <v>281</v>
      </c>
      <c r="AN10731" s="746" t="s">
        <v>282</v>
      </c>
      <c r="AO10731" s="522" t="s">
        <v>278</v>
      </c>
      <c r="AR10731" s="51"/>
      <c r="AS10731" s="42" t="s">
        <v>139</v>
      </c>
    </row>
    <row r="10732" spans="1:45" s="520" customFormat="1" ht="12" customHeight="1">
      <c r="A10732" s="747">
        <v>1</v>
      </c>
      <c r="B10732" s="523" t="s">
        <v>329</v>
      </c>
      <c r="C10732" s="748"/>
      <c r="D10732" s="749" t="s">
        <v>2512</v>
      </c>
      <c r="E10732" s="1145">
        <f>IF(AND($A10732=0,$A$1="DIF"),0, ROUND(ROUND(($R10736*$S$3+($T10736*$T$3))/$A10732,2)*$C$3,2))</f>
        <v>147.81</v>
      </c>
      <c r="F10732" s="1146">
        <f>ROUND($A10732*$E10732,2)</f>
        <v>147.81</v>
      </c>
      <c r="G10732" s="752" t="s">
        <v>142</v>
      </c>
      <c r="H10732" s="753"/>
      <c r="I10732" s="754"/>
      <c r="J10732" s="753"/>
      <c r="K10732" s="753" t="s">
        <v>5</v>
      </c>
      <c r="L10732" s="755" t="s">
        <v>143</v>
      </c>
      <c r="M10732" s="755"/>
      <c r="N10732" s="755"/>
      <c r="O10732" s="755"/>
      <c r="P10732" s="755"/>
      <c r="Q10732" s="51"/>
      <c r="T10732" s="1150" t="str">
        <f>IF(AND($R10736=0,$T10736=0),"0.00","mu: "&amp; ROUND(F10732/$C$3/($R10736+$T10736*$D$9),2))</f>
        <v>mu: 1.13</v>
      </c>
      <c r="W10732" s="524"/>
      <c r="AG10732" s="1147">
        <f>IF($E10732=0,0,ROUND($R10736*$S$3*$C$3/$A10732,2))</f>
        <v>147.81</v>
      </c>
      <c r="AH10732" s="1147">
        <f>$AG10732*$A10732</f>
        <v>147.81</v>
      </c>
      <c r="AI10732" s="1148">
        <f>$E10732-$AG10732</f>
        <v>0</v>
      </c>
      <c r="AJ10732" s="1148">
        <f>$A10732*$AI10732</f>
        <v>0</v>
      </c>
      <c r="AK10732" s="1149">
        <f>ROUND(($AG10732+$AI10732)*$A10732,2)</f>
        <v>147.81</v>
      </c>
      <c r="AM10732" s="527">
        <f>ROUND(R10736,2)</f>
        <v>130.94999999999999</v>
      </c>
      <c r="AN10732" s="528">
        <f>ROUND(T10736,2)</f>
        <v>0</v>
      </c>
      <c r="AO10732" s="529">
        <f>ROUND(AM10732+AN10732,2)*A10732</f>
        <v>130.94999999999999</v>
      </c>
      <c r="AR10732" s="747">
        <v>1</v>
      </c>
      <c r="AS10732" s="1146">
        <v>160.84</v>
      </c>
    </row>
    <row r="10733" spans="1:45" s="520" customFormat="1" ht="13.2">
      <c r="A10733" s="748"/>
      <c r="B10733"/>
      <c r="C10733" s="748"/>
      <c r="D10733" s="749" t="s">
        <v>2083</v>
      </c>
      <c r="F10733" s="753"/>
      <c r="G10733" s="3"/>
      <c r="H10733" s="753"/>
      <c r="I10733" s="754"/>
      <c r="J10733" s="753"/>
      <c r="K10733" s="753" t="s">
        <v>144</v>
      </c>
      <c r="L10733" s="753"/>
      <c r="M10733" s="753"/>
      <c r="N10733" s="753"/>
      <c r="O10733" s="753"/>
      <c r="P10733" s="753"/>
      <c r="Q10733" s="51"/>
      <c r="R10733" s="530"/>
      <c r="S10733" s="757"/>
      <c r="T10733" s="753"/>
      <c r="AR10733" s="748"/>
      <c r="AS10733" s="753"/>
    </row>
    <row r="10734" spans="1:45" s="901" customFormat="1" ht="13.2">
      <c r="A10734" s="903">
        <v>1</v>
      </c>
      <c r="B10734" s="904" t="s">
        <v>863</v>
      </c>
      <c r="C10734" s="904"/>
      <c r="D10734" s="904" t="s">
        <v>2594</v>
      </c>
      <c r="E10734" s="904"/>
      <c r="F10734" s="1153" t="s">
        <v>4143</v>
      </c>
      <c r="G10734" s="905" t="s">
        <v>2595</v>
      </c>
      <c r="H10734" s="902">
        <v>960</v>
      </c>
      <c r="I10734" s="904" t="s">
        <v>2596</v>
      </c>
      <c r="J10734" s="904"/>
      <c r="K10734" s="904"/>
      <c r="L10734" s="904"/>
      <c r="M10734" s="904"/>
      <c r="N10734" s="904"/>
      <c r="O10734" s="902">
        <v>4</v>
      </c>
      <c r="P10734" s="906">
        <v>38274</v>
      </c>
      <c r="Q10734" s="1415">
        <f>150*0.873</f>
        <v>130.94999999999999</v>
      </c>
      <c r="R10734" s="908">
        <f>$A10734*Q10734</f>
        <v>130.94999999999999</v>
      </c>
      <c r="S10734" s="907"/>
      <c r="T10734" s="909">
        <f>$A10734*S10734*$T$1</f>
        <v>0</v>
      </c>
      <c r="AR10734" s="903">
        <v>1</v>
      </c>
      <c r="AS10734" s="1153" t="s">
        <v>3507</v>
      </c>
    </row>
    <row r="10735" spans="1:45" s="520" customFormat="1" ht="12">
      <c r="A10735" s="758"/>
      <c r="B10735" s="758"/>
      <c r="C10735" s="758"/>
      <c r="D10735" s="758"/>
      <c r="E10735" s="758"/>
      <c r="F10735" s="753"/>
      <c r="G10735" s="758"/>
      <c r="H10735" s="758"/>
      <c r="I10735" s="519"/>
      <c r="J10735" s="758"/>
      <c r="K10735" s="758"/>
      <c r="L10735" s="758"/>
      <c r="M10735" s="758"/>
      <c r="N10735" s="758"/>
      <c r="O10735" s="758"/>
      <c r="P10735" s="758"/>
      <c r="Q10735" s="519"/>
      <c r="R10735" s="759">
        <f>$A10735*Q10735</f>
        <v>0</v>
      </c>
      <c r="S10735" s="519"/>
      <c r="T10735" s="760">
        <f>$A10735*S10735*$T$1</f>
        <v>0</v>
      </c>
      <c r="AR10735" s="758"/>
      <c r="AS10735" s="753"/>
    </row>
    <row r="10736" spans="1:45" s="520" customFormat="1" ht="12.6" thickBot="1">
      <c r="A10736" s="761" t="s">
        <v>145</v>
      </c>
      <c r="B10736" s="762">
        <f>(R10735+T10735)</f>
        <v>0</v>
      </c>
      <c r="C10736" s="763"/>
      <c r="D10736" s="763"/>
      <c r="E10736" s="763"/>
      <c r="F10736" s="764"/>
      <c r="G10736" s="763" t="s">
        <v>146</v>
      </c>
      <c r="H10736" s="763"/>
      <c r="I10736" s="765"/>
      <c r="J10736" s="763"/>
      <c r="K10736" s="763" t="s">
        <v>5</v>
      </c>
      <c r="L10736" s="766" t="s">
        <v>143</v>
      </c>
      <c r="M10736" s="766"/>
      <c r="N10736" s="766"/>
      <c r="O10736" s="766"/>
      <c r="P10736" s="766"/>
      <c r="Q10736" s="767"/>
      <c r="R10736" s="768">
        <f>SUM(R10733:R10735)</f>
        <v>130.94999999999999</v>
      </c>
      <c r="S10736" s="763"/>
      <c r="T10736" s="768">
        <f>SUM(T10733:T10735)</f>
        <v>0</v>
      </c>
      <c r="U10736" s="531"/>
      <c r="V10736" s="531"/>
      <c r="W10736" s="531"/>
      <c r="X10736" s="531"/>
      <c r="Y10736" s="531"/>
      <c r="Z10736" s="531"/>
      <c r="AA10736" s="531"/>
      <c r="AB10736" s="531"/>
      <c r="AC10736" s="531"/>
      <c r="AD10736" s="531"/>
      <c r="AE10736" s="531"/>
      <c r="AF10736" s="531"/>
      <c r="AG10736" s="531"/>
      <c r="AH10736" s="531"/>
      <c r="AI10736" s="531"/>
      <c r="AJ10736" s="531"/>
      <c r="AK10736" s="531"/>
      <c r="AL10736" s="531"/>
      <c r="AM10736" s="531"/>
      <c r="AN10736" s="531"/>
      <c r="AO10736" s="531"/>
      <c r="AR10736" s="761" t="s">
        <v>145</v>
      </c>
      <c r="AS10736" s="764"/>
    </row>
    <row r="10737" spans="1:45" s="520" customFormat="1" ht="12" thickTop="1">
      <c r="A10737" s="51"/>
      <c r="B10737" s="41"/>
      <c r="C10737" s="51"/>
      <c r="E10737" s="42" t="s">
        <v>138</v>
      </c>
      <c r="F10737" s="42" t="s">
        <v>139</v>
      </c>
      <c r="G10737" s="51"/>
      <c r="H10737" s="51"/>
      <c r="I10737" s="51"/>
      <c r="J10737" s="51"/>
      <c r="K10737" s="51" t="s">
        <v>140</v>
      </c>
      <c r="L10737" s="51"/>
      <c r="M10737" s="51"/>
      <c r="N10737" s="51"/>
      <c r="O10737" s="52"/>
      <c r="P10737" s="51"/>
      <c r="Q10737" s="51"/>
      <c r="R10737" s="51"/>
      <c r="S10737" s="51"/>
      <c r="T10737" s="41"/>
      <c r="AG10737" s="521" t="s">
        <v>268</v>
      </c>
      <c r="AH10737" s="521" t="s">
        <v>269</v>
      </c>
      <c r="AI10737" s="521" t="s">
        <v>270</v>
      </c>
      <c r="AJ10737" s="521" t="s">
        <v>271</v>
      </c>
      <c r="AK10737" s="521" t="s">
        <v>272</v>
      </c>
      <c r="AM10737" s="745" t="s">
        <v>281</v>
      </c>
      <c r="AN10737" s="746" t="s">
        <v>282</v>
      </c>
      <c r="AO10737" s="522" t="s">
        <v>278</v>
      </c>
      <c r="AR10737" s="51"/>
      <c r="AS10737" s="42" t="s">
        <v>139</v>
      </c>
    </row>
    <row r="10738" spans="1:45" s="520" customFormat="1" ht="12" customHeight="1">
      <c r="A10738" s="747">
        <v>1</v>
      </c>
      <c r="B10738" s="523" t="s">
        <v>329</v>
      </c>
      <c r="C10738" s="748"/>
      <c r="D10738" s="749" t="s">
        <v>2513</v>
      </c>
      <c r="E10738" s="1145">
        <f>IF(AND($A10738=0,$A$1="DIF"),0, ROUND(ROUND(($R10742*$S$3+($T10742*$T$3))/$A10738,2)*$C$3,2))</f>
        <v>739.04</v>
      </c>
      <c r="F10738" s="1146">
        <f>ROUND($A10738*$E10738,2)</f>
        <v>739.04</v>
      </c>
      <c r="G10738" s="752" t="s">
        <v>142</v>
      </c>
      <c r="H10738" s="753"/>
      <c r="I10738" s="754"/>
      <c r="J10738" s="753"/>
      <c r="K10738" s="753" t="s">
        <v>5</v>
      </c>
      <c r="L10738" s="755" t="s">
        <v>143</v>
      </c>
      <c r="M10738" s="755"/>
      <c r="N10738" s="755"/>
      <c r="O10738" s="755"/>
      <c r="P10738" s="755"/>
      <c r="Q10738" s="51"/>
      <c r="T10738" s="1150" t="str">
        <f>IF(AND($R10742=0,$T10742=0),"0.00","mu: "&amp; ROUND(F10738/$C$3/($R10742+$T10742*$D$9),2))</f>
        <v>mu: 1.13</v>
      </c>
      <c r="W10738" s="524"/>
      <c r="AG10738" s="1147">
        <f>IF($E10738=0,0,ROUND($R10742*$S$3*$C$3/$A10738,2))</f>
        <v>739.04</v>
      </c>
      <c r="AH10738" s="1147">
        <f>$AG10738*$A10738</f>
        <v>739.04</v>
      </c>
      <c r="AI10738" s="1148">
        <f>$E10738-$AG10738</f>
        <v>0</v>
      </c>
      <c r="AJ10738" s="1148">
        <f>$A10738*$AI10738</f>
        <v>0</v>
      </c>
      <c r="AK10738" s="1149">
        <f>ROUND(($AG10738+$AI10738)*$A10738,2)</f>
        <v>739.04</v>
      </c>
      <c r="AM10738" s="527">
        <f>ROUND(R10742,2)</f>
        <v>654.75</v>
      </c>
      <c r="AN10738" s="528">
        <f>ROUND(T10742,2)</f>
        <v>0</v>
      </c>
      <c r="AO10738" s="529">
        <f>ROUND(AM10738+AN10738,2)*A10738</f>
        <v>654.75</v>
      </c>
      <c r="AR10738" s="747">
        <v>1</v>
      </c>
      <c r="AS10738" s="1146">
        <v>804.22</v>
      </c>
    </row>
    <row r="10739" spans="1:45" s="520" customFormat="1" ht="13.2">
      <c r="A10739" s="748"/>
      <c r="B10739"/>
      <c r="C10739" s="748"/>
      <c r="D10739" s="749" t="s">
        <v>2209</v>
      </c>
      <c r="F10739" s="753"/>
      <c r="G10739" s="3"/>
      <c r="H10739" s="753"/>
      <c r="I10739" s="754"/>
      <c r="J10739" s="753"/>
      <c r="K10739" s="753" t="s">
        <v>144</v>
      </c>
      <c r="L10739" s="753"/>
      <c r="M10739" s="753"/>
      <c r="N10739" s="753"/>
      <c r="O10739" s="753"/>
      <c r="P10739" s="753"/>
      <c r="Q10739" s="51"/>
      <c r="R10739" s="530"/>
      <c r="S10739" s="757"/>
      <c r="T10739" s="753"/>
      <c r="AR10739" s="748"/>
      <c r="AS10739" s="753"/>
    </row>
    <row r="10740" spans="1:45" s="901" customFormat="1" ht="13.2">
      <c r="A10740" s="903">
        <v>1</v>
      </c>
      <c r="B10740" s="904" t="s">
        <v>863</v>
      </c>
      <c r="C10740" s="904"/>
      <c r="D10740" s="904" t="s">
        <v>2594</v>
      </c>
      <c r="E10740" s="904"/>
      <c r="F10740" s="1153" t="s">
        <v>4143</v>
      </c>
      <c r="G10740" s="905" t="s">
        <v>2595</v>
      </c>
      <c r="H10740" s="902">
        <v>960</v>
      </c>
      <c r="I10740" s="904" t="s">
        <v>2596</v>
      </c>
      <c r="J10740" s="904"/>
      <c r="K10740" s="904"/>
      <c r="L10740" s="904"/>
      <c r="M10740" s="904"/>
      <c r="N10740" s="904"/>
      <c r="O10740" s="902">
        <v>4</v>
      </c>
      <c r="P10740" s="906">
        <v>38274</v>
      </c>
      <c r="Q10740" s="1415">
        <f>750*0.873</f>
        <v>654.75</v>
      </c>
      <c r="R10740" s="908">
        <f>$A10740*Q10740</f>
        <v>654.75</v>
      </c>
      <c r="S10740" s="907"/>
      <c r="T10740" s="909">
        <f>$A10740*S10740*$T$1</f>
        <v>0</v>
      </c>
      <c r="AR10740" s="903">
        <v>1</v>
      </c>
      <c r="AS10740" s="1153" t="s">
        <v>3507</v>
      </c>
    </row>
    <row r="10741" spans="1:45" s="520" customFormat="1" ht="12">
      <c r="A10741" s="758"/>
      <c r="B10741" s="758"/>
      <c r="C10741" s="758"/>
      <c r="D10741" s="758"/>
      <c r="E10741" s="758"/>
      <c r="F10741" s="753"/>
      <c r="G10741" s="758"/>
      <c r="H10741" s="758"/>
      <c r="I10741" s="519"/>
      <c r="J10741" s="758"/>
      <c r="K10741" s="758"/>
      <c r="L10741" s="758"/>
      <c r="M10741" s="758"/>
      <c r="N10741" s="758"/>
      <c r="O10741" s="758"/>
      <c r="P10741" s="758"/>
      <c r="Q10741" s="519"/>
      <c r="R10741" s="759">
        <f>$A10741*Q10741</f>
        <v>0</v>
      </c>
      <c r="S10741" s="519"/>
      <c r="T10741" s="760">
        <f>$A10741*S10741*$T$1</f>
        <v>0</v>
      </c>
      <c r="AR10741" s="758"/>
      <c r="AS10741" s="753"/>
    </row>
    <row r="10742" spans="1:45" s="520" customFormat="1" ht="12.6" thickBot="1">
      <c r="A10742" s="761" t="s">
        <v>145</v>
      </c>
      <c r="B10742" s="762">
        <f>(R10741+T10741)</f>
        <v>0</v>
      </c>
      <c r="C10742" s="763"/>
      <c r="D10742" s="763"/>
      <c r="E10742" s="763"/>
      <c r="F10742" s="764"/>
      <c r="G10742" s="763" t="s">
        <v>146</v>
      </c>
      <c r="H10742" s="763"/>
      <c r="I10742" s="765"/>
      <c r="J10742" s="763"/>
      <c r="K10742" s="763" t="s">
        <v>5</v>
      </c>
      <c r="L10742" s="766" t="s">
        <v>143</v>
      </c>
      <c r="M10742" s="766"/>
      <c r="N10742" s="766"/>
      <c r="O10742" s="766"/>
      <c r="P10742" s="766"/>
      <c r="Q10742" s="767"/>
      <c r="R10742" s="768">
        <f>SUM(R10739:R10741)</f>
        <v>654.75</v>
      </c>
      <c r="S10742" s="763"/>
      <c r="T10742" s="768">
        <f>SUM(T10739:T10741)</f>
        <v>0</v>
      </c>
      <c r="U10742" s="531"/>
      <c r="V10742" s="531"/>
      <c r="W10742" s="531"/>
      <c r="X10742" s="531"/>
      <c r="Y10742" s="531"/>
      <c r="Z10742" s="531"/>
      <c r="AA10742" s="531"/>
      <c r="AB10742" s="531"/>
      <c r="AC10742" s="531"/>
      <c r="AD10742" s="531"/>
      <c r="AE10742" s="531"/>
      <c r="AF10742" s="531"/>
      <c r="AG10742" s="531"/>
      <c r="AH10742" s="531"/>
      <c r="AI10742" s="531"/>
      <c r="AJ10742" s="531"/>
      <c r="AK10742" s="531"/>
      <c r="AL10742" s="531"/>
      <c r="AM10742" s="531"/>
      <c r="AN10742" s="531"/>
      <c r="AO10742" s="531"/>
      <c r="AR10742" s="761" t="s">
        <v>145</v>
      </c>
      <c r="AS10742" s="764"/>
    </row>
    <row r="10743" spans="1:45" s="520" customFormat="1" thickTop="1">
      <c r="A10743" s="51"/>
      <c r="B10743" s="51"/>
      <c r="C10743" s="3"/>
      <c r="D10743" s="3"/>
      <c r="E10743" s="51"/>
      <c r="F10743" s="51"/>
      <c r="G10743" s="51"/>
      <c r="H10743" s="51"/>
      <c r="I10743" s="51"/>
      <c r="J10743" s="51"/>
      <c r="K10743" s="51" t="s">
        <v>134</v>
      </c>
      <c r="L10743" s="51"/>
      <c r="M10743" s="51"/>
      <c r="N10743" s="51"/>
      <c r="O10743" s="52"/>
      <c r="P10743" s="51"/>
      <c r="Q10743" s="51"/>
      <c r="R10743" s="51"/>
      <c r="S10743" s="51"/>
      <c r="T10743" s="51"/>
      <c r="AR10743" s="51"/>
      <c r="AS10743" s="51"/>
    </row>
    <row r="10744" spans="1:45" s="520" customFormat="1" ht="12">
      <c r="A10744" s="51"/>
      <c r="B10744" s="51"/>
      <c r="C10744" s="51" t="s">
        <v>135</v>
      </c>
      <c r="D10744" s="37"/>
      <c r="E10744" s="51"/>
      <c r="F10744" s="51"/>
      <c r="G10744" s="51"/>
      <c r="H10744" s="51"/>
      <c r="I10744" s="51"/>
      <c r="J10744" s="51"/>
      <c r="K10744" s="51"/>
      <c r="L10744" s="51"/>
      <c r="M10744" s="51"/>
      <c r="N10744" s="51"/>
      <c r="O10744" s="52"/>
      <c r="P10744" s="51"/>
      <c r="Q10744" s="51"/>
      <c r="R10744" s="51"/>
      <c r="S10744" s="51"/>
      <c r="T10744" s="51"/>
      <c r="AR10744" s="51"/>
      <c r="AS10744" s="51"/>
    </row>
    <row r="10745" spans="1:45" s="520" customFormat="1" ht="12">
      <c r="A10745" s="51"/>
      <c r="B10745" s="51"/>
      <c r="C10745" s="51"/>
      <c r="D10745" s="37" t="s">
        <v>368</v>
      </c>
      <c r="E10745" s="51"/>
      <c r="F10745" s="51"/>
      <c r="G10745" s="51"/>
      <c r="H10745" s="51"/>
      <c r="I10745" s="51"/>
      <c r="J10745" s="51"/>
      <c r="K10745" s="51"/>
      <c r="L10745" s="51"/>
      <c r="M10745" s="51"/>
      <c r="N10745" s="51"/>
      <c r="O10745" s="52"/>
      <c r="P10745" s="51"/>
      <c r="Q10745" s="51"/>
      <c r="R10745" s="51"/>
      <c r="S10745" s="38"/>
      <c r="T10745" s="38"/>
      <c r="AR10745" s="51"/>
      <c r="AS10745" s="51"/>
    </row>
    <row r="10746" spans="1:45" s="3" customFormat="1" thickBot="1">
      <c r="A10746" s="531"/>
      <c r="O10746" s="107"/>
      <c r="AR10746" s="531"/>
    </row>
    <row r="10747" spans="1:45" s="520" customFormat="1" thickTop="1">
      <c r="A10747" s="51"/>
      <c r="B10747" s="51"/>
      <c r="C10747" s="3"/>
      <c r="D10747" s="3"/>
      <c r="E10747" s="51"/>
      <c r="F10747" s="51"/>
      <c r="G10747" s="51"/>
      <c r="H10747" s="51"/>
      <c r="I10747" s="51"/>
      <c r="J10747" s="51"/>
      <c r="K10747" s="51" t="s">
        <v>134</v>
      </c>
      <c r="L10747" s="51"/>
      <c r="M10747" s="51"/>
      <c r="N10747" s="51"/>
      <c r="O10747" s="52"/>
      <c r="P10747" s="51"/>
      <c r="Q10747" s="51"/>
      <c r="R10747" s="51"/>
      <c r="S10747" s="51"/>
      <c r="T10747" s="51"/>
      <c r="AR10747" s="51"/>
      <c r="AS10747" s="51"/>
    </row>
    <row r="10748" spans="1:45" s="520" customFormat="1" ht="12">
      <c r="A10748" s="51"/>
      <c r="B10748" s="51"/>
      <c r="C10748" s="51" t="s">
        <v>135</v>
      </c>
      <c r="D10748" s="37"/>
      <c r="E10748" s="51"/>
      <c r="F10748" s="51"/>
      <c r="G10748" s="51"/>
      <c r="H10748" s="51"/>
      <c r="I10748" s="51"/>
      <c r="J10748" s="51"/>
      <c r="K10748" s="51"/>
      <c r="L10748" s="51"/>
      <c r="M10748" s="51"/>
      <c r="N10748" s="51"/>
      <c r="O10748" s="52"/>
      <c r="P10748" s="51"/>
      <c r="Q10748" s="51"/>
      <c r="R10748" s="51"/>
      <c r="S10748" s="51"/>
      <c r="T10748" s="51"/>
      <c r="AR10748" s="51"/>
      <c r="AS10748" s="51"/>
    </row>
    <row r="10749" spans="1:45" s="520" customFormat="1" ht="39.9" customHeight="1">
      <c r="A10749" s="51"/>
      <c r="B10749" s="51"/>
      <c r="C10749" s="51"/>
      <c r="D10749" s="1453" t="s">
        <v>2499</v>
      </c>
      <c r="E10749" s="1452"/>
      <c r="F10749" s="1452"/>
      <c r="G10749" s="1452"/>
      <c r="H10749" s="1452"/>
      <c r="I10749" s="1452"/>
      <c r="J10749" s="1452"/>
      <c r="K10749" s="1452"/>
      <c r="L10749" s="1452"/>
      <c r="M10749" s="1452"/>
      <c r="N10749" s="1452"/>
      <c r="O10749" s="1452"/>
      <c r="P10749" s="1452"/>
      <c r="Q10749" s="1452"/>
      <c r="R10749" s="1452"/>
      <c r="S10749" s="1452"/>
      <c r="T10749" s="1452"/>
      <c r="AR10749" s="51"/>
    </row>
    <row r="10750" spans="1:45" s="3" customFormat="1" thickBot="1">
      <c r="A10750" s="531"/>
      <c r="O10750" s="107"/>
      <c r="AR10750" s="531"/>
    </row>
    <row r="10751" spans="1:45" s="520" customFormat="1" ht="12" thickTop="1">
      <c r="A10751" s="51"/>
      <c r="B10751" s="41"/>
      <c r="C10751" s="51"/>
      <c r="E10751" s="42" t="s">
        <v>138</v>
      </c>
      <c r="F10751" s="42" t="s">
        <v>139</v>
      </c>
      <c r="G10751" s="51"/>
      <c r="H10751" s="51"/>
      <c r="I10751" s="51"/>
      <c r="J10751" s="51"/>
      <c r="K10751" s="51" t="s">
        <v>140</v>
      </c>
      <c r="L10751" s="51"/>
      <c r="M10751" s="51"/>
      <c r="N10751" s="51"/>
      <c r="O10751" s="52"/>
      <c r="P10751" s="51"/>
      <c r="Q10751" s="51"/>
      <c r="R10751" s="51"/>
      <c r="S10751" s="51"/>
      <c r="T10751" s="41"/>
      <c r="AG10751" s="521" t="s">
        <v>268</v>
      </c>
      <c r="AH10751" s="521" t="s">
        <v>269</v>
      </c>
      <c r="AI10751" s="521" t="s">
        <v>270</v>
      </c>
      <c r="AJ10751" s="521" t="s">
        <v>271</v>
      </c>
      <c r="AK10751" s="521" t="s">
        <v>272</v>
      </c>
      <c r="AM10751" s="745" t="s">
        <v>281</v>
      </c>
      <c r="AN10751" s="746" t="s">
        <v>282</v>
      </c>
      <c r="AO10751" s="522" t="s">
        <v>278</v>
      </c>
      <c r="AR10751" s="51"/>
      <c r="AS10751" s="42" t="s">
        <v>139</v>
      </c>
    </row>
    <row r="10752" spans="1:45" s="520" customFormat="1" ht="12" customHeight="1">
      <c r="A10752" s="747">
        <v>2</v>
      </c>
      <c r="B10752" s="523" t="s">
        <v>329</v>
      </c>
      <c r="C10752" s="748"/>
      <c r="D10752" s="749" t="s">
        <v>2514</v>
      </c>
      <c r="E10752" s="750">
        <f>IF(AND($A10752=0,$A$1="DIF"),0, ROUND(ROUND(($R10756*$S$2+($T10756*$T$2))/A10752,2)*$C$2,2))</f>
        <v>30.86</v>
      </c>
      <c r="F10752" s="751">
        <f>ROUND($A10752*$E10752,2)</f>
        <v>61.72</v>
      </c>
      <c r="G10752" s="752" t="s">
        <v>142</v>
      </c>
      <c r="H10752" s="753"/>
      <c r="I10752" s="754"/>
      <c r="J10752" s="753"/>
      <c r="K10752" s="753" t="s">
        <v>3</v>
      </c>
      <c r="L10752" s="755" t="s">
        <v>143</v>
      </c>
      <c r="M10752" s="755"/>
      <c r="N10752" s="755"/>
      <c r="O10752" s="755"/>
      <c r="P10752" s="755"/>
      <c r="Q10752" s="51"/>
      <c r="T10752" s="756" t="str">
        <f>IF(AND($R10756=0,$T10756=0),"0.00","mu :" &amp; ROUND($F10752/$C$2/($R10756+$T10756*$D$9),2))</f>
        <v>mu :1.23</v>
      </c>
      <c r="W10752" s="524"/>
      <c r="AG10752" s="481">
        <f>IF($E10752=0,0,ROUND($R10756*$S$2*$C$2/$A10752,2))</f>
        <v>11.08</v>
      </c>
      <c r="AH10752" s="481">
        <f>$AG10752*$A10752</f>
        <v>22.16</v>
      </c>
      <c r="AI10752" s="525">
        <f>$E10752-$AG10752</f>
        <v>19.78</v>
      </c>
      <c r="AJ10752" s="525">
        <f>$A10752*$AI10752</f>
        <v>39.56</v>
      </c>
      <c r="AK10752" s="526">
        <f>ROUND(($AG10752+$AI10752)*$A10752,2)</f>
        <v>61.72</v>
      </c>
      <c r="AM10752" s="527">
        <f>ROUND(R10756,2)</f>
        <v>18</v>
      </c>
      <c r="AN10752" s="528">
        <f>ROUND(T10756,2)</f>
        <v>1.17</v>
      </c>
      <c r="AO10752" s="529">
        <f>ROUND(AM10752+AN10752,2)*A10752</f>
        <v>38.340000000000003</v>
      </c>
      <c r="AR10752" s="747">
        <v>2</v>
      </c>
      <c r="AS10752" s="751">
        <v>66.12</v>
      </c>
    </row>
    <row r="10753" spans="1:45" s="520" customFormat="1" ht="13.2">
      <c r="A10753" s="748"/>
      <c r="B10753"/>
      <c r="C10753" s="748"/>
      <c r="D10753" s="749" t="s">
        <v>2205</v>
      </c>
      <c r="F10753" s="753"/>
      <c r="G10753" s="3"/>
      <c r="H10753" s="753"/>
      <c r="I10753" s="754"/>
      <c r="J10753" s="753"/>
      <c r="K10753" s="753" t="s">
        <v>144</v>
      </c>
      <c r="L10753" s="753"/>
      <c r="M10753" s="753"/>
      <c r="N10753" s="753"/>
      <c r="O10753" s="753"/>
      <c r="P10753" s="753"/>
      <c r="Q10753" s="51"/>
      <c r="R10753" s="530"/>
      <c r="S10753" s="757"/>
      <c r="T10753" s="753"/>
      <c r="AR10753" s="748"/>
      <c r="AS10753" s="753"/>
    </row>
    <row r="10754" spans="1:45" s="901" customFormat="1" ht="13.2">
      <c r="A10754" s="1220">
        <f>2*5</f>
        <v>10</v>
      </c>
      <c r="B10754" s="901" t="s">
        <v>320</v>
      </c>
      <c r="D10754" s="901" t="s">
        <v>3209</v>
      </c>
      <c r="F10754" s="901" t="s">
        <v>3237</v>
      </c>
      <c r="G10754" s="941" t="s">
        <v>3210</v>
      </c>
      <c r="H10754" s="942">
        <v>700</v>
      </c>
      <c r="I10754" s="901" t="s">
        <v>3008</v>
      </c>
      <c r="J10754" s="901" t="s">
        <v>2953</v>
      </c>
      <c r="O10754" s="943">
        <v>1</v>
      </c>
      <c r="P10754" s="944">
        <v>42213</v>
      </c>
      <c r="Q10754" s="945">
        <v>1.8</v>
      </c>
      <c r="R10754" s="946">
        <f>$A10754*Q10754</f>
        <v>18</v>
      </c>
      <c r="S10754" s="945">
        <v>0.13</v>
      </c>
      <c r="T10754" s="947">
        <f>$A10754*S10754*$T$1</f>
        <v>1.1700000000000002</v>
      </c>
      <c r="AR10754" s="1220">
        <v>10</v>
      </c>
      <c r="AS10754" s="901" t="s">
        <v>3237</v>
      </c>
    </row>
    <row r="10755" spans="1:45" s="520" customFormat="1" ht="12">
      <c r="A10755" s="758"/>
      <c r="B10755" s="758"/>
      <c r="C10755" s="758"/>
      <c r="D10755" s="758"/>
      <c r="E10755" s="758"/>
      <c r="F10755" s="753"/>
      <c r="G10755" s="758"/>
      <c r="H10755" s="758"/>
      <c r="I10755" s="519"/>
      <c r="J10755" s="758"/>
      <c r="K10755" s="758"/>
      <c r="L10755" s="758"/>
      <c r="M10755" s="758"/>
      <c r="N10755" s="758"/>
      <c r="O10755" s="758"/>
      <c r="P10755" s="758"/>
      <c r="Q10755" s="519"/>
      <c r="R10755" s="759">
        <f>$A10755*Q10755</f>
        <v>0</v>
      </c>
      <c r="S10755" s="519"/>
      <c r="T10755" s="760">
        <f>$A10755*S10755*$T$1</f>
        <v>0</v>
      </c>
      <c r="AR10755" s="758"/>
      <c r="AS10755" s="753"/>
    </row>
    <row r="10756" spans="1:45" s="520" customFormat="1" ht="12.6" thickBot="1">
      <c r="A10756" s="761" t="s">
        <v>145</v>
      </c>
      <c r="B10756" s="762">
        <f>(R10755+T10755)</f>
        <v>0</v>
      </c>
      <c r="C10756" s="763"/>
      <c r="D10756" s="763"/>
      <c r="E10756" s="763"/>
      <c r="F10756" s="764"/>
      <c r="G10756" s="763" t="s">
        <v>146</v>
      </c>
      <c r="H10756" s="763"/>
      <c r="I10756" s="765"/>
      <c r="J10756" s="763"/>
      <c r="K10756" s="763" t="s">
        <v>3</v>
      </c>
      <c r="L10756" s="766" t="s">
        <v>143</v>
      </c>
      <c r="M10756" s="766"/>
      <c r="N10756" s="766"/>
      <c r="O10756" s="766"/>
      <c r="P10756" s="766"/>
      <c r="Q10756" s="767"/>
      <c r="R10756" s="768">
        <f>SUM(R10753:R10755)</f>
        <v>18</v>
      </c>
      <c r="S10756" s="763"/>
      <c r="T10756" s="768">
        <f>SUM(T10753:T10755)</f>
        <v>1.1700000000000002</v>
      </c>
      <c r="U10756" s="531"/>
      <c r="V10756" s="531"/>
      <c r="W10756" s="531"/>
      <c r="X10756" s="531"/>
      <c r="Y10756" s="531"/>
      <c r="Z10756" s="531"/>
      <c r="AA10756" s="531"/>
      <c r="AB10756" s="531"/>
      <c r="AC10756" s="531"/>
      <c r="AD10756" s="531"/>
      <c r="AE10756" s="531"/>
      <c r="AF10756" s="531"/>
      <c r="AG10756" s="531"/>
      <c r="AH10756" s="531"/>
      <c r="AI10756" s="531"/>
      <c r="AJ10756" s="531"/>
      <c r="AK10756" s="531"/>
      <c r="AL10756" s="531"/>
      <c r="AM10756" s="531"/>
      <c r="AN10756" s="531"/>
      <c r="AO10756" s="531"/>
      <c r="AR10756" s="761" t="s">
        <v>145</v>
      </c>
      <c r="AS10756" s="764"/>
    </row>
    <row r="10757" spans="1:45" s="520" customFormat="1" ht="12" thickTop="1">
      <c r="A10757" s="51"/>
      <c r="B10757" s="41"/>
      <c r="C10757" s="51"/>
      <c r="E10757" s="42" t="s">
        <v>138</v>
      </c>
      <c r="F10757" s="42" t="s">
        <v>139</v>
      </c>
      <c r="G10757" s="51"/>
      <c r="H10757" s="51"/>
      <c r="I10757" s="51"/>
      <c r="J10757" s="51"/>
      <c r="K10757" s="51" t="s">
        <v>140</v>
      </c>
      <c r="L10757" s="51"/>
      <c r="M10757" s="51"/>
      <c r="N10757" s="51"/>
      <c r="O10757" s="52"/>
      <c r="P10757" s="51"/>
      <c r="Q10757" s="51"/>
      <c r="R10757" s="51"/>
      <c r="S10757" s="51"/>
      <c r="T10757" s="41"/>
      <c r="AG10757" s="521" t="s">
        <v>268</v>
      </c>
      <c r="AH10757" s="521" t="s">
        <v>269</v>
      </c>
      <c r="AI10757" s="521" t="s">
        <v>270</v>
      </c>
      <c r="AJ10757" s="521" t="s">
        <v>271</v>
      </c>
      <c r="AK10757" s="521" t="s">
        <v>272</v>
      </c>
      <c r="AM10757" s="745" t="s">
        <v>281</v>
      </c>
      <c r="AN10757" s="746" t="s">
        <v>282</v>
      </c>
      <c r="AO10757" s="522" t="s">
        <v>278</v>
      </c>
      <c r="AR10757" s="51"/>
      <c r="AS10757" s="42" t="s">
        <v>139</v>
      </c>
    </row>
    <row r="10758" spans="1:45" s="520" customFormat="1" ht="12" customHeight="1">
      <c r="A10758" s="747">
        <v>2</v>
      </c>
      <c r="B10758" s="523" t="s">
        <v>329</v>
      </c>
      <c r="C10758" s="748"/>
      <c r="D10758" s="749" t="s">
        <v>2515</v>
      </c>
      <c r="E10758" s="750">
        <f>IF(AND($A10758=0,$A$1="DIF"),0, ROUND(ROUND(($R10762*$S$2+($T10762*$T$2))/A10758,2)*$C$2,2))</f>
        <v>18.52</v>
      </c>
      <c r="F10758" s="751">
        <f>ROUND($A10758*$E10758,2)</f>
        <v>37.04</v>
      </c>
      <c r="G10758" s="752" t="s">
        <v>142</v>
      </c>
      <c r="H10758" s="753"/>
      <c r="I10758" s="754"/>
      <c r="J10758" s="753"/>
      <c r="K10758" s="753" t="s">
        <v>3</v>
      </c>
      <c r="L10758" s="755" t="s">
        <v>143</v>
      </c>
      <c r="M10758" s="755"/>
      <c r="N10758" s="755"/>
      <c r="O10758" s="755"/>
      <c r="P10758" s="755"/>
      <c r="Q10758" s="51"/>
      <c r="T10758" s="756" t="str">
        <f>IF(AND($R10762=0,$T10762=0),"0.00","mu :" &amp; ROUND($F10758/$C$2/($R10762+$T10762*$D$9),2))</f>
        <v>mu :1.23</v>
      </c>
      <c r="W10758" s="524"/>
      <c r="AG10758" s="481">
        <f>IF($E10758=0,0,ROUND($R10762*$S$2*$C$2/$A10758,2))</f>
        <v>6.65</v>
      </c>
      <c r="AH10758" s="481">
        <f>$AG10758*$A10758</f>
        <v>13.3</v>
      </c>
      <c r="AI10758" s="525">
        <f>$E10758-$AG10758</f>
        <v>11.87</v>
      </c>
      <c r="AJ10758" s="525">
        <f>$A10758*$AI10758</f>
        <v>23.74</v>
      </c>
      <c r="AK10758" s="526">
        <f>ROUND(($AG10758+$AI10758)*$A10758,2)</f>
        <v>37.04</v>
      </c>
      <c r="AM10758" s="527">
        <f>ROUND(R10762,2)</f>
        <v>10.8</v>
      </c>
      <c r="AN10758" s="528">
        <f>ROUND(T10762,2)</f>
        <v>0.7</v>
      </c>
      <c r="AO10758" s="529">
        <f>ROUND(AM10758+AN10758,2)*A10758</f>
        <v>23</v>
      </c>
      <c r="AR10758" s="747">
        <v>2</v>
      </c>
      <c r="AS10758" s="751">
        <v>39.68</v>
      </c>
    </row>
    <row r="10759" spans="1:45" s="520" customFormat="1" ht="13.2">
      <c r="A10759" s="748"/>
      <c r="B10759"/>
      <c r="C10759" s="748"/>
      <c r="D10759" s="749" t="s">
        <v>2206</v>
      </c>
      <c r="F10759" s="753"/>
      <c r="G10759" s="3"/>
      <c r="H10759" s="753"/>
      <c r="I10759" s="754"/>
      <c r="J10759" s="753"/>
      <c r="K10759" s="753" t="s">
        <v>144</v>
      </c>
      <c r="L10759" s="753"/>
      <c r="M10759" s="753"/>
      <c r="N10759" s="753"/>
      <c r="O10759" s="753"/>
      <c r="P10759" s="753"/>
      <c r="Q10759" s="51"/>
      <c r="R10759" s="530"/>
      <c r="S10759" s="757"/>
      <c r="T10759" s="753"/>
      <c r="AR10759" s="748"/>
      <c r="AS10759" s="753"/>
    </row>
    <row r="10760" spans="1:45" s="901" customFormat="1" ht="13.2">
      <c r="A10760" s="1220">
        <f>2*3</f>
        <v>6</v>
      </c>
      <c r="B10760" s="901" t="s">
        <v>320</v>
      </c>
      <c r="D10760" s="901" t="s">
        <v>3209</v>
      </c>
      <c r="F10760" s="901" t="s">
        <v>3237</v>
      </c>
      <c r="G10760" s="941" t="s">
        <v>3210</v>
      </c>
      <c r="H10760" s="942">
        <v>700</v>
      </c>
      <c r="I10760" s="901" t="s">
        <v>3008</v>
      </c>
      <c r="J10760" s="901" t="s">
        <v>2953</v>
      </c>
      <c r="O10760" s="943">
        <v>1</v>
      </c>
      <c r="P10760" s="944">
        <v>42213</v>
      </c>
      <c r="Q10760" s="945">
        <v>1.8</v>
      </c>
      <c r="R10760" s="946">
        <f>$A10760*Q10760</f>
        <v>10.8</v>
      </c>
      <c r="S10760" s="945">
        <v>0.13</v>
      </c>
      <c r="T10760" s="947">
        <f>$A10760*S10760*$T$1</f>
        <v>0.70200000000000007</v>
      </c>
      <c r="AR10760" s="1220">
        <v>6</v>
      </c>
      <c r="AS10760" s="901" t="s">
        <v>3237</v>
      </c>
    </row>
    <row r="10761" spans="1:45" s="520" customFormat="1" ht="12">
      <c r="A10761" s="758"/>
      <c r="B10761" s="758"/>
      <c r="C10761" s="758"/>
      <c r="D10761" s="758"/>
      <c r="E10761" s="758"/>
      <c r="F10761" s="753"/>
      <c r="G10761" s="758"/>
      <c r="H10761" s="758"/>
      <c r="I10761" s="519"/>
      <c r="J10761" s="758"/>
      <c r="K10761" s="758"/>
      <c r="L10761" s="758"/>
      <c r="M10761" s="758"/>
      <c r="N10761" s="758"/>
      <c r="O10761" s="758"/>
      <c r="P10761" s="758"/>
      <c r="Q10761" s="519"/>
      <c r="R10761" s="759">
        <f>$A10761*Q10761</f>
        <v>0</v>
      </c>
      <c r="S10761" s="519"/>
      <c r="T10761" s="760">
        <f>$A10761*S10761*$T$1</f>
        <v>0</v>
      </c>
      <c r="AR10761" s="758"/>
      <c r="AS10761" s="753"/>
    </row>
    <row r="10762" spans="1:45" s="520" customFormat="1" ht="12.6" thickBot="1">
      <c r="A10762" s="761" t="s">
        <v>145</v>
      </c>
      <c r="B10762" s="762">
        <f>(R10761+T10761)</f>
        <v>0</v>
      </c>
      <c r="C10762" s="763"/>
      <c r="D10762" s="763"/>
      <c r="E10762" s="763"/>
      <c r="F10762" s="764"/>
      <c r="G10762" s="763" t="s">
        <v>146</v>
      </c>
      <c r="H10762" s="763"/>
      <c r="I10762" s="765"/>
      <c r="J10762" s="763"/>
      <c r="K10762" s="763" t="s">
        <v>3</v>
      </c>
      <c r="L10762" s="766" t="s">
        <v>143</v>
      </c>
      <c r="M10762" s="766"/>
      <c r="N10762" s="766"/>
      <c r="O10762" s="766"/>
      <c r="P10762" s="766"/>
      <c r="Q10762" s="767"/>
      <c r="R10762" s="768">
        <f>SUM(R10759:R10761)</f>
        <v>10.8</v>
      </c>
      <c r="S10762" s="763"/>
      <c r="T10762" s="768">
        <f>SUM(T10759:T10761)</f>
        <v>0.70200000000000007</v>
      </c>
      <c r="U10762" s="531"/>
      <c r="V10762" s="531"/>
      <c r="W10762" s="531"/>
      <c r="X10762" s="531"/>
      <c r="Y10762" s="531"/>
      <c r="Z10762" s="531"/>
      <c r="AA10762" s="531"/>
      <c r="AB10762" s="531"/>
      <c r="AC10762" s="531"/>
      <c r="AD10762" s="531"/>
      <c r="AE10762" s="531"/>
      <c r="AF10762" s="531"/>
      <c r="AG10762" s="531"/>
      <c r="AH10762" s="531"/>
      <c r="AI10762" s="531"/>
      <c r="AJ10762" s="531"/>
      <c r="AK10762" s="531"/>
      <c r="AL10762" s="531"/>
      <c r="AM10762" s="531"/>
      <c r="AN10762" s="531"/>
      <c r="AO10762" s="531"/>
      <c r="AR10762" s="761" t="s">
        <v>145</v>
      </c>
      <c r="AS10762" s="764"/>
    </row>
    <row r="10763" spans="1:45" s="520" customFormat="1" thickTop="1">
      <c r="A10763" s="51"/>
      <c r="B10763" s="51"/>
      <c r="C10763" s="3"/>
      <c r="D10763" s="3"/>
      <c r="E10763" s="51"/>
      <c r="F10763" s="51"/>
      <c r="G10763" s="51"/>
      <c r="H10763" s="51"/>
      <c r="I10763" s="51"/>
      <c r="J10763" s="51"/>
      <c r="K10763" s="51" t="s">
        <v>134</v>
      </c>
      <c r="L10763" s="51"/>
      <c r="M10763" s="51"/>
      <c r="N10763" s="51"/>
      <c r="O10763" s="52"/>
      <c r="P10763" s="51"/>
      <c r="Q10763" s="51"/>
      <c r="R10763" s="51"/>
      <c r="S10763" s="51"/>
      <c r="T10763" s="51"/>
      <c r="AR10763" s="51"/>
      <c r="AS10763" s="51"/>
    </row>
    <row r="10764" spans="1:45" s="520" customFormat="1" ht="12">
      <c r="A10764" s="51"/>
      <c r="B10764" s="51"/>
      <c r="C10764" s="51" t="s">
        <v>135</v>
      </c>
      <c r="D10764" s="37"/>
      <c r="E10764" s="51"/>
      <c r="F10764" s="51"/>
      <c r="G10764" s="51"/>
      <c r="H10764" s="51"/>
      <c r="I10764" s="51"/>
      <c r="J10764" s="51"/>
      <c r="K10764" s="51"/>
      <c r="L10764" s="51"/>
      <c r="M10764" s="51"/>
      <c r="N10764" s="51"/>
      <c r="O10764" s="52"/>
      <c r="P10764" s="51"/>
      <c r="Q10764" s="51"/>
      <c r="R10764" s="51"/>
      <c r="S10764" s="51"/>
      <c r="T10764" s="51"/>
      <c r="AR10764" s="51"/>
      <c r="AS10764" s="51"/>
    </row>
    <row r="10765" spans="1:45" s="520" customFormat="1" ht="39.9" customHeight="1">
      <c r="A10765" s="51"/>
      <c r="B10765" s="51"/>
      <c r="C10765" s="51"/>
      <c r="D10765" s="1453" t="s">
        <v>2185</v>
      </c>
      <c r="E10765" s="1452"/>
      <c r="F10765" s="1452"/>
      <c r="G10765" s="1452"/>
      <c r="H10765" s="1452"/>
      <c r="I10765" s="1452"/>
      <c r="J10765" s="1452"/>
      <c r="K10765" s="1452"/>
      <c r="L10765" s="1452"/>
      <c r="M10765" s="1452"/>
      <c r="N10765" s="1452"/>
      <c r="O10765" s="1452"/>
      <c r="P10765" s="1452"/>
      <c r="Q10765" s="1452"/>
      <c r="R10765" s="1452"/>
      <c r="S10765" s="1452"/>
      <c r="T10765" s="1452"/>
      <c r="AR10765" s="51"/>
    </row>
    <row r="10766" spans="1:45" s="3" customFormat="1" thickBot="1">
      <c r="A10766" s="531"/>
      <c r="O10766" s="107"/>
      <c r="AR10766" s="531"/>
    </row>
    <row r="10767" spans="1:45" s="520" customFormat="1" ht="12" thickTop="1">
      <c r="A10767" s="51"/>
      <c r="B10767" s="41"/>
      <c r="C10767" s="51"/>
      <c r="E10767" s="42" t="s">
        <v>138</v>
      </c>
      <c r="F10767" s="42" t="s">
        <v>139</v>
      </c>
      <c r="G10767" s="51"/>
      <c r="H10767" s="51"/>
      <c r="I10767" s="51"/>
      <c r="J10767" s="51"/>
      <c r="K10767" s="51" t="s">
        <v>140</v>
      </c>
      <c r="L10767" s="51"/>
      <c r="M10767" s="51"/>
      <c r="N10767" s="51"/>
      <c r="O10767" s="52"/>
      <c r="P10767" s="51"/>
      <c r="Q10767" s="51"/>
      <c r="R10767" s="51"/>
      <c r="S10767" s="51"/>
      <c r="T10767" s="41"/>
      <c r="AG10767" s="521" t="s">
        <v>268</v>
      </c>
      <c r="AH10767" s="521" t="s">
        <v>269</v>
      </c>
      <c r="AI10767" s="521" t="s">
        <v>270</v>
      </c>
      <c r="AJ10767" s="521" t="s">
        <v>271</v>
      </c>
      <c r="AK10767" s="521" t="s">
        <v>272</v>
      </c>
      <c r="AM10767" s="745" t="s">
        <v>281</v>
      </c>
      <c r="AN10767" s="746" t="s">
        <v>282</v>
      </c>
      <c r="AO10767" s="522" t="s">
        <v>278</v>
      </c>
      <c r="AR10767" s="51"/>
      <c r="AS10767" s="42" t="s">
        <v>139</v>
      </c>
    </row>
    <row r="10768" spans="1:45" s="520" customFormat="1" ht="12" customHeight="1">
      <c r="A10768" s="747">
        <v>2</v>
      </c>
      <c r="B10768" s="523" t="s">
        <v>329</v>
      </c>
      <c r="C10768" s="748"/>
      <c r="D10768" s="749" t="s">
        <v>2516</v>
      </c>
      <c r="E10768" s="1145">
        <f>IF(AND($A10768=0,$A$1="DIF"),0, ROUND(ROUND(($R10772*$S$3+($T10772*$T$3))/$A10768,2)*$C$3,2))</f>
        <v>29.56</v>
      </c>
      <c r="F10768" s="1146">
        <f>ROUND($A10768*$E10768,2)</f>
        <v>59.12</v>
      </c>
      <c r="G10768" s="752" t="s">
        <v>142</v>
      </c>
      <c r="H10768" s="753"/>
      <c r="I10768" s="754"/>
      <c r="J10768" s="753"/>
      <c r="K10768" s="753" t="s">
        <v>5</v>
      </c>
      <c r="L10768" s="755" t="s">
        <v>143</v>
      </c>
      <c r="M10768" s="755"/>
      <c r="N10768" s="755"/>
      <c r="O10768" s="755"/>
      <c r="P10768" s="755"/>
      <c r="Q10768" s="51"/>
      <c r="T10768" s="1150" t="str">
        <f>IF(AND($R10772=0,$T10772=0),"0.00","mu: "&amp; ROUND(F10768/$C$3/($R10772+$T10772*$D$9),2))</f>
        <v>mu: 1.13</v>
      </c>
      <c r="W10768" s="524"/>
      <c r="AG10768" s="1147">
        <f>IF($E10768=0,0,ROUND($R10772*$S$3*$C$3/$A10768,2))</f>
        <v>29.56</v>
      </c>
      <c r="AH10768" s="1147">
        <f>$AG10768*$A10768</f>
        <v>59.12</v>
      </c>
      <c r="AI10768" s="1148">
        <f>$E10768-$AG10768</f>
        <v>0</v>
      </c>
      <c r="AJ10768" s="1148">
        <f>$A10768*$AI10768</f>
        <v>0</v>
      </c>
      <c r="AK10768" s="1149">
        <f>ROUND(($AG10768+$AI10768)*$A10768,2)</f>
        <v>59.12</v>
      </c>
      <c r="AM10768" s="527">
        <f>ROUND(R10772,2)</f>
        <v>52.38</v>
      </c>
      <c r="AN10768" s="528">
        <f>ROUND(T10772,2)</f>
        <v>0</v>
      </c>
      <c r="AO10768" s="529">
        <f>ROUND(AM10768+AN10768,2)*A10768</f>
        <v>104.76</v>
      </c>
      <c r="AR10768" s="747">
        <v>2</v>
      </c>
      <c r="AS10768" s="1146">
        <v>64.34</v>
      </c>
    </row>
    <row r="10769" spans="1:45" s="520" customFormat="1" ht="13.2">
      <c r="A10769" s="748"/>
      <c r="B10769"/>
      <c r="C10769" s="748"/>
      <c r="D10769" s="749" t="s">
        <v>2205</v>
      </c>
      <c r="F10769" s="753"/>
      <c r="G10769" s="3"/>
      <c r="H10769" s="753"/>
      <c r="I10769" s="754"/>
      <c r="J10769" s="753"/>
      <c r="K10769" s="753" t="s">
        <v>144</v>
      </c>
      <c r="L10769" s="753"/>
      <c r="M10769" s="753"/>
      <c r="N10769" s="753"/>
      <c r="O10769" s="753"/>
      <c r="P10769" s="753"/>
      <c r="Q10769" s="51"/>
      <c r="R10769" s="530"/>
      <c r="S10769" s="757"/>
      <c r="T10769" s="753"/>
      <c r="AR10769" s="748"/>
      <c r="AS10769" s="753"/>
    </row>
    <row r="10770" spans="1:45" s="901" customFormat="1" ht="13.2">
      <c r="A10770" s="903">
        <v>2</v>
      </c>
      <c r="B10770" s="904" t="s">
        <v>863</v>
      </c>
      <c r="C10770" s="904"/>
      <c r="D10770" s="904" t="s">
        <v>2594</v>
      </c>
      <c r="E10770" s="904"/>
      <c r="F10770" s="1153" t="s">
        <v>4143</v>
      </c>
      <c r="G10770" s="905" t="s">
        <v>2595</v>
      </c>
      <c r="H10770" s="902">
        <v>960</v>
      </c>
      <c r="I10770" s="904" t="s">
        <v>2596</v>
      </c>
      <c r="J10770" s="904"/>
      <c r="K10770" s="904"/>
      <c r="L10770" s="904"/>
      <c r="M10770" s="904"/>
      <c r="N10770" s="904"/>
      <c r="O10770" s="902">
        <v>4</v>
      </c>
      <c r="P10770" s="906">
        <v>38274</v>
      </c>
      <c r="Q10770" s="1415">
        <f>30*0.873</f>
        <v>26.19</v>
      </c>
      <c r="R10770" s="908">
        <f>$A10770*Q10770</f>
        <v>52.38</v>
      </c>
      <c r="S10770" s="907"/>
      <c r="T10770" s="909">
        <f>$A10770*S10770*$T$1</f>
        <v>0</v>
      </c>
      <c r="AR10770" s="903">
        <v>2</v>
      </c>
      <c r="AS10770" s="1153" t="s">
        <v>3507</v>
      </c>
    </row>
    <row r="10771" spans="1:45" s="520" customFormat="1" ht="12">
      <c r="A10771" s="758"/>
      <c r="B10771" s="758"/>
      <c r="C10771" s="758"/>
      <c r="D10771" s="758"/>
      <c r="E10771" s="758"/>
      <c r="F10771" s="753"/>
      <c r="G10771" s="758"/>
      <c r="H10771" s="758"/>
      <c r="I10771" s="519"/>
      <c r="J10771" s="758"/>
      <c r="K10771" s="758"/>
      <c r="L10771" s="758"/>
      <c r="M10771" s="758"/>
      <c r="N10771" s="758"/>
      <c r="O10771" s="758"/>
      <c r="P10771" s="758"/>
      <c r="Q10771" s="519"/>
      <c r="R10771" s="759">
        <f>$A10771*Q10771</f>
        <v>0</v>
      </c>
      <c r="S10771" s="519"/>
      <c r="T10771" s="760">
        <f>$A10771*S10771*$T$1</f>
        <v>0</v>
      </c>
      <c r="AR10771" s="758"/>
      <c r="AS10771" s="753"/>
    </row>
    <row r="10772" spans="1:45" s="520" customFormat="1" ht="12.6" thickBot="1">
      <c r="A10772" s="761" t="s">
        <v>145</v>
      </c>
      <c r="B10772" s="762">
        <f>(R10771+T10771)</f>
        <v>0</v>
      </c>
      <c r="C10772" s="763"/>
      <c r="D10772" s="763"/>
      <c r="E10772" s="763"/>
      <c r="F10772" s="764"/>
      <c r="G10772" s="763" t="s">
        <v>146</v>
      </c>
      <c r="H10772" s="763"/>
      <c r="I10772" s="765"/>
      <c r="J10772" s="763"/>
      <c r="K10772" s="763" t="s">
        <v>5</v>
      </c>
      <c r="L10772" s="766" t="s">
        <v>143</v>
      </c>
      <c r="M10772" s="766"/>
      <c r="N10772" s="766"/>
      <c r="O10772" s="766"/>
      <c r="P10772" s="766"/>
      <c r="Q10772" s="767"/>
      <c r="R10772" s="768">
        <f>SUM(R10769:R10771)</f>
        <v>52.38</v>
      </c>
      <c r="S10772" s="763"/>
      <c r="T10772" s="768">
        <f>SUM(T10769:T10771)</f>
        <v>0</v>
      </c>
      <c r="U10772" s="531"/>
      <c r="V10772" s="531"/>
      <c r="W10772" s="531"/>
      <c r="X10772" s="531"/>
      <c r="Y10772" s="531"/>
      <c r="Z10772" s="531"/>
      <c r="AA10772" s="531"/>
      <c r="AB10772" s="531"/>
      <c r="AC10772" s="531"/>
      <c r="AD10772" s="531"/>
      <c r="AE10772" s="531"/>
      <c r="AF10772" s="531"/>
      <c r="AG10772" s="531"/>
      <c r="AH10772" s="531"/>
      <c r="AI10772" s="531"/>
      <c r="AJ10772" s="531"/>
      <c r="AK10772" s="531"/>
      <c r="AL10772" s="531"/>
      <c r="AM10772" s="531"/>
      <c r="AN10772" s="531"/>
      <c r="AO10772" s="531"/>
      <c r="AR10772" s="761" t="s">
        <v>145</v>
      </c>
      <c r="AS10772" s="764"/>
    </row>
    <row r="10773" spans="1:45" s="520" customFormat="1" ht="12" thickTop="1">
      <c r="A10773" s="51"/>
      <c r="B10773" s="41"/>
      <c r="C10773" s="51"/>
      <c r="E10773" s="42" t="s">
        <v>138</v>
      </c>
      <c r="F10773" s="42" t="s">
        <v>139</v>
      </c>
      <c r="G10773" s="51"/>
      <c r="H10773" s="51"/>
      <c r="I10773" s="51"/>
      <c r="J10773" s="51"/>
      <c r="K10773" s="51" t="s">
        <v>140</v>
      </c>
      <c r="L10773" s="51"/>
      <c r="M10773" s="51"/>
      <c r="N10773" s="51"/>
      <c r="O10773" s="52"/>
      <c r="P10773" s="51"/>
      <c r="Q10773" s="51"/>
      <c r="R10773" s="51"/>
      <c r="S10773" s="51"/>
      <c r="T10773" s="41"/>
      <c r="AG10773" s="521" t="s">
        <v>268</v>
      </c>
      <c r="AH10773" s="521" t="s">
        <v>269</v>
      </c>
      <c r="AI10773" s="521" t="s">
        <v>270</v>
      </c>
      <c r="AJ10773" s="521" t="s">
        <v>271</v>
      </c>
      <c r="AK10773" s="521" t="s">
        <v>272</v>
      </c>
      <c r="AM10773" s="745" t="s">
        <v>281</v>
      </c>
      <c r="AN10773" s="746" t="s">
        <v>282</v>
      </c>
      <c r="AO10773" s="522" t="s">
        <v>278</v>
      </c>
      <c r="AR10773" s="51"/>
      <c r="AS10773" s="42" t="s">
        <v>139</v>
      </c>
    </row>
    <row r="10774" spans="1:45" s="520" customFormat="1" ht="12" customHeight="1">
      <c r="A10774" s="747">
        <v>2</v>
      </c>
      <c r="B10774" s="523" t="s">
        <v>329</v>
      </c>
      <c r="C10774" s="748"/>
      <c r="D10774" s="749" t="s">
        <v>2517</v>
      </c>
      <c r="E10774" s="1145">
        <f>IF(AND($A10774=0,$A$1="DIF"),0, ROUND(ROUND(($R10778*$S$3+($T10778*$T$3))/$A10774,2)*$C$3,2))</f>
        <v>29.56</v>
      </c>
      <c r="F10774" s="1146">
        <f>ROUND($A10774*$E10774,2)</f>
        <v>59.12</v>
      </c>
      <c r="G10774" s="752" t="s">
        <v>142</v>
      </c>
      <c r="H10774" s="753"/>
      <c r="I10774" s="754"/>
      <c r="J10774" s="753"/>
      <c r="K10774" s="753" t="s">
        <v>5</v>
      </c>
      <c r="L10774" s="755" t="s">
        <v>143</v>
      </c>
      <c r="M10774" s="755"/>
      <c r="N10774" s="755"/>
      <c r="O10774" s="755"/>
      <c r="P10774" s="755"/>
      <c r="Q10774" s="51"/>
      <c r="T10774" s="1150" t="str">
        <f>IF(AND($R10778=0,$T10778=0),"0.00","mu: "&amp; ROUND(F10774/$C$3/($R10778+$T10778*$D$9),2))</f>
        <v>mu: 1.13</v>
      </c>
      <c r="W10774" s="524"/>
      <c r="AG10774" s="1147">
        <f>IF($E10774=0,0,ROUND($R10778*$S$3*$C$3/$A10774,2))</f>
        <v>29.56</v>
      </c>
      <c r="AH10774" s="1147">
        <f>$AG10774*$A10774</f>
        <v>59.12</v>
      </c>
      <c r="AI10774" s="1148">
        <f>$E10774-$AG10774</f>
        <v>0</v>
      </c>
      <c r="AJ10774" s="1148">
        <f>$A10774*$AI10774</f>
        <v>0</v>
      </c>
      <c r="AK10774" s="1149">
        <f>ROUND(($AG10774+$AI10774)*$A10774,2)</f>
        <v>59.12</v>
      </c>
      <c r="AM10774" s="527">
        <f>ROUND(R10778,2)</f>
        <v>52.38</v>
      </c>
      <c r="AN10774" s="528">
        <f>ROUND(T10778,2)</f>
        <v>0</v>
      </c>
      <c r="AO10774" s="529">
        <f>ROUND(AM10774+AN10774,2)*A10774</f>
        <v>104.76</v>
      </c>
      <c r="AR10774" s="747">
        <v>2</v>
      </c>
      <c r="AS10774" s="1146">
        <v>64.34</v>
      </c>
    </row>
    <row r="10775" spans="1:45" s="520" customFormat="1" ht="13.2">
      <c r="A10775" s="748"/>
      <c r="B10775"/>
      <c r="C10775" s="748"/>
      <c r="D10775" s="749" t="s">
        <v>2206</v>
      </c>
      <c r="F10775" s="753"/>
      <c r="G10775" s="3"/>
      <c r="H10775" s="753"/>
      <c r="I10775" s="754"/>
      <c r="J10775" s="753"/>
      <c r="K10775" s="753" t="s">
        <v>144</v>
      </c>
      <c r="L10775" s="753"/>
      <c r="M10775" s="753"/>
      <c r="N10775" s="753"/>
      <c r="O10775" s="753"/>
      <c r="P10775" s="753"/>
      <c r="Q10775" s="51"/>
      <c r="R10775" s="530"/>
      <c r="S10775" s="757"/>
      <c r="T10775" s="753"/>
      <c r="AR10775" s="748"/>
      <c r="AS10775" s="753"/>
    </row>
    <row r="10776" spans="1:45" s="901" customFormat="1" ht="13.2">
      <c r="A10776" s="903">
        <v>2</v>
      </c>
      <c r="B10776" s="904" t="s">
        <v>863</v>
      </c>
      <c r="C10776" s="904"/>
      <c r="D10776" s="904" t="s">
        <v>2594</v>
      </c>
      <c r="E10776" s="904"/>
      <c r="F10776" s="1153" t="s">
        <v>4143</v>
      </c>
      <c r="G10776" s="905" t="s">
        <v>2595</v>
      </c>
      <c r="H10776" s="902">
        <v>960</v>
      </c>
      <c r="I10776" s="904" t="s">
        <v>2596</v>
      </c>
      <c r="J10776" s="904"/>
      <c r="K10776" s="904"/>
      <c r="L10776" s="904"/>
      <c r="M10776" s="904"/>
      <c r="N10776" s="904"/>
      <c r="O10776" s="902">
        <v>4</v>
      </c>
      <c r="P10776" s="906">
        <v>38274</v>
      </c>
      <c r="Q10776" s="1415">
        <f>30*0.873</f>
        <v>26.19</v>
      </c>
      <c r="R10776" s="908">
        <f>$A10776*Q10776</f>
        <v>52.38</v>
      </c>
      <c r="S10776" s="907"/>
      <c r="T10776" s="909">
        <f>$A10776*S10776*$T$1</f>
        <v>0</v>
      </c>
      <c r="AR10776" s="903">
        <v>2</v>
      </c>
      <c r="AS10776" s="1153" t="s">
        <v>3507</v>
      </c>
    </row>
    <row r="10777" spans="1:45" s="520" customFormat="1" ht="12">
      <c r="A10777" s="758"/>
      <c r="B10777" s="758"/>
      <c r="C10777" s="758"/>
      <c r="D10777" s="758"/>
      <c r="E10777" s="758"/>
      <c r="F10777" s="753"/>
      <c r="G10777" s="758"/>
      <c r="H10777" s="758"/>
      <c r="I10777" s="519"/>
      <c r="J10777" s="758"/>
      <c r="K10777" s="758"/>
      <c r="L10777" s="758"/>
      <c r="M10777" s="758"/>
      <c r="N10777" s="758"/>
      <c r="O10777" s="758"/>
      <c r="P10777" s="758"/>
      <c r="Q10777" s="519"/>
      <c r="R10777" s="759">
        <f>$A10777*Q10777</f>
        <v>0</v>
      </c>
      <c r="S10777" s="519"/>
      <c r="T10777" s="760">
        <f>$A10777*S10777*$T$1</f>
        <v>0</v>
      </c>
      <c r="AR10777" s="758"/>
      <c r="AS10777" s="753"/>
    </row>
    <row r="10778" spans="1:45" s="520" customFormat="1" ht="12.6" thickBot="1">
      <c r="A10778" s="761" t="s">
        <v>145</v>
      </c>
      <c r="B10778" s="762">
        <f>(R10777+T10777)</f>
        <v>0</v>
      </c>
      <c r="C10778" s="763"/>
      <c r="D10778" s="763"/>
      <c r="E10778" s="763"/>
      <c r="F10778" s="764"/>
      <c r="G10778" s="763" t="s">
        <v>146</v>
      </c>
      <c r="H10778" s="763"/>
      <c r="I10778" s="765"/>
      <c r="J10778" s="763"/>
      <c r="K10778" s="763" t="s">
        <v>5</v>
      </c>
      <c r="L10778" s="766" t="s">
        <v>143</v>
      </c>
      <c r="M10778" s="766"/>
      <c r="N10778" s="766"/>
      <c r="O10778" s="766"/>
      <c r="P10778" s="766"/>
      <c r="Q10778" s="767"/>
      <c r="R10778" s="768">
        <f>SUM(R10775:R10777)</f>
        <v>52.38</v>
      </c>
      <c r="S10778" s="763"/>
      <c r="T10778" s="768">
        <f>SUM(T10775:T10777)</f>
        <v>0</v>
      </c>
      <c r="U10778" s="531"/>
      <c r="V10778" s="531"/>
      <c r="W10778" s="531"/>
      <c r="X10778" s="531"/>
      <c r="Y10778" s="531"/>
      <c r="Z10778" s="531"/>
      <c r="AA10778" s="531"/>
      <c r="AB10778" s="531"/>
      <c r="AC10778" s="531"/>
      <c r="AD10778" s="531"/>
      <c r="AE10778" s="531"/>
      <c r="AF10778" s="531"/>
      <c r="AG10778" s="531"/>
      <c r="AH10778" s="531"/>
      <c r="AI10778" s="531"/>
      <c r="AJ10778" s="531"/>
      <c r="AK10778" s="531"/>
      <c r="AL10778" s="531"/>
      <c r="AM10778" s="531"/>
      <c r="AN10778" s="531"/>
      <c r="AO10778" s="531"/>
      <c r="AR10778" s="761" t="s">
        <v>145</v>
      </c>
      <c r="AS10778" s="764"/>
    </row>
    <row r="10779" spans="1:45" s="520" customFormat="1" thickTop="1">
      <c r="A10779" s="51"/>
      <c r="B10779" s="51"/>
      <c r="C10779" s="3"/>
      <c r="D10779" s="3"/>
      <c r="E10779" s="51"/>
      <c r="F10779" s="51"/>
      <c r="G10779" s="51"/>
      <c r="H10779" s="51"/>
      <c r="I10779" s="51"/>
      <c r="J10779" s="51"/>
      <c r="K10779" s="51" t="s">
        <v>134</v>
      </c>
      <c r="L10779" s="51"/>
      <c r="M10779" s="51"/>
      <c r="N10779" s="51"/>
      <c r="O10779" s="52"/>
      <c r="P10779" s="51"/>
      <c r="Q10779" s="51"/>
      <c r="R10779" s="51"/>
      <c r="S10779" s="51"/>
      <c r="T10779" s="51"/>
      <c r="AR10779" s="51"/>
      <c r="AS10779" s="51"/>
    </row>
    <row r="10780" spans="1:45" s="520" customFormat="1" ht="12">
      <c r="A10780" s="51"/>
      <c r="B10780" s="51"/>
      <c r="C10780" s="51" t="s">
        <v>135</v>
      </c>
      <c r="D10780" s="37"/>
      <c r="E10780" s="51"/>
      <c r="F10780" s="51"/>
      <c r="G10780" s="51"/>
      <c r="H10780" s="51"/>
      <c r="I10780" s="51"/>
      <c r="J10780" s="51"/>
      <c r="K10780" s="51"/>
      <c r="L10780" s="51"/>
      <c r="M10780" s="51"/>
      <c r="N10780" s="51"/>
      <c r="O10780" s="52"/>
      <c r="P10780" s="51"/>
      <c r="Q10780" s="51"/>
      <c r="R10780" s="51"/>
      <c r="S10780" s="51"/>
      <c r="T10780" s="51"/>
      <c r="AR10780" s="51"/>
      <c r="AS10780" s="51"/>
    </row>
    <row r="10781" spans="1:45" s="520" customFormat="1" ht="12">
      <c r="A10781" s="51"/>
      <c r="B10781" s="51"/>
      <c r="C10781" s="51"/>
      <c r="D10781" s="37" t="s">
        <v>2186</v>
      </c>
      <c r="E10781" s="51"/>
      <c r="F10781" s="51"/>
      <c r="G10781" s="51"/>
      <c r="H10781" s="51"/>
      <c r="I10781" s="51"/>
      <c r="J10781" s="51"/>
      <c r="K10781" s="51"/>
      <c r="L10781" s="51"/>
      <c r="M10781" s="51"/>
      <c r="N10781" s="51"/>
      <c r="O10781" s="52"/>
      <c r="P10781" s="51"/>
      <c r="Q10781" s="51"/>
      <c r="R10781" s="51"/>
      <c r="S10781" s="38"/>
      <c r="T10781" s="38"/>
      <c r="AR10781" s="51"/>
      <c r="AS10781" s="51"/>
    </row>
    <row r="10782" spans="1:45" s="3" customFormat="1" thickBot="1">
      <c r="A10782" s="531"/>
      <c r="O10782" s="107"/>
      <c r="AR10782" s="531"/>
    </row>
    <row r="10783" spans="1:45" s="520" customFormat="1" ht="12" thickTop="1">
      <c r="A10783" s="51"/>
      <c r="B10783" s="41"/>
      <c r="C10783" s="51"/>
      <c r="E10783" s="42" t="s">
        <v>138</v>
      </c>
      <c r="F10783" s="42" t="s">
        <v>139</v>
      </c>
      <c r="G10783" s="51"/>
      <c r="H10783" s="51"/>
      <c r="I10783" s="51"/>
      <c r="J10783" s="51"/>
      <c r="K10783" s="51" t="s">
        <v>140</v>
      </c>
      <c r="L10783" s="51"/>
      <c r="M10783" s="51"/>
      <c r="N10783" s="51"/>
      <c r="O10783" s="52"/>
      <c r="P10783" s="51"/>
      <c r="Q10783" s="51"/>
      <c r="R10783" s="51"/>
      <c r="S10783" s="51"/>
      <c r="T10783" s="41"/>
      <c r="AG10783" s="521" t="s">
        <v>268</v>
      </c>
      <c r="AH10783" s="521" t="s">
        <v>269</v>
      </c>
      <c r="AI10783" s="521" t="s">
        <v>270</v>
      </c>
      <c r="AJ10783" s="521" t="s">
        <v>271</v>
      </c>
      <c r="AK10783" s="521" t="s">
        <v>272</v>
      </c>
      <c r="AM10783" s="745" t="s">
        <v>281</v>
      </c>
      <c r="AN10783" s="746" t="s">
        <v>282</v>
      </c>
      <c r="AO10783" s="522" t="s">
        <v>278</v>
      </c>
      <c r="AR10783" s="51"/>
      <c r="AS10783" s="42" t="s">
        <v>139</v>
      </c>
    </row>
    <row r="10784" spans="1:45" s="520" customFormat="1" ht="12" customHeight="1">
      <c r="A10784" s="747">
        <v>2</v>
      </c>
      <c r="B10784" s="523" t="s">
        <v>329</v>
      </c>
      <c r="C10784" s="748"/>
      <c r="D10784" s="749" t="s">
        <v>2518</v>
      </c>
      <c r="E10784" s="1145">
        <f>IF(AND($A10784=0,$A$1="DIF"),0, ROUND(ROUND(($R10788*$S$3+($T10788*$T$3))/$A10784,2)*$C$3,2))</f>
        <v>44.34</v>
      </c>
      <c r="F10784" s="1146">
        <f>ROUND($A10784*$E10784,2)</f>
        <v>88.68</v>
      </c>
      <c r="G10784" s="752" t="s">
        <v>142</v>
      </c>
      <c r="H10784" s="753"/>
      <c r="I10784" s="754"/>
      <c r="J10784" s="753"/>
      <c r="K10784" s="753" t="s">
        <v>5</v>
      </c>
      <c r="L10784" s="755" t="s">
        <v>143</v>
      </c>
      <c r="M10784" s="755"/>
      <c r="N10784" s="755"/>
      <c r="O10784" s="755"/>
      <c r="P10784" s="755"/>
      <c r="Q10784" s="51"/>
      <c r="T10784" s="1150" t="str">
        <f>IF(AND($R10788=0,$T10788=0),"0.00","mu: "&amp; ROUND(F10784/$C$3/($R10788+$T10788*$D$9),2))</f>
        <v>mu: 1.13</v>
      </c>
      <c r="W10784" s="524"/>
      <c r="AG10784" s="1147">
        <f>IF($E10784=0,0,ROUND($R10788*$S$3*$C$3/$A10784,2))</f>
        <v>44.34</v>
      </c>
      <c r="AH10784" s="1147">
        <f>$AG10784*$A10784</f>
        <v>88.68</v>
      </c>
      <c r="AI10784" s="1148">
        <f>$E10784-$AG10784</f>
        <v>0</v>
      </c>
      <c r="AJ10784" s="1148">
        <f>$A10784*$AI10784</f>
        <v>0</v>
      </c>
      <c r="AK10784" s="1149">
        <f>ROUND(($AG10784+$AI10784)*$A10784,2)</f>
        <v>88.68</v>
      </c>
      <c r="AM10784" s="527">
        <f>ROUND(R10788,2)</f>
        <v>78.569999999999993</v>
      </c>
      <c r="AN10784" s="528">
        <f>ROUND(T10788,2)</f>
        <v>0</v>
      </c>
      <c r="AO10784" s="529">
        <f>ROUND(AM10784+AN10784,2)*A10784</f>
        <v>157.13999999999999</v>
      </c>
      <c r="AR10784" s="747">
        <v>2</v>
      </c>
      <c r="AS10784" s="1146">
        <v>96.5</v>
      </c>
    </row>
    <row r="10785" spans="1:45" s="520" customFormat="1" ht="13.2">
      <c r="A10785" s="748"/>
      <c r="B10785"/>
      <c r="C10785" s="748"/>
      <c r="D10785" s="749" t="s">
        <v>2205</v>
      </c>
      <c r="F10785" s="753"/>
      <c r="G10785" s="3"/>
      <c r="H10785" s="753"/>
      <c r="I10785" s="754"/>
      <c r="J10785" s="753"/>
      <c r="K10785" s="753" t="s">
        <v>144</v>
      </c>
      <c r="L10785" s="753"/>
      <c r="M10785" s="753"/>
      <c r="N10785" s="753"/>
      <c r="O10785" s="753"/>
      <c r="P10785" s="753"/>
      <c r="Q10785" s="51"/>
      <c r="R10785" s="530"/>
      <c r="S10785" s="757"/>
      <c r="T10785" s="753"/>
      <c r="AR10785" s="748"/>
      <c r="AS10785" s="753"/>
    </row>
    <row r="10786" spans="1:45" s="901" customFormat="1" ht="13.2">
      <c r="A10786" s="903">
        <v>2</v>
      </c>
      <c r="B10786" s="904" t="s">
        <v>863</v>
      </c>
      <c r="C10786" s="904"/>
      <c r="D10786" s="904" t="s">
        <v>2594</v>
      </c>
      <c r="E10786" s="904"/>
      <c r="F10786" s="1153" t="s">
        <v>4143</v>
      </c>
      <c r="G10786" s="905" t="s">
        <v>2595</v>
      </c>
      <c r="H10786" s="902">
        <v>960</v>
      </c>
      <c r="I10786" s="904" t="s">
        <v>2596</v>
      </c>
      <c r="J10786" s="904"/>
      <c r="K10786" s="904"/>
      <c r="L10786" s="904"/>
      <c r="M10786" s="904"/>
      <c r="N10786" s="904"/>
      <c r="O10786" s="902">
        <v>4</v>
      </c>
      <c r="P10786" s="906">
        <v>38274</v>
      </c>
      <c r="Q10786" s="1415">
        <f>45*0.873</f>
        <v>39.284999999999997</v>
      </c>
      <c r="R10786" s="908">
        <f>$A10786*Q10786</f>
        <v>78.569999999999993</v>
      </c>
      <c r="S10786" s="907"/>
      <c r="T10786" s="909">
        <f>$A10786*S10786*$T$1</f>
        <v>0</v>
      </c>
      <c r="AR10786" s="903">
        <v>2</v>
      </c>
      <c r="AS10786" s="1153" t="s">
        <v>3507</v>
      </c>
    </row>
    <row r="10787" spans="1:45" s="520" customFormat="1" ht="12">
      <c r="A10787" s="758"/>
      <c r="B10787" s="758"/>
      <c r="C10787" s="758"/>
      <c r="D10787" s="758"/>
      <c r="E10787" s="758"/>
      <c r="F10787" s="753"/>
      <c r="G10787" s="758"/>
      <c r="H10787" s="758"/>
      <c r="I10787" s="519"/>
      <c r="J10787" s="758"/>
      <c r="K10787" s="758"/>
      <c r="L10787" s="758"/>
      <c r="M10787" s="758"/>
      <c r="N10787" s="758"/>
      <c r="O10787" s="758"/>
      <c r="P10787" s="758"/>
      <c r="Q10787" s="519"/>
      <c r="R10787" s="759">
        <f>$A10787*Q10787</f>
        <v>0</v>
      </c>
      <c r="S10787" s="519"/>
      <c r="T10787" s="760">
        <f>$A10787*S10787*$T$1</f>
        <v>0</v>
      </c>
      <c r="AR10787" s="758"/>
      <c r="AS10787" s="753"/>
    </row>
    <row r="10788" spans="1:45" s="520" customFormat="1" ht="12.6" thickBot="1">
      <c r="A10788" s="761" t="s">
        <v>145</v>
      </c>
      <c r="B10788" s="762">
        <f>(R10787+T10787)</f>
        <v>0</v>
      </c>
      <c r="C10788" s="763"/>
      <c r="D10788" s="763"/>
      <c r="E10788" s="763"/>
      <c r="F10788" s="764"/>
      <c r="G10788" s="763" t="s">
        <v>146</v>
      </c>
      <c r="H10788" s="763"/>
      <c r="I10788" s="765"/>
      <c r="J10788" s="763"/>
      <c r="K10788" s="763" t="s">
        <v>5</v>
      </c>
      <c r="L10788" s="766" t="s">
        <v>143</v>
      </c>
      <c r="M10788" s="766"/>
      <c r="N10788" s="766"/>
      <c r="O10788" s="766"/>
      <c r="P10788" s="766"/>
      <c r="Q10788" s="767"/>
      <c r="R10788" s="768">
        <f>SUM(R10785:R10787)</f>
        <v>78.569999999999993</v>
      </c>
      <c r="S10788" s="763"/>
      <c r="T10788" s="768">
        <f>SUM(T10785:T10787)</f>
        <v>0</v>
      </c>
      <c r="U10788" s="531"/>
      <c r="V10788" s="531"/>
      <c r="W10788" s="531"/>
      <c r="X10788" s="531"/>
      <c r="Y10788" s="531"/>
      <c r="Z10788" s="531"/>
      <c r="AA10788" s="531"/>
      <c r="AB10788" s="531"/>
      <c r="AC10788" s="531"/>
      <c r="AD10788" s="531"/>
      <c r="AE10788" s="531"/>
      <c r="AF10788" s="531"/>
      <c r="AG10788" s="531"/>
      <c r="AH10788" s="531"/>
      <c r="AI10788" s="531"/>
      <c r="AJ10788" s="531"/>
      <c r="AK10788" s="531"/>
      <c r="AL10788" s="531"/>
      <c r="AM10788" s="531"/>
      <c r="AN10788" s="531"/>
      <c r="AO10788" s="531"/>
      <c r="AR10788" s="761" t="s">
        <v>145</v>
      </c>
      <c r="AS10788" s="764"/>
    </row>
    <row r="10789" spans="1:45" s="520" customFormat="1" ht="12" thickTop="1">
      <c r="A10789" s="51"/>
      <c r="B10789" s="41"/>
      <c r="C10789" s="51"/>
      <c r="E10789" s="42" t="s">
        <v>138</v>
      </c>
      <c r="F10789" s="42" t="s">
        <v>139</v>
      </c>
      <c r="G10789" s="51"/>
      <c r="H10789" s="51"/>
      <c r="I10789" s="51"/>
      <c r="J10789" s="51"/>
      <c r="K10789" s="51" t="s">
        <v>140</v>
      </c>
      <c r="L10789" s="51"/>
      <c r="M10789" s="51"/>
      <c r="N10789" s="51"/>
      <c r="O10789" s="52"/>
      <c r="P10789" s="51"/>
      <c r="Q10789" s="51"/>
      <c r="R10789" s="51"/>
      <c r="S10789" s="51"/>
      <c r="T10789" s="41"/>
      <c r="AG10789" s="521" t="s">
        <v>268</v>
      </c>
      <c r="AH10789" s="521" t="s">
        <v>269</v>
      </c>
      <c r="AI10789" s="521" t="s">
        <v>270</v>
      </c>
      <c r="AJ10789" s="521" t="s">
        <v>271</v>
      </c>
      <c r="AK10789" s="521" t="s">
        <v>272</v>
      </c>
      <c r="AM10789" s="745" t="s">
        <v>281</v>
      </c>
      <c r="AN10789" s="746" t="s">
        <v>282</v>
      </c>
      <c r="AO10789" s="522" t="s">
        <v>278</v>
      </c>
      <c r="AR10789" s="51"/>
      <c r="AS10789" s="42" t="s">
        <v>139</v>
      </c>
    </row>
    <row r="10790" spans="1:45" s="520" customFormat="1" ht="12" customHeight="1">
      <c r="A10790" s="747">
        <v>2</v>
      </c>
      <c r="B10790" s="523" t="s">
        <v>329</v>
      </c>
      <c r="C10790" s="748"/>
      <c r="D10790" s="749" t="s">
        <v>2519</v>
      </c>
      <c r="E10790" s="1145">
        <f>IF(AND($A10790=0,$A$1="DIF"),0, ROUND(ROUND(($R10794*$S$3+($T10794*$T$3))/$A10790,2)*$C$3,2))</f>
        <v>31.53</v>
      </c>
      <c r="F10790" s="1146">
        <f>ROUND($A10790*$E10790,2)</f>
        <v>63.06</v>
      </c>
      <c r="G10790" s="752" t="s">
        <v>142</v>
      </c>
      <c r="H10790" s="753"/>
      <c r="I10790" s="754"/>
      <c r="J10790" s="753"/>
      <c r="K10790" s="753" t="s">
        <v>5</v>
      </c>
      <c r="L10790" s="755" t="s">
        <v>143</v>
      </c>
      <c r="M10790" s="755"/>
      <c r="N10790" s="755"/>
      <c r="O10790" s="755"/>
      <c r="P10790" s="755"/>
      <c r="Q10790" s="51"/>
      <c r="T10790" s="1150" t="str">
        <f>IF(AND($R10794=0,$T10794=0),"0.00","mu: "&amp; ROUND(F10790/$C$3/($R10794+$T10794*$D$9),2))</f>
        <v>mu: 1.13</v>
      </c>
      <c r="W10790" s="524"/>
      <c r="AG10790" s="1147">
        <f>IF($E10790=0,0,ROUND($R10794*$S$3*$C$3/$A10790,2))</f>
        <v>31.53</v>
      </c>
      <c r="AH10790" s="1147">
        <f>$AG10790*$A10790</f>
        <v>63.06</v>
      </c>
      <c r="AI10790" s="1148">
        <f>$E10790-$AG10790</f>
        <v>0</v>
      </c>
      <c r="AJ10790" s="1148">
        <f>$A10790*$AI10790</f>
        <v>0</v>
      </c>
      <c r="AK10790" s="1149">
        <f>ROUND(($AG10790+$AI10790)*$A10790,2)</f>
        <v>63.06</v>
      </c>
      <c r="AM10790" s="527">
        <f>ROUND(R10794,2)</f>
        <v>55.87</v>
      </c>
      <c r="AN10790" s="528">
        <f>ROUND(T10794,2)</f>
        <v>0</v>
      </c>
      <c r="AO10790" s="529">
        <f>ROUND(AM10790+AN10790,2)*A10790</f>
        <v>111.74</v>
      </c>
      <c r="AR10790" s="747">
        <v>2</v>
      </c>
      <c r="AS10790" s="1146">
        <v>68.62</v>
      </c>
    </row>
    <row r="10791" spans="1:45" s="520" customFormat="1" ht="13.2">
      <c r="A10791" s="748"/>
      <c r="B10791"/>
      <c r="C10791" s="748"/>
      <c r="D10791" s="749" t="s">
        <v>2206</v>
      </c>
      <c r="F10791" s="753"/>
      <c r="G10791" s="3"/>
      <c r="H10791" s="753"/>
      <c r="I10791" s="754"/>
      <c r="J10791" s="753"/>
      <c r="K10791" s="753" t="s">
        <v>144</v>
      </c>
      <c r="L10791" s="753"/>
      <c r="M10791" s="753"/>
      <c r="N10791" s="753"/>
      <c r="O10791" s="753"/>
      <c r="P10791" s="753"/>
      <c r="Q10791" s="51"/>
      <c r="R10791" s="530"/>
      <c r="S10791" s="757"/>
      <c r="T10791" s="753"/>
      <c r="AR10791" s="748"/>
      <c r="AS10791" s="753"/>
    </row>
    <row r="10792" spans="1:45" s="901" customFormat="1" ht="13.2">
      <c r="A10792" s="903">
        <v>2</v>
      </c>
      <c r="B10792" s="904" t="s">
        <v>863</v>
      </c>
      <c r="C10792" s="904"/>
      <c r="D10792" s="904" t="s">
        <v>2594</v>
      </c>
      <c r="E10792" s="904"/>
      <c r="F10792" s="1153" t="s">
        <v>4143</v>
      </c>
      <c r="G10792" s="905" t="s">
        <v>2595</v>
      </c>
      <c r="H10792" s="902">
        <v>960</v>
      </c>
      <c r="I10792" s="904" t="s">
        <v>2596</v>
      </c>
      <c r="J10792" s="904"/>
      <c r="K10792" s="904"/>
      <c r="L10792" s="904"/>
      <c r="M10792" s="904"/>
      <c r="N10792" s="904"/>
      <c r="O10792" s="902">
        <v>4</v>
      </c>
      <c r="P10792" s="906">
        <v>38274</v>
      </c>
      <c r="Q10792" s="1415">
        <f>32*0.873</f>
        <v>27.936</v>
      </c>
      <c r="R10792" s="908">
        <f>$A10792*Q10792</f>
        <v>55.872</v>
      </c>
      <c r="S10792" s="907"/>
      <c r="T10792" s="909">
        <f>$A10792*S10792*$T$1</f>
        <v>0</v>
      </c>
      <c r="AR10792" s="903">
        <v>2</v>
      </c>
      <c r="AS10792" s="1153" t="s">
        <v>3507</v>
      </c>
    </row>
    <row r="10793" spans="1:45" s="520" customFormat="1" ht="12">
      <c r="A10793" s="758"/>
      <c r="B10793" s="758"/>
      <c r="C10793" s="758"/>
      <c r="D10793" s="758"/>
      <c r="E10793" s="758"/>
      <c r="F10793" s="753"/>
      <c r="G10793" s="758"/>
      <c r="H10793" s="758"/>
      <c r="I10793" s="519"/>
      <c r="J10793" s="758"/>
      <c r="K10793" s="758"/>
      <c r="L10793" s="758"/>
      <c r="M10793" s="758"/>
      <c r="N10793" s="758"/>
      <c r="O10793" s="758"/>
      <c r="P10793" s="758"/>
      <c r="Q10793" s="519"/>
      <c r="R10793" s="759">
        <f>$A10793*Q10793</f>
        <v>0</v>
      </c>
      <c r="S10793" s="519"/>
      <c r="T10793" s="760">
        <f>$A10793*S10793*$T$1</f>
        <v>0</v>
      </c>
      <c r="AR10793" s="758"/>
      <c r="AS10793" s="753"/>
    </row>
    <row r="10794" spans="1:45" s="520" customFormat="1" ht="12.6" thickBot="1">
      <c r="A10794" s="761" t="s">
        <v>145</v>
      </c>
      <c r="B10794" s="762">
        <f>(R10793+T10793)</f>
        <v>0</v>
      </c>
      <c r="C10794" s="763"/>
      <c r="D10794" s="763"/>
      <c r="E10794" s="763"/>
      <c r="F10794" s="764"/>
      <c r="G10794" s="763" t="s">
        <v>146</v>
      </c>
      <c r="H10794" s="763"/>
      <c r="I10794" s="765"/>
      <c r="J10794" s="763"/>
      <c r="K10794" s="763" t="s">
        <v>5</v>
      </c>
      <c r="L10794" s="766" t="s">
        <v>143</v>
      </c>
      <c r="M10794" s="766"/>
      <c r="N10794" s="766"/>
      <c r="O10794" s="766"/>
      <c r="P10794" s="766"/>
      <c r="Q10794" s="767"/>
      <c r="R10794" s="768">
        <f>SUM(R10791:R10793)</f>
        <v>55.872</v>
      </c>
      <c r="S10794" s="763"/>
      <c r="T10794" s="768">
        <f>SUM(T10791:T10793)</f>
        <v>0</v>
      </c>
      <c r="U10794" s="531"/>
      <c r="V10794" s="531"/>
      <c r="W10794" s="531"/>
      <c r="X10794" s="531"/>
      <c r="Y10794" s="531"/>
      <c r="Z10794" s="531"/>
      <c r="AA10794" s="531"/>
      <c r="AB10794" s="531"/>
      <c r="AC10794" s="531"/>
      <c r="AD10794" s="531"/>
      <c r="AE10794" s="531"/>
      <c r="AF10794" s="531"/>
      <c r="AG10794" s="531"/>
      <c r="AH10794" s="531"/>
      <c r="AI10794" s="531"/>
      <c r="AJ10794" s="531"/>
      <c r="AK10794" s="531"/>
      <c r="AL10794" s="531"/>
      <c r="AM10794" s="531"/>
      <c r="AN10794" s="531"/>
      <c r="AO10794" s="531"/>
      <c r="AR10794" s="761" t="s">
        <v>145</v>
      </c>
      <c r="AS10794" s="764"/>
    </row>
    <row r="10795" spans="1:45" s="520" customFormat="1" ht="12" thickTop="1">
      <c r="A10795" s="48" t="s">
        <v>148</v>
      </c>
      <c r="D10795" s="13"/>
      <c r="E10795" s="42"/>
      <c r="O10795" s="771"/>
      <c r="AR10795" s="48" t="s">
        <v>148</v>
      </c>
    </row>
    <row r="10796" spans="1:45" s="520" customFormat="1" ht="13.2">
      <c r="B10796" s="3"/>
      <c r="O10796" s="771"/>
    </row>
    <row r="10797" spans="1:45" s="520" customFormat="1" ht="12">
      <c r="B10797" s="772">
        <f>$F10797/$C$2-($R10797*$S$2+$T10797*$T$2)</f>
        <v>-196.49462877088126</v>
      </c>
      <c r="D10797" s="773" t="s">
        <v>1065</v>
      </c>
      <c r="E10797" s="774"/>
      <c r="F10797" s="775">
        <f>SUMIF($L10531:$L10795,"ITEM",F10531:F10795)</f>
        <v>2778.6799999999989</v>
      </c>
      <c r="G10797" s="758"/>
      <c r="H10797" s="758"/>
      <c r="I10797" s="519"/>
      <c r="J10797" s="758"/>
      <c r="K10797" s="758"/>
      <c r="L10797" s="755" t="s">
        <v>157</v>
      </c>
      <c r="M10797" s="755"/>
      <c r="N10797" s="755"/>
      <c r="O10797" s="755"/>
      <c r="P10797" s="755"/>
      <c r="R10797" s="775">
        <f>SUMIF($L10531:$L10795,"ITEM",R10531:R10795)</f>
        <v>2096.6490000000003</v>
      </c>
      <c r="S10797" s="776"/>
      <c r="T10797" s="775">
        <f>SUMIF($L10531:$L10795,"ITEM",T10531:T10795)</f>
        <v>11.637000000000004</v>
      </c>
      <c r="AS10797" s="775">
        <v>3012.9999999999995</v>
      </c>
    </row>
    <row r="10798" spans="1:45" s="520" customFormat="1" ht="13.2">
      <c r="A10798" s="51"/>
      <c r="B10798" s="49" t="s">
        <v>1064</v>
      </c>
      <c r="C10798" s="51"/>
      <c r="D10798" s="3"/>
      <c r="F10798" s="777" t="s">
        <v>158</v>
      </c>
      <c r="G10798" s="758"/>
      <c r="H10798" s="758"/>
      <c r="I10798" s="519"/>
      <c r="J10798" s="758"/>
      <c r="K10798" s="758"/>
      <c r="L10798" s="758"/>
      <c r="M10798" s="758"/>
      <c r="N10798" s="758"/>
      <c r="O10798" s="758"/>
      <c r="P10798" s="758"/>
      <c r="Q10798" s="778"/>
      <c r="R10798" s="777" t="s">
        <v>159</v>
      </c>
      <c r="S10798" s="38"/>
      <c r="T10798" s="777" t="s">
        <v>160</v>
      </c>
      <c r="AR10798" s="51"/>
      <c r="AS10798" s="777" t="s">
        <v>158</v>
      </c>
    </row>
    <row r="10799" spans="1:45" s="520" customFormat="1" ht="13.2">
      <c r="A10799" s="758"/>
      <c r="B10799" s="3"/>
      <c r="C10799" s="758"/>
      <c r="D10799" s="3"/>
      <c r="E10799" s="3"/>
      <c r="G10799" s="3"/>
      <c r="H10799" s="3"/>
      <c r="I10799" s="3"/>
      <c r="J10799" s="3"/>
      <c r="K10799" s="3"/>
      <c r="L10799" s="3"/>
      <c r="M10799" s="3"/>
      <c r="N10799" s="3"/>
      <c r="O10799" s="107"/>
      <c r="P10799" s="3"/>
      <c r="Q10799" s="3"/>
      <c r="R10799" s="3"/>
      <c r="S10799" s="3"/>
      <c r="T10799" s="3"/>
      <c r="AR10799" s="758"/>
    </row>
    <row r="10800" spans="1:45" s="520" customFormat="1" ht="12" thickBot="1">
      <c r="A10800" s="531"/>
      <c r="B10800" s="763"/>
      <c r="C10800" s="763"/>
      <c r="D10800" s="531"/>
      <c r="E10800" s="39"/>
      <c r="F10800" s="779"/>
      <c r="G10800" s="763"/>
      <c r="H10800" s="763"/>
      <c r="I10800" s="765"/>
      <c r="J10800" s="763"/>
      <c r="K10800" s="763"/>
      <c r="L10800" s="766"/>
      <c r="M10800" s="766"/>
      <c r="N10800" s="766"/>
      <c r="O10800" s="766"/>
      <c r="P10800" s="766"/>
      <c r="Q10800" s="767"/>
      <c r="R10800" s="779"/>
      <c r="S10800" s="780"/>
      <c r="T10800" s="779"/>
      <c r="U10800" s="531"/>
      <c r="V10800" s="531"/>
      <c r="W10800" s="531"/>
      <c r="X10800" s="531"/>
      <c r="Y10800" s="531"/>
      <c r="Z10800" s="531"/>
      <c r="AA10800" s="531"/>
      <c r="AB10800" s="531"/>
      <c r="AC10800" s="531"/>
      <c r="AD10800" s="531"/>
      <c r="AE10800" s="531"/>
      <c r="AF10800" s="531"/>
      <c r="AG10800" s="531"/>
      <c r="AH10800" s="531"/>
      <c r="AI10800" s="531"/>
      <c r="AJ10800" s="531"/>
      <c r="AK10800" s="531"/>
      <c r="AR10800" s="531"/>
      <c r="AS10800" s="779"/>
    </row>
    <row r="10801" spans="1:45" s="520" customFormat="1" thickTop="1">
      <c r="A10801" s="51"/>
      <c r="B10801" s="51"/>
      <c r="C10801" s="3"/>
      <c r="D10801" s="3"/>
      <c r="E10801" s="51"/>
      <c r="F10801" s="51"/>
      <c r="G10801" s="51"/>
      <c r="H10801" s="51"/>
      <c r="I10801" s="51"/>
      <c r="J10801" s="51"/>
      <c r="K10801" s="51" t="s">
        <v>134</v>
      </c>
      <c r="L10801" s="51"/>
      <c r="M10801" s="51"/>
      <c r="N10801" s="51"/>
      <c r="O10801" s="52"/>
      <c r="P10801" s="51"/>
      <c r="Q10801" s="51"/>
      <c r="R10801" s="51"/>
      <c r="S10801" s="51"/>
      <c r="T10801" s="51"/>
      <c r="AR10801" s="51"/>
      <c r="AS10801" s="51"/>
    </row>
    <row r="10802" spans="1:45" s="520" customFormat="1" ht="12">
      <c r="A10802" s="51"/>
      <c r="B10802" s="51"/>
      <c r="C10802" s="51" t="s">
        <v>135</v>
      </c>
      <c r="D10802" s="37"/>
      <c r="E10802" s="51"/>
      <c r="F10802" s="51"/>
      <c r="G10802" s="51"/>
      <c r="H10802" s="51"/>
      <c r="I10802" s="51"/>
      <c r="J10802" s="51"/>
      <c r="K10802" s="51"/>
      <c r="L10802" s="51"/>
      <c r="M10802" s="51"/>
      <c r="N10802" s="51"/>
      <c r="O10802" s="52"/>
      <c r="P10802" s="51"/>
      <c r="Q10802" s="51"/>
      <c r="R10802" s="51"/>
      <c r="S10802" s="51"/>
      <c r="T10802" s="51"/>
      <c r="AR10802" s="51"/>
      <c r="AS10802" s="51"/>
    </row>
    <row r="10803" spans="1:45" s="520" customFormat="1" ht="12">
      <c r="A10803" s="51"/>
      <c r="B10803" s="51"/>
      <c r="C10803" s="51"/>
      <c r="D10803" s="37" t="s">
        <v>371</v>
      </c>
      <c r="E10803" s="51"/>
      <c r="F10803" s="51"/>
      <c r="G10803" s="51"/>
      <c r="H10803" s="51"/>
      <c r="I10803" s="51"/>
      <c r="J10803" s="51"/>
      <c r="K10803" s="51"/>
      <c r="L10803" s="51"/>
      <c r="M10803" s="51"/>
      <c r="N10803" s="51"/>
      <c r="O10803" s="52"/>
      <c r="P10803" s="51"/>
      <c r="Q10803" s="51"/>
      <c r="R10803" s="51"/>
      <c r="S10803" s="38"/>
      <c r="T10803" s="38"/>
      <c r="AR10803" s="51"/>
      <c r="AS10803" s="51"/>
    </row>
    <row r="10804" spans="1:45" s="3" customFormat="1" thickBot="1">
      <c r="A10804" s="531"/>
      <c r="O10804" s="107"/>
      <c r="AR10804" s="531"/>
    </row>
    <row r="10805" spans="1:45" s="520" customFormat="1" thickTop="1">
      <c r="A10805" s="51"/>
      <c r="B10805" s="51"/>
      <c r="C10805" s="3"/>
      <c r="D10805" s="3"/>
      <c r="E10805" s="51"/>
      <c r="F10805" s="51"/>
      <c r="G10805" s="51"/>
      <c r="H10805" s="51"/>
      <c r="I10805" s="51"/>
      <c r="J10805" s="51"/>
      <c r="K10805" s="51" t="s">
        <v>134</v>
      </c>
      <c r="L10805" s="51"/>
      <c r="M10805" s="51"/>
      <c r="N10805" s="51"/>
      <c r="O10805" s="52"/>
      <c r="P10805" s="51"/>
      <c r="Q10805" s="51"/>
      <c r="R10805" s="51"/>
      <c r="S10805" s="51"/>
      <c r="T10805" s="51"/>
      <c r="AR10805" s="51"/>
      <c r="AS10805" s="51"/>
    </row>
    <row r="10806" spans="1:45" s="520" customFormat="1" ht="12">
      <c r="A10806" s="51"/>
      <c r="B10806" s="51"/>
      <c r="C10806" s="51" t="s">
        <v>135</v>
      </c>
      <c r="D10806" s="37"/>
      <c r="E10806" s="51"/>
      <c r="F10806" s="51"/>
      <c r="G10806" s="51"/>
      <c r="H10806" s="51"/>
      <c r="I10806" s="51"/>
      <c r="J10806" s="51"/>
      <c r="K10806" s="51"/>
      <c r="L10806" s="51"/>
      <c r="M10806" s="51"/>
      <c r="N10806" s="51"/>
      <c r="O10806" s="52"/>
      <c r="P10806" s="51"/>
      <c r="Q10806" s="51"/>
      <c r="R10806" s="51"/>
      <c r="S10806" s="51"/>
      <c r="T10806" s="51"/>
      <c r="AR10806" s="51"/>
      <c r="AS10806" s="51"/>
    </row>
    <row r="10807" spans="1:45" s="520" customFormat="1" ht="39.9" customHeight="1">
      <c r="A10807" s="51"/>
      <c r="B10807" s="51"/>
      <c r="C10807" s="51"/>
      <c r="D10807" s="1453" t="s">
        <v>2499</v>
      </c>
      <c r="E10807" s="1452"/>
      <c r="F10807" s="1452"/>
      <c r="G10807" s="1452"/>
      <c r="H10807" s="1452"/>
      <c r="I10807" s="1452"/>
      <c r="J10807" s="1452"/>
      <c r="K10807" s="1452"/>
      <c r="L10807" s="1452"/>
      <c r="M10807" s="1452"/>
      <c r="N10807" s="1452"/>
      <c r="O10807" s="1452"/>
      <c r="P10807" s="1452"/>
      <c r="Q10807" s="1452"/>
      <c r="R10807" s="1452"/>
      <c r="S10807" s="1452"/>
      <c r="T10807" s="1452"/>
      <c r="AR10807" s="51"/>
    </row>
    <row r="10808" spans="1:45" s="3" customFormat="1" thickBot="1">
      <c r="A10808" s="531"/>
      <c r="O10808" s="107"/>
      <c r="AR10808" s="531"/>
    </row>
    <row r="10809" spans="1:45" s="520" customFormat="1" ht="12" thickTop="1">
      <c r="A10809" s="51"/>
      <c r="B10809" s="41"/>
      <c r="C10809" s="51"/>
      <c r="E10809" s="42" t="s">
        <v>138</v>
      </c>
      <c r="F10809" s="42" t="s">
        <v>139</v>
      </c>
      <c r="G10809" s="51"/>
      <c r="H10809" s="51"/>
      <c r="I10809" s="51"/>
      <c r="J10809" s="51"/>
      <c r="K10809" s="51" t="s">
        <v>140</v>
      </c>
      <c r="L10809" s="51"/>
      <c r="M10809" s="51"/>
      <c r="N10809" s="51"/>
      <c r="O10809" s="52"/>
      <c r="P10809" s="51"/>
      <c r="Q10809" s="51"/>
      <c r="R10809" s="51"/>
      <c r="S10809" s="51"/>
      <c r="T10809" s="41"/>
      <c r="AG10809" s="521" t="s">
        <v>268</v>
      </c>
      <c r="AH10809" s="521" t="s">
        <v>269</v>
      </c>
      <c r="AI10809" s="521" t="s">
        <v>270</v>
      </c>
      <c r="AJ10809" s="521" t="s">
        <v>271</v>
      </c>
      <c r="AK10809" s="521" t="s">
        <v>272</v>
      </c>
      <c r="AM10809" s="745" t="s">
        <v>281</v>
      </c>
      <c r="AN10809" s="746" t="s">
        <v>282</v>
      </c>
      <c r="AO10809" s="522" t="s">
        <v>278</v>
      </c>
      <c r="AR10809" s="51"/>
      <c r="AS10809" s="42" t="s">
        <v>139</v>
      </c>
    </row>
    <row r="10810" spans="1:45" s="520" customFormat="1" ht="12" customHeight="1">
      <c r="A10810" s="747">
        <v>2</v>
      </c>
      <c r="B10810" s="523" t="s">
        <v>329</v>
      </c>
      <c r="C10810" s="748"/>
      <c r="D10810" s="749" t="s">
        <v>2520</v>
      </c>
      <c r="E10810" s="750">
        <f>IF(AND($A10810=0,$A$1="DIF"),0, ROUND(ROUND(($R10814*$S$2+($T10814*$T$2))/A10810,2)*$C$2,2))</f>
        <v>30.86</v>
      </c>
      <c r="F10810" s="751">
        <f>ROUND($A10810*$E10810,2)</f>
        <v>61.72</v>
      </c>
      <c r="G10810" s="752" t="s">
        <v>142</v>
      </c>
      <c r="H10810" s="753"/>
      <c r="I10810" s="754"/>
      <c r="J10810" s="753"/>
      <c r="K10810" s="753" t="s">
        <v>3</v>
      </c>
      <c r="L10810" s="755" t="s">
        <v>143</v>
      </c>
      <c r="M10810" s="755"/>
      <c r="N10810" s="755"/>
      <c r="O10810" s="755"/>
      <c r="P10810" s="755"/>
      <c r="Q10810" s="51"/>
      <c r="T10810" s="756" t="str">
        <f>IF(AND($R10814=0,$T10814=0),"0.00","mu :" &amp; ROUND($F10810/$C$2/($R10814+$T10814*$D$9),2))</f>
        <v>mu :1.23</v>
      </c>
      <c r="W10810" s="524"/>
      <c r="AG10810" s="481">
        <f>IF($E10810=0,0,ROUND($R10814*$S$2*$C$2/$A10810,2))</f>
        <v>11.08</v>
      </c>
      <c r="AH10810" s="481">
        <f>$AG10810*$A10810</f>
        <v>22.16</v>
      </c>
      <c r="AI10810" s="525">
        <f>$E10810-$AG10810</f>
        <v>19.78</v>
      </c>
      <c r="AJ10810" s="525">
        <f>$A10810*$AI10810</f>
        <v>39.56</v>
      </c>
      <c r="AK10810" s="526">
        <f>ROUND(($AG10810+$AI10810)*$A10810,2)</f>
        <v>61.72</v>
      </c>
      <c r="AM10810" s="527">
        <f>ROUND(R10814,2)</f>
        <v>18</v>
      </c>
      <c r="AN10810" s="528">
        <f>ROUND(T10814,2)</f>
        <v>1.17</v>
      </c>
      <c r="AO10810" s="529">
        <f>ROUND(AM10810+AN10810,2)*A10810</f>
        <v>38.340000000000003</v>
      </c>
      <c r="AR10810" s="747">
        <v>2</v>
      </c>
      <c r="AS10810" s="751">
        <v>66.12</v>
      </c>
    </row>
    <row r="10811" spans="1:45" s="520" customFormat="1" ht="13.2">
      <c r="A10811" s="748"/>
      <c r="B10811"/>
      <c r="C10811" s="748"/>
      <c r="D10811" s="749" t="s">
        <v>2205</v>
      </c>
      <c r="F10811" s="753"/>
      <c r="G10811" s="3"/>
      <c r="H10811" s="753"/>
      <c r="I10811" s="754"/>
      <c r="J10811" s="753"/>
      <c r="K10811" s="753" t="s">
        <v>144</v>
      </c>
      <c r="L10811" s="753"/>
      <c r="M10811" s="753"/>
      <c r="N10811" s="753"/>
      <c r="O10811" s="753"/>
      <c r="P10811" s="753"/>
      <c r="Q10811" s="51"/>
      <c r="R10811" s="530"/>
      <c r="S10811" s="757"/>
      <c r="T10811" s="753"/>
      <c r="AR10811" s="748"/>
      <c r="AS10811" s="753"/>
    </row>
    <row r="10812" spans="1:45" s="901" customFormat="1" ht="13.2">
      <c r="A10812" s="1220">
        <f>2*5</f>
        <v>10</v>
      </c>
      <c r="B10812" s="901" t="s">
        <v>320</v>
      </c>
      <c r="D10812" s="901" t="s">
        <v>3209</v>
      </c>
      <c r="F10812" s="901" t="s">
        <v>3237</v>
      </c>
      <c r="G10812" s="941" t="s">
        <v>3210</v>
      </c>
      <c r="H10812" s="942">
        <v>700</v>
      </c>
      <c r="I10812" s="901" t="s">
        <v>3008</v>
      </c>
      <c r="J10812" s="901" t="s">
        <v>2953</v>
      </c>
      <c r="O10812" s="943">
        <v>1</v>
      </c>
      <c r="P10812" s="944">
        <v>42213</v>
      </c>
      <c r="Q10812" s="945">
        <v>1.8</v>
      </c>
      <c r="R10812" s="946">
        <f>$A10812*Q10812</f>
        <v>18</v>
      </c>
      <c r="S10812" s="945">
        <v>0.13</v>
      </c>
      <c r="T10812" s="947">
        <f>$A10812*S10812*$T$1</f>
        <v>1.1700000000000002</v>
      </c>
      <c r="AR10812" s="1220">
        <v>10</v>
      </c>
      <c r="AS10812" s="901" t="s">
        <v>3237</v>
      </c>
    </row>
    <row r="10813" spans="1:45" s="520" customFormat="1" ht="12">
      <c r="A10813" s="758"/>
      <c r="B10813" s="758"/>
      <c r="C10813" s="758"/>
      <c r="D10813" s="758"/>
      <c r="E10813" s="758"/>
      <c r="F10813" s="753"/>
      <c r="G10813" s="758"/>
      <c r="H10813" s="758"/>
      <c r="I10813" s="519"/>
      <c r="J10813" s="758"/>
      <c r="K10813" s="758"/>
      <c r="L10813" s="758"/>
      <c r="M10813" s="758"/>
      <c r="N10813" s="758"/>
      <c r="O10813" s="758"/>
      <c r="P10813" s="758"/>
      <c r="Q10813" s="519"/>
      <c r="R10813" s="759">
        <f>$A10813*Q10813</f>
        <v>0</v>
      </c>
      <c r="S10813" s="519"/>
      <c r="T10813" s="760">
        <f>$A10813*S10813*$T$1</f>
        <v>0</v>
      </c>
      <c r="AR10813" s="758"/>
      <c r="AS10813" s="753"/>
    </row>
    <row r="10814" spans="1:45" s="520" customFormat="1" ht="12.6" thickBot="1">
      <c r="A10814" s="761" t="s">
        <v>145</v>
      </c>
      <c r="B10814" s="762">
        <f>(R10813+T10813)</f>
        <v>0</v>
      </c>
      <c r="C10814" s="763"/>
      <c r="D10814" s="763"/>
      <c r="E10814" s="763"/>
      <c r="F10814" s="764"/>
      <c r="G10814" s="763" t="s">
        <v>146</v>
      </c>
      <c r="H10814" s="763"/>
      <c r="I10814" s="765"/>
      <c r="J10814" s="763"/>
      <c r="K10814" s="763" t="s">
        <v>3</v>
      </c>
      <c r="L10814" s="766" t="s">
        <v>143</v>
      </c>
      <c r="M10814" s="766"/>
      <c r="N10814" s="766"/>
      <c r="O10814" s="766"/>
      <c r="P10814" s="766"/>
      <c r="Q10814" s="767"/>
      <c r="R10814" s="768">
        <f>SUM(R10811:R10813)</f>
        <v>18</v>
      </c>
      <c r="S10814" s="763"/>
      <c r="T10814" s="768">
        <f>SUM(T10811:T10813)</f>
        <v>1.1700000000000002</v>
      </c>
      <c r="U10814" s="531"/>
      <c r="V10814" s="531"/>
      <c r="W10814" s="531"/>
      <c r="X10814" s="531"/>
      <c r="Y10814" s="531"/>
      <c r="Z10814" s="531"/>
      <c r="AA10814" s="531"/>
      <c r="AB10814" s="531"/>
      <c r="AC10814" s="531"/>
      <c r="AD10814" s="531"/>
      <c r="AE10814" s="531"/>
      <c r="AF10814" s="531"/>
      <c r="AG10814" s="531"/>
      <c r="AH10814" s="531"/>
      <c r="AI10814" s="531"/>
      <c r="AJ10814" s="531"/>
      <c r="AK10814" s="531"/>
      <c r="AL10814" s="531"/>
      <c r="AM10814" s="531"/>
      <c r="AN10814" s="531"/>
      <c r="AO10814" s="531"/>
      <c r="AR10814" s="761" t="s">
        <v>145</v>
      </c>
      <c r="AS10814" s="764"/>
    </row>
    <row r="10815" spans="1:45" s="520" customFormat="1" ht="12" thickTop="1">
      <c r="A10815" s="51"/>
      <c r="B10815" s="41"/>
      <c r="C10815" s="51"/>
      <c r="E10815" s="42" t="s">
        <v>138</v>
      </c>
      <c r="F10815" s="42" t="s">
        <v>139</v>
      </c>
      <c r="G10815" s="51"/>
      <c r="H10815" s="51"/>
      <c r="I10815" s="51"/>
      <c r="J10815" s="51"/>
      <c r="K10815" s="51" t="s">
        <v>140</v>
      </c>
      <c r="L10815" s="51"/>
      <c r="M10815" s="51"/>
      <c r="N10815" s="51"/>
      <c r="O10815" s="52"/>
      <c r="P10815" s="51"/>
      <c r="Q10815" s="51"/>
      <c r="R10815" s="51"/>
      <c r="S10815" s="51"/>
      <c r="T10815" s="41"/>
      <c r="AG10815" s="521" t="s">
        <v>268</v>
      </c>
      <c r="AH10815" s="521" t="s">
        <v>269</v>
      </c>
      <c r="AI10815" s="521" t="s">
        <v>270</v>
      </c>
      <c r="AJ10815" s="521" t="s">
        <v>271</v>
      </c>
      <c r="AK10815" s="521" t="s">
        <v>272</v>
      </c>
      <c r="AM10815" s="745" t="s">
        <v>281</v>
      </c>
      <c r="AN10815" s="746" t="s">
        <v>282</v>
      </c>
      <c r="AO10815" s="522" t="s">
        <v>278</v>
      </c>
      <c r="AR10815" s="51"/>
      <c r="AS10815" s="42" t="s">
        <v>139</v>
      </c>
    </row>
    <row r="10816" spans="1:45" s="520" customFormat="1" ht="12" customHeight="1">
      <c r="A10816" s="747">
        <v>2</v>
      </c>
      <c r="B10816" s="523" t="s">
        <v>329</v>
      </c>
      <c r="C10816" s="748"/>
      <c r="D10816" s="749" t="s">
        <v>2521</v>
      </c>
      <c r="E10816" s="750">
        <f>IF(AND($A10816=0,$A$1="DIF"),0, ROUND(ROUND(($R10820*$S$2+($T10820*$T$2))/A10816,2)*$C$2,2))</f>
        <v>18.52</v>
      </c>
      <c r="F10816" s="751">
        <f>ROUND($A10816*$E10816,2)</f>
        <v>37.04</v>
      </c>
      <c r="G10816" s="752" t="s">
        <v>142</v>
      </c>
      <c r="H10816" s="753"/>
      <c r="I10816" s="754"/>
      <c r="J10816" s="753"/>
      <c r="K10816" s="753" t="s">
        <v>3</v>
      </c>
      <c r="L10816" s="755" t="s">
        <v>143</v>
      </c>
      <c r="M10816" s="755"/>
      <c r="N10816" s="755"/>
      <c r="O10816" s="755"/>
      <c r="P10816" s="755"/>
      <c r="Q10816" s="51"/>
      <c r="T10816" s="756" t="str">
        <f>IF(AND($R10820=0,$T10820=0),"0.00","mu :" &amp; ROUND($F10816/$C$2/($R10820+$T10820*$D$9),2))</f>
        <v>mu :1.23</v>
      </c>
      <c r="W10816" s="524"/>
      <c r="AG10816" s="481">
        <f>IF($E10816=0,0,ROUND($R10820*$S$2*$C$2/$A10816,2))</f>
        <v>6.65</v>
      </c>
      <c r="AH10816" s="481">
        <f>$AG10816*$A10816</f>
        <v>13.3</v>
      </c>
      <c r="AI10816" s="525">
        <f>$E10816-$AG10816</f>
        <v>11.87</v>
      </c>
      <c r="AJ10816" s="525">
        <f>$A10816*$AI10816</f>
        <v>23.74</v>
      </c>
      <c r="AK10816" s="526">
        <f>ROUND(($AG10816+$AI10816)*$A10816,2)</f>
        <v>37.04</v>
      </c>
      <c r="AM10816" s="527">
        <f>ROUND(R10820,2)</f>
        <v>10.8</v>
      </c>
      <c r="AN10816" s="528">
        <f>ROUND(T10820,2)</f>
        <v>0.7</v>
      </c>
      <c r="AO10816" s="529">
        <f>ROUND(AM10816+AN10816,2)*A10816</f>
        <v>23</v>
      </c>
      <c r="AR10816" s="747">
        <v>2</v>
      </c>
      <c r="AS10816" s="751">
        <v>39.68</v>
      </c>
    </row>
    <row r="10817" spans="1:45" s="520" customFormat="1" ht="13.2">
      <c r="A10817" s="748"/>
      <c r="B10817"/>
      <c r="C10817" s="748"/>
      <c r="D10817" s="749" t="s">
        <v>2206</v>
      </c>
      <c r="F10817" s="753"/>
      <c r="G10817" s="3"/>
      <c r="H10817" s="753"/>
      <c r="I10817" s="754"/>
      <c r="J10817" s="753"/>
      <c r="K10817" s="753" t="s">
        <v>144</v>
      </c>
      <c r="L10817" s="753"/>
      <c r="M10817" s="753"/>
      <c r="N10817" s="753"/>
      <c r="O10817" s="753"/>
      <c r="P10817" s="753"/>
      <c r="Q10817" s="51"/>
      <c r="R10817" s="530"/>
      <c r="S10817" s="757"/>
      <c r="T10817" s="753"/>
      <c r="AR10817" s="748"/>
      <c r="AS10817" s="753"/>
    </row>
    <row r="10818" spans="1:45" s="901" customFormat="1" ht="13.2">
      <c r="A10818" s="1220">
        <f>2*3</f>
        <v>6</v>
      </c>
      <c r="B10818" s="901" t="s">
        <v>320</v>
      </c>
      <c r="D10818" s="901" t="s">
        <v>3209</v>
      </c>
      <c r="F10818" s="901" t="s">
        <v>3237</v>
      </c>
      <c r="G10818" s="941" t="s">
        <v>3210</v>
      </c>
      <c r="H10818" s="942">
        <v>700</v>
      </c>
      <c r="I10818" s="901" t="s">
        <v>3008</v>
      </c>
      <c r="J10818" s="901" t="s">
        <v>2953</v>
      </c>
      <c r="O10818" s="943">
        <v>1</v>
      </c>
      <c r="P10818" s="944">
        <v>42213</v>
      </c>
      <c r="Q10818" s="945">
        <v>1.8</v>
      </c>
      <c r="R10818" s="946">
        <f>$A10818*Q10818</f>
        <v>10.8</v>
      </c>
      <c r="S10818" s="945">
        <v>0.13</v>
      </c>
      <c r="T10818" s="947">
        <f>$A10818*S10818*$T$1</f>
        <v>0.70200000000000007</v>
      </c>
      <c r="AR10818" s="1220">
        <v>6</v>
      </c>
      <c r="AS10818" s="901" t="s">
        <v>3237</v>
      </c>
    </row>
    <row r="10819" spans="1:45" s="520" customFormat="1" ht="12">
      <c r="A10819" s="758"/>
      <c r="B10819" s="758"/>
      <c r="C10819" s="758"/>
      <c r="D10819" s="758"/>
      <c r="E10819" s="758"/>
      <c r="F10819" s="753"/>
      <c r="G10819" s="758"/>
      <c r="H10819" s="758"/>
      <c r="I10819" s="519"/>
      <c r="J10819" s="758"/>
      <c r="K10819" s="758"/>
      <c r="L10819" s="758"/>
      <c r="M10819" s="758"/>
      <c r="N10819" s="758"/>
      <c r="O10819" s="758"/>
      <c r="P10819" s="758"/>
      <c r="Q10819" s="519"/>
      <c r="R10819" s="759">
        <f>$A10819*Q10819</f>
        <v>0</v>
      </c>
      <c r="S10819" s="519"/>
      <c r="T10819" s="760">
        <f>$A10819*S10819*$T$1</f>
        <v>0</v>
      </c>
      <c r="AR10819" s="758"/>
      <c r="AS10819" s="753"/>
    </row>
    <row r="10820" spans="1:45" s="520" customFormat="1" ht="12.6" thickBot="1">
      <c r="A10820" s="761" t="s">
        <v>145</v>
      </c>
      <c r="B10820" s="762">
        <f>(R10819+T10819)</f>
        <v>0</v>
      </c>
      <c r="C10820" s="763"/>
      <c r="D10820" s="763"/>
      <c r="E10820" s="763"/>
      <c r="F10820" s="764"/>
      <c r="G10820" s="763" t="s">
        <v>146</v>
      </c>
      <c r="H10820" s="763"/>
      <c r="I10820" s="765"/>
      <c r="J10820" s="763"/>
      <c r="K10820" s="763" t="s">
        <v>3</v>
      </c>
      <c r="L10820" s="766" t="s">
        <v>143</v>
      </c>
      <c r="M10820" s="766"/>
      <c r="N10820" s="766"/>
      <c r="O10820" s="766"/>
      <c r="P10820" s="766"/>
      <c r="Q10820" s="767"/>
      <c r="R10820" s="768">
        <f>SUM(R10817:R10819)</f>
        <v>10.8</v>
      </c>
      <c r="S10820" s="763"/>
      <c r="T10820" s="768">
        <f>SUM(T10817:T10819)</f>
        <v>0.70200000000000007</v>
      </c>
      <c r="U10820" s="531"/>
      <c r="V10820" s="531"/>
      <c r="W10820" s="531"/>
      <c r="X10820" s="531"/>
      <c r="Y10820" s="531"/>
      <c r="Z10820" s="531"/>
      <c r="AA10820" s="531"/>
      <c r="AB10820" s="531"/>
      <c r="AC10820" s="531"/>
      <c r="AD10820" s="531"/>
      <c r="AE10820" s="531"/>
      <c r="AF10820" s="531"/>
      <c r="AG10820" s="531"/>
      <c r="AH10820" s="531"/>
      <c r="AI10820" s="531"/>
      <c r="AJ10820" s="531"/>
      <c r="AK10820" s="531"/>
      <c r="AL10820" s="531"/>
      <c r="AM10820" s="531"/>
      <c r="AN10820" s="531"/>
      <c r="AO10820" s="531"/>
      <c r="AR10820" s="761" t="s">
        <v>145</v>
      </c>
      <c r="AS10820" s="764"/>
    </row>
    <row r="10821" spans="1:45" s="520" customFormat="1" thickTop="1">
      <c r="A10821" s="51"/>
      <c r="B10821" s="51"/>
      <c r="C10821" s="3"/>
      <c r="D10821" s="3"/>
      <c r="E10821" s="51"/>
      <c r="F10821" s="51"/>
      <c r="G10821" s="51"/>
      <c r="H10821" s="51"/>
      <c r="I10821" s="51"/>
      <c r="J10821" s="51"/>
      <c r="K10821" s="51" t="s">
        <v>134</v>
      </c>
      <c r="L10821" s="51"/>
      <c r="M10821" s="51"/>
      <c r="N10821" s="51"/>
      <c r="O10821" s="52"/>
      <c r="P10821" s="51"/>
      <c r="Q10821" s="51"/>
      <c r="R10821" s="51"/>
      <c r="S10821" s="51"/>
      <c r="T10821" s="51"/>
      <c r="AR10821" s="51"/>
      <c r="AS10821" s="51"/>
    </row>
    <row r="10822" spans="1:45" s="520" customFormat="1" ht="12">
      <c r="A10822" s="51"/>
      <c r="B10822" s="51"/>
      <c r="C10822" s="51" t="s">
        <v>135</v>
      </c>
      <c r="D10822" s="37"/>
      <c r="E10822" s="51"/>
      <c r="F10822" s="51"/>
      <c r="G10822" s="51"/>
      <c r="H10822" s="51"/>
      <c r="I10822" s="51"/>
      <c r="J10822" s="51"/>
      <c r="K10822" s="51"/>
      <c r="L10822" s="51"/>
      <c r="M10822" s="51"/>
      <c r="N10822" s="51"/>
      <c r="O10822" s="52"/>
      <c r="P10822" s="51"/>
      <c r="Q10822" s="51"/>
      <c r="R10822" s="51"/>
      <c r="S10822" s="51"/>
      <c r="T10822" s="51"/>
      <c r="AR10822" s="51"/>
      <c r="AS10822" s="51"/>
    </row>
    <row r="10823" spans="1:45" s="520" customFormat="1" ht="39.9" customHeight="1">
      <c r="A10823" s="51"/>
      <c r="B10823" s="51"/>
      <c r="C10823" s="51"/>
      <c r="D10823" s="1453" t="s">
        <v>2185</v>
      </c>
      <c r="E10823" s="1452"/>
      <c r="F10823" s="1452"/>
      <c r="G10823" s="1452"/>
      <c r="H10823" s="1452"/>
      <c r="I10823" s="1452"/>
      <c r="J10823" s="1452"/>
      <c r="K10823" s="1452"/>
      <c r="L10823" s="1452"/>
      <c r="M10823" s="1452"/>
      <c r="N10823" s="1452"/>
      <c r="O10823" s="1452"/>
      <c r="P10823" s="1452"/>
      <c r="Q10823" s="1452"/>
      <c r="R10823" s="1452"/>
      <c r="S10823" s="1452"/>
      <c r="T10823" s="1452"/>
      <c r="AR10823" s="51"/>
    </row>
    <row r="10824" spans="1:45" s="3" customFormat="1" thickBot="1">
      <c r="A10824" s="531"/>
      <c r="O10824" s="107"/>
      <c r="AR10824" s="531"/>
    </row>
    <row r="10825" spans="1:45" s="520" customFormat="1" ht="12" thickTop="1">
      <c r="A10825" s="51"/>
      <c r="B10825" s="41"/>
      <c r="C10825" s="51"/>
      <c r="E10825" s="42" t="s">
        <v>138</v>
      </c>
      <c r="F10825" s="42" t="s">
        <v>139</v>
      </c>
      <c r="G10825" s="51"/>
      <c r="H10825" s="51"/>
      <c r="I10825" s="51"/>
      <c r="J10825" s="51"/>
      <c r="K10825" s="51" t="s">
        <v>140</v>
      </c>
      <c r="L10825" s="51"/>
      <c r="M10825" s="51"/>
      <c r="N10825" s="51"/>
      <c r="O10825" s="52"/>
      <c r="P10825" s="51"/>
      <c r="Q10825" s="51"/>
      <c r="R10825" s="51"/>
      <c r="S10825" s="51"/>
      <c r="T10825" s="41"/>
      <c r="AG10825" s="521" t="s">
        <v>268</v>
      </c>
      <c r="AH10825" s="521" t="s">
        <v>269</v>
      </c>
      <c r="AI10825" s="521" t="s">
        <v>270</v>
      </c>
      <c r="AJ10825" s="521" t="s">
        <v>271</v>
      </c>
      <c r="AK10825" s="521" t="s">
        <v>272</v>
      </c>
      <c r="AM10825" s="745" t="s">
        <v>281</v>
      </c>
      <c r="AN10825" s="746" t="s">
        <v>282</v>
      </c>
      <c r="AO10825" s="522" t="s">
        <v>278</v>
      </c>
      <c r="AR10825" s="51"/>
      <c r="AS10825" s="42" t="s">
        <v>139</v>
      </c>
    </row>
    <row r="10826" spans="1:45" s="520" customFormat="1" ht="12" customHeight="1">
      <c r="A10826" s="747">
        <v>2</v>
      </c>
      <c r="B10826" s="523" t="s">
        <v>329</v>
      </c>
      <c r="C10826" s="748"/>
      <c r="D10826" s="749" t="s">
        <v>2522</v>
      </c>
      <c r="E10826" s="1145">
        <f>IF(AND($A10826=0,$A$1="DIF"),0, ROUND(ROUND(($R10830*$S$3+($T10830*$T$3))/$A10826,2)*$C$3,2))</f>
        <v>29.56</v>
      </c>
      <c r="F10826" s="1146">
        <f>ROUND($A10826*$E10826,2)</f>
        <v>59.12</v>
      </c>
      <c r="G10826" s="752" t="s">
        <v>142</v>
      </c>
      <c r="H10826" s="753"/>
      <c r="I10826" s="754"/>
      <c r="J10826" s="753"/>
      <c r="K10826" s="753" t="s">
        <v>5</v>
      </c>
      <c r="L10826" s="755" t="s">
        <v>143</v>
      </c>
      <c r="M10826" s="755"/>
      <c r="N10826" s="755"/>
      <c r="O10826" s="755"/>
      <c r="P10826" s="755"/>
      <c r="Q10826" s="51"/>
      <c r="T10826" s="1150" t="str">
        <f>IF(AND($R10830=0,$T10830=0),"0.00","mu: "&amp; ROUND(F10826/$C$3/($R10830+$T10830*$D$9),2))</f>
        <v>mu: 1.13</v>
      </c>
      <c r="W10826" s="524"/>
      <c r="AG10826" s="1147">
        <f>IF($E10826=0,0,ROUND($R10830*$S$3*$C$3/$A10826,2))</f>
        <v>29.56</v>
      </c>
      <c r="AH10826" s="1147">
        <f>$AG10826*$A10826</f>
        <v>59.12</v>
      </c>
      <c r="AI10826" s="1148">
        <f>$E10826-$AG10826</f>
        <v>0</v>
      </c>
      <c r="AJ10826" s="1148">
        <f>$A10826*$AI10826</f>
        <v>0</v>
      </c>
      <c r="AK10826" s="1149">
        <f>ROUND(($AG10826+$AI10826)*$A10826,2)</f>
        <v>59.12</v>
      </c>
      <c r="AM10826" s="527">
        <f>ROUND(R10830,2)</f>
        <v>52.38</v>
      </c>
      <c r="AN10826" s="528">
        <f>ROUND(T10830,2)</f>
        <v>0</v>
      </c>
      <c r="AO10826" s="529">
        <f>ROUND(AM10826+AN10826,2)*A10826</f>
        <v>104.76</v>
      </c>
      <c r="AR10826" s="747">
        <v>2</v>
      </c>
      <c r="AS10826" s="1146">
        <v>64.34</v>
      </c>
    </row>
    <row r="10827" spans="1:45" s="520" customFormat="1" ht="13.2">
      <c r="A10827" s="748"/>
      <c r="B10827"/>
      <c r="C10827" s="748"/>
      <c r="D10827" s="749" t="s">
        <v>2205</v>
      </c>
      <c r="F10827" s="753"/>
      <c r="G10827" s="3"/>
      <c r="H10827" s="753"/>
      <c r="I10827" s="754"/>
      <c r="J10827" s="753"/>
      <c r="K10827" s="753" t="s">
        <v>144</v>
      </c>
      <c r="L10827" s="753"/>
      <c r="M10827" s="753"/>
      <c r="N10827" s="753"/>
      <c r="O10827" s="753"/>
      <c r="P10827" s="753"/>
      <c r="Q10827" s="51"/>
      <c r="R10827" s="530"/>
      <c r="S10827" s="757"/>
      <c r="T10827" s="753"/>
      <c r="AR10827" s="748"/>
      <c r="AS10827" s="753"/>
    </row>
    <row r="10828" spans="1:45" s="901" customFormat="1" ht="13.2">
      <c r="A10828" s="903">
        <v>2</v>
      </c>
      <c r="B10828" s="904" t="s">
        <v>863</v>
      </c>
      <c r="C10828" s="904"/>
      <c r="D10828" s="904" t="s">
        <v>2594</v>
      </c>
      <c r="E10828" s="904"/>
      <c r="F10828" s="1153" t="s">
        <v>4143</v>
      </c>
      <c r="G10828" s="905" t="s">
        <v>2595</v>
      </c>
      <c r="H10828" s="902">
        <v>960</v>
      </c>
      <c r="I10828" s="904" t="s">
        <v>2596</v>
      </c>
      <c r="J10828" s="904"/>
      <c r="K10828" s="904"/>
      <c r="L10828" s="904"/>
      <c r="M10828" s="904"/>
      <c r="N10828" s="904"/>
      <c r="O10828" s="902">
        <v>4</v>
      </c>
      <c r="P10828" s="906">
        <v>38274</v>
      </c>
      <c r="Q10828" s="1415">
        <f>30*0.873</f>
        <v>26.19</v>
      </c>
      <c r="R10828" s="908">
        <f>$A10828*Q10828</f>
        <v>52.38</v>
      </c>
      <c r="S10828" s="907"/>
      <c r="T10828" s="909">
        <f>$A10828*S10828*$T$1</f>
        <v>0</v>
      </c>
      <c r="AR10828" s="903">
        <v>2</v>
      </c>
      <c r="AS10828" s="1153" t="s">
        <v>3507</v>
      </c>
    </row>
    <row r="10829" spans="1:45" s="520" customFormat="1" ht="12">
      <c r="A10829" s="758"/>
      <c r="B10829" s="758"/>
      <c r="C10829" s="758"/>
      <c r="D10829" s="758"/>
      <c r="E10829" s="758"/>
      <c r="F10829" s="753"/>
      <c r="G10829" s="758"/>
      <c r="H10829" s="758"/>
      <c r="I10829" s="519"/>
      <c r="J10829" s="758"/>
      <c r="K10829" s="758"/>
      <c r="L10829" s="758"/>
      <c r="M10829" s="758"/>
      <c r="N10829" s="758"/>
      <c r="O10829" s="758"/>
      <c r="P10829" s="758"/>
      <c r="Q10829" s="519"/>
      <c r="R10829" s="759">
        <f>$A10829*Q10829</f>
        <v>0</v>
      </c>
      <c r="S10829" s="519"/>
      <c r="T10829" s="760">
        <f>$A10829*S10829*$T$1</f>
        <v>0</v>
      </c>
      <c r="AR10829" s="758"/>
      <c r="AS10829" s="753"/>
    </row>
    <row r="10830" spans="1:45" s="520" customFormat="1" ht="12.6" thickBot="1">
      <c r="A10830" s="761" t="s">
        <v>145</v>
      </c>
      <c r="B10830" s="762">
        <f>(R10829+T10829)</f>
        <v>0</v>
      </c>
      <c r="C10830" s="763"/>
      <c r="D10830" s="763"/>
      <c r="E10830" s="763"/>
      <c r="F10830" s="764"/>
      <c r="G10830" s="763" t="s">
        <v>146</v>
      </c>
      <c r="H10830" s="763"/>
      <c r="I10830" s="765"/>
      <c r="J10830" s="763"/>
      <c r="K10830" s="763" t="s">
        <v>5</v>
      </c>
      <c r="L10830" s="766" t="s">
        <v>143</v>
      </c>
      <c r="M10830" s="766"/>
      <c r="N10830" s="766"/>
      <c r="O10830" s="766"/>
      <c r="P10830" s="766"/>
      <c r="Q10830" s="767"/>
      <c r="R10830" s="768">
        <f>SUM(R10827:R10829)</f>
        <v>52.38</v>
      </c>
      <c r="S10830" s="763"/>
      <c r="T10830" s="768">
        <f>SUM(T10827:T10829)</f>
        <v>0</v>
      </c>
      <c r="U10830" s="531"/>
      <c r="V10830" s="531"/>
      <c r="W10830" s="531"/>
      <c r="X10830" s="531"/>
      <c r="Y10830" s="531"/>
      <c r="Z10830" s="531"/>
      <c r="AA10830" s="531"/>
      <c r="AB10830" s="531"/>
      <c r="AC10830" s="531"/>
      <c r="AD10830" s="531"/>
      <c r="AE10830" s="531"/>
      <c r="AF10830" s="531"/>
      <c r="AG10830" s="531"/>
      <c r="AH10830" s="531"/>
      <c r="AI10830" s="531"/>
      <c r="AJ10830" s="531"/>
      <c r="AK10830" s="531"/>
      <c r="AL10830" s="531"/>
      <c r="AM10830" s="531"/>
      <c r="AN10830" s="531"/>
      <c r="AO10830" s="531"/>
      <c r="AR10830" s="761" t="s">
        <v>145</v>
      </c>
      <c r="AS10830" s="764"/>
    </row>
    <row r="10831" spans="1:45" s="520" customFormat="1" ht="12" thickTop="1">
      <c r="A10831" s="51"/>
      <c r="B10831" s="41"/>
      <c r="C10831" s="51"/>
      <c r="E10831" s="42" t="s">
        <v>138</v>
      </c>
      <c r="F10831" s="42" t="s">
        <v>139</v>
      </c>
      <c r="G10831" s="51"/>
      <c r="H10831" s="51"/>
      <c r="I10831" s="51"/>
      <c r="J10831" s="51"/>
      <c r="K10831" s="51" t="s">
        <v>140</v>
      </c>
      <c r="L10831" s="51"/>
      <c r="M10831" s="51"/>
      <c r="N10831" s="51"/>
      <c r="O10831" s="52"/>
      <c r="P10831" s="51"/>
      <c r="Q10831" s="51"/>
      <c r="R10831" s="51"/>
      <c r="S10831" s="51"/>
      <c r="T10831" s="41"/>
      <c r="AG10831" s="521" t="s">
        <v>268</v>
      </c>
      <c r="AH10831" s="521" t="s">
        <v>269</v>
      </c>
      <c r="AI10831" s="521" t="s">
        <v>270</v>
      </c>
      <c r="AJ10831" s="521" t="s">
        <v>271</v>
      </c>
      <c r="AK10831" s="521" t="s">
        <v>272</v>
      </c>
      <c r="AM10831" s="745" t="s">
        <v>281</v>
      </c>
      <c r="AN10831" s="746" t="s">
        <v>282</v>
      </c>
      <c r="AO10831" s="522" t="s">
        <v>278</v>
      </c>
      <c r="AR10831" s="51"/>
      <c r="AS10831" s="42" t="s">
        <v>139</v>
      </c>
    </row>
    <row r="10832" spans="1:45" s="520" customFormat="1" ht="12" customHeight="1">
      <c r="A10832" s="747">
        <v>2</v>
      </c>
      <c r="B10832" s="523" t="s">
        <v>329</v>
      </c>
      <c r="C10832" s="748"/>
      <c r="D10832" s="749" t="s">
        <v>2523</v>
      </c>
      <c r="E10832" s="1145">
        <f>IF(AND($A10832=0,$A$1="DIF"),0, ROUND(ROUND(($R10836*$S$3+($T10836*$T$3))/$A10832,2)*$C$3,2))</f>
        <v>29.56</v>
      </c>
      <c r="F10832" s="1146">
        <f>ROUND($A10832*$E10832,2)</f>
        <v>59.12</v>
      </c>
      <c r="G10832" s="752" t="s">
        <v>142</v>
      </c>
      <c r="H10832" s="753"/>
      <c r="I10832" s="754"/>
      <c r="J10832" s="753"/>
      <c r="K10832" s="753" t="s">
        <v>5</v>
      </c>
      <c r="L10832" s="755" t="s">
        <v>143</v>
      </c>
      <c r="M10832" s="755"/>
      <c r="N10832" s="755"/>
      <c r="O10832" s="755"/>
      <c r="P10832" s="755"/>
      <c r="Q10832" s="51"/>
      <c r="T10832" s="1150" t="str">
        <f>IF(AND($R10836=0,$T10836=0),"0.00","mu: "&amp; ROUND(F10832/$C$3/($R10836+$T10836*$D$9),2))</f>
        <v>mu: 1.13</v>
      </c>
      <c r="W10832" s="524"/>
      <c r="AG10832" s="1147">
        <f>IF($E10832=0,0,ROUND($R10836*$S$3*$C$3/$A10832,2))</f>
        <v>29.56</v>
      </c>
      <c r="AH10832" s="1147">
        <f>$AG10832*$A10832</f>
        <v>59.12</v>
      </c>
      <c r="AI10832" s="1148">
        <f>$E10832-$AG10832</f>
        <v>0</v>
      </c>
      <c r="AJ10832" s="1148">
        <f>$A10832*$AI10832</f>
        <v>0</v>
      </c>
      <c r="AK10832" s="1149">
        <f>ROUND(($AG10832+$AI10832)*$A10832,2)</f>
        <v>59.12</v>
      </c>
      <c r="AM10832" s="527">
        <f>ROUND(R10836,2)</f>
        <v>52.38</v>
      </c>
      <c r="AN10832" s="528">
        <f>ROUND(T10836,2)</f>
        <v>0</v>
      </c>
      <c r="AO10832" s="529">
        <f>ROUND(AM10832+AN10832,2)*A10832</f>
        <v>104.76</v>
      </c>
      <c r="AR10832" s="747">
        <v>2</v>
      </c>
      <c r="AS10832" s="1146">
        <v>64.34</v>
      </c>
    </row>
    <row r="10833" spans="1:45" s="520" customFormat="1" ht="13.2">
      <c r="A10833" s="748"/>
      <c r="B10833"/>
      <c r="C10833" s="748"/>
      <c r="D10833" s="749" t="s">
        <v>2206</v>
      </c>
      <c r="F10833" s="753"/>
      <c r="G10833" s="3"/>
      <c r="H10833" s="753"/>
      <c r="I10833" s="754"/>
      <c r="J10833" s="753"/>
      <c r="K10833" s="753" t="s">
        <v>144</v>
      </c>
      <c r="L10833" s="753"/>
      <c r="M10833" s="753"/>
      <c r="N10833" s="753"/>
      <c r="O10833" s="753"/>
      <c r="P10833" s="753"/>
      <c r="Q10833" s="51"/>
      <c r="R10833" s="530"/>
      <c r="S10833" s="757"/>
      <c r="T10833" s="753"/>
      <c r="AR10833" s="748"/>
      <c r="AS10833" s="753"/>
    </row>
    <row r="10834" spans="1:45" s="901" customFormat="1" ht="13.2">
      <c r="A10834" s="903">
        <v>2</v>
      </c>
      <c r="B10834" s="904" t="s">
        <v>863</v>
      </c>
      <c r="C10834" s="904"/>
      <c r="D10834" s="904" t="s">
        <v>2594</v>
      </c>
      <c r="E10834" s="904"/>
      <c r="F10834" s="1153" t="s">
        <v>4143</v>
      </c>
      <c r="G10834" s="905" t="s">
        <v>2595</v>
      </c>
      <c r="H10834" s="902">
        <v>960</v>
      </c>
      <c r="I10834" s="904" t="s">
        <v>2596</v>
      </c>
      <c r="J10834" s="904"/>
      <c r="K10834" s="904"/>
      <c r="L10834" s="904"/>
      <c r="M10834" s="904"/>
      <c r="N10834" s="904"/>
      <c r="O10834" s="902">
        <v>4</v>
      </c>
      <c r="P10834" s="906">
        <v>38274</v>
      </c>
      <c r="Q10834" s="1415">
        <f>30*0.873</f>
        <v>26.19</v>
      </c>
      <c r="R10834" s="908">
        <f>$A10834*Q10834</f>
        <v>52.38</v>
      </c>
      <c r="S10834" s="907"/>
      <c r="T10834" s="909">
        <f>$A10834*S10834*$T$1</f>
        <v>0</v>
      </c>
      <c r="AR10834" s="903">
        <v>2</v>
      </c>
      <c r="AS10834" s="1153" t="s">
        <v>3507</v>
      </c>
    </row>
    <row r="10835" spans="1:45" s="520" customFormat="1" ht="12">
      <c r="A10835" s="758"/>
      <c r="B10835" s="758"/>
      <c r="C10835" s="758"/>
      <c r="D10835" s="758"/>
      <c r="E10835" s="758"/>
      <c r="F10835" s="753"/>
      <c r="G10835" s="758"/>
      <c r="H10835" s="758"/>
      <c r="I10835" s="519"/>
      <c r="J10835" s="758"/>
      <c r="K10835" s="758"/>
      <c r="L10835" s="758"/>
      <c r="M10835" s="758"/>
      <c r="N10835" s="758"/>
      <c r="O10835" s="758"/>
      <c r="P10835" s="758"/>
      <c r="Q10835" s="519"/>
      <c r="R10835" s="759">
        <f>$A10835*Q10835</f>
        <v>0</v>
      </c>
      <c r="S10835" s="519"/>
      <c r="T10835" s="760">
        <f>$A10835*S10835*$T$1</f>
        <v>0</v>
      </c>
      <c r="AR10835" s="758"/>
      <c r="AS10835" s="753"/>
    </row>
    <row r="10836" spans="1:45" s="520" customFormat="1" ht="12.6" thickBot="1">
      <c r="A10836" s="761" t="s">
        <v>145</v>
      </c>
      <c r="B10836" s="762">
        <f>(R10835+T10835)</f>
        <v>0</v>
      </c>
      <c r="C10836" s="763"/>
      <c r="D10836" s="763"/>
      <c r="E10836" s="763"/>
      <c r="F10836" s="764"/>
      <c r="G10836" s="763" t="s">
        <v>146</v>
      </c>
      <c r="H10836" s="763"/>
      <c r="I10836" s="765"/>
      <c r="J10836" s="763"/>
      <c r="K10836" s="763" t="s">
        <v>5</v>
      </c>
      <c r="L10836" s="766" t="s">
        <v>143</v>
      </c>
      <c r="M10836" s="766"/>
      <c r="N10836" s="766"/>
      <c r="O10836" s="766"/>
      <c r="P10836" s="766"/>
      <c r="Q10836" s="767"/>
      <c r="R10836" s="768">
        <f>SUM(R10833:R10835)</f>
        <v>52.38</v>
      </c>
      <c r="S10836" s="763"/>
      <c r="T10836" s="768">
        <f>SUM(T10833:T10835)</f>
        <v>0</v>
      </c>
      <c r="U10836" s="531"/>
      <c r="V10836" s="531"/>
      <c r="W10836" s="531"/>
      <c r="X10836" s="531"/>
      <c r="Y10836" s="531"/>
      <c r="Z10836" s="531"/>
      <c r="AA10836" s="531"/>
      <c r="AB10836" s="531"/>
      <c r="AC10836" s="531"/>
      <c r="AD10836" s="531"/>
      <c r="AE10836" s="531"/>
      <c r="AF10836" s="531"/>
      <c r="AG10836" s="531"/>
      <c r="AH10836" s="531"/>
      <c r="AI10836" s="531"/>
      <c r="AJ10836" s="531"/>
      <c r="AK10836" s="531"/>
      <c r="AL10836" s="531"/>
      <c r="AM10836" s="531"/>
      <c r="AN10836" s="531"/>
      <c r="AO10836" s="531"/>
      <c r="AR10836" s="761" t="s">
        <v>145</v>
      </c>
      <c r="AS10836" s="764"/>
    </row>
    <row r="10837" spans="1:45" s="520" customFormat="1" thickTop="1">
      <c r="A10837" s="51"/>
      <c r="B10837" s="51"/>
      <c r="C10837" s="3"/>
      <c r="D10837" s="3"/>
      <c r="E10837" s="51"/>
      <c r="F10837" s="51"/>
      <c r="G10837" s="51"/>
      <c r="H10837" s="51"/>
      <c r="I10837" s="51"/>
      <c r="J10837" s="51"/>
      <c r="K10837" s="51" t="s">
        <v>134</v>
      </c>
      <c r="L10837" s="51"/>
      <c r="M10837" s="51"/>
      <c r="N10837" s="51"/>
      <c r="O10837" s="52"/>
      <c r="P10837" s="51"/>
      <c r="Q10837" s="51"/>
      <c r="R10837" s="51"/>
      <c r="S10837" s="51"/>
      <c r="T10837" s="51"/>
      <c r="AR10837" s="51"/>
      <c r="AS10837" s="51"/>
    </row>
    <row r="10838" spans="1:45" s="520" customFormat="1" ht="12">
      <c r="A10838" s="51"/>
      <c r="B10838" s="51"/>
      <c r="C10838" s="51" t="s">
        <v>135</v>
      </c>
      <c r="D10838" s="37"/>
      <c r="E10838" s="51"/>
      <c r="F10838" s="51"/>
      <c r="G10838" s="51"/>
      <c r="H10838" s="51"/>
      <c r="I10838" s="51"/>
      <c r="J10838" s="51"/>
      <c r="K10838" s="51"/>
      <c r="L10838" s="51"/>
      <c r="M10838" s="51"/>
      <c r="N10838" s="51"/>
      <c r="O10838" s="52"/>
      <c r="P10838" s="51"/>
      <c r="Q10838" s="51"/>
      <c r="R10838" s="51"/>
      <c r="S10838" s="51"/>
      <c r="T10838" s="51"/>
      <c r="AR10838" s="51"/>
      <c r="AS10838" s="51"/>
    </row>
    <row r="10839" spans="1:45" s="520" customFormat="1" ht="12">
      <c r="A10839" s="51"/>
      <c r="B10839" s="51"/>
      <c r="C10839" s="51"/>
      <c r="D10839" s="37" t="s">
        <v>2186</v>
      </c>
      <c r="E10839" s="51"/>
      <c r="F10839" s="51"/>
      <c r="G10839" s="51"/>
      <c r="H10839" s="51"/>
      <c r="I10839" s="51"/>
      <c r="J10839" s="51"/>
      <c r="K10839" s="51"/>
      <c r="L10839" s="51"/>
      <c r="M10839" s="51"/>
      <c r="N10839" s="51"/>
      <c r="O10839" s="52"/>
      <c r="P10839" s="51"/>
      <c r="Q10839" s="51"/>
      <c r="R10839" s="51"/>
      <c r="S10839" s="38"/>
      <c r="T10839" s="38"/>
      <c r="AR10839" s="51"/>
      <c r="AS10839" s="51"/>
    </row>
    <row r="10840" spans="1:45" s="3" customFormat="1" thickBot="1">
      <c r="A10840" s="531"/>
      <c r="O10840" s="107"/>
      <c r="AR10840" s="531"/>
    </row>
    <row r="10841" spans="1:45" s="520" customFormat="1" ht="12" thickTop="1">
      <c r="A10841" s="51"/>
      <c r="B10841" s="41"/>
      <c r="C10841" s="51"/>
      <c r="E10841" s="42" t="s">
        <v>138</v>
      </c>
      <c r="F10841" s="42" t="s">
        <v>139</v>
      </c>
      <c r="G10841" s="51"/>
      <c r="H10841" s="51"/>
      <c r="I10841" s="51"/>
      <c r="J10841" s="51"/>
      <c r="K10841" s="51" t="s">
        <v>140</v>
      </c>
      <c r="L10841" s="51"/>
      <c r="M10841" s="51"/>
      <c r="N10841" s="51"/>
      <c r="O10841" s="52"/>
      <c r="P10841" s="51"/>
      <c r="Q10841" s="51"/>
      <c r="R10841" s="51"/>
      <c r="S10841" s="51"/>
      <c r="T10841" s="41"/>
      <c r="AG10841" s="521" t="s">
        <v>268</v>
      </c>
      <c r="AH10841" s="521" t="s">
        <v>269</v>
      </c>
      <c r="AI10841" s="521" t="s">
        <v>270</v>
      </c>
      <c r="AJ10841" s="521" t="s">
        <v>271</v>
      </c>
      <c r="AK10841" s="521" t="s">
        <v>272</v>
      </c>
      <c r="AM10841" s="745" t="s">
        <v>281</v>
      </c>
      <c r="AN10841" s="746" t="s">
        <v>282</v>
      </c>
      <c r="AO10841" s="522" t="s">
        <v>278</v>
      </c>
      <c r="AR10841" s="51"/>
      <c r="AS10841" s="42" t="s">
        <v>139</v>
      </c>
    </row>
    <row r="10842" spans="1:45" s="520" customFormat="1" ht="12" customHeight="1">
      <c r="A10842" s="747">
        <v>2</v>
      </c>
      <c r="B10842" s="523" t="s">
        <v>329</v>
      </c>
      <c r="C10842" s="748"/>
      <c r="D10842" s="749" t="s">
        <v>2524</v>
      </c>
      <c r="E10842" s="1145">
        <f>IF(AND($A10842=0,$A$1="DIF"),0, ROUND(ROUND(($R10846*$S$3+($T10846*$T$3))/$A10842,2)*$C$3,2))</f>
        <v>44.34</v>
      </c>
      <c r="F10842" s="1146">
        <f>ROUND($A10842*$E10842,2)</f>
        <v>88.68</v>
      </c>
      <c r="G10842" s="752" t="s">
        <v>142</v>
      </c>
      <c r="H10842" s="753"/>
      <c r="I10842" s="754"/>
      <c r="J10842" s="753"/>
      <c r="K10842" s="753" t="s">
        <v>5</v>
      </c>
      <c r="L10842" s="755" t="s">
        <v>143</v>
      </c>
      <c r="M10842" s="755"/>
      <c r="N10842" s="755"/>
      <c r="O10842" s="755"/>
      <c r="P10842" s="755"/>
      <c r="Q10842" s="51"/>
      <c r="T10842" s="1150" t="str">
        <f>IF(AND($R10846=0,$T10846=0),"0.00","mu: "&amp; ROUND(F10842/$C$3/($R10846+$T10846*$D$9),2))</f>
        <v>mu: 1.13</v>
      </c>
      <c r="W10842" s="524"/>
      <c r="AG10842" s="1147">
        <f>IF($E10842=0,0,ROUND($R10846*$S$3*$C$3/$A10842,2))</f>
        <v>44.34</v>
      </c>
      <c r="AH10842" s="1147">
        <f>$AG10842*$A10842</f>
        <v>88.68</v>
      </c>
      <c r="AI10842" s="1148">
        <f>$E10842-$AG10842</f>
        <v>0</v>
      </c>
      <c r="AJ10842" s="1148">
        <f>$A10842*$AI10842</f>
        <v>0</v>
      </c>
      <c r="AK10842" s="1149">
        <f>ROUND(($AG10842+$AI10842)*$A10842,2)</f>
        <v>88.68</v>
      </c>
      <c r="AM10842" s="527">
        <f>ROUND(R10846,2)</f>
        <v>78.569999999999993</v>
      </c>
      <c r="AN10842" s="528">
        <f>ROUND(T10846,2)</f>
        <v>0</v>
      </c>
      <c r="AO10842" s="529">
        <f>ROUND(AM10842+AN10842,2)*A10842</f>
        <v>157.13999999999999</v>
      </c>
      <c r="AR10842" s="747">
        <v>2</v>
      </c>
      <c r="AS10842" s="1146">
        <v>96.5</v>
      </c>
    </row>
    <row r="10843" spans="1:45" s="520" customFormat="1" ht="13.2">
      <c r="A10843" s="748"/>
      <c r="B10843"/>
      <c r="C10843" s="748"/>
      <c r="D10843" s="749" t="s">
        <v>2205</v>
      </c>
      <c r="F10843" s="753"/>
      <c r="G10843" s="3"/>
      <c r="H10843" s="753"/>
      <c r="I10843" s="754"/>
      <c r="J10843" s="753"/>
      <c r="K10843" s="753" t="s">
        <v>144</v>
      </c>
      <c r="L10843" s="753"/>
      <c r="M10843" s="753"/>
      <c r="N10843" s="753"/>
      <c r="O10843" s="753"/>
      <c r="P10843" s="753"/>
      <c r="Q10843" s="51"/>
      <c r="R10843" s="530"/>
      <c r="S10843" s="757"/>
      <c r="T10843" s="753"/>
      <c r="AR10843" s="748"/>
      <c r="AS10843" s="753"/>
    </row>
    <row r="10844" spans="1:45" s="901" customFormat="1" ht="13.2">
      <c r="A10844" s="903">
        <v>2</v>
      </c>
      <c r="B10844" s="904" t="s">
        <v>863</v>
      </c>
      <c r="C10844" s="904"/>
      <c r="D10844" s="904" t="s">
        <v>2594</v>
      </c>
      <c r="E10844" s="904"/>
      <c r="F10844" s="1153" t="s">
        <v>4143</v>
      </c>
      <c r="G10844" s="905" t="s">
        <v>2595</v>
      </c>
      <c r="H10844" s="902">
        <v>960</v>
      </c>
      <c r="I10844" s="904" t="s">
        <v>2596</v>
      </c>
      <c r="J10844" s="904"/>
      <c r="K10844" s="904"/>
      <c r="L10844" s="904"/>
      <c r="M10844" s="904"/>
      <c r="N10844" s="904"/>
      <c r="O10844" s="902">
        <v>4</v>
      </c>
      <c r="P10844" s="906">
        <v>38274</v>
      </c>
      <c r="Q10844" s="1415">
        <f>45*0.873</f>
        <v>39.284999999999997</v>
      </c>
      <c r="R10844" s="908">
        <f>$A10844*Q10844</f>
        <v>78.569999999999993</v>
      </c>
      <c r="S10844" s="907"/>
      <c r="T10844" s="909">
        <f>$A10844*S10844*$T$1</f>
        <v>0</v>
      </c>
      <c r="AR10844" s="903">
        <v>2</v>
      </c>
      <c r="AS10844" s="1153" t="s">
        <v>3507</v>
      </c>
    </row>
    <row r="10845" spans="1:45" s="520" customFormat="1" ht="12">
      <c r="A10845" s="758"/>
      <c r="B10845" s="758"/>
      <c r="C10845" s="758"/>
      <c r="D10845" s="758"/>
      <c r="E10845" s="758"/>
      <c r="F10845" s="753"/>
      <c r="G10845" s="758"/>
      <c r="H10845" s="758"/>
      <c r="I10845" s="519"/>
      <c r="J10845" s="758"/>
      <c r="K10845" s="758"/>
      <c r="L10845" s="758"/>
      <c r="M10845" s="758"/>
      <c r="N10845" s="758"/>
      <c r="O10845" s="758"/>
      <c r="P10845" s="758"/>
      <c r="Q10845" s="519"/>
      <c r="R10845" s="759">
        <f>$A10845*Q10845</f>
        <v>0</v>
      </c>
      <c r="S10845" s="519"/>
      <c r="T10845" s="760">
        <f>$A10845*S10845*$T$1</f>
        <v>0</v>
      </c>
      <c r="AR10845" s="758"/>
      <c r="AS10845" s="753"/>
    </row>
    <row r="10846" spans="1:45" s="520" customFormat="1" ht="12.6" thickBot="1">
      <c r="A10846" s="761" t="s">
        <v>145</v>
      </c>
      <c r="B10846" s="762">
        <f>(R10845+T10845)</f>
        <v>0</v>
      </c>
      <c r="C10846" s="763"/>
      <c r="D10846" s="763"/>
      <c r="E10846" s="763"/>
      <c r="F10846" s="764"/>
      <c r="G10846" s="763" t="s">
        <v>146</v>
      </c>
      <c r="H10846" s="763"/>
      <c r="I10846" s="765"/>
      <c r="J10846" s="763"/>
      <c r="K10846" s="763" t="s">
        <v>5</v>
      </c>
      <c r="L10846" s="766" t="s">
        <v>143</v>
      </c>
      <c r="M10846" s="766"/>
      <c r="N10846" s="766"/>
      <c r="O10846" s="766"/>
      <c r="P10846" s="766"/>
      <c r="Q10846" s="767"/>
      <c r="R10846" s="768">
        <f>SUM(R10843:R10845)</f>
        <v>78.569999999999993</v>
      </c>
      <c r="S10846" s="763"/>
      <c r="T10846" s="768">
        <f>SUM(T10843:T10845)</f>
        <v>0</v>
      </c>
      <c r="U10846" s="531"/>
      <c r="V10846" s="531"/>
      <c r="W10846" s="531"/>
      <c r="X10846" s="531"/>
      <c r="Y10846" s="531"/>
      <c r="Z10846" s="531"/>
      <c r="AA10846" s="531"/>
      <c r="AB10846" s="531"/>
      <c r="AC10846" s="531"/>
      <c r="AD10846" s="531"/>
      <c r="AE10846" s="531"/>
      <c r="AF10846" s="531"/>
      <c r="AG10846" s="531"/>
      <c r="AH10846" s="531"/>
      <c r="AI10846" s="531"/>
      <c r="AJ10846" s="531"/>
      <c r="AK10846" s="531"/>
      <c r="AL10846" s="531"/>
      <c r="AM10846" s="531"/>
      <c r="AN10846" s="531"/>
      <c r="AO10846" s="531"/>
      <c r="AR10846" s="761" t="s">
        <v>145</v>
      </c>
      <c r="AS10846" s="764"/>
    </row>
    <row r="10847" spans="1:45" s="520" customFormat="1" ht="12" thickTop="1">
      <c r="A10847" s="51"/>
      <c r="B10847" s="41"/>
      <c r="C10847" s="51"/>
      <c r="E10847" s="42" t="s">
        <v>138</v>
      </c>
      <c r="F10847" s="42" t="s">
        <v>139</v>
      </c>
      <c r="G10847" s="51"/>
      <c r="H10847" s="51"/>
      <c r="I10847" s="51"/>
      <c r="J10847" s="51"/>
      <c r="K10847" s="51" t="s">
        <v>140</v>
      </c>
      <c r="L10847" s="51"/>
      <c r="M10847" s="51"/>
      <c r="N10847" s="51"/>
      <c r="O10847" s="52"/>
      <c r="P10847" s="51"/>
      <c r="Q10847" s="51"/>
      <c r="R10847" s="51"/>
      <c r="S10847" s="51"/>
      <c r="T10847" s="41"/>
      <c r="AG10847" s="521" t="s">
        <v>268</v>
      </c>
      <c r="AH10847" s="521" t="s">
        <v>269</v>
      </c>
      <c r="AI10847" s="521" t="s">
        <v>270</v>
      </c>
      <c r="AJ10847" s="521" t="s">
        <v>271</v>
      </c>
      <c r="AK10847" s="521" t="s">
        <v>272</v>
      </c>
      <c r="AM10847" s="745" t="s">
        <v>281</v>
      </c>
      <c r="AN10847" s="746" t="s">
        <v>282</v>
      </c>
      <c r="AO10847" s="522" t="s">
        <v>278</v>
      </c>
      <c r="AR10847" s="51"/>
      <c r="AS10847" s="42" t="s">
        <v>139</v>
      </c>
    </row>
    <row r="10848" spans="1:45" s="520" customFormat="1" ht="12" customHeight="1">
      <c r="A10848" s="747">
        <v>2</v>
      </c>
      <c r="B10848" s="523" t="s">
        <v>329</v>
      </c>
      <c r="C10848" s="748"/>
      <c r="D10848" s="749" t="s">
        <v>2525</v>
      </c>
      <c r="E10848" s="1145">
        <f>IF(AND($A10848=0,$A$1="DIF"),0, ROUND(ROUND(($R10852*$S$3+($T10852*$T$3))/$A10848,2)*$C$3,2))</f>
        <v>31.53</v>
      </c>
      <c r="F10848" s="1146">
        <f>ROUND($A10848*$E10848,2)</f>
        <v>63.06</v>
      </c>
      <c r="G10848" s="752" t="s">
        <v>142</v>
      </c>
      <c r="H10848" s="753"/>
      <c r="I10848" s="754"/>
      <c r="J10848" s="753"/>
      <c r="K10848" s="753" t="s">
        <v>5</v>
      </c>
      <c r="L10848" s="755" t="s">
        <v>143</v>
      </c>
      <c r="M10848" s="755"/>
      <c r="N10848" s="755"/>
      <c r="O10848" s="755"/>
      <c r="P10848" s="755"/>
      <c r="Q10848" s="51"/>
      <c r="T10848" s="1150" t="str">
        <f>IF(AND($R10852=0,$T10852=0),"0.00","mu: "&amp; ROUND(F10848/$C$3/($R10852+$T10852*$D$9),2))</f>
        <v>mu: 1.13</v>
      </c>
      <c r="W10848" s="524"/>
      <c r="AG10848" s="1147">
        <f>IF($E10848=0,0,ROUND($R10852*$S$3*$C$3/$A10848,2))</f>
        <v>31.53</v>
      </c>
      <c r="AH10848" s="1147">
        <f>$AG10848*$A10848</f>
        <v>63.06</v>
      </c>
      <c r="AI10848" s="1148">
        <f>$E10848-$AG10848</f>
        <v>0</v>
      </c>
      <c r="AJ10848" s="1148">
        <f>$A10848*$AI10848</f>
        <v>0</v>
      </c>
      <c r="AK10848" s="1149">
        <f>ROUND(($AG10848+$AI10848)*$A10848,2)</f>
        <v>63.06</v>
      </c>
      <c r="AM10848" s="527">
        <f>ROUND(R10852,2)</f>
        <v>55.87</v>
      </c>
      <c r="AN10848" s="528">
        <f>ROUND(T10852,2)</f>
        <v>0</v>
      </c>
      <c r="AO10848" s="529">
        <f>ROUND(AM10848+AN10848,2)*A10848</f>
        <v>111.74</v>
      </c>
      <c r="AR10848" s="747">
        <v>2</v>
      </c>
      <c r="AS10848" s="1146">
        <v>68.62</v>
      </c>
    </row>
    <row r="10849" spans="1:45" s="520" customFormat="1" ht="13.2">
      <c r="A10849" s="748"/>
      <c r="B10849"/>
      <c r="C10849" s="748"/>
      <c r="D10849" s="749" t="s">
        <v>2206</v>
      </c>
      <c r="F10849" s="753"/>
      <c r="G10849" s="3"/>
      <c r="H10849" s="753"/>
      <c r="I10849" s="754"/>
      <c r="J10849" s="753"/>
      <c r="K10849" s="753" t="s">
        <v>144</v>
      </c>
      <c r="L10849" s="753"/>
      <c r="M10849" s="753"/>
      <c r="N10849" s="753"/>
      <c r="O10849" s="753"/>
      <c r="P10849" s="753"/>
      <c r="Q10849" s="51"/>
      <c r="R10849" s="530"/>
      <c r="S10849" s="757"/>
      <c r="T10849" s="753"/>
      <c r="AR10849" s="748"/>
      <c r="AS10849" s="753"/>
    </row>
    <row r="10850" spans="1:45" s="901" customFormat="1" ht="13.2">
      <c r="A10850" s="903">
        <v>2</v>
      </c>
      <c r="B10850" s="904" t="s">
        <v>863</v>
      </c>
      <c r="C10850" s="904"/>
      <c r="D10850" s="904" t="s">
        <v>2594</v>
      </c>
      <c r="E10850" s="904"/>
      <c r="F10850" s="1153" t="s">
        <v>4143</v>
      </c>
      <c r="G10850" s="905" t="s">
        <v>2595</v>
      </c>
      <c r="H10850" s="902">
        <v>960</v>
      </c>
      <c r="I10850" s="904" t="s">
        <v>2596</v>
      </c>
      <c r="J10850" s="904"/>
      <c r="K10850" s="904"/>
      <c r="L10850" s="904"/>
      <c r="M10850" s="904"/>
      <c r="N10850" s="904"/>
      <c r="O10850" s="902">
        <v>4</v>
      </c>
      <c r="P10850" s="906">
        <v>38274</v>
      </c>
      <c r="Q10850" s="1415">
        <f>32*0.873</f>
        <v>27.936</v>
      </c>
      <c r="R10850" s="908">
        <f>$A10850*Q10850</f>
        <v>55.872</v>
      </c>
      <c r="S10850" s="907"/>
      <c r="T10850" s="909">
        <f>$A10850*S10850*$T$1</f>
        <v>0</v>
      </c>
      <c r="AR10850" s="903">
        <v>2</v>
      </c>
      <c r="AS10850" s="1153" t="s">
        <v>3507</v>
      </c>
    </row>
    <row r="10851" spans="1:45" s="520" customFormat="1" ht="12">
      <c r="A10851" s="758"/>
      <c r="B10851" s="758"/>
      <c r="C10851" s="758"/>
      <c r="D10851" s="758"/>
      <c r="E10851" s="758"/>
      <c r="F10851" s="753"/>
      <c r="G10851" s="758"/>
      <c r="H10851" s="758"/>
      <c r="I10851" s="519"/>
      <c r="J10851" s="758"/>
      <c r="K10851" s="758"/>
      <c r="L10851" s="758"/>
      <c r="M10851" s="758"/>
      <c r="N10851" s="758"/>
      <c r="O10851" s="758"/>
      <c r="P10851" s="758"/>
      <c r="Q10851" s="519"/>
      <c r="R10851" s="759">
        <f>$A10851*Q10851</f>
        <v>0</v>
      </c>
      <c r="S10851" s="519"/>
      <c r="T10851" s="760">
        <f>$A10851*S10851*$T$1</f>
        <v>0</v>
      </c>
      <c r="AR10851" s="758"/>
      <c r="AS10851" s="753"/>
    </row>
    <row r="10852" spans="1:45" s="520" customFormat="1" ht="12.6" thickBot="1">
      <c r="A10852" s="761" t="s">
        <v>145</v>
      </c>
      <c r="B10852" s="762">
        <f>(R10851+T10851)</f>
        <v>0</v>
      </c>
      <c r="C10852" s="763"/>
      <c r="D10852" s="763"/>
      <c r="E10852" s="763"/>
      <c r="F10852" s="764"/>
      <c r="G10852" s="763" t="s">
        <v>146</v>
      </c>
      <c r="H10852" s="763"/>
      <c r="I10852" s="765"/>
      <c r="J10852" s="763"/>
      <c r="K10852" s="763" t="s">
        <v>5</v>
      </c>
      <c r="L10852" s="766" t="s">
        <v>143</v>
      </c>
      <c r="M10852" s="766"/>
      <c r="N10852" s="766"/>
      <c r="O10852" s="766"/>
      <c r="P10852" s="766"/>
      <c r="Q10852" s="767"/>
      <c r="R10852" s="768">
        <f>SUM(R10849:R10851)</f>
        <v>55.872</v>
      </c>
      <c r="S10852" s="763"/>
      <c r="T10852" s="768">
        <f>SUM(T10849:T10851)</f>
        <v>0</v>
      </c>
      <c r="U10852" s="531"/>
      <c r="V10852" s="531"/>
      <c r="W10852" s="531"/>
      <c r="X10852" s="531"/>
      <c r="Y10852" s="531"/>
      <c r="Z10852" s="531"/>
      <c r="AA10852" s="531"/>
      <c r="AB10852" s="531"/>
      <c r="AC10852" s="531"/>
      <c r="AD10852" s="531"/>
      <c r="AE10852" s="531"/>
      <c r="AF10852" s="531"/>
      <c r="AG10852" s="531"/>
      <c r="AH10852" s="531"/>
      <c r="AI10852" s="531"/>
      <c r="AJ10852" s="531"/>
      <c r="AK10852" s="531"/>
      <c r="AL10852" s="531"/>
      <c r="AM10852" s="531"/>
      <c r="AN10852" s="531"/>
      <c r="AO10852" s="531"/>
      <c r="AR10852" s="761" t="s">
        <v>145</v>
      </c>
      <c r="AS10852" s="764"/>
    </row>
    <row r="10853" spans="1:45" s="520" customFormat="1" thickTop="1">
      <c r="A10853" s="51"/>
      <c r="B10853" s="51"/>
      <c r="C10853" s="3"/>
      <c r="D10853" s="3"/>
      <c r="E10853" s="51"/>
      <c r="F10853" s="51"/>
      <c r="G10853" s="51"/>
      <c r="H10853" s="51"/>
      <c r="I10853" s="51"/>
      <c r="J10853" s="51"/>
      <c r="K10853" s="51" t="s">
        <v>134</v>
      </c>
      <c r="L10853" s="51"/>
      <c r="M10853" s="51"/>
      <c r="N10853" s="51"/>
      <c r="O10853" s="52"/>
      <c r="P10853" s="51"/>
      <c r="Q10853" s="51"/>
      <c r="R10853" s="51"/>
      <c r="S10853" s="51"/>
      <c r="T10853" s="51"/>
      <c r="AR10853" s="51"/>
      <c r="AS10853" s="51"/>
    </row>
    <row r="10854" spans="1:45" s="520" customFormat="1" ht="12">
      <c r="A10854" s="51"/>
      <c r="B10854" s="51"/>
      <c r="C10854" s="51" t="s">
        <v>135</v>
      </c>
      <c r="D10854" s="37"/>
      <c r="E10854" s="51"/>
      <c r="F10854" s="51"/>
      <c r="G10854" s="51"/>
      <c r="H10854" s="51"/>
      <c r="I10854" s="51"/>
      <c r="J10854" s="51"/>
      <c r="K10854" s="51"/>
      <c r="L10854" s="51"/>
      <c r="M10854" s="51"/>
      <c r="N10854" s="51"/>
      <c r="O10854" s="52"/>
      <c r="P10854" s="51"/>
      <c r="Q10854" s="51"/>
      <c r="R10854" s="51"/>
      <c r="S10854" s="51"/>
      <c r="T10854" s="51"/>
      <c r="AR10854" s="51"/>
      <c r="AS10854" s="51"/>
    </row>
    <row r="10855" spans="1:45" s="520" customFormat="1" ht="12">
      <c r="A10855" s="51"/>
      <c r="B10855" s="51"/>
      <c r="C10855" s="51"/>
      <c r="D10855" s="37" t="s">
        <v>2210</v>
      </c>
      <c r="E10855" s="51"/>
      <c r="F10855" s="51"/>
      <c r="G10855" s="51"/>
      <c r="H10855" s="51"/>
      <c r="I10855" s="51"/>
      <c r="J10855" s="51"/>
      <c r="K10855" s="51"/>
      <c r="L10855" s="51"/>
      <c r="M10855" s="51"/>
      <c r="N10855" s="51"/>
      <c r="O10855" s="52"/>
      <c r="P10855" s="51"/>
      <c r="Q10855" s="51"/>
      <c r="R10855" s="51"/>
      <c r="S10855" s="38"/>
      <c r="T10855" s="38"/>
      <c r="AR10855" s="51"/>
      <c r="AS10855" s="51"/>
    </row>
    <row r="10856" spans="1:45" s="3" customFormat="1" thickBot="1">
      <c r="A10856" s="531"/>
      <c r="O10856" s="107"/>
      <c r="AR10856" s="531"/>
    </row>
    <row r="10857" spans="1:45" s="520" customFormat="1" thickTop="1">
      <c r="A10857" s="51"/>
      <c r="B10857" s="51"/>
      <c r="C10857" s="3"/>
      <c r="D10857" s="3"/>
      <c r="E10857" s="51"/>
      <c r="F10857" s="51"/>
      <c r="G10857" s="51"/>
      <c r="H10857" s="51"/>
      <c r="I10857" s="51"/>
      <c r="J10857" s="51"/>
      <c r="K10857" s="51" t="s">
        <v>134</v>
      </c>
      <c r="L10857" s="51"/>
      <c r="M10857" s="51"/>
      <c r="N10857" s="51"/>
      <c r="O10857" s="52"/>
      <c r="P10857" s="51"/>
      <c r="Q10857" s="51"/>
      <c r="R10857" s="51"/>
      <c r="S10857" s="51"/>
      <c r="T10857" s="51"/>
      <c r="AR10857" s="51"/>
      <c r="AS10857" s="51"/>
    </row>
    <row r="10858" spans="1:45" s="520" customFormat="1" ht="12">
      <c r="A10858" s="51"/>
      <c r="B10858" s="51"/>
      <c r="C10858" s="51" t="s">
        <v>135</v>
      </c>
      <c r="D10858" s="37"/>
      <c r="E10858" s="51"/>
      <c r="F10858" s="51"/>
      <c r="G10858" s="51"/>
      <c r="H10858" s="51"/>
      <c r="I10858" s="51"/>
      <c r="J10858" s="51"/>
      <c r="K10858" s="51"/>
      <c r="L10858" s="51"/>
      <c r="M10858" s="51"/>
      <c r="N10858" s="51"/>
      <c r="O10858" s="52"/>
      <c r="P10858" s="51"/>
      <c r="Q10858" s="51"/>
      <c r="R10858" s="51"/>
      <c r="S10858" s="51"/>
      <c r="T10858" s="51"/>
      <c r="AR10858" s="51"/>
      <c r="AS10858" s="51"/>
    </row>
    <row r="10859" spans="1:45" s="520" customFormat="1" ht="12">
      <c r="A10859" s="51"/>
      <c r="B10859" s="51"/>
      <c r="C10859" s="51"/>
      <c r="D10859" s="37" t="s">
        <v>347</v>
      </c>
      <c r="E10859" s="51"/>
      <c r="F10859" s="51"/>
      <c r="G10859" s="51"/>
      <c r="H10859" s="51"/>
      <c r="I10859" s="51"/>
      <c r="J10859" s="51"/>
      <c r="K10859" s="51"/>
      <c r="L10859" s="51"/>
      <c r="M10859" s="51"/>
      <c r="N10859" s="51"/>
      <c r="O10859" s="52"/>
      <c r="P10859" s="51"/>
      <c r="Q10859" s="51"/>
      <c r="R10859" s="51"/>
      <c r="S10859" s="38"/>
      <c r="T10859" s="38"/>
      <c r="AR10859" s="51"/>
      <c r="AS10859" s="51"/>
    </row>
    <row r="10860" spans="1:45" s="3" customFormat="1" thickBot="1">
      <c r="A10860" s="531"/>
      <c r="O10860" s="107"/>
      <c r="AR10860" s="531"/>
    </row>
    <row r="10861" spans="1:45" s="520" customFormat="1" thickTop="1">
      <c r="A10861" s="51"/>
      <c r="B10861" s="51"/>
      <c r="C10861" s="3"/>
      <c r="D10861" s="3"/>
      <c r="E10861" s="51"/>
      <c r="F10861" s="51"/>
      <c r="G10861" s="51"/>
      <c r="H10861" s="51"/>
      <c r="I10861" s="51"/>
      <c r="J10861" s="51"/>
      <c r="K10861" s="51" t="s">
        <v>134</v>
      </c>
      <c r="L10861" s="51"/>
      <c r="M10861" s="51"/>
      <c r="N10861" s="51"/>
      <c r="O10861" s="52"/>
      <c r="P10861" s="51"/>
      <c r="Q10861" s="51"/>
      <c r="R10861" s="51"/>
      <c r="S10861" s="51"/>
      <c r="T10861" s="51"/>
      <c r="AR10861" s="51"/>
      <c r="AS10861" s="51"/>
    </row>
    <row r="10862" spans="1:45" s="520" customFormat="1" ht="12">
      <c r="A10862" s="51"/>
      <c r="B10862" s="51"/>
      <c r="C10862" s="51" t="s">
        <v>135</v>
      </c>
      <c r="D10862" s="37"/>
      <c r="E10862" s="51"/>
      <c r="F10862" s="51"/>
      <c r="G10862" s="51"/>
      <c r="H10862" s="51"/>
      <c r="I10862" s="51"/>
      <c r="J10862" s="51"/>
      <c r="K10862" s="51"/>
      <c r="L10862" s="51"/>
      <c r="M10862" s="51"/>
      <c r="N10862" s="51"/>
      <c r="O10862" s="52"/>
      <c r="P10862" s="51"/>
      <c r="Q10862" s="51"/>
      <c r="R10862" s="51"/>
      <c r="S10862" s="51"/>
      <c r="T10862" s="51"/>
      <c r="AR10862" s="51"/>
      <c r="AS10862" s="51"/>
    </row>
    <row r="10863" spans="1:45" s="520" customFormat="1" ht="39.9" customHeight="1">
      <c r="A10863" s="51"/>
      <c r="B10863" s="51"/>
      <c r="C10863" s="51"/>
      <c r="D10863" s="1453" t="s">
        <v>2498</v>
      </c>
      <c r="E10863" s="1452"/>
      <c r="F10863" s="1452"/>
      <c r="G10863" s="1452"/>
      <c r="H10863" s="1452"/>
      <c r="I10863" s="1452"/>
      <c r="J10863" s="1452"/>
      <c r="K10863" s="1452"/>
      <c r="L10863" s="1452"/>
      <c r="M10863" s="1452"/>
      <c r="N10863" s="1452"/>
      <c r="O10863" s="1452"/>
      <c r="P10863" s="1452"/>
      <c r="Q10863" s="1452"/>
      <c r="R10863" s="1452"/>
      <c r="S10863" s="1452"/>
      <c r="T10863" s="1452"/>
      <c r="AR10863" s="51"/>
    </row>
    <row r="10864" spans="1:45" s="3" customFormat="1" thickBot="1">
      <c r="A10864" s="531"/>
      <c r="O10864" s="107"/>
      <c r="AR10864" s="531"/>
    </row>
    <row r="10865" spans="1:45" s="520" customFormat="1" ht="12" thickTop="1">
      <c r="A10865" s="51"/>
      <c r="B10865" s="41"/>
      <c r="C10865" s="51"/>
      <c r="E10865" s="42" t="s">
        <v>138</v>
      </c>
      <c r="F10865" s="42" t="s">
        <v>139</v>
      </c>
      <c r="G10865" s="51"/>
      <c r="H10865" s="51"/>
      <c r="I10865" s="51"/>
      <c r="J10865" s="51"/>
      <c r="K10865" s="51" t="s">
        <v>140</v>
      </c>
      <c r="L10865" s="51"/>
      <c r="M10865" s="51"/>
      <c r="N10865" s="51"/>
      <c r="O10865" s="52"/>
      <c r="P10865" s="51"/>
      <c r="Q10865" s="51"/>
      <c r="R10865" s="51"/>
      <c r="S10865" s="51"/>
      <c r="T10865" s="41"/>
      <c r="AG10865" s="521" t="s">
        <v>268</v>
      </c>
      <c r="AH10865" s="521" t="s">
        <v>269</v>
      </c>
      <c r="AI10865" s="521" t="s">
        <v>270</v>
      </c>
      <c r="AJ10865" s="521" t="s">
        <v>271</v>
      </c>
      <c r="AK10865" s="521" t="s">
        <v>272</v>
      </c>
      <c r="AM10865" s="745" t="s">
        <v>281</v>
      </c>
      <c r="AN10865" s="746" t="s">
        <v>282</v>
      </c>
      <c r="AO10865" s="522" t="s">
        <v>278</v>
      </c>
      <c r="AR10865" s="51"/>
      <c r="AS10865" s="42" t="s">
        <v>139</v>
      </c>
    </row>
    <row r="10866" spans="1:45" s="520" customFormat="1" ht="12" customHeight="1">
      <c r="A10866" s="747">
        <v>3</v>
      </c>
      <c r="B10866" s="523" t="s">
        <v>329</v>
      </c>
      <c r="C10866" s="748"/>
      <c r="D10866" s="749" t="s">
        <v>2526</v>
      </c>
      <c r="E10866" s="750">
        <f>IF(AND($A10866=0,$A$1="DIF"),0, ROUND(ROUND(($R10872*$S$2+($T10872*$T$2))/A10866,2)*$C$2,2))</f>
        <v>116.47</v>
      </c>
      <c r="F10866" s="751">
        <f>ROUND($A10866*$E10866,2)</f>
        <v>349.41</v>
      </c>
      <c r="G10866" s="752" t="s">
        <v>142</v>
      </c>
      <c r="H10866" s="753"/>
      <c r="I10866" s="754"/>
      <c r="J10866" s="753"/>
      <c r="K10866" s="753" t="s">
        <v>3</v>
      </c>
      <c r="L10866" s="755" t="s">
        <v>143</v>
      </c>
      <c r="M10866" s="755"/>
      <c r="N10866" s="755"/>
      <c r="O10866" s="755"/>
      <c r="P10866" s="755"/>
      <c r="Q10866" s="51"/>
      <c r="T10866" s="756" t="str">
        <f>IF(AND($R10872=0,$T10872=0),"0.00","mu :" &amp; ROUND($F10866/$C$2/($R10872+$T10872*$D$9),2))</f>
        <v>mu :1.23</v>
      </c>
      <c r="W10866" s="524"/>
      <c r="AG10866" s="481">
        <f>IF($E10866=0,0,ROUND($R10872*$S$2*$C$2/$A10866,2))</f>
        <v>55.61</v>
      </c>
      <c r="AH10866" s="481">
        <f>$AG10866*$A10866</f>
        <v>166.82999999999998</v>
      </c>
      <c r="AI10866" s="525">
        <f>$E10866-$AG10866</f>
        <v>60.86</v>
      </c>
      <c r="AJ10866" s="525">
        <f>$A10866*$AI10866</f>
        <v>182.57999999999998</v>
      </c>
      <c r="AK10866" s="526">
        <f>ROUND(($AG10866+$AI10866)*$A10866,2)</f>
        <v>349.41</v>
      </c>
      <c r="AM10866" s="527">
        <f>ROUND(R10872,2)</f>
        <v>135.49</v>
      </c>
      <c r="AN10866" s="528">
        <f>ROUND(T10872,2)</f>
        <v>5.4</v>
      </c>
      <c r="AO10866" s="529">
        <f>ROUND(AM10866+AN10866,2)*A10866</f>
        <v>422.66999999999996</v>
      </c>
      <c r="AR10866" s="747">
        <v>3</v>
      </c>
      <c r="AS10866" s="751">
        <v>369.72</v>
      </c>
    </row>
    <row r="10867" spans="1:45" s="520" customFormat="1" ht="13.2">
      <c r="A10867" s="748"/>
      <c r="B10867"/>
      <c r="C10867" s="748"/>
      <c r="D10867" s="749" t="s">
        <v>2207</v>
      </c>
      <c r="F10867" s="753"/>
      <c r="G10867" s="3"/>
      <c r="H10867" s="753"/>
      <c r="I10867" s="754"/>
      <c r="J10867" s="753"/>
      <c r="K10867" s="753" t="s">
        <v>144</v>
      </c>
      <c r="L10867" s="753"/>
      <c r="M10867" s="753"/>
      <c r="N10867" s="753"/>
      <c r="O10867" s="753"/>
      <c r="P10867" s="753"/>
      <c r="Q10867" s="51"/>
      <c r="R10867" s="530"/>
      <c r="S10867" s="757"/>
      <c r="T10867" s="753"/>
      <c r="AR10867" s="748"/>
      <c r="AS10867" s="753"/>
    </row>
    <row r="10868" spans="1:45" s="901" customFormat="1" ht="13.2">
      <c r="A10868" s="116">
        <v>30</v>
      </c>
      <c r="B10868" s="901" t="s">
        <v>320</v>
      </c>
      <c r="D10868" s="901" t="s">
        <v>2951</v>
      </c>
      <c r="G10868" s="941" t="s">
        <v>2952</v>
      </c>
      <c r="H10868" s="942">
        <v>690</v>
      </c>
      <c r="I10868" s="901" t="s">
        <v>2946</v>
      </c>
      <c r="J10868" s="901" t="s">
        <v>2953</v>
      </c>
      <c r="O10868" s="943">
        <v>1</v>
      </c>
      <c r="P10868" s="944">
        <v>34669</v>
      </c>
      <c r="Q10868" s="1197">
        <v>3.03</v>
      </c>
      <c r="R10868" s="946">
        <f>$A10868*Q10868</f>
        <v>90.899999999999991</v>
      </c>
      <c r="S10868" s="945">
        <v>0.2</v>
      </c>
      <c r="T10868" s="947">
        <f>$A10868*S10868*$T$1</f>
        <v>5.4</v>
      </c>
      <c r="AR10868" s="116">
        <v>30</v>
      </c>
    </row>
    <row r="10869" spans="1:45" s="901" customFormat="1" ht="13.2">
      <c r="A10869" s="116">
        <v>1</v>
      </c>
      <c r="B10869" s="1084" t="s">
        <v>863</v>
      </c>
      <c r="C10869" s="1084"/>
      <c r="D10869" s="1084" t="s">
        <v>2752</v>
      </c>
      <c r="E10869" s="1084"/>
      <c r="F10869" s="1084" t="s">
        <v>3326</v>
      </c>
      <c r="G10869" s="1091" t="s">
        <v>2754</v>
      </c>
      <c r="H10869" s="1092">
        <v>962</v>
      </c>
      <c r="I10869" s="1084" t="s">
        <v>2596</v>
      </c>
      <c r="J10869" s="1084"/>
      <c r="K10869" s="1084"/>
      <c r="L10869" s="1084"/>
      <c r="M10869" s="1084"/>
      <c r="N10869" s="1084"/>
      <c r="O10869" s="1093">
        <v>2</v>
      </c>
      <c r="P10869" s="1094">
        <v>38129</v>
      </c>
      <c r="Q10869" s="945">
        <f>0.41 *(1 *(6/8*120))</f>
        <v>36.9</v>
      </c>
      <c r="R10869" s="1096">
        <f>$A10869*Q10869</f>
        <v>36.9</v>
      </c>
      <c r="S10869" s="1095"/>
      <c r="T10869" s="1097">
        <f>$A10869*S10869*$T$1</f>
        <v>0</v>
      </c>
      <c r="AR10869" s="116">
        <v>1</v>
      </c>
      <c r="AS10869" s="1084" t="s">
        <v>3326</v>
      </c>
    </row>
    <row r="10870" spans="1:45" s="901" customFormat="1" ht="13.2">
      <c r="A10870" s="116">
        <v>1</v>
      </c>
      <c r="B10870" s="901" t="s">
        <v>2755</v>
      </c>
      <c r="D10870" s="901" t="s">
        <v>3325</v>
      </c>
      <c r="F10870" s="901" t="s">
        <v>3666</v>
      </c>
      <c r="G10870" s="941" t="s">
        <v>3324</v>
      </c>
      <c r="H10870" s="942">
        <v>845</v>
      </c>
      <c r="I10870" s="901" t="s">
        <v>2607</v>
      </c>
      <c r="O10870" s="943">
        <v>3</v>
      </c>
      <c r="P10870" s="944">
        <v>39713</v>
      </c>
      <c r="Q10870" s="945">
        <f>0.41 *(6/8*25)</f>
        <v>7.6874999999999991</v>
      </c>
      <c r="R10870" s="946">
        <f>$A10870*Q10870</f>
        <v>7.6874999999999991</v>
      </c>
      <c r="S10870" s="945"/>
      <c r="T10870" s="947">
        <f>$A10870*S10870*$T$1</f>
        <v>0</v>
      </c>
      <c r="AR10870" s="116">
        <v>1</v>
      </c>
      <c r="AS10870" s="901" t="s">
        <v>3666</v>
      </c>
    </row>
    <row r="10871" spans="1:45" s="520" customFormat="1" ht="12">
      <c r="A10871" s="758"/>
      <c r="B10871" s="758"/>
      <c r="C10871" s="758"/>
      <c r="D10871" s="758"/>
      <c r="E10871" s="758"/>
      <c r="F10871" s="753"/>
      <c r="G10871" s="758"/>
      <c r="H10871" s="758"/>
      <c r="I10871" s="519"/>
      <c r="J10871" s="758"/>
      <c r="K10871" s="758"/>
      <c r="L10871" s="758"/>
      <c r="M10871" s="758"/>
      <c r="N10871" s="758"/>
      <c r="O10871" s="758"/>
      <c r="P10871" s="758"/>
      <c r="Q10871" s="519"/>
      <c r="R10871" s="759">
        <f>$A10871*Q10871</f>
        <v>0</v>
      </c>
      <c r="S10871" s="519"/>
      <c r="T10871" s="760">
        <f>$A10871*S10871*$T$1</f>
        <v>0</v>
      </c>
      <c r="AR10871" s="758"/>
      <c r="AS10871" s="753"/>
    </row>
    <row r="10872" spans="1:45" s="520" customFormat="1" ht="12.6" thickBot="1">
      <c r="A10872" s="761" t="s">
        <v>145</v>
      </c>
      <c r="B10872" s="762">
        <f>(R10871+T10871)</f>
        <v>0</v>
      </c>
      <c r="C10872" s="763"/>
      <c r="D10872" s="763"/>
      <c r="E10872" s="763"/>
      <c r="F10872" s="764"/>
      <c r="G10872" s="763" t="s">
        <v>146</v>
      </c>
      <c r="H10872" s="763"/>
      <c r="I10872" s="765"/>
      <c r="J10872" s="763"/>
      <c r="K10872" s="763" t="s">
        <v>3</v>
      </c>
      <c r="L10872" s="766" t="s">
        <v>143</v>
      </c>
      <c r="M10872" s="766"/>
      <c r="N10872" s="766"/>
      <c r="O10872" s="766"/>
      <c r="P10872" s="766"/>
      <c r="Q10872" s="767"/>
      <c r="R10872" s="768">
        <f>SUM(R10867:R10871)</f>
        <v>135.48749999999998</v>
      </c>
      <c r="S10872" s="763"/>
      <c r="T10872" s="768">
        <f>SUM(T10867:T10871)</f>
        <v>5.4</v>
      </c>
      <c r="U10872" s="531"/>
      <c r="V10872" s="531"/>
      <c r="W10872" s="531"/>
      <c r="X10872" s="531"/>
      <c r="Y10872" s="531"/>
      <c r="Z10872" s="531"/>
      <c r="AA10872" s="531"/>
      <c r="AB10872" s="531"/>
      <c r="AC10872" s="531"/>
      <c r="AD10872" s="531"/>
      <c r="AE10872" s="531"/>
      <c r="AF10872" s="531"/>
      <c r="AG10872" s="531"/>
      <c r="AH10872" s="531"/>
      <c r="AI10872" s="531"/>
      <c r="AJ10872" s="531"/>
      <c r="AK10872" s="531"/>
      <c r="AL10872" s="531"/>
      <c r="AM10872" s="531"/>
      <c r="AN10872" s="531"/>
      <c r="AO10872" s="531"/>
      <c r="AR10872" s="761" t="s">
        <v>145</v>
      </c>
      <c r="AS10872" s="764"/>
    </row>
    <row r="10873" spans="1:45" s="520" customFormat="1" thickTop="1">
      <c r="A10873" s="51"/>
      <c r="B10873" s="51"/>
      <c r="C10873" s="3"/>
      <c r="D10873" s="3"/>
      <c r="E10873" s="51"/>
      <c r="F10873" s="51"/>
      <c r="G10873" s="51"/>
      <c r="H10873" s="51"/>
      <c r="I10873" s="51"/>
      <c r="J10873" s="51"/>
      <c r="K10873" s="51" t="s">
        <v>134</v>
      </c>
      <c r="L10873" s="51"/>
      <c r="M10873" s="51"/>
      <c r="N10873" s="51"/>
      <c r="O10873" s="52"/>
      <c r="P10873" s="51"/>
      <c r="Q10873" s="51"/>
      <c r="R10873" s="51"/>
      <c r="S10873" s="51"/>
      <c r="T10873" s="51"/>
      <c r="AR10873" s="51"/>
      <c r="AS10873" s="51"/>
    </row>
    <row r="10874" spans="1:45" s="520" customFormat="1" ht="12">
      <c r="A10874" s="51"/>
      <c r="B10874" s="51"/>
      <c r="C10874" s="51" t="s">
        <v>135</v>
      </c>
      <c r="D10874" s="37"/>
      <c r="E10874" s="51"/>
      <c r="F10874" s="51"/>
      <c r="G10874" s="51"/>
      <c r="H10874" s="51"/>
      <c r="I10874" s="51"/>
      <c r="J10874" s="51"/>
      <c r="K10874" s="51"/>
      <c r="L10874" s="51"/>
      <c r="M10874" s="51"/>
      <c r="N10874" s="51"/>
      <c r="O10874" s="52"/>
      <c r="P10874" s="51"/>
      <c r="Q10874" s="51"/>
      <c r="R10874" s="51"/>
      <c r="S10874" s="51"/>
      <c r="T10874" s="51"/>
      <c r="AR10874" s="51"/>
      <c r="AS10874" s="51"/>
    </row>
    <row r="10875" spans="1:45" s="520" customFormat="1" ht="39.9" customHeight="1">
      <c r="A10875" s="51"/>
      <c r="B10875" s="51"/>
      <c r="C10875" s="51"/>
      <c r="D10875" s="1453" t="s">
        <v>2185</v>
      </c>
      <c r="E10875" s="1452"/>
      <c r="F10875" s="1452"/>
      <c r="G10875" s="1452"/>
      <c r="H10875" s="1452"/>
      <c r="I10875" s="1452"/>
      <c r="J10875" s="1452"/>
      <c r="K10875" s="1452"/>
      <c r="L10875" s="1452"/>
      <c r="M10875" s="1452"/>
      <c r="N10875" s="1452"/>
      <c r="O10875" s="1452"/>
      <c r="P10875" s="1452"/>
      <c r="Q10875" s="1452"/>
      <c r="R10875" s="1452"/>
      <c r="S10875" s="1452"/>
      <c r="T10875" s="1452"/>
      <c r="AR10875" s="51"/>
    </row>
    <row r="10876" spans="1:45" s="3" customFormat="1" thickBot="1">
      <c r="A10876" s="531"/>
      <c r="O10876" s="107"/>
      <c r="AR10876" s="531"/>
    </row>
    <row r="10877" spans="1:45" s="520" customFormat="1" ht="12" thickTop="1">
      <c r="A10877" s="51"/>
      <c r="B10877" s="41"/>
      <c r="C10877" s="51"/>
      <c r="E10877" s="42" t="s">
        <v>138</v>
      </c>
      <c r="F10877" s="42" t="s">
        <v>139</v>
      </c>
      <c r="G10877" s="51"/>
      <c r="H10877" s="51"/>
      <c r="I10877" s="51"/>
      <c r="J10877" s="51"/>
      <c r="K10877" s="51" t="s">
        <v>140</v>
      </c>
      <c r="L10877" s="51"/>
      <c r="M10877" s="51"/>
      <c r="N10877" s="51"/>
      <c r="O10877" s="52"/>
      <c r="P10877" s="51"/>
      <c r="Q10877" s="51"/>
      <c r="R10877" s="51"/>
      <c r="S10877" s="51"/>
      <c r="T10877" s="41"/>
      <c r="AG10877" s="521" t="s">
        <v>268</v>
      </c>
      <c r="AH10877" s="521" t="s">
        <v>269</v>
      </c>
      <c r="AI10877" s="521" t="s">
        <v>270</v>
      </c>
      <c r="AJ10877" s="521" t="s">
        <v>271</v>
      </c>
      <c r="AK10877" s="521" t="s">
        <v>272</v>
      </c>
      <c r="AM10877" s="745" t="s">
        <v>281</v>
      </c>
      <c r="AN10877" s="746" t="s">
        <v>282</v>
      </c>
      <c r="AO10877" s="522" t="s">
        <v>278</v>
      </c>
      <c r="AR10877" s="51"/>
      <c r="AS10877" s="42" t="s">
        <v>139</v>
      </c>
    </row>
    <row r="10878" spans="1:45" s="520" customFormat="1" ht="12" customHeight="1">
      <c r="A10878" s="747">
        <v>3</v>
      </c>
      <c r="B10878" s="523" t="s">
        <v>329</v>
      </c>
      <c r="C10878" s="748"/>
      <c r="D10878" s="749" t="s">
        <v>2527</v>
      </c>
      <c r="E10878" s="1145">
        <f>IF(AND($A10878=0,$A$1="DIF"),0, ROUND(ROUND(($R10882*$S$3+($T10882*$T$3))/$A10878,2)*$C$3,2))</f>
        <v>39.42</v>
      </c>
      <c r="F10878" s="1146">
        <f>ROUND($A10878*$E10878,2)</f>
        <v>118.26</v>
      </c>
      <c r="G10878" s="752" t="s">
        <v>142</v>
      </c>
      <c r="H10878" s="753"/>
      <c r="I10878" s="754"/>
      <c r="J10878" s="753"/>
      <c r="K10878" s="753" t="s">
        <v>5</v>
      </c>
      <c r="L10878" s="755" t="s">
        <v>143</v>
      </c>
      <c r="M10878" s="755"/>
      <c r="N10878" s="755"/>
      <c r="O10878" s="755"/>
      <c r="P10878" s="755"/>
      <c r="Q10878" s="51"/>
      <c r="T10878" s="1150" t="str">
        <f>IF(AND($R10882=0,$T10882=0),"0.00","mu: "&amp; ROUND(F10878/$C$3/($R10882+$T10882*$D$9),2))</f>
        <v>mu: 1.13</v>
      </c>
      <c r="W10878" s="524"/>
      <c r="AG10878" s="1147">
        <f>IF($E10878=0,0,ROUND($R10882*$S$3*$C$3/$A10878,2))</f>
        <v>39.42</v>
      </c>
      <c r="AH10878" s="1147">
        <f>$AG10878*$A10878</f>
        <v>118.26</v>
      </c>
      <c r="AI10878" s="1148">
        <f>$E10878-$AG10878</f>
        <v>0</v>
      </c>
      <c r="AJ10878" s="1148">
        <f>$A10878*$AI10878</f>
        <v>0</v>
      </c>
      <c r="AK10878" s="1149">
        <f>ROUND(($AG10878+$AI10878)*$A10878,2)</f>
        <v>118.26</v>
      </c>
      <c r="AM10878" s="527">
        <f>ROUND(R10882,2)</f>
        <v>104.76</v>
      </c>
      <c r="AN10878" s="528">
        <f>ROUND(T10882,2)</f>
        <v>0</v>
      </c>
      <c r="AO10878" s="529">
        <f>ROUND(AM10878+AN10878,2)*A10878</f>
        <v>314.28000000000003</v>
      </c>
      <c r="AR10878" s="747">
        <v>3</v>
      </c>
      <c r="AS10878" s="1146">
        <v>128.66999999999999</v>
      </c>
    </row>
    <row r="10879" spans="1:45" s="520" customFormat="1" ht="13.2">
      <c r="A10879" s="748"/>
      <c r="B10879"/>
      <c r="C10879" s="748"/>
      <c r="D10879" s="749" t="s">
        <v>2207</v>
      </c>
      <c r="F10879" s="753"/>
      <c r="G10879" s="3"/>
      <c r="H10879" s="753"/>
      <c r="I10879" s="754"/>
      <c r="J10879" s="753"/>
      <c r="K10879" s="753" t="s">
        <v>144</v>
      </c>
      <c r="L10879" s="753"/>
      <c r="M10879" s="753"/>
      <c r="N10879" s="753"/>
      <c r="O10879" s="753"/>
      <c r="P10879" s="753"/>
      <c r="Q10879" s="51"/>
      <c r="R10879" s="530"/>
      <c r="S10879" s="757"/>
      <c r="T10879" s="753"/>
      <c r="AR10879" s="748"/>
      <c r="AS10879" s="753"/>
    </row>
    <row r="10880" spans="1:45" s="901" customFormat="1" ht="13.2">
      <c r="A10880" s="903">
        <v>3</v>
      </c>
      <c r="B10880" s="904" t="s">
        <v>863</v>
      </c>
      <c r="C10880" s="904"/>
      <c r="D10880" s="904" t="s">
        <v>2594</v>
      </c>
      <c r="E10880" s="904"/>
      <c r="F10880" s="1153" t="s">
        <v>4143</v>
      </c>
      <c r="G10880" s="905" t="s">
        <v>2595</v>
      </c>
      <c r="H10880" s="902">
        <v>960</v>
      </c>
      <c r="I10880" s="904" t="s">
        <v>2596</v>
      </c>
      <c r="J10880" s="904"/>
      <c r="K10880" s="904"/>
      <c r="L10880" s="904"/>
      <c r="M10880" s="904"/>
      <c r="N10880" s="904"/>
      <c r="O10880" s="902">
        <v>4</v>
      </c>
      <c r="P10880" s="906">
        <v>38274</v>
      </c>
      <c r="Q10880" s="1415">
        <f>40*0.873</f>
        <v>34.92</v>
      </c>
      <c r="R10880" s="908">
        <f>$A10880*Q10880</f>
        <v>104.76</v>
      </c>
      <c r="S10880" s="907"/>
      <c r="T10880" s="909">
        <f>$A10880*S10880*$T$1</f>
        <v>0</v>
      </c>
      <c r="AR10880" s="903">
        <v>3</v>
      </c>
      <c r="AS10880" s="1153" t="s">
        <v>3507</v>
      </c>
    </row>
    <row r="10881" spans="1:45" s="520" customFormat="1" ht="12">
      <c r="A10881" s="758"/>
      <c r="B10881" s="758"/>
      <c r="C10881" s="758"/>
      <c r="D10881" s="758"/>
      <c r="E10881" s="758"/>
      <c r="F10881" s="753"/>
      <c r="G10881" s="758"/>
      <c r="H10881" s="758"/>
      <c r="I10881" s="519"/>
      <c r="J10881" s="758"/>
      <c r="K10881" s="758"/>
      <c r="L10881" s="758"/>
      <c r="M10881" s="758"/>
      <c r="N10881" s="758"/>
      <c r="O10881" s="758"/>
      <c r="P10881" s="758"/>
      <c r="Q10881" s="519"/>
      <c r="R10881" s="759">
        <f>$A10881*Q10881</f>
        <v>0</v>
      </c>
      <c r="S10881" s="519"/>
      <c r="T10881" s="760">
        <f>$A10881*S10881*$T$1</f>
        <v>0</v>
      </c>
      <c r="AR10881" s="758"/>
      <c r="AS10881" s="753"/>
    </row>
    <row r="10882" spans="1:45" s="520" customFormat="1" ht="12.6" thickBot="1">
      <c r="A10882" s="761" t="s">
        <v>145</v>
      </c>
      <c r="B10882" s="762">
        <f>(R10881+T10881)</f>
        <v>0</v>
      </c>
      <c r="C10882" s="763"/>
      <c r="D10882" s="763"/>
      <c r="E10882" s="763"/>
      <c r="F10882" s="764"/>
      <c r="G10882" s="763" t="s">
        <v>146</v>
      </c>
      <c r="H10882" s="763"/>
      <c r="I10882" s="765"/>
      <c r="J10882" s="763"/>
      <c r="K10882" s="763" t="s">
        <v>5</v>
      </c>
      <c r="L10882" s="766" t="s">
        <v>143</v>
      </c>
      <c r="M10882" s="766"/>
      <c r="N10882" s="766"/>
      <c r="O10882" s="766"/>
      <c r="P10882" s="766"/>
      <c r="Q10882" s="767"/>
      <c r="R10882" s="768">
        <f>SUM(R10879:R10881)</f>
        <v>104.76</v>
      </c>
      <c r="S10882" s="763"/>
      <c r="T10882" s="768">
        <f>SUM(T10879:T10881)</f>
        <v>0</v>
      </c>
      <c r="U10882" s="531"/>
      <c r="V10882" s="531"/>
      <c r="W10882" s="531"/>
      <c r="X10882" s="531"/>
      <c r="Y10882" s="531"/>
      <c r="Z10882" s="531"/>
      <c r="AA10882" s="531"/>
      <c r="AB10882" s="531"/>
      <c r="AC10882" s="531"/>
      <c r="AD10882" s="531"/>
      <c r="AE10882" s="531"/>
      <c r="AF10882" s="531"/>
      <c r="AG10882" s="531"/>
      <c r="AH10882" s="531"/>
      <c r="AI10882" s="531"/>
      <c r="AJ10882" s="531"/>
      <c r="AK10882" s="531"/>
      <c r="AL10882" s="531"/>
      <c r="AM10882" s="531"/>
      <c r="AN10882" s="531"/>
      <c r="AO10882" s="531"/>
      <c r="AR10882" s="761" t="s">
        <v>145</v>
      </c>
      <c r="AS10882" s="764"/>
    </row>
    <row r="10883" spans="1:45" s="520" customFormat="1" thickTop="1">
      <c r="A10883" s="51"/>
      <c r="B10883" s="51"/>
      <c r="C10883" s="3"/>
      <c r="D10883" s="3"/>
      <c r="E10883" s="51"/>
      <c r="F10883" s="51"/>
      <c r="G10883" s="51"/>
      <c r="H10883" s="51"/>
      <c r="I10883" s="51"/>
      <c r="J10883" s="51"/>
      <c r="K10883" s="51" t="s">
        <v>134</v>
      </c>
      <c r="L10883" s="51"/>
      <c r="M10883" s="51"/>
      <c r="N10883" s="51"/>
      <c r="O10883" s="52"/>
      <c r="P10883" s="51"/>
      <c r="Q10883" s="51"/>
      <c r="R10883" s="51"/>
      <c r="S10883" s="51"/>
      <c r="T10883" s="51"/>
      <c r="AR10883" s="51"/>
      <c r="AS10883" s="51"/>
    </row>
    <row r="10884" spans="1:45" s="520" customFormat="1" ht="12">
      <c r="A10884" s="51"/>
      <c r="B10884" s="51"/>
      <c r="C10884" s="51" t="s">
        <v>135</v>
      </c>
      <c r="D10884" s="37"/>
      <c r="E10884" s="51"/>
      <c r="F10884" s="51"/>
      <c r="G10884" s="51"/>
      <c r="H10884" s="51"/>
      <c r="I10884" s="51"/>
      <c r="J10884" s="51"/>
      <c r="K10884" s="51"/>
      <c r="L10884" s="51"/>
      <c r="M10884" s="51"/>
      <c r="N10884" s="51"/>
      <c r="O10884" s="52"/>
      <c r="P10884" s="51"/>
      <c r="Q10884" s="51"/>
      <c r="R10884" s="51"/>
      <c r="S10884" s="51"/>
      <c r="T10884" s="51"/>
      <c r="AR10884" s="51"/>
      <c r="AS10884" s="51"/>
    </row>
    <row r="10885" spans="1:45" s="520" customFormat="1" ht="12">
      <c r="A10885" s="51"/>
      <c r="B10885" s="51"/>
      <c r="C10885" s="51"/>
      <c r="D10885" s="37" t="s">
        <v>2186</v>
      </c>
      <c r="E10885" s="51"/>
      <c r="F10885" s="51"/>
      <c r="G10885" s="51"/>
      <c r="H10885" s="51"/>
      <c r="I10885" s="51"/>
      <c r="J10885" s="51"/>
      <c r="K10885" s="51"/>
      <c r="L10885" s="51"/>
      <c r="M10885" s="51"/>
      <c r="N10885" s="51"/>
      <c r="O10885" s="52"/>
      <c r="P10885" s="51"/>
      <c r="Q10885" s="51"/>
      <c r="R10885" s="51"/>
      <c r="S10885" s="38"/>
      <c r="T10885" s="38"/>
      <c r="AR10885" s="51"/>
      <c r="AS10885" s="51"/>
    </row>
    <row r="10886" spans="1:45" s="3" customFormat="1" thickBot="1">
      <c r="A10886" s="531"/>
      <c r="O10886" s="107"/>
      <c r="AR10886" s="531"/>
    </row>
    <row r="10887" spans="1:45" s="520" customFormat="1" ht="12" thickTop="1">
      <c r="A10887" s="51"/>
      <c r="B10887" s="41"/>
      <c r="C10887" s="51"/>
      <c r="E10887" s="42" t="s">
        <v>138</v>
      </c>
      <c r="F10887" s="42" t="s">
        <v>139</v>
      </c>
      <c r="G10887" s="51"/>
      <c r="H10887" s="51"/>
      <c r="I10887" s="51"/>
      <c r="J10887" s="51"/>
      <c r="K10887" s="51" t="s">
        <v>140</v>
      </c>
      <c r="L10887" s="51"/>
      <c r="M10887" s="51"/>
      <c r="N10887" s="51"/>
      <c r="O10887" s="52"/>
      <c r="P10887" s="51"/>
      <c r="Q10887" s="51"/>
      <c r="R10887" s="51"/>
      <c r="S10887" s="51"/>
      <c r="T10887" s="41"/>
      <c r="AG10887" s="521" t="s">
        <v>268</v>
      </c>
      <c r="AH10887" s="521" t="s">
        <v>269</v>
      </c>
      <c r="AI10887" s="521" t="s">
        <v>270</v>
      </c>
      <c r="AJ10887" s="521" t="s">
        <v>271</v>
      </c>
      <c r="AK10887" s="521" t="s">
        <v>272</v>
      </c>
      <c r="AM10887" s="745" t="s">
        <v>281</v>
      </c>
      <c r="AN10887" s="746" t="s">
        <v>282</v>
      </c>
      <c r="AO10887" s="522" t="s">
        <v>278</v>
      </c>
      <c r="AR10887" s="51"/>
      <c r="AS10887" s="42" t="s">
        <v>139</v>
      </c>
    </row>
    <row r="10888" spans="1:45" s="520" customFormat="1" ht="12" customHeight="1">
      <c r="A10888" s="747">
        <v>3</v>
      </c>
      <c r="B10888" s="523" t="s">
        <v>329</v>
      </c>
      <c r="C10888" s="748"/>
      <c r="D10888" s="749" t="s">
        <v>2528</v>
      </c>
      <c r="E10888" s="1145">
        <f>IF(AND($A10888=0,$A$1="DIF"),0, ROUND(ROUND(($R10892*$S$3+($T10892*$T$3))/$A10888,2)*$C$3,2))</f>
        <v>64.05</v>
      </c>
      <c r="F10888" s="1146">
        <f>ROUND($A10888*$E10888,2)</f>
        <v>192.15</v>
      </c>
      <c r="G10888" s="752" t="s">
        <v>142</v>
      </c>
      <c r="H10888" s="753"/>
      <c r="I10888" s="754"/>
      <c r="J10888" s="753"/>
      <c r="K10888" s="753" t="s">
        <v>5</v>
      </c>
      <c r="L10888" s="755" t="s">
        <v>143</v>
      </c>
      <c r="M10888" s="755"/>
      <c r="N10888" s="755"/>
      <c r="O10888" s="755"/>
      <c r="P10888" s="755"/>
      <c r="Q10888" s="51"/>
      <c r="T10888" s="1150" t="str">
        <f>IF(AND($R10892=0,$T10892=0),"0.00","mu: "&amp; ROUND(F10888/$C$3/($R10892+$T10892*$D$9),2))</f>
        <v>mu: 1.13</v>
      </c>
      <c r="W10888" s="524"/>
      <c r="AG10888" s="1147">
        <f>IF($E10888=0,0,ROUND($R10892*$S$3*$C$3/$A10888,2))</f>
        <v>64.05</v>
      </c>
      <c r="AH10888" s="1147">
        <f>$AG10888*$A10888</f>
        <v>192.14999999999998</v>
      </c>
      <c r="AI10888" s="1148">
        <f>$E10888-$AG10888</f>
        <v>0</v>
      </c>
      <c r="AJ10888" s="1148">
        <f>$A10888*$AI10888</f>
        <v>0</v>
      </c>
      <c r="AK10888" s="1149">
        <f>ROUND(($AG10888+$AI10888)*$A10888,2)</f>
        <v>192.15</v>
      </c>
      <c r="AM10888" s="527">
        <f>ROUND(R10892,2)</f>
        <v>170.24</v>
      </c>
      <c r="AN10888" s="528">
        <f>ROUND(T10892,2)</f>
        <v>0</v>
      </c>
      <c r="AO10888" s="529">
        <f>ROUND(AM10888+AN10888,2)*A10888</f>
        <v>510.72</v>
      </c>
      <c r="AR10888" s="747">
        <v>3</v>
      </c>
      <c r="AS10888" s="1146">
        <v>209.1</v>
      </c>
    </row>
    <row r="10889" spans="1:45" s="520" customFormat="1" ht="13.2">
      <c r="A10889" s="748"/>
      <c r="B10889"/>
      <c r="C10889" s="748"/>
      <c r="D10889" s="749" t="s">
        <v>2207</v>
      </c>
      <c r="F10889" s="753"/>
      <c r="G10889" s="3"/>
      <c r="H10889" s="753"/>
      <c r="I10889" s="754"/>
      <c r="J10889" s="753"/>
      <c r="K10889" s="753" t="s">
        <v>144</v>
      </c>
      <c r="L10889" s="753"/>
      <c r="M10889" s="753"/>
      <c r="N10889" s="753"/>
      <c r="O10889" s="753"/>
      <c r="P10889" s="753"/>
      <c r="Q10889" s="51"/>
      <c r="R10889" s="530"/>
      <c r="S10889" s="757"/>
      <c r="T10889" s="753"/>
      <c r="AR10889" s="748"/>
      <c r="AS10889" s="753"/>
    </row>
    <row r="10890" spans="1:45" s="901" customFormat="1" ht="13.2">
      <c r="A10890" s="903">
        <v>3</v>
      </c>
      <c r="B10890" s="904" t="s">
        <v>863</v>
      </c>
      <c r="C10890" s="904"/>
      <c r="D10890" s="904" t="s">
        <v>2594</v>
      </c>
      <c r="E10890" s="904"/>
      <c r="F10890" s="1153" t="s">
        <v>4143</v>
      </c>
      <c r="G10890" s="905" t="s">
        <v>2595</v>
      </c>
      <c r="H10890" s="902">
        <v>960</v>
      </c>
      <c r="I10890" s="904" t="s">
        <v>2596</v>
      </c>
      <c r="J10890" s="904"/>
      <c r="K10890" s="904"/>
      <c r="L10890" s="904"/>
      <c r="M10890" s="904"/>
      <c r="N10890" s="904"/>
      <c r="O10890" s="902">
        <v>4</v>
      </c>
      <c r="P10890" s="906">
        <v>38274</v>
      </c>
      <c r="Q10890" s="1415">
        <f>65*0.873</f>
        <v>56.744999999999997</v>
      </c>
      <c r="R10890" s="908">
        <f>$A10890*Q10890</f>
        <v>170.23499999999999</v>
      </c>
      <c r="S10890" s="907"/>
      <c r="T10890" s="909">
        <f>$A10890*S10890*$T$1</f>
        <v>0</v>
      </c>
      <c r="AR10890" s="903">
        <v>3</v>
      </c>
      <c r="AS10890" s="1153" t="s">
        <v>3507</v>
      </c>
    </row>
    <row r="10891" spans="1:45" s="520" customFormat="1" ht="12">
      <c r="A10891" s="758"/>
      <c r="B10891" s="758"/>
      <c r="C10891" s="758"/>
      <c r="D10891" s="758"/>
      <c r="E10891" s="758"/>
      <c r="F10891" s="753"/>
      <c r="G10891" s="758"/>
      <c r="H10891" s="758"/>
      <c r="I10891" s="519"/>
      <c r="J10891" s="758"/>
      <c r="K10891" s="758"/>
      <c r="L10891" s="758"/>
      <c r="M10891" s="758"/>
      <c r="N10891" s="758"/>
      <c r="O10891" s="758"/>
      <c r="P10891" s="758"/>
      <c r="Q10891" s="519"/>
      <c r="R10891" s="759">
        <f>$A10891*Q10891</f>
        <v>0</v>
      </c>
      <c r="S10891" s="519"/>
      <c r="T10891" s="760">
        <f>$A10891*S10891*$T$1</f>
        <v>0</v>
      </c>
      <c r="AR10891" s="758"/>
      <c r="AS10891" s="753"/>
    </row>
    <row r="10892" spans="1:45" s="520" customFormat="1" ht="12.6" thickBot="1">
      <c r="A10892" s="761" t="s">
        <v>145</v>
      </c>
      <c r="B10892" s="762">
        <f>(R10891+T10891)</f>
        <v>0</v>
      </c>
      <c r="C10892" s="763"/>
      <c r="D10892" s="763"/>
      <c r="E10892" s="763"/>
      <c r="F10892" s="764"/>
      <c r="G10892" s="763" t="s">
        <v>146</v>
      </c>
      <c r="H10892" s="763"/>
      <c r="I10892" s="765"/>
      <c r="J10892" s="763"/>
      <c r="K10892" s="763" t="s">
        <v>5</v>
      </c>
      <c r="L10892" s="766" t="s">
        <v>143</v>
      </c>
      <c r="M10892" s="766"/>
      <c r="N10892" s="766"/>
      <c r="O10892" s="766"/>
      <c r="P10892" s="766"/>
      <c r="Q10892" s="767"/>
      <c r="R10892" s="768">
        <f>SUM(R10889:R10891)</f>
        <v>170.23499999999999</v>
      </c>
      <c r="S10892" s="763"/>
      <c r="T10892" s="768">
        <f>SUM(T10889:T10891)</f>
        <v>0</v>
      </c>
      <c r="U10892" s="531"/>
      <c r="V10892" s="531"/>
      <c r="W10892" s="531"/>
      <c r="X10892" s="531"/>
      <c r="Y10892" s="531"/>
      <c r="Z10892" s="531"/>
      <c r="AA10892" s="531"/>
      <c r="AB10892" s="531"/>
      <c r="AC10892" s="531"/>
      <c r="AD10892" s="531"/>
      <c r="AE10892" s="531"/>
      <c r="AF10892" s="531"/>
      <c r="AG10892" s="531"/>
      <c r="AH10892" s="531"/>
      <c r="AI10892" s="531"/>
      <c r="AJ10892" s="531"/>
      <c r="AK10892" s="531"/>
      <c r="AL10892" s="531"/>
      <c r="AM10892" s="531"/>
      <c r="AN10892" s="531"/>
      <c r="AO10892" s="531"/>
      <c r="AR10892" s="761" t="s">
        <v>145</v>
      </c>
      <c r="AS10892" s="764"/>
    </row>
    <row r="10893" spans="1:45" s="520" customFormat="1" thickTop="1">
      <c r="A10893" s="51"/>
      <c r="B10893" s="51"/>
      <c r="C10893" s="3"/>
      <c r="D10893" s="3"/>
      <c r="E10893" s="51"/>
      <c r="F10893" s="51"/>
      <c r="G10893" s="51"/>
      <c r="H10893" s="51"/>
      <c r="I10893" s="51"/>
      <c r="J10893" s="51"/>
      <c r="K10893" s="51" t="s">
        <v>134</v>
      </c>
      <c r="L10893" s="51"/>
      <c r="M10893" s="51"/>
      <c r="N10893" s="51"/>
      <c r="O10893" s="52"/>
      <c r="P10893" s="51"/>
      <c r="Q10893" s="51"/>
      <c r="R10893" s="51"/>
      <c r="S10893" s="51"/>
      <c r="T10893" s="51"/>
      <c r="AR10893" s="51"/>
      <c r="AS10893" s="51"/>
    </row>
    <row r="10894" spans="1:45" s="520" customFormat="1" ht="12">
      <c r="A10894" s="51"/>
      <c r="B10894" s="51"/>
      <c r="C10894" s="51" t="s">
        <v>135</v>
      </c>
      <c r="D10894" s="37"/>
      <c r="E10894" s="51"/>
      <c r="F10894" s="51"/>
      <c r="G10894" s="51"/>
      <c r="H10894" s="51"/>
      <c r="I10894" s="51"/>
      <c r="J10894" s="51"/>
      <c r="K10894" s="51"/>
      <c r="L10894" s="51"/>
      <c r="M10894" s="51"/>
      <c r="N10894" s="51"/>
      <c r="O10894" s="52"/>
      <c r="P10894" s="51"/>
      <c r="Q10894" s="51"/>
      <c r="R10894" s="51"/>
      <c r="S10894" s="51"/>
      <c r="T10894" s="51"/>
      <c r="AR10894" s="51"/>
      <c r="AS10894" s="51"/>
    </row>
    <row r="10895" spans="1:45" s="520" customFormat="1" ht="12">
      <c r="A10895" s="51"/>
      <c r="B10895" s="51"/>
      <c r="C10895" s="51"/>
      <c r="D10895" s="37" t="s">
        <v>362</v>
      </c>
      <c r="E10895" s="51"/>
      <c r="F10895" s="51"/>
      <c r="G10895" s="51"/>
      <c r="H10895" s="51"/>
      <c r="I10895" s="51"/>
      <c r="J10895" s="51"/>
      <c r="K10895" s="51"/>
      <c r="L10895" s="51"/>
      <c r="M10895" s="51"/>
      <c r="N10895" s="51"/>
      <c r="O10895" s="52"/>
      <c r="P10895" s="51"/>
      <c r="Q10895" s="51"/>
      <c r="R10895" s="51"/>
      <c r="S10895" s="38"/>
      <c r="T10895" s="38"/>
      <c r="AR10895" s="51"/>
      <c r="AS10895" s="51"/>
    </row>
    <row r="10896" spans="1:45" s="3" customFormat="1" thickBot="1">
      <c r="A10896" s="531"/>
      <c r="O10896" s="107"/>
      <c r="AR10896" s="531"/>
    </row>
    <row r="10897" spans="1:45" s="520" customFormat="1" thickTop="1">
      <c r="A10897" s="51"/>
      <c r="B10897" s="51"/>
      <c r="C10897" s="3"/>
      <c r="D10897" s="3"/>
      <c r="E10897" s="51"/>
      <c r="F10897" s="51"/>
      <c r="G10897" s="51"/>
      <c r="H10897" s="51"/>
      <c r="I10897" s="51"/>
      <c r="J10897" s="51"/>
      <c r="K10897" s="51" t="s">
        <v>134</v>
      </c>
      <c r="L10897" s="51"/>
      <c r="M10897" s="51"/>
      <c r="N10897" s="51"/>
      <c r="O10897" s="52"/>
      <c r="P10897" s="51"/>
      <c r="Q10897" s="51"/>
      <c r="R10897" s="51"/>
      <c r="S10897" s="51"/>
      <c r="T10897" s="51"/>
      <c r="AR10897" s="51"/>
      <c r="AS10897" s="51"/>
    </row>
    <row r="10898" spans="1:45" s="520" customFormat="1" ht="12">
      <c r="A10898" s="51"/>
      <c r="B10898" s="51"/>
      <c r="C10898" s="51" t="s">
        <v>135</v>
      </c>
      <c r="D10898" s="37"/>
      <c r="E10898" s="51"/>
      <c r="F10898" s="51"/>
      <c r="G10898" s="51"/>
      <c r="H10898" s="51"/>
      <c r="I10898" s="51"/>
      <c r="J10898" s="51"/>
      <c r="K10898" s="51"/>
      <c r="L10898" s="51"/>
      <c r="M10898" s="51"/>
      <c r="N10898" s="51"/>
      <c r="O10898" s="52"/>
      <c r="P10898" s="51"/>
      <c r="Q10898" s="51"/>
      <c r="R10898" s="51"/>
      <c r="S10898" s="51"/>
      <c r="T10898" s="51"/>
      <c r="AR10898" s="51"/>
      <c r="AS10898" s="51"/>
    </row>
    <row r="10899" spans="1:45" s="520" customFormat="1" ht="39.9" customHeight="1">
      <c r="A10899" s="51"/>
      <c r="B10899" s="51"/>
      <c r="C10899" s="51"/>
      <c r="D10899" s="1453" t="s">
        <v>2499</v>
      </c>
      <c r="E10899" s="1452"/>
      <c r="F10899" s="1452"/>
      <c r="G10899" s="1452"/>
      <c r="H10899" s="1452"/>
      <c r="I10899" s="1452"/>
      <c r="J10899" s="1452"/>
      <c r="K10899" s="1452"/>
      <c r="L10899" s="1452"/>
      <c r="M10899" s="1452"/>
      <c r="N10899" s="1452"/>
      <c r="O10899" s="1452"/>
      <c r="P10899" s="1452"/>
      <c r="Q10899" s="1452"/>
      <c r="R10899" s="1452"/>
      <c r="S10899" s="1452"/>
      <c r="T10899" s="1452"/>
      <c r="AR10899" s="51"/>
    </row>
    <row r="10900" spans="1:45" s="3" customFormat="1" thickBot="1">
      <c r="A10900" s="531"/>
      <c r="O10900" s="107"/>
      <c r="AR10900" s="531"/>
    </row>
    <row r="10901" spans="1:45" s="520" customFormat="1" ht="12" thickTop="1">
      <c r="A10901" s="51"/>
      <c r="B10901" s="41"/>
      <c r="C10901" s="51"/>
      <c r="E10901" s="42" t="s">
        <v>138</v>
      </c>
      <c r="F10901" s="42" t="s">
        <v>139</v>
      </c>
      <c r="G10901" s="51"/>
      <c r="H10901" s="51"/>
      <c r="I10901" s="51"/>
      <c r="J10901" s="51"/>
      <c r="K10901" s="51" t="s">
        <v>140</v>
      </c>
      <c r="L10901" s="51"/>
      <c r="M10901" s="51"/>
      <c r="N10901" s="51"/>
      <c r="O10901" s="52"/>
      <c r="P10901" s="51"/>
      <c r="Q10901" s="51"/>
      <c r="R10901" s="51"/>
      <c r="S10901" s="51"/>
      <c r="T10901" s="41"/>
      <c r="AG10901" s="521" t="s">
        <v>268</v>
      </c>
      <c r="AH10901" s="521" t="s">
        <v>269</v>
      </c>
      <c r="AI10901" s="521" t="s">
        <v>270</v>
      </c>
      <c r="AJ10901" s="521" t="s">
        <v>271</v>
      </c>
      <c r="AK10901" s="521" t="s">
        <v>272</v>
      </c>
      <c r="AM10901" s="745" t="s">
        <v>281</v>
      </c>
      <c r="AN10901" s="746" t="s">
        <v>282</v>
      </c>
      <c r="AO10901" s="522" t="s">
        <v>278</v>
      </c>
      <c r="AR10901" s="51"/>
      <c r="AS10901" s="42" t="s">
        <v>139</v>
      </c>
    </row>
    <row r="10902" spans="1:45" s="520" customFormat="1" ht="12" customHeight="1">
      <c r="A10902" s="747">
        <v>1</v>
      </c>
      <c r="B10902" s="523" t="s">
        <v>329</v>
      </c>
      <c r="C10902" s="748"/>
      <c r="D10902" s="749" t="s">
        <v>2529</v>
      </c>
      <c r="E10902" s="750">
        <f>IF(AND($A10902=0,$A$1="DIF"),0, ROUND(ROUND(($R10906*$S$2+($T10906*$T$2))/A10902,2)*$C$2,2))</f>
        <v>61.73</v>
      </c>
      <c r="F10902" s="751">
        <f>ROUND($A10902*$E10902,2)</f>
        <v>61.73</v>
      </c>
      <c r="G10902" s="752" t="s">
        <v>142</v>
      </c>
      <c r="H10902" s="753"/>
      <c r="I10902" s="754"/>
      <c r="J10902" s="753"/>
      <c r="K10902" s="753" t="s">
        <v>3</v>
      </c>
      <c r="L10902" s="755" t="s">
        <v>143</v>
      </c>
      <c r="M10902" s="755"/>
      <c r="N10902" s="755"/>
      <c r="O10902" s="755"/>
      <c r="P10902" s="755"/>
      <c r="Q10902" s="51"/>
      <c r="T10902" s="756" t="str">
        <f>IF(AND($R10906=0,$T10906=0),"0.00","mu :" &amp; ROUND($F10902/$C$2/($R10906+$T10906*$D$9),2))</f>
        <v>mu :1.23</v>
      </c>
      <c r="W10902" s="524"/>
      <c r="AG10902" s="481">
        <f>IF($E10902=0,0,ROUND($R10906*$S$2*$C$2/$A10902,2))</f>
        <v>22.16</v>
      </c>
      <c r="AH10902" s="481">
        <f>$AG10902*$A10902</f>
        <v>22.16</v>
      </c>
      <c r="AI10902" s="525">
        <f>$E10902-$AG10902</f>
        <v>39.569999999999993</v>
      </c>
      <c r="AJ10902" s="525">
        <f>$A10902*$AI10902</f>
        <v>39.569999999999993</v>
      </c>
      <c r="AK10902" s="526">
        <f>ROUND(($AG10902+$AI10902)*$A10902,2)</f>
        <v>61.73</v>
      </c>
      <c r="AM10902" s="527">
        <f>ROUND(R10906,2)</f>
        <v>18</v>
      </c>
      <c r="AN10902" s="528">
        <f>ROUND(T10906,2)</f>
        <v>1.17</v>
      </c>
      <c r="AO10902" s="529">
        <f>ROUND(AM10902+AN10902,2)*A10902</f>
        <v>19.170000000000002</v>
      </c>
      <c r="AR10902" s="747">
        <v>1</v>
      </c>
      <c r="AS10902" s="751">
        <v>66.12</v>
      </c>
    </row>
    <row r="10903" spans="1:45" s="520" customFormat="1" ht="13.2">
      <c r="A10903" s="748"/>
      <c r="B10903"/>
      <c r="C10903" s="748"/>
      <c r="D10903" s="749" t="s">
        <v>2205</v>
      </c>
      <c r="F10903" s="753"/>
      <c r="G10903" s="3"/>
      <c r="H10903" s="753"/>
      <c r="I10903" s="754"/>
      <c r="J10903" s="753"/>
      <c r="K10903" s="753" t="s">
        <v>144</v>
      </c>
      <c r="L10903" s="753"/>
      <c r="M10903" s="753"/>
      <c r="N10903" s="753"/>
      <c r="O10903" s="753"/>
      <c r="P10903" s="753"/>
      <c r="Q10903" s="51"/>
      <c r="R10903" s="530"/>
      <c r="S10903" s="757"/>
      <c r="T10903" s="753"/>
      <c r="AR10903" s="748"/>
      <c r="AS10903" s="753"/>
    </row>
    <row r="10904" spans="1:45" s="901" customFormat="1" ht="13.2">
      <c r="A10904" s="116">
        <v>10</v>
      </c>
      <c r="B10904" s="901" t="s">
        <v>320</v>
      </c>
      <c r="D10904" s="901" t="s">
        <v>3209</v>
      </c>
      <c r="F10904" s="901" t="s">
        <v>3237</v>
      </c>
      <c r="G10904" s="941" t="s">
        <v>3210</v>
      </c>
      <c r="H10904" s="942">
        <v>700</v>
      </c>
      <c r="I10904" s="901" t="s">
        <v>3008</v>
      </c>
      <c r="J10904" s="901" t="s">
        <v>2953</v>
      </c>
      <c r="O10904" s="943">
        <v>1</v>
      </c>
      <c r="P10904" s="944">
        <v>42213</v>
      </c>
      <c r="Q10904" s="945">
        <v>1.8</v>
      </c>
      <c r="R10904" s="946">
        <f>$A10904*Q10904</f>
        <v>18</v>
      </c>
      <c r="S10904" s="945">
        <v>0.13</v>
      </c>
      <c r="T10904" s="947">
        <f>$A10904*S10904*$T$1</f>
        <v>1.1700000000000002</v>
      </c>
      <c r="AR10904" s="116">
        <v>10</v>
      </c>
      <c r="AS10904" s="901" t="s">
        <v>3237</v>
      </c>
    </row>
    <row r="10905" spans="1:45" s="520" customFormat="1" ht="12">
      <c r="A10905" s="758"/>
      <c r="B10905" s="758"/>
      <c r="C10905" s="758"/>
      <c r="D10905" s="758"/>
      <c r="E10905" s="758"/>
      <c r="F10905" s="753"/>
      <c r="G10905" s="758"/>
      <c r="H10905" s="758"/>
      <c r="I10905" s="519"/>
      <c r="J10905" s="758"/>
      <c r="K10905" s="758"/>
      <c r="L10905" s="758"/>
      <c r="M10905" s="758"/>
      <c r="N10905" s="758"/>
      <c r="O10905" s="758"/>
      <c r="P10905" s="758"/>
      <c r="Q10905" s="519"/>
      <c r="R10905" s="759">
        <f>$A10905*Q10905</f>
        <v>0</v>
      </c>
      <c r="S10905" s="519"/>
      <c r="T10905" s="760">
        <f>$A10905*S10905*$T$1</f>
        <v>0</v>
      </c>
      <c r="AR10905" s="758"/>
      <c r="AS10905" s="753"/>
    </row>
    <row r="10906" spans="1:45" s="520" customFormat="1" ht="12.6" thickBot="1">
      <c r="A10906" s="761" t="s">
        <v>145</v>
      </c>
      <c r="B10906" s="762">
        <f>(R10905+T10905)</f>
        <v>0</v>
      </c>
      <c r="C10906" s="763"/>
      <c r="D10906" s="763"/>
      <c r="E10906" s="763"/>
      <c r="F10906" s="764"/>
      <c r="G10906" s="763" t="s">
        <v>146</v>
      </c>
      <c r="H10906" s="763"/>
      <c r="I10906" s="765"/>
      <c r="J10906" s="763"/>
      <c r="K10906" s="763" t="s">
        <v>3</v>
      </c>
      <c r="L10906" s="766" t="s">
        <v>143</v>
      </c>
      <c r="M10906" s="766"/>
      <c r="N10906" s="766"/>
      <c r="O10906" s="766"/>
      <c r="P10906" s="766"/>
      <c r="Q10906" s="767"/>
      <c r="R10906" s="768">
        <f>SUM(R10903:R10905)</f>
        <v>18</v>
      </c>
      <c r="S10906" s="763"/>
      <c r="T10906" s="768">
        <f>SUM(T10903:T10905)</f>
        <v>1.1700000000000002</v>
      </c>
      <c r="U10906" s="531"/>
      <c r="V10906" s="531"/>
      <c r="W10906" s="531"/>
      <c r="X10906" s="531"/>
      <c r="Y10906" s="531"/>
      <c r="Z10906" s="531"/>
      <c r="AA10906" s="531"/>
      <c r="AB10906" s="531"/>
      <c r="AC10906" s="531"/>
      <c r="AD10906" s="531"/>
      <c r="AE10906" s="531"/>
      <c r="AF10906" s="531"/>
      <c r="AG10906" s="531"/>
      <c r="AH10906" s="531"/>
      <c r="AI10906" s="531"/>
      <c r="AJ10906" s="531"/>
      <c r="AK10906" s="531"/>
      <c r="AL10906" s="531"/>
      <c r="AM10906" s="531"/>
      <c r="AN10906" s="531"/>
      <c r="AO10906" s="531"/>
      <c r="AR10906" s="761" t="s">
        <v>145</v>
      </c>
      <c r="AS10906" s="764"/>
    </row>
    <row r="10907" spans="1:45" s="520" customFormat="1" ht="12" thickTop="1">
      <c r="A10907" s="51"/>
      <c r="B10907" s="41"/>
      <c r="C10907" s="51"/>
      <c r="E10907" s="42" t="s">
        <v>138</v>
      </c>
      <c r="F10907" s="42" t="s">
        <v>139</v>
      </c>
      <c r="G10907" s="51"/>
      <c r="H10907" s="51"/>
      <c r="I10907" s="51"/>
      <c r="J10907" s="51"/>
      <c r="K10907" s="51" t="s">
        <v>140</v>
      </c>
      <c r="L10907" s="51"/>
      <c r="M10907" s="51"/>
      <c r="N10907" s="51"/>
      <c r="O10907" s="52"/>
      <c r="P10907" s="51"/>
      <c r="Q10907" s="51"/>
      <c r="R10907" s="51"/>
      <c r="S10907" s="51"/>
      <c r="T10907" s="41"/>
      <c r="AG10907" s="521" t="s">
        <v>268</v>
      </c>
      <c r="AH10907" s="521" t="s">
        <v>269</v>
      </c>
      <c r="AI10907" s="521" t="s">
        <v>270</v>
      </c>
      <c r="AJ10907" s="521" t="s">
        <v>271</v>
      </c>
      <c r="AK10907" s="521" t="s">
        <v>272</v>
      </c>
      <c r="AM10907" s="745" t="s">
        <v>281</v>
      </c>
      <c r="AN10907" s="746" t="s">
        <v>282</v>
      </c>
      <c r="AO10907" s="522" t="s">
        <v>278</v>
      </c>
      <c r="AR10907" s="51"/>
      <c r="AS10907" s="42" t="s">
        <v>139</v>
      </c>
    </row>
    <row r="10908" spans="1:45" s="520" customFormat="1" ht="12" customHeight="1">
      <c r="A10908" s="747">
        <v>1</v>
      </c>
      <c r="B10908" s="523" t="s">
        <v>329</v>
      </c>
      <c r="C10908" s="748"/>
      <c r="D10908" s="749" t="s">
        <v>2530</v>
      </c>
      <c r="E10908" s="750">
        <f>IF(AND($A10908=0,$A$1="DIF"),0, ROUND(ROUND(($R10912*$S$2+($T10912*$T$2))/A10908,2)*$C$2,2))</f>
        <v>67.900000000000006</v>
      </c>
      <c r="F10908" s="751">
        <f>ROUND($A10908*$E10908,2)</f>
        <v>67.900000000000006</v>
      </c>
      <c r="G10908" s="752" t="s">
        <v>142</v>
      </c>
      <c r="H10908" s="753"/>
      <c r="I10908" s="754"/>
      <c r="J10908" s="753"/>
      <c r="K10908" s="753" t="s">
        <v>3</v>
      </c>
      <c r="L10908" s="755" t="s">
        <v>143</v>
      </c>
      <c r="M10908" s="755"/>
      <c r="N10908" s="755"/>
      <c r="O10908" s="755"/>
      <c r="P10908" s="755"/>
      <c r="Q10908" s="51"/>
      <c r="T10908" s="756" t="str">
        <f>IF(AND($R10912=0,$T10912=0),"0.00","mu :" &amp; ROUND($F10908/$C$2/($R10912+$T10912*$D$9),2))</f>
        <v>mu :1.23</v>
      </c>
      <c r="W10908" s="524"/>
      <c r="AG10908" s="481">
        <f>IF($E10908=0,0,ROUND($R10912*$S$2*$C$2/$A10908,2))</f>
        <v>24.38</v>
      </c>
      <c r="AH10908" s="481">
        <f>$AG10908*$A10908</f>
        <v>24.38</v>
      </c>
      <c r="AI10908" s="525">
        <f>$E10908-$AG10908</f>
        <v>43.52000000000001</v>
      </c>
      <c r="AJ10908" s="525">
        <f>$A10908*$AI10908</f>
        <v>43.52000000000001</v>
      </c>
      <c r="AK10908" s="526">
        <f>ROUND(($AG10908+$AI10908)*$A10908,2)</f>
        <v>67.900000000000006</v>
      </c>
      <c r="AM10908" s="527">
        <f>ROUND(R10912,2)</f>
        <v>19.8</v>
      </c>
      <c r="AN10908" s="528">
        <f>ROUND(T10912,2)</f>
        <v>1.29</v>
      </c>
      <c r="AO10908" s="529">
        <f>ROUND(AM10908+AN10908,2)*A10908</f>
        <v>21.09</v>
      </c>
      <c r="AR10908" s="747">
        <v>1</v>
      </c>
      <c r="AS10908" s="751">
        <v>72.73</v>
      </c>
    </row>
    <row r="10909" spans="1:45" s="520" customFormat="1" ht="13.2">
      <c r="A10909" s="748"/>
      <c r="B10909"/>
      <c r="C10909" s="748"/>
      <c r="D10909" s="749" t="s">
        <v>2208</v>
      </c>
      <c r="F10909" s="753"/>
      <c r="G10909" s="3"/>
      <c r="H10909" s="753"/>
      <c r="I10909" s="754"/>
      <c r="J10909" s="753"/>
      <c r="K10909" s="753" t="s">
        <v>144</v>
      </c>
      <c r="L10909" s="753"/>
      <c r="M10909" s="753"/>
      <c r="N10909" s="753"/>
      <c r="O10909" s="753"/>
      <c r="P10909" s="753"/>
      <c r="Q10909" s="51"/>
      <c r="R10909" s="530"/>
      <c r="S10909" s="757"/>
      <c r="T10909" s="753"/>
      <c r="AR10909" s="748"/>
      <c r="AS10909" s="753"/>
    </row>
    <row r="10910" spans="1:45" s="901" customFormat="1" ht="13.2">
      <c r="A10910" s="116">
        <v>11</v>
      </c>
      <c r="B10910" s="901" t="s">
        <v>320</v>
      </c>
      <c r="D10910" s="901" t="s">
        <v>3209</v>
      </c>
      <c r="F10910" s="901" t="s">
        <v>3237</v>
      </c>
      <c r="G10910" s="941" t="s">
        <v>3210</v>
      </c>
      <c r="H10910" s="942">
        <v>700</v>
      </c>
      <c r="I10910" s="901" t="s">
        <v>3008</v>
      </c>
      <c r="J10910" s="901" t="s">
        <v>2953</v>
      </c>
      <c r="O10910" s="943">
        <v>1</v>
      </c>
      <c r="P10910" s="944">
        <v>42213</v>
      </c>
      <c r="Q10910" s="945">
        <v>1.8</v>
      </c>
      <c r="R10910" s="946">
        <f>$A10910*Q10910</f>
        <v>19.8</v>
      </c>
      <c r="S10910" s="945">
        <v>0.13</v>
      </c>
      <c r="T10910" s="947">
        <f>$A10910*S10910*$T$1</f>
        <v>1.2870000000000001</v>
      </c>
      <c r="AR10910" s="116">
        <v>11</v>
      </c>
      <c r="AS10910" s="901" t="s">
        <v>3237</v>
      </c>
    </row>
    <row r="10911" spans="1:45" s="520" customFormat="1" ht="12">
      <c r="A10911" s="758"/>
      <c r="B10911" s="758"/>
      <c r="C10911" s="758"/>
      <c r="D10911" s="758"/>
      <c r="E10911" s="758"/>
      <c r="F10911" s="753"/>
      <c r="G10911" s="758"/>
      <c r="H10911" s="758"/>
      <c r="I10911" s="519"/>
      <c r="J10911" s="758"/>
      <c r="K10911" s="758"/>
      <c r="L10911" s="758"/>
      <c r="M10911" s="758"/>
      <c r="N10911" s="758"/>
      <c r="O10911" s="758"/>
      <c r="P10911" s="758"/>
      <c r="Q10911" s="519"/>
      <c r="R10911" s="759">
        <f>$A10911*Q10911</f>
        <v>0</v>
      </c>
      <c r="S10911" s="519"/>
      <c r="T10911" s="760">
        <f>$A10911*S10911*$T$1</f>
        <v>0</v>
      </c>
      <c r="AR10911" s="758"/>
      <c r="AS10911" s="753"/>
    </row>
    <row r="10912" spans="1:45" s="520" customFormat="1" ht="12.6" thickBot="1">
      <c r="A10912" s="761" t="s">
        <v>145</v>
      </c>
      <c r="B10912" s="762">
        <f>(R10911+T10911)</f>
        <v>0</v>
      </c>
      <c r="C10912" s="763"/>
      <c r="D10912" s="763"/>
      <c r="E10912" s="763"/>
      <c r="F10912" s="764"/>
      <c r="G10912" s="763" t="s">
        <v>146</v>
      </c>
      <c r="H10912" s="763"/>
      <c r="I10912" s="765"/>
      <c r="J10912" s="763"/>
      <c r="K10912" s="763" t="s">
        <v>3</v>
      </c>
      <c r="L10912" s="766" t="s">
        <v>143</v>
      </c>
      <c r="M10912" s="766"/>
      <c r="N10912" s="766"/>
      <c r="O10912" s="766"/>
      <c r="P10912" s="766"/>
      <c r="Q10912" s="767"/>
      <c r="R10912" s="768">
        <f>SUM(R10909:R10911)</f>
        <v>19.8</v>
      </c>
      <c r="S10912" s="763"/>
      <c r="T10912" s="768">
        <f>SUM(T10909:T10911)</f>
        <v>1.2870000000000001</v>
      </c>
      <c r="U10912" s="531"/>
      <c r="V10912" s="531"/>
      <c r="W10912" s="531"/>
      <c r="X10912" s="531"/>
      <c r="Y10912" s="531"/>
      <c r="Z10912" s="531"/>
      <c r="AA10912" s="531"/>
      <c r="AB10912" s="531"/>
      <c r="AC10912" s="531"/>
      <c r="AD10912" s="531"/>
      <c r="AE10912" s="531"/>
      <c r="AF10912" s="531"/>
      <c r="AG10912" s="531"/>
      <c r="AH10912" s="531"/>
      <c r="AI10912" s="531"/>
      <c r="AJ10912" s="531"/>
      <c r="AK10912" s="531"/>
      <c r="AL10912" s="531"/>
      <c r="AM10912" s="531"/>
      <c r="AN10912" s="531"/>
      <c r="AO10912" s="531"/>
      <c r="AR10912" s="761" t="s">
        <v>145</v>
      </c>
      <c r="AS10912" s="764"/>
    </row>
    <row r="10913" spans="1:45" s="520" customFormat="1" ht="12" thickTop="1">
      <c r="A10913" s="51"/>
      <c r="B10913" s="41"/>
      <c r="C10913" s="51"/>
      <c r="E10913" s="42" t="s">
        <v>138</v>
      </c>
      <c r="F10913" s="42" t="s">
        <v>139</v>
      </c>
      <c r="G10913" s="51"/>
      <c r="H10913" s="51"/>
      <c r="I10913" s="51"/>
      <c r="J10913" s="51"/>
      <c r="K10913" s="51" t="s">
        <v>140</v>
      </c>
      <c r="L10913" s="51"/>
      <c r="M10913" s="51"/>
      <c r="N10913" s="51"/>
      <c r="O10913" s="52"/>
      <c r="P10913" s="51"/>
      <c r="Q10913" s="51"/>
      <c r="R10913" s="51"/>
      <c r="S10913" s="51"/>
      <c r="T10913" s="41"/>
      <c r="AG10913" s="521" t="s">
        <v>268</v>
      </c>
      <c r="AH10913" s="521" t="s">
        <v>269</v>
      </c>
      <c r="AI10913" s="521" t="s">
        <v>270</v>
      </c>
      <c r="AJ10913" s="521" t="s">
        <v>271</v>
      </c>
      <c r="AK10913" s="521" t="s">
        <v>272</v>
      </c>
      <c r="AM10913" s="745" t="s">
        <v>281</v>
      </c>
      <c r="AN10913" s="746" t="s">
        <v>282</v>
      </c>
      <c r="AO10913" s="522" t="s">
        <v>278</v>
      </c>
      <c r="AR10913" s="51"/>
      <c r="AS10913" s="42" t="s">
        <v>139</v>
      </c>
    </row>
    <row r="10914" spans="1:45" s="520" customFormat="1" ht="12" customHeight="1">
      <c r="A10914" s="747">
        <v>1</v>
      </c>
      <c r="B10914" s="523" t="s">
        <v>329</v>
      </c>
      <c r="C10914" s="748"/>
      <c r="D10914" s="749" t="s">
        <v>2531</v>
      </c>
      <c r="E10914" s="750">
        <f>IF(AND($A10914=0,$A$1="DIF"),0, ROUND(ROUND(($R10918*$S$2+($T10918*$T$2))/A10914,2)*$C$2,2))</f>
        <v>30.86</v>
      </c>
      <c r="F10914" s="751">
        <f>ROUND($A10914*$E10914,2)</f>
        <v>30.86</v>
      </c>
      <c r="G10914" s="752" t="s">
        <v>142</v>
      </c>
      <c r="H10914" s="753"/>
      <c r="I10914" s="754"/>
      <c r="J10914" s="753"/>
      <c r="K10914" s="753" t="s">
        <v>3</v>
      </c>
      <c r="L10914" s="755" t="s">
        <v>143</v>
      </c>
      <c r="M10914" s="755"/>
      <c r="N10914" s="755"/>
      <c r="O10914" s="755"/>
      <c r="P10914" s="755"/>
      <c r="Q10914" s="51"/>
      <c r="T10914" s="756" t="str">
        <f>IF(AND($R10918=0,$T10918=0),"0.00","mu :" &amp; ROUND($F10914/$C$2/($R10918+$T10918*$D$9),2))</f>
        <v>mu :1.23</v>
      </c>
      <c r="W10914" s="524"/>
      <c r="AG10914" s="481">
        <f>IF($E10914=0,0,ROUND($R10918*$S$2*$C$2/$A10914,2))</f>
        <v>11.08</v>
      </c>
      <c r="AH10914" s="481">
        <f>$AG10914*$A10914</f>
        <v>11.08</v>
      </c>
      <c r="AI10914" s="525">
        <f>$E10914-$AG10914</f>
        <v>19.78</v>
      </c>
      <c r="AJ10914" s="525">
        <f>$A10914*$AI10914</f>
        <v>19.78</v>
      </c>
      <c r="AK10914" s="526">
        <f>ROUND(($AG10914+$AI10914)*$A10914,2)</f>
        <v>30.86</v>
      </c>
      <c r="AM10914" s="527">
        <f>ROUND(R10918,2)</f>
        <v>9</v>
      </c>
      <c r="AN10914" s="528">
        <f>ROUND(T10918,2)</f>
        <v>0.59</v>
      </c>
      <c r="AO10914" s="529">
        <f>ROUND(AM10914+AN10914,2)*A10914</f>
        <v>9.59</v>
      </c>
      <c r="AR10914" s="747">
        <v>1</v>
      </c>
      <c r="AS10914" s="751">
        <v>33.06</v>
      </c>
    </row>
    <row r="10915" spans="1:45" s="520" customFormat="1" ht="13.2">
      <c r="A10915" s="748"/>
      <c r="B10915"/>
      <c r="C10915" s="748"/>
      <c r="D10915" s="749" t="s">
        <v>2083</v>
      </c>
      <c r="F10915" s="753"/>
      <c r="G10915" s="3"/>
      <c r="H10915" s="753"/>
      <c r="I10915" s="754"/>
      <c r="J10915" s="753"/>
      <c r="K10915" s="753" t="s">
        <v>144</v>
      </c>
      <c r="L10915" s="753"/>
      <c r="M10915" s="753"/>
      <c r="N10915" s="753"/>
      <c r="O10915" s="753"/>
      <c r="P10915" s="753"/>
      <c r="Q10915" s="51"/>
      <c r="R10915" s="530"/>
      <c r="S10915" s="757"/>
      <c r="T10915" s="753"/>
      <c r="AR10915" s="748"/>
      <c r="AS10915" s="753"/>
    </row>
    <row r="10916" spans="1:45" s="901" customFormat="1" ht="13.2">
      <c r="A10916" s="116">
        <v>5</v>
      </c>
      <c r="B10916" s="901" t="s">
        <v>320</v>
      </c>
      <c r="D10916" s="901" t="s">
        <v>3209</v>
      </c>
      <c r="F10916" s="901" t="s">
        <v>3237</v>
      </c>
      <c r="G10916" s="941" t="s">
        <v>3210</v>
      </c>
      <c r="H10916" s="942">
        <v>700</v>
      </c>
      <c r="I10916" s="901" t="s">
        <v>3008</v>
      </c>
      <c r="J10916" s="901" t="s">
        <v>2953</v>
      </c>
      <c r="O10916" s="943">
        <v>1</v>
      </c>
      <c r="P10916" s="944">
        <v>42213</v>
      </c>
      <c r="Q10916" s="945">
        <v>1.8</v>
      </c>
      <c r="R10916" s="946">
        <f>$A10916*Q10916</f>
        <v>9</v>
      </c>
      <c r="S10916" s="945">
        <v>0.13</v>
      </c>
      <c r="T10916" s="947">
        <f>$A10916*S10916*$T$1</f>
        <v>0.58500000000000008</v>
      </c>
      <c r="AR10916" s="116">
        <v>5</v>
      </c>
      <c r="AS10916" s="901" t="s">
        <v>3237</v>
      </c>
    </row>
    <row r="10917" spans="1:45" s="520" customFormat="1" ht="12">
      <c r="A10917" s="758"/>
      <c r="B10917" s="758"/>
      <c r="C10917" s="758"/>
      <c r="D10917" s="758"/>
      <c r="E10917" s="758"/>
      <c r="F10917" s="753"/>
      <c r="G10917" s="758"/>
      <c r="H10917" s="758"/>
      <c r="I10917" s="519"/>
      <c r="J10917" s="758"/>
      <c r="K10917" s="758"/>
      <c r="L10917" s="758"/>
      <c r="M10917" s="758"/>
      <c r="N10917" s="758"/>
      <c r="O10917" s="758"/>
      <c r="P10917" s="758"/>
      <c r="Q10917" s="519"/>
      <c r="R10917" s="759">
        <f>$A10917*Q10917</f>
        <v>0</v>
      </c>
      <c r="S10917" s="519"/>
      <c r="T10917" s="760">
        <f>$A10917*S10917*$T$1</f>
        <v>0</v>
      </c>
      <c r="AR10917" s="758"/>
      <c r="AS10917" s="753"/>
    </row>
    <row r="10918" spans="1:45" s="520" customFormat="1" ht="12.6" thickBot="1">
      <c r="A10918" s="761" t="s">
        <v>145</v>
      </c>
      <c r="B10918" s="762">
        <f>(R10917+T10917)</f>
        <v>0</v>
      </c>
      <c r="C10918" s="763"/>
      <c r="D10918" s="763"/>
      <c r="E10918" s="763"/>
      <c r="F10918" s="764"/>
      <c r="G10918" s="763" t="s">
        <v>146</v>
      </c>
      <c r="H10918" s="763"/>
      <c r="I10918" s="765"/>
      <c r="J10918" s="763"/>
      <c r="K10918" s="763" t="s">
        <v>3</v>
      </c>
      <c r="L10918" s="766" t="s">
        <v>143</v>
      </c>
      <c r="M10918" s="766"/>
      <c r="N10918" s="766"/>
      <c r="O10918" s="766"/>
      <c r="P10918" s="766"/>
      <c r="Q10918" s="767"/>
      <c r="R10918" s="768">
        <f>SUM(R10915:R10917)</f>
        <v>9</v>
      </c>
      <c r="S10918" s="763"/>
      <c r="T10918" s="768">
        <f>SUM(T10915:T10917)</f>
        <v>0.58500000000000008</v>
      </c>
      <c r="U10918" s="531"/>
      <c r="V10918" s="531"/>
      <c r="W10918" s="531"/>
      <c r="X10918" s="531"/>
      <c r="Y10918" s="531"/>
      <c r="Z10918" s="531"/>
      <c r="AA10918" s="531"/>
      <c r="AB10918" s="531"/>
      <c r="AC10918" s="531"/>
      <c r="AD10918" s="531"/>
      <c r="AE10918" s="531"/>
      <c r="AF10918" s="531"/>
      <c r="AG10918" s="531"/>
      <c r="AH10918" s="531"/>
      <c r="AI10918" s="531"/>
      <c r="AJ10918" s="531"/>
      <c r="AK10918" s="531"/>
      <c r="AL10918" s="531"/>
      <c r="AM10918" s="531"/>
      <c r="AN10918" s="531"/>
      <c r="AO10918" s="531"/>
      <c r="AR10918" s="761" t="s">
        <v>145</v>
      </c>
      <c r="AS10918" s="764"/>
    </row>
    <row r="10919" spans="1:45" s="520" customFormat="1" thickTop="1">
      <c r="A10919" s="51"/>
      <c r="B10919" s="51"/>
      <c r="C10919" s="3"/>
      <c r="D10919" s="3"/>
      <c r="E10919" s="51"/>
      <c r="F10919" s="51"/>
      <c r="G10919" s="51"/>
      <c r="H10919" s="51"/>
      <c r="I10919" s="51"/>
      <c r="J10919" s="51"/>
      <c r="K10919" s="51" t="s">
        <v>134</v>
      </c>
      <c r="L10919" s="51"/>
      <c r="M10919" s="51"/>
      <c r="N10919" s="51"/>
      <c r="O10919" s="52"/>
      <c r="P10919" s="51"/>
      <c r="Q10919" s="51"/>
      <c r="R10919" s="51"/>
      <c r="S10919" s="51"/>
      <c r="T10919" s="51"/>
      <c r="AR10919" s="51"/>
      <c r="AS10919" s="51"/>
    </row>
    <row r="10920" spans="1:45" s="520" customFormat="1" ht="12">
      <c r="A10920" s="51"/>
      <c r="B10920" s="51"/>
      <c r="C10920" s="51" t="s">
        <v>135</v>
      </c>
      <c r="D10920" s="37"/>
      <c r="E10920" s="51"/>
      <c r="F10920" s="51"/>
      <c r="G10920" s="51"/>
      <c r="H10920" s="51"/>
      <c r="I10920" s="51"/>
      <c r="J10920" s="51"/>
      <c r="K10920" s="51"/>
      <c r="L10920" s="51"/>
      <c r="M10920" s="51"/>
      <c r="N10920" s="51"/>
      <c r="O10920" s="52"/>
      <c r="P10920" s="51"/>
      <c r="Q10920" s="51"/>
      <c r="R10920" s="51"/>
      <c r="S10920" s="51"/>
      <c r="T10920" s="51"/>
      <c r="AR10920" s="51"/>
      <c r="AS10920" s="51"/>
    </row>
    <row r="10921" spans="1:45" s="520" customFormat="1" ht="39.9" customHeight="1">
      <c r="A10921" s="51"/>
      <c r="B10921" s="51"/>
      <c r="C10921" s="51"/>
      <c r="D10921" s="1453" t="s">
        <v>2185</v>
      </c>
      <c r="E10921" s="1452"/>
      <c r="F10921" s="1452"/>
      <c r="G10921" s="1452"/>
      <c r="H10921" s="1452"/>
      <c r="I10921" s="1452"/>
      <c r="J10921" s="1452"/>
      <c r="K10921" s="1452"/>
      <c r="L10921" s="1452"/>
      <c r="M10921" s="1452"/>
      <c r="N10921" s="1452"/>
      <c r="O10921" s="1452"/>
      <c r="P10921" s="1452"/>
      <c r="Q10921" s="1452"/>
      <c r="R10921" s="1452"/>
      <c r="S10921" s="1452"/>
      <c r="T10921" s="1452"/>
      <c r="AR10921" s="51"/>
    </row>
    <row r="10922" spans="1:45" s="3" customFormat="1" thickBot="1">
      <c r="A10922" s="531"/>
      <c r="O10922" s="107"/>
      <c r="AR10922" s="531"/>
    </row>
    <row r="10923" spans="1:45" s="520" customFormat="1" ht="12" thickTop="1">
      <c r="A10923" s="51"/>
      <c r="B10923" s="41"/>
      <c r="C10923" s="51"/>
      <c r="E10923" s="42" t="s">
        <v>138</v>
      </c>
      <c r="F10923" s="42" t="s">
        <v>139</v>
      </c>
      <c r="G10923" s="51"/>
      <c r="H10923" s="51"/>
      <c r="I10923" s="51"/>
      <c r="J10923" s="51"/>
      <c r="K10923" s="51" t="s">
        <v>140</v>
      </c>
      <c r="L10923" s="51"/>
      <c r="M10923" s="51"/>
      <c r="N10923" s="51"/>
      <c r="O10923" s="52"/>
      <c r="P10923" s="51"/>
      <c r="Q10923" s="51"/>
      <c r="R10923" s="51"/>
      <c r="S10923" s="51"/>
      <c r="T10923" s="41"/>
      <c r="AG10923" s="521" t="s">
        <v>268</v>
      </c>
      <c r="AH10923" s="521" t="s">
        <v>269</v>
      </c>
      <c r="AI10923" s="521" t="s">
        <v>270</v>
      </c>
      <c r="AJ10923" s="521" t="s">
        <v>271</v>
      </c>
      <c r="AK10923" s="521" t="s">
        <v>272</v>
      </c>
      <c r="AM10923" s="745" t="s">
        <v>281</v>
      </c>
      <c r="AN10923" s="746" t="s">
        <v>282</v>
      </c>
      <c r="AO10923" s="522" t="s">
        <v>278</v>
      </c>
      <c r="AR10923" s="51"/>
      <c r="AS10923" s="42" t="s">
        <v>139</v>
      </c>
    </row>
    <row r="10924" spans="1:45" s="520" customFormat="1" ht="12" customHeight="1">
      <c r="A10924" s="747">
        <v>1</v>
      </c>
      <c r="B10924" s="523" t="s">
        <v>329</v>
      </c>
      <c r="C10924" s="748"/>
      <c r="D10924" s="749" t="s">
        <v>2532</v>
      </c>
      <c r="E10924" s="1145">
        <f>IF(AND($A10924=0,$A$1="DIF"),0, ROUND(ROUND(($R10928*$S$3+($T10928*$T$3))/$A10924,2)*$C$3,2))</f>
        <v>29.56</v>
      </c>
      <c r="F10924" s="1146">
        <f>ROUND($A10924*$E10924,2)</f>
        <v>29.56</v>
      </c>
      <c r="G10924" s="752" t="s">
        <v>142</v>
      </c>
      <c r="H10924" s="753"/>
      <c r="I10924" s="754"/>
      <c r="J10924" s="753"/>
      <c r="K10924" s="753" t="s">
        <v>5</v>
      </c>
      <c r="L10924" s="755" t="s">
        <v>143</v>
      </c>
      <c r="M10924" s="755"/>
      <c r="N10924" s="755"/>
      <c r="O10924" s="755"/>
      <c r="P10924" s="755"/>
      <c r="Q10924" s="51"/>
      <c r="T10924" s="1150" t="str">
        <f>IF(AND($R10928=0,$T10928=0),"0.00","mu: "&amp; ROUND(F10924/$C$3/($R10928+$T10928*$D$9),2))</f>
        <v>mu: 1.13</v>
      </c>
      <c r="W10924" s="524"/>
      <c r="AG10924" s="1147">
        <f>IF($E10924=0,0,ROUND($R10928*$S$3*$C$3/$A10924,2))</f>
        <v>29.56</v>
      </c>
      <c r="AH10924" s="1147">
        <f>$AG10924*$A10924</f>
        <v>29.56</v>
      </c>
      <c r="AI10924" s="1148">
        <f>$E10924-$AG10924</f>
        <v>0</v>
      </c>
      <c r="AJ10924" s="1148">
        <f>$A10924*$AI10924</f>
        <v>0</v>
      </c>
      <c r="AK10924" s="1149">
        <f>ROUND(($AG10924+$AI10924)*$A10924,2)</f>
        <v>29.56</v>
      </c>
      <c r="AM10924" s="527">
        <f>ROUND(R10928,2)</f>
        <v>26.19</v>
      </c>
      <c r="AN10924" s="528">
        <f>ROUND(T10928,2)</f>
        <v>0</v>
      </c>
      <c r="AO10924" s="529">
        <f>ROUND(AM10924+AN10924,2)*A10924</f>
        <v>26.19</v>
      </c>
      <c r="AR10924" s="747">
        <v>1</v>
      </c>
      <c r="AS10924" s="1146">
        <v>32.17</v>
      </c>
    </row>
    <row r="10925" spans="1:45" s="520" customFormat="1" ht="13.2">
      <c r="A10925" s="748"/>
      <c r="B10925"/>
      <c r="C10925" s="748"/>
      <c r="D10925" s="749" t="s">
        <v>2205</v>
      </c>
      <c r="F10925" s="753"/>
      <c r="G10925" s="3"/>
      <c r="H10925" s="753"/>
      <c r="I10925" s="754"/>
      <c r="J10925" s="753"/>
      <c r="K10925" s="753" t="s">
        <v>144</v>
      </c>
      <c r="L10925" s="753"/>
      <c r="M10925" s="753"/>
      <c r="N10925" s="753"/>
      <c r="O10925" s="753"/>
      <c r="P10925" s="753"/>
      <c r="Q10925" s="51"/>
      <c r="R10925" s="530"/>
      <c r="S10925" s="757"/>
      <c r="T10925" s="753"/>
      <c r="AR10925" s="748"/>
      <c r="AS10925" s="753"/>
    </row>
    <row r="10926" spans="1:45" s="901" customFormat="1" ht="13.2">
      <c r="A10926" s="903">
        <v>1</v>
      </c>
      <c r="B10926" s="904" t="s">
        <v>863</v>
      </c>
      <c r="C10926" s="904"/>
      <c r="D10926" s="904" t="s">
        <v>2594</v>
      </c>
      <c r="E10926" s="904"/>
      <c r="F10926" s="1153" t="s">
        <v>4143</v>
      </c>
      <c r="G10926" s="905" t="s">
        <v>2595</v>
      </c>
      <c r="H10926" s="902">
        <v>960</v>
      </c>
      <c r="I10926" s="904" t="s">
        <v>2596</v>
      </c>
      <c r="J10926" s="904"/>
      <c r="K10926" s="904"/>
      <c r="L10926" s="904"/>
      <c r="M10926" s="904"/>
      <c r="N10926" s="904"/>
      <c r="O10926" s="902">
        <v>4</v>
      </c>
      <c r="P10926" s="906">
        <v>38274</v>
      </c>
      <c r="Q10926" s="1415">
        <f>30*0.873</f>
        <v>26.19</v>
      </c>
      <c r="R10926" s="908">
        <f>$A10926*Q10926</f>
        <v>26.19</v>
      </c>
      <c r="S10926" s="907"/>
      <c r="T10926" s="909">
        <f>$A10926*S10926*$T$1</f>
        <v>0</v>
      </c>
      <c r="AR10926" s="903">
        <v>1</v>
      </c>
      <c r="AS10926" s="1153" t="s">
        <v>3507</v>
      </c>
    </row>
    <row r="10927" spans="1:45" s="520" customFormat="1" ht="12">
      <c r="A10927" s="758"/>
      <c r="B10927" s="758"/>
      <c r="C10927" s="758"/>
      <c r="D10927" s="758"/>
      <c r="E10927" s="758"/>
      <c r="F10927" s="753"/>
      <c r="G10927" s="758"/>
      <c r="H10927" s="758"/>
      <c r="I10927" s="519"/>
      <c r="J10927" s="758"/>
      <c r="K10927" s="758"/>
      <c r="L10927" s="758"/>
      <c r="M10927" s="758"/>
      <c r="N10927" s="758"/>
      <c r="O10927" s="758"/>
      <c r="P10927" s="758"/>
      <c r="Q10927" s="519"/>
      <c r="R10927" s="759">
        <f>$A10927*Q10927</f>
        <v>0</v>
      </c>
      <c r="S10927" s="519"/>
      <c r="T10927" s="760">
        <f>$A10927*S10927*$T$1</f>
        <v>0</v>
      </c>
      <c r="AR10927" s="758"/>
      <c r="AS10927" s="753"/>
    </row>
    <row r="10928" spans="1:45" s="520" customFormat="1" ht="12.6" thickBot="1">
      <c r="A10928" s="761" t="s">
        <v>145</v>
      </c>
      <c r="B10928" s="762">
        <f>(R10927+T10927)</f>
        <v>0</v>
      </c>
      <c r="C10928" s="763"/>
      <c r="D10928" s="763"/>
      <c r="E10928" s="763"/>
      <c r="F10928" s="764"/>
      <c r="G10928" s="763" t="s">
        <v>146</v>
      </c>
      <c r="H10928" s="763"/>
      <c r="I10928" s="765"/>
      <c r="J10928" s="763"/>
      <c r="K10928" s="763" t="s">
        <v>5</v>
      </c>
      <c r="L10928" s="766" t="s">
        <v>143</v>
      </c>
      <c r="M10928" s="766"/>
      <c r="N10928" s="766"/>
      <c r="O10928" s="766"/>
      <c r="P10928" s="766"/>
      <c r="Q10928" s="767"/>
      <c r="R10928" s="768">
        <f>SUM(R10925:R10927)</f>
        <v>26.19</v>
      </c>
      <c r="S10928" s="763"/>
      <c r="T10928" s="768">
        <f>SUM(T10925:T10927)</f>
        <v>0</v>
      </c>
      <c r="U10928" s="531"/>
      <c r="V10928" s="531"/>
      <c r="W10928" s="531"/>
      <c r="X10928" s="531"/>
      <c r="Y10928" s="531"/>
      <c r="Z10928" s="531"/>
      <c r="AA10928" s="531"/>
      <c r="AB10928" s="531"/>
      <c r="AC10928" s="531"/>
      <c r="AD10928" s="531"/>
      <c r="AE10928" s="531"/>
      <c r="AF10928" s="531"/>
      <c r="AG10928" s="531"/>
      <c r="AH10928" s="531"/>
      <c r="AI10928" s="531"/>
      <c r="AJ10928" s="531"/>
      <c r="AK10928" s="531"/>
      <c r="AL10928" s="531"/>
      <c r="AM10928" s="531"/>
      <c r="AN10928" s="531"/>
      <c r="AO10928" s="531"/>
      <c r="AR10928" s="761" t="s">
        <v>145</v>
      </c>
      <c r="AS10928" s="764"/>
    </row>
    <row r="10929" spans="1:45" s="520" customFormat="1" ht="12" thickTop="1">
      <c r="A10929" s="51"/>
      <c r="B10929" s="41"/>
      <c r="C10929" s="51"/>
      <c r="E10929" s="42" t="s">
        <v>138</v>
      </c>
      <c r="F10929" s="42" t="s">
        <v>139</v>
      </c>
      <c r="G10929" s="51"/>
      <c r="H10929" s="51"/>
      <c r="I10929" s="51"/>
      <c r="J10929" s="51"/>
      <c r="K10929" s="51" t="s">
        <v>140</v>
      </c>
      <c r="L10929" s="51"/>
      <c r="M10929" s="51"/>
      <c r="N10929" s="51"/>
      <c r="O10929" s="52"/>
      <c r="P10929" s="51"/>
      <c r="Q10929" s="51"/>
      <c r="R10929" s="51"/>
      <c r="S10929" s="51"/>
      <c r="T10929" s="41"/>
      <c r="AG10929" s="521" t="s">
        <v>268</v>
      </c>
      <c r="AH10929" s="521" t="s">
        <v>269</v>
      </c>
      <c r="AI10929" s="521" t="s">
        <v>270</v>
      </c>
      <c r="AJ10929" s="521" t="s">
        <v>271</v>
      </c>
      <c r="AK10929" s="521" t="s">
        <v>272</v>
      </c>
      <c r="AM10929" s="745" t="s">
        <v>281</v>
      </c>
      <c r="AN10929" s="746" t="s">
        <v>282</v>
      </c>
      <c r="AO10929" s="522" t="s">
        <v>278</v>
      </c>
      <c r="AR10929" s="51"/>
      <c r="AS10929" s="42" t="s">
        <v>139</v>
      </c>
    </row>
    <row r="10930" spans="1:45" s="520" customFormat="1" ht="12" customHeight="1">
      <c r="A10930" s="747">
        <v>1</v>
      </c>
      <c r="B10930" s="523" t="s">
        <v>329</v>
      </c>
      <c r="C10930" s="748"/>
      <c r="D10930" s="749" t="s">
        <v>2533</v>
      </c>
      <c r="E10930" s="1145">
        <f>IF(AND($A10930=0,$A$1="DIF"),0, ROUND(ROUND(($R10934*$S$3+($T10934*$T$3))/$A10930,2)*$C$3,2))</f>
        <v>29.56</v>
      </c>
      <c r="F10930" s="1146">
        <f>ROUND($A10930*$E10930,2)</f>
        <v>29.56</v>
      </c>
      <c r="G10930" s="752" t="s">
        <v>142</v>
      </c>
      <c r="H10930" s="753"/>
      <c r="I10930" s="754"/>
      <c r="J10930" s="753"/>
      <c r="K10930" s="753" t="s">
        <v>5</v>
      </c>
      <c r="L10930" s="755" t="s">
        <v>143</v>
      </c>
      <c r="M10930" s="755"/>
      <c r="N10930" s="755"/>
      <c r="O10930" s="755"/>
      <c r="P10930" s="755"/>
      <c r="Q10930" s="51"/>
      <c r="T10930" s="1150" t="str">
        <f>IF(AND($R10934=0,$T10934=0),"0.00","mu: "&amp; ROUND(F10930/$C$3/($R10934+$T10934*$D$9),2))</f>
        <v>mu: 1.13</v>
      </c>
      <c r="W10930" s="524"/>
      <c r="AG10930" s="1147">
        <f>IF($E10930=0,0,ROUND($R10934*$S$3*$C$3/$A10930,2))</f>
        <v>29.56</v>
      </c>
      <c r="AH10930" s="1147">
        <f>$AG10930*$A10930</f>
        <v>29.56</v>
      </c>
      <c r="AI10930" s="1148">
        <f>$E10930-$AG10930</f>
        <v>0</v>
      </c>
      <c r="AJ10930" s="1148">
        <f>$A10930*$AI10930</f>
        <v>0</v>
      </c>
      <c r="AK10930" s="1149">
        <f>ROUND(($AG10930+$AI10930)*$A10930,2)</f>
        <v>29.56</v>
      </c>
      <c r="AM10930" s="527">
        <f>ROUND(R10934,2)</f>
        <v>26.19</v>
      </c>
      <c r="AN10930" s="528">
        <f>ROUND(T10934,2)</f>
        <v>0</v>
      </c>
      <c r="AO10930" s="529">
        <f>ROUND(AM10930+AN10930,2)*A10930</f>
        <v>26.19</v>
      </c>
      <c r="AR10930" s="747">
        <v>1</v>
      </c>
      <c r="AS10930" s="1146">
        <v>32.17</v>
      </c>
    </row>
    <row r="10931" spans="1:45" s="520" customFormat="1" ht="13.2">
      <c r="A10931" s="748"/>
      <c r="B10931"/>
      <c r="C10931" s="748"/>
      <c r="D10931" s="749" t="s">
        <v>2208</v>
      </c>
      <c r="F10931" s="753"/>
      <c r="G10931" s="3"/>
      <c r="H10931" s="753"/>
      <c r="I10931" s="754"/>
      <c r="J10931" s="753"/>
      <c r="K10931" s="753" t="s">
        <v>144</v>
      </c>
      <c r="L10931" s="753"/>
      <c r="M10931" s="753"/>
      <c r="N10931" s="753"/>
      <c r="O10931" s="753"/>
      <c r="P10931" s="753"/>
      <c r="Q10931" s="51"/>
      <c r="R10931" s="530"/>
      <c r="S10931" s="757"/>
      <c r="T10931" s="753"/>
      <c r="AR10931" s="748"/>
      <c r="AS10931" s="753"/>
    </row>
    <row r="10932" spans="1:45" s="901" customFormat="1" ht="13.2">
      <c r="A10932" s="903">
        <v>1</v>
      </c>
      <c r="B10932" s="904" t="s">
        <v>863</v>
      </c>
      <c r="C10932" s="904"/>
      <c r="D10932" s="904" t="s">
        <v>2594</v>
      </c>
      <c r="E10932" s="904"/>
      <c r="F10932" s="1153" t="s">
        <v>4143</v>
      </c>
      <c r="G10932" s="905" t="s">
        <v>2595</v>
      </c>
      <c r="H10932" s="902">
        <v>960</v>
      </c>
      <c r="I10932" s="904" t="s">
        <v>2596</v>
      </c>
      <c r="J10932" s="904"/>
      <c r="K10932" s="904"/>
      <c r="L10932" s="904"/>
      <c r="M10932" s="904"/>
      <c r="N10932" s="904"/>
      <c r="O10932" s="902">
        <v>4</v>
      </c>
      <c r="P10932" s="906">
        <v>38274</v>
      </c>
      <c r="Q10932" s="1415">
        <f>30*0.873</f>
        <v>26.19</v>
      </c>
      <c r="R10932" s="908">
        <f>$A10932*Q10932</f>
        <v>26.19</v>
      </c>
      <c r="S10932" s="907"/>
      <c r="T10932" s="909">
        <f>$A10932*S10932*$T$1</f>
        <v>0</v>
      </c>
      <c r="AR10932" s="903">
        <v>1</v>
      </c>
      <c r="AS10932" s="1153" t="s">
        <v>3507</v>
      </c>
    </row>
    <row r="10933" spans="1:45" s="520" customFormat="1" ht="12">
      <c r="A10933" s="758"/>
      <c r="B10933" s="758"/>
      <c r="C10933" s="758"/>
      <c r="D10933" s="758"/>
      <c r="E10933" s="758"/>
      <c r="F10933" s="753"/>
      <c r="G10933" s="758"/>
      <c r="H10933" s="758"/>
      <c r="I10933" s="519"/>
      <c r="J10933" s="758"/>
      <c r="K10933" s="758"/>
      <c r="L10933" s="758"/>
      <c r="M10933" s="758"/>
      <c r="N10933" s="758"/>
      <c r="O10933" s="758"/>
      <c r="P10933" s="758"/>
      <c r="Q10933" s="519"/>
      <c r="R10933" s="759">
        <f>$A10933*Q10933</f>
        <v>0</v>
      </c>
      <c r="S10933" s="519"/>
      <c r="T10933" s="760">
        <f>$A10933*S10933*$T$1</f>
        <v>0</v>
      </c>
      <c r="AR10933" s="758"/>
      <c r="AS10933" s="753"/>
    </row>
    <row r="10934" spans="1:45" s="520" customFormat="1" ht="12.6" thickBot="1">
      <c r="A10934" s="761" t="s">
        <v>145</v>
      </c>
      <c r="B10934" s="762">
        <f>(R10933+T10933)</f>
        <v>0</v>
      </c>
      <c r="C10934" s="763"/>
      <c r="D10934" s="763"/>
      <c r="E10934" s="763"/>
      <c r="F10934" s="764"/>
      <c r="G10934" s="763" t="s">
        <v>146</v>
      </c>
      <c r="H10934" s="763"/>
      <c r="I10934" s="765"/>
      <c r="J10934" s="763"/>
      <c r="K10934" s="763" t="s">
        <v>5</v>
      </c>
      <c r="L10934" s="766" t="s">
        <v>143</v>
      </c>
      <c r="M10934" s="766"/>
      <c r="N10934" s="766"/>
      <c r="O10934" s="766"/>
      <c r="P10934" s="766"/>
      <c r="Q10934" s="767"/>
      <c r="R10934" s="768">
        <f>SUM(R10931:R10933)</f>
        <v>26.19</v>
      </c>
      <c r="S10934" s="763"/>
      <c r="T10934" s="768">
        <f>SUM(T10931:T10933)</f>
        <v>0</v>
      </c>
      <c r="U10934" s="531"/>
      <c r="V10934" s="531"/>
      <c r="W10934" s="531"/>
      <c r="X10934" s="531"/>
      <c r="Y10934" s="531"/>
      <c r="Z10934" s="531"/>
      <c r="AA10934" s="531"/>
      <c r="AB10934" s="531"/>
      <c r="AC10934" s="531"/>
      <c r="AD10934" s="531"/>
      <c r="AE10934" s="531"/>
      <c r="AF10934" s="531"/>
      <c r="AG10934" s="531"/>
      <c r="AH10934" s="531"/>
      <c r="AI10934" s="531"/>
      <c r="AJ10934" s="531"/>
      <c r="AK10934" s="531"/>
      <c r="AL10934" s="531"/>
      <c r="AM10934" s="531"/>
      <c r="AN10934" s="531"/>
      <c r="AO10934" s="531"/>
      <c r="AR10934" s="761" t="s">
        <v>145</v>
      </c>
      <c r="AS10934" s="764"/>
    </row>
    <row r="10935" spans="1:45" s="520" customFormat="1" ht="12" thickTop="1">
      <c r="A10935" s="51"/>
      <c r="B10935" s="41"/>
      <c r="C10935" s="51"/>
      <c r="E10935" s="42" t="s">
        <v>138</v>
      </c>
      <c r="F10935" s="42" t="s">
        <v>139</v>
      </c>
      <c r="G10935" s="51"/>
      <c r="H10935" s="51"/>
      <c r="I10935" s="51"/>
      <c r="J10935" s="51"/>
      <c r="K10935" s="51" t="s">
        <v>140</v>
      </c>
      <c r="L10935" s="51"/>
      <c r="M10935" s="51"/>
      <c r="N10935" s="51"/>
      <c r="O10935" s="52"/>
      <c r="P10935" s="51"/>
      <c r="Q10935" s="51"/>
      <c r="R10935" s="51"/>
      <c r="S10935" s="51"/>
      <c r="T10935" s="41"/>
      <c r="AG10935" s="521" t="s">
        <v>268</v>
      </c>
      <c r="AH10935" s="521" t="s">
        <v>269</v>
      </c>
      <c r="AI10935" s="521" t="s">
        <v>270</v>
      </c>
      <c r="AJ10935" s="521" t="s">
        <v>271</v>
      </c>
      <c r="AK10935" s="521" t="s">
        <v>272</v>
      </c>
      <c r="AM10935" s="745" t="s">
        <v>281</v>
      </c>
      <c r="AN10935" s="746" t="s">
        <v>282</v>
      </c>
      <c r="AO10935" s="522" t="s">
        <v>278</v>
      </c>
      <c r="AR10935" s="51"/>
      <c r="AS10935" s="42" t="s">
        <v>139</v>
      </c>
    </row>
    <row r="10936" spans="1:45" s="520" customFormat="1" ht="12" customHeight="1">
      <c r="A10936" s="747">
        <v>1</v>
      </c>
      <c r="B10936" s="523" t="s">
        <v>329</v>
      </c>
      <c r="C10936" s="748"/>
      <c r="D10936" s="749" t="s">
        <v>2534</v>
      </c>
      <c r="E10936" s="1145">
        <f>IF(AND($A10936=0,$A$1="DIF"),0, ROUND(ROUND(($R10940*$S$3+($T10940*$T$3))/$A10936,2)*$C$3,2))</f>
        <v>14.78</v>
      </c>
      <c r="F10936" s="1146">
        <f>ROUND($A10936*$E10936,2)</f>
        <v>14.78</v>
      </c>
      <c r="G10936" s="752" t="s">
        <v>142</v>
      </c>
      <c r="H10936" s="753"/>
      <c r="I10936" s="754"/>
      <c r="J10936" s="753"/>
      <c r="K10936" s="753" t="s">
        <v>5</v>
      </c>
      <c r="L10936" s="755" t="s">
        <v>143</v>
      </c>
      <c r="M10936" s="755"/>
      <c r="N10936" s="755"/>
      <c r="O10936" s="755"/>
      <c r="P10936" s="755"/>
      <c r="Q10936" s="51"/>
      <c r="T10936" s="1150" t="str">
        <f>IF(AND($R10940=0,$T10940=0),"0.00","mu: "&amp; ROUND(F10936/$C$3/($R10940+$T10940*$D$9),2))</f>
        <v>mu: 1.13</v>
      </c>
      <c r="W10936" s="524"/>
      <c r="AG10936" s="1147">
        <f>IF($E10936=0,0,ROUND($R10940*$S$3*$C$3/$A10936,2))</f>
        <v>14.78</v>
      </c>
      <c r="AH10936" s="1147">
        <f>$AG10936*$A10936</f>
        <v>14.78</v>
      </c>
      <c r="AI10936" s="1148">
        <f>$E10936-$AG10936</f>
        <v>0</v>
      </c>
      <c r="AJ10936" s="1148">
        <f>$A10936*$AI10936</f>
        <v>0</v>
      </c>
      <c r="AK10936" s="1149">
        <f>ROUND(($AG10936+$AI10936)*$A10936,2)</f>
        <v>14.78</v>
      </c>
      <c r="AM10936" s="527">
        <f>ROUND(R10940,2)</f>
        <v>13.1</v>
      </c>
      <c r="AN10936" s="528">
        <f>ROUND(T10940,2)</f>
        <v>0</v>
      </c>
      <c r="AO10936" s="529">
        <f>ROUND(AM10936+AN10936,2)*A10936</f>
        <v>13.1</v>
      </c>
      <c r="AR10936" s="747">
        <v>1</v>
      </c>
      <c r="AS10936" s="1146">
        <v>16.079999999999998</v>
      </c>
    </row>
    <row r="10937" spans="1:45" s="520" customFormat="1" ht="14.1" customHeight="1">
      <c r="A10937" s="748"/>
      <c r="B10937"/>
      <c r="C10937" s="748"/>
      <c r="D10937" s="749" t="s">
        <v>2083</v>
      </c>
      <c r="F10937" s="753"/>
      <c r="G10937" s="3"/>
      <c r="H10937" s="753"/>
      <c r="I10937" s="754"/>
      <c r="J10937" s="753"/>
      <c r="K10937" s="753" t="s">
        <v>144</v>
      </c>
      <c r="L10937" s="753"/>
      <c r="M10937" s="753"/>
      <c r="N10937" s="753"/>
      <c r="O10937" s="753"/>
      <c r="P10937" s="753"/>
      <c r="Q10937" s="51"/>
      <c r="R10937" s="530"/>
      <c r="S10937" s="757"/>
      <c r="T10937" s="753"/>
      <c r="AR10937" s="748"/>
      <c r="AS10937" s="753"/>
    </row>
    <row r="10938" spans="1:45" s="901" customFormat="1" ht="13.2">
      <c r="A10938" s="903">
        <v>1</v>
      </c>
      <c r="B10938" s="904" t="s">
        <v>863</v>
      </c>
      <c r="C10938" s="904"/>
      <c r="D10938" s="904" t="s">
        <v>2594</v>
      </c>
      <c r="E10938" s="904"/>
      <c r="F10938" s="1153" t="s">
        <v>4143</v>
      </c>
      <c r="G10938" s="905" t="s">
        <v>2595</v>
      </c>
      <c r="H10938" s="902">
        <v>960</v>
      </c>
      <c r="I10938" s="904" t="s">
        <v>2596</v>
      </c>
      <c r="J10938" s="904"/>
      <c r="K10938" s="904"/>
      <c r="L10938" s="904"/>
      <c r="M10938" s="904"/>
      <c r="N10938" s="904"/>
      <c r="O10938" s="902">
        <v>4</v>
      </c>
      <c r="P10938" s="906">
        <v>38274</v>
      </c>
      <c r="Q10938" s="1415">
        <f>15*0.873</f>
        <v>13.095000000000001</v>
      </c>
      <c r="R10938" s="908">
        <f>$A10938*Q10938</f>
        <v>13.095000000000001</v>
      </c>
      <c r="S10938" s="907"/>
      <c r="T10938" s="909">
        <f>$A10938*S10938*$T$1</f>
        <v>0</v>
      </c>
      <c r="AR10938" s="903">
        <v>1</v>
      </c>
      <c r="AS10938" s="1153" t="s">
        <v>3507</v>
      </c>
    </row>
    <row r="10939" spans="1:45" s="520" customFormat="1" ht="12">
      <c r="A10939" s="758"/>
      <c r="B10939" s="758"/>
      <c r="C10939" s="758"/>
      <c r="D10939" s="758"/>
      <c r="E10939" s="758"/>
      <c r="F10939" s="753"/>
      <c r="G10939" s="758"/>
      <c r="H10939" s="758"/>
      <c r="I10939" s="519"/>
      <c r="J10939" s="758"/>
      <c r="K10939" s="758"/>
      <c r="L10939" s="758"/>
      <c r="M10939" s="758"/>
      <c r="N10939" s="758"/>
      <c r="O10939" s="758"/>
      <c r="P10939" s="758"/>
      <c r="Q10939" s="519"/>
      <c r="R10939" s="759">
        <f>$A10939*Q10939</f>
        <v>0</v>
      </c>
      <c r="S10939" s="519"/>
      <c r="T10939" s="760">
        <f>$A10939*S10939*$T$1</f>
        <v>0</v>
      </c>
      <c r="AR10939" s="758"/>
      <c r="AS10939" s="753"/>
    </row>
    <row r="10940" spans="1:45" s="520" customFormat="1" ht="12.6" thickBot="1">
      <c r="A10940" s="761" t="s">
        <v>145</v>
      </c>
      <c r="B10940" s="762">
        <f>(R10939+T10939)</f>
        <v>0</v>
      </c>
      <c r="C10940" s="763"/>
      <c r="D10940" s="763"/>
      <c r="E10940" s="763"/>
      <c r="F10940" s="764"/>
      <c r="G10940" s="763" t="s">
        <v>146</v>
      </c>
      <c r="H10940" s="763"/>
      <c r="I10940" s="765"/>
      <c r="J10940" s="763"/>
      <c r="K10940" s="763" t="s">
        <v>5</v>
      </c>
      <c r="L10940" s="766" t="s">
        <v>143</v>
      </c>
      <c r="M10940" s="766"/>
      <c r="N10940" s="766"/>
      <c r="O10940" s="766"/>
      <c r="P10940" s="766"/>
      <c r="Q10940" s="767"/>
      <c r="R10940" s="768">
        <f>SUM(R10937:R10939)</f>
        <v>13.095000000000001</v>
      </c>
      <c r="S10940" s="763"/>
      <c r="T10940" s="768">
        <f>SUM(T10937:T10939)</f>
        <v>0</v>
      </c>
      <c r="U10940" s="531"/>
      <c r="V10940" s="531"/>
      <c r="W10940" s="531"/>
      <c r="X10940" s="531"/>
      <c r="Y10940" s="531"/>
      <c r="Z10940" s="531"/>
      <c r="AA10940" s="531"/>
      <c r="AB10940" s="531"/>
      <c r="AC10940" s="531"/>
      <c r="AD10940" s="531"/>
      <c r="AE10940" s="531"/>
      <c r="AF10940" s="531"/>
      <c r="AG10940" s="531"/>
      <c r="AH10940" s="531"/>
      <c r="AI10940" s="531"/>
      <c r="AJ10940" s="531"/>
      <c r="AK10940" s="531"/>
      <c r="AL10940" s="531"/>
      <c r="AM10940" s="531"/>
      <c r="AN10940" s="531"/>
      <c r="AO10940" s="531"/>
      <c r="AR10940" s="761" t="s">
        <v>145</v>
      </c>
      <c r="AS10940" s="764"/>
    </row>
    <row r="10941" spans="1:45" s="520" customFormat="1" thickTop="1">
      <c r="A10941" s="51"/>
      <c r="B10941" s="51"/>
      <c r="C10941" s="3"/>
      <c r="D10941" s="3"/>
      <c r="E10941" s="51"/>
      <c r="F10941" s="51"/>
      <c r="G10941" s="51"/>
      <c r="H10941" s="51"/>
      <c r="I10941" s="51"/>
      <c r="J10941" s="51"/>
      <c r="K10941" s="51" t="s">
        <v>134</v>
      </c>
      <c r="L10941" s="51"/>
      <c r="M10941" s="51"/>
      <c r="N10941" s="51"/>
      <c r="O10941" s="52"/>
      <c r="P10941" s="51"/>
      <c r="Q10941" s="51"/>
      <c r="R10941" s="51"/>
      <c r="S10941" s="51"/>
      <c r="T10941" s="51"/>
      <c r="AR10941" s="51"/>
      <c r="AS10941" s="51"/>
    </row>
    <row r="10942" spans="1:45" s="520" customFormat="1" ht="12">
      <c r="A10942" s="51"/>
      <c r="B10942" s="51"/>
      <c r="C10942" s="51" t="s">
        <v>135</v>
      </c>
      <c r="D10942" s="37"/>
      <c r="E10942" s="51"/>
      <c r="F10942" s="51"/>
      <c r="G10942" s="51"/>
      <c r="H10942" s="51"/>
      <c r="I10942" s="51"/>
      <c r="J10942" s="51"/>
      <c r="K10942" s="51"/>
      <c r="L10942" s="51"/>
      <c r="M10942" s="51"/>
      <c r="N10942" s="51"/>
      <c r="O10942" s="52"/>
      <c r="P10942" s="51"/>
      <c r="Q10942" s="51"/>
      <c r="R10942" s="51"/>
      <c r="S10942" s="51"/>
      <c r="T10942" s="51"/>
      <c r="AR10942" s="51"/>
      <c r="AS10942" s="51"/>
    </row>
    <row r="10943" spans="1:45" s="520" customFormat="1" ht="12">
      <c r="A10943" s="51"/>
      <c r="B10943" s="51"/>
      <c r="C10943" s="51"/>
      <c r="D10943" s="37" t="s">
        <v>2186</v>
      </c>
      <c r="E10943" s="51"/>
      <c r="F10943" s="51"/>
      <c r="G10943" s="51"/>
      <c r="H10943" s="51"/>
      <c r="I10943" s="51"/>
      <c r="J10943" s="51"/>
      <c r="K10943" s="51"/>
      <c r="L10943" s="51"/>
      <c r="M10943" s="51"/>
      <c r="N10943" s="51"/>
      <c r="O10943" s="52"/>
      <c r="P10943" s="51"/>
      <c r="Q10943" s="51"/>
      <c r="R10943" s="51"/>
      <c r="S10943" s="38"/>
      <c r="T10943" s="38"/>
      <c r="AR10943" s="51"/>
      <c r="AS10943" s="51"/>
    </row>
    <row r="10944" spans="1:45" s="3" customFormat="1" thickBot="1">
      <c r="A10944" s="531"/>
      <c r="O10944" s="107"/>
      <c r="AR10944" s="531"/>
    </row>
    <row r="10945" spans="1:45" s="520" customFormat="1" ht="12" thickTop="1">
      <c r="A10945" s="51"/>
      <c r="B10945" s="41"/>
      <c r="C10945" s="51"/>
      <c r="E10945" s="42" t="s">
        <v>138</v>
      </c>
      <c r="F10945" s="42" t="s">
        <v>139</v>
      </c>
      <c r="G10945" s="51"/>
      <c r="H10945" s="51"/>
      <c r="I10945" s="51"/>
      <c r="J10945" s="51"/>
      <c r="K10945" s="51" t="s">
        <v>140</v>
      </c>
      <c r="L10945" s="51"/>
      <c r="M10945" s="51"/>
      <c r="N10945" s="51"/>
      <c r="O10945" s="52"/>
      <c r="P10945" s="51"/>
      <c r="Q10945" s="51"/>
      <c r="R10945" s="51"/>
      <c r="S10945" s="51"/>
      <c r="T10945" s="41"/>
      <c r="AG10945" s="521" t="s">
        <v>268</v>
      </c>
      <c r="AH10945" s="521" t="s">
        <v>269</v>
      </c>
      <c r="AI10945" s="521" t="s">
        <v>270</v>
      </c>
      <c r="AJ10945" s="521" t="s">
        <v>271</v>
      </c>
      <c r="AK10945" s="521" t="s">
        <v>272</v>
      </c>
      <c r="AM10945" s="745" t="s">
        <v>281</v>
      </c>
      <c r="AN10945" s="746" t="s">
        <v>282</v>
      </c>
      <c r="AO10945" s="522" t="s">
        <v>278</v>
      </c>
      <c r="AR10945" s="51"/>
      <c r="AS10945" s="42" t="s">
        <v>139</v>
      </c>
    </row>
    <row r="10946" spans="1:45" s="520" customFormat="1" ht="12" customHeight="1">
      <c r="A10946" s="747">
        <v>1</v>
      </c>
      <c r="B10946" s="523" t="s">
        <v>329</v>
      </c>
      <c r="C10946" s="748"/>
      <c r="D10946" s="749" t="s">
        <v>2535</v>
      </c>
      <c r="E10946" s="1145">
        <f>IF(AND($A10946=0,$A$1="DIF"),0, ROUND(ROUND(($R10950*$S$3+($T10950*$T$3))/$A10946,2)*$C$3,2))</f>
        <v>44.34</v>
      </c>
      <c r="F10946" s="1146">
        <f>ROUND($A10946*$E10946,2)</f>
        <v>44.34</v>
      </c>
      <c r="G10946" s="752" t="s">
        <v>142</v>
      </c>
      <c r="H10946" s="753"/>
      <c r="I10946" s="754"/>
      <c r="J10946" s="753"/>
      <c r="K10946" s="753" t="s">
        <v>5</v>
      </c>
      <c r="L10946" s="755" t="s">
        <v>143</v>
      </c>
      <c r="M10946" s="755"/>
      <c r="N10946" s="755"/>
      <c r="O10946" s="755"/>
      <c r="P10946" s="755"/>
      <c r="Q10946" s="51"/>
      <c r="T10946" s="1150" t="str">
        <f>IF(AND($R10950=0,$T10950=0),"0.00","mu: "&amp; ROUND(F10946/$C$3/($R10950+$T10950*$D$9),2))</f>
        <v>mu: 1.13</v>
      </c>
      <c r="W10946" s="524"/>
      <c r="AG10946" s="1147">
        <f>IF($E10946=0,0,ROUND($R10950*$S$3*$C$3/$A10946,2))</f>
        <v>44.34</v>
      </c>
      <c r="AH10946" s="1147">
        <f>$AG10946*$A10946</f>
        <v>44.34</v>
      </c>
      <c r="AI10946" s="1148">
        <f>$E10946-$AG10946</f>
        <v>0</v>
      </c>
      <c r="AJ10946" s="1148">
        <f>$A10946*$AI10946</f>
        <v>0</v>
      </c>
      <c r="AK10946" s="1149">
        <f>ROUND(($AG10946+$AI10946)*$A10946,2)</f>
        <v>44.34</v>
      </c>
      <c r="AM10946" s="527">
        <f>ROUND(R10950,2)</f>
        <v>39.29</v>
      </c>
      <c r="AN10946" s="528">
        <f>ROUND(T10950,2)</f>
        <v>0</v>
      </c>
      <c r="AO10946" s="529">
        <f>ROUND(AM10946+AN10946,2)*A10946</f>
        <v>39.29</v>
      </c>
      <c r="AR10946" s="747">
        <v>1</v>
      </c>
      <c r="AS10946" s="1146">
        <v>48.25</v>
      </c>
    </row>
    <row r="10947" spans="1:45" s="520" customFormat="1" ht="13.2">
      <c r="A10947" s="748"/>
      <c r="B10947"/>
      <c r="C10947" s="748"/>
      <c r="D10947" s="749" t="s">
        <v>2205</v>
      </c>
      <c r="F10947" s="753"/>
      <c r="G10947" s="3"/>
      <c r="H10947" s="753"/>
      <c r="I10947" s="754"/>
      <c r="J10947" s="753"/>
      <c r="K10947" s="753" t="s">
        <v>144</v>
      </c>
      <c r="L10947" s="753"/>
      <c r="M10947" s="753"/>
      <c r="N10947" s="753"/>
      <c r="O10947" s="753"/>
      <c r="P10947" s="753"/>
      <c r="Q10947" s="51"/>
      <c r="R10947" s="530"/>
      <c r="S10947" s="757"/>
      <c r="T10947" s="753"/>
      <c r="AR10947" s="748"/>
      <c r="AS10947" s="753"/>
    </row>
    <row r="10948" spans="1:45" s="901" customFormat="1" ht="13.2">
      <c r="A10948" s="903">
        <v>1</v>
      </c>
      <c r="B10948" s="904" t="s">
        <v>863</v>
      </c>
      <c r="C10948" s="904"/>
      <c r="D10948" s="904" t="s">
        <v>2594</v>
      </c>
      <c r="E10948" s="904"/>
      <c r="F10948" s="1153" t="s">
        <v>4143</v>
      </c>
      <c r="G10948" s="905" t="s">
        <v>2595</v>
      </c>
      <c r="H10948" s="902">
        <v>960</v>
      </c>
      <c r="I10948" s="904" t="s">
        <v>2596</v>
      </c>
      <c r="J10948" s="904"/>
      <c r="K10948" s="904"/>
      <c r="L10948" s="904"/>
      <c r="M10948" s="904"/>
      <c r="N10948" s="904"/>
      <c r="O10948" s="902">
        <v>4</v>
      </c>
      <c r="P10948" s="906">
        <v>38274</v>
      </c>
      <c r="Q10948" s="1415">
        <f>45*0.873</f>
        <v>39.284999999999997</v>
      </c>
      <c r="R10948" s="908">
        <f>$A10948*Q10948</f>
        <v>39.284999999999997</v>
      </c>
      <c r="S10948" s="907"/>
      <c r="T10948" s="909">
        <f>$A10948*S10948*$T$1</f>
        <v>0</v>
      </c>
      <c r="AR10948" s="903">
        <v>1</v>
      </c>
      <c r="AS10948" s="1153" t="s">
        <v>3507</v>
      </c>
    </row>
    <row r="10949" spans="1:45" s="520" customFormat="1" ht="12">
      <c r="A10949" s="758"/>
      <c r="B10949" s="758"/>
      <c r="C10949" s="758"/>
      <c r="D10949" s="758"/>
      <c r="E10949" s="758"/>
      <c r="F10949" s="753"/>
      <c r="G10949" s="758"/>
      <c r="H10949" s="758"/>
      <c r="I10949" s="519"/>
      <c r="J10949" s="758"/>
      <c r="K10949" s="758"/>
      <c r="L10949" s="758"/>
      <c r="M10949" s="758"/>
      <c r="N10949" s="758"/>
      <c r="O10949" s="758"/>
      <c r="P10949" s="758"/>
      <c r="Q10949" s="519"/>
      <c r="R10949" s="759">
        <f>$A10949*Q10949</f>
        <v>0</v>
      </c>
      <c r="S10949" s="519"/>
      <c r="T10949" s="760">
        <f>$A10949*S10949*$T$1</f>
        <v>0</v>
      </c>
      <c r="AR10949" s="758"/>
      <c r="AS10949" s="753"/>
    </row>
    <row r="10950" spans="1:45" s="520" customFormat="1" ht="12.6" thickBot="1">
      <c r="A10950" s="761" t="s">
        <v>145</v>
      </c>
      <c r="B10950" s="762">
        <f>(R10949+T10949)</f>
        <v>0</v>
      </c>
      <c r="C10950" s="763"/>
      <c r="D10950" s="763"/>
      <c r="E10950" s="763"/>
      <c r="F10950" s="764"/>
      <c r="G10950" s="763" t="s">
        <v>146</v>
      </c>
      <c r="H10950" s="763"/>
      <c r="I10950" s="765"/>
      <c r="J10950" s="763"/>
      <c r="K10950" s="763" t="s">
        <v>5</v>
      </c>
      <c r="L10950" s="766" t="s">
        <v>143</v>
      </c>
      <c r="M10950" s="766"/>
      <c r="N10950" s="766"/>
      <c r="O10950" s="766"/>
      <c r="P10950" s="766"/>
      <c r="Q10950" s="767"/>
      <c r="R10950" s="768">
        <f>SUM(R10947:R10949)</f>
        <v>39.284999999999997</v>
      </c>
      <c r="S10950" s="763"/>
      <c r="T10950" s="768">
        <f>SUM(T10947:T10949)</f>
        <v>0</v>
      </c>
      <c r="U10950" s="531"/>
      <c r="V10950" s="531"/>
      <c r="W10950" s="531"/>
      <c r="X10950" s="531"/>
      <c r="Y10950" s="531"/>
      <c r="Z10950" s="531"/>
      <c r="AA10950" s="531"/>
      <c r="AB10950" s="531"/>
      <c r="AC10950" s="531"/>
      <c r="AD10950" s="531"/>
      <c r="AE10950" s="531"/>
      <c r="AF10950" s="531"/>
      <c r="AG10950" s="531"/>
      <c r="AH10950" s="531"/>
      <c r="AI10950" s="531"/>
      <c r="AJ10950" s="531"/>
      <c r="AK10950" s="531"/>
      <c r="AL10950" s="531"/>
      <c r="AM10950" s="531"/>
      <c r="AN10950" s="531"/>
      <c r="AO10950" s="531"/>
      <c r="AR10950" s="761" t="s">
        <v>145</v>
      </c>
      <c r="AS10950" s="764"/>
    </row>
    <row r="10951" spans="1:45" s="520" customFormat="1" ht="12" thickTop="1">
      <c r="A10951" s="51"/>
      <c r="B10951" s="41"/>
      <c r="C10951" s="51"/>
      <c r="E10951" s="42" t="s">
        <v>138</v>
      </c>
      <c r="F10951" s="42" t="s">
        <v>139</v>
      </c>
      <c r="G10951" s="51"/>
      <c r="H10951" s="51"/>
      <c r="I10951" s="51"/>
      <c r="J10951" s="51"/>
      <c r="K10951" s="51" t="s">
        <v>140</v>
      </c>
      <c r="L10951" s="51"/>
      <c r="M10951" s="51"/>
      <c r="N10951" s="51"/>
      <c r="O10951" s="52"/>
      <c r="P10951" s="51"/>
      <c r="Q10951" s="51"/>
      <c r="R10951" s="51"/>
      <c r="S10951" s="51"/>
      <c r="T10951" s="41"/>
      <c r="AG10951" s="521" t="s">
        <v>268</v>
      </c>
      <c r="AH10951" s="521" t="s">
        <v>269</v>
      </c>
      <c r="AI10951" s="521" t="s">
        <v>270</v>
      </c>
      <c r="AJ10951" s="521" t="s">
        <v>271</v>
      </c>
      <c r="AK10951" s="521" t="s">
        <v>272</v>
      </c>
      <c r="AM10951" s="745" t="s">
        <v>281</v>
      </c>
      <c r="AN10951" s="746" t="s">
        <v>282</v>
      </c>
      <c r="AO10951" s="522" t="s">
        <v>278</v>
      </c>
      <c r="AR10951" s="51"/>
      <c r="AS10951" s="42" t="s">
        <v>139</v>
      </c>
    </row>
    <row r="10952" spans="1:45" s="520" customFormat="1" ht="12" customHeight="1">
      <c r="A10952" s="747">
        <v>1</v>
      </c>
      <c r="B10952" s="523" t="s">
        <v>329</v>
      </c>
      <c r="C10952" s="748"/>
      <c r="D10952" s="749" t="s">
        <v>2536</v>
      </c>
      <c r="E10952" s="1145">
        <f>IF(AND($A10952=0,$A$1="DIF"),0, ROUND(ROUND(($R10956*$S$3+($T10956*$T$3))/$A10952,2)*$C$3,2))</f>
        <v>142.88</v>
      </c>
      <c r="F10952" s="1146">
        <f>ROUND($A10952*$E10952,2)</f>
        <v>142.88</v>
      </c>
      <c r="G10952" s="752" t="s">
        <v>142</v>
      </c>
      <c r="H10952" s="753"/>
      <c r="I10952" s="754"/>
      <c r="J10952" s="753"/>
      <c r="K10952" s="753" t="s">
        <v>5</v>
      </c>
      <c r="L10952" s="755" t="s">
        <v>143</v>
      </c>
      <c r="M10952" s="755"/>
      <c r="N10952" s="755"/>
      <c r="O10952" s="755"/>
      <c r="P10952" s="755"/>
      <c r="Q10952" s="51"/>
      <c r="T10952" s="1150" t="str">
        <f>IF(AND($R10956=0,$T10956=0),"0.00","mu: "&amp; ROUND(F10952/$C$3/($R10956+$T10956*$D$9),2))</f>
        <v>mu: 1.13</v>
      </c>
      <c r="W10952" s="524"/>
      <c r="AG10952" s="1147">
        <f>IF($E10952=0,0,ROUND($R10956*$S$3*$C$3/$A10952,2))</f>
        <v>142.88</v>
      </c>
      <c r="AH10952" s="1147">
        <f>$AG10952*$A10952</f>
        <v>142.88</v>
      </c>
      <c r="AI10952" s="1148">
        <f>$E10952-$AG10952</f>
        <v>0</v>
      </c>
      <c r="AJ10952" s="1148">
        <f>$A10952*$AI10952</f>
        <v>0</v>
      </c>
      <c r="AK10952" s="1149">
        <f>ROUND(($AG10952+$AI10952)*$A10952,2)</f>
        <v>142.88</v>
      </c>
      <c r="AM10952" s="527">
        <f>ROUND(R10956,2)</f>
        <v>126.59</v>
      </c>
      <c r="AN10952" s="528">
        <f>ROUND(T10956,2)</f>
        <v>0</v>
      </c>
      <c r="AO10952" s="529">
        <f>ROUND(AM10952+AN10952,2)*A10952</f>
        <v>126.59</v>
      </c>
      <c r="AR10952" s="747">
        <v>1</v>
      </c>
      <c r="AS10952" s="1146">
        <v>155.47999999999999</v>
      </c>
    </row>
    <row r="10953" spans="1:45" s="520" customFormat="1" ht="13.2">
      <c r="A10953" s="748"/>
      <c r="B10953"/>
      <c r="C10953" s="748"/>
      <c r="D10953" s="749" t="s">
        <v>2208</v>
      </c>
      <c r="F10953" s="753"/>
      <c r="G10953" s="3"/>
      <c r="H10953" s="753"/>
      <c r="I10953" s="754"/>
      <c r="J10953" s="753"/>
      <c r="K10953" s="753" t="s">
        <v>144</v>
      </c>
      <c r="L10953" s="753"/>
      <c r="M10953" s="753"/>
      <c r="N10953" s="753"/>
      <c r="O10953" s="753"/>
      <c r="P10953" s="753"/>
      <c r="Q10953" s="51"/>
      <c r="R10953" s="530"/>
      <c r="S10953" s="757"/>
      <c r="T10953" s="753"/>
      <c r="AR10953" s="748"/>
      <c r="AS10953" s="753"/>
    </row>
    <row r="10954" spans="1:45" s="901" customFormat="1" ht="13.2">
      <c r="A10954" s="903">
        <v>1</v>
      </c>
      <c r="B10954" s="904" t="s">
        <v>863</v>
      </c>
      <c r="C10954" s="904"/>
      <c r="D10954" s="904" t="s">
        <v>2594</v>
      </c>
      <c r="E10954" s="904"/>
      <c r="F10954" s="1153" t="s">
        <v>4143</v>
      </c>
      <c r="G10954" s="905" t="s">
        <v>2595</v>
      </c>
      <c r="H10954" s="902">
        <v>960</v>
      </c>
      <c r="I10954" s="904" t="s">
        <v>2596</v>
      </c>
      <c r="J10954" s="904"/>
      <c r="K10954" s="904"/>
      <c r="L10954" s="904"/>
      <c r="M10954" s="904"/>
      <c r="N10954" s="904"/>
      <c r="O10954" s="902">
        <v>4</v>
      </c>
      <c r="P10954" s="906">
        <v>38274</v>
      </c>
      <c r="Q10954" s="1415">
        <f>145*0.873</f>
        <v>126.58499999999999</v>
      </c>
      <c r="R10954" s="908">
        <f>$A10954*Q10954</f>
        <v>126.58499999999999</v>
      </c>
      <c r="S10954" s="907"/>
      <c r="T10954" s="909">
        <f>$A10954*S10954*$T$1</f>
        <v>0</v>
      </c>
      <c r="AR10954" s="903">
        <v>1</v>
      </c>
      <c r="AS10954" s="1153" t="s">
        <v>3507</v>
      </c>
    </row>
    <row r="10955" spans="1:45" s="520" customFormat="1" ht="12">
      <c r="A10955" s="758"/>
      <c r="B10955" s="758"/>
      <c r="C10955" s="758"/>
      <c r="D10955" s="758"/>
      <c r="E10955" s="758"/>
      <c r="F10955" s="753"/>
      <c r="G10955" s="758"/>
      <c r="H10955" s="758"/>
      <c r="I10955" s="519"/>
      <c r="J10955" s="758"/>
      <c r="K10955" s="758"/>
      <c r="L10955" s="758"/>
      <c r="M10955" s="758"/>
      <c r="N10955" s="758"/>
      <c r="O10955" s="758"/>
      <c r="P10955" s="758"/>
      <c r="Q10955" s="519"/>
      <c r="R10955" s="759">
        <f>$A10955*Q10955</f>
        <v>0</v>
      </c>
      <c r="S10955" s="519"/>
      <c r="T10955" s="760">
        <f>$A10955*S10955*$T$1</f>
        <v>0</v>
      </c>
      <c r="AR10955" s="758"/>
      <c r="AS10955" s="753"/>
    </row>
    <row r="10956" spans="1:45" s="520" customFormat="1" ht="12.6" thickBot="1">
      <c r="A10956" s="761" t="s">
        <v>145</v>
      </c>
      <c r="B10956" s="762">
        <f>(R10955+T10955)</f>
        <v>0</v>
      </c>
      <c r="C10956" s="763"/>
      <c r="D10956" s="763"/>
      <c r="E10956" s="763"/>
      <c r="F10956" s="764"/>
      <c r="G10956" s="763" t="s">
        <v>146</v>
      </c>
      <c r="H10956" s="763"/>
      <c r="I10956" s="765"/>
      <c r="J10956" s="763"/>
      <c r="K10956" s="763" t="s">
        <v>5</v>
      </c>
      <c r="L10956" s="766" t="s">
        <v>143</v>
      </c>
      <c r="M10956" s="766"/>
      <c r="N10956" s="766"/>
      <c r="O10956" s="766"/>
      <c r="P10956" s="766"/>
      <c r="Q10956" s="767"/>
      <c r="R10956" s="768">
        <f>SUM(R10953:R10955)</f>
        <v>126.58499999999999</v>
      </c>
      <c r="S10956" s="763"/>
      <c r="T10956" s="768">
        <f>SUM(T10953:T10955)</f>
        <v>0</v>
      </c>
      <c r="U10956" s="531"/>
      <c r="V10956" s="531"/>
      <c r="W10956" s="531"/>
      <c r="X10956" s="531"/>
      <c r="Y10956" s="531"/>
      <c r="Z10956" s="531"/>
      <c r="AA10956" s="531"/>
      <c r="AB10956" s="531"/>
      <c r="AC10956" s="531"/>
      <c r="AD10956" s="531"/>
      <c r="AE10956" s="531"/>
      <c r="AF10956" s="531"/>
      <c r="AG10956" s="531"/>
      <c r="AH10956" s="531"/>
      <c r="AI10956" s="531"/>
      <c r="AJ10956" s="531"/>
      <c r="AK10956" s="531"/>
      <c r="AL10956" s="531"/>
      <c r="AM10956" s="531"/>
      <c r="AN10956" s="531"/>
      <c r="AO10956" s="531"/>
      <c r="AR10956" s="761" t="s">
        <v>145</v>
      </c>
      <c r="AS10956" s="764"/>
    </row>
    <row r="10957" spans="1:45" s="520" customFormat="1" ht="12" thickTop="1">
      <c r="A10957" s="51"/>
      <c r="B10957" s="41"/>
      <c r="C10957" s="51"/>
      <c r="E10957" s="42" t="s">
        <v>138</v>
      </c>
      <c r="F10957" s="42" t="s">
        <v>139</v>
      </c>
      <c r="G10957" s="51"/>
      <c r="H10957" s="51"/>
      <c r="I10957" s="51"/>
      <c r="J10957" s="51"/>
      <c r="K10957" s="51" t="s">
        <v>140</v>
      </c>
      <c r="L10957" s="51"/>
      <c r="M10957" s="51"/>
      <c r="N10957" s="51"/>
      <c r="O10957" s="52"/>
      <c r="P10957" s="51"/>
      <c r="Q10957" s="51"/>
      <c r="R10957" s="51"/>
      <c r="S10957" s="51"/>
      <c r="T10957" s="41"/>
      <c r="AG10957" s="521" t="s">
        <v>268</v>
      </c>
      <c r="AH10957" s="521" t="s">
        <v>269</v>
      </c>
      <c r="AI10957" s="521" t="s">
        <v>270</v>
      </c>
      <c r="AJ10957" s="521" t="s">
        <v>271</v>
      </c>
      <c r="AK10957" s="521" t="s">
        <v>272</v>
      </c>
      <c r="AM10957" s="745" t="s">
        <v>281</v>
      </c>
      <c r="AN10957" s="746" t="s">
        <v>282</v>
      </c>
      <c r="AO10957" s="522" t="s">
        <v>278</v>
      </c>
      <c r="AR10957" s="51"/>
      <c r="AS10957" s="42" t="s">
        <v>139</v>
      </c>
    </row>
    <row r="10958" spans="1:45" s="520" customFormat="1" ht="12" customHeight="1">
      <c r="A10958" s="747">
        <v>1</v>
      </c>
      <c r="B10958" s="523" t="s">
        <v>329</v>
      </c>
      <c r="C10958" s="748"/>
      <c r="D10958" s="749" t="s">
        <v>2537</v>
      </c>
      <c r="E10958" s="1145">
        <f>IF(AND($A10958=0,$A$1="DIF"),0, ROUND(ROUND(($R10962*$S$3+($T10962*$T$3))/$A10958,2)*$C$3,2))</f>
        <v>147.81</v>
      </c>
      <c r="F10958" s="1146">
        <f>ROUND($A10958*$E10958,2)</f>
        <v>147.81</v>
      </c>
      <c r="G10958" s="752" t="s">
        <v>142</v>
      </c>
      <c r="H10958" s="753"/>
      <c r="I10958" s="754"/>
      <c r="J10958" s="753"/>
      <c r="K10958" s="753" t="s">
        <v>5</v>
      </c>
      <c r="L10958" s="755" t="s">
        <v>143</v>
      </c>
      <c r="M10958" s="755"/>
      <c r="N10958" s="755"/>
      <c r="O10958" s="755"/>
      <c r="P10958" s="755"/>
      <c r="Q10958" s="51"/>
      <c r="T10958" s="1150" t="str">
        <f>IF(AND($R10962=0,$T10962=0),"0.00","mu: "&amp; ROUND(F10958/$C$3/($R10962+$T10962*$D$9),2))</f>
        <v>mu: 1.13</v>
      </c>
      <c r="W10958" s="524"/>
      <c r="AG10958" s="1147">
        <f>IF($E10958=0,0,ROUND($R10962*$S$3*$C$3/$A10958,2))</f>
        <v>147.81</v>
      </c>
      <c r="AH10958" s="1147">
        <f>$AG10958*$A10958</f>
        <v>147.81</v>
      </c>
      <c r="AI10958" s="1148">
        <f>$E10958-$AG10958</f>
        <v>0</v>
      </c>
      <c r="AJ10958" s="1148">
        <f>$A10958*$AI10958</f>
        <v>0</v>
      </c>
      <c r="AK10958" s="1149">
        <f>ROUND(($AG10958+$AI10958)*$A10958,2)</f>
        <v>147.81</v>
      </c>
      <c r="AM10958" s="527">
        <f>ROUND(R10962,2)</f>
        <v>130.94999999999999</v>
      </c>
      <c r="AN10958" s="528">
        <f>ROUND(T10962,2)</f>
        <v>0</v>
      </c>
      <c r="AO10958" s="529">
        <f>ROUND(AM10958+AN10958,2)*A10958</f>
        <v>130.94999999999999</v>
      </c>
      <c r="AR10958" s="747">
        <v>1</v>
      </c>
      <c r="AS10958" s="1146">
        <v>160.84</v>
      </c>
    </row>
    <row r="10959" spans="1:45" s="520" customFormat="1" ht="13.2">
      <c r="A10959" s="748"/>
      <c r="B10959"/>
      <c r="C10959" s="748"/>
      <c r="D10959" s="749" t="s">
        <v>2083</v>
      </c>
      <c r="F10959" s="753"/>
      <c r="G10959" s="3"/>
      <c r="H10959" s="753"/>
      <c r="I10959" s="754"/>
      <c r="J10959" s="753"/>
      <c r="K10959" s="753" t="s">
        <v>144</v>
      </c>
      <c r="L10959" s="753"/>
      <c r="M10959" s="753"/>
      <c r="N10959" s="753"/>
      <c r="O10959" s="753"/>
      <c r="P10959" s="753"/>
      <c r="Q10959" s="51"/>
      <c r="R10959" s="530"/>
      <c r="S10959" s="757"/>
      <c r="T10959" s="753"/>
      <c r="AR10959" s="748"/>
      <c r="AS10959" s="753"/>
    </row>
    <row r="10960" spans="1:45" s="901" customFormat="1" ht="13.2">
      <c r="A10960" s="903">
        <v>1</v>
      </c>
      <c r="B10960" s="904" t="s">
        <v>863</v>
      </c>
      <c r="C10960" s="904"/>
      <c r="D10960" s="904" t="s">
        <v>2594</v>
      </c>
      <c r="E10960" s="904"/>
      <c r="F10960" s="1153" t="s">
        <v>4143</v>
      </c>
      <c r="G10960" s="905" t="s">
        <v>2595</v>
      </c>
      <c r="H10960" s="902">
        <v>960</v>
      </c>
      <c r="I10960" s="904" t="s">
        <v>2596</v>
      </c>
      <c r="J10960" s="904"/>
      <c r="K10960" s="904"/>
      <c r="L10960" s="904"/>
      <c r="M10960" s="904"/>
      <c r="N10960" s="904"/>
      <c r="O10960" s="902">
        <v>4</v>
      </c>
      <c r="P10960" s="906">
        <v>38274</v>
      </c>
      <c r="Q10960" s="1415">
        <f>150*0.873</f>
        <v>130.94999999999999</v>
      </c>
      <c r="R10960" s="908">
        <f>$A10960*Q10960</f>
        <v>130.94999999999999</v>
      </c>
      <c r="S10960" s="907"/>
      <c r="T10960" s="909">
        <f>$A10960*S10960*$T$1</f>
        <v>0</v>
      </c>
      <c r="AR10960" s="903">
        <v>1</v>
      </c>
      <c r="AS10960" s="1153" t="s">
        <v>3507</v>
      </c>
    </row>
    <row r="10961" spans="1:45" s="520" customFormat="1" ht="12">
      <c r="A10961" s="758"/>
      <c r="B10961" s="758"/>
      <c r="C10961" s="758"/>
      <c r="D10961" s="758"/>
      <c r="E10961" s="758"/>
      <c r="F10961" s="753"/>
      <c r="G10961" s="758"/>
      <c r="H10961" s="758"/>
      <c r="I10961" s="519"/>
      <c r="J10961" s="758"/>
      <c r="K10961" s="758"/>
      <c r="L10961" s="758"/>
      <c r="M10961" s="758"/>
      <c r="N10961" s="758"/>
      <c r="O10961" s="758"/>
      <c r="P10961" s="758"/>
      <c r="Q10961" s="519"/>
      <c r="R10961" s="759">
        <f>$A10961*Q10961</f>
        <v>0</v>
      </c>
      <c r="S10961" s="519"/>
      <c r="T10961" s="760">
        <f>$A10961*S10961*$T$1</f>
        <v>0</v>
      </c>
      <c r="AR10961" s="758"/>
      <c r="AS10961" s="753"/>
    </row>
    <row r="10962" spans="1:45" s="520" customFormat="1" ht="12.6" thickBot="1">
      <c r="A10962" s="761" t="s">
        <v>145</v>
      </c>
      <c r="B10962" s="762">
        <f>(R10961+T10961)</f>
        <v>0</v>
      </c>
      <c r="C10962" s="763"/>
      <c r="D10962" s="763"/>
      <c r="E10962" s="763"/>
      <c r="F10962" s="764"/>
      <c r="G10962" s="763" t="s">
        <v>146</v>
      </c>
      <c r="H10962" s="763"/>
      <c r="I10962" s="765"/>
      <c r="J10962" s="763"/>
      <c r="K10962" s="763" t="s">
        <v>5</v>
      </c>
      <c r="L10962" s="766" t="s">
        <v>143</v>
      </c>
      <c r="M10962" s="766"/>
      <c r="N10962" s="766"/>
      <c r="O10962" s="766"/>
      <c r="P10962" s="766"/>
      <c r="Q10962" s="767"/>
      <c r="R10962" s="768">
        <f>SUM(R10959:R10961)</f>
        <v>130.94999999999999</v>
      </c>
      <c r="S10962" s="763"/>
      <c r="T10962" s="768">
        <f>SUM(T10959:T10961)</f>
        <v>0</v>
      </c>
      <c r="U10962" s="531"/>
      <c r="V10962" s="531"/>
      <c r="W10962" s="531"/>
      <c r="X10962" s="531"/>
      <c r="Y10962" s="531"/>
      <c r="Z10962" s="531"/>
      <c r="AA10962" s="531"/>
      <c r="AB10962" s="531"/>
      <c r="AC10962" s="531"/>
      <c r="AD10962" s="531"/>
      <c r="AE10962" s="531"/>
      <c r="AF10962" s="531"/>
      <c r="AG10962" s="531"/>
      <c r="AH10962" s="531"/>
      <c r="AI10962" s="531"/>
      <c r="AJ10962" s="531"/>
      <c r="AK10962" s="531"/>
      <c r="AL10962" s="531"/>
      <c r="AM10962" s="531"/>
      <c r="AN10962" s="531"/>
      <c r="AO10962" s="531"/>
      <c r="AR10962" s="761" t="s">
        <v>145</v>
      </c>
      <c r="AS10962" s="764"/>
    </row>
    <row r="10963" spans="1:45" s="520" customFormat="1" ht="12" thickTop="1">
      <c r="A10963" s="51"/>
      <c r="B10963" s="41"/>
      <c r="C10963" s="51"/>
      <c r="E10963" s="42" t="s">
        <v>138</v>
      </c>
      <c r="F10963" s="42" t="s">
        <v>139</v>
      </c>
      <c r="G10963" s="51"/>
      <c r="H10963" s="51"/>
      <c r="I10963" s="51"/>
      <c r="J10963" s="51"/>
      <c r="K10963" s="51" t="s">
        <v>140</v>
      </c>
      <c r="L10963" s="51"/>
      <c r="M10963" s="51"/>
      <c r="N10963" s="51"/>
      <c r="O10963" s="52"/>
      <c r="P10963" s="51"/>
      <c r="Q10963" s="51"/>
      <c r="R10963" s="51"/>
      <c r="S10963" s="51"/>
      <c r="T10963" s="41"/>
      <c r="AG10963" s="521" t="s">
        <v>268</v>
      </c>
      <c r="AH10963" s="521" t="s">
        <v>269</v>
      </c>
      <c r="AI10963" s="521" t="s">
        <v>270</v>
      </c>
      <c r="AJ10963" s="521" t="s">
        <v>271</v>
      </c>
      <c r="AK10963" s="521" t="s">
        <v>272</v>
      </c>
      <c r="AM10963" s="745" t="s">
        <v>281</v>
      </c>
      <c r="AN10963" s="746" t="s">
        <v>282</v>
      </c>
      <c r="AO10963" s="522" t="s">
        <v>278</v>
      </c>
      <c r="AR10963" s="51"/>
      <c r="AS10963" s="42" t="s">
        <v>139</v>
      </c>
    </row>
    <row r="10964" spans="1:45" s="520" customFormat="1" ht="12" customHeight="1">
      <c r="A10964" s="747">
        <v>1</v>
      </c>
      <c r="B10964" s="523" t="s">
        <v>329</v>
      </c>
      <c r="C10964" s="748"/>
      <c r="D10964" s="749" t="s">
        <v>2538</v>
      </c>
      <c r="E10964" s="1145">
        <f>IF(AND($A10964=0,$A$1="DIF"),0, ROUND(ROUND(($R10968*$S$3+($T10968*$T$3))/$A10964,2)*$C$3,2))</f>
        <v>739.04</v>
      </c>
      <c r="F10964" s="1146">
        <f>ROUND($A10964*$E10964,2)</f>
        <v>739.04</v>
      </c>
      <c r="G10964" s="752" t="s">
        <v>142</v>
      </c>
      <c r="H10964" s="753"/>
      <c r="I10964" s="754"/>
      <c r="J10964" s="753"/>
      <c r="K10964" s="753" t="s">
        <v>5</v>
      </c>
      <c r="L10964" s="755" t="s">
        <v>143</v>
      </c>
      <c r="M10964" s="755"/>
      <c r="N10964" s="755"/>
      <c r="O10964" s="755"/>
      <c r="P10964" s="755"/>
      <c r="Q10964" s="51"/>
      <c r="T10964" s="1150" t="str">
        <f>IF(AND($R10968=0,$T10968=0),"0.00","mu: "&amp; ROUND(F10964/$C$3/($R10968+$T10968*$D$9),2))</f>
        <v>mu: 1.13</v>
      </c>
      <c r="W10964" s="524"/>
      <c r="AG10964" s="1147">
        <f>IF($E10964=0,0,ROUND($R10968*$S$3*$C$3/$A10964,2))</f>
        <v>739.04</v>
      </c>
      <c r="AH10964" s="1147">
        <f>$AG10964*$A10964</f>
        <v>739.04</v>
      </c>
      <c r="AI10964" s="1148">
        <f>$E10964-$AG10964</f>
        <v>0</v>
      </c>
      <c r="AJ10964" s="1148">
        <f>$A10964*$AI10964</f>
        <v>0</v>
      </c>
      <c r="AK10964" s="1149">
        <f>ROUND(($AG10964+$AI10964)*$A10964,2)</f>
        <v>739.04</v>
      </c>
      <c r="AM10964" s="527">
        <f>ROUND(R10968,2)</f>
        <v>654.75</v>
      </c>
      <c r="AN10964" s="528">
        <f>ROUND(T10968,2)</f>
        <v>0</v>
      </c>
      <c r="AO10964" s="529">
        <f>ROUND(AM10964+AN10964,2)*A10964</f>
        <v>654.75</v>
      </c>
      <c r="AR10964" s="747">
        <v>1</v>
      </c>
      <c r="AS10964" s="1146">
        <v>804.22</v>
      </c>
    </row>
    <row r="10965" spans="1:45" s="520" customFormat="1" ht="13.2">
      <c r="A10965" s="748"/>
      <c r="B10965"/>
      <c r="C10965" s="748"/>
      <c r="D10965" s="749" t="s">
        <v>2209</v>
      </c>
      <c r="F10965" s="753"/>
      <c r="G10965" s="3"/>
      <c r="H10965" s="753"/>
      <c r="I10965" s="754"/>
      <c r="J10965" s="753"/>
      <c r="K10965" s="753" t="s">
        <v>144</v>
      </c>
      <c r="L10965" s="753"/>
      <c r="M10965" s="753"/>
      <c r="N10965" s="753"/>
      <c r="O10965" s="753"/>
      <c r="P10965" s="753"/>
      <c r="Q10965" s="51"/>
      <c r="R10965" s="530"/>
      <c r="S10965" s="757"/>
      <c r="T10965" s="753"/>
      <c r="AR10965" s="748"/>
      <c r="AS10965" s="753"/>
    </row>
    <row r="10966" spans="1:45" s="901" customFormat="1" ht="13.2">
      <c r="A10966" s="903">
        <v>1</v>
      </c>
      <c r="B10966" s="904" t="s">
        <v>863</v>
      </c>
      <c r="C10966" s="904"/>
      <c r="D10966" s="904" t="s">
        <v>2594</v>
      </c>
      <c r="E10966" s="904"/>
      <c r="F10966" s="1153" t="s">
        <v>4143</v>
      </c>
      <c r="G10966" s="905" t="s">
        <v>2595</v>
      </c>
      <c r="H10966" s="902">
        <v>960</v>
      </c>
      <c r="I10966" s="904" t="s">
        <v>2596</v>
      </c>
      <c r="J10966" s="904"/>
      <c r="K10966" s="904"/>
      <c r="L10966" s="904"/>
      <c r="M10966" s="904"/>
      <c r="N10966" s="904"/>
      <c r="O10966" s="902">
        <v>4</v>
      </c>
      <c r="P10966" s="906">
        <v>38274</v>
      </c>
      <c r="Q10966" s="1415">
        <f>750*0.873</f>
        <v>654.75</v>
      </c>
      <c r="R10966" s="908">
        <f>$A10966*Q10966</f>
        <v>654.75</v>
      </c>
      <c r="S10966" s="907"/>
      <c r="T10966" s="909">
        <f>$A10966*S10966*$T$1</f>
        <v>0</v>
      </c>
      <c r="AR10966" s="903">
        <v>1</v>
      </c>
      <c r="AS10966" s="1153" t="s">
        <v>3507</v>
      </c>
    </row>
    <row r="10967" spans="1:45" s="520" customFormat="1" ht="12">
      <c r="A10967" s="758"/>
      <c r="B10967" s="758"/>
      <c r="C10967" s="758"/>
      <c r="D10967" s="758"/>
      <c r="E10967" s="758"/>
      <c r="F10967" s="753"/>
      <c r="G10967" s="758"/>
      <c r="H10967" s="758"/>
      <c r="I10967" s="519"/>
      <c r="J10967" s="758"/>
      <c r="K10967" s="758"/>
      <c r="L10967" s="758"/>
      <c r="M10967" s="758"/>
      <c r="N10967" s="758"/>
      <c r="O10967" s="758"/>
      <c r="P10967" s="758"/>
      <c r="Q10967" s="519"/>
      <c r="R10967" s="759">
        <f>$A10967*Q10967</f>
        <v>0</v>
      </c>
      <c r="S10967" s="519"/>
      <c r="T10967" s="760">
        <f>$A10967*S10967*$T$1</f>
        <v>0</v>
      </c>
      <c r="AR10967" s="758"/>
      <c r="AS10967" s="753"/>
    </row>
    <row r="10968" spans="1:45" s="520" customFormat="1" ht="12.6" thickBot="1">
      <c r="A10968" s="761" t="s">
        <v>145</v>
      </c>
      <c r="B10968" s="762">
        <f>(R10967+T10967)</f>
        <v>0</v>
      </c>
      <c r="C10968" s="763"/>
      <c r="D10968" s="763"/>
      <c r="E10968" s="763"/>
      <c r="F10968" s="764"/>
      <c r="G10968" s="763" t="s">
        <v>146</v>
      </c>
      <c r="H10968" s="763"/>
      <c r="I10968" s="765"/>
      <c r="J10968" s="763"/>
      <c r="K10968" s="763" t="s">
        <v>5</v>
      </c>
      <c r="L10968" s="766" t="s">
        <v>143</v>
      </c>
      <c r="M10968" s="766"/>
      <c r="N10968" s="766"/>
      <c r="O10968" s="766"/>
      <c r="P10968" s="766"/>
      <c r="Q10968" s="767"/>
      <c r="R10968" s="768">
        <f>SUM(R10965:R10967)</f>
        <v>654.75</v>
      </c>
      <c r="S10968" s="763"/>
      <c r="T10968" s="768">
        <f>SUM(T10965:T10967)</f>
        <v>0</v>
      </c>
      <c r="U10968" s="531"/>
      <c r="V10968" s="531"/>
      <c r="W10968" s="531"/>
      <c r="X10968" s="531"/>
      <c r="Y10968" s="531"/>
      <c r="Z10968" s="531"/>
      <c r="AA10968" s="531"/>
      <c r="AB10968" s="531"/>
      <c r="AC10968" s="531"/>
      <c r="AD10968" s="531"/>
      <c r="AE10968" s="531"/>
      <c r="AF10968" s="531"/>
      <c r="AG10968" s="531"/>
      <c r="AH10968" s="531"/>
      <c r="AI10968" s="531"/>
      <c r="AJ10968" s="531"/>
      <c r="AK10968" s="531"/>
      <c r="AL10968" s="531"/>
      <c r="AM10968" s="531"/>
      <c r="AN10968" s="531"/>
      <c r="AO10968" s="531"/>
      <c r="AR10968" s="761" t="s">
        <v>145</v>
      </c>
      <c r="AS10968" s="764"/>
    </row>
    <row r="10969" spans="1:45" s="520" customFormat="1" thickTop="1">
      <c r="A10969" s="51"/>
      <c r="B10969" s="51"/>
      <c r="C10969" s="3"/>
      <c r="D10969" s="3"/>
      <c r="E10969" s="51"/>
      <c r="F10969" s="51"/>
      <c r="G10969" s="51"/>
      <c r="H10969" s="51"/>
      <c r="I10969" s="51"/>
      <c r="J10969" s="51"/>
      <c r="K10969" s="51" t="s">
        <v>134</v>
      </c>
      <c r="L10969" s="51"/>
      <c r="M10969" s="51"/>
      <c r="N10969" s="51"/>
      <c r="O10969" s="52"/>
      <c r="P10969" s="51"/>
      <c r="Q10969" s="51"/>
      <c r="R10969" s="51"/>
      <c r="S10969" s="51"/>
      <c r="T10969" s="51"/>
      <c r="AR10969" s="51"/>
      <c r="AS10969" s="51"/>
    </row>
    <row r="10970" spans="1:45" s="520" customFormat="1" ht="12">
      <c r="A10970" s="51"/>
      <c r="B10970" s="51"/>
      <c r="C10970" s="51" t="s">
        <v>135</v>
      </c>
      <c r="D10970" s="37"/>
      <c r="E10970" s="51"/>
      <c r="F10970" s="51"/>
      <c r="G10970" s="51"/>
      <c r="H10970" s="51"/>
      <c r="I10970" s="51"/>
      <c r="J10970" s="51"/>
      <c r="K10970" s="51"/>
      <c r="L10970" s="51"/>
      <c r="M10970" s="51"/>
      <c r="N10970" s="51"/>
      <c r="O10970" s="52"/>
      <c r="P10970" s="51"/>
      <c r="Q10970" s="51"/>
      <c r="R10970" s="51"/>
      <c r="S10970" s="51"/>
      <c r="T10970" s="51"/>
      <c r="AR10970" s="51"/>
      <c r="AS10970" s="51"/>
    </row>
    <row r="10971" spans="1:45" s="520" customFormat="1" ht="12">
      <c r="A10971" s="51"/>
      <c r="B10971" s="51"/>
      <c r="C10971" s="51"/>
      <c r="D10971" s="37" t="s">
        <v>379</v>
      </c>
      <c r="E10971" s="51"/>
      <c r="F10971" s="51"/>
      <c r="G10971" s="51"/>
      <c r="H10971" s="51"/>
      <c r="I10971" s="51"/>
      <c r="J10971" s="51"/>
      <c r="K10971" s="51"/>
      <c r="L10971" s="51"/>
      <c r="M10971" s="51"/>
      <c r="N10971" s="51"/>
      <c r="O10971" s="52"/>
      <c r="P10971" s="51"/>
      <c r="Q10971" s="51"/>
      <c r="R10971" s="51"/>
      <c r="S10971" s="38"/>
      <c r="T10971" s="38"/>
      <c r="AR10971" s="51"/>
      <c r="AS10971" s="51"/>
    </row>
    <row r="10972" spans="1:45" s="3" customFormat="1" thickBot="1">
      <c r="A10972" s="531"/>
      <c r="O10972" s="107"/>
      <c r="AR10972" s="531"/>
    </row>
    <row r="10973" spans="1:45" s="520" customFormat="1" ht="12" thickTop="1">
      <c r="A10973" s="51"/>
      <c r="B10973" s="41"/>
      <c r="C10973" s="51"/>
      <c r="E10973" s="42" t="s">
        <v>138</v>
      </c>
      <c r="F10973" s="42" t="s">
        <v>139</v>
      </c>
      <c r="G10973" s="51"/>
      <c r="H10973" s="51"/>
      <c r="I10973" s="51"/>
      <c r="J10973" s="51"/>
      <c r="K10973" s="51" t="s">
        <v>140</v>
      </c>
      <c r="L10973" s="51"/>
      <c r="M10973" s="51"/>
      <c r="N10973" s="51"/>
      <c r="O10973" s="52"/>
      <c r="P10973" s="51"/>
      <c r="Q10973" s="51"/>
      <c r="R10973" s="51"/>
      <c r="S10973" s="51"/>
      <c r="T10973" s="41"/>
      <c r="AG10973" s="521" t="s">
        <v>268</v>
      </c>
      <c r="AH10973" s="521" t="s">
        <v>269</v>
      </c>
      <c r="AI10973" s="521" t="s">
        <v>270</v>
      </c>
      <c r="AJ10973" s="521" t="s">
        <v>271</v>
      </c>
      <c r="AK10973" s="521" t="s">
        <v>272</v>
      </c>
      <c r="AM10973" s="745" t="s">
        <v>281</v>
      </c>
      <c r="AN10973" s="746" t="s">
        <v>282</v>
      </c>
      <c r="AO10973" s="522" t="s">
        <v>278</v>
      </c>
      <c r="AR10973" s="51"/>
      <c r="AS10973" s="42" t="s">
        <v>139</v>
      </c>
    </row>
    <row r="10974" spans="1:45" s="520" customFormat="1" ht="12" customHeight="1">
      <c r="A10974" s="747">
        <v>1</v>
      </c>
      <c r="B10974" s="523" t="s">
        <v>299</v>
      </c>
      <c r="C10974" s="748"/>
      <c r="D10974" s="749" t="s">
        <v>2539</v>
      </c>
      <c r="E10974" s="1145">
        <f>IF(AND($A10974=0,$A$1="DIF"),0, ROUND(ROUND(($R10978*$S$3+($T10978*$T$3))/$A10974,2)*$C$3,2))</f>
        <v>492.69</v>
      </c>
      <c r="F10974" s="1146">
        <f>ROUND($A10974*$E10974,2)</f>
        <v>492.69</v>
      </c>
      <c r="G10974" s="752" t="s">
        <v>142</v>
      </c>
      <c r="H10974" s="753"/>
      <c r="I10974" s="754"/>
      <c r="J10974" s="753"/>
      <c r="K10974" s="753" t="s">
        <v>5</v>
      </c>
      <c r="L10974" s="755" t="s">
        <v>143</v>
      </c>
      <c r="M10974" s="755"/>
      <c r="N10974" s="755"/>
      <c r="O10974" s="755"/>
      <c r="P10974" s="755"/>
      <c r="Q10974" s="51"/>
      <c r="T10974" s="1150" t="str">
        <f>IF(AND($R10978=0,$T10978=0),"0.00","mu: "&amp; ROUND(F10974/$C$3/($R10978+$T10978*$D$9),2))</f>
        <v>mu: 1.13</v>
      </c>
      <c r="W10974" s="524"/>
      <c r="AG10974" s="1147">
        <f>IF($E10974=0,0,ROUND($R10978*$S$3*$C$3/$A10974,2))</f>
        <v>492.69</v>
      </c>
      <c r="AH10974" s="1147">
        <f>$AG10974*$A10974</f>
        <v>492.69</v>
      </c>
      <c r="AI10974" s="1148">
        <f>$E10974-$AG10974</f>
        <v>0</v>
      </c>
      <c r="AJ10974" s="1148">
        <f>$A10974*$AI10974</f>
        <v>0</v>
      </c>
      <c r="AK10974" s="1149">
        <f>ROUND(($AG10974+$AI10974)*$A10974,2)</f>
        <v>492.69</v>
      </c>
      <c r="AM10974" s="527">
        <f>ROUND(R10978,2)</f>
        <v>436.5</v>
      </c>
      <c r="AN10974" s="528">
        <f>ROUND(T10978,2)</f>
        <v>0</v>
      </c>
      <c r="AO10974" s="529">
        <f>ROUND(AM10974+AN10974,2)*A10974</f>
        <v>436.5</v>
      </c>
      <c r="AR10974" s="747">
        <v>1</v>
      </c>
      <c r="AS10974" s="1146">
        <v>536.15</v>
      </c>
    </row>
    <row r="10975" spans="1:45" s="520" customFormat="1" ht="13.2">
      <c r="A10975" s="748"/>
      <c r="B10975"/>
      <c r="C10975" s="748"/>
      <c r="D10975" s="749" t="s">
        <v>381</v>
      </c>
      <c r="F10975" s="753"/>
      <c r="G10975" s="3"/>
      <c r="H10975" s="753"/>
      <c r="I10975" s="754"/>
      <c r="J10975" s="753"/>
      <c r="K10975" s="753" t="s">
        <v>144</v>
      </c>
      <c r="L10975" s="753"/>
      <c r="M10975" s="753"/>
      <c r="N10975" s="753"/>
      <c r="O10975" s="753"/>
      <c r="P10975" s="753"/>
      <c r="Q10975" s="51"/>
      <c r="R10975" s="530"/>
      <c r="S10975" s="757"/>
      <c r="T10975" s="753"/>
      <c r="AR10975" s="748"/>
      <c r="AS10975" s="753"/>
    </row>
    <row r="10976" spans="1:45" s="901" customFormat="1" ht="13.2">
      <c r="A10976" s="903">
        <v>1</v>
      </c>
      <c r="B10976" s="904" t="s">
        <v>863</v>
      </c>
      <c r="C10976" s="904"/>
      <c r="D10976" s="904" t="s">
        <v>2594</v>
      </c>
      <c r="E10976" s="904"/>
      <c r="F10976" s="1153" t="s">
        <v>4143</v>
      </c>
      <c r="G10976" s="905" t="s">
        <v>2595</v>
      </c>
      <c r="H10976" s="902">
        <v>960</v>
      </c>
      <c r="I10976" s="904" t="s">
        <v>2596</v>
      </c>
      <c r="J10976" s="904"/>
      <c r="K10976" s="904"/>
      <c r="L10976" s="904"/>
      <c r="M10976" s="904"/>
      <c r="N10976" s="904"/>
      <c r="O10976" s="902">
        <v>4</v>
      </c>
      <c r="P10976" s="906">
        <v>38274</v>
      </c>
      <c r="Q10976" s="1415">
        <f>500*0.873</f>
        <v>436.5</v>
      </c>
      <c r="R10976" s="908">
        <f>$A10976*Q10976</f>
        <v>436.5</v>
      </c>
      <c r="S10976" s="907"/>
      <c r="T10976" s="909">
        <f>$A10976*S10976*$T$1</f>
        <v>0</v>
      </c>
      <c r="AR10976" s="903">
        <v>1</v>
      </c>
      <c r="AS10976" s="1153" t="s">
        <v>3507</v>
      </c>
    </row>
    <row r="10977" spans="1:45" s="520" customFormat="1" ht="12">
      <c r="A10977" s="758"/>
      <c r="B10977" s="758"/>
      <c r="C10977" s="758"/>
      <c r="D10977" s="758"/>
      <c r="E10977" s="758"/>
      <c r="F10977" s="753"/>
      <c r="G10977" s="758"/>
      <c r="H10977" s="758"/>
      <c r="I10977" s="519"/>
      <c r="J10977" s="758"/>
      <c r="K10977" s="758"/>
      <c r="L10977" s="758"/>
      <c r="M10977" s="758"/>
      <c r="N10977" s="758"/>
      <c r="O10977" s="758"/>
      <c r="P10977" s="758"/>
      <c r="Q10977" s="519"/>
      <c r="R10977" s="759">
        <f>$A10977*Q10977</f>
        <v>0</v>
      </c>
      <c r="S10977" s="519"/>
      <c r="T10977" s="760">
        <f>$A10977*S10977*$T$1</f>
        <v>0</v>
      </c>
      <c r="AR10977" s="758"/>
      <c r="AS10977" s="753"/>
    </row>
    <row r="10978" spans="1:45" s="520" customFormat="1" ht="12.6" thickBot="1">
      <c r="A10978" s="761" t="s">
        <v>145</v>
      </c>
      <c r="B10978" s="762">
        <f>(R10977+T10977)</f>
        <v>0</v>
      </c>
      <c r="C10978" s="763"/>
      <c r="D10978" s="763"/>
      <c r="E10978" s="763"/>
      <c r="F10978" s="764"/>
      <c r="G10978" s="763" t="s">
        <v>146</v>
      </c>
      <c r="H10978" s="763"/>
      <c r="I10978" s="765"/>
      <c r="J10978" s="763"/>
      <c r="K10978" s="763" t="s">
        <v>5</v>
      </c>
      <c r="L10978" s="766" t="s">
        <v>143</v>
      </c>
      <c r="M10978" s="766"/>
      <c r="N10978" s="766"/>
      <c r="O10978" s="766"/>
      <c r="P10978" s="766"/>
      <c r="Q10978" s="767"/>
      <c r="R10978" s="768">
        <f>SUM(R10975:R10977)</f>
        <v>436.5</v>
      </c>
      <c r="S10978" s="763"/>
      <c r="T10978" s="768">
        <f>SUM(T10975:T10977)</f>
        <v>0</v>
      </c>
      <c r="U10978" s="531"/>
      <c r="V10978" s="531"/>
      <c r="W10978" s="531"/>
      <c r="X10978" s="531"/>
      <c r="Y10978" s="531"/>
      <c r="Z10978" s="531"/>
      <c r="AA10978" s="531"/>
      <c r="AB10978" s="531"/>
      <c r="AC10978" s="531"/>
      <c r="AD10978" s="531"/>
      <c r="AE10978" s="531"/>
      <c r="AF10978" s="531"/>
      <c r="AG10978" s="531"/>
      <c r="AH10978" s="531"/>
      <c r="AI10978" s="531"/>
      <c r="AJ10978" s="531"/>
      <c r="AK10978" s="531"/>
      <c r="AL10978" s="531"/>
      <c r="AM10978" s="531"/>
      <c r="AN10978" s="531"/>
      <c r="AO10978" s="531"/>
      <c r="AR10978" s="761" t="s">
        <v>145</v>
      </c>
      <c r="AS10978" s="764"/>
    </row>
    <row r="10979" spans="1:45" s="520" customFormat="1" ht="12" thickTop="1">
      <c r="A10979" s="51"/>
      <c r="B10979" s="41"/>
      <c r="C10979" s="51"/>
      <c r="E10979" s="42" t="s">
        <v>138</v>
      </c>
      <c r="F10979" s="42" t="s">
        <v>139</v>
      </c>
      <c r="G10979" s="51"/>
      <c r="H10979" s="51"/>
      <c r="I10979" s="51"/>
      <c r="J10979" s="51"/>
      <c r="K10979" s="51" t="s">
        <v>140</v>
      </c>
      <c r="L10979" s="51"/>
      <c r="M10979" s="51"/>
      <c r="N10979" s="51"/>
      <c r="O10979" s="52"/>
      <c r="P10979" s="51"/>
      <c r="Q10979" s="51"/>
      <c r="R10979" s="51"/>
      <c r="S10979" s="51"/>
      <c r="T10979" s="41"/>
      <c r="AG10979" s="521" t="s">
        <v>268</v>
      </c>
      <c r="AH10979" s="521" t="s">
        <v>269</v>
      </c>
      <c r="AI10979" s="521" t="s">
        <v>270</v>
      </c>
      <c r="AJ10979" s="521" t="s">
        <v>271</v>
      </c>
      <c r="AK10979" s="521" t="s">
        <v>272</v>
      </c>
      <c r="AM10979" s="745" t="s">
        <v>281</v>
      </c>
      <c r="AN10979" s="746" t="s">
        <v>282</v>
      </c>
      <c r="AO10979" s="522" t="s">
        <v>278</v>
      </c>
      <c r="AR10979" s="51"/>
      <c r="AS10979" s="42" t="s">
        <v>139</v>
      </c>
    </row>
    <row r="10980" spans="1:45" s="520" customFormat="1" ht="12" customHeight="1">
      <c r="A10980" s="747">
        <v>1</v>
      </c>
      <c r="B10980" s="523" t="s">
        <v>383</v>
      </c>
      <c r="C10980" s="748"/>
      <c r="D10980" s="749" t="s">
        <v>2540</v>
      </c>
      <c r="E10980" s="750">
        <f>IF(AND($A10980=0,$A$1="DIF"),0, ROUND(ROUND(($R10986*$S$2+($T10986*$T$2))/A10980,2)*$C$2,2))</f>
        <v>227.62</v>
      </c>
      <c r="F10980" s="751">
        <f>ROUND($A10980*$E10980,2)</f>
        <v>227.62</v>
      </c>
      <c r="G10980" s="752" t="s">
        <v>142</v>
      </c>
      <c r="H10980" s="753"/>
      <c r="I10980" s="754"/>
      <c r="J10980" s="753"/>
      <c r="K10980" s="753" t="s">
        <v>3</v>
      </c>
      <c r="L10980" s="755" t="s">
        <v>143</v>
      </c>
      <c r="M10980" s="755"/>
      <c r="N10980" s="755"/>
      <c r="O10980" s="755"/>
      <c r="P10980" s="755"/>
      <c r="Q10980" s="51"/>
      <c r="T10980" s="756" t="str">
        <f>IF(AND($R10986=0,$T10986=0),"0.00","mu :" &amp; ROUND($F10980/$C$2/($R10986+$T10986*$D$9),2))</f>
        <v>mu :1.23</v>
      </c>
      <c r="W10980" s="524"/>
      <c r="AG10980" s="481">
        <f>IF($E10980=0,0,ROUND($R10986*$S$2*$C$2/$A10980,2))</f>
        <v>105.9</v>
      </c>
      <c r="AH10980" s="481">
        <f>$AG10980*$A10980</f>
        <v>105.9</v>
      </c>
      <c r="AI10980" s="525">
        <f>$E10980-$AG10980</f>
        <v>121.72</v>
      </c>
      <c r="AJ10980" s="525">
        <f>$A10980*$AI10980</f>
        <v>121.72</v>
      </c>
      <c r="AK10980" s="526">
        <f>ROUND(($AG10980+$AI10980)*$A10980,2)</f>
        <v>227.62</v>
      </c>
      <c r="AM10980" s="527">
        <f>ROUND(R10986,2)</f>
        <v>86</v>
      </c>
      <c r="AN10980" s="528">
        <f>ROUND(T10986,2)</f>
        <v>3.6</v>
      </c>
      <c r="AO10980" s="529">
        <f>ROUND(AM10980+AN10980,2)*A10980</f>
        <v>89.6</v>
      </c>
      <c r="AR10980" s="747">
        <v>1</v>
      </c>
      <c r="AS10980" s="751">
        <v>241.15</v>
      </c>
    </row>
    <row r="10981" spans="1:45" s="520" customFormat="1" ht="39.9" customHeight="1">
      <c r="A10981" s="748"/>
      <c r="B10981"/>
      <c r="C10981" s="748"/>
      <c r="D10981" s="1451" t="s">
        <v>382</v>
      </c>
      <c r="E10981" s="1452"/>
      <c r="F10981" s="1452"/>
      <c r="G10981" s="1452"/>
      <c r="H10981" s="1452"/>
      <c r="I10981" s="1452"/>
      <c r="J10981" s="1452"/>
      <c r="K10981" s="1452"/>
      <c r="L10981" s="1452"/>
      <c r="M10981" s="1452"/>
      <c r="N10981" s="1452"/>
      <c r="O10981" s="1452"/>
      <c r="P10981" s="1452"/>
      <c r="Q10981" s="1452"/>
      <c r="R10981" s="1452"/>
      <c r="S10981" s="1452"/>
      <c r="T10981" s="1452"/>
      <c r="AR10981" s="748"/>
    </row>
    <row r="10982" spans="1:45" s="901" customFormat="1" ht="13.2">
      <c r="A10982" s="116">
        <v>7</v>
      </c>
      <c r="B10982" s="901" t="s">
        <v>141</v>
      </c>
      <c r="D10982" s="901" t="s">
        <v>3698</v>
      </c>
      <c r="G10982" s="941" t="s">
        <v>3061</v>
      </c>
      <c r="H10982" s="942">
        <v>880</v>
      </c>
      <c r="I10982" s="901" t="s">
        <v>2607</v>
      </c>
      <c r="O10982" s="943">
        <v>3</v>
      </c>
      <c r="P10982" s="944">
        <v>36220</v>
      </c>
      <c r="Q10982" s="945">
        <v>8</v>
      </c>
      <c r="R10982" s="946">
        <f>$A10982*Q10982</f>
        <v>56</v>
      </c>
      <c r="S10982" s="945">
        <v>0.25</v>
      </c>
      <c r="T10982" s="947">
        <f>$A10982*S10982*$T$1</f>
        <v>1.575</v>
      </c>
      <c r="AR10982" s="116">
        <v>7</v>
      </c>
    </row>
    <row r="10983" spans="1:45" s="901" customFormat="1" ht="13.2">
      <c r="A10983" s="116">
        <v>1</v>
      </c>
      <c r="B10983" s="901" t="s">
        <v>141</v>
      </c>
      <c r="D10983" s="901" t="s">
        <v>3063</v>
      </c>
      <c r="G10983" s="941" t="s">
        <v>3062</v>
      </c>
      <c r="H10983" s="942">
        <v>880</v>
      </c>
      <c r="I10983" s="901" t="s">
        <v>2607</v>
      </c>
      <c r="O10983" s="943">
        <v>3</v>
      </c>
      <c r="P10983" s="944"/>
      <c r="Q10983" s="945">
        <v>10</v>
      </c>
      <c r="R10983" s="946">
        <f>$A10983*Q10983</f>
        <v>10</v>
      </c>
      <c r="S10983" s="945">
        <v>0.25</v>
      </c>
      <c r="T10983" s="947">
        <f>$A10983*S10983*$T$1</f>
        <v>0.22500000000000001</v>
      </c>
      <c r="AR10983" s="116">
        <v>1</v>
      </c>
    </row>
    <row r="10984" spans="1:45" s="901" customFormat="1" ht="13.2">
      <c r="A10984" s="116">
        <v>1</v>
      </c>
      <c r="B10984" s="901" t="s">
        <v>141</v>
      </c>
      <c r="D10984" s="901" t="s">
        <v>3064</v>
      </c>
      <c r="G10984" s="941" t="s">
        <v>3065</v>
      </c>
      <c r="H10984" s="942">
        <v>880</v>
      </c>
      <c r="I10984" s="901" t="s">
        <v>2607</v>
      </c>
      <c r="O10984" s="943">
        <v>3</v>
      </c>
      <c r="P10984" s="944"/>
      <c r="Q10984" s="945">
        <v>20</v>
      </c>
      <c r="R10984" s="946">
        <f>$A10984*Q10984</f>
        <v>20</v>
      </c>
      <c r="S10984" s="945">
        <v>2</v>
      </c>
      <c r="T10984" s="947">
        <f>$A10984*S10984*$T$1</f>
        <v>1.8</v>
      </c>
      <c r="AR10984" s="116">
        <v>1</v>
      </c>
    </row>
    <row r="10985" spans="1:45" s="520" customFormat="1" ht="12">
      <c r="A10985" s="758"/>
      <c r="B10985" s="758"/>
      <c r="C10985" s="758"/>
      <c r="D10985" s="758"/>
      <c r="E10985" s="758"/>
      <c r="F10985" s="753"/>
      <c r="G10985" s="758"/>
      <c r="H10985" s="758"/>
      <c r="I10985" s="519"/>
      <c r="J10985" s="758"/>
      <c r="K10985" s="758"/>
      <c r="L10985" s="758"/>
      <c r="M10985" s="758"/>
      <c r="N10985" s="758"/>
      <c r="O10985" s="758"/>
      <c r="P10985" s="758"/>
      <c r="Q10985" s="519"/>
      <c r="R10985" s="759">
        <f>$A10985*Q10985</f>
        <v>0</v>
      </c>
      <c r="S10985" s="519"/>
      <c r="T10985" s="760">
        <f>$A10985*S10985*$T$1</f>
        <v>0</v>
      </c>
      <c r="AR10985" s="758"/>
      <c r="AS10985" s="753"/>
    </row>
    <row r="10986" spans="1:45" s="520" customFormat="1" ht="12.6" thickBot="1">
      <c r="A10986" s="761" t="s">
        <v>145</v>
      </c>
      <c r="B10986" s="762">
        <f>(R10985+T10985)</f>
        <v>0</v>
      </c>
      <c r="C10986" s="763"/>
      <c r="D10986" s="763"/>
      <c r="E10986" s="763"/>
      <c r="F10986" s="764"/>
      <c r="G10986" s="763" t="s">
        <v>146</v>
      </c>
      <c r="H10986" s="763"/>
      <c r="I10986" s="765"/>
      <c r="J10986" s="763"/>
      <c r="K10986" s="763" t="s">
        <v>3</v>
      </c>
      <c r="L10986" s="766" t="s">
        <v>143</v>
      </c>
      <c r="M10986" s="766"/>
      <c r="N10986" s="766"/>
      <c r="O10986" s="766"/>
      <c r="P10986" s="766"/>
      <c r="Q10986" s="767"/>
      <c r="R10986" s="768">
        <f>SUM(R10981:R10985)</f>
        <v>86</v>
      </c>
      <c r="S10986" s="763"/>
      <c r="T10986" s="768">
        <f>SUM(T10981:T10985)</f>
        <v>3.6</v>
      </c>
      <c r="U10986" s="531"/>
      <c r="V10986" s="531"/>
      <c r="W10986" s="531"/>
      <c r="X10986" s="531"/>
      <c r="Y10986" s="531"/>
      <c r="Z10986" s="531"/>
      <c r="AA10986" s="531"/>
      <c r="AB10986" s="531"/>
      <c r="AC10986" s="531"/>
      <c r="AD10986" s="531"/>
      <c r="AE10986" s="531"/>
      <c r="AF10986" s="531"/>
      <c r="AG10986" s="531"/>
      <c r="AH10986" s="531"/>
      <c r="AI10986" s="531"/>
      <c r="AJ10986" s="531"/>
      <c r="AK10986" s="531"/>
      <c r="AL10986" s="531"/>
      <c r="AM10986" s="531"/>
      <c r="AN10986" s="531"/>
      <c r="AO10986" s="531"/>
      <c r="AR10986" s="761" t="s">
        <v>145</v>
      </c>
      <c r="AS10986" s="764"/>
    </row>
    <row r="10987" spans="1:45" s="520" customFormat="1" ht="12" thickTop="1">
      <c r="A10987" s="48" t="s">
        <v>148</v>
      </c>
      <c r="D10987" s="13"/>
      <c r="E10987" s="42"/>
      <c r="O10987" s="771"/>
      <c r="AR10987" s="48" t="s">
        <v>148</v>
      </c>
    </row>
    <row r="10988" spans="1:45" s="520" customFormat="1" ht="13.2">
      <c r="B10988" s="3"/>
      <c r="O10988" s="771"/>
    </row>
    <row r="10989" spans="1:45" s="520" customFormat="1" ht="12">
      <c r="B10989" s="772">
        <f>$F10989/$C$2-($R10989*$S$2+$T10989*$T$2)</f>
        <v>-201.92421047135986</v>
      </c>
      <c r="D10989" s="773" t="s">
        <v>1065</v>
      </c>
      <c r="E10989" s="774"/>
      <c r="F10989" s="775">
        <f>SUMIF($L10801:$L10987,"ITEM",F10801:F10987)</f>
        <v>3057.33</v>
      </c>
      <c r="G10989" s="758"/>
      <c r="H10989" s="758"/>
      <c r="I10989" s="519"/>
      <c r="J10989" s="758"/>
      <c r="K10989" s="758"/>
      <c r="L10989" s="755" t="s">
        <v>157</v>
      </c>
      <c r="M10989" s="755"/>
      <c r="N10989" s="755"/>
      <c r="O10989" s="755"/>
      <c r="P10989" s="755"/>
      <c r="R10989" s="775">
        <f>SUMIF($L10801:$L10987,"ITEM",R10801:R10987)</f>
        <v>2264.8294999999998</v>
      </c>
      <c r="S10989" s="776"/>
      <c r="T10989" s="775">
        <f>SUMIF($L10801:$L10987,"ITEM",T10801:T10987)</f>
        <v>13.914000000000001</v>
      </c>
      <c r="AS10989" s="775">
        <v>3305.51</v>
      </c>
    </row>
    <row r="10990" spans="1:45" s="520" customFormat="1" ht="13.2">
      <c r="A10990" s="51"/>
      <c r="B10990" s="49" t="s">
        <v>1064</v>
      </c>
      <c r="C10990" s="51"/>
      <c r="D10990" s="3"/>
      <c r="F10990" s="777" t="s">
        <v>158</v>
      </c>
      <c r="G10990" s="758"/>
      <c r="H10990" s="758"/>
      <c r="I10990" s="519"/>
      <c r="J10990" s="758"/>
      <c r="K10990" s="758"/>
      <c r="L10990" s="758"/>
      <c r="M10990" s="758"/>
      <c r="N10990" s="758"/>
      <c r="O10990" s="758"/>
      <c r="P10990" s="758"/>
      <c r="Q10990" s="778"/>
      <c r="R10990" s="777" t="s">
        <v>159</v>
      </c>
      <c r="S10990" s="38"/>
      <c r="T10990" s="777" t="s">
        <v>160</v>
      </c>
      <c r="AR10990" s="51"/>
      <c r="AS10990" s="777" t="s">
        <v>158</v>
      </c>
    </row>
    <row r="10991" spans="1:45" s="520" customFormat="1" ht="13.2">
      <c r="A10991" s="758"/>
      <c r="B10991" s="3"/>
      <c r="C10991" s="758"/>
      <c r="D10991" s="3"/>
      <c r="E10991" s="3"/>
      <c r="G10991" s="3"/>
      <c r="H10991" s="3"/>
      <c r="I10991" s="3"/>
      <c r="J10991" s="3"/>
      <c r="K10991" s="3"/>
      <c r="L10991" s="3"/>
      <c r="M10991" s="3"/>
      <c r="N10991" s="3"/>
      <c r="O10991" s="107"/>
      <c r="P10991" s="3"/>
      <c r="Q10991" s="3"/>
      <c r="R10991" s="3"/>
      <c r="S10991" s="3"/>
      <c r="T10991" s="3"/>
      <c r="AR10991" s="758"/>
    </row>
    <row r="10992" spans="1:45" s="520" customFormat="1" ht="12" thickBot="1">
      <c r="A10992" s="531"/>
      <c r="B10992" s="763"/>
      <c r="C10992" s="763"/>
      <c r="D10992" s="531"/>
      <c r="E10992" s="39"/>
      <c r="F10992" s="779"/>
      <c r="G10992" s="763"/>
      <c r="H10992" s="763"/>
      <c r="I10992" s="765"/>
      <c r="J10992" s="763"/>
      <c r="K10992" s="763"/>
      <c r="L10992" s="766"/>
      <c r="M10992" s="766"/>
      <c r="N10992" s="766"/>
      <c r="O10992" s="766"/>
      <c r="P10992" s="766"/>
      <c r="Q10992" s="767"/>
      <c r="R10992" s="779"/>
      <c r="S10992" s="780"/>
      <c r="T10992" s="779"/>
      <c r="U10992" s="531"/>
      <c r="V10992" s="531"/>
      <c r="W10992" s="531"/>
      <c r="X10992" s="531"/>
      <c r="Y10992" s="531"/>
      <c r="Z10992" s="531"/>
      <c r="AA10992" s="531"/>
      <c r="AB10992" s="531"/>
      <c r="AC10992" s="531"/>
      <c r="AD10992" s="531"/>
      <c r="AE10992" s="531"/>
      <c r="AF10992" s="531"/>
      <c r="AG10992" s="531"/>
      <c r="AH10992" s="531"/>
      <c r="AI10992" s="531"/>
      <c r="AJ10992" s="531"/>
      <c r="AK10992" s="531"/>
      <c r="AR10992" s="531"/>
      <c r="AS10992" s="779"/>
    </row>
    <row r="10993" spans="1:45" s="520" customFormat="1" thickTop="1">
      <c r="A10993" s="48" t="s">
        <v>148</v>
      </c>
      <c r="B10993" s="3"/>
      <c r="C10993" s="51"/>
      <c r="D10993" s="51"/>
      <c r="E10993" s="51"/>
      <c r="F10993" s="51"/>
      <c r="G10993" s="51"/>
      <c r="H10993" s="51"/>
      <c r="I10993" s="51"/>
      <c r="J10993" s="51"/>
      <c r="K10993" s="51"/>
      <c r="L10993" s="51"/>
      <c r="M10993" s="51"/>
      <c r="N10993" s="51"/>
      <c r="O10993" s="52"/>
      <c r="P10993" s="51"/>
      <c r="Q10993" s="51"/>
      <c r="R10993" s="51"/>
      <c r="S10993" s="51"/>
      <c r="T10993" s="51"/>
      <c r="AR10993" s="48" t="s">
        <v>148</v>
      </c>
      <c r="AS10993" s="51"/>
    </row>
    <row r="10994" spans="1:45" s="520" customFormat="1" ht="13.2">
      <c r="A10994" s="51"/>
      <c r="B10994" s="3"/>
      <c r="C10994" s="3"/>
      <c r="E10994" s="3"/>
      <c r="F10994" s="3"/>
      <c r="G10994" s="3"/>
      <c r="H10994" s="3"/>
      <c r="I10994" s="3"/>
      <c r="J10994" s="3"/>
      <c r="K10994" s="3"/>
      <c r="L10994" s="3"/>
      <c r="M10994" s="3"/>
      <c r="N10994" s="3"/>
      <c r="O10994" s="107"/>
      <c r="P10994" s="3"/>
      <c r="Q10994" s="3"/>
      <c r="R10994" s="3"/>
      <c r="S10994" s="3"/>
      <c r="T10994" s="3"/>
      <c r="AR10994" s="51"/>
      <c r="AS10994" s="3"/>
    </row>
    <row r="10995" spans="1:45" s="520" customFormat="1" ht="12">
      <c r="A10995" s="51"/>
      <c r="B10995" s="772">
        <f>$F10995/$C$2-($R10995*$S$2+$T10995*$T$2)</f>
        <v>-398.41883924224203</v>
      </c>
      <c r="C10995" s="51"/>
      <c r="D10995" s="121" t="s">
        <v>2211</v>
      </c>
      <c r="E10995" s="774"/>
      <c r="F10995" s="782">
        <f>SUMIF($L10537:$L10993,"PAGE",F10537:F10993)</f>
        <v>5836.0099999999984</v>
      </c>
      <c r="G10995" s="758"/>
      <c r="H10995" s="758"/>
      <c r="I10995" s="519"/>
      <c r="J10995" s="758"/>
      <c r="K10995" s="758"/>
      <c r="L10995" s="121" t="s">
        <v>1075</v>
      </c>
      <c r="M10995" s="121"/>
      <c r="N10995" s="121"/>
      <c r="O10995" s="122"/>
      <c r="P10995" s="121"/>
      <c r="Q10995" s="51"/>
      <c r="R10995" s="782">
        <f>SUMIF($L10537:$L10993,"PAGE",R10537:R10993)</f>
        <v>4361.4785000000002</v>
      </c>
      <c r="S10995" s="51"/>
      <c r="T10995" s="782">
        <f>SUMIF($L10537:$L10993,"PAGE",T10537:T10993)</f>
        <v>25.551000000000005</v>
      </c>
      <c r="AR10995" s="51"/>
      <c r="AS10995" s="782">
        <v>6318.51</v>
      </c>
    </row>
    <row r="10996" spans="1:45" s="520" customFormat="1" ht="12">
      <c r="A10996" s="51"/>
      <c r="B10996" s="49" t="s">
        <v>1064</v>
      </c>
      <c r="C10996" s="51"/>
      <c r="D10996" s="781"/>
      <c r="F10996" s="783" t="s">
        <v>1076</v>
      </c>
      <c r="G10996" s="758"/>
      <c r="H10996" s="758"/>
      <c r="I10996" s="519"/>
      <c r="J10996" s="758"/>
      <c r="K10996" s="758"/>
      <c r="L10996" s="51"/>
      <c r="M10996" s="51"/>
      <c r="N10996" s="51"/>
      <c r="O10996" s="52"/>
      <c r="P10996" s="51"/>
      <c r="Q10996" s="51"/>
      <c r="R10996" s="783" t="s">
        <v>1077</v>
      </c>
      <c r="S10996" s="38"/>
      <c r="T10996" s="783" t="s">
        <v>1078</v>
      </c>
      <c r="AR10996" s="51"/>
      <c r="AS10996" s="783" t="s">
        <v>1076</v>
      </c>
    </row>
    <row r="10997" spans="1:45" s="520" customFormat="1" ht="11.4">
      <c r="O10997" s="771"/>
    </row>
    <row r="10998" spans="1:45" s="520" customFormat="1" ht="12" thickBot="1">
      <c r="A10998" s="763"/>
      <c r="B10998" s="763"/>
      <c r="C10998" s="763"/>
      <c r="D10998" s="763"/>
      <c r="E10998" s="763"/>
      <c r="F10998" s="39"/>
      <c r="G10998" s="531"/>
      <c r="H10998" s="531"/>
      <c r="I10998" s="531"/>
      <c r="J10998" s="531"/>
      <c r="K10998" s="531"/>
      <c r="L10998" s="763"/>
      <c r="M10998" s="763"/>
      <c r="N10998" s="763"/>
      <c r="O10998" s="763"/>
      <c r="P10998" s="763"/>
      <c r="Q10998" s="767"/>
      <c r="R10998" s="39"/>
      <c r="S10998" s="39"/>
      <c r="T10998" s="39"/>
      <c r="U10998" s="531"/>
      <c r="V10998" s="531"/>
      <c r="W10998" s="531"/>
      <c r="X10998" s="531"/>
      <c r="Y10998" s="531"/>
      <c r="Z10998" s="531"/>
      <c r="AA10998" s="531"/>
      <c r="AB10998" s="531"/>
      <c r="AC10998" s="531"/>
      <c r="AD10998" s="531"/>
      <c r="AE10998" s="531"/>
      <c r="AF10998" s="531"/>
      <c r="AG10998" s="531"/>
      <c r="AH10998" s="531"/>
      <c r="AI10998" s="531"/>
      <c r="AJ10998" s="531"/>
      <c r="AK10998" s="531"/>
      <c r="AR10998" s="763"/>
      <c r="AS10998" s="39"/>
    </row>
    <row r="10999" spans="1:45" s="520" customFormat="1" thickTop="1">
      <c r="A10999" s="51"/>
      <c r="B10999" s="51"/>
      <c r="C10999" s="3"/>
      <c r="D10999" s="3"/>
      <c r="E10999" s="51"/>
      <c r="F10999" s="51"/>
      <c r="G10999" s="51"/>
      <c r="H10999" s="51"/>
      <c r="I10999" s="51"/>
      <c r="J10999" s="51"/>
      <c r="K10999" s="51" t="s">
        <v>134</v>
      </c>
      <c r="L10999" s="51"/>
      <c r="M10999" s="51"/>
      <c r="N10999" s="51"/>
      <c r="O10999" s="52"/>
      <c r="P10999" s="51"/>
      <c r="Q10999" s="51"/>
      <c r="R10999" s="51"/>
      <c r="S10999" s="51"/>
      <c r="T10999" s="51"/>
      <c r="AR10999" s="51"/>
      <c r="AS10999" s="51"/>
    </row>
    <row r="11000" spans="1:45" s="520" customFormat="1" ht="12">
      <c r="A11000" s="51"/>
      <c r="B11000" s="51"/>
      <c r="C11000" s="51" t="s">
        <v>135</v>
      </c>
      <c r="D11000" s="37" t="s">
        <v>2040</v>
      </c>
      <c r="E11000" s="51"/>
      <c r="F11000" s="51"/>
      <c r="G11000" s="51"/>
      <c r="H11000" s="51"/>
      <c r="I11000" s="51"/>
      <c r="J11000" s="51"/>
      <c r="K11000" s="51"/>
      <c r="L11000" s="51"/>
      <c r="M11000" s="51"/>
      <c r="N11000" s="51"/>
      <c r="O11000" s="52"/>
      <c r="P11000" s="51"/>
      <c r="Q11000" s="51"/>
      <c r="R11000" s="51"/>
      <c r="S11000" s="51"/>
      <c r="T11000" s="51"/>
      <c r="AR11000" s="51"/>
      <c r="AS11000" s="51"/>
    </row>
    <row r="11001" spans="1:45" s="520" customFormat="1" ht="12">
      <c r="A11001" s="51"/>
      <c r="B11001" s="51"/>
      <c r="C11001" s="51"/>
      <c r="D11001" s="37" t="s">
        <v>2212</v>
      </c>
      <c r="E11001" s="51"/>
      <c r="F11001" s="1153" t="s">
        <v>4141</v>
      </c>
      <c r="G11001" s="51"/>
      <c r="H11001" s="51"/>
      <c r="I11001" s="51"/>
      <c r="J11001" s="51"/>
      <c r="K11001" s="51"/>
      <c r="L11001" s="51"/>
      <c r="M11001" s="51"/>
      <c r="N11001" s="51"/>
      <c r="O11001" s="52"/>
      <c r="P11001" s="51"/>
      <c r="Q11001" s="51"/>
      <c r="R11001" s="51"/>
      <c r="S11001" s="38"/>
      <c r="T11001" s="38"/>
      <c r="AR11001" s="51"/>
      <c r="AS11001" s="1153" t="s">
        <v>3507</v>
      </c>
    </row>
    <row r="11002" spans="1:45" s="3" customFormat="1" thickBot="1">
      <c r="A11002" s="531"/>
      <c r="O11002" s="107"/>
      <c r="AR11002" s="531"/>
    </row>
    <row r="11003" spans="1:45" s="520" customFormat="1" thickTop="1">
      <c r="A11003" s="51"/>
      <c r="B11003" s="51"/>
      <c r="C11003" s="3"/>
      <c r="D11003" s="3"/>
      <c r="E11003" s="51"/>
      <c r="F11003" s="51"/>
      <c r="G11003" s="51"/>
      <c r="H11003" s="51"/>
      <c r="I11003" s="51"/>
      <c r="J11003" s="51"/>
      <c r="K11003" s="51" t="s">
        <v>134</v>
      </c>
      <c r="L11003" s="51"/>
      <c r="M11003" s="51"/>
      <c r="N11003" s="51"/>
      <c r="O11003" s="52"/>
      <c r="P11003" s="51"/>
      <c r="Q11003" s="51"/>
      <c r="R11003" s="51"/>
      <c r="S11003" s="51"/>
      <c r="T11003" s="51"/>
      <c r="AR11003" s="51"/>
      <c r="AS11003" s="51"/>
    </row>
    <row r="11004" spans="1:45" s="520" customFormat="1" ht="12">
      <c r="A11004" s="51"/>
      <c r="B11004" s="51"/>
      <c r="C11004" s="51" t="s">
        <v>135</v>
      </c>
      <c r="D11004" s="37"/>
      <c r="E11004" s="51"/>
      <c r="F11004" s="51"/>
      <c r="G11004" s="51"/>
      <c r="H11004" s="51"/>
      <c r="I11004" s="51"/>
      <c r="J11004" s="51"/>
      <c r="K11004" s="51"/>
      <c r="L11004" s="51"/>
      <c r="M11004" s="51"/>
      <c r="N11004" s="51"/>
      <c r="O11004" s="52"/>
      <c r="P11004" s="51"/>
      <c r="Q11004" s="51"/>
      <c r="R11004" s="51"/>
      <c r="S11004" s="51"/>
      <c r="T11004" s="51"/>
      <c r="AR11004" s="51"/>
      <c r="AS11004" s="51"/>
    </row>
    <row r="11005" spans="1:45" s="520" customFormat="1" ht="12">
      <c r="A11005" s="51"/>
      <c r="B11005" s="51"/>
      <c r="C11005" s="51"/>
      <c r="D11005" s="37" t="s">
        <v>347</v>
      </c>
      <c r="E11005" s="51"/>
      <c r="F11005" s="51"/>
      <c r="G11005" s="51"/>
      <c r="H11005" s="51"/>
      <c r="I11005" s="51"/>
      <c r="J11005" s="51"/>
      <c r="K11005" s="51"/>
      <c r="L11005" s="51"/>
      <c r="M11005" s="51"/>
      <c r="N11005" s="51"/>
      <c r="O11005" s="52"/>
      <c r="P11005" s="51"/>
      <c r="Q11005" s="51"/>
      <c r="R11005" s="51"/>
      <c r="S11005" s="38"/>
      <c r="T11005" s="38"/>
      <c r="AR11005" s="51"/>
      <c r="AS11005" s="51"/>
    </row>
    <row r="11006" spans="1:45" s="3" customFormat="1" thickBot="1">
      <c r="A11006" s="531"/>
      <c r="O11006" s="107"/>
      <c r="AR11006" s="531"/>
    </row>
    <row r="11007" spans="1:45" s="520" customFormat="1" thickTop="1">
      <c r="A11007" s="51"/>
      <c r="B11007" s="51"/>
      <c r="C11007" s="3"/>
      <c r="D11007" s="3"/>
      <c r="E11007" s="51"/>
      <c r="F11007" s="51"/>
      <c r="G11007" s="51"/>
      <c r="H11007" s="51"/>
      <c r="I11007" s="51"/>
      <c r="J11007" s="51"/>
      <c r="K11007" s="51" t="s">
        <v>134</v>
      </c>
      <c r="L11007" s="51"/>
      <c r="M11007" s="51"/>
      <c r="N11007" s="51"/>
      <c r="O11007" s="52"/>
      <c r="P11007" s="51"/>
      <c r="Q11007" s="51"/>
      <c r="R11007" s="51"/>
      <c r="S11007" s="51"/>
      <c r="T11007" s="51"/>
      <c r="AR11007" s="51"/>
      <c r="AS11007" s="51"/>
    </row>
    <row r="11008" spans="1:45" s="520" customFormat="1" ht="12">
      <c r="A11008" s="51"/>
      <c r="B11008" s="51"/>
      <c r="C11008" s="51" t="s">
        <v>135</v>
      </c>
      <c r="D11008" s="37"/>
      <c r="E11008" s="51"/>
      <c r="F11008" s="51"/>
      <c r="G11008" s="51"/>
      <c r="H11008" s="51"/>
      <c r="I11008" s="51"/>
      <c r="J11008" s="51"/>
      <c r="K11008" s="51"/>
      <c r="L11008" s="51"/>
      <c r="M11008" s="51"/>
      <c r="N11008" s="51"/>
      <c r="O11008" s="52"/>
      <c r="P11008" s="51"/>
      <c r="Q11008" s="51"/>
      <c r="R11008" s="51"/>
      <c r="S11008" s="51"/>
      <c r="T11008" s="51"/>
      <c r="AR11008" s="51"/>
      <c r="AS11008" s="51"/>
    </row>
    <row r="11009" spans="1:45" s="520" customFormat="1" ht="39.9" customHeight="1">
      <c r="A11009" s="51"/>
      <c r="B11009" s="51"/>
      <c r="C11009" s="51"/>
      <c r="D11009" s="1453" t="s">
        <v>2541</v>
      </c>
      <c r="E11009" s="1452"/>
      <c r="F11009" s="1452"/>
      <c r="G11009" s="1452"/>
      <c r="H11009" s="1452"/>
      <c r="I11009" s="1452"/>
      <c r="J11009" s="1452"/>
      <c r="K11009" s="1452"/>
      <c r="L11009" s="1452"/>
      <c r="M11009" s="1452"/>
      <c r="N11009" s="1452"/>
      <c r="O11009" s="1452"/>
      <c r="P11009" s="1452"/>
      <c r="Q11009" s="1452"/>
      <c r="R11009" s="1452"/>
      <c r="S11009" s="1452"/>
      <c r="T11009" s="1452"/>
      <c r="AR11009" s="51"/>
    </row>
    <row r="11010" spans="1:45" s="3" customFormat="1" thickBot="1">
      <c r="A11010" s="531"/>
      <c r="O11010" s="107"/>
      <c r="AR11010" s="531"/>
    </row>
    <row r="11011" spans="1:45" s="520" customFormat="1" ht="12" thickTop="1">
      <c r="A11011" s="51"/>
      <c r="B11011" s="41"/>
      <c r="C11011" s="51"/>
      <c r="E11011" s="42" t="s">
        <v>138</v>
      </c>
      <c r="F11011" s="42" t="s">
        <v>139</v>
      </c>
      <c r="G11011" s="51"/>
      <c r="H11011" s="51"/>
      <c r="I11011" s="51"/>
      <c r="J11011" s="51"/>
      <c r="K11011" s="51" t="s">
        <v>140</v>
      </c>
      <c r="L11011" s="51"/>
      <c r="M11011" s="51"/>
      <c r="N11011" s="51"/>
      <c r="O11011" s="52"/>
      <c r="P11011" s="51"/>
      <c r="Q11011" s="51"/>
      <c r="R11011" s="51"/>
      <c r="S11011" s="51"/>
      <c r="T11011" s="41"/>
      <c r="AG11011" s="521" t="s">
        <v>268</v>
      </c>
      <c r="AH11011" s="521" t="s">
        <v>269</v>
      </c>
      <c r="AI11011" s="521" t="s">
        <v>270</v>
      </c>
      <c r="AJ11011" s="521" t="s">
        <v>271</v>
      </c>
      <c r="AK11011" s="521" t="s">
        <v>272</v>
      </c>
      <c r="AM11011" s="745" t="s">
        <v>281</v>
      </c>
      <c r="AN11011" s="746" t="s">
        <v>282</v>
      </c>
      <c r="AO11011" s="522" t="s">
        <v>278</v>
      </c>
      <c r="AR11011" s="51"/>
      <c r="AS11011" s="42" t="s">
        <v>139</v>
      </c>
    </row>
    <row r="11012" spans="1:45" s="520" customFormat="1" ht="12" customHeight="1">
      <c r="A11012" s="747">
        <v>2</v>
      </c>
      <c r="B11012" s="523" t="s">
        <v>329</v>
      </c>
      <c r="C11012" s="748"/>
      <c r="D11012" s="749" t="s">
        <v>2041</v>
      </c>
      <c r="E11012" s="750">
        <f ca="1">IF(AND($A11012=0,$A$1="DIF"),0, ROUND(ROUND(($R11017*$S$2+($T11017*$T$2))/A11012,2)*$C$2,2))</f>
        <v>18.48</v>
      </c>
      <c r="F11012" s="751">
        <f ca="1">ROUND($A11012*$E11012,2)</f>
        <v>36.96</v>
      </c>
      <c r="G11012" s="752" t="s">
        <v>142</v>
      </c>
      <c r="H11012" s="753"/>
      <c r="I11012" s="754"/>
      <c r="J11012" s="753"/>
      <c r="K11012" s="753" t="s">
        <v>3</v>
      </c>
      <c r="L11012" s="755" t="s">
        <v>143</v>
      </c>
      <c r="M11012" s="755"/>
      <c r="N11012" s="755"/>
      <c r="O11012" s="755"/>
      <c r="P11012" s="755"/>
      <c r="Q11012" s="51"/>
      <c r="T11012" s="756" t="str">
        <f ca="1">IF(AND($R11017=0,$T11017=0),"0.00","mu :" &amp; ROUND($F11012/$C$2/($R11017+$T11017*$D$9),2))</f>
        <v>mu :1.23</v>
      </c>
      <c r="W11012" s="524"/>
      <c r="AG11012" s="481">
        <f ca="1">IF($E11012=0,0,ROUND($R11017*$S$2*$C$2/$A11012,2))</f>
        <v>6.65</v>
      </c>
      <c r="AH11012" s="481">
        <f ca="1">$AG11012*$A11012</f>
        <v>13.3</v>
      </c>
      <c r="AI11012" s="525">
        <f ca="1">$E11012-$AG11012</f>
        <v>11.83</v>
      </c>
      <c r="AJ11012" s="525">
        <f ca="1">$A11012*$AI11012</f>
        <v>23.66</v>
      </c>
      <c r="AK11012" s="526">
        <f ca="1">ROUND(($AG11012+$AI11012)*$A11012,2)</f>
        <v>36.96</v>
      </c>
      <c r="AM11012" s="527">
        <f ca="1">ROUND(R11017,2)</f>
        <v>10.8</v>
      </c>
      <c r="AN11012" s="528">
        <f ca="1">ROUND(T11017,2)</f>
        <v>0.7</v>
      </c>
      <c r="AO11012" s="529">
        <f ca="1">ROUND(AM11012+AN11012,2)*A11012</f>
        <v>23</v>
      </c>
      <c r="AR11012" s="747">
        <v>2</v>
      </c>
      <c r="AS11012" s="751">
        <v>39.68</v>
      </c>
    </row>
    <row r="11013" spans="1:45" s="520" customFormat="1" ht="13.2">
      <c r="A11013" s="748"/>
      <c r="B11013"/>
      <c r="C11013" s="748"/>
      <c r="D11013" s="749" t="s">
        <v>2214</v>
      </c>
      <c r="F11013" s="753"/>
      <c r="G11013" s="3"/>
      <c r="H11013" s="753"/>
      <c r="I11013" s="754"/>
      <c r="J11013" s="753"/>
      <c r="K11013" s="753" t="s">
        <v>144</v>
      </c>
      <c r="L11013" s="753"/>
      <c r="M11013" s="753"/>
      <c r="N11013" s="753"/>
      <c r="O11013" s="753"/>
      <c r="P11013" s="753"/>
      <c r="Q11013" s="51"/>
      <c r="R11013" s="530"/>
      <c r="S11013" s="757"/>
      <c r="T11013" s="753"/>
      <c r="AR11013" s="748"/>
      <c r="AS11013" s="753"/>
    </row>
    <row r="11014" spans="1:45" s="886" customFormat="1" ht="13.2">
      <c r="A11014"/>
      <c r="B11014" s="910"/>
      <c r="C11014" s="910" t="s">
        <v>2597</v>
      </c>
      <c r="D11014" s="910" t="str">
        <f ca="1">CELL("Address",Elec_Rates!D$1047)</f>
        <v>[E25_0062_Quintano_Foods_Elec_ELV_As_Awarded.xlsx]Elec_Rates!$D$1047</v>
      </c>
      <c r="E11014" s="911"/>
      <c r="F11014" s="911"/>
      <c r="G11014" s="912" t="s">
        <v>2598</v>
      </c>
      <c r="H11014" s="912"/>
      <c r="I11014" s="912"/>
      <c r="J11014" s="912"/>
      <c r="K11014" s="913"/>
      <c r="L11014" s="911"/>
      <c r="M11014" s="911"/>
      <c r="N11014" s="911"/>
      <c r="O11014" s="914"/>
      <c r="P11014" s="911"/>
      <c r="Q11014" s="915"/>
      <c r="R11014" s="916"/>
      <c r="S11014" s="915"/>
      <c r="T11014" s="917"/>
      <c r="U11014" s="918"/>
      <c r="AR11014"/>
      <c r="AS11014" s="911"/>
    </row>
    <row r="11015" spans="1:45" s="886" customFormat="1" ht="11.4">
      <c r="A11015" s="919">
        <v>2</v>
      </c>
      <c r="B11015" s="920">
        <v>1</v>
      </c>
      <c r="C11015" s="920">
        <f>$A11015*$B11015</f>
        <v>2</v>
      </c>
      <c r="D11015" s="921" t="str">
        <f>Elec_Rates!$D$1047</f>
        <v>095# LSZH Conduit points for Bathroom Alarm</v>
      </c>
      <c r="E11015" s="921"/>
      <c r="F11015" s="921" t="s">
        <v>2599</v>
      </c>
      <c r="G11015" s="922" t="s">
        <v>2600</v>
      </c>
      <c r="H11015" s="922"/>
      <c r="I11015" s="922"/>
      <c r="J11015" s="922"/>
      <c r="K11015" s="923"/>
      <c r="L11015" s="918"/>
      <c r="M11015" s="918"/>
      <c r="N11015" s="918"/>
      <c r="O11015" s="924"/>
      <c r="P11015" s="921"/>
      <c r="Q11015" s="925">
        <f ca="1">$B11015*Elec_Rates!$R$1047</f>
        <v>5.4</v>
      </c>
      <c r="R11015" s="916">
        <f ca="1">$A11015*Q11015</f>
        <v>10.8</v>
      </c>
      <c r="S11015" s="925">
        <f ca="1">$B11015*Elec_Rates!$T$1047</f>
        <v>0.35</v>
      </c>
      <c r="T11015" s="917">
        <f ca="1">$A11015*S11015</f>
        <v>0.7</v>
      </c>
      <c r="U11015" s="926"/>
      <c r="AR11015" s="919">
        <v>2</v>
      </c>
      <c r="AS11015" s="921" t="s">
        <v>2599</v>
      </c>
    </row>
    <row r="11016" spans="1:45" s="520" customFormat="1" ht="12">
      <c r="A11016" s="758"/>
      <c r="B11016" s="758"/>
      <c r="C11016" s="758"/>
      <c r="D11016" s="758"/>
      <c r="E11016" s="758"/>
      <c r="F11016" s="753"/>
      <c r="G11016" s="758"/>
      <c r="H11016" s="758"/>
      <c r="I11016" s="519"/>
      <c r="J11016" s="758"/>
      <c r="K11016" s="758"/>
      <c r="L11016" s="758"/>
      <c r="M11016" s="758"/>
      <c r="N11016" s="758"/>
      <c r="O11016" s="758"/>
      <c r="P11016" s="758"/>
      <c r="Q11016" s="519"/>
      <c r="R11016" s="759">
        <f>$A11016*Q11016</f>
        <v>0</v>
      </c>
      <c r="S11016" s="519"/>
      <c r="T11016" s="760">
        <f>$A11016*S11016*$T$1</f>
        <v>0</v>
      </c>
      <c r="AR11016" s="758"/>
      <c r="AS11016" s="753"/>
    </row>
    <row r="11017" spans="1:45" s="520" customFormat="1" ht="12.6" thickBot="1">
      <c r="A11017" s="761" t="s">
        <v>145</v>
      </c>
      <c r="B11017" s="762">
        <f>(R11016+T11016)</f>
        <v>0</v>
      </c>
      <c r="C11017" s="763"/>
      <c r="D11017" s="763"/>
      <c r="E11017" s="763"/>
      <c r="F11017" s="764"/>
      <c r="G11017" s="763" t="s">
        <v>146</v>
      </c>
      <c r="H11017" s="763"/>
      <c r="I11017" s="765"/>
      <c r="J11017" s="763"/>
      <c r="K11017" s="763" t="s">
        <v>3</v>
      </c>
      <c r="L11017" s="766" t="s">
        <v>143</v>
      </c>
      <c r="M11017" s="766"/>
      <c r="N11017" s="766"/>
      <c r="O11017" s="766"/>
      <c r="P11017" s="766"/>
      <c r="Q11017" s="767"/>
      <c r="R11017" s="768">
        <f ca="1">SUM(R11013:R11016)</f>
        <v>10.8</v>
      </c>
      <c r="S11017" s="763"/>
      <c r="T11017" s="768">
        <f ca="1">SUM(T11013:T11016)</f>
        <v>0.7</v>
      </c>
      <c r="U11017" s="531"/>
      <c r="V11017" s="531"/>
      <c r="W11017" s="531"/>
      <c r="X11017" s="531"/>
      <c r="Y11017" s="531"/>
      <c r="Z11017" s="531"/>
      <c r="AA11017" s="531"/>
      <c r="AB11017" s="531"/>
      <c r="AC11017" s="531"/>
      <c r="AD11017" s="531"/>
      <c r="AE11017" s="531"/>
      <c r="AF11017" s="531"/>
      <c r="AG11017" s="531"/>
      <c r="AH11017" s="531"/>
      <c r="AI11017" s="531"/>
      <c r="AJ11017" s="531"/>
      <c r="AK11017" s="531"/>
      <c r="AL11017" s="531"/>
      <c r="AM11017" s="531"/>
      <c r="AN11017" s="531"/>
      <c r="AO11017" s="531"/>
      <c r="AR11017" s="761" t="s">
        <v>145</v>
      </c>
      <c r="AS11017" s="764"/>
    </row>
    <row r="11018" spans="1:45" s="520" customFormat="1" ht="12" thickTop="1">
      <c r="A11018" s="51"/>
      <c r="B11018" s="41"/>
      <c r="C11018" s="51"/>
      <c r="E11018" s="42" t="s">
        <v>138</v>
      </c>
      <c r="F11018" s="42" t="s">
        <v>139</v>
      </c>
      <c r="G11018" s="51"/>
      <c r="H11018" s="51"/>
      <c r="I11018" s="51"/>
      <c r="J11018" s="51"/>
      <c r="K11018" s="51" t="s">
        <v>140</v>
      </c>
      <c r="L11018" s="51"/>
      <c r="M11018" s="51"/>
      <c r="N11018" s="51"/>
      <c r="O11018" s="52"/>
      <c r="P11018" s="51"/>
      <c r="Q11018" s="51"/>
      <c r="R11018" s="51"/>
      <c r="S11018" s="51"/>
      <c r="T11018" s="41"/>
      <c r="AG11018" s="521" t="s">
        <v>268</v>
      </c>
      <c r="AH11018" s="521" t="s">
        <v>269</v>
      </c>
      <c r="AI11018" s="521" t="s">
        <v>270</v>
      </c>
      <c r="AJ11018" s="521" t="s">
        <v>271</v>
      </c>
      <c r="AK11018" s="521" t="s">
        <v>272</v>
      </c>
      <c r="AM11018" s="745" t="s">
        <v>281</v>
      </c>
      <c r="AN11018" s="746" t="s">
        <v>282</v>
      </c>
      <c r="AO11018" s="522" t="s">
        <v>278</v>
      </c>
      <c r="AR11018" s="51"/>
      <c r="AS11018" s="42" t="s">
        <v>139</v>
      </c>
    </row>
    <row r="11019" spans="1:45" s="520" customFormat="1" ht="12" customHeight="1">
      <c r="A11019" s="747">
        <v>2</v>
      </c>
      <c r="B11019" s="523" t="s">
        <v>329</v>
      </c>
      <c r="C11019" s="748"/>
      <c r="D11019" s="749" t="s">
        <v>2042</v>
      </c>
      <c r="E11019" s="750">
        <f ca="1">IF(AND($A11019=0,$A$1="DIF"),0, ROUND(ROUND(($R11024*$S$2+($T11024*$T$2))/A11019,2)*$C$2,2))</f>
        <v>18.48</v>
      </c>
      <c r="F11019" s="751">
        <f ca="1">ROUND($A11019*$E11019,2)</f>
        <v>36.96</v>
      </c>
      <c r="G11019" s="752" t="s">
        <v>142</v>
      </c>
      <c r="H11019" s="753"/>
      <c r="I11019" s="754"/>
      <c r="J11019" s="753"/>
      <c r="K11019" s="753" t="s">
        <v>3</v>
      </c>
      <c r="L11019" s="755" t="s">
        <v>143</v>
      </c>
      <c r="M11019" s="755"/>
      <c r="N11019" s="755"/>
      <c r="O11019" s="755"/>
      <c r="P11019" s="755"/>
      <c r="Q11019" s="51"/>
      <c r="T11019" s="756" t="str">
        <f ca="1">IF(AND($R11024=0,$T11024=0),"0.00","mu :" &amp; ROUND($F11019/$C$2/($R11024+$T11024*$D$9),2))</f>
        <v>mu :1.23</v>
      </c>
      <c r="W11019" s="524"/>
      <c r="AG11019" s="481">
        <f ca="1">IF($E11019=0,0,ROUND($R11024*$S$2*$C$2/$A11019,2))</f>
        <v>6.65</v>
      </c>
      <c r="AH11019" s="481">
        <f ca="1">$AG11019*$A11019</f>
        <v>13.3</v>
      </c>
      <c r="AI11019" s="525">
        <f ca="1">$E11019-$AG11019</f>
        <v>11.83</v>
      </c>
      <c r="AJ11019" s="525">
        <f ca="1">$A11019*$AI11019</f>
        <v>23.66</v>
      </c>
      <c r="AK11019" s="526">
        <f ca="1">ROUND(($AG11019+$AI11019)*$A11019,2)</f>
        <v>36.96</v>
      </c>
      <c r="AM11019" s="527">
        <f ca="1">ROUND(R11024,2)</f>
        <v>10.8</v>
      </c>
      <c r="AN11019" s="528">
        <f ca="1">ROUND(T11024,2)</f>
        <v>0.7</v>
      </c>
      <c r="AO11019" s="529">
        <f ca="1">ROUND(AM11019+AN11019,2)*A11019</f>
        <v>23</v>
      </c>
      <c r="AR11019" s="747">
        <v>2</v>
      </c>
      <c r="AS11019" s="751">
        <v>39.68</v>
      </c>
    </row>
    <row r="11020" spans="1:45" s="520" customFormat="1" ht="13.2">
      <c r="A11020" s="748"/>
      <c r="B11020"/>
      <c r="C11020" s="748"/>
      <c r="D11020" s="749" t="s">
        <v>2215</v>
      </c>
      <c r="F11020" s="753"/>
      <c r="G11020" s="3"/>
      <c r="H11020" s="753"/>
      <c r="I11020" s="754"/>
      <c r="J11020" s="753"/>
      <c r="K11020" s="753" t="s">
        <v>144</v>
      </c>
      <c r="L11020" s="753"/>
      <c r="M11020" s="753"/>
      <c r="N11020" s="753"/>
      <c r="O11020" s="753"/>
      <c r="P11020" s="753"/>
      <c r="Q11020" s="51"/>
      <c r="R11020" s="530"/>
      <c r="S11020" s="757"/>
      <c r="T11020" s="753"/>
      <c r="AR11020" s="748"/>
      <c r="AS11020" s="753"/>
    </row>
    <row r="11021" spans="1:45" s="886" customFormat="1" ht="13.2">
      <c r="A11021"/>
      <c r="B11021" s="910"/>
      <c r="C11021" s="910" t="s">
        <v>2597</v>
      </c>
      <c r="D11021" s="910" t="str">
        <f ca="1">CELL("Address",Elec_Rates!D$1047)</f>
        <v>[E25_0062_Quintano_Foods_Elec_ELV_As_Awarded.xlsx]Elec_Rates!$D$1047</v>
      </c>
      <c r="E11021" s="911"/>
      <c r="F11021" s="911"/>
      <c r="G11021" s="912" t="s">
        <v>2598</v>
      </c>
      <c r="H11021" s="912"/>
      <c r="I11021" s="912"/>
      <c r="J11021" s="912"/>
      <c r="K11021" s="913"/>
      <c r="L11021" s="911"/>
      <c r="M11021" s="911"/>
      <c r="N11021" s="911"/>
      <c r="O11021" s="914"/>
      <c r="P11021" s="911"/>
      <c r="Q11021" s="915"/>
      <c r="R11021" s="916"/>
      <c r="S11021" s="915"/>
      <c r="T11021" s="917"/>
      <c r="U11021" s="918"/>
      <c r="AR11021"/>
      <c r="AS11021" s="911"/>
    </row>
    <row r="11022" spans="1:45" s="886" customFormat="1" ht="11.4">
      <c r="A11022" s="919">
        <v>2</v>
      </c>
      <c r="B11022" s="920">
        <v>1</v>
      </c>
      <c r="C11022" s="920">
        <f>$A11022*$B11022</f>
        <v>2</v>
      </c>
      <c r="D11022" s="921" t="str">
        <f>Elec_Rates!$D$1047</f>
        <v>095# LSZH Conduit points for Bathroom Alarm</v>
      </c>
      <c r="E11022" s="921"/>
      <c r="F11022" s="921" t="s">
        <v>2599</v>
      </c>
      <c r="G11022" s="922" t="s">
        <v>2600</v>
      </c>
      <c r="H11022" s="922"/>
      <c r="I11022" s="922"/>
      <c r="J11022" s="922"/>
      <c r="K11022" s="923"/>
      <c r="L11022" s="918"/>
      <c r="M11022" s="918"/>
      <c r="N11022" s="918"/>
      <c r="O11022" s="924"/>
      <c r="P11022" s="921"/>
      <c r="Q11022" s="925">
        <f ca="1">$B11022*Elec_Rates!$R$1047</f>
        <v>5.4</v>
      </c>
      <c r="R11022" s="916">
        <f ca="1">$A11022*Q11022</f>
        <v>10.8</v>
      </c>
      <c r="S11022" s="925">
        <f ca="1">$B11022*Elec_Rates!$T$1047</f>
        <v>0.35</v>
      </c>
      <c r="T11022" s="917">
        <f ca="1">$A11022*S11022</f>
        <v>0.7</v>
      </c>
      <c r="U11022" s="926"/>
      <c r="AR11022" s="919">
        <v>2</v>
      </c>
      <c r="AS11022" s="921" t="s">
        <v>2599</v>
      </c>
    </row>
    <row r="11023" spans="1:45" s="520" customFormat="1" ht="12">
      <c r="A11023" s="758"/>
      <c r="B11023" s="758"/>
      <c r="C11023" s="758"/>
      <c r="D11023" s="758"/>
      <c r="E11023" s="758"/>
      <c r="F11023" s="753"/>
      <c r="G11023" s="758"/>
      <c r="H11023" s="758"/>
      <c r="I11023" s="519"/>
      <c r="J11023" s="758"/>
      <c r="K11023" s="758"/>
      <c r="L11023" s="758"/>
      <c r="M11023" s="758"/>
      <c r="N11023" s="758"/>
      <c r="O11023" s="758"/>
      <c r="P11023" s="758"/>
      <c r="Q11023" s="519"/>
      <c r="R11023" s="759">
        <f>$A11023*Q11023</f>
        <v>0</v>
      </c>
      <c r="S11023" s="519"/>
      <c r="T11023" s="760">
        <f>$A11023*S11023*$T$1</f>
        <v>0</v>
      </c>
      <c r="AR11023" s="758"/>
      <c r="AS11023" s="753"/>
    </row>
    <row r="11024" spans="1:45" s="520" customFormat="1" ht="12.6" thickBot="1">
      <c r="A11024" s="761" t="s">
        <v>145</v>
      </c>
      <c r="B11024" s="762">
        <f>(R11023+T11023)</f>
        <v>0</v>
      </c>
      <c r="C11024" s="763"/>
      <c r="D11024" s="763"/>
      <c r="E11024" s="763"/>
      <c r="F11024" s="764"/>
      <c r="G11024" s="763" t="s">
        <v>146</v>
      </c>
      <c r="H11024" s="763"/>
      <c r="I11024" s="765"/>
      <c r="J11024" s="763"/>
      <c r="K11024" s="763" t="s">
        <v>3</v>
      </c>
      <c r="L11024" s="766" t="s">
        <v>143</v>
      </c>
      <c r="M11024" s="766"/>
      <c r="N11024" s="766"/>
      <c r="O11024" s="766"/>
      <c r="P11024" s="766"/>
      <c r="Q11024" s="767"/>
      <c r="R11024" s="768">
        <f ca="1">SUM(R11020:R11023)</f>
        <v>10.8</v>
      </c>
      <c r="S11024" s="763"/>
      <c r="T11024" s="768">
        <f ca="1">SUM(T11020:T11023)</f>
        <v>0.7</v>
      </c>
      <c r="U11024" s="531"/>
      <c r="V11024" s="531"/>
      <c r="W11024" s="531"/>
      <c r="X11024" s="531"/>
      <c r="Y11024" s="531"/>
      <c r="Z11024" s="531"/>
      <c r="AA11024" s="531"/>
      <c r="AB11024" s="531"/>
      <c r="AC11024" s="531"/>
      <c r="AD11024" s="531"/>
      <c r="AE11024" s="531"/>
      <c r="AF11024" s="531"/>
      <c r="AG11024" s="531"/>
      <c r="AH11024" s="531"/>
      <c r="AI11024" s="531"/>
      <c r="AJ11024" s="531"/>
      <c r="AK11024" s="531"/>
      <c r="AL11024" s="531"/>
      <c r="AM11024" s="531"/>
      <c r="AN11024" s="531"/>
      <c r="AO11024" s="531"/>
      <c r="AR11024" s="761" t="s">
        <v>145</v>
      </c>
      <c r="AS11024" s="764"/>
    </row>
    <row r="11025" spans="1:45" s="520" customFormat="1" ht="12" thickTop="1">
      <c r="A11025" s="51"/>
      <c r="B11025" s="41"/>
      <c r="C11025" s="51"/>
      <c r="E11025" s="42" t="s">
        <v>138</v>
      </c>
      <c r="F11025" s="42" t="s">
        <v>139</v>
      </c>
      <c r="G11025" s="51"/>
      <c r="H11025" s="51"/>
      <c r="I11025" s="51"/>
      <c r="J11025" s="51"/>
      <c r="K11025" s="51" t="s">
        <v>140</v>
      </c>
      <c r="L11025" s="51"/>
      <c r="M11025" s="51"/>
      <c r="N11025" s="51"/>
      <c r="O11025" s="52"/>
      <c r="P11025" s="51"/>
      <c r="Q11025" s="51"/>
      <c r="R11025" s="51"/>
      <c r="S11025" s="51"/>
      <c r="T11025" s="41"/>
      <c r="AG11025" s="521" t="s">
        <v>268</v>
      </c>
      <c r="AH11025" s="521" t="s">
        <v>269</v>
      </c>
      <c r="AI11025" s="521" t="s">
        <v>270</v>
      </c>
      <c r="AJ11025" s="521" t="s">
        <v>271</v>
      </c>
      <c r="AK11025" s="521" t="s">
        <v>272</v>
      </c>
      <c r="AM11025" s="745" t="s">
        <v>281</v>
      </c>
      <c r="AN11025" s="746" t="s">
        <v>282</v>
      </c>
      <c r="AO11025" s="522" t="s">
        <v>278</v>
      </c>
      <c r="AR11025" s="51"/>
      <c r="AS11025" s="42" t="s">
        <v>139</v>
      </c>
    </row>
    <row r="11026" spans="1:45" s="520" customFormat="1" ht="12" customHeight="1">
      <c r="A11026" s="747">
        <v>2</v>
      </c>
      <c r="B11026" s="523" t="s">
        <v>329</v>
      </c>
      <c r="C11026" s="748"/>
      <c r="D11026" s="749" t="s">
        <v>2043</v>
      </c>
      <c r="E11026" s="750">
        <f ca="1">IF(AND($A11026=0,$A$1="DIF"),0, ROUND(ROUND(($R11031*$S$2+($T11031*$T$2))/A11026,2)*$C$2,2))</f>
        <v>18.48</v>
      </c>
      <c r="F11026" s="751">
        <f ca="1">ROUND($A11026*$E11026,2)</f>
        <v>36.96</v>
      </c>
      <c r="G11026" s="752" t="s">
        <v>142</v>
      </c>
      <c r="H11026" s="753"/>
      <c r="I11026" s="754"/>
      <c r="J11026" s="753"/>
      <c r="K11026" s="753" t="s">
        <v>3</v>
      </c>
      <c r="L11026" s="755" t="s">
        <v>143</v>
      </c>
      <c r="M11026" s="755"/>
      <c r="N11026" s="755"/>
      <c r="O11026" s="755"/>
      <c r="P11026" s="755"/>
      <c r="Q11026" s="51"/>
      <c r="T11026" s="756" t="str">
        <f ca="1">IF(AND($R11031=0,$T11031=0),"0.00","mu :" &amp; ROUND($F11026/$C$2/($R11031+$T11031*$D$9),2))</f>
        <v>mu :1.23</v>
      </c>
      <c r="W11026" s="524"/>
      <c r="AG11026" s="481">
        <f ca="1">IF($E11026=0,0,ROUND($R11031*$S$2*$C$2/$A11026,2))</f>
        <v>6.65</v>
      </c>
      <c r="AH11026" s="481">
        <f ca="1">$AG11026*$A11026</f>
        <v>13.3</v>
      </c>
      <c r="AI11026" s="525">
        <f ca="1">$E11026-$AG11026</f>
        <v>11.83</v>
      </c>
      <c r="AJ11026" s="525">
        <f ca="1">$A11026*$AI11026</f>
        <v>23.66</v>
      </c>
      <c r="AK11026" s="526">
        <f ca="1">ROUND(($AG11026+$AI11026)*$A11026,2)</f>
        <v>36.96</v>
      </c>
      <c r="AM11026" s="527">
        <f ca="1">ROUND(R11031,2)</f>
        <v>10.8</v>
      </c>
      <c r="AN11026" s="528">
        <f ca="1">ROUND(T11031,2)</f>
        <v>0.7</v>
      </c>
      <c r="AO11026" s="529">
        <f ca="1">ROUND(AM11026+AN11026,2)*A11026</f>
        <v>23</v>
      </c>
      <c r="AR11026" s="747">
        <v>2</v>
      </c>
      <c r="AS11026" s="751">
        <v>39.68</v>
      </c>
    </row>
    <row r="11027" spans="1:45" s="520" customFormat="1" ht="13.2">
      <c r="A11027" s="748"/>
      <c r="B11027"/>
      <c r="C11027" s="748"/>
      <c r="D11027" s="749" t="s">
        <v>2216</v>
      </c>
      <c r="F11027" s="753"/>
      <c r="G11027" s="3"/>
      <c r="H11027" s="753"/>
      <c r="I11027" s="754"/>
      <c r="J11027" s="753"/>
      <c r="K11027" s="753" t="s">
        <v>144</v>
      </c>
      <c r="L11027" s="753"/>
      <c r="M11027" s="753"/>
      <c r="N11027" s="753"/>
      <c r="O11027" s="753"/>
      <c r="P11027" s="753"/>
      <c r="Q11027" s="51"/>
      <c r="R11027" s="530"/>
      <c r="S11027" s="757"/>
      <c r="T11027" s="753"/>
      <c r="AR11027" s="748"/>
      <c r="AS11027" s="753"/>
    </row>
    <row r="11028" spans="1:45" s="886" customFormat="1" ht="13.2">
      <c r="A11028"/>
      <c r="B11028" s="910"/>
      <c r="C11028" s="910" t="s">
        <v>2597</v>
      </c>
      <c r="D11028" s="910" t="str">
        <f ca="1">CELL("Address",Elec_Rates!D$1047)</f>
        <v>[E25_0062_Quintano_Foods_Elec_ELV_As_Awarded.xlsx]Elec_Rates!$D$1047</v>
      </c>
      <c r="E11028" s="911"/>
      <c r="F11028" s="911"/>
      <c r="G11028" s="912" t="s">
        <v>2598</v>
      </c>
      <c r="H11028" s="912"/>
      <c r="I11028" s="912"/>
      <c r="J11028" s="912"/>
      <c r="K11028" s="913"/>
      <c r="L11028" s="911"/>
      <c r="M11028" s="911"/>
      <c r="N11028" s="911"/>
      <c r="O11028" s="914"/>
      <c r="P11028" s="911"/>
      <c r="Q11028" s="915"/>
      <c r="R11028" s="916"/>
      <c r="S11028" s="915"/>
      <c r="T11028" s="917"/>
      <c r="U11028" s="918"/>
      <c r="AR11028"/>
      <c r="AS11028" s="911"/>
    </row>
    <row r="11029" spans="1:45" s="886" customFormat="1" ht="11.4">
      <c r="A11029" s="919">
        <v>2</v>
      </c>
      <c r="B11029" s="920">
        <v>1</v>
      </c>
      <c r="C11029" s="920">
        <f>$A11029*$B11029</f>
        <v>2</v>
      </c>
      <c r="D11029" s="921" t="str">
        <f>Elec_Rates!$D$1047</f>
        <v>095# LSZH Conduit points for Bathroom Alarm</v>
      </c>
      <c r="E11029" s="921"/>
      <c r="F11029" s="921" t="s">
        <v>2599</v>
      </c>
      <c r="G11029" s="922" t="s">
        <v>2600</v>
      </c>
      <c r="H11029" s="922"/>
      <c r="I11029" s="922"/>
      <c r="J11029" s="922"/>
      <c r="K11029" s="923"/>
      <c r="L11029" s="918"/>
      <c r="M11029" s="918"/>
      <c r="N11029" s="918"/>
      <c r="O11029" s="924"/>
      <c r="P11029" s="921"/>
      <c r="Q11029" s="925">
        <f ca="1">$B11029*Elec_Rates!$R$1047</f>
        <v>5.4</v>
      </c>
      <c r="R11029" s="916">
        <f ca="1">$A11029*Q11029</f>
        <v>10.8</v>
      </c>
      <c r="S11029" s="925">
        <f ca="1">$B11029*Elec_Rates!$T$1047</f>
        <v>0.35</v>
      </c>
      <c r="T11029" s="917">
        <f ca="1">$A11029*S11029</f>
        <v>0.7</v>
      </c>
      <c r="U11029" s="926"/>
      <c r="AR11029" s="919">
        <v>2</v>
      </c>
      <c r="AS11029" s="921" t="s">
        <v>2599</v>
      </c>
    </row>
    <row r="11030" spans="1:45" s="520" customFormat="1" ht="12">
      <c r="A11030" s="758"/>
      <c r="B11030" s="758"/>
      <c r="C11030" s="758"/>
      <c r="D11030" s="758"/>
      <c r="E11030" s="758"/>
      <c r="F11030" s="753"/>
      <c r="G11030" s="758"/>
      <c r="H11030" s="758"/>
      <c r="I11030" s="519"/>
      <c r="J11030" s="758"/>
      <c r="K11030" s="758"/>
      <c r="L11030" s="758"/>
      <c r="M11030" s="758"/>
      <c r="N11030" s="758"/>
      <c r="O11030" s="758"/>
      <c r="P11030" s="758"/>
      <c r="Q11030" s="519"/>
      <c r="R11030" s="759">
        <f>$A11030*Q11030</f>
        <v>0</v>
      </c>
      <c r="S11030" s="519"/>
      <c r="T11030" s="760">
        <f>$A11030*S11030*$T$1</f>
        <v>0</v>
      </c>
      <c r="AR11030" s="758"/>
      <c r="AS11030" s="753"/>
    </row>
    <row r="11031" spans="1:45" s="520" customFormat="1" ht="12.6" thickBot="1">
      <c r="A11031" s="761" t="s">
        <v>145</v>
      </c>
      <c r="B11031" s="762">
        <f>(R11030+T11030)</f>
        <v>0</v>
      </c>
      <c r="C11031" s="763"/>
      <c r="D11031" s="763"/>
      <c r="E11031" s="763"/>
      <c r="F11031" s="764"/>
      <c r="G11031" s="763" t="s">
        <v>146</v>
      </c>
      <c r="H11031" s="763"/>
      <c r="I11031" s="765"/>
      <c r="J11031" s="763"/>
      <c r="K11031" s="763" t="s">
        <v>3</v>
      </c>
      <c r="L11031" s="766" t="s">
        <v>143</v>
      </c>
      <c r="M11031" s="766"/>
      <c r="N11031" s="766"/>
      <c r="O11031" s="766"/>
      <c r="P11031" s="766"/>
      <c r="Q11031" s="767"/>
      <c r="R11031" s="768">
        <f ca="1">SUM(R11027:R11030)</f>
        <v>10.8</v>
      </c>
      <c r="S11031" s="763"/>
      <c r="T11031" s="768">
        <f ca="1">SUM(T11027:T11030)</f>
        <v>0.7</v>
      </c>
      <c r="U11031" s="531"/>
      <c r="V11031" s="531"/>
      <c r="W11031" s="531"/>
      <c r="X11031" s="531"/>
      <c r="Y11031" s="531"/>
      <c r="Z11031" s="531"/>
      <c r="AA11031" s="531"/>
      <c r="AB11031" s="531"/>
      <c r="AC11031" s="531"/>
      <c r="AD11031" s="531"/>
      <c r="AE11031" s="531"/>
      <c r="AF11031" s="531"/>
      <c r="AG11031" s="531"/>
      <c r="AH11031" s="531"/>
      <c r="AI11031" s="531"/>
      <c r="AJ11031" s="531"/>
      <c r="AK11031" s="531"/>
      <c r="AL11031" s="531"/>
      <c r="AM11031" s="531"/>
      <c r="AN11031" s="531"/>
      <c r="AO11031" s="531"/>
      <c r="AR11031" s="761" t="s">
        <v>145</v>
      </c>
      <c r="AS11031" s="764"/>
    </row>
    <row r="11032" spans="1:45" s="520" customFormat="1" ht="12" thickTop="1">
      <c r="A11032" s="51"/>
      <c r="B11032" s="41"/>
      <c r="C11032" s="51"/>
      <c r="E11032" s="42" t="s">
        <v>138</v>
      </c>
      <c r="F11032" s="42" t="s">
        <v>139</v>
      </c>
      <c r="G11032" s="51"/>
      <c r="H11032" s="51"/>
      <c r="I11032" s="51"/>
      <c r="J11032" s="51"/>
      <c r="K11032" s="51" t="s">
        <v>140</v>
      </c>
      <c r="L11032" s="51"/>
      <c r="M11032" s="51"/>
      <c r="N11032" s="51"/>
      <c r="O11032" s="52"/>
      <c r="P11032" s="51"/>
      <c r="Q11032" s="51"/>
      <c r="R11032" s="51"/>
      <c r="S11032" s="51"/>
      <c r="T11032" s="41"/>
      <c r="AG11032" s="521" t="s">
        <v>268</v>
      </c>
      <c r="AH11032" s="521" t="s">
        <v>269</v>
      </c>
      <c r="AI11032" s="521" t="s">
        <v>270</v>
      </c>
      <c r="AJ11032" s="521" t="s">
        <v>271</v>
      </c>
      <c r="AK11032" s="521" t="s">
        <v>272</v>
      </c>
      <c r="AM11032" s="745" t="s">
        <v>281</v>
      </c>
      <c r="AN11032" s="746" t="s">
        <v>282</v>
      </c>
      <c r="AO11032" s="522" t="s">
        <v>278</v>
      </c>
      <c r="AR11032" s="51"/>
      <c r="AS11032" s="42" t="s">
        <v>139</v>
      </c>
    </row>
    <row r="11033" spans="1:45" s="520" customFormat="1" ht="12" customHeight="1">
      <c r="A11033" s="747">
        <v>2</v>
      </c>
      <c r="B11033" s="523" t="s">
        <v>329</v>
      </c>
      <c r="C11033" s="748"/>
      <c r="D11033" s="749" t="s">
        <v>2542</v>
      </c>
      <c r="E11033" s="750">
        <f ca="1">IF(AND($A11033=0,$A$1="DIF"),0, ROUND(ROUND(($R11038*$S$2+($T11038*$T$2))/A11033,2)*$C$2,2))</f>
        <v>18.48</v>
      </c>
      <c r="F11033" s="751">
        <f ca="1">ROUND($A11033*$E11033,2)</f>
        <v>36.96</v>
      </c>
      <c r="G11033" s="752" t="s">
        <v>142</v>
      </c>
      <c r="H11033" s="753"/>
      <c r="I11033" s="754"/>
      <c r="J11033" s="753"/>
      <c r="K11033" s="753" t="s">
        <v>3</v>
      </c>
      <c r="L11033" s="755" t="s">
        <v>143</v>
      </c>
      <c r="M11033" s="755"/>
      <c r="N11033" s="755"/>
      <c r="O11033" s="755"/>
      <c r="P11033" s="755"/>
      <c r="Q11033" s="51"/>
      <c r="T11033" s="756" t="str">
        <f ca="1">IF(AND($R11038=0,$T11038=0),"0.00","mu :" &amp; ROUND($F11033/$C$2/($R11038+$T11038*$D$9),2))</f>
        <v>mu :1.23</v>
      </c>
      <c r="W11033" s="524"/>
      <c r="AG11033" s="481">
        <f ca="1">IF($E11033=0,0,ROUND($R11038*$S$2*$C$2/$A11033,2))</f>
        <v>6.65</v>
      </c>
      <c r="AH11033" s="481">
        <f ca="1">$AG11033*$A11033</f>
        <v>13.3</v>
      </c>
      <c r="AI11033" s="525">
        <f ca="1">$E11033-$AG11033</f>
        <v>11.83</v>
      </c>
      <c r="AJ11033" s="525">
        <f ca="1">$A11033*$AI11033</f>
        <v>23.66</v>
      </c>
      <c r="AK11033" s="526">
        <f ca="1">ROUND(($AG11033+$AI11033)*$A11033,2)</f>
        <v>36.96</v>
      </c>
      <c r="AM11033" s="527">
        <f ca="1">ROUND(R11038,2)</f>
        <v>10.8</v>
      </c>
      <c r="AN11033" s="528">
        <f ca="1">ROUND(T11038,2)</f>
        <v>0.7</v>
      </c>
      <c r="AO11033" s="529">
        <f ca="1">ROUND(AM11033+AN11033,2)*A11033</f>
        <v>23</v>
      </c>
      <c r="AR11033" s="747">
        <v>2</v>
      </c>
      <c r="AS11033" s="751">
        <v>39.68</v>
      </c>
    </row>
    <row r="11034" spans="1:45" s="520" customFormat="1" ht="13.2">
      <c r="A11034" s="748"/>
      <c r="B11034"/>
      <c r="C11034" s="748"/>
      <c r="D11034" s="749" t="s">
        <v>2217</v>
      </c>
      <c r="F11034" s="753"/>
      <c r="G11034" s="3"/>
      <c r="H11034" s="753"/>
      <c r="I11034" s="754"/>
      <c r="J11034" s="753"/>
      <c r="K11034" s="753" t="s">
        <v>144</v>
      </c>
      <c r="L11034" s="753"/>
      <c r="M11034" s="753"/>
      <c r="N11034" s="753"/>
      <c r="O11034" s="753"/>
      <c r="P11034" s="753"/>
      <c r="Q11034" s="51"/>
      <c r="R11034" s="530"/>
      <c r="S11034" s="757"/>
      <c r="T11034" s="753"/>
      <c r="AR11034" s="748"/>
      <c r="AS11034" s="753"/>
    </row>
    <row r="11035" spans="1:45" s="886" customFormat="1" ht="13.2">
      <c r="A11035"/>
      <c r="B11035" s="910"/>
      <c r="C11035" s="910" t="s">
        <v>2597</v>
      </c>
      <c r="D11035" s="910" t="str">
        <f ca="1">CELL("Address",Elec_Rates!D$1047)</f>
        <v>[E25_0062_Quintano_Foods_Elec_ELV_As_Awarded.xlsx]Elec_Rates!$D$1047</v>
      </c>
      <c r="E11035" s="911"/>
      <c r="F11035" s="911"/>
      <c r="G11035" s="912" t="s">
        <v>2598</v>
      </c>
      <c r="H11035" s="912"/>
      <c r="I11035" s="912"/>
      <c r="J11035" s="912"/>
      <c r="K11035" s="913"/>
      <c r="L11035" s="911"/>
      <c r="M11035" s="911"/>
      <c r="N11035" s="911"/>
      <c r="O11035" s="914"/>
      <c r="P11035" s="911"/>
      <c r="Q11035" s="915"/>
      <c r="R11035" s="916"/>
      <c r="S11035" s="915"/>
      <c r="T11035" s="917"/>
      <c r="U11035" s="918"/>
      <c r="AR11035"/>
      <c r="AS11035" s="911"/>
    </row>
    <row r="11036" spans="1:45" s="886" customFormat="1" ht="11.4">
      <c r="A11036" s="919">
        <v>2</v>
      </c>
      <c r="B11036" s="920">
        <v>1</v>
      </c>
      <c r="C11036" s="920">
        <f>$A11036*$B11036</f>
        <v>2</v>
      </c>
      <c r="D11036" s="921" t="str">
        <f>Elec_Rates!$D$1047</f>
        <v>095# LSZH Conduit points for Bathroom Alarm</v>
      </c>
      <c r="E11036" s="921"/>
      <c r="F11036" s="921" t="s">
        <v>2599</v>
      </c>
      <c r="G11036" s="922" t="s">
        <v>2600</v>
      </c>
      <c r="H11036" s="922"/>
      <c r="I11036" s="922"/>
      <c r="J11036" s="922"/>
      <c r="K11036" s="923"/>
      <c r="L11036" s="918"/>
      <c r="M11036" s="918"/>
      <c r="N11036" s="918"/>
      <c r="O11036" s="924"/>
      <c r="P11036" s="921"/>
      <c r="Q11036" s="925">
        <f ca="1">$B11036*Elec_Rates!$R$1047</f>
        <v>5.4</v>
      </c>
      <c r="R11036" s="916">
        <f ca="1">$A11036*Q11036</f>
        <v>10.8</v>
      </c>
      <c r="S11036" s="925">
        <f ca="1">$B11036*Elec_Rates!$T$1047</f>
        <v>0.35</v>
      </c>
      <c r="T11036" s="917">
        <f ca="1">$A11036*S11036</f>
        <v>0.7</v>
      </c>
      <c r="U11036" s="926"/>
      <c r="AR11036" s="919">
        <v>2</v>
      </c>
      <c r="AS11036" s="921" t="s">
        <v>2599</v>
      </c>
    </row>
    <row r="11037" spans="1:45" s="520" customFormat="1" ht="12">
      <c r="A11037" s="758"/>
      <c r="B11037" s="758"/>
      <c r="C11037" s="758"/>
      <c r="D11037" s="758"/>
      <c r="E11037" s="758"/>
      <c r="F11037" s="753"/>
      <c r="G11037" s="758"/>
      <c r="H11037" s="758"/>
      <c r="I11037" s="519"/>
      <c r="J11037" s="758"/>
      <c r="K11037" s="758"/>
      <c r="L11037" s="758"/>
      <c r="M11037" s="758"/>
      <c r="N11037" s="758"/>
      <c r="O11037" s="758"/>
      <c r="P11037" s="758"/>
      <c r="Q11037" s="519"/>
      <c r="R11037" s="759">
        <f>$A11037*Q11037</f>
        <v>0</v>
      </c>
      <c r="S11037" s="519"/>
      <c r="T11037" s="760">
        <f>$A11037*S11037*$T$1</f>
        <v>0</v>
      </c>
      <c r="AR11037" s="758"/>
      <c r="AS11037" s="753"/>
    </row>
    <row r="11038" spans="1:45" s="520" customFormat="1" ht="12.6" thickBot="1">
      <c r="A11038" s="761" t="s">
        <v>145</v>
      </c>
      <c r="B11038" s="762">
        <f>(R11037+T11037)</f>
        <v>0</v>
      </c>
      <c r="C11038" s="763"/>
      <c r="D11038" s="763"/>
      <c r="E11038" s="763"/>
      <c r="F11038" s="764"/>
      <c r="G11038" s="763" t="s">
        <v>146</v>
      </c>
      <c r="H11038" s="763"/>
      <c r="I11038" s="765"/>
      <c r="J11038" s="763"/>
      <c r="K11038" s="763" t="s">
        <v>3</v>
      </c>
      <c r="L11038" s="766" t="s">
        <v>143</v>
      </c>
      <c r="M11038" s="766"/>
      <c r="N11038" s="766"/>
      <c r="O11038" s="766"/>
      <c r="P11038" s="766"/>
      <c r="Q11038" s="767"/>
      <c r="R11038" s="768">
        <f ca="1">SUM(R11034:R11037)</f>
        <v>10.8</v>
      </c>
      <c r="S11038" s="763"/>
      <c r="T11038" s="768">
        <f ca="1">SUM(T11034:T11037)</f>
        <v>0.7</v>
      </c>
      <c r="U11038" s="531"/>
      <c r="V11038" s="531"/>
      <c r="W11038" s="531"/>
      <c r="X11038" s="531"/>
      <c r="Y11038" s="531"/>
      <c r="Z11038" s="531"/>
      <c r="AA11038" s="531"/>
      <c r="AB11038" s="531"/>
      <c r="AC11038" s="531"/>
      <c r="AD11038" s="531"/>
      <c r="AE11038" s="531"/>
      <c r="AF11038" s="531"/>
      <c r="AG11038" s="531"/>
      <c r="AH11038" s="531"/>
      <c r="AI11038" s="531"/>
      <c r="AJ11038" s="531"/>
      <c r="AK11038" s="531"/>
      <c r="AL11038" s="531"/>
      <c r="AM11038" s="531"/>
      <c r="AN11038" s="531"/>
      <c r="AO11038" s="531"/>
      <c r="AR11038" s="761" t="s">
        <v>145</v>
      </c>
      <c r="AS11038" s="764"/>
    </row>
    <row r="11039" spans="1:45" s="520" customFormat="1" thickTop="1">
      <c r="A11039" s="51"/>
      <c r="B11039" s="51"/>
      <c r="C11039" s="3"/>
      <c r="D11039" s="3"/>
      <c r="E11039" s="51"/>
      <c r="F11039" s="51"/>
      <c r="G11039" s="51"/>
      <c r="H11039" s="51"/>
      <c r="I11039" s="51"/>
      <c r="J11039" s="51"/>
      <c r="K11039" s="51" t="s">
        <v>134</v>
      </c>
      <c r="L11039" s="51"/>
      <c r="M11039" s="51"/>
      <c r="N11039" s="51"/>
      <c r="O11039" s="52"/>
      <c r="P11039" s="51"/>
      <c r="Q11039" s="51"/>
      <c r="R11039" s="51"/>
      <c r="S11039" s="51"/>
      <c r="T11039" s="51"/>
      <c r="AR11039" s="51"/>
      <c r="AS11039" s="51"/>
    </row>
    <row r="11040" spans="1:45" s="520" customFormat="1" ht="12">
      <c r="A11040" s="51"/>
      <c r="B11040" s="51"/>
      <c r="C11040" s="51" t="s">
        <v>135</v>
      </c>
      <c r="D11040" s="37"/>
      <c r="E11040" s="51"/>
      <c r="F11040" s="51"/>
      <c r="G11040" s="51"/>
      <c r="H11040" s="51"/>
      <c r="I11040" s="51"/>
      <c r="J11040" s="51"/>
      <c r="K11040" s="51"/>
      <c r="L11040" s="51"/>
      <c r="M11040" s="51"/>
      <c r="N11040" s="51"/>
      <c r="O11040" s="52"/>
      <c r="P11040" s="51"/>
      <c r="Q11040" s="51"/>
      <c r="R11040" s="51"/>
      <c r="S11040" s="51"/>
      <c r="T11040" s="51"/>
      <c r="AR11040" s="51"/>
      <c r="AS11040" s="51"/>
    </row>
    <row r="11041" spans="1:45" s="520" customFormat="1" ht="39.9" customHeight="1">
      <c r="A11041" s="51"/>
      <c r="B11041" s="51"/>
      <c r="C11041" s="51"/>
      <c r="D11041" s="1453" t="s">
        <v>2185</v>
      </c>
      <c r="E11041" s="1452"/>
      <c r="F11041" s="1452"/>
      <c r="G11041" s="1452"/>
      <c r="H11041" s="1452"/>
      <c r="I11041" s="1452"/>
      <c r="J11041" s="1452"/>
      <c r="K11041" s="1452"/>
      <c r="L11041" s="1452"/>
      <c r="M11041" s="1452"/>
      <c r="N11041" s="1452"/>
      <c r="O11041" s="1452"/>
      <c r="P11041" s="1452"/>
      <c r="Q11041" s="1452"/>
      <c r="R11041" s="1452"/>
      <c r="S11041" s="1452"/>
      <c r="T11041" s="1452"/>
      <c r="AR11041" s="51"/>
    </row>
    <row r="11042" spans="1:45" s="3" customFormat="1" thickBot="1">
      <c r="A11042" s="531"/>
      <c r="O11042" s="107"/>
      <c r="AR11042" s="531"/>
    </row>
    <row r="11043" spans="1:45" s="520" customFormat="1" ht="12" thickTop="1">
      <c r="A11043" s="51"/>
      <c r="B11043" s="41"/>
      <c r="C11043" s="51"/>
      <c r="E11043" s="42" t="s">
        <v>138</v>
      </c>
      <c r="F11043" s="42" t="s">
        <v>139</v>
      </c>
      <c r="G11043" s="51"/>
      <c r="H11043" s="51"/>
      <c r="I11043" s="51"/>
      <c r="J11043" s="51"/>
      <c r="K11043" s="51" t="s">
        <v>140</v>
      </c>
      <c r="L11043" s="51"/>
      <c r="M11043" s="51"/>
      <c r="N11043" s="51"/>
      <c r="O11043" s="52"/>
      <c r="P11043" s="51"/>
      <c r="Q11043" s="51"/>
      <c r="R11043" s="51"/>
      <c r="S11043" s="51"/>
      <c r="T11043" s="41"/>
      <c r="AG11043" s="521" t="s">
        <v>268</v>
      </c>
      <c r="AH11043" s="521" t="s">
        <v>269</v>
      </c>
      <c r="AI11043" s="521" t="s">
        <v>270</v>
      </c>
      <c r="AJ11043" s="521" t="s">
        <v>271</v>
      </c>
      <c r="AK11043" s="521" t="s">
        <v>272</v>
      </c>
      <c r="AM11043" s="745" t="s">
        <v>281</v>
      </c>
      <c r="AN11043" s="746" t="s">
        <v>282</v>
      </c>
      <c r="AO11043" s="522" t="s">
        <v>278</v>
      </c>
      <c r="AR11043" s="51"/>
      <c r="AS11043" s="42" t="s">
        <v>139</v>
      </c>
    </row>
    <row r="11044" spans="1:45" s="520" customFormat="1" ht="12" customHeight="1">
      <c r="A11044" s="747">
        <v>2</v>
      </c>
      <c r="B11044" s="523" t="s">
        <v>329</v>
      </c>
      <c r="C11044" s="748"/>
      <c r="D11044" s="749" t="s">
        <v>2543</v>
      </c>
      <c r="E11044" s="1145">
        <f>IF(AND($A11044=0,$A$1="DIF"),0, ROUND(ROUND(($R11048*$S$3+($T11048*$T$3))/$A11044,2)*$C$3,2))</f>
        <v>14.78</v>
      </c>
      <c r="F11044" s="1146">
        <f>ROUND($A11044*$E11044,2)</f>
        <v>29.56</v>
      </c>
      <c r="G11044" s="752" t="s">
        <v>142</v>
      </c>
      <c r="H11044" s="753"/>
      <c r="I11044" s="754"/>
      <c r="J11044" s="753"/>
      <c r="K11044" s="753" t="s">
        <v>5</v>
      </c>
      <c r="L11044" s="755" t="s">
        <v>143</v>
      </c>
      <c r="M11044" s="755"/>
      <c r="N11044" s="755"/>
      <c r="O11044" s="755"/>
      <c r="P11044" s="755"/>
      <c r="Q11044" s="51"/>
      <c r="T11044" s="1150" t="str">
        <f>IF(AND($R11048=0,$T11048=0),"0.00","mu: "&amp; ROUND(F11044/$C$3/($R11048+$T11048*$D$9),2))</f>
        <v>mu: 1.13</v>
      </c>
      <c r="W11044" s="524"/>
      <c r="AG11044" s="1147">
        <f>IF($E11044=0,0,ROUND($R11048*$S$3*$C$3/$A11044,2))</f>
        <v>14.78</v>
      </c>
      <c r="AH11044" s="1147">
        <f>$AG11044*$A11044</f>
        <v>29.56</v>
      </c>
      <c r="AI11044" s="1148">
        <f>$E11044-$AG11044</f>
        <v>0</v>
      </c>
      <c r="AJ11044" s="1148">
        <f>$A11044*$AI11044</f>
        <v>0</v>
      </c>
      <c r="AK11044" s="1149">
        <f>ROUND(($AG11044+$AI11044)*$A11044,2)</f>
        <v>29.56</v>
      </c>
      <c r="AM11044" s="527">
        <f>ROUND(R11048,2)</f>
        <v>26.19</v>
      </c>
      <c r="AN11044" s="528">
        <f>ROUND(T11048,2)</f>
        <v>0</v>
      </c>
      <c r="AO11044" s="529">
        <f>ROUND(AM11044+AN11044,2)*A11044</f>
        <v>52.38</v>
      </c>
      <c r="AR11044" s="747">
        <v>2</v>
      </c>
      <c r="AS11044" s="1146">
        <v>32.159999999999997</v>
      </c>
    </row>
    <row r="11045" spans="1:45" s="520" customFormat="1" ht="13.2">
      <c r="A11045" s="748"/>
      <c r="B11045"/>
      <c r="C11045" s="748"/>
      <c r="D11045" s="749" t="s">
        <v>2214</v>
      </c>
      <c r="F11045" s="753"/>
      <c r="G11045" s="3"/>
      <c r="H11045" s="753"/>
      <c r="I11045" s="754"/>
      <c r="J11045" s="753"/>
      <c r="K11045" s="753" t="s">
        <v>144</v>
      </c>
      <c r="L11045" s="753"/>
      <c r="M11045" s="753"/>
      <c r="N11045" s="753"/>
      <c r="O11045" s="753"/>
      <c r="P11045" s="753"/>
      <c r="Q11045" s="51"/>
      <c r="R11045" s="530"/>
      <c r="S11045" s="757"/>
      <c r="T11045" s="753"/>
      <c r="AR11045" s="748"/>
      <c r="AS11045" s="753"/>
    </row>
    <row r="11046" spans="1:45" s="901" customFormat="1" ht="13.2">
      <c r="A11046" s="903">
        <v>2</v>
      </c>
      <c r="B11046" s="904" t="s">
        <v>863</v>
      </c>
      <c r="C11046" s="904"/>
      <c r="D11046" s="904" t="s">
        <v>2594</v>
      </c>
      <c r="E11046" s="904"/>
      <c r="F11046" s="1153" t="s">
        <v>4141</v>
      </c>
      <c r="G11046" s="905" t="s">
        <v>2595</v>
      </c>
      <c r="H11046" s="902">
        <v>960</v>
      </c>
      <c r="I11046" s="904" t="s">
        <v>2596</v>
      </c>
      <c r="J11046" s="904"/>
      <c r="K11046" s="904"/>
      <c r="L11046" s="904"/>
      <c r="M11046" s="904"/>
      <c r="N11046" s="904"/>
      <c r="O11046" s="902">
        <v>4</v>
      </c>
      <c r="P11046" s="906">
        <v>38274</v>
      </c>
      <c r="Q11046" s="1415">
        <f>15*0.873</f>
        <v>13.095000000000001</v>
      </c>
      <c r="R11046" s="908">
        <f>$A11046*Q11046</f>
        <v>26.19</v>
      </c>
      <c r="S11046" s="907"/>
      <c r="T11046" s="909">
        <f>$A11046*S11046*$T$1</f>
        <v>0</v>
      </c>
      <c r="AR11046" s="903">
        <v>2</v>
      </c>
      <c r="AS11046" s="1153" t="s">
        <v>3507</v>
      </c>
    </row>
    <row r="11047" spans="1:45" s="520" customFormat="1" ht="12">
      <c r="A11047" s="758"/>
      <c r="B11047" s="758"/>
      <c r="C11047" s="758"/>
      <c r="D11047" s="758"/>
      <c r="E11047" s="758"/>
      <c r="F11047" s="753"/>
      <c r="G11047" s="758"/>
      <c r="H11047" s="758"/>
      <c r="I11047" s="519"/>
      <c r="J11047" s="758"/>
      <c r="K11047" s="758"/>
      <c r="L11047" s="758"/>
      <c r="M11047" s="758"/>
      <c r="N11047" s="758"/>
      <c r="O11047" s="758"/>
      <c r="P11047" s="758"/>
      <c r="Q11047" s="519"/>
      <c r="R11047" s="759">
        <f>$A11047*Q11047</f>
        <v>0</v>
      </c>
      <c r="S11047" s="519"/>
      <c r="T11047" s="760">
        <f>$A11047*S11047*$T$1</f>
        <v>0</v>
      </c>
      <c r="AR11047" s="758"/>
      <c r="AS11047" s="753"/>
    </row>
    <row r="11048" spans="1:45" s="520" customFormat="1" ht="12.6" thickBot="1">
      <c r="A11048" s="761" t="s">
        <v>145</v>
      </c>
      <c r="B11048" s="762">
        <f>(R11047+T11047)</f>
        <v>0</v>
      </c>
      <c r="C11048" s="763"/>
      <c r="D11048" s="763"/>
      <c r="E11048" s="763"/>
      <c r="F11048" s="764"/>
      <c r="G11048" s="763" t="s">
        <v>146</v>
      </c>
      <c r="H11048" s="763"/>
      <c r="I11048" s="765"/>
      <c r="J11048" s="763"/>
      <c r="K11048" s="763" t="s">
        <v>5</v>
      </c>
      <c r="L11048" s="766" t="s">
        <v>143</v>
      </c>
      <c r="M11048" s="766"/>
      <c r="N11048" s="766"/>
      <c r="O11048" s="766"/>
      <c r="P11048" s="766"/>
      <c r="Q11048" s="767"/>
      <c r="R11048" s="768">
        <f>SUM(R11045:R11047)</f>
        <v>26.19</v>
      </c>
      <c r="S11048" s="763"/>
      <c r="T11048" s="768">
        <f>SUM(T11045:T11047)</f>
        <v>0</v>
      </c>
      <c r="U11048" s="531"/>
      <c r="V11048" s="531"/>
      <c r="W11048" s="531"/>
      <c r="X11048" s="531"/>
      <c r="Y11048" s="531"/>
      <c r="Z11048" s="531"/>
      <c r="AA11048" s="531"/>
      <c r="AB11048" s="531"/>
      <c r="AC11048" s="531"/>
      <c r="AD11048" s="531"/>
      <c r="AE11048" s="531"/>
      <c r="AF11048" s="531"/>
      <c r="AG11048" s="531"/>
      <c r="AH11048" s="531"/>
      <c r="AI11048" s="531"/>
      <c r="AJ11048" s="531"/>
      <c r="AK11048" s="531"/>
      <c r="AL11048" s="531"/>
      <c r="AM11048" s="531"/>
      <c r="AN11048" s="531"/>
      <c r="AO11048" s="531"/>
      <c r="AR11048" s="761" t="s">
        <v>145</v>
      </c>
      <c r="AS11048" s="764"/>
    </row>
    <row r="11049" spans="1:45" s="520" customFormat="1" ht="12" thickTop="1">
      <c r="A11049" s="51"/>
      <c r="B11049" s="41"/>
      <c r="C11049" s="51"/>
      <c r="E11049" s="42" t="s">
        <v>138</v>
      </c>
      <c r="F11049" s="42" t="s">
        <v>139</v>
      </c>
      <c r="G11049" s="51"/>
      <c r="H11049" s="51"/>
      <c r="I11049" s="51"/>
      <c r="J11049" s="51"/>
      <c r="K11049" s="51" t="s">
        <v>140</v>
      </c>
      <c r="L11049" s="51"/>
      <c r="M11049" s="51"/>
      <c r="N11049" s="51"/>
      <c r="O11049" s="52"/>
      <c r="P11049" s="51"/>
      <c r="Q11049" s="51"/>
      <c r="R11049" s="51"/>
      <c r="S11049" s="51"/>
      <c r="T11049" s="41"/>
      <c r="AG11049" s="521" t="s">
        <v>268</v>
      </c>
      <c r="AH11049" s="521" t="s">
        <v>269</v>
      </c>
      <c r="AI11049" s="521" t="s">
        <v>270</v>
      </c>
      <c r="AJ11049" s="521" t="s">
        <v>271</v>
      </c>
      <c r="AK11049" s="521" t="s">
        <v>272</v>
      </c>
      <c r="AM11049" s="745" t="s">
        <v>281</v>
      </c>
      <c r="AN11049" s="746" t="s">
        <v>282</v>
      </c>
      <c r="AO11049" s="522" t="s">
        <v>278</v>
      </c>
      <c r="AR11049" s="51"/>
      <c r="AS11049" s="42" t="s">
        <v>139</v>
      </c>
    </row>
    <row r="11050" spans="1:45" s="520" customFormat="1" ht="12" customHeight="1">
      <c r="A11050" s="747">
        <v>2</v>
      </c>
      <c r="B11050" s="523" t="s">
        <v>329</v>
      </c>
      <c r="C11050" s="748"/>
      <c r="D11050" s="749" t="s">
        <v>2544</v>
      </c>
      <c r="E11050" s="1145">
        <f>IF(AND($A11050=0,$A$1="DIF"),0, ROUND(ROUND(($R11054*$S$3+($T11054*$T$3))/$A11050,2)*$C$3,2))</f>
        <v>14.78</v>
      </c>
      <c r="F11050" s="1146">
        <f>ROUND($A11050*$E11050,2)</f>
        <v>29.56</v>
      </c>
      <c r="G11050" s="752" t="s">
        <v>142</v>
      </c>
      <c r="H11050" s="753"/>
      <c r="I11050" s="754"/>
      <c r="J11050" s="753"/>
      <c r="K11050" s="753" t="s">
        <v>5</v>
      </c>
      <c r="L11050" s="755" t="s">
        <v>143</v>
      </c>
      <c r="M11050" s="755"/>
      <c r="N11050" s="755"/>
      <c r="O11050" s="755"/>
      <c r="P11050" s="755"/>
      <c r="Q11050" s="51"/>
      <c r="T11050" s="1150" t="str">
        <f>IF(AND($R11054=0,$T11054=0),"0.00","mu: "&amp; ROUND(F11050/$C$3/($R11054+$T11054*$D$9),2))</f>
        <v>mu: 1.13</v>
      </c>
      <c r="W11050" s="524"/>
      <c r="AG11050" s="1147">
        <f>IF($E11050=0,0,ROUND($R11054*$S$3*$C$3/$A11050,2))</f>
        <v>14.78</v>
      </c>
      <c r="AH11050" s="1147">
        <f>$AG11050*$A11050</f>
        <v>29.56</v>
      </c>
      <c r="AI11050" s="1148">
        <f>$E11050-$AG11050</f>
        <v>0</v>
      </c>
      <c r="AJ11050" s="1148">
        <f>$A11050*$AI11050</f>
        <v>0</v>
      </c>
      <c r="AK11050" s="1149">
        <f>ROUND(($AG11050+$AI11050)*$A11050,2)</f>
        <v>29.56</v>
      </c>
      <c r="AM11050" s="527">
        <f>ROUND(R11054,2)</f>
        <v>26.19</v>
      </c>
      <c r="AN11050" s="528">
        <f>ROUND(T11054,2)</f>
        <v>0</v>
      </c>
      <c r="AO11050" s="529">
        <f>ROUND(AM11050+AN11050,2)*A11050</f>
        <v>52.38</v>
      </c>
      <c r="AR11050" s="747">
        <v>2</v>
      </c>
      <c r="AS11050" s="1146">
        <v>32.159999999999997</v>
      </c>
    </row>
    <row r="11051" spans="1:45" s="520" customFormat="1" ht="13.2">
      <c r="A11051" s="748"/>
      <c r="B11051"/>
      <c r="C11051" s="748"/>
      <c r="D11051" s="749" t="s">
        <v>2215</v>
      </c>
      <c r="F11051" s="753"/>
      <c r="G11051" s="3"/>
      <c r="H11051" s="753"/>
      <c r="I11051" s="754"/>
      <c r="J11051" s="753"/>
      <c r="K11051" s="753" t="s">
        <v>144</v>
      </c>
      <c r="L11051" s="753"/>
      <c r="M11051" s="753"/>
      <c r="N11051" s="753"/>
      <c r="O11051" s="753"/>
      <c r="P11051" s="753"/>
      <c r="Q11051" s="51"/>
      <c r="R11051" s="530"/>
      <c r="S11051" s="757"/>
      <c r="T11051" s="753"/>
      <c r="AR11051" s="748"/>
      <c r="AS11051" s="753"/>
    </row>
    <row r="11052" spans="1:45" s="901" customFormat="1" ht="13.2">
      <c r="A11052" s="903">
        <v>2</v>
      </c>
      <c r="B11052" s="904" t="s">
        <v>863</v>
      </c>
      <c r="C11052" s="904"/>
      <c r="D11052" s="904" t="s">
        <v>2594</v>
      </c>
      <c r="E11052" s="904"/>
      <c r="F11052" s="1153" t="s">
        <v>4141</v>
      </c>
      <c r="G11052" s="905" t="s">
        <v>2595</v>
      </c>
      <c r="H11052" s="902">
        <v>960</v>
      </c>
      <c r="I11052" s="904" t="s">
        <v>2596</v>
      </c>
      <c r="J11052" s="904"/>
      <c r="K11052" s="904"/>
      <c r="L11052" s="904"/>
      <c r="M11052" s="904"/>
      <c r="N11052" s="904"/>
      <c r="O11052" s="902">
        <v>4</v>
      </c>
      <c r="P11052" s="906">
        <v>38274</v>
      </c>
      <c r="Q11052" s="1415">
        <f>15*0.873</f>
        <v>13.095000000000001</v>
      </c>
      <c r="R11052" s="908">
        <f>$A11052*Q11052</f>
        <v>26.19</v>
      </c>
      <c r="S11052" s="907"/>
      <c r="T11052" s="909">
        <f>$A11052*S11052*$T$1</f>
        <v>0</v>
      </c>
      <c r="AR11052" s="903">
        <v>2</v>
      </c>
      <c r="AS11052" s="1153" t="s">
        <v>3507</v>
      </c>
    </row>
    <row r="11053" spans="1:45" s="520" customFormat="1" ht="12">
      <c r="A11053" s="758"/>
      <c r="B11053" s="758"/>
      <c r="C11053" s="758"/>
      <c r="D11053" s="758"/>
      <c r="E11053" s="758"/>
      <c r="F11053" s="753"/>
      <c r="G11053" s="758"/>
      <c r="H11053" s="758"/>
      <c r="I11053" s="519"/>
      <c r="J11053" s="758"/>
      <c r="K11053" s="758"/>
      <c r="L11053" s="758"/>
      <c r="M11053" s="758"/>
      <c r="N11053" s="758"/>
      <c r="O11053" s="758"/>
      <c r="P11053" s="758"/>
      <c r="Q11053" s="519"/>
      <c r="R11053" s="759">
        <f>$A11053*Q11053</f>
        <v>0</v>
      </c>
      <c r="S11053" s="519"/>
      <c r="T11053" s="760">
        <f>$A11053*S11053*$T$1</f>
        <v>0</v>
      </c>
      <c r="AR11053" s="758"/>
      <c r="AS11053" s="753"/>
    </row>
    <row r="11054" spans="1:45" s="520" customFormat="1" ht="12.6" thickBot="1">
      <c r="A11054" s="761" t="s">
        <v>145</v>
      </c>
      <c r="B11054" s="762">
        <f>(R11053+T11053)</f>
        <v>0</v>
      </c>
      <c r="C11054" s="763"/>
      <c r="D11054" s="763"/>
      <c r="E11054" s="763"/>
      <c r="F11054" s="764"/>
      <c r="G11054" s="763" t="s">
        <v>146</v>
      </c>
      <c r="H11054" s="763"/>
      <c r="I11054" s="765"/>
      <c r="J11054" s="763"/>
      <c r="K11054" s="763" t="s">
        <v>5</v>
      </c>
      <c r="L11054" s="766" t="s">
        <v>143</v>
      </c>
      <c r="M11054" s="766"/>
      <c r="N11054" s="766"/>
      <c r="O11054" s="766"/>
      <c r="P11054" s="766"/>
      <c r="Q11054" s="767"/>
      <c r="R11054" s="768">
        <f>SUM(R11051:R11053)</f>
        <v>26.19</v>
      </c>
      <c r="S11054" s="763"/>
      <c r="T11054" s="768">
        <f>SUM(T11051:T11053)</f>
        <v>0</v>
      </c>
      <c r="U11054" s="531"/>
      <c r="V11054" s="531"/>
      <c r="W11054" s="531"/>
      <c r="X11054" s="531"/>
      <c r="Y11054" s="531"/>
      <c r="Z11054" s="531"/>
      <c r="AA11054" s="531"/>
      <c r="AB11054" s="531"/>
      <c r="AC11054" s="531"/>
      <c r="AD11054" s="531"/>
      <c r="AE11054" s="531"/>
      <c r="AF11054" s="531"/>
      <c r="AG11054" s="531"/>
      <c r="AH11054" s="531"/>
      <c r="AI11054" s="531"/>
      <c r="AJ11054" s="531"/>
      <c r="AK11054" s="531"/>
      <c r="AL11054" s="531"/>
      <c r="AM11054" s="531"/>
      <c r="AN11054" s="531"/>
      <c r="AO11054" s="531"/>
      <c r="AR11054" s="761" t="s">
        <v>145</v>
      </c>
      <c r="AS11054" s="764"/>
    </row>
    <row r="11055" spans="1:45" s="520" customFormat="1" ht="12" thickTop="1">
      <c r="A11055" s="51"/>
      <c r="B11055" s="41"/>
      <c r="C11055" s="51"/>
      <c r="E11055" s="42" t="s">
        <v>138</v>
      </c>
      <c r="F11055" s="42" t="s">
        <v>139</v>
      </c>
      <c r="G11055" s="51"/>
      <c r="H11055" s="51"/>
      <c r="I11055" s="51"/>
      <c r="J11055" s="51"/>
      <c r="K11055" s="51" t="s">
        <v>140</v>
      </c>
      <c r="L11055" s="51"/>
      <c r="M11055" s="51"/>
      <c r="N11055" s="51"/>
      <c r="O11055" s="52"/>
      <c r="P11055" s="51"/>
      <c r="Q11055" s="51"/>
      <c r="R11055" s="51"/>
      <c r="S11055" s="51"/>
      <c r="T11055" s="41"/>
      <c r="AG11055" s="521" t="s">
        <v>268</v>
      </c>
      <c r="AH11055" s="521" t="s">
        <v>269</v>
      </c>
      <c r="AI11055" s="521" t="s">
        <v>270</v>
      </c>
      <c r="AJ11055" s="521" t="s">
        <v>271</v>
      </c>
      <c r="AK11055" s="521" t="s">
        <v>272</v>
      </c>
      <c r="AM11055" s="745" t="s">
        <v>281</v>
      </c>
      <c r="AN11055" s="746" t="s">
        <v>282</v>
      </c>
      <c r="AO11055" s="522" t="s">
        <v>278</v>
      </c>
      <c r="AR11055" s="51"/>
      <c r="AS11055" s="42" t="s">
        <v>139</v>
      </c>
    </row>
    <row r="11056" spans="1:45" s="520" customFormat="1" ht="12" customHeight="1">
      <c r="A11056" s="747">
        <v>2</v>
      </c>
      <c r="B11056" s="523" t="s">
        <v>329</v>
      </c>
      <c r="C11056" s="748"/>
      <c r="D11056" s="749" t="s">
        <v>2545</v>
      </c>
      <c r="E11056" s="1145">
        <f>IF(AND($A11056=0,$A$1="DIF"),0, ROUND(ROUND(($R11060*$S$3+($T11060*$T$3))/$A11056,2)*$C$3,2))</f>
        <v>14.78</v>
      </c>
      <c r="F11056" s="1146">
        <f>ROUND($A11056*$E11056,2)</f>
        <v>29.56</v>
      </c>
      <c r="G11056" s="752" t="s">
        <v>142</v>
      </c>
      <c r="H11056" s="753"/>
      <c r="I11056" s="754"/>
      <c r="J11056" s="753"/>
      <c r="K11056" s="753" t="s">
        <v>5</v>
      </c>
      <c r="L11056" s="755" t="s">
        <v>143</v>
      </c>
      <c r="M11056" s="755"/>
      <c r="N11056" s="755"/>
      <c r="O11056" s="755"/>
      <c r="P11056" s="755"/>
      <c r="Q11056" s="51"/>
      <c r="T11056" s="1150" t="str">
        <f>IF(AND($R11060=0,$T11060=0),"0.00","mu: "&amp; ROUND(F11056/$C$3/($R11060+$T11060*$D$9),2))</f>
        <v>mu: 1.13</v>
      </c>
      <c r="W11056" s="524"/>
      <c r="AG11056" s="1147">
        <f>IF($E11056=0,0,ROUND($R11060*$S$3*$C$3/$A11056,2))</f>
        <v>14.78</v>
      </c>
      <c r="AH11056" s="1147">
        <f>$AG11056*$A11056</f>
        <v>29.56</v>
      </c>
      <c r="AI11056" s="1148">
        <f>$E11056-$AG11056</f>
        <v>0</v>
      </c>
      <c r="AJ11056" s="1148">
        <f>$A11056*$AI11056</f>
        <v>0</v>
      </c>
      <c r="AK11056" s="1149">
        <f>ROUND(($AG11056+$AI11056)*$A11056,2)</f>
        <v>29.56</v>
      </c>
      <c r="AM11056" s="527">
        <f>ROUND(R11060,2)</f>
        <v>26.19</v>
      </c>
      <c r="AN11056" s="528">
        <f>ROUND(T11060,2)</f>
        <v>0</v>
      </c>
      <c r="AO11056" s="529">
        <f>ROUND(AM11056+AN11056,2)*A11056</f>
        <v>52.38</v>
      </c>
      <c r="AR11056" s="747">
        <v>2</v>
      </c>
      <c r="AS11056" s="1146">
        <v>32.159999999999997</v>
      </c>
    </row>
    <row r="11057" spans="1:45" s="520" customFormat="1" ht="13.2">
      <c r="A11057" s="748"/>
      <c r="B11057"/>
      <c r="C11057" s="748"/>
      <c r="D11057" s="749" t="s">
        <v>2216</v>
      </c>
      <c r="F11057" s="753"/>
      <c r="G11057" s="3"/>
      <c r="H11057" s="753"/>
      <c r="I11057" s="754"/>
      <c r="J11057" s="753"/>
      <c r="K11057" s="753" t="s">
        <v>144</v>
      </c>
      <c r="L11057" s="753"/>
      <c r="M11057" s="753"/>
      <c r="N11057" s="753"/>
      <c r="O11057" s="753"/>
      <c r="P11057" s="753"/>
      <c r="Q11057" s="51"/>
      <c r="R11057" s="530"/>
      <c r="S11057" s="757"/>
      <c r="T11057" s="753"/>
      <c r="AR11057" s="748"/>
      <c r="AS11057" s="753"/>
    </row>
    <row r="11058" spans="1:45" s="901" customFormat="1" ht="13.2">
      <c r="A11058" s="903">
        <v>2</v>
      </c>
      <c r="B11058" s="904" t="s">
        <v>863</v>
      </c>
      <c r="C11058" s="904"/>
      <c r="D11058" s="904" t="s">
        <v>2594</v>
      </c>
      <c r="E11058" s="904"/>
      <c r="F11058" s="1153" t="s">
        <v>4141</v>
      </c>
      <c r="G11058" s="905" t="s">
        <v>2595</v>
      </c>
      <c r="H11058" s="902">
        <v>960</v>
      </c>
      <c r="I11058" s="904" t="s">
        <v>2596</v>
      </c>
      <c r="J11058" s="904"/>
      <c r="K11058" s="904"/>
      <c r="L11058" s="904"/>
      <c r="M11058" s="904"/>
      <c r="N11058" s="904"/>
      <c r="O11058" s="902">
        <v>4</v>
      </c>
      <c r="P11058" s="906">
        <v>38274</v>
      </c>
      <c r="Q11058" s="1415">
        <f>15*0.873</f>
        <v>13.095000000000001</v>
      </c>
      <c r="R11058" s="908">
        <f>$A11058*Q11058</f>
        <v>26.19</v>
      </c>
      <c r="S11058" s="907"/>
      <c r="T11058" s="909">
        <f>$A11058*S11058*$T$1</f>
        <v>0</v>
      </c>
      <c r="AR11058" s="903">
        <v>2</v>
      </c>
      <c r="AS11058" s="1153" t="s">
        <v>3507</v>
      </c>
    </row>
    <row r="11059" spans="1:45" s="520" customFormat="1" ht="12">
      <c r="A11059" s="758"/>
      <c r="B11059" s="758"/>
      <c r="C11059" s="758"/>
      <c r="D11059" s="758"/>
      <c r="E11059" s="758"/>
      <c r="F11059" s="753"/>
      <c r="G11059" s="758"/>
      <c r="H11059" s="758"/>
      <c r="I11059" s="519"/>
      <c r="J11059" s="758"/>
      <c r="K11059" s="758"/>
      <c r="L11059" s="758"/>
      <c r="M11059" s="758"/>
      <c r="N11059" s="758"/>
      <c r="O11059" s="758"/>
      <c r="P11059" s="758"/>
      <c r="Q11059" s="519"/>
      <c r="R11059" s="759">
        <f>$A11059*Q11059</f>
        <v>0</v>
      </c>
      <c r="S11059" s="519"/>
      <c r="T11059" s="760">
        <f>$A11059*S11059*$T$1</f>
        <v>0</v>
      </c>
      <c r="AR11059" s="758"/>
      <c r="AS11059" s="753"/>
    </row>
    <row r="11060" spans="1:45" s="520" customFormat="1" ht="12.6" thickBot="1">
      <c r="A11060" s="761" t="s">
        <v>145</v>
      </c>
      <c r="B11060" s="762">
        <f>(R11059+T11059)</f>
        <v>0</v>
      </c>
      <c r="C11060" s="763"/>
      <c r="D11060" s="763"/>
      <c r="E11060" s="763"/>
      <c r="F11060" s="764"/>
      <c r="G11060" s="763" t="s">
        <v>146</v>
      </c>
      <c r="H11060" s="763"/>
      <c r="I11060" s="765"/>
      <c r="J11060" s="763"/>
      <c r="K11060" s="763" t="s">
        <v>5</v>
      </c>
      <c r="L11060" s="766" t="s">
        <v>143</v>
      </c>
      <c r="M11060" s="766"/>
      <c r="N11060" s="766"/>
      <c r="O11060" s="766"/>
      <c r="P11060" s="766"/>
      <c r="Q11060" s="767"/>
      <c r="R11060" s="768">
        <f>SUM(R11057:R11059)</f>
        <v>26.19</v>
      </c>
      <c r="S11060" s="763"/>
      <c r="T11060" s="768">
        <f>SUM(T11057:T11059)</f>
        <v>0</v>
      </c>
      <c r="U11060" s="531"/>
      <c r="V11060" s="531"/>
      <c r="W11060" s="531"/>
      <c r="X11060" s="531"/>
      <c r="Y11060" s="531"/>
      <c r="Z11060" s="531"/>
      <c r="AA11060" s="531"/>
      <c r="AB11060" s="531"/>
      <c r="AC11060" s="531"/>
      <c r="AD11060" s="531"/>
      <c r="AE11060" s="531"/>
      <c r="AF11060" s="531"/>
      <c r="AG11060" s="531"/>
      <c r="AH11060" s="531"/>
      <c r="AI11060" s="531"/>
      <c r="AJ11060" s="531"/>
      <c r="AK11060" s="531"/>
      <c r="AL11060" s="531"/>
      <c r="AM11060" s="531"/>
      <c r="AN11060" s="531"/>
      <c r="AO11060" s="531"/>
      <c r="AR11060" s="761" t="s">
        <v>145</v>
      </c>
      <c r="AS11060" s="764"/>
    </row>
    <row r="11061" spans="1:45" s="520" customFormat="1" ht="12" thickTop="1">
      <c r="A11061" s="51"/>
      <c r="B11061" s="41"/>
      <c r="C11061" s="51"/>
      <c r="E11061" s="42" t="s">
        <v>138</v>
      </c>
      <c r="F11061" s="42" t="s">
        <v>139</v>
      </c>
      <c r="G11061" s="51"/>
      <c r="H11061" s="51"/>
      <c r="I11061" s="51"/>
      <c r="J11061" s="51"/>
      <c r="K11061" s="51" t="s">
        <v>140</v>
      </c>
      <c r="L11061" s="51"/>
      <c r="M11061" s="51"/>
      <c r="N11061" s="51"/>
      <c r="O11061" s="52"/>
      <c r="P11061" s="51"/>
      <c r="Q11061" s="51"/>
      <c r="R11061" s="51"/>
      <c r="S11061" s="51"/>
      <c r="T11061" s="41"/>
      <c r="AG11061" s="521" t="s">
        <v>268</v>
      </c>
      <c r="AH11061" s="521" t="s">
        <v>269</v>
      </c>
      <c r="AI11061" s="521" t="s">
        <v>270</v>
      </c>
      <c r="AJ11061" s="521" t="s">
        <v>271</v>
      </c>
      <c r="AK11061" s="521" t="s">
        <v>272</v>
      </c>
      <c r="AM11061" s="745" t="s">
        <v>281</v>
      </c>
      <c r="AN11061" s="746" t="s">
        <v>282</v>
      </c>
      <c r="AO11061" s="522" t="s">
        <v>278</v>
      </c>
      <c r="AR11061" s="51"/>
      <c r="AS11061" s="42" t="s">
        <v>139</v>
      </c>
    </row>
    <row r="11062" spans="1:45" s="520" customFormat="1" ht="12" customHeight="1">
      <c r="A11062" s="747">
        <v>2</v>
      </c>
      <c r="B11062" s="523" t="s">
        <v>329</v>
      </c>
      <c r="C11062" s="748"/>
      <c r="D11062" s="749" t="s">
        <v>2546</v>
      </c>
      <c r="E11062" s="1145">
        <f>IF(AND($A11062=0,$A$1="DIF"),0, ROUND(ROUND(($R11066*$S$3+($T11066*$T$3))/$A11062,2)*$C$3,2))</f>
        <v>14.78</v>
      </c>
      <c r="F11062" s="1146">
        <f>ROUND($A11062*$E11062,2)</f>
        <v>29.56</v>
      </c>
      <c r="G11062" s="752" t="s">
        <v>142</v>
      </c>
      <c r="H11062" s="753"/>
      <c r="I11062" s="754"/>
      <c r="J11062" s="753"/>
      <c r="K11062" s="753" t="s">
        <v>5</v>
      </c>
      <c r="L11062" s="755" t="s">
        <v>143</v>
      </c>
      <c r="M11062" s="755"/>
      <c r="N11062" s="755"/>
      <c r="O11062" s="755"/>
      <c r="P11062" s="755"/>
      <c r="Q11062" s="51"/>
      <c r="T11062" s="1150" t="str">
        <f>IF(AND($R11066=0,$T11066=0),"0.00","mu: "&amp; ROUND(F11062/$C$3/($R11066+$T11066*$D$9),2))</f>
        <v>mu: 1.13</v>
      </c>
      <c r="W11062" s="524"/>
      <c r="AG11062" s="1147">
        <f>IF($E11062=0,0,ROUND($R11066*$S$3*$C$3/$A11062,2))</f>
        <v>14.78</v>
      </c>
      <c r="AH11062" s="1147">
        <f>$AG11062*$A11062</f>
        <v>29.56</v>
      </c>
      <c r="AI11062" s="1148">
        <f>$E11062-$AG11062</f>
        <v>0</v>
      </c>
      <c r="AJ11062" s="1148">
        <f>$A11062*$AI11062</f>
        <v>0</v>
      </c>
      <c r="AK11062" s="1149">
        <f>ROUND(($AG11062+$AI11062)*$A11062,2)</f>
        <v>29.56</v>
      </c>
      <c r="AM11062" s="527">
        <f>ROUND(R11066,2)</f>
        <v>26.19</v>
      </c>
      <c r="AN11062" s="528">
        <f>ROUND(T11066,2)</f>
        <v>0</v>
      </c>
      <c r="AO11062" s="529">
        <f>ROUND(AM11062+AN11062,2)*A11062</f>
        <v>52.38</v>
      </c>
      <c r="AR11062" s="747">
        <v>2</v>
      </c>
      <c r="AS11062" s="1146">
        <v>32.159999999999997</v>
      </c>
    </row>
    <row r="11063" spans="1:45" s="520" customFormat="1" ht="13.2">
      <c r="A11063" s="748"/>
      <c r="B11063"/>
      <c r="C11063" s="748"/>
      <c r="D11063" s="749" t="s">
        <v>2217</v>
      </c>
      <c r="F11063" s="753"/>
      <c r="G11063" s="3"/>
      <c r="H11063" s="753"/>
      <c r="I11063" s="754"/>
      <c r="J11063" s="753"/>
      <c r="K11063" s="753" t="s">
        <v>144</v>
      </c>
      <c r="L11063" s="753"/>
      <c r="M11063" s="753"/>
      <c r="N11063" s="753"/>
      <c r="O11063" s="753"/>
      <c r="P11063" s="753"/>
      <c r="Q11063" s="51"/>
      <c r="R11063" s="530"/>
      <c r="S11063" s="757"/>
      <c r="T11063" s="753"/>
      <c r="AR11063" s="748"/>
      <c r="AS11063" s="753"/>
    </row>
    <row r="11064" spans="1:45" s="901" customFormat="1" ht="13.2">
      <c r="A11064" s="903">
        <v>2</v>
      </c>
      <c r="B11064" s="904" t="s">
        <v>863</v>
      </c>
      <c r="C11064" s="904"/>
      <c r="D11064" s="904" t="s">
        <v>2594</v>
      </c>
      <c r="E11064" s="904"/>
      <c r="F11064" s="1153" t="s">
        <v>4141</v>
      </c>
      <c r="G11064" s="905" t="s">
        <v>2595</v>
      </c>
      <c r="H11064" s="902">
        <v>960</v>
      </c>
      <c r="I11064" s="904" t="s">
        <v>2596</v>
      </c>
      <c r="J11064" s="904"/>
      <c r="K11064" s="904"/>
      <c r="L11064" s="904"/>
      <c r="M11064" s="904"/>
      <c r="N11064" s="904"/>
      <c r="O11064" s="902">
        <v>4</v>
      </c>
      <c r="P11064" s="906">
        <v>38274</v>
      </c>
      <c r="Q11064" s="1415">
        <f>15*0.873</f>
        <v>13.095000000000001</v>
      </c>
      <c r="R11064" s="908">
        <f>$A11064*Q11064</f>
        <v>26.19</v>
      </c>
      <c r="S11064" s="907"/>
      <c r="T11064" s="909">
        <f>$A11064*S11064*$T$1</f>
        <v>0</v>
      </c>
      <c r="AR11064" s="903">
        <v>2</v>
      </c>
      <c r="AS11064" s="1153" t="s">
        <v>3507</v>
      </c>
    </row>
    <row r="11065" spans="1:45" s="520" customFormat="1" ht="12">
      <c r="A11065" s="758"/>
      <c r="B11065" s="758"/>
      <c r="C11065" s="758"/>
      <c r="D11065" s="758"/>
      <c r="E11065" s="758"/>
      <c r="F11065" s="753"/>
      <c r="G11065" s="758"/>
      <c r="H11065" s="758"/>
      <c r="I11065" s="519"/>
      <c r="J11065" s="758"/>
      <c r="K11065" s="758"/>
      <c r="L11065" s="758"/>
      <c r="M11065" s="758"/>
      <c r="N11065" s="758"/>
      <c r="O11065" s="758"/>
      <c r="P11065" s="758"/>
      <c r="Q11065" s="519"/>
      <c r="R11065" s="759">
        <f>$A11065*Q11065</f>
        <v>0</v>
      </c>
      <c r="S11065" s="519"/>
      <c r="T11065" s="760">
        <f>$A11065*S11065*$T$1</f>
        <v>0</v>
      </c>
      <c r="AR11065" s="758"/>
      <c r="AS11065" s="753"/>
    </row>
    <row r="11066" spans="1:45" s="520" customFormat="1" ht="12.6" thickBot="1">
      <c r="A11066" s="761" t="s">
        <v>145</v>
      </c>
      <c r="B11066" s="762">
        <f>(R11065+T11065)</f>
        <v>0</v>
      </c>
      <c r="C11066" s="763"/>
      <c r="D11066" s="763"/>
      <c r="E11066" s="763"/>
      <c r="F11066" s="764"/>
      <c r="G11066" s="763" t="s">
        <v>146</v>
      </c>
      <c r="H11066" s="763"/>
      <c r="I11066" s="765"/>
      <c r="J11066" s="763"/>
      <c r="K11066" s="763" t="s">
        <v>5</v>
      </c>
      <c r="L11066" s="766" t="s">
        <v>143</v>
      </c>
      <c r="M11066" s="766"/>
      <c r="N11066" s="766"/>
      <c r="O11066" s="766"/>
      <c r="P11066" s="766"/>
      <c r="Q11066" s="767"/>
      <c r="R11066" s="768">
        <f>SUM(R11063:R11065)</f>
        <v>26.19</v>
      </c>
      <c r="S11066" s="763"/>
      <c r="T11066" s="768">
        <f>SUM(T11063:T11065)</f>
        <v>0</v>
      </c>
      <c r="U11066" s="531"/>
      <c r="V11066" s="531"/>
      <c r="W11066" s="531"/>
      <c r="X11066" s="531"/>
      <c r="Y11066" s="531"/>
      <c r="Z11066" s="531"/>
      <c r="AA11066" s="531"/>
      <c r="AB11066" s="531"/>
      <c r="AC11066" s="531"/>
      <c r="AD11066" s="531"/>
      <c r="AE11066" s="531"/>
      <c r="AF11066" s="531"/>
      <c r="AG11066" s="531"/>
      <c r="AH11066" s="531"/>
      <c r="AI11066" s="531"/>
      <c r="AJ11066" s="531"/>
      <c r="AK11066" s="531"/>
      <c r="AL11066" s="531"/>
      <c r="AM11066" s="531"/>
      <c r="AN11066" s="531"/>
      <c r="AO11066" s="531"/>
      <c r="AR11066" s="761" t="s">
        <v>145</v>
      </c>
      <c r="AS11066" s="764"/>
    </row>
    <row r="11067" spans="1:45" s="520" customFormat="1" thickTop="1">
      <c r="A11067" s="51"/>
      <c r="B11067" s="51"/>
      <c r="C11067" s="3"/>
      <c r="D11067" s="3"/>
      <c r="E11067" s="51"/>
      <c r="F11067" s="51"/>
      <c r="G11067" s="51"/>
      <c r="H11067" s="51"/>
      <c r="I11067" s="51"/>
      <c r="J11067" s="51"/>
      <c r="K11067" s="51" t="s">
        <v>134</v>
      </c>
      <c r="L11067" s="51"/>
      <c r="M11067" s="51"/>
      <c r="N11067" s="51"/>
      <c r="O11067" s="52"/>
      <c r="P11067" s="51"/>
      <c r="Q11067" s="51"/>
      <c r="R11067" s="51"/>
      <c r="S11067" s="51"/>
      <c r="T11067" s="51"/>
      <c r="AR11067" s="51"/>
      <c r="AS11067" s="51"/>
    </row>
    <row r="11068" spans="1:45" s="520" customFormat="1" ht="12">
      <c r="A11068" s="51"/>
      <c r="B11068" s="51"/>
      <c r="C11068" s="51" t="s">
        <v>135</v>
      </c>
      <c r="D11068" s="37"/>
      <c r="E11068" s="51"/>
      <c r="F11068" s="51"/>
      <c r="G11068" s="51"/>
      <c r="H11068" s="51"/>
      <c r="I11068" s="51"/>
      <c r="J11068" s="51"/>
      <c r="K11068" s="51"/>
      <c r="L11068" s="51"/>
      <c r="M11068" s="51"/>
      <c r="N11068" s="51"/>
      <c r="O11068" s="52"/>
      <c r="P11068" s="51"/>
      <c r="Q11068" s="51"/>
      <c r="R11068" s="51"/>
      <c r="S11068" s="51"/>
      <c r="T11068" s="51"/>
      <c r="AR11068" s="51"/>
      <c r="AS11068" s="51"/>
    </row>
    <row r="11069" spans="1:45" s="520" customFormat="1" ht="12">
      <c r="A11069" s="51"/>
      <c r="B11069" s="51"/>
      <c r="C11069" s="51"/>
      <c r="D11069" s="37" t="s">
        <v>2186</v>
      </c>
      <c r="E11069" s="51"/>
      <c r="F11069" s="51"/>
      <c r="G11069" s="51"/>
      <c r="H11069" s="51"/>
      <c r="I11069" s="51"/>
      <c r="J11069" s="51"/>
      <c r="K11069" s="51"/>
      <c r="L11069" s="51"/>
      <c r="M11069" s="51"/>
      <c r="N11069" s="51"/>
      <c r="O11069" s="52"/>
      <c r="P11069" s="51"/>
      <c r="Q11069" s="51"/>
      <c r="R11069" s="51"/>
      <c r="S11069" s="38"/>
      <c r="T11069" s="38"/>
      <c r="AR11069" s="51"/>
      <c r="AS11069" s="51"/>
    </row>
    <row r="11070" spans="1:45" s="3" customFormat="1" thickBot="1">
      <c r="A11070" s="531"/>
      <c r="O11070" s="107"/>
      <c r="AR11070" s="531"/>
    </row>
    <row r="11071" spans="1:45" s="520" customFormat="1" ht="12" thickTop="1">
      <c r="A11071" s="51"/>
      <c r="B11071" s="41"/>
      <c r="C11071" s="51"/>
      <c r="E11071" s="42" t="s">
        <v>138</v>
      </c>
      <c r="F11071" s="42" t="s">
        <v>139</v>
      </c>
      <c r="G11071" s="51"/>
      <c r="H11071" s="51"/>
      <c r="I11071" s="51"/>
      <c r="J11071" s="51"/>
      <c r="K11071" s="51" t="s">
        <v>140</v>
      </c>
      <c r="L11071" s="51"/>
      <c r="M11071" s="51"/>
      <c r="N11071" s="51"/>
      <c r="O11071" s="52"/>
      <c r="P11071" s="51"/>
      <c r="Q11071" s="51"/>
      <c r="R11071" s="51"/>
      <c r="S11071" s="51"/>
      <c r="T11071" s="41"/>
      <c r="AG11071" s="521" t="s">
        <v>268</v>
      </c>
      <c r="AH11071" s="521" t="s">
        <v>269</v>
      </c>
      <c r="AI11071" s="521" t="s">
        <v>270</v>
      </c>
      <c r="AJ11071" s="521" t="s">
        <v>271</v>
      </c>
      <c r="AK11071" s="521" t="s">
        <v>272</v>
      </c>
      <c r="AM11071" s="745" t="s">
        <v>281</v>
      </c>
      <c r="AN11071" s="746" t="s">
        <v>282</v>
      </c>
      <c r="AO11071" s="522" t="s">
        <v>278</v>
      </c>
      <c r="AR11071" s="51"/>
      <c r="AS11071" s="42" t="s">
        <v>139</v>
      </c>
    </row>
    <row r="11072" spans="1:45" s="520" customFormat="1" ht="12" customHeight="1">
      <c r="A11072" s="747">
        <v>2</v>
      </c>
      <c r="B11072" s="523" t="s">
        <v>329</v>
      </c>
      <c r="C11072" s="748"/>
      <c r="D11072" s="749" t="s">
        <v>2547</v>
      </c>
      <c r="E11072" s="1145">
        <f>IF(AND($A11072=0,$A$1="DIF"),0, ROUND(ROUND(($R11076*$S$3+($T11076*$T$3))/$A11072,2)*$C$3,2))</f>
        <v>73.900000000000006</v>
      </c>
      <c r="F11072" s="1146">
        <f>ROUND($A11072*$E11072,2)</f>
        <v>147.80000000000001</v>
      </c>
      <c r="G11072" s="752" t="s">
        <v>142</v>
      </c>
      <c r="H11072" s="753"/>
      <c r="I11072" s="754"/>
      <c r="J11072" s="753"/>
      <c r="K11072" s="753" t="s">
        <v>5</v>
      </c>
      <c r="L11072" s="755" t="s">
        <v>143</v>
      </c>
      <c r="M11072" s="755"/>
      <c r="N11072" s="755"/>
      <c r="O11072" s="755"/>
      <c r="P11072" s="755"/>
      <c r="Q11072" s="51"/>
      <c r="T11072" s="1150" t="str">
        <f>IF(AND($R11076=0,$T11076=0),"0.00","mu: "&amp; ROUND(F11072/$C$3/($R11076+$T11076*$D$9),2))</f>
        <v>mu: 1.13</v>
      </c>
      <c r="W11072" s="524"/>
      <c r="AG11072" s="1147">
        <f>IF($E11072=0,0,ROUND($R11076*$S$3*$C$3/$A11072,2))</f>
        <v>73.900000000000006</v>
      </c>
      <c r="AH11072" s="1147">
        <f>$AG11072*$A11072</f>
        <v>147.80000000000001</v>
      </c>
      <c r="AI11072" s="1148">
        <f>$E11072-$AG11072</f>
        <v>0</v>
      </c>
      <c r="AJ11072" s="1148">
        <f>$A11072*$AI11072</f>
        <v>0</v>
      </c>
      <c r="AK11072" s="1149">
        <f>ROUND(($AG11072+$AI11072)*$A11072,2)</f>
        <v>147.80000000000001</v>
      </c>
      <c r="AM11072" s="527">
        <f>ROUND(R11076,2)</f>
        <v>130.94999999999999</v>
      </c>
      <c r="AN11072" s="528">
        <f>ROUND(T11076,2)</f>
        <v>0</v>
      </c>
      <c r="AO11072" s="529">
        <f>ROUND(AM11072+AN11072,2)*A11072</f>
        <v>261.89999999999998</v>
      </c>
      <c r="AR11072" s="747">
        <v>2</v>
      </c>
      <c r="AS11072" s="1146">
        <v>160.84</v>
      </c>
    </row>
    <row r="11073" spans="1:45" s="520" customFormat="1" ht="13.2">
      <c r="A11073" s="748"/>
      <c r="B11073"/>
      <c r="C11073" s="748"/>
      <c r="D11073" s="749" t="s">
        <v>2218</v>
      </c>
      <c r="F11073" s="753"/>
      <c r="G11073" s="3"/>
      <c r="H11073" s="753"/>
      <c r="I11073" s="754"/>
      <c r="J11073" s="753"/>
      <c r="K11073" s="753" t="s">
        <v>144</v>
      </c>
      <c r="L11073" s="753"/>
      <c r="M11073" s="753"/>
      <c r="N11073" s="753"/>
      <c r="O11073" s="753"/>
      <c r="P11073" s="753"/>
      <c r="Q11073" s="51"/>
      <c r="R11073" s="530"/>
      <c r="S11073" s="757"/>
      <c r="T11073" s="753"/>
      <c r="AR11073" s="748"/>
      <c r="AS11073" s="753"/>
    </row>
    <row r="11074" spans="1:45" s="901" customFormat="1" ht="13.2">
      <c r="A11074" s="903">
        <v>2</v>
      </c>
      <c r="B11074" s="904" t="s">
        <v>863</v>
      </c>
      <c r="C11074" s="904"/>
      <c r="D11074" s="904" t="s">
        <v>2594</v>
      </c>
      <c r="E11074" s="904"/>
      <c r="F11074" s="1153" t="s">
        <v>4141</v>
      </c>
      <c r="G11074" s="905" t="s">
        <v>2595</v>
      </c>
      <c r="H11074" s="902">
        <v>960</v>
      </c>
      <c r="I11074" s="904" t="s">
        <v>2596</v>
      </c>
      <c r="J11074" s="904"/>
      <c r="K11074" s="904"/>
      <c r="L11074" s="904"/>
      <c r="M11074" s="904"/>
      <c r="N11074" s="904"/>
      <c r="O11074" s="902">
        <v>4</v>
      </c>
      <c r="P11074" s="906">
        <v>38274</v>
      </c>
      <c r="Q11074" s="1415">
        <f>75*0.873</f>
        <v>65.474999999999994</v>
      </c>
      <c r="R11074" s="908">
        <f>$A11074*Q11074</f>
        <v>130.94999999999999</v>
      </c>
      <c r="S11074" s="907"/>
      <c r="T11074" s="909">
        <f>$A11074*S11074*$T$1</f>
        <v>0</v>
      </c>
      <c r="AR11074" s="903">
        <v>2</v>
      </c>
      <c r="AS11074" s="1153" t="s">
        <v>3507</v>
      </c>
    </row>
    <row r="11075" spans="1:45" s="520" customFormat="1" ht="12">
      <c r="A11075" s="758"/>
      <c r="B11075" s="758"/>
      <c r="C11075" s="758"/>
      <c r="D11075" s="758"/>
      <c r="E11075" s="758"/>
      <c r="F11075" s="753"/>
      <c r="G11075" s="758"/>
      <c r="H11075" s="758"/>
      <c r="I11075" s="519"/>
      <c r="J11075" s="758"/>
      <c r="K11075" s="758"/>
      <c r="L11075" s="758"/>
      <c r="M11075" s="758"/>
      <c r="N11075" s="758"/>
      <c r="O11075" s="758"/>
      <c r="P11075" s="758"/>
      <c r="Q11075" s="519"/>
      <c r="R11075" s="759">
        <f>$A11075*Q11075</f>
        <v>0</v>
      </c>
      <c r="S11075" s="519"/>
      <c r="T11075" s="760">
        <f>$A11075*S11075*$T$1</f>
        <v>0</v>
      </c>
      <c r="AR11075" s="758"/>
      <c r="AS11075" s="753"/>
    </row>
    <row r="11076" spans="1:45" s="520" customFormat="1" ht="12.6" thickBot="1">
      <c r="A11076" s="761" t="s">
        <v>145</v>
      </c>
      <c r="B11076" s="762">
        <f>(R11075+T11075)</f>
        <v>0</v>
      </c>
      <c r="C11076" s="763"/>
      <c r="D11076" s="763"/>
      <c r="E11076" s="763"/>
      <c r="F11076" s="764"/>
      <c r="G11076" s="763" t="s">
        <v>146</v>
      </c>
      <c r="H11076" s="763"/>
      <c r="I11076" s="765"/>
      <c r="J11076" s="763"/>
      <c r="K11076" s="763" t="s">
        <v>5</v>
      </c>
      <c r="L11076" s="766" t="s">
        <v>143</v>
      </c>
      <c r="M11076" s="766"/>
      <c r="N11076" s="766"/>
      <c r="O11076" s="766"/>
      <c r="P11076" s="766"/>
      <c r="Q11076" s="767"/>
      <c r="R11076" s="768">
        <f>SUM(R11073:R11075)</f>
        <v>130.94999999999999</v>
      </c>
      <c r="S11076" s="763"/>
      <c r="T11076" s="768">
        <f>SUM(T11073:T11075)</f>
        <v>0</v>
      </c>
      <c r="U11076" s="531"/>
      <c r="V11076" s="531"/>
      <c r="W11076" s="531"/>
      <c r="X11076" s="531"/>
      <c r="Y11076" s="531"/>
      <c r="Z11076" s="531"/>
      <c r="AA11076" s="531"/>
      <c r="AB11076" s="531"/>
      <c r="AC11076" s="531"/>
      <c r="AD11076" s="531"/>
      <c r="AE11076" s="531"/>
      <c r="AF11076" s="531"/>
      <c r="AG11076" s="531"/>
      <c r="AH11076" s="531"/>
      <c r="AI11076" s="531"/>
      <c r="AJ11076" s="531"/>
      <c r="AK11076" s="531"/>
      <c r="AL11076" s="531"/>
      <c r="AM11076" s="531"/>
      <c r="AN11076" s="531"/>
      <c r="AO11076" s="531"/>
      <c r="AR11076" s="761" t="s">
        <v>145</v>
      </c>
      <c r="AS11076" s="764"/>
    </row>
    <row r="11077" spans="1:45" s="520" customFormat="1" ht="12" thickTop="1">
      <c r="A11077" s="51"/>
      <c r="B11077" s="41"/>
      <c r="C11077" s="51"/>
      <c r="E11077" s="42" t="s">
        <v>138</v>
      </c>
      <c r="F11077" s="42" t="s">
        <v>139</v>
      </c>
      <c r="G11077" s="51"/>
      <c r="H11077" s="51"/>
      <c r="I11077" s="51"/>
      <c r="J11077" s="51"/>
      <c r="K11077" s="51" t="s">
        <v>140</v>
      </c>
      <c r="L11077" s="51"/>
      <c r="M11077" s="51"/>
      <c r="N11077" s="51"/>
      <c r="O11077" s="52"/>
      <c r="P11077" s="51"/>
      <c r="Q11077" s="51"/>
      <c r="R11077" s="51"/>
      <c r="S11077" s="51"/>
      <c r="T11077" s="41"/>
      <c r="AG11077" s="521" t="s">
        <v>268</v>
      </c>
      <c r="AH11077" s="521" t="s">
        <v>269</v>
      </c>
      <c r="AI11077" s="521" t="s">
        <v>270</v>
      </c>
      <c r="AJ11077" s="521" t="s">
        <v>271</v>
      </c>
      <c r="AK11077" s="521" t="s">
        <v>272</v>
      </c>
      <c r="AM11077" s="745" t="s">
        <v>281</v>
      </c>
      <c r="AN11077" s="746" t="s">
        <v>282</v>
      </c>
      <c r="AO11077" s="522" t="s">
        <v>278</v>
      </c>
      <c r="AR11077" s="51"/>
      <c r="AS11077" s="42" t="s">
        <v>139</v>
      </c>
    </row>
    <row r="11078" spans="1:45" s="520" customFormat="1" ht="12" customHeight="1">
      <c r="A11078" s="747">
        <v>1</v>
      </c>
      <c r="B11078" s="523" t="s">
        <v>329</v>
      </c>
      <c r="C11078" s="748"/>
      <c r="D11078" s="749" t="s">
        <v>2548</v>
      </c>
      <c r="E11078" s="1145">
        <f>IF(AND($A11078=0,$A$1="DIF"),0, ROUND(ROUND(($R11082*$S$3+($T11082*$T$3))/$A11078,2)*$C$3,2))</f>
        <v>98.54</v>
      </c>
      <c r="F11078" s="1146">
        <f>ROUND($A11078*$E11078,2)</f>
        <v>98.54</v>
      </c>
      <c r="G11078" s="752" t="s">
        <v>142</v>
      </c>
      <c r="H11078" s="753"/>
      <c r="I11078" s="754"/>
      <c r="J11078" s="753"/>
      <c r="K11078" s="753" t="s">
        <v>5</v>
      </c>
      <c r="L11078" s="755" t="s">
        <v>143</v>
      </c>
      <c r="M11078" s="755"/>
      <c r="N11078" s="755"/>
      <c r="O11078" s="755"/>
      <c r="P11078" s="755"/>
      <c r="Q11078" s="51"/>
      <c r="T11078" s="1150" t="str">
        <f>IF(AND($R11082=0,$T11082=0),"0.00","mu: "&amp; ROUND(F11078/$C$3/($R11082+$T11082*$D$9),2))</f>
        <v>mu: 1.13</v>
      </c>
      <c r="W11078" s="524"/>
      <c r="AG11078" s="1147">
        <f>IF($E11078=0,0,ROUND($R11082*$S$3*$C$3/$A11078,2))</f>
        <v>98.54</v>
      </c>
      <c r="AH11078" s="1147">
        <f>$AG11078*$A11078</f>
        <v>98.54</v>
      </c>
      <c r="AI11078" s="1148">
        <f>$E11078-$AG11078</f>
        <v>0</v>
      </c>
      <c r="AJ11078" s="1148">
        <f>$A11078*$AI11078</f>
        <v>0</v>
      </c>
      <c r="AK11078" s="1149">
        <f>ROUND(($AG11078+$AI11078)*$A11078,2)</f>
        <v>98.54</v>
      </c>
      <c r="AM11078" s="527">
        <f>ROUND(R11082,2)</f>
        <v>87.3</v>
      </c>
      <c r="AN11078" s="528">
        <f>ROUND(T11082,2)</f>
        <v>0</v>
      </c>
      <c r="AO11078" s="529">
        <f>ROUND(AM11078+AN11078,2)*A11078</f>
        <v>87.3</v>
      </c>
      <c r="AR11078" s="747">
        <v>1</v>
      </c>
      <c r="AS11078" s="1146">
        <v>107.23</v>
      </c>
    </row>
    <row r="11079" spans="1:45" s="520" customFormat="1" ht="13.2">
      <c r="A11079" s="748"/>
      <c r="B11079"/>
      <c r="C11079" s="748"/>
      <c r="D11079" s="749" t="s">
        <v>2219</v>
      </c>
      <c r="F11079" s="753"/>
      <c r="G11079" s="3"/>
      <c r="H11079" s="753"/>
      <c r="I11079" s="754"/>
      <c r="J11079" s="753"/>
      <c r="K11079" s="753" t="s">
        <v>144</v>
      </c>
      <c r="L11079" s="753"/>
      <c r="M11079" s="753"/>
      <c r="N11079" s="753"/>
      <c r="O11079" s="753"/>
      <c r="P11079" s="753"/>
      <c r="Q11079" s="51"/>
      <c r="R11079" s="530"/>
      <c r="S11079" s="757"/>
      <c r="T11079" s="753"/>
      <c r="AR11079" s="748"/>
      <c r="AS11079" s="753"/>
    </row>
    <row r="11080" spans="1:45" s="901" customFormat="1" ht="13.2">
      <c r="A11080" s="903">
        <v>1</v>
      </c>
      <c r="B11080" s="904" t="s">
        <v>863</v>
      </c>
      <c r="C11080" s="904"/>
      <c r="D11080" s="904" t="s">
        <v>2594</v>
      </c>
      <c r="E11080" s="904"/>
      <c r="F11080" s="1153" t="s">
        <v>4141</v>
      </c>
      <c r="G11080" s="905" t="s">
        <v>2595</v>
      </c>
      <c r="H11080" s="902">
        <v>960</v>
      </c>
      <c r="I11080" s="904" t="s">
        <v>2596</v>
      </c>
      <c r="J11080" s="904"/>
      <c r="K11080" s="904"/>
      <c r="L11080" s="904"/>
      <c r="M11080" s="904"/>
      <c r="N11080" s="904"/>
      <c r="O11080" s="902">
        <v>4</v>
      </c>
      <c r="P11080" s="906">
        <v>38274</v>
      </c>
      <c r="Q11080" s="1415">
        <f>100*0.873</f>
        <v>87.3</v>
      </c>
      <c r="R11080" s="908">
        <f>$A11080*Q11080</f>
        <v>87.3</v>
      </c>
      <c r="S11080" s="907"/>
      <c r="T11080" s="909">
        <f>$A11080*S11080*$T$1</f>
        <v>0</v>
      </c>
      <c r="AR11080" s="903">
        <v>1</v>
      </c>
      <c r="AS11080" s="1153" t="s">
        <v>3507</v>
      </c>
    </row>
    <row r="11081" spans="1:45" s="520" customFormat="1" ht="12">
      <c r="A11081" s="758"/>
      <c r="B11081" s="758"/>
      <c r="C11081" s="758"/>
      <c r="D11081" s="758"/>
      <c r="E11081" s="758"/>
      <c r="F11081" s="753"/>
      <c r="G11081" s="758"/>
      <c r="H11081" s="758"/>
      <c r="I11081" s="519"/>
      <c r="J11081" s="758"/>
      <c r="K11081" s="758"/>
      <c r="L11081" s="758"/>
      <c r="M11081" s="758"/>
      <c r="N11081" s="758"/>
      <c r="O11081" s="758"/>
      <c r="P11081" s="758"/>
      <c r="Q11081" s="519"/>
      <c r="R11081" s="759">
        <f>$A11081*Q11081</f>
        <v>0</v>
      </c>
      <c r="S11081" s="519"/>
      <c r="T11081" s="760">
        <f>$A11081*S11081*$T$1</f>
        <v>0</v>
      </c>
      <c r="AR11081" s="758"/>
      <c r="AS11081" s="753"/>
    </row>
    <row r="11082" spans="1:45" s="520" customFormat="1" ht="12.6" thickBot="1">
      <c r="A11082" s="761" t="s">
        <v>145</v>
      </c>
      <c r="B11082" s="762">
        <f>(R11081+T11081)</f>
        <v>0</v>
      </c>
      <c r="C11082" s="763"/>
      <c r="D11082" s="763"/>
      <c r="E11082" s="763"/>
      <c r="F11082" s="764"/>
      <c r="G11082" s="763" t="s">
        <v>146</v>
      </c>
      <c r="H11082" s="763"/>
      <c r="I11082" s="765"/>
      <c r="J11082" s="763"/>
      <c r="K11082" s="763" t="s">
        <v>5</v>
      </c>
      <c r="L11082" s="766" t="s">
        <v>143</v>
      </c>
      <c r="M11082" s="766"/>
      <c r="N11082" s="766"/>
      <c r="O11082" s="766"/>
      <c r="P11082" s="766"/>
      <c r="Q11082" s="767"/>
      <c r="R11082" s="768">
        <f>SUM(R11079:R11081)</f>
        <v>87.3</v>
      </c>
      <c r="S11082" s="763"/>
      <c r="T11082" s="768">
        <f>SUM(T11079:T11081)</f>
        <v>0</v>
      </c>
      <c r="U11082" s="531"/>
      <c r="V11082" s="531"/>
      <c r="W11082" s="531"/>
      <c r="X11082" s="531"/>
      <c r="Y11082" s="531"/>
      <c r="Z11082" s="531"/>
      <c r="AA11082" s="531"/>
      <c r="AB11082" s="531"/>
      <c r="AC11082" s="531"/>
      <c r="AD11082" s="531"/>
      <c r="AE11082" s="531"/>
      <c r="AF11082" s="531"/>
      <c r="AG11082" s="531"/>
      <c r="AH11082" s="531"/>
      <c r="AI11082" s="531"/>
      <c r="AJ11082" s="531"/>
      <c r="AK11082" s="531"/>
      <c r="AL11082" s="531"/>
      <c r="AM11082" s="531"/>
      <c r="AN11082" s="531"/>
      <c r="AO11082" s="531"/>
      <c r="AR11082" s="761" t="s">
        <v>145</v>
      </c>
      <c r="AS11082" s="764"/>
    </row>
    <row r="11083" spans="1:45" s="520" customFormat="1" ht="12" thickTop="1">
      <c r="A11083" s="51"/>
      <c r="B11083" s="41"/>
      <c r="C11083" s="51"/>
      <c r="E11083" s="42" t="s">
        <v>138</v>
      </c>
      <c r="F11083" s="42" t="s">
        <v>139</v>
      </c>
      <c r="G11083" s="51"/>
      <c r="H11083" s="51"/>
      <c r="I11083" s="51"/>
      <c r="J11083" s="51"/>
      <c r="K11083" s="51" t="s">
        <v>140</v>
      </c>
      <c r="L11083" s="51"/>
      <c r="M11083" s="51"/>
      <c r="N11083" s="51"/>
      <c r="O11083" s="52"/>
      <c r="P11083" s="51"/>
      <c r="Q11083" s="51"/>
      <c r="R11083" s="51"/>
      <c r="S11083" s="51"/>
      <c r="T11083" s="41"/>
      <c r="AG11083" s="521" t="s">
        <v>268</v>
      </c>
      <c r="AH11083" s="521" t="s">
        <v>269</v>
      </c>
      <c r="AI11083" s="521" t="s">
        <v>270</v>
      </c>
      <c r="AJ11083" s="521" t="s">
        <v>271</v>
      </c>
      <c r="AK11083" s="521" t="s">
        <v>272</v>
      </c>
      <c r="AM11083" s="745" t="s">
        <v>281</v>
      </c>
      <c r="AN11083" s="746" t="s">
        <v>282</v>
      </c>
      <c r="AO11083" s="522" t="s">
        <v>278</v>
      </c>
      <c r="AR11083" s="51"/>
      <c r="AS11083" s="42" t="s">
        <v>139</v>
      </c>
    </row>
    <row r="11084" spans="1:45" s="520" customFormat="1" ht="12" customHeight="1">
      <c r="A11084" s="747">
        <v>2</v>
      </c>
      <c r="B11084" s="523" t="s">
        <v>329</v>
      </c>
      <c r="C11084" s="748"/>
      <c r="D11084" s="749" t="s">
        <v>2549</v>
      </c>
      <c r="E11084" s="1145">
        <f>IF(AND($A11084=0,$A$1="DIF"),0, ROUND(ROUND(($R11088*$S$3+($T11088*$T$3))/$A11084,2)*$C$3,2))</f>
        <v>73.900000000000006</v>
      </c>
      <c r="F11084" s="1146">
        <f>ROUND($A11084*$E11084,2)</f>
        <v>147.80000000000001</v>
      </c>
      <c r="G11084" s="752" t="s">
        <v>142</v>
      </c>
      <c r="H11084" s="753"/>
      <c r="I11084" s="754"/>
      <c r="J11084" s="753"/>
      <c r="K11084" s="753" t="s">
        <v>5</v>
      </c>
      <c r="L11084" s="755" t="s">
        <v>143</v>
      </c>
      <c r="M11084" s="755"/>
      <c r="N11084" s="755"/>
      <c r="O11084" s="755"/>
      <c r="P11084" s="755"/>
      <c r="Q11084" s="51"/>
      <c r="T11084" s="1150" t="str">
        <f>IF(AND($R11088=0,$T11088=0),"0.00","mu: "&amp; ROUND(F11084/$C$3/($R11088+$T11088*$D$9),2))</f>
        <v>mu: 1.13</v>
      </c>
      <c r="W11084" s="524"/>
      <c r="AG11084" s="1147">
        <f>IF($E11084=0,0,ROUND($R11088*$S$3*$C$3/$A11084,2))</f>
        <v>73.900000000000006</v>
      </c>
      <c r="AH11084" s="1147">
        <f>$AG11084*$A11084</f>
        <v>147.80000000000001</v>
      </c>
      <c r="AI11084" s="1148">
        <f>$E11084-$AG11084</f>
        <v>0</v>
      </c>
      <c r="AJ11084" s="1148">
        <f>$A11084*$AI11084</f>
        <v>0</v>
      </c>
      <c r="AK11084" s="1149">
        <f>ROUND(($AG11084+$AI11084)*$A11084,2)</f>
        <v>147.80000000000001</v>
      </c>
      <c r="AM11084" s="527">
        <f>ROUND(R11088,2)</f>
        <v>130.94999999999999</v>
      </c>
      <c r="AN11084" s="528">
        <f>ROUND(T11088,2)</f>
        <v>0</v>
      </c>
      <c r="AO11084" s="529">
        <f>ROUND(AM11084+AN11084,2)*A11084</f>
        <v>261.89999999999998</v>
      </c>
      <c r="AR11084" s="747">
        <v>2</v>
      </c>
      <c r="AS11084" s="1146">
        <v>160.84</v>
      </c>
    </row>
    <row r="11085" spans="1:45" s="520" customFormat="1" ht="13.2">
      <c r="A11085" s="748"/>
      <c r="B11085"/>
      <c r="C11085" s="748"/>
      <c r="D11085" s="749" t="s">
        <v>2220</v>
      </c>
      <c r="F11085" s="753"/>
      <c r="G11085" s="3"/>
      <c r="H11085" s="753"/>
      <c r="I11085" s="754"/>
      <c r="J11085" s="753"/>
      <c r="K11085" s="753" t="s">
        <v>144</v>
      </c>
      <c r="L11085" s="753"/>
      <c r="M11085" s="753"/>
      <c r="N11085" s="753"/>
      <c r="O11085" s="753"/>
      <c r="P11085" s="753"/>
      <c r="Q11085" s="51"/>
      <c r="R11085" s="530"/>
      <c r="S11085" s="757"/>
      <c r="T11085" s="753"/>
      <c r="AR11085" s="748"/>
      <c r="AS11085" s="753"/>
    </row>
    <row r="11086" spans="1:45" s="901" customFormat="1" ht="13.2">
      <c r="A11086" s="903">
        <v>2</v>
      </c>
      <c r="B11086" s="904" t="s">
        <v>863</v>
      </c>
      <c r="C11086" s="904"/>
      <c r="D11086" s="904" t="s">
        <v>2594</v>
      </c>
      <c r="E11086" s="904"/>
      <c r="F11086" s="1153" t="s">
        <v>4141</v>
      </c>
      <c r="G11086" s="905" t="s">
        <v>2595</v>
      </c>
      <c r="H11086" s="902">
        <v>960</v>
      </c>
      <c r="I11086" s="904" t="s">
        <v>2596</v>
      </c>
      <c r="J11086" s="904"/>
      <c r="K11086" s="904"/>
      <c r="L11086" s="904"/>
      <c r="M11086" s="904"/>
      <c r="N11086" s="904"/>
      <c r="O11086" s="902">
        <v>4</v>
      </c>
      <c r="P11086" s="906">
        <v>38274</v>
      </c>
      <c r="Q11086" s="1415">
        <f>75*0.873</f>
        <v>65.474999999999994</v>
      </c>
      <c r="R11086" s="908">
        <f>$A11086*Q11086</f>
        <v>130.94999999999999</v>
      </c>
      <c r="S11086" s="907"/>
      <c r="T11086" s="909">
        <f>$A11086*S11086*$T$1</f>
        <v>0</v>
      </c>
      <c r="AR11086" s="903">
        <v>2</v>
      </c>
      <c r="AS11086" s="1153" t="s">
        <v>3507</v>
      </c>
    </row>
    <row r="11087" spans="1:45" s="520" customFormat="1" ht="12">
      <c r="A11087" s="758"/>
      <c r="B11087" s="758"/>
      <c r="C11087" s="758"/>
      <c r="D11087" s="758"/>
      <c r="E11087" s="758"/>
      <c r="F11087" s="753"/>
      <c r="G11087" s="758"/>
      <c r="H11087" s="758"/>
      <c r="I11087" s="519"/>
      <c r="J11087" s="758"/>
      <c r="K11087" s="758"/>
      <c r="L11087" s="758"/>
      <c r="M11087" s="758"/>
      <c r="N11087" s="758"/>
      <c r="O11087" s="758"/>
      <c r="P11087" s="758"/>
      <c r="Q11087" s="519"/>
      <c r="R11087" s="759">
        <f>$A11087*Q11087</f>
        <v>0</v>
      </c>
      <c r="S11087" s="519"/>
      <c r="T11087" s="760">
        <f>$A11087*S11087*$T$1</f>
        <v>0</v>
      </c>
      <c r="AR11087" s="758"/>
      <c r="AS11087" s="753"/>
    </row>
    <row r="11088" spans="1:45" s="520" customFormat="1" ht="12.6" thickBot="1">
      <c r="A11088" s="761" t="s">
        <v>145</v>
      </c>
      <c r="B11088" s="762">
        <f>(R11087+T11087)</f>
        <v>0</v>
      </c>
      <c r="C11088" s="763"/>
      <c r="D11088" s="763"/>
      <c r="E11088" s="763"/>
      <c r="F11088" s="764"/>
      <c r="G11088" s="763" t="s">
        <v>146</v>
      </c>
      <c r="H11088" s="763"/>
      <c r="I11088" s="765"/>
      <c r="J11088" s="763"/>
      <c r="K11088" s="763" t="s">
        <v>5</v>
      </c>
      <c r="L11088" s="766" t="s">
        <v>143</v>
      </c>
      <c r="M11088" s="766"/>
      <c r="N11088" s="766"/>
      <c r="O11088" s="766"/>
      <c r="P11088" s="766"/>
      <c r="Q11088" s="767"/>
      <c r="R11088" s="768">
        <f>SUM(R11085:R11087)</f>
        <v>130.94999999999999</v>
      </c>
      <c r="S11088" s="763"/>
      <c r="T11088" s="768">
        <f>SUM(T11085:T11087)</f>
        <v>0</v>
      </c>
      <c r="U11088" s="531"/>
      <c r="V11088" s="531"/>
      <c r="W11088" s="531"/>
      <c r="X11088" s="531"/>
      <c r="Y11088" s="531"/>
      <c r="Z11088" s="531"/>
      <c r="AA11088" s="531"/>
      <c r="AB11088" s="531"/>
      <c r="AC11088" s="531"/>
      <c r="AD11088" s="531"/>
      <c r="AE11088" s="531"/>
      <c r="AF11088" s="531"/>
      <c r="AG11088" s="531"/>
      <c r="AH11088" s="531"/>
      <c r="AI11088" s="531"/>
      <c r="AJ11088" s="531"/>
      <c r="AK11088" s="531"/>
      <c r="AL11088" s="531"/>
      <c r="AM11088" s="531"/>
      <c r="AN11088" s="531"/>
      <c r="AO11088" s="531"/>
      <c r="AR11088" s="761" t="s">
        <v>145</v>
      </c>
      <c r="AS11088" s="764"/>
    </row>
    <row r="11089" spans="1:45" s="520" customFormat="1" ht="12" thickTop="1">
      <c r="A11089" s="51"/>
      <c r="B11089" s="41"/>
      <c r="C11089" s="51"/>
      <c r="E11089" s="42" t="s">
        <v>138</v>
      </c>
      <c r="F11089" s="42" t="s">
        <v>139</v>
      </c>
      <c r="G11089" s="51"/>
      <c r="H11089" s="51"/>
      <c r="I11089" s="51"/>
      <c r="J11089" s="51"/>
      <c r="K11089" s="51" t="s">
        <v>140</v>
      </c>
      <c r="L11089" s="51"/>
      <c r="M11089" s="51"/>
      <c r="N11089" s="51"/>
      <c r="O11089" s="52"/>
      <c r="P11089" s="51"/>
      <c r="Q11089" s="51"/>
      <c r="R11089" s="51"/>
      <c r="S11089" s="51"/>
      <c r="T11089" s="41"/>
      <c r="AG11089" s="521" t="s">
        <v>268</v>
      </c>
      <c r="AH11089" s="521" t="s">
        <v>269</v>
      </c>
      <c r="AI11089" s="521" t="s">
        <v>270</v>
      </c>
      <c r="AJ11089" s="521" t="s">
        <v>271</v>
      </c>
      <c r="AK11089" s="521" t="s">
        <v>272</v>
      </c>
      <c r="AM11089" s="745" t="s">
        <v>281</v>
      </c>
      <c r="AN11089" s="746" t="s">
        <v>282</v>
      </c>
      <c r="AO11089" s="522" t="s">
        <v>278</v>
      </c>
      <c r="AR11089" s="51"/>
      <c r="AS11089" s="42" t="s">
        <v>139</v>
      </c>
    </row>
    <row r="11090" spans="1:45" s="520" customFormat="1" ht="12" customHeight="1">
      <c r="A11090" s="747">
        <v>2</v>
      </c>
      <c r="B11090" s="523" t="s">
        <v>329</v>
      </c>
      <c r="C11090" s="748"/>
      <c r="D11090" s="749" t="s">
        <v>2550</v>
      </c>
      <c r="E11090" s="1145">
        <f>IF(AND($A11090=0,$A$1="DIF"),0, ROUND(ROUND(($R11094*$S$3+($T11094*$T$3))/$A11090,2)*$C$3,2))</f>
        <v>0</v>
      </c>
      <c r="F11090" s="1146">
        <f>ROUND($A11090*$E11090,2)</f>
        <v>0</v>
      </c>
      <c r="G11090" s="752" t="s">
        <v>142</v>
      </c>
      <c r="H11090" s="753"/>
      <c r="I11090" s="754"/>
      <c r="J11090" s="753"/>
      <c r="K11090" s="753" t="s">
        <v>5</v>
      </c>
      <c r="L11090" s="755" t="s">
        <v>143</v>
      </c>
      <c r="M11090" s="755"/>
      <c r="N11090" s="755"/>
      <c r="O11090" s="755"/>
      <c r="P11090" s="755"/>
      <c r="Q11090" s="1058" t="s">
        <v>2895</v>
      </c>
      <c r="T11090" s="1150" t="str">
        <f>IF(AND($R11094=0,$T11094=0),"0.00","mu: "&amp; ROUND(F11090/$C$3/($R11094+$T11094*$D$9),2))</f>
        <v>0.00</v>
      </c>
      <c r="W11090" s="524"/>
      <c r="AG11090" s="1147">
        <f>IF($E11090=0,0,ROUND($R11094*$S$3*$C$3/$A11090,2))</f>
        <v>0</v>
      </c>
      <c r="AH11090" s="1147">
        <f>$AG11090*$A11090</f>
        <v>0</v>
      </c>
      <c r="AI11090" s="1148">
        <f>$E11090-$AG11090</f>
        <v>0</v>
      </c>
      <c r="AJ11090" s="1148">
        <f>$A11090*$AI11090</f>
        <v>0</v>
      </c>
      <c r="AK11090" s="1149">
        <f>ROUND(($AG11090+$AI11090)*$A11090,2)</f>
        <v>0</v>
      </c>
      <c r="AM11090" s="527">
        <f>ROUND(R11094,2)</f>
        <v>0</v>
      </c>
      <c r="AN11090" s="528">
        <f>ROUND(T11094,2)</f>
        <v>0</v>
      </c>
      <c r="AO11090" s="529">
        <f>ROUND(AM11090+AN11090,2)*A11090</f>
        <v>0</v>
      </c>
      <c r="AR11090" s="747">
        <v>2</v>
      </c>
      <c r="AS11090" s="1146">
        <v>0</v>
      </c>
    </row>
    <row r="11091" spans="1:45" s="520" customFormat="1" ht="13.2">
      <c r="A11091" s="748"/>
      <c r="B11091"/>
      <c r="C11091" s="748"/>
      <c r="D11091" s="749" t="s">
        <v>2221</v>
      </c>
      <c r="F11091" s="753"/>
      <c r="G11091" s="3"/>
      <c r="H11091" s="753"/>
      <c r="I11091" s="754"/>
      <c r="J11091" s="753"/>
      <c r="K11091" s="753" t="s">
        <v>144</v>
      </c>
      <c r="L11091" s="753"/>
      <c r="M11091" s="753"/>
      <c r="N11091" s="753"/>
      <c r="O11091" s="753"/>
      <c r="P11091" s="753"/>
      <c r="Q11091" s="51"/>
      <c r="R11091" s="530"/>
      <c r="S11091" s="757"/>
      <c r="T11091" s="753"/>
      <c r="AR11091" s="748"/>
      <c r="AS11091" s="753"/>
    </row>
    <row r="11092" spans="1:45" s="901" customFormat="1" ht="13.2">
      <c r="A11092" s="903">
        <v>2</v>
      </c>
      <c r="B11092" s="904" t="s">
        <v>863</v>
      </c>
      <c r="C11092" s="904"/>
      <c r="D11092" s="904" t="s">
        <v>2594</v>
      </c>
      <c r="E11092" s="904"/>
      <c r="F11092" s="1153" t="s">
        <v>4141</v>
      </c>
      <c r="G11092" s="905" t="s">
        <v>2595</v>
      </c>
      <c r="H11092" s="902">
        <v>960</v>
      </c>
      <c r="I11092" s="904" t="s">
        <v>2596</v>
      </c>
      <c r="J11092" s="904"/>
      <c r="K11092" s="904"/>
      <c r="L11092" s="904"/>
      <c r="M11092" s="904"/>
      <c r="N11092" s="904"/>
      <c r="O11092" s="902">
        <v>4</v>
      </c>
      <c r="P11092" s="906">
        <v>38274</v>
      </c>
      <c r="Q11092" s="1171"/>
      <c r="R11092" s="908">
        <f>$A11092*Q11092</f>
        <v>0</v>
      </c>
      <c r="S11092" s="907"/>
      <c r="T11092" s="909">
        <f>$A11092*S11092*$T$1</f>
        <v>0</v>
      </c>
      <c r="U11092" s="901" t="s">
        <v>2764</v>
      </c>
      <c r="AR11092" s="903">
        <v>2</v>
      </c>
      <c r="AS11092" s="1153" t="s">
        <v>3507</v>
      </c>
    </row>
    <row r="11093" spans="1:45" s="520" customFormat="1" ht="12">
      <c r="A11093" s="758"/>
      <c r="B11093" s="758"/>
      <c r="C11093" s="758"/>
      <c r="D11093" s="758"/>
      <c r="E11093" s="758"/>
      <c r="F11093" s="753"/>
      <c r="G11093" s="758"/>
      <c r="H11093" s="758"/>
      <c r="I11093" s="519"/>
      <c r="J11093" s="758"/>
      <c r="K11093" s="758"/>
      <c r="L11093" s="758"/>
      <c r="M11093" s="758"/>
      <c r="N11093" s="758"/>
      <c r="O11093" s="758"/>
      <c r="P11093" s="758"/>
      <c r="Q11093" s="519"/>
      <c r="R11093" s="759">
        <f>$A11093*Q11093</f>
        <v>0</v>
      </c>
      <c r="S11093" s="519"/>
      <c r="T11093" s="760">
        <f>$A11093*S11093*$T$1</f>
        <v>0</v>
      </c>
      <c r="AR11093" s="758"/>
      <c r="AS11093" s="753"/>
    </row>
    <row r="11094" spans="1:45" s="520" customFormat="1" ht="12.6" thickBot="1">
      <c r="A11094" s="761" t="s">
        <v>145</v>
      </c>
      <c r="B11094" s="762">
        <f>(R11093+T11093)</f>
        <v>0</v>
      </c>
      <c r="C11094" s="763"/>
      <c r="D11094" s="763"/>
      <c r="E11094" s="763"/>
      <c r="F11094" s="764"/>
      <c r="G11094" s="763" t="s">
        <v>146</v>
      </c>
      <c r="H11094" s="763"/>
      <c r="I11094" s="765"/>
      <c r="J11094" s="763"/>
      <c r="K11094" s="763" t="s">
        <v>5</v>
      </c>
      <c r="L11094" s="766" t="s">
        <v>143</v>
      </c>
      <c r="M11094" s="766"/>
      <c r="N11094" s="766"/>
      <c r="O11094" s="766"/>
      <c r="P11094" s="766"/>
      <c r="Q11094" s="767"/>
      <c r="R11094" s="768">
        <f>SUM(R11091:R11093)</f>
        <v>0</v>
      </c>
      <c r="S11094" s="763"/>
      <c r="T11094" s="768">
        <f>SUM(T11091:T11093)</f>
        <v>0</v>
      </c>
      <c r="U11094" s="531"/>
      <c r="V11094" s="531"/>
      <c r="W11094" s="531"/>
      <c r="X11094" s="531"/>
      <c r="Y11094" s="531"/>
      <c r="Z11094" s="531"/>
      <c r="AA11094" s="531"/>
      <c r="AB11094" s="531"/>
      <c r="AC11094" s="531"/>
      <c r="AD11094" s="531"/>
      <c r="AE11094" s="531"/>
      <c r="AF11094" s="531"/>
      <c r="AG11094" s="531"/>
      <c r="AH11094" s="531"/>
      <c r="AI11094" s="531"/>
      <c r="AJ11094" s="531"/>
      <c r="AK11094" s="531"/>
      <c r="AL11094" s="531"/>
      <c r="AM11094" s="531"/>
      <c r="AN11094" s="531"/>
      <c r="AO11094" s="531"/>
      <c r="AR11094" s="761" t="s">
        <v>145</v>
      </c>
      <c r="AS11094" s="764"/>
    </row>
    <row r="11095" spans="1:45" s="520" customFormat="1" ht="12" thickTop="1">
      <c r="A11095" s="51"/>
      <c r="B11095" s="41"/>
      <c r="C11095" s="51"/>
      <c r="E11095" s="42" t="s">
        <v>138</v>
      </c>
      <c r="F11095" s="42" t="s">
        <v>139</v>
      </c>
      <c r="G11095" s="51"/>
      <c r="H11095" s="51"/>
      <c r="I11095" s="51"/>
      <c r="J11095" s="51"/>
      <c r="K11095" s="51" t="s">
        <v>140</v>
      </c>
      <c r="L11095" s="51"/>
      <c r="M11095" s="51"/>
      <c r="N11095" s="51"/>
      <c r="O11095" s="52"/>
      <c r="P11095" s="51"/>
      <c r="Q11095" s="51"/>
      <c r="R11095" s="51"/>
      <c r="S11095" s="51"/>
      <c r="T11095" s="41"/>
      <c r="AG11095" s="521" t="s">
        <v>268</v>
      </c>
      <c r="AH11095" s="521" t="s">
        <v>269</v>
      </c>
      <c r="AI11095" s="521" t="s">
        <v>270</v>
      </c>
      <c r="AJ11095" s="521" t="s">
        <v>271</v>
      </c>
      <c r="AK11095" s="521" t="s">
        <v>272</v>
      </c>
      <c r="AM11095" s="745" t="s">
        <v>281</v>
      </c>
      <c r="AN11095" s="746" t="s">
        <v>282</v>
      </c>
      <c r="AO11095" s="522" t="s">
        <v>278</v>
      </c>
      <c r="AR11095" s="51"/>
      <c r="AS11095" s="42" t="s">
        <v>139</v>
      </c>
    </row>
    <row r="11096" spans="1:45" s="520" customFormat="1" ht="12" customHeight="1">
      <c r="A11096" s="747">
        <v>1</v>
      </c>
      <c r="B11096" s="523" t="s">
        <v>329</v>
      </c>
      <c r="C11096" s="748"/>
      <c r="D11096" s="749" t="s">
        <v>2551</v>
      </c>
      <c r="E11096" s="1145">
        <f>IF(AND($A11096=0,$A$1="DIF"),0, ROUND(ROUND(($R11100*$S$3+($T11100*$T$3))/$A11096,2)*$C$3,2))</f>
        <v>739.04</v>
      </c>
      <c r="F11096" s="1146">
        <f>ROUND($A11096*$E11096,2)</f>
        <v>739.04</v>
      </c>
      <c r="G11096" s="752" t="s">
        <v>142</v>
      </c>
      <c r="H11096" s="753"/>
      <c r="I11096" s="754"/>
      <c r="J11096" s="753"/>
      <c r="K11096" s="753" t="s">
        <v>5</v>
      </c>
      <c r="L11096" s="755" t="s">
        <v>143</v>
      </c>
      <c r="M11096" s="755"/>
      <c r="N11096" s="755"/>
      <c r="O11096" s="755"/>
      <c r="P11096" s="755"/>
      <c r="Q11096" s="51"/>
      <c r="T11096" s="1150" t="str">
        <f>IF(AND($R11100=0,$T11100=0),"0.00","mu: "&amp; ROUND(F11096/$C$3/($R11100+$T11100*$D$9),2))</f>
        <v>mu: 1.13</v>
      </c>
      <c r="W11096" s="524"/>
      <c r="AG11096" s="1147">
        <f>IF($E11096=0,0,ROUND($R11100*$S$3*$C$3/$A11096,2))</f>
        <v>739.04</v>
      </c>
      <c r="AH11096" s="1147">
        <f>$AG11096*$A11096</f>
        <v>739.04</v>
      </c>
      <c r="AI11096" s="1148">
        <f>$E11096-$AG11096</f>
        <v>0</v>
      </c>
      <c r="AJ11096" s="1148">
        <f>$A11096*$AI11096</f>
        <v>0</v>
      </c>
      <c r="AK11096" s="1149">
        <f>ROUND(($AG11096+$AI11096)*$A11096,2)</f>
        <v>739.04</v>
      </c>
      <c r="AM11096" s="527">
        <f>ROUND(R11100,2)</f>
        <v>654.75</v>
      </c>
      <c r="AN11096" s="528">
        <f>ROUND(T11100,2)</f>
        <v>0</v>
      </c>
      <c r="AO11096" s="529">
        <f>ROUND(AM11096+AN11096,2)*A11096</f>
        <v>654.75</v>
      </c>
      <c r="AR11096" s="747">
        <v>1</v>
      </c>
      <c r="AS11096" s="1146">
        <v>804.22</v>
      </c>
    </row>
    <row r="11097" spans="1:45" s="520" customFormat="1" ht="13.2">
      <c r="A11097" s="748"/>
      <c r="B11097"/>
      <c r="C11097" s="748"/>
      <c r="D11097" s="749" t="s">
        <v>2222</v>
      </c>
      <c r="F11097" s="753"/>
      <c r="G11097" s="3"/>
      <c r="H11097" s="753"/>
      <c r="I11097" s="754"/>
      <c r="J11097" s="753"/>
      <c r="K11097" s="753" t="s">
        <v>144</v>
      </c>
      <c r="L11097" s="753"/>
      <c r="M11097" s="753"/>
      <c r="N11097" s="753"/>
      <c r="O11097" s="753"/>
      <c r="P11097" s="753"/>
      <c r="Q11097" s="51"/>
      <c r="R11097" s="530"/>
      <c r="S11097" s="757"/>
      <c r="T11097" s="753"/>
      <c r="AR11097" s="748"/>
      <c r="AS11097" s="753"/>
    </row>
    <row r="11098" spans="1:45" s="901" customFormat="1" ht="13.2">
      <c r="A11098" s="903">
        <v>1</v>
      </c>
      <c r="B11098" s="904" t="s">
        <v>863</v>
      </c>
      <c r="C11098" s="904"/>
      <c r="D11098" s="904" t="s">
        <v>2594</v>
      </c>
      <c r="E11098" s="904"/>
      <c r="F11098" s="1153" t="s">
        <v>4141</v>
      </c>
      <c r="G11098" s="905" t="s">
        <v>2595</v>
      </c>
      <c r="H11098" s="902">
        <v>960</v>
      </c>
      <c r="I11098" s="904" t="s">
        <v>2596</v>
      </c>
      <c r="J11098" s="904"/>
      <c r="K11098" s="904"/>
      <c r="L11098" s="904"/>
      <c r="M11098" s="904"/>
      <c r="N11098" s="904"/>
      <c r="O11098" s="902">
        <v>4</v>
      </c>
      <c r="P11098" s="906">
        <v>38274</v>
      </c>
      <c r="Q11098" s="1415">
        <f>750*0.873</f>
        <v>654.75</v>
      </c>
      <c r="R11098" s="908">
        <f>$A11098*Q11098</f>
        <v>654.75</v>
      </c>
      <c r="S11098" s="907"/>
      <c r="T11098" s="909">
        <f>$A11098*S11098*$T$1</f>
        <v>0</v>
      </c>
      <c r="AR11098" s="903">
        <v>1</v>
      </c>
      <c r="AS11098" s="1153" t="s">
        <v>3507</v>
      </c>
    </row>
    <row r="11099" spans="1:45" s="520" customFormat="1" ht="12">
      <c r="A11099" s="758"/>
      <c r="B11099" s="758"/>
      <c r="C11099" s="758"/>
      <c r="D11099" s="758"/>
      <c r="E11099" s="758"/>
      <c r="F11099" s="753"/>
      <c r="G11099" s="758"/>
      <c r="H11099" s="758"/>
      <c r="I11099" s="519"/>
      <c r="J11099" s="758"/>
      <c r="K11099" s="758"/>
      <c r="L11099" s="758"/>
      <c r="M11099" s="758"/>
      <c r="N11099" s="758"/>
      <c r="O11099" s="758"/>
      <c r="P11099" s="758"/>
      <c r="Q11099" s="519"/>
      <c r="R11099" s="759">
        <f>$A11099*Q11099</f>
        <v>0</v>
      </c>
      <c r="S11099" s="519"/>
      <c r="T11099" s="760">
        <f>$A11099*S11099*$T$1</f>
        <v>0</v>
      </c>
      <c r="AR11099" s="758"/>
      <c r="AS11099" s="753"/>
    </row>
    <row r="11100" spans="1:45" s="520" customFormat="1" ht="12.6" thickBot="1">
      <c r="A11100" s="761" t="s">
        <v>145</v>
      </c>
      <c r="B11100" s="762">
        <f>(R11099+T11099)</f>
        <v>0</v>
      </c>
      <c r="C11100" s="763"/>
      <c r="D11100" s="763"/>
      <c r="E11100" s="763"/>
      <c r="F11100" s="764"/>
      <c r="G11100" s="763" t="s">
        <v>146</v>
      </c>
      <c r="H11100" s="763"/>
      <c r="I11100" s="765"/>
      <c r="J11100" s="763"/>
      <c r="K11100" s="763" t="s">
        <v>5</v>
      </c>
      <c r="L11100" s="766" t="s">
        <v>143</v>
      </c>
      <c r="M11100" s="766"/>
      <c r="N11100" s="766"/>
      <c r="O11100" s="766"/>
      <c r="P11100" s="766"/>
      <c r="Q11100" s="767"/>
      <c r="R11100" s="768">
        <f>SUM(R11097:R11099)</f>
        <v>654.75</v>
      </c>
      <c r="S11100" s="763"/>
      <c r="T11100" s="768">
        <f>SUM(T11097:T11099)</f>
        <v>0</v>
      </c>
      <c r="U11100" s="531"/>
      <c r="V11100" s="531"/>
      <c r="W11100" s="531"/>
      <c r="X11100" s="531"/>
      <c r="Y11100" s="531"/>
      <c r="Z11100" s="531"/>
      <c r="AA11100" s="531"/>
      <c r="AB11100" s="531"/>
      <c r="AC11100" s="531"/>
      <c r="AD11100" s="531"/>
      <c r="AE11100" s="531"/>
      <c r="AF11100" s="531"/>
      <c r="AG11100" s="531"/>
      <c r="AH11100" s="531"/>
      <c r="AI11100" s="531"/>
      <c r="AJ11100" s="531"/>
      <c r="AK11100" s="531"/>
      <c r="AL11100" s="531"/>
      <c r="AM11100" s="531"/>
      <c r="AN11100" s="531"/>
      <c r="AO11100" s="531"/>
      <c r="AR11100" s="761" t="s">
        <v>145</v>
      </c>
      <c r="AS11100" s="764"/>
    </row>
    <row r="11101" spans="1:45" s="520" customFormat="1" thickTop="1">
      <c r="A11101" s="51"/>
      <c r="B11101" s="51"/>
      <c r="C11101" s="3"/>
      <c r="D11101" s="3"/>
      <c r="E11101" s="51"/>
      <c r="F11101" s="51"/>
      <c r="G11101" s="51"/>
      <c r="H11101" s="51"/>
      <c r="I11101" s="51"/>
      <c r="J11101" s="51"/>
      <c r="K11101" s="51" t="s">
        <v>134</v>
      </c>
      <c r="L11101" s="51"/>
      <c r="M11101" s="51"/>
      <c r="N11101" s="51"/>
      <c r="O11101" s="52"/>
      <c r="P11101" s="51"/>
      <c r="Q11101" s="51"/>
      <c r="R11101" s="51"/>
      <c r="S11101" s="51"/>
      <c r="T11101" s="51"/>
      <c r="AR11101" s="51"/>
      <c r="AS11101" s="51"/>
    </row>
    <row r="11102" spans="1:45" s="520" customFormat="1" ht="12">
      <c r="A11102" s="51"/>
      <c r="B11102" s="51"/>
      <c r="C11102" s="51" t="s">
        <v>135</v>
      </c>
      <c r="D11102" s="37"/>
      <c r="E11102" s="51"/>
      <c r="F11102" s="51"/>
      <c r="G11102" s="51"/>
      <c r="H11102" s="51"/>
      <c r="I11102" s="51"/>
      <c r="J11102" s="51"/>
      <c r="K11102" s="51"/>
      <c r="L11102" s="51"/>
      <c r="M11102" s="51"/>
      <c r="N11102" s="51"/>
      <c r="O11102" s="52"/>
      <c r="P11102" s="51"/>
      <c r="Q11102" s="51"/>
      <c r="R11102" s="51"/>
      <c r="S11102" s="51"/>
      <c r="T11102" s="51"/>
      <c r="AR11102" s="51"/>
      <c r="AS11102" s="51"/>
    </row>
    <row r="11103" spans="1:45" s="520" customFormat="1" ht="12">
      <c r="A11103" s="51"/>
      <c r="B11103" s="51"/>
      <c r="C11103" s="51"/>
      <c r="D11103" s="37" t="s">
        <v>362</v>
      </c>
      <c r="E11103" s="51"/>
      <c r="F11103" s="51"/>
      <c r="G11103" s="51"/>
      <c r="H11103" s="51"/>
      <c r="I11103" s="51"/>
      <c r="J11103" s="51"/>
      <c r="K11103" s="51"/>
      <c r="L11103" s="51"/>
      <c r="M11103" s="51"/>
      <c r="N11103" s="51"/>
      <c r="O11103" s="52"/>
      <c r="P11103" s="51"/>
      <c r="Q11103" s="51"/>
      <c r="R11103" s="51"/>
      <c r="S11103" s="38"/>
      <c r="T11103" s="38"/>
      <c r="AR11103" s="51"/>
      <c r="AS11103" s="51"/>
    </row>
    <row r="11104" spans="1:45" s="3" customFormat="1" thickBot="1">
      <c r="A11104" s="531"/>
      <c r="O11104" s="107"/>
      <c r="AR11104" s="531"/>
    </row>
    <row r="11105" spans="1:45" s="520" customFormat="1" thickTop="1">
      <c r="A11105" s="51"/>
      <c r="B11105" s="51"/>
      <c r="C11105" s="3"/>
      <c r="D11105" s="3"/>
      <c r="E11105" s="51"/>
      <c r="F11105" s="51"/>
      <c r="G11105" s="51"/>
      <c r="H11105" s="51"/>
      <c r="I11105" s="51"/>
      <c r="J11105" s="51"/>
      <c r="K11105" s="51" t="s">
        <v>134</v>
      </c>
      <c r="L11105" s="51"/>
      <c r="M11105" s="51"/>
      <c r="N11105" s="51"/>
      <c r="O11105" s="52"/>
      <c r="P11105" s="51"/>
      <c r="Q11105" s="51"/>
      <c r="R11105" s="51"/>
      <c r="S11105" s="51"/>
      <c r="T11105" s="51"/>
      <c r="AR11105" s="51"/>
      <c r="AS11105" s="51"/>
    </row>
    <row r="11106" spans="1:45" s="520" customFormat="1" ht="12">
      <c r="A11106" s="51"/>
      <c r="B11106" s="51"/>
      <c r="C11106" s="51" t="s">
        <v>135</v>
      </c>
      <c r="D11106" s="37"/>
      <c r="E11106" s="51"/>
      <c r="F11106" s="51"/>
      <c r="G11106" s="51"/>
      <c r="H11106" s="51"/>
      <c r="I11106" s="51"/>
      <c r="J11106" s="51"/>
      <c r="K11106" s="51"/>
      <c r="L11106" s="51"/>
      <c r="M11106" s="51"/>
      <c r="N11106" s="51"/>
      <c r="O11106" s="52"/>
      <c r="P11106" s="51"/>
      <c r="Q11106" s="51"/>
      <c r="R11106" s="51"/>
      <c r="S11106" s="51"/>
      <c r="T11106" s="51"/>
      <c r="AR11106" s="51"/>
      <c r="AS11106" s="51"/>
    </row>
    <row r="11107" spans="1:45" s="520" customFormat="1" ht="39.9" customHeight="1">
      <c r="A11107" s="51"/>
      <c r="B11107" s="51"/>
      <c r="C11107" s="51"/>
      <c r="D11107" s="1453" t="s">
        <v>2541</v>
      </c>
      <c r="E11107" s="1452"/>
      <c r="F11107" s="1452"/>
      <c r="G11107" s="1452"/>
      <c r="H11107" s="1452"/>
      <c r="I11107" s="1452"/>
      <c r="J11107" s="1452"/>
      <c r="K11107" s="1452"/>
      <c r="L11107" s="1452"/>
      <c r="M11107" s="1452"/>
      <c r="N11107" s="1452"/>
      <c r="O11107" s="1452"/>
      <c r="P11107" s="1452"/>
      <c r="Q11107" s="1452"/>
      <c r="R11107" s="1452"/>
      <c r="S11107" s="1452"/>
      <c r="T11107" s="1452"/>
      <c r="AR11107" s="51"/>
    </row>
    <row r="11108" spans="1:45" s="3" customFormat="1" thickBot="1">
      <c r="A11108" s="531"/>
      <c r="O11108" s="107"/>
      <c r="AR11108" s="531"/>
    </row>
    <row r="11109" spans="1:45" s="520" customFormat="1" ht="12" thickTop="1">
      <c r="A11109" s="51"/>
      <c r="B11109" s="41"/>
      <c r="C11109" s="51"/>
      <c r="E11109" s="42" t="s">
        <v>138</v>
      </c>
      <c r="F11109" s="42" t="s">
        <v>139</v>
      </c>
      <c r="G11109" s="51"/>
      <c r="H11109" s="51"/>
      <c r="I11109" s="51"/>
      <c r="J11109" s="51"/>
      <c r="K11109" s="51" t="s">
        <v>140</v>
      </c>
      <c r="L11109" s="51"/>
      <c r="M11109" s="51"/>
      <c r="N11109" s="51"/>
      <c r="O11109" s="52"/>
      <c r="P11109" s="51"/>
      <c r="Q11109" s="51"/>
      <c r="R11109" s="51"/>
      <c r="S11109" s="51"/>
      <c r="T11109" s="41"/>
      <c r="AG11109" s="521" t="s">
        <v>268</v>
      </c>
      <c r="AH11109" s="521" t="s">
        <v>269</v>
      </c>
      <c r="AI11109" s="521" t="s">
        <v>270</v>
      </c>
      <c r="AJ11109" s="521" t="s">
        <v>271</v>
      </c>
      <c r="AK11109" s="521" t="s">
        <v>272</v>
      </c>
      <c r="AM11109" s="745" t="s">
        <v>281</v>
      </c>
      <c r="AN11109" s="746" t="s">
        <v>282</v>
      </c>
      <c r="AO11109" s="522" t="s">
        <v>278</v>
      </c>
      <c r="AR11109" s="51"/>
      <c r="AS11109" s="42" t="s">
        <v>139</v>
      </c>
    </row>
    <row r="11110" spans="1:45" s="520" customFormat="1" ht="12" customHeight="1">
      <c r="A11110" s="747">
        <v>2</v>
      </c>
      <c r="B11110" s="523" t="s">
        <v>329</v>
      </c>
      <c r="C11110" s="748"/>
      <c r="D11110" s="749" t="s">
        <v>2552</v>
      </c>
      <c r="E11110" s="750">
        <f ca="1">IF(AND($A11110=0,$A$1="DIF"),0, ROUND(ROUND(($R11115*$S$2+($T11115*$T$2))/A11110,2)*$C$2,2))</f>
        <v>18.48</v>
      </c>
      <c r="F11110" s="751">
        <f ca="1">ROUND($A11110*$E11110,2)</f>
        <v>36.96</v>
      </c>
      <c r="G11110" s="752" t="s">
        <v>142</v>
      </c>
      <c r="H11110" s="753"/>
      <c r="I11110" s="754"/>
      <c r="J11110" s="753"/>
      <c r="K11110" s="753" t="s">
        <v>3</v>
      </c>
      <c r="L11110" s="755" t="s">
        <v>143</v>
      </c>
      <c r="M11110" s="755"/>
      <c r="N11110" s="755"/>
      <c r="O11110" s="755"/>
      <c r="P11110" s="755"/>
      <c r="Q11110" s="51"/>
      <c r="T11110" s="756" t="str">
        <f ca="1">IF(AND($R11115=0,$T11115=0),"0.00","mu :" &amp; ROUND($F11110/$C$2/($R11115+$T11115*$D$9),2))</f>
        <v>mu :1.23</v>
      </c>
      <c r="W11110" s="524"/>
      <c r="AG11110" s="481">
        <f ca="1">IF($E11110=0,0,ROUND($R11115*$S$2*$C$2/$A11110,2))</f>
        <v>6.65</v>
      </c>
      <c r="AH11110" s="481">
        <f ca="1">$AG11110*$A11110</f>
        <v>13.3</v>
      </c>
      <c r="AI11110" s="525">
        <f ca="1">$E11110-$AG11110</f>
        <v>11.83</v>
      </c>
      <c r="AJ11110" s="525">
        <f ca="1">$A11110*$AI11110</f>
        <v>23.66</v>
      </c>
      <c r="AK11110" s="526">
        <f ca="1">ROUND(($AG11110+$AI11110)*$A11110,2)</f>
        <v>36.96</v>
      </c>
      <c r="AM11110" s="527">
        <f ca="1">ROUND(R11115,2)</f>
        <v>10.8</v>
      </c>
      <c r="AN11110" s="528">
        <f ca="1">ROUND(T11115,2)</f>
        <v>0.7</v>
      </c>
      <c r="AO11110" s="529">
        <f ca="1">ROUND(AM11110+AN11110,2)*A11110</f>
        <v>23</v>
      </c>
      <c r="AR11110" s="747">
        <v>2</v>
      </c>
      <c r="AS11110" s="751">
        <v>39.68</v>
      </c>
    </row>
    <row r="11111" spans="1:45" s="520" customFormat="1" ht="13.2">
      <c r="A11111" s="748"/>
      <c r="B11111"/>
      <c r="C11111" s="748"/>
      <c r="D11111" s="749" t="s">
        <v>2214</v>
      </c>
      <c r="F11111" s="753"/>
      <c r="G11111" s="3"/>
      <c r="H11111" s="753"/>
      <c r="I11111" s="754"/>
      <c r="J11111" s="753"/>
      <c r="K11111" s="753" t="s">
        <v>144</v>
      </c>
      <c r="L11111" s="753"/>
      <c r="M11111" s="753"/>
      <c r="N11111" s="753"/>
      <c r="O11111" s="753"/>
      <c r="P11111" s="753"/>
      <c r="Q11111" s="51"/>
      <c r="R11111" s="530"/>
      <c r="S11111" s="757"/>
      <c r="T11111" s="753"/>
      <c r="AR11111" s="748"/>
      <c r="AS11111" s="753"/>
    </row>
    <row r="11112" spans="1:45" s="886" customFormat="1" ht="13.2">
      <c r="A11112"/>
      <c r="B11112" s="910"/>
      <c r="C11112" s="910" t="s">
        <v>2597</v>
      </c>
      <c r="D11112" s="910" t="str">
        <f ca="1">CELL("Address",Elec_Rates!D$1047)</f>
        <v>[E25_0062_Quintano_Foods_Elec_ELV_As_Awarded.xlsx]Elec_Rates!$D$1047</v>
      </c>
      <c r="E11112" s="911"/>
      <c r="F11112" s="911"/>
      <c r="G11112" s="912" t="s">
        <v>2598</v>
      </c>
      <c r="H11112" s="912"/>
      <c r="I11112" s="912"/>
      <c r="J11112" s="912"/>
      <c r="K11112" s="913"/>
      <c r="L11112" s="911"/>
      <c r="M11112" s="911"/>
      <c r="N11112" s="911"/>
      <c r="O11112" s="914"/>
      <c r="P11112" s="911"/>
      <c r="Q11112" s="915"/>
      <c r="R11112" s="916"/>
      <c r="S11112" s="915"/>
      <c r="T11112" s="917"/>
      <c r="U11112" s="918"/>
      <c r="AR11112"/>
      <c r="AS11112" s="911"/>
    </row>
    <row r="11113" spans="1:45" s="886" customFormat="1" ht="11.4">
      <c r="A11113" s="919">
        <v>2</v>
      </c>
      <c r="B11113" s="920">
        <v>1</v>
      </c>
      <c r="C11113" s="920">
        <f>$A11113*$B11113</f>
        <v>2</v>
      </c>
      <c r="D11113" s="921" t="str">
        <f>Elec_Rates!$D$1047</f>
        <v>095# LSZH Conduit points for Bathroom Alarm</v>
      </c>
      <c r="E11113" s="921"/>
      <c r="F11113" s="921" t="s">
        <v>2599</v>
      </c>
      <c r="G11113" s="922" t="s">
        <v>2600</v>
      </c>
      <c r="H11113" s="922"/>
      <c r="I11113" s="922"/>
      <c r="J11113" s="922"/>
      <c r="K11113" s="923"/>
      <c r="L11113" s="918"/>
      <c r="M11113" s="918"/>
      <c r="N11113" s="918"/>
      <c r="O11113" s="924"/>
      <c r="P11113" s="921"/>
      <c r="Q11113" s="925">
        <f ca="1">$B11113*Elec_Rates!$R$1047</f>
        <v>5.4</v>
      </c>
      <c r="R11113" s="916">
        <f ca="1">$A11113*Q11113</f>
        <v>10.8</v>
      </c>
      <c r="S11113" s="925">
        <f ca="1">$B11113*Elec_Rates!$T$1047</f>
        <v>0.35</v>
      </c>
      <c r="T11113" s="917">
        <f ca="1">$A11113*S11113</f>
        <v>0.7</v>
      </c>
      <c r="U11113" s="926"/>
      <c r="AR11113" s="919">
        <v>2</v>
      </c>
      <c r="AS11113" s="921" t="s">
        <v>2599</v>
      </c>
    </row>
    <row r="11114" spans="1:45" s="520" customFormat="1" ht="12">
      <c r="A11114" s="758"/>
      <c r="B11114" s="758"/>
      <c r="C11114" s="758"/>
      <c r="D11114" s="758"/>
      <c r="E11114" s="758"/>
      <c r="F11114" s="753"/>
      <c r="G11114" s="758"/>
      <c r="H11114" s="758"/>
      <c r="I11114" s="519"/>
      <c r="J11114" s="758"/>
      <c r="K11114" s="758"/>
      <c r="L11114" s="758"/>
      <c r="M11114" s="758"/>
      <c r="N11114" s="758"/>
      <c r="O11114" s="758"/>
      <c r="P11114" s="758"/>
      <c r="Q11114" s="519"/>
      <c r="R11114" s="759">
        <f>$A11114*Q11114</f>
        <v>0</v>
      </c>
      <c r="S11114" s="519"/>
      <c r="T11114" s="760">
        <f>$A11114*S11114*$T$1</f>
        <v>0</v>
      </c>
      <c r="AR11114" s="758"/>
      <c r="AS11114" s="753"/>
    </row>
    <row r="11115" spans="1:45" s="520" customFormat="1" ht="12.6" thickBot="1">
      <c r="A11115" s="761" t="s">
        <v>145</v>
      </c>
      <c r="B11115" s="762">
        <f>(R11114+T11114)</f>
        <v>0</v>
      </c>
      <c r="C11115" s="763"/>
      <c r="D11115" s="763"/>
      <c r="E11115" s="763"/>
      <c r="F11115" s="764"/>
      <c r="G11115" s="763" t="s">
        <v>146</v>
      </c>
      <c r="H11115" s="763"/>
      <c r="I11115" s="765"/>
      <c r="J11115" s="763"/>
      <c r="K11115" s="763" t="s">
        <v>3</v>
      </c>
      <c r="L11115" s="766" t="s">
        <v>143</v>
      </c>
      <c r="M11115" s="766"/>
      <c r="N11115" s="766"/>
      <c r="O11115" s="766"/>
      <c r="P11115" s="766"/>
      <c r="Q11115" s="767"/>
      <c r="R11115" s="768">
        <f ca="1">SUM(R11111:R11114)</f>
        <v>10.8</v>
      </c>
      <c r="S11115" s="763"/>
      <c r="T11115" s="768">
        <f ca="1">SUM(T11111:T11114)</f>
        <v>0.7</v>
      </c>
      <c r="U11115" s="531"/>
      <c r="V11115" s="531"/>
      <c r="W11115" s="531"/>
      <c r="X11115" s="531"/>
      <c r="Y11115" s="531"/>
      <c r="Z11115" s="531"/>
      <c r="AA11115" s="531"/>
      <c r="AB11115" s="531"/>
      <c r="AC11115" s="531"/>
      <c r="AD11115" s="531"/>
      <c r="AE11115" s="531"/>
      <c r="AF11115" s="531"/>
      <c r="AG11115" s="531"/>
      <c r="AH11115" s="531"/>
      <c r="AI11115" s="531"/>
      <c r="AJ11115" s="531"/>
      <c r="AK11115" s="531"/>
      <c r="AL11115" s="531"/>
      <c r="AM11115" s="531"/>
      <c r="AN11115" s="531"/>
      <c r="AO11115" s="531"/>
      <c r="AR11115" s="761" t="s">
        <v>145</v>
      </c>
      <c r="AS11115" s="764"/>
    </row>
    <row r="11116" spans="1:45" s="520" customFormat="1" ht="12" thickTop="1">
      <c r="A11116" s="51"/>
      <c r="B11116" s="41"/>
      <c r="C11116" s="51"/>
      <c r="E11116" s="42" t="s">
        <v>138</v>
      </c>
      <c r="F11116" s="42" t="s">
        <v>139</v>
      </c>
      <c r="G11116" s="51"/>
      <c r="H11116" s="51"/>
      <c r="I11116" s="51"/>
      <c r="J11116" s="51"/>
      <c r="K11116" s="51" t="s">
        <v>140</v>
      </c>
      <c r="L11116" s="51"/>
      <c r="M11116" s="51"/>
      <c r="N11116" s="51"/>
      <c r="O11116" s="52"/>
      <c r="P11116" s="51"/>
      <c r="Q11116" s="51"/>
      <c r="R11116" s="51"/>
      <c r="S11116" s="51"/>
      <c r="T11116" s="41"/>
      <c r="AG11116" s="521" t="s">
        <v>268</v>
      </c>
      <c r="AH11116" s="521" t="s">
        <v>269</v>
      </c>
      <c r="AI11116" s="521" t="s">
        <v>270</v>
      </c>
      <c r="AJ11116" s="521" t="s">
        <v>271</v>
      </c>
      <c r="AK11116" s="521" t="s">
        <v>272</v>
      </c>
      <c r="AM11116" s="745" t="s">
        <v>281</v>
      </c>
      <c r="AN11116" s="746" t="s">
        <v>282</v>
      </c>
      <c r="AO11116" s="522" t="s">
        <v>278</v>
      </c>
      <c r="AR11116" s="51"/>
      <c r="AS11116" s="42" t="s">
        <v>139</v>
      </c>
    </row>
    <row r="11117" spans="1:45" s="520" customFormat="1" ht="12" customHeight="1">
      <c r="A11117" s="747">
        <v>2</v>
      </c>
      <c r="B11117" s="523" t="s">
        <v>329</v>
      </c>
      <c r="C11117" s="748"/>
      <c r="D11117" s="749" t="s">
        <v>2553</v>
      </c>
      <c r="E11117" s="750">
        <f ca="1">IF(AND($A11117=0,$A$1="DIF"),0, ROUND(ROUND(($R11122*$S$2+($T11122*$T$2))/A11117,2)*$C$2,2))</f>
        <v>18.48</v>
      </c>
      <c r="F11117" s="751">
        <f ca="1">ROUND($A11117*$E11117,2)</f>
        <v>36.96</v>
      </c>
      <c r="G11117" s="752" t="s">
        <v>142</v>
      </c>
      <c r="H11117" s="753"/>
      <c r="I11117" s="754"/>
      <c r="J11117" s="753"/>
      <c r="K11117" s="753" t="s">
        <v>3</v>
      </c>
      <c r="L11117" s="755" t="s">
        <v>143</v>
      </c>
      <c r="M11117" s="755"/>
      <c r="N11117" s="755"/>
      <c r="O11117" s="755"/>
      <c r="P11117" s="755"/>
      <c r="Q11117" s="51"/>
      <c r="T11117" s="756" t="str">
        <f ca="1">IF(AND($R11122=0,$T11122=0),"0.00","mu :" &amp; ROUND($F11117/$C$2/($R11122+$T11122*$D$9),2))</f>
        <v>mu :1.23</v>
      </c>
      <c r="W11117" s="524"/>
      <c r="AG11117" s="481">
        <f ca="1">IF($E11117=0,0,ROUND($R11122*$S$2*$C$2/$A11117,2))</f>
        <v>6.65</v>
      </c>
      <c r="AH11117" s="481">
        <f ca="1">$AG11117*$A11117</f>
        <v>13.3</v>
      </c>
      <c r="AI11117" s="525">
        <f ca="1">$E11117-$AG11117</f>
        <v>11.83</v>
      </c>
      <c r="AJ11117" s="525">
        <f ca="1">$A11117*$AI11117</f>
        <v>23.66</v>
      </c>
      <c r="AK11117" s="526">
        <f ca="1">ROUND(($AG11117+$AI11117)*$A11117,2)</f>
        <v>36.96</v>
      </c>
      <c r="AM11117" s="527">
        <f ca="1">ROUND(R11122,2)</f>
        <v>10.8</v>
      </c>
      <c r="AN11117" s="528">
        <f ca="1">ROUND(T11122,2)</f>
        <v>0.7</v>
      </c>
      <c r="AO11117" s="529">
        <f ca="1">ROUND(AM11117+AN11117,2)*A11117</f>
        <v>23</v>
      </c>
      <c r="AR11117" s="747">
        <v>2</v>
      </c>
      <c r="AS11117" s="751">
        <v>39.68</v>
      </c>
    </row>
    <row r="11118" spans="1:45" s="520" customFormat="1" ht="13.2">
      <c r="A11118" s="748"/>
      <c r="B11118"/>
      <c r="C11118" s="748"/>
      <c r="D11118" s="749" t="s">
        <v>2215</v>
      </c>
      <c r="F11118" s="753"/>
      <c r="G11118" s="3"/>
      <c r="H11118" s="753"/>
      <c r="I11118" s="754"/>
      <c r="J11118" s="753"/>
      <c r="K11118" s="753" t="s">
        <v>144</v>
      </c>
      <c r="L11118" s="753"/>
      <c r="M11118" s="753"/>
      <c r="N11118" s="753"/>
      <c r="O11118" s="753"/>
      <c r="P11118" s="753"/>
      <c r="Q11118" s="51"/>
      <c r="R11118" s="530"/>
      <c r="S11118" s="757"/>
      <c r="T11118" s="753"/>
      <c r="AR11118" s="748"/>
      <c r="AS11118" s="753"/>
    </row>
    <row r="11119" spans="1:45" s="886" customFormat="1" ht="13.2">
      <c r="A11119"/>
      <c r="B11119" s="910"/>
      <c r="C11119" s="910" t="s">
        <v>2597</v>
      </c>
      <c r="D11119" s="910" t="str">
        <f ca="1">CELL("Address",Elec_Rates!D$1047)</f>
        <v>[E25_0062_Quintano_Foods_Elec_ELV_As_Awarded.xlsx]Elec_Rates!$D$1047</v>
      </c>
      <c r="E11119" s="911"/>
      <c r="F11119" s="911"/>
      <c r="G11119" s="912" t="s">
        <v>2598</v>
      </c>
      <c r="H11119" s="912"/>
      <c r="I11119" s="912"/>
      <c r="J11119" s="912"/>
      <c r="K11119" s="913"/>
      <c r="L11119" s="911"/>
      <c r="M11119" s="911"/>
      <c r="N11119" s="911"/>
      <c r="O11119" s="914"/>
      <c r="P11119" s="911"/>
      <c r="Q11119" s="915"/>
      <c r="R11119" s="916"/>
      <c r="S11119" s="915"/>
      <c r="T11119" s="917"/>
      <c r="U11119" s="918"/>
      <c r="AR11119"/>
      <c r="AS11119" s="911"/>
    </row>
    <row r="11120" spans="1:45" s="886" customFormat="1" ht="11.4">
      <c r="A11120" s="919">
        <v>2</v>
      </c>
      <c r="B11120" s="920">
        <v>1</v>
      </c>
      <c r="C11120" s="920">
        <f>$A11120*$B11120</f>
        <v>2</v>
      </c>
      <c r="D11120" s="921" t="str">
        <f>Elec_Rates!$D$1047</f>
        <v>095# LSZH Conduit points for Bathroom Alarm</v>
      </c>
      <c r="E11120" s="921"/>
      <c r="F11120" s="921" t="s">
        <v>2599</v>
      </c>
      <c r="G11120" s="922" t="s">
        <v>2600</v>
      </c>
      <c r="H11120" s="922"/>
      <c r="I11120" s="922"/>
      <c r="J11120" s="922"/>
      <c r="K11120" s="923"/>
      <c r="L11120" s="918"/>
      <c r="M11120" s="918"/>
      <c r="N11120" s="918"/>
      <c r="O11120" s="924"/>
      <c r="P11120" s="921"/>
      <c r="Q11120" s="925">
        <f ca="1">$B11120*Elec_Rates!$R$1047</f>
        <v>5.4</v>
      </c>
      <c r="R11120" s="916">
        <f ca="1">$A11120*Q11120</f>
        <v>10.8</v>
      </c>
      <c r="S11120" s="925">
        <f ca="1">$B11120*Elec_Rates!$T$1047</f>
        <v>0.35</v>
      </c>
      <c r="T11120" s="917">
        <f ca="1">$A11120*S11120</f>
        <v>0.7</v>
      </c>
      <c r="U11120" s="926"/>
      <c r="AR11120" s="919">
        <v>2</v>
      </c>
      <c r="AS11120" s="921" t="s">
        <v>2599</v>
      </c>
    </row>
    <row r="11121" spans="1:45" s="520" customFormat="1" ht="12">
      <c r="A11121" s="758"/>
      <c r="B11121" s="758"/>
      <c r="C11121" s="758"/>
      <c r="D11121" s="758"/>
      <c r="E11121" s="758"/>
      <c r="F11121" s="753"/>
      <c r="G11121" s="758"/>
      <c r="H11121" s="758"/>
      <c r="I11121" s="519"/>
      <c r="J11121" s="758"/>
      <c r="K11121" s="758"/>
      <c r="L11121" s="758"/>
      <c r="M11121" s="758"/>
      <c r="N11121" s="758"/>
      <c r="O11121" s="758"/>
      <c r="P11121" s="758"/>
      <c r="Q11121" s="519"/>
      <c r="R11121" s="759">
        <f>$A11121*Q11121</f>
        <v>0</v>
      </c>
      <c r="S11121" s="519"/>
      <c r="T11121" s="760">
        <f>$A11121*S11121*$T$1</f>
        <v>0</v>
      </c>
      <c r="AR11121" s="758"/>
      <c r="AS11121" s="753"/>
    </row>
    <row r="11122" spans="1:45" s="520" customFormat="1" ht="12.6" thickBot="1">
      <c r="A11122" s="761" t="s">
        <v>145</v>
      </c>
      <c r="B11122" s="762">
        <f>(R11121+T11121)</f>
        <v>0</v>
      </c>
      <c r="C11122" s="763"/>
      <c r="D11122" s="763"/>
      <c r="E11122" s="763"/>
      <c r="F11122" s="764"/>
      <c r="G11122" s="763" t="s">
        <v>146</v>
      </c>
      <c r="H11122" s="763"/>
      <c r="I11122" s="765"/>
      <c r="J11122" s="763"/>
      <c r="K11122" s="763" t="s">
        <v>3</v>
      </c>
      <c r="L11122" s="766" t="s">
        <v>143</v>
      </c>
      <c r="M11122" s="766"/>
      <c r="N11122" s="766"/>
      <c r="O11122" s="766"/>
      <c r="P11122" s="766"/>
      <c r="Q11122" s="767"/>
      <c r="R11122" s="768">
        <f ca="1">SUM(R11118:R11121)</f>
        <v>10.8</v>
      </c>
      <c r="S11122" s="763"/>
      <c r="T11122" s="768">
        <f ca="1">SUM(T11118:T11121)</f>
        <v>0.7</v>
      </c>
      <c r="U11122" s="531"/>
      <c r="V11122" s="531"/>
      <c r="W11122" s="531"/>
      <c r="X11122" s="531"/>
      <c r="Y11122" s="531"/>
      <c r="Z11122" s="531"/>
      <c r="AA11122" s="531"/>
      <c r="AB11122" s="531"/>
      <c r="AC11122" s="531"/>
      <c r="AD11122" s="531"/>
      <c r="AE11122" s="531"/>
      <c r="AF11122" s="531"/>
      <c r="AG11122" s="531"/>
      <c r="AH11122" s="531"/>
      <c r="AI11122" s="531"/>
      <c r="AJ11122" s="531"/>
      <c r="AK11122" s="531"/>
      <c r="AL11122" s="531"/>
      <c r="AM11122" s="531"/>
      <c r="AN11122" s="531"/>
      <c r="AO11122" s="531"/>
      <c r="AR11122" s="761" t="s">
        <v>145</v>
      </c>
      <c r="AS11122" s="764"/>
    </row>
    <row r="11123" spans="1:45" s="520" customFormat="1" ht="12" thickTop="1">
      <c r="A11123" s="51"/>
      <c r="B11123" s="41"/>
      <c r="C11123" s="51"/>
      <c r="E11123" s="42" t="s">
        <v>138</v>
      </c>
      <c r="F11123" s="42" t="s">
        <v>139</v>
      </c>
      <c r="G11123" s="51"/>
      <c r="H11123" s="51"/>
      <c r="I11123" s="51"/>
      <c r="J11123" s="51"/>
      <c r="K11123" s="51" t="s">
        <v>140</v>
      </c>
      <c r="L11123" s="51"/>
      <c r="M11123" s="51"/>
      <c r="N11123" s="51"/>
      <c r="O11123" s="52"/>
      <c r="P11123" s="51"/>
      <c r="Q11123" s="51"/>
      <c r="R11123" s="51"/>
      <c r="S11123" s="51"/>
      <c r="T11123" s="41"/>
      <c r="AG11123" s="521" t="s">
        <v>268</v>
      </c>
      <c r="AH11123" s="521" t="s">
        <v>269</v>
      </c>
      <c r="AI11123" s="521" t="s">
        <v>270</v>
      </c>
      <c r="AJ11123" s="521" t="s">
        <v>271</v>
      </c>
      <c r="AK11123" s="521" t="s">
        <v>272</v>
      </c>
      <c r="AM11123" s="745" t="s">
        <v>281</v>
      </c>
      <c r="AN11123" s="746" t="s">
        <v>282</v>
      </c>
      <c r="AO11123" s="522" t="s">
        <v>278</v>
      </c>
      <c r="AR11123" s="51"/>
      <c r="AS11123" s="42" t="s">
        <v>139</v>
      </c>
    </row>
    <row r="11124" spans="1:45" s="520" customFormat="1" ht="12" customHeight="1">
      <c r="A11124" s="747">
        <v>2</v>
      </c>
      <c r="B11124" s="523" t="s">
        <v>329</v>
      </c>
      <c r="C11124" s="748"/>
      <c r="D11124" s="749" t="s">
        <v>2554</v>
      </c>
      <c r="E11124" s="750">
        <f ca="1">IF(AND($A11124=0,$A$1="DIF"),0, ROUND(ROUND(($R11129*$S$2+($T11129*$T$2))/A11124,2)*$C$2,2))</f>
        <v>18.48</v>
      </c>
      <c r="F11124" s="751">
        <f ca="1">ROUND($A11124*$E11124,2)</f>
        <v>36.96</v>
      </c>
      <c r="G11124" s="752" t="s">
        <v>142</v>
      </c>
      <c r="H11124" s="753"/>
      <c r="I11124" s="754"/>
      <c r="J11124" s="753"/>
      <c r="K11124" s="753" t="s">
        <v>3</v>
      </c>
      <c r="L11124" s="755" t="s">
        <v>143</v>
      </c>
      <c r="M11124" s="755"/>
      <c r="N11124" s="755"/>
      <c r="O11124" s="755"/>
      <c r="P11124" s="755"/>
      <c r="Q11124" s="51"/>
      <c r="T11124" s="756" t="str">
        <f ca="1">IF(AND($R11129=0,$T11129=0),"0.00","mu :" &amp; ROUND($F11124/$C$2/($R11129+$T11129*$D$9),2))</f>
        <v>mu :1.23</v>
      </c>
      <c r="W11124" s="524"/>
      <c r="AG11124" s="481">
        <f ca="1">IF($E11124=0,0,ROUND($R11129*$S$2*$C$2/$A11124,2))</f>
        <v>6.65</v>
      </c>
      <c r="AH11124" s="481">
        <f ca="1">$AG11124*$A11124</f>
        <v>13.3</v>
      </c>
      <c r="AI11124" s="525">
        <f ca="1">$E11124-$AG11124</f>
        <v>11.83</v>
      </c>
      <c r="AJ11124" s="525">
        <f ca="1">$A11124*$AI11124</f>
        <v>23.66</v>
      </c>
      <c r="AK11124" s="526">
        <f ca="1">ROUND(($AG11124+$AI11124)*$A11124,2)</f>
        <v>36.96</v>
      </c>
      <c r="AM11124" s="527">
        <f ca="1">ROUND(R11129,2)</f>
        <v>10.8</v>
      </c>
      <c r="AN11124" s="528">
        <f ca="1">ROUND(T11129,2)</f>
        <v>0.7</v>
      </c>
      <c r="AO11124" s="529">
        <f ca="1">ROUND(AM11124+AN11124,2)*A11124</f>
        <v>23</v>
      </c>
      <c r="AR11124" s="747">
        <v>2</v>
      </c>
      <c r="AS11124" s="751">
        <v>39.68</v>
      </c>
    </row>
    <row r="11125" spans="1:45" s="520" customFormat="1" ht="13.2">
      <c r="A11125" s="748"/>
      <c r="B11125"/>
      <c r="C11125" s="748"/>
      <c r="D11125" s="749" t="s">
        <v>2216</v>
      </c>
      <c r="F11125" s="753"/>
      <c r="G11125" s="3"/>
      <c r="H11125" s="753"/>
      <c r="I11125" s="754"/>
      <c r="J11125" s="753"/>
      <c r="K11125" s="753" t="s">
        <v>144</v>
      </c>
      <c r="L11125" s="753"/>
      <c r="M11125" s="753"/>
      <c r="N11125" s="753"/>
      <c r="O11125" s="753"/>
      <c r="P11125" s="753"/>
      <c r="Q11125" s="51"/>
      <c r="R11125" s="530"/>
      <c r="S11125" s="757"/>
      <c r="T11125" s="753"/>
      <c r="AR11125" s="748"/>
      <c r="AS11125" s="753"/>
    </row>
    <row r="11126" spans="1:45" s="886" customFormat="1" ht="13.2">
      <c r="A11126"/>
      <c r="B11126" s="910"/>
      <c r="C11126" s="910" t="s">
        <v>2597</v>
      </c>
      <c r="D11126" s="910" t="str">
        <f ca="1">CELL("Address",Elec_Rates!D$1047)</f>
        <v>[E25_0062_Quintano_Foods_Elec_ELV_As_Awarded.xlsx]Elec_Rates!$D$1047</v>
      </c>
      <c r="E11126" s="911"/>
      <c r="F11126" s="911"/>
      <c r="G11126" s="912" t="s">
        <v>2598</v>
      </c>
      <c r="H11126" s="912"/>
      <c r="I11126" s="912"/>
      <c r="J11126" s="912"/>
      <c r="K11126" s="913"/>
      <c r="L11126" s="911"/>
      <c r="M11126" s="911"/>
      <c r="N11126" s="911"/>
      <c r="O11126" s="914"/>
      <c r="P11126" s="911"/>
      <c r="Q11126" s="915"/>
      <c r="R11126" s="916"/>
      <c r="S11126" s="915"/>
      <c r="T11126" s="917"/>
      <c r="U11126" s="918"/>
      <c r="AR11126"/>
      <c r="AS11126" s="911"/>
    </row>
    <row r="11127" spans="1:45" s="886" customFormat="1" ht="11.4">
      <c r="A11127" s="919">
        <v>2</v>
      </c>
      <c r="B11127" s="920">
        <v>1</v>
      </c>
      <c r="C11127" s="920">
        <f>$A11127*$B11127</f>
        <v>2</v>
      </c>
      <c r="D11127" s="921" t="str">
        <f>Elec_Rates!$D$1047</f>
        <v>095# LSZH Conduit points for Bathroom Alarm</v>
      </c>
      <c r="E11127" s="921"/>
      <c r="F11127" s="921" t="s">
        <v>2599</v>
      </c>
      <c r="G11127" s="922" t="s">
        <v>2600</v>
      </c>
      <c r="H11127" s="922"/>
      <c r="I11127" s="922"/>
      <c r="J11127" s="922"/>
      <c r="K11127" s="923"/>
      <c r="L11127" s="918"/>
      <c r="M11127" s="918"/>
      <c r="N11127" s="918"/>
      <c r="O11127" s="924"/>
      <c r="P11127" s="921"/>
      <c r="Q11127" s="925">
        <f ca="1">$B11127*Elec_Rates!$R$1047</f>
        <v>5.4</v>
      </c>
      <c r="R11127" s="916">
        <f ca="1">$A11127*Q11127</f>
        <v>10.8</v>
      </c>
      <c r="S11127" s="925">
        <f ca="1">$B11127*Elec_Rates!$T$1047</f>
        <v>0.35</v>
      </c>
      <c r="T11127" s="917">
        <f ca="1">$A11127*S11127</f>
        <v>0.7</v>
      </c>
      <c r="U11127" s="926"/>
      <c r="AR11127" s="919">
        <v>2</v>
      </c>
      <c r="AS11127" s="921" t="s">
        <v>2599</v>
      </c>
    </row>
    <row r="11128" spans="1:45" s="520" customFormat="1" ht="12">
      <c r="A11128" s="758"/>
      <c r="B11128" s="758"/>
      <c r="C11128" s="758"/>
      <c r="D11128" s="758"/>
      <c r="E11128" s="758"/>
      <c r="F11128" s="753"/>
      <c r="G11128" s="758"/>
      <c r="H11128" s="758"/>
      <c r="I11128" s="519"/>
      <c r="J11128" s="758"/>
      <c r="K11128" s="758"/>
      <c r="L11128" s="758"/>
      <c r="M11128" s="758"/>
      <c r="N11128" s="758"/>
      <c r="O11128" s="758"/>
      <c r="P11128" s="758"/>
      <c r="Q11128" s="519"/>
      <c r="R11128" s="759">
        <f>$A11128*Q11128</f>
        <v>0</v>
      </c>
      <c r="S11128" s="519"/>
      <c r="T11128" s="760">
        <f>$A11128*S11128*$T$1</f>
        <v>0</v>
      </c>
      <c r="AR11128" s="758"/>
      <c r="AS11128" s="753"/>
    </row>
    <row r="11129" spans="1:45" s="520" customFormat="1" ht="12.6" thickBot="1">
      <c r="A11129" s="761" t="s">
        <v>145</v>
      </c>
      <c r="B11129" s="762">
        <f>(R11128+T11128)</f>
        <v>0</v>
      </c>
      <c r="C11129" s="763"/>
      <c r="D11129" s="763"/>
      <c r="E11129" s="763"/>
      <c r="F11129" s="764"/>
      <c r="G11129" s="763" t="s">
        <v>146</v>
      </c>
      <c r="H11129" s="763"/>
      <c r="I11129" s="765"/>
      <c r="J11129" s="763"/>
      <c r="K11129" s="763" t="s">
        <v>3</v>
      </c>
      <c r="L11129" s="766" t="s">
        <v>143</v>
      </c>
      <c r="M11129" s="766"/>
      <c r="N11129" s="766"/>
      <c r="O11129" s="766"/>
      <c r="P11129" s="766"/>
      <c r="Q11129" s="767"/>
      <c r="R11129" s="768">
        <f ca="1">SUM(R11125:R11128)</f>
        <v>10.8</v>
      </c>
      <c r="S11129" s="763"/>
      <c r="T11129" s="768">
        <f ca="1">SUM(T11125:T11128)</f>
        <v>0.7</v>
      </c>
      <c r="U11129" s="531"/>
      <c r="V11129" s="531"/>
      <c r="W11129" s="531"/>
      <c r="X11129" s="531"/>
      <c r="Y11129" s="531"/>
      <c r="Z11129" s="531"/>
      <c r="AA11129" s="531"/>
      <c r="AB11129" s="531"/>
      <c r="AC11129" s="531"/>
      <c r="AD11129" s="531"/>
      <c r="AE11129" s="531"/>
      <c r="AF11129" s="531"/>
      <c r="AG11129" s="531"/>
      <c r="AH11129" s="531"/>
      <c r="AI11129" s="531"/>
      <c r="AJ11129" s="531"/>
      <c r="AK11129" s="531"/>
      <c r="AL11129" s="531"/>
      <c r="AM11129" s="531"/>
      <c r="AN11129" s="531"/>
      <c r="AO11129" s="531"/>
      <c r="AR11129" s="761" t="s">
        <v>145</v>
      </c>
      <c r="AS11129" s="764"/>
    </row>
    <row r="11130" spans="1:45" s="520" customFormat="1" ht="12" thickTop="1">
      <c r="A11130" s="51"/>
      <c r="B11130" s="41"/>
      <c r="C11130" s="51"/>
      <c r="E11130" s="42" t="s">
        <v>138</v>
      </c>
      <c r="F11130" s="42" t="s">
        <v>139</v>
      </c>
      <c r="G11130" s="51"/>
      <c r="H11130" s="51"/>
      <c r="I11130" s="51"/>
      <c r="J11130" s="51"/>
      <c r="K11130" s="51" t="s">
        <v>140</v>
      </c>
      <c r="L11130" s="51"/>
      <c r="M11130" s="51"/>
      <c r="N11130" s="51"/>
      <c r="O11130" s="52"/>
      <c r="P11130" s="51"/>
      <c r="Q11130" s="51"/>
      <c r="R11130" s="51"/>
      <c r="S11130" s="51"/>
      <c r="T11130" s="41"/>
      <c r="AG11130" s="521" t="s">
        <v>268</v>
      </c>
      <c r="AH11130" s="521" t="s">
        <v>269</v>
      </c>
      <c r="AI11130" s="521" t="s">
        <v>270</v>
      </c>
      <c r="AJ11130" s="521" t="s">
        <v>271</v>
      </c>
      <c r="AK11130" s="521" t="s">
        <v>272</v>
      </c>
      <c r="AM11130" s="745" t="s">
        <v>281</v>
      </c>
      <c r="AN11130" s="746" t="s">
        <v>282</v>
      </c>
      <c r="AO11130" s="522" t="s">
        <v>278</v>
      </c>
      <c r="AR11130" s="51"/>
      <c r="AS11130" s="42" t="s">
        <v>139</v>
      </c>
    </row>
    <row r="11131" spans="1:45" s="520" customFormat="1" ht="12" customHeight="1">
      <c r="A11131" s="747">
        <v>2</v>
      </c>
      <c r="B11131" s="523" t="s">
        <v>329</v>
      </c>
      <c r="C11131" s="748"/>
      <c r="D11131" s="749" t="s">
        <v>2555</v>
      </c>
      <c r="E11131" s="750">
        <f ca="1">IF(AND($A11131=0,$A$1="DIF"),0, ROUND(ROUND(($R11136*$S$2+($T11136*$T$2))/A11131,2)*$C$2,2))</f>
        <v>18.48</v>
      </c>
      <c r="F11131" s="751">
        <f ca="1">ROUND($A11131*$E11131,2)</f>
        <v>36.96</v>
      </c>
      <c r="G11131" s="752" t="s">
        <v>142</v>
      </c>
      <c r="H11131" s="753"/>
      <c r="I11131" s="754"/>
      <c r="J11131" s="753"/>
      <c r="K11131" s="753" t="s">
        <v>3</v>
      </c>
      <c r="L11131" s="755" t="s">
        <v>143</v>
      </c>
      <c r="M11131" s="755"/>
      <c r="N11131" s="755"/>
      <c r="O11131" s="755"/>
      <c r="P11131" s="755"/>
      <c r="Q11131" s="51"/>
      <c r="T11131" s="756" t="str">
        <f ca="1">IF(AND($R11136=0,$T11136=0),"0.00","mu :" &amp; ROUND($F11131/$C$2/($R11136+$T11136*$D$9),2))</f>
        <v>mu :1.23</v>
      </c>
      <c r="W11131" s="524"/>
      <c r="AG11131" s="481">
        <f ca="1">IF($E11131=0,0,ROUND($R11136*$S$2*$C$2/$A11131,2))</f>
        <v>6.65</v>
      </c>
      <c r="AH11131" s="481">
        <f ca="1">$AG11131*$A11131</f>
        <v>13.3</v>
      </c>
      <c r="AI11131" s="525">
        <f ca="1">$E11131-$AG11131</f>
        <v>11.83</v>
      </c>
      <c r="AJ11131" s="525">
        <f ca="1">$A11131*$AI11131</f>
        <v>23.66</v>
      </c>
      <c r="AK11131" s="526">
        <f ca="1">ROUND(($AG11131+$AI11131)*$A11131,2)</f>
        <v>36.96</v>
      </c>
      <c r="AM11131" s="527">
        <f ca="1">ROUND(R11136,2)</f>
        <v>10.8</v>
      </c>
      <c r="AN11131" s="528">
        <f ca="1">ROUND(T11136,2)</f>
        <v>0.7</v>
      </c>
      <c r="AO11131" s="529">
        <f ca="1">ROUND(AM11131+AN11131,2)*A11131</f>
        <v>23</v>
      </c>
      <c r="AR11131" s="747">
        <v>2</v>
      </c>
      <c r="AS11131" s="751">
        <v>39.68</v>
      </c>
    </row>
    <row r="11132" spans="1:45" s="520" customFormat="1" ht="13.2">
      <c r="A11132" s="748"/>
      <c r="B11132"/>
      <c r="C11132" s="748"/>
      <c r="D11132" s="749" t="s">
        <v>2217</v>
      </c>
      <c r="F11132" s="753"/>
      <c r="G11132" s="3"/>
      <c r="H11132" s="753"/>
      <c r="I11132" s="754"/>
      <c r="J11132" s="753"/>
      <c r="K11132" s="753" t="s">
        <v>144</v>
      </c>
      <c r="L11132" s="753"/>
      <c r="M11132" s="753"/>
      <c r="N11132" s="753"/>
      <c r="O11132" s="753"/>
      <c r="P11132" s="753"/>
      <c r="Q11132" s="51"/>
      <c r="R11132" s="530"/>
      <c r="S11132" s="757"/>
      <c r="T11132" s="753"/>
      <c r="AR11132" s="748"/>
      <c r="AS11132" s="753"/>
    </row>
    <row r="11133" spans="1:45" s="886" customFormat="1" ht="13.2">
      <c r="A11133"/>
      <c r="B11133" s="910"/>
      <c r="C11133" s="910" t="s">
        <v>2597</v>
      </c>
      <c r="D11133" s="910" t="str">
        <f ca="1">CELL("Address",Elec_Rates!D$1047)</f>
        <v>[E25_0062_Quintano_Foods_Elec_ELV_As_Awarded.xlsx]Elec_Rates!$D$1047</v>
      </c>
      <c r="E11133" s="911"/>
      <c r="F11133" s="911"/>
      <c r="G11133" s="912" t="s">
        <v>2598</v>
      </c>
      <c r="H11133" s="912"/>
      <c r="I11133" s="912"/>
      <c r="J11133" s="912"/>
      <c r="K11133" s="913"/>
      <c r="L11133" s="911"/>
      <c r="M11133" s="911"/>
      <c r="N11133" s="911"/>
      <c r="O11133" s="914"/>
      <c r="P11133" s="911"/>
      <c r="Q11133" s="915"/>
      <c r="R11133" s="916"/>
      <c r="S11133" s="915"/>
      <c r="T11133" s="917"/>
      <c r="U11133" s="918"/>
      <c r="AR11133"/>
      <c r="AS11133" s="911"/>
    </row>
    <row r="11134" spans="1:45" s="886" customFormat="1" ht="11.4">
      <c r="A11134" s="919">
        <v>2</v>
      </c>
      <c r="B11134" s="920">
        <v>1</v>
      </c>
      <c r="C11134" s="920">
        <f>$A11134*$B11134</f>
        <v>2</v>
      </c>
      <c r="D11134" s="921" t="str">
        <f>Elec_Rates!$D$1047</f>
        <v>095# LSZH Conduit points for Bathroom Alarm</v>
      </c>
      <c r="E11134" s="921"/>
      <c r="F11134" s="921" t="s">
        <v>2599</v>
      </c>
      <c r="G11134" s="922" t="s">
        <v>2600</v>
      </c>
      <c r="H11134" s="922"/>
      <c r="I11134" s="922"/>
      <c r="J11134" s="922"/>
      <c r="K11134" s="923"/>
      <c r="L11134" s="918"/>
      <c r="M11134" s="918"/>
      <c r="N11134" s="918"/>
      <c r="O11134" s="924"/>
      <c r="P11134" s="921"/>
      <c r="Q11134" s="925">
        <f ca="1">$B11134*Elec_Rates!$R$1047</f>
        <v>5.4</v>
      </c>
      <c r="R11134" s="916">
        <f ca="1">$A11134*Q11134</f>
        <v>10.8</v>
      </c>
      <c r="S11134" s="925">
        <f ca="1">$B11134*Elec_Rates!$T$1047</f>
        <v>0.35</v>
      </c>
      <c r="T11134" s="917">
        <f ca="1">$A11134*S11134</f>
        <v>0.7</v>
      </c>
      <c r="U11134" s="926"/>
      <c r="AR11134" s="919">
        <v>2</v>
      </c>
      <c r="AS11134" s="921" t="s">
        <v>2599</v>
      </c>
    </row>
    <row r="11135" spans="1:45" s="520" customFormat="1" ht="12">
      <c r="A11135" s="758"/>
      <c r="B11135" s="758"/>
      <c r="C11135" s="758"/>
      <c r="D11135" s="758"/>
      <c r="E11135" s="758"/>
      <c r="F11135" s="753"/>
      <c r="G11135" s="758"/>
      <c r="H11135" s="758"/>
      <c r="I11135" s="519"/>
      <c r="J11135" s="758"/>
      <c r="K11135" s="758"/>
      <c r="L11135" s="758"/>
      <c r="M11135" s="758"/>
      <c r="N11135" s="758"/>
      <c r="O11135" s="758"/>
      <c r="P11135" s="758"/>
      <c r="Q11135" s="519"/>
      <c r="R11135" s="759">
        <f>$A11135*Q11135</f>
        <v>0</v>
      </c>
      <c r="S11135" s="519"/>
      <c r="T11135" s="760">
        <f>$A11135*S11135*$T$1</f>
        <v>0</v>
      </c>
      <c r="AR11135" s="758"/>
      <c r="AS11135" s="753"/>
    </row>
    <row r="11136" spans="1:45" s="520" customFormat="1" ht="12.6" thickBot="1">
      <c r="A11136" s="761" t="s">
        <v>145</v>
      </c>
      <c r="B11136" s="762">
        <f>(R11135+T11135)</f>
        <v>0</v>
      </c>
      <c r="C11136" s="763"/>
      <c r="D11136" s="763"/>
      <c r="E11136" s="763"/>
      <c r="F11136" s="764"/>
      <c r="G11136" s="763" t="s">
        <v>146</v>
      </c>
      <c r="H11136" s="763"/>
      <c r="I11136" s="765"/>
      <c r="J11136" s="763"/>
      <c r="K11136" s="763" t="s">
        <v>3</v>
      </c>
      <c r="L11136" s="766" t="s">
        <v>143</v>
      </c>
      <c r="M11136" s="766"/>
      <c r="N11136" s="766"/>
      <c r="O11136" s="766"/>
      <c r="P11136" s="766"/>
      <c r="Q11136" s="767"/>
      <c r="R11136" s="768">
        <f ca="1">SUM(R11132:R11135)</f>
        <v>10.8</v>
      </c>
      <c r="S11136" s="763"/>
      <c r="T11136" s="768">
        <f ca="1">SUM(T11132:T11135)</f>
        <v>0.7</v>
      </c>
      <c r="U11136" s="531"/>
      <c r="V11136" s="531"/>
      <c r="W11136" s="531"/>
      <c r="X11136" s="531"/>
      <c r="Y11136" s="531"/>
      <c r="Z11136" s="531"/>
      <c r="AA11136" s="531"/>
      <c r="AB11136" s="531"/>
      <c r="AC11136" s="531"/>
      <c r="AD11136" s="531"/>
      <c r="AE11136" s="531"/>
      <c r="AF11136" s="531"/>
      <c r="AG11136" s="531"/>
      <c r="AH11136" s="531"/>
      <c r="AI11136" s="531"/>
      <c r="AJ11136" s="531"/>
      <c r="AK11136" s="531"/>
      <c r="AL11136" s="531"/>
      <c r="AM11136" s="531"/>
      <c r="AN11136" s="531"/>
      <c r="AO11136" s="531"/>
      <c r="AR11136" s="761" t="s">
        <v>145</v>
      </c>
      <c r="AS11136" s="764"/>
    </row>
    <row r="11137" spans="1:45" s="520" customFormat="1" thickTop="1">
      <c r="A11137" s="51"/>
      <c r="B11137" s="51"/>
      <c r="C11137" s="3"/>
      <c r="D11137" s="3"/>
      <c r="E11137" s="51"/>
      <c r="F11137" s="51"/>
      <c r="G11137" s="51"/>
      <c r="H11137" s="51"/>
      <c r="I11137" s="51"/>
      <c r="J11137" s="51"/>
      <c r="K11137" s="51" t="s">
        <v>134</v>
      </c>
      <c r="L11137" s="51"/>
      <c r="M11137" s="51"/>
      <c r="N11137" s="51"/>
      <c r="O11137" s="52"/>
      <c r="P11137" s="51"/>
      <c r="Q11137" s="51"/>
      <c r="R11137" s="51"/>
      <c r="S11137" s="51"/>
      <c r="T11137" s="51"/>
      <c r="AR11137" s="51"/>
      <c r="AS11137" s="51"/>
    </row>
    <row r="11138" spans="1:45" s="520" customFormat="1" ht="12">
      <c r="A11138" s="51"/>
      <c r="B11138" s="51"/>
      <c r="C11138" s="51" t="s">
        <v>135</v>
      </c>
      <c r="D11138" s="37"/>
      <c r="E11138" s="51"/>
      <c r="F11138" s="51"/>
      <c r="G11138" s="51"/>
      <c r="H11138" s="51"/>
      <c r="I11138" s="51"/>
      <c r="J11138" s="51"/>
      <c r="K11138" s="51"/>
      <c r="L11138" s="51"/>
      <c r="M11138" s="51"/>
      <c r="N11138" s="51"/>
      <c r="O11138" s="52"/>
      <c r="P11138" s="51"/>
      <c r="Q11138" s="51"/>
      <c r="R11138" s="51"/>
      <c r="S11138" s="51"/>
      <c r="T11138" s="51"/>
      <c r="AR11138" s="51"/>
      <c r="AS11138" s="51"/>
    </row>
    <row r="11139" spans="1:45" s="520" customFormat="1" ht="39.9" customHeight="1">
      <c r="A11139" s="51"/>
      <c r="B11139" s="51"/>
      <c r="C11139" s="51"/>
      <c r="D11139" s="1453" t="s">
        <v>2185</v>
      </c>
      <c r="E11139" s="1452"/>
      <c r="F11139" s="1452"/>
      <c r="G11139" s="1452"/>
      <c r="H11139" s="1452"/>
      <c r="I11139" s="1452"/>
      <c r="J11139" s="1452"/>
      <c r="K11139" s="1452"/>
      <c r="L11139" s="1452"/>
      <c r="M11139" s="1452"/>
      <c r="N11139" s="1452"/>
      <c r="O11139" s="1452"/>
      <c r="P11139" s="1452"/>
      <c r="Q11139" s="1452"/>
      <c r="R11139" s="1452"/>
      <c r="S11139" s="1452"/>
      <c r="T11139" s="1452"/>
      <c r="AR11139" s="51"/>
    </row>
    <row r="11140" spans="1:45" s="3" customFormat="1" thickBot="1">
      <c r="A11140" s="531"/>
      <c r="O11140" s="107"/>
      <c r="AR11140" s="531"/>
    </row>
    <row r="11141" spans="1:45" s="520" customFormat="1" ht="12" thickTop="1">
      <c r="A11141" s="51"/>
      <c r="B11141" s="41"/>
      <c r="C11141" s="51"/>
      <c r="E11141" s="42" t="s">
        <v>138</v>
      </c>
      <c r="F11141" s="42" t="s">
        <v>139</v>
      </c>
      <c r="G11141" s="51"/>
      <c r="H11141" s="51"/>
      <c r="I11141" s="51"/>
      <c r="J11141" s="51"/>
      <c r="K11141" s="51" t="s">
        <v>140</v>
      </c>
      <c r="L11141" s="51"/>
      <c r="M11141" s="51"/>
      <c r="N11141" s="51"/>
      <c r="O11141" s="52"/>
      <c r="P11141" s="51"/>
      <c r="Q11141" s="51"/>
      <c r="R11141" s="51"/>
      <c r="S11141" s="51"/>
      <c r="T11141" s="41"/>
      <c r="AG11141" s="521" t="s">
        <v>268</v>
      </c>
      <c r="AH11141" s="521" t="s">
        <v>269</v>
      </c>
      <c r="AI11141" s="521" t="s">
        <v>270</v>
      </c>
      <c r="AJ11141" s="521" t="s">
        <v>271</v>
      </c>
      <c r="AK11141" s="521" t="s">
        <v>272</v>
      </c>
      <c r="AM11141" s="745" t="s">
        <v>281</v>
      </c>
      <c r="AN11141" s="746" t="s">
        <v>282</v>
      </c>
      <c r="AO11141" s="522" t="s">
        <v>278</v>
      </c>
      <c r="AR11141" s="51"/>
      <c r="AS11141" s="42" t="s">
        <v>139</v>
      </c>
    </row>
    <row r="11142" spans="1:45" s="520" customFormat="1" ht="12" customHeight="1">
      <c r="A11142" s="747">
        <v>2</v>
      </c>
      <c r="B11142" s="523" t="s">
        <v>329</v>
      </c>
      <c r="C11142" s="748"/>
      <c r="D11142" s="749" t="s">
        <v>2556</v>
      </c>
      <c r="E11142" s="1145">
        <f>IF(AND($A11142=0,$A$1="DIF"),0, ROUND(ROUND(($R11146*$S$3+($T11146*$T$3))/$A11142,2)*$C$3,2))</f>
        <v>14.78</v>
      </c>
      <c r="F11142" s="1146">
        <f>ROUND($A11142*$E11142,2)</f>
        <v>29.56</v>
      </c>
      <c r="G11142" s="752" t="s">
        <v>142</v>
      </c>
      <c r="H11142" s="753"/>
      <c r="I11142" s="754"/>
      <c r="J11142" s="753"/>
      <c r="K11142" s="753" t="s">
        <v>5</v>
      </c>
      <c r="L11142" s="755" t="s">
        <v>143</v>
      </c>
      <c r="M11142" s="755"/>
      <c r="N11142" s="755"/>
      <c r="O11142" s="755"/>
      <c r="P11142" s="755"/>
      <c r="Q11142" s="51"/>
      <c r="T11142" s="1150" t="str">
        <f>IF(AND($R11146=0,$T11146=0),"0.00","mu: "&amp; ROUND(F11142/$C$3/($R11146+$T11146*$D$9),2))</f>
        <v>mu: 1.13</v>
      </c>
      <c r="W11142" s="524"/>
      <c r="AG11142" s="1147">
        <f>IF($E11142=0,0,ROUND($R11146*$S$3*$C$3/$A11142,2))</f>
        <v>14.78</v>
      </c>
      <c r="AH11142" s="1147">
        <f>$AG11142*$A11142</f>
        <v>29.56</v>
      </c>
      <c r="AI11142" s="1148">
        <f>$E11142-$AG11142</f>
        <v>0</v>
      </c>
      <c r="AJ11142" s="1148">
        <f>$A11142*$AI11142</f>
        <v>0</v>
      </c>
      <c r="AK11142" s="1149">
        <f>ROUND(($AG11142+$AI11142)*$A11142,2)</f>
        <v>29.56</v>
      </c>
      <c r="AM11142" s="527">
        <f>ROUND(R11146,2)</f>
        <v>26.19</v>
      </c>
      <c r="AN11142" s="528">
        <f>ROUND(T11146,2)</f>
        <v>0</v>
      </c>
      <c r="AO11142" s="529">
        <f>ROUND(AM11142+AN11142,2)*A11142</f>
        <v>52.38</v>
      </c>
      <c r="AR11142" s="747">
        <v>2</v>
      </c>
      <c r="AS11142" s="1146">
        <v>32.159999999999997</v>
      </c>
    </row>
    <row r="11143" spans="1:45" s="520" customFormat="1" ht="13.2">
      <c r="A11143" s="748"/>
      <c r="B11143"/>
      <c r="C11143" s="748"/>
      <c r="D11143" s="749" t="s">
        <v>2214</v>
      </c>
      <c r="F11143" s="753"/>
      <c r="G11143" s="3"/>
      <c r="H11143" s="753"/>
      <c r="I11143" s="754"/>
      <c r="J11143" s="753"/>
      <c r="K11143" s="753" t="s">
        <v>144</v>
      </c>
      <c r="L11143" s="753"/>
      <c r="M11143" s="753"/>
      <c r="N11143" s="753"/>
      <c r="O11143" s="753"/>
      <c r="P11143" s="753"/>
      <c r="Q11143" s="51"/>
      <c r="R11143" s="530"/>
      <c r="S11143" s="757"/>
      <c r="T11143" s="753"/>
      <c r="AR11143" s="748"/>
      <c r="AS11143" s="753"/>
    </row>
    <row r="11144" spans="1:45" s="901" customFormat="1" ht="13.2">
      <c r="A11144" s="903">
        <v>2</v>
      </c>
      <c r="B11144" s="904" t="s">
        <v>863</v>
      </c>
      <c r="C11144" s="904"/>
      <c r="D11144" s="904" t="s">
        <v>2594</v>
      </c>
      <c r="E11144" s="904"/>
      <c r="F11144" s="1153" t="s">
        <v>4141</v>
      </c>
      <c r="G11144" s="905" t="s">
        <v>2595</v>
      </c>
      <c r="H11144" s="902">
        <v>960</v>
      </c>
      <c r="I11144" s="904" t="s">
        <v>2596</v>
      </c>
      <c r="J11144" s="904"/>
      <c r="K11144" s="904"/>
      <c r="L11144" s="904"/>
      <c r="M11144" s="904"/>
      <c r="N11144" s="904"/>
      <c r="O11144" s="902">
        <v>4</v>
      </c>
      <c r="P11144" s="906">
        <v>38274</v>
      </c>
      <c r="Q11144" s="1415">
        <f>15*0.873</f>
        <v>13.095000000000001</v>
      </c>
      <c r="R11144" s="908">
        <f>$A11144*Q11144</f>
        <v>26.19</v>
      </c>
      <c r="S11144" s="907"/>
      <c r="T11144" s="909">
        <f>$A11144*S11144*$T$1</f>
        <v>0</v>
      </c>
      <c r="AR11144" s="903">
        <v>2</v>
      </c>
      <c r="AS11144" s="1153" t="s">
        <v>3507</v>
      </c>
    </row>
    <row r="11145" spans="1:45" s="520" customFormat="1" ht="12">
      <c r="A11145" s="758"/>
      <c r="B11145" s="758"/>
      <c r="C11145" s="758"/>
      <c r="D11145" s="758"/>
      <c r="E11145" s="758"/>
      <c r="F11145" s="753"/>
      <c r="G11145" s="758"/>
      <c r="H11145" s="758"/>
      <c r="I11145" s="519"/>
      <c r="J11145" s="758"/>
      <c r="K11145" s="758"/>
      <c r="L11145" s="758"/>
      <c r="M11145" s="758"/>
      <c r="N11145" s="758"/>
      <c r="O11145" s="758"/>
      <c r="P11145" s="758"/>
      <c r="Q11145" s="519"/>
      <c r="R11145" s="759">
        <f>$A11145*Q11145</f>
        <v>0</v>
      </c>
      <c r="S11145" s="519"/>
      <c r="T11145" s="760">
        <f>$A11145*S11145*$T$1</f>
        <v>0</v>
      </c>
      <c r="AR11145" s="758"/>
      <c r="AS11145" s="753"/>
    </row>
    <row r="11146" spans="1:45" s="520" customFormat="1" ht="12.6" thickBot="1">
      <c r="A11146" s="761" t="s">
        <v>145</v>
      </c>
      <c r="B11146" s="762">
        <f>(R11145+T11145)</f>
        <v>0</v>
      </c>
      <c r="C11146" s="763"/>
      <c r="D11146" s="763"/>
      <c r="E11146" s="763"/>
      <c r="F11146" s="764"/>
      <c r="G11146" s="763" t="s">
        <v>146</v>
      </c>
      <c r="H11146" s="763"/>
      <c r="I11146" s="765"/>
      <c r="J11146" s="763"/>
      <c r="K11146" s="763" t="s">
        <v>5</v>
      </c>
      <c r="L11146" s="766" t="s">
        <v>143</v>
      </c>
      <c r="M11146" s="766"/>
      <c r="N11146" s="766"/>
      <c r="O11146" s="766"/>
      <c r="P11146" s="766"/>
      <c r="Q11146" s="767"/>
      <c r="R11146" s="768">
        <f>SUM(R11143:R11145)</f>
        <v>26.19</v>
      </c>
      <c r="S11146" s="763"/>
      <c r="T11146" s="768">
        <f>SUM(T11143:T11145)</f>
        <v>0</v>
      </c>
      <c r="U11146" s="531"/>
      <c r="V11146" s="531"/>
      <c r="W11146" s="531"/>
      <c r="X11146" s="531"/>
      <c r="Y11146" s="531"/>
      <c r="Z11146" s="531"/>
      <c r="AA11146" s="531"/>
      <c r="AB11146" s="531"/>
      <c r="AC11146" s="531"/>
      <c r="AD11146" s="531"/>
      <c r="AE11146" s="531"/>
      <c r="AF11146" s="531"/>
      <c r="AG11146" s="531"/>
      <c r="AH11146" s="531"/>
      <c r="AI11146" s="531"/>
      <c r="AJ11146" s="531"/>
      <c r="AK11146" s="531"/>
      <c r="AL11146" s="531"/>
      <c r="AM11146" s="531"/>
      <c r="AN11146" s="531"/>
      <c r="AO11146" s="531"/>
      <c r="AR11146" s="761" t="s">
        <v>145</v>
      </c>
      <c r="AS11146" s="764"/>
    </row>
    <row r="11147" spans="1:45" s="520" customFormat="1" ht="12" thickTop="1">
      <c r="A11147" s="51"/>
      <c r="B11147" s="41"/>
      <c r="C11147" s="51"/>
      <c r="E11147" s="42" t="s">
        <v>138</v>
      </c>
      <c r="F11147" s="42" t="s">
        <v>139</v>
      </c>
      <c r="G11147" s="51"/>
      <c r="H11147" s="51"/>
      <c r="I11147" s="51"/>
      <c r="J11147" s="51"/>
      <c r="K11147" s="51" t="s">
        <v>140</v>
      </c>
      <c r="L11147" s="51"/>
      <c r="M11147" s="51"/>
      <c r="N11147" s="51"/>
      <c r="O11147" s="52"/>
      <c r="P11147" s="51"/>
      <c r="Q11147" s="51"/>
      <c r="R11147" s="51"/>
      <c r="S11147" s="51"/>
      <c r="T11147" s="41"/>
      <c r="AG11147" s="521" t="s">
        <v>268</v>
      </c>
      <c r="AH11147" s="521" t="s">
        <v>269</v>
      </c>
      <c r="AI11147" s="521" t="s">
        <v>270</v>
      </c>
      <c r="AJ11147" s="521" t="s">
        <v>271</v>
      </c>
      <c r="AK11147" s="521" t="s">
        <v>272</v>
      </c>
      <c r="AM11147" s="745" t="s">
        <v>281</v>
      </c>
      <c r="AN11147" s="746" t="s">
        <v>282</v>
      </c>
      <c r="AO11147" s="522" t="s">
        <v>278</v>
      </c>
      <c r="AR11147" s="51"/>
      <c r="AS11147" s="42" t="s">
        <v>139</v>
      </c>
    </row>
    <row r="11148" spans="1:45" s="520" customFormat="1" ht="12" customHeight="1">
      <c r="A11148" s="747">
        <v>2</v>
      </c>
      <c r="B11148" s="523" t="s">
        <v>329</v>
      </c>
      <c r="C11148" s="748"/>
      <c r="D11148" s="749" t="s">
        <v>2557</v>
      </c>
      <c r="E11148" s="1145">
        <f>IF(AND($A11148=0,$A$1="DIF"),0, ROUND(ROUND(($R11152*$S$3+($T11152*$T$3))/$A11148,2)*$C$3,2))</f>
        <v>14.78</v>
      </c>
      <c r="F11148" s="1146">
        <f>ROUND($A11148*$E11148,2)</f>
        <v>29.56</v>
      </c>
      <c r="G11148" s="752" t="s">
        <v>142</v>
      </c>
      <c r="H11148" s="753"/>
      <c r="I11148" s="754"/>
      <c r="J11148" s="753"/>
      <c r="K11148" s="753" t="s">
        <v>5</v>
      </c>
      <c r="L11148" s="755" t="s">
        <v>143</v>
      </c>
      <c r="M11148" s="755"/>
      <c r="N11148" s="755"/>
      <c r="O11148" s="755"/>
      <c r="P11148" s="755"/>
      <c r="Q11148" s="51"/>
      <c r="T11148" s="1150" t="str">
        <f>IF(AND($R11152=0,$T11152=0),"0.00","mu: "&amp; ROUND(F11148/$C$3/($R11152+$T11152*$D$9),2))</f>
        <v>mu: 1.13</v>
      </c>
      <c r="W11148" s="524"/>
      <c r="AG11148" s="1147">
        <f>IF($E11148=0,0,ROUND($R11152*$S$3*$C$3/$A11148,2))</f>
        <v>14.78</v>
      </c>
      <c r="AH11148" s="1147">
        <f>$AG11148*$A11148</f>
        <v>29.56</v>
      </c>
      <c r="AI11148" s="1148">
        <f>$E11148-$AG11148</f>
        <v>0</v>
      </c>
      <c r="AJ11148" s="1148">
        <f>$A11148*$AI11148</f>
        <v>0</v>
      </c>
      <c r="AK11148" s="1149">
        <f>ROUND(($AG11148+$AI11148)*$A11148,2)</f>
        <v>29.56</v>
      </c>
      <c r="AM11148" s="527">
        <f>ROUND(R11152,2)</f>
        <v>26.19</v>
      </c>
      <c r="AN11148" s="528">
        <f>ROUND(T11152,2)</f>
        <v>0</v>
      </c>
      <c r="AO11148" s="529">
        <f>ROUND(AM11148+AN11148,2)*A11148</f>
        <v>52.38</v>
      </c>
      <c r="AR11148" s="747">
        <v>2</v>
      </c>
      <c r="AS11148" s="1146">
        <v>32.159999999999997</v>
      </c>
    </row>
    <row r="11149" spans="1:45" s="520" customFormat="1" ht="13.2">
      <c r="A11149" s="748"/>
      <c r="B11149"/>
      <c r="C11149" s="748"/>
      <c r="D11149" s="749" t="s">
        <v>2215</v>
      </c>
      <c r="F11149" s="753"/>
      <c r="G11149" s="3"/>
      <c r="H11149" s="753"/>
      <c r="I11149" s="754"/>
      <c r="J11149" s="753"/>
      <c r="K11149" s="753" t="s">
        <v>144</v>
      </c>
      <c r="L11149" s="753"/>
      <c r="M11149" s="753"/>
      <c r="N11149" s="753"/>
      <c r="O11149" s="753"/>
      <c r="P11149" s="753"/>
      <c r="Q11149" s="51"/>
      <c r="R11149" s="530"/>
      <c r="S11149" s="757"/>
      <c r="T11149" s="753"/>
      <c r="AR11149" s="748"/>
      <c r="AS11149" s="753"/>
    </row>
    <row r="11150" spans="1:45" s="901" customFormat="1" ht="13.2">
      <c r="A11150" s="903">
        <v>2</v>
      </c>
      <c r="B11150" s="904" t="s">
        <v>863</v>
      </c>
      <c r="C11150" s="904"/>
      <c r="D11150" s="904" t="s">
        <v>2594</v>
      </c>
      <c r="E11150" s="904"/>
      <c r="F11150" s="1153" t="s">
        <v>4141</v>
      </c>
      <c r="G11150" s="905" t="s">
        <v>2595</v>
      </c>
      <c r="H11150" s="902">
        <v>960</v>
      </c>
      <c r="I11150" s="904" t="s">
        <v>2596</v>
      </c>
      <c r="J11150" s="904"/>
      <c r="K11150" s="904"/>
      <c r="L11150" s="904"/>
      <c r="M11150" s="904"/>
      <c r="N11150" s="904"/>
      <c r="O11150" s="902">
        <v>4</v>
      </c>
      <c r="P11150" s="906">
        <v>38274</v>
      </c>
      <c r="Q11150" s="1415">
        <f>15*0.873</f>
        <v>13.095000000000001</v>
      </c>
      <c r="R11150" s="908">
        <f>$A11150*Q11150</f>
        <v>26.19</v>
      </c>
      <c r="S11150" s="907"/>
      <c r="T11150" s="909">
        <f>$A11150*S11150*$T$1</f>
        <v>0</v>
      </c>
      <c r="AR11150" s="903">
        <v>2</v>
      </c>
      <c r="AS11150" s="1153" t="s">
        <v>3507</v>
      </c>
    </row>
    <row r="11151" spans="1:45" s="520" customFormat="1" ht="12">
      <c r="A11151" s="758"/>
      <c r="B11151" s="758"/>
      <c r="C11151" s="758"/>
      <c r="D11151" s="758"/>
      <c r="E11151" s="758"/>
      <c r="F11151" s="753"/>
      <c r="G11151" s="758"/>
      <c r="H11151" s="758"/>
      <c r="I11151" s="519"/>
      <c r="J11151" s="758"/>
      <c r="K11151" s="758"/>
      <c r="L11151" s="758"/>
      <c r="M11151" s="758"/>
      <c r="N11151" s="758"/>
      <c r="O11151" s="758"/>
      <c r="P11151" s="758"/>
      <c r="Q11151" s="519"/>
      <c r="R11151" s="759">
        <f>$A11151*Q11151</f>
        <v>0</v>
      </c>
      <c r="S11151" s="519"/>
      <c r="T11151" s="760">
        <f>$A11151*S11151*$T$1</f>
        <v>0</v>
      </c>
      <c r="AR11151" s="758"/>
      <c r="AS11151" s="753"/>
    </row>
    <row r="11152" spans="1:45" s="520" customFormat="1" ht="12.6" thickBot="1">
      <c r="A11152" s="761" t="s">
        <v>145</v>
      </c>
      <c r="B11152" s="762">
        <f>(R11151+T11151)</f>
        <v>0</v>
      </c>
      <c r="C11152" s="763"/>
      <c r="D11152" s="763"/>
      <c r="E11152" s="763"/>
      <c r="F11152" s="764"/>
      <c r="G11152" s="763" t="s">
        <v>146</v>
      </c>
      <c r="H11152" s="763"/>
      <c r="I11152" s="765"/>
      <c r="J11152" s="763"/>
      <c r="K11152" s="763" t="s">
        <v>5</v>
      </c>
      <c r="L11152" s="766" t="s">
        <v>143</v>
      </c>
      <c r="M11152" s="766"/>
      <c r="N11152" s="766"/>
      <c r="O11152" s="766"/>
      <c r="P11152" s="766"/>
      <c r="Q11152" s="767"/>
      <c r="R11152" s="768">
        <f>SUM(R11149:R11151)</f>
        <v>26.19</v>
      </c>
      <c r="S11152" s="763"/>
      <c r="T11152" s="768">
        <f>SUM(T11149:T11151)</f>
        <v>0</v>
      </c>
      <c r="U11152" s="531"/>
      <c r="V11152" s="531"/>
      <c r="W11152" s="531"/>
      <c r="X11152" s="531"/>
      <c r="Y11152" s="531"/>
      <c r="Z11152" s="531"/>
      <c r="AA11152" s="531"/>
      <c r="AB11152" s="531"/>
      <c r="AC11152" s="531"/>
      <c r="AD11152" s="531"/>
      <c r="AE11152" s="531"/>
      <c r="AF11152" s="531"/>
      <c r="AG11152" s="531"/>
      <c r="AH11152" s="531"/>
      <c r="AI11152" s="531"/>
      <c r="AJ11152" s="531"/>
      <c r="AK11152" s="531"/>
      <c r="AL11152" s="531"/>
      <c r="AM11152" s="531"/>
      <c r="AN11152" s="531"/>
      <c r="AO11152" s="531"/>
      <c r="AR11152" s="761" t="s">
        <v>145</v>
      </c>
      <c r="AS11152" s="764"/>
    </row>
    <row r="11153" spans="1:45" s="520" customFormat="1" ht="12" thickTop="1">
      <c r="A11153" s="51"/>
      <c r="B11153" s="41"/>
      <c r="C11153" s="51"/>
      <c r="E11153" s="42" t="s">
        <v>138</v>
      </c>
      <c r="F11153" s="42" t="s">
        <v>139</v>
      </c>
      <c r="G11153" s="51"/>
      <c r="H11153" s="51"/>
      <c r="I11153" s="51"/>
      <c r="J11153" s="51"/>
      <c r="K11153" s="51" t="s">
        <v>140</v>
      </c>
      <c r="L11153" s="51"/>
      <c r="M11153" s="51"/>
      <c r="N11153" s="51"/>
      <c r="O11153" s="52"/>
      <c r="P11153" s="51"/>
      <c r="Q11153" s="51"/>
      <c r="R11153" s="51"/>
      <c r="S11153" s="51"/>
      <c r="T11153" s="41"/>
      <c r="AG11153" s="521" t="s">
        <v>268</v>
      </c>
      <c r="AH11153" s="521" t="s">
        <v>269</v>
      </c>
      <c r="AI11153" s="521" t="s">
        <v>270</v>
      </c>
      <c r="AJ11153" s="521" t="s">
        <v>271</v>
      </c>
      <c r="AK11153" s="521" t="s">
        <v>272</v>
      </c>
      <c r="AM11153" s="745" t="s">
        <v>281</v>
      </c>
      <c r="AN11153" s="746" t="s">
        <v>282</v>
      </c>
      <c r="AO11153" s="522" t="s">
        <v>278</v>
      </c>
      <c r="AR11153" s="51"/>
      <c r="AS11153" s="42" t="s">
        <v>139</v>
      </c>
    </row>
    <row r="11154" spans="1:45" s="520" customFormat="1" ht="12" customHeight="1">
      <c r="A11154" s="747">
        <v>2</v>
      </c>
      <c r="B11154" s="523" t="s">
        <v>329</v>
      </c>
      <c r="C11154" s="748"/>
      <c r="D11154" s="749" t="s">
        <v>2558</v>
      </c>
      <c r="E11154" s="1145">
        <f>IF(AND($A11154=0,$A$1="DIF"),0, ROUND(ROUND(($R11158*$S$3+($T11158*$T$3))/$A11154,2)*$C$3,2))</f>
        <v>14.78</v>
      </c>
      <c r="F11154" s="1146">
        <f>ROUND($A11154*$E11154,2)</f>
        <v>29.56</v>
      </c>
      <c r="G11154" s="752" t="s">
        <v>142</v>
      </c>
      <c r="H11154" s="753"/>
      <c r="I11154" s="754"/>
      <c r="J11154" s="753"/>
      <c r="K11154" s="753" t="s">
        <v>5</v>
      </c>
      <c r="L11154" s="755" t="s">
        <v>143</v>
      </c>
      <c r="M11154" s="755"/>
      <c r="N11154" s="755"/>
      <c r="O11154" s="755"/>
      <c r="P11154" s="755"/>
      <c r="Q11154" s="51"/>
      <c r="T11154" s="1150" t="str">
        <f>IF(AND($R11158=0,$T11158=0),"0.00","mu: "&amp; ROUND(F11154/$C$3/($R11158+$T11158*$D$9),2))</f>
        <v>mu: 1.13</v>
      </c>
      <c r="W11154" s="524"/>
      <c r="AG11154" s="1147">
        <f>IF($E11154=0,0,ROUND($R11158*$S$3*$C$3/$A11154,2))</f>
        <v>14.78</v>
      </c>
      <c r="AH11154" s="1147">
        <f>$AG11154*$A11154</f>
        <v>29.56</v>
      </c>
      <c r="AI11154" s="1148">
        <f>$E11154-$AG11154</f>
        <v>0</v>
      </c>
      <c r="AJ11154" s="1148">
        <f>$A11154*$AI11154</f>
        <v>0</v>
      </c>
      <c r="AK11154" s="1149">
        <f>ROUND(($AG11154+$AI11154)*$A11154,2)</f>
        <v>29.56</v>
      </c>
      <c r="AM11154" s="527">
        <f>ROUND(R11158,2)</f>
        <v>26.19</v>
      </c>
      <c r="AN11154" s="528">
        <f>ROUND(T11158,2)</f>
        <v>0</v>
      </c>
      <c r="AO11154" s="529">
        <f>ROUND(AM11154+AN11154,2)*A11154</f>
        <v>52.38</v>
      </c>
      <c r="AR11154" s="747">
        <v>2</v>
      </c>
      <c r="AS11154" s="1146">
        <v>32.159999999999997</v>
      </c>
    </row>
    <row r="11155" spans="1:45" s="520" customFormat="1" ht="13.2">
      <c r="A11155" s="748"/>
      <c r="B11155"/>
      <c r="C11155" s="748"/>
      <c r="D11155" s="749" t="s">
        <v>2216</v>
      </c>
      <c r="F11155" s="753"/>
      <c r="G11155" s="3"/>
      <c r="H11155" s="753"/>
      <c r="I11155" s="754"/>
      <c r="J11155" s="753"/>
      <c r="K11155" s="753" t="s">
        <v>144</v>
      </c>
      <c r="L11155" s="753"/>
      <c r="M11155" s="753"/>
      <c r="N11155" s="753"/>
      <c r="O11155" s="753"/>
      <c r="P11155" s="753"/>
      <c r="Q11155" s="51"/>
      <c r="R11155" s="530"/>
      <c r="S11155" s="757"/>
      <c r="T11155" s="753"/>
      <c r="AR11155" s="748"/>
      <c r="AS11155" s="753"/>
    </row>
    <row r="11156" spans="1:45" s="901" customFormat="1" ht="13.2">
      <c r="A11156" s="903">
        <v>2</v>
      </c>
      <c r="B11156" s="904" t="s">
        <v>863</v>
      </c>
      <c r="C11156" s="904"/>
      <c r="D11156" s="904" t="s">
        <v>2594</v>
      </c>
      <c r="E11156" s="904"/>
      <c r="F11156" s="1153" t="s">
        <v>4141</v>
      </c>
      <c r="G11156" s="905" t="s">
        <v>2595</v>
      </c>
      <c r="H11156" s="902">
        <v>960</v>
      </c>
      <c r="I11156" s="904" t="s">
        <v>2596</v>
      </c>
      <c r="J11156" s="904"/>
      <c r="K11156" s="904"/>
      <c r="L11156" s="904"/>
      <c r="M11156" s="904"/>
      <c r="N11156" s="904"/>
      <c r="O11156" s="902">
        <v>4</v>
      </c>
      <c r="P11156" s="906">
        <v>38274</v>
      </c>
      <c r="Q11156" s="1415">
        <f>15*0.873</f>
        <v>13.095000000000001</v>
      </c>
      <c r="R11156" s="908">
        <f>$A11156*Q11156</f>
        <v>26.19</v>
      </c>
      <c r="S11156" s="907"/>
      <c r="T11156" s="909">
        <f>$A11156*S11156*$T$1</f>
        <v>0</v>
      </c>
      <c r="AR11156" s="903">
        <v>2</v>
      </c>
      <c r="AS11156" s="1153" t="s">
        <v>3507</v>
      </c>
    </row>
    <row r="11157" spans="1:45" s="520" customFormat="1" ht="12">
      <c r="A11157" s="758"/>
      <c r="B11157" s="758"/>
      <c r="C11157" s="758"/>
      <c r="D11157" s="758"/>
      <c r="E11157" s="758"/>
      <c r="F11157" s="753"/>
      <c r="G11157" s="758"/>
      <c r="H11157" s="758"/>
      <c r="I11157" s="519"/>
      <c r="J11157" s="758"/>
      <c r="K11157" s="758"/>
      <c r="L11157" s="758"/>
      <c r="M11157" s="758"/>
      <c r="N11157" s="758"/>
      <c r="O11157" s="758"/>
      <c r="P11157" s="758"/>
      <c r="Q11157" s="519"/>
      <c r="R11157" s="759">
        <f>$A11157*Q11157</f>
        <v>0</v>
      </c>
      <c r="S11157" s="519"/>
      <c r="T11157" s="760">
        <f>$A11157*S11157*$T$1</f>
        <v>0</v>
      </c>
      <c r="AR11157" s="758"/>
      <c r="AS11157" s="753"/>
    </row>
    <row r="11158" spans="1:45" s="520" customFormat="1" ht="12.6" thickBot="1">
      <c r="A11158" s="761" t="s">
        <v>145</v>
      </c>
      <c r="B11158" s="762">
        <f>(R11157+T11157)</f>
        <v>0</v>
      </c>
      <c r="C11158" s="763"/>
      <c r="D11158" s="763"/>
      <c r="E11158" s="763"/>
      <c r="F11158" s="764"/>
      <c r="G11158" s="763" t="s">
        <v>146</v>
      </c>
      <c r="H11158" s="763"/>
      <c r="I11158" s="765"/>
      <c r="J11158" s="763"/>
      <c r="K11158" s="763" t="s">
        <v>5</v>
      </c>
      <c r="L11158" s="766" t="s">
        <v>143</v>
      </c>
      <c r="M11158" s="766"/>
      <c r="N11158" s="766"/>
      <c r="O11158" s="766"/>
      <c r="P11158" s="766"/>
      <c r="Q11158" s="767"/>
      <c r="R11158" s="768">
        <f>SUM(R11155:R11157)</f>
        <v>26.19</v>
      </c>
      <c r="S11158" s="763"/>
      <c r="T11158" s="768">
        <f>SUM(T11155:T11157)</f>
        <v>0</v>
      </c>
      <c r="U11158" s="531"/>
      <c r="V11158" s="531"/>
      <c r="W11158" s="531"/>
      <c r="X11158" s="531"/>
      <c r="Y11158" s="531"/>
      <c r="Z11158" s="531"/>
      <c r="AA11158" s="531"/>
      <c r="AB11158" s="531"/>
      <c r="AC11158" s="531"/>
      <c r="AD11158" s="531"/>
      <c r="AE11158" s="531"/>
      <c r="AF11158" s="531"/>
      <c r="AG11158" s="531"/>
      <c r="AH11158" s="531"/>
      <c r="AI11158" s="531"/>
      <c r="AJ11158" s="531"/>
      <c r="AK11158" s="531"/>
      <c r="AL11158" s="531"/>
      <c r="AM11158" s="531"/>
      <c r="AN11158" s="531"/>
      <c r="AO11158" s="531"/>
      <c r="AR11158" s="761" t="s">
        <v>145</v>
      </c>
      <c r="AS11158" s="764"/>
    </row>
    <row r="11159" spans="1:45" s="520" customFormat="1" ht="12" thickTop="1">
      <c r="A11159" s="51"/>
      <c r="B11159" s="41"/>
      <c r="C11159" s="51"/>
      <c r="E11159" s="42" t="s">
        <v>138</v>
      </c>
      <c r="F11159" s="42" t="s">
        <v>139</v>
      </c>
      <c r="G11159" s="51"/>
      <c r="H11159" s="51"/>
      <c r="I11159" s="51"/>
      <c r="J11159" s="51"/>
      <c r="K11159" s="51" t="s">
        <v>140</v>
      </c>
      <c r="L11159" s="51"/>
      <c r="M11159" s="51"/>
      <c r="N11159" s="51"/>
      <c r="O11159" s="52"/>
      <c r="P11159" s="51"/>
      <c r="Q11159" s="51"/>
      <c r="R11159" s="51"/>
      <c r="S11159" s="51"/>
      <c r="T11159" s="41"/>
      <c r="AG11159" s="521" t="s">
        <v>268</v>
      </c>
      <c r="AH11159" s="521" t="s">
        <v>269</v>
      </c>
      <c r="AI11159" s="521" t="s">
        <v>270</v>
      </c>
      <c r="AJ11159" s="521" t="s">
        <v>271</v>
      </c>
      <c r="AK11159" s="521" t="s">
        <v>272</v>
      </c>
      <c r="AM11159" s="745" t="s">
        <v>281</v>
      </c>
      <c r="AN11159" s="746" t="s">
        <v>282</v>
      </c>
      <c r="AO11159" s="522" t="s">
        <v>278</v>
      </c>
      <c r="AR11159" s="51"/>
      <c r="AS11159" s="42" t="s">
        <v>139</v>
      </c>
    </row>
    <row r="11160" spans="1:45" s="520" customFormat="1" ht="12" customHeight="1">
      <c r="A11160" s="747">
        <v>2</v>
      </c>
      <c r="B11160" s="523" t="s">
        <v>329</v>
      </c>
      <c r="C11160" s="748"/>
      <c r="D11160" s="749" t="s">
        <v>2559</v>
      </c>
      <c r="E11160" s="1145">
        <f>IF(AND($A11160=0,$A$1="DIF"),0, ROUND(ROUND(($R11164*$S$3+($T11164*$T$3))/$A11160,2)*$C$3,2))</f>
        <v>14.78</v>
      </c>
      <c r="F11160" s="1146">
        <f>ROUND($A11160*$E11160,2)</f>
        <v>29.56</v>
      </c>
      <c r="G11160" s="752" t="s">
        <v>142</v>
      </c>
      <c r="H11160" s="753"/>
      <c r="I11160" s="754"/>
      <c r="J11160" s="753"/>
      <c r="K11160" s="753" t="s">
        <v>5</v>
      </c>
      <c r="L11160" s="755" t="s">
        <v>143</v>
      </c>
      <c r="M11160" s="755"/>
      <c r="N11160" s="755"/>
      <c r="O11160" s="755"/>
      <c r="P11160" s="755"/>
      <c r="Q11160" s="51"/>
      <c r="T11160" s="1150" t="str">
        <f>IF(AND($R11164=0,$T11164=0),"0.00","mu: "&amp; ROUND(F11160/$C$3/($R11164+$T11164*$D$9),2))</f>
        <v>mu: 1.13</v>
      </c>
      <c r="W11160" s="524"/>
      <c r="AG11160" s="1147">
        <f>IF($E11160=0,0,ROUND($R11164*$S$3*$C$3/$A11160,2))</f>
        <v>14.78</v>
      </c>
      <c r="AH11160" s="1147">
        <f>$AG11160*$A11160</f>
        <v>29.56</v>
      </c>
      <c r="AI11160" s="1148">
        <f>$E11160-$AG11160</f>
        <v>0</v>
      </c>
      <c r="AJ11160" s="1148">
        <f>$A11160*$AI11160</f>
        <v>0</v>
      </c>
      <c r="AK11160" s="1149">
        <f>ROUND(($AG11160+$AI11160)*$A11160,2)</f>
        <v>29.56</v>
      </c>
      <c r="AM11160" s="527">
        <f>ROUND(R11164,2)</f>
        <v>26.19</v>
      </c>
      <c r="AN11160" s="528">
        <f>ROUND(T11164,2)</f>
        <v>0</v>
      </c>
      <c r="AO11160" s="529">
        <f>ROUND(AM11160+AN11160,2)*A11160</f>
        <v>52.38</v>
      </c>
      <c r="AR11160" s="747">
        <v>2</v>
      </c>
      <c r="AS11160" s="1146">
        <v>32.159999999999997</v>
      </c>
    </row>
    <row r="11161" spans="1:45" s="520" customFormat="1" ht="13.2">
      <c r="A11161" s="748"/>
      <c r="B11161"/>
      <c r="C11161" s="748"/>
      <c r="D11161" s="749" t="s">
        <v>2217</v>
      </c>
      <c r="F11161" s="753"/>
      <c r="G11161" s="3"/>
      <c r="H11161" s="753"/>
      <c r="I11161" s="754"/>
      <c r="J11161" s="753"/>
      <c r="K11161" s="753" t="s">
        <v>144</v>
      </c>
      <c r="L11161" s="753"/>
      <c r="M11161" s="753"/>
      <c r="N11161" s="753"/>
      <c r="O11161" s="753"/>
      <c r="P11161" s="753"/>
      <c r="Q11161" s="51"/>
      <c r="R11161" s="530"/>
      <c r="S11161" s="757"/>
      <c r="T11161" s="753"/>
      <c r="AR11161" s="748"/>
      <c r="AS11161" s="753"/>
    </row>
    <row r="11162" spans="1:45" s="901" customFormat="1" ht="13.2">
      <c r="A11162" s="903">
        <v>2</v>
      </c>
      <c r="B11162" s="904" t="s">
        <v>863</v>
      </c>
      <c r="C11162" s="904"/>
      <c r="D11162" s="904" t="s">
        <v>2594</v>
      </c>
      <c r="E11162" s="904"/>
      <c r="F11162" s="1153" t="s">
        <v>4141</v>
      </c>
      <c r="G11162" s="905" t="s">
        <v>2595</v>
      </c>
      <c r="H11162" s="902">
        <v>960</v>
      </c>
      <c r="I11162" s="904" t="s">
        <v>2596</v>
      </c>
      <c r="J11162" s="904"/>
      <c r="K11162" s="904"/>
      <c r="L11162" s="904"/>
      <c r="M11162" s="904"/>
      <c r="N11162" s="904"/>
      <c r="O11162" s="902">
        <v>4</v>
      </c>
      <c r="P11162" s="906">
        <v>38274</v>
      </c>
      <c r="Q11162" s="1415">
        <f>15*0.873</f>
        <v>13.095000000000001</v>
      </c>
      <c r="R11162" s="908">
        <f>$A11162*Q11162</f>
        <v>26.19</v>
      </c>
      <c r="S11162" s="907"/>
      <c r="T11162" s="909">
        <f>$A11162*S11162*$T$1</f>
        <v>0</v>
      </c>
      <c r="AR11162" s="903">
        <v>2</v>
      </c>
      <c r="AS11162" s="1153" t="s">
        <v>3507</v>
      </c>
    </row>
    <row r="11163" spans="1:45" s="520" customFormat="1" ht="12">
      <c r="A11163" s="758"/>
      <c r="B11163" s="758"/>
      <c r="C11163" s="758"/>
      <c r="D11163" s="758"/>
      <c r="E11163" s="758"/>
      <c r="F11163" s="753"/>
      <c r="G11163" s="758"/>
      <c r="H11163" s="758"/>
      <c r="I11163" s="519"/>
      <c r="J11163" s="758"/>
      <c r="K11163" s="758"/>
      <c r="L11163" s="758"/>
      <c r="M11163" s="758"/>
      <c r="N11163" s="758"/>
      <c r="O11163" s="758"/>
      <c r="P11163" s="758"/>
      <c r="Q11163" s="519"/>
      <c r="R11163" s="759">
        <f>$A11163*Q11163</f>
        <v>0</v>
      </c>
      <c r="S11163" s="519"/>
      <c r="T11163" s="760">
        <f>$A11163*S11163*$T$1</f>
        <v>0</v>
      </c>
      <c r="AR11163" s="758"/>
      <c r="AS11163" s="753"/>
    </row>
    <row r="11164" spans="1:45" s="520" customFormat="1" ht="12.6" thickBot="1">
      <c r="A11164" s="761" t="s">
        <v>145</v>
      </c>
      <c r="B11164" s="762">
        <f>(R11163+T11163)</f>
        <v>0</v>
      </c>
      <c r="C11164" s="763"/>
      <c r="D11164" s="763"/>
      <c r="E11164" s="763"/>
      <c r="F11164" s="764"/>
      <c r="G11164" s="763" t="s">
        <v>146</v>
      </c>
      <c r="H11164" s="763"/>
      <c r="I11164" s="765"/>
      <c r="J11164" s="763"/>
      <c r="K11164" s="763" t="s">
        <v>5</v>
      </c>
      <c r="L11164" s="766" t="s">
        <v>143</v>
      </c>
      <c r="M11164" s="766"/>
      <c r="N11164" s="766"/>
      <c r="O11164" s="766"/>
      <c r="P11164" s="766"/>
      <c r="Q11164" s="767"/>
      <c r="R11164" s="768">
        <f>SUM(R11161:R11163)</f>
        <v>26.19</v>
      </c>
      <c r="S11164" s="763"/>
      <c r="T11164" s="768">
        <f>SUM(T11161:T11163)</f>
        <v>0</v>
      </c>
      <c r="U11164" s="531"/>
      <c r="V11164" s="531"/>
      <c r="W11164" s="531"/>
      <c r="X11164" s="531"/>
      <c r="Y11164" s="531"/>
      <c r="Z11164" s="531"/>
      <c r="AA11164" s="531"/>
      <c r="AB11164" s="531"/>
      <c r="AC11164" s="531"/>
      <c r="AD11164" s="531"/>
      <c r="AE11164" s="531"/>
      <c r="AF11164" s="531"/>
      <c r="AG11164" s="531"/>
      <c r="AH11164" s="531"/>
      <c r="AI11164" s="531"/>
      <c r="AJ11164" s="531"/>
      <c r="AK11164" s="531"/>
      <c r="AL11164" s="531"/>
      <c r="AM11164" s="531"/>
      <c r="AN11164" s="531"/>
      <c r="AO11164" s="531"/>
      <c r="AR11164" s="761" t="s">
        <v>145</v>
      </c>
      <c r="AS11164" s="764"/>
    </row>
    <row r="11165" spans="1:45" s="520" customFormat="1" thickTop="1">
      <c r="A11165" s="51"/>
      <c r="B11165" s="51"/>
      <c r="C11165" s="3"/>
      <c r="D11165" s="3"/>
      <c r="E11165" s="51"/>
      <c r="F11165" s="51"/>
      <c r="G11165" s="51"/>
      <c r="H11165" s="51"/>
      <c r="I11165" s="51"/>
      <c r="J11165" s="51"/>
      <c r="K11165" s="51" t="s">
        <v>134</v>
      </c>
      <c r="L11165" s="51"/>
      <c r="M11165" s="51"/>
      <c r="N11165" s="51"/>
      <c r="O11165" s="52"/>
      <c r="P11165" s="51"/>
      <c r="Q11165" s="51"/>
      <c r="R11165" s="51"/>
      <c r="S11165" s="51"/>
      <c r="T11165" s="51"/>
      <c r="AR11165" s="51"/>
      <c r="AS11165" s="51"/>
    </row>
    <row r="11166" spans="1:45" s="520" customFormat="1" ht="12">
      <c r="A11166" s="51"/>
      <c r="B11166" s="51"/>
      <c r="C11166" s="51" t="s">
        <v>135</v>
      </c>
      <c r="D11166" s="37"/>
      <c r="E11166" s="51"/>
      <c r="F11166" s="51"/>
      <c r="G11166" s="51"/>
      <c r="H11166" s="51"/>
      <c r="I11166" s="51"/>
      <c r="J11166" s="51"/>
      <c r="K11166" s="51"/>
      <c r="L11166" s="51"/>
      <c r="M11166" s="51"/>
      <c r="N11166" s="51"/>
      <c r="O11166" s="52"/>
      <c r="P11166" s="51"/>
      <c r="Q11166" s="51"/>
      <c r="R11166" s="51"/>
      <c r="S11166" s="51"/>
      <c r="T11166" s="51"/>
      <c r="AR11166" s="51"/>
      <c r="AS11166" s="51"/>
    </row>
    <row r="11167" spans="1:45" s="520" customFormat="1" ht="12">
      <c r="A11167" s="51"/>
      <c r="B11167" s="51"/>
      <c r="C11167" s="51"/>
      <c r="D11167" s="37" t="s">
        <v>2186</v>
      </c>
      <c r="E11167" s="51"/>
      <c r="F11167" s="51"/>
      <c r="G11167" s="51"/>
      <c r="H11167" s="51"/>
      <c r="I11167" s="51"/>
      <c r="J11167" s="51"/>
      <c r="K11167" s="51"/>
      <c r="L11167" s="51"/>
      <c r="M11167" s="51"/>
      <c r="N11167" s="51"/>
      <c r="O11167" s="52"/>
      <c r="P11167" s="51"/>
      <c r="Q11167" s="51"/>
      <c r="R11167" s="51"/>
      <c r="S11167" s="38"/>
      <c r="T11167" s="38"/>
      <c r="AR11167" s="51"/>
      <c r="AS11167" s="51"/>
    </row>
    <row r="11168" spans="1:45" s="3" customFormat="1" thickBot="1">
      <c r="A11168" s="531"/>
      <c r="O11168" s="107"/>
      <c r="AR11168" s="531"/>
    </row>
    <row r="11169" spans="1:45" s="520" customFormat="1" ht="12" thickTop="1">
      <c r="A11169" s="51"/>
      <c r="B11169" s="41"/>
      <c r="C11169" s="51"/>
      <c r="E11169" s="42" t="s">
        <v>138</v>
      </c>
      <c r="F11169" s="42" t="s">
        <v>139</v>
      </c>
      <c r="G11169" s="51"/>
      <c r="H11169" s="51"/>
      <c r="I11169" s="51"/>
      <c r="J11169" s="51"/>
      <c r="K11169" s="51" t="s">
        <v>140</v>
      </c>
      <c r="L11169" s="51"/>
      <c r="M11169" s="51"/>
      <c r="N11169" s="51"/>
      <c r="O11169" s="52"/>
      <c r="P11169" s="51"/>
      <c r="Q11169" s="51"/>
      <c r="R11169" s="51"/>
      <c r="S11169" s="51"/>
      <c r="T11169" s="41"/>
      <c r="AG11169" s="521" t="s">
        <v>268</v>
      </c>
      <c r="AH11169" s="521" t="s">
        <v>269</v>
      </c>
      <c r="AI11169" s="521" t="s">
        <v>270</v>
      </c>
      <c r="AJ11169" s="521" t="s">
        <v>271</v>
      </c>
      <c r="AK11169" s="521" t="s">
        <v>272</v>
      </c>
      <c r="AM11169" s="745" t="s">
        <v>281</v>
      </c>
      <c r="AN11169" s="746" t="s">
        <v>282</v>
      </c>
      <c r="AO11169" s="522" t="s">
        <v>278</v>
      </c>
      <c r="AR11169" s="51"/>
      <c r="AS11169" s="42" t="s">
        <v>139</v>
      </c>
    </row>
    <row r="11170" spans="1:45" s="520" customFormat="1" ht="12" customHeight="1">
      <c r="A11170" s="747">
        <v>2</v>
      </c>
      <c r="B11170" s="523" t="s">
        <v>329</v>
      </c>
      <c r="C11170" s="748"/>
      <c r="D11170" s="749" t="s">
        <v>2560</v>
      </c>
      <c r="E11170" s="1145">
        <f>IF(AND($A11170=0,$A$1="DIF"),0, ROUND(ROUND(($R11174*$S$3+($T11174*$T$3))/$A11170,2)*$C$3,2))</f>
        <v>73.900000000000006</v>
      </c>
      <c r="F11170" s="1146">
        <f>ROUND($A11170*$E11170,2)</f>
        <v>147.80000000000001</v>
      </c>
      <c r="G11170" s="752" t="s">
        <v>142</v>
      </c>
      <c r="H11170" s="753"/>
      <c r="I11170" s="754"/>
      <c r="J11170" s="753"/>
      <c r="K11170" s="753" t="s">
        <v>5</v>
      </c>
      <c r="L11170" s="755" t="s">
        <v>143</v>
      </c>
      <c r="M11170" s="755"/>
      <c r="N11170" s="755"/>
      <c r="O11170" s="755"/>
      <c r="P11170" s="755"/>
      <c r="Q11170" s="51"/>
      <c r="T11170" s="1150" t="str">
        <f>IF(AND($R11174=0,$T11174=0),"0.00","mu: "&amp; ROUND(F11170/$C$3/($R11174+$T11174*$D$9),2))</f>
        <v>mu: 1.13</v>
      </c>
      <c r="W11170" s="524"/>
      <c r="AG11170" s="1147">
        <f>IF($E11170=0,0,ROUND($R11174*$S$3*$C$3/$A11170,2))</f>
        <v>73.900000000000006</v>
      </c>
      <c r="AH11170" s="1147">
        <f>$AG11170*$A11170</f>
        <v>147.80000000000001</v>
      </c>
      <c r="AI11170" s="1148">
        <f>$E11170-$AG11170</f>
        <v>0</v>
      </c>
      <c r="AJ11170" s="1148">
        <f>$A11170*$AI11170</f>
        <v>0</v>
      </c>
      <c r="AK11170" s="1149">
        <f>ROUND(($AG11170+$AI11170)*$A11170,2)</f>
        <v>147.80000000000001</v>
      </c>
      <c r="AM11170" s="527">
        <f>ROUND(R11174,2)</f>
        <v>130.94999999999999</v>
      </c>
      <c r="AN11170" s="528">
        <f>ROUND(T11174,2)</f>
        <v>0</v>
      </c>
      <c r="AO11170" s="529">
        <f>ROUND(AM11170+AN11170,2)*A11170</f>
        <v>261.89999999999998</v>
      </c>
      <c r="AR11170" s="747">
        <v>2</v>
      </c>
      <c r="AS11170" s="1146">
        <v>160.84</v>
      </c>
    </row>
    <row r="11171" spans="1:45" s="520" customFormat="1" ht="13.2">
      <c r="A11171" s="748"/>
      <c r="B11171"/>
      <c r="C11171" s="748"/>
      <c r="D11171" s="749" t="s">
        <v>2218</v>
      </c>
      <c r="F11171" s="753"/>
      <c r="G11171" s="3"/>
      <c r="H11171" s="753"/>
      <c r="I11171" s="754"/>
      <c r="J11171" s="753"/>
      <c r="K11171" s="753" t="s">
        <v>144</v>
      </c>
      <c r="L11171" s="753"/>
      <c r="M11171" s="753"/>
      <c r="N11171" s="753"/>
      <c r="O11171" s="753"/>
      <c r="P11171" s="753"/>
      <c r="Q11171" s="51"/>
      <c r="R11171" s="530"/>
      <c r="S11171" s="757"/>
      <c r="T11171" s="753"/>
      <c r="AR11171" s="748"/>
      <c r="AS11171" s="753"/>
    </row>
    <row r="11172" spans="1:45" s="901" customFormat="1" ht="13.2">
      <c r="A11172" s="903">
        <v>2</v>
      </c>
      <c r="B11172" s="904" t="s">
        <v>863</v>
      </c>
      <c r="C11172" s="904"/>
      <c r="D11172" s="904" t="s">
        <v>2594</v>
      </c>
      <c r="E11172" s="904"/>
      <c r="F11172" s="1153" t="s">
        <v>4141</v>
      </c>
      <c r="G11172" s="905" t="s">
        <v>2595</v>
      </c>
      <c r="H11172" s="902">
        <v>960</v>
      </c>
      <c r="I11172" s="904" t="s">
        <v>2596</v>
      </c>
      <c r="J11172" s="904"/>
      <c r="K11172" s="904"/>
      <c r="L11172" s="904"/>
      <c r="M11172" s="904"/>
      <c r="N11172" s="904"/>
      <c r="O11172" s="902">
        <v>4</v>
      </c>
      <c r="P11172" s="906">
        <v>38274</v>
      </c>
      <c r="Q11172" s="1415">
        <f>75*0.873</f>
        <v>65.474999999999994</v>
      </c>
      <c r="R11172" s="908">
        <f>$A11172*Q11172</f>
        <v>130.94999999999999</v>
      </c>
      <c r="S11172" s="907"/>
      <c r="T11172" s="909">
        <f>$A11172*S11172*$T$1</f>
        <v>0</v>
      </c>
      <c r="AR11172" s="903">
        <v>2</v>
      </c>
      <c r="AS11172" s="1153" t="s">
        <v>3507</v>
      </c>
    </row>
    <row r="11173" spans="1:45" s="520" customFormat="1" ht="12">
      <c r="A11173" s="758"/>
      <c r="B11173" s="758"/>
      <c r="C11173" s="758"/>
      <c r="D11173" s="758"/>
      <c r="E11173" s="758"/>
      <c r="F11173" s="753"/>
      <c r="G11173" s="758"/>
      <c r="H11173" s="758"/>
      <c r="I11173" s="519"/>
      <c r="J11173" s="758"/>
      <c r="K11173" s="758"/>
      <c r="L11173" s="758"/>
      <c r="M11173" s="758"/>
      <c r="N11173" s="758"/>
      <c r="O11173" s="758"/>
      <c r="P11173" s="758"/>
      <c r="Q11173" s="519"/>
      <c r="R11173" s="759">
        <f>$A11173*Q11173</f>
        <v>0</v>
      </c>
      <c r="S11173" s="519"/>
      <c r="T11173" s="760">
        <f>$A11173*S11173*$T$1</f>
        <v>0</v>
      </c>
      <c r="AR11173" s="758"/>
      <c r="AS11173" s="753"/>
    </row>
    <row r="11174" spans="1:45" s="520" customFormat="1" ht="12.6" thickBot="1">
      <c r="A11174" s="761" t="s">
        <v>145</v>
      </c>
      <c r="B11174" s="762">
        <f>(R11173+T11173)</f>
        <v>0</v>
      </c>
      <c r="C11174" s="763"/>
      <c r="D11174" s="763"/>
      <c r="E11174" s="763"/>
      <c r="F11174" s="764"/>
      <c r="G11174" s="763" t="s">
        <v>146</v>
      </c>
      <c r="H11174" s="763"/>
      <c r="I11174" s="765"/>
      <c r="J11174" s="763"/>
      <c r="K11174" s="763" t="s">
        <v>5</v>
      </c>
      <c r="L11174" s="766" t="s">
        <v>143</v>
      </c>
      <c r="M11174" s="766"/>
      <c r="N11174" s="766"/>
      <c r="O11174" s="766"/>
      <c r="P11174" s="766"/>
      <c r="Q11174" s="767"/>
      <c r="R11174" s="768">
        <f>SUM(R11171:R11173)</f>
        <v>130.94999999999999</v>
      </c>
      <c r="S11174" s="763"/>
      <c r="T11174" s="768">
        <f>SUM(T11171:T11173)</f>
        <v>0</v>
      </c>
      <c r="U11174" s="531"/>
      <c r="V11174" s="531"/>
      <c r="W11174" s="531"/>
      <c r="X11174" s="531"/>
      <c r="Y11174" s="531"/>
      <c r="Z11174" s="531"/>
      <c r="AA11174" s="531"/>
      <c r="AB11174" s="531"/>
      <c r="AC11174" s="531"/>
      <c r="AD11174" s="531"/>
      <c r="AE11174" s="531"/>
      <c r="AF11174" s="531"/>
      <c r="AG11174" s="531"/>
      <c r="AH11174" s="531"/>
      <c r="AI11174" s="531"/>
      <c r="AJ11174" s="531"/>
      <c r="AK11174" s="531"/>
      <c r="AL11174" s="531"/>
      <c r="AM11174" s="531"/>
      <c r="AN11174" s="531"/>
      <c r="AO11174" s="531"/>
      <c r="AR11174" s="761" t="s">
        <v>145</v>
      </c>
      <c r="AS11174" s="764"/>
    </row>
    <row r="11175" spans="1:45" s="520" customFormat="1" ht="12" thickTop="1">
      <c r="A11175" s="51"/>
      <c r="B11175" s="41"/>
      <c r="C11175" s="51"/>
      <c r="E11175" s="42" t="s">
        <v>138</v>
      </c>
      <c r="F11175" s="42" t="s">
        <v>139</v>
      </c>
      <c r="G11175" s="51"/>
      <c r="H11175" s="51"/>
      <c r="I11175" s="51"/>
      <c r="J11175" s="51"/>
      <c r="K11175" s="51" t="s">
        <v>140</v>
      </c>
      <c r="L11175" s="51"/>
      <c r="M11175" s="51"/>
      <c r="N11175" s="51"/>
      <c r="O11175" s="52"/>
      <c r="P11175" s="51"/>
      <c r="Q11175" s="51"/>
      <c r="R11175" s="51"/>
      <c r="S11175" s="51"/>
      <c r="T11175" s="41"/>
      <c r="AG11175" s="521" t="s">
        <v>268</v>
      </c>
      <c r="AH11175" s="521" t="s">
        <v>269</v>
      </c>
      <c r="AI11175" s="521" t="s">
        <v>270</v>
      </c>
      <c r="AJ11175" s="521" t="s">
        <v>271</v>
      </c>
      <c r="AK11175" s="521" t="s">
        <v>272</v>
      </c>
      <c r="AM11175" s="745" t="s">
        <v>281</v>
      </c>
      <c r="AN11175" s="746" t="s">
        <v>282</v>
      </c>
      <c r="AO11175" s="522" t="s">
        <v>278</v>
      </c>
      <c r="AR11175" s="51"/>
      <c r="AS11175" s="42" t="s">
        <v>139</v>
      </c>
    </row>
    <row r="11176" spans="1:45" s="520" customFormat="1" ht="12" customHeight="1">
      <c r="A11176" s="747">
        <v>1</v>
      </c>
      <c r="B11176" s="523" t="s">
        <v>329</v>
      </c>
      <c r="C11176" s="748"/>
      <c r="D11176" s="749" t="s">
        <v>2561</v>
      </c>
      <c r="E11176" s="1145">
        <f>IF(AND($A11176=0,$A$1="DIF"),0, ROUND(ROUND(($R11180*$S$3+($T11180*$T$3))/$A11176,2)*$C$3,2))</f>
        <v>98.54</v>
      </c>
      <c r="F11176" s="1146">
        <f>ROUND($A11176*$E11176,2)</f>
        <v>98.54</v>
      </c>
      <c r="G11176" s="752" t="s">
        <v>142</v>
      </c>
      <c r="H11176" s="753"/>
      <c r="I11176" s="754"/>
      <c r="J11176" s="753"/>
      <c r="K11176" s="753" t="s">
        <v>5</v>
      </c>
      <c r="L11176" s="755" t="s">
        <v>143</v>
      </c>
      <c r="M11176" s="755"/>
      <c r="N11176" s="755"/>
      <c r="O11176" s="755"/>
      <c r="P11176" s="755"/>
      <c r="Q11176" s="51"/>
      <c r="T11176" s="1150" t="str">
        <f>IF(AND($R11180=0,$T11180=0),"0.00","mu: "&amp; ROUND(F11176/$C$3/($R11180+$T11180*$D$9),2))</f>
        <v>mu: 1.13</v>
      </c>
      <c r="W11176" s="524"/>
      <c r="AG11176" s="1147">
        <f>IF($E11176=0,0,ROUND($R11180*$S$3*$C$3/$A11176,2))</f>
        <v>98.54</v>
      </c>
      <c r="AH11176" s="1147">
        <f>$AG11176*$A11176</f>
        <v>98.54</v>
      </c>
      <c r="AI11176" s="1148">
        <f>$E11176-$AG11176</f>
        <v>0</v>
      </c>
      <c r="AJ11176" s="1148">
        <f>$A11176*$AI11176</f>
        <v>0</v>
      </c>
      <c r="AK11176" s="1149">
        <f>ROUND(($AG11176+$AI11176)*$A11176,2)</f>
        <v>98.54</v>
      </c>
      <c r="AM11176" s="527">
        <f>ROUND(R11180,2)</f>
        <v>87.3</v>
      </c>
      <c r="AN11176" s="528">
        <f>ROUND(T11180,2)</f>
        <v>0</v>
      </c>
      <c r="AO11176" s="529">
        <f>ROUND(AM11176+AN11176,2)*A11176</f>
        <v>87.3</v>
      </c>
      <c r="AR11176" s="747">
        <v>1</v>
      </c>
      <c r="AS11176" s="1146">
        <v>107.23</v>
      </c>
    </row>
    <row r="11177" spans="1:45" s="520" customFormat="1" ht="13.2">
      <c r="A11177" s="748"/>
      <c r="B11177"/>
      <c r="C11177" s="748"/>
      <c r="D11177" s="749" t="s">
        <v>2219</v>
      </c>
      <c r="F11177" s="753"/>
      <c r="G11177" s="3"/>
      <c r="H11177" s="753"/>
      <c r="I11177" s="754"/>
      <c r="J11177" s="753"/>
      <c r="K11177" s="753" t="s">
        <v>144</v>
      </c>
      <c r="L11177" s="753"/>
      <c r="M11177" s="753"/>
      <c r="N11177" s="753"/>
      <c r="O11177" s="753"/>
      <c r="P11177" s="753"/>
      <c r="Q11177" s="51"/>
      <c r="R11177" s="530"/>
      <c r="S11177" s="757"/>
      <c r="T11177" s="753"/>
      <c r="AR11177" s="748"/>
      <c r="AS11177" s="753"/>
    </row>
    <row r="11178" spans="1:45" s="901" customFormat="1" ht="13.2">
      <c r="A11178" s="903">
        <v>1</v>
      </c>
      <c r="B11178" s="904" t="s">
        <v>863</v>
      </c>
      <c r="C11178" s="904"/>
      <c r="D11178" s="904" t="s">
        <v>2594</v>
      </c>
      <c r="E11178" s="904"/>
      <c r="F11178" s="1153" t="s">
        <v>4141</v>
      </c>
      <c r="G11178" s="905" t="s">
        <v>2595</v>
      </c>
      <c r="H11178" s="902">
        <v>960</v>
      </c>
      <c r="I11178" s="904" t="s">
        <v>2596</v>
      </c>
      <c r="J11178" s="904"/>
      <c r="K11178" s="904"/>
      <c r="L11178" s="904"/>
      <c r="M11178" s="904"/>
      <c r="N11178" s="904"/>
      <c r="O11178" s="902">
        <v>4</v>
      </c>
      <c r="P11178" s="906">
        <v>38274</v>
      </c>
      <c r="Q11178" s="1415">
        <f>100*0.873</f>
        <v>87.3</v>
      </c>
      <c r="R11178" s="908">
        <f>$A11178*Q11178</f>
        <v>87.3</v>
      </c>
      <c r="S11178" s="907"/>
      <c r="T11178" s="909">
        <f>$A11178*S11178*$T$1</f>
        <v>0</v>
      </c>
      <c r="AR11178" s="903">
        <v>1</v>
      </c>
      <c r="AS11178" s="1153" t="s">
        <v>3507</v>
      </c>
    </row>
    <row r="11179" spans="1:45" s="520" customFormat="1" ht="12">
      <c r="A11179" s="758"/>
      <c r="B11179" s="758"/>
      <c r="C11179" s="758"/>
      <c r="D11179" s="758"/>
      <c r="E11179" s="758"/>
      <c r="F11179" s="753"/>
      <c r="G11179" s="758"/>
      <c r="H11179" s="758"/>
      <c r="I11179" s="519"/>
      <c r="J11179" s="758"/>
      <c r="K11179" s="758"/>
      <c r="L11179" s="758"/>
      <c r="M11179" s="758"/>
      <c r="N11179" s="758"/>
      <c r="O11179" s="758"/>
      <c r="P11179" s="758"/>
      <c r="Q11179" s="519"/>
      <c r="R11179" s="759">
        <f>$A11179*Q11179</f>
        <v>0</v>
      </c>
      <c r="S11179" s="519"/>
      <c r="T11179" s="760">
        <f>$A11179*S11179*$T$1</f>
        <v>0</v>
      </c>
      <c r="AR11179" s="758"/>
      <c r="AS11179" s="753"/>
    </row>
    <row r="11180" spans="1:45" s="520" customFormat="1" ht="12.6" thickBot="1">
      <c r="A11180" s="761" t="s">
        <v>145</v>
      </c>
      <c r="B11180" s="762">
        <f>(R11179+T11179)</f>
        <v>0</v>
      </c>
      <c r="C11180" s="763"/>
      <c r="D11180" s="763"/>
      <c r="E11180" s="763"/>
      <c r="F11180" s="764"/>
      <c r="G11180" s="763" t="s">
        <v>146</v>
      </c>
      <c r="H11180" s="763"/>
      <c r="I11180" s="765"/>
      <c r="J11180" s="763"/>
      <c r="K11180" s="763" t="s">
        <v>5</v>
      </c>
      <c r="L11180" s="766" t="s">
        <v>143</v>
      </c>
      <c r="M11180" s="766"/>
      <c r="N11180" s="766"/>
      <c r="O11180" s="766"/>
      <c r="P11180" s="766"/>
      <c r="Q11180" s="767"/>
      <c r="R11180" s="768">
        <f>SUM(R11177:R11179)</f>
        <v>87.3</v>
      </c>
      <c r="S11180" s="763"/>
      <c r="T11180" s="768">
        <f>SUM(T11177:T11179)</f>
        <v>0</v>
      </c>
      <c r="U11180" s="531"/>
      <c r="V11180" s="531"/>
      <c r="W11180" s="531"/>
      <c r="X11180" s="531"/>
      <c r="Y11180" s="531"/>
      <c r="Z11180" s="531"/>
      <c r="AA11180" s="531"/>
      <c r="AB11180" s="531"/>
      <c r="AC11180" s="531"/>
      <c r="AD11180" s="531"/>
      <c r="AE11180" s="531"/>
      <c r="AF11180" s="531"/>
      <c r="AG11180" s="531"/>
      <c r="AH11180" s="531"/>
      <c r="AI11180" s="531"/>
      <c r="AJ11180" s="531"/>
      <c r="AK11180" s="531"/>
      <c r="AL11180" s="531"/>
      <c r="AM11180" s="531"/>
      <c r="AN11180" s="531"/>
      <c r="AO11180" s="531"/>
      <c r="AR11180" s="761" t="s">
        <v>145</v>
      </c>
      <c r="AS11180" s="764"/>
    </row>
    <row r="11181" spans="1:45" s="520" customFormat="1" ht="12" thickTop="1">
      <c r="A11181" s="51"/>
      <c r="B11181" s="41"/>
      <c r="C11181" s="51"/>
      <c r="E11181" s="42" t="s">
        <v>138</v>
      </c>
      <c r="F11181" s="42" t="s">
        <v>139</v>
      </c>
      <c r="G11181" s="51"/>
      <c r="H11181" s="51"/>
      <c r="I11181" s="51"/>
      <c r="J11181" s="51"/>
      <c r="K11181" s="51" t="s">
        <v>140</v>
      </c>
      <c r="L11181" s="51"/>
      <c r="M11181" s="51"/>
      <c r="N11181" s="51"/>
      <c r="O11181" s="52"/>
      <c r="P11181" s="51"/>
      <c r="Q11181" s="51"/>
      <c r="R11181" s="51"/>
      <c r="S11181" s="51"/>
      <c r="T11181" s="41"/>
      <c r="AG11181" s="521" t="s">
        <v>268</v>
      </c>
      <c r="AH11181" s="521" t="s">
        <v>269</v>
      </c>
      <c r="AI11181" s="521" t="s">
        <v>270</v>
      </c>
      <c r="AJ11181" s="521" t="s">
        <v>271</v>
      </c>
      <c r="AK11181" s="521" t="s">
        <v>272</v>
      </c>
      <c r="AM11181" s="745" t="s">
        <v>281</v>
      </c>
      <c r="AN11181" s="746" t="s">
        <v>282</v>
      </c>
      <c r="AO11181" s="522" t="s">
        <v>278</v>
      </c>
      <c r="AR11181" s="51"/>
      <c r="AS11181" s="42" t="s">
        <v>139</v>
      </c>
    </row>
    <row r="11182" spans="1:45" s="520" customFormat="1" ht="12" customHeight="1">
      <c r="A11182" s="747">
        <v>2</v>
      </c>
      <c r="B11182" s="523" t="s">
        <v>329</v>
      </c>
      <c r="C11182" s="748"/>
      <c r="D11182" s="749" t="s">
        <v>2562</v>
      </c>
      <c r="E11182" s="1145">
        <f>IF(AND($A11182=0,$A$1="DIF"),0, ROUND(ROUND(($R11186*$S$3+($T11186*$T$3))/$A11182,2)*$C$3,2))</f>
        <v>73.900000000000006</v>
      </c>
      <c r="F11182" s="1146">
        <f>ROUND($A11182*$E11182,2)</f>
        <v>147.80000000000001</v>
      </c>
      <c r="G11182" s="752" t="s">
        <v>142</v>
      </c>
      <c r="H11182" s="753"/>
      <c r="I11182" s="754"/>
      <c r="J11182" s="753"/>
      <c r="K11182" s="753" t="s">
        <v>5</v>
      </c>
      <c r="L11182" s="755" t="s">
        <v>143</v>
      </c>
      <c r="M11182" s="755"/>
      <c r="N11182" s="755"/>
      <c r="O11182" s="755"/>
      <c r="P11182" s="755"/>
      <c r="Q11182" s="51"/>
      <c r="T11182" s="1150" t="str">
        <f>IF(AND($R11186=0,$T11186=0),"0.00","mu: "&amp; ROUND(F11182/$C$3/($R11186+$T11186*$D$9),2))</f>
        <v>mu: 1.13</v>
      </c>
      <c r="W11182" s="524"/>
      <c r="AG11182" s="1147">
        <f>IF($E11182=0,0,ROUND($R11186*$S$3*$C$3/$A11182,2))</f>
        <v>73.900000000000006</v>
      </c>
      <c r="AH11182" s="1147">
        <f>$AG11182*$A11182</f>
        <v>147.80000000000001</v>
      </c>
      <c r="AI11182" s="1148">
        <f>$E11182-$AG11182</f>
        <v>0</v>
      </c>
      <c r="AJ11182" s="1148">
        <f>$A11182*$AI11182</f>
        <v>0</v>
      </c>
      <c r="AK11182" s="1149">
        <f>ROUND(($AG11182+$AI11182)*$A11182,2)</f>
        <v>147.80000000000001</v>
      </c>
      <c r="AM11182" s="527">
        <f>ROUND(R11186,2)</f>
        <v>130.94999999999999</v>
      </c>
      <c r="AN11182" s="528">
        <f>ROUND(T11186,2)</f>
        <v>0</v>
      </c>
      <c r="AO11182" s="529">
        <f>ROUND(AM11182+AN11182,2)*A11182</f>
        <v>261.89999999999998</v>
      </c>
      <c r="AR11182" s="747">
        <v>2</v>
      </c>
      <c r="AS11182" s="1146">
        <v>160.84</v>
      </c>
    </row>
    <row r="11183" spans="1:45" s="520" customFormat="1" ht="13.2">
      <c r="A11183" s="748"/>
      <c r="B11183"/>
      <c r="C11183" s="748"/>
      <c r="D11183" s="749" t="s">
        <v>2220</v>
      </c>
      <c r="F11183" s="753"/>
      <c r="G11183" s="3"/>
      <c r="H11183" s="753"/>
      <c r="I11183" s="754"/>
      <c r="J11183" s="753"/>
      <c r="K11183" s="753" t="s">
        <v>144</v>
      </c>
      <c r="L11183" s="753"/>
      <c r="M11183" s="753"/>
      <c r="N11183" s="753"/>
      <c r="O11183" s="753"/>
      <c r="P11183" s="753"/>
      <c r="Q11183" s="51"/>
      <c r="R11183" s="530"/>
      <c r="S11183" s="757"/>
      <c r="T11183" s="753"/>
      <c r="AR11183" s="748"/>
      <c r="AS11183" s="753"/>
    </row>
    <row r="11184" spans="1:45" s="901" customFormat="1" ht="13.2">
      <c r="A11184" s="903">
        <v>2</v>
      </c>
      <c r="B11184" s="904" t="s">
        <v>863</v>
      </c>
      <c r="C11184" s="904"/>
      <c r="D11184" s="904" t="s">
        <v>2594</v>
      </c>
      <c r="E11184" s="904"/>
      <c r="F11184" s="1153" t="s">
        <v>4141</v>
      </c>
      <c r="G11184" s="905" t="s">
        <v>2595</v>
      </c>
      <c r="H11184" s="902">
        <v>960</v>
      </c>
      <c r="I11184" s="904" t="s">
        <v>2596</v>
      </c>
      <c r="J11184" s="904"/>
      <c r="K11184" s="904"/>
      <c r="L11184" s="904"/>
      <c r="M11184" s="904"/>
      <c r="N11184" s="904"/>
      <c r="O11184" s="902">
        <v>4</v>
      </c>
      <c r="P11184" s="906">
        <v>38274</v>
      </c>
      <c r="Q11184" s="1415">
        <f>75*0.873</f>
        <v>65.474999999999994</v>
      </c>
      <c r="R11184" s="908">
        <f>$A11184*Q11184</f>
        <v>130.94999999999999</v>
      </c>
      <c r="S11184" s="907"/>
      <c r="T11184" s="909">
        <f>$A11184*S11184*$T$1</f>
        <v>0</v>
      </c>
      <c r="AR11184" s="903">
        <v>2</v>
      </c>
      <c r="AS11184" s="1153" t="s">
        <v>3507</v>
      </c>
    </row>
    <row r="11185" spans="1:45" s="520" customFormat="1" ht="12">
      <c r="A11185" s="758"/>
      <c r="B11185" s="758"/>
      <c r="C11185" s="758"/>
      <c r="D11185" s="758"/>
      <c r="E11185" s="758"/>
      <c r="F11185" s="753"/>
      <c r="G11185" s="758"/>
      <c r="H11185" s="758"/>
      <c r="I11185" s="519"/>
      <c r="J11185" s="758"/>
      <c r="K11185" s="758"/>
      <c r="L11185" s="758"/>
      <c r="M11185" s="758"/>
      <c r="N11185" s="758"/>
      <c r="O11185" s="758"/>
      <c r="P11185" s="758"/>
      <c r="Q11185" s="519"/>
      <c r="R11185" s="759">
        <f>$A11185*Q11185</f>
        <v>0</v>
      </c>
      <c r="S11185" s="519"/>
      <c r="T11185" s="760">
        <f>$A11185*S11185*$T$1</f>
        <v>0</v>
      </c>
      <c r="AR11185" s="758"/>
      <c r="AS11185" s="753"/>
    </row>
    <row r="11186" spans="1:45" s="520" customFormat="1" ht="12.6" thickBot="1">
      <c r="A11186" s="761" t="s">
        <v>145</v>
      </c>
      <c r="B11186" s="762">
        <f>(R11185+T11185)</f>
        <v>0</v>
      </c>
      <c r="C11186" s="763"/>
      <c r="D11186" s="763"/>
      <c r="E11186" s="763"/>
      <c r="F11186" s="764"/>
      <c r="G11186" s="763" t="s">
        <v>146</v>
      </c>
      <c r="H11186" s="763"/>
      <c r="I11186" s="765"/>
      <c r="J11186" s="763"/>
      <c r="K11186" s="763" t="s">
        <v>5</v>
      </c>
      <c r="L11186" s="766" t="s">
        <v>143</v>
      </c>
      <c r="M11186" s="766"/>
      <c r="N11186" s="766"/>
      <c r="O11186" s="766"/>
      <c r="P11186" s="766"/>
      <c r="Q11186" s="767"/>
      <c r="R11186" s="768">
        <f>SUM(R11183:R11185)</f>
        <v>130.94999999999999</v>
      </c>
      <c r="S11186" s="763"/>
      <c r="T11186" s="768">
        <f>SUM(T11183:T11185)</f>
        <v>0</v>
      </c>
      <c r="U11186" s="531"/>
      <c r="V11186" s="531"/>
      <c r="W11186" s="531"/>
      <c r="X11186" s="531"/>
      <c r="Y11186" s="531"/>
      <c r="Z11186" s="531"/>
      <c r="AA11186" s="531"/>
      <c r="AB11186" s="531"/>
      <c r="AC11186" s="531"/>
      <c r="AD11186" s="531"/>
      <c r="AE11186" s="531"/>
      <c r="AF11186" s="531"/>
      <c r="AG11186" s="531"/>
      <c r="AH11186" s="531"/>
      <c r="AI11186" s="531"/>
      <c r="AJ11186" s="531"/>
      <c r="AK11186" s="531"/>
      <c r="AL11186" s="531"/>
      <c r="AM11186" s="531"/>
      <c r="AN11186" s="531"/>
      <c r="AO11186" s="531"/>
      <c r="AR11186" s="761" t="s">
        <v>145</v>
      </c>
      <c r="AS11186" s="764"/>
    </row>
    <row r="11187" spans="1:45" s="520" customFormat="1" ht="12" thickTop="1">
      <c r="A11187" s="51"/>
      <c r="B11187" s="41"/>
      <c r="C11187" s="51"/>
      <c r="E11187" s="42" t="s">
        <v>138</v>
      </c>
      <c r="F11187" s="42" t="s">
        <v>139</v>
      </c>
      <c r="G11187" s="51"/>
      <c r="H11187" s="51"/>
      <c r="I11187" s="51"/>
      <c r="J11187" s="51"/>
      <c r="K11187" s="51" t="s">
        <v>140</v>
      </c>
      <c r="L11187" s="51"/>
      <c r="M11187" s="51"/>
      <c r="N11187" s="51"/>
      <c r="O11187" s="52"/>
      <c r="P11187" s="51"/>
      <c r="Q11187" s="51"/>
      <c r="R11187" s="51"/>
      <c r="S11187" s="51"/>
      <c r="T11187" s="41"/>
      <c r="AG11187" s="521" t="s">
        <v>268</v>
      </c>
      <c r="AH11187" s="521" t="s">
        <v>269</v>
      </c>
      <c r="AI11187" s="521" t="s">
        <v>270</v>
      </c>
      <c r="AJ11187" s="521" t="s">
        <v>271</v>
      </c>
      <c r="AK11187" s="521" t="s">
        <v>272</v>
      </c>
      <c r="AM11187" s="745" t="s">
        <v>281</v>
      </c>
      <c r="AN11187" s="746" t="s">
        <v>282</v>
      </c>
      <c r="AO11187" s="522" t="s">
        <v>278</v>
      </c>
      <c r="AR11187" s="51"/>
      <c r="AS11187" s="42" t="s">
        <v>139</v>
      </c>
    </row>
    <row r="11188" spans="1:45" s="520" customFormat="1" ht="12" customHeight="1">
      <c r="A11188" s="747">
        <v>2</v>
      </c>
      <c r="B11188" s="523" t="s">
        <v>329</v>
      </c>
      <c r="C11188" s="748"/>
      <c r="D11188" s="749" t="s">
        <v>2563</v>
      </c>
      <c r="E11188" s="1145">
        <f>IF(AND($A11188=0,$A$1="DIF"),0, ROUND(ROUND(($R11192*$S$3+($T11192*$T$3))/$A11188,2)*$C$3,2))</f>
        <v>0</v>
      </c>
      <c r="F11188" s="1146">
        <f>ROUND($A11188*$E11188,2)</f>
        <v>0</v>
      </c>
      <c r="G11188" s="752" t="s">
        <v>142</v>
      </c>
      <c r="H11188" s="753"/>
      <c r="I11188" s="754"/>
      <c r="J11188" s="753"/>
      <c r="K11188" s="753" t="s">
        <v>5</v>
      </c>
      <c r="L11188" s="755" t="s">
        <v>143</v>
      </c>
      <c r="M11188" s="755"/>
      <c r="N11188" s="755"/>
      <c r="O11188" s="755"/>
      <c r="P11188" s="755"/>
      <c r="Q11188" s="1058" t="s">
        <v>3613</v>
      </c>
      <c r="T11188" s="1150" t="str">
        <f>IF(AND($R11192=0,$T11192=0),"0.00","mu: "&amp; ROUND(F11188/$C$3/($R11192+$T11192*$D$9),2))</f>
        <v>0.00</v>
      </c>
      <c r="W11188" s="524"/>
      <c r="AG11188" s="1147">
        <f>IF($E11188=0,0,ROUND($R11192*$S$3*$C$3/$A11188,2))</f>
        <v>0</v>
      </c>
      <c r="AH11188" s="1147">
        <f>$AG11188*$A11188</f>
        <v>0</v>
      </c>
      <c r="AI11188" s="1148">
        <f>$E11188-$AG11188</f>
        <v>0</v>
      </c>
      <c r="AJ11188" s="1148">
        <f>$A11188*$AI11188</f>
        <v>0</v>
      </c>
      <c r="AK11188" s="1149">
        <f>ROUND(($AG11188+$AI11188)*$A11188,2)</f>
        <v>0</v>
      </c>
      <c r="AM11188" s="527">
        <f>ROUND(R11192,2)</f>
        <v>0</v>
      </c>
      <c r="AN11188" s="528">
        <f>ROUND(T11192,2)</f>
        <v>0</v>
      </c>
      <c r="AO11188" s="529">
        <f>ROUND(AM11188+AN11188,2)*A11188</f>
        <v>0</v>
      </c>
      <c r="AR11188" s="747">
        <v>2</v>
      </c>
      <c r="AS11188" s="1146">
        <v>0</v>
      </c>
    </row>
    <row r="11189" spans="1:45" s="520" customFormat="1" ht="13.2">
      <c r="A11189" s="748"/>
      <c r="B11189"/>
      <c r="C11189" s="748"/>
      <c r="D11189" s="749" t="s">
        <v>2221</v>
      </c>
      <c r="F11189" s="753"/>
      <c r="G11189" s="3"/>
      <c r="H11189" s="753"/>
      <c r="I11189" s="754"/>
      <c r="J11189" s="753"/>
      <c r="K11189" s="753" t="s">
        <v>144</v>
      </c>
      <c r="L11189" s="753"/>
      <c r="M11189" s="753"/>
      <c r="N11189" s="753"/>
      <c r="O11189" s="753"/>
      <c r="P11189" s="753"/>
      <c r="Q11189" s="51"/>
      <c r="R11189" s="530"/>
      <c r="S11189" s="757"/>
      <c r="T11189" s="753"/>
      <c r="AR11189" s="748"/>
      <c r="AS11189" s="753"/>
    </row>
    <row r="11190" spans="1:45" s="901" customFormat="1" ht="13.2">
      <c r="A11190" s="903">
        <v>2</v>
      </c>
      <c r="B11190" s="904" t="s">
        <v>863</v>
      </c>
      <c r="C11190" s="904"/>
      <c r="D11190" s="904" t="s">
        <v>2594</v>
      </c>
      <c r="E11190" s="904"/>
      <c r="F11190" s="1153" t="s">
        <v>4141</v>
      </c>
      <c r="G11190" s="905" t="s">
        <v>2595</v>
      </c>
      <c r="H11190" s="902">
        <v>960</v>
      </c>
      <c r="I11190" s="904" t="s">
        <v>2596</v>
      </c>
      <c r="J11190" s="904"/>
      <c r="K11190" s="904"/>
      <c r="L11190" s="904"/>
      <c r="M11190" s="904"/>
      <c r="N11190" s="904"/>
      <c r="O11190" s="902">
        <v>4</v>
      </c>
      <c r="P11190" s="906">
        <v>38274</v>
      </c>
      <c r="Q11190" s="1171"/>
      <c r="R11190" s="908">
        <f>$A11190*Q11190</f>
        <v>0</v>
      </c>
      <c r="S11190" s="907"/>
      <c r="T11190" s="909">
        <f>$A11190*S11190*$T$1</f>
        <v>0</v>
      </c>
      <c r="U11190" s="901" t="s">
        <v>2764</v>
      </c>
      <c r="AR11190" s="903">
        <v>2</v>
      </c>
      <c r="AS11190" s="1153" t="s">
        <v>3507</v>
      </c>
    </row>
    <row r="11191" spans="1:45" s="520" customFormat="1" ht="12">
      <c r="A11191" s="758"/>
      <c r="B11191" s="758"/>
      <c r="C11191" s="758"/>
      <c r="D11191" s="758"/>
      <c r="E11191" s="758"/>
      <c r="F11191" s="753"/>
      <c r="G11191" s="758"/>
      <c r="H11191" s="758"/>
      <c r="I11191" s="519"/>
      <c r="J11191" s="758"/>
      <c r="K11191" s="758"/>
      <c r="L11191" s="758"/>
      <c r="M11191" s="758"/>
      <c r="N11191" s="758"/>
      <c r="O11191" s="758"/>
      <c r="P11191" s="758"/>
      <c r="Q11191" s="519"/>
      <c r="R11191" s="759">
        <f>$A11191*Q11191</f>
        <v>0</v>
      </c>
      <c r="S11191" s="519"/>
      <c r="T11191" s="760">
        <f>$A11191*S11191*$T$1</f>
        <v>0</v>
      </c>
      <c r="AR11191" s="758"/>
      <c r="AS11191" s="753"/>
    </row>
    <row r="11192" spans="1:45" s="520" customFormat="1" ht="12.6" thickBot="1">
      <c r="A11192" s="761" t="s">
        <v>145</v>
      </c>
      <c r="B11192" s="762">
        <f>(R11191+T11191)</f>
        <v>0</v>
      </c>
      <c r="C11192" s="763"/>
      <c r="D11192" s="763"/>
      <c r="E11192" s="763"/>
      <c r="F11192" s="764"/>
      <c r="G11192" s="763" t="s">
        <v>146</v>
      </c>
      <c r="H11192" s="763"/>
      <c r="I11192" s="765"/>
      <c r="J11192" s="763"/>
      <c r="K11192" s="763" t="s">
        <v>5</v>
      </c>
      <c r="L11192" s="766" t="s">
        <v>143</v>
      </c>
      <c r="M11192" s="766"/>
      <c r="N11192" s="766"/>
      <c r="O11192" s="766"/>
      <c r="P11192" s="766"/>
      <c r="Q11192" s="767"/>
      <c r="R11192" s="768">
        <f>SUM(R11189:R11191)</f>
        <v>0</v>
      </c>
      <c r="S11192" s="763"/>
      <c r="T11192" s="768">
        <f>SUM(T11189:T11191)</f>
        <v>0</v>
      </c>
      <c r="U11192" s="531"/>
      <c r="V11192" s="531"/>
      <c r="W11192" s="531"/>
      <c r="X11192" s="531"/>
      <c r="Y11192" s="531"/>
      <c r="Z11192" s="531"/>
      <c r="AA11192" s="531"/>
      <c r="AB11192" s="531"/>
      <c r="AC11192" s="531"/>
      <c r="AD11192" s="531"/>
      <c r="AE11192" s="531"/>
      <c r="AF11192" s="531"/>
      <c r="AG11192" s="531"/>
      <c r="AH11192" s="531"/>
      <c r="AI11192" s="531"/>
      <c r="AJ11192" s="531"/>
      <c r="AK11192" s="531"/>
      <c r="AL11192" s="531"/>
      <c r="AM11192" s="531"/>
      <c r="AN11192" s="531"/>
      <c r="AO11192" s="531"/>
      <c r="AR11192" s="761" t="s">
        <v>145</v>
      </c>
      <c r="AS11192" s="764"/>
    </row>
    <row r="11193" spans="1:45" s="520" customFormat="1" thickTop="1">
      <c r="A11193" s="51"/>
      <c r="B11193" s="51"/>
      <c r="C11193" s="3"/>
      <c r="D11193" s="3"/>
      <c r="E11193" s="51"/>
      <c r="F11193" s="51"/>
      <c r="G11193" s="51"/>
      <c r="H11193" s="51"/>
      <c r="I11193" s="51"/>
      <c r="J11193" s="51"/>
      <c r="K11193" s="51" t="s">
        <v>134</v>
      </c>
      <c r="L11193" s="51"/>
      <c r="M11193" s="51"/>
      <c r="N11193" s="51"/>
      <c r="O11193" s="52"/>
      <c r="P11193" s="51"/>
      <c r="Q11193" s="51"/>
      <c r="R11193" s="51"/>
      <c r="S11193" s="51"/>
      <c r="T11193" s="51"/>
      <c r="AR11193" s="51"/>
      <c r="AS11193" s="51"/>
    </row>
    <row r="11194" spans="1:45" s="520" customFormat="1" ht="12">
      <c r="A11194" s="51"/>
      <c r="B11194" s="51"/>
      <c r="C11194" s="51" t="s">
        <v>135</v>
      </c>
      <c r="D11194" s="37"/>
      <c r="E11194" s="51"/>
      <c r="F11194" s="51"/>
      <c r="G11194" s="51"/>
      <c r="H11194" s="51"/>
      <c r="I11194" s="51"/>
      <c r="J11194" s="51"/>
      <c r="K11194" s="51"/>
      <c r="L11194" s="51"/>
      <c r="M11194" s="51"/>
      <c r="N11194" s="51"/>
      <c r="O11194" s="52"/>
      <c r="P11194" s="51"/>
      <c r="Q11194" s="51"/>
      <c r="R11194" s="51"/>
      <c r="S11194" s="51"/>
      <c r="T11194" s="51"/>
      <c r="AR11194" s="51"/>
      <c r="AS11194" s="51"/>
    </row>
    <row r="11195" spans="1:45" s="520" customFormat="1" ht="12">
      <c r="A11195" s="51"/>
      <c r="B11195" s="51"/>
      <c r="C11195" s="51"/>
      <c r="D11195" s="37" t="s">
        <v>368</v>
      </c>
      <c r="E11195" s="51"/>
      <c r="F11195" s="51"/>
      <c r="G11195" s="51"/>
      <c r="H11195" s="51"/>
      <c r="I11195" s="51"/>
      <c r="J11195" s="51"/>
      <c r="K11195" s="51"/>
      <c r="L11195" s="51"/>
      <c r="M11195" s="51"/>
      <c r="N11195" s="51"/>
      <c r="O11195" s="52"/>
      <c r="P11195" s="51"/>
      <c r="Q11195" s="51"/>
      <c r="R11195" s="51"/>
      <c r="S11195" s="38"/>
      <c r="T11195" s="38"/>
      <c r="AR11195" s="51"/>
      <c r="AS11195" s="51"/>
    </row>
    <row r="11196" spans="1:45" s="3" customFormat="1" thickBot="1">
      <c r="A11196" s="531"/>
      <c r="O11196" s="107"/>
      <c r="AR11196" s="531"/>
    </row>
    <row r="11197" spans="1:45" s="520" customFormat="1" thickTop="1">
      <c r="A11197" s="51"/>
      <c r="B11197" s="51"/>
      <c r="C11197" s="3"/>
      <c r="D11197" s="3"/>
      <c r="E11197" s="51"/>
      <c r="F11197" s="51"/>
      <c r="G11197" s="51"/>
      <c r="H11197" s="51"/>
      <c r="I11197" s="51"/>
      <c r="J11197" s="51"/>
      <c r="K11197" s="51" t="s">
        <v>134</v>
      </c>
      <c r="L11197" s="51"/>
      <c r="M11197" s="51"/>
      <c r="N11197" s="51"/>
      <c r="O11197" s="52"/>
      <c r="P11197" s="51"/>
      <c r="Q11197" s="51"/>
      <c r="R11197" s="51"/>
      <c r="S11197" s="51"/>
      <c r="T11197" s="51"/>
      <c r="AR11197" s="51"/>
      <c r="AS11197" s="51"/>
    </row>
    <row r="11198" spans="1:45" s="520" customFormat="1" ht="12">
      <c r="A11198" s="51"/>
      <c r="B11198" s="51"/>
      <c r="C11198" s="51" t="s">
        <v>135</v>
      </c>
      <c r="D11198" s="37"/>
      <c r="E11198" s="51"/>
      <c r="F11198" s="51"/>
      <c r="G11198" s="51"/>
      <c r="H11198" s="51"/>
      <c r="I11198" s="51"/>
      <c r="J11198" s="51"/>
      <c r="K11198" s="51"/>
      <c r="L11198" s="51"/>
      <c r="M11198" s="51"/>
      <c r="N11198" s="51"/>
      <c r="O11198" s="52"/>
      <c r="P11198" s="51"/>
      <c r="Q11198" s="51"/>
      <c r="R11198" s="51"/>
      <c r="S11198" s="51"/>
      <c r="T11198" s="51"/>
      <c r="AR11198" s="51"/>
      <c r="AS11198" s="51"/>
    </row>
    <row r="11199" spans="1:45" s="520" customFormat="1" ht="39.9" customHeight="1">
      <c r="A11199" s="51"/>
      <c r="B11199" s="51"/>
      <c r="C11199" s="51"/>
      <c r="D11199" s="1453" t="s">
        <v>2541</v>
      </c>
      <c r="E11199" s="1452"/>
      <c r="F11199" s="1452"/>
      <c r="G11199" s="1452"/>
      <c r="H11199" s="1452"/>
      <c r="I11199" s="1452"/>
      <c r="J11199" s="1452"/>
      <c r="K11199" s="1452"/>
      <c r="L11199" s="1452"/>
      <c r="M11199" s="1452"/>
      <c r="N11199" s="1452"/>
      <c r="O11199" s="1452"/>
      <c r="P11199" s="1452"/>
      <c r="Q11199" s="1452"/>
      <c r="R11199" s="1452"/>
      <c r="S11199" s="1452"/>
      <c r="T11199" s="1452"/>
      <c r="AR11199" s="51"/>
    </row>
    <row r="11200" spans="1:45" s="3" customFormat="1" thickBot="1">
      <c r="A11200" s="531"/>
      <c r="O11200" s="107"/>
      <c r="AR11200" s="531"/>
    </row>
    <row r="11201" spans="1:45" s="520" customFormat="1" ht="12" thickTop="1">
      <c r="A11201" s="51"/>
      <c r="B11201" s="41"/>
      <c r="C11201" s="51"/>
      <c r="E11201" s="42" t="s">
        <v>138</v>
      </c>
      <c r="F11201" s="42" t="s">
        <v>139</v>
      </c>
      <c r="G11201" s="51"/>
      <c r="H11201" s="51"/>
      <c r="I11201" s="51"/>
      <c r="J11201" s="51"/>
      <c r="K11201" s="51" t="s">
        <v>140</v>
      </c>
      <c r="L11201" s="51"/>
      <c r="M11201" s="51"/>
      <c r="N11201" s="51"/>
      <c r="O11201" s="52"/>
      <c r="P11201" s="51"/>
      <c r="Q11201" s="51"/>
      <c r="R11201" s="51"/>
      <c r="S11201" s="51"/>
      <c r="T11201" s="41"/>
      <c r="AG11201" s="521" t="s">
        <v>268</v>
      </c>
      <c r="AH11201" s="521" t="s">
        <v>269</v>
      </c>
      <c r="AI11201" s="521" t="s">
        <v>270</v>
      </c>
      <c r="AJ11201" s="521" t="s">
        <v>271</v>
      </c>
      <c r="AK11201" s="521" t="s">
        <v>272</v>
      </c>
      <c r="AM11201" s="745" t="s">
        <v>281</v>
      </c>
      <c r="AN11201" s="746" t="s">
        <v>282</v>
      </c>
      <c r="AO11201" s="522" t="s">
        <v>278</v>
      </c>
      <c r="AR11201" s="51"/>
      <c r="AS11201" s="42" t="s">
        <v>139</v>
      </c>
    </row>
    <row r="11202" spans="1:45" s="520" customFormat="1" ht="12" customHeight="1">
      <c r="A11202" s="747">
        <v>1</v>
      </c>
      <c r="B11202" s="523" t="s">
        <v>329</v>
      </c>
      <c r="C11202" s="748"/>
      <c r="D11202" s="749" t="s">
        <v>2564</v>
      </c>
      <c r="E11202" s="750">
        <f ca="1">IF(AND($A11202=0,$A$1="DIF"),0, ROUND(ROUND(($R11207*$S$2+($T11207*$T$2))/A11202,2)*$C$2,2))</f>
        <v>18.48</v>
      </c>
      <c r="F11202" s="751">
        <f ca="1">ROUND($A11202*$E11202,2)</f>
        <v>18.48</v>
      </c>
      <c r="G11202" s="752" t="s">
        <v>142</v>
      </c>
      <c r="H11202" s="753"/>
      <c r="I11202" s="754"/>
      <c r="J11202" s="753"/>
      <c r="K11202" s="753" t="s">
        <v>3</v>
      </c>
      <c r="L11202" s="755" t="s">
        <v>143</v>
      </c>
      <c r="M11202" s="755"/>
      <c r="N11202" s="755"/>
      <c r="O11202" s="755"/>
      <c r="P11202" s="755"/>
      <c r="Q11202" s="51"/>
      <c r="T11202" s="756" t="str">
        <f ca="1">IF(AND($R11207=0,$T11207=0),"0.00","mu :" &amp; ROUND($F11202/$C$2/($R11207+$T11207*$D$9),2))</f>
        <v>mu :1.23</v>
      </c>
      <c r="W11202" s="524"/>
      <c r="AG11202" s="481">
        <f ca="1">IF($E11202=0,0,ROUND($R11207*$S$2*$C$2/$A11202,2))</f>
        <v>6.65</v>
      </c>
      <c r="AH11202" s="481">
        <f ca="1">$AG11202*$A11202</f>
        <v>6.65</v>
      </c>
      <c r="AI11202" s="525">
        <f ca="1">$E11202-$AG11202</f>
        <v>11.83</v>
      </c>
      <c r="AJ11202" s="525">
        <f ca="1">$A11202*$AI11202</f>
        <v>11.83</v>
      </c>
      <c r="AK11202" s="526">
        <f ca="1">ROUND(($AG11202+$AI11202)*$A11202,2)</f>
        <v>18.48</v>
      </c>
      <c r="AM11202" s="527">
        <f ca="1">ROUND(R11207,2)</f>
        <v>5.4</v>
      </c>
      <c r="AN11202" s="528">
        <f ca="1">ROUND(T11207,2)</f>
        <v>0.35</v>
      </c>
      <c r="AO11202" s="529">
        <f ca="1">ROUND(AM11202+AN11202,2)*A11202</f>
        <v>5.75</v>
      </c>
      <c r="AR11202" s="747">
        <v>1</v>
      </c>
      <c r="AS11202" s="751">
        <v>19.84</v>
      </c>
    </row>
    <row r="11203" spans="1:45" s="520" customFormat="1" ht="13.2">
      <c r="A11203" s="748"/>
      <c r="B11203"/>
      <c r="C11203" s="748"/>
      <c r="D11203" s="749" t="s">
        <v>2214</v>
      </c>
      <c r="F11203" s="753"/>
      <c r="G11203" s="3"/>
      <c r="H11203" s="753"/>
      <c r="I11203" s="754"/>
      <c r="J11203" s="753"/>
      <c r="K11203" s="753" t="s">
        <v>144</v>
      </c>
      <c r="L11203" s="753"/>
      <c r="M11203" s="753"/>
      <c r="N11203" s="753"/>
      <c r="O11203" s="753"/>
      <c r="P11203" s="753"/>
      <c r="Q11203" s="51"/>
      <c r="R11203" s="530"/>
      <c r="S11203" s="757"/>
      <c r="T11203" s="753"/>
      <c r="AR11203" s="748"/>
      <c r="AS11203" s="753"/>
    </row>
    <row r="11204" spans="1:45" s="886" customFormat="1" ht="13.2">
      <c r="A11204"/>
      <c r="B11204" s="910"/>
      <c r="C11204" s="910" t="s">
        <v>2597</v>
      </c>
      <c r="D11204" s="910" t="str">
        <f ca="1">CELL("Address",Elec_Rates!D$1047)</f>
        <v>[E25_0062_Quintano_Foods_Elec_ELV_As_Awarded.xlsx]Elec_Rates!$D$1047</v>
      </c>
      <c r="E11204" s="911"/>
      <c r="F11204" s="911"/>
      <c r="G11204" s="912" t="s">
        <v>2598</v>
      </c>
      <c r="H11204" s="912"/>
      <c r="I11204" s="912"/>
      <c r="J11204" s="912"/>
      <c r="K11204" s="913"/>
      <c r="L11204" s="911"/>
      <c r="M11204" s="911"/>
      <c r="N11204" s="911"/>
      <c r="O11204" s="914"/>
      <c r="P11204" s="911"/>
      <c r="Q11204" s="915"/>
      <c r="R11204" s="916"/>
      <c r="S11204" s="915"/>
      <c r="T11204" s="917"/>
      <c r="U11204" s="918"/>
      <c r="AR11204"/>
      <c r="AS11204" s="911"/>
    </row>
    <row r="11205" spans="1:45" s="886" customFormat="1" ht="11.4">
      <c r="A11205" s="919">
        <v>1</v>
      </c>
      <c r="B11205" s="920">
        <v>1</v>
      </c>
      <c r="C11205" s="920">
        <f>$A11205*$B11205</f>
        <v>1</v>
      </c>
      <c r="D11205" s="921" t="str">
        <f>Elec_Rates!$D$1047</f>
        <v>095# LSZH Conduit points for Bathroom Alarm</v>
      </c>
      <c r="E11205" s="921"/>
      <c r="F11205" s="921" t="s">
        <v>2599</v>
      </c>
      <c r="G11205" s="922" t="s">
        <v>2600</v>
      </c>
      <c r="H11205" s="922"/>
      <c r="I11205" s="922"/>
      <c r="J11205" s="922"/>
      <c r="K11205" s="923"/>
      <c r="L11205" s="918"/>
      <c r="M11205" s="918"/>
      <c r="N11205" s="918"/>
      <c r="O11205" s="924"/>
      <c r="P11205" s="921"/>
      <c r="Q11205" s="925">
        <f ca="1">$B11205*Elec_Rates!$R$1047</f>
        <v>5.4</v>
      </c>
      <c r="R11205" s="916">
        <f ca="1">$A11205*Q11205</f>
        <v>5.4</v>
      </c>
      <c r="S11205" s="925">
        <f ca="1">$B11205*Elec_Rates!$T$1047</f>
        <v>0.35</v>
      </c>
      <c r="T11205" s="917">
        <f ca="1">$A11205*S11205</f>
        <v>0.35</v>
      </c>
      <c r="U11205" s="926"/>
      <c r="AR11205" s="919">
        <v>1</v>
      </c>
      <c r="AS11205" s="921" t="s">
        <v>2599</v>
      </c>
    </row>
    <row r="11206" spans="1:45" s="520" customFormat="1" ht="12">
      <c r="A11206" s="758"/>
      <c r="B11206" s="758"/>
      <c r="C11206" s="758"/>
      <c r="D11206" s="758"/>
      <c r="E11206" s="758"/>
      <c r="F11206" s="753"/>
      <c r="G11206" s="758"/>
      <c r="H11206" s="758"/>
      <c r="I11206" s="519"/>
      <c r="J11206" s="758"/>
      <c r="K11206" s="758"/>
      <c r="L11206" s="758"/>
      <c r="M11206" s="758"/>
      <c r="N11206" s="758"/>
      <c r="O11206" s="758"/>
      <c r="P11206" s="758"/>
      <c r="Q11206" s="519"/>
      <c r="R11206" s="759">
        <f>$A11206*Q11206</f>
        <v>0</v>
      </c>
      <c r="S11206" s="519"/>
      <c r="T11206" s="760">
        <f>$A11206*S11206*$T$1</f>
        <v>0</v>
      </c>
      <c r="AR11206" s="758"/>
      <c r="AS11206" s="753"/>
    </row>
    <row r="11207" spans="1:45" s="520" customFormat="1" ht="12.6" thickBot="1">
      <c r="A11207" s="761" t="s">
        <v>145</v>
      </c>
      <c r="B11207" s="762">
        <f>(R11206+T11206)</f>
        <v>0</v>
      </c>
      <c r="C11207" s="763"/>
      <c r="D11207" s="763"/>
      <c r="E11207" s="763"/>
      <c r="F11207" s="764"/>
      <c r="G11207" s="763" t="s">
        <v>146</v>
      </c>
      <c r="H11207" s="763"/>
      <c r="I11207" s="765"/>
      <c r="J11207" s="763"/>
      <c r="K11207" s="763" t="s">
        <v>3</v>
      </c>
      <c r="L11207" s="766" t="s">
        <v>143</v>
      </c>
      <c r="M11207" s="766"/>
      <c r="N11207" s="766"/>
      <c r="O11207" s="766"/>
      <c r="P11207" s="766"/>
      <c r="Q11207" s="767"/>
      <c r="R11207" s="768">
        <f ca="1">SUM(R11203:R11206)</f>
        <v>5.4</v>
      </c>
      <c r="S11207" s="763"/>
      <c r="T11207" s="768">
        <f ca="1">SUM(T11203:T11206)</f>
        <v>0.35</v>
      </c>
      <c r="U11207" s="531"/>
      <c r="V11207" s="531"/>
      <c r="W11207" s="531"/>
      <c r="X11207" s="531"/>
      <c r="Y11207" s="531"/>
      <c r="Z11207" s="531"/>
      <c r="AA11207" s="531"/>
      <c r="AB11207" s="531"/>
      <c r="AC11207" s="531"/>
      <c r="AD11207" s="531"/>
      <c r="AE11207" s="531"/>
      <c r="AF11207" s="531"/>
      <c r="AG11207" s="531"/>
      <c r="AH11207" s="531"/>
      <c r="AI11207" s="531"/>
      <c r="AJ11207" s="531"/>
      <c r="AK11207" s="531"/>
      <c r="AL11207" s="531"/>
      <c r="AM11207" s="531"/>
      <c r="AN11207" s="531"/>
      <c r="AO11207" s="531"/>
      <c r="AR11207" s="761" t="s">
        <v>145</v>
      </c>
      <c r="AS11207" s="764"/>
    </row>
    <row r="11208" spans="1:45" s="520" customFormat="1" ht="12" thickTop="1">
      <c r="A11208" s="51"/>
      <c r="B11208" s="41"/>
      <c r="C11208" s="51"/>
      <c r="E11208" s="42" t="s">
        <v>138</v>
      </c>
      <c r="F11208" s="42" t="s">
        <v>139</v>
      </c>
      <c r="G11208" s="51"/>
      <c r="H11208" s="51"/>
      <c r="I11208" s="51"/>
      <c r="J11208" s="51"/>
      <c r="K11208" s="51" t="s">
        <v>140</v>
      </c>
      <c r="L11208" s="51"/>
      <c r="M11208" s="51"/>
      <c r="N11208" s="51"/>
      <c r="O11208" s="52"/>
      <c r="P11208" s="51"/>
      <c r="Q11208" s="51"/>
      <c r="R11208" s="51"/>
      <c r="S11208" s="51"/>
      <c r="T11208" s="41"/>
      <c r="AG11208" s="521" t="s">
        <v>268</v>
      </c>
      <c r="AH11208" s="521" t="s">
        <v>269</v>
      </c>
      <c r="AI11208" s="521" t="s">
        <v>270</v>
      </c>
      <c r="AJ11208" s="521" t="s">
        <v>271</v>
      </c>
      <c r="AK11208" s="521" t="s">
        <v>272</v>
      </c>
      <c r="AM11208" s="745" t="s">
        <v>281</v>
      </c>
      <c r="AN11208" s="746" t="s">
        <v>282</v>
      </c>
      <c r="AO11208" s="522" t="s">
        <v>278</v>
      </c>
      <c r="AR11208" s="51"/>
      <c r="AS11208" s="42" t="s">
        <v>139</v>
      </c>
    </row>
    <row r="11209" spans="1:45" s="520" customFormat="1" ht="12" customHeight="1">
      <c r="A11209" s="747">
        <v>1</v>
      </c>
      <c r="B11209" s="523" t="s">
        <v>329</v>
      </c>
      <c r="C11209" s="748"/>
      <c r="D11209" s="749" t="s">
        <v>2565</v>
      </c>
      <c r="E11209" s="750">
        <f ca="1">IF(AND($A11209=0,$A$1="DIF"),0, ROUND(ROUND(($R11214*$S$2+($T11214*$T$2))/A11209,2)*$C$2,2))</f>
        <v>18.48</v>
      </c>
      <c r="F11209" s="751">
        <f ca="1">ROUND($A11209*$E11209,2)</f>
        <v>18.48</v>
      </c>
      <c r="G11209" s="752" t="s">
        <v>142</v>
      </c>
      <c r="H11209" s="753"/>
      <c r="I11209" s="754"/>
      <c r="J11209" s="753"/>
      <c r="K11209" s="753" t="s">
        <v>3</v>
      </c>
      <c r="L11209" s="755" t="s">
        <v>143</v>
      </c>
      <c r="M11209" s="755"/>
      <c r="N11209" s="755"/>
      <c r="O11209" s="755"/>
      <c r="P11209" s="755"/>
      <c r="Q11209" s="51"/>
      <c r="T11209" s="756" t="str">
        <f ca="1">IF(AND($R11214=0,$T11214=0),"0.00","mu :" &amp; ROUND($F11209/$C$2/($R11214+$T11214*$D$9),2))</f>
        <v>mu :1.23</v>
      </c>
      <c r="W11209" s="524"/>
      <c r="AG11209" s="481">
        <f ca="1">IF($E11209=0,0,ROUND($R11214*$S$2*$C$2/$A11209,2))</f>
        <v>6.65</v>
      </c>
      <c r="AH11209" s="481">
        <f ca="1">$AG11209*$A11209</f>
        <v>6.65</v>
      </c>
      <c r="AI11209" s="525">
        <f ca="1">$E11209-$AG11209</f>
        <v>11.83</v>
      </c>
      <c r="AJ11209" s="525">
        <f ca="1">$A11209*$AI11209</f>
        <v>11.83</v>
      </c>
      <c r="AK11209" s="526">
        <f ca="1">ROUND(($AG11209+$AI11209)*$A11209,2)</f>
        <v>18.48</v>
      </c>
      <c r="AM11209" s="527">
        <f ca="1">ROUND(R11214,2)</f>
        <v>5.4</v>
      </c>
      <c r="AN11209" s="528">
        <f ca="1">ROUND(T11214,2)</f>
        <v>0.35</v>
      </c>
      <c r="AO11209" s="529">
        <f ca="1">ROUND(AM11209+AN11209,2)*A11209</f>
        <v>5.75</v>
      </c>
      <c r="AR11209" s="747">
        <v>1</v>
      </c>
      <c r="AS11209" s="751">
        <v>19.84</v>
      </c>
    </row>
    <row r="11210" spans="1:45" s="520" customFormat="1" ht="13.2">
      <c r="A11210" s="748"/>
      <c r="B11210"/>
      <c r="C11210" s="748"/>
      <c r="D11210" s="749" t="s">
        <v>2215</v>
      </c>
      <c r="F11210" s="753"/>
      <c r="G11210" s="3"/>
      <c r="H11210" s="753"/>
      <c r="I11210" s="754"/>
      <c r="J11210" s="753"/>
      <c r="K11210" s="753" t="s">
        <v>144</v>
      </c>
      <c r="L11210" s="753"/>
      <c r="M11210" s="753"/>
      <c r="N11210" s="753"/>
      <c r="O11210" s="753"/>
      <c r="P11210" s="753"/>
      <c r="Q11210" s="51"/>
      <c r="R11210" s="530"/>
      <c r="S11210" s="757"/>
      <c r="T11210" s="753"/>
      <c r="AR11210" s="748"/>
      <c r="AS11210" s="753"/>
    </row>
    <row r="11211" spans="1:45" s="886" customFormat="1" ht="13.2">
      <c r="A11211"/>
      <c r="B11211" s="910"/>
      <c r="C11211" s="910" t="s">
        <v>2597</v>
      </c>
      <c r="D11211" s="910" t="str">
        <f ca="1">CELL("Address",Elec_Rates!D$1047)</f>
        <v>[E25_0062_Quintano_Foods_Elec_ELV_As_Awarded.xlsx]Elec_Rates!$D$1047</v>
      </c>
      <c r="E11211" s="911"/>
      <c r="F11211" s="911"/>
      <c r="G11211" s="912" t="s">
        <v>2598</v>
      </c>
      <c r="H11211" s="912"/>
      <c r="I11211" s="912"/>
      <c r="J11211" s="912"/>
      <c r="K11211" s="913"/>
      <c r="L11211" s="911"/>
      <c r="M11211" s="911"/>
      <c r="N11211" s="911"/>
      <c r="O11211" s="914"/>
      <c r="P11211" s="911"/>
      <c r="Q11211" s="915"/>
      <c r="R11211" s="916"/>
      <c r="S11211" s="915"/>
      <c r="T11211" s="917"/>
      <c r="U11211" s="918"/>
      <c r="AR11211"/>
      <c r="AS11211" s="911"/>
    </row>
    <row r="11212" spans="1:45" s="886" customFormat="1" ht="11.4">
      <c r="A11212" s="919">
        <v>1</v>
      </c>
      <c r="B11212" s="920">
        <v>1</v>
      </c>
      <c r="C11212" s="920">
        <f>$A11212*$B11212</f>
        <v>1</v>
      </c>
      <c r="D11212" s="921" t="str">
        <f>Elec_Rates!$D$1047</f>
        <v>095# LSZH Conduit points for Bathroom Alarm</v>
      </c>
      <c r="E11212" s="921"/>
      <c r="F11212" s="921" t="s">
        <v>2599</v>
      </c>
      <c r="G11212" s="922" t="s">
        <v>2600</v>
      </c>
      <c r="H11212" s="922"/>
      <c r="I11212" s="922"/>
      <c r="J11212" s="922"/>
      <c r="K11212" s="923"/>
      <c r="L11212" s="918"/>
      <c r="M11212" s="918"/>
      <c r="N11212" s="918"/>
      <c r="O11212" s="924"/>
      <c r="P11212" s="921"/>
      <c r="Q11212" s="925">
        <f ca="1">$B11212*Elec_Rates!$R$1047</f>
        <v>5.4</v>
      </c>
      <c r="R11212" s="916">
        <f ca="1">$A11212*Q11212</f>
        <v>5.4</v>
      </c>
      <c r="S11212" s="925">
        <f ca="1">$B11212*Elec_Rates!$T$1047</f>
        <v>0.35</v>
      </c>
      <c r="T11212" s="917">
        <f ca="1">$A11212*S11212</f>
        <v>0.35</v>
      </c>
      <c r="U11212" s="926"/>
      <c r="AR11212" s="919">
        <v>1</v>
      </c>
      <c r="AS11212" s="921" t="s">
        <v>2599</v>
      </c>
    </row>
    <row r="11213" spans="1:45" s="520" customFormat="1" ht="12">
      <c r="A11213" s="758"/>
      <c r="B11213" s="758"/>
      <c r="C11213" s="758"/>
      <c r="D11213" s="758"/>
      <c r="E11213" s="758"/>
      <c r="F11213" s="753"/>
      <c r="G11213" s="758"/>
      <c r="H11213" s="758"/>
      <c r="I11213" s="519"/>
      <c r="J11213" s="758"/>
      <c r="K11213" s="758"/>
      <c r="L11213" s="758"/>
      <c r="M11213" s="758"/>
      <c r="N11213" s="758"/>
      <c r="O11213" s="758"/>
      <c r="P11213" s="758"/>
      <c r="Q11213" s="519"/>
      <c r="R11213" s="759">
        <f>$A11213*Q11213</f>
        <v>0</v>
      </c>
      <c r="S11213" s="519"/>
      <c r="T11213" s="760">
        <f>$A11213*S11213*$T$1</f>
        <v>0</v>
      </c>
      <c r="AR11213" s="758"/>
      <c r="AS11213" s="753"/>
    </row>
    <row r="11214" spans="1:45" s="520" customFormat="1" ht="12.6" thickBot="1">
      <c r="A11214" s="761" t="s">
        <v>145</v>
      </c>
      <c r="B11214" s="762">
        <f>(R11213+T11213)</f>
        <v>0</v>
      </c>
      <c r="C11214" s="763"/>
      <c r="D11214" s="763"/>
      <c r="E11214" s="763"/>
      <c r="F11214" s="764"/>
      <c r="G11214" s="763" t="s">
        <v>146</v>
      </c>
      <c r="H11214" s="763"/>
      <c r="I11214" s="765"/>
      <c r="J11214" s="763"/>
      <c r="K11214" s="763" t="s">
        <v>3</v>
      </c>
      <c r="L11214" s="766" t="s">
        <v>143</v>
      </c>
      <c r="M11214" s="766"/>
      <c r="N11214" s="766"/>
      <c r="O11214" s="766"/>
      <c r="P11214" s="766"/>
      <c r="Q11214" s="767"/>
      <c r="R11214" s="768">
        <f ca="1">SUM(R11210:R11213)</f>
        <v>5.4</v>
      </c>
      <c r="S11214" s="763"/>
      <c r="T11214" s="768">
        <f ca="1">SUM(T11210:T11213)</f>
        <v>0.35</v>
      </c>
      <c r="U11214" s="531"/>
      <c r="V11214" s="531"/>
      <c r="W11214" s="531"/>
      <c r="X11214" s="531"/>
      <c r="Y11214" s="531"/>
      <c r="Z11214" s="531"/>
      <c r="AA11214" s="531"/>
      <c r="AB11214" s="531"/>
      <c r="AC11214" s="531"/>
      <c r="AD11214" s="531"/>
      <c r="AE11214" s="531"/>
      <c r="AF11214" s="531"/>
      <c r="AG11214" s="531"/>
      <c r="AH11214" s="531"/>
      <c r="AI11214" s="531"/>
      <c r="AJ11214" s="531"/>
      <c r="AK11214" s="531"/>
      <c r="AL11214" s="531"/>
      <c r="AM11214" s="531"/>
      <c r="AN11214" s="531"/>
      <c r="AO11214" s="531"/>
      <c r="AR11214" s="761" t="s">
        <v>145</v>
      </c>
      <c r="AS11214" s="764"/>
    </row>
    <row r="11215" spans="1:45" s="520" customFormat="1" ht="12" thickTop="1">
      <c r="A11215" s="51"/>
      <c r="B11215" s="41"/>
      <c r="C11215" s="51"/>
      <c r="E11215" s="42" t="s">
        <v>138</v>
      </c>
      <c r="F11215" s="42" t="s">
        <v>139</v>
      </c>
      <c r="G11215" s="51"/>
      <c r="H11215" s="51"/>
      <c r="I11215" s="51"/>
      <c r="J11215" s="51"/>
      <c r="K11215" s="51" t="s">
        <v>140</v>
      </c>
      <c r="L11215" s="51"/>
      <c r="M11215" s="51"/>
      <c r="N11215" s="51"/>
      <c r="O11215" s="52"/>
      <c r="P11215" s="51"/>
      <c r="Q11215" s="51"/>
      <c r="R11215" s="51"/>
      <c r="S11215" s="51"/>
      <c r="T11215" s="41"/>
      <c r="AG11215" s="521" t="s">
        <v>268</v>
      </c>
      <c r="AH11215" s="521" t="s">
        <v>269</v>
      </c>
      <c r="AI11215" s="521" t="s">
        <v>270</v>
      </c>
      <c r="AJ11215" s="521" t="s">
        <v>271</v>
      </c>
      <c r="AK11215" s="521" t="s">
        <v>272</v>
      </c>
      <c r="AM11215" s="745" t="s">
        <v>281</v>
      </c>
      <c r="AN11215" s="746" t="s">
        <v>282</v>
      </c>
      <c r="AO11215" s="522" t="s">
        <v>278</v>
      </c>
      <c r="AR11215" s="51"/>
      <c r="AS11215" s="42" t="s">
        <v>139</v>
      </c>
    </row>
    <row r="11216" spans="1:45" s="520" customFormat="1" ht="12" customHeight="1">
      <c r="A11216" s="747">
        <v>1</v>
      </c>
      <c r="B11216" s="523" t="s">
        <v>329</v>
      </c>
      <c r="C11216" s="748"/>
      <c r="D11216" s="749" t="s">
        <v>2566</v>
      </c>
      <c r="E11216" s="750">
        <f ca="1">IF(AND($A11216=0,$A$1="DIF"),0, ROUND(ROUND(($R11221*$S$2+($T11221*$T$2))/A11216,2)*$C$2,2))</f>
        <v>18.48</v>
      </c>
      <c r="F11216" s="751">
        <f ca="1">ROUND($A11216*$E11216,2)</f>
        <v>18.48</v>
      </c>
      <c r="G11216" s="752" t="s">
        <v>142</v>
      </c>
      <c r="H11216" s="753"/>
      <c r="I11216" s="754"/>
      <c r="J11216" s="753"/>
      <c r="K11216" s="753" t="s">
        <v>3</v>
      </c>
      <c r="L11216" s="755" t="s">
        <v>143</v>
      </c>
      <c r="M11216" s="755"/>
      <c r="N11216" s="755"/>
      <c r="O11216" s="755"/>
      <c r="P11216" s="755"/>
      <c r="Q11216" s="51"/>
      <c r="T11216" s="756" t="str">
        <f ca="1">IF(AND($R11221=0,$T11221=0),"0.00","mu :" &amp; ROUND($F11216/$C$2/($R11221+$T11221*$D$9),2))</f>
        <v>mu :1.23</v>
      </c>
      <c r="W11216" s="524"/>
      <c r="AG11216" s="481">
        <f ca="1">IF($E11216=0,0,ROUND($R11221*$S$2*$C$2/$A11216,2))</f>
        <v>6.65</v>
      </c>
      <c r="AH11216" s="481">
        <f ca="1">$AG11216*$A11216</f>
        <v>6.65</v>
      </c>
      <c r="AI11216" s="525">
        <f ca="1">$E11216-$AG11216</f>
        <v>11.83</v>
      </c>
      <c r="AJ11216" s="525">
        <f ca="1">$A11216*$AI11216</f>
        <v>11.83</v>
      </c>
      <c r="AK11216" s="526">
        <f ca="1">ROUND(($AG11216+$AI11216)*$A11216,2)</f>
        <v>18.48</v>
      </c>
      <c r="AM11216" s="527">
        <f ca="1">ROUND(R11221,2)</f>
        <v>5.4</v>
      </c>
      <c r="AN11216" s="528">
        <f ca="1">ROUND(T11221,2)</f>
        <v>0.35</v>
      </c>
      <c r="AO11216" s="529">
        <f ca="1">ROUND(AM11216+AN11216,2)*A11216</f>
        <v>5.75</v>
      </c>
      <c r="AR11216" s="747">
        <v>1</v>
      </c>
      <c r="AS11216" s="751">
        <v>19.84</v>
      </c>
    </row>
    <row r="11217" spans="1:45" s="520" customFormat="1" ht="13.2">
      <c r="A11217" s="748"/>
      <c r="B11217"/>
      <c r="C11217" s="748"/>
      <c r="D11217" s="749" t="s">
        <v>2216</v>
      </c>
      <c r="F11217" s="753"/>
      <c r="G11217" s="3"/>
      <c r="H11217" s="753"/>
      <c r="I11217" s="754"/>
      <c r="J11217" s="753"/>
      <c r="K11217" s="753" t="s">
        <v>144</v>
      </c>
      <c r="L11217" s="753"/>
      <c r="M11217" s="753"/>
      <c r="N11217" s="753"/>
      <c r="O11217" s="753"/>
      <c r="P11217" s="753"/>
      <c r="Q11217" s="51"/>
      <c r="R11217" s="530"/>
      <c r="S11217" s="757"/>
      <c r="T11217" s="753"/>
      <c r="AR11217" s="748"/>
      <c r="AS11217" s="753"/>
    </row>
    <row r="11218" spans="1:45" s="886" customFormat="1" ht="13.2">
      <c r="A11218"/>
      <c r="B11218" s="910"/>
      <c r="C11218" s="910" t="s">
        <v>2597</v>
      </c>
      <c r="D11218" s="910" t="str">
        <f ca="1">CELL("Address",Elec_Rates!D$1047)</f>
        <v>[E25_0062_Quintano_Foods_Elec_ELV_As_Awarded.xlsx]Elec_Rates!$D$1047</v>
      </c>
      <c r="E11218" s="911"/>
      <c r="F11218" s="911"/>
      <c r="G11218" s="912" t="s">
        <v>2598</v>
      </c>
      <c r="H11218" s="912"/>
      <c r="I11218" s="912"/>
      <c r="J11218" s="912"/>
      <c r="K11218" s="913"/>
      <c r="L11218" s="911"/>
      <c r="M11218" s="911"/>
      <c r="N11218" s="911"/>
      <c r="O11218" s="914"/>
      <c r="P11218" s="911"/>
      <c r="Q11218" s="915"/>
      <c r="R11218" s="916"/>
      <c r="S11218" s="915"/>
      <c r="T11218" s="917"/>
      <c r="U11218" s="918"/>
      <c r="AR11218"/>
      <c r="AS11218" s="911"/>
    </row>
    <row r="11219" spans="1:45" s="886" customFormat="1" ht="11.4">
      <c r="A11219" s="919">
        <v>1</v>
      </c>
      <c r="B11219" s="920">
        <v>1</v>
      </c>
      <c r="C11219" s="920">
        <f>$A11219*$B11219</f>
        <v>1</v>
      </c>
      <c r="D11219" s="921" t="str">
        <f>Elec_Rates!$D$1047</f>
        <v>095# LSZH Conduit points for Bathroom Alarm</v>
      </c>
      <c r="E11219" s="921"/>
      <c r="F11219" s="921" t="s">
        <v>2599</v>
      </c>
      <c r="G11219" s="922" t="s">
        <v>2600</v>
      </c>
      <c r="H11219" s="922"/>
      <c r="I11219" s="922"/>
      <c r="J11219" s="922"/>
      <c r="K11219" s="923"/>
      <c r="L11219" s="918"/>
      <c r="M11219" s="918"/>
      <c r="N11219" s="918"/>
      <c r="O11219" s="924"/>
      <c r="P11219" s="921"/>
      <c r="Q11219" s="925">
        <f ca="1">$B11219*Elec_Rates!$R$1047</f>
        <v>5.4</v>
      </c>
      <c r="R11219" s="916">
        <f ca="1">$A11219*Q11219</f>
        <v>5.4</v>
      </c>
      <c r="S11219" s="925">
        <f ca="1">$B11219*Elec_Rates!$T$1047</f>
        <v>0.35</v>
      </c>
      <c r="T11219" s="917">
        <f ca="1">$A11219*S11219</f>
        <v>0.35</v>
      </c>
      <c r="U11219" s="926"/>
      <c r="AR11219" s="919">
        <v>1</v>
      </c>
      <c r="AS11219" s="921" t="s">
        <v>2599</v>
      </c>
    </row>
    <row r="11220" spans="1:45" s="520" customFormat="1" ht="12">
      <c r="A11220" s="758"/>
      <c r="B11220" s="758"/>
      <c r="C11220" s="758"/>
      <c r="D11220" s="758"/>
      <c r="E11220" s="758"/>
      <c r="F11220" s="753"/>
      <c r="G11220" s="758"/>
      <c r="H11220" s="758"/>
      <c r="I11220" s="519"/>
      <c r="J11220" s="758"/>
      <c r="K11220" s="758"/>
      <c r="L11220" s="758"/>
      <c r="M11220" s="758"/>
      <c r="N11220" s="758"/>
      <c r="O11220" s="758"/>
      <c r="P11220" s="758"/>
      <c r="Q11220" s="519"/>
      <c r="R11220" s="759">
        <f>$A11220*Q11220</f>
        <v>0</v>
      </c>
      <c r="S11220" s="519"/>
      <c r="T11220" s="760">
        <f>$A11220*S11220*$T$1</f>
        <v>0</v>
      </c>
      <c r="AR11220" s="758"/>
      <c r="AS11220" s="753"/>
    </row>
    <row r="11221" spans="1:45" s="520" customFormat="1" ht="12.6" thickBot="1">
      <c r="A11221" s="761" t="s">
        <v>145</v>
      </c>
      <c r="B11221" s="762">
        <f>(R11220+T11220)</f>
        <v>0</v>
      </c>
      <c r="C11221" s="763"/>
      <c r="D11221" s="763"/>
      <c r="E11221" s="763"/>
      <c r="F11221" s="764"/>
      <c r="G11221" s="763" t="s">
        <v>146</v>
      </c>
      <c r="H11221" s="763"/>
      <c r="I11221" s="765"/>
      <c r="J11221" s="763"/>
      <c r="K11221" s="763" t="s">
        <v>3</v>
      </c>
      <c r="L11221" s="766" t="s">
        <v>143</v>
      </c>
      <c r="M11221" s="766"/>
      <c r="N11221" s="766"/>
      <c r="O11221" s="766"/>
      <c r="P11221" s="766"/>
      <c r="Q11221" s="767"/>
      <c r="R11221" s="768">
        <f ca="1">SUM(R11217:R11220)</f>
        <v>5.4</v>
      </c>
      <c r="S11221" s="763"/>
      <c r="T11221" s="768">
        <f ca="1">SUM(T11217:T11220)</f>
        <v>0.35</v>
      </c>
      <c r="U11221" s="531"/>
      <c r="V11221" s="531"/>
      <c r="W11221" s="531"/>
      <c r="X11221" s="531"/>
      <c r="Y11221" s="531"/>
      <c r="Z11221" s="531"/>
      <c r="AA11221" s="531"/>
      <c r="AB11221" s="531"/>
      <c r="AC11221" s="531"/>
      <c r="AD11221" s="531"/>
      <c r="AE11221" s="531"/>
      <c r="AF11221" s="531"/>
      <c r="AG11221" s="531"/>
      <c r="AH11221" s="531"/>
      <c r="AI11221" s="531"/>
      <c r="AJ11221" s="531"/>
      <c r="AK11221" s="531"/>
      <c r="AL11221" s="531"/>
      <c r="AM11221" s="531"/>
      <c r="AN11221" s="531"/>
      <c r="AO11221" s="531"/>
      <c r="AR11221" s="761" t="s">
        <v>145</v>
      </c>
      <c r="AS11221" s="764"/>
    </row>
    <row r="11222" spans="1:45" s="520" customFormat="1" ht="12" thickTop="1">
      <c r="A11222" s="51"/>
      <c r="B11222" s="41"/>
      <c r="C11222" s="51"/>
      <c r="E11222" s="42" t="s">
        <v>138</v>
      </c>
      <c r="F11222" s="42" t="s">
        <v>139</v>
      </c>
      <c r="G11222" s="51"/>
      <c r="H11222" s="51"/>
      <c r="I11222" s="51"/>
      <c r="J11222" s="51"/>
      <c r="K11222" s="51" t="s">
        <v>140</v>
      </c>
      <c r="L11222" s="51"/>
      <c r="M11222" s="51"/>
      <c r="N11222" s="51"/>
      <c r="O11222" s="52"/>
      <c r="P11222" s="51"/>
      <c r="Q11222" s="51"/>
      <c r="R11222" s="51"/>
      <c r="S11222" s="51"/>
      <c r="T11222" s="41"/>
      <c r="AG11222" s="521" t="s">
        <v>268</v>
      </c>
      <c r="AH11222" s="521" t="s">
        <v>269</v>
      </c>
      <c r="AI11222" s="521" t="s">
        <v>270</v>
      </c>
      <c r="AJ11222" s="521" t="s">
        <v>271</v>
      </c>
      <c r="AK11222" s="521" t="s">
        <v>272</v>
      </c>
      <c r="AM11222" s="745" t="s">
        <v>281</v>
      </c>
      <c r="AN11222" s="746" t="s">
        <v>282</v>
      </c>
      <c r="AO11222" s="522" t="s">
        <v>278</v>
      </c>
      <c r="AR11222" s="51"/>
      <c r="AS11222" s="42" t="s">
        <v>139</v>
      </c>
    </row>
    <row r="11223" spans="1:45" s="520" customFormat="1" ht="12" customHeight="1">
      <c r="A11223" s="747">
        <v>1</v>
      </c>
      <c r="B11223" s="523" t="s">
        <v>329</v>
      </c>
      <c r="C11223" s="748"/>
      <c r="D11223" s="749" t="s">
        <v>2567</v>
      </c>
      <c r="E11223" s="750">
        <f ca="1">IF(AND($A11223=0,$A$1="DIF"),0, ROUND(ROUND(($R11228*$S$2+($T11228*$T$2))/A11223,2)*$C$2,2))</f>
        <v>18.48</v>
      </c>
      <c r="F11223" s="751">
        <f ca="1">ROUND($A11223*$E11223,2)</f>
        <v>18.48</v>
      </c>
      <c r="G11223" s="752" t="s">
        <v>142</v>
      </c>
      <c r="H11223" s="753"/>
      <c r="I11223" s="754"/>
      <c r="J11223" s="753"/>
      <c r="K11223" s="753" t="s">
        <v>3</v>
      </c>
      <c r="L11223" s="755" t="s">
        <v>143</v>
      </c>
      <c r="M11223" s="755"/>
      <c r="N11223" s="755"/>
      <c r="O11223" s="755"/>
      <c r="P11223" s="755"/>
      <c r="Q11223" s="51"/>
      <c r="T11223" s="756" t="str">
        <f ca="1">IF(AND($R11228=0,$T11228=0),"0.00","mu :" &amp; ROUND($F11223/$C$2/($R11228+$T11228*$D$9),2))</f>
        <v>mu :1.23</v>
      </c>
      <c r="W11223" s="524"/>
      <c r="AG11223" s="481">
        <f ca="1">IF($E11223=0,0,ROUND($R11228*$S$2*$C$2/$A11223,2))</f>
        <v>6.65</v>
      </c>
      <c r="AH11223" s="481">
        <f ca="1">$AG11223*$A11223</f>
        <v>6.65</v>
      </c>
      <c r="AI11223" s="525">
        <f ca="1">$E11223-$AG11223</f>
        <v>11.83</v>
      </c>
      <c r="AJ11223" s="525">
        <f ca="1">$A11223*$AI11223</f>
        <v>11.83</v>
      </c>
      <c r="AK11223" s="526">
        <f ca="1">ROUND(($AG11223+$AI11223)*$A11223,2)</f>
        <v>18.48</v>
      </c>
      <c r="AM11223" s="527">
        <f ca="1">ROUND(R11228,2)</f>
        <v>5.4</v>
      </c>
      <c r="AN11223" s="528">
        <f ca="1">ROUND(T11228,2)</f>
        <v>0.35</v>
      </c>
      <c r="AO11223" s="529">
        <f ca="1">ROUND(AM11223+AN11223,2)*A11223</f>
        <v>5.75</v>
      </c>
      <c r="AR11223" s="747">
        <v>1</v>
      </c>
      <c r="AS11223" s="751">
        <v>19.84</v>
      </c>
    </row>
    <row r="11224" spans="1:45" s="520" customFormat="1" ht="13.2">
      <c r="A11224" s="748"/>
      <c r="B11224"/>
      <c r="C11224" s="748"/>
      <c r="D11224" s="749" t="s">
        <v>2217</v>
      </c>
      <c r="F11224" s="753"/>
      <c r="G11224" s="3"/>
      <c r="H11224" s="753"/>
      <c r="I11224" s="754"/>
      <c r="J11224" s="753"/>
      <c r="K11224" s="753" t="s">
        <v>144</v>
      </c>
      <c r="L11224" s="753"/>
      <c r="M11224" s="753"/>
      <c r="N11224" s="753"/>
      <c r="O11224" s="753"/>
      <c r="P11224" s="753"/>
      <c r="Q11224" s="51"/>
      <c r="R11224" s="530"/>
      <c r="S11224" s="757"/>
      <c r="T11224" s="753"/>
      <c r="AR11224" s="748"/>
      <c r="AS11224" s="753"/>
    </row>
    <row r="11225" spans="1:45" s="886" customFormat="1" ht="13.2">
      <c r="A11225"/>
      <c r="B11225" s="910"/>
      <c r="C11225" s="910" t="s">
        <v>2597</v>
      </c>
      <c r="D11225" s="910" t="str">
        <f ca="1">CELL("Address",Elec_Rates!D$1047)</f>
        <v>[E25_0062_Quintano_Foods_Elec_ELV_As_Awarded.xlsx]Elec_Rates!$D$1047</v>
      </c>
      <c r="E11225" s="911"/>
      <c r="F11225" s="911"/>
      <c r="G11225" s="912" t="s">
        <v>2598</v>
      </c>
      <c r="H11225" s="912"/>
      <c r="I11225" s="912"/>
      <c r="J11225" s="912"/>
      <c r="K11225" s="913"/>
      <c r="L11225" s="911"/>
      <c r="M11225" s="911"/>
      <c r="N11225" s="911"/>
      <c r="O11225" s="914"/>
      <c r="P11225" s="911"/>
      <c r="Q11225" s="915"/>
      <c r="R11225" s="916"/>
      <c r="S11225" s="915"/>
      <c r="T11225" s="917"/>
      <c r="U11225" s="918"/>
      <c r="AR11225"/>
      <c r="AS11225" s="911"/>
    </row>
    <row r="11226" spans="1:45" s="886" customFormat="1" ht="11.4">
      <c r="A11226" s="919">
        <v>1</v>
      </c>
      <c r="B11226" s="920">
        <v>1</v>
      </c>
      <c r="C11226" s="920">
        <f>$A11226*$B11226</f>
        <v>1</v>
      </c>
      <c r="D11226" s="921" t="str">
        <f>Elec_Rates!$D$1047</f>
        <v>095# LSZH Conduit points for Bathroom Alarm</v>
      </c>
      <c r="E11226" s="921"/>
      <c r="F11226" s="921" t="s">
        <v>2599</v>
      </c>
      <c r="G11226" s="922" t="s">
        <v>2600</v>
      </c>
      <c r="H11226" s="922"/>
      <c r="I11226" s="922"/>
      <c r="J11226" s="922"/>
      <c r="K11226" s="923"/>
      <c r="L11226" s="918"/>
      <c r="M11226" s="918"/>
      <c r="N11226" s="918"/>
      <c r="O11226" s="924"/>
      <c r="P11226" s="921"/>
      <c r="Q11226" s="925">
        <f ca="1">$B11226*Elec_Rates!$R$1047</f>
        <v>5.4</v>
      </c>
      <c r="R11226" s="916">
        <f ca="1">$A11226*Q11226</f>
        <v>5.4</v>
      </c>
      <c r="S11226" s="925">
        <f ca="1">$B11226*Elec_Rates!$T$1047</f>
        <v>0.35</v>
      </c>
      <c r="T11226" s="917">
        <f ca="1">$A11226*S11226</f>
        <v>0.35</v>
      </c>
      <c r="U11226" s="926"/>
      <c r="AR11226" s="919">
        <v>1</v>
      </c>
      <c r="AS11226" s="921" t="s">
        <v>2599</v>
      </c>
    </row>
    <row r="11227" spans="1:45" s="520" customFormat="1" ht="12">
      <c r="A11227" s="758"/>
      <c r="B11227" s="758"/>
      <c r="C11227" s="758"/>
      <c r="D11227" s="758"/>
      <c r="E11227" s="758"/>
      <c r="F11227" s="753"/>
      <c r="G11227" s="758"/>
      <c r="H11227" s="758"/>
      <c r="I11227" s="519"/>
      <c r="J11227" s="758"/>
      <c r="K11227" s="758"/>
      <c r="L11227" s="758"/>
      <c r="M11227" s="758"/>
      <c r="N11227" s="758"/>
      <c r="O11227" s="758"/>
      <c r="P11227" s="758"/>
      <c r="Q11227" s="519"/>
      <c r="R11227" s="759">
        <f>$A11227*Q11227</f>
        <v>0</v>
      </c>
      <c r="S11227" s="519"/>
      <c r="T11227" s="760">
        <f>$A11227*S11227*$T$1</f>
        <v>0</v>
      </c>
      <c r="AR11227" s="758"/>
      <c r="AS11227" s="753"/>
    </row>
    <row r="11228" spans="1:45" s="520" customFormat="1" ht="12.6" thickBot="1">
      <c r="A11228" s="761" t="s">
        <v>145</v>
      </c>
      <c r="B11228" s="762">
        <f>(R11227+T11227)</f>
        <v>0</v>
      </c>
      <c r="C11228" s="763"/>
      <c r="D11228" s="763"/>
      <c r="E11228" s="763"/>
      <c r="F11228" s="764"/>
      <c r="G11228" s="763" t="s">
        <v>146</v>
      </c>
      <c r="H11228" s="763"/>
      <c r="I11228" s="765"/>
      <c r="J11228" s="763"/>
      <c r="K11228" s="763" t="s">
        <v>3</v>
      </c>
      <c r="L11228" s="766" t="s">
        <v>143</v>
      </c>
      <c r="M11228" s="766"/>
      <c r="N11228" s="766"/>
      <c r="O11228" s="766"/>
      <c r="P11228" s="766"/>
      <c r="Q11228" s="767"/>
      <c r="R11228" s="768">
        <f ca="1">SUM(R11224:R11227)</f>
        <v>5.4</v>
      </c>
      <c r="S11228" s="763"/>
      <c r="T11228" s="768">
        <f ca="1">SUM(T11224:T11227)</f>
        <v>0.35</v>
      </c>
      <c r="U11228" s="531"/>
      <c r="V11228" s="531"/>
      <c r="W11228" s="531"/>
      <c r="X11228" s="531"/>
      <c r="Y11228" s="531"/>
      <c r="Z11228" s="531"/>
      <c r="AA11228" s="531"/>
      <c r="AB11228" s="531"/>
      <c r="AC11228" s="531"/>
      <c r="AD11228" s="531"/>
      <c r="AE11228" s="531"/>
      <c r="AF11228" s="531"/>
      <c r="AG11228" s="531"/>
      <c r="AH11228" s="531"/>
      <c r="AI11228" s="531"/>
      <c r="AJ11228" s="531"/>
      <c r="AK11228" s="531"/>
      <c r="AL11228" s="531"/>
      <c r="AM11228" s="531"/>
      <c r="AN11228" s="531"/>
      <c r="AO11228" s="531"/>
      <c r="AR11228" s="761" t="s">
        <v>145</v>
      </c>
      <c r="AS11228" s="764"/>
    </row>
    <row r="11229" spans="1:45" s="520" customFormat="1" thickTop="1">
      <c r="A11229" s="51"/>
      <c r="B11229" s="51"/>
      <c r="C11229" s="3"/>
      <c r="D11229" s="3"/>
      <c r="E11229" s="51"/>
      <c r="F11229" s="51"/>
      <c r="G11229" s="51"/>
      <c r="H11229" s="51"/>
      <c r="I11229" s="51"/>
      <c r="J11229" s="51"/>
      <c r="K11229" s="51" t="s">
        <v>134</v>
      </c>
      <c r="L11229" s="51"/>
      <c r="M11229" s="51"/>
      <c r="N11229" s="51"/>
      <c r="O11229" s="52"/>
      <c r="P11229" s="51"/>
      <c r="Q11229" s="51"/>
      <c r="R11229" s="51"/>
      <c r="S11229" s="51"/>
      <c r="T11229" s="51"/>
      <c r="AR11229" s="51"/>
      <c r="AS11229" s="51"/>
    </row>
    <row r="11230" spans="1:45" s="520" customFormat="1" ht="12">
      <c r="A11230" s="51"/>
      <c r="B11230" s="51"/>
      <c r="C11230" s="51" t="s">
        <v>135</v>
      </c>
      <c r="D11230" s="37"/>
      <c r="E11230" s="51"/>
      <c r="F11230" s="51"/>
      <c r="G11230" s="51"/>
      <c r="H11230" s="51"/>
      <c r="I11230" s="51"/>
      <c r="J11230" s="51"/>
      <c r="K11230" s="51"/>
      <c r="L11230" s="51"/>
      <c r="M11230" s="51"/>
      <c r="N11230" s="51"/>
      <c r="O11230" s="52"/>
      <c r="P11230" s="51"/>
      <c r="Q11230" s="51"/>
      <c r="R11230" s="51"/>
      <c r="S11230" s="51"/>
      <c r="T11230" s="51"/>
      <c r="AR11230" s="51"/>
      <c r="AS11230" s="51"/>
    </row>
    <row r="11231" spans="1:45" s="520" customFormat="1" ht="39.9" customHeight="1">
      <c r="A11231" s="51"/>
      <c r="B11231" s="51"/>
      <c r="C11231" s="51"/>
      <c r="D11231" s="1453" t="s">
        <v>2185</v>
      </c>
      <c r="E11231" s="1452"/>
      <c r="F11231" s="1452"/>
      <c r="G11231" s="1452"/>
      <c r="H11231" s="1452"/>
      <c r="I11231" s="1452"/>
      <c r="J11231" s="1452"/>
      <c r="K11231" s="1452"/>
      <c r="L11231" s="1452"/>
      <c r="M11231" s="1452"/>
      <c r="N11231" s="1452"/>
      <c r="O11231" s="1452"/>
      <c r="P11231" s="1452"/>
      <c r="Q11231" s="1452"/>
      <c r="R11231" s="1452"/>
      <c r="S11231" s="1452"/>
      <c r="T11231" s="1452"/>
      <c r="AR11231" s="51"/>
    </row>
    <row r="11232" spans="1:45" s="3" customFormat="1" thickBot="1">
      <c r="A11232" s="531"/>
      <c r="O11232" s="107"/>
      <c r="AR11232" s="531"/>
    </row>
    <row r="11233" spans="1:45" s="520" customFormat="1" ht="12" thickTop="1">
      <c r="A11233" s="51"/>
      <c r="B11233" s="41"/>
      <c r="C11233" s="51"/>
      <c r="E11233" s="42" t="s">
        <v>138</v>
      </c>
      <c r="F11233" s="42" t="s">
        <v>139</v>
      </c>
      <c r="G11233" s="51"/>
      <c r="H11233" s="51"/>
      <c r="I11233" s="51"/>
      <c r="J11233" s="51"/>
      <c r="K11233" s="51" t="s">
        <v>140</v>
      </c>
      <c r="L11233" s="51"/>
      <c r="M11233" s="51"/>
      <c r="N11233" s="51"/>
      <c r="O11233" s="52"/>
      <c r="P11233" s="51"/>
      <c r="Q11233" s="51"/>
      <c r="R11233" s="51"/>
      <c r="S11233" s="51"/>
      <c r="T11233" s="41"/>
      <c r="AG11233" s="521" t="s">
        <v>268</v>
      </c>
      <c r="AH11233" s="521" t="s">
        <v>269</v>
      </c>
      <c r="AI11233" s="521" t="s">
        <v>270</v>
      </c>
      <c r="AJ11233" s="521" t="s">
        <v>271</v>
      </c>
      <c r="AK11233" s="521" t="s">
        <v>272</v>
      </c>
      <c r="AM11233" s="745" t="s">
        <v>281</v>
      </c>
      <c r="AN11233" s="746" t="s">
        <v>282</v>
      </c>
      <c r="AO11233" s="522" t="s">
        <v>278</v>
      </c>
      <c r="AR11233" s="51"/>
      <c r="AS11233" s="42" t="s">
        <v>139</v>
      </c>
    </row>
    <row r="11234" spans="1:45" s="520" customFormat="1" ht="12" customHeight="1">
      <c r="A11234" s="747">
        <v>1</v>
      </c>
      <c r="B11234" s="523" t="s">
        <v>329</v>
      </c>
      <c r="C11234" s="748"/>
      <c r="D11234" s="749" t="s">
        <v>2568</v>
      </c>
      <c r="E11234" s="1145">
        <f>IF(AND($A11234=0,$A$1="DIF"),0, ROUND(ROUND(($R11238*$S$3+($T11238*$T$3))/$A11234,2)*$C$3,2))</f>
        <v>14.78</v>
      </c>
      <c r="F11234" s="1146">
        <f>ROUND($A11234*$E11234,2)</f>
        <v>14.78</v>
      </c>
      <c r="G11234" s="752" t="s">
        <v>142</v>
      </c>
      <c r="H11234" s="753"/>
      <c r="I11234" s="754"/>
      <c r="J11234" s="753"/>
      <c r="K11234" s="753" t="s">
        <v>5</v>
      </c>
      <c r="L11234" s="755" t="s">
        <v>143</v>
      </c>
      <c r="M11234" s="755"/>
      <c r="N11234" s="755"/>
      <c r="O11234" s="755"/>
      <c r="P11234" s="755"/>
      <c r="Q11234" s="51"/>
      <c r="T11234" s="1150" t="str">
        <f>IF(AND($R11238=0,$T11238=0),"0.00","mu: "&amp; ROUND(F11234/$C$3/($R11238+$T11238*$D$9),2))</f>
        <v>mu: 1.13</v>
      </c>
      <c r="W11234" s="524"/>
      <c r="AG11234" s="1147">
        <f>IF($E11234=0,0,ROUND($R11238*$S$3*$C$3/$A11234,2))</f>
        <v>14.78</v>
      </c>
      <c r="AH11234" s="1147">
        <f>$AG11234*$A11234</f>
        <v>14.78</v>
      </c>
      <c r="AI11234" s="1148">
        <f>$E11234-$AG11234</f>
        <v>0</v>
      </c>
      <c r="AJ11234" s="1148">
        <f>$A11234*$AI11234</f>
        <v>0</v>
      </c>
      <c r="AK11234" s="1149">
        <f>ROUND(($AG11234+$AI11234)*$A11234,2)</f>
        <v>14.78</v>
      </c>
      <c r="AM11234" s="527">
        <f>ROUND(R11238,2)</f>
        <v>13.1</v>
      </c>
      <c r="AN11234" s="528">
        <f>ROUND(T11238,2)</f>
        <v>0</v>
      </c>
      <c r="AO11234" s="529">
        <f>ROUND(AM11234+AN11234,2)*A11234</f>
        <v>13.1</v>
      </c>
      <c r="AR11234" s="747">
        <v>1</v>
      </c>
      <c r="AS11234" s="1146">
        <v>16.079999999999998</v>
      </c>
    </row>
    <row r="11235" spans="1:45" s="520" customFormat="1" ht="13.2">
      <c r="A11235" s="748"/>
      <c r="B11235"/>
      <c r="C11235" s="748"/>
      <c r="D11235" s="749" t="s">
        <v>2214</v>
      </c>
      <c r="F11235" s="753"/>
      <c r="G11235" s="3"/>
      <c r="H11235" s="753"/>
      <c r="I11235" s="754"/>
      <c r="J11235" s="753"/>
      <c r="K11235" s="753" t="s">
        <v>144</v>
      </c>
      <c r="L11235" s="753"/>
      <c r="M11235" s="753"/>
      <c r="N11235" s="753"/>
      <c r="O11235" s="753"/>
      <c r="P11235" s="753"/>
      <c r="Q11235" s="51"/>
      <c r="R11235" s="530"/>
      <c r="S11235" s="757"/>
      <c r="T11235" s="753"/>
      <c r="AR11235" s="748"/>
      <c r="AS11235" s="753"/>
    </row>
    <row r="11236" spans="1:45" s="901" customFormat="1" ht="13.2">
      <c r="A11236" s="903">
        <v>1</v>
      </c>
      <c r="B11236" s="904" t="s">
        <v>863</v>
      </c>
      <c r="C11236" s="904"/>
      <c r="D11236" s="904" t="s">
        <v>2594</v>
      </c>
      <c r="E11236" s="904"/>
      <c r="F11236" s="1153" t="s">
        <v>4141</v>
      </c>
      <c r="G11236" s="905" t="s">
        <v>2595</v>
      </c>
      <c r="H11236" s="902">
        <v>960</v>
      </c>
      <c r="I11236" s="904" t="s">
        <v>2596</v>
      </c>
      <c r="J11236" s="904"/>
      <c r="K11236" s="904"/>
      <c r="L11236" s="904"/>
      <c r="M11236" s="904"/>
      <c r="N11236" s="904"/>
      <c r="O11236" s="902">
        <v>4</v>
      </c>
      <c r="P11236" s="906">
        <v>38274</v>
      </c>
      <c r="Q11236" s="1415">
        <f>15*0.873</f>
        <v>13.095000000000001</v>
      </c>
      <c r="R11236" s="908">
        <f>$A11236*Q11236</f>
        <v>13.095000000000001</v>
      </c>
      <c r="S11236" s="907"/>
      <c r="T11236" s="909">
        <f>$A11236*S11236*$T$1</f>
        <v>0</v>
      </c>
      <c r="AR11236" s="903">
        <v>1</v>
      </c>
      <c r="AS11236" s="1153" t="s">
        <v>3507</v>
      </c>
    </row>
    <row r="11237" spans="1:45" s="520" customFormat="1" ht="12">
      <c r="A11237" s="758"/>
      <c r="B11237" s="758"/>
      <c r="C11237" s="758"/>
      <c r="D11237" s="758"/>
      <c r="E11237" s="758"/>
      <c r="F11237" s="753"/>
      <c r="G11237" s="758"/>
      <c r="H11237" s="758"/>
      <c r="I11237" s="519"/>
      <c r="J11237" s="758"/>
      <c r="K11237" s="758"/>
      <c r="L11237" s="758"/>
      <c r="M11237" s="758"/>
      <c r="N11237" s="758"/>
      <c r="O11237" s="758"/>
      <c r="P11237" s="758"/>
      <c r="Q11237" s="519"/>
      <c r="R11237" s="759">
        <f>$A11237*Q11237</f>
        <v>0</v>
      </c>
      <c r="S11237" s="519"/>
      <c r="T11237" s="760">
        <f>$A11237*S11237*$T$1</f>
        <v>0</v>
      </c>
      <c r="AR11237" s="758"/>
      <c r="AS11237" s="753"/>
    </row>
    <row r="11238" spans="1:45" s="520" customFormat="1" ht="12.6" thickBot="1">
      <c r="A11238" s="761" t="s">
        <v>145</v>
      </c>
      <c r="B11238" s="762">
        <f>(R11237+T11237)</f>
        <v>0</v>
      </c>
      <c r="C11238" s="763"/>
      <c r="D11238" s="763"/>
      <c r="E11238" s="763"/>
      <c r="F11238" s="764"/>
      <c r="G11238" s="763" t="s">
        <v>146</v>
      </c>
      <c r="H11238" s="763"/>
      <c r="I11238" s="765"/>
      <c r="J11238" s="763"/>
      <c r="K11238" s="763" t="s">
        <v>5</v>
      </c>
      <c r="L11238" s="766" t="s">
        <v>143</v>
      </c>
      <c r="M11238" s="766"/>
      <c r="N11238" s="766"/>
      <c r="O11238" s="766"/>
      <c r="P11238" s="766"/>
      <c r="Q11238" s="767"/>
      <c r="R11238" s="768">
        <f>SUM(R11235:R11237)</f>
        <v>13.095000000000001</v>
      </c>
      <c r="S11238" s="763"/>
      <c r="T11238" s="768">
        <f>SUM(T11235:T11237)</f>
        <v>0</v>
      </c>
      <c r="U11238" s="531"/>
      <c r="V11238" s="531"/>
      <c r="W11238" s="531"/>
      <c r="X11238" s="531"/>
      <c r="Y11238" s="531"/>
      <c r="Z11238" s="531"/>
      <c r="AA11238" s="531"/>
      <c r="AB11238" s="531"/>
      <c r="AC11238" s="531"/>
      <c r="AD11238" s="531"/>
      <c r="AE11238" s="531"/>
      <c r="AF11238" s="531"/>
      <c r="AG11238" s="531"/>
      <c r="AH11238" s="531"/>
      <c r="AI11238" s="531"/>
      <c r="AJ11238" s="531"/>
      <c r="AK11238" s="531"/>
      <c r="AL11238" s="531"/>
      <c r="AM11238" s="531"/>
      <c r="AN11238" s="531"/>
      <c r="AO11238" s="531"/>
      <c r="AR11238" s="761" t="s">
        <v>145</v>
      </c>
      <c r="AS11238" s="764"/>
    </row>
    <row r="11239" spans="1:45" s="520" customFormat="1" ht="12" thickTop="1">
      <c r="A11239" s="51"/>
      <c r="B11239" s="41"/>
      <c r="C11239" s="51"/>
      <c r="E11239" s="42" t="s">
        <v>138</v>
      </c>
      <c r="F11239" s="42" t="s">
        <v>139</v>
      </c>
      <c r="G11239" s="51"/>
      <c r="H11239" s="51"/>
      <c r="I11239" s="51"/>
      <c r="J11239" s="51"/>
      <c r="K11239" s="51" t="s">
        <v>140</v>
      </c>
      <c r="L11239" s="51"/>
      <c r="M11239" s="51"/>
      <c r="N11239" s="51"/>
      <c r="O11239" s="52"/>
      <c r="P11239" s="51"/>
      <c r="Q11239" s="51"/>
      <c r="R11239" s="51"/>
      <c r="S11239" s="51"/>
      <c r="T11239" s="41"/>
      <c r="AG11239" s="521" t="s">
        <v>268</v>
      </c>
      <c r="AH11239" s="521" t="s">
        <v>269</v>
      </c>
      <c r="AI11239" s="521" t="s">
        <v>270</v>
      </c>
      <c r="AJ11239" s="521" t="s">
        <v>271</v>
      </c>
      <c r="AK11239" s="521" t="s">
        <v>272</v>
      </c>
      <c r="AM11239" s="745" t="s">
        <v>281</v>
      </c>
      <c r="AN11239" s="746" t="s">
        <v>282</v>
      </c>
      <c r="AO11239" s="522" t="s">
        <v>278</v>
      </c>
      <c r="AR11239" s="51"/>
      <c r="AS11239" s="42" t="s">
        <v>139</v>
      </c>
    </row>
    <row r="11240" spans="1:45" s="520" customFormat="1" ht="12" customHeight="1">
      <c r="A11240" s="747">
        <v>1</v>
      </c>
      <c r="B11240" s="523" t="s">
        <v>329</v>
      </c>
      <c r="C11240" s="748"/>
      <c r="D11240" s="749" t="s">
        <v>2569</v>
      </c>
      <c r="E11240" s="1145">
        <f>IF(AND($A11240=0,$A$1="DIF"),0, ROUND(ROUND(($R11244*$S$3+($T11244*$T$3))/$A11240,2)*$C$3,2))</f>
        <v>14.78</v>
      </c>
      <c r="F11240" s="1146">
        <f>ROUND($A11240*$E11240,2)</f>
        <v>14.78</v>
      </c>
      <c r="G11240" s="752" t="s">
        <v>142</v>
      </c>
      <c r="H11240" s="753"/>
      <c r="I11240" s="754"/>
      <c r="J11240" s="753"/>
      <c r="K11240" s="753" t="s">
        <v>5</v>
      </c>
      <c r="L11240" s="755" t="s">
        <v>143</v>
      </c>
      <c r="M11240" s="755"/>
      <c r="N11240" s="755"/>
      <c r="O11240" s="755"/>
      <c r="P11240" s="755"/>
      <c r="Q11240" s="51"/>
      <c r="T11240" s="1150" t="str">
        <f>IF(AND($R11244=0,$T11244=0),"0.00","mu: "&amp; ROUND(F11240/$C$3/($R11244+$T11244*$D$9),2))</f>
        <v>mu: 1.13</v>
      </c>
      <c r="W11240" s="524"/>
      <c r="AG11240" s="1147">
        <f>IF($E11240=0,0,ROUND($R11244*$S$3*$C$3/$A11240,2))</f>
        <v>14.78</v>
      </c>
      <c r="AH11240" s="1147">
        <f>$AG11240*$A11240</f>
        <v>14.78</v>
      </c>
      <c r="AI11240" s="1148">
        <f>$E11240-$AG11240</f>
        <v>0</v>
      </c>
      <c r="AJ11240" s="1148">
        <f>$A11240*$AI11240</f>
        <v>0</v>
      </c>
      <c r="AK11240" s="1149">
        <f>ROUND(($AG11240+$AI11240)*$A11240,2)</f>
        <v>14.78</v>
      </c>
      <c r="AM11240" s="527">
        <f>ROUND(R11244,2)</f>
        <v>13.1</v>
      </c>
      <c r="AN11240" s="528">
        <f>ROUND(T11244,2)</f>
        <v>0</v>
      </c>
      <c r="AO11240" s="529">
        <f>ROUND(AM11240+AN11240,2)*A11240</f>
        <v>13.1</v>
      </c>
      <c r="AR11240" s="747">
        <v>1</v>
      </c>
      <c r="AS11240" s="1146">
        <v>16.079999999999998</v>
      </c>
    </row>
    <row r="11241" spans="1:45" s="520" customFormat="1" ht="13.2">
      <c r="A11241" s="748"/>
      <c r="B11241"/>
      <c r="C11241" s="748"/>
      <c r="D11241" s="749" t="s">
        <v>2215</v>
      </c>
      <c r="F11241" s="753"/>
      <c r="G11241" s="3"/>
      <c r="H11241" s="753"/>
      <c r="I11241" s="754"/>
      <c r="J11241" s="753"/>
      <c r="K11241" s="753" t="s">
        <v>144</v>
      </c>
      <c r="L11241" s="753"/>
      <c r="M11241" s="753"/>
      <c r="N11241" s="753"/>
      <c r="O11241" s="753"/>
      <c r="P11241" s="753"/>
      <c r="Q11241" s="51"/>
      <c r="R11241" s="530"/>
      <c r="S11241" s="757"/>
      <c r="T11241" s="753"/>
      <c r="AR11241" s="748"/>
      <c r="AS11241" s="753"/>
    </row>
    <row r="11242" spans="1:45" s="901" customFormat="1" ht="13.2">
      <c r="A11242" s="903">
        <v>1</v>
      </c>
      <c r="B11242" s="904" t="s">
        <v>863</v>
      </c>
      <c r="C11242" s="904"/>
      <c r="D11242" s="904" t="s">
        <v>2594</v>
      </c>
      <c r="E11242" s="904"/>
      <c r="F11242" s="1153" t="s">
        <v>4141</v>
      </c>
      <c r="G11242" s="905" t="s">
        <v>2595</v>
      </c>
      <c r="H11242" s="902">
        <v>960</v>
      </c>
      <c r="I11242" s="904" t="s">
        <v>2596</v>
      </c>
      <c r="J11242" s="904"/>
      <c r="K11242" s="904"/>
      <c r="L11242" s="904"/>
      <c r="M11242" s="904"/>
      <c r="N11242" s="904"/>
      <c r="O11242" s="902">
        <v>4</v>
      </c>
      <c r="P11242" s="906">
        <v>38274</v>
      </c>
      <c r="Q11242" s="1415">
        <f>15*0.873</f>
        <v>13.095000000000001</v>
      </c>
      <c r="R11242" s="908">
        <f>$A11242*Q11242</f>
        <v>13.095000000000001</v>
      </c>
      <c r="S11242" s="907"/>
      <c r="T11242" s="909">
        <f>$A11242*S11242*$T$1</f>
        <v>0</v>
      </c>
      <c r="AR11242" s="903">
        <v>1</v>
      </c>
      <c r="AS11242" s="1153" t="s">
        <v>3507</v>
      </c>
    </row>
    <row r="11243" spans="1:45" s="520" customFormat="1" ht="12">
      <c r="A11243" s="758"/>
      <c r="B11243" s="758"/>
      <c r="C11243" s="758"/>
      <c r="D11243" s="758"/>
      <c r="E11243" s="758"/>
      <c r="F11243" s="753"/>
      <c r="G11243" s="758"/>
      <c r="H11243" s="758"/>
      <c r="I11243" s="519"/>
      <c r="J11243" s="758"/>
      <c r="K11243" s="758"/>
      <c r="L11243" s="758"/>
      <c r="M11243" s="758"/>
      <c r="N11243" s="758"/>
      <c r="O11243" s="758"/>
      <c r="P11243" s="758"/>
      <c r="Q11243" s="519"/>
      <c r="R11243" s="759">
        <f>$A11243*Q11243</f>
        <v>0</v>
      </c>
      <c r="S11243" s="519"/>
      <c r="T11243" s="760">
        <f>$A11243*S11243*$T$1</f>
        <v>0</v>
      </c>
      <c r="AR11243" s="758"/>
      <c r="AS11243" s="753"/>
    </row>
    <row r="11244" spans="1:45" s="520" customFormat="1" ht="12.6" thickBot="1">
      <c r="A11244" s="761" t="s">
        <v>145</v>
      </c>
      <c r="B11244" s="762">
        <f>(R11243+T11243)</f>
        <v>0</v>
      </c>
      <c r="C11244" s="763"/>
      <c r="D11244" s="763"/>
      <c r="E11244" s="763"/>
      <c r="F11244" s="764"/>
      <c r="G11244" s="763" t="s">
        <v>146</v>
      </c>
      <c r="H11244" s="763"/>
      <c r="I11244" s="765"/>
      <c r="J11244" s="763"/>
      <c r="K11244" s="763" t="s">
        <v>5</v>
      </c>
      <c r="L11244" s="766" t="s">
        <v>143</v>
      </c>
      <c r="M11244" s="766"/>
      <c r="N11244" s="766"/>
      <c r="O11244" s="766"/>
      <c r="P11244" s="766"/>
      <c r="Q11244" s="767"/>
      <c r="R11244" s="768">
        <f>SUM(R11241:R11243)</f>
        <v>13.095000000000001</v>
      </c>
      <c r="S11244" s="763"/>
      <c r="T11244" s="768">
        <f>SUM(T11241:T11243)</f>
        <v>0</v>
      </c>
      <c r="U11244" s="531"/>
      <c r="V11244" s="531"/>
      <c r="W11244" s="531"/>
      <c r="X11244" s="531"/>
      <c r="Y11244" s="531"/>
      <c r="Z11244" s="531"/>
      <c r="AA11244" s="531"/>
      <c r="AB11244" s="531"/>
      <c r="AC11244" s="531"/>
      <c r="AD11244" s="531"/>
      <c r="AE11244" s="531"/>
      <c r="AF11244" s="531"/>
      <c r="AG11244" s="531"/>
      <c r="AH11244" s="531"/>
      <c r="AI11244" s="531"/>
      <c r="AJ11244" s="531"/>
      <c r="AK11244" s="531"/>
      <c r="AL11244" s="531"/>
      <c r="AM11244" s="531"/>
      <c r="AN11244" s="531"/>
      <c r="AO11244" s="531"/>
      <c r="AR11244" s="761" t="s">
        <v>145</v>
      </c>
      <c r="AS11244" s="764"/>
    </row>
    <row r="11245" spans="1:45" s="520" customFormat="1" ht="12" thickTop="1">
      <c r="A11245" s="51"/>
      <c r="B11245" s="41"/>
      <c r="C11245" s="51"/>
      <c r="E11245" s="42" t="s">
        <v>138</v>
      </c>
      <c r="F11245" s="42" t="s">
        <v>139</v>
      </c>
      <c r="G11245" s="51"/>
      <c r="H11245" s="51"/>
      <c r="I11245" s="51"/>
      <c r="J11245" s="51"/>
      <c r="K11245" s="51" t="s">
        <v>140</v>
      </c>
      <c r="L11245" s="51"/>
      <c r="M11245" s="51"/>
      <c r="N11245" s="51"/>
      <c r="O11245" s="52"/>
      <c r="P11245" s="51"/>
      <c r="Q11245" s="51"/>
      <c r="R11245" s="51"/>
      <c r="S11245" s="51"/>
      <c r="T11245" s="41"/>
      <c r="AG11245" s="521" t="s">
        <v>268</v>
      </c>
      <c r="AH11245" s="521" t="s">
        <v>269</v>
      </c>
      <c r="AI11245" s="521" t="s">
        <v>270</v>
      </c>
      <c r="AJ11245" s="521" t="s">
        <v>271</v>
      </c>
      <c r="AK11245" s="521" t="s">
        <v>272</v>
      </c>
      <c r="AM11245" s="745" t="s">
        <v>281</v>
      </c>
      <c r="AN11245" s="746" t="s">
        <v>282</v>
      </c>
      <c r="AO11245" s="522" t="s">
        <v>278</v>
      </c>
      <c r="AR11245" s="51"/>
      <c r="AS11245" s="42" t="s">
        <v>139</v>
      </c>
    </row>
    <row r="11246" spans="1:45" s="520" customFormat="1" ht="12" customHeight="1">
      <c r="A11246" s="747">
        <v>1</v>
      </c>
      <c r="B11246" s="523" t="s">
        <v>329</v>
      </c>
      <c r="C11246" s="748"/>
      <c r="D11246" s="749" t="s">
        <v>2570</v>
      </c>
      <c r="E11246" s="1145">
        <f>IF(AND($A11246=0,$A$1="DIF"),0, ROUND(ROUND(($R11250*$S$3+($T11250*$T$3))/$A11246,2)*$C$3,2))</f>
        <v>14.78</v>
      </c>
      <c r="F11246" s="1146">
        <f>ROUND($A11246*$E11246,2)</f>
        <v>14.78</v>
      </c>
      <c r="G11246" s="752" t="s">
        <v>142</v>
      </c>
      <c r="H11246" s="753"/>
      <c r="I11246" s="754"/>
      <c r="J11246" s="753"/>
      <c r="K11246" s="753" t="s">
        <v>5</v>
      </c>
      <c r="L11246" s="755" t="s">
        <v>143</v>
      </c>
      <c r="M11246" s="755"/>
      <c r="N11246" s="755"/>
      <c r="O11246" s="755"/>
      <c r="P11246" s="755"/>
      <c r="Q11246" s="51"/>
      <c r="T11246" s="1150" t="str">
        <f>IF(AND($R11250=0,$T11250=0),"0.00","mu: "&amp; ROUND(F11246/$C$3/($R11250+$T11250*$D$9),2))</f>
        <v>mu: 1.13</v>
      </c>
      <c r="W11246" s="524"/>
      <c r="AG11246" s="1147">
        <f>IF($E11246=0,0,ROUND($R11250*$S$3*$C$3/$A11246,2))</f>
        <v>14.78</v>
      </c>
      <c r="AH11246" s="1147">
        <f>$AG11246*$A11246</f>
        <v>14.78</v>
      </c>
      <c r="AI11246" s="1148">
        <f>$E11246-$AG11246</f>
        <v>0</v>
      </c>
      <c r="AJ11246" s="1148">
        <f>$A11246*$AI11246</f>
        <v>0</v>
      </c>
      <c r="AK11246" s="1149">
        <f>ROUND(($AG11246+$AI11246)*$A11246,2)</f>
        <v>14.78</v>
      </c>
      <c r="AM11246" s="527">
        <f>ROUND(R11250,2)</f>
        <v>13.1</v>
      </c>
      <c r="AN11246" s="528">
        <f>ROUND(T11250,2)</f>
        <v>0</v>
      </c>
      <c r="AO11246" s="529">
        <f>ROUND(AM11246+AN11246,2)*A11246</f>
        <v>13.1</v>
      </c>
      <c r="AR11246" s="747">
        <v>1</v>
      </c>
      <c r="AS11246" s="1146">
        <v>16.079999999999998</v>
      </c>
    </row>
    <row r="11247" spans="1:45" s="520" customFormat="1" ht="13.2">
      <c r="A11247" s="748"/>
      <c r="B11247"/>
      <c r="C11247" s="748"/>
      <c r="D11247" s="749" t="s">
        <v>2216</v>
      </c>
      <c r="F11247" s="753"/>
      <c r="G11247" s="3"/>
      <c r="H11247" s="753"/>
      <c r="I11247" s="754"/>
      <c r="J11247" s="753"/>
      <c r="K11247" s="753" t="s">
        <v>144</v>
      </c>
      <c r="L11247" s="753"/>
      <c r="M11247" s="753"/>
      <c r="N11247" s="753"/>
      <c r="O11247" s="753"/>
      <c r="P11247" s="753"/>
      <c r="Q11247" s="51"/>
      <c r="R11247" s="530"/>
      <c r="S11247" s="757"/>
      <c r="T11247" s="753"/>
      <c r="AR11247" s="748"/>
      <c r="AS11247" s="753"/>
    </row>
    <row r="11248" spans="1:45" s="901" customFormat="1" ht="13.2">
      <c r="A11248" s="903">
        <v>1</v>
      </c>
      <c r="B11248" s="904" t="s">
        <v>863</v>
      </c>
      <c r="C11248" s="904"/>
      <c r="D11248" s="904" t="s">
        <v>2594</v>
      </c>
      <c r="E11248" s="904"/>
      <c r="F11248" s="1153" t="s">
        <v>4141</v>
      </c>
      <c r="G11248" s="905" t="s">
        <v>2595</v>
      </c>
      <c r="H11248" s="902">
        <v>960</v>
      </c>
      <c r="I11248" s="904" t="s">
        <v>2596</v>
      </c>
      <c r="J11248" s="904"/>
      <c r="K11248" s="904"/>
      <c r="L11248" s="904"/>
      <c r="M11248" s="904"/>
      <c r="N11248" s="904"/>
      <c r="O11248" s="902">
        <v>4</v>
      </c>
      <c r="P11248" s="906">
        <v>38274</v>
      </c>
      <c r="Q11248" s="1415">
        <f>15*0.873</f>
        <v>13.095000000000001</v>
      </c>
      <c r="R11248" s="908">
        <f>$A11248*Q11248</f>
        <v>13.095000000000001</v>
      </c>
      <c r="S11248" s="907"/>
      <c r="T11248" s="909">
        <f>$A11248*S11248*$T$1</f>
        <v>0</v>
      </c>
      <c r="AR11248" s="903">
        <v>1</v>
      </c>
      <c r="AS11248" s="1153" t="s">
        <v>3507</v>
      </c>
    </row>
    <row r="11249" spans="1:45" s="520" customFormat="1" ht="12">
      <c r="A11249" s="758"/>
      <c r="B11249" s="758"/>
      <c r="C11249" s="758"/>
      <c r="D11249" s="758"/>
      <c r="E11249" s="758"/>
      <c r="F11249" s="753"/>
      <c r="G11249" s="758"/>
      <c r="H11249" s="758"/>
      <c r="I11249" s="519"/>
      <c r="J11249" s="758"/>
      <c r="K11249" s="758"/>
      <c r="L11249" s="758"/>
      <c r="M11249" s="758"/>
      <c r="N11249" s="758"/>
      <c r="O11249" s="758"/>
      <c r="P11249" s="758"/>
      <c r="Q11249" s="519"/>
      <c r="R11249" s="759">
        <f>$A11249*Q11249</f>
        <v>0</v>
      </c>
      <c r="S11249" s="519"/>
      <c r="T11249" s="760">
        <f>$A11249*S11249*$T$1</f>
        <v>0</v>
      </c>
      <c r="AR11249" s="758"/>
      <c r="AS11249" s="753"/>
    </row>
    <row r="11250" spans="1:45" s="520" customFormat="1" ht="12.6" thickBot="1">
      <c r="A11250" s="761" t="s">
        <v>145</v>
      </c>
      <c r="B11250" s="762">
        <f>(R11249+T11249)</f>
        <v>0</v>
      </c>
      <c r="C11250" s="763"/>
      <c r="D11250" s="763"/>
      <c r="E11250" s="763"/>
      <c r="F11250" s="764"/>
      <c r="G11250" s="763" t="s">
        <v>146</v>
      </c>
      <c r="H11250" s="763"/>
      <c r="I11250" s="765"/>
      <c r="J11250" s="763"/>
      <c r="K11250" s="763" t="s">
        <v>5</v>
      </c>
      <c r="L11250" s="766" t="s">
        <v>143</v>
      </c>
      <c r="M11250" s="766"/>
      <c r="N11250" s="766"/>
      <c r="O11250" s="766"/>
      <c r="P11250" s="766"/>
      <c r="Q11250" s="767"/>
      <c r="R11250" s="768">
        <f>SUM(R11247:R11249)</f>
        <v>13.095000000000001</v>
      </c>
      <c r="S11250" s="763"/>
      <c r="T11250" s="768">
        <f>SUM(T11247:T11249)</f>
        <v>0</v>
      </c>
      <c r="U11250" s="531"/>
      <c r="V11250" s="531"/>
      <c r="W11250" s="531"/>
      <c r="X11250" s="531"/>
      <c r="Y11250" s="531"/>
      <c r="Z11250" s="531"/>
      <c r="AA11250" s="531"/>
      <c r="AB11250" s="531"/>
      <c r="AC11250" s="531"/>
      <c r="AD11250" s="531"/>
      <c r="AE11250" s="531"/>
      <c r="AF11250" s="531"/>
      <c r="AG11250" s="531"/>
      <c r="AH11250" s="531"/>
      <c r="AI11250" s="531"/>
      <c r="AJ11250" s="531"/>
      <c r="AK11250" s="531"/>
      <c r="AL11250" s="531"/>
      <c r="AM11250" s="531"/>
      <c r="AN11250" s="531"/>
      <c r="AO11250" s="531"/>
      <c r="AR11250" s="761" t="s">
        <v>145</v>
      </c>
      <c r="AS11250" s="764"/>
    </row>
    <row r="11251" spans="1:45" s="520" customFormat="1" ht="12" thickTop="1">
      <c r="A11251" s="51"/>
      <c r="B11251" s="41"/>
      <c r="C11251" s="51"/>
      <c r="E11251" s="42" t="s">
        <v>138</v>
      </c>
      <c r="F11251" s="42" t="s">
        <v>139</v>
      </c>
      <c r="G11251" s="51"/>
      <c r="H11251" s="51"/>
      <c r="I11251" s="51"/>
      <c r="J11251" s="51"/>
      <c r="K11251" s="51" t="s">
        <v>140</v>
      </c>
      <c r="L11251" s="51"/>
      <c r="M11251" s="51"/>
      <c r="N11251" s="51"/>
      <c r="O11251" s="52"/>
      <c r="P11251" s="51"/>
      <c r="Q11251" s="51"/>
      <c r="R11251" s="51"/>
      <c r="S11251" s="51"/>
      <c r="T11251" s="41"/>
      <c r="AG11251" s="521" t="s">
        <v>268</v>
      </c>
      <c r="AH11251" s="521" t="s">
        <v>269</v>
      </c>
      <c r="AI11251" s="521" t="s">
        <v>270</v>
      </c>
      <c r="AJ11251" s="521" t="s">
        <v>271</v>
      </c>
      <c r="AK11251" s="521" t="s">
        <v>272</v>
      </c>
      <c r="AM11251" s="745" t="s">
        <v>281</v>
      </c>
      <c r="AN11251" s="746" t="s">
        <v>282</v>
      </c>
      <c r="AO11251" s="522" t="s">
        <v>278</v>
      </c>
      <c r="AR11251" s="51"/>
      <c r="AS11251" s="42" t="s">
        <v>139</v>
      </c>
    </row>
    <row r="11252" spans="1:45" s="520" customFormat="1" ht="12" customHeight="1">
      <c r="A11252" s="747">
        <v>1</v>
      </c>
      <c r="B11252" s="523" t="s">
        <v>329</v>
      </c>
      <c r="C11252" s="748"/>
      <c r="D11252" s="749" t="s">
        <v>2571</v>
      </c>
      <c r="E11252" s="1145">
        <f>IF(AND($A11252=0,$A$1="DIF"),0, ROUND(ROUND(($R11256*$S$3+($T11256*$T$3))/$A11252,2)*$C$3,2))</f>
        <v>14.78</v>
      </c>
      <c r="F11252" s="1146">
        <f>ROUND($A11252*$E11252,2)</f>
        <v>14.78</v>
      </c>
      <c r="G11252" s="752" t="s">
        <v>142</v>
      </c>
      <c r="H11252" s="753"/>
      <c r="I11252" s="754"/>
      <c r="J11252" s="753"/>
      <c r="K11252" s="753" t="s">
        <v>5</v>
      </c>
      <c r="L11252" s="755" t="s">
        <v>143</v>
      </c>
      <c r="M11252" s="755"/>
      <c r="N11252" s="755"/>
      <c r="O11252" s="755"/>
      <c r="P11252" s="755"/>
      <c r="Q11252" s="51"/>
      <c r="T11252" s="1150" t="str">
        <f>IF(AND($R11256=0,$T11256=0),"0.00","mu: "&amp; ROUND(F11252/$C$3/($R11256+$T11256*$D$9),2))</f>
        <v>mu: 1.13</v>
      </c>
      <c r="W11252" s="524"/>
      <c r="AG11252" s="1147">
        <f>IF($E11252=0,0,ROUND($R11256*$S$3*$C$3/$A11252,2))</f>
        <v>14.78</v>
      </c>
      <c r="AH11252" s="1147">
        <f>$AG11252*$A11252</f>
        <v>14.78</v>
      </c>
      <c r="AI11252" s="1148">
        <f>$E11252-$AG11252</f>
        <v>0</v>
      </c>
      <c r="AJ11252" s="1148">
        <f>$A11252*$AI11252</f>
        <v>0</v>
      </c>
      <c r="AK11252" s="1149">
        <f>ROUND(($AG11252+$AI11252)*$A11252,2)</f>
        <v>14.78</v>
      </c>
      <c r="AM11252" s="527">
        <f>ROUND(R11256,2)</f>
        <v>13.1</v>
      </c>
      <c r="AN11252" s="528">
        <f>ROUND(T11256,2)</f>
        <v>0</v>
      </c>
      <c r="AO11252" s="529">
        <f>ROUND(AM11252+AN11252,2)*A11252</f>
        <v>13.1</v>
      </c>
      <c r="AR11252" s="747">
        <v>1</v>
      </c>
      <c r="AS11252" s="1146">
        <v>16.079999999999998</v>
      </c>
    </row>
    <row r="11253" spans="1:45" s="520" customFormat="1" ht="13.2">
      <c r="A11253" s="748"/>
      <c r="B11253"/>
      <c r="C11253" s="748"/>
      <c r="D11253" s="749" t="s">
        <v>2217</v>
      </c>
      <c r="F11253" s="753"/>
      <c r="G11253" s="3"/>
      <c r="H11253" s="753"/>
      <c r="I11253" s="754"/>
      <c r="J11253" s="753"/>
      <c r="K11253" s="753" t="s">
        <v>144</v>
      </c>
      <c r="L11253" s="753"/>
      <c r="M11253" s="753"/>
      <c r="N11253" s="753"/>
      <c r="O11253" s="753"/>
      <c r="P11253" s="753"/>
      <c r="Q11253" s="51"/>
      <c r="R11253" s="530"/>
      <c r="S11253" s="757"/>
      <c r="T11253" s="753"/>
      <c r="AR11253" s="748"/>
      <c r="AS11253" s="753"/>
    </row>
    <row r="11254" spans="1:45" s="901" customFormat="1" ht="13.2">
      <c r="A11254" s="903">
        <v>1</v>
      </c>
      <c r="B11254" s="904" t="s">
        <v>863</v>
      </c>
      <c r="C11254" s="904"/>
      <c r="D11254" s="904" t="s">
        <v>2594</v>
      </c>
      <c r="E11254" s="904"/>
      <c r="F11254" s="1153" t="s">
        <v>4141</v>
      </c>
      <c r="G11254" s="905" t="s">
        <v>2595</v>
      </c>
      <c r="H11254" s="902">
        <v>960</v>
      </c>
      <c r="I11254" s="904" t="s">
        <v>2596</v>
      </c>
      <c r="J11254" s="904"/>
      <c r="K11254" s="904"/>
      <c r="L11254" s="904"/>
      <c r="M11254" s="904"/>
      <c r="N11254" s="904"/>
      <c r="O11254" s="902">
        <v>4</v>
      </c>
      <c r="P11254" s="906">
        <v>38274</v>
      </c>
      <c r="Q11254" s="1415">
        <f>15*0.873</f>
        <v>13.095000000000001</v>
      </c>
      <c r="R11254" s="908">
        <f>$A11254*Q11254</f>
        <v>13.095000000000001</v>
      </c>
      <c r="S11254" s="907"/>
      <c r="T11254" s="909">
        <f>$A11254*S11254*$T$1</f>
        <v>0</v>
      </c>
      <c r="AR11254" s="903">
        <v>1</v>
      </c>
      <c r="AS11254" s="1153" t="s">
        <v>3507</v>
      </c>
    </row>
    <row r="11255" spans="1:45" s="520" customFormat="1" ht="12">
      <c r="A11255" s="758"/>
      <c r="B11255" s="758"/>
      <c r="C11255" s="758"/>
      <c r="D11255" s="758"/>
      <c r="E11255" s="758"/>
      <c r="F11255" s="753"/>
      <c r="G11255" s="758"/>
      <c r="H11255" s="758"/>
      <c r="I11255" s="519"/>
      <c r="J11255" s="758"/>
      <c r="K11255" s="758"/>
      <c r="L11255" s="758"/>
      <c r="M11255" s="758"/>
      <c r="N11255" s="758"/>
      <c r="O11255" s="758"/>
      <c r="P11255" s="758"/>
      <c r="Q11255" s="519"/>
      <c r="R11255" s="759">
        <f>$A11255*Q11255</f>
        <v>0</v>
      </c>
      <c r="S11255" s="519"/>
      <c r="T11255" s="760">
        <f>$A11255*S11255*$T$1</f>
        <v>0</v>
      </c>
      <c r="AR11255" s="758"/>
      <c r="AS11255" s="753"/>
    </row>
    <row r="11256" spans="1:45" s="520" customFormat="1" ht="12.6" thickBot="1">
      <c r="A11256" s="761" t="s">
        <v>145</v>
      </c>
      <c r="B11256" s="762">
        <f>(R11255+T11255)</f>
        <v>0</v>
      </c>
      <c r="C11256" s="763"/>
      <c r="D11256" s="763"/>
      <c r="E11256" s="763"/>
      <c r="F11256" s="764"/>
      <c r="G11256" s="763" t="s">
        <v>146</v>
      </c>
      <c r="H11256" s="763"/>
      <c r="I11256" s="765"/>
      <c r="J11256" s="763"/>
      <c r="K11256" s="763" t="s">
        <v>5</v>
      </c>
      <c r="L11256" s="766" t="s">
        <v>143</v>
      </c>
      <c r="M11256" s="766"/>
      <c r="N11256" s="766"/>
      <c r="O11256" s="766"/>
      <c r="P11256" s="766"/>
      <c r="Q11256" s="767"/>
      <c r="R11256" s="768">
        <f>SUM(R11253:R11255)</f>
        <v>13.095000000000001</v>
      </c>
      <c r="S11256" s="763"/>
      <c r="T11256" s="768">
        <f>SUM(T11253:T11255)</f>
        <v>0</v>
      </c>
      <c r="U11256" s="531"/>
      <c r="V11256" s="531"/>
      <c r="W11256" s="531"/>
      <c r="X11256" s="531"/>
      <c r="Y11256" s="531"/>
      <c r="Z11256" s="531"/>
      <c r="AA11256" s="531"/>
      <c r="AB11256" s="531"/>
      <c r="AC11256" s="531"/>
      <c r="AD11256" s="531"/>
      <c r="AE11256" s="531"/>
      <c r="AF11256" s="531"/>
      <c r="AG11256" s="531"/>
      <c r="AH11256" s="531"/>
      <c r="AI11256" s="531"/>
      <c r="AJ11256" s="531"/>
      <c r="AK11256" s="531"/>
      <c r="AL11256" s="531"/>
      <c r="AM11256" s="531"/>
      <c r="AN11256" s="531"/>
      <c r="AO11256" s="531"/>
      <c r="AR11256" s="761" t="s">
        <v>145</v>
      </c>
      <c r="AS11256" s="764"/>
    </row>
    <row r="11257" spans="1:45" s="520" customFormat="1" thickTop="1">
      <c r="A11257" s="51"/>
      <c r="B11257" s="51"/>
      <c r="C11257" s="3"/>
      <c r="D11257" s="3"/>
      <c r="E11257" s="51"/>
      <c r="F11257" s="51"/>
      <c r="G11257" s="51"/>
      <c r="H11257" s="51"/>
      <c r="I11257" s="51"/>
      <c r="J11257" s="51"/>
      <c r="K11257" s="51" t="s">
        <v>134</v>
      </c>
      <c r="L11257" s="51"/>
      <c r="M11257" s="51"/>
      <c r="N11257" s="51"/>
      <c r="O11257" s="52"/>
      <c r="P11257" s="51"/>
      <c r="Q11257" s="51"/>
      <c r="R11257" s="51"/>
      <c r="S11257" s="51"/>
      <c r="T11257" s="51"/>
      <c r="AR11257" s="51"/>
      <c r="AS11257" s="51"/>
    </row>
    <row r="11258" spans="1:45" s="520" customFormat="1" ht="12">
      <c r="A11258" s="51"/>
      <c r="B11258" s="51"/>
      <c r="C11258" s="51" t="s">
        <v>135</v>
      </c>
      <c r="D11258" s="37"/>
      <c r="E11258" s="51"/>
      <c r="F11258" s="51"/>
      <c r="G11258" s="51"/>
      <c r="H11258" s="51"/>
      <c r="I11258" s="51"/>
      <c r="J11258" s="51"/>
      <c r="K11258" s="51"/>
      <c r="L11258" s="51"/>
      <c r="M11258" s="51"/>
      <c r="N11258" s="51"/>
      <c r="O11258" s="52"/>
      <c r="P11258" s="51"/>
      <c r="Q11258" s="51"/>
      <c r="R11258" s="51"/>
      <c r="S11258" s="51"/>
      <c r="T11258" s="51"/>
      <c r="AR11258" s="51"/>
      <c r="AS11258" s="51"/>
    </row>
    <row r="11259" spans="1:45" s="520" customFormat="1" ht="12">
      <c r="A11259" s="51"/>
      <c r="B11259" s="51"/>
      <c r="C11259" s="51"/>
      <c r="D11259" s="37" t="s">
        <v>2186</v>
      </c>
      <c r="E11259" s="51"/>
      <c r="F11259" s="51"/>
      <c r="G11259" s="51"/>
      <c r="H11259" s="51"/>
      <c r="I11259" s="51"/>
      <c r="J11259" s="51"/>
      <c r="K11259" s="51"/>
      <c r="L11259" s="51"/>
      <c r="M11259" s="51"/>
      <c r="N11259" s="51"/>
      <c r="O11259" s="52"/>
      <c r="P11259" s="51"/>
      <c r="Q11259" s="51"/>
      <c r="R11259" s="51"/>
      <c r="S11259" s="38"/>
      <c r="T11259" s="38"/>
      <c r="AR11259" s="51"/>
      <c r="AS11259" s="51"/>
    </row>
    <row r="11260" spans="1:45" s="3" customFormat="1" thickBot="1">
      <c r="A11260" s="531"/>
      <c r="O11260" s="107"/>
      <c r="AR11260" s="531"/>
    </row>
    <row r="11261" spans="1:45" s="520" customFormat="1" ht="12" thickTop="1">
      <c r="A11261" s="51"/>
      <c r="B11261" s="41"/>
      <c r="C11261" s="51"/>
      <c r="E11261" s="42" t="s">
        <v>138</v>
      </c>
      <c r="F11261" s="42" t="s">
        <v>139</v>
      </c>
      <c r="G11261" s="51"/>
      <c r="H11261" s="51"/>
      <c r="I11261" s="51"/>
      <c r="J11261" s="51"/>
      <c r="K11261" s="51" t="s">
        <v>140</v>
      </c>
      <c r="L11261" s="51"/>
      <c r="M11261" s="51"/>
      <c r="N11261" s="51"/>
      <c r="O11261" s="52"/>
      <c r="P11261" s="51"/>
      <c r="Q11261" s="51"/>
      <c r="R11261" s="51"/>
      <c r="S11261" s="51"/>
      <c r="T11261" s="41"/>
      <c r="AG11261" s="521" t="s">
        <v>268</v>
      </c>
      <c r="AH11261" s="521" t="s">
        <v>269</v>
      </c>
      <c r="AI11261" s="521" t="s">
        <v>270</v>
      </c>
      <c r="AJ11261" s="521" t="s">
        <v>271</v>
      </c>
      <c r="AK11261" s="521" t="s">
        <v>272</v>
      </c>
      <c r="AM11261" s="745" t="s">
        <v>281</v>
      </c>
      <c r="AN11261" s="746" t="s">
        <v>282</v>
      </c>
      <c r="AO11261" s="522" t="s">
        <v>278</v>
      </c>
      <c r="AR11261" s="51"/>
      <c r="AS11261" s="42" t="s">
        <v>139</v>
      </c>
    </row>
    <row r="11262" spans="1:45" s="520" customFormat="1" ht="12" customHeight="1">
      <c r="A11262" s="747">
        <v>1</v>
      </c>
      <c r="B11262" s="523" t="s">
        <v>329</v>
      </c>
      <c r="C11262" s="748"/>
      <c r="D11262" s="749" t="s">
        <v>2572</v>
      </c>
      <c r="E11262" s="1145">
        <f>IF(AND($A11262=0,$A$1="DIF"),0, ROUND(ROUND(($R11266*$S$3+($T11266*$T$3))/$A11262,2)*$C$3,2))</f>
        <v>73.900000000000006</v>
      </c>
      <c r="F11262" s="1146">
        <f>ROUND($A11262*$E11262,2)</f>
        <v>73.900000000000006</v>
      </c>
      <c r="G11262" s="752" t="s">
        <v>142</v>
      </c>
      <c r="H11262" s="753"/>
      <c r="I11262" s="754"/>
      <c r="J11262" s="753"/>
      <c r="K11262" s="753" t="s">
        <v>5</v>
      </c>
      <c r="L11262" s="755" t="s">
        <v>143</v>
      </c>
      <c r="M11262" s="755"/>
      <c r="N11262" s="755"/>
      <c r="O11262" s="755"/>
      <c r="P11262" s="755"/>
      <c r="Q11262" s="51"/>
      <c r="T11262" s="1150" t="str">
        <f>IF(AND($R11266=0,$T11266=0),"0.00","mu: "&amp; ROUND(F11262/$C$3/($R11266+$T11266*$D$9),2))</f>
        <v>mu: 1.13</v>
      </c>
      <c r="W11262" s="524"/>
      <c r="AG11262" s="1147">
        <f>IF($E11262=0,0,ROUND($R11266*$S$3*$C$3/$A11262,2))</f>
        <v>73.900000000000006</v>
      </c>
      <c r="AH11262" s="1147">
        <f>$AG11262*$A11262</f>
        <v>73.900000000000006</v>
      </c>
      <c r="AI11262" s="1148">
        <f>$E11262-$AG11262</f>
        <v>0</v>
      </c>
      <c r="AJ11262" s="1148">
        <f>$A11262*$AI11262</f>
        <v>0</v>
      </c>
      <c r="AK11262" s="1149">
        <f>ROUND(($AG11262+$AI11262)*$A11262,2)</f>
        <v>73.900000000000006</v>
      </c>
      <c r="AM11262" s="527">
        <f>ROUND(R11266,2)</f>
        <v>65.48</v>
      </c>
      <c r="AN11262" s="528">
        <f>ROUND(T11266,2)</f>
        <v>0</v>
      </c>
      <c r="AO11262" s="529">
        <f>ROUND(AM11262+AN11262,2)*A11262</f>
        <v>65.48</v>
      </c>
      <c r="AR11262" s="747">
        <v>1</v>
      </c>
      <c r="AS11262" s="1146">
        <v>80.42</v>
      </c>
    </row>
    <row r="11263" spans="1:45" s="520" customFormat="1" ht="13.2">
      <c r="A11263" s="748"/>
      <c r="B11263"/>
      <c r="C11263" s="748"/>
      <c r="D11263" s="749" t="s">
        <v>2218</v>
      </c>
      <c r="F11263" s="753"/>
      <c r="G11263" s="3"/>
      <c r="H11263" s="753"/>
      <c r="I11263" s="754"/>
      <c r="J11263" s="753"/>
      <c r="K11263" s="753" t="s">
        <v>144</v>
      </c>
      <c r="L11263" s="753"/>
      <c r="M11263" s="753"/>
      <c r="N11263" s="753"/>
      <c r="O11263" s="753"/>
      <c r="P11263" s="753"/>
      <c r="Q11263" s="51"/>
      <c r="R11263" s="530"/>
      <c r="S11263" s="757"/>
      <c r="T11263" s="753"/>
      <c r="AR11263" s="748"/>
      <c r="AS11263" s="753"/>
    </row>
    <row r="11264" spans="1:45" s="901" customFormat="1" ht="13.2">
      <c r="A11264" s="903">
        <v>1</v>
      </c>
      <c r="B11264" s="904" t="s">
        <v>863</v>
      </c>
      <c r="C11264" s="904"/>
      <c r="D11264" s="904" t="s">
        <v>2594</v>
      </c>
      <c r="E11264" s="904"/>
      <c r="F11264" s="1153" t="s">
        <v>4141</v>
      </c>
      <c r="G11264" s="905" t="s">
        <v>2595</v>
      </c>
      <c r="H11264" s="902">
        <v>960</v>
      </c>
      <c r="I11264" s="904" t="s">
        <v>2596</v>
      </c>
      <c r="J11264" s="904"/>
      <c r="K11264" s="904"/>
      <c r="L11264" s="904"/>
      <c r="M11264" s="904"/>
      <c r="N11264" s="904"/>
      <c r="O11264" s="902">
        <v>4</v>
      </c>
      <c r="P11264" s="906">
        <v>38274</v>
      </c>
      <c r="Q11264" s="1415">
        <f>75*0.873</f>
        <v>65.474999999999994</v>
      </c>
      <c r="R11264" s="908">
        <f>$A11264*Q11264</f>
        <v>65.474999999999994</v>
      </c>
      <c r="S11264" s="907"/>
      <c r="T11264" s="909">
        <f>$A11264*S11264*$T$1</f>
        <v>0</v>
      </c>
      <c r="AR11264" s="903">
        <v>1</v>
      </c>
      <c r="AS11264" s="1153" t="s">
        <v>3507</v>
      </c>
    </row>
    <row r="11265" spans="1:45" s="520" customFormat="1" ht="12">
      <c r="A11265" s="758"/>
      <c r="B11265" s="758"/>
      <c r="C11265" s="758"/>
      <c r="D11265" s="758"/>
      <c r="E11265" s="758"/>
      <c r="F11265" s="753"/>
      <c r="G11265" s="758"/>
      <c r="H11265" s="758"/>
      <c r="I11265" s="519"/>
      <c r="J11265" s="758"/>
      <c r="K11265" s="758"/>
      <c r="L11265" s="758"/>
      <c r="M11265" s="758"/>
      <c r="N11265" s="758"/>
      <c r="O11265" s="758"/>
      <c r="P11265" s="758"/>
      <c r="Q11265" s="519"/>
      <c r="R11265" s="759">
        <f>$A11265*Q11265</f>
        <v>0</v>
      </c>
      <c r="S11265" s="519"/>
      <c r="T11265" s="760">
        <f>$A11265*S11265*$T$1</f>
        <v>0</v>
      </c>
      <c r="AR11265" s="758"/>
      <c r="AS11265" s="753"/>
    </row>
    <row r="11266" spans="1:45" s="520" customFormat="1" ht="12.6" thickBot="1">
      <c r="A11266" s="761" t="s">
        <v>145</v>
      </c>
      <c r="B11266" s="762">
        <f>(R11265+T11265)</f>
        <v>0</v>
      </c>
      <c r="C11266" s="763"/>
      <c r="D11266" s="763"/>
      <c r="E11266" s="763"/>
      <c r="F11266" s="764"/>
      <c r="G11266" s="763" t="s">
        <v>146</v>
      </c>
      <c r="H11266" s="763"/>
      <c r="I11266" s="765"/>
      <c r="J11266" s="763"/>
      <c r="K11266" s="763" t="s">
        <v>5</v>
      </c>
      <c r="L11266" s="766" t="s">
        <v>143</v>
      </c>
      <c r="M11266" s="766"/>
      <c r="N11266" s="766"/>
      <c r="O11266" s="766"/>
      <c r="P11266" s="766"/>
      <c r="Q11266" s="767"/>
      <c r="R11266" s="768">
        <f>SUM(R11263:R11265)</f>
        <v>65.474999999999994</v>
      </c>
      <c r="S11266" s="763"/>
      <c r="T11266" s="768">
        <f>SUM(T11263:T11265)</f>
        <v>0</v>
      </c>
      <c r="U11266" s="531"/>
      <c r="V11266" s="531"/>
      <c r="W11266" s="531"/>
      <c r="X11266" s="531"/>
      <c r="Y11266" s="531"/>
      <c r="Z11266" s="531"/>
      <c r="AA11266" s="531"/>
      <c r="AB11266" s="531"/>
      <c r="AC11266" s="531"/>
      <c r="AD11266" s="531"/>
      <c r="AE11266" s="531"/>
      <c r="AF11266" s="531"/>
      <c r="AG11266" s="531"/>
      <c r="AH11266" s="531"/>
      <c r="AI11266" s="531"/>
      <c r="AJ11266" s="531"/>
      <c r="AK11266" s="531"/>
      <c r="AL11266" s="531"/>
      <c r="AM11266" s="531"/>
      <c r="AN11266" s="531"/>
      <c r="AO11266" s="531"/>
      <c r="AR11266" s="761" t="s">
        <v>145</v>
      </c>
      <c r="AS11266" s="764"/>
    </row>
    <row r="11267" spans="1:45" s="520" customFormat="1" ht="12" thickTop="1">
      <c r="A11267" s="51"/>
      <c r="B11267" s="41"/>
      <c r="C11267" s="51"/>
      <c r="E11267" s="42" t="s">
        <v>138</v>
      </c>
      <c r="F11267" s="42" t="s">
        <v>139</v>
      </c>
      <c r="G11267" s="51"/>
      <c r="H11267" s="51"/>
      <c r="I11267" s="51"/>
      <c r="J11267" s="51"/>
      <c r="K11267" s="51" t="s">
        <v>140</v>
      </c>
      <c r="L11267" s="51"/>
      <c r="M11267" s="51"/>
      <c r="N11267" s="51"/>
      <c r="O11267" s="52"/>
      <c r="P11267" s="51"/>
      <c r="Q11267" s="51"/>
      <c r="R11267" s="51"/>
      <c r="S11267" s="51"/>
      <c r="T11267" s="41"/>
      <c r="AG11267" s="521" t="s">
        <v>268</v>
      </c>
      <c r="AH11267" s="521" t="s">
        <v>269</v>
      </c>
      <c r="AI11267" s="521" t="s">
        <v>270</v>
      </c>
      <c r="AJ11267" s="521" t="s">
        <v>271</v>
      </c>
      <c r="AK11267" s="521" t="s">
        <v>272</v>
      </c>
      <c r="AM11267" s="745" t="s">
        <v>281</v>
      </c>
      <c r="AN11267" s="746" t="s">
        <v>282</v>
      </c>
      <c r="AO11267" s="522" t="s">
        <v>278</v>
      </c>
      <c r="AR11267" s="51"/>
      <c r="AS11267" s="42" t="s">
        <v>139</v>
      </c>
    </row>
    <row r="11268" spans="1:45" s="520" customFormat="1" ht="12" customHeight="1">
      <c r="A11268" s="747">
        <v>1</v>
      </c>
      <c r="B11268" s="523" t="s">
        <v>329</v>
      </c>
      <c r="C11268" s="748"/>
      <c r="D11268" s="749" t="s">
        <v>2573</v>
      </c>
      <c r="E11268" s="1145">
        <f>IF(AND($A11268=0,$A$1="DIF"),0, ROUND(ROUND(($R11272*$S$3+($T11272*$T$3))/$A11268,2)*$C$3,2))</f>
        <v>98.54</v>
      </c>
      <c r="F11268" s="1146">
        <f>ROUND($A11268*$E11268,2)</f>
        <v>98.54</v>
      </c>
      <c r="G11268" s="752" t="s">
        <v>142</v>
      </c>
      <c r="H11268" s="753"/>
      <c r="I11268" s="754"/>
      <c r="J11268" s="753"/>
      <c r="K11268" s="753" t="s">
        <v>5</v>
      </c>
      <c r="L11268" s="755" t="s">
        <v>143</v>
      </c>
      <c r="M11268" s="755"/>
      <c r="N11268" s="755"/>
      <c r="O11268" s="755"/>
      <c r="P11268" s="755"/>
      <c r="Q11268" s="51"/>
      <c r="T11268" s="1150" t="str">
        <f>IF(AND($R11272=0,$T11272=0),"0.00","mu: "&amp; ROUND(F11268/$C$3/($R11272+$T11272*$D$9),2))</f>
        <v>mu: 1.13</v>
      </c>
      <c r="W11268" s="524"/>
      <c r="AG11268" s="1147">
        <f>IF($E11268=0,0,ROUND($R11272*$S$3*$C$3/$A11268,2))</f>
        <v>98.54</v>
      </c>
      <c r="AH11268" s="1147">
        <f>$AG11268*$A11268</f>
        <v>98.54</v>
      </c>
      <c r="AI11268" s="1148">
        <f>$E11268-$AG11268</f>
        <v>0</v>
      </c>
      <c r="AJ11268" s="1148">
        <f>$A11268*$AI11268</f>
        <v>0</v>
      </c>
      <c r="AK11268" s="1149">
        <f>ROUND(($AG11268+$AI11268)*$A11268,2)</f>
        <v>98.54</v>
      </c>
      <c r="AM11268" s="527">
        <f>ROUND(R11272,2)</f>
        <v>87.3</v>
      </c>
      <c r="AN11268" s="528">
        <f>ROUND(T11272,2)</f>
        <v>0</v>
      </c>
      <c r="AO11268" s="529">
        <f>ROUND(AM11268+AN11268,2)*A11268</f>
        <v>87.3</v>
      </c>
      <c r="AR11268" s="747">
        <v>1</v>
      </c>
      <c r="AS11268" s="1146">
        <v>107.23</v>
      </c>
    </row>
    <row r="11269" spans="1:45" s="520" customFormat="1" ht="13.2">
      <c r="A11269" s="748"/>
      <c r="B11269"/>
      <c r="C11269" s="748"/>
      <c r="D11269" s="749" t="s">
        <v>2219</v>
      </c>
      <c r="F11269" s="753"/>
      <c r="G11269" s="3"/>
      <c r="H11269" s="753"/>
      <c r="I11269" s="754"/>
      <c r="J11269" s="753"/>
      <c r="K11269" s="753" t="s">
        <v>144</v>
      </c>
      <c r="L11269" s="753"/>
      <c r="M11269" s="753"/>
      <c r="N11269" s="753"/>
      <c r="O11269" s="753"/>
      <c r="P11269" s="753"/>
      <c r="Q11269" s="51"/>
      <c r="R11269" s="530"/>
      <c r="S11269" s="757"/>
      <c r="T11269" s="753"/>
      <c r="AR11269" s="748"/>
      <c r="AS11269" s="753"/>
    </row>
    <row r="11270" spans="1:45" s="901" customFormat="1" ht="13.2">
      <c r="A11270" s="903">
        <v>1</v>
      </c>
      <c r="B11270" s="904" t="s">
        <v>863</v>
      </c>
      <c r="C11270" s="904"/>
      <c r="D11270" s="904" t="s">
        <v>2594</v>
      </c>
      <c r="E11270" s="904"/>
      <c r="F11270" s="1153" t="s">
        <v>4141</v>
      </c>
      <c r="G11270" s="905" t="s">
        <v>2595</v>
      </c>
      <c r="H11270" s="902">
        <v>960</v>
      </c>
      <c r="I11270" s="904" t="s">
        <v>2596</v>
      </c>
      <c r="J11270" s="904"/>
      <c r="K11270" s="904"/>
      <c r="L11270" s="904"/>
      <c r="M11270" s="904"/>
      <c r="N11270" s="904"/>
      <c r="O11270" s="902">
        <v>4</v>
      </c>
      <c r="P11270" s="906">
        <v>38274</v>
      </c>
      <c r="Q11270" s="1415">
        <f>100*0.873</f>
        <v>87.3</v>
      </c>
      <c r="R11270" s="908">
        <f>$A11270*Q11270</f>
        <v>87.3</v>
      </c>
      <c r="S11270" s="907"/>
      <c r="T11270" s="909">
        <f>$A11270*S11270*$T$1</f>
        <v>0</v>
      </c>
      <c r="AR11270" s="903">
        <v>1</v>
      </c>
      <c r="AS11270" s="1153" t="s">
        <v>3507</v>
      </c>
    </row>
    <row r="11271" spans="1:45" s="520" customFormat="1" ht="12">
      <c r="A11271" s="758"/>
      <c r="B11271" s="758"/>
      <c r="C11271" s="758"/>
      <c r="D11271" s="758"/>
      <c r="E11271" s="758"/>
      <c r="F11271" s="753"/>
      <c r="G11271" s="758"/>
      <c r="H11271" s="758"/>
      <c r="I11271" s="519"/>
      <c r="J11271" s="758"/>
      <c r="K11271" s="758"/>
      <c r="L11271" s="758"/>
      <c r="M11271" s="758"/>
      <c r="N11271" s="758"/>
      <c r="O11271" s="758"/>
      <c r="P11271" s="758"/>
      <c r="Q11271" s="519"/>
      <c r="R11271" s="759">
        <f>$A11271*Q11271</f>
        <v>0</v>
      </c>
      <c r="S11271" s="519"/>
      <c r="T11271" s="760">
        <f>$A11271*S11271*$T$1</f>
        <v>0</v>
      </c>
      <c r="AR11271" s="758"/>
      <c r="AS11271" s="753"/>
    </row>
    <row r="11272" spans="1:45" s="520" customFormat="1" ht="12.6" thickBot="1">
      <c r="A11272" s="761" t="s">
        <v>145</v>
      </c>
      <c r="B11272" s="762">
        <f>(R11271+T11271)</f>
        <v>0</v>
      </c>
      <c r="C11272" s="763"/>
      <c r="D11272" s="763"/>
      <c r="E11272" s="763"/>
      <c r="F11272" s="764"/>
      <c r="G11272" s="763" t="s">
        <v>146</v>
      </c>
      <c r="H11272" s="763"/>
      <c r="I11272" s="765"/>
      <c r="J11272" s="763"/>
      <c r="K11272" s="763" t="s">
        <v>5</v>
      </c>
      <c r="L11272" s="766" t="s">
        <v>143</v>
      </c>
      <c r="M11272" s="766"/>
      <c r="N11272" s="766"/>
      <c r="O11272" s="766"/>
      <c r="P11272" s="766"/>
      <c r="Q11272" s="767"/>
      <c r="R11272" s="768">
        <f>SUM(R11269:R11271)</f>
        <v>87.3</v>
      </c>
      <c r="S11272" s="763"/>
      <c r="T11272" s="768">
        <f>SUM(T11269:T11271)</f>
        <v>0</v>
      </c>
      <c r="U11272" s="531"/>
      <c r="V11272" s="531"/>
      <c r="W11272" s="531"/>
      <c r="X11272" s="531"/>
      <c r="Y11272" s="531"/>
      <c r="Z11272" s="531"/>
      <c r="AA11272" s="531"/>
      <c r="AB11272" s="531"/>
      <c r="AC11272" s="531"/>
      <c r="AD11272" s="531"/>
      <c r="AE11272" s="531"/>
      <c r="AF11272" s="531"/>
      <c r="AG11272" s="531"/>
      <c r="AH11272" s="531"/>
      <c r="AI11272" s="531"/>
      <c r="AJ11272" s="531"/>
      <c r="AK11272" s="531"/>
      <c r="AL11272" s="531"/>
      <c r="AM11272" s="531"/>
      <c r="AN11272" s="531"/>
      <c r="AO11272" s="531"/>
      <c r="AR11272" s="761" t="s">
        <v>145</v>
      </c>
      <c r="AS11272" s="764"/>
    </row>
    <row r="11273" spans="1:45" s="520" customFormat="1" ht="12" thickTop="1">
      <c r="A11273" s="51"/>
      <c r="B11273" s="41"/>
      <c r="C11273" s="51"/>
      <c r="E11273" s="42" t="s">
        <v>138</v>
      </c>
      <c r="F11273" s="42" t="s">
        <v>139</v>
      </c>
      <c r="G11273" s="51"/>
      <c r="H11273" s="51"/>
      <c r="I11273" s="51"/>
      <c r="J11273" s="51"/>
      <c r="K11273" s="51" t="s">
        <v>140</v>
      </c>
      <c r="L11273" s="51"/>
      <c r="M11273" s="51"/>
      <c r="N11273" s="51"/>
      <c r="O11273" s="52"/>
      <c r="P11273" s="51"/>
      <c r="Q11273" s="51"/>
      <c r="R11273" s="51"/>
      <c r="S11273" s="51"/>
      <c r="T11273" s="41"/>
      <c r="AG11273" s="521" t="s">
        <v>268</v>
      </c>
      <c r="AH11273" s="521" t="s">
        <v>269</v>
      </c>
      <c r="AI11273" s="521" t="s">
        <v>270</v>
      </c>
      <c r="AJ11273" s="521" t="s">
        <v>271</v>
      </c>
      <c r="AK11273" s="521" t="s">
        <v>272</v>
      </c>
      <c r="AM11273" s="745" t="s">
        <v>281</v>
      </c>
      <c r="AN11273" s="746" t="s">
        <v>282</v>
      </c>
      <c r="AO11273" s="522" t="s">
        <v>278</v>
      </c>
      <c r="AR11273" s="51"/>
      <c r="AS11273" s="42" t="s">
        <v>139</v>
      </c>
    </row>
    <row r="11274" spans="1:45" s="520" customFormat="1" ht="12" customHeight="1">
      <c r="A11274" s="747">
        <v>1</v>
      </c>
      <c r="B11274" s="523" t="s">
        <v>329</v>
      </c>
      <c r="C11274" s="748"/>
      <c r="D11274" s="749" t="s">
        <v>2574</v>
      </c>
      <c r="E11274" s="1145">
        <f>IF(AND($A11274=0,$A$1="DIF"),0, ROUND(ROUND(($R11278*$S$3+($T11278*$T$3))/$A11274,2)*$C$3,2))</f>
        <v>73.900000000000006</v>
      </c>
      <c r="F11274" s="1146">
        <f>ROUND($A11274*$E11274,2)</f>
        <v>73.900000000000006</v>
      </c>
      <c r="G11274" s="752" t="s">
        <v>142</v>
      </c>
      <c r="H11274" s="753"/>
      <c r="I11274" s="754"/>
      <c r="J11274" s="753"/>
      <c r="K11274" s="753" t="s">
        <v>5</v>
      </c>
      <c r="L11274" s="755" t="s">
        <v>143</v>
      </c>
      <c r="M11274" s="755"/>
      <c r="N11274" s="755"/>
      <c r="O11274" s="755"/>
      <c r="P11274" s="755"/>
      <c r="Q11274" s="51"/>
      <c r="T11274" s="1150" t="str">
        <f>IF(AND($R11278=0,$T11278=0),"0.00","mu: "&amp; ROUND(F11274/$C$3/($R11278+$T11278*$D$9),2))</f>
        <v>mu: 1.13</v>
      </c>
      <c r="W11274" s="524"/>
      <c r="AG11274" s="1147">
        <f>IF($E11274=0,0,ROUND($R11278*$S$3*$C$3/$A11274,2))</f>
        <v>73.900000000000006</v>
      </c>
      <c r="AH11274" s="1147">
        <f>$AG11274*$A11274</f>
        <v>73.900000000000006</v>
      </c>
      <c r="AI11274" s="1148">
        <f>$E11274-$AG11274</f>
        <v>0</v>
      </c>
      <c r="AJ11274" s="1148">
        <f>$A11274*$AI11274</f>
        <v>0</v>
      </c>
      <c r="AK11274" s="1149">
        <f>ROUND(($AG11274+$AI11274)*$A11274,2)</f>
        <v>73.900000000000006</v>
      </c>
      <c r="AM11274" s="527">
        <f>ROUND(R11278,2)</f>
        <v>65.48</v>
      </c>
      <c r="AN11274" s="528">
        <f>ROUND(T11278,2)</f>
        <v>0</v>
      </c>
      <c r="AO11274" s="529">
        <f>ROUND(AM11274+AN11274,2)*A11274</f>
        <v>65.48</v>
      </c>
      <c r="AR11274" s="747">
        <v>1</v>
      </c>
      <c r="AS11274" s="1146">
        <v>80.42</v>
      </c>
    </row>
    <row r="11275" spans="1:45" s="520" customFormat="1" ht="13.2">
      <c r="A11275" s="748"/>
      <c r="B11275"/>
      <c r="C11275" s="748"/>
      <c r="D11275" s="749" t="s">
        <v>2220</v>
      </c>
      <c r="F11275" s="753"/>
      <c r="G11275" s="3"/>
      <c r="H11275" s="753"/>
      <c r="I11275" s="754"/>
      <c r="J11275" s="753"/>
      <c r="K11275" s="753" t="s">
        <v>144</v>
      </c>
      <c r="L11275" s="753"/>
      <c r="M11275" s="753"/>
      <c r="N11275" s="753"/>
      <c r="O11275" s="753"/>
      <c r="P11275" s="753"/>
      <c r="Q11275" s="51"/>
      <c r="R11275" s="530"/>
      <c r="S11275" s="757"/>
      <c r="T11275" s="753"/>
      <c r="AR11275" s="748"/>
      <c r="AS11275" s="753"/>
    </row>
    <row r="11276" spans="1:45" s="901" customFormat="1" ht="13.2">
      <c r="A11276" s="903">
        <v>1</v>
      </c>
      <c r="B11276" s="904" t="s">
        <v>863</v>
      </c>
      <c r="C11276" s="904"/>
      <c r="D11276" s="904" t="s">
        <v>2594</v>
      </c>
      <c r="E11276" s="904"/>
      <c r="F11276" s="1153" t="s">
        <v>4141</v>
      </c>
      <c r="G11276" s="905" t="s">
        <v>2595</v>
      </c>
      <c r="H11276" s="902">
        <v>960</v>
      </c>
      <c r="I11276" s="904" t="s">
        <v>2596</v>
      </c>
      <c r="J11276" s="904"/>
      <c r="K11276" s="904"/>
      <c r="L11276" s="904"/>
      <c r="M11276" s="904"/>
      <c r="N11276" s="904"/>
      <c r="O11276" s="902">
        <v>4</v>
      </c>
      <c r="P11276" s="906">
        <v>38274</v>
      </c>
      <c r="Q11276" s="1415">
        <f>75*0.873</f>
        <v>65.474999999999994</v>
      </c>
      <c r="R11276" s="908">
        <f>$A11276*Q11276</f>
        <v>65.474999999999994</v>
      </c>
      <c r="S11276" s="907"/>
      <c r="T11276" s="909">
        <f>$A11276*S11276*$T$1</f>
        <v>0</v>
      </c>
      <c r="AR11276" s="903">
        <v>1</v>
      </c>
      <c r="AS11276" s="1153" t="s">
        <v>3507</v>
      </c>
    </row>
    <row r="11277" spans="1:45" s="520" customFormat="1" ht="12">
      <c r="A11277" s="758"/>
      <c r="B11277" s="758"/>
      <c r="C11277" s="758"/>
      <c r="D11277" s="758"/>
      <c r="E11277" s="758"/>
      <c r="F11277" s="753"/>
      <c r="G11277" s="758"/>
      <c r="H11277" s="758"/>
      <c r="I11277" s="519"/>
      <c r="J11277" s="758"/>
      <c r="K11277" s="758"/>
      <c r="L11277" s="758"/>
      <c r="M11277" s="758"/>
      <c r="N11277" s="758"/>
      <c r="O11277" s="758"/>
      <c r="P11277" s="758"/>
      <c r="Q11277" s="519"/>
      <c r="R11277" s="759">
        <f>$A11277*Q11277</f>
        <v>0</v>
      </c>
      <c r="S11277" s="519"/>
      <c r="T11277" s="760">
        <f>$A11277*S11277*$T$1</f>
        <v>0</v>
      </c>
      <c r="AR11277" s="758"/>
      <c r="AS11277" s="753"/>
    </row>
    <row r="11278" spans="1:45" s="520" customFormat="1" ht="12.6" thickBot="1">
      <c r="A11278" s="761" t="s">
        <v>145</v>
      </c>
      <c r="B11278" s="762">
        <f>(R11277+T11277)</f>
        <v>0</v>
      </c>
      <c r="C11278" s="763"/>
      <c r="D11278" s="763"/>
      <c r="E11278" s="763"/>
      <c r="F11278" s="764"/>
      <c r="G11278" s="763" t="s">
        <v>146</v>
      </c>
      <c r="H11278" s="763"/>
      <c r="I11278" s="765"/>
      <c r="J11278" s="763"/>
      <c r="K11278" s="763" t="s">
        <v>5</v>
      </c>
      <c r="L11278" s="766" t="s">
        <v>143</v>
      </c>
      <c r="M11278" s="766"/>
      <c r="N11278" s="766"/>
      <c r="O11278" s="766"/>
      <c r="P11278" s="766"/>
      <c r="Q11278" s="767"/>
      <c r="R11278" s="768">
        <f>SUM(R11275:R11277)</f>
        <v>65.474999999999994</v>
      </c>
      <c r="S11278" s="763"/>
      <c r="T11278" s="768">
        <f>SUM(T11275:T11277)</f>
        <v>0</v>
      </c>
      <c r="U11278" s="531"/>
      <c r="V11278" s="531"/>
      <c r="W11278" s="531"/>
      <c r="X11278" s="531"/>
      <c r="Y11278" s="531"/>
      <c r="Z11278" s="531"/>
      <c r="AA11278" s="531"/>
      <c r="AB11278" s="531"/>
      <c r="AC11278" s="531"/>
      <c r="AD11278" s="531"/>
      <c r="AE11278" s="531"/>
      <c r="AF11278" s="531"/>
      <c r="AG11278" s="531"/>
      <c r="AH11278" s="531"/>
      <c r="AI11278" s="531"/>
      <c r="AJ11278" s="531"/>
      <c r="AK11278" s="531"/>
      <c r="AL11278" s="531"/>
      <c r="AM11278" s="531"/>
      <c r="AN11278" s="531"/>
      <c r="AO11278" s="531"/>
      <c r="AR11278" s="761" t="s">
        <v>145</v>
      </c>
      <c r="AS11278" s="764"/>
    </row>
    <row r="11279" spans="1:45" s="520" customFormat="1" ht="12" thickTop="1">
      <c r="A11279" s="51"/>
      <c r="B11279" s="41"/>
      <c r="C11279" s="51"/>
      <c r="E11279" s="42" t="s">
        <v>138</v>
      </c>
      <c r="F11279" s="42" t="s">
        <v>139</v>
      </c>
      <c r="G11279" s="51"/>
      <c r="H11279" s="51"/>
      <c r="I11279" s="51"/>
      <c r="J11279" s="51"/>
      <c r="K11279" s="51" t="s">
        <v>140</v>
      </c>
      <c r="L11279" s="51"/>
      <c r="M11279" s="51"/>
      <c r="N11279" s="51"/>
      <c r="O11279" s="52"/>
      <c r="P11279" s="51"/>
      <c r="Q11279" s="51"/>
      <c r="R11279" s="51"/>
      <c r="S11279" s="51"/>
      <c r="T11279" s="41"/>
      <c r="AG11279" s="521" t="s">
        <v>268</v>
      </c>
      <c r="AH11279" s="521" t="s">
        <v>269</v>
      </c>
      <c r="AI11279" s="521" t="s">
        <v>270</v>
      </c>
      <c r="AJ11279" s="521" t="s">
        <v>271</v>
      </c>
      <c r="AK11279" s="521" t="s">
        <v>272</v>
      </c>
      <c r="AM11279" s="745" t="s">
        <v>281</v>
      </c>
      <c r="AN11279" s="746" t="s">
        <v>282</v>
      </c>
      <c r="AO11279" s="522" t="s">
        <v>278</v>
      </c>
      <c r="AR11279" s="51"/>
      <c r="AS11279" s="42" t="s">
        <v>139</v>
      </c>
    </row>
    <row r="11280" spans="1:45" s="520" customFormat="1" ht="12" customHeight="1">
      <c r="A11280" s="747">
        <v>1</v>
      </c>
      <c r="B11280" s="523" t="s">
        <v>329</v>
      </c>
      <c r="C11280" s="748"/>
      <c r="D11280" s="749" t="s">
        <v>2575</v>
      </c>
      <c r="E11280" s="1145">
        <f>IF(AND($A11280=0,$A$1="DIF"),0, ROUND(ROUND(($R11284*$S$3+($T11284*$T$3))/$A11280,2)*$C$3,2))</f>
        <v>0</v>
      </c>
      <c r="F11280" s="1146">
        <f>ROUND($A11280*$E11280,2)</f>
        <v>0</v>
      </c>
      <c r="G11280" s="752" t="s">
        <v>142</v>
      </c>
      <c r="H11280" s="753"/>
      <c r="I11280" s="754"/>
      <c r="J11280" s="753"/>
      <c r="K11280" s="753" t="s">
        <v>5</v>
      </c>
      <c r="L11280" s="755" t="s">
        <v>143</v>
      </c>
      <c r="M11280" s="755"/>
      <c r="N11280" s="755"/>
      <c r="O11280" s="755"/>
      <c r="P11280" s="755"/>
      <c r="Q11280" s="1058" t="s">
        <v>2895</v>
      </c>
      <c r="T11280" s="1150" t="str">
        <f>IF(AND($R11284=0,$T11284=0),"0.00","mu: "&amp; ROUND(F11280/$C$3/($R11284+$T11284*$D$9),2))</f>
        <v>0.00</v>
      </c>
      <c r="W11280" s="524"/>
      <c r="AG11280" s="1147">
        <f>IF($E11280=0,0,ROUND($R11284*$S$3*$C$3/$A11280,2))</f>
        <v>0</v>
      </c>
      <c r="AH11280" s="1147">
        <f>$AG11280*$A11280</f>
        <v>0</v>
      </c>
      <c r="AI11280" s="1148">
        <f>$E11280-$AG11280</f>
        <v>0</v>
      </c>
      <c r="AJ11280" s="1148">
        <f>$A11280*$AI11280</f>
        <v>0</v>
      </c>
      <c r="AK11280" s="1149">
        <f>ROUND(($AG11280+$AI11280)*$A11280,2)</f>
        <v>0</v>
      </c>
      <c r="AM11280" s="527">
        <f>ROUND(R11284,2)</f>
        <v>0</v>
      </c>
      <c r="AN11280" s="528">
        <f>ROUND(T11284,2)</f>
        <v>0</v>
      </c>
      <c r="AO11280" s="529">
        <f>ROUND(AM11280+AN11280,2)*A11280</f>
        <v>0</v>
      </c>
      <c r="AR11280" s="747">
        <v>1</v>
      </c>
      <c r="AS11280" s="1146">
        <v>0</v>
      </c>
    </row>
    <row r="11281" spans="1:45" s="520" customFormat="1" ht="13.2">
      <c r="A11281" s="748"/>
      <c r="B11281"/>
      <c r="C11281" s="748"/>
      <c r="D11281" s="749" t="s">
        <v>2221</v>
      </c>
      <c r="F11281" s="753"/>
      <c r="G11281" s="3"/>
      <c r="H11281" s="753"/>
      <c r="I11281" s="754"/>
      <c r="J11281" s="753"/>
      <c r="K11281" s="753" t="s">
        <v>144</v>
      </c>
      <c r="L11281" s="753"/>
      <c r="M11281" s="753"/>
      <c r="N11281" s="753"/>
      <c r="O11281" s="753"/>
      <c r="P11281" s="753"/>
      <c r="Q11281" s="51"/>
      <c r="R11281" s="530"/>
      <c r="S11281" s="757"/>
      <c r="T11281" s="753"/>
      <c r="AR11281" s="748"/>
      <c r="AS11281" s="753"/>
    </row>
    <row r="11282" spans="1:45" s="901" customFormat="1" ht="13.2">
      <c r="A11282" s="903">
        <v>1</v>
      </c>
      <c r="B11282" s="904" t="s">
        <v>863</v>
      </c>
      <c r="C11282" s="904"/>
      <c r="D11282" s="904" t="s">
        <v>2594</v>
      </c>
      <c r="E11282" s="904"/>
      <c r="F11282" s="1153" t="s">
        <v>4141</v>
      </c>
      <c r="G11282" s="905" t="s">
        <v>2595</v>
      </c>
      <c r="H11282" s="902">
        <v>960</v>
      </c>
      <c r="I11282" s="904" t="s">
        <v>2596</v>
      </c>
      <c r="J11282" s="904"/>
      <c r="K11282" s="904"/>
      <c r="L11282" s="904"/>
      <c r="M11282" s="904"/>
      <c r="N11282" s="904"/>
      <c r="O11282" s="902">
        <v>4</v>
      </c>
      <c r="P11282" s="906">
        <v>38274</v>
      </c>
      <c r="Q11282" s="1171"/>
      <c r="R11282" s="908">
        <f>$A11282*Q11282</f>
        <v>0</v>
      </c>
      <c r="S11282" s="907"/>
      <c r="T11282" s="909">
        <f>$A11282*S11282*$T$1</f>
        <v>0</v>
      </c>
      <c r="U11282" s="901" t="s">
        <v>2764</v>
      </c>
      <c r="AR11282" s="903">
        <v>1</v>
      </c>
      <c r="AS11282" s="1153" t="s">
        <v>3507</v>
      </c>
    </row>
    <row r="11283" spans="1:45" s="520" customFormat="1" ht="12">
      <c r="A11283" s="758"/>
      <c r="B11283" s="758"/>
      <c r="C11283" s="758"/>
      <c r="D11283" s="758"/>
      <c r="E11283" s="758"/>
      <c r="F11283" s="753"/>
      <c r="G11283" s="758"/>
      <c r="H11283" s="758"/>
      <c r="I11283" s="519"/>
      <c r="J11283" s="758"/>
      <c r="K11283" s="758"/>
      <c r="L11283" s="758"/>
      <c r="M11283" s="758"/>
      <c r="N11283" s="758"/>
      <c r="O11283" s="758"/>
      <c r="P11283" s="758"/>
      <c r="Q11283" s="519"/>
      <c r="R11283" s="759">
        <f>$A11283*Q11283</f>
        <v>0</v>
      </c>
      <c r="S11283" s="519"/>
      <c r="T11283" s="760">
        <f>$A11283*S11283*$T$1</f>
        <v>0</v>
      </c>
      <c r="AR11283" s="758"/>
      <c r="AS11283" s="753"/>
    </row>
    <row r="11284" spans="1:45" s="520" customFormat="1" ht="12.6" thickBot="1">
      <c r="A11284" s="761" t="s">
        <v>145</v>
      </c>
      <c r="B11284" s="762">
        <f>(R11283+T11283)</f>
        <v>0</v>
      </c>
      <c r="C11284" s="763"/>
      <c r="D11284" s="763"/>
      <c r="E11284" s="763"/>
      <c r="F11284" s="764"/>
      <c r="G11284" s="763" t="s">
        <v>146</v>
      </c>
      <c r="H11284" s="763"/>
      <c r="I11284" s="765"/>
      <c r="J11284" s="763"/>
      <c r="K11284" s="763" t="s">
        <v>5</v>
      </c>
      <c r="L11284" s="766" t="s">
        <v>143</v>
      </c>
      <c r="M11284" s="766"/>
      <c r="N11284" s="766"/>
      <c r="O11284" s="766"/>
      <c r="P11284" s="766"/>
      <c r="Q11284" s="767"/>
      <c r="R11284" s="768">
        <f>SUM(R11281:R11283)</f>
        <v>0</v>
      </c>
      <c r="S11284" s="763"/>
      <c r="T11284" s="768">
        <f>SUM(T11281:T11283)</f>
        <v>0</v>
      </c>
      <c r="U11284" s="531"/>
      <c r="V11284" s="531"/>
      <c r="W11284" s="531"/>
      <c r="X11284" s="531"/>
      <c r="Y11284" s="531"/>
      <c r="Z11284" s="531"/>
      <c r="AA11284" s="531"/>
      <c r="AB11284" s="531"/>
      <c r="AC11284" s="531"/>
      <c r="AD11284" s="531"/>
      <c r="AE11284" s="531"/>
      <c r="AF11284" s="531"/>
      <c r="AG11284" s="531"/>
      <c r="AH11284" s="531"/>
      <c r="AI11284" s="531"/>
      <c r="AJ11284" s="531"/>
      <c r="AK11284" s="531"/>
      <c r="AL11284" s="531"/>
      <c r="AM11284" s="531"/>
      <c r="AN11284" s="531"/>
      <c r="AO11284" s="531"/>
      <c r="AR11284" s="761" t="s">
        <v>145</v>
      </c>
      <c r="AS11284" s="764"/>
    </row>
    <row r="11285" spans="1:45" s="520" customFormat="1" ht="12" thickTop="1">
      <c r="A11285" s="48" t="s">
        <v>148</v>
      </c>
      <c r="D11285" s="13"/>
      <c r="E11285" s="42"/>
      <c r="O11285" s="771"/>
      <c r="AR11285" s="48" t="s">
        <v>148</v>
      </c>
    </row>
    <row r="11286" spans="1:45" s="520" customFormat="1" ht="13.2">
      <c r="B11286" s="3"/>
      <c r="O11286" s="771"/>
    </row>
    <row r="11287" spans="1:45" s="520" customFormat="1" ht="12">
      <c r="B11287" s="772">
        <f ca="1">$F11287/$C$2-($R11287*$S$2+$T11287*$T$2)</f>
        <v>-188.23705087999952</v>
      </c>
      <c r="D11287" s="773" t="s">
        <v>1065</v>
      </c>
      <c r="E11287" s="774"/>
      <c r="F11287" s="775">
        <f ca="1">SUMIF($L10993:$L11285,"ITEM",F10993:F11285)</f>
        <v>2438.860000000001</v>
      </c>
      <c r="G11287" s="758"/>
      <c r="H11287" s="758"/>
      <c r="I11287" s="519"/>
      <c r="J11287" s="758"/>
      <c r="K11287" s="758"/>
      <c r="L11287" s="755" t="s">
        <v>157</v>
      </c>
      <c r="M11287" s="755"/>
      <c r="N11287" s="755"/>
      <c r="O11287" s="755"/>
      <c r="P11287" s="755"/>
      <c r="R11287" s="775">
        <f ca="1">SUMIF($L10993:$L11285,"ITEM",R10993:R11285)</f>
        <v>1941.3000000000002</v>
      </c>
      <c r="S11287" s="776"/>
      <c r="T11287" s="775">
        <f ca="1">SUMIF($L10993:$L11285,"ITEM",T10993:T11285)</f>
        <v>6.9999999999999991</v>
      </c>
      <c r="AS11287" s="775">
        <v>2648.5100000000011</v>
      </c>
    </row>
    <row r="11288" spans="1:45" s="520" customFormat="1" ht="13.2">
      <c r="A11288" s="51"/>
      <c r="B11288" s="49" t="s">
        <v>1064</v>
      </c>
      <c r="C11288" s="51"/>
      <c r="D11288" s="3"/>
      <c r="F11288" s="777" t="s">
        <v>158</v>
      </c>
      <c r="G11288" s="758"/>
      <c r="H11288" s="758"/>
      <c r="I11288" s="519"/>
      <c r="J11288" s="758"/>
      <c r="K11288" s="758"/>
      <c r="L11288" s="758"/>
      <c r="M11288" s="758"/>
      <c r="N11288" s="758"/>
      <c r="O11288" s="758"/>
      <c r="P11288" s="758"/>
      <c r="Q11288" s="778"/>
      <c r="R11288" s="777" t="s">
        <v>159</v>
      </c>
      <c r="S11288" s="38"/>
      <c r="T11288" s="777" t="s">
        <v>160</v>
      </c>
      <c r="AR11288" s="51"/>
      <c r="AS11288" s="777" t="s">
        <v>158</v>
      </c>
    </row>
    <row r="11289" spans="1:45" s="520" customFormat="1" ht="13.2">
      <c r="A11289" s="758"/>
      <c r="B11289" s="3"/>
      <c r="C11289" s="758"/>
      <c r="D11289" s="3"/>
      <c r="E11289" s="3"/>
      <c r="G11289" s="3"/>
      <c r="H11289" s="3"/>
      <c r="I11289" s="3"/>
      <c r="J11289" s="3"/>
      <c r="K11289" s="3"/>
      <c r="L11289" s="3"/>
      <c r="M11289" s="3"/>
      <c r="N11289" s="3"/>
      <c r="O11289" s="107"/>
      <c r="P11289" s="3"/>
      <c r="Q11289" s="3"/>
      <c r="R11289" s="3"/>
      <c r="S11289" s="3"/>
      <c r="T11289" s="3"/>
      <c r="AR11289" s="758"/>
    </row>
    <row r="11290" spans="1:45" s="520" customFormat="1" ht="12" thickBot="1">
      <c r="A11290" s="531"/>
      <c r="B11290" s="763"/>
      <c r="C11290" s="763"/>
      <c r="D11290" s="531"/>
      <c r="E11290" s="39"/>
      <c r="F11290" s="779"/>
      <c r="G11290" s="763"/>
      <c r="H11290" s="763"/>
      <c r="I11290" s="765"/>
      <c r="J11290" s="763"/>
      <c r="K11290" s="763"/>
      <c r="L11290" s="766"/>
      <c r="M11290" s="766"/>
      <c r="N11290" s="766"/>
      <c r="O11290" s="766"/>
      <c r="P11290" s="766"/>
      <c r="Q11290" s="767"/>
      <c r="R11290" s="779"/>
      <c r="S11290" s="780"/>
      <c r="T11290" s="779"/>
      <c r="U11290" s="531"/>
      <c r="V11290" s="531"/>
      <c r="W11290" s="531"/>
      <c r="X11290" s="531"/>
      <c r="Y11290" s="531"/>
      <c r="Z11290" s="531"/>
      <c r="AA11290" s="531"/>
      <c r="AB11290" s="531"/>
      <c r="AC11290" s="531"/>
      <c r="AD11290" s="531"/>
      <c r="AE11290" s="531"/>
      <c r="AF11290" s="531"/>
      <c r="AG11290" s="531"/>
      <c r="AH11290" s="531"/>
      <c r="AI11290" s="531"/>
      <c r="AJ11290" s="531"/>
      <c r="AK11290" s="531"/>
      <c r="AR11290" s="531"/>
      <c r="AS11290" s="779"/>
    </row>
    <row r="11291" spans="1:45" s="520" customFormat="1" thickTop="1">
      <c r="A11291" s="51"/>
      <c r="B11291" s="51"/>
      <c r="C11291" s="3"/>
      <c r="D11291" s="3"/>
      <c r="E11291" s="51"/>
      <c r="F11291" s="51"/>
      <c r="G11291" s="51"/>
      <c r="H11291" s="51"/>
      <c r="I11291" s="51"/>
      <c r="J11291" s="51"/>
      <c r="K11291" s="51" t="s">
        <v>134</v>
      </c>
      <c r="L11291" s="51"/>
      <c r="M11291" s="51"/>
      <c r="N11291" s="51"/>
      <c r="O11291" s="52"/>
      <c r="P11291" s="51"/>
      <c r="Q11291" s="51"/>
      <c r="R11291" s="51"/>
      <c r="S11291" s="51"/>
      <c r="T11291" s="51"/>
      <c r="AR11291" s="51"/>
      <c r="AS11291" s="51"/>
    </row>
    <row r="11292" spans="1:45" s="520" customFormat="1" ht="12">
      <c r="A11292" s="51"/>
      <c r="B11292" s="51"/>
      <c r="C11292" s="51" t="s">
        <v>135</v>
      </c>
      <c r="D11292" s="37"/>
      <c r="E11292" s="51"/>
      <c r="F11292" s="51"/>
      <c r="G11292" s="51"/>
      <c r="H11292" s="51"/>
      <c r="I11292" s="51"/>
      <c r="J11292" s="51"/>
      <c r="K11292" s="51"/>
      <c r="L11292" s="51"/>
      <c r="M11292" s="51"/>
      <c r="N11292" s="51"/>
      <c r="O11292" s="52"/>
      <c r="P11292" s="51"/>
      <c r="Q11292" s="51"/>
      <c r="R11292" s="51"/>
      <c r="S11292" s="51"/>
      <c r="T11292" s="51"/>
      <c r="AR11292" s="51"/>
      <c r="AS11292" s="51"/>
    </row>
    <row r="11293" spans="1:45" s="520" customFormat="1" ht="12">
      <c r="A11293" s="51"/>
      <c r="B11293" s="51"/>
      <c r="C11293" s="51"/>
      <c r="D11293" s="37" t="s">
        <v>371</v>
      </c>
      <c r="E11293" s="51"/>
      <c r="F11293" s="51"/>
      <c r="G11293" s="51"/>
      <c r="H11293" s="51"/>
      <c r="I11293" s="51"/>
      <c r="J11293" s="51"/>
      <c r="K11293" s="51"/>
      <c r="L11293" s="51"/>
      <c r="M11293" s="51"/>
      <c r="N11293" s="51"/>
      <c r="O11293" s="52"/>
      <c r="P11293" s="51"/>
      <c r="Q11293" s="51"/>
      <c r="R11293" s="51"/>
      <c r="S11293" s="38"/>
      <c r="T11293" s="38"/>
      <c r="AR11293" s="51"/>
      <c r="AS11293" s="51"/>
    </row>
    <row r="11294" spans="1:45" s="3" customFormat="1" thickBot="1">
      <c r="A11294" s="531"/>
      <c r="O11294" s="107"/>
      <c r="AR11294" s="531"/>
    </row>
    <row r="11295" spans="1:45" s="520" customFormat="1" thickTop="1">
      <c r="A11295" s="51"/>
      <c r="B11295" s="51"/>
      <c r="C11295" s="3"/>
      <c r="D11295" s="3"/>
      <c r="E11295" s="51"/>
      <c r="F11295" s="51"/>
      <c r="G11295" s="51"/>
      <c r="H11295" s="51"/>
      <c r="I11295" s="51"/>
      <c r="J11295" s="51"/>
      <c r="K11295" s="51" t="s">
        <v>134</v>
      </c>
      <c r="L11295" s="51"/>
      <c r="M11295" s="51"/>
      <c r="N11295" s="51"/>
      <c r="O11295" s="52"/>
      <c r="P11295" s="51"/>
      <c r="Q11295" s="51"/>
      <c r="R11295" s="51"/>
      <c r="S11295" s="51"/>
      <c r="T11295" s="51"/>
      <c r="AR11295" s="51"/>
      <c r="AS11295" s="51"/>
    </row>
    <row r="11296" spans="1:45" s="520" customFormat="1" ht="12">
      <c r="A11296" s="51"/>
      <c r="B11296" s="51"/>
      <c r="C11296" s="51" t="s">
        <v>135</v>
      </c>
      <c r="D11296" s="37"/>
      <c r="E11296" s="51"/>
      <c r="F11296" s="51"/>
      <c r="G11296" s="51"/>
      <c r="H11296" s="51"/>
      <c r="I11296" s="51"/>
      <c r="J11296" s="51"/>
      <c r="K11296" s="51"/>
      <c r="L11296" s="51"/>
      <c r="M11296" s="51"/>
      <c r="N11296" s="51"/>
      <c r="O11296" s="52"/>
      <c r="P11296" s="51"/>
      <c r="Q11296" s="51"/>
      <c r="R11296" s="51"/>
      <c r="S11296" s="51"/>
      <c r="T11296" s="51"/>
      <c r="AR11296" s="51"/>
      <c r="AS11296" s="51"/>
    </row>
    <row r="11297" spans="1:45" s="520" customFormat="1" ht="39.9" customHeight="1">
      <c r="A11297" s="51"/>
      <c r="B11297" s="51"/>
      <c r="C11297" s="51"/>
      <c r="D11297" s="1453" t="s">
        <v>2541</v>
      </c>
      <c r="E11297" s="1452"/>
      <c r="F11297" s="1452"/>
      <c r="G11297" s="1452"/>
      <c r="H11297" s="1452"/>
      <c r="I11297" s="1452"/>
      <c r="J11297" s="1452"/>
      <c r="K11297" s="1452"/>
      <c r="L11297" s="1452"/>
      <c r="M11297" s="1452"/>
      <c r="N11297" s="1452"/>
      <c r="O11297" s="1452"/>
      <c r="P11297" s="1452"/>
      <c r="Q11297" s="1452"/>
      <c r="R11297" s="1452"/>
      <c r="S11297" s="1452"/>
      <c r="T11297" s="1452"/>
      <c r="AR11297" s="51"/>
    </row>
    <row r="11298" spans="1:45" s="3" customFormat="1" thickBot="1">
      <c r="A11298" s="531"/>
      <c r="O11298" s="107"/>
      <c r="AR11298" s="531"/>
    </row>
    <row r="11299" spans="1:45" s="520" customFormat="1" ht="12" thickTop="1">
      <c r="A11299" s="51"/>
      <c r="B11299" s="41"/>
      <c r="C11299" s="51"/>
      <c r="E11299" s="42" t="s">
        <v>138</v>
      </c>
      <c r="F11299" s="42" t="s">
        <v>139</v>
      </c>
      <c r="G11299" s="51"/>
      <c r="H11299" s="51"/>
      <c r="I11299" s="51"/>
      <c r="J11299" s="51"/>
      <c r="K11299" s="51" t="s">
        <v>140</v>
      </c>
      <c r="L11299" s="51"/>
      <c r="M11299" s="51"/>
      <c r="N11299" s="51"/>
      <c r="O11299" s="52"/>
      <c r="P11299" s="51"/>
      <c r="Q11299" s="51"/>
      <c r="R11299" s="51"/>
      <c r="S11299" s="51"/>
      <c r="T11299" s="41"/>
      <c r="AG11299" s="521" t="s">
        <v>268</v>
      </c>
      <c r="AH11299" s="521" t="s">
        <v>269</v>
      </c>
      <c r="AI11299" s="521" t="s">
        <v>270</v>
      </c>
      <c r="AJ11299" s="521" t="s">
        <v>271</v>
      </c>
      <c r="AK11299" s="521" t="s">
        <v>272</v>
      </c>
      <c r="AM11299" s="745" t="s">
        <v>281</v>
      </c>
      <c r="AN11299" s="746" t="s">
        <v>282</v>
      </c>
      <c r="AO11299" s="522" t="s">
        <v>278</v>
      </c>
      <c r="AR11299" s="51"/>
      <c r="AS11299" s="42" t="s">
        <v>139</v>
      </c>
    </row>
    <row r="11300" spans="1:45" s="520" customFormat="1" ht="12" customHeight="1">
      <c r="A11300" s="747">
        <v>1</v>
      </c>
      <c r="B11300" s="523" t="s">
        <v>329</v>
      </c>
      <c r="C11300" s="748"/>
      <c r="D11300" s="749" t="s">
        <v>2576</v>
      </c>
      <c r="E11300" s="750">
        <f ca="1">IF(AND($A11300=0,$A$1="DIF"),0, ROUND(ROUND(($R11305*$S$2+($T11305*$T$2))/A11300,2)*$C$2,2))</f>
        <v>18.48</v>
      </c>
      <c r="F11300" s="751">
        <f ca="1">ROUND($A11300*$E11300,2)</f>
        <v>18.48</v>
      </c>
      <c r="G11300" s="752" t="s">
        <v>142</v>
      </c>
      <c r="H11300" s="753"/>
      <c r="I11300" s="754"/>
      <c r="J11300" s="753"/>
      <c r="K11300" s="753" t="s">
        <v>3</v>
      </c>
      <c r="L11300" s="755" t="s">
        <v>143</v>
      </c>
      <c r="M11300" s="755"/>
      <c r="N11300" s="755"/>
      <c r="O11300" s="755"/>
      <c r="P11300" s="755"/>
      <c r="Q11300" s="51"/>
      <c r="T11300" s="756" t="str">
        <f ca="1">IF(AND($R11305=0,$T11305=0),"0.00","mu :" &amp; ROUND($F11300/$C$2/($R11305+$T11305*$D$9),2))</f>
        <v>mu :1.23</v>
      </c>
      <c r="W11300" s="524"/>
      <c r="AG11300" s="481">
        <f ca="1">IF($E11300=0,0,ROUND($R11305*$S$2*$C$2/$A11300,2))</f>
        <v>6.65</v>
      </c>
      <c r="AH11300" s="481">
        <f ca="1">$AG11300*$A11300</f>
        <v>6.65</v>
      </c>
      <c r="AI11300" s="525">
        <f ca="1">$E11300-$AG11300</f>
        <v>11.83</v>
      </c>
      <c r="AJ11300" s="525">
        <f ca="1">$A11300*$AI11300</f>
        <v>11.83</v>
      </c>
      <c r="AK11300" s="526">
        <f ca="1">ROUND(($AG11300+$AI11300)*$A11300,2)</f>
        <v>18.48</v>
      </c>
      <c r="AM11300" s="527">
        <f ca="1">ROUND(R11305,2)</f>
        <v>5.4</v>
      </c>
      <c r="AN11300" s="528">
        <f ca="1">ROUND(T11305,2)</f>
        <v>0.35</v>
      </c>
      <c r="AO11300" s="529">
        <f ca="1">ROUND(AM11300+AN11300,2)*A11300</f>
        <v>5.75</v>
      </c>
      <c r="AR11300" s="747">
        <v>1</v>
      </c>
      <c r="AS11300" s="751">
        <v>19.84</v>
      </c>
    </row>
    <row r="11301" spans="1:45" s="520" customFormat="1" ht="13.2">
      <c r="A11301" s="748"/>
      <c r="B11301"/>
      <c r="C11301" s="748"/>
      <c r="D11301" s="749" t="s">
        <v>2214</v>
      </c>
      <c r="F11301" s="753"/>
      <c r="G11301" s="3"/>
      <c r="H11301" s="753"/>
      <c r="I11301" s="754"/>
      <c r="J11301" s="753"/>
      <c r="K11301" s="753" t="s">
        <v>144</v>
      </c>
      <c r="L11301" s="753"/>
      <c r="M11301" s="753"/>
      <c r="N11301" s="753"/>
      <c r="O11301" s="753"/>
      <c r="P11301" s="753"/>
      <c r="Q11301" s="51"/>
      <c r="R11301" s="530"/>
      <c r="S11301" s="757"/>
      <c r="T11301" s="753"/>
      <c r="AR11301" s="748"/>
      <c r="AS11301" s="753"/>
    </row>
    <row r="11302" spans="1:45" s="886" customFormat="1" ht="13.2">
      <c r="A11302"/>
      <c r="B11302" s="910"/>
      <c r="C11302" s="910" t="s">
        <v>2597</v>
      </c>
      <c r="D11302" s="910" t="str">
        <f ca="1">CELL("Address",Elec_Rates!D$1047)</f>
        <v>[E25_0062_Quintano_Foods_Elec_ELV_As_Awarded.xlsx]Elec_Rates!$D$1047</v>
      </c>
      <c r="E11302" s="911"/>
      <c r="F11302" s="911"/>
      <c r="G11302" s="912" t="s">
        <v>2598</v>
      </c>
      <c r="H11302" s="912"/>
      <c r="I11302" s="912"/>
      <c r="J11302" s="912"/>
      <c r="K11302" s="913"/>
      <c r="L11302" s="911"/>
      <c r="M11302" s="911"/>
      <c r="N11302" s="911"/>
      <c r="O11302" s="914"/>
      <c r="P11302" s="911"/>
      <c r="Q11302" s="915"/>
      <c r="R11302" s="916"/>
      <c r="S11302" s="915"/>
      <c r="T11302" s="917"/>
      <c r="U11302" s="918"/>
      <c r="AR11302"/>
      <c r="AS11302" s="911"/>
    </row>
    <row r="11303" spans="1:45" s="886" customFormat="1" ht="11.4">
      <c r="A11303" s="919">
        <v>1</v>
      </c>
      <c r="B11303" s="920">
        <v>1</v>
      </c>
      <c r="C11303" s="920">
        <f>$A11303*$B11303</f>
        <v>1</v>
      </c>
      <c r="D11303" s="921" t="str">
        <f>Elec_Rates!$D$1047</f>
        <v>095# LSZH Conduit points for Bathroom Alarm</v>
      </c>
      <c r="E11303" s="921"/>
      <c r="F11303" s="921" t="s">
        <v>2599</v>
      </c>
      <c r="G11303" s="922" t="s">
        <v>2600</v>
      </c>
      <c r="H11303" s="922"/>
      <c r="I11303" s="922"/>
      <c r="J11303" s="922"/>
      <c r="K11303" s="923"/>
      <c r="L11303" s="918"/>
      <c r="M11303" s="918"/>
      <c r="N11303" s="918"/>
      <c r="O11303" s="924"/>
      <c r="P11303" s="921"/>
      <c r="Q11303" s="925">
        <f ca="1">$B11303*Elec_Rates!$R$1047</f>
        <v>5.4</v>
      </c>
      <c r="R11303" s="916">
        <f ca="1">$A11303*Q11303</f>
        <v>5.4</v>
      </c>
      <c r="S11303" s="925">
        <f ca="1">$B11303*Elec_Rates!$T$1047</f>
        <v>0.35</v>
      </c>
      <c r="T11303" s="917">
        <f ca="1">$A11303*S11303</f>
        <v>0.35</v>
      </c>
      <c r="U11303" s="926"/>
      <c r="AR11303" s="919">
        <v>1</v>
      </c>
      <c r="AS11303" s="921" t="s">
        <v>2599</v>
      </c>
    </row>
    <row r="11304" spans="1:45" s="520" customFormat="1" ht="12">
      <c r="A11304" s="758"/>
      <c r="B11304" s="758"/>
      <c r="C11304" s="758"/>
      <c r="D11304" s="758"/>
      <c r="E11304" s="758"/>
      <c r="F11304" s="753"/>
      <c r="G11304" s="758"/>
      <c r="H11304" s="758"/>
      <c r="I11304" s="519"/>
      <c r="J11304" s="758"/>
      <c r="K11304" s="758"/>
      <c r="L11304" s="758"/>
      <c r="M11304" s="758"/>
      <c r="N11304" s="758"/>
      <c r="O11304" s="758"/>
      <c r="P11304" s="758"/>
      <c r="Q11304" s="519"/>
      <c r="R11304" s="759">
        <f>$A11304*Q11304</f>
        <v>0</v>
      </c>
      <c r="S11304" s="519"/>
      <c r="T11304" s="760">
        <f>$A11304*S11304*$T$1</f>
        <v>0</v>
      </c>
      <c r="AR11304" s="758"/>
      <c r="AS11304" s="753"/>
    </row>
    <row r="11305" spans="1:45" s="520" customFormat="1" ht="12.6" thickBot="1">
      <c r="A11305" s="761" t="s">
        <v>145</v>
      </c>
      <c r="B11305" s="762">
        <f>(R11304+T11304)</f>
        <v>0</v>
      </c>
      <c r="C11305" s="763"/>
      <c r="D11305" s="763"/>
      <c r="E11305" s="763"/>
      <c r="F11305" s="764"/>
      <c r="G11305" s="763" t="s">
        <v>146</v>
      </c>
      <c r="H11305" s="763"/>
      <c r="I11305" s="765"/>
      <c r="J11305" s="763"/>
      <c r="K11305" s="763" t="s">
        <v>3</v>
      </c>
      <c r="L11305" s="766" t="s">
        <v>143</v>
      </c>
      <c r="M11305" s="766"/>
      <c r="N11305" s="766"/>
      <c r="O11305" s="766"/>
      <c r="P11305" s="766"/>
      <c r="Q11305" s="767"/>
      <c r="R11305" s="768">
        <f ca="1">SUM(R11301:R11304)</f>
        <v>5.4</v>
      </c>
      <c r="S11305" s="763"/>
      <c r="T11305" s="768">
        <f ca="1">SUM(T11301:T11304)</f>
        <v>0.35</v>
      </c>
      <c r="U11305" s="531"/>
      <c r="V11305" s="531"/>
      <c r="W11305" s="531"/>
      <c r="X11305" s="531"/>
      <c r="Y11305" s="531"/>
      <c r="Z11305" s="531"/>
      <c r="AA11305" s="531"/>
      <c r="AB11305" s="531"/>
      <c r="AC11305" s="531"/>
      <c r="AD11305" s="531"/>
      <c r="AE11305" s="531"/>
      <c r="AF11305" s="531"/>
      <c r="AG11305" s="531"/>
      <c r="AH11305" s="531"/>
      <c r="AI11305" s="531"/>
      <c r="AJ11305" s="531"/>
      <c r="AK11305" s="531"/>
      <c r="AL11305" s="531"/>
      <c r="AM11305" s="531"/>
      <c r="AN11305" s="531"/>
      <c r="AO11305" s="531"/>
      <c r="AR11305" s="761" t="s">
        <v>145</v>
      </c>
      <c r="AS11305" s="764"/>
    </row>
    <row r="11306" spans="1:45" s="520" customFormat="1" ht="12" thickTop="1">
      <c r="A11306" s="51"/>
      <c r="B11306" s="41"/>
      <c r="C11306" s="51"/>
      <c r="E11306" s="42" t="s">
        <v>138</v>
      </c>
      <c r="F11306" s="42" t="s">
        <v>139</v>
      </c>
      <c r="G11306" s="51"/>
      <c r="H11306" s="51"/>
      <c r="I11306" s="51"/>
      <c r="J11306" s="51"/>
      <c r="K11306" s="51" t="s">
        <v>140</v>
      </c>
      <c r="L11306" s="51"/>
      <c r="M11306" s="51"/>
      <c r="N11306" s="51"/>
      <c r="O11306" s="52"/>
      <c r="P11306" s="51"/>
      <c r="Q11306" s="51"/>
      <c r="R11306" s="51"/>
      <c r="S11306" s="51"/>
      <c r="T11306" s="41"/>
      <c r="AG11306" s="521" t="s">
        <v>268</v>
      </c>
      <c r="AH11306" s="521" t="s">
        <v>269</v>
      </c>
      <c r="AI11306" s="521" t="s">
        <v>270</v>
      </c>
      <c r="AJ11306" s="521" t="s">
        <v>271</v>
      </c>
      <c r="AK11306" s="521" t="s">
        <v>272</v>
      </c>
      <c r="AM11306" s="745" t="s">
        <v>281</v>
      </c>
      <c r="AN11306" s="746" t="s">
        <v>282</v>
      </c>
      <c r="AO11306" s="522" t="s">
        <v>278</v>
      </c>
      <c r="AR11306" s="51"/>
      <c r="AS11306" s="42" t="s">
        <v>139</v>
      </c>
    </row>
    <row r="11307" spans="1:45" s="520" customFormat="1" ht="12" customHeight="1">
      <c r="A11307" s="747">
        <v>1</v>
      </c>
      <c r="B11307" s="523" t="s">
        <v>329</v>
      </c>
      <c r="C11307" s="748"/>
      <c r="D11307" s="749" t="s">
        <v>2577</v>
      </c>
      <c r="E11307" s="750">
        <f ca="1">IF(AND($A11307=0,$A$1="DIF"),0, ROUND(ROUND(($R11312*$S$2+($T11312*$T$2))/A11307,2)*$C$2,2))</f>
        <v>18.48</v>
      </c>
      <c r="F11307" s="751">
        <f ca="1">ROUND($A11307*$E11307,2)</f>
        <v>18.48</v>
      </c>
      <c r="G11307" s="752" t="s">
        <v>142</v>
      </c>
      <c r="H11307" s="753"/>
      <c r="I11307" s="754"/>
      <c r="J11307" s="753"/>
      <c r="K11307" s="753" t="s">
        <v>3</v>
      </c>
      <c r="L11307" s="755" t="s">
        <v>143</v>
      </c>
      <c r="M11307" s="755"/>
      <c r="N11307" s="755"/>
      <c r="O11307" s="755"/>
      <c r="P11307" s="755"/>
      <c r="Q11307" s="51"/>
      <c r="T11307" s="756" t="str">
        <f ca="1">IF(AND($R11312=0,$T11312=0),"0.00","mu :" &amp; ROUND($F11307/$C$2/($R11312+$T11312*$D$9),2))</f>
        <v>mu :1.23</v>
      </c>
      <c r="W11307" s="524"/>
      <c r="AG11307" s="481">
        <f ca="1">IF($E11307=0,0,ROUND($R11312*$S$2*$C$2/$A11307,2))</f>
        <v>6.65</v>
      </c>
      <c r="AH11307" s="481">
        <f ca="1">$AG11307*$A11307</f>
        <v>6.65</v>
      </c>
      <c r="AI11307" s="525">
        <f ca="1">$E11307-$AG11307</f>
        <v>11.83</v>
      </c>
      <c r="AJ11307" s="525">
        <f ca="1">$A11307*$AI11307</f>
        <v>11.83</v>
      </c>
      <c r="AK11307" s="526">
        <f ca="1">ROUND(($AG11307+$AI11307)*$A11307,2)</f>
        <v>18.48</v>
      </c>
      <c r="AM11307" s="527">
        <f ca="1">ROUND(R11312,2)</f>
        <v>5.4</v>
      </c>
      <c r="AN11307" s="528">
        <f ca="1">ROUND(T11312,2)</f>
        <v>0.35</v>
      </c>
      <c r="AO11307" s="529">
        <f ca="1">ROUND(AM11307+AN11307,2)*A11307</f>
        <v>5.75</v>
      </c>
      <c r="AR11307" s="747">
        <v>1</v>
      </c>
      <c r="AS11307" s="751">
        <v>19.84</v>
      </c>
    </row>
    <row r="11308" spans="1:45" s="520" customFormat="1" ht="13.2">
      <c r="A11308" s="748"/>
      <c r="B11308"/>
      <c r="C11308" s="748"/>
      <c r="D11308" s="749" t="s">
        <v>2215</v>
      </c>
      <c r="F11308" s="753"/>
      <c r="G11308" s="3"/>
      <c r="H11308" s="753"/>
      <c r="I11308" s="754"/>
      <c r="J11308" s="753"/>
      <c r="K11308" s="753" t="s">
        <v>144</v>
      </c>
      <c r="L11308" s="753"/>
      <c r="M11308" s="753"/>
      <c r="N11308" s="753"/>
      <c r="O11308" s="753"/>
      <c r="P11308" s="753"/>
      <c r="Q11308" s="51"/>
      <c r="R11308" s="530"/>
      <c r="S11308" s="757"/>
      <c r="T11308" s="753"/>
      <c r="AR11308" s="748"/>
      <c r="AS11308" s="753"/>
    </row>
    <row r="11309" spans="1:45" s="886" customFormat="1" ht="13.2">
      <c r="A11309"/>
      <c r="B11309" s="910"/>
      <c r="C11309" s="910" t="s">
        <v>2597</v>
      </c>
      <c r="D11309" s="910" t="str">
        <f ca="1">CELL("Address",Elec_Rates!D$1047)</f>
        <v>[E25_0062_Quintano_Foods_Elec_ELV_As_Awarded.xlsx]Elec_Rates!$D$1047</v>
      </c>
      <c r="E11309" s="911"/>
      <c r="F11309" s="911"/>
      <c r="G11309" s="912" t="s">
        <v>2598</v>
      </c>
      <c r="H11309" s="912"/>
      <c r="I11309" s="912"/>
      <c r="J11309" s="912"/>
      <c r="K11309" s="913"/>
      <c r="L11309" s="911"/>
      <c r="M11309" s="911"/>
      <c r="N11309" s="911"/>
      <c r="O11309" s="914"/>
      <c r="P11309" s="911"/>
      <c r="Q11309" s="915"/>
      <c r="R11309" s="916"/>
      <c r="S11309" s="915"/>
      <c r="T11309" s="917"/>
      <c r="U11309" s="918"/>
      <c r="AR11309"/>
      <c r="AS11309" s="911"/>
    </row>
    <row r="11310" spans="1:45" s="886" customFormat="1" ht="11.4">
      <c r="A11310" s="919">
        <v>1</v>
      </c>
      <c r="B11310" s="920">
        <v>1</v>
      </c>
      <c r="C11310" s="920">
        <f>$A11310*$B11310</f>
        <v>1</v>
      </c>
      <c r="D11310" s="921" t="str">
        <f>Elec_Rates!$D$1047</f>
        <v>095# LSZH Conduit points for Bathroom Alarm</v>
      </c>
      <c r="E11310" s="921"/>
      <c r="F11310" s="921" t="s">
        <v>2599</v>
      </c>
      <c r="G11310" s="922" t="s">
        <v>2600</v>
      </c>
      <c r="H11310" s="922"/>
      <c r="I11310" s="922"/>
      <c r="J11310" s="922"/>
      <c r="K11310" s="923"/>
      <c r="L11310" s="918"/>
      <c r="M11310" s="918"/>
      <c r="N11310" s="918"/>
      <c r="O11310" s="924"/>
      <c r="P11310" s="921"/>
      <c r="Q11310" s="925">
        <f ca="1">$B11310*Elec_Rates!$R$1047</f>
        <v>5.4</v>
      </c>
      <c r="R11310" s="916">
        <f ca="1">$A11310*Q11310</f>
        <v>5.4</v>
      </c>
      <c r="S11310" s="925">
        <f ca="1">$B11310*Elec_Rates!$T$1047</f>
        <v>0.35</v>
      </c>
      <c r="T11310" s="917">
        <f ca="1">$A11310*S11310</f>
        <v>0.35</v>
      </c>
      <c r="U11310" s="926"/>
      <c r="AR11310" s="919">
        <v>1</v>
      </c>
      <c r="AS11310" s="921" t="s">
        <v>2599</v>
      </c>
    </row>
    <row r="11311" spans="1:45" s="520" customFormat="1" ht="12">
      <c r="A11311" s="758"/>
      <c r="B11311" s="758"/>
      <c r="C11311" s="758"/>
      <c r="D11311" s="758"/>
      <c r="E11311" s="758"/>
      <c r="F11311" s="753"/>
      <c r="G11311" s="758"/>
      <c r="H11311" s="758"/>
      <c r="I11311" s="519"/>
      <c r="J11311" s="758"/>
      <c r="K11311" s="758"/>
      <c r="L11311" s="758"/>
      <c r="M11311" s="758"/>
      <c r="N11311" s="758"/>
      <c r="O11311" s="758"/>
      <c r="P11311" s="758"/>
      <c r="Q11311" s="519"/>
      <c r="R11311" s="759">
        <f>$A11311*Q11311</f>
        <v>0</v>
      </c>
      <c r="S11311" s="519"/>
      <c r="T11311" s="760">
        <f>$A11311*S11311*$T$1</f>
        <v>0</v>
      </c>
      <c r="AR11311" s="758"/>
      <c r="AS11311" s="753"/>
    </row>
    <row r="11312" spans="1:45" s="520" customFormat="1" ht="12.6" thickBot="1">
      <c r="A11312" s="761" t="s">
        <v>145</v>
      </c>
      <c r="B11312" s="762">
        <f>(R11311+T11311)</f>
        <v>0</v>
      </c>
      <c r="C11312" s="763"/>
      <c r="D11312" s="763"/>
      <c r="E11312" s="763"/>
      <c r="F11312" s="764"/>
      <c r="G11312" s="763" t="s">
        <v>146</v>
      </c>
      <c r="H11312" s="763"/>
      <c r="I11312" s="765"/>
      <c r="J11312" s="763"/>
      <c r="K11312" s="763" t="s">
        <v>3</v>
      </c>
      <c r="L11312" s="766" t="s">
        <v>143</v>
      </c>
      <c r="M11312" s="766"/>
      <c r="N11312" s="766"/>
      <c r="O11312" s="766"/>
      <c r="P11312" s="766"/>
      <c r="Q11312" s="767"/>
      <c r="R11312" s="768">
        <f ca="1">SUM(R11308:R11311)</f>
        <v>5.4</v>
      </c>
      <c r="S11312" s="763"/>
      <c r="T11312" s="768">
        <f ca="1">SUM(T11308:T11311)</f>
        <v>0.35</v>
      </c>
      <c r="U11312" s="531"/>
      <c r="V11312" s="531"/>
      <c r="W11312" s="531"/>
      <c r="X11312" s="531"/>
      <c r="Y11312" s="531"/>
      <c r="Z11312" s="531"/>
      <c r="AA11312" s="531"/>
      <c r="AB11312" s="531"/>
      <c r="AC11312" s="531"/>
      <c r="AD11312" s="531"/>
      <c r="AE11312" s="531"/>
      <c r="AF11312" s="531"/>
      <c r="AG11312" s="531"/>
      <c r="AH11312" s="531"/>
      <c r="AI11312" s="531"/>
      <c r="AJ11312" s="531"/>
      <c r="AK11312" s="531"/>
      <c r="AL11312" s="531"/>
      <c r="AM11312" s="531"/>
      <c r="AN11312" s="531"/>
      <c r="AO11312" s="531"/>
      <c r="AR11312" s="761" t="s">
        <v>145</v>
      </c>
      <c r="AS11312" s="764"/>
    </row>
    <row r="11313" spans="1:45" s="520" customFormat="1" ht="12" thickTop="1">
      <c r="A11313" s="51"/>
      <c r="B11313" s="41"/>
      <c r="C11313" s="51"/>
      <c r="E11313" s="42" t="s">
        <v>138</v>
      </c>
      <c r="F11313" s="42" t="s">
        <v>139</v>
      </c>
      <c r="G11313" s="51"/>
      <c r="H11313" s="51"/>
      <c r="I11313" s="51"/>
      <c r="J11313" s="51"/>
      <c r="K11313" s="51" t="s">
        <v>140</v>
      </c>
      <c r="L11313" s="51"/>
      <c r="M11313" s="51"/>
      <c r="N11313" s="51"/>
      <c r="O11313" s="52"/>
      <c r="P11313" s="51"/>
      <c r="Q11313" s="51"/>
      <c r="R11313" s="51"/>
      <c r="S11313" s="51"/>
      <c r="T11313" s="41"/>
      <c r="AG11313" s="521" t="s">
        <v>268</v>
      </c>
      <c r="AH11313" s="521" t="s">
        <v>269</v>
      </c>
      <c r="AI11313" s="521" t="s">
        <v>270</v>
      </c>
      <c r="AJ11313" s="521" t="s">
        <v>271</v>
      </c>
      <c r="AK11313" s="521" t="s">
        <v>272</v>
      </c>
      <c r="AM11313" s="745" t="s">
        <v>281</v>
      </c>
      <c r="AN11313" s="746" t="s">
        <v>282</v>
      </c>
      <c r="AO11313" s="522" t="s">
        <v>278</v>
      </c>
      <c r="AR11313" s="51"/>
      <c r="AS11313" s="42" t="s">
        <v>139</v>
      </c>
    </row>
    <row r="11314" spans="1:45" s="520" customFormat="1" ht="12" customHeight="1">
      <c r="A11314" s="747">
        <v>1</v>
      </c>
      <c r="B11314" s="523" t="s">
        <v>329</v>
      </c>
      <c r="C11314" s="748"/>
      <c r="D11314" s="749" t="s">
        <v>2578</v>
      </c>
      <c r="E11314" s="750">
        <f ca="1">IF(AND($A11314=0,$A$1="DIF"),0, ROUND(ROUND(($R11319*$S$2+($T11319*$T$2))/A11314,2)*$C$2,2))</f>
        <v>18.48</v>
      </c>
      <c r="F11314" s="751">
        <f ca="1">ROUND($A11314*$E11314,2)</f>
        <v>18.48</v>
      </c>
      <c r="G11314" s="752" t="s">
        <v>142</v>
      </c>
      <c r="H11314" s="753"/>
      <c r="I11314" s="754"/>
      <c r="J11314" s="753"/>
      <c r="K11314" s="753" t="s">
        <v>3</v>
      </c>
      <c r="L11314" s="755" t="s">
        <v>143</v>
      </c>
      <c r="M11314" s="755"/>
      <c r="N11314" s="755"/>
      <c r="O11314" s="755"/>
      <c r="P11314" s="755"/>
      <c r="Q11314" s="51"/>
      <c r="T11314" s="756" t="str">
        <f ca="1">IF(AND($R11319=0,$T11319=0),"0.00","mu :" &amp; ROUND($F11314/$C$2/($R11319+$T11319*$D$9),2))</f>
        <v>mu :1.23</v>
      </c>
      <c r="W11314" s="524"/>
      <c r="AG11314" s="481">
        <f ca="1">IF($E11314=0,0,ROUND($R11319*$S$2*$C$2/$A11314,2))</f>
        <v>6.65</v>
      </c>
      <c r="AH11314" s="481">
        <f ca="1">$AG11314*$A11314</f>
        <v>6.65</v>
      </c>
      <c r="AI11314" s="525">
        <f ca="1">$E11314-$AG11314</f>
        <v>11.83</v>
      </c>
      <c r="AJ11314" s="525">
        <f ca="1">$A11314*$AI11314</f>
        <v>11.83</v>
      </c>
      <c r="AK11314" s="526">
        <f ca="1">ROUND(($AG11314+$AI11314)*$A11314,2)</f>
        <v>18.48</v>
      </c>
      <c r="AM11314" s="527">
        <f ca="1">ROUND(R11319,2)</f>
        <v>5.4</v>
      </c>
      <c r="AN11314" s="528">
        <f ca="1">ROUND(T11319,2)</f>
        <v>0.35</v>
      </c>
      <c r="AO11314" s="529">
        <f ca="1">ROUND(AM11314+AN11314,2)*A11314</f>
        <v>5.75</v>
      </c>
      <c r="AR11314" s="747">
        <v>1</v>
      </c>
      <c r="AS11314" s="751">
        <v>19.84</v>
      </c>
    </row>
    <row r="11315" spans="1:45" s="520" customFormat="1" ht="13.2">
      <c r="A11315" s="748"/>
      <c r="B11315"/>
      <c r="C11315" s="748"/>
      <c r="D11315" s="749" t="s">
        <v>2216</v>
      </c>
      <c r="F11315" s="753"/>
      <c r="G11315" s="3"/>
      <c r="H11315" s="753"/>
      <c r="I11315" s="754"/>
      <c r="J11315" s="753"/>
      <c r="K11315" s="753" t="s">
        <v>144</v>
      </c>
      <c r="L11315" s="753"/>
      <c r="M11315" s="753"/>
      <c r="N11315" s="753"/>
      <c r="O11315" s="753"/>
      <c r="P11315" s="753"/>
      <c r="Q11315" s="51"/>
      <c r="R11315" s="530"/>
      <c r="S11315" s="757"/>
      <c r="T11315" s="753"/>
      <c r="AR11315" s="748"/>
      <c r="AS11315" s="753"/>
    </row>
    <row r="11316" spans="1:45" s="886" customFormat="1" ht="13.2">
      <c r="A11316"/>
      <c r="B11316" s="910"/>
      <c r="C11316" s="910" t="s">
        <v>2597</v>
      </c>
      <c r="D11316" s="910" t="str">
        <f ca="1">CELL("Address",Elec_Rates!D$1047)</f>
        <v>[E25_0062_Quintano_Foods_Elec_ELV_As_Awarded.xlsx]Elec_Rates!$D$1047</v>
      </c>
      <c r="E11316" s="911"/>
      <c r="F11316" s="911"/>
      <c r="G11316" s="912" t="s">
        <v>2598</v>
      </c>
      <c r="H11316" s="912"/>
      <c r="I11316" s="912"/>
      <c r="J11316" s="912"/>
      <c r="K11316" s="913"/>
      <c r="L11316" s="911"/>
      <c r="M11316" s="911"/>
      <c r="N11316" s="911"/>
      <c r="O11316" s="914"/>
      <c r="P11316" s="911"/>
      <c r="Q11316" s="915"/>
      <c r="R11316" s="916"/>
      <c r="S11316" s="915"/>
      <c r="T11316" s="917"/>
      <c r="U11316" s="918"/>
      <c r="AR11316"/>
      <c r="AS11316" s="911"/>
    </row>
    <row r="11317" spans="1:45" s="886" customFormat="1" ht="11.4">
      <c r="A11317" s="919">
        <v>1</v>
      </c>
      <c r="B11317" s="920">
        <v>1</v>
      </c>
      <c r="C11317" s="920">
        <f>$A11317*$B11317</f>
        <v>1</v>
      </c>
      <c r="D11317" s="921" t="str">
        <f>Elec_Rates!$D$1047</f>
        <v>095# LSZH Conduit points for Bathroom Alarm</v>
      </c>
      <c r="E11317" s="921"/>
      <c r="F11317" s="921" t="s">
        <v>2599</v>
      </c>
      <c r="G11317" s="922" t="s">
        <v>2600</v>
      </c>
      <c r="H11317" s="922"/>
      <c r="I11317" s="922"/>
      <c r="J11317" s="922"/>
      <c r="K11317" s="923"/>
      <c r="L11317" s="918"/>
      <c r="M11317" s="918"/>
      <c r="N11317" s="918"/>
      <c r="O11317" s="924"/>
      <c r="P11317" s="921"/>
      <c r="Q11317" s="925">
        <f ca="1">$B11317*Elec_Rates!$R$1047</f>
        <v>5.4</v>
      </c>
      <c r="R11317" s="916">
        <f ca="1">$A11317*Q11317</f>
        <v>5.4</v>
      </c>
      <c r="S11317" s="925">
        <f ca="1">$B11317*Elec_Rates!$T$1047</f>
        <v>0.35</v>
      </c>
      <c r="T11317" s="917">
        <f ca="1">$A11317*S11317</f>
        <v>0.35</v>
      </c>
      <c r="U11317" s="926"/>
      <c r="AR11317" s="919">
        <v>1</v>
      </c>
      <c r="AS11317" s="921" t="s">
        <v>2599</v>
      </c>
    </row>
    <row r="11318" spans="1:45" s="520" customFormat="1" ht="12">
      <c r="A11318" s="758"/>
      <c r="B11318" s="758"/>
      <c r="C11318" s="758"/>
      <c r="D11318" s="758"/>
      <c r="E11318" s="758"/>
      <c r="F11318" s="753"/>
      <c r="G11318" s="758"/>
      <c r="H11318" s="758"/>
      <c r="I11318" s="519"/>
      <c r="J11318" s="758"/>
      <c r="K11318" s="758"/>
      <c r="L11318" s="758"/>
      <c r="M11318" s="758"/>
      <c r="N11318" s="758"/>
      <c r="O11318" s="758"/>
      <c r="P11318" s="758"/>
      <c r="Q11318" s="519"/>
      <c r="R11318" s="759">
        <f>$A11318*Q11318</f>
        <v>0</v>
      </c>
      <c r="S11318" s="519"/>
      <c r="T11318" s="760">
        <f>$A11318*S11318*$T$1</f>
        <v>0</v>
      </c>
      <c r="AR11318" s="758"/>
      <c r="AS11318" s="753"/>
    </row>
    <row r="11319" spans="1:45" s="520" customFormat="1" ht="12.6" thickBot="1">
      <c r="A11319" s="761" t="s">
        <v>145</v>
      </c>
      <c r="B11319" s="762">
        <f>(R11318+T11318)</f>
        <v>0</v>
      </c>
      <c r="C11319" s="763"/>
      <c r="D11319" s="763"/>
      <c r="E11319" s="763"/>
      <c r="F11319" s="764"/>
      <c r="G11319" s="763" t="s">
        <v>146</v>
      </c>
      <c r="H11319" s="763"/>
      <c r="I11319" s="765"/>
      <c r="J11319" s="763"/>
      <c r="K11319" s="763" t="s">
        <v>3</v>
      </c>
      <c r="L11319" s="766" t="s">
        <v>143</v>
      </c>
      <c r="M11319" s="766"/>
      <c r="N11319" s="766"/>
      <c r="O11319" s="766"/>
      <c r="P11319" s="766"/>
      <c r="Q11319" s="767"/>
      <c r="R11319" s="768">
        <f ca="1">SUM(R11315:R11318)</f>
        <v>5.4</v>
      </c>
      <c r="S11319" s="763"/>
      <c r="T11319" s="768">
        <f ca="1">SUM(T11315:T11318)</f>
        <v>0.35</v>
      </c>
      <c r="U11319" s="531"/>
      <c r="V11319" s="531"/>
      <c r="W11319" s="531"/>
      <c r="X11319" s="531"/>
      <c r="Y11319" s="531"/>
      <c r="Z11319" s="531"/>
      <c r="AA11319" s="531"/>
      <c r="AB11319" s="531"/>
      <c r="AC11319" s="531"/>
      <c r="AD11319" s="531"/>
      <c r="AE11319" s="531"/>
      <c r="AF11319" s="531"/>
      <c r="AG11319" s="531"/>
      <c r="AH11319" s="531"/>
      <c r="AI11319" s="531"/>
      <c r="AJ11319" s="531"/>
      <c r="AK11319" s="531"/>
      <c r="AL11319" s="531"/>
      <c r="AM11319" s="531"/>
      <c r="AN11319" s="531"/>
      <c r="AO11319" s="531"/>
      <c r="AR11319" s="761" t="s">
        <v>145</v>
      </c>
      <c r="AS11319" s="764"/>
    </row>
    <row r="11320" spans="1:45" s="520" customFormat="1" ht="12" thickTop="1">
      <c r="A11320" s="51"/>
      <c r="B11320" s="41"/>
      <c r="C11320" s="51"/>
      <c r="E11320" s="42" t="s">
        <v>138</v>
      </c>
      <c r="F11320" s="42" t="s">
        <v>139</v>
      </c>
      <c r="G11320" s="51"/>
      <c r="H11320" s="51"/>
      <c r="I11320" s="51"/>
      <c r="J11320" s="51"/>
      <c r="K11320" s="51" t="s">
        <v>140</v>
      </c>
      <c r="L11320" s="51"/>
      <c r="M11320" s="51"/>
      <c r="N11320" s="51"/>
      <c r="O11320" s="52"/>
      <c r="P11320" s="51"/>
      <c r="Q11320" s="51"/>
      <c r="R11320" s="51"/>
      <c r="S11320" s="51"/>
      <c r="T11320" s="41"/>
      <c r="AG11320" s="521" t="s">
        <v>268</v>
      </c>
      <c r="AH11320" s="521" t="s">
        <v>269</v>
      </c>
      <c r="AI11320" s="521" t="s">
        <v>270</v>
      </c>
      <c r="AJ11320" s="521" t="s">
        <v>271</v>
      </c>
      <c r="AK11320" s="521" t="s">
        <v>272</v>
      </c>
      <c r="AM11320" s="745" t="s">
        <v>281</v>
      </c>
      <c r="AN11320" s="746" t="s">
        <v>282</v>
      </c>
      <c r="AO11320" s="522" t="s">
        <v>278</v>
      </c>
      <c r="AR11320" s="51"/>
      <c r="AS11320" s="42" t="s">
        <v>139</v>
      </c>
    </row>
    <row r="11321" spans="1:45" s="520" customFormat="1" ht="12" customHeight="1">
      <c r="A11321" s="747">
        <v>1</v>
      </c>
      <c r="B11321" s="523" t="s">
        <v>329</v>
      </c>
      <c r="C11321" s="748"/>
      <c r="D11321" s="749" t="s">
        <v>2579</v>
      </c>
      <c r="E11321" s="750">
        <f ca="1">IF(AND($A11321=0,$A$1="DIF"),0, ROUND(ROUND(($R11326*$S$2+($T11326*$T$2))/A11321,2)*$C$2,2))</f>
        <v>18.48</v>
      </c>
      <c r="F11321" s="751">
        <f ca="1">ROUND($A11321*$E11321,2)</f>
        <v>18.48</v>
      </c>
      <c r="G11321" s="752" t="s">
        <v>142</v>
      </c>
      <c r="H11321" s="753"/>
      <c r="I11321" s="754"/>
      <c r="J11321" s="753"/>
      <c r="K11321" s="753" t="s">
        <v>3</v>
      </c>
      <c r="L11321" s="755" t="s">
        <v>143</v>
      </c>
      <c r="M11321" s="755"/>
      <c r="N11321" s="755"/>
      <c r="O11321" s="755"/>
      <c r="P11321" s="755"/>
      <c r="Q11321" s="51"/>
      <c r="T11321" s="756" t="str">
        <f ca="1">IF(AND($R11326=0,$T11326=0),"0.00","mu :" &amp; ROUND($F11321/$C$2/($R11326+$T11326*$D$9),2))</f>
        <v>mu :1.23</v>
      </c>
      <c r="W11321" s="524"/>
      <c r="AG11321" s="481">
        <f ca="1">IF($E11321=0,0,ROUND($R11326*$S$2*$C$2/$A11321,2))</f>
        <v>6.65</v>
      </c>
      <c r="AH11321" s="481">
        <f ca="1">$AG11321*$A11321</f>
        <v>6.65</v>
      </c>
      <c r="AI11321" s="525">
        <f ca="1">$E11321-$AG11321</f>
        <v>11.83</v>
      </c>
      <c r="AJ11321" s="525">
        <f ca="1">$A11321*$AI11321</f>
        <v>11.83</v>
      </c>
      <c r="AK11321" s="526">
        <f ca="1">ROUND(($AG11321+$AI11321)*$A11321,2)</f>
        <v>18.48</v>
      </c>
      <c r="AM11321" s="527">
        <f ca="1">ROUND(R11326,2)</f>
        <v>5.4</v>
      </c>
      <c r="AN11321" s="528">
        <f ca="1">ROUND(T11326,2)</f>
        <v>0.35</v>
      </c>
      <c r="AO11321" s="529">
        <f ca="1">ROUND(AM11321+AN11321,2)*A11321</f>
        <v>5.75</v>
      </c>
      <c r="AR11321" s="747">
        <v>1</v>
      </c>
      <c r="AS11321" s="751">
        <v>19.84</v>
      </c>
    </row>
    <row r="11322" spans="1:45" s="520" customFormat="1" ht="13.2">
      <c r="A11322" s="748"/>
      <c r="B11322"/>
      <c r="C11322" s="748"/>
      <c r="D11322" s="749" t="s">
        <v>2217</v>
      </c>
      <c r="F11322" s="753"/>
      <c r="G11322" s="3"/>
      <c r="H11322" s="753"/>
      <c r="I11322" s="754"/>
      <c r="J11322" s="753"/>
      <c r="K11322" s="753" t="s">
        <v>144</v>
      </c>
      <c r="L11322" s="753"/>
      <c r="M11322" s="753"/>
      <c r="N11322" s="753"/>
      <c r="O11322" s="753"/>
      <c r="P11322" s="753"/>
      <c r="Q11322" s="51"/>
      <c r="R11322" s="530"/>
      <c r="S11322" s="757"/>
      <c r="T11322" s="753"/>
      <c r="AR11322" s="748"/>
      <c r="AS11322" s="753"/>
    </row>
    <row r="11323" spans="1:45" s="886" customFormat="1" ht="13.2">
      <c r="A11323"/>
      <c r="B11323" s="910"/>
      <c r="C11323" s="910" t="s">
        <v>2597</v>
      </c>
      <c r="D11323" s="910" t="str">
        <f ca="1">CELL("Address",Elec_Rates!D$1047)</f>
        <v>[E25_0062_Quintano_Foods_Elec_ELV_As_Awarded.xlsx]Elec_Rates!$D$1047</v>
      </c>
      <c r="E11323" s="911"/>
      <c r="F11323" s="911"/>
      <c r="G11323" s="912" t="s">
        <v>2598</v>
      </c>
      <c r="H11323" s="912"/>
      <c r="I11323" s="912"/>
      <c r="J11323" s="912"/>
      <c r="K11323" s="913"/>
      <c r="L11323" s="911"/>
      <c r="M11323" s="911"/>
      <c r="N11323" s="911"/>
      <c r="O11323" s="914"/>
      <c r="P11323" s="911"/>
      <c r="Q11323" s="915"/>
      <c r="R11323" s="916"/>
      <c r="S11323" s="915"/>
      <c r="T11323" s="917"/>
      <c r="U11323" s="918"/>
      <c r="AR11323"/>
      <c r="AS11323" s="911"/>
    </row>
    <row r="11324" spans="1:45" s="886" customFormat="1" ht="11.4">
      <c r="A11324" s="919">
        <v>1</v>
      </c>
      <c r="B11324" s="920">
        <v>1</v>
      </c>
      <c r="C11324" s="920">
        <f>$A11324*$B11324</f>
        <v>1</v>
      </c>
      <c r="D11324" s="921" t="str">
        <f>Elec_Rates!$D$1047</f>
        <v>095# LSZH Conduit points for Bathroom Alarm</v>
      </c>
      <c r="E11324" s="921"/>
      <c r="F11324" s="921" t="s">
        <v>2599</v>
      </c>
      <c r="G11324" s="922" t="s">
        <v>2600</v>
      </c>
      <c r="H11324" s="922"/>
      <c r="I11324" s="922"/>
      <c r="J11324" s="922"/>
      <c r="K11324" s="923"/>
      <c r="L11324" s="918"/>
      <c r="M11324" s="918"/>
      <c r="N11324" s="918"/>
      <c r="O11324" s="924"/>
      <c r="P11324" s="921"/>
      <c r="Q11324" s="925">
        <f ca="1">$B11324*Elec_Rates!$R$1047</f>
        <v>5.4</v>
      </c>
      <c r="R11324" s="916">
        <f ca="1">$A11324*Q11324</f>
        <v>5.4</v>
      </c>
      <c r="S11324" s="925">
        <f ca="1">$B11324*Elec_Rates!$T$1047</f>
        <v>0.35</v>
      </c>
      <c r="T11324" s="917">
        <f ca="1">$A11324*S11324</f>
        <v>0.35</v>
      </c>
      <c r="U11324" s="926"/>
      <c r="AR11324" s="919">
        <v>1</v>
      </c>
      <c r="AS11324" s="921" t="s">
        <v>2599</v>
      </c>
    </row>
    <row r="11325" spans="1:45" s="520" customFormat="1" ht="12">
      <c r="A11325" s="758"/>
      <c r="B11325" s="758"/>
      <c r="C11325" s="758"/>
      <c r="D11325" s="758"/>
      <c r="E11325" s="758"/>
      <c r="F11325" s="753"/>
      <c r="G11325" s="758"/>
      <c r="H11325" s="758"/>
      <c r="I11325" s="519"/>
      <c r="J11325" s="758"/>
      <c r="K11325" s="758"/>
      <c r="L11325" s="758"/>
      <c r="M11325" s="758"/>
      <c r="N11325" s="758"/>
      <c r="O11325" s="758"/>
      <c r="P11325" s="758"/>
      <c r="Q11325" s="519"/>
      <c r="R11325" s="759">
        <f>$A11325*Q11325</f>
        <v>0</v>
      </c>
      <c r="S11325" s="519"/>
      <c r="T11325" s="760">
        <f>$A11325*S11325*$T$1</f>
        <v>0</v>
      </c>
      <c r="AR11325" s="758"/>
      <c r="AS11325" s="753"/>
    </row>
    <row r="11326" spans="1:45" s="520" customFormat="1" ht="12.6" thickBot="1">
      <c r="A11326" s="761" t="s">
        <v>145</v>
      </c>
      <c r="B11326" s="762">
        <f>(R11325+T11325)</f>
        <v>0</v>
      </c>
      <c r="C11326" s="763"/>
      <c r="D11326" s="763"/>
      <c r="E11326" s="763"/>
      <c r="F11326" s="764"/>
      <c r="G11326" s="763" t="s">
        <v>146</v>
      </c>
      <c r="H11326" s="763"/>
      <c r="I11326" s="765"/>
      <c r="J11326" s="763"/>
      <c r="K11326" s="763" t="s">
        <v>3</v>
      </c>
      <c r="L11326" s="766" t="s">
        <v>143</v>
      </c>
      <c r="M11326" s="766"/>
      <c r="N11326" s="766"/>
      <c r="O11326" s="766"/>
      <c r="P11326" s="766"/>
      <c r="Q11326" s="767"/>
      <c r="R11326" s="768">
        <f ca="1">SUM(R11322:R11325)</f>
        <v>5.4</v>
      </c>
      <c r="S11326" s="763"/>
      <c r="T11326" s="768">
        <f ca="1">SUM(T11322:T11325)</f>
        <v>0.35</v>
      </c>
      <c r="U11326" s="531"/>
      <c r="V11326" s="531"/>
      <c r="W11326" s="531"/>
      <c r="X11326" s="531"/>
      <c r="Y11326" s="531"/>
      <c r="Z11326" s="531"/>
      <c r="AA11326" s="531"/>
      <c r="AB11326" s="531"/>
      <c r="AC11326" s="531"/>
      <c r="AD11326" s="531"/>
      <c r="AE11326" s="531"/>
      <c r="AF11326" s="531"/>
      <c r="AG11326" s="531"/>
      <c r="AH11326" s="531"/>
      <c r="AI11326" s="531"/>
      <c r="AJ11326" s="531"/>
      <c r="AK11326" s="531"/>
      <c r="AL11326" s="531"/>
      <c r="AM11326" s="531"/>
      <c r="AN11326" s="531"/>
      <c r="AO11326" s="531"/>
      <c r="AR11326" s="761" t="s">
        <v>145</v>
      </c>
      <c r="AS11326" s="764"/>
    </row>
    <row r="11327" spans="1:45" s="520" customFormat="1" thickTop="1">
      <c r="A11327" s="51"/>
      <c r="B11327" s="51"/>
      <c r="C11327" s="3"/>
      <c r="D11327" s="3"/>
      <c r="E11327" s="51"/>
      <c r="F11327" s="51"/>
      <c r="G11327" s="51"/>
      <c r="H11327" s="51"/>
      <c r="I11327" s="51"/>
      <c r="J11327" s="51"/>
      <c r="K11327" s="51" t="s">
        <v>134</v>
      </c>
      <c r="L11327" s="51"/>
      <c r="M11327" s="51"/>
      <c r="N11327" s="51"/>
      <c r="O11327" s="52"/>
      <c r="P11327" s="51"/>
      <c r="Q11327" s="51"/>
      <c r="R11327" s="51"/>
      <c r="S11327" s="51"/>
      <c r="T11327" s="51"/>
      <c r="AR11327" s="51"/>
      <c r="AS11327" s="51"/>
    </row>
    <row r="11328" spans="1:45" s="520" customFormat="1" ht="12">
      <c r="A11328" s="51"/>
      <c r="B11328" s="51"/>
      <c r="C11328" s="51" t="s">
        <v>135</v>
      </c>
      <c r="D11328" s="37"/>
      <c r="E11328" s="51"/>
      <c r="F11328" s="51"/>
      <c r="G11328" s="51"/>
      <c r="H11328" s="51"/>
      <c r="I11328" s="51"/>
      <c r="J11328" s="51"/>
      <c r="K11328" s="51"/>
      <c r="L11328" s="51"/>
      <c r="M11328" s="51"/>
      <c r="N11328" s="51"/>
      <c r="O11328" s="52"/>
      <c r="P11328" s="51"/>
      <c r="Q11328" s="51"/>
      <c r="R11328" s="51"/>
      <c r="S11328" s="51"/>
      <c r="T11328" s="51"/>
      <c r="AR11328" s="51"/>
      <c r="AS11328" s="51"/>
    </row>
    <row r="11329" spans="1:45" s="520" customFormat="1" ht="39.9" customHeight="1">
      <c r="A11329" s="51"/>
      <c r="B11329" s="51"/>
      <c r="C11329" s="51"/>
      <c r="D11329" s="1453" t="s">
        <v>2185</v>
      </c>
      <c r="E11329" s="1452"/>
      <c r="F11329" s="1452"/>
      <c r="G11329" s="1452"/>
      <c r="H11329" s="1452"/>
      <c r="I11329" s="1452"/>
      <c r="J11329" s="1452"/>
      <c r="K11329" s="1452"/>
      <c r="L11329" s="1452"/>
      <c r="M11329" s="1452"/>
      <c r="N11329" s="1452"/>
      <c r="O11329" s="1452"/>
      <c r="P11329" s="1452"/>
      <c r="Q11329" s="1452"/>
      <c r="R11329" s="1452"/>
      <c r="S11329" s="1452"/>
      <c r="T11329" s="1452"/>
      <c r="AR11329" s="51"/>
    </row>
    <row r="11330" spans="1:45" s="3" customFormat="1" thickBot="1">
      <c r="A11330" s="531"/>
      <c r="O11330" s="107"/>
      <c r="AR11330" s="531"/>
    </row>
    <row r="11331" spans="1:45" s="520" customFormat="1" ht="12" thickTop="1">
      <c r="A11331" s="51"/>
      <c r="B11331" s="41"/>
      <c r="C11331" s="51"/>
      <c r="E11331" s="42" t="s">
        <v>138</v>
      </c>
      <c r="F11331" s="42" t="s">
        <v>139</v>
      </c>
      <c r="G11331" s="51"/>
      <c r="H11331" s="51"/>
      <c r="I11331" s="51"/>
      <c r="J11331" s="51"/>
      <c r="K11331" s="51" t="s">
        <v>140</v>
      </c>
      <c r="L11331" s="51"/>
      <c r="M11331" s="51"/>
      <c r="N11331" s="51"/>
      <c r="O11331" s="52"/>
      <c r="P11331" s="51"/>
      <c r="Q11331" s="51"/>
      <c r="R11331" s="51"/>
      <c r="S11331" s="51"/>
      <c r="T11331" s="41"/>
      <c r="AG11331" s="521" t="s">
        <v>268</v>
      </c>
      <c r="AH11331" s="521" t="s">
        <v>269</v>
      </c>
      <c r="AI11331" s="521" t="s">
        <v>270</v>
      </c>
      <c r="AJ11331" s="521" t="s">
        <v>271</v>
      </c>
      <c r="AK11331" s="521" t="s">
        <v>272</v>
      </c>
      <c r="AM11331" s="745" t="s">
        <v>281</v>
      </c>
      <c r="AN11331" s="746" t="s">
        <v>282</v>
      </c>
      <c r="AO11331" s="522" t="s">
        <v>278</v>
      </c>
      <c r="AR11331" s="51"/>
      <c r="AS11331" s="42" t="s">
        <v>139</v>
      </c>
    </row>
    <row r="11332" spans="1:45" s="520" customFormat="1" ht="12" customHeight="1">
      <c r="A11332" s="747">
        <v>1</v>
      </c>
      <c r="B11332" s="523" t="s">
        <v>329</v>
      </c>
      <c r="C11332" s="748"/>
      <c r="D11332" s="749" t="s">
        <v>2580</v>
      </c>
      <c r="E11332" s="1145">
        <f>IF(AND($A11332=0,$A$1="DIF"),0, ROUND(ROUND(($R11336*$S$3+($T11336*$T$3))/$A11332,2)*$C$3,2))</f>
        <v>14.78</v>
      </c>
      <c r="F11332" s="1146">
        <f>ROUND($A11332*$E11332,2)</f>
        <v>14.78</v>
      </c>
      <c r="G11332" s="752" t="s">
        <v>142</v>
      </c>
      <c r="H11332" s="753"/>
      <c r="I11332" s="754"/>
      <c r="J11332" s="753"/>
      <c r="K11332" s="753" t="s">
        <v>5</v>
      </c>
      <c r="L11332" s="755" t="s">
        <v>143</v>
      </c>
      <c r="M11332" s="755"/>
      <c r="N11332" s="755"/>
      <c r="O11332" s="755"/>
      <c r="P11332" s="755"/>
      <c r="Q11332" s="51"/>
      <c r="T11332" s="1150" t="str">
        <f>IF(AND($R11336=0,$T11336=0),"0.00","mu: "&amp; ROUND(F11332/$C$3/($R11336+$T11336*$D$9),2))</f>
        <v>mu: 1.13</v>
      </c>
      <c r="W11332" s="524"/>
      <c r="AG11332" s="1147">
        <f>IF($E11332=0,0,ROUND($R11336*$S$3*$C$3/$A11332,2))</f>
        <v>14.78</v>
      </c>
      <c r="AH11332" s="1147">
        <f>$AG11332*$A11332</f>
        <v>14.78</v>
      </c>
      <c r="AI11332" s="1148">
        <f>$E11332-$AG11332</f>
        <v>0</v>
      </c>
      <c r="AJ11332" s="1148">
        <f>$A11332*$AI11332</f>
        <v>0</v>
      </c>
      <c r="AK11332" s="1149">
        <f>ROUND(($AG11332+$AI11332)*$A11332,2)</f>
        <v>14.78</v>
      </c>
      <c r="AM11332" s="527">
        <f>ROUND(R11336,2)</f>
        <v>13.1</v>
      </c>
      <c r="AN11332" s="528">
        <f>ROUND(T11336,2)</f>
        <v>0</v>
      </c>
      <c r="AO11332" s="529">
        <f>ROUND(AM11332+AN11332,2)*A11332</f>
        <v>13.1</v>
      </c>
      <c r="AR11332" s="747">
        <v>1</v>
      </c>
      <c r="AS11332" s="1146">
        <v>16.079999999999998</v>
      </c>
    </row>
    <row r="11333" spans="1:45" s="520" customFormat="1" ht="13.2">
      <c r="A11333" s="748"/>
      <c r="B11333"/>
      <c r="C11333" s="748"/>
      <c r="D11333" s="749" t="s">
        <v>2214</v>
      </c>
      <c r="F11333" s="753"/>
      <c r="G11333" s="3"/>
      <c r="H11333" s="753"/>
      <c r="I11333" s="754"/>
      <c r="J11333" s="753"/>
      <c r="K11333" s="753" t="s">
        <v>144</v>
      </c>
      <c r="L11333" s="753"/>
      <c r="M11333" s="753"/>
      <c r="N11333" s="753"/>
      <c r="O11333" s="753"/>
      <c r="P11333" s="753"/>
      <c r="Q11333" s="51"/>
      <c r="R11333" s="530"/>
      <c r="S11333" s="757"/>
      <c r="T11333" s="753"/>
      <c r="AR11333" s="748"/>
      <c r="AS11333" s="753"/>
    </row>
    <row r="11334" spans="1:45" s="901" customFormat="1" ht="13.2">
      <c r="A11334" s="903">
        <v>1</v>
      </c>
      <c r="B11334" s="904" t="s">
        <v>863</v>
      </c>
      <c r="C11334" s="904"/>
      <c r="D11334" s="904" t="s">
        <v>2594</v>
      </c>
      <c r="E11334" s="904"/>
      <c r="F11334" s="1153" t="s">
        <v>4141</v>
      </c>
      <c r="G11334" s="905" t="s">
        <v>2595</v>
      </c>
      <c r="H11334" s="902">
        <v>960</v>
      </c>
      <c r="I11334" s="904" t="s">
        <v>2596</v>
      </c>
      <c r="J11334" s="904"/>
      <c r="K11334" s="904"/>
      <c r="L11334" s="904"/>
      <c r="M11334" s="904"/>
      <c r="N11334" s="904"/>
      <c r="O11334" s="902">
        <v>4</v>
      </c>
      <c r="P11334" s="906">
        <v>38274</v>
      </c>
      <c r="Q11334" s="1415">
        <f>15*0.873</f>
        <v>13.095000000000001</v>
      </c>
      <c r="R11334" s="908">
        <f>$A11334*Q11334</f>
        <v>13.095000000000001</v>
      </c>
      <c r="S11334" s="907"/>
      <c r="T11334" s="909">
        <f>$A11334*S11334*$T$1</f>
        <v>0</v>
      </c>
      <c r="AR11334" s="903">
        <v>1</v>
      </c>
      <c r="AS11334" s="1153" t="s">
        <v>3507</v>
      </c>
    </row>
    <row r="11335" spans="1:45" s="520" customFormat="1" ht="12">
      <c r="A11335" s="758"/>
      <c r="B11335" s="758"/>
      <c r="C11335" s="758"/>
      <c r="D11335" s="758"/>
      <c r="E11335" s="758"/>
      <c r="F11335" s="753"/>
      <c r="G11335" s="758"/>
      <c r="H11335" s="758"/>
      <c r="I11335" s="519"/>
      <c r="J11335" s="758"/>
      <c r="K11335" s="758"/>
      <c r="L11335" s="758"/>
      <c r="M11335" s="758"/>
      <c r="N11335" s="758"/>
      <c r="O11335" s="758"/>
      <c r="P11335" s="758"/>
      <c r="Q11335" s="519"/>
      <c r="R11335" s="759">
        <f>$A11335*Q11335</f>
        <v>0</v>
      </c>
      <c r="S11335" s="519"/>
      <c r="T11335" s="760">
        <f>$A11335*S11335*$T$1</f>
        <v>0</v>
      </c>
      <c r="AR11335" s="758"/>
      <c r="AS11335" s="753"/>
    </row>
    <row r="11336" spans="1:45" s="520" customFormat="1" ht="12.6" thickBot="1">
      <c r="A11336" s="761" t="s">
        <v>145</v>
      </c>
      <c r="B11336" s="762">
        <f>(R11335+T11335)</f>
        <v>0</v>
      </c>
      <c r="C11336" s="763"/>
      <c r="D11336" s="763"/>
      <c r="E11336" s="763"/>
      <c r="F11336" s="764"/>
      <c r="G11336" s="763" t="s">
        <v>146</v>
      </c>
      <c r="H11336" s="763"/>
      <c r="I11336" s="765"/>
      <c r="J11336" s="763"/>
      <c r="K11336" s="763" t="s">
        <v>5</v>
      </c>
      <c r="L11336" s="766" t="s">
        <v>143</v>
      </c>
      <c r="M11336" s="766"/>
      <c r="N11336" s="766"/>
      <c r="O11336" s="766"/>
      <c r="P11336" s="766"/>
      <c r="Q11336" s="767"/>
      <c r="R11336" s="768">
        <f>SUM(R11333:R11335)</f>
        <v>13.095000000000001</v>
      </c>
      <c r="S11336" s="763"/>
      <c r="T11336" s="768">
        <f>SUM(T11333:T11335)</f>
        <v>0</v>
      </c>
      <c r="U11336" s="531"/>
      <c r="V11336" s="531"/>
      <c r="W11336" s="531"/>
      <c r="X11336" s="531"/>
      <c r="Y11336" s="531"/>
      <c r="Z11336" s="531"/>
      <c r="AA11336" s="531"/>
      <c r="AB11336" s="531"/>
      <c r="AC11336" s="531"/>
      <c r="AD11336" s="531"/>
      <c r="AE11336" s="531"/>
      <c r="AF11336" s="531"/>
      <c r="AG11336" s="531"/>
      <c r="AH11336" s="531"/>
      <c r="AI11336" s="531"/>
      <c r="AJ11336" s="531"/>
      <c r="AK11336" s="531"/>
      <c r="AL11336" s="531"/>
      <c r="AM11336" s="531"/>
      <c r="AN11336" s="531"/>
      <c r="AO11336" s="531"/>
      <c r="AR11336" s="761" t="s">
        <v>145</v>
      </c>
      <c r="AS11336" s="764"/>
    </row>
    <row r="11337" spans="1:45" s="520" customFormat="1" ht="12" thickTop="1">
      <c r="A11337" s="51"/>
      <c r="B11337" s="41"/>
      <c r="C11337" s="51"/>
      <c r="E11337" s="42" t="s">
        <v>138</v>
      </c>
      <c r="F11337" s="42" t="s">
        <v>139</v>
      </c>
      <c r="G11337" s="51"/>
      <c r="H11337" s="51"/>
      <c r="I11337" s="51"/>
      <c r="J11337" s="51"/>
      <c r="K11337" s="51" t="s">
        <v>140</v>
      </c>
      <c r="L11337" s="51"/>
      <c r="M11337" s="51"/>
      <c r="N11337" s="51"/>
      <c r="O11337" s="52"/>
      <c r="P11337" s="51"/>
      <c r="Q11337" s="51"/>
      <c r="R11337" s="51"/>
      <c r="S11337" s="51"/>
      <c r="T11337" s="41"/>
      <c r="AG11337" s="521" t="s">
        <v>268</v>
      </c>
      <c r="AH11337" s="521" t="s">
        <v>269</v>
      </c>
      <c r="AI11337" s="521" t="s">
        <v>270</v>
      </c>
      <c r="AJ11337" s="521" t="s">
        <v>271</v>
      </c>
      <c r="AK11337" s="521" t="s">
        <v>272</v>
      </c>
      <c r="AM11337" s="745" t="s">
        <v>281</v>
      </c>
      <c r="AN11337" s="746" t="s">
        <v>282</v>
      </c>
      <c r="AO11337" s="522" t="s">
        <v>278</v>
      </c>
      <c r="AR11337" s="51"/>
      <c r="AS11337" s="42" t="s">
        <v>139</v>
      </c>
    </row>
    <row r="11338" spans="1:45" s="520" customFormat="1" ht="12" customHeight="1">
      <c r="A11338" s="747">
        <v>1</v>
      </c>
      <c r="B11338" s="523" t="s">
        <v>329</v>
      </c>
      <c r="C11338" s="748"/>
      <c r="D11338" s="749" t="s">
        <v>2581</v>
      </c>
      <c r="E11338" s="1145">
        <f>IF(AND($A11338=0,$A$1="DIF"),0, ROUND(ROUND(($R11342*$S$3+($T11342*$T$3))/$A11338,2)*$C$3,2))</f>
        <v>14.78</v>
      </c>
      <c r="F11338" s="1146">
        <f>ROUND($A11338*$E11338,2)</f>
        <v>14.78</v>
      </c>
      <c r="G11338" s="752" t="s">
        <v>142</v>
      </c>
      <c r="H11338" s="753"/>
      <c r="I11338" s="754"/>
      <c r="J11338" s="753"/>
      <c r="K11338" s="753" t="s">
        <v>5</v>
      </c>
      <c r="L11338" s="755" t="s">
        <v>143</v>
      </c>
      <c r="M11338" s="755"/>
      <c r="N11338" s="755"/>
      <c r="O11338" s="755"/>
      <c r="P11338" s="755"/>
      <c r="Q11338" s="51"/>
      <c r="T11338" s="1150" t="str">
        <f>IF(AND($R11342=0,$T11342=0),"0.00","mu: "&amp; ROUND(F11338/$C$3/($R11342+$T11342*$D$9),2))</f>
        <v>mu: 1.13</v>
      </c>
      <c r="W11338" s="524"/>
      <c r="AG11338" s="1147">
        <f>IF($E11338=0,0,ROUND($R11342*$S$3*$C$3/$A11338,2))</f>
        <v>14.78</v>
      </c>
      <c r="AH11338" s="1147">
        <f>$AG11338*$A11338</f>
        <v>14.78</v>
      </c>
      <c r="AI11338" s="1148">
        <f>$E11338-$AG11338</f>
        <v>0</v>
      </c>
      <c r="AJ11338" s="1148">
        <f>$A11338*$AI11338</f>
        <v>0</v>
      </c>
      <c r="AK11338" s="1149">
        <f>ROUND(($AG11338+$AI11338)*$A11338,2)</f>
        <v>14.78</v>
      </c>
      <c r="AM11338" s="527">
        <f>ROUND(R11342,2)</f>
        <v>13.1</v>
      </c>
      <c r="AN11338" s="528">
        <f>ROUND(T11342,2)</f>
        <v>0</v>
      </c>
      <c r="AO11338" s="529">
        <f>ROUND(AM11338+AN11338,2)*A11338</f>
        <v>13.1</v>
      </c>
      <c r="AR11338" s="747">
        <v>1</v>
      </c>
      <c r="AS11338" s="1146">
        <v>16.079999999999998</v>
      </c>
    </row>
    <row r="11339" spans="1:45" s="520" customFormat="1" ht="13.2">
      <c r="A11339" s="748"/>
      <c r="B11339"/>
      <c r="C11339" s="748"/>
      <c r="D11339" s="749" t="s">
        <v>2215</v>
      </c>
      <c r="F11339" s="753"/>
      <c r="G11339" s="3"/>
      <c r="H11339" s="753"/>
      <c r="I11339" s="754"/>
      <c r="J11339" s="753"/>
      <c r="K11339" s="753" t="s">
        <v>144</v>
      </c>
      <c r="L11339" s="753"/>
      <c r="M11339" s="753"/>
      <c r="N11339" s="753"/>
      <c r="O11339" s="753"/>
      <c r="P11339" s="753"/>
      <c r="Q11339" s="51"/>
      <c r="R11339" s="530"/>
      <c r="S11339" s="757"/>
      <c r="T11339" s="753"/>
      <c r="AR11339" s="748"/>
      <c r="AS11339" s="753"/>
    </row>
    <row r="11340" spans="1:45" s="901" customFormat="1" ht="13.2">
      <c r="A11340" s="903">
        <v>1</v>
      </c>
      <c r="B11340" s="904" t="s">
        <v>863</v>
      </c>
      <c r="C11340" s="904"/>
      <c r="D11340" s="904" t="s">
        <v>2594</v>
      </c>
      <c r="E11340" s="904"/>
      <c r="F11340" s="1153" t="s">
        <v>4141</v>
      </c>
      <c r="G11340" s="905" t="s">
        <v>2595</v>
      </c>
      <c r="H11340" s="902">
        <v>960</v>
      </c>
      <c r="I11340" s="904" t="s">
        <v>2596</v>
      </c>
      <c r="J11340" s="904"/>
      <c r="K11340" s="904"/>
      <c r="L11340" s="904"/>
      <c r="M11340" s="904"/>
      <c r="N11340" s="904"/>
      <c r="O11340" s="902">
        <v>4</v>
      </c>
      <c r="P11340" s="906">
        <v>38274</v>
      </c>
      <c r="Q11340" s="1415">
        <f>15*0.873</f>
        <v>13.095000000000001</v>
      </c>
      <c r="R11340" s="908">
        <f>$A11340*Q11340</f>
        <v>13.095000000000001</v>
      </c>
      <c r="S11340" s="907"/>
      <c r="T11340" s="909">
        <f>$A11340*S11340*$T$1</f>
        <v>0</v>
      </c>
      <c r="AR11340" s="903">
        <v>1</v>
      </c>
      <c r="AS11340" s="1153" t="s">
        <v>3507</v>
      </c>
    </row>
    <row r="11341" spans="1:45" s="520" customFormat="1" ht="12">
      <c r="A11341" s="758"/>
      <c r="B11341" s="758"/>
      <c r="C11341" s="758"/>
      <c r="D11341" s="758"/>
      <c r="E11341" s="758"/>
      <c r="F11341" s="753"/>
      <c r="G11341" s="758"/>
      <c r="H11341" s="758"/>
      <c r="I11341" s="519"/>
      <c r="J11341" s="758"/>
      <c r="K11341" s="758"/>
      <c r="L11341" s="758"/>
      <c r="M11341" s="758"/>
      <c r="N11341" s="758"/>
      <c r="O11341" s="758"/>
      <c r="P11341" s="758"/>
      <c r="Q11341" s="519"/>
      <c r="R11341" s="759">
        <f>$A11341*Q11341</f>
        <v>0</v>
      </c>
      <c r="S11341" s="519"/>
      <c r="T11341" s="760">
        <f>$A11341*S11341*$T$1</f>
        <v>0</v>
      </c>
      <c r="AR11341" s="758"/>
      <c r="AS11341" s="753"/>
    </row>
    <row r="11342" spans="1:45" s="520" customFormat="1" ht="12.6" thickBot="1">
      <c r="A11342" s="761" t="s">
        <v>145</v>
      </c>
      <c r="B11342" s="762">
        <f>(R11341+T11341)</f>
        <v>0</v>
      </c>
      <c r="C11342" s="763"/>
      <c r="D11342" s="763"/>
      <c r="E11342" s="763"/>
      <c r="F11342" s="764"/>
      <c r="G11342" s="763" t="s">
        <v>146</v>
      </c>
      <c r="H11342" s="763"/>
      <c r="I11342" s="765"/>
      <c r="J11342" s="763"/>
      <c r="K11342" s="763" t="s">
        <v>5</v>
      </c>
      <c r="L11342" s="766" t="s">
        <v>143</v>
      </c>
      <c r="M11342" s="766"/>
      <c r="N11342" s="766"/>
      <c r="O11342" s="766"/>
      <c r="P11342" s="766"/>
      <c r="Q11342" s="767"/>
      <c r="R11342" s="768">
        <f>SUM(R11339:R11341)</f>
        <v>13.095000000000001</v>
      </c>
      <c r="S11342" s="763"/>
      <c r="T11342" s="768">
        <f>SUM(T11339:T11341)</f>
        <v>0</v>
      </c>
      <c r="U11342" s="531"/>
      <c r="V11342" s="531"/>
      <c r="W11342" s="531"/>
      <c r="X11342" s="531"/>
      <c r="Y11342" s="531"/>
      <c r="Z11342" s="531"/>
      <c r="AA11342" s="531"/>
      <c r="AB11342" s="531"/>
      <c r="AC11342" s="531"/>
      <c r="AD11342" s="531"/>
      <c r="AE11342" s="531"/>
      <c r="AF11342" s="531"/>
      <c r="AG11342" s="531"/>
      <c r="AH11342" s="531"/>
      <c r="AI11342" s="531"/>
      <c r="AJ11342" s="531"/>
      <c r="AK11342" s="531"/>
      <c r="AL11342" s="531"/>
      <c r="AM11342" s="531"/>
      <c r="AN11342" s="531"/>
      <c r="AO11342" s="531"/>
      <c r="AR11342" s="761" t="s">
        <v>145</v>
      </c>
      <c r="AS11342" s="764"/>
    </row>
    <row r="11343" spans="1:45" s="520" customFormat="1" ht="12" thickTop="1">
      <c r="A11343" s="51"/>
      <c r="B11343" s="41"/>
      <c r="C11343" s="51"/>
      <c r="E11343" s="42" t="s">
        <v>138</v>
      </c>
      <c r="F11343" s="42" t="s">
        <v>139</v>
      </c>
      <c r="G11343" s="51"/>
      <c r="H11343" s="51"/>
      <c r="I11343" s="51"/>
      <c r="J11343" s="51"/>
      <c r="K11343" s="51" t="s">
        <v>140</v>
      </c>
      <c r="L11343" s="51"/>
      <c r="M11343" s="51"/>
      <c r="N11343" s="51"/>
      <c r="O11343" s="52"/>
      <c r="P11343" s="51"/>
      <c r="Q11343" s="51"/>
      <c r="R11343" s="51"/>
      <c r="S11343" s="51"/>
      <c r="T11343" s="41"/>
      <c r="AG11343" s="521" t="s">
        <v>268</v>
      </c>
      <c r="AH11343" s="521" t="s">
        <v>269</v>
      </c>
      <c r="AI11343" s="521" t="s">
        <v>270</v>
      </c>
      <c r="AJ11343" s="521" t="s">
        <v>271</v>
      </c>
      <c r="AK11343" s="521" t="s">
        <v>272</v>
      </c>
      <c r="AM11343" s="745" t="s">
        <v>281</v>
      </c>
      <c r="AN11343" s="746" t="s">
        <v>282</v>
      </c>
      <c r="AO11343" s="522" t="s">
        <v>278</v>
      </c>
      <c r="AR11343" s="51"/>
      <c r="AS11343" s="42" t="s">
        <v>139</v>
      </c>
    </row>
    <row r="11344" spans="1:45" s="520" customFormat="1" ht="12" customHeight="1">
      <c r="A11344" s="747">
        <v>1</v>
      </c>
      <c r="B11344" s="523" t="s">
        <v>329</v>
      </c>
      <c r="C11344" s="748"/>
      <c r="D11344" s="749" t="s">
        <v>2582</v>
      </c>
      <c r="E11344" s="1145">
        <f>IF(AND($A11344=0,$A$1="DIF"),0, ROUND(ROUND(($R11348*$S$3+($T11348*$T$3))/$A11344,2)*$C$3,2))</f>
        <v>14.78</v>
      </c>
      <c r="F11344" s="1146">
        <f>ROUND($A11344*$E11344,2)</f>
        <v>14.78</v>
      </c>
      <c r="G11344" s="752" t="s">
        <v>142</v>
      </c>
      <c r="H11344" s="753"/>
      <c r="I11344" s="754"/>
      <c r="J11344" s="753"/>
      <c r="K11344" s="753" t="s">
        <v>5</v>
      </c>
      <c r="L11344" s="755" t="s">
        <v>143</v>
      </c>
      <c r="M11344" s="755"/>
      <c r="N11344" s="755"/>
      <c r="O11344" s="755"/>
      <c r="P11344" s="755"/>
      <c r="Q11344" s="51"/>
      <c r="T11344" s="1150" t="str">
        <f>IF(AND($R11348=0,$T11348=0),"0.00","mu: "&amp; ROUND(F11344/$C$3/($R11348+$T11348*$D$9),2))</f>
        <v>mu: 1.13</v>
      </c>
      <c r="W11344" s="524"/>
      <c r="AG11344" s="1147">
        <f>IF($E11344=0,0,ROUND($R11348*$S$3*$C$3/$A11344,2))</f>
        <v>14.78</v>
      </c>
      <c r="AH11344" s="1147">
        <f>$AG11344*$A11344</f>
        <v>14.78</v>
      </c>
      <c r="AI11344" s="1148">
        <f>$E11344-$AG11344</f>
        <v>0</v>
      </c>
      <c r="AJ11344" s="1148">
        <f>$A11344*$AI11344</f>
        <v>0</v>
      </c>
      <c r="AK11344" s="1149">
        <f>ROUND(($AG11344+$AI11344)*$A11344,2)</f>
        <v>14.78</v>
      </c>
      <c r="AM11344" s="527">
        <f>ROUND(R11348,2)</f>
        <v>13.1</v>
      </c>
      <c r="AN11344" s="528">
        <f>ROUND(T11348,2)</f>
        <v>0</v>
      </c>
      <c r="AO11344" s="529">
        <f>ROUND(AM11344+AN11344,2)*A11344</f>
        <v>13.1</v>
      </c>
      <c r="AR11344" s="747">
        <v>1</v>
      </c>
      <c r="AS11344" s="1146">
        <v>16.079999999999998</v>
      </c>
    </row>
    <row r="11345" spans="1:45" s="520" customFormat="1" ht="13.2">
      <c r="A11345" s="748"/>
      <c r="B11345"/>
      <c r="C11345" s="748"/>
      <c r="D11345" s="749" t="s">
        <v>2216</v>
      </c>
      <c r="F11345" s="753"/>
      <c r="G11345" s="3"/>
      <c r="H11345" s="753"/>
      <c r="I11345" s="754"/>
      <c r="J11345" s="753"/>
      <c r="K11345" s="753" t="s">
        <v>144</v>
      </c>
      <c r="L11345" s="753"/>
      <c r="M11345" s="753"/>
      <c r="N11345" s="753"/>
      <c r="O11345" s="753"/>
      <c r="P11345" s="753"/>
      <c r="Q11345" s="51"/>
      <c r="R11345" s="530"/>
      <c r="S11345" s="757"/>
      <c r="T11345" s="753"/>
      <c r="AR11345" s="748"/>
      <c r="AS11345" s="753"/>
    </row>
    <row r="11346" spans="1:45" s="901" customFormat="1" ht="13.2">
      <c r="A11346" s="903">
        <v>1</v>
      </c>
      <c r="B11346" s="904" t="s">
        <v>863</v>
      </c>
      <c r="C11346" s="904"/>
      <c r="D11346" s="904" t="s">
        <v>2594</v>
      </c>
      <c r="E11346" s="904"/>
      <c r="F11346" s="1153" t="s">
        <v>4141</v>
      </c>
      <c r="G11346" s="905" t="s">
        <v>2595</v>
      </c>
      <c r="H11346" s="902">
        <v>960</v>
      </c>
      <c r="I11346" s="904" t="s">
        <v>2596</v>
      </c>
      <c r="J11346" s="904"/>
      <c r="K11346" s="904"/>
      <c r="L11346" s="904"/>
      <c r="M11346" s="904"/>
      <c r="N11346" s="904"/>
      <c r="O11346" s="902">
        <v>4</v>
      </c>
      <c r="P11346" s="906">
        <v>38274</v>
      </c>
      <c r="Q11346" s="1415">
        <f>15*0.873</f>
        <v>13.095000000000001</v>
      </c>
      <c r="R11346" s="908">
        <f>$A11346*Q11346</f>
        <v>13.095000000000001</v>
      </c>
      <c r="S11346" s="907"/>
      <c r="T11346" s="909">
        <f>$A11346*S11346*$T$1</f>
        <v>0</v>
      </c>
      <c r="AR11346" s="903">
        <v>1</v>
      </c>
      <c r="AS11346" s="1153" t="s">
        <v>3507</v>
      </c>
    </row>
    <row r="11347" spans="1:45" s="520" customFormat="1" ht="12">
      <c r="A11347" s="758"/>
      <c r="B11347" s="758"/>
      <c r="C11347" s="758"/>
      <c r="D11347" s="758"/>
      <c r="E11347" s="758"/>
      <c r="F11347" s="753"/>
      <c r="G11347" s="758"/>
      <c r="H11347" s="758"/>
      <c r="I11347" s="519"/>
      <c r="J11347" s="758"/>
      <c r="K11347" s="758"/>
      <c r="L11347" s="758"/>
      <c r="M11347" s="758"/>
      <c r="N11347" s="758"/>
      <c r="O11347" s="758"/>
      <c r="P11347" s="758"/>
      <c r="Q11347" s="519"/>
      <c r="R11347" s="759">
        <f>$A11347*Q11347</f>
        <v>0</v>
      </c>
      <c r="S11347" s="519"/>
      <c r="T11347" s="760">
        <f>$A11347*S11347*$T$1</f>
        <v>0</v>
      </c>
      <c r="AR11347" s="758"/>
      <c r="AS11347" s="753"/>
    </row>
    <row r="11348" spans="1:45" s="520" customFormat="1" ht="12.6" thickBot="1">
      <c r="A11348" s="761" t="s">
        <v>145</v>
      </c>
      <c r="B11348" s="762">
        <f>(R11347+T11347)</f>
        <v>0</v>
      </c>
      <c r="C11348" s="763"/>
      <c r="D11348" s="763"/>
      <c r="E11348" s="763"/>
      <c r="F11348" s="764"/>
      <c r="G11348" s="763" t="s">
        <v>146</v>
      </c>
      <c r="H11348" s="763"/>
      <c r="I11348" s="765"/>
      <c r="J11348" s="763"/>
      <c r="K11348" s="763" t="s">
        <v>5</v>
      </c>
      <c r="L11348" s="766" t="s">
        <v>143</v>
      </c>
      <c r="M11348" s="766"/>
      <c r="N11348" s="766"/>
      <c r="O11348" s="766"/>
      <c r="P11348" s="766"/>
      <c r="Q11348" s="767"/>
      <c r="R11348" s="768">
        <f>SUM(R11345:R11347)</f>
        <v>13.095000000000001</v>
      </c>
      <c r="S11348" s="763"/>
      <c r="T11348" s="768">
        <f>SUM(T11345:T11347)</f>
        <v>0</v>
      </c>
      <c r="U11348" s="531"/>
      <c r="V11348" s="531"/>
      <c r="W11348" s="531"/>
      <c r="X11348" s="531"/>
      <c r="Y11348" s="531"/>
      <c r="Z11348" s="531"/>
      <c r="AA11348" s="531"/>
      <c r="AB11348" s="531"/>
      <c r="AC11348" s="531"/>
      <c r="AD11348" s="531"/>
      <c r="AE11348" s="531"/>
      <c r="AF11348" s="531"/>
      <c r="AG11348" s="531"/>
      <c r="AH11348" s="531"/>
      <c r="AI11348" s="531"/>
      <c r="AJ11348" s="531"/>
      <c r="AK11348" s="531"/>
      <c r="AL11348" s="531"/>
      <c r="AM11348" s="531"/>
      <c r="AN11348" s="531"/>
      <c r="AO11348" s="531"/>
      <c r="AR11348" s="761" t="s">
        <v>145</v>
      </c>
      <c r="AS11348" s="764"/>
    </row>
    <row r="11349" spans="1:45" s="520" customFormat="1" ht="12" thickTop="1">
      <c r="A11349" s="51"/>
      <c r="B11349" s="41"/>
      <c r="C11349" s="51"/>
      <c r="E11349" s="42" t="s">
        <v>138</v>
      </c>
      <c r="F11349" s="42" t="s">
        <v>139</v>
      </c>
      <c r="G11349" s="51"/>
      <c r="H11349" s="51"/>
      <c r="I11349" s="51"/>
      <c r="J11349" s="51"/>
      <c r="K11349" s="51" t="s">
        <v>140</v>
      </c>
      <c r="L11349" s="51"/>
      <c r="M11349" s="51"/>
      <c r="N11349" s="51"/>
      <c r="O11349" s="52"/>
      <c r="P11349" s="51"/>
      <c r="Q11349" s="51"/>
      <c r="R11349" s="51"/>
      <c r="S11349" s="51"/>
      <c r="T11349" s="41"/>
      <c r="AG11349" s="521" t="s">
        <v>268</v>
      </c>
      <c r="AH11349" s="521" t="s">
        <v>269</v>
      </c>
      <c r="AI11349" s="521" t="s">
        <v>270</v>
      </c>
      <c r="AJ11349" s="521" t="s">
        <v>271</v>
      </c>
      <c r="AK11349" s="521" t="s">
        <v>272</v>
      </c>
      <c r="AM11349" s="745" t="s">
        <v>281</v>
      </c>
      <c r="AN11349" s="746" t="s">
        <v>282</v>
      </c>
      <c r="AO11349" s="522" t="s">
        <v>278</v>
      </c>
      <c r="AR11349" s="51"/>
      <c r="AS11349" s="42" t="s">
        <v>139</v>
      </c>
    </row>
    <row r="11350" spans="1:45" s="520" customFormat="1" ht="12" customHeight="1">
      <c r="A11350" s="747">
        <v>1</v>
      </c>
      <c r="B11350" s="523" t="s">
        <v>329</v>
      </c>
      <c r="C11350" s="748"/>
      <c r="D11350" s="749" t="s">
        <v>2583</v>
      </c>
      <c r="E11350" s="1145">
        <f>IF(AND($A11350=0,$A$1="DIF"),0, ROUND(ROUND(($R11354*$S$3+($T11354*$T$3))/$A11350,2)*$C$3,2))</f>
        <v>14.78</v>
      </c>
      <c r="F11350" s="1146">
        <f>ROUND($A11350*$E11350,2)</f>
        <v>14.78</v>
      </c>
      <c r="G11350" s="752" t="s">
        <v>142</v>
      </c>
      <c r="H11350" s="753"/>
      <c r="I11350" s="754"/>
      <c r="J11350" s="753"/>
      <c r="K11350" s="753" t="s">
        <v>5</v>
      </c>
      <c r="L11350" s="755" t="s">
        <v>143</v>
      </c>
      <c r="M11350" s="755"/>
      <c r="N11350" s="755"/>
      <c r="O11350" s="755"/>
      <c r="P11350" s="755"/>
      <c r="Q11350" s="51"/>
      <c r="T11350" s="1150" t="str">
        <f>IF(AND($R11354=0,$T11354=0),"0.00","mu: "&amp; ROUND(F11350/$C$3/($R11354+$T11354*$D$9),2))</f>
        <v>mu: 1.13</v>
      </c>
      <c r="W11350" s="524"/>
      <c r="AG11350" s="1147">
        <f>IF($E11350=0,0,ROUND($R11354*$S$3*$C$3/$A11350,2))</f>
        <v>14.78</v>
      </c>
      <c r="AH11350" s="1147">
        <f>$AG11350*$A11350</f>
        <v>14.78</v>
      </c>
      <c r="AI11350" s="1148">
        <f>$E11350-$AG11350</f>
        <v>0</v>
      </c>
      <c r="AJ11350" s="1148">
        <f>$A11350*$AI11350</f>
        <v>0</v>
      </c>
      <c r="AK11350" s="1149">
        <f>ROUND(($AG11350+$AI11350)*$A11350,2)</f>
        <v>14.78</v>
      </c>
      <c r="AM11350" s="527">
        <f>ROUND(R11354,2)</f>
        <v>13.1</v>
      </c>
      <c r="AN11350" s="528">
        <f>ROUND(T11354,2)</f>
        <v>0</v>
      </c>
      <c r="AO11350" s="529">
        <f>ROUND(AM11350+AN11350,2)*A11350</f>
        <v>13.1</v>
      </c>
      <c r="AR11350" s="747">
        <v>1</v>
      </c>
      <c r="AS11350" s="1146">
        <v>16.079999999999998</v>
      </c>
    </row>
    <row r="11351" spans="1:45" s="520" customFormat="1" ht="13.2">
      <c r="A11351" s="748"/>
      <c r="B11351"/>
      <c r="C11351" s="748"/>
      <c r="D11351" s="749" t="s">
        <v>2217</v>
      </c>
      <c r="F11351" s="753"/>
      <c r="G11351" s="3"/>
      <c r="H11351" s="753"/>
      <c r="I11351" s="754"/>
      <c r="J11351" s="753"/>
      <c r="K11351" s="753" t="s">
        <v>144</v>
      </c>
      <c r="L11351" s="753"/>
      <c r="M11351" s="753"/>
      <c r="N11351" s="753"/>
      <c r="O11351" s="753"/>
      <c r="P11351" s="753"/>
      <c r="Q11351" s="51"/>
      <c r="R11351" s="530"/>
      <c r="S11351" s="757"/>
      <c r="T11351" s="753"/>
      <c r="AR11351" s="748"/>
      <c r="AS11351" s="753"/>
    </row>
    <row r="11352" spans="1:45" s="901" customFormat="1" ht="13.2">
      <c r="A11352" s="903">
        <v>1</v>
      </c>
      <c r="B11352" s="904" t="s">
        <v>863</v>
      </c>
      <c r="C11352" s="904"/>
      <c r="D11352" s="904" t="s">
        <v>2594</v>
      </c>
      <c r="E11352" s="904"/>
      <c r="F11352" s="1153" t="s">
        <v>4141</v>
      </c>
      <c r="G11352" s="905" t="s">
        <v>2595</v>
      </c>
      <c r="H11352" s="902">
        <v>960</v>
      </c>
      <c r="I11352" s="904" t="s">
        <v>2596</v>
      </c>
      <c r="J11352" s="904"/>
      <c r="K11352" s="904"/>
      <c r="L11352" s="904"/>
      <c r="M11352" s="904"/>
      <c r="N11352" s="904"/>
      <c r="O11352" s="902">
        <v>4</v>
      </c>
      <c r="P11352" s="906">
        <v>38274</v>
      </c>
      <c r="Q11352" s="1415">
        <f>15*0.873</f>
        <v>13.095000000000001</v>
      </c>
      <c r="R11352" s="908">
        <f>$A11352*Q11352</f>
        <v>13.095000000000001</v>
      </c>
      <c r="S11352" s="907"/>
      <c r="T11352" s="909">
        <f>$A11352*S11352*$T$1</f>
        <v>0</v>
      </c>
      <c r="AR11352" s="903">
        <v>1</v>
      </c>
      <c r="AS11352" s="1153" t="s">
        <v>3507</v>
      </c>
    </row>
    <row r="11353" spans="1:45" s="520" customFormat="1" ht="12">
      <c r="A11353" s="758"/>
      <c r="B11353" s="758"/>
      <c r="C11353" s="758"/>
      <c r="D11353" s="758"/>
      <c r="E11353" s="758"/>
      <c r="F11353" s="753"/>
      <c r="G11353" s="758"/>
      <c r="H11353" s="758"/>
      <c r="I11353" s="519"/>
      <c r="J11353" s="758"/>
      <c r="K11353" s="758"/>
      <c r="L11353" s="758"/>
      <c r="M11353" s="758"/>
      <c r="N11353" s="758"/>
      <c r="O11353" s="758"/>
      <c r="P11353" s="758"/>
      <c r="Q11353" s="519"/>
      <c r="R11353" s="759">
        <f>$A11353*Q11353</f>
        <v>0</v>
      </c>
      <c r="S11353" s="519"/>
      <c r="T11353" s="760">
        <f>$A11353*S11353*$T$1</f>
        <v>0</v>
      </c>
      <c r="AR11353" s="758"/>
      <c r="AS11353" s="753"/>
    </row>
    <row r="11354" spans="1:45" s="520" customFormat="1" ht="12.6" thickBot="1">
      <c r="A11354" s="761" t="s">
        <v>145</v>
      </c>
      <c r="B11354" s="762">
        <f>(R11353+T11353)</f>
        <v>0</v>
      </c>
      <c r="C11354" s="763"/>
      <c r="D11354" s="763"/>
      <c r="E11354" s="763"/>
      <c r="F11354" s="764"/>
      <c r="G11354" s="763" t="s">
        <v>146</v>
      </c>
      <c r="H11354" s="763"/>
      <c r="I11354" s="765"/>
      <c r="J11354" s="763"/>
      <c r="K11354" s="763" t="s">
        <v>5</v>
      </c>
      <c r="L11354" s="766" t="s">
        <v>143</v>
      </c>
      <c r="M11354" s="766"/>
      <c r="N11354" s="766"/>
      <c r="O11354" s="766"/>
      <c r="P11354" s="766"/>
      <c r="Q11354" s="767"/>
      <c r="R11354" s="768">
        <f>SUM(R11351:R11353)</f>
        <v>13.095000000000001</v>
      </c>
      <c r="S11354" s="763"/>
      <c r="T11354" s="768">
        <f>SUM(T11351:T11353)</f>
        <v>0</v>
      </c>
      <c r="U11354" s="531"/>
      <c r="V11354" s="531"/>
      <c r="W11354" s="531"/>
      <c r="X11354" s="531"/>
      <c r="Y11354" s="531"/>
      <c r="Z11354" s="531"/>
      <c r="AA11354" s="531"/>
      <c r="AB11354" s="531"/>
      <c r="AC11354" s="531"/>
      <c r="AD11354" s="531"/>
      <c r="AE11354" s="531"/>
      <c r="AF11354" s="531"/>
      <c r="AG11354" s="531"/>
      <c r="AH11354" s="531"/>
      <c r="AI11354" s="531"/>
      <c r="AJ11354" s="531"/>
      <c r="AK11354" s="531"/>
      <c r="AL11354" s="531"/>
      <c r="AM11354" s="531"/>
      <c r="AN11354" s="531"/>
      <c r="AO11354" s="531"/>
      <c r="AR11354" s="761" t="s">
        <v>145</v>
      </c>
      <c r="AS11354" s="764"/>
    </row>
    <row r="11355" spans="1:45" s="520" customFormat="1" thickTop="1">
      <c r="A11355" s="51"/>
      <c r="B11355" s="51"/>
      <c r="C11355" s="3"/>
      <c r="D11355" s="3"/>
      <c r="E11355" s="51"/>
      <c r="F11355" s="51"/>
      <c r="G11355" s="51"/>
      <c r="H11355" s="51"/>
      <c r="I11355" s="51"/>
      <c r="J11355" s="51"/>
      <c r="K11355" s="51" t="s">
        <v>134</v>
      </c>
      <c r="L11355" s="51"/>
      <c r="M11355" s="51"/>
      <c r="N11355" s="51"/>
      <c r="O11355" s="52"/>
      <c r="P11355" s="51"/>
      <c r="Q11355" s="51"/>
      <c r="R11355" s="51"/>
      <c r="S11355" s="51"/>
      <c r="T11355" s="51"/>
      <c r="AR11355" s="51"/>
      <c r="AS11355" s="51"/>
    </row>
    <row r="11356" spans="1:45" s="520" customFormat="1" ht="12">
      <c r="A11356" s="51"/>
      <c r="B11356" s="51"/>
      <c r="C11356" s="51" t="s">
        <v>135</v>
      </c>
      <c r="D11356" s="37"/>
      <c r="E11356" s="51"/>
      <c r="F11356" s="51"/>
      <c r="G11356" s="51"/>
      <c r="H11356" s="51"/>
      <c r="I11356" s="51"/>
      <c r="J11356" s="51"/>
      <c r="K11356" s="51"/>
      <c r="L11356" s="51"/>
      <c r="M11356" s="51"/>
      <c r="N11356" s="51"/>
      <c r="O11356" s="52"/>
      <c r="P11356" s="51"/>
      <c r="Q11356" s="51"/>
      <c r="R11356" s="51"/>
      <c r="S11356" s="51"/>
      <c r="T11356" s="51"/>
      <c r="AR11356" s="51"/>
      <c r="AS11356" s="51"/>
    </row>
    <row r="11357" spans="1:45" s="520" customFormat="1" ht="12">
      <c r="A11357" s="51"/>
      <c r="B11357" s="51"/>
      <c r="C11357" s="51"/>
      <c r="D11357" s="37" t="s">
        <v>2186</v>
      </c>
      <c r="E11357" s="51"/>
      <c r="F11357" s="51"/>
      <c r="G11357" s="51"/>
      <c r="H11357" s="51"/>
      <c r="I11357" s="51"/>
      <c r="J11357" s="51"/>
      <c r="K11357" s="51"/>
      <c r="L11357" s="51"/>
      <c r="M11357" s="51"/>
      <c r="N11357" s="51"/>
      <c r="O11357" s="52"/>
      <c r="P11357" s="51"/>
      <c r="Q11357" s="51"/>
      <c r="R11357" s="51"/>
      <c r="S11357" s="38"/>
      <c r="T11357" s="38"/>
      <c r="AR11357" s="51"/>
      <c r="AS11357" s="51"/>
    </row>
    <row r="11358" spans="1:45" s="3" customFormat="1" thickBot="1">
      <c r="A11358" s="531"/>
      <c r="O11358" s="107"/>
      <c r="AR11358" s="531"/>
    </row>
    <row r="11359" spans="1:45" s="520" customFormat="1" ht="12" thickTop="1">
      <c r="A11359" s="51"/>
      <c r="B11359" s="41"/>
      <c r="C11359" s="51"/>
      <c r="E11359" s="42" t="s">
        <v>138</v>
      </c>
      <c r="F11359" s="42" t="s">
        <v>139</v>
      </c>
      <c r="G11359" s="51"/>
      <c r="H11359" s="51"/>
      <c r="I11359" s="51"/>
      <c r="J11359" s="51"/>
      <c r="K11359" s="51" t="s">
        <v>140</v>
      </c>
      <c r="L11359" s="51"/>
      <c r="M11359" s="51"/>
      <c r="N11359" s="51"/>
      <c r="O11359" s="52"/>
      <c r="P11359" s="51"/>
      <c r="Q11359" s="51"/>
      <c r="R11359" s="51"/>
      <c r="S11359" s="51"/>
      <c r="T11359" s="41"/>
      <c r="AG11359" s="521" t="s">
        <v>268</v>
      </c>
      <c r="AH11359" s="521" t="s">
        <v>269</v>
      </c>
      <c r="AI11359" s="521" t="s">
        <v>270</v>
      </c>
      <c r="AJ11359" s="521" t="s">
        <v>271</v>
      </c>
      <c r="AK11359" s="521" t="s">
        <v>272</v>
      </c>
      <c r="AM11359" s="745" t="s">
        <v>281</v>
      </c>
      <c r="AN11359" s="746" t="s">
        <v>282</v>
      </c>
      <c r="AO11359" s="522" t="s">
        <v>278</v>
      </c>
      <c r="AR11359" s="51"/>
      <c r="AS11359" s="42" t="s">
        <v>139</v>
      </c>
    </row>
    <row r="11360" spans="1:45" s="520" customFormat="1" ht="12" customHeight="1">
      <c r="A11360" s="747">
        <v>1</v>
      </c>
      <c r="B11360" s="523" t="s">
        <v>329</v>
      </c>
      <c r="C11360" s="748"/>
      <c r="D11360" s="749" t="s">
        <v>2584</v>
      </c>
      <c r="E11360" s="1145">
        <f>IF(AND($A11360=0,$A$1="DIF"),0, ROUND(ROUND(($R11364*$S$3+($T11364*$T$3))/$A11360,2)*$C$3,2))</f>
        <v>73.900000000000006</v>
      </c>
      <c r="F11360" s="1146">
        <f>ROUND($A11360*$E11360,2)</f>
        <v>73.900000000000006</v>
      </c>
      <c r="G11360" s="752" t="s">
        <v>142</v>
      </c>
      <c r="H11360" s="753"/>
      <c r="I11360" s="754"/>
      <c r="J11360" s="753"/>
      <c r="K11360" s="753" t="s">
        <v>5</v>
      </c>
      <c r="L11360" s="755" t="s">
        <v>143</v>
      </c>
      <c r="M11360" s="755"/>
      <c r="N11360" s="755"/>
      <c r="O11360" s="755"/>
      <c r="P11360" s="755"/>
      <c r="Q11360" s="51"/>
      <c r="T11360" s="1150" t="str">
        <f>IF(AND($R11364=0,$T11364=0),"0.00","mu: "&amp; ROUND(F11360/$C$3/($R11364+$T11364*$D$9),2))</f>
        <v>mu: 1.13</v>
      </c>
      <c r="W11360" s="524"/>
      <c r="AG11360" s="1147">
        <f>IF($E11360=0,0,ROUND($R11364*$S$3*$C$3/$A11360,2))</f>
        <v>73.900000000000006</v>
      </c>
      <c r="AH11360" s="1147">
        <f>$AG11360*$A11360</f>
        <v>73.900000000000006</v>
      </c>
      <c r="AI11360" s="1148">
        <f>$E11360-$AG11360</f>
        <v>0</v>
      </c>
      <c r="AJ11360" s="1148">
        <f>$A11360*$AI11360</f>
        <v>0</v>
      </c>
      <c r="AK11360" s="1149">
        <f>ROUND(($AG11360+$AI11360)*$A11360,2)</f>
        <v>73.900000000000006</v>
      </c>
      <c r="AM11360" s="527">
        <f>ROUND(R11364,2)</f>
        <v>65.48</v>
      </c>
      <c r="AN11360" s="528">
        <f>ROUND(T11364,2)</f>
        <v>0</v>
      </c>
      <c r="AO11360" s="529">
        <f>ROUND(AM11360+AN11360,2)*A11360</f>
        <v>65.48</v>
      </c>
      <c r="AR11360" s="747">
        <v>1</v>
      </c>
      <c r="AS11360" s="1146">
        <v>80.42</v>
      </c>
    </row>
    <row r="11361" spans="1:45" s="520" customFormat="1" ht="13.2">
      <c r="A11361" s="748"/>
      <c r="B11361"/>
      <c r="C11361" s="748"/>
      <c r="D11361" s="749" t="s">
        <v>2218</v>
      </c>
      <c r="F11361" s="753"/>
      <c r="G11361" s="3"/>
      <c r="H11361" s="753"/>
      <c r="I11361" s="754"/>
      <c r="J11361" s="753"/>
      <c r="K11361" s="753" t="s">
        <v>144</v>
      </c>
      <c r="L11361" s="753"/>
      <c r="M11361" s="753"/>
      <c r="N11361" s="753"/>
      <c r="O11361" s="753"/>
      <c r="P11361" s="753"/>
      <c r="Q11361" s="51"/>
      <c r="R11361" s="530"/>
      <c r="S11361" s="757"/>
      <c r="T11361" s="753"/>
      <c r="AR11361" s="748"/>
      <c r="AS11361" s="753"/>
    </row>
    <row r="11362" spans="1:45" s="901" customFormat="1" ht="13.2">
      <c r="A11362" s="903">
        <v>1</v>
      </c>
      <c r="B11362" s="904" t="s">
        <v>863</v>
      </c>
      <c r="C11362" s="904"/>
      <c r="D11362" s="904" t="s">
        <v>2594</v>
      </c>
      <c r="E11362" s="904"/>
      <c r="F11362" s="1153" t="s">
        <v>4141</v>
      </c>
      <c r="G11362" s="905" t="s">
        <v>2595</v>
      </c>
      <c r="H11362" s="902">
        <v>960</v>
      </c>
      <c r="I11362" s="904" t="s">
        <v>2596</v>
      </c>
      <c r="J11362" s="904"/>
      <c r="K11362" s="904"/>
      <c r="L11362" s="904"/>
      <c r="M11362" s="904"/>
      <c r="N11362" s="904"/>
      <c r="O11362" s="902">
        <v>4</v>
      </c>
      <c r="P11362" s="906">
        <v>38274</v>
      </c>
      <c r="Q11362" s="1415">
        <f>75*0.873</f>
        <v>65.474999999999994</v>
      </c>
      <c r="R11362" s="908">
        <f>$A11362*Q11362</f>
        <v>65.474999999999994</v>
      </c>
      <c r="S11362" s="907"/>
      <c r="T11362" s="909">
        <f>$A11362*S11362*$T$1</f>
        <v>0</v>
      </c>
      <c r="AR11362" s="903">
        <v>1</v>
      </c>
      <c r="AS11362" s="1153" t="s">
        <v>3507</v>
      </c>
    </row>
    <row r="11363" spans="1:45" s="520" customFormat="1" ht="12">
      <c r="A11363" s="758"/>
      <c r="B11363" s="758"/>
      <c r="C11363" s="758"/>
      <c r="D11363" s="758"/>
      <c r="E11363" s="758"/>
      <c r="F11363" s="753"/>
      <c r="G11363" s="758"/>
      <c r="H11363" s="758"/>
      <c r="I11363" s="519"/>
      <c r="J11363" s="758"/>
      <c r="K11363" s="758"/>
      <c r="L11363" s="758"/>
      <c r="M11363" s="758"/>
      <c r="N11363" s="758"/>
      <c r="O11363" s="758"/>
      <c r="P11363" s="758"/>
      <c r="Q11363" s="519"/>
      <c r="R11363" s="759">
        <f>$A11363*Q11363</f>
        <v>0</v>
      </c>
      <c r="S11363" s="519"/>
      <c r="T11363" s="760">
        <f>$A11363*S11363*$T$1</f>
        <v>0</v>
      </c>
      <c r="AR11363" s="758"/>
      <c r="AS11363" s="753"/>
    </row>
    <row r="11364" spans="1:45" s="520" customFormat="1" ht="12.6" thickBot="1">
      <c r="A11364" s="761" t="s">
        <v>145</v>
      </c>
      <c r="B11364" s="762">
        <f>(R11363+T11363)</f>
        <v>0</v>
      </c>
      <c r="C11364" s="763"/>
      <c r="D11364" s="763"/>
      <c r="E11364" s="763"/>
      <c r="F11364" s="764"/>
      <c r="G11364" s="763" t="s">
        <v>146</v>
      </c>
      <c r="H11364" s="763"/>
      <c r="I11364" s="765"/>
      <c r="J11364" s="763"/>
      <c r="K11364" s="763" t="s">
        <v>5</v>
      </c>
      <c r="L11364" s="766" t="s">
        <v>143</v>
      </c>
      <c r="M11364" s="766"/>
      <c r="N11364" s="766"/>
      <c r="O11364" s="766"/>
      <c r="P11364" s="766"/>
      <c r="Q11364" s="767"/>
      <c r="R11364" s="768">
        <f>SUM(R11361:R11363)</f>
        <v>65.474999999999994</v>
      </c>
      <c r="S11364" s="763"/>
      <c r="T11364" s="768">
        <f>SUM(T11361:T11363)</f>
        <v>0</v>
      </c>
      <c r="U11364" s="531"/>
      <c r="V11364" s="531"/>
      <c r="W11364" s="531"/>
      <c r="X11364" s="531"/>
      <c r="Y11364" s="531"/>
      <c r="Z11364" s="531"/>
      <c r="AA11364" s="531"/>
      <c r="AB11364" s="531"/>
      <c r="AC11364" s="531"/>
      <c r="AD11364" s="531"/>
      <c r="AE11364" s="531"/>
      <c r="AF11364" s="531"/>
      <c r="AG11364" s="531"/>
      <c r="AH11364" s="531"/>
      <c r="AI11364" s="531"/>
      <c r="AJ11364" s="531"/>
      <c r="AK11364" s="531"/>
      <c r="AL11364" s="531"/>
      <c r="AM11364" s="531"/>
      <c r="AN11364" s="531"/>
      <c r="AO11364" s="531"/>
      <c r="AR11364" s="761" t="s">
        <v>145</v>
      </c>
      <c r="AS11364" s="764"/>
    </row>
    <row r="11365" spans="1:45" s="520" customFormat="1" ht="12" thickTop="1">
      <c r="A11365" s="51"/>
      <c r="B11365" s="41"/>
      <c r="C11365" s="51"/>
      <c r="E11365" s="42" t="s">
        <v>138</v>
      </c>
      <c r="F11365" s="42" t="s">
        <v>139</v>
      </c>
      <c r="G11365" s="51"/>
      <c r="H11365" s="51"/>
      <c r="I11365" s="51"/>
      <c r="J11365" s="51"/>
      <c r="K11365" s="51" t="s">
        <v>140</v>
      </c>
      <c r="L11365" s="51"/>
      <c r="M11365" s="51"/>
      <c r="N11365" s="51"/>
      <c r="O11365" s="52"/>
      <c r="P11365" s="51"/>
      <c r="Q11365" s="51"/>
      <c r="R11365" s="51"/>
      <c r="S11365" s="51"/>
      <c r="T11365" s="41"/>
      <c r="AG11365" s="521" t="s">
        <v>268</v>
      </c>
      <c r="AH11365" s="521" t="s">
        <v>269</v>
      </c>
      <c r="AI11365" s="521" t="s">
        <v>270</v>
      </c>
      <c r="AJ11365" s="521" t="s">
        <v>271</v>
      </c>
      <c r="AK11365" s="521" t="s">
        <v>272</v>
      </c>
      <c r="AM11365" s="745" t="s">
        <v>281</v>
      </c>
      <c r="AN11365" s="746" t="s">
        <v>282</v>
      </c>
      <c r="AO11365" s="522" t="s">
        <v>278</v>
      </c>
      <c r="AR11365" s="51"/>
      <c r="AS11365" s="42" t="s">
        <v>139</v>
      </c>
    </row>
    <row r="11366" spans="1:45" s="520" customFormat="1" ht="12" customHeight="1">
      <c r="A11366" s="747">
        <v>1</v>
      </c>
      <c r="B11366" s="523" t="s">
        <v>329</v>
      </c>
      <c r="C11366" s="748"/>
      <c r="D11366" s="749" t="s">
        <v>2585</v>
      </c>
      <c r="E11366" s="1145">
        <f>IF(AND($A11366=0,$A$1="DIF"),0, ROUND(ROUND(($R11370*$S$3+($T11370*$T$3))/$A11366,2)*$C$3,2))</f>
        <v>98.54</v>
      </c>
      <c r="F11366" s="1146">
        <f>ROUND($A11366*$E11366,2)</f>
        <v>98.54</v>
      </c>
      <c r="G11366" s="752" t="s">
        <v>142</v>
      </c>
      <c r="H11366" s="753"/>
      <c r="I11366" s="754"/>
      <c r="J11366" s="753"/>
      <c r="K11366" s="753" t="s">
        <v>5</v>
      </c>
      <c r="L11366" s="755" t="s">
        <v>143</v>
      </c>
      <c r="M11366" s="755"/>
      <c r="N11366" s="755"/>
      <c r="O11366" s="755"/>
      <c r="P11366" s="755"/>
      <c r="Q11366" s="51"/>
      <c r="T11366" s="1150" t="str">
        <f>IF(AND($R11370=0,$T11370=0),"0.00","mu: "&amp; ROUND(F11366/$C$3/($R11370+$T11370*$D$9),2))</f>
        <v>mu: 1.13</v>
      </c>
      <c r="W11366" s="524"/>
      <c r="AG11366" s="1147">
        <f>IF($E11366=0,0,ROUND($R11370*$S$3*$C$3/$A11366,2))</f>
        <v>98.54</v>
      </c>
      <c r="AH11366" s="1147">
        <f>$AG11366*$A11366</f>
        <v>98.54</v>
      </c>
      <c r="AI11366" s="1148">
        <f>$E11366-$AG11366</f>
        <v>0</v>
      </c>
      <c r="AJ11366" s="1148">
        <f>$A11366*$AI11366</f>
        <v>0</v>
      </c>
      <c r="AK11366" s="1149">
        <f>ROUND(($AG11366+$AI11366)*$A11366,2)</f>
        <v>98.54</v>
      </c>
      <c r="AM11366" s="527">
        <f>ROUND(R11370,2)</f>
        <v>87.3</v>
      </c>
      <c r="AN11366" s="528">
        <f>ROUND(T11370,2)</f>
        <v>0</v>
      </c>
      <c r="AO11366" s="529">
        <f>ROUND(AM11366+AN11366,2)*A11366</f>
        <v>87.3</v>
      </c>
      <c r="AR11366" s="747">
        <v>1</v>
      </c>
      <c r="AS11366" s="1146">
        <v>107.23</v>
      </c>
    </row>
    <row r="11367" spans="1:45" s="520" customFormat="1" ht="13.2">
      <c r="A11367" s="748"/>
      <c r="B11367"/>
      <c r="C11367" s="748"/>
      <c r="D11367" s="749" t="s">
        <v>2219</v>
      </c>
      <c r="F11367" s="753"/>
      <c r="G11367" s="3"/>
      <c r="H11367" s="753"/>
      <c r="I11367" s="754"/>
      <c r="J11367" s="753"/>
      <c r="K11367" s="753" t="s">
        <v>144</v>
      </c>
      <c r="L11367" s="753"/>
      <c r="M11367" s="753"/>
      <c r="N11367" s="753"/>
      <c r="O11367" s="753"/>
      <c r="P11367" s="753"/>
      <c r="Q11367" s="51"/>
      <c r="R11367" s="530"/>
      <c r="S11367" s="757"/>
      <c r="T11367" s="753"/>
      <c r="AR11367" s="748"/>
      <c r="AS11367" s="753"/>
    </row>
    <row r="11368" spans="1:45" s="901" customFormat="1" ht="13.2">
      <c r="A11368" s="903">
        <v>1</v>
      </c>
      <c r="B11368" s="904" t="s">
        <v>863</v>
      </c>
      <c r="C11368" s="904"/>
      <c r="D11368" s="904" t="s">
        <v>2594</v>
      </c>
      <c r="E11368" s="904"/>
      <c r="F11368" s="1153" t="s">
        <v>4141</v>
      </c>
      <c r="G11368" s="905" t="s">
        <v>2595</v>
      </c>
      <c r="H11368" s="902">
        <v>960</v>
      </c>
      <c r="I11368" s="904" t="s">
        <v>2596</v>
      </c>
      <c r="J11368" s="904"/>
      <c r="K11368" s="904"/>
      <c r="L11368" s="904"/>
      <c r="M11368" s="904"/>
      <c r="N11368" s="904"/>
      <c r="O11368" s="902">
        <v>4</v>
      </c>
      <c r="P11368" s="906">
        <v>38274</v>
      </c>
      <c r="Q11368" s="1415">
        <f>100*0.873</f>
        <v>87.3</v>
      </c>
      <c r="R11368" s="908">
        <f>$A11368*Q11368</f>
        <v>87.3</v>
      </c>
      <c r="S11368" s="907"/>
      <c r="T11368" s="909">
        <f>$A11368*S11368*$T$1</f>
        <v>0</v>
      </c>
      <c r="AR11368" s="903">
        <v>1</v>
      </c>
      <c r="AS11368" s="1153" t="s">
        <v>3507</v>
      </c>
    </row>
    <row r="11369" spans="1:45" s="520" customFormat="1" ht="12">
      <c r="A11369" s="758"/>
      <c r="B11369" s="758"/>
      <c r="C11369" s="758"/>
      <c r="D11369" s="758"/>
      <c r="E11369" s="758"/>
      <c r="F11369" s="753"/>
      <c r="G11369" s="758"/>
      <c r="H11369" s="758"/>
      <c r="I11369" s="519"/>
      <c r="J11369" s="758"/>
      <c r="K11369" s="758"/>
      <c r="L11369" s="758"/>
      <c r="M11369" s="758"/>
      <c r="N11369" s="758"/>
      <c r="O11369" s="758"/>
      <c r="P11369" s="758"/>
      <c r="Q11369" s="519"/>
      <c r="R11369" s="759">
        <f>$A11369*Q11369</f>
        <v>0</v>
      </c>
      <c r="S11369" s="519"/>
      <c r="T11369" s="760">
        <f>$A11369*S11369*$T$1</f>
        <v>0</v>
      </c>
      <c r="AR11369" s="758"/>
      <c r="AS11369" s="753"/>
    </row>
    <row r="11370" spans="1:45" s="520" customFormat="1" ht="12.6" thickBot="1">
      <c r="A11370" s="761" t="s">
        <v>145</v>
      </c>
      <c r="B11370" s="762">
        <f>(R11369+T11369)</f>
        <v>0</v>
      </c>
      <c r="C11370" s="763"/>
      <c r="D11370" s="763"/>
      <c r="E11370" s="763"/>
      <c r="F11370" s="764"/>
      <c r="G11370" s="763" t="s">
        <v>146</v>
      </c>
      <c r="H11370" s="763"/>
      <c r="I11370" s="765"/>
      <c r="J11370" s="763"/>
      <c r="K11370" s="763" t="s">
        <v>5</v>
      </c>
      <c r="L11370" s="766" t="s">
        <v>143</v>
      </c>
      <c r="M11370" s="766"/>
      <c r="N11370" s="766"/>
      <c r="O11370" s="766"/>
      <c r="P11370" s="766"/>
      <c r="Q11370" s="767"/>
      <c r="R11370" s="768">
        <f>SUM(R11367:R11369)</f>
        <v>87.3</v>
      </c>
      <c r="S11370" s="763"/>
      <c r="T11370" s="768">
        <f>SUM(T11367:T11369)</f>
        <v>0</v>
      </c>
      <c r="U11370" s="531"/>
      <c r="V11370" s="531"/>
      <c r="W11370" s="531"/>
      <c r="X11370" s="531"/>
      <c r="Y11370" s="531"/>
      <c r="Z11370" s="531"/>
      <c r="AA11370" s="531"/>
      <c r="AB11370" s="531"/>
      <c r="AC11370" s="531"/>
      <c r="AD11370" s="531"/>
      <c r="AE11370" s="531"/>
      <c r="AF11370" s="531"/>
      <c r="AG11370" s="531"/>
      <c r="AH11370" s="531"/>
      <c r="AI11370" s="531"/>
      <c r="AJ11370" s="531"/>
      <c r="AK11370" s="531"/>
      <c r="AL11370" s="531"/>
      <c r="AM11370" s="531"/>
      <c r="AN11370" s="531"/>
      <c r="AO11370" s="531"/>
      <c r="AR11370" s="761" t="s">
        <v>145</v>
      </c>
      <c r="AS11370" s="764"/>
    </row>
    <row r="11371" spans="1:45" s="520" customFormat="1" ht="12" thickTop="1">
      <c r="A11371" s="51"/>
      <c r="B11371" s="41"/>
      <c r="C11371" s="51"/>
      <c r="E11371" s="42" t="s">
        <v>138</v>
      </c>
      <c r="F11371" s="42" t="s">
        <v>139</v>
      </c>
      <c r="G11371" s="51"/>
      <c r="H11371" s="51"/>
      <c r="I11371" s="51"/>
      <c r="J11371" s="51"/>
      <c r="K11371" s="51" t="s">
        <v>140</v>
      </c>
      <c r="L11371" s="51"/>
      <c r="M11371" s="51"/>
      <c r="N11371" s="51"/>
      <c r="O11371" s="52"/>
      <c r="P11371" s="51"/>
      <c r="Q11371" s="51"/>
      <c r="R11371" s="51"/>
      <c r="S11371" s="51"/>
      <c r="T11371" s="41"/>
      <c r="AG11371" s="521" t="s">
        <v>268</v>
      </c>
      <c r="AH11371" s="521" t="s">
        <v>269</v>
      </c>
      <c r="AI11371" s="521" t="s">
        <v>270</v>
      </c>
      <c r="AJ11371" s="521" t="s">
        <v>271</v>
      </c>
      <c r="AK11371" s="521" t="s">
        <v>272</v>
      </c>
      <c r="AM11371" s="745" t="s">
        <v>281</v>
      </c>
      <c r="AN11371" s="746" t="s">
        <v>282</v>
      </c>
      <c r="AO11371" s="522" t="s">
        <v>278</v>
      </c>
      <c r="AR11371" s="51"/>
      <c r="AS11371" s="42" t="s">
        <v>139</v>
      </c>
    </row>
    <row r="11372" spans="1:45" s="520" customFormat="1" ht="12" customHeight="1">
      <c r="A11372" s="747">
        <v>1</v>
      </c>
      <c r="B11372" s="523" t="s">
        <v>329</v>
      </c>
      <c r="C11372" s="748"/>
      <c r="D11372" s="749" t="s">
        <v>2586</v>
      </c>
      <c r="E11372" s="1145">
        <f>IF(AND($A11372=0,$A$1="DIF"),0, ROUND(ROUND(($R11376*$S$3+($T11376*$T$3))/$A11372,2)*$C$3,2))</f>
        <v>73.900000000000006</v>
      </c>
      <c r="F11372" s="1146">
        <f>ROUND($A11372*$E11372,2)</f>
        <v>73.900000000000006</v>
      </c>
      <c r="G11372" s="752" t="s">
        <v>142</v>
      </c>
      <c r="H11372" s="753"/>
      <c r="I11372" s="754"/>
      <c r="J11372" s="753"/>
      <c r="K11372" s="753" t="s">
        <v>5</v>
      </c>
      <c r="L11372" s="755" t="s">
        <v>143</v>
      </c>
      <c r="M11372" s="755"/>
      <c r="N11372" s="755"/>
      <c r="O11372" s="755"/>
      <c r="P11372" s="755"/>
      <c r="Q11372" s="51"/>
      <c r="T11372" s="1150" t="str">
        <f>IF(AND($R11376=0,$T11376=0),"0.00","mu: "&amp; ROUND(F11372/$C$3/($R11376+$T11376*$D$9),2))</f>
        <v>mu: 1.13</v>
      </c>
      <c r="W11372" s="524"/>
      <c r="AG11372" s="1147">
        <f>IF($E11372=0,0,ROUND($R11376*$S$3*$C$3/$A11372,2))</f>
        <v>73.900000000000006</v>
      </c>
      <c r="AH11372" s="1147">
        <f>$AG11372*$A11372</f>
        <v>73.900000000000006</v>
      </c>
      <c r="AI11372" s="1148">
        <f>$E11372-$AG11372</f>
        <v>0</v>
      </c>
      <c r="AJ11372" s="1148">
        <f>$A11372*$AI11372</f>
        <v>0</v>
      </c>
      <c r="AK11372" s="1149">
        <f>ROUND(($AG11372+$AI11372)*$A11372,2)</f>
        <v>73.900000000000006</v>
      </c>
      <c r="AM11372" s="527">
        <f>ROUND(R11376,2)</f>
        <v>65.48</v>
      </c>
      <c r="AN11372" s="528">
        <f>ROUND(T11376,2)</f>
        <v>0</v>
      </c>
      <c r="AO11372" s="529">
        <f>ROUND(AM11372+AN11372,2)*A11372</f>
        <v>65.48</v>
      </c>
      <c r="AR11372" s="747">
        <v>1</v>
      </c>
      <c r="AS11372" s="1146">
        <v>80.42</v>
      </c>
    </row>
    <row r="11373" spans="1:45" s="520" customFormat="1" ht="13.2">
      <c r="A11373" s="748"/>
      <c r="B11373"/>
      <c r="C11373" s="748"/>
      <c r="D11373" s="749" t="s">
        <v>2220</v>
      </c>
      <c r="F11373" s="753"/>
      <c r="G11373" s="3"/>
      <c r="H11373" s="753"/>
      <c r="I11373" s="754"/>
      <c r="J11373" s="753"/>
      <c r="K11373" s="753" t="s">
        <v>144</v>
      </c>
      <c r="L11373" s="753"/>
      <c r="M11373" s="753"/>
      <c r="N11373" s="753"/>
      <c r="O11373" s="753"/>
      <c r="P11373" s="753"/>
      <c r="Q11373" s="51"/>
      <c r="R11373" s="530"/>
      <c r="S11373" s="757"/>
      <c r="T11373" s="753"/>
      <c r="AR11373" s="748"/>
      <c r="AS11373" s="753"/>
    </row>
    <row r="11374" spans="1:45" s="901" customFormat="1" ht="13.2">
      <c r="A11374" s="903">
        <v>1</v>
      </c>
      <c r="B11374" s="904" t="s">
        <v>863</v>
      </c>
      <c r="C11374" s="904"/>
      <c r="D11374" s="904" t="s">
        <v>2594</v>
      </c>
      <c r="E11374" s="904"/>
      <c r="F11374" s="1153" t="s">
        <v>4141</v>
      </c>
      <c r="G11374" s="905" t="s">
        <v>2595</v>
      </c>
      <c r="H11374" s="902">
        <v>960</v>
      </c>
      <c r="I11374" s="904" t="s">
        <v>2596</v>
      </c>
      <c r="J11374" s="904"/>
      <c r="K11374" s="904"/>
      <c r="L11374" s="904"/>
      <c r="M11374" s="904"/>
      <c r="N11374" s="904"/>
      <c r="O11374" s="902">
        <v>4</v>
      </c>
      <c r="P11374" s="906">
        <v>38274</v>
      </c>
      <c r="Q11374" s="1415">
        <f>75*0.873</f>
        <v>65.474999999999994</v>
      </c>
      <c r="R11374" s="908">
        <f>$A11374*Q11374</f>
        <v>65.474999999999994</v>
      </c>
      <c r="S11374" s="907"/>
      <c r="T11374" s="909">
        <f>$A11374*S11374*$T$1</f>
        <v>0</v>
      </c>
      <c r="AR11374" s="903">
        <v>1</v>
      </c>
      <c r="AS11374" s="1153" t="s">
        <v>3507</v>
      </c>
    </row>
    <row r="11375" spans="1:45" s="520" customFormat="1" ht="12">
      <c r="A11375" s="758"/>
      <c r="B11375" s="758"/>
      <c r="C11375" s="758"/>
      <c r="D11375" s="758"/>
      <c r="E11375" s="758"/>
      <c r="F11375" s="753"/>
      <c r="G11375" s="758"/>
      <c r="H11375" s="758"/>
      <c r="I11375" s="519"/>
      <c r="J11375" s="758"/>
      <c r="K11375" s="758"/>
      <c r="L11375" s="758"/>
      <c r="M11375" s="758"/>
      <c r="N11375" s="758"/>
      <c r="O11375" s="758"/>
      <c r="P11375" s="758"/>
      <c r="Q11375" s="519"/>
      <c r="R11375" s="759">
        <f>$A11375*Q11375</f>
        <v>0</v>
      </c>
      <c r="S11375" s="519"/>
      <c r="T11375" s="760">
        <f>$A11375*S11375*$T$1</f>
        <v>0</v>
      </c>
      <c r="AR11375" s="758"/>
      <c r="AS11375" s="753"/>
    </row>
    <row r="11376" spans="1:45" s="520" customFormat="1" ht="12.6" thickBot="1">
      <c r="A11376" s="761" t="s">
        <v>145</v>
      </c>
      <c r="B11376" s="762">
        <f>(R11375+T11375)</f>
        <v>0</v>
      </c>
      <c r="C11376" s="763"/>
      <c r="D11376" s="763"/>
      <c r="E11376" s="763"/>
      <c r="F11376" s="764"/>
      <c r="G11376" s="763" t="s">
        <v>146</v>
      </c>
      <c r="H11376" s="763"/>
      <c r="I11376" s="765"/>
      <c r="J11376" s="763"/>
      <c r="K11376" s="763" t="s">
        <v>5</v>
      </c>
      <c r="L11376" s="766" t="s">
        <v>143</v>
      </c>
      <c r="M11376" s="766"/>
      <c r="N11376" s="766"/>
      <c r="O11376" s="766"/>
      <c r="P11376" s="766"/>
      <c r="Q11376" s="767"/>
      <c r="R11376" s="768">
        <f>SUM(R11373:R11375)</f>
        <v>65.474999999999994</v>
      </c>
      <c r="S11376" s="763"/>
      <c r="T11376" s="768">
        <f>SUM(T11373:T11375)</f>
        <v>0</v>
      </c>
      <c r="U11376" s="531"/>
      <c r="V11376" s="531"/>
      <c r="W11376" s="531"/>
      <c r="X11376" s="531"/>
      <c r="Y11376" s="531"/>
      <c r="Z11376" s="531"/>
      <c r="AA11376" s="531"/>
      <c r="AB11376" s="531"/>
      <c r="AC11376" s="531"/>
      <c r="AD11376" s="531"/>
      <c r="AE11376" s="531"/>
      <c r="AF11376" s="531"/>
      <c r="AG11376" s="531"/>
      <c r="AH11376" s="531"/>
      <c r="AI11376" s="531"/>
      <c r="AJ11376" s="531"/>
      <c r="AK11376" s="531"/>
      <c r="AL11376" s="531"/>
      <c r="AM11376" s="531"/>
      <c r="AN11376" s="531"/>
      <c r="AO11376" s="531"/>
      <c r="AR11376" s="761" t="s">
        <v>145</v>
      </c>
      <c r="AS11376" s="764"/>
    </row>
    <row r="11377" spans="1:45" s="520" customFormat="1" ht="12" thickTop="1">
      <c r="A11377" s="51"/>
      <c r="B11377" s="41"/>
      <c r="C11377" s="51"/>
      <c r="E11377" s="42" t="s">
        <v>138</v>
      </c>
      <c r="F11377" s="42" t="s">
        <v>139</v>
      </c>
      <c r="G11377" s="51"/>
      <c r="H11377" s="51"/>
      <c r="I11377" s="51"/>
      <c r="J11377" s="51"/>
      <c r="K11377" s="51" t="s">
        <v>140</v>
      </c>
      <c r="L11377" s="51"/>
      <c r="M11377" s="51"/>
      <c r="N11377" s="51"/>
      <c r="O11377" s="52"/>
      <c r="P11377" s="51"/>
      <c r="Q11377" s="51"/>
      <c r="R11377" s="51"/>
      <c r="S11377" s="51"/>
      <c r="T11377" s="41"/>
      <c r="AG11377" s="521" t="s">
        <v>268</v>
      </c>
      <c r="AH11377" s="521" t="s">
        <v>269</v>
      </c>
      <c r="AI11377" s="521" t="s">
        <v>270</v>
      </c>
      <c r="AJ11377" s="521" t="s">
        <v>271</v>
      </c>
      <c r="AK11377" s="521" t="s">
        <v>272</v>
      </c>
      <c r="AM11377" s="745" t="s">
        <v>281</v>
      </c>
      <c r="AN11377" s="746" t="s">
        <v>282</v>
      </c>
      <c r="AO11377" s="522" t="s">
        <v>278</v>
      </c>
      <c r="AR11377" s="51"/>
      <c r="AS11377" s="42" t="s">
        <v>139</v>
      </c>
    </row>
    <row r="11378" spans="1:45" s="520" customFormat="1" ht="12" customHeight="1">
      <c r="A11378" s="747">
        <v>1</v>
      </c>
      <c r="B11378" s="523" t="s">
        <v>329</v>
      </c>
      <c r="C11378" s="748"/>
      <c r="D11378" s="749" t="s">
        <v>2587</v>
      </c>
      <c r="E11378" s="1145">
        <f>IF(AND($A11378=0,$A$1="DIF"),0, ROUND(ROUND(($R11382*$S$3+($T11382*$T$3))/$A11378,2)*$C$3,2))</f>
        <v>0</v>
      </c>
      <c r="F11378" s="1146">
        <f>ROUND($A11378*$E11378,2)</f>
        <v>0</v>
      </c>
      <c r="G11378" s="752" t="s">
        <v>142</v>
      </c>
      <c r="H11378" s="753"/>
      <c r="I11378" s="754"/>
      <c r="J11378" s="753"/>
      <c r="K11378" s="753" t="s">
        <v>5</v>
      </c>
      <c r="L11378" s="755" t="s">
        <v>143</v>
      </c>
      <c r="M11378" s="755"/>
      <c r="N11378" s="755"/>
      <c r="O11378" s="755"/>
      <c r="P11378" s="755"/>
      <c r="Q11378" s="1058" t="s">
        <v>2895</v>
      </c>
      <c r="T11378" s="1150" t="str">
        <f>IF(AND($R11382=0,$T11382=0),"0.00","mu: "&amp; ROUND(F11378/$C$3/($R11382+$T11382*$D$9),2))</f>
        <v>0.00</v>
      </c>
      <c r="W11378" s="524"/>
      <c r="AG11378" s="1147">
        <f>IF($E11378=0,0,ROUND($R11382*$S$3*$C$3/$A11378,2))</f>
        <v>0</v>
      </c>
      <c r="AH11378" s="1147">
        <f>$AG11378*$A11378</f>
        <v>0</v>
      </c>
      <c r="AI11378" s="1148">
        <f>$E11378-$AG11378</f>
        <v>0</v>
      </c>
      <c r="AJ11378" s="1148">
        <f>$A11378*$AI11378</f>
        <v>0</v>
      </c>
      <c r="AK11378" s="1149">
        <f>ROUND(($AG11378+$AI11378)*$A11378,2)</f>
        <v>0</v>
      </c>
      <c r="AM11378" s="527">
        <f>ROUND(R11382,2)</f>
        <v>0</v>
      </c>
      <c r="AN11378" s="528">
        <f>ROUND(T11382,2)</f>
        <v>0</v>
      </c>
      <c r="AO11378" s="529">
        <f>ROUND(AM11378+AN11378,2)*A11378</f>
        <v>0</v>
      </c>
      <c r="AR11378" s="747">
        <v>1</v>
      </c>
      <c r="AS11378" s="1146">
        <v>0</v>
      </c>
    </row>
    <row r="11379" spans="1:45" s="520" customFormat="1" ht="13.2">
      <c r="A11379" s="748"/>
      <c r="B11379"/>
      <c r="C11379" s="748"/>
      <c r="D11379" s="749" t="s">
        <v>2221</v>
      </c>
      <c r="F11379" s="753"/>
      <c r="G11379" s="3"/>
      <c r="H11379" s="753"/>
      <c r="I11379" s="754"/>
      <c r="J11379" s="753"/>
      <c r="K11379" s="753" t="s">
        <v>144</v>
      </c>
      <c r="L11379" s="753"/>
      <c r="M11379" s="753"/>
      <c r="N11379" s="753"/>
      <c r="O11379" s="753"/>
      <c r="P11379" s="753"/>
      <c r="Q11379" s="51"/>
      <c r="R11379" s="530"/>
      <c r="S11379" s="757"/>
      <c r="T11379" s="753"/>
      <c r="AR11379" s="748"/>
      <c r="AS11379" s="753"/>
    </row>
    <row r="11380" spans="1:45" s="901" customFormat="1" ht="13.2">
      <c r="A11380" s="903">
        <v>1</v>
      </c>
      <c r="B11380" s="904" t="s">
        <v>863</v>
      </c>
      <c r="C11380" s="904"/>
      <c r="D11380" s="904" t="s">
        <v>2594</v>
      </c>
      <c r="E11380" s="904"/>
      <c r="F11380" s="1153" t="s">
        <v>4141</v>
      </c>
      <c r="G11380" s="905" t="s">
        <v>2595</v>
      </c>
      <c r="H11380" s="902">
        <v>960</v>
      </c>
      <c r="I11380" s="904" t="s">
        <v>2596</v>
      </c>
      <c r="J11380" s="904"/>
      <c r="K11380" s="904"/>
      <c r="L11380" s="904"/>
      <c r="M11380" s="904"/>
      <c r="N11380" s="904"/>
      <c r="O11380" s="902">
        <v>4</v>
      </c>
      <c r="P11380" s="906">
        <v>38274</v>
      </c>
      <c r="Q11380" s="1171"/>
      <c r="R11380" s="908">
        <f>$A11380*Q11380</f>
        <v>0</v>
      </c>
      <c r="S11380" s="907"/>
      <c r="T11380" s="909">
        <f>$A11380*S11380*$T$1</f>
        <v>0</v>
      </c>
      <c r="U11380" s="901" t="s">
        <v>2764</v>
      </c>
      <c r="AR11380" s="903">
        <v>1</v>
      </c>
      <c r="AS11380" s="1153" t="s">
        <v>3507</v>
      </c>
    </row>
    <row r="11381" spans="1:45" s="520" customFormat="1" ht="12">
      <c r="A11381" s="758"/>
      <c r="B11381" s="758"/>
      <c r="C11381" s="758"/>
      <c r="D11381" s="758"/>
      <c r="E11381" s="758"/>
      <c r="F11381" s="753"/>
      <c r="G11381" s="758"/>
      <c r="H11381" s="758"/>
      <c r="I11381" s="519"/>
      <c r="J11381" s="758"/>
      <c r="K11381" s="758"/>
      <c r="L11381" s="758"/>
      <c r="M11381" s="758"/>
      <c r="N11381" s="758"/>
      <c r="O11381" s="758"/>
      <c r="P11381" s="758"/>
      <c r="Q11381" s="519"/>
      <c r="R11381" s="759">
        <f>$A11381*Q11381</f>
        <v>0</v>
      </c>
      <c r="S11381" s="519"/>
      <c r="T11381" s="760">
        <f>$A11381*S11381*$T$1</f>
        <v>0</v>
      </c>
      <c r="AR11381" s="758"/>
      <c r="AS11381" s="753"/>
    </row>
    <row r="11382" spans="1:45" s="520" customFormat="1" ht="12.6" thickBot="1">
      <c r="A11382" s="761" t="s">
        <v>145</v>
      </c>
      <c r="B11382" s="762">
        <f>(R11381+T11381)</f>
        <v>0</v>
      </c>
      <c r="C11382" s="763"/>
      <c r="D11382" s="763"/>
      <c r="E11382" s="763"/>
      <c r="F11382" s="764"/>
      <c r="G11382" s="763" t="s">
        <v>146</v>
      </c>
      <c r="H11382" s="763"/>
      <c r="I11382" s="765"/>
      <c r="J11382" s="763"/>
      <c r="K11382" s="763" t="s">
        <v>5</v>
      </c>
      <c r="L11382" s="766" t="s">
        <v>143</v>
      </c>
      <c r="M11382" s="766"/>
      <c r="N11382" s="766"/>
      <c r="O11382" s="766"/>
      <c r="P11382" s="766"/>
      <c r="Q11382" s="767"/>
      <c r="R11382" s="768">
        <f>SUM(R11379:R11381)</f>
        <v>0</v>
      </c>
      <c r="S11382" s="763"/>
      <c r="T11382" s="768">
        <f>SUM(T11379:T11381)</f>
        <v>0</v>
      </c>
      <c r="U11382" s="531"/>
      <c r="V11382" s="531"/>
      <c r="W11382" s="531"/>
      <c r="X11382" s="531"/>
      <c r="Y11382" s="531"/>
      <c r="Z11382" s="531"/>
      <c r="AA11382" s="531"/>
      <c r="AB11382" s="531"/>
      <c r="AC11382" s="531"/>
      <c r="AD11382" s="531"/>
      <c r="AE11382" s="531"/>
      <c r="AF11382" s="531"/>
      <c r="AG11382" s="531"/>
      <c r="AH11382" s="531"/>
      <c r="AI11382" s="531"/>
      <c r="AJ11382" s="531"/>
      <c r="AK11382" s="531"/>
      <c r="AL11382" s="531"/>
      <c r="AM11382" s="531"/>
      <c r="AN11382" s="531"/>
      <c r="AO11382" s="531"/>
      <c r="AR11382" s="761" t="s">
        <v>145</v>
      </c>
      <c r="AS11382" s="764"/>
    </row>
    <row r="11383" spans="1:45" s="520" customFormat="1" thickTop="1">
      <c r="A11383" s="51"/>
      <c r="B11383" s="51"/>
      <c r="C11383" s="3"/>
      <c r="D11383" s="3"/>
      <c r="E11383" s="51"/>
      <c r="F11383" s="51"/>
      <c r="G11383" s="51"/>
      <c r="H11383" s="51"/>
      <c r="I11383" s="51"/>
      <c r="J11383" s="51"/>
      <c r="K11383" s="51" t="s">
        <v>134</v>
      </c>
      <c r="L11383" s="51"/>
      <c r="M11383" s="51"/>
      <c r="N11383" s="51"/>
      <c r="O11383" s="52"/>
      <c r="P11383" s="51"/>
      <c r="Q11383" s="51"/>
      <c r="R11383" s="51"/>
      <c r="S11383" s="51"/>
      <c r="T11383" s="51"/>
      <c r="AR11383" s="51"/>
      <c r="AS11383" s="51"/>
    </row>
    <row r="11384" spans="1:45" s="520" customFormat="1" ht="12">
      <c r="A11384" s="51"/>
      <c r="B11384" s="51"/>
      <c r="C11384" s="51" t="s">
        <v>135</v>
      </c>
      <c r="D11384" s="37"/>
      <c r="E11384" s="51"/>
      <c r="F11384" s="51"/>
      <c r="G11384" s="51"/>
      <c r="H11384" s="51"/>
      <c r="I11384" s="51"/>
      <c r="J11384" s="51"/>
      <c r="K11384" s="51"/>
      <c r="L11384" s="51"/>
      <c r="M11384" s="51"/>
      <c r="N11384" s="51"/>
      <c r="O11384" s="52"/>
      <c r="P11384" s="51"/>
      <c r="Q11384" s="51"/>
      <c r="R11384" s="51"/>
      <c r="S11384" s="51"/>
      <c r="T11384" s="51"/>
      <c r="AR11384" s="51"/>
      <c r="AS11384" s="51"/>
    </row>
    <row r="11385" spans="1:45" s="520" customFormat="1" ht="12">
      <c r="A11385" s="51"/>
      <c r="B11385" s="51"/>
      <c r="C11385" s="51"/>
      <c r="D11385" s="37" t="s">
        <v>379</v>
      </c>
      <c r="E11385" s="51"/>
      <c r="F11385" s="51"/>
      <c r="G11385" s="51"/>
      <c r="H11385" s="51"/>
      <c r="I11385" s="51"/>
      <c r="J11385" s="51"/>
      <c r="K11385" s="51"/>
      <c r="L11385" s="51"/>
      <c r="M11385" s="51"/>
      <c r="N11385" s="51"/>
      <c r="O11385" s="52"/>
      <c r="P11385" s="51"/>
      <c r="Q11385" s="51"/>
      <c r="R11385" s="51"/>
      <c r="S11385" s="38"/>
      <c r="T11385" s="38"/>
      <c r="AR11385" s="51"/>
      <c r="AS11385" s="51"/>
    </row>
    <row r="11386" spans="1:45" s="3" customFormat="1" thickBot="1">
      <c r="A11386" s="531"/>
      <c r="O11386" s="107"/>
      <c r="AR11386" s="531"/>
    </row>
    <row r="11387" spans="1:45" s="520" customFormat="1" ht="12" thickTop="1">
      <c r="A11387" s="51"/>
      <c r="B11387" s="41"/>
      <c r="C11387" s="51"/>
      <c r="E11387" s="42" t="s">
        <v>138</v>
      </c>
      <c r="F11387" s="42" t="s">
        <v>139</v>
      </c>
      <c r="G11387" s="51"/>
      <c r="H11387" s="51"/>
      <c r="I11387" s="51"/>
      <c r="J11387" s="51"/>
      <c r="K11387" s="51" t="s">
        <v>140</v>
      </c>
      <c r="L11387" s="51"/>
      <c r="M11387" s="51"/>
      <c r="N11387" s="51"/>
      <c r="O11387" s="52"/>
      <c r="P11387" s="51"/>
      <c r="Q11387" s="51"/>
      <c r="R11387" s="51"/>
      <c r="S11387" s="51"/>
      <c r="T11387" s="41"/>
      <c r="AG11387" s="521" t="s">
        <v>268</v>
      </c>
      <c r="AH11387" s="521" t="s">
        <v>269</v>
      </c>
      <c r="AI11387" s="521" t="s">
        <v>270</v>
      </c>
      <c r="AJ11387" s="521" t="s">
        <v>271</v>
      </c>
      <c r="AK11387" s="521" t="s">
        <v>272</v>
      </c>
      <c r="AM11387" s="745" t="s">
        <v>281</v>
      </c>
      <c r="AN11387" s="746" t="s">
        <v>282</v>
      </c>
      <c r="AO11387" s="522" t="s">
        <v>278</v>
      </c>
      <c r="AR11387" s="51"/>
      <c r="AS11387" s="42" t="s">
        <v>139</v>
      </c>
    </row>
    <row r="11388" spans="1:45" s="520" customFormat="1" ht="12" customHeight="1">
      <c r="A11388" s="747">
        <v>1</v>
      </c>
      <c r="B11388" s="523" t="s">
        <v>299</v>
      </c>
      <c r="C11388" s="748"/>
      <c r="D11388" s="749" t="s">
        <v>2588</v>
      </c>
      <c r="E11388" s="1145">
        <f>IF(AND($A11388=0,$A$1="DIF"),0, ROUND(ROUND(($R11392*$S$3+($T11392*$T$3))/$A11388,2)*$C$3,2))</f>
        <v>246.35</v>
      </c>
      <c r="F11388" s="1146">
        <f>ROUND($A11388*$E11388,2)</f>
        <v>246.35</v>
      </c>
      <c r="G11388" s="752" t="s">
        <v>142</v>
      </c>
      <c r="H11388" s="753"/>
      <c r="I11388" s="754"/>
      <c r="J11388" s="753"/>
      <c r="K11388" s="753" t="s">
        <v>5</v>
      </c>
      <c r="L11388" s="755" t="s">
        <v>143</v>
      </c>
      <c r="M11388" s="755"/>
      <c r="N11388" s="755"/>
      <c r="O11388" s="755"/>
      <c r="P11388" s="755"/>
      <c r="Q11388" s="51"/>
      <c r="T11388" s="1150" t="str">
        <f>IF(AND($R11392=0,$T11392=0),"0.00","mu: "&amp; ROUND(F11388/$C$3/($R11392+$T11392*$D$9),2))</f>
        <v>mu: 1.13</v>
      </c>
      <c r="W11388" s="524"/>
      <c r="AG11388" s="1147">
        <f>IF($E11388=0,0,ROUND($R11392*$S$3*$C$3/$A11388,2))</f>
        <v>246.35</v>
      </c>
      <c r="AH11388" s="1147">
        <f>$AG11388*$A11388</f>
        <v>246.35</v>
      </c>
      <c r="AI11388" s="1148">
        <f>$E11388-$AG11388</f>
        <v>0</v>
      </c>
      <c r="AJ11388" s="1148">
        <f>$A11388*$AI11388</f>
        <v>0</v>
      </c>
      <c r="AK11388" s="1149">
        <f>ROUND(($AG11388+$AI11388)*$A11388,2)</f>
        <v>246.35</v>
      </c>
      <c r="AM11388" s="527">
        <f>ROUND(R11392,2)</f>
        <v>218.25</v>
      </c>
      <c r="AN11388" s="528">
        <f>ROUND(T11392,2)</f>
        <v>0</v>
      </c>
      <c r="AO11388" s="529">
        <f>ROUND(AM11388+AN11388,2)*A11388</f>
        <v>218.25</v>
      </c>
      <c r="AR11388" s="747">
        <v>1</v>
      </c>
      <c r="AS11388" s="1146">
        <v>268.07</v>
      </c>
    </row>
    <row r="11389" spans="1:45" s="520" customFormat="1" ht="13.2">
      <c r="A11389" s="748"/>
      <c r="B11389"/>
      <c r="C11389" s="748"/>
      <c r="D11389" s="749" t="s">
        <v>381</v>
      </c>
      <c r="F11389" s="753"/>
      <c r="G11389" s="3"/>
      <c r="H11389" s="753"/>
      <c r="I11389" s="754"/>
      <c r="J11389" s="753"/>
      <c r="K11389" s="753" t="s">
        <v>144</v>
      </c>
      <c r="L11389" s="753"/>
      <c r="M11389" s="753"/>
      <c r="N11389" s="753"/>
      <c r="O11389" s="753"/>
      <c r="P11389" s="753"/>
      <c r="Q11389" s="51"/>
      <c r="R11389" s="530"/>
      <c r="S11389" s="757"/>
      <c r="T11389" s="753"/>
      <c r="AR11389" s="748"/>
      <c r="AS11389" s="753"/>
    </row>
    <row r="11390" spans="1:45" s="901" customFormat="1" ht="13.2">
      <c r="A11390" s="903">
        <v>1</v>
      </c>
      <c r="B11390" s="904" t="s">
        <v>863</v>
      </c>
      <c r="C11390" s="904"/>
      <c r="D11390" s="904" t="s">
        <v>2594</v>
      </c>
      <c r="E11390" s="904"/>
      <c r="F11390" s="1153" t="s">
        <v>4141</v>
      </c>
      <c r="G11390" s="905" t="s">
        <v>2595</v>
      </c>
      <c r="H11390" s="902">
        <v>960</v>
      </c>
      <c r="I11390" s="904" t="s">
        <v>2596</v>
      </c>
      <c r="J11390" s="904"/>
      <c r="K11390" s="904"/>
      <c r="L11390" s="904"/>
      <c r="M11390" s="904"/>
      <c r="N11390" s="904"/>
      <c r="O11390" s="902">
        <v>4</v>
      </c>
      <c r="P11390" s="906">
        <v>38274</v>
      </c>
      <c r="Q11390" s="1415">
        <f>250*0.873</f>
        <v>218.25</v>
      </c>
      <c r="R11390" s="908">
        <f>$A11390*Q11390</f>
        <v>218.25</v>
      </c>
      <c r="S11390" s="907"/>
      <c r="T11390" s="909">
        <f>$A11390*S11390*$T$1</f>
        <v>0</v>
      </c>
      <c r="AR11390" s="903">
        <v>1</v>
      </c>
      <c r="AS11390" s="1153" t="s">
        <v>3507</v>
      </c>
    </row>
    <row r="11391" spans="1:45" s="520" customFormat="1" ht="12">
      <c r="A11391" s="758"/>
      <c r="B11391" s="758"/>
      <c r="C11391" s="758"/>
      <c r="D11391" s="758"/>
      <c r="E11391" s="758"/>
      <c r="F11391" s="753"/>
      <c r="G11391" s="758"/>
      <c r="H11391" s="758"/>
      <c r="I11391" s="519"/>
      <c r="J11391" s="758"/>
      <c r="K11391" s="758"/>
      <c r="L11391" s="758"/>
      <c r="M11391" s="758"/>
      <c r="N11391" s="758"/>
      <c r="O11391" s="758"/>
      <c r="P11391" s="758"/>
      <c r="Q11391" s="519"/>
      <c r="R11391" s="759">
        <f>$A11391*Q11391</f>
        <v>0</v>
      </c>
      <c r="S11391" s="519"/>
      <c r="T11391" s="760">
        <f>$A11391*S11391*$T$1</f>
        <v>0</v>
      </c>
      <c r="AR11391" s="758"/>
      <c r="AS11391" s="753"/>
    </row>
    <row r="11392" spans="1:45" s="520" customFormat="1" ht="12.6" thickBot="1">
      <c r="A11392" s="761" t="s">
        <v>145</v>
      </c>
      <c r="B11392" s="762">
        <f>(R11391+T11391)</f>
        <v>0</v>
      </c>
      <c r="C11392" s="763"/>
      <c r="D11392" s="763"/>
      <c r="E11392" s="763"/>
      <c r="F11392" s="764"/>
      <c r="G11392" s="763" t="s">
        <v>146</v>
      </c>
      <c r="H11392" s="763"/>
      <c r="I11392" s="765"/>
      <c r="J11392" s="763"/>
      <c r="K11392" s="763" t="s">
        <v>5</v>
      </c>
      <c r="L11392" s="766" t="s">
        <v>143</v>
      </c>
      <c r="M11392" s="766"/>
      <c r="N11392" s="766"/>
      <c r="O11392" s="766"/>
      <c r="P11392" s="766"/>
      <c r="Q11392" s="767"/>
      <c r="R11392" s="768">
        <f>SUM(R11389:R11391)</f>
        <v>218.25</v>
      </c>
      <c r="S11392" s="763"/>
      <c r="T11392" s="768">
        <f>SUM(T11389:T11391)</f>
        <v>0</v>
      </c>
      <c r="U11392" s="531"/>
      <c r="V11392" s="531"/>
      <c r="W11392" s="531"/>
      <c r="X11392" s="531"/>
      <c r="Y11392" s="531"/>
      <c r="Z11392" s="531"/>
      <c r="AA11392" s="531"/>
      <c r="AB11392" s="531"/>
      <c r="AC11392" s="531"/>
      <c r="AD11392" s="531"/>
      <c r="AE11392" s="531"/>
      <c r="AF11392" s="531"/>
      <c r="AG11392" s="531"/>
      <c r="AH11392" s="531"/>
      <c r="AI11392" s="531"/>
      <c r="AJ11392" s="531"/>
      <c r="AK11392" s="531"/>
      <c r="AL11392" s="531"/>
      <c r="AM11392" s="531"/>
      <c r="AN11392" s="531"/>
      <c r="AO11392" s="531"/>
      <c r="AR11392" s="761" t="s">
        <v>145</v>
      </c>
      <c r="AS11392" s="764"/>
    </row>
    <row r="11393" spans="1:45" s="520" customFormat="1" ht="12" thickTop="1">
      <c r="A11393" s="51"/>
      <c r="B11393" s="41"/>
      <c r="C11393" s="51"/>
      <c r="E11393" s="42" t="s">
        <v>138</v>
      </c>
      <c r="F11393" s="42" t="s">
        <v>139</v>
      </c>
      <c r="G11393" s="51"/>
      <c r="H11393" s="51"/>
      <c r="I11393" s="51"/>
      <c r="J11393" s="51"/>
      <c r="K11393" s="51" t="s">
        <v>140</v>
      </c>
      <c r="L11393" s="51"/>
      <c r="M11393" s="51"/>
      <c r="N11393" s="51"/>
      <c r="O11393" s="52"/>
      <c r="P11393" s="51"/>
      <c r="Q11393" s="51"/>
      <c r="R11393" s="51"/>
      <c r="S11393" s="51"/>
      <c r="T11393" s="41"/>
      <c r="AG11393" s="521" t="s">
        <v>268</v>
      </c>
      <c r="AH11393" s="521" t="s">
        <v>269</v>
      </c>
      <c r="AI11393" s="521" t="s">
        <v>270</v>
      </c>
      <c r="AJ11393" s="521" t="s">
        <v>271</v>
      </c>
      <c r="AK11393" s="521" t="s">
        <v>272</v>
      </c>
      <c r="AM11393" s="745" t="s">
        <v>281</v>
      </c>
      <c r="AN11393" s="746" t="s">
        <v>282</v>
      </c>
      <c r="AO11393" s="522" t="s">
        <v>278</v>
      </c>
      <c r="AR11393" s="51"/>
      <c r="AS11393" s="42" t="s">
        <v>139</v>
      </c>
    </row>
    <row r="11394" spans="1:45" s="520" customFormat="1" ht="12" customHeight="1">
      <c r="A11394" s="747">
        <v>1</v>
      </c>
      <c r="B11394" s="523" t="s">
        <v>383</v>
      </c>
      <c r="C11394" s="748"/>
      <c r="D11394" s="749" t="s">
        <v>2589</v>
      </c>
      <c r="E11394" s="750">
        <f>IF(AND($A11394=0,$A$1="DIF"),0, ROUND(ROUND(($R11400*$S$2+($T11400*$T$2))/A11394,2)*$C$2,2))</f>
        <v>227.62</v>
      </c>
      <c r="F11394" s="751">
        <f>ROUND($A11394*$E11394,2)</f>
        <v>227.62</v>
      </c>
      <c r="G11394" s="752" t="s">
        <v>142</v>
      </c>
      <c r="H11394" s="753"/>
      <c r="I11394" s="754"/>
      <c r="J11394" s="753"/>
      <c r="K11394" s="753" t="s">
        <v>3</v>
      </c>
      <c r="L11394" s="755" t="s">
        <v>143</v>
      </c>
      <c r="M11394" s="755"/>
      <c r="N11394" s="755"/>
      <c r="O11394" s="755"/>
      <c r="P11394" s="755"/>
      <c r="Q11394" s="51"/>
      <c r="T11394" s="756" t="str">
        <f>IF(AND($R11400=0,$T11400=0),"0.00","mu :" &amp; ROUND($F11394/$C$2/($R11400+$T11400*$D$9),2))</f>
        <v>mu :1.23</v>
      </c>
      <c r="W11394" s="524"/>
      <c r="AG11394" s="481">
        <f>IF($E11394=0,0,ROUND($R11400*$S$2*$C$2/$A11394,2))</f>
        <v>105.9</v>
      </c>
      <c r="AH11394" s="481">
        <f>$AG11394*$A11394</f>
        <v>105.9</v>
      </c>
      <c r="AI11394" s="525">
        <f>$E11394-$AG11394</f>
        <v>121.72</v>
      </c>
      <c r="AJ11394" s="525">
        <f>$A11394*$AI11394</f>
        <v>121.72</v>
      </c>
      <c r="AK11394" s="526">
        <f>ROUND(($AG11394+$AI11394)*$A11394,2)</f>
        <v>227.62</v>
      </c>
      <c r="AM11394" s="527">
        <f>ROUND(R11400,2)</f>
        <v>86</v>
      </c>
      <c r="AN11394" s="528">
        <f>ROUND(T11400,2)</f>
        <v>3.6</v>
      </c>
      <c r="AO11394" s="529">
        <f>ROUND(AM11394+AN11394,2)*A11394</f>
        <v>89.6</v>
      </c>
      <c r="AR11394" s="747">
        <v>1</v>
      </c>
      <c r="AS11394" s="751">
        <v>241.15</v>
      </c>
    </row>
    <row r="11395" spans="1:45" s="520" customFormat="1" ht="39.9" customHeight="1">
      <c r="A11395" s="748"/>
      <c r="B11395"/>
      <c r="C11395" s="748"/>
      <c r="D11395" s="1451" t="s">
        <v>382</v>
      </c>
      <c r="E11395" s="1452"/>
      <c r="F11395" s="1452"/>
      <c r="G11395" s="1452"/>
      <c r="H11395" s="1452"/>
      <c r="I11395" s="1452"/>
      <c r="J11395" s="1452"/>
      <c r="K11395" s="1452"/>
      <c r="L11395" s="1452"/>
      <c r="M11395" s="1452"/>
      <c r="N11395" s="1452"/>
      <c r="O11395" s="1452"/>
      <c r="P11395" s="1452"/>
      <c r="Q11395" s="1452"/>
      <c r="R11395" s="1452"/>
      <c r="S11395" s="1452"/>
      <c r="T11395" s="1452"/>
      <c r="AR11395" s="748"/>
    </row>
    <row r="11396" spans="1:45" s="901" customFormat="1" ht="13.2">
      <c r="A11396" s="116">
        <v>7</v>
      </c>
      <c r="B11396" s="901" t="s">
        <v>141</v>
      </c>
      <c r="D11396" s="901" t="s">
        <v>3698</v>
      </c>
      <c r="G11396" s="941" t="s">
        <v>3061</v>
      </c>
      <c r="H11396" s="942">
        <v>880</v>
      </c>
      <c r="I11396" s="901" t="s">
        <v>2607</v>
      </c>
      <c r="O11396" s="943">
        <v>3</v>
      </c>
      <c r="P11396" s="944">
        <v>36220</v>
      </c>
      <c r="Q11396" s="945">
        <v>8</v>
      </c>
      <c r="R11396" s="946">
        <f>$A11396*Q11396</f>
        <v>56</v>
      </c>
      <c r="S11396" s="945">
        <v>0.25</v>
      </c>
      <c r="T11396" s="947">
        <f>$A11396*S11396*$T$1</f>
        <v>1.575</v>
      </c>
      <c r="AR11396" s="116">
        <v>7</v>
      </c>
    </row>
    <row r="11397" spans="1:45" s="901" customFormat="1" ht="13.2">
      <c r="A11397" s="116">
        <v>1</v>
      </c>
      <c r="B11397" s="901" t="s">
        <v>141</v>
      </c>
      <c r="D11397" s="901" t="s">
        <v>3063</v>
      </c>
      <c r="G11397" s="941" t="s">
        <v>3062</v>
      </c>
      <c r="H11397" s="942">
        <v>880</v>
      </c>
      <c r="I11397" s="901" t="s">
        <v>2607</v>
      </c>
      <c r="O11397" s="943">
        <v>3</v>
      </c>
      <c r="P11397" s="944"/>
      <c r="Q11397" s="945">
        <v>10</v>
      </c>
      <c r="R11397" s="946">
        <f>$A11397*Q11397</f>
        <v>10</v>
      </c>
      <c r="S11397" s="945">
        <v>0.25</v>
      </c>
      <c r="T11397" s="947">
        <f>$A11397*S11397*$T$1</f>
        <v>0.22500000000000001</v>
      </c>
      <c r="AR11397" s="116">
        <v>1</v>
      </c>
    </row>
    <row r="11398" spans="1:45" s="901" customFormat="1" ht="13.2">
      <c r="A11398" s="116">
        <v>1</v>
      </c>
      <c r="B11398" s="901" t="s">
        <v>141</v>
      </c>
      <c r="D11398" s="901" t="s">
        <v>3064</v>
      </c>
      <c r="G11398" s="941" t="s">
        <v>3065</v>
      </c>
      <c r="H11398" s="942">
        <v>880</v>
      </c>
      <c r="I11398" s="901" t="s">
        <v>2607</v>
      </c>
      <c r="O11398" s="943">
        <v>3</v>
      </c>
      <c r="P11398" s="944"/>
      <c r="Q11398" s="945">
        <v>20</v>
      </c>
      <c r="R11398" s="946">
        <f>$A11398*Q11398</f>
        <v>20</v>
      </c>
      <c r="S11398" s="945">
        <v>2</v>
      </c>
      <c r="T11398" s="947">
        <f>$A11398*S11398*$T$1</f>
        <v>1.8</v>
      </c>
      <c r="AR11398" s="116">
        <v>1</v>
      </c>
    </row>
    <row r="11399" spans="1:45" s="520" customFormat="1" ht="12">
      <c r="A11399" s="758"/>
      <c r="B11399" s="758"/>
      <c r="C11399" s="758"/>
      <c r="D11399" s="758"/>
      <c r="E11399" s="758"/>
      <c r="F11399" s="753"/>
      <c r="G11399" s="758"/>
      <c r="H11399" s="758"/>
      <c r="I11399" s="519"/>
      <c r="J11399" s="758"/>
      <c r="K11399" s="758"/>
      <c r="L11399" s="758"/>
      <c r="M11399" s="758"/>
      <c r="N11399" s="758"/>
      <c r="O11399" s="758"/>
      <c r="P11399" s="758"/>
      <c r="Q11399" s="519"/>
      <c r="R11399" s="759">
        <f>$A11399*Q11399</f>
        <v>0</v>
      </c>
      <c r="S11399" s="519"/>
      <c r="T11399" s="760">
        <f>$A11399*S11399*$T$1</f>
        <v>0</v>
      </c>
      <c r="AR11399" s="758"/>
      <c r="AS11399" s="753"/>
    </row>
    <row r="11400" spans="1:45" s="520" customFormat="1" ht="12.6" thickBot="1">
      <c r="A11400" s="761" t="s">
        <v>145</v>
      </c>
      <c r="B11400" s="762">
        <f>(R11399+T11399)</f>
        <v>0</v>
      </c>
      <c r="C11400" s="763"/>
      <c r="D11400" s="763"/>
      <c r="E11400" s="763"/>
      <c r="F11400" s="764"/>
      <c r="G11400" s="763" t="s">
        <v>146</v>
      </c>
      <c r="H11400" s="763"/>
      <c r="I11400" s="765"/>
      <c r="J11400" s="763"/>
      <c r="K11400" s="763" t="s">
        <v>3</v>
      </c>
      <c r="L11400" s="766" t="s">
        <v>143</v>
      </c>
      <c r="M11400" s="766"/>
      <c r="N11400" s="766"/>
      <c r="O11400" s="766"/>
      <c r="P11400" s="766"/>
      <c r="Q11400" s="767"/>
      <c r="R11400" s="768">
        <f>SUM(R11395:R11399)</f>
        <v>86</v>
      </c>
      <c r="S11400" s="763"/>
      <c r="T11400" s="768">
        <f>SUM(T11395:T11399)</f>
        <v>3.6</v>
      </c>
      <c r="U11400" s="531"/>
      <c r="V11400" s="531"/>
      <c r="W11400" s="531"/>
      <c r="X11400" s="531"/>
      <c r="Y11400" s="531"/>
      <c r="Z11400" s="531"/>
      <c r="AA11400" s="531"/>
      <c r="AB11400" s="531"/>
      <c r="AC11400" s="531"/>
      <c r="AD11400" s="531"/>
      <c r="AE11400" s="531"/>
      <c r="AF11400" s="531"/>
      <c r="AG11400" s="531"/>
      <c r="AH11400" s="531"/>
      <c r="AI11400" s="531"/>
      <c r="AJ11400" s="531"/>
      <c r="AK11400" s="531"/>
      <c r="AL11400" s="531"/>
      <c r="AM11400" s="531"/>
      <c r="AN11400" s="531"/>
      <c r="AO11400" s="531"/>
      <c r="AR11400" s="761" t="s">
        <v>145</v>
      </c>
      <c r="AS11400" s="764"/>
    </row>
    <row r="11401" spans="1:45" s="520" customFormat="1" ht="12" thickTop="1">
      <c r="A11401" s="48" t="s">
        <v>148</v>
      </c>
      <c r="D11401" s="13"/>
      <c r="E11401" s="42"/>
      <c r="O11401" s="771"/>
      <c r="AR11401" s="48" t="s">
        <v>148</v>
      </c>
    </row>
    <row r="11402" spans="1:45" s="520" customFormat="1" ht="13.2">
      <c r="B11402" s="3"/>
      <c r="O11402" s="771"/>
    </row>
    <row r="11403" spans="1:45" s="520" customFormat="1" ht="12">
      <c r="B11403" s="772">
        <f ca="1">$F11403/$C$2-($R11403*$S$2+$T11403*$T$2)</f>
        <v>-50.185600320000049</v>
      </c>
      <c r="D11403" s="773" t="s">
        <v>1065</v>
      </c>
      <c r="E11403" s="774"/>
      <c r="F11403" s="775">
        <f ca="1">SUMIF($L11291:$L11401,"ITEM",F11291:F11401)</f>
        <v>853.35</v>
      </c>
      <c r="G11403" s="758"/>
      <c r="H11403" s="758"/>
      <c r="I11403" s="519"/>
      <c r="J11403" s="758"/>
      <c r="K11403" s="758"/>
      <c r="L11403" s="755" t="s">
        <v>157</v>
      </c>
      <c r="M11403" s="755"/>
      <c r="N11403" s="755"/>
      <c r="O11403" s="755"/>
      <c r="P11403" s="755"/>
      <c r="R11403" s="775">
        <f ca="1">SUMIF($L11291:$L11401,"ITEM",R11291:R11401)</f>
        <v>596.48</v>
      </c>
      <c r="S11403" s="776"/>
      <c r="T11403" s="775">
        <f ca="1">SUMIF($L11291:$L11401,"ITEM",T11291:T11401)</f>
        <v>5</v>
      </c>
      <c r="AS11403" s="775">
        <v>920.97</v>
      </c>
    </row>
    <row r="11404" spans="1:45" s="520" customFormat="1" ht="13.2">
      <c r="A11404" s="51"/>
      <c r="B11404" s="49" t="s">
        <v>1064</v>
      </c>
      <c r="C11404" s="51"/>
      <c r="D11404" s="3"/>
      <c r="F11404" s="777" t="s">
        <v>158</v>
      </c>
      <c r="G11404" s="758"/>
      <c r="H11404" s="758"/>
      <c r="I11404" s="519"/>
      <c r="J11404" s="758"/>
      <c r="K11404" s="758"/>
      <c r="L11404" s="758"/>
      <c r="M11404" s="758"/>
      <c r="N11404" s="758"/>
      <c r="O11404" s="758"/>
      <c r="P11404" s="758"/>
      <c r="Q11404" s="778"/>
      <c r="R11404" s="777" t="s">
        <v>159</v>
      </c>
      <c r="S11404" s="38"/>
      <c r="T11404" s="777" t="s">
        <v>160</v>
      </c>
      <c r="AR11404" s="51"/>
      <c r="AS11404" s="777" t="s">
        <v>158</v>
      </c>
    </row>
    <row r="11405" spans="1:45" s="520" customFormat="1" ht="13.2">
      <c r="A11405" s="758"/>
      <c r="B11405" s="3"/>
      <c r="C11405" s="758"/>
      <c r="D11405" s="3"/>
      <c r="E11405" s="3"/>
      <c r="G11405" s="3"/>
      <c r="H11405" s="3"/>
      <c r="I11405" s="3"/>
      <c r="J11405" s="3"/>
      <c r="K11405" s="3"/>
      <c r="L11405" s="3"/>
      <c r="M11405" s="3"/>
      <c r="N11405" s="3"/>
      <c r="O11405" s="107"/>
      <c r="P11405" s="3"/>
      <c r="Q11405" s="3"/>
      <c r="R11405" s="3"/>
      <c r="S11405" s="3"/>
      <c r="T11405" s="3"/>
      <c r="AR11405" s="758"/>
    </row>
    <row r="11406" spans="1:45" s="520" customFormat="1" ht="12" thickBot="1">
      <c r="A11406" s="531"/>
      <c r="B11406" s="763"/>
      <c r="C11406" s="763"/>
      <c r="D11406" s="531"/>
      <c r="E11406" s="39"/>
      <c r="F11406" s="779"/>
      <c r="G11406" s="763"/>
      <c r="H11406" s="763"/>
      <c r="I11406" s="765"/>
      <c r="J11406" s="763"/>
      <c r="K11406" s="763"/>
      <c r="L11406" s="766"/>
      <c r="M11406" s="766"/>
      <c r="N11406" s="766"/>
      <c r="O11406" s="766"/>
      <c r="P11406" s="766"/>
      <c r="Q11406" s="767"/>
      <c r="R11406" s="779"/>
      <c r="S11406" s="780"/>
      <c r="T11406" s="779"/>
      <c r="U11406" s="531"/>
      <c r="V11406" s="531"/>
      <c r="W11406" s="531"/>
      <c r="X11406" s="531"/>
      <c r="Y11406" s="531"/>
      <c r="Z11406" s="531"/>
      <c r="AA11406" s="531"/>
      <c r="AB11406" s="531"/>
      <c r="AC11406" s="531"/>
      <c r="AD11406" s="531"/>
      <c r="AE11406" s="531"/>
      <c r="AF11406" s="531"/>
      <c r="AG11406" s="531"/>
      <c r="AH11406" s="531"/>
      <c r="AI11406" s="531"/>
      <c r="AJ11406" s="531"/>
      <c r="AK11406" s="531"/>
      <c r="AR11406" s="531"/>
      <c r="AS11406" s="779"/>
    </row>
    <row r="11407" spans="1:45" s="520" customFormat="1" thickTop="1">
      <c r="A11407" s="48" t="s">
        <v>148</v>
      </c>
      <c r="B11407" s="3"/>
      <c r="C11407" s="51"/>
      <c r="D11407" s="51"/>
      <c r="E11407" s="51"/>
      <c r="F11407" s="51"/>
      <c r="G11407" s="51"/>
      <c r="H11407" s="51"/>
      <c r="I11407" s="51"/>
      <c r="J11407" s="51"/>
      <c r="K11407" s="51"/>
      <c r="L11407" s="51"/>
      <c r="M11407" s="51"/>
      <c r="N11407" s="51"/>
      <c r="O11407" s="52"/>
      <c r="P11407" s="51"/>
      <c r="Q11407" s="51"/>
      <c r="R11407" s="51"/>
      <c r="S11407" s="51"/>
      <c r="T11407" s="51"/>
      <c r="AR11407" s="48" t="s">
        <v>148</v>
      </c>
      <c r="AS11407" s="51"/>
    </row>
    <row r="11408" spans="1:45" s="520" customFormat="1" ht="13.2">
      <c r="A11408" s="51"/>
      <c r="B11408" s="3"/>
      <c r="C11408" s="3"/>
      <c r="E11408" s="3"/>
      <c r="F11408" s="3"/>
      <c r="G11408" s="3"/>
      <c r="H11408" s="3"/>
      <c r="I11408" s="3"/>
      <c r="J11408" s="3"/>
      <c r="K11408" s="3"/>
      <c r="L11408" s="3"/>
      <c r="M11408" s="3"/>
      <c r="N11408" s="3"/>
      <c r="O11408" s="107"/>
      <c r="P11408" s="3"/>
      <c r="Q11408" s="3"/>
      <c r="R11408" s="3"/>
      <c r="S11408" s="3"/>
      <c r="T11408" s="3"/>
      <c r="AR11408" s="51"/>
      <c r="AS11408" s="3"/>
    </row>
    <row r="11409" spans="1:45" s="520" customFormat="1" ht="12">
      <c r="A11409" s="51"/>
      <c r="B11409" s="772">
        <f ca="1">$F11409/$C$2-($R11409*$S$2+$T11409*$T$2)</f>
        <v>-238.42265119999956</v>
      </c>
      <c r="C11409" s="51"/>
      <c r="D11409" s="121" t="s">
        <v>2223</v>
      </c>
      <c r="E11409" s="774"/>
      <c r="F11409" s="782">
        <f ca="1">SUMIF($L10999:$L11407,"PAGE",F10999:F11407)</f>
        <v>3292.2100000000009</v>
      </c>
      <c r="G11409" s="758"/>
      <c r="H11409" s="758"/>
      <c r="I11409" s="519"/>
      <c r="J11409" s="758"/>
      <c r="K11409" s="758"/>
      <c r="L11409" s="121" t="s">
        <v>1075</v>
      </c>
      <c r="M11409" s="121"/>
      <c r="N11409" s="121"/>
      <c r="O11409" s="122"/>
      <c r="P11409" s="121"/>
      <c r="Q11409" s="51"/>
      <c r="R11409" s="782">
        <f ca="1">SUMIF($L10999:$L11407,"PAGE",R10999:R11407)</f>
        <v>2537.7800000000002</v>
      </c>
      <c r="S11409" s="51"/>
      <c r="T11409" s="782">
        <f ca="1">SUMIF($L10999:$L11407,"PAGE",T10999:T11407)</f>
        <v>12</v>
      </c>
      <c r="AR11409" s="51"/>
      <c r="AS11409" s="782">
        <v>3569.4800000000014</v>
      </c>
    </row>
    <row r="11410" spans="1:45" s="520" customFormat="1" ht="12">
      <c r="A11410" s="51"/>
      <c r="B11410" s="49" t="s">
        <v>1064</v>
      </c>
      <c r="C11410" s="51"/>
      <c r="D11410" s="781"/>
      <c r="F11410" s="783" t="s">
        <v>1076</v>
      </c>
      <c r="G11410" s="758"/>
      <c r="H11410" s="758"/>
      <c r="I11410" s="519"/>
      <c r="J11410" s="758"/>
      <c r="K11410" s="758"/>
      <c r="L11410" s="51"/>
      <c r="M11410" s="51"/>
      <c r="N11410" s="51"/>
      <c r="O11410" s="52"/>
      <c r="P11410" s="51"/>
      <c r="Q11410" s="51"/>
      <c r="R11410" s="783" t="s">
        <v>1077</v>
      </c>
      <c r="S11410" s="38"/>
      <c r="T11410" s="783" t="s">
        <v>1078</v>
      </c>
      <c r="AR11410" s="51"/>
      <c r="AS11410" s="783" t="s">
        <v>1076</v>
      </c>
    </row>
    <row r="11411" spans="1:45" s="520" customFormat="1" ht="11.4">
      <c r="O11411" s="771"/>
    </row>
    <row r="11412" spans="1:45" s="520" customFormat="1" ht="12" thickBot="1">
      <c r="A11412" s="763"/>
      <c r="B11412" s="763"/>
      <c r="C11412" s="763"/>
      <c r="D11412" s="763"/>
      <c r="E11412" s="763"/>
      <c r="F11412" s="39"/>
      <c r="G11412" s="531"/>
      <c r="H11412" s="531"/>
      <c r="I11412" s="531"/>
      <c r="J11412" s="531"/>
      <c r="K11412" s="531"/>
      <c r="L11412" s="763"/>
      <c r="M11412" s="763"/>
      <c r="N11412" s="763"/>
      <c r="O11412" s="763"/>
      <c r="P11412" s="763"/>
      <c r="Q11412" s="767"/>
      <c r="R11412" s="39"/>
      <c r="S11412" s="39"/>
      <c r="T11412" s="39"/>
      <c r="U11412" s="531"/>
      <c r="V11412" s="531"/>
      <c r="W11412" s="531"/>
      <c r="X11412" s="531"/>
      <c r="Y11412" s="531"/>
      <c r="Z11412" s="531"/>
      <c r="AA11412" s="531"/>
      <c r="AB11412" s="531"/>
      <c r="AC11412" s="531"/>
      <c r="AD11412" s="531"/>
      <c r="AE11412" s="531"/>
      <c r="AF11412" s="531"/>
      <c r="AG11412" s="531"/>
      <c r="AH11412" s="531"/>
      <c r="AI11412" s="531"/>
      <c r="AJ11412" s="531"/>
      <c r="AK11412" s="531"/>
      <c r="AR11412" s="763"/>
      <c r="AS11412" s="39"/>
    </row>
    <row r="11413" spans="1:45" s="520" customFormat="1" thickTop="1">
      <c r="A11413" s="51"/>
      <c r="B11413" s="51"/>
      <c r="C11413" s="3"/>
      <c r="D11413" s="3"/>
      <c r="E11413" s="51"/>
      <c r="F11413" s="51"/>
      <c r="G11413" s="51"/>
      <c r="H11413" s="51"/>
      <c r="I11413" s="51"/>
      <c r="J11413" s="51"/>
      <c r="K11413" s="51" t="s">
        <v>134</v>
      </c>
      <c r="L11413" s="51"/>
      <c r="M11413" s="51"/>
      <c r="N11413" s="51"/>
      <c r="O11413" s="52"/>
      <c r="P11413" s="51"/>
      <c r="Q11413" s="51"/>
      <c r="R11413" s="51"/>
      <c r="S11413" s="51"/>
      <c r="T11413" s="51"/>
      <c r="AR11413" s="51"/>
      <c r="AS11413" s="51"/>
    </row>
    <row r="11414" spans="1:45" s="520" customFormat="1" ht="12">
      <c r="A11414" s="51"/>
      <c r="B11414" s="51"/>
      <c r="C11414" s="51" t="s">
        <v>135</v>
      </c>
      <c r="D11414" s="37" t="s">
        <v>2590</v>
      </c>
      <c r="E11414" s="51"/>
      <c r="F11414" s="51"/>
      <c r="G11414" s="51"/>
      <c r="H11414" s="51"/>
      <c r="I11414" s="51"/>
      <c r="J11414" s="51"/>
      <c r="K11414" s="51"/>
      <c r="L11414" s="51"/>
      <c r="M11414" s="51"/>
      <c r="N11414" s="51"/>
      <c r="O11414" s="52"/>
      <c r="P11414" s="51"/>
      <c r="Q11414" s="51"/>
      <c r="R11414" s="51"/>
      <c r="S11414" s="51"/>
      <c r="T11414" s="51"/>
      <c r="AR11414" s="51"/>
      <c r="AS11414" s="51"/>
    </row>
    <row r="11415" spans="1:45" s="520" customFormat="1" ht="12">
      <c r="A11415" s="51"/>
      <c r="B11415" s="51"/>
      <c r="C11415" s="51"/>
      <c r="D11415" s="37" t="s">
        <v>1037</v>
      </c>
      <c r="E11415" s="51"/>
      <c r="F11415" s="51"/>
      <c r="G11415" s="51"/>
      <c r="H11415" s="51"/>
      <c r="I11415" s="51"/>
      <c r="J11415" s="51"/>
      <c r="K11415" s="51"/>
      <c r="L11415" s="51"/>
      <c r="M11415" s="51"/>
      <c r="N11415" s="51"/>
      <c r="O11415" s="52"/>
      <c r="P11415" s="51"/>
      <c r="Q11415" s="51"/>
      <c r="R11415" s="51"/>
      <c r="S11415" s="38"/>
      <c r="T11415" s="38"/>
      <c r="AR11415" s="51"/>
      <c r="AS11415" s="51"/>
    </row>
    <row r="11416" spans="1:45" s="3" customFormat="1" thickBot="1">
      <c r="A11416" s="531"/>
      <c r="O11416" s="107"/>
      <c r="AR11416" s="531"/>
    </row>
    <row r="11417" spans="1:45" s="520" customFormat="1" ht="12" thickTop="1">
      <c r="A11417" s="51"/>
      <c r="B11417" s="41"/>
      <c r="C11417" s="51"/>
      <c r="E11417" s="42" t="s">
        <v>138</v>
      </c>
      <c r="F11417" s="42" t="s">
        <v>139</v>
      </c>
      <c r="G11417" s="51"/>
      <c r="H11417" s="51"/>
      <c r="I11417" s="51"/>
      <c r="J11417" s="51"/>
      <c r="K11417" s="51" t="s">
        <v>140</v>
      </c>
      <c r="L11417" s="51"/>
      <c r="M11417" s="51"/>
      <c r="N11417" s="51"/>
      <c r="O11417" s="52"/>
      <c r="P11417" s="51"/>
      <c r="Q11417" s="51"/>
      <c r="R11417" s="51"/>
      <c r="S11417" s="51"/>
      <c r="T11417" s="41"/>
      <c r="AG11417" s="521" t="s">
        <v>268</v>
      </c>
      <c r="AH11417" s="521" t="s">
        <v>269</v>
      </c>
      <c r="AI11417" s="521" t="s">
        <v>270</v>
      </c>
      <c r="AJ11417" s="521" t="s">
        <v>271</v>
      </c>
      <c r="AK11417" s="521" t="s">
        <v>272</v>
      </c>
      <c r="AM11417" s="745" t="s">
        <v>281</v>
      </c>
      <c r="AN11417" s="746" t="s">
        <v>282</v>
      </c>
      <c r="AO11417" s="522" t="s">
        <v>278</v>
      </c>
      <c r="AR11417" s="51"/>
      <c r="AS11417" s="42" t="s">
        <v>139</v>
      </c>
    </row>
    <row r="11418" spans="1:45" s="520" customFormat="1" ht="12" customHeight="1">
      <c r="A11418" s="747">
        <v>1</v>
      </c>
      <c r="B11418" s="523" t="s">
        <v>299</v>
      </c>
      <c r="C11418" s="748"/>
      <c r="D11418" s="749" t="s">
        <v>2591</v>
      </c>
      <c r="E11418" s="750">
        <f>IF(AND($A11418=0,$A$1="DIF"),0, ROUND(ROUND(($R11432*$S$2+($T11432*$T$2))/A11418,2)*$C$2,2))</f>
        <v>953.5</v>
      </c>
      <c r="F11418" s="751">
        <f>ROUND($A11418*$E11418,2)</f>
        <v>953.5</v>
      </c>
      <c r="G11418" s="752" t="s">
        <v>142</v>
      </c>
      <c r="H11418" s="753"/>
      <c r="I11418" s="754"/>
      <c r="J11418" s="753"/>
      <c r="K11418" s="753" t="s">
        <v>3</v>
      </c>
      <c r="L11418" s="755" t="s">
        <v>143</v>
      </c>
      <c r="M11418" s="755"/>
      <c r="N11418" s="755"/>
      <c r="O11418" s="755"/>
      <c r="P11418" s="755"/>
      <c r="Q11418" s="1058" t="s">
        <v>3784</v>
      </c>
      <c r="T11418" s="756" t="str">
        <f>IF(AND($R11432=0,$T11432=0),"0.00","mu :" &amp; ROUND($F11418/$C$2/($R11432+$T11432*$D$9),2))</f>
        <v>mu :1.23</v>
      </c>
      <c r="W11418" s="524"/>
      <c r="AG11418" s="481">
        <f>IF($E11418=0,0,ROUND($R11432*$S$2*$C$2/$A11418,2))</f>
        <v>461.52</v>
      </c>
      <c r="AH11418" s="481">
        <f>$AG11418*$A11418</f>
        <v>461.52</v>
      </c>
      <c r="AI11418" s="525">
        <f>$E11418-$AG11418</f>
        <v>491.98</v>
      </c>
      <c r="AJ11418" s="525">
        <f>$A11418*$AI11418</f>
        <v>491.98</v>
      </c>
      <c r="AK11418" s="526">
        <f>ROUND(($AG11418+$AI11418)*$A11418,2)</f>
        <v>953.5</v>
      </c>
      <c r="AM11418" s="527">
        <f>ROUND(R11432,2)</f>
        <v>374.81</v>
      </c>
      <c r="AN11418" s="528">
        <f>ROUND(T11432,2)</f>
        <v>14.55</v>
      </c>
      <c r="AO11418" s="529">
        <f>ROUND(AM11418+AN11418,2)*A11418</f>
        <v>389.36</v>
      </c>
      <c r="AR11418" s="747">
        <v>1</v>
      </c>
      <c r="AS11418" s="751">
        <v>1008.16</v>
      </c>
    </row>
    <row r="11419" spans="1:45" s="520" customFormat="1" ht="39.9" customHeight="1">
      <c r="A11419" s="748"/>
      <c r="B11419"/>
      <c r="C11419" s="748"/>
      <c r="D11419" s="1451" t="s">
        <v>1038</v>
      </c>
      <c r="E11419" s="1452"/>
      <c r="F11419" s="1452"/>
      <c r="G11419" s="1452"/>
      <c r="H11419" s="1452"/>
      <c r="I11419" s="1452"/>
      <c r="J11419" s="1452"/>
      <c r="K11419" s="1452"/>
      <c r="L11419" s="1452"/>
      <c r="M11419" s="1452"/>
      <c r="N11419" s="1452"/>
      <c r="O11419" s="1452"/>
      <c r="P11419" s="1452"/>
      <c r="Q11419" s="1452"/>
      <c r="R11419" s="1452"/>
      <c r="S11419" s="1452"/>
      <c r="T11419" s="1452"/>
      <c r="AR11419" s="748"/>
    </row>
    <row r="11420" spans="1:45" s="901" customFormat="1" ht="13.2">
      <c r="A11420" s="1223">
        <f>1/3 *(2)</f>
        <v>0.66666666666666663</v>
      </c>
      <c r="B11420" s="901" t="s">
        <v>863</v>
      </c>
      <c r="D11420" s="901" t="s">
        <v>3503</v>
      </c>
      <c r="E11420" s="1142" t="s">
        <v>3442</v>
      </c>
      <c r="G11420" s="941" t="s">
        <v>3504</v>
      </c>
      <c r="H11420" s="942">
        <v>726</v>
      </c>
      <c r="I11420" s="901" t="s">
        <v>2607</v>
      </c>
      <c r="O11420" s="943">
        <v>3</v>
      </c>
      <c r="P11420" s="944"/>
      <c r="Q11420" s="1197">
        <f>1.1 *(8.4)</f>
        <v>9.240000000000002</v>
      </c>
      <c r="R11420" s="946">
        <f t="shared" ref="R11420:R11428" si="824">$A11420*Q11420</f>
        <v>6.160000000000001</v>
      </c>
      <c r="S11420" s="1197">
        <v>1.5</v>
      </c>
      <c r="T11420" s="947">
        <f t="shared" ref="T11420:T11428" si="825">$A11420*S11420*$T$1</f>
        <v>0.9</v>
      </c>
      <c r="W11420" s="901">
        <v>2</v>
      </c>
      <c r="AR11420" s="1223">
        <v>0.66666666666666663</v>
      </c>
    </row>
    <row r="11421" spans="1:45" s="901" customFormat="1" ht="13.2">
      <c r="A11421" s="1223">
        <f>1/3 *(1)</f>
        <v>0.33333333333333331</v>
      </c>
      <c r="B11421" s="901" t="s">
        <v>863</v>
      </c>
      <c r="D11421" s="901" t="s">
        <v>3503</v>
      </c>
      <c r="E11421" s="1142" t="s">
        <v>3444</v>
      </c>
      <c r="G11421" s="941" t="s">
        <v>3504</v>
      </c>
      <c r="H11421" s="942">
        <v>726</v>
      </c>
      <c r="I11421" s="901" t="s">
        <v>2607</v>
      </c>
      <c r="O11421" s="943">
        <v>3</v>
      </c>
      <c r="P11421" s="944"/>
      <c r="Q11421" s="1197">
        <f>1.1 *(11.19)</f>
        <v>12.309000000000001</v>
      </c>
      <c r="R11421" s="946">
        <f t="shared" si="824"/>
        <v>4.1029999999999998</v>
      </c>
      <c r="S11421" s="1197">
        <v>1.5</v>
      </c>
      <c r="T11421" s="947">
        <f t="shared" si="825"/>
        <v>0.45</v>
      </c>
      <c r="W11421" s="901">
        <v>2</v>
      </c>
      <c r="AR11421" s="1223">
        <v>0.33333333333333331</v>
      </c>
    </row>
    <row r="11422" spans="1:45" s="901" customFormat="1" ht="13.2">
      <c r="A11422" s="1223">
        <f>1/3 *(4)</f>
        <v>1.3333333333333333</v>
      </c>
      <c r="B11422" s="901" t="s">
        <v>863</v>
      </c>
      <c r="D11422" s="901" t="s">
        <v>3503</v>
      </c>
      <c r="E11422" s="1142" t="s">
        <v>3445</v>
      </c>
      <c r="G11422" s="941" t="s">
        <v>3504</v>
      </c>
      <c r="H11422" s="942">
        <v>726</v>
      </c>
      <c r="I11422" s="901" t="s">
        <v>2607</v>
      </c>
      <c r="O11422" s="943">
        <v>3</v>
      </c>
      <c r="P11422" s="944"/>
      <c r="Q11422" s="1197">
        <f>1.1 *(22.39)</f>
        <v>24.629000000000001</v>
      </c>
      <c r="R11422" s="946">
        <f t="shared" si="824"/>
        <v>32.838666666666668</v>
      </c>
      <c r="S11422" s="1197">
        <v>1.5</v>
      </c>
      <c r="T11422" s="947">
        <f t="shared" si="825"/>
        <v>1.8</v>
      </c>
      <c r="W11422" s="901">
        <v>2</v>
      </c>
      <c r="AR11422" s="1223">
        <v>1.3333333333333333</v>
      </c>
    </row>
    <row r="11423" spans="1:45" s="901" customFormat="1" ht="13.2">
      <c r="A11423" s="1223">
        <f>1/3 *(4)</f>
        <v>1.3333333333333333</v>
      </c>
      <c r="B11423" s="901" t="s">
        <v>863</v>
      </c>
      <c r="D11423" s="901" t="s">
        <v>3503</v>
      </c>
      <c r="E11423" s="1142" t="s">
        <v>933</v>
      </c>
      <c r="G11423" s="941" t="s">
        <v>3504</v>
      </c>
      <c r="H11423" s="942">
        <v>726</v>
      </c>
      <c r="I11423" s="901" t="s">
        <v>2607</v>
      </c>
      <c r="O11423" s="943">
        <v>3</v>
      </c>
      <c r="P11423" s="944"/>
      <c r="Q11423" s="1197">
        <f>1.1 *(14.93)</f>
        <v>16.423000000000002</v>
      </c>
      <c r="R11423" s="946">
        <f t="shared" si="824"/>
        <v>21.897333333333336</v>
      </c>
      <c r="S11423" s="1197">
        <v>2</v>
      </c>
      <c r="T11423" s="947">
        <f t="shared" si="825"/>
        <v>2.4</v>
      </c>
      <c r="W11423" s="901">
        <v>3</v>
      </c>
      <c r="AR11423" s="1223">
        <v>1.3333333333333333</v>
      </c>
    </row>
    <row r="11424" spans="1:45" s="901" customFormat="1" ht="13.2">
      <c r="A11424" s="1223">
        <f>1/3 *(5)</f>
        <v>1.6666666666666665</v>
      </c>
      <c r="B11424" s="901" t="s">
        <v>863</v>
      </c>
      <c r="D11424" s="901" t="s">
        <v>3503</v>
      </c>
      <c r="E11424" s="1142" t="s">
        <v>3447</v>
      </c>
      <c r="G11424" s="941" t="s">
        <v>3504</v>
      </c>
      <c r="H11424" s="942">
        <v>726</v>
      </c>
      <c r="I11424" s="901" t="s">
        <v>2607</v>
      </c>
      <c r="O11424" s="943">
        <v>3</v>
      </c>
      <c r="P11424" s="944"/>
      <c r="Q11424" s="1197">
        <f>1.1 *(29.85)</f>
        <v>32.835000000000001</v>
      </c>
      <c r="R11424" s="946">
        <f t="shared" si="824"/>
        <v>54.724999999999994</v>
      </c>
      <c r="S11424" s="1197">
        <v>2</v>
      </c>
      <c r="T11424" s="947">
        <f t="shared" si="825"/>
        <v>3</v>
      </c>
      <c r="W11424" s="901">
        <v>3</v>
      </c>
      <c r="AR11424" s="1223">
        <v>1.6666666666666665</v>
      </c>
    </row>
    <row r="11425" spans="1:45" s="901" customFormat="1" ht="13.2">
      <c r="A11425" s="1223">
        <f>1/3 *(2)</f>
        <v>0.66666666666666663</v>
      </c>
      <c r="B11425" s="901" t="s">
        <v>863</v>
      </c>
      <c r="D11425" s="901" t="s">
        <v>3503</v>
      </c>
      <c r="E11425" s="1142" t="s">
        <v>3451</v>
      </c>
      <c r="G11425" s="941" t="s">
        <v>3504</v>
      </c>
      <c r="H11425" s="942">
        <v>726</v>
      </c>
      <c r="I11425" s="901" t="s">
        <v>2607</v>
      </c>
      <c r="O11425" s="943">
        <v>3</v>
      </c>
      <c r="P11425" s="944"/>
      <c r="Q11425" s="1197">
        <f>1.1 *(37.31)</f>
        <v>41.041000000000004</v>
      </c>
      <c r="R11425" s="946">
        <f t="shared" si="824"/>
        <v>27.360666666666667</v>
      </c>
      <c r="S11425" s="1197">
        <v>2.5</v>
      </c>
      <c r="T11425" s="947">
        <f t="shared" si="825"/>
        <v>1.5</v>
      </c>
      <c r="W11425" s="901">
        <v>4</v>
      </c>
      <c r="AR11425" s="1223">
        <v>0.66666666666666663</v>
      </c>
    </row>
    <row r="11426" spans="1:45" s="901" customFormat="1" ht="13.2">
      <c r="A11426" s="1223">
        <f>1/3 *(1)</f>
        <v>0.33333333333333331</v>
      </c>
      <c r="B11426" s="901" t="s">
        <v>863</v>
      </c>
      <c r="D11426" s="901" t="s">
        <v>3503</v>
      </c>
      <c r="E11426" s="1142" t="s">
        <v>3452</v>
      </c>
      <c r="G11426" s="941" t="s">
        <v>3504</v>
      </c>
      <c r="H11426" s="942">
        <v>726</v>
      </c>
      <c r="I11426" s="901" t="s">
        <v>2607</v>
      </c>
      <c r="O11426" s="943">
        <v>3</v>
      </c>
      <c r="P11426" s="944"/>
      <c r="Q11426" s="1197">
        <f>1.1 *(55.97)</f>
        <v>61.567</v>
      </c>
      <c r="R11426" s="946">
        <f t="shared" si="824"/>
        <v>20.522333333333332</v>
      </c>
      <c r="S11426" s="1197">
        <v>2.5</v>
      </c>
      <c r="T11426" s="947">
        <f t="shared" si="825"/>
        <v>0.75</v>
      </c>
      <c r="W11426" s="901">
        <v>4</v>
      </c>
      <c r="AR11426" s="1223">
        <v>0.33333333333333331</v>
      </c>
    </row>
    <row r="11427" spans="1:45" s="901" customFormat="1" ht="13.2">
      <c r="A11427" s="1223">
        <f>1/3 *(2)</f>
        <v>0.66666666666666663</v>
      </c>
      <c r="B11427" s="901" t="s">
        <v>863</v>
      </c>
      <c r="D11427" s="901" t="s">
        <v>3503</v>
      </c>
      <c r="E11427" s="1142" t="s">
        <v>3457</v>
      </c>
      <c r="G11427" s="941" t="s">
        <v>3504</v>
      </c>
      <c r="H11427" s="942">
        <v>726</v>
      </c>
      <c r="I11427" s="901" t="s">
        <v>2607</v>
      </c>
      <c r="O11427" s="943">
        <v>3</v>
      </c>
      <c r="P11427" s="944"/>
      <c r="Q11427" s="1197">
        <f>1.1 *(67.16)</f>
        <v>73.876000000000005</v>
      </c>
      <c r="R11427" s="946">
        <f t="shared" si="824"/>
        <v>49.250666666666667</v>
      </c>
      <c r="S11427" s="1197">
        <v>2.5</v>
      </c>
      <c r="T11427" s="947">
        <f t="shared" si="825"/>
        <v>1.5</v>
      </c>
      <c r="W11427" s="901">
        <v>4</v>
      </c>
      <c r="AR11427" s="1223">
        <v>0.66666666666666663</v>
      </c>
    </row>
    <row r="11428" spans="1:45" s="901" customFormat="1" ht="13.2">
      <c r="A11428" s="1223">
        <f>1/3 *(3)</f>
        <v>1</v>
      </c>
      <c r="B11428" s="901" t="s">
        <v>863</v>
      </c>
      <c r="D11428" s="901" t="s">
        <v>3503</v>
      </c>
      <c r="E11428" s="1142" t="s">
        <v>3458</v>
      </c>
      <c r="G11428" s="941" t="s">
        <v>3504</v>
      </c>
      <c r="H11428" s="942">
        <v>726</v>
      </c>
      <c r="I11428" s="901" t="s">
        <v>2607</v>
      </c>
      <c r="O11428" s="943">
        <v>3</v>
      </c>
      <c r="P11428" s="944"/>
      <c r="Q11428" s="1197">
        <f>1.1 *(89.55)</f>
        <v>98.50500000000001</v>
      </c>
      <c r="R11428" s="946">
        <f t="shared" si="824"/>
        <v>98.50500000000001</v>
      </c>
      <c r="S11428" s="1197">
        <v>2.5</v>
      </c>
      <c r="T11428" s="947">
        <f t="shared" si="825"/>
        <v>2.25</v>
      </c>
      <c r="W11428" s="901">
        <v>4</v>
      </c>
      <c r="AR11428" s="1223">
        <v>1</v>
      </c>
    </row>
    <row r="11429" spans="1:45" s="901" customFormat="1" ht="13.2">
      <c r="A11429" s="1223">
        <f>1/3 *(1)</f>
        <v>0.33333333333333331</v>
      </c>
      <c r="B11429" s="1084" t="s">
        <v>863</v>
      </c>
      <c r="C11429" s="1084"/>
      <c r="D11429" s="1084" t="s">
        <v>2752</v>
      </c>
      <c r="E11429" s="1084"/>
      <c r="F11429" s="1084" t="s">
        <v>3326</v>
      </c>
      <c r="G11429" s="1091" t="s">
        <v>2754</v>
      </c>
      <c r="H11429" s="1092">
        <v>962</v>
      </c>
      <c r="I11429" s="1084" t="s">
        <v>2596</v>
      </c>
      <c r="J11429" s="1084"/>
      <c r="K11429" s="1084"/>
      <c r="L11429" s="1084"/>
      <c r="M11429" s="1084"/>
      <c r="N11429" s="1084"/>
      <c r="O11429" s="1093">
        <v>2</v>
      </c>
      <c r="P11429" s="1094">
        <v>38129</v>
      </c>
      <c r="Q11429" s="945">
        <f>0.41 *(1 *(24/8*120))</f>
        <v>147.6</v>
      </c>
      <c r="R11429" s="1096">
        <f>$A11429*Q11429</f>
        <v>49.199999999999996</v>
      </c>
      <c r="S11429" s="1095"/>
      <c r="T11429" s="1097">
        <f>$A11429*S11429*$T$1</f>
        <v>0</v>
      </c>
      <c r="AR11429" s="1223">
        <v>0.33333333333333331</v>
      </c>
      <c r="AS11429" s="1084" t="s">
        <v>3326</v>
      </c>
    </row>
    <row r="11430" spans="1:45" s="901" customFormat="1" ht="13.2">
      <c r="A11430" s="1223">
        <f>1/3 *(1)</f>
        <v>0.33333333333333331</v>
      </c>
      <c r="B11430" s="901" t="s">
        <v>2755</v>
      </c>
      <c r="D11430" s="901" t="s">
        <v>3325</v>
      </c>
      <c r="F11430" s="901" t="s">
        <v>3666</v>
      </c>
      <c r="G11430" s="941" t="s">
        <v>3324</v>
      </c>
      <c r="H11430" s="942">
        <v>845</v>
      </c>
      <c r="I11430" s="901" t="s">
        <v>2607</v>
      </c>
      <c r="O11430" s="943">
        <v>3</v>
      </c>
      <c r="P11430" s="944">
        <v>39713</v>
      </c>
      <c r="Q11430" s="945">
        <f>0.41 *(24/8*25)</f>
        <v>30.749999999999996</v>
      </c>
      <c r="R11430" s="946">
        <f>$A11430*Q11430</f>
        <v>10.249999999999998</v>
      </c>
      <c r="S11430" s="945"/>
      <c r="T11430" s="947">
        <f>$A11430*S11430*$T$1</f>
        <v>0</v>
      </c>
      <c r="AR11430" s="1223">
        <v>0.33333333333333331</v>
      </c>
      <c r="AS11430" s="901" t="s">
        <v>3666</v>
      </c>
    </row>
    <row r="11431" spans="1:45" s="520" customFormat="1" ht="12">
      <c r="A11431" s="758"/>
      <c r="B11431" s="758"/>
      <c r="C11431" s="758"/>
      <c r="D11431" s="758"/>
      <c r="E11431" s="758"/>
      <c r="F11431" s="753"/>
      <c r="G11431" s="758"/>
      <c r="H11431" s="758"/>
      <c r="I11431" s="519"/>
      <c r="J11431" s="758"/>
      <c r="K11431" s="758"/>
      <c r="L11431" s="758"/>
      <c r="M11431" s="758"/>
      <c r="N11431" s="758"/>
      <c r="O11431" s="758"/>
      <c r="P11431" s="758"/>
      <c r="Q11431" s="519"/>
      <c r="R11431" s="759">
        <f>$A11431*Q11431</f>
        <v>0</v>
      </c>
      <c r="S11431" s="519"/>
      <c r="T11431" s="760">
        <f>$A11431*S11431*$T$1</f>
        <v>0</v>
      </c>
      <c r="AR11431" s="758"/>
      <c r="AS11431" s="753"/>
    </row>
    <row r="11432" spans="1:45" s="520" customFormat="1" ht="12.6" thickBot="1">
      <c r="A11432" s="761" t="s">
        <v>145</v>
      </c>
      <c r="B11432" s="762">
        <f>(R11431+T11431)</f>
        <v>0</v>
      </c>
      <c r="C11432" s="763"/>
      <c r="D11432" s="763"/>
      <c r="E11432" s="763"/>
      <c r="F11432" s="764"/>
      <c r="G11432" s="763" t="s">
        <v>146</v>
      </c>
      <c r="H11432" s="763"/>
      <c r="I11432" s="765"/>
      <c r="J11432" s="763"/>
      <c r="K11432" s="763" t="s">
        <v>3</v>
      </c>
      <c r="L11432" s="766" t="s">
        <v>143</v>
      </c>
      <c r="M11432" s="766"/>
      <c r="N11432" s="766"/>
      <c r="O11432" s="766"/>
      <c r="P11432" s="766"/>
      <c r="Q11432" s="767"/>
      <c r="R11432" s="768">
        <f>SUM(R11419:R11431)</f>
        <v>374.81266666666664</v>
      </c>
      <c r="S11432" s="763"/>
      <c r="T11432" s="768">
        <f>SUM(T11419:T11431)</f>
        <v>14.55</v>
      </c>
      <c r="U11432" s="531"/>
      <c r="V11432" s="531"/>
      <c r="W11432" s="531"/>
      <c r="X11432" s="531"/>
      <c r="Y11432" s="531"/>
      <c r="Z11432" s="531"/>
      <c r="AA11432" s="531"/>
      <c r="AB11432" s="531"/>
      <c r="AC11432" s="531"/>
      <c r="AD11432" s="531"/>
      <c r="AE11432" s="531"/>
      <c r="AF11432" s="531"/>
      <c r="AG11432" s="531"/>
      <c r="AH11432" s="531"/>
      <c r="AI11432" s="531"/>
      <c r="AJ11432" s="531"/>
      <c r="AK11432" s="531"/>
      <c r="AL11432" s="531"/>
      <c r="AM11432" s="531"/>
      <c r="AN11432" s="531"/>
      <c r="AO11432" s="531"/>
      <c r="AR11432" s="761" t="s">
        <v>145</v>
      </c>
      <c r="AS11432" s="764"/>
    </row>
    <row r="11433" spans="1:45" s="520" customFormat="1" ht="12" thickTop="1">
      <c r="A11433" s="51"/>
      <c r="B11433" s="41"/>
      <c r="C11433" s="51"/>
      <c r="E11433" s="42" t="s">
        <v>138</v>
      </c>
      <c r="F11433" s="42" t="s">
        <v>139</v>
      </c>
      <c r="G11433" s="51"/>
      <c r="H11433" s="51"/>
      <c r="I11433" s="51"/>
      <c r="J11433" s="51"/>
      <c r="K11433" s="51" t="s">
        <v>140</v>
      </c>
      <c r="L11433" s="51"/>
      <c r="M11433" s="51"/>
      <c r="N11433" s="51"/>
      <c r="O11433" s="52"/>
      <c r="P11433" s="51"/>
      <c r="Q11433" s="51"/>
      <c r="R11433" s="51"/>
      <c r="S11433" s="51"/>
      <c r="T11433" s="41"/>
      <c r="AG11433" s="521" t="s">
        <v>268</v>
      </c>
      <c r="AH11433" s="521" t="s">
        <v>269</v>
      </c>
      <c r="AI11433" s="521" t="s">
        <v>270</v>
      </c>
      <c r="AJ11433" s="521" t="s">
        <v>271</v>
      </c>
      <c r="AK11433" s="521" t="s">
        <v>272</v>
      </c>
      <c r="AM11433" s="745" t="s">
        <v>281</v>
      </c>
      <c r="AN11433" s="746" t="s">
        <v>282</v>
      </c>
      <c r="AO11433" s="522" t="s">
        <v>278</v>
      </c>
      <c r="AR11433" s="51"/>
      <c r="AS11433" s="42" t="s">
        <v>139</v>
      </c>
    </row>
    <row r="11434" spans="1:45" s="520" customFormat="1" ht="12" customHeight="1">
      <c r="A11434" s="747">
        <v>1</v>
      </c>
      <c r="B11434" s="523" t="s">
        <v>299</v>
      </c>
      <c r="C11434" s="748"/>
      <c r="D11434" s="749" t="s">
        <v>2592</v>
      </c>
      <c r="E11434" s="750">
        <f>IF(AND($A11434=0,$A$1="DIF"),0, ROUND(ROUND(($R11438*$S$2+($T11438*$T$2))/A11434,2)*$C$2,2))</f>
        <v>0</v>
      </c>
      <c r="F11434" s="751">
        <f>ROUND($A11434*$E11434,2)</f>
        <v>0</v>
      </c>
      <c r="G11434" s="752" t="s">
        <v>142</v>
      </c>
      <c r="H11434" s="753"/>
      <c r="I11434" s="754"/>
      <c r="J11434" s="753"/>
      <c r="K11434" s="753" t="s">
        <v>3</v>
      </c>
      <c r="L11434" s="755" t="s">
        <v>143</v>
      </c>
      <c r="M11434" s="755"/>
      <c r="N11434" s="755"/>
      <c r="O11434" s="755"/>
      <c r="P11434" s="755"/>
      <c r="Q11434" s="1058" t="s">
        <v>3687</v>
      </c>
      <c r="T11434" s="756" t="str">
        <f>IF(AND($R11438=0,$T11438=0),"0.00","mu :" &amp; ROUND($F11434/$C$2/($R11438+$T11438*$D$9),2))</f>
        <v>0.00</v>
      </c>
      <c r="W11434" s="524"/>
      <c r="AG11434" s="481">
        <f>IF($E11434=0,0,ROUND($R11438*$S$2*$C$2/$A11434,2))</f>
        <v>0</v>
      </c>
      <c r="AH11434" s="481">
        <f>$AG11434*$A11434</f>
        <v>0</v>
      </c>
      <c r="AI11434" s="525">
        <f>$E11434-$AG11434</f>
        <v>0</v>
      </c>
      <c r="AJ11434" s="525">
        <f>$A11434*$AI11434</f>
        <v>0</v>
      </c>
      <c r="AK11434" s="526">
        <f>ROUND(($AG11434+$AI11434)*$A11434,2)</f>
        <v>0</v>
      </c>
      <c r="AM11434" s="527">
        <f>ROUND(R11438,2)</f>
        <v>0</v>
      </c>
      <c r="AN11434" s="528">
        <f>ROUND(T11438,2)</f>
        <v>0</v>
      </c>
      <c r="AO11434" s="529">
        <f>ROUND(AM11434+AN11434,2)*A11434</f>
        <v>0</v>
      </c>
      <c r="AR11434" s="747">
        <v>1</v>
      </c>
      <c r="AS11434" s="751">
        <v>0</v>
      </c>
    </row>
    <row r="11435" spans="1:45" s="520" customFormat="1" ht="39.9" customHeight="1">
      <c r="A11435" s="748"/>
      <c r="B11435"/>
      <c r="C11435" s="748"/>
      <c r="D11435" s="1451" t="s">
        <v>1039</v>
      </c>
      <c r="E11435" s="1452"/>
      <c r="F11435" s="1452"/>
      <c r="G11435" s="1452"/>
      <c r="H11435" s="1452"/>
      <c r="I11435" s="1452"/>
      <c r="J11435" s="1452"/>
      <c r="K11435" s="1452"/>
      <c r="L11435" s="1452"/>
      <c r="M11435" s="1452"/>
      <c r="N11435" s="1452"/>
      <c r="O11435" s="1452"/>
      <c r="P11435" s="1452"/>
      <c r="Q11435" s="1452"/>
      <c r="R11435" s="1452"/>
      <c r="S11435" s="1452"/>
      <c r="T11435" s="1452"/>
      <c r="AR11435" s="748"/>
    </row>
    <row r="11436" spans="1:45" s="520" customFormat="1" ht="13.2">
      <c r="A11436" s="748"/>
      <c r="B11436"/>
      <c r="C11436" s="748"/>
      <c r="D11436" s="1140"/>
      <c r="E11436" s="1141"/>
      <c r="F11436" s="1141"/>
      <c r="G11436" s="1141"/>
      <c r="H11436" s="1141"/>
      <c r="I11436" s="1141"/>
      <c r="J11436" s="1141"/>
      <c r="K11436" s="1141"/>
      <c r="L11436" s="1141"/>
      <c r="M11436" s="1141"/>
      <c r="N11436" s="1141"/>
      <c r="O11436" s="1141"/>
      <c r="P11436" s="1141"/>
      <c r="Q11436" s="1141"/>
      <c r="R11436" s="759">
        <f>$A11436*Q11436</f>
        <v>0</v>
      </c>
      <c r="S11436" s="519"/>
      <c r="T11436" s="760">
        <f>$A11436*S11436*$T$1</f>
        <v>0</v>
      </c>
      <c r="AR11436" s="748"/>
      <c r="AS11436" s="1141"/>
    </row>
    <row r="11437" spans="1:45" s="520" customFormat="1" ht="12">
      <c r="A11437" s="758"/>
      <c r="B11437" s="758"/>
      <c r="C11437" s="758"/>
      <c r="D11437" s="758"/>
      <c r="E11437" s="758"/>
      <c r="F11437" s="753"/>
      <c r="G11437" s="758"/>
      <c r="H11437" s="758"/>
      <c r="I11437" s="519"/>
      <c r="J11437" s="758"/>
      <c r="K11437" s="758"/>
      <c r="L11437" s="758"/>
      <c r="M11437" s="758"/>
      <c r="N11437" s="758"/>
      <c r="O11437" s="758"/>
      <c r="P11437" s="758"/>
      <c r="Q11437" s="519"/>
      <c r="R11437" s="759">
        <f>$A11437*Q11437</f>
        <v>0</v>
      </c>
      <c r="S11437" s="519"/>
      <c r="T11437" s="760">
        <f>$A11437*S11437*$T$1</f>
        <v>0</v>
      </c>
      <c r="AR11437" s="758"/>
      <c r="AS11437" s="753"/>
    </row>
    <row r="11438" spans="1:45" s="520" customFormat="1" ht="12.6" thickBot="1">
      <c r="A11438" s="761" t="s">
        <v>145</v>
      </c>
      <c r="B11438" s="762">
        <f>(R11437+T11437)</f>
        <v>0</v>
      </c>
      <c r="C11438" s="763"/>
      <c r="D11438" s="763"/>
      <c r="E11438" s="763"/>
      <c r="F11438" s="764"/>
      <c r="G11438" s="763" t="s">
        <v>146</v>
      </c>
      <c r="H11438" s="763"/>
      <c r="I11438" s="765"/>
      <c r="J11438" s="763"/>
      <c r="K11438" s="763" t="s">
        <v>3</v>
      </c>
      <c r="L11438" s="766" t="s">
        <v>143</v>
      </c>
      <c r="M11438" s="766"/>
      <c r="N11438" s="766"/>
      <c r="O11438" s="766"/>
      <c r="P11438" s="766"/>
      <c r="Q11438" s="767"/>
      <c r="R11438" s="768">
        <f>SUM(R11435:R11437)</f>
        <v>0</v>
      </c>
      <c r="S11438" s="763"/>
      <c r="T11438" s="768">
        <f>SUM(T11435:T11437)</f>
        <v>0</v>
      </c>
      <c r="U11438" s="531"/>
      <c r="V11438" s="531"/>
      <c r="W11438" s="531"/>
      <c r="X11438" s="531"/>
      <c r="Y11438" s="531"/>
      <c r="Z11438" s="531"/>
      <c r="AA11438" s="531"/>
      <c r="AB11438" s="531"/>
      <c r="AC11438" s="531"/>
      <c r="AD11438" s="531"/>
      <c r="AE11438" s="531"/>
      <c r="AF11438" s="531"/>
      <c r="AG11438" s="531"/>
      <c r="AH11438" s="531"/>
      <c r="AI11438" s="531"/>
      <c r="AJ11438" s="531"/>
      <c r="AK11438" s="531"/>
      <c r="AL11438" s="531"/>
      <c r="AM11438" s="531"/>
      <c r="AN11438" s="531"/>
      <c r="AO11438" s="531"/>
      <c r="AR11438" s="761" t="s">
        <v>145</v>
      </c>
      <c r="AS11438" s="764"/>
    </row>
    <row r="11439" spans="1:45" s="520" customFormat="1" thickTop="1">
      <c r="A11439" s="51"/>
      <c r="B11439" s="51"/>
      <c r="C11439" s="3"/>
      <c r="D11439" s="3"/>
      <c r="E11439" s="51"/>
      <c r="F11439" s="51"/>
      <c r="G11439" s="51"/>
      <c r="H11439" s="51"/>
      <c r="I11439" s="51"/>
      <c r="J11439" s="51"/>
      <c r="K11439" s="51" t="s">
        <v>134</v>
      </c>
      <c r="L11439" s="51"/>
      <c r="M11439" s="51"/>
      <c r="N11439" s="51"/>
      <c r="O11439" s="52"/>
      <c r="P11439" s="51"/>
      <c r="Q11439" s="51"/>
      <c r="R11439" s="51"/>
      <c r="S11439" s="51"/>
      <c r="T11439" s="51"/>
      <c r="AR11439" s="51"/>
      <c r="AS11439" s="51"/>
    </row>
    <row r="11440" spans="1:45" s="520" customFormat="1" ht="12">
      <c r="A11440" s="51"/>
      <c r="B11440" s="51"/>
      <c r="C11440" s="51" t="s">
        <v>135</v>
      </c>
      <c r="D11440" s="37"/>
      <c r="E11440" s="51"/>
      <c r="F11440" s="51"/>
      <c r="G11440" s="51"/>
      <c r="H11440" s="51"/>
      <c r="I11440" s="51"/>
      <c r="J11440" s="51"/>
      <c r="K11440" s="51"/>
      <c r="L11440" s="51"/>
      <c r="M11440" s="51"/>
      <c r="N11440" s="51"/>
      <c r="O11440" s="52"/>
      <c r="P11440" s="51"/>
      <c r="Q11440" s="51"/>
      <c r="R11440" s="51"/>
      <c r="S11440" s="51"/>
      <c r="T11440" s="51"/>
      <c r="AR11440" s="51"/>
      <c r="AS11440" s="51"/>
    </row>
    <row r="11441" spans="1:45" s="520" customFormat="1" ht="12">
      <c r="A11441" s="51"/>
      <c r="B11441" s="51"/>
      <c r="C11441" s="51"/>
      <c r="D11441" s="37" t="s">
        <v>379</v>
      </c>
      <c r="E11441" s="51"/>
      <c r="F11441" s="51"/>
      <c r="G11441" s="51"/>
      <c r="H11441" s="51"/>
      <c r="I11441" s="51"/>
      <c r="J11441" s="51"/>
      <c r="K11441" s="51"/>
      <c r="L11441" s="51"/>
      <c r="M11441" s="51"/>
      <c r="N11441" s="51"/>
      <c r="O11441" s="52"/>
      <c r="P11441" s="51"/>
      <c r="Q11441" s="51"/>
      <c r="R11441" s="51"/>
      <c r="S11441" s="38"/>
      <c r="T11441" s="38"/>
      <c r="AR11441" s="51"/>
      <c r="AS11441" s="51"/>
    </row>
    <row r="11442" spans="1:45" s="3" customFormat="1" thickBot="1">
      <c r="A11442" s="531"/>
      <c r="O11442" s="107"/>
      <c r="AR11442" s="531"/>
    </row>
    <row r="11443" spans="1:45" s="520" customFormat="1" ht="12" thickTop="1">
      <c r="A11443" s="51"/>
      <c r="B11443" s="41"/>
      <c r="C11443" s="51"/>
      <c r="E11443" s="42" t="s">
        <v>138</v>
      </c>
      <c r="F11443" s="42" t="s">
        <v>139</v>
      </c>
      <c r="G11443" s="51"/>
      <c r="H11443" s="51"/>
      <c r="I11443" s="51"/>
      <c r="J11443" s="51"/>
      <c r="K11443" s="51" t="s">
        <v>140</v>
      </c>
      <c r="L11443" s="51"/>
      <c r="M11443" s="51"/>
      <c r="N11443" s="51"/>
      <c r="O11443" s="52"/>
      <c r="P11443" s="51"/>
      <c r="Q11443" s="51"/>
      <c r="R11443" s="51"/>
      <c r="S11443" s="51"/>
      <c r="T11443" s="41"/>
      <c r="AG11443" s="521" t="s">
        <v>268</v>
      </c>
      <c r="AH11443" s="521" t="s">
        <v>269</v>
      </c>
      <c r="AI11443" s="521" t="s">
        <v>270</v>
      </c>
      <c r="AJ11443" s="521" t="s">
        <v>271</v>
      </c>
      <c r="AK11443" s="521" t="s">
        <v>272</v>
      </c>
      <c r="AM11443" s="745" t="s">
        <v>281</v>
      </c>
      <c r="AN11443" s="746" t="s">
        <v>282</v>
      </c>
      <c r="AO11443" s="522" t="s">
        <v>278</v>
      </c>
      <c r="AR11443" s="51"/>
      <c r="AS11443" s="42" t="s">
        <v>139</v>
      </c>
    </row>
    <row r="11444" spans="1:45" s="520" customFormat="1" ht="12" customHeight="1">
      <c r="A11444" s="747">
        <v>1</v>
      </c>
      <c r="B11444" s="523" t="s">
        <v>383</v>
      </c>
      <c r="C11444" s="748"/>
      <c r="D11444" s="749" t="s">
        <v>2593</v>
      </c>
      <c r="E11444" s="750">
        <f>IF(AND($A11444=0,$A$1="DIF"),0, ROUND(ROUND(($R11448*$S$2+($T11448*$T$2))/A11444,2)*$C$2,2))</f>
        <v>0</v>
      </c>
      <c r="F11444" s="751">
        <f>ROUND($A11444*$E11444,2)</f>
        <v>0</v>
      </c>
      <c r="G11444" s="752" t="s">
        <v>142</v>
      </c>
      <c r="H11444" s="753"/>
      <c r="I11444" s="754"/>
      <c r="J11444" s="753"/>
      <c r="K11444" s="753" t="s">
        <v>3</v>
      </c>
      <c r="L11444" s="755" t="s">
        <v>143</v>
      </c>
      <c r="M11444" s="755"/>
      <c r="N11444" s="755"/>
      <c r="O11444" s="755"/>
      <c r="P11444" s="755"/>
      <c r="Q11444" s="1058" t="s">
        <v>2895</v>
      </c>
      <c r="T11444" s="756" t="str">
        <f>IF(AND($R11448=0,$T11448=0),"0.00","mu :" &amp; ROUND($F11444/$C$2/($R11448+$T11448*$D$9),2))</f>
        <v>0.00</v>
      </c>
      <c r="W11444" s="524"/>
      <c r="AG11444" s="481">
        <f>IF($E11444=0,0,ROUND($R11448*$S$2*$C$2/$A11444,2))</f>
        <v>0</v>
      </c>
      <c r="AH11444" s="481">
        <f>$AG11444*$A11444</f>
        <v>0</v>
      </c>
      <c r="AI11444" s="525">
        <f>$E11444-$AG11444</f>
        <v>0</v>
      </c>
      <c r="AJ11444" s="525">
        <f>$A11444*$AI11444</f>
        <v>0</v>
      </c>
      <c r="AK11444" s="526">
        <f>ROUND(($AG11444+$AI11444)*$A11444,2)</f>
        <v>0</v>
      </c>
      <c r="AM11444" s="527">
        <f>ROUND(R11448,2)</f>
        <v>0</v>
      </c>
      <c r="AN11444" s="528">
        <f>ROUND(T11448,2)</f>
        <v>0</v>
      </c>
      <c r="AO11444" s="529">
        <f>ROUND(AM11444+AN11444,2)*A11444</f>
        <v>0</v>
      </c>
      <c r="AR11444" s="747">
        <v>1</v>
      </c>
      <c r="AS11444" s="751">
        <v>0</v>
      </c>
    </row>
    <row r="11445" spans="1:45" s="520" customFormat="1" ht="39.9" customHeight="1">
      <c r="A11445" s="748"/>
      <c r="B11445"/>
      <c r="C11445" s="748"/>
      <c r="D11445" s="1451" t="s">
        <v>382</v>
      </c>
      <c r="E11445" s="1452"/>
      <c r="F11445" s="1452"/>
      <c r="G11445" s="1452"/>
      <c r="H11445" s="1452"/>
      <c r="I11445" s="1452"/>
      <c r="J11445" s="1452"/>
      <c r="K11445" s="1452"/>
      <c r="L11445" s="1452"/>
      <c r="M11445" s="1452"/>
      <c r="N11445" s="1452"/>
      <c r="O11445" s="1452"/>
      <c r="P11445" s="1452"/>
      <c r="Q11445" s="1452"/>
      <c r="R11445" s="1452"/>
      <c r="S11445" s="1452"/>
      <c r="T11445" s="1452"/>
      <c r="AR11445" s="748"/>
    </row>
    <row r="11446" spans="1:45" s="520" customFormat="1" ht="13.2">
      <c r="A11446" s="748"/>
      <c r="B11446"/>
      <c r="C11446" s="748"/>
      <c r="D11446" s="1140"/>
      <c r="E11446" s="1141"/>
      <c r="F11446" s="1141"/>
      <c r="G11446" s="1141"/>
      <c r="H11446" s="1141"/>
      <c r="I11446" s="1141"/>
      <c r="J11446" s="1141"/>
      <c r="K11446" s="1141"/>
      <c r="L11446" s="1141"/>
      <c r="M11446" s="1141"/>
      <c r="N11446" s="1141"/>
      <c r="O11446" s="1141"/>
      <c r="P11446" s="1141"/>
      <c r="Q11446" s="1141"/>
      <c r="R11446" s="759">
        <f>$A11446*Q11446</f>
        <v>0</v>
      </c>
      <c r="S11446" s="519"/>
      <c r="T11446" s="760">
        <f>$A11446*S11446*$T$1</f>
        <v>0</v>
      </c>
      <c r="AR11446" s="748"/>
      <c r="AS11446" s="1141"/>
    </row>
    <row r="11447" spans="1:45" s="520" customFormat="1" ht="12">
      <c r="A11447" s="758"/>
      <c r="B11447" s="758"/>
      <c r="C11447" s="758"/>
      <c r="D11447" s="758"/>
      <c r="E11447" s="758"/>
      <c r="F11447" s="753"/>
      <c r="G11447" s="758"/>
      <c r="H11447" s="758"/>
      <c r="I11447" s="519"/>
      <c r="J11447" s="758"/>
      <c r="K11447" s="758"/>
      <c r="L11447" s="758"/>
      <c r="M11447" s="758"/>
      <c r="N11447" s="758"/>
      <c r="O11447" s="758"/>
      <c r="P11447" s="758"/>
      <c r="Q11447" s="519"/>
      <c r="R11447" s="759">
        <f>$A11447*Q11447</f>
        <v>0</v>
      </c>
      <c r="S11447" s="519"/>
      <c r="T11447" s="760">
        <f>$A11447*S11447*$T$1</f>
        <v>0</v>
      </c>
      <c r="AR11447" s="758"/>
      <c r="AS11447" s="753"/>
    </row>
    <row r="11448" spans="1:45" s="520" customFormat="1" ht="12.6" thickBot="1">
      <c r="A11448" s="761" t="s">
        <v>145</v>
      </c>
      <c r="B11448" s="762">
        <f>(R11447+T11447)</f>
        <v>0</v>
      </c>
      <c r="C11448" s="763"/>
      <c r="D11448" s="763"/>
      <c r="E11448" s="763"/>
      <c r="F11448" s="764"/>
      <c r="G11448" s="763" t="s">
        <v>146</v>
      </c>
      <c r="H11448" s="763"/>
      <c r="I11448" s="765"/>
      <c r="J11448" s="763"/>
      <c r="K11448" s="763" t="s">
        <v>3</v>
      </c>
      <c r="L11448" s="766" t="s">
        <v>143</v>
      </c>
      <c r="M11448" s="766"/>
      <c r="N11448" s="766"/>
      <c r="O11448" s="766"/>
      <c r="P11448" s="766"/>
      <c r="Q11448" s="767"/>
      <c r="R11448" s="768">
        <f>SUM(R11445:R11447)</f>
        <v>0</v>
      </c>
      <c r="S11448" s="763"/>
      <c r="T11448" s="768">
        <f>SUM(T11445:T11447)</f>
        <v>0</v>
      </c>
      <c r="U11448" s="531"/>
      <c r="V11448" s="531"/>
      <c r="W11448" s="531"/>
      <c r="X11448" s="531"/>
      <c r="Y11448" s="531"/>
      <c r="Z11448" s="531"/>
      <c r="AA11448" s="531"/>
      <c r="AB11448" s="531"/>
      <c r="AC11448" s="531"/>
      <c r="AD11448" s="531"/>
      <c r="AE11448" s="531"/>
      <c r="AF11448" s="531"/>
      <c r="AG11448" s="531"/>
      <c r="AH11448" s="531"/>
      <c r="AI11448" s="531"/>
      <c r="AJ11448" s="531"/>
      <c r="AK11448" s="531"/>
      <c r="AL11448" s="531"/>
      <c r="AM11448" s="531"/>
      <c r="AN11448" s="531"/>
      <c r="AO11448" s="531"/>
      <c r="AR11448" s="761" t="s">
        <v>145</v>
      </c>
      <c r="AS11448" s="764"/>
    </row>
    <row r="11449" spans="1:45" s="520" customFormat="1" ht="12" thickTop="1">
      <c r="A11449" s="48" t="s">
        <v>148</v>
      </c>
      <c r="D11449" s="13"/>
      <c r="E11449" s="42"/>
      <c r="O11449" s="771"/>
      <c r="AR11449" s="48" t="s">
        <v>148</v>
      </c>
    </row>
    <row r="11450" spans="1:45" s="520" customFormat="1" ht="13.2">
      <c r="B11450" s="3"/>
      <c r="O11450" s="771"/>
    </row>
    <row r="11451" spans="1:45" s="520" customFormat="1" ht="12">
      <c r="B11451" s="772">
        <f>$F11451/$C$2-($R11451*$S$2+$T11451*$T$2)</f>
        <v>1.7959839999548421E-3</v>
      </c>
      <c r="D11451" s="773" t="s">
        <v>1065</v>
      </c>
      <c r="E11451" s="774"/>
      <c r="F11451" s="775">
        <f>SUMIF($L11407:$L11449,"ITEM",F11407:F11449)</f>
        <v>953.5</v>
      </c>
      <c r="G11451" s="758"/>
      <c r="H11451" s="758"/>
      <c r="I11451" s="519"/>
      <c r="J11451" s="758"/>
      <c r="K11451" s="758"/>
      <c r="L11451" s="755" t="s">
        <v>157</v>
      </c>
      <c r="M11451" s="755"/>
      <c r="N11451" s="755"/>
      <c r="O11451" s="755"/>
      <c r="P11451" s="755"/>
      <c r="R11451" s="775">
        <f>SUMIF($L11407:$L11449,"ITEM",R11407:R11449)</f>
        <v>374.81266666666664</v>
      </c>
      <c r="S11451" s="776"/>
      <c r="T11451" s="775">
        <f>SUMIF($L11407:$L11449,"ITEM",T11407:T11449)</f>
        <v>14.55</v>
      </c>
      <c r="AS11451" s="775">
        <v>1008.16</v>
      </c>
    </row>
    <row r="11452" spans="1:45" s="520" customFormat="1" ht="13.2">
      <c r="A11452" s="51"/>
      <c r="B11452" s="49" t="s">
        <v>1064</v>
      </c>
      <c r="C11452" s="51"/>
      <c r="D11452" s="3"/>
      <c r="F11452" s="777" t="s">
        <v>158</v>
      </c>
      <c r="G11452" s="758"/>
      <c r="H11452" s="758"/>
      <c r="I11452" s="519"/>
      <c r="J11452" s="758"/>
      <c r="K11452" s="758"/>
      <c r="L11452" s="758"/>
      <c r="M11452" s="758"/>
      <c r="N11452" s="758"/>
      <c r="O11452" s="758"/>
      <c r="P11452" s="758"/>
      <c r="Q11452" s="778"/>
      <c r="R11452" s="777" t="s">
        <v>159</v>
      </c>
      <c r="S11452" s="38"/>
      <c r="T11452" s="777" t="s">
        <v>160</v>
      </c>
      <c r="AR11452" s="51"/>
      <c r="AS11452" s="777" t="s">
        <v>158</v>
      </c>
    </row>
    <row r="11453" spans="1:45" s="520" customFormat="1" ht="13.2">
      <c r="A11453" s="758"/>
      <c r="B11453" s="3"/>
      <c r="C11453" s="758"/>
      <c r="D11453" s="3"/>
      <c r="E11453" s="3"/>
      <c r="G11453" s="3"/>
      <c r="H11453" s="3"/>
      <c r="I11453" s="3"/>
      <c r="J11453" s="3"/>
      <c r="K11453" s="3"/>
      <c r="L11453" s="3"/>
      <c r="M11453" s="3"/>
      <c r="N11453" s="3"/>
      <c r="O11453" s="107"/>
      <c r="P11453" s="3"/>
      <c r="Q11453" s="3"/>
      <c r="R11453" s="3"/>
      <c r="S11453" s="3"/>
      <c r="T11453" s="3"/>
      <c r="AR11453" s="758"/>
    </row>
    <row r="11454" spans="1:45" s="520" customFormat="1" ht="12" thickBot="1">
      <c r="A11454" s="531"/>
      <c r="B11454" s="763"/>
      <c r="C11454" s="763"/>
      <c r="D11454" s="531"/>
      <c r="E11454" s="39"/>
      <c r="F11454" s="779"/>
      <c r="G11454" s="763"/>
      <c r="H11454" s="763"/>
      <c r="I11454" s="765"/>
      <c r="J11454" s="763"/>
      <c r="K11454" s="763"/>
      <c r="L11454" s="766"/>
      <c r="M11454" s="766"/>
      <c r="N11454" s="766"/>
      <c r="O11454" s="766"/>
      <c r="P11454" s="766"/>
      <c r="Q11454" s="767"/>
      <c r="R11454" s="779"/>
      <c r="S11454" s="780"/>
      <c r="T11454" s="779"/>
      <c r="U11454" s="531"/>
      <c r="V11454" s="531"/>
      <c r="W11454" s="531"/>
      <c r="X11454" s="531"/>
      <c r="Y11454" s="531"/>
      <c r="Z11454" s="531"/>
      <c r="AA11454" s="531"/>
      <c r="AB11454" s="531"/>
      <c r="AC11454" s="531"/>
      <c r="AD11454" s="531"/>
      <c r="AE11454" s="531"/>
      <c r="AF11454" s="531"/>
      <c r="AG11454" s="531"/>
      <c r="AH11454" s="531"/>
      <c r="AI11454" s="531"/>
      <c r="AJ11454" s="531"/>
      <c r="AK11454" s="531"/>
      <c r="AR11454" s="531"/>
      <c r="AS11454" s="779"/>
    </row>
    <row r="11455" spans="1:45" s="520" customFormat="1" thickTop="1">
      <c r="A11455" s="48" t="s">
        <v>148</v>
      </c>
      <c r="B11455" s="3"/>
      <c r="C11455" s="51"/>
      <c r="D11455" s="51"/>
      <c r="E11455" s="51"/>
      <c r="F11455" s="51"/>
      <c r="G11455" s="51"/>
      <c r="H11455" s="51"/>
      <c r="I11455" s="51"/>
      <c r="J11455" s="51"/>
      <c r="K11455" s="51"/>
      <c r="L11455" s="51"/>
      <c r="M11455" s="51"/>
      <c r="N11455" s="51"/>
      <c r="O11455" s="52"/>
      <c r="P11455" s="51"/>
      <c r="Q11455" s="51"/>
      <c r="R11455" s="51"/>
      <c r="S11455" s="51"/>
      <c r="T11455" s="51"/>
      <c r="AR11455" s="48" t="s">
        <v>148</v>
      </c>
      <c r="AS11455" s="51"/>
    </row>
    <row r="11456" spans="1:45" s="520" customFormat="1" ht="13.2">
      <c r="A11456" s="51"/>
      <c r="B11456" s="3"/>
      <c r="C11456" s="3"/>
      <c r="E11456" s="3"/>
      <c r="F11456" s="3"/>
      <c r="G11456" s="3"/>
      <c r="H11456" s="3"/>
      <c r="I11456" s="3"/>
      <c r="J11456" s="3"/>
      <c r="K11456" s="3"/>
      <c r="L11456" s="3"/>
      <c r="M11456" s="3"/>
      <c r="N11456" s="3"/>
      <c r="O11456" s="107"/>
      <c r="P11456" s="3"/>
      <c r="Q11456" s="3"/>
      <c r="R11456" s="3"/>
      <c r="S11456" s="3"/>
      <c r="T11456" s="3"/>
      <c r="AR11456" s="51"/>
      <c r="AS11456" s="3"/>
    </row>
    <row r="11457" spans="1:45" s="520" customFormat="1" ht="12">
      <c r="A11457" s="51"/>
      <c r="B11457" s="772">
        <f>$F11457/$C$2-($R11457*$S$2+$T11457*$T$2)</f>
        <v>1.7959839999548421E-3</v>
      </c>
      <c r="C11457" s="51"/>
      <c r="D11457" s="121" t="s">
        <v>1041</v>
      </c>
      <c r="E11457" s="774"/>
      <c r="F11457" s="782">
        <f>SUMIF($L11413:$L11455,"PAGE",F11413:F11455)</f>
        <v>953.5</v>
      </c>
      <c r="G11457" s="758"/>
      <c r="H11457" s="758"/>
      <c r="I11457" s="519"/>
      <c r="J11457" s="758"/>
      <c r="K11457" s="758"/>
      <c r="L11457" s="121" t="s">
        <v>1075</v>
      </c>
      <c r="M11457" s="121"/>
      <c r="N11457" s="121"/>
      <c r="O11457" s="122"/>
      <c r="P11457" s="121"/>
      <c r="Q11457" s="51"/>
      <c r="R11457" s="782">
        <f>SUMIF($L11413:$L11455,"PAGE",R11413:R11455)</f>
        <v>374.81266666666664</v>
      </c>
      <c r="S11457" s="51"/>
      <c r="T11457" s="782">
        <f>SUMIF($L11413:$L11455,"PAGE",T11413:T11455)</f>
        <v>14.55</v>
      </c>
      <c r="AR11457" s="51"/>
      <c r="AS11457" s="782">
        <v>1008.16</v>
      </c>
    </row>
    <row r="11458" spans="1:45" s="520" customFormat="1" ht="12">
      <c r="A11458" s="51"/>
      <c r="B11458" s="49" t="s">
        <v>1064</v>
      </c>
      <c r="C11458" s="51"/>
      <c r="D11458" s="781"/>
      <c r="F11458" s="783" t="s">
        <v>1076</v>
      </c>
      <c r="G11458" s="758"/>
      <c r="H11458" s="758"/>
      <c r="I11458" s="519"/>
      <c r="J11458" s="758"/>
      <c r="K11458" s="758"/>
      <c r="L11458" s="51"/>
      <c r="M11458" s="51"/>
      <c r="N11458" s="51"/>
      <c r="O11458" s="52"/>
      <c r="P11458" s="51"/>
      <c r="Q11458" s="51"/>
      <c r="R11458" s="783" t="s">
        <v>1077</v>
      </c>
      <c r="S11458" s="38"/>
      <c r="T11458" s="783" t="s">
        <v>1078</v>
      </c>
      <c r="AR11458" s="51"/>
      <c r="AS11458" s="783" t="s">
        <v>1076</v>
      </c>
    </row>
    <row r="11459" spans="1:45" s="520" customFormat="1" ht="11.4">
      <c r="O11459" s="771"/>
    </row>
    <row r="11460" spans="1:45" s="520" customFormat="1" ht="12" thickBot="1">
      <c r="A11460" s="763"/>
      <c r="B11460" s="763"/>
      <c r="C11460" s="763"/>
      <c r="D11460" s="763"/>
      <c r="E11460" s="763"/>
      <c r="F11460" s="39"/>
      <c r="G11460" s="531"/>
      <c r="H11460" s="531"/>
      <c r="I11460" s="531"/>
      <c r="J11460" s="531"/>
      <c r="K11460" s="531"/>
      <c r="L11460" s="763"/>
      <c r="M11460" s="763"/>
      <c r="N11460" s="763"/>
      <c r="O11460" s="763"/>
      <c r="P11460" s="763"/>
      <c r="Q11460" s="767"/>
      <c r="R11460" s="39"/>
      <c r="S11460" s="39"/>
      <c r="T11460" s="39"/>
      <c r="U11460" s="531"/>
      <c r="V11460" s="531"/>
      <c r="W11460" s="531"/>
      <c r="X11460" s="531"/>
      <c r="Y11460" s="531"/>
      <c r="Z11460" s="531"/>
      <c r="AA11460" s="531"/>
      <c r="AB11460" s="531"/>
      <c r="AC11460" s="531"/>
      <c r="AD11460" s="531"/>
      <c r="AE11460" s="531"/>
      <c r="AF11460" s="531"/>
      <c r="AG11460" s="531"/>
      <c r="AH11460" s="531"/>
      <c r="AI11460" s="531"/>
      <c r="AJ11460" s="531"/>
      <c r="AK11460" s="531"/>
      <c r="AR11460" s="763"/>
      <c r="AS11460" s="39"/>
    </row>
    <row r="11461" spans="1:45" s="520" customFormat="1" ht="14.4" thickTop="1" thickBot="1">
      <c r="A11461" s="48"/>
      <c r="B11461" s="3"/>
      <c r="C11461" s="51"/>
      <c r="D11461" s="3"/>
      <c r="E11461" s="3"/>
      <c r="F11461" s="3"/>
      <c r="G11461" s="3"/>
      <c r="H11461" s="3"/>
      <c r="I11461" s="3"/>
      <c r="J11461" s="3"/>
      <c r="K11461" s="3"/>
      <c r="L11461" s="3"/>
      <c r="M11461" s="3"/>
      <c r="N11461" s="3"/>
      <c r="O11461" s="107"/>
      <c r="P11461" s="3"/>
      <c r="Q11461" s="3"/>
      <c r="R11461" s="3"/>
      <c r="S11461" s="3"/>
      <c r="T11461" s="3"/>
      <c r="AH11461" s="948">
        <f ca="1">SUM(AH$15:AH11460)</f>
        <v>1304196.4500000044</v>
      </c>
      <c r="AI11461" s="36"/>
      <c r="AJ11461" s="948">
        <f ca="1">SUM(AJ$15:AJ11460)</f>
        <v>277420.45999999926</v>
      </c>
      <c r="AK11461" s="948">
        <f ca="1">SUM(AK$15:AK11460)</f>
        <v>1581616.9100000008</v>
      </c>
      <c r="AR11461" s="48"/>
      <c r="AS11461" s="3"/>
    </row>
    <row r="11462" spans="1:45" s="520" customFormat="1" ht="12" thickTop="1">
      <c r="B11462" s="949">
        <f ca="1">$F11462/$C$2-($R11462*$S$2+$T11462*$T$2)</f>
        <v>-2.791079840157181</v>
      </c>
      <c r="C11462" s="520" t="s">
        <v>73</v>
      </c>
      <c r="D11462" s="950"/>
      <c r="E11462" s="950" t="str">
        <f>$F$2 &amp; " (mu_A) :"</f>
        <v>Electrical (mu_A) :</v>
      </c>
      <c r="F11462" s="951">
        <f ca="1">SUMIF($K$13:$K11461,"mu_A",F$13:F11461)</f>
        <v>657206.7700000006</v>
      </c>
      <c r="O11462" s="771"/>
      <c r="R11462" s="952">
        <f ca="1">SUMIF($K$13:$K11461,"mu_A",$R$13:$R11461)</f>
        <v>349590.82009985991</v>
      </c>
      <c r="T11462" s="952">
        <f ca="1">SUMIF($K$13:$K11461,"mu_A",$T$13:$T11461)</f>
        <v>6705.8519565217384</v>
      </c>
      <c r="AH11462" s="953">
        <f ca="1">R11462*$S$2</f>
        <v>430466.55878504191</v>
      </c>
      <c r="AJ11462" s="953">
        <f ca="1">T11462*$T$2</f>
        <v>226743.00229479882</v>
      </c>
      <c r="AS11462" s="951">
        <v>1305049.7599999998</v>
      </c>
    </row>
    <row r="11463" spans="1:45" s="520" customFormat="1" ht="11.4">
      <c r="B11463" s="949">
        <f ca="1">$F11463/$C$3-($R11463*$S$3+$T11463*$T$3)</f>
        <v>-0.31921065470669419</v>
      </c>
      <c r="C11463" s="520" t="s">
        <v>73</v>
      </c>
      <c r="D11463" s="950"/>
      <c r="E11463" s="950" t="str">
        <f>$F$3&amp; " (mu_B) :"</f>
        <v>ELV Installation (NAS Ltd) (mu_B) :</v>
      </c>
      <c r="F11463" s="954">
        <f ca="1">SUMIF($K$13:$K11461,"mu_B",F$13:F11461)</f>
        <v>149142.72999999989</v>
      </c>
      <c r="G11463" s="758"/>
      <c r="H11463" s="758"/>
      <c r="I11463" s="519"/>
      <c r="J11463" s="758"/>
      <c r="K11463" s="758"/>
      <c r="L11463" s="758"/>
      <c r="M11463" s="758"/>
      <c r="N11463" s="758"/>
      <c r="O11463" s="758"/>
      <c r="P11463" s="758"/>
      <c r="Q11463" s="778"/>
      <c r="R11463" s="955">
        <f>SUMIF($K$13:$K11461,"mu_B",$R$13:$R11461)</f>
        <v>131910.84320000018</v>
      </c>
      <c r="S11463" s="813"/>
      <c r="T11463" s="955">
        <f>SUMIF($K$13:$K11461,"mu_B",$T$13:$T11461)</f>
        <v>8.1</v>
      </c>
      <c r="AH11463" s="956">
        <f>R11463*$S$3</f>
        <v>148891.98986682261</v>
      </c>
      <c r="AJ11463" s="956">
        <f>T11463*$T$3</f>
        <v>251.05934383200002</v>
      </c>
      <c r="AS11463" s="954">
        <v>170703.51000000033</v>
      </c>
    </row>
    <row r="11464" spans="1:45" s="520" customFormat="1" ht="11.4">
      <c r="B11464" s="949">
        <f ca="1">$F11464/$C$4-($R11464*$S$4+$T11464*$T$4)</f>
        <v>1.7301422400123556</v>
      </c>
      <c r="C11464" s="520" t="s">
        <v>73</v>
      </c>
      <c r="D11464" s="950"/>
      <c r="E11464" s="950" t="str">
        <f>$F$4&amp; " (mu_C) :"</f>
        <v>Lightning Protection System (MCE Ltd) (mu_C) :</v>
      </c>
      <c r="F11464" s="957">
        <f ca="1">SUMIF($K$13:$K11461,"mu_C",F$13:F11461)</f>
        <v>52217.640000000014</v>
      </c>
      <c r="G11464" s="758"/>
      <c r="H11464" s="758"/>
      <c r="I11464" s="519"/>
      <c r="J11464" s="758"/>
      <c r="K11464" s="758"/>
      <c r="L11464" s="855"/>
      <c r="M11464" s="855"/>
      <c r="N11464" s="855"/>
      <c r="O11464" s="855"/>
      <c r="P11464" s="855"/>
      <c r="R11464" s="955">
        <f>SUMIF($K$13:$K11461,"mu_C",$R$13:$R11461)</f>
        <v>46260.68</v>
      </c>
      <c r="S11464" s="776"/>
      <c r="T11464" s="955">
        <f>SUMIF($K$13:$K11461,"mu_C",$T$13:$T11461)</f>
        <v>0</v>
      </c>
      <c r="AH11464" s="958">
        <f>R11464*$S$4</f>
        <v>52215.909857760002</v>
      </c>
      <c r="AJ11464" s="958">
        <f>T11464*$T$4</f>
        <v>0</v>
      </c>
      <c r="AS11464" s="957">
        <v>37338.250000000007</v>
      </c>
    </row>
    <row r="11465" spans="1:45" s="520" customFormat="1" ht="11.4">
      <c r="B11465" s="949">
        <f ca="1">$F11465/$C$5-($R11465*$S$5+$T11465*$T$5)</f>
        <v>-6.8000319993188896E-3</v>
      </c>
      <c r="C11465" s="520" t="s">
        <v>73</v>
      </c>
      <c r="D11465" s="950"/>
      <c r="E11465" s="950" t="str">
        <f>$F$5&amp; " (mu_D) :"</f>
        <v>Controls ECA (mu_D) :</v>
      </c>
      <c r="F11465" s="959">
        <f ca="1">SUMIF($K$13:$K11461,"mu_D",F$13:F11461)</f>
        <v>3350.3300000000004</v>
      </c>
      <c r="G11465" s="758"/>
      <c r="H11465" s="758"/>
      <c r="I11465" s="519"/>
      <c r="J11465" s="758"/>
      <c r="K11465" s="758"/>
      <c r="L11465" s="855"/>
      <c r="M11465" s="855"/>
      <c r="N11465" s="855"/>
      <c r="O11465" s="855"/>
      <c r="P11465" s="855"/>
      <c r="R11465" s="955">
        <f>SUMIF($K$13:$K11461,"mu_D",$R$13:$R11461)</f>
        <v>2486.9499999999998</v>
      </c>
      <c r="S11465" s="776"/>
      <c r="T11465" s="955">
        <f>SUMIF($K$13:$K11461,"mu_D",$T$13:$T11461)</f>
        <v>5.4</v>
      </c>
      <c r="AH11465" s="960">
        <f>R11465*$S$5</f>
        <v>3062.2909607999995</v>
      </c>
      <c r="AJ11465" s="960">
        <f>T11465*$T$5</f>
        <v>288.04583923199999</v>
      </c>
      <c r="AS11465" s="959">
        <v>3382.34</v>
      </c>
    </row>
    <row r="11466" spans="1:45" s="520" customFormat="1" ht="11.4">
      <c r="B11466" s="949">
        <f>$F11466/$C$6-($R11466*$S$6+$T11466*$T$6)</f>
        <v>-4.2568320004647831E-3</v>
      </c>
      <c r="C11466" s="520" t="s">
        <v>73</v>
      </c>
      <c r="D11466" s="950"/>
      <c r="E11466" s="950" t="str">
        <f>$F$6&amp; " (mu_E) :"</f>
        <v>Testing and Commissiong  (mu_E) :</v>
      </c>
      <c r="F11466" s="961">
        <f>SUMIF($K$13:$K11461,"mu_E",F$13:F11461)</f>
        <v>8855.61</v>
      </c>
      <c r="G11466" s="758"/>
      <c r="H11466" s="758"/>
      <c r="I11466" s="519"/>
      <c r="J11466" s="758"/>
      <c r="K11466" s="758"/>
      <c r="L11466" s="855"/>
      <c r="M11466" s="855"/>
      <c r="N11466" s="855"/>
      <c r="O11466" s="855"/>
      <c r="P11466" s="855"/>
      <c r="R11466" s="955">
        <f>SUMIF($K$13:$K11461,"mu_E",$R$13:$R11461)</f>
        <v>0</v>
      </c>
      <c r="S11466" s="776"/>
      <c r="T11466" s="955">
        <f>SUMIF($K$13:$K11461,"mu_E",$T$13:$T11461)</f>
        <v>135.9</v>
      </c>
      <c r="AH11466" s="962">
        <f>R11466*$S$6</f>
        <v>0</v>
      </c>
      <c r="AJ11466" s="962">
        <f>T11466*$T$6</f>
        <v>8855.614256832001</v>
      </c>
      <c r="AS11466" s="961">
        <v>9839.57</v>
      </c>
    </row>
    <row r="11467" spans="1:45" s="520" customFormat="1" ht="11.4">
      <c r="B11467" s="949">
        <f>$F11467/$C$7-($R11467*$S$7+$T11467*$T$7)</f>
        <v>0</v>
      </c>
      <c r="C11467" s="520" t="s">
        <v>73</v>
      </c>
      <c r="D11467" s="950"/>
      <c r="E11467" s="950" t="str">
        <f>$F$7&amp; " (mu_F) :"</f>
        <v>Fire Stopping rates (mu_F) :</v>
      </c>
      <c r="F11467" s="963">
        <f>SUMIF($K$13:$K11461,"mu_F",F$13:F11461)</f>
        <v>0</v>
      </c>
      <c r="G11467" s="758"/>
      <c r="H11467" s="758"/>
      <c r="I11467" s="519"/>
      <c r="J11467" s="758"/>
      <c r="K11467" s="758"/>
      <c r="L11467" s="855"/>
      <c r="M11467" s="855"/>
      <c r="N11467" s="855"/>
      <c r="O11467" s="855"/>
      <c r="P11467" s="855"/>
      <c r="R11467" s="955">
        <f>SUMIF($K$13:$K11461,"mu_F",$R$13:$R11461)</f>
        <v>0</v>
      </c>
      <c r="S11467" s="776"/>
      <c r="T11467" s="955">
        <f>SUMIF($K$13:$K11461,"mu_F",$T$13:$T11461)</f>
        <v>0</v>
      </c>
      <c r="AH11467" s="964">
        <f>R11467*$S$7</f>
        <v>0</v>
      </c>
      <c r="AJ11467" s="964">
        <f>T11467*$T$7</f>
        <v>0</v>
      </c>
      <c r="AS11467" s="963">
        <v>0</v>
      </c>
    </row>
    <row r="11468" spans="1:45" s="520" customFormat="1" ht="11.4">
      <c r="B11468" s="949">
        <f>$F11468/$C$8-($R11468*$S$8+$T11468*$T$8)</f>
        <v>3.7939125904813409E-3</v>
      </c>
      <c r="C11468" s="520" t="s">
        <v>73</v>
      </c>
      <c r="D11468" s="950"/>
      <c r="E11468" s="950" t="str">
        <f>$F$8&amp; " (mu_G) :"</f>
        <v>Main Equipment (Gen Set / Main Switchboards) (mu_G) :</v>
      </c>
      <c r="F11468" s="965">
        <f>SUMIF($K$13:$K11461,"mu_G",F$13:F11461)</f>
        <v>285994.60000000003</v>
      </c>
      <c r="G11468" s="758"/>
      <c r="H11468" s="758"/>
      <c r="I11468" s="519"/>
      <c r="J11468" s="758"/>
      <c r="K11468" s="758"/>
      <c r="L11468" s="855"/>
      <c r="M11468" s="855"/>
      <c r="N11468" s="855"/>
      <c r="O11468" s="855"/>
      <c r="P11468" s="855"/>
      <c r="R11468" s="955">
        <f>SUMIF($K$13:$K11461,"mu_G",$R$13:$R11461)</f>
        <v>236420.24</v>
      </c>
      <c r="S11468" s="776"/>
      <c r="T11468" s="955">
        <f>SUMIF($K$13:$K11461,"mu_G",$T$13:$T11461)</f>
        <v>216.32400000000001</v>
      </c>
      <c r="AH11468" s="966">
        <f>R11468*$S$8</f>
        <v>278984.86716911994</v>
      </c>
      <c r="AJ11468" s="966">
        <f>T11468*$T$8</f>
        <v>7009.7290369675202</v>
      </c>
      <c r="AS11468" s="965">
        <v>389382.16000000003</v>
      </c>
    </row>
    <row r="11469" spans="1:45" s="520" customFormat="1" ht="11.4">
      <c r="B11469" s="949">
        <f>$F11469/$C$9-($R11469*$S$9+$T11469*$T$9)</f>
        <v>-1.9634287746157497E-2</v>
      </c>
      <c r="C11469" s="520" t="s">
        <v>73</v>
      </c>
      <c r="D11469" s="950"/>
      <c r="E11469" s="950" t="str">
        <f>$F$9&amp; " (mu_H) :"</f>
        <v>DBs and Changeover (mu_H) :</v>
      </c>
      <c r="F11469" s="967">
        <f>SUMIF($K$13:$K11461,"mu_H",F$13:F11461)</f>
        <v>71242.37999999999</v>
      </c>
      <c r="G11469" s="758"/>
      <c r="H11469" s="758"/>
      <c r="I11469" s="519"/>
      <c r="J11469" s="758"/>
      <c r="K11469" s="758"/>
      <c r="L11469" s="855"/>
      <c r="M11469" s="855"/>
      <c r="N11469" s="855"/>
      <c r="O11469" s="855"/>
      <c r="P11469" s="855"/>
      <c r="R11469" s="955">
        <f>SUMIF($K$13:$K11461,"mu_H",$R$13:$R11461)</f>
        <v>50142.734000000004</v>
      </c>
      <c r="S11469" s="776"/>
      <c r="T11469" s="955">
        <f>SUMIF($K$13:$K11461,"mu_H",$T$13:$T11461)</f>
        <v>372.55049999999994</v>
      </c>
      <c r="AH11469" s="968">
        <f>R11469*$S$9</f>
        <v>59170.331543892004</v>
      </c>
      <c r="AJ11469" s="968">
        <f>T11469*$T$9</f>
        <v>12072.068090395738</v>
      </c>
      <c r="AS11469" s="967">
        <v>0</v>
      </c>
    </row>
    <row r="11470" spans="1:45" s="520" customFormat="1" ht="11.4">
      <c r="B11470" s="949">
        <f ca="1">$F11470/$C$10-($R11470*$S$10+$T11470*$T$10)</f>
        <v>1.183645577984862</v>
      </c>
      <c r="C11470" s="520" t="s">
        <v>73</v>
      </c>
      <c r="D11470" s="950"/>
      <c r="E11470" s="950" t="str">
        <f>$F$10&amp; " (mu_I) :"</f>
        <v>Armoured Cables (mu_I) :</v>
      </c>
      <c r="F11470" s="969">
        <f ca="1">SUMIF($K$13:$K11461,"mu_I",F$13:F11461)</f>
        <v>353606.85</v>
      </c>
      <c r="G11470" s="758"/>
      <c r="H11470" s="758"/>
      <c r="I11470" s="519"/>
      <c r="J11470" s="758"/>
      <c r="K11470" s="758"/>
      <c r="L11470" s="855"/>
      <c r="M11470" s="855"/>
      <c r="N11470" s="855"/>
      <c r="O11470" s="855"/>
      <c r="P11470" s="855"/>
      <c r="R11470" s="955">
        <f ca="1">SUMIF($K$13:$K11461,"mu_I",$R$13:$R11461)</f>
        <v>280841.95</v>
      </c>
      <c r="S11470" s="776"/>
      <c r="T11470" s="955">
        <f ca="1">SUMIF($K$13:$K11461,"mu_I",$T$13:$T11461)</f>
        <v>685.1500000000002</v>
      </c>
      <c r="AH11470" s="970">
        <f ca="1">R11470*$S$10</f>
        <v>331404.17299409996</v>
      </c>
      <c r="AJ11470" s="970">
        <f ca="1">T11470*$T$10</f>
        <v>22201.493360322005</v>
      </c>
      <c r="AS11470" s="969">
        <v>0</v>
      </c>
    </row>
    <row r="11471" spans="1:45" s="520" customFormat="1" ht="11.4">
      <c r="B11471" s="949">
        <f>$F11471/$C$11-($R11471*$S$11+$T11471*$T$11)</f>
        <v>0</v>
      </c>
      <c r="D11471" s="950"/>
      <c r="E11471" s="950" t="str">
        <f>$F$10&amp; " (mu_J) :"</f>
        <v>Armoured Cables (mu_J) :</v>
      </c>
      <c r="F11471" s="971">
        <f>SUMIF($K$13:$K11461,"mu_J",F$13:F11461)</f>
        <v>0</v>
      </c>
      <c r="G11471" s="758"/>
      <c r="H11471" s="758"/>
      <c r="I11471" s="519"/>
      <c r="J11471" s="758"/>
      <c r="K11471" s="758"/>
      <c r="L11471" s="855"/>
      <c r="M11471" s="855"/>
      <c r="N11471" s="855"/>
      <c r="O11471" s="855"/>
      <c r="P11471" s="855"/>
      <c r="R11471" s="955">
        <f>SUMIF($K$13:$K11461,"mu_J",$R$13:$R11461)</f>
        <v>0</v>
      </c>
      <c r="S11471" s="776"/>
      <c r="T11471" s="955">
        <f>SUMIF($K$13:$K11461,"mu_J",$T$13:$T11461)</f>
        <v>0</v>
      </c>
      <c r="AH11471" s="972">
        <f>R11471*$S$11</f>
        <v>0</v>
      </c>
      <c r="AJ11471" s="972">
        <f>T11471*$T$11</f>
        <v>0</v>
      </c>
      <c r="AS11471" s="971">
        <v>0</v>
      </c>
    </row>
    <row r="11472" spans="1:45" s="520" customFormat="1" ht="14.4" thickBot="1">
      <c r="A11472" s="973"/>
      <c r="B11472" s="973"/>
      <c r="C11472" s="974" t="s">
        <v>2719</v>
      </c>
      <c r="D11472" s="975"/>
      <c r="E11472" s="976" t="s">
        <v>2720</v>
      </c>
      <c r="F11472" s="977">
        <f ca="1">SUM(F11462:F11471)</f>
        <v>1581616.9100000001</v>
      </c>
      <c r="G11472" s="978"/>
      <c r="H11472" s="978"/>
      <c r="I11472" s="979"/>
      <c r="J11472" s="978"/>
      <c r="K11472" s="978"/>
      <c r="L11472" s="980"/>
      <c r="M11472" s="980"/>
      <c r="N11472" s="980"/>
      <c r="O11472" s="980"/>
      <c r="P11472" s="980"/>
      <c r="Q11472" s="981"/>
      <c r="R11472" s="981">
        <f ca="1">SUM(R11462:R11471)</f>
        <v>1097654.2172998602</v>
      </c>
      <c r="S11472" s="982"/>
      <c r="T11472" s="981">
        <f ca="1">SUM(T11462:T11471)</f>
        <v>8129.2764565217385</v>
      </c>
      <c r="U11472" s="531"/>
      <c r="V11472" s="531"/>
      <c r="W11472" s="531"/>
      <c r="X11472" s="531"/>
      <c r="Y11472" s="531"/>
      <c r="Z11472" s="531"/>
      <c r="AA11472" s="531"/>
      <c r="AB11472" s="531"/>
      <c r="AC11472" s="531"/>
      <c r="AD11472" s="531"/>
      <c r="AE11472" s="531"/>
      <c r="AF11472" s="531"/>
      <c r="AG11472" s="531"/>
      <c r="AH11472" s="948">
        <f ca="1">SUM(AH11462:AH11471)</f>
        <v>1304196.1211775364</v>
      </c>
      <c r="AI11472" s="983"/>
      <c r="AJ11472" s="948">
        <f ca="1">SUM(AJ11462:AJ11471)</f>
        <v>277421.01222238009</v>
      </c>
      <c r="AK11472" s="948">
        <f ca="1">AH11472+AJ11472</f>
        <v>1581617.1333999166</v>
      </c>
      <c r="AR11472" s="973"/>
      <c r="AS11472" s="977">
        <v>1915695.5900000003</v>
      </c>
    </row>
    <row r="11473" spans="1:45" s="520" customFormat="1" ht="14.4" thickTop="1">
      <c r="A11473" s="514"/>
      <c r="B11473" s="514"/>
      <c r="C11473" s="984"/>
      <c r="D11473" s="985"/>
      <c r="E11473" s="777"/>
      <c r="F11473" s="986"/>
      <c r="G11473" s="754"/>
      <c r="H11473" s="754"/>
      <c r="I11473" s="754"/>
      <c r="J11473" s="754"/>
      <c r="K11473" s="754"/>
      <c r="L11473" s="987"/>
      <c r="M11473" s="987"/>
      <c r="N11473" s="987"/>
      <c r="O11473" s="987"/>
      <c r="P11473" s="987"/>
      <c r="Q11473" s="986"/>
      <c r="R11473" s="986"/>
      <c r="S11473" s="988"/>
      <c r="T11473" s="986"/>
      <c r="AH11473" s="989">
        <f ca="1">AH11461-AH11472</f>
        <v>0.32882246794179082</v>
      </c>
      <c r="AI11473" s="36"/>
      <c r="AJ11473" s="989">
        <f ca="1">AJ11461-AJ11472</f>
        <v>-0.55222238082205877</v>
      </c>
      <c r="AK11473" s="989">
        <f ca="1">AK11461-AK11472</f>
        <v>-0.22339991573244333</v>
      </c>
      <c r="AR11473" s="514"/>
      <c r="AS11473" s="986"/>
    </row>
    <row r="11474" spans="1:45" s="520" customFormat="1" ht="12.6" thickBot="1">
      <c r="A11474" s="990"/>
      <c r="B11474" s="991" t="s">
        <v>2721</v>
      </c>
      <c r="C11474" s="51"/>
      <c r="D11474" s="53"/>
      <c r="E11474" s="38" t="s">
        <v>2722</v>
      </c>
      <c r="F11474" s="992"/>
      <c r="G11474" s="530"/>
      <c r="H11474" s="530"/>
      <c r="I11474" s="530"/>
      <c r="J11474" s="530"/>
      <c r="K11474" s="530"/>
      <c r="L11474" s="986" t="s">
        <v>2723</v>
      </c>
      <c r="M11474" s="986"/>
      <c r="N11474" s="986"/>
      <c r="O11474" s="986"/>
      <c r="P11474" s="986"/>
      <c r="Q11474" s="530"/>
      <c r="R11474" s="993">
        <f ca="1">SUMIF($L$15:$L11461,"",R$15:R11461)</f>
        <v>1097654.2172998569</v>
      </c>
      <c r="S11474" s="994"/>
      <c r="T11474" s="993">
        <f ca="1">SUMIF($L$15:$L11461,"",T$15:T11461)</f>
        <v>8129.2764565217267</v>
      </c>
      <c r="AR11474" s="990"/>
      <c r="AS11474" s="992"/>
    </row>
    <row r="11475" spans="1:45" s="520" customFormat="1" ht="12">
      <c r="A11475" s="990"/>
      <c r="B11475" s="991" t="s">
        <v>2724</v>
      </c>
      <c r="C11475" s="51"/>
      <c r="D11475" s="51"/>
      <c r="E11475" s="813"/>
      <c r="F11475" s="530"/>
      <c r="G11475" s="530"/>
      <c r="H11475" s="530"/>
      <c r="I11475" s="530"/>
      <c r="J11475" s="530"/>
      <c r="K11475" s="530"/>
      <c r="L11475" s="530"/>
      <c r="M11475" s="530"/>
      <c r="N11475" s="530"/>
      <c r="O11475" s="530"/>
      <c r="P11475" s="530"/>
      <c r="Q11475" s="530"/>
      <c r="R11475" s="530"/>
      <c r="S11475" s="530"/>
      <c r="T11475" s="530"/>
      <c r="AR11475" s="990"/>
      <c r="AS11475" s="530"/>
    </row>
    <row r="11476" spans="1:45" s="520" customFormat="1" ht="12.6" thickBot="1">
      <c r="A11476" s="995"/>
      <c r="B11476" s="996">
        <f ca="1">$F11476/$C$2-($R11476*$S$2+$T11476*$T$2)</f>
        <v>-44845.861314993352</v>
      </c>
      <c r="C11476" s="51"/>
      <c r="D11476" s="53"/>
      <c r="E11476" s="38" t="s">
        <v>2725</v>
      </c>
      <c r="F11476" s="997">
        <f ca="1">SUMIF($L$15:$L11461,"ITEM",F$15:F11461)</f>
        <v>1581616.9100000008</v>
      </c>
      <c r="G11476" s="530"/>
      <c r="H11476" s="530"/>
      <c r="I11476" s="530"/>
      <c r="J11476" s="530"/>
      <c r="K11476" s="530"/>
      <c r="L11476" s="986" t="s">
        <v>2726</v>
      </c>
      <c r="M11476" s="986"/>
      <c r="N11476" s="986"/>
      <c r="O11476" s="986"/>
      <c r="P11476" s="986"/>
      <c r="Q11476" s="994"/>
      <c r="R11476" s="998">
        <f ca="1">SUMIF($L$15:$L11461,"ITEM",R$15:R11461)</f>
        <v>1097654.2172998583</v>
      </c>
      <c r="S11476" s="999"/>
      <c r="T11476" s="998">
        <f ca="1">SUMIF($L$15:$L11461,"ITEM",T$15:T11461)</f>
        <v>8129.2764565217312</v>
      </c>
      <c r="AR11476" s="995"/>
      <c r="AS11476" s="997">
        <v>1915695.5899999987</v>
      </c>
    </row>
    <row r="11477" spans="1:45" s="520" customFormat="1" ht="11.4">
      <c r="A11477" s="995"/>
      <c r="B11477" s="1000"/>
      <c r="C11477" s="758"/>
      <c r="D11477" s="51"/>
      <c r="E11477" s="813"/>
      <c r="F11477" s="530"/>
      <c r="G11477" s="530"/>
      <c r="H11477" s="530"/>
      <c r="I11477" s="530"/>
      <c r="J11477" s="530"/>
      <c r="K11477" s="530"/>
      <c r="L11477" s="530"/>
      <c r="M11477" s="530"/>
      <c r="N11477" s="530"/>
      <c r="O11477" s="530"/>
      <c r="P11477" s="530"/>
      <c r="Q11477" s="530"/>
      <c r="R11477" s="530"/>
      <c r="S11477" s="530"/>
      <c r="T11477" s="530"/>
      <c r="AR11477" s="995"/>
      <c r="AS11477" s="530"/>
    </row>
    <row r="11478" spans="1:45" s="520" customFormat="1" thickBot="1">
      <c r="A11478" s="995"/>
      <c r="B11478" s="996">
        <f ca="1">$F11478/$C$2-($R11478*$S$2+$T11478*$T$2)</f>
        <v>-44845.86131499568</v>
      </c>
      <c r="C11478" s="51"/>
      <c r="D11478" s="1001"/>
      <c r="E11478" s="1002" t="s">
        <v>2727</v>
      </c>
      <c r="F11478" s="1003">
        <f ca="1">SUMIF($L$15:$L11461,"PAGE",F$15:F11461)</f>
        <v>1581616.9100000001</v>
      </c>
      <c r="G11478" s="519"/>
      <c r="H11478" s="519"/>
      <c r="I11478" s="519"/>
      <c r="J11478" s="519"/>
      <c r="K11478" s="530"/>
      <c r="L11478" s="987" t="s">
        <v>2728</v>
      </c>
      <c r="M11478" s="987"/>
      <c r="N11478" s="987"/>
      <c r="O11478" s="987"/>
      <c r="P11478" s="987"/>
      <c r="Q11478" s="994"/>
      <c r="R11478" s="1004">
        <f ca="1">SUMIF($L$15:$L11461,"PAGE",R$15:R11461)</f>
        <v>1097654.2172998595</v>
      </c>
      <c r="S11478" s="1005"/>
      <c r="T11478" s="1004">
        <f ca="1">SUMIF($L$15:$L11461,"PAGE",T$15:T11461)</f>
        <v>8129.2764565217394</v>
      </c>
      <c r="AR11478" s="995"/>
      <c r="AS11478" s="1003">
        <v>1915695.5900000005</v>
      </c>
    </row>
    <row r="11479" spans="1:45" s="520" customFormat="1" ht="11.4">
      <c r="A11479" s="995"/>
      <c r="B11479" s="996"/>
      <c r="C11479" s="51"/>
      <c r="D11479" s="51"/>
      <c r="E11479" s="813"/>
      <c r="F11479" s="530"/>
      <c r="G11479" s="530"/>
      <c r="H11479" s="530"/>
      <c r="I11479" s="530"/>
      <c r="J11479" s="530"/>
      <c r="K11479" s="530"/>
      <c r="L11479" s="530"/>
      <c r="M11479" s="530"/>
      <c r="N11479" s="530"/>
      <c r="O11479" s="530"/>
      <c r="P11479" s="530"/>
      <c r="Q11479" s="530"/>
      <c r="R11479" s="530"/>
      <c r="S11479" s="530"/>
      <c r="T11479" s="530"/>
      <c r="AR11479" s="995"/>
      <c r="AS11479" s="530"/>
    </row>
    <row r="11480" spans="1:45" s="520" customFormat="1" ht="12.6" thickBot="1">
      <c r="A11480" s="1006" t="s">
        <v>148</v>
      </c>
      <c r="B11480" s="996">
        <f ca="1">$F11480/$C$2-($R11480*$S$2+$T11480*$T$2)</f>
        <v>-44845.861314996146</v>
      </c>
      <c r="C11480" s="51"/>
      <c r="D11480" s="753"/>
      <c r="E11480" s="1002" t="s">
        <v>2729</v>
      </c>
      <c r="F11480" s="1007">
        <f ca="1">SUMIF($L$15:$L11461,"SECT",F$15:F11461)</f>
        <v>1581616.9100000001</v>
      </c>
      <c r="G11480" s="519"/>
      <c r="H11480" s="519"/>
      <c r="I11480" s="519"/>
      <c r="J11480" s="519"/>
      <c r="K11480" s="530"/>
      <c r="L11480" s="986" t="s">
        <v>2730</v>
      </c>
      <c r="M11480" s="986"/>
      <c r="N11480" s="986"/>
      <c r="O11480" s="986"/>
      <c r="P11480" s="986"/>
      <c r="Q11480" s="994"/>
      <c r="R11480" s="1008">
        <f ca="1">SUMIF($L$15:$L11461,"SECT",R$15:R11461)</f>
        <v>1097654.2172998597</v>
      </c>
      <c r="S11480" s="994"/>
      <c r="T11480" s="1008">
        <f ca="1">SUMIF($L$15:$L11461,"SECT",T$15:T11461)</f>
        <v>8129.2764565217403</v>
      </c>
      <c r="AR11480" s="1006" t="s">
        <v>148</v>
      </c>
      <c r="AS11480" s="1007">
        <v>1915695.59</v>
      </c>
    </row>
    <row r="11481" spans="1:45" s="520" customFormat="1" thickBot="1">
      <c r="A11481" s="54" t="s">
        <v>149</v>
      </c>
      <c r="B11481" s="39"/>
      <c r="C11481" s="3"/>
      <c r="D11481" s="39"/>
      <c r="E11481" s="39"/>
      <c r="F11481" s="1009"/>
      <c r="G11481" s="1010"/>
      <c r="H11481" s="1010"/>
      <c r="I11481" s="1010"/>
      <c r="J11481" s="1010"/>
      <c r="K11481" s="1010"/>
      <c r="L11481" s="1010"/>
      <c r="M11481" s="1010"/>
      <c r="N11481" s="1010"/>
      <c r="O11481" s="1010"/>
      <c r="P11481" s="1010"/>
      <c r="Q11481" s="1010"/>
      <c r="R11481" s="1009"/>
      <c r="S11481" s="1011"/>
      <c r="T11481" s="1009"/>
      <c r="U11481" s="531"/>
      <c r="V11481" s="531"/>
      <c r="W11481" s="531"/>
      <c r="X11481" s="531"/>
      <c r="Y11481" s="531"/>
      <c r="Z11481" s="531"/>
      <c r="AA11481" s="531"/>
      <c r="AB11481" s="531"/>
      <c r="AC11481" s="531"/>
      <c r="AD11481" s="531"/>
      <c r="AE11481" s="531"/>
      <c r="AF11481" s="531"/>
      <c r="AG11481" s="531"/>
      <c r="AH11481" s="531"/>
      <c r="AI11481" s="531"/>
      <c r="AJ11481" s="531"/>
      <c r="AK11481" s="531"/>
      <c r="AR11481" s="54" t="s">
        <v>149</v>
      </c>
      <c r="AS11481" s="1009"/>
    </row>
    <row r="11482" spans="1:45" s="886" customFormat="1" thickTop="1">
      <c r="A11482" s="1012"/>
      <c r="B11482" s="1013" t="s">
        <v>71</v>
      </c>
      <c r="C11482" s="1014"/>
      <c r="D11482" s="1015"/>
      <c r="E11482" s="1016" t="s">
        <v>150</v>
      </c>
      <c r="F11482" s="275"/>
      <c r="G11482" s="275"/>
      <c r="H11482" s="275"/>
      <c r="I11482" s="275"/>
      <c r="J11482" s="275"/>
      <c r="K11482" s="275"/>
      <c r="L11482" s="275"/>
      <c r="M11482" s="275"/>
      <c r="N11482" s="275"/>
      <c r="O11482" s="1017"/>
      <c r="P11482" s="275"/>
      <c r="Q11482" s="1018"/>
      <c r="R11482" s="1019">
        <f ca="1">SUM(R11483:R11538)</f>
        <v>1097666.1211892173</v>
      </c>
      <c r="S11482" s="1020"/>
      <c r="T11482" s="1019">
        <f ca="1">SUM(T11483:T11538)</f>
        <v>8116.1467254300496</v>
      </c>
      <c r="AR11482" s="1012"/>
      <c r="AS11482" s="275"/>
    </row>
    <row r="11483" spans="1:45" s="886" customFormat="1" ht="13.2">
      <c r="A11483" s="1021"/>
      <c r="B11483" s="1022">
        <v>1</v>
      </c>
      <c r="C11483" s="1014" t="s">
        <v>73</v>
      </c>
      <c r="D11483" t="s">
        <v>74</v>
      </c>
      <c r="E11483"/>
      <c r="F11483" s="1023">
        <v>501</v>
      </c>
      <c r="G11483"/>
      <c r="H11483"/>
      <c r="I11483"/>
      <c r="J11483"/>
      <c r="K11483"/>
      <c r="L11483"/>
      <c r="M11483"/>
      <c r="N11483"/>
      <c r="O11483" s="116"/>
      <c r="P11483">
        <v>1</v>
      </c>
      <c r="Q11483" s="535"/>
      <c r="R11483" s="1024">
        <f ca="1">SUMIF($H$13:$H$11461,$F11483,R$13:R$11461)+Elec_Rates!R1075</f>
        <v>42863.204226479334</v>
      </c>
      <c r="S11483" s="1025"/>
      <c r="T11483" s="1024">
        <f ca="1">SUMIF($H$13:$H$11461,$F11483,T$13:T$11461)+Elec_Rates!T1075</f>
        <v>330.67467391304353</v>
      </c>
      <c r="AR11483" s="1021"/>
      <c r="AS11483" s="1023">
        <v>501</v>
      </c>
    </row>
    <row r="11484" spans="1:45" s="886" customFormat="1" ht="13.2">
      <c r="A11484" s="1021"/>
      <c r="B11484" s="1022">
        <v>2</v>
      </c>
      <c r="C11484" s="1014" t="s">
        <v>73</v>
      </c>
      <c r="D11484" t="s">
        <v>75</v>
      </c>
      <c r="E11484"/>
      <c r="F11484" s="1023">
        <v>505</v>
      </c>
      <c r="G11484"/>
      <c r="H11484"/>
      <c r="I11484"/>
      <c r="J11484"/>
      <c r="K11484"/>
      <c r="L11484"/>
      <c r="M11484"/>
      <c r="N11484"/>
      <c r="O11484" s="116"/>
      <c r="P11484">
        <v>1</v>
      </c>
      <c r="Q11484" s="535"/>
      <c r="R11484" s="1024">
        <f>SUMIF($H$13:$H$11461,$F11484,R$13:R$11461)+Elec_Rates!R1076</f>
        <v>0</v>
      </c>
      <c r="S11484" s="1025"/>
      <c r="T11484" s="1024">
        <f>SUMIF($H$13:$H$11461,$F11484,T$13:T$11461)+Elec_Rates!T1076</f>
        <v>0</v>
      </c>
      <c r="AR11484" s="1021"/>
      <c r="AS11484" s="1023">
        <v>505</v>
      </c>
    </row>
    <row r="11485" spans="1:45" s="886" customFormat="1" ht="13.2">
      <c r="A11485" s="1021"/>
      <c r="B11485" s="1022">
        <v>3</v>
      </c>
      <c r="C11485" s="1014" t="s">
        <v>73</v>
      </c>
      <c r="D11485" t="s">
        <v>76</v>
      </c>
      <c r="E11485"/>
      <c r="F11485" s="1023">
        <v>510</v>
      </c>
      <c r="G11485"/>
      <c r="H11485"/>
      <c r="I11485"/>
      <c r="J11485"/>
      <c r="K11485"/>
      <c r="L11485"/>
      <c r="M11485"/>
      <c r="N11485"/>
      <c r="O11485" s="116"/>
      <c r="P11485">
        <v>2</v>
      </c>
      <c r="Q11485" s="535"/>
      <c r="R11485" s="1024">
        <f ca="1">SUMIF($H$13:$H$11461,$F11485,R$13:R$11461)+Elec_Rates!R1077</f>
        <v>222629.17222222223</v>
      </c>
      <c r="S11485" s="1025"/>
      <c r="T11485" s="1024">
        <f ca="1">SUMIF($H$13:$H$11461,$F11485,T$13:T$11461)+Elec_Rates!T1077</f>
        <v>610.42500000000007</v>
      </c>
      <c r="AR11485" s="1021"/>
      <c r="AS11485" s="1023">
        <v>510</v>
      </c>
    </row>
    <row r="11486" spans="1:45" s="886" customFormat="1" ht="13.2">
      <c r="A11486" s="1021"/>
      <c r="B11486" s="1022">
        <v>4</v>
      </c>
      <c r="C11486" s="1014" t="s">
        <v>73</v>
      </c>
      <c r="D11486" t="s">
        <v>77</v>
      </c>
      <c r="E11486"/>
      <c r="F11486" s="1023">
        <v>511</v>
      </c>
      <c r="G11486"/>
      <c r="H11486"/>
      <c r="I11486"/>
      <c r="J11486"/>
      <c r="K11486"/>
      <c r="L11486"/>
      <c r="M11486"/>
      <c r="N11486"/>
      <c r="O11486" s="116"/>
      <c r="P11486">
        <v>2</v>
      </c>
      <c r="Q11486" s="535"/>
      <c r="R11486" s="1024">
        <f>SUMIF($H$13:$H$11461,$F11486,R$13:R$11461)+Elec_Rates!R1078</f>
        <v>0</v>
      </c>
      <c r="S11486" s="1025"/>
      <c r="T11486" s="1024">
        <f>SUMIF($H$13:$H$11461,$F11486,T$13:T$11461)+Elec_Rates!T1078</f>
        <v>0</v>
      </c>
      <c r="AR11486" s="1021"/>
      <c r="AS11486" s="1023">
        <v>511</v>
      </c>
    </row>
    <row r="11487" spans="1:45" s="886" customFormat="1" ht="13.2">
      <c r="A11487" s="1021"/>
      <c r="B11487" s="1022">
        <v>5</v>
      </c>
      <c r="C11487" s="1014" t="s">
        <v>73</v>
      </c>
      <c r="D11487" t="s">
        <v>78</v>
      </c>
      <c r="E11487"/>
      <c r="F11487" s="1023">
        <v>512</v>
      </c>
      <c r="G11487"/>
      <c r="H11487"/>
      <c r="I11487"/>
      <c r="J11487"/>
      <c r="K11487"/>
      <c r="L11487"/>
      <c r="M11487"/>
      <c r="N11487"/>
      <c r="O11487" s="116"/>
      <c r="P11487">
        <v>2</v>
      </c>
      <c r="Q11487" s="535"/>
      <c r="R11487" s="1024">
        <f>SUMIF($H$13:$H$11461,$F11487,R$13:R$11461)+Elec_Rates!R1079</f>
        <v>0</v>
      </c>
      <c r="S11487" s="1025"/>
      <c r="T11487" s="1024">
        <f>SUMIF($H$13:$H$11461,$F11487,T$13:T$11461)+Elec_Rates!T1079</f>
        <v>0</v>
      </c>
      <c r="AR11487" s="1021"/>
      <c r="AS11487" s="1023">
        <v>512</v>
      </c>
    </row>
    <row r="11488" spans="1:45" s="886" customFormat="1" ht="13.2">
      <c r="A11488" s="1021"/>
      <c r="B11488" s="1022">
        <v>6</v>
      </c>
      <c r="C11488" s="1014" t="s">
        <v>73</v>
      </c>
      <c r="D11488" t="s">
        <v>79</v>
      </c>
      <c r="E11488"/>
      <c r="F11488" s="1023">
        <v>520</v>
      </c>
      <c r="G11488"/>
      <c r="H11488"/>
      <c r="I11488"/>
      <c r="J11488"/>
      <c r="K11488"/>
      <c r="L11488"/>
      <c r="M11488"/>
      <c r="N11488"/>
      <c r="O11488" s="116"/>
      <c r="P11488">
        <v>1</v>
      </c>
      <c r="Q11488" s="535"/>
      <c r="R11488" s="1024">
        <f>SUMIF($H$13:$H$11461,$F11488,R$13:R$11461)+Elec_Rates!R1080</f>
        <v>709.99999999999989</v>
      </c>
      <c r="S11488" s="1025"/>
      <c r="T11488" s="1024">
        <f>SUMIF($H$13:$H$11461,$F11488,T$13:T$11461)+Elec_Rates!T1080</f>
        <v>44.550000000000004</v>
      </c>
      <c r="AR11488" s="1021"/>
      <c r="AS11488" s="1023">
        <v>520</v>
      </c>
    </row>
    <row r="11489" spans="1:45" s="886" customFormat="1" ht="13.2">
      <c r="A11489" s="1021"/>
      <c r="B11489" s="1022">
        <v>7</v>
      </c>
      <c r="C11489" s="1014" t="s">
        <v>73</v>
      </c>
      <c r="D11489" t="s">
        <v>80</v>
      </c>
      <c r="E11489"/>
      <c r="F11489" s="1023">
        <v>530</v>
      </c>
      <c r="G11489"/>
      <c r="H11489"/>
      <c r="I11489"/>
      <c r="J11489"/>
      <c r="K11489"/>
      <c r="L11489"/>
      <c r="M11489"/>
      <c r="N11489"/>
      <c r="O11489" s="116"/>
      <c r="P11489">
        <v>2</v>
      </c>
      <c r="Q11489" s="535"/>
      <c r="R11489" s="1024">
        <f>SUMIF($H$13:$H$11461,$F11489,R$13:R$11461)+Elec_Rates!R1081</f>
        <v>0</v>
      </c>
      <c r="S11489" s="1025"/>
      <c r="T11489" s="1024">
        <f>SUMIF($H$13:$H$11461,$F11489,T$13:T$11461)+Elec_Rates!T1081</f>
        <v>0</v>
      </c>
      <c r="AR11489" s="1021"/>
      <c r="AS11489" s="1023">
        <v>530</v>
      </c>
    </row>
    <row r="11490" spans="1:45" s="886" customFormat="1" ht="13.2">
      <c r="A11490" s="1021"/>
      <c r="B11490" s="1022">
        <v>8</v>
      </c>
      <c r="C11490" s="1014" t="s">
        <v>73</v>
      </c>
      <c r="D11490" t="s">
        <v>81</v>
      </c>
      <c r="E11490"/>
      <c r="F11490" s="1023">
        <v>550</v>
      </c>
      <c r="G11490"/>
      <c r="H11490"/>
      <c r="I11490"/>
      <c r="J11490"/>
      <c r="K11490"/>
      <c r="L11490"/>
      <c r="M11490"/>
      <c r="N11490"/>
      <c r="O11490" s="116"/>
      <c r="P11490">
        <v>2</v>
      </c>
      <c r="Q11490" s="535"/>
      <c r="R11490" s="1024">
        <f>SUMIF($H$13:$H$11461,$F11490,R$13:R$11461)+Elec_Rates!R1082</f>
        <v>0</v>
      </c>
      <c r="S11490" s="1025"/>
      <c r="T11490" s="1024">
        <f>SUMIF($H$13:$H$11461,$F11490,T$13:T$11461)+Elec_Rates!T1082</f>
        <v>0</v>
      </c>
      <c r="AR11490" s="1021"/>
      <c r="AS11490" s="1023">
        <v>550</v>
      </c>
    </row>
    <row r="11491" spans="1:45" s="886" customFormat="1" ht="13.2">
      <c r="A11491" s="1021"/>
      <c r="B11491" s="1022">
        <v>9</v>
      </c>
      <c r="C11491" s="1014" t="s">
        <v>73</v>
      </c>
      <c r="D11491" t="s">
        <v>82</v>
      </c>
      <c r="E11491"/>
      <c r="F11491" s="1023">
        <v>570</v>
      </c>
      <c r="G11491"/>
      <c r="H11491"/>
      <c r="I11491"/>
      <c r="J11491"/>
      <c r="K11491"/>
      <c r="L11491"/>
      <c r="M11491"/>
      <c r="N11491"/>
      <c r="O11491" s="116"/>
      <c r="P11491">
        <v>2</v>
      </c>
      <c r="Q11491" s="535"/>
      <c r="R11491" s="1024">
        <f>SUMIF($H$13:$H$11461,$F11491,R$13:R$11461)+Elec_Rates!R1083</f>
        <v>4094.6299999999992</v>
      </c>
      <c r="S11491" s="1025"/>
      <c r="T11491" s="1024">
        <f>SUMIF($H$13:$H$11461,$F11491,T$13:T$11461)+Elec_Rates!T1083</f>
        <v>27.225000000000001</v>
      </c>
      <c r="AR11491" s="1021"/>
      <c r="AS11491" s="1023">
        <v>570</v>
      </c>
    </row>
    <row r="11492" spans="1:45" s="886" customFormat="1" ht="13.2">
      <c r="A11492" s="1021"/>
      <c r="B11492" s="1022">
        <v>10</v>
      </c>
      <c r="C11492" s="1014" t="s">
        <v>73</v>
      </c>
      <c r="D11492" t="s">
        <v>83</v>
      </c>
      <c r="E11492"/>
      <c r="F11492" s="1023">
        <v>615</v>
      </c>
      <c r="G11492"/>
      <c r="H11492"/>
      <c r="I11492"/>
      <c r="J11492"/>
      <c r="K11492"/>
      <c r="L11492"/>
      <c r="M11492"/>
      <c r="N11492"/>
      <c r="O11492" s="116"/>
      <c r="P11492">
        <v>2</v>
      </c>
      <c r="Q11492" s="535"/>
      <c r="R11492" s="1024">
        <f ca="1">SUMIF($H$13:$H$11461,$F11492,R$13:R$11461)+Elec_Rates!R1084</f>
        <v>17360.588812119167</v>
      </c>
      <c r="S11492" s="1025"/>
      <c r="T11492" s="1024">
        <f ca="1">SUMIF($H$13:$H$11461,$F11492,T$13:T$11461)+Elec_Rates!T1084</f>
        <v>919.01509910357993</v>
      </c>
      <c r="AR11492" s="1021"/>
      <c r="AS11492" s="1023">
        <v>615</v>
      </c>
    </row>
    <row r="11493" spans="1:45" s="886" customFormat="1" ht="13.2">
      <c r="A11493" s="1021"/>
      <c r="B11493" s="1022">
        <v>11</v>
      </c>
      <c r="C11493" s="1014" t="s">
        <v>73</v>
      </c>
      <c r="D11493" t="s">
        <v>85</v>
      </c>
      <c r="E11493"/>
      <c r="F11493" s="1023">
        <v>616</v>
      </c>
      <c r="G11493"/>
      <c r="H11493"/>
      <c r="I11493"/>
      <c r="J11493"/>
      <c r="K11493"/>
      <c r="L11493"/>
      <c r="M11493"/>
      <c r="N11493"/>
      <c r="O11493" s="116"/>
      <c r="P11493">
        <v>2</v>
      </c>
      <c r="Q11493" s="535"/>
      <c r="R11493" s="1024">
        <f ca="1">SUMIF($H$13:$H$11461,$F11493,R$13:R$11461)+Elec_Rates!R1085</f>
        <v>364666.05013248575</v>
      </c>
      <c r="S11493" s="1025"/>
      <c r="T11493" s="1024">
        <f ca="1">SUMIF($H$13:$H$11461,$F11493,T$13:T$11461)+Elec_Rates!T1085</f>
        <v>1035.5543208917559</v>
      </c>
      <c r="AR11493" s="1021"/>
      <c r="AS11493" s="1023">
        <v>616</v>
      </c>
    </row>
    <row r="11494" spans="1:45" s="886" customFormat="1" ht="13.2">
      <c r="A11494" s="1021"/>
      <c r="B11494" s="1022">
        <v>12</v>
      </c>
      <c r="C11494" s="1014" t="s">
        <v>73</v>
      </c>
      <c r="D11494" t="s">
        <v>86</v>
      </c>
      <c r="E11494"/>
      <c r="F11494" s="1023">
        <v>617</v>
      </c>
      <c r="G11494"/>
      <c r="H11494"/>
      <c r="I11494"/>
      <c r="J11494"/>
      <c r="K11494"/>
      <c r="L11494"/>
      <c r="M11494"/>
      <c r="N11494"/>
      <c r="O11494" s="116"/>
      <c r="P11494">
        <v>2</v>
      </c>
      <c r="Q11494" s="535"/>
      <c r="R11494" s="1024">
        <f>SUMIF($H$13:$H$11461,$F11494,R$13:R$11461)+Elec_Rates!R1086</f>
        <v>359.9</v>
      </c>
      <c r="S11494" s="1025"/>
      <c r="T11494" s="1024">
        <f>SUMIF($H$13:$H$11461,$F11494,T$13:T$11461)+Elec_Rates!T1086</f>
        <v>12.348000000000001</v>
      </c>
      <c r="AR11494" s="1021"/>
      <c r="AS11494" s="1023">
        <v>617</v>
      </c>
    </row>
    <row r="11495" spans="1:45" s="886" customFormat="1" ht="13.2">
      <c r="A11495" s="1021"/>
      <c r="B11495" s="1022">
        <v>13</v>
      </c>
      <c r="C11495" s="1014" t="s">
        <v>73</v>
      </c>
      <c r="D11495" t="s">
        <v>151</v>
      </c>
      <c r="E11495"/>
      <c r="F11495" s="1023">
        <v>620</v>
      </c>
      <c r="G11495"/>
      <c r="H11495"/>
      <c r="I11495"/>
      <c r="J11495"/>
      <c r="K11495"/>
      <c r="L11495"/>
      <c r="M11495"/>
      <c r="N11495"/>
      <c r="O11495" s="116"/>
      <c r="P11495">
        <v>2</v>
      </c>
      <c r="Q11495" s="535"/>
      <c r="R11495" s="1024">
        <f ca="1">SUMIF($H$13:$H$11461,$F11495,R$13:R$11461)+Elec_Rates!R1087</f>
        <v>6326.7219244022399</v>
      </c>
      <c r="S11495" s="1025"/>
      <c r="T11495" s="1024">
        <f ca="1">SUMIF($H$13:$H$11461,$F11495,T$13:T$11461)+Elec_Rates!T1087</f>
        <v>326.73175323837449</v>
      </c>
      <c r="AR11495" s="1021"/>
      <c r="AS11495" s="1023">
        <v>620</v>
      </c>
    </row>
    <row r="11496" spans="1:45" s="886" customFormat="1" ht="13.2">
      <c r="A11496" s="1021"/>
      <c r="B11496" s="1022">
        <v>14</v>
      </c>
      <c r="C11496" s="1014" t="s">
        <v>73</v>
      </c>
      <c r="D11496" t="s">
        <v>88</v>
      </c>
      <c r="E11496"/>
      <c r="F11496" s="1023">
        <v>650</v>
      </c>
      <c r="G11496"/>
      <c r="H11496"/>
      <c r="I11496"/>
      <c r="J11496"/>
      <c r="K11496"/>
      <c r="L11496"/>
      <c r="M11496"/>
      <c r="N11496"/>
      <c r="O11496" s="116"/>
      <c r="P11496">
        <v>1</v>
      </c>
      <c r="Q11496" s="535"/>
      <c r="R11496" s="1024">
        <f ca="1">SUMIF($H$13:$H$11461,$F11496,R$13:R$11461)+Elec_Rates!R1088</f>
        <v>10458.097796778466</v>
      </c>
      <c r="S11496" s="1025"/>
      <c r="T11496" s="1024">
        <f ca="1">SUMIF($H$13:$H$11461,$F11496,T$13:T$11461)+Elec_Rates!T1088</f>
        <v>471.6450000000001</v>
      </c>
      <c r="AR11496" s="1021"/>
      <c r="AS11496" s="1023">
        <v>650</v>
      </c>
    </row>
    <row r="11497" spans="1:45" s="886" customFormat="1" ht="13.2">
      <c r="A11497" s="1021"/>
      <c r="B11497" s="1022">
        <v>15</v>
      </c>
      <c r="C11497" s="1014" t="s">
        <v>73</v>
      </c>
      <c r="D11497" t="s">
        <v>89</v>
      </c>
      <c r="E11497"/>
      <c r="F11497" s="1023">
        <v>651</v>
      </c>
      <c r="G11497"/>
      <c r="H11497"/>
      <c r="I11497"/>
      <c r="J11497"/>
      <c r="K11497"/>
      <c r="L11497"/>
      <c r="M11497"/>
      <c r="N11497"/>
      <c r="O11497" s="116"/>
      <c r="P11497">
        <v>1</v>
      </c>
      <c r="Q11497" s="535"/>
      <c r="R11497" s="1024">
        <f>SUMIF($H$13:$H$11461,$F11497,R$13:R$11461)+Elec_Rates!R1089</f>
        <v>0</v>
      </c>
      <c r="S11497" s="1025"/>
      <c r="T11497" s="1024">
        <f>SUMIF($H$13:$H$11461,$F11497,T$13:T$11461)+Elec_Rates!T1089</f>
        <v>0</v>
      </c>
      <c r="AR11497" s="1021"/>
      <c r="AS11497" s="1023">
        <v>651</v>
      </c>
    </row>
    <row r="11498" spans="1:45" s="886" customFormat="1" ht="13.2">
      <c r="A11498" s="1021"/>
      <c r="B11498" s="1022">
        <v>16</v>
      </c>
      <c r="C11498" s="1014" t="s">
        <v>73</v>
      </c>
      <c r="D11498" t="s">
        <v>90</v>
      </c>
      <c r="E11498"/>
      <c r="F11498" s="1023">
        <v>652</v>
      </c>
      <c r="G11498"/>
      <c r="H11498"/>
      <c r="I11498"/>
      <c r="J11498"/>
      <c r="K11498"/>
      <c r="L11498"/>
      <c r="M11498"/>
      <c r="N11498"/>
      <c r="O11498" s="116"/>
      <c r="P11498">
        <v>1</v>
      </c>
      <c r="Q11498" s="535"/>
      <c r="R11498" s="1024">
        <f>SUMIF($H$13:$H$11461,$F11498,R$13:R$11461)+Elec_Rates!R1090</f>
        <v>0</v>
      </c>
      <c r="S11498" s="1025"/>
      <c r="T11498" s="1024">
        <f>SUMIF($H$13:$H$11461,$F11498,T$13:T$11461)+Elec_Rates!T1090</f>
        <v>0</v>
      </c>
      <c r="AR11498" s="1021"/>
      <c r="AS11498" s="1023">
        <v>652</v>
      </c>
    </row>
    <row r="11499" spans="1:45" s="886" customFormat="1" ht="13.2">
      <c r="A11499" s="1021"/>
      <c r="B11499" s="1022">
        <v>17</v>
      </c>
      <c r="C11499" s="1014" t="s">
        <v>73</v>
      </c>
      <c r="D11499" t="s">
        <v>91</v>
      </c>
      <c r="E11499"/>
      <c r="F11499" s="1023">
        <v>654</v>
      </c>
      <c r="G11499"/>
      <c r="H11499"/>
      <c r="I11499"/>
      <c r="J11499"/>
      <c r="K11499"/>
      <c r="L11499"/>
      <c r="M11499"/>
      <c r="N11499"/>
      <c r="O11499" s="116"/>
      <c r="P11499">
        <v>1</v>
      </c>
      <c r="Q11499" s="535"/>
      <c r="R11499" s="1024">
        <f>SUMIF($H$13:$H$11461,$F11499,R$13:R$11461)+Elec_Rates!R1091</f>
        <v>0</v>
      </c>
      <c r="S11499" s="1025"/>
      <c r="T11499" s="1024">
        <f>SUMIF($H$13:$H$11461,$F11499,T$13:T$11461)+Elec_Rates!T1091</f>
        <v>0</v>
      </c>
      <c r="AR11499" s="1021"/>
      <c r="AS11499" s="1023">
        <v>654</v>
      </c>
    </row>
    <row r="11500" spans="1:45" s="886" customFormat="1" ht="13.2">
      <c r="A11500" s="1021"/>
      <c r="B11500" s="1022">
        <v>18</v>
      </c>
      <c r="C11500" s="1014" t="s">
        <v>73</v>
      </c>
      <c r="D11500" t="s">
        <v>92</v>
      </c>
      <c r="E11500"/>
      <c r="F11500" s="1023">
        <v>675</v>
      </c>
      <c r="G11500"/>
      <c r="H11500"/>
      <c r="I11500"/>
      <c r="J11500"/>
      <c r="K11500"/>
      <c r="L11500"/>
      <c r="M11500"/>
      <c r="N11500"/>
      <c r="O11500" s="116"/>
      <c r="P11500">
        <v>1</v>
      </c>
      <c r="Q11500" s="535"/>
      <c r="R11500" s="1024">
        <f ca="1">SUMIF($H$13:$H$11461,$F11500,R$13:R$11461)+Elec_Rates!R1092</f>
        <v>12301.490434782605</v>
      </c>
      <c r="S11500" s="1025"/>
      <c r="T11500" s="1024">
        <f ca="1">SUMIF($H$13:$H$11461,$F11500,T$13:T$11461)+Elec_Rates!T1092</f>
        <v>548.52652173913043</v>
      </c>
      <c r="AR11500" s="1021"/>
      <c r="AS11500" s="1023">
        <v>675</v>
      </c>
    </row>
    <row r="11501" spans="1:45" s="886" customFormat="1" ht="13.2">
      <c r="A11501" s="1021"/>
      <c r="B11501" s="1022">
        <v>19</v>
      </c>
      <c r="C11501" s="1014" t="s">
        <v>73</v>
      </c>
      <c r="D11501" t="s">
        <v>93</v>
      </c>
      <c r="E11501"/>
      <c r="F11501" s="1023">
        <v>676</v>
      </c>
      <c r="G11501"/>
      <c r="H11501"/>
      <c r="I11501"/>
      <c r="J11501"/>
      <c r="K11501"/>
      <c r="L11501"/>
      <c r="M11501"/>
      <c r="N11501"/>
      <c r="O11501" s="116"/>
      <c r="P11501">
        <v>1</v>
      </c>
      <c r="Q11501" s="535"/>
      <c r="R11501" s="1024">
        <f>SUMIF($H$13:$H$11461,$F11501,R$13:R$11461)+Elec_Rates!R1093</f>
        <v>0</v>
      </c>
      <c r="S11501" s="1025"/>
      <c r="T11501" s="1024">
        <f>SUMIF($H$13:$H$11461,$F11501,T$13:T$11461)+Elec_Rates!T1093</f>
        <v>0</v>
      </c>
      <c r="AR11501" s="1021"/>
      <c r="AS11501" s="1023">
        <v>676</v>
      </c>
    </row>
    <row r="11502" spans="1:45" s="886" customFormat="1" ht="13.2">
      <c r="A11502" s="1021"/>
      <c r="B11502" s="1022">
        <v>20</v>
      </c>
      <c r="C11502" s="1014" t="s">
        <v>73</v>
      </c>
      <c r="D11502" t="s">
        <v>94</v>
      </c>
      <c r="E11502"/>
      <c r="F11502" s="1023">
        <v>680</v>
      </c>
      <c r="G11502"/>
      <c r="H11502"/>
      <c r="I11502"/>
      <c r="J11502"/>
      <c r="K11502"/>
      <c r="L11502"/>
      <c r="M11502"/>
      <c r="N11502"/>
      <c r="O11502" s="116"/>
      <c r="P11502">
        <v>1</v>
      </c>
      <c r="Q11502" s="535"/>
      <c r="R11502" s="1024">
        <f>SUMIF($H$13:$H$11461,$F11502,R$13:R$11461)+Elec_Rates!R1094</f>
        <v>0</v>
      </c>
      <c r="S11502" s="1025"/>
      <c r="T11502" s="1024">
        <f>SUMIF($H$13:$H$11461,$F11502,T$13:T$11461)+Elec_Rates!T1094</f>
        <v>0</v>
      </c>
      <c r="AR11502" s="1021"/>
      <c r="AS11502" s="1023">
        <v>680</v>
      </c>
    </row>
    <row r="11503" spans="1:45" s="886" customFormat="1" ht="13.2">
      <c r="A11503" s="1021"/>
      <c r="B11503" s="1022">
        <v>21</v>
      </c>
      <c r="C11503" s="1014" t="s">
        <v>73</v>
      </c>
      <c r="D11503" t="s">
        <v>96</v>
      </c>
      <c r="E11503"/>
      <c r="F11503" s="1023">
        <v>681</v>
      </c>
      <c r="G11503"/>
      <c r="H11503"/>
      <c r="I11503"/>
      <c r="J11503"/>
      <c r="K11503"/>
      <c r="L11503"/>
      <c r="M11503"/>
      <c r="N11503"/>
      <c r="O11503" s="116"/>
      <c r="P11503">
        <v>1</v>
      </c>
      <c r="Q11503" s="535"/>
      <c r="R11503" s="1024">
        <f>SUMIF($H$13:$H$11461,$F11503,R$13:R$11461)+Elec_Rates!R1095</f>
        <v>0</v>
      </c>
      <c r="S11503" s="1025"/>
      <c r="T11503" s="1024">
        <f>SUMIF($H$13:$H$11461,$F11503,T$13:T$11461)+Elec_Rates!T1095</f>
        <v>0</v>
      </c>
      <c r="AR11503" s="1021"/>
      <c r="AS11503" s="1023">
        <v>681</v>
      </c>
    </row>
    <row r="11504" spans="1:45" s="886" customFormat="1" ht="13.2">
      <c r="A11504" s="1021"/>
      <c r="B11504" s="1022">
        <v>22</v>
      </c>
      <c r="C11504" s="1014" t="s">
        <v>73</v>
      </c>
      <c r="D11504" t="s">
        <v>97</v>
      </c>
      <c r="E11504"/>
      <c r="F11504" s="1023">
        <v>690</v>
      </c>
      <c r="G11504"/>
      <c r="H11504"/>
      <c r="I11504"/>
      <c r="J11504"/>
      <c r="K11504"/>
      <c r="L11504"/>
      <c r="M11504"/>
      <c r="N11504"/>
      <c r="O11504" s="116"/>
      <c r="P11504">
        <v>1</v>
      </c>
      <c r="Q11504" s="535"/>
      <c r="R11504" s="1024">
        <f ca="1">SUMIF($H$13:$H$11461,$F11504,R$13:R$11461)+Elec_Rates!R1096</f>
        <v>56253.685831558891</v>
      </c>
      <c r="S11504" s="1025"/>
      <c r="T11504" s="1024">
        <f ca="1">SUMIF($H$13:$H$11461,$F11504,T$13:T$11461)+Elec_Rates!T1096</f>
        <v>1918.8186126797793</v>
      </c>
      <c r="AR11504" s="1021"/>
      <c r="AS11504" s="1023">
        <v>690</v>
      </c>
    </row>
    <row r="11505" spans="1:45" s="886" customFormat="1" ht="13.2">
      <c r="A11505" s="1021"/>
      <c r="B11505" s="1022">
        <v>23</v>
      </c>
      <c r="C11505" s="1014" t="s">
        <v>73</v>
      </c>
      <c r="D11505" t="s">
        <v>98</v>
      </c>
      <c r="E11505"/>
      <c r="F11505" s="1023">
        <v>700</v>
      </c>
      <c r="G11505"/>
      <c r="H11505"/>
      <c r="I11505"/>
      <c r="J11505"/>
      <c r="K11505"/>
      <c r="L11505"/>
      <c r="M11505"/>
      <c r="N11505"/>
      <c r="O11505" s="116"/>
      <c r="P11505">
        <v>1</v>
      </c>
      <c r="Q11505" s="535"/>
      <c r="R11505" s="1024">
        <f ca="1">SUMIF($H$13:$H$11461,$F11505,R$13:R$11461)+Elec_Rates!R1097</f>
        <v>8563.4639097744366</v>
      </c>
      <c r="S11505" s="1025"/>
      <c r="T11505" s="1024">
        <f ca="1">SUMIF($H$13:$H$11461,$F11505,T$13:T$11461)+Elec_Rates!T1097</f>
        <v>596.12765413533828</v>
      </c>
      <c r="AR11505" s="1021"/>
      <c r="AS11505" s="1023">
        <v>700</v>
      </c>
    </row>
    <row r="11506" spans="1:45" s="886" customFormat="1" ht="13.2">
      <c r="A11506" s="1021"/>
      <c r="B11506" s="1022">
        <v>24</v>
      </c>
      <c r="C11506" s="1014" t="s">
        <v>73</v>
      </c>
      <c r="D11506" t="s">
        <v>99</v>
      </c>
      <c r="E11506"/>
      <c r="F11506" s="1023">
        <v>705</v>
      </c>
      <c r="G11506"/>
      <c r="H11506"/>
      <c r="I11506"/>
      <c r="J11506"/>
      <c r="K11506"/>
      <c r="L11506"/>
      <c r="M11506"/>
      <c r="N11506"/>
      <c r="O11506" s="116"/>
      <c r="P11506">
        <v>3</v>
      </c>
      <c r="Q11506" s="535"/>
      <c r="R11506" s="1024">
        <f ca="1">SUMIF($H$13:$H$11461,$F11506,R$13:R$11461)+Elec_Rates!R1098</f>
        <v>17670.365215165577</v>
      </c>
      <c r="S11506" s="1025"/>
      <c r="T11506" s="1024">
        <f ca="1">SUMIF($H$13:$H$11461,$F11506,T$13:T$11461)+Elec_Rates!T1098</f>
        <v>313.38634558189</v>
      </c>
      <c r="AR11506" s="1021"/>
      <c r="AS11506" s="1023">
        <v>705</v>
      </c>
    </row>
    <row r="11507" spans="1:45" s="886" customFormat="1" ht="13.2">
      <c r="A11507" s="1021"/>
      <c r="B11507" s="1022">
        <v>25</v>
      </c>
      <c r="C11507" s="1014" t="s">
        <v>73</v>
      </c>
      <c r="D11507" t="s">
        <v>100</v>
      </c>
      <c r="E11507"/>
      <c r="F11507" s="1023">
        <v>706</v>
      </c>
      <c r="G11507"/>
      <c r="H11507"/>
      <c r="I11507"/>
      <c r="J11507"/>
      <c r="K11507"/>
      <c r="L11507"/>
      <c r="M11507"/>
      <c r="N11507"/>
      <c r="O11507" s="116"/>
      <c r="P11507">
        <v>3</v>
      </c>
      <c r="Q11507" s="535"/>
      <c r="R11507" s="1024">
        <f>SUMIF($H$13:$H$11461,$F11507,R$13:R$11461)+Elec_Rates!R1099</f>
        <v>0</v>
      </c>
      <c r="S11507" s="1025"/>
      <c r="T11507" s="1024">
        <f>SUMIF($H$13:$H$11461,$F11507,T$13:T$11461)+Elec_Rates!T1099</f>
        <v>0</v>
      </c>
      <c r="AR11507" s="1021"/>
      <c r="AS11507" s="1023">
        <v>706</v>
      </c>
    </row>
    <row r="11508" spans="1:45" s="886" customFormat="1" ht="13.2">
      <c r="A11508" s="1021"/>
      <c r="B11508" s="1022">
        <v>26</v>
      </c>
      <c r="C11508" s="1014" t="s">
        <v>73</v>
      </c>
      <c r="D11508" t="s">
        <v>101</v>
      </c>
      <c r="E11508"/>
      <c r="F11508" s="1023">
        <v>725</v>
      </c>
      <c r="G11508"/>
      <c r="H11508"/>
      <c r="I11508"/>
      <c r="J11508"/>
      <c r="K11508"/>
      <c r="L11508"/>
      <c r="M11508"/>
      <c r="N11508"/>
      <c r="O11508" s="116"/>
      <c r="P11508">
        <v>3</v>
      </c>
      <c r="Q11508" s="535"/>
      <c r="R11508" s="1024">
        <f>SUMIF($H$13:$H$11461,$F11508,R$13:R$11461)+Elec_Rates!R1100</f>
        <v>0</v>
      </c>
      <c r="S11508" s="1025"/>
      <c r="T11508" s="1024">
        <f>SUMIF($H$13:$H$11461,$F11508,T$13:T$11461)+Elec_Rates!T1100</f>
        <v>0</v>
      </c>
      <c r="AR11508" s="1021"/>
      <c r="AS11508" s="1023">
        <v>725</v>
      </c>
    </row>
    <row r="11509" spans="1:45" s="886" customFormat="1" ht="13.2">
      <c r="A11509" s="1021"/>
      <c r="B11509" s="1022">
        <v>27</v>
      </c>
      <c r="C11509" s="1014" t="s">
        <v>73</v>
      </c>
      <c r="D11509" t="s">
        <v>102</v>
      </c>
      <c r="E11509"/>
      <c r="F11509" s="1023">
        <v>726</v>
      </c>
      <c r="G11509"/>
      <c r="H11509"/>
      <c r="I11509"/>
      <c r="J11509"/>
      <c r="K11509"/>
      <c r="L11509"/>
      <c r="M11509"/>
      <c r="N11509"/>
      <c r="O11509" s="116"/>
      <c r="P11509">
        <v>3</v>
      </c>
      <c r="Q11509" s="535"/>
      <c r="R11509" s="1024">
        <f>SUMIF($H$13:$H$11461,$F11509,R$13:R$11461)+Elec_Rates!R1101</f>
        <v>946.08799999999997</v>
      </c>
      <c r="S11509" s="1025"/>
      <c r="T11509" s="1024">
        <f>SUMIF($H$13:$H$11461,$F11509,T$13:T$11461)+Elec_Rates!T1101</f>
        <v>43.65</v>
      </c>
      <c r="AR11509" s="1021"/>
      <c r="AS11509" s="1023">
        <v>726</v>
      </c>
    </row>
    <row r="11510" spans="1:45" s="886" customFormat="1" ht="13.2">
      <c r="A11510" s="1021"/>
      <c r="B11510" s="1022">
        <v>28</v>
      </c>
      <c r="C11510" s="1014" t="s">
        <v>73</v>
      </c>
      <c r="D11510" t="s">
        <v>103</v>
      </c>
      <c r="E11510"/>
      <c r="F11510" s="1023">
        <v>750</v>
      </c>
      <c r="G11510"/>
      <c r="H11510"/>
      <c r="I11510"/>
      <c r="J11510"/>
      <c r="K11510"/>
      <c r="L11510"/>
      <c r="M11510"/>
      <c r="N11510"/>
      <c r="O11510" s="116"/>
      <c r="P11510">
        <v>3</v>
      </c>
      <c r="Q11510" s="535"/>
      <c r="R11510" s="1024">
        <f>SUMIF($H$13:$H$11461,$F11510,R$13:R$11461)+Elec_Rates!R1102</f>
        <v>0</v>
      </c>
      <c r="S11510" s="1025"/>
      <c r="T11510" s="1024">
        <f>SUMIF($H$13:$H$11461,$F11510,T$13:T$11461)+Elec_Rates!T1102</f>
        <v>0</v>
      </c>
      <c r="AR11510" s="1021"/>
      <c r="AS11510" s="1023">
        <v>750</v>
      </c>
    </row>
    <row r="11511" spans="1:45" s="886" customFormat="1" ht="13.2">
      <c r="A11511" s="1021"/>
      <c r="B11511" s="1022">
        <v>29</v>
      </c>
      <c r="C11511" s="1014" t="s">
        <v>73</v>
      </c>
      <c r="D11511" t="s">
        <v>104</v>
      </c>
      <c r="E11511"/>
      <c r="F11511" s="1023">
        <v>751</v>
      </c>
      <c r="G11511"/>
      <c r="H11511"/>
      <c r="I11511"/>
      <c r="J11511"/>
      <c r="K11511"/>
      <c r="L11511"/>
      <c r="M11511"/>
      <c r="N11511"/>
      <c r="O11511" s="116"/>
      <c r="P11511">
        <v>3</v>
      </c>
      <c r="Q11511" s="535"/>
      <c r="R11511" s="1024">
        <f>SUMIF($H$13:$H$11461,$F11511,R$13:R$11461)+Elec_Rates!R1103</f>
        <v>0</v>
      </c>
      <c r="S11511" s="1025"/>
      <c r="T11511" s="1024">
        <f>SUMIF($H$13:$H$11461,$F11511,T$13:T$11461)+Elec_Rates!T1103</f>
        <v>0</v>
      </c>
      <c r="AR11511" s="1021"/>
      <c r="AS11511" s="1023">
        <v>751</v>
      </c>
    </row>
    <row r="11512" spans="1:45" s="886" customFormat="1" ht="13.2">
      <c r="A11512" s="1021"/>
      <c r="B11512" s="1022">
        <v>30</v>
      </c>
      <c r="C11512" s="1014" t="s">
        <v>73</v>
      </c>
      <c r="D11512" t="s">
        <v>105</v>
      </c>
      <c r="E11512"/>
      <c r="F11512" s="1023">
        <v>752</v>
      </c>
      <c r="G11512"/>
      <c r="H11512"/>
      <c r="I11512"/>
      <c r="J11512"/>
      <c r="K11512"/>
      <c r="L11512"/>
      <c r="M11512"/>
      <c r="N11512"/>
      <c r="O11512" s="116"/>
      <c r="P11512">
        <v>3</v>
      </c>
      <c r="Q11512" s="535"/>
      <c r="R11512" s="1024">
        <f>SUMIF($H$13:$H$11461,$F11512,R$13:R$11461)+Elec_Rates!R1104</f>
        <v>0</v>
      </c>
      <c r="S11512" s="1025"/>
      <c r="T11512" s="1024">
        <f>SUMIF($H$13:$H$11461,$F11512,T$13:T$11461)+Elec_Rates!T1104</f>
        <v>0</v>
      </c>
      <c r="AR11512" s="1021"/>
      <c r="AS11512" s="1023">
        <v>752</v>
      </c>
    </row>
    <row r="11513" spans="1:45" s="886" customFormat="1" ht="13.2">
      <c r="A11513" s="1021"/>
      <c r="B11513" s="1022">
        <v>31</v>
      </c>
      <c r="C11513" s="1014" t="s">
        <v>73</v>
      </c>
      <c r="D11513" s="535" t="s">
        <v>284</v>
      </c>
      <c r="E11513"/>
      <c r="F11513" s="1023">
        <v>753</v>
      </c>
      <c r="G11513"/>
      <c r="H11513"/>
      <c r="I11513"/>
      <c r="J11513"/>
      <c r="K11513"/>
      <c r="L11513"/>
      <c r="M11513"/>
      <c r="N11513"/>
      <c r="O11513" s="116"/>
      <c r="P11513">
        <v>3</v>
      </c>
      <c r="Q11513" s="535"/>
      <c r="R11513" s="1024">
        <f>SUMIF($H$13:$H$11461,$F11513,R$13:R$11461)+Elec_Rates!R1105</f>
        <v>0</v>
      </c>
      <c r="S11513" s="1025"/>
      <c r="T11513" s="1024">
        <f>SUMIF($H$13:$H$11461,$F11513,T$13:T$11461)+Elec_Rates!T1105</f>
        <v>0</v>
      </c>
      <c r="AR11513" s="1021"/>
      <c r="AS11513" s="1023">
        <v>753</v>
      </c>
    </row>
    <row r="11514" spans="1:45" s="886" customFormat="1" ht="13.2">
      <c r="A11514" s="1021"/>
      <c r="B11514" s="1022">
        <v>32</v>
      </c>
      <c r="C11514" s="1014" t="s">
        <v>73</v>
      </c>
      <c r="D11514" t="s">
        <v>107</v>
      </c>
      <c r="E11514"/>
      <c r="F11514" s="1023">
        <v>770</v>
      </c>
      <c r="G11514"/>
      <c r="H11514"/>
      <c r="I11514"/>
      <c r="J11514"/>
      <c r="K11514"/>
      <c r="L11514"/>
      <c r="M11514"/>
      <c r="N11514"/>
      <c r="O11514" s="116"/>
      <c r="P11514">
        <v>3</v>
      </c>
      <c r="Q11514" s="535"/>
      <c r="R11514" s="1024">
        <f>SUMIF($H$13:$H$11461,$F11514,R$13:R$11461)+Elec_Rates!R1106</f>
        <v>0</v>
      </c>
      <c r="S11514" s="1025"/>
      <c r="T11514" s="1024">
        <f>SUMIF($H$13:$H$11461,$F11514,T$13:T$11461)+Elec_Rates!T1106</f>
        <v>0</v>
      </c>
      <c r="AR11514" s="1021"/>
      <c r="AS11514" s="1023">
        <v>770</v>
      </c>
    </row>
    <row r="11515" spans="1:45" s="886" customFormat="1" ht="13.2">
      <c r="A11515" s="1021"/>
      <c r="B11515" s="1022">
        <v>33</v>
      </c>
      <c r="C11515" s="1014" t="s">
        <v>73</v>
      </c>
      <c r="D11515" t="s">
        <v>108</v>
      </c>
      <c r="E11515"/>
      <c r="F11515" s="1023">
        <v>790</v>
      </c>
      <c r="G11515"/>
      <c r="H11515"/>
      <c r="I11515"/>
      <c r="J11515"/>
      <c r="K11515"/>
      <c r="L11515"/>
      <c r="M11515"/>
      <c r="N11515"/>
      <c r="O11515" s="116"/>
      <c r="P11515">
        <v>3</v>
      </c>
      <c r="Q11515" s="535"/>
      <c r="R11515" s="1024">
        <f>SUMIF($H$13:$H$11461,$F11515,R$13:R$11461)+Elec_Rates!R1107</f>
        <v>0</v>
      </c>
      <c r="S11515" s="1025"/>
      <c r="T11515" s="1024">
        <f>SUMIF($H$13:$H$11461,$F11515,T$13:T$11461)+Elec_Rates!T1107</f>
        <v>0</v>
      </c>
      <c r="AR11515" s="1021"/>
      <c r="AS11515" s="1023">
        <v>790</v>
      </c>
    </row>
    <row r="11516" spans="1:45" s="886" customFormat="1" ht="13.2">
      <c r="A11516" s="1021"/>
      <c r="B11516" s="1022">
        <v>34</v>
      </c>
      <c r="C11516" s="1014" t="s">
        <v>73</v>
      </c>
      <c r="D11516" t="s">
        <v>109</v>
      </c>
      <c r="E11516"/>
      <c r="F11516" s="1023">
        <v>791</v>
      </c>
      <c r="G11516"/>
      <c r="H11516"/>
      <c r="I11516"/>
      <c r="J11516"/>
      <c r="K11516"/>
      <c r="L11516"/>
      <c r="M11516"/>
      <c r="N11516"/>
      <c r="O11516" s="116"/>
      <c r="P11516">
        <v>3</v>
      </c>
      <c r="Q11516" s="535"/>
      <c r="R11516" s="1024">
        <f>SUMIF($H$13:$H$11461,$F11516,R$13:R$11461)+Elec_Rates!R1108</f>
        <v>0</v>
      </c>
      <c r="S11516" s="1025"/>
      <c r="T11516" s="1024">
        <f>SUMIF($H$13:$H$11461,$F11516,T$13:T$11461)+Elec_Rates!T1108</f>
        <v>0</v>
      </c>
      <c r="AR11516" s="1021"/>
      <c r="AS11516" s="1023">
        <v>791</v>
      </c>
    </row>
    <row r="11517" spans="1:45" s="886" customFormat="1" ht="13.2">
      <c r="A11517" s="1021"/>
      <c r="B11517" s="1022">
        <v>35</v>
      </c>
      <c r="C11517" s="1014" t="s">
        <v>73</v>
      </c>
      <c r="D11517" t="s">
        <v>110</v>
      </c>
      <c r="E11517"/>
      <c r="F11517" s="1023">
        <v>810</v>
      </c>
      <c r="G11517"/>
      <c r="H11517"/>
      <c r="I11517"/>
      <c r="J11517"/>
      <c r="K11517"/>
      <c r="L11517"/>
      <c r="M11517"/>
      <c r="N11517"/>
      <c r="O11517" s="116"/>
      <c r="P11517">
        <v>3</v>
      </c>
      <c r="Q11517" s="535"/>
      <c r="R11517" s="1024">
        <f>SUMIF($H$13:$H$11461,$F11517,R$13:R$11461)+Elec_Rates!R1109</f>
        <v>1650</v>
      </c>
      <c r="S11517" s="1025"/>
      <c r="T11517" s="1024">
        <f>SUMIF($H$13:$H$11461,$F11517,T$13:T$11461)+Elec_Rates!T1109</f>
        <v>3.6</v>
      </c>
      <c r="AR11517" s="1021"/>
      <c r="AS11517" s="1023">
        <v>810</v>
      </c>
    </row>
    <row r="11518" spans="1:45" s="886" customFormat="1" ht="13.2">
      <c r="A11518" s="1021"/>
      <c r="B11518" s="1022">
        <v>36</v>
      </c>
      <c r="C11518" s="1014" t="s">
        <v>73</v>
      </c>
      <c r="D11518" t="s">
        <v>111</v>
      </c>
      <c r="E11518"/>
      <c r="F11518" s="1023">
        <v>815</v>
      </c>
      <c r="G11518"/>
      <c r="H11518"/>
      <c r="I11518"/>
      <c r="J11518"/>
      <c r="K11518"/>
      <c r="L11518"/>
      <c r="M11518"/>
      <c r="N11518"/>
      <c r="O11518" s="116"/>
      <c r="P11518">
        <v>3</v>
      </c>
      <c r="Q11518" s="535"/>
      <c r="R11518" s="1024">
        <f>SUMIF($H$13:$H$11461,$F11518,R$13:R$11461)+Elec_Rates!R1110</f>
        <v>0</v>
      </c>
      <c r="S11518" s="1025"/>
      <c r="T11518" s="1024">
        <f>SUMIF($H$13:$H$11461,$F11518,T$13:T$11461)+Elec_Rates!T1110</f>
        <v>0</v>
      </c>
      <c r="AR11518" s="1021"/>
      <c r="AS11518" s="1023">
        <v>815</v>
      </c>
    </row>
    <row r="11519" spans="1:45" s="886" customFormat="1" ht="13.2">
      <c r="A11519" s="1021"/>
      <c r="B11519" s="1022">
        <v>37</v>
      </c>
      <c r="C11519" s="1014" t="s">
        <v>73</v>
      </c>
      <c r="D11519" t="s">
        <v>112</v>
      </c>
      <c r="E11519"/>
      <c r="F11519" s="1023">
        <v>820</v>
      </c>
      <c r="G11519"/>
      <c r="H11519"/>
      <c r="I11519"/>
      <c r="J11519"/>
      <c r="K11519"/>
      <c r="L11519"/>
      <c r="M11519"/>
      <c r="N11519"/>
      <c r="O11519" s="116"/>
      <c r="P11519">
        <v>2</v>
      </c>
      <c r="Q11519" s="535"/>
      <c r="R11519" s="1024">
        <f>SUMIF($H$13:$H$11461,$F11519,R$13:R$11461)+Elec_Rates!R1111</f>
        <v>0</v>
      </c>
      <c r="S11519" s="1025"/>
      <c r="T11519" s="1024">
        <f>SUMIF($H$13:$H$11461,$F11519,T$13:T$11461)+Elec_Rates!T1111</f>
        <v>0</v>
      </c>
      <c r="AR11519" s="1021"/>
      <c r="AS11519" s="1023">
        <v>820</v>
      </c>
    </row>
    <row r="11520" spans="1:45" s="886" customFormat="1" ht="13.2">
      <c r="A11520" s="1021"/>
      <c r="B11520" s="1022">
        <v>38</v>
      </c>
      <c r="C11520" s="1014" t="s">
        <v>73</v>
      </c>
      <c r="D11520" t="s">
        <v>113</v>
      </c>
      <c r="E11520"/>
      <c r="F11520" s="1023">
        <v>821</v>
      </c>
      <c r="G11520"/>
      <c r="H11520"/>
      <c r="I11520"/>
      <c r="J11520"/>
      <c r="K11520"/>
      <c r="L11520"/>
      <c r="M11520"/>
      <c r="N11520"/>
      <c r="O11520" s="116"/>
      <c r="P11520">
        <v>3</v>
      </c>
      <c r="Q11520" s="535"/>
      <c r="R11520" s="1024">
        <f>SUMIF($H$13:$H$11461,$F11520,R$13:R$11461)+Elec_Rates!R1112</f>
        <v>380</v>
      </c>
      <c r="S11520" s="1025"/>
      <c r="T11520" s="1024">
        <f>SUMIF($H$13:$H$11461,$F11520,T$13:T$11461)+Elec_Rates!T1112</f>
        <v>1.9800000000000004</v>
      </c>
      <c r="AR11520" s="1021"/>
      <c r="AS11520" s="1023">
        <v>821</v>
      </c>
    </row>
    <row r="11521" spans="1:45" s="886" customFormat="1" ht="13.2">
      <c r="A11521" s="1021"/>
      <c r="B11521" s="1022">
        <v>39</v>
      </c>
      <c r="C11521" s="1014" t="s">
        <v>73</v>
      </c>
      <c r="D11521" t="s">
        <v>114</v>
      </c>
      <c r="E11521"/>
      <c r="F11521" s="1023">
        <v>835</v>
      </c>
      <c r="G11521"/>
      <c r="H11521"/>
      <c r="I11521"/>
      <c r="J11521"/>
      <c r="K11521"/>
      <c r="L11521"/>
      <c r="M11521"/>
      <c r="N11521"/>
      <c r="O11521" s="116"/>
      <c r="P11521">
        <v>3</v>
      </c>
      <c r="Q11521" s="535"/>
      <c r="R11521" s="1024">
        <f ca="1">SUMIF($H$13:$H$11461,$F11521,R$13:R$11461)+Elec_Rates!R1113</f>
        <v>45769.903968216837</v>
      </c>
      <c r="S11521" s="1025"/>
      <c r="T11521" s="1024">
        <f ca="1">SUMIF($H$13:$H$11461,$F11521,T$13:T$11461)+Elec_Rates!T1113</f>
        <v>417.06000000000006</v>
      </c>
      <c r="AR11521" s="1021"/>
      <c r="AS11521" s="1023">
        <v>835</v>
      </c>
    </row>
    <row r="11522" spans="1:45" s="886" customFormat="1" ht="13.2">
      <c r="A11522" s="1021"/>
      <c r="B11522" s="1022">
        <v>40</v>
      </c>
      <c r="C11522" s="1014" t="s">
        <v>73</v>
      </c>
      <c r="D11522" t="s">
        <v>115</v>
      </c>
      <c r="E11522"/>
      <c r="F11522" s="1023">
        <v>845</v>
      </c>
      <c r="G11522"/>
      <c r="H11522"/>
      <c r="I11522"/>
      <c r="J11522"/>
      <c r="K11522"/>
      <c r="L11522"/>
      <c r="M11522"/>
      <c r="N11522"/>
      <c r="O11522" s="116"/>
      <c r="P11522">
        <v>2</v>
      </c>
      <c r="Q11522" s="535"/>
      <c r="R11522" s="1024">
        <f ca="1">SUMIF($H$13:$H$11461,$F11522,R$13:R$11461)+Elec_Rates!R1114</f>
        <v>73226.920742901872</v>
      </c>
      <c r="S11522" s="1025"/>
      <c r="T11522" s="1024">
        <f ca="1">SUMIF($H$13:$H$11461,$F11522,T$13:T$11461)+Elec_Rates!T1114</f>
        <v>0</v>
      </c>
      <c r="AR11522" s="1021"/>
      <c r="AS11522" s="1023">
        <v>845</v>
      </c>
    </row>
    <row r="11523" spans="1:45" s="886" customFormat="1" ht="13.2">
      <c r="A11523" s="1021"/>
      <c r="B11523" s="1022">
        <v>41</v>
      </c>
      <c r="C11523" s="1014" t="s">
        <v>73</v>
      </c>
      <c r="D11523" t="s">
        <v>117</v>
      </c>
      <c r="E11523"/>
      <c r="F11523" s="1023">
        <v>855</v>
      </c>
      <c r="G11523"/>
      <c r="H11523"/>
      <c r="I11523"/>
      <c r="J11523"/>
      <c r="K11523"/>
      <c r="L11523"/>
      <c r="M11523"/>
      <c r="N11523"/>
      <c r="O11523" s="116"/>
      <c r="P11523">
        <v>3</v>
      </c>
      <c r="Q11523" s="535"/>
      <c r="R11523" s="1024">
        <f>SUMIF($H$13:$H$11461,$F11523,R$13:R$11461)+Elec_Rates!R1115</f>
        <v>0</v>
      </c>
      <c r="S11523" s="1025"/>
      <c r="T11523" s="1024">
        <f>SUMIF($H$13:$H$11461,$F11523,T$13:T$11461)+Elec_Rates!T1115</f>
        <v>0</v>
      </c>
      <c r="AR11523" s="1021"/>
      <c r="AS11523" s="1023">
        <v>855</v>
      </c>
    </row>
    <row r="11524" spans="1:45" s="886" customFormat="1" ht="13.2">
      <c r="A11524" s="1021"/>
      <c r="B11524" s="1022">
        <v>42</v>
      </c>
      <c r="C11524" s="1014" t="s">
        <v>73</v>
      </c>
      <c r="D11524" t="s">
        <v>118</v>
      </c>
      <c r="E11524"/>
      <c r="F11524" s="1023">
        <v>856</v>
      </c>
      <c r="G11524"/>
      <c r="H11524"/>
      <c r="I11524"/>
      <c r="J11524"/>
      <c r="K11524"/>
      <c r="L11524"/>
      <c r="M11524"/>
      <c r="N11524"/>
      <c r="O11524" s="116"/>
      <c r="P11524">
        <v>3</v>
      </c>
      <c r="Q11524" s="535"/>
      <c r="R11524" s="1024">
        <f>SUMIF($H$13:$H$11461,$F11524,R$13:R$11461)+Elec_Rates!R1116</f>
        <v>0</v>
      </c>
      <c r="S11524" s="1025"/>
      <c r="T11524" s="1024">
        <f>SUMIF($H$13:$H$11461,$F11524,T$13:T$11461)+Elec_Rates!T1116</f>
        <v>0</v>
      </c>
      <c r="AR11524" s="1021"/>
      <c r="AS11524" s="1023">
        <v>856</v>
      </c>
    </row>
    <row r="11525" spans="1:45" s="886" customFormat="1" ht="13.2">
      <c r="A11525" s="1021"/>
      <c r="B11525" s="1022">
        <v>43</v>
      </c>
      <c r="C11525" s="1014" t="s">
        <v>73</v>
      </c>
      <c r="D11525" s="36" t="s">
        <v>264</v>
      </c>
      <c r="E11525"/>
      <c r="F11525" s="1023">
        <v>857</v>
      </c>
      <c r="G11525"/>
      <c r="H11525"/>
      <c r="I11525"/>
      <c r="J11525"/>
      <c r="K11525"/>
      <c r="L11525"/>
      <c r="M11525"/>
      <c r="N11525"/>
      <c r="O11525" s="116"/>
      <c r="P11525">
        <v>4</v>
      </c>
      <c r="Q11525" s="535"/>
      <c r="R11525" s="1024">
        <f>SUMIF($H$13:$H$11461,$F11525,R$13:R$11461)+Elec_Rates!R1117</f>
        <v>13860.000000000002</v>
      </c>
      <c r="S11525" s="1025"/>
      <c r="T11525" s="1024">
        <f>SUMIF($H$13:$H$11461,$F11525,T$13:T$11461)+Elec_Rates!T1117</f>
        <v>8.1</v>
      </c>
      <c r="AR11525" s="1021"/>
      <c r="AS11525" s="1023">
        <v>857</v>
      </c>
    </row>
    <row r="11526" spans="1:45" s="886" customFormat="1" ht="13.2">
      <c r="A11526" s="1021"/>
      <c r="B11526" s="1022">
        <v>44</v>
      </c>
      <c r="C11526" s="1014" t="s">
        <v>73</v>
      </c>
      <c r="D11526" t="s">
        <v>119</v>
      </c>
      <c r="E11526"/>
      <c r="F11526" s="1023">
        <v>858</v>
      </c>
      <c r="G11526"/>
      <c r="H11526"/>
      <c r="I11526"/>
      <c r="J11526"/>
      <c r="K11526"/>
      <c r="L11526"/>
      <c r="M11526"/>
      <c r="N11526"/>
      <c r="O11526" s="116"/>
      <c r="P11526">
        <v>3</v>
      </c>
      <c r="Q11526" s="535"/>
      <c r="R11526" s="1024">
        <f>SUMIF($H$13:$H$11461,$F11526,R$13:R$11461)+Elec_Rates!R1118</f>
        <v>0</v>
      </c>
      <c r="S11526" s="1025"/>
      <c r="T11526" s="1024">
        <f>SUMIF($H$13:$H$11461,$F11526,T$13:T$11461)+Elec_Rates!T1118</f>
        <v>0</v>
      </c>
      <c r="AR11526" s="1021"/>
      <c r="AS11526" s="1023">
        <v>858</v>
      </c>
    </row>
    <row r="11527" spans="1:45" s="886" customFormat="1" ht="13.2">
      <c r="A11527" s="1021"/>
      <c r="B11527" s="1022">
        <v>45</v>
      </c>
      <c r="C11527" s="1014" t="s">
        <v>73</v>
      </c>
      <c r="D11527" t="s">
        <v>120</v>
      </c>
      <c r="E11527"/>
      <c r="F11527" s="1023">
        <v>865</v>
      </c>
      <c r="G11527"/>
      <c r="H11527"/>
      <c r="I11527"/>
      <c r="J11527"/>
      <c r="K11527"/>
      <c r="L11527"/>
      <c r="M11527"/>
      <c r="N11527"/>
      <c r="O11527" s="116"/>
      <c r="P11527">
        <v>3</v>
      </c>
      <c r="Q11527" s="535"/>
      <c r="R11527" s="1024">
        <f>SUMIF($H$13:$H$11461,$F11527,R$13:R$11461)+Elec_Rates!R1119</f>
        <v>0</v>
      </c>
      <c r="S11527" s="1025"/>
      <c r="T11527" s="1024">
        <f>SUMIF($H$13:$H$11461,$F11527,T$13:T$11461)+Elec_Rates!T1119</f>
        <v>0</v>
      </c>
      <c r="AR11527" s="1021"/>
      <c r="AS11527" s="1023">
        <v>865</v>
      </c>
    </row>
    <row r="11528" spans="1:45" s="886" customFormat="1" ht="13.2">
      <c r="A11528" s="1021"/>
      <c r="B11528" s="1022">
        <v>46</v>
      </c>
      <c r="C11528" s="1014" t="s">
        <v>73</v>
      </c>
      <c r="D11528" t="s">
        <v>121</v>
      </c>
      <c r="E11528"/>
      <c r="F11528" s="1023">
        <v>870</v>
      </c>
      <c r="G11528"/>
      <c r="H11528"/>
      <c r="I11528"/>
      <c r="J11528"/>
      <c r="K11528"/>
      <c r="L11528"/>
      <c r="M11528"/>
      <c r="N11528"/>
      <c r="O11528" s="116"/>
      <c r="P11528">
        <v>4</v>
      </c>
      <c r="Q11528" s="535"/>
      <c r="R11528" s="1024">
        <f>SUMIF($H$13:$H$11461,$F11528,R$13:R$11461)+Elec_Rates!R1120</f>
        <v>0</v>
      </c>
      <c r="S11528" s="1025"/>
      <c r="T11528" s="1024">
        <f>SUMIF($H$13:$H$11461,$F11528,T$13:T$11461)+Elec_Rates!T1120</f>
        <v>0</v>
      </c>
      <c r="AR11528" s="1021"/>
      <c r="AS11528" s="1023">
        <v>870</v>
      </c>
    </row>
    <row r="11529" spans="1:45" s="886" customFormat="1" ht="13.2">
      <c r="A11529" s="1021"/>
      <c r="B11529" s="1022">
        <v>47</v>
      </c>
      <c r="C11529" s="1014" t="s">
        <v>73</v>
      </c>
      <c r="D11529" t="s">
        <v>122</v>
      </c>
      <c r="E11529"/>
      <c r="F11529" s="1023">
        <v>875</v>
      </c>
      <c r="G11529"/>
      <c r="H11529"/>
      <c r="I11529"/>
      <c r="J11529"/>
      <c r="K11529"/>
      <c r="L11529"/>
      <c r="M11529"/>
      <c r="N11529"/>
      <c r="O11529" s="116"/>
      <c r="P11529">
        <v>1</v>
      </c>
      <c r="Q11529" s="535"/>
      <c r="R11529" s="1024">
        <f ca="1">SUMIF($H$13:$H$11461,$F11529,R$13:R$11461)+Elec_Rates!R1121</f>
        <v>7255.3582064005986</v>
      </c>
      <c r="S11529" s="1025"/>
      <c r="T11529" s="1024">
        <f ca="1">SUMIF($H$13:$H$11461,$F11529,T$13:T$11461)+Elec_Rates!T1121</f>
        <v>16.330500000000001</v>
      </c>
      <c r="AR11529" s="1021"/>
      <c r="AS11529" s="1023">
        <v>875</v>
      </c>
    </row>
    <row r="11530" spans="1:45" s="886" customFormat="1" ht="13.2">
      <c r="A11530" s="1021"/>
      <c r="B11530" s="1022">
        <v>48</v>
      </c>
      <c r="C11530" s="1014" t="s">
        <v>73</v>
      </c>
      <c r="D11530" t="s">
        <v>123</v>
      </c>
      <c r="E11530"/>
      <c r="F11530" s="1023">
        <v>880</v>
      </c>
      <c r="G11530"/>
      <c r="H11530"/>
      <c r="I11530"/>
      <c r="J11530"/>
      <c r="K11530"/>
      <c r="L11530"/>
      <c r="M11530"/>
      <c r="N11530"/>
      <c r="O11530" s="116"/>
      <c r="P11530">
        <v>3</v>
      </c>
      <c r="Q11530" s="535"/>
      <c r="R11530" s="1024">
        <f>SUMIF($H$13:$H$11461,$F11530,R$13:R$11461)+Elec_Rates!R1122</f>
        <v>7244.4740000000083</v>
      </c>
      <c r="S11530" s="1025"/>
      <c r="T11530" s="1024">
        <f>SUMIF($H$13:$H$11461,$F11530,T$13:T$11461)+Elec_Rates!T1122</f>
        <v>60.075000000000003</v>
      </c>
      <c r="AR11530" s="1021"/>
      <c r="AS11530" s="1023">
        <v>880</v>
      </c>
    </row>
    <row r="11531" spans="1:45" s="886" customFormat="1" ht="13.2">
      <c r="A11531" s="1021"/>
      <c r="B11531" s="1022">
        <v>49</v>
      </c>
      <c r="C11531" s="1014" t="s">
        <v>73</v>
      </c>
      <c r="D11531" t="s">
        <v>124</v>
      </c>
      <c r="E11531"/>
      <c r="F11531" s="1023">
        <v>885</v>
      </c>
      <c r="G11531"/>
      <c r="H11531"/>
      <c r="I11531"/>
      <c r="J11531"/>
      <c r="K11531"/>
      <c r="L11531"/>
      <c r="M11531"/>
      <c r="N11531"/>
      <c r="O11531" s="116"/>
      <c r="P11531">
        <v>4</v>
      </c>
      <c r="Q11531" s="535"/>
      <c r="R11531" s="1024">
        <f>SUMIF($H$13:$H$11461,$F11531,R$13:R$11461)+Elec_Rates!R1123</f>
        <v>0</v>
      </c>
      <c r="S11531" s="1025"/>
      <c r="T11531" s="1024">
        <f>SUMIF($H$13:$H$11461,$F11531,T$13:T$11461)+Elec_Rates!T1123</f>
        <v>0</v>
      </c>
      <c r="AR11531" s="1021"/>
      <c r="AS11531" s="1023">
        <v>885</v>
      </c>
    </row>
    <row r="11532" spans="1:45" s="886" customFormat="1" ht="13.2">
      <c r="A11532" s="1021"/>
      <c r="B11532" s="1022">
        <v>50</v>
      </c>
      <c r="C11532" s="1014" t="s">
        <v>73</v>
      </c>
      <c r="D11532" t="s">
        <v>68</v>
      </c>
      <c r="E11532"/>
      <c r="F11532" s="1023">
        <v>900</v>
      </c>
      <c r="G11532"/>
      <c r="H11532"/>
      <c r="I11532"/>
      <c r="J11532"/>
      <c r="K11532"/>
      <c r="L11532"/>
      <c r="M11532"/>
      <c r="N11532"/>
      <c r="O11532" s="116"/>
      <c r="P11532">
        <v>3</v>
      </c>
      <c r="Q11532" s="535"/>
      <c r="R11532" s="1024">
        <f ca="1">SUMIF($H$13:$H$11461,$F11532,R$13:R$11461)+Elec_Rates!R1124</f>
        <v>0</v>
      </c>
      <c r="S11532" s="1025"/>
      <c r="T11532" s="1024">
        <f ca="1">SUMIF($H$13:$H$11461,$F11532,T$13:T$11461)+Elec_Rates!T1124</f>
        <v>209.62324414715718</v>
      </c>
      <c r="AR11532" s="1021"/>
      <c r="AS11532" s="1023">
        <v>900</v>
      </c>
    </row>
    <row r="11533" spans="1:45" s="886" customFormat="1" ht="13.2">
      <c r="A11533" s="1021"/>
      <c r="B11533" s="1022">
        <v>51</v>
      </c>
      <c r="C11533" s="1014" t="s">
        <v>73</v>
      </c>
      <c r="D11533" t="s">
        <v>126</v>
      </c>
      <c r="E11533"/>
      <c r="F11533" s="1023">
        <v>901</v>
      </c>
      <c r="G11533"/>
      <c r="H11533"/>
      <c r="I11533"/>
      <c r="J11533"/>
      <c r="K11533"/>
      <c r="L11533"/>
      <c r="M11533"/>
      <c r="N11533"/>
      <c r="O11533" s="116"/>
      <c r="P11533">
        <v>1</v>
      </c>
      <c r="Q11533" s="535"/>
      <c r="R11533" s="1024">
        <f>SUMIF($H$13:$H$11461,$F11533,R$13:R$11461)+Elec_Rates!R1125</f>
        <v>0</v>
      </c>
      <c r="S11533" s="1025"/>
      <c r="T11533" s="1024">
        <f>SUMIF($H$13:$H$11461,$F11533,T$13:T$11461)+Elec_Rates!T1125</f>
        <v>0</v>
      </c>
      <c r="AR11533" s="1021"/>
      <c r="AS11533" s="1023">
        <v>901</v>
      </c>
    </row>
    <row r="11534" spans="1:45" s="886" customFormat="1" ht="13.2">
      <c r="A11534" s="1021"/>
      <c r="B11534" s="1022">
        <v>52</v>
      </c>
      <c r="C11534" s="1014" t="s">
        <v>73</v>
      </c>
      <c r="D11534" t="s">
        <v>127</v>
      </c>
      <c r="E11534"/>
      <c r="F11534" s="1023">
        <v>902</v>
      </c>
      <c r="G11534"/>
      <c r="H11534"/>
      <c r="I11534"/>
      <c r="J11534"/>
      <c r="K11534"/>
      <c r="L11534"/>
      <c r="M11534"/>
      <c r="N11534"/>
      <c r="O11534" s="116"/>
      <c r="P11534">
        <v>3</v>
      </c>
      <c r="Q11534" s="535"/>
      <c r="R11534" s="1024">
        <f>SUMIF($H$13:$H$11461,$F11534,R$13:R$11461)+Elec_Rates!R1126</f>
        <v>0</v>
      </c>
      <c r="S11534" s="1025"/>
      <c r="T11534" s="1024">
        <f>SUMIF($H$13:$H$11461,$F11534,T$13:T$11461)+Elec_Rates!T1126</f>
        <v>135.9</v>
      </c>
      <c r="AR11534" s="1021"/>
      <c r="AS11534" s="1023">
        <v>902</v>
      </c>
    </row>
    <row r="11535" spans="1:45" s="886" customFormat="1" ht="13.2">
      <c r="A11535" s="1021"/>
      <c r="B11535" s="1022">
        <v>53</v>
      </c>
      <c r="C11535" s="1014" t="s">
        <v>73</v>
      </c>
      <c r="D11535" s="886" t="s">
        <v>128</v>
      </c>
      <c r="E11535"/>
      <c r="F11535" s="1023">
        <v>960</v>
      </c>
      <c r="G11535"/>
      <c r="H11535"/>
      <c r="I11535"/>
      <c r="J11535"/>
      <c r="K11535"/>
      <c r="L11535"/>
      <c r="M11535"/>
      <c r="N11535"/>
      <c r="O11535" s="116"/>
      <c r="P11535">
        <v>4</v>
      </c>
      <c r="Q11535" s="535"/>
      <c r="R11535" s="1024">
        <f>SUMIF($H$13:$H$11461,$F11535,R$13:R$11461)+Elec_Rates!R1127</f>
        <v>166831.52320000032</v>
      </c>
      <c r="S11535" s="1025"/>
      <c r="T11535" s="1024">
        <f>SUMIF($H$13:$H$11461,$F11535,T$13:T$11461)+Elec_Rates!T1127</f>
        <v>36</v>
      </c>
      <c r="AR11535" s="1021"/>
      <c r="AS11535" s="1023">
        <v>960</v>
      </c>
    </row>
    <row r="11536" spans="1:45" s="886" customFormat="1" ht="13.2">
      <c r="A11536" s="1021"/>
      <c r="B11536" s="1022">
        <v>54</v>
      </c>
      <c r="C11536" s="1014" t="s">
        <v>73</v>
      </c>
      <c r="D11536" s="886" t="s">
        <v>129</v>
      </c>
      <c r="E11536"/>
      <c r="F11536" s="1023">
        <v>961</v>
      </c>
      <c r="G11536"/>
      <c r="H11536"/>
      <c r="I11536"/>
      <c r="J11536"/>
      <c r="K11536"/>
      <c r="L11536"/>
      <c r="M11536"/>
      <c r="N11536"/>
      <c r="O11536" s="116"/>
      <c r="P11536">
        <v>3</v>
      </c>
      <c r="Q11536" s="535"/>
      <c r="R11536" s="1024">
        <f>SUMIF($H$13:$H$11461,$F11536,R$13:R$11461)+Elec_Rates!R1128</f>
        <v>0</v>
      </c>
      <c r="S11536" s="1025"/>
      <c r="T11536" s="1024">
        <f>SUMIF($H$13:$H$11461,$F11536,T$13:T$11461)+Elec_Rates!T1128</f>
        <v>0</v>
      </c>
      <c r="AR11536" s="1021"/>
      <c r="AS11536" s="1023">
        <v>961</v>
      </c>
    </row>
    <row r="11537" spans="1:45" s="886" customFormat="1" ht="13.2">
      <c r="A11537" s="1021"/>
      <c r="B11537" s="1022">
        <v>55</v>
      </c>
      <c r="C11537" s="1014" t="s">
        <v>73</v>
      </c>
      <c r="D11537" s="886" t="s">
        <v>130</v>
      </c>
      <c r="E11537"/>
      <c r="F11537" s="1023">
        <v>962</v>
      </c>
      <c r="G11537"/>
      <c r="H11537"/>
      <c r="I11537"/>
      <c r="J11537"/>
      <c r="K11537"/>
      <c r="L11537"/>
      <c r="M11537"/>
      <c r="N11537"/>
      <c r="O11537" s="116"/>
      <c r="P11537">
        <v>1</v>
      </c>
      <c r="Q11537" s="535"/>
      <c r="R11537" s="1024">
        <f ca="1">SUMIF($H$13:$H$11461,$F11537,R$13:R$11461)+Elec_Rates!R1129</f>
        <v>16244.482565928982</v>
      </c>
      <c r="S11537" s="1025"/>
      <c r="T11537" s="1024">
        <f ca="1">SUMIF($H$13:$H$11461,$F11537,T$13:T$11461)+Elec_Rates!T1129</f>
        <v>28.8</v>
      </c>
      <c r="AR11537" s="1021"/>
      <c r="AS11537" s="1023">
        <v>962</v>
      </c>
    </row>
    <row r="11538" spans="1:45" s="886" customFormat="1" ht="13.2">
      <c r="A11538" s="1021"/>
      <c r="B11538" s="1022">
        <v>56</v>
      </c>
      <c r="C11538" s="1014" t="s">
        <v>73</v>
      </c>
      <c r="D11538" s="886" t="s">
        <v>131</v>
      </c>
      <c r="E11538"/>
      <c r="F11538" s="1023">
        <v>970</v>
      </c>
      <c r="G11538"/>
      <c r="H11538"/>
      <c r="I11538"/>
      <c r="J11538"/>
      <c r="K11538"/>
      <c r="L11538"/>
      <c r="M11538"/>
      <c r="N11538"/>
      <c r="O11538" s="116"/>
      <c r="P11538">
        <v>4</v>
      </c>
      <c r="Q11538" s="535"/>
      <c r="R11538" s="1024">
        <f>SUMIF($H$13:$H$11461,$F11538,R$13:R$11461)+Elec_Rates!R1130</f>
        <v>0</v>
      </c>
      <c r="S11538" s="1025"/>
      <c r="T11538" s="1024">
        <f>SUMIF($H$13:$H$11461,$F11538,T$13:T$11461)+Elec_Rates!T1130</f>
        <v>0</v>
      </c>
      <c r="AR11538" s="1021"/>
      <c r="AS11538" s="1023">
        <v>970</v>
      </c>
    </row>
    <row r="11539" spans="1:45" s="886" customFormat="1" thickBot="1">
      <c r="A11539" s="1026"/>
      <c r="B11539" s="1027"/>
      <c r="C11539" s="1028"/>
      <c r="D11539" s="1029"/>
      <c r="E11539" s="1030"/>
      <c r="F11539" s="1031"/>
      <c r="G11539" s="1030"/>
      <c r="H11539" s="1030"/>
      <c r="I11539" s="1030"/>
      <c r="J11539" s="1030"/>
      <c r="K11539" s="1030"/>
      <c r="L11539" s="1030"/>
      <c r="M11539" s="1030"/>
      <c r="N11539" s="1030"/>
      <c r="O11539" s="1032"/>
      <c r="P11539" s="1030"/>
      <c r="Q11539" s="1143"/>
      <c r="R11539" s="1033"/>
      <c r="S11539" s="1034"/>
      <c r="T11539" s="1033"/>
      <c r="U11539" s="1029"/>
      <c r="V11539" s="1029"/>
      <c r="W11539" s="1029"/>
      <c r="X11539" s="1029"/>
      <c r="Y11539" s="1029"/>
      <c r="Z11539" s="1029"/>
      <c r="AA11539" s="1029"/>
      <c r="AB11539" s="1029"/>
      <c r="AC11539" s="1029"/>
      <c r="AD11539" s="1029"/>
      <c r="AE11539" s="1029"/>
      <c r="AF11539" s="1029"/>
      <c r="AG11539" s="1029"/>
      <c r="AH11539" s="1029"/>
      <c r="AI11539" s="1029"/>
      <c r="AJ11539" s="1029"/>
      <c r="AK11539" s="1029"/>
      <c r="AR11539" s="1026"/>
      <c r="AS11539" s="1031"/>
    </row>
    <row r="11540" spans="1:45" s="886" customFormat="1" thickTop="1">
      <c r="A11540" s="1021"/>
      <c r="B11540" s="1023"/>
      <c r="C11540" s="1014" t="s">
        <v>73</v>
      </c>
      <c r="D11540" s="128"/>
      <c r="E11540"/>
      <c r="F11540" s="1035" t="s">
        <v>152</v>
      </c>
      <c r="G11540" s="1036"/>
      <c r="H11540">
        <v>1</v>
      </c>
      <c r="I11540"/>
      <c r="J11540"/>
      <c r="K11540"/>
      <c r="L11540"/>
      <c r="M11540"/>
      <c r="N11540"/>
      <c r="O11540" s="116"/>
      <c r="P11540"/>
      <c r="Q11540" s="535"/>
      <c r="R11540" s="1024">
        <f ca="1">SUMIF($P11483:$P11538,1,R11483:R11538)</f>
        <v>154649.7829717033</v>
      </c>
      <c r="S11540"/>
      <c r="T11540" s="1024">
        <f ca="1">SUMIF($P11483:$P11538,1,T11483:T11538)</f>
        <v>3955.4729624672918</v>
      </c>
      <c r="AR11540" s="1021"/>
      <c r="AS11540" s="1035" t="s">
        <v>152</v>
      </c>
    </row>
    <row r="11541" spans="1:45" s="886" customFormat="1" ht="13.2">
      <c r="A11541" s="1021"/>
      <c r="B11541" s="1023"/>
      <c r="C11541" s="1014" t="s">
        <v>73</v>
      </c>
      <c r="D11541" s="128"/>
      <c r="E11541"/>
      <c r="F11541" s="1035" t="s">
        <v>153</v>
      </c>
      <c r="G11541" s="1036"/>
      <c r="H11541">
        <v>2</v>
      </c>
      <c r="I11541"/>
      <c r="J11541"/>
      <c r="K11541"/>
      <c r="L11541"/>
      <c r="M11541"/>
      <c r="N11541"/>
      <c r="O11541" s="116"/>
      <c r="P11541"/>
      <c r="Q11541" s="535"/>
      <c r="R11541" s="1024">
        <f ca="1">SUMIF($P11483:$P11538,2,R11483:R11538)</f>
        <v>688663.98383413139</v>
      </c>
      <c r="S11541"/>
      <c r="T11541" s="1024">
        <f ca="1">SUMIF($P11483:$P11538,2,T11483:T11538)</f>
        <v>2931.29917323371</v>
      </c>
      <c r="AR11541" s="1021"/>
      <c r="AS11541" s="1035" t="s">
        <v>153</v>
      </c>
    </row>
    <row r="11542" spans="1:45" s="886" customFormat="1" ht="13.2">
      <c r="A11542" s="1021"/>
      <c r="B11542" s="1023"/>
      <c r="C11542" s="1014" t="s">
        <v>73</v>
      </c>
      <c r="D11542" s="128"/>
      <c r="E11542"/>
      <c r="F11542" s="1035" t="s">
        <v>154</v>
      </c>
      <c r="G11542" s="1036"/>
      <c r="H11542">
        <v>2</v>
      </c>
      <c r="I11542"/>
      <c r="J11542"/>
      <c r="K11542"/>
      <c r="L11542"/>
      <c r="M11542"/>
      <c r="N11542"/>
      <c r="O11542" s="116"/>
      <c r="P11542"/>
      <c r="Q11542" s="535"/>
      <c r="R11542" s="1024">
        <f ca="1">SUMIF($P11483:$P11538,3,R11483:R11538)</f>
        <v>73660.831183382412</v>
      </c>
      <c r="S11542"/>
      <c r="T11542" s="1024">
        <f ca="1">SUMIF($P11483:$P11538,3,T11483:T11538)</f>
        <v>1185.2745897290474</v>
      </c>
      <c r="AR11542" s="1021"/>
      <c r="AS11542" s="1035" t="s">
        <v>154</v>
      </c>
    </row>
    <row r="11543" spans="1:45" s="886" customFormat="1" ht="13.2">
      <c r="A11543" s="1021"/>
      <c r="B11543" s="1023"/>
      <c r="C11543" s="1014" t="s">
        <v>73</v>
      </c>
      <c r="D11543" s="128"/>
      <c r="E11543"/>
      <c r="F11543" s="1035" t="s">
        <v>155</v>
      </c>
      <c r="G11543" s="1036"/>
      <c r="H11543">
        <v>3</v>
      </c>
      <c r="I11543"/>
      <c r="J11543"/>
      <c r="K11543"/>
      <c r="L11543"/>
      <c r="M11543"/>
      <c r="N11543"/>
      <c r="O11543" s="116"/>
      <c r="P11543"/>
      <c r="Q11543" s="535"/>
      <c r="R11543" s="1024">
        <f>SUMIF($P11483:$P11538,4,R11483:R11538)</f>
        <v>180691.52320000032</v>
      </c>
      <c r="S11543"/>
      <c r="T11543" s="1024">
        <f>SUMIF($P11483:$P11538,4,T11483:T11538)</f>
        <v>44.1</v>
      </c>
      <c r="AR11543" s="1021"/>
      <c r="AS11543" s="1035" t="s">
        <v>155</v>
      </c>
    </row>
    <row r="11544" spans="1:45" s="886" customFormat="1" thickBot="1">
      <c r="A11544" s="1026"/>
      <c r="B11544" s="1031"/>
      <c r="C11544" s="1028"/>
      <c r="D11544" s="1037"/>
      <c r="E11544" s="1030"/>
      <c r="F11544" s="1038" t="s">
        <v>156</v>
      </c>
      <c r="G11544" s="1039"/>
      <c r="H11544" s="1040"/>
      <c r="I11544" s="1040"/>
      <c r="J11544" s="1040"/>
      <c r="K11544" s="1040"/>
      <c r="L11544" s="1040"/>
      <c r="M11544" s="1040"/>
      <c r="N11544" s="1040"/>
      <c r="O11544" s="1041"/>
      <c r="P11544" s="1040"/>
      <c r="Q11544" s="1144"/>
      <c r="R11544" s="1042">
        <f ca="1">SUM(R11540:R11543)</f>
        <v>1097666.1211892175</v>
      </c>
      <c r="S11544" s="1043"/>
      <c r="T11544" s="1042">
        <f ca="1">SUM(T11540:T11543)</f>
        <v>8116.1467254300496</v>
      </c>
      <c r="U11544" s="1029"/>
      <c r="V11544" s="1029"/>
      <c r="W11544" s="1029"/>
      <c r="X11544" s="1029"/>
      <c r="Y11544" s="1029"/>
      <c r="Z11544" s="1029"/>
      <c r="AA11544" s="1029"/>
      <c r="AB11544" s="1029"/>
      <c r="AC11544" s="1029"/>
      <c r="AD11544" s="1029"/>
      <c r="AE11544" s="1029"/>
      <c r="AF11544" s="1029"/>
      <c r="AG11544" s="1029"/>
      <c r="AH11544" s="1029"/>
      <c r="AI11544" s="1029"/>
      <c r="AJ11544" s="1029"/>
      <c r="AK11544" s="1029"/>
      <c r="AR11544" s="1026"/>
      <c r="AS11544" s="1038" t="s">
        <v>156</v>
      </c>
    </row>
    <row r="11545" spans="1:45" customFormat="1" thickTop="1">
      <c r="A11545" s="520"/>
      <c r="B11545" s="1044" t="s">
        <v>2731</v>
      </c>
      <c r="C11545" s="128" t="s">
        <v>2731</v>
      </c>
      <c r="D11545" s="128"/>
      <c r="O11545" s="116"/>
      <c r="Q11545" s="535"/>
      <c r="AR11545" s="520"/>
    </row>
    <row r="11546" spans="1:45" customFormat="1" ht="13.2">
      <c r="A11546" s="886"/>
      <c r="O11546" s="116"/>
      <c r="Q11546" s="535"/>
      <c r="AR11546" s="886"/>
    </row>
    <row r="11547" spans="1:45" customFormat="1" ht="13.2">
      <c r="A11547" s="886"/>
      <c r="B11547" s="1045">
        <f t="shared" ref="B11547:B11578" ca="1" si="826">SUMIF($D$13:$D$11461,D11547,$C$13:$C$11461)</f>
        <v>225</v>
      </c>
      <c r="C11547" s="886"/>
      <c r="D11547" s="1046" t="str">
        <f>Elec_Rates!$D$19</f>
        <v>001# Light Point Rate (LSZH Conduit)</v>
      </c>
      <c r="O11547" s="116"/>
      <c r="Q11547" s="51"/>
      <c r="AR11547" s="886"/>
    </row>
    <row r="11548" spans="1:45" customFormat="1" ht="13.2">
      <c r="A11548" s="886"/>
      <c r="B11548" s="1045">
        <f t="shared" ca="1" si="826"/>
        <v>22</v>
      </c>
      <c r="C11548" s="886"/>
      <c r="D11548" s="1046" t="str">
        <f>Elec_Rates!$D$30</f>
        <v>002# Maintaned Emergency Light point rate (LSZH Conduit)</v>
      </c>
      <c r="O11548" s="116"/>
      <c r="Q11548" s="535"/>
      <c r="AR11548" s="886"/>
    </row>
    <row r="11549" spans="1:45" customFormat="1" ht="13.2">
      <c r="A11549" s="886"/>
      <c r="B11549" s="1045">
        <f t="shared" ca="1" si="826"/>
        <v>315</v>
      </c>
      <c r="C11549" s="886"/>
      <c r="D11549" s="1046" t="str">
        <f>Elec_Rates!$D$39</f>
        <v>003# Power Point Rate (LSZH Conduit)</v>
      </c>
      <c r="O11549" s="116"/>
      <c r="Q11549" s="535"/>
      <c r="AR11549" s="886"/>
    </row>
    <row r="11550" spans="1:45" customFormat="1" ht="13.2">
      <c r="A11550" s="886"/>
      <c r="B11550" s="1045">
        <f t="shared" ca="1" si="826"/>
        <v>208.5</v>
      </c>
      <c r="C11550" s="886"/>
      <c r="D11550" s="1046" t="str">
        <f>Elec_Rates!$D$46</f>
        <v>004# Light point rate (Galvanised Conduit)</v>
      </c>
      <c r="O11550" s="116"/>
      <c r="Q11550" s="535"/>
      <c r="AR11550" s="886"/>
    </row>
    <row r="11551" spans="1:45" customFormat="1" ht="13.2">
      <c r="A11551" s="886"/>
      <c r="B11551" s="1045">
        <f t="shared" ca="1" si="826"/>
        <v>43</v>
      </c>
      <c r="C11551" s="886"/>
      <c r="D11551" s="1046" t="str">
        <f>Elec_Rates!$D$56</f>
        <v>005# Externall Light point rate (Galvanised Conduit)</v>
      </c>
      <c r="O11551" s="116"/>
      <c r="Q11551" s="535"/>
      <c r="AR11551" s="886"/>
    </row>
    <row r="11552" spans="1:45" customFormat="1" ht="13.2">
      <c r="A11552" s="886"/>
      <c r="B11552" s="1045">
        <f t="shared" ca="1" si="826"/>
        <v>77</v>
      </c>
      <c r="C11552" s="886"/>
      <c r="D11552" s="1046" t="str">
        <f>Elec_Rates!$D$79</f>
        <v>006# Light point rate (Galvanised Conduit)  in Warehouse</v>
      </c>
      <c r="O11552" s="116"/>
      <c r="Q11552" s="535"/>
      <c r="AR11552" s="886"/>
    </row>
    <row r="11553" spans="1:44" customFormat="1" ht="13.2">
      <c r="A11553" s="886"/>
      <c r="B11553" s="1045">
        <f t="shared" ca="1" si="826"/>
        <v>140</v>
      </c>
      <c r="C11553" s="886"/>
      <c r="D11553" s="1046" t="str">
        <f>Elec_Rates!$D$91</f>
        <v>007# Bracketing for Lighting in Warehouse</v>
      </c>
      <c r="O11553" s="116"/>
      <c r="Q11553" s="535"/>
      <c r="AR11553" s="886"/>
    </row>
    <row r="11554" spans="1:44" customFormat="1" ht="13.2">
      <c r="A11554" s="886"/>
      <c r="B11554" s="1045">
        <f t="shared" ca="1" si="826"/>
        <v>65</v>
      </c>
      <c r="C11554" s="886"/>
      <c r="D11554" s="1046" t="str">
        <f>Elec_Rates!$D$103</f>
        <v>008# Maintained Emergency Light point rate (Galvanised Conduit)</v>
      </c>
      <c r="O11554" s="116"/>
      <c r="Q11554" s="535"/>
      <c r="AR11554" s="886"/>
    </row>
    <row r="11555" spans="1:44" customFormat="1" ht="13.2">
      <c r="A11555" s="886"/>
      <c r="B11555" s="1045">
        <f t="shared" ca="1" si="826"/>
        <v>58</v>
      </c>
      <c r="C11555" s="886"/>
      <c r="D11555" s="1046" t="str">
        <f>Elec_Rates!$D$112</f>
        <v>009# Power points rate (Galvanised conduit)</v>
      </c>
      <c r="O11555" s="116"/>
      <c r="Q11555" s="535"/>
      <c r="AR11555" s="886"/>
    </row>
    <row r="11556" spans="1:44" customFormat="1" ht="13.2">
      <c r="A11556" s="886"/>
      <c r="B11556" s="1045">
        <f t="shared" ca="1" si="826"/>
        <v>14</v>
      </c>
      <c r="C11556" s="886"/>
      <c r="D11556" s="1046" t="str">
        <f>Elec_Rates!$D$120</f>
        <v>010# Power points rate galvanised conduit (CWZ LSZH Cable)</v>
      </c>
      <c r="O11556" s="116"/>
      <c r="Q11556" s="535"/>
      <c r="AR11556" s="886"/>
    </row>
    <row r="11557" spans="1:44" customFormat="1" ht="13.2">
      <c r="A11557" s="886"/>
      <c r="B11557" s="1045">
        <f t="shared" ca="1" si="826"/>
        <v>5</v>
      </c>
      <c r="C11557" s="886"/>
      <c r="D11557" s="1046" t="str">
        <f>Elec_Rates!$D$127</f>
        <v>011# Power points rate LSZH conduit (CWZ LSZH Cable)</v>
      </c>
      <c r="O11557" s="116"/>
      <c r="Q11557" s="535"/>
      <c r="AR11557" s="886"/>
    </row>
    <row r="11558" spans="1:44" customFormat="1" ht="13.2">
      <c r="A11558" s="886"/>
      <c r="B11558" s="1045">
        <f t="shared" ca="1" si="826"/>
        <v>45</v>
      </c>
      <c r="C11558" s="886"/>
      <c r="D11558" s="1046" t="str">
        <f>Elec_Rates!$D$134</f>
        <v>012# Single phase isolator / socket outlet point Galvanised conduit</v>
      </c>
      <c r="O11558" s="116"/>
      <c r="Q11558" s="535"/>
      <c r="AR11558" s="886"/>
    </row>
    <row r="11559" spans="1:44" customFormat="1" ht="13.2">
      <c r="A11559" s="886"/>
      <c r="B11559" s="1045">
        <f t="shared" ca="1" si="826"/>
        <v>12</v>
      </c>
      <c r="C11559" s="886"/>
      <c r="D11559" s="1046" t="str">
        <f>Elec_Rates!$D$141</f>
        <v>013# Single phase isolator / socket outlet point Stainless Steel conduit</v>
      </c>
      <c r="O11559" s="116"/>
      <c r="Q11559" s="535"/>
      <c r="AR11559" s="886"/>
    </row>
    <row r="11560" spans="1:44" customFormat="1" ht="13.2">
      <c r="A11560" s="886"/>
      <c r="B11560" s="1045">
        <f t="shared" ca="1" si="826"/>
        <v>16</v>
      </c>
      <c r="C11560" s="886"/>
      <c r="D11560" s="1046" t="str">
        <f>Elec_Rates!$D$156</f>
        <v>014# 3Pin 16Amp IP67 Unswitched Socket outlet</v>
      </c>
      <c r="O11560" s="116"/>
      <c r="Q11560" s="535"/>
      <c r="AR11560" s="886"/>
    </row>
    <row r="11561" spans="1:44" customFormat="1" ht="13.2">
      <c r="A11561" s="886"/>
      <c r="B11561" s="1045">
        <f t="shared" ca="1" si="826"/>
        <v>20</v>
      </c>
      <c r="C11561" s="886"/>
      <c r="D11561" s="1046" t="str">
        <f>Elec_Rates!$D$165</f>
        <v>015# 3Pin 16Amp IP67 Interlocked Socket outlet</v>
      </c>
      <c r="O11561" s="116"/>
      <c r="Q11561" s="535"/>
      <c r="AR11561" s="886"/>
    </row>
    <row r="11562" spans="1:44" customFormat="1" ht="13.2">
      <c r="A11562" s="886"/>
      <c r="B11562" s="1045">
        <f t="shared" ca="1" si="826"/>
        <v>29</v>
      </c>
      <c r="C11562" s="886"/>
      <c r="D11562" s="1046" t="str">
        <f>Elec_Rates!$D$174</f>
        <v>016# 5Pin 16Amp IP67 Interlocked Socket outlet</v>
      </c>
      <c r="O11562" s="116"/>
      <c r="Q11562" s="535"/>
      <c r="AR11562" s="886"/>
    </row>
    <row r="11563" spans="1:44" customFormat="1" ht="13.2">
      <c r="A11563" s="886"/>
      <c r="B11563" s="1045">
        <f t="shared" ca="1" si="826"/>
        <v>20</v>
      </c>
      <c r="C11563" s="886"/>
      <c r="D11563" s="1046" t="str">
        <f>Elec_Rates!$D$183</f>
        <v>017# 5Pin 32Amp IP67 Interlocked Socket outlet</v>
      </c>
      <c r="O11563" s="116"/>
      <c r="Q11563" s="535"/>
      <c r="AR11563" s="886"/>
    </row>
    <row r="11564" spans="1:44" customFormat="1" ht="13.2">
      <c r="A11564" s="886"/>
      <c r="B11564" s="1045">
        <f t="shared" ca="1" si="826"/>
        <v>34</v>
      </c>
      <c r="C11564" s="886"/>
      <c r="D11564" s="1046" t="str">
        <f>Elec_Rates!$D$192</f>
        <v>018# 1-Phase 25/32A Isolator</v>
      </c>
      <c r="O11564" s="116"/>
      <c r="Q11564" s="535"/>
      <c r="AR11564" s="886"/>
    </row>
    <row r="11565" spans="1:44" customFormat="1" ht="13.2">
      <c r="A11565" s="886"/>
      <c r="B11565" s="1045">
        <f t="shared" ca="1" si="826"/>
        <v>1</v>
      </c>
      <c r="C11565" s="886"/>
      <c r="D11565" s="1046" t="str">
        <f>Elec_Rates!$D$201</f>
        <v>019# 3-Phase 16A Isolator</v>
      </c>
      <c r="O11565" s="116"/>
      <c r="Q11565" s="535"/>
      <c r="AR11565" s="886"/>
    </row>
    <row r="11566" spans="1:44" customFormat="1" ht="13.2">
      <c r="A11566" s="886"/>
      <c r="B11566" s="1045">
        <f t="shared" ca="1" si="826"/>
        <v>15</v>
      </c>
      <c r="C11566" s="886"/>
      <c r="D11566" s="1046" t="str">
        <f>Elec_Rates!$D$210</f>
        <v>020# 3-Phase 20/25/32A Isolator</v>
      </c>
      <c r="O11566" s="116"/>
      <c r="Q11566" s="535"/>
      <c r="AR11566" s="886"/>
    </row>
    <row r="11567" spans="1:44" customFormat="1" ht="13.2">
      <c r="A11567" s="886"/>
      <c r="B11567" s="1045">
        <f t="shared" ca="1" si="826"/>
        <v>10</v>
      </c>
      <c r="C11567" s="886"/>
      <c r="D11567" s="1046" t="str">
        <f>Elec_Rates!$D$219</f>
        <v>021# 3-Phase 40A Isolator</v>
      </c>
      <c r="O11567" s="116"/>
      <c r="Q11567" s="535"/>
      <c r="AR11567" s="886"/>
    </row>
    <row r="11568" spans="1:44" customFormat="1" ht="13.2">
      <c r="A11568" s="886"/>
      <c r="B11568" s="1045">
        <f t="shared" ca="1" si="826"/>
        <v>1</v>
      </c>
      <c r="C11568" s="886"/>
      <c r="D11568" s="1046" t="str">
        <f>Elec_Rates!$D$228</f>
        <v>022# 3-Phase 63A Isolator</v>
      </c>
      <c r="O11568" s="116"/>
      <c r="Q11568" s="535"/>
      <c r="AR11568" s="886"/>
    </row>
    <row r="11569" spans="1:44" customFormat="1" ht="13.2">
      <c r="A11569" s="886"/>
      <c r="B11569" s="1045">
        <f t="shared" ca="1" si="826"/>
        <v>100</v>
      </c>
      <c r="C11569" s="886"/>
      <c r="D11569" s="1046" t="str">
        <f>Elec_Rates!$D$237</f>
        <v>023# 5 x 300mm2  F120 Fire Resistant Cable (BS7846) - XLPE/SWA/LSZH</v>
      </c>
      <c r="O11569" s="116"/>
      <c r="Q11569" s="535"/>
      <c r="AR11569" s="886"/>
    </row>
    <row r="11570" spans="1:44" customFormat="1" ht="13.2">
      <c r="A11570" s="886"/>
      <c r="B11570" s="1045">
        <f t="shared" ca="1" si="826"/>
        <v>300</v>
      </c>
      <c r="C11570" s="886"/>
      <c r="D11570" s="1046" t="str">
        <f>Elec_Rates!$D$249</f>
        <v>024# 5 x 240mm2  F120 Fire Resistant Cable (BS7846) -  XLPE/SWA/LSZH</v>
      </c>
      <c r="O11570" s="116"/>
      <c r="Q11570" s="535"/>
      <c r="AR11570" s="886"/>
    </row>
    <row r="11571" spans="1:44" customFormat="1" ht="13.2">
      <c r="A11571" s="886"/>
      <c r="B11571" s="1045">
        <f t="shared" ca="1" si="826"/>
        <v>330</v>
      </c>
      <c r="C11571" s="886"/>
      <c r="D11571" s="1046" t="str">
        <f>Elec_Rates!$D$261</f>
        <v>025# 5 x 185mm2 XLPE/SWA/LSZH</v>
      </c>
      <c r="O11571" s="116"/>
      <c r="Q11571" s="535"/>
      <c r="AR11571" s="886"/>
    </row>
    <row r="11572" spans="1:44" customFormat="1" ht="13.2">
      <c r="A11572" s="886"/>
      <c r="B11572" s="1045">
        <f t="shared" ca="1" si="826"/>
        <v>155</v>
      </c>
      <c r="C11572" s="886"/>
      <c r="D11572" s="1046" t="str">
        <f>Elec_Rates!$D$271</f>
        <v>026# 5 x 150mm2 XLPE/SWA/LSZH</v>
      </c>
      <c r="O11572" s="116"/>
      <c r="Q11572" s="535"/>
      <c r="AR11572" s="886"/>
    </row>
    <row r="11573" spans="1:44" customFormat="1" ht="13.2">
      <c r="A11573" s="886"/>
      <c r="B11573" s="1045">
        <f t="shared" ca="1" si="826"/>
        <v>445</v>
      </c>
      <c r="C11573" s="886"/>
      <c r="D11573" s="1046" t="str">
        <f>Elec_Rates!$D$281</f>
        <v>027# 5 x 120mm2 F120 Fire Resistant Cable (BS7846) -  XLPE/SWA/LSZH</v>
      </c>
      <c r="O11573" s="116"/>
      <c r="Q11573" s="535"/>
      <c r="AR11573" s="886"/>
    </row>
    <row r="11574" spans="1:44" customFormat="1" ht="13.2">
      <c r="A11574" s="886"/>
      <c r="B11574" s="1045">
        <f t="shared" ca="1" si="826"/>
        <v>15</v>
      </c>
      <c r="C11574" s="886"/>
      <c r="D11574" s="1046" t="str">
        <f>Elec_Rates!$D$293</f>
        <v>028# 5 x 120mm2 XLPE/SWA/LSZH</v>
      </c>
      <c r="O11574" s="116"/>
      <c r="Q11574" s="535"/>
      <c r="AR11574" s="886"/>
    </row>
    <row r="11575" spans="1:44" customFormat="1" ht="13.2">
      <c r="A11575" s="886"/>
      <c r="B11575" s="1045">
        <f t="shared" ca="1" si="826"/>
        <v>290</v>
      </c>
      <c r="C11575" s="886"/>
      <c r="D11575" s="1046" t="str">
        <f>Elec_Rates!$D$303</f>
        <v>029# 5 x 95mm2 F120 Fire Resistant Cable (BS7846) -  XLPE/SWA/LSZH</v>
      </c>
      <c r="O11575" s="116"/>
      <c r="Q11575" s="535"/>
      <c r="AR11575" s="886"/>
    </row>
    <row r="11576" spans="1:44" customFormat="1" ht="13.2">
      <c r="A11576" s="886"/>
      <c r="B11576" s="1045">
        <f t="shared" ca="1" si="826"/>
        <v>290</v>
      </c>
      <c r="C11576" s="886"/>
      <c r="D11576" s="1046" t="str">
        <f>Elec_Rates!$D$315</f>
        <v>030# 5 x 95mm2 XLPE/SWA/LSZH</v>
      </c>
      <c r="O11576" s="116"/>
      <c r="Q11576" s="535"/>
      <c r="AR11576" s="886"/>
    </row>
    <row r="11577" spans="1:44" customFormat="1" ht="13.2">
      <c r="A11577" s="886"/>
      <c r="B11577" s="1045">
        <f t="shared" ca="1" si="826"/>
        <v>155</v>
      </c>
      <c r="C11577" s="886"/>
      <c r="D11577" s="1046" t="str">
        <f>Elec_Rates!$D$325</f>
        <v>031# 5 x 70mm2  F120 Fire Resistant Cable (BS7846) - XLPE/SWA/LSZH</v>
      </c>
      <c r="O11577" s="116"/>
      <c r="Q11577" s="535"/>
      <c r="AR11577" s="886"/>
    </row>
    <row r="11578" spans="1:44" customFormat="1" ht="13.2">
      <c r="A11578" s="886"/>
      <c r="B11578" s="1045">
        <f t="shared" ca="1" si="826"/>
        <v>365</v>
      </c>
      <c r="C11578" s="886"/>
      <c r="D11578" s="1046" t="str">
        <f>Elec_Rates!$D$335</f>
        <v>032# 5 x 50mm2  F120 Fire Resistant Cable (BS7846) - XLPE/SWA/LSZH</v>
      </c>
      <c r="O11578" s="116"/>
      <c r="Q11578" s="535"/>
      <c r="AR11578" s="886"/>
    </row>
    <row r="11579" spans="1:44" customFormat="1" ht="13.2">
      <c r="A11579" s="886"/>
      <c r="B11579" s="1045">
        <f t="shared" ref="B11579:B11610" ca="1" si="827">SUMIF($D$13:$D$11461,D11579,$C$13:$C$11461)</f>
        <v>150</v>
      </c>
      <c r="C11579" s="886"/>
      <c r="D11579" s="1046" t="str">
        <f>Elec_Rates!$D$345</f>
        <v>033# 5 x 35mm2 F120 Fire Resistant Cable (BS7846) -  XLPE/SWA/LSZH</v>
      </c>
      <c r="O11579" s="116"/>
      <c r="Q11579" s="535"/>
      <c r="AR11579" s="886"/>
    </row>
    <row r="11580" spans="1:44" customFormat="1" ht="13.2">
      <c r="A11580" s="886"/>
      <c r="B11580" s="1045">
        <f t="shared" ca="1" si="827"/>
        <v>290</v>
      </c>
      <c r="C11580" s="886"/>
      <c r="D11580" s="1046" t="str">
        <f>Elec_Rates!$D$355</f>
        <v>034# 5 x 35mm2 XLPE/SWA/LSZH</v>
      </c>
      <c r="O11580" s="116"/>
      <c r="Q11580" s="535"/>
      <c r="AR11580" s="886"/>
    </row>
    <row r="11581" spans="1:44" customFormat="1" ht="13.2">
      <c r="A11581" s="886"/>
      <c r="B11581" s="1045">
        <f t="shared" ca="1" si="827"/>
        <v>295</v>
      </c>
      <c r="C11581" s="886"/>
      <c r="D11581" s="1046" t="str">
        <f>Elec_Rates!$D$365</f>
        <v>035# 5 x 25mm2 F120 Fire Resistant Cable (BS7846) -  XLPE/SWA/LSZH</v>
      </c>
      <c r="O11581" s="116"/>
      <c r="Q11581" s="535"/>
      <c r="AR11581" s="886"/>
    </row>
    <row r="11582" spans="1:44" customFormat="1" ht="13.2">
      <c r="A11582" s="886"/>
      <c r="B11582" s="1045">
        <f t="shared" ca="1" si="827"/>
        <v>60</v>
      </c>
      <c r="C11582" s="886"/>
      <c r="D11582" s="1046" t="str">
        <f>Elec_Rates!$D$375</f>
        <v>036# 5 x 25mm2 XLPE/SWA/LSZH</v>
      </c>
      <c r="O11582" s="116"/>
      <c r="Q11582" s="535"/>
      <c r="AR11582" s="886"/>
    </row>
    <row r="11583" spans="1:44" customFormat="1" ht="13.2">
      <c r="A11583" s="886"/>
      <c r="B11583" s="1045">
        <f t="shared" ca="1" si="827"/>
        <v>575</v>
      </c>
      <c r="C11583" s="886"/>
      <c r="D11583" s="1046" t="str">
        <f>Elec_Rates!$D$385</f>
        <v>037# 5 x 16mm2 F120 Fire Resistant Cable (BS7846) -  XLPE/SWA/LSZH</v>
      </c>
      <c r="O11583" s="116"/>
      <c r="Q11583" s="535"/>
      <c r="AR11583" s="886"/>
    </row>
    <row r="11584" spans="1:44" customFormat="1" ht="13.2">
      <c r="A11584" s="886"/>
      <c r="B11584" s="1045">
        <f t="shared" ca="1" si="827"/>
        <v>190</v>
      </c>
      <c r="C11584" s="886"/>
      <c r="D11584" s="1046" t="str">
        <f>Elec_Rates!$D$395</f>
        <v>038# 5 x 16mm2 XLPE/SWA/LSZH</v>
      </c>
      <c r="O11584" s="116"/>
      <c r="Q11584" s="535"/>
      <c r="AR11584" s="886"/>
    </row>
    <row r="11585" spans="1:44" customFormat="1" ht="13.2">
      <c r="A11585" s="886"/>
      <c r="B11585" s="1045">
        <f t="shared" ca="1" si="827"/>
        <v>240</v>
      </c>
      <c r="C11585" s="886"/>
      <c r="D11585" s="1046" t="str">
        <f>Elec_Rates!$D$405</f>
        <v>039# 5 x 10mm2 F120 Fire Resistant Cable (BS7846) -  XLPE/SWA/LSZH</v>
      </c>
      <c r="O11585" s="116"/>
      <c r="Q11585" s="535"/>
      <c r="AR11585" s="886"/>
    </row>
    <row r="11586" spans="1:44" customFormat="1" ht="13.2">
      <c r="A11586" s="886"/>
      <c r="B11586" s="1045">
        <f t="shared" ca="1" si="827"/>
        <v>200</v>
      </c>
      <c r="C11586" s="886"/>
      <c r="D11586" s="1046" t="str">
        <f>Elec_Rates!$D$417</f>
        <v>040# 5 x 10mm2 XLPE/SWA/LSZH</v>
      </c>
      <c r="O11586" s="116"/>
      <c r="Q11586" s="535"/>
      <c r="AR11586" s="886"/>
    </row>
    <row r="11587" spans="1:44" customFormat="1" ht="13.2">
      <c r="A11587" s="886"/>
      <c r="B11587" s="1045">
        <f t="shared" ca="1" si="827"/>
        <v>5</v>
      </c>
      <c r="C11587" s="886"/>
      <c r="D11587" s="1046" t="str">
        <f>Elec_Rates!$D$427</f>
        <v>041# 3 x 10mm2 LSZH/LSZH</v>
      </c>
      <c r="O11587" s="116"/>
      <c r="Q11587" s="535"/>
      <c r="AR11587" s="886"/>
    </row>
    <row r="11588" spans="1:44" customFormat="1" ht="13.2">
      <c r="A11588" s="886"/>
      <c r="B11588" s="1045">
        <f t="shared" ca="1" si="827"/>
        <v>1810</v>
      </c>
      <c r="C11588" s="886"/>
      <c r="D11588" s="1046" t="str">
        <f>Elec_Rates!$D$437</f>
        <v>042# 5 x 6mm2 XLPE/SWA/LSZH</v>
      </c>
      <c r="O11588" s="116"/>
      <c r="Q11588" s="535"/>
      <c r="AR11588" s="886"/>
    </row>
    <row r="11589" spans="1:44" customFormat="1" ht="13.2">
      <c r="A11589" s="886"/>
      <c r="B11589" s="1045">
        <f t="shared" ca="1" si="827"/>
        <v>20</v>
      </c>
      <c r="C11589" s="886"/>
      <c r="D11589" s="1046" t="str">
        <f>Elec_Rates!$D$448</f>
        <v>043# 3 x 6mm2 LSZH/LSZH</v>
      </c>
      <c r="O11589" s="116"/>
      <c r="Q11589" s="535"/>
      <c r="AR11589" s="886"/>
    </row>
    <row r="11590" spans="1:44" customFormat="1" ht="13.2">
      <c r="A11590" s="886"/>
      <c r="B11590" s="1045">
        <f t="shared" ca="1" si="827"/>
        <v>150</v>
      </c>
      <c r="C11590" s="886"/>
      <c r="D11590" s="1046" t="str">
        <f>Elec_Rates!$D$458</f>
        <v>044# 5 x 4mm2 F120 Fire Resistant Cable (BS7846) -  XLPE/SWA/LSZH</v>
      </c>
      <c r="O11590" s="116"/>
      <c r="Q11590" s="535"/>
      <c r="AR11590" s="886"/>
    </row>
    <row r="11591" spans="1:44" customFormat="1" ht="13.2">
      <c r="A11591" s="886"/>
      <c r="B11591" s="1045">
        <f t="shared" ca="1" si="827"/>
        <v>280</v>
      </c>
      <c r="C11591" s="886"/>
      <c r="D11591" s="1046" t="str">
        <f>Elec_Rates!$D$468</f>
        <v>045# 5 x 4mm2 XLPE/SWA/LSZH</v>
      </c>
      <c r="O11591" s="116"/>
      <c r="Q11591" s="535"/>
      <c r="AR11591" s="886"/>
    </row>
    <row r="11592" spans="1:44" customFormat="1" ht="13.2">
      <c r="A11592" s="886"/>
      <c r="B11592" s="1045">
        <f t="shared" ca="1" si="827"/>
        <v>865</v>
      </c>
      <c r="C11592" s="886"/>
      <c r="D11592" s="1046" t="str">
        <f>Elec_Rates!$D$478</f>
        <v>046# 3 x 4mm2 XLPE/SWA/LSZH</v>
      </c>
      <c r="O11592" s="116"/>
      <c r="Q11592" s="535"/>
      <c r="AR11592" s="886"/>
    </row>
    <row r="11593" spans="1:44" customFormat="1" ht="13.2">
      <c r="A11593" s="886"/>
      <c r="B11593" s="1045">
        <f t="shared" ca="1" si="827"/>
        <v>675</v>
      </c>
      <c r="C11593" s="886"/>
      <c r="D11593" s="1046" t="str">
        <f>Elec_Rates!$D$488</f>
        <v>047# 5 x 2.5mm2 F120 Fire Resistant Cable (BS7846) -  XLPE/SWA/LSZH</v>
      </c>
      <c r="O11593" s="116"/>
      <c r="Q11593" s="535"/>
      <c r="AR11593" s="886"/>
    </row>
    <row r="11594" spans="1:44" customFormat="1" ht="13.2">
      <c r="A11594" s="886"/>
      <c r="B11594" s="1045">
        <f t="shared" ca="1" si="827"/>
        <v>795</v>
      </c>
      <c r="C11594" s="886"/>
      <c r="D11594" s="1046" t="str">
        <f>Elec_Rates!$D$498</f>
        <v>047# 5 x 2.5mm2 F120 Fire Resistant Cable (BS7846) -  XLPE/SWA/LSZH - at high level</v>
      </c>
      <c r="O11594" s="116"/>
      <c r="Q11594" s="535"/>
      <c r="AR11594" s="886"/>
    </row>
    <row r="11595" spans="1:44" customFormat="1" ht="13.2">
      <c r="A11595" s="886"/>
      <c r="B11595" s="1045">
        <f t="shared" ca="1" si="827"/>
        <v>745</v>
      </c>
      <c r="C11595" s="886"/>
      <c r="D11595" s="1046" t="str">
        <f>Elec_Rates!$D$510</f>
        <v>048# 5 x 2.5mm2 XLPE/SWA/LSZH</v>
      </c>
      <c r="O11595" s="116"/>
      <c r="Q11595" s="535"/>
      <c r="AR11595" s="886"/>
    </row>
    <row r="11596" spans="1:44" customFormat="1" ht="13.2">
      <c r="A11596" s="886"/>
      <c r="B11596" s="1045">
        <f t="shared" ca="1" si="827"/>
        <v>470</v>
      </c>
      <c r="C11596" s="886"/>
      <c r="D11596" s="1046" t="str">
        <f>Elec_Rates!$D$520</f>
        <v>049# 5 x 2.5mm2 XLPE/SWA/LSZH in stainless steel sleeves at warehouse level 0</v>
      </c>
      <c r="O11596" s="116"/>
      <c r="Q11596" s="535"/>
      <c r="AR11596" s="886"/>
    </row>
    <row r="11597" spans="1:44" customFormat="1" ht="13.2">
      <c r="A11597" s="886"/>
      <c r="B11597" s="1045">
        <f t="shared" ca="1" si="827"/>
        <v>60</v>
      </c>
      <c r="C11597" s="886"/>
      <c r="D11597" s="1046" t="str">
        <f>Elec_Rates!$D$545</f>
        <v>050# Install only Light fitting Type A1</v>
      </c>
      <c r="O11597" s="116"/>
      <c r="Q11597" s="535"/>
      <c r="AR11597" s="886"/>
    </row>
    <row r="11598" spans="1:44" customFormat="1" ht="13.2">
      <c r="A11598" s="886"/>
      <c r="B11598" s="1045">
        <f t="shared" ca="1" si="827"/>
        <v>25</v>
      </c>
      <c r="C11598" s="886"/>
      <c r="D11598" s="1046" t="str">
        <f>Elec_Rates!$D$552</f>
        <v>051# Install only Light fitting Type A2</v>
      </c>
      <c r="O11598" s="116"/>
      <c r="Q11598" s="535"/>
      <c r="AR11598" s="886"/>
    </row>
    <row r="11599" spans="1:44" customFormat="1" ht="13.2">
      <c r="A11599" s="886"/>
      <c r="B11599" s="1045">
        <f t="shared" ca="1" si="827"/>
        <v>169</v>
      </c>
      <c r="C11599" s="886"/>
      <c r="D11599" s="1046" t="str">
        <f>Elec_Rates!$D$559</f>
        <v>052# Install only Light fitting Type B1</v>
      </c>
      <c r="O11599" s="116"/>
      <c r="Q11599" s="535"/>
      <c r="AR11599" s="886"/>
    </row>
    <row r="11600" spans="1:44" customFormat="1" ht="13.2">
      <c r="A11600" s="886"/>
      <c r="B11600" s="1045">
        <f t="shared" ca="1" si="827"/>
        <v>103</v>
      </c>
      <c r="C11600" s="886"/>
      <c r="D11600" s="1046" t="str">
        <f>Elec_Rates!$D$568</f>
        <v>053# Install only Light fitting Type B2</v>
      </c>
      <c r="O11600" s="116"/>
      <c r="Q11600" s="535"/>
      <c r="AR11600" s="886"/>
    </row>
    <row r="11601" spans="1:44" customFormat="1" ht="13.2">
      <c r="A11601" s="886"/>
      <c r="B11601" s="1045">
        <f t="shared" ca="1" si="827"/>
        <v>6</v>
      </c>
      <c r="C11601" s="886"/>
      <c r="D11601" s="1046" t="str">
        <f>Elec_Rates!$D$577</f>
        <v>054# Install only Light fitting Type C2</v>
      </c>
      <c r="O11601" s="116"/>
      <c r="Q11601" s="535"/>
      <c r="AR11601" s="886"/>
    </row>
    <row r="11602" spans="1:44" customFormat="1" ht="13.2">
      <c r="A11602" s="886"/>
      <c r="B11602" s="1045">
        <f t="shared" ca="1" si="827"/>
        <v>50</v>
      </c>
      <c r="C11602" s="886"/>
      <c r="D11602" s="1046" t="str">
        <f>Elec_Rates!$D$586</f>
        <v>055# Install only Light fitting Type D1</v>
      </c>
      <c r="O11602" s="116"/>
      <c r="Q11602" s="535"/>
      <c r="AR11602" s="886"/>
    </row>
    <row r="11603" spans="1:44" customFormat="1" ht="13.2">
      <c r="A11603" s="886"/>
      <c r="B11603" s="1045">
        <f t="shared" ca="1" si="827"/>
        <v>51</v>
      </c>
      <c r="C11603" s="886"/>
      <c r="D11603" s="1046" t="str">
        <f>Elec_Rates!$D$595</f>
        <v>056# Install only Light fitting Type E1</v>
      </c>
      <c r="O11603" s="116"/>
      <c r="Q11603" s="535"/>
      <c r="AR11603" s="886"/>
    </row>
    <row r="11604" spans="1:44" customFormat="1" ht="13.2">
      <c r="A11604" s="886"/>
      <c r="B11604" s="1045">
        <f t="shared" ca="1" si="827"/>
        <v>1</v>
      </c>
      <c r="C11604" s="886"/>
      <c r="D11604" s="1046" t="str">
        <f>Elec_Rates!$D$604</f>
        <v>057# Install only Light fitting Type E2</v>
      </c>
      <c r="O11604" s="116"/>
      <c r="Q11604" s="535"/>
      <c r="AR11604" s="886"/>
    </row>
    <row r="11605" spans="1:44" customFormat="1" ht="13.2">
      <c r="A11605" s="886"/>
      <c r="B11605" s="1045">
        <f t="shared" ca="1" si="827"/>
        <v>2</v>
      </c>
      <c r="C11605" s="886"/>
      <c r="D11605" s="1046" t="str">
        <f>Elec_Rates!$D$613</f>
        <v>058# Install only Light fitting Type F1</v>
      </c>
      <c r="O11605" s="116"/>
      <c r="Q11605" s="535"/>
      <c r="AR11605" s="886"/>
    </row>
    <row r="11606" spans="1:44" customFormat="1" ht="13.2">
      <c r="A11606" s="886"/>
      <c r="B11606" s="1045">
        <f t="shared" ca="1" si="827"/>
        <v>12</v>
      </c>
      <c r="C11606" s="886"/>
      <c r="D11606" s="1046" t="str">
        <f>Elec_Rates!$D$622</f>
        <v>059# Install only Light fitting Type F2</v>
      </c>
      <c r="O11606" s="116"/>
      <c r="Q11606" s="535"/>
      <c r="AR11606" s="886"/>
    </row>
    <row r="11607" spans="1:44" customFormat="1" ht="13.2">
      <c r="A11607" s="886"/>
      <c r="B11607" s="1045">
        <f t="shared" ca="1" si="827"/>
        <v>17</v>
      </c>
      <c r="C11607" s="886"/>
      <c r="D11607" s="1046" t="str">
        <f>Elec_Rates!$D$631</f>
        <v>060# Install only Light fitting Type G1</v>
      </c>
      <c r="O11607" s="116"/>
      <c r="Q11607" s="535"/>
      <c r="AR11607" s="886"/>
    </row>
    <row r="11608" spans="1:44" customFormat="1" ht="13.2">
      <c r="A11608" s="886"/>
      <c r="B11608" s="1045">
        <f t="shared" ca="1" si="827"/>
        <v>6</v>
      </c>
      <c r="C11608" s="886"/>
      <c r="D11608" s="1046" t="str">
        <f>Elec_Rates!$D$640</f>
        <v>061# Install only Light fitting Type G2</v>
      </c>
      <c r="O11608" s="116"/>
      <c r="Q11608" s="535"/>
      <c r="AR11608" s="886"/>
    </row>
    <row r="11609" spans="1:44" customFormat="1" ht="13.2">
      <c r="A11609" s="886"/>
      <c r="B11609" s="1045">
        <f t="shared" ca="1" si="827"/>
        <v>44</v>
      </c>
      <c r="C11609" s="886"/>
      <c r="D11609" s="1046" t="str">
        <f>Elec_Rates!$D$649</f>
        <v>062# Install only Light fitting Type G3</v>
      </c>
      <c r="O11609" s="116"/>
      <c r="Q11609" s="535"/>
      <c r="AR11609" s="886"/>
    </row>
    <row r="11610" spans="1:44" customFormat="1" ht="13.2">
      <c r="A11610" s="886"/>
      <c r="B11610" s="1045">
        <f t="shared" ca="1" si="827"/>
        <v>22</v>
      </c>
      <c r="C11610" s="886"/>
      <c r="D11610" s="1046" t="str">
        <f>Elec_Rates!$D$658</f>
        <v>063# Install only Light fitting Type G4</v>
      </c>
      <c r="O11610" s="116"/>
      <c r="Q11610" s="535"/>
      <c r="AR11610" s="886"/>
    </row>
    <row r="11611" spans="1:44" customFormat="1" ht="13.2">
      <c r="A11611" s="886"/>
      <c r="B11611" s="1045">
        <f t="shared" ref="B11611:B11643" ca="1" si="828">SUMIF($D$13:$D$11461,D11611,$C$13:$C$11461)</f>
        <v>20</v>
      </c>
      <c r="C11611" s="886"/>
      <c r="D11611" s="1046" t="str">
        <f>Elec_Rates!$D$667</f>
        <v>064# Install only Light fitting Type H1</v>
      </c>
      <c r="O11611" s="116"/>
      <c r="Q11611" s="535"/>
      <c r="AR11611" s="886"/>
    </row>
    <row r="11612" spans="1:44" customFormat="1" ht="13.2">
      <c r="A11612" s="886"/>
      <c r="B11612" s="1045">
        <f t="shared" ca="1" si="828"/>
        <v>108</v>
      </c>
      <c r="C11612" s="886"/>
      <c r="D11612" s="1046" t="str">
        <f>Elec_Rates!$D$676</f>
        <v>065# Install only Light fitting Type I1</v>
      </c>
      <c r="O11612" s="116"/>
      <c r="Q11612" s="535"/>
      <c r="AR11612" s="886"/>
    </row>
    <row r="11613" spans="1:44" customFormat="1" ht="13.2">
      <c r="A11613" s="886"/>
      <c r="B11613" s="1045">
        <f t="shared" ca="1" si="828"/>
        <v>97</v>
      </c>
      <c r="C11613" s="886"/>
      <c r="D11613" s="1046" t="str">
        <f>Elec_Rates!$D$688</f>
        <v>066# Install only Light fitting Type J1</v>
      </c>
      <c r="O11613" s="116"/>
      <c r="Q11613" s="535"/>
      <c r="AR11613" s="886"/>
    </row>
    <row r="11614" spans="1:44" customFormat="1" ht="13.2">
      <c r="A11614" s="886"/>
      <c r="B11614" s="1045">
        <f t="shared" ca="1" si="828"/>
        <v>14</v>
      </c>
      <c r="C11614" s="886"/>
      <c r="D11614" s="1046" t="str">
        <f>Elec_Rates!$D$697</f>
        <v>067# Install only Light fitting Type J2</v>
      </c>
      <c r="O11614" s="116"/>
      <c r="Q11614" s="535"/>
      <c r="AR11614" s="886"/>
    </row>
    <row r="11615" spans="1:44" customFormat="1" ht="13.2">
      <c r="A11615" s="886"/>
      <c r="B11615" s="1045">
        <f t="shared" ca="1" si="828"/>
        <v>31</v>
      </c>
      <c r="C11615" s="886"/>
      <c r="D11615" s="1046" t="str">
        <f>Elec_Rates!$D$706</f>
        <v>068# Install only Light fitting Type J3</v>
      </c>
      <c r="O11615" s="116"/>
      <c r="Q11615" s="535"/>
      <c r="AR11615" s="886"/>
    </row>
    <row r="11616" spans="1:44" customFormat="1" ht="13.2">
      <c r="A11616" s="886"/>
      <c r="B11616" s="1045">
        <f t="shared" ca="1" si="828"/>
        <v>43</v>
      </c>
      <c r="C11616" s="886"/>
      <c r="D11616" s="1046" t="str">
        <f>Elec_Rates!$D$715</f>
        <v>069# Install only Light fitting Type L1</v>
      </c>
      <c r="O11616" s="116"/>
      <c r="Q11616" s="535"/>
      <c r="AR11616" s="886"/>
    </row>
    <row r="11617" spans="1:44" customFormat="1" ht="13.2">
      <c r="A11617" s="886"/>
      <c r="B11617" s="1045">
        <f t="shared" ca="1" si="828"/>
        <v>35</v>
      </c>
      <c r="C11617" s="886"/>
      <c r="D11617" s="1046" t="str">
        <f>Elec_Rates!$D$723</f>
        <v>070# Install only Light fitting Type M1</v>
      </c>
      <c r="O11617" s="116"/>
      <c r="Q11617" s="535"/>
      <c r="AR11617" s="886"/>
    </row>
    <row r="11618" spans="1:44" customFormat="1" ht="13.2">
      <c r="A11618" s="886"/>
      <c r="B11618" s="1045">
        <f t="shared" ca="1" si="828"/>
        <v>435</v>
      </c>
      <c r="C11618" s="886"/>
      <c r="D11618" s="1046" t="str">
        <f>Elec_Rates!$D$739</f>
        <v>071# 500mm cable Tray</v>
      </c>
      <c r="O11618" s="116"/>
      <c r="Q11618" s="535"/>
      <c r="AR11618" s="886"/>
    </row>
    <row r="11619" spans="1:44" customFormat="1" ht="13.2">
      <c r="A11619" s="886"/>
      <c r="B11619" s="1045">
        <f t="shared" ca="1" si="828"/>
        <v>90</v>
      </c>
      <c r="C11619" s="886"/>
      <c r="D11619" s="1046" t="str">
        <f>Elec_Rates!$D$751</f>
        <v>072# 400mm cable Tray</v>
      </c>
      <c r="O11619" s="116"/>
      <c r="Q11619" s="535"/>
      <c r="AR11619" s="886"/>
    </row>
    <row r="11620" spans="1:44" customFormat="1" ht="13.2">
      <c r="A11620" s="886"/>
      <c r="B11620" s="1045">
        <f t="shared" ca="1" si="828"/>
        <v>300</v>
      </c>
      <c r="C11620" s="886"/>
      <c r="D11620" s="1046" t="str">
        <f>Elec_Rates!$D$762</f>
        <v>073# 300mm cable Tray</v>
      </c>
      <c r="O11620" s="116"/>
      <c r="Q11620" s="535"/>
      <c r="AR11620" s="886"/>
    </row>
    <row r="11621" spans="1:44" customFormat="1" ht="13.2">
      <c r="A11621" s="886"/>
      <c r="B11621" s="1045">
        <f t="shared" ca="1" si="828"/>
        <v>105</v>
      </c>
      <c r="C11621" s="886"/>
      <c r="D11621" s="1046" t="str">
        <f>Elec_Rates!$D$774</f>
        <v>074# 200mm cable Tray</v>
      </c>
      <c r="O11621" s="116"/>
      <c r="Q11621" s="535"/>
      <c r="AR11621" s="886"/>
    </row>
    <row r="11622" spans="1:44" customFormat="1" ht="13.2">
      <c r="A11622" s="886"/>
      <c r="B11622" s="1045">
        <f t="shared" ca="1" si="828"/>
        <v>425</v>
      </c>
      <c r="C11622" s="886"/>
      <c r="D11622" s="1046" t="str">
        <f>Elec_Rates!$D$785</f>
        <v>075# 100mm cable Tray</v>
      </c>
      <c r="O11622" s="116"/>
      <c r="Q11622" s="535"/>
      <c r="AR11622" s="886"/>
    </row>
    <row r="11623" spans="1:44" customFormat="1" ht="13.2">
      <c r="A11623" s="886"/>
      <c r="B11623" s="1045">
        <f t="shared" ca="1" si="828"/>
        <v>40</v>
      </c>
      <c r="C11623" s="886"/>
      <c r="D11623" s="1046" t="str">
        <f>Elec_Rates!$D$797</f>
        <v>076# 50mm Galvanised Steel Cable tray</v>
      </c>
      <c r="O11623" s="116"/>
      <c r="Q11623" s="535"/>
      <c r="AR11623" s="886"/>
    </row>
    <row r="11624" spans="1:44" customFormat="1" ht="13.2">
      <c r="A11624" s="886"/>
      <c r="B11624" s="1045">
        <f t="shared" ca="1" si="828"/>
        <v>355</v>
      </c>
      <c r="C11624" s="886"/>
      <c r="D11624" s="1046" t="str">
        <f>Elec_Rates!$D$808</f>
        <v>077# 75x50mm galvanised steel cable trunking</v>
      </c>
      <c r="O11624" s="116"/>
      <c r="Q11624" s="535"/>
      <c r="AR11624" s="886"/>
    </row>
    <row r="11625" spans="1:44" customFormat="1" ht="13.2">
      <c r="A11625" s="886"/>
      <c r="B11625" s="1045">
        <f t="shared" ca="1" si="828"/>
        <v>1133.0434782608695</v>
      </c>
      <c r="C11625" s="886"/>
      <c r="D11625" s="1046" t="str">
        <f>Elec_Rates!$D$822</f>
        <v>078# 75x75mm galvanised steel cable trunking</v>
      </c>
      <c r="O11625" s="116"/>
      <c r="Q11625" s="535"/>
      <c r="AR11625" s="886"/>
    </row>
    <row r="11626" spans="1:44" customFormat="1" ht="13.2">
      <c r="A11626" s="886"/>
      <c r="B11626" s="1045">
        <f t="shared" ca="1" si="828"/>
        <v>115</v>
      </c>
      <c r="C11626" s="886"/>
      <c r="D11626" s="1046" t="str">
        <f>Elec_Rates!$D$837</f>
        <v>079# 100x75mm galvanised steel cable trunking</v>
      </c>
      <c r="O11626" s="116"/>
      <c r="Q11626" s="535"/>
      <c r="AR11626" s="886"/>
    </row>
    <row r="11627" spans="1:44" customFormat="1" ht="13.2">
      <c r="A11627" s="886"/>
      <c r="B11627" s="1045">
        <f t="shared" ca="1" si="828"/>
        <v>105</v>
      </c>
      <c r="C11627" s="886"/>
      <c r="D11627" s="1046" t="str">
        <f>Elec_Rates!$D$851</f>
        <v>080# 150x75mm galvanised steel cable trunking</v>
      </c>
      <c r="O11627" s="116"/>
      <c r="Q11627" s="535"/>
      <c r="AR11627" s="886"/>
    </row>
    <row r="11628" spans="1:44" customFormat="1" ht="13.2">
      <c r="A11628" s="886"/>
      <c r="B11628" s="1045">
        <f t="shared" ca="1" si="828"/>
        <v>45</v>
      </c>
      <c r="C11628" s="886"/>
      <c r="D11628" s="1046" t="str">
        <f>Elec_Rates!$D$865</f>
        <v>081# 200x100mm galvanised steel cable trunking</v>
      </c>
      <c r="O11628" s="116"/>
      <c r="Q11628" s="535"/>
      <c r="AR11628" s="886"/>
    </row>
    <row r="11629" spans="1:44" customFormat="1" ht="13.2">
      <c r="A11629" s="886"/>
      <c r="B11629" s="1045">
        <f t="shared" ca="1" si="828"/>
        <v>10</v>
      </c>
      <c r="C11629" s="886"/>
      <c r="D11629" s="1046" t="str">
        <f>Elec_Rates!$D$879</f>
        <v>082# 250x75mm galvanised steel cable trunking</v>
      </c>
      <c r="O11629" s="116"/>
      <c r="Q11629" s="535"/>
      <c r="AR11629" s="886"/>
    </row>
    <row r="11630" spans="1:44" customFormat="1" ht="13.2">
      <c r="A11630" s="886"/>
      <c r="B11630" s="1045">
        <f t="shared" ca="1" si="828"/>
        <v>10</v>
      </c>
      <c r="C11630" s="886"/>
      <c r="D11630" s="1046" t="str">
        <f>Elec_Rates!$D$893</f>
        <v>083# 400x100mm galvanised steel cable trunking</v>
      </c>
      <c r="O11630" s="116"/>
      <c r="Q11630" s="535"/>
      <c r="AR11630" s="886"/>
    </row>
    <row r="11631" spans="1:44" customFormat="1" ht="13.2">
      <c r="A11631" s="886"/>
      <c r="B11631" s="1045">
        <f t="shared" ca="1" si="828"/>
        <v>1498.0434782608695</v>
      </c>
      <c r="C11631" s="886"/>
      <c r="D11631" s="1046" t="str">
        <f>Elec_Rates!$D$907</f>
        <v>084# Bracket for 50-150mm cable tray/basket/trunking</v>
      </c>
      <c r="O11631" s="116"/>
      <c r="Q11631" s="535"/>
      <c r="AR11631" s="886"/>
    </row>
    <row r="11632" spans="1:44" customFormat="1" ht="13.2">
      <c r="A11632" s="886"/>
      <c r="B11632" s="1045">
        <f t="shared" ca="1" si="828"/>
        <v>390</v>
      </c>
      <c r="C11632" s="886"/>
      <c r="D11632" s="1046" t="str">
        <f>Elec_Rates!$D$920</f>
        <v>085# Bracket for 200-300mm cable tray/basket</v>
      </c>
      <c r="O11632" s="116"/>
      <c r="Q11632" s="535"/>
      <c r="AR11632" s="886"/>
    </row>
    <row r="11633" spans="1:45" customFormat="1" ht="13.2">
      <c r="A11633" s="886"/>
      <c r="B11633" s="1045">
        <f t="shared" ca="1" si="828"/>
        <v>465</v>
      </c>
      <c r="C11633" s="886"/>
      <c r="D11633" s="1046" t="str">
        <f>Elec_Rates!$D$933</f>
        <v>086# Bracket for 400-600mm cable tray/basket</v>
      </c>
      <c r="O11633" s="116"/>
      <c r="Q11633" s="535"/>
      <c r="AR11633" s="886"/>
    </row>
    <row r="11634" spans="1:45" customFormat="1" ht="13.2">
      <c r="A11634" s="886"/>
      <c r="B11634" s="1045">
        <f t="shared" ca="1" si="828"/>
        <v>927</v>
      </c>
      <c r="C11634" s="886"/>
      <c r="D11634" s="1046" t="str">
        <f>Elec_Rates!$D$948</f>
        <v>087# Bracket for Cable containment in warehouse</v>
      </c>
      <c r="O11634" s="116"/>
      <c r="Q11634" s="535"/>
      <c r="AR11634" s="886"/>
    </row>
    <row r="11635" spans="1:45" customFormat="1" ht="13.2">
      <c r="A11635" s="886"/>
      <c r="B11635" s="1045">
        <f t="shared" ca="1" si="828"/>
        <v>927</v>
      </c>
      <c r="C11635" s="886"/>
      <c r="D11635" s="1046" t="str">
        <f>Elec_Rates!$D$994</f>
        <v>088# Scissors lift in Warehouse for cable tray and trunking (Excluding bracketing)</v>
      </c>
      <c r="O11635" s="116"/>
      <c r="Q11635" s="535"/>
      <c r="AR11635" s="886"/>
    </row>
    <row r="11636" spans="1:45" customFormat="1" ht="13.2">
      <c r="A11636" s="886"/>
      <c r="B11636" s="1045">
        <f t="shared" ca="1" si="828"/>
        <v>67</v>
      </c>
      <c r="C11636" s="886"/>
      <c r="D11636" s="1046" t="str">
        <f>Elec_Rates!$D$1005</f>
        <v>089# Galvanised Conduit point for Data at level 0</v>
      </c>
      <c r="O11636" s="116"/>
      <c r="Q11636" s="535"/>
      <c r="AR11636" s="886"/>
    </row>
    <row r="11637" spans="1:45" customFormat="1" ht="13.2">
      <c r="A11637" s="886"/>
      <c r="B11637" s="1045">
        <f t="shared" ca="1" si="828"/>
        <v>61</v>
      </c>
      <c r="C11637" s="886"/>
      <c r="D11637" s="1046" t="str">
        <f>Elec_Rates!$D$1011</f>
        <v>089# Galvanised Conduit point for Data at level -1</v>
      </c>
      <c r="O11637" s="116"/>
      <c r="Q11637" s="535"/>
      <c r="AR11637" s="886"/>
    </row>
    <row r="11638" spans="1:45" customFormat="1" ht="13.2">
      <c r="A11638" s="886"/>
      <c r="B11638" s="1045">
        <f t="shared" ca="1" si="828"/>
        <v>192</v>
      </c>
      <c r="C11638" s="886"/>
      <c r="D11638" s="1046" t="str">
        <f>Elec_Rates!$D$1017</f>
        <v>090# LSZH Conduit point for Data</v>
      </c>
      <c r="O11638" s="116"/>
      <c r="Q11638" s="535"/>
      <c r="AR11638" s="886"/>
    </row>
    <row r="11639" spans="1:45" customFormat="1" ht="13.2">
      <c r="A11639" s="886"/>
      <c r="B11639" s="1045">
        <f t="shared" ca="1" si="828"/>
        <v>266</v>
      </c>
      <c r="C11639" s="886"/>
      <c r="D11639" s="1046" t="str">
        <f>Elec_Rates!$D$1023</f>
        <v>091# Galvanised Conduit points for Fire alarm devices</v>
      </c>
      <c r="O11639" s="116"/>
      <c r="Q11639" s="535"/>
      <c r="AR11639" s="886"/>
    </row>
    <row r="11640" spans="1:45" customFormat="1" ht="13.2">
      <c r="A11640" s="886"/>
      <c r="B11640" s="1045">
        <f t="shared" ca="1" si="828"/>
        <v>105</v>
      </c>
      <c r="C11640" s="886"/>
      <c r="D11640" s="1046" t="str">
        <f>Elec_Rates!$D$1029</f>
        <v>092# LSZH Conduit points for Fire alarm devices</v>
      </c>
      <c r="O11640" s="116"/>
      <c r="Q11640" s="535"/>
      <c r="AR11640" s="886"/>
    </row>
    <row r="11641" spans="1:45" customFormat="1" ht="13.2">
      <c r="A11641" s="886"/>
      <c r="B11641" s="1045">
        <f t="shared" ca="1" si="828"/>
        <v>4</v>
      </c>
      <c r="C11641" s="886"/>
      <c r="D11641" s="1046" t="str">
        <f>Elec_Rates!$D$1035</f>
        <v>093# Galvanised Conduit points for access control</v>
      </c>
      <c r="O11641" s="116"/>
      <c r="Q11641" s="535"/>
      <c r="AR11641" s="886"/>
    </row>
    <row r="11642" spans="1:45" customFormat="1" ht="13.2">
      <c r="A11642" s="886"/>
      <c r="B11642" s="1045">
        <f t="shared" ca="1" si="828"/>
        <v>15</v>
      </c>
      <c r="C11642" s="886"/>
      <c r="D11642" s="1046" t="str">
        <f>Elec_Rates!$D$1041</f>
        <v>094# LSZH Conduit points for access control</v>
      </c>
      <c r="O11642" s="116"/>
      <c r="Q11642" s="535"/>
      <c r="AR11642" s="886"/>
    </row>
    <row r="11643" spans="1:45" customFormat="1" ht="13.2">
      <c r="A11643" s="886"/>
      <c r="B11643" s="1045">
        <f t="shared" ca="1" si="828"/>
        <v>24</v>
      </c>
      <c r="C11643" s="1046"/>
      <c r="D11643" s="1046" t="str">
        <f>Elec_Rates!$D$1047</f>
        <v>095# LSZH Conduit points for Bathroom Alarm</v>
      </c>
      <c r="O11643" s="116"/>
      <c r="Q11643" s="535"/>
      <c r="AR11643" s="886"/>
    </row>
    <row r="11644" spans="1:45" customFormat="1" ht="13.2">
      <c r="A11644" s="886"/>
      <c r="B11644" s="1045"/>
      <c r="C11644" s="1046"/>
      <c r="D11644" s="1386" t="s">
        <v>4127</v>
      </c>
      <c r="O11644" s="116"/>
      <c r="Q11644" s="535"/>
      <c r="AR11644" s="886"/>
    </row>
    <row r="11645" spans="1:45" customFormat="1" ht="13.2">
      <c r="A11645" s="886"/>
      <c r="B11645" s="1045">
        <f ca="1">SUMIF($D$13:$D$11461,D11645,$C$13:$C$11461)</f>
        <v>55</v>
      </c>
      <c r="C11645" s="1046"/>
      <c r="D11645" s="1046" t="str">
        <f>Elec_Rates!$D$1057</f>
        <v>024# 5 x 185mm2  F120 Fire Resistant Cable (BS7846) -  XLPE/SWA/LSZH</v>
      </c>
      <c r="O11645" s="116"/>
      <c r="Q11645" s="535"/>
      <c r="AR11645" s="886"/>
    </row>
    <row r="11646" spans="1:45" customFormat="1" thickBot="1">
      <c r="A11646" s="1029"/>
      <c r="B11646" s="1030"/>
      <c r="C11646" s="1030"/>
      <c r="D11646" s="1032"/>
      <c r="E11646" s="1030"/>
      <c r="F11646" s="1030"/>
      <c r="G11646" s="1030"/>
      <c r="H11646" s="1030"/>
      <c r="I11646" s="1030"/>
      <c r="J11646" s="1030"/>
      <c r="K11646" s="1030"/>
      <c r="L11646" s="1030"/>
      <c r="M11646" s="1030"/>
      <c r="N11646" s="1030"/>
      <c r="O11646" s="1032"/>
      <c r="P11646" s="1030"/>
      <c r="Q11646" s="1143"/>
      <c r="R11646" s="1030"/>
      <c r="S11646" s="1030"/>
      <c r="T11646" s="1030"/>
      <c r="U11646" s="1030"/>
      <c r="V11646" s="1030"/>
      <c r="W11646" s="1030"/>
      <c r="X11646" s="1030"/>
      <c r="Y11646" s="1030"/>
      <c r="Z11646" s="1030"/>
      <c r="AA11646" s="1030"/>
      <c r="AB11646" s="1030"/>
      <c r="AC11646" s="1030"/>
      <c r="AD11646" s="1030"/>
      <c r="AE11646" s="1030"/>
      <c r="AF11646" s="1030"/>
      <c r="AG11646" s="1030"/>
      <c r="AH11646" s="1030"/>
      <c r="AI11646" s="1030"/>
      <c r="AJ11646" s="1030"/>
      <c r="AK11646" s="1030"/>
      <c r="AR11646" s="1029"/>
      <c r="AS11646" s="1030"/>
    </row>
    <row r="11647" spans="1:45" ht="14.4" thickTop="1"/>
  </sheetData>
  <sheetProtection formatCells="0" formatColumns="0" formatRows="0" insertColumns="0" insertRows="0" insertHyperlinks="0" deleteColumns="0" deleteRows="0" sort="0" autoFilter="0" pivotTables="0"/>
  <mergeCells count="253">
    <mergeCell ref="D11231:T11231"/>
    <mergeCell ref="D11297:T11297"/>
    <mergeCell ref="D11329:T11329"/>
    <mergeCell ref="D11395:T11395"/>
    <mergeCell ref="D11419:T11419"/>
    <mergeCell ref="D11435:T11435"/>
    <mergeCell ref="D11445:T11445"/>
    <mergeCell ref="D10875:T10875"/>
    <mergeCell ref="D10899:T10899"/>
    <mergeCell ref="D10921:T10921"/>
    <mergeCell ref="D10981:T10981"/>
    <mergeCell ref="D11009:T11009"/>
    <mergeCell ref="D11041:T11041"/>
    <mergeCell ref="D11107:T11107"/>
    <mergeCell ref="D11139:T11139"/>
    <mergeCell ref="D11199:T11199"/>
    <mergeCell ref="D10585:T10585"/>
    <mergeCell ref="D10613:T10613"/>
    <mergeCell ref="D10673:T10673"/>
    <mergeCell ref="D10695:T10695"/>
    <mergeCell ref="D10749:T10749"/>
    <mergeCell ref="D10765:T10765"/>
    <mergeCell ref="D10807:T10807"/>
    <mergeCell ref="D10823:T10823"/>
    <mergeCell ref="D10863:T10863"/>
    <mergeCell ref="D10397:T10397"/>
    <mergeCell ref="D10413:T10413"/>
    <mergeCell ref="D10467:T10467"/>
    <mergeCell ref="D10477:T10477"/>
    <mergeCell ref="D10501:T10501"/>
    <mergeCell ref="D10507:T10507"/>
    <mergeCell ref="D10519:T10519"/>
    <mergeCell ref="D10551:T10551"/>
    <mergeCell ref="D10561:T10561"/>
    <mergeCell ref="D10242:T10242"/>
    <mergeCell ref="D10284:T10284"/>
    <mergeCell ref="D10295:T10295"/>
    <mergeCell ref="D10323:T10323"/>
    <mergeCell ref="D10329:T10329"/>
    <mergeCell ref="D10341:T10341"/>
    <mergeCell ref="D10347:T10347"/>
    <mergeCell ref="D10359:T10359"/>
    <mergeCell ref="D10387:T10387"/>
    <mergeCell ref="D10049:T10049"/>
    <mergeCell ref="D10077:T10077"/>
    <mergeCell ref="D10088:T10088"/>
    <mergeCell ref="D10112:T10112"/>
    <mergeCell ref="D10123:T10123"/>
    <mergeCell ref="D10134:T10134"/>
    <mergeCell ref="D10170:T10170"/>
    <mergeCell ref="D10188:T10188"/>
    <mergeCell ref="D10224:T10224"/>
    <mergeCell ref="D9741:T9741"/>
    <mergeCell ref="D9789:T9789"/>
    <mergeCell ref="D9903:T9903"/>
    <mergeCell ref="D9933:T9933"/>
    <mergeCell ref="D10013:T10013"/>
    <mergeCell ref="D9257:T9257"/>
    <mergeCell ref="D9296:T9296"/>
    <mergeCell ref="D9422:T9422"/>
    <mergeCell ref="D9461:T9461"/>
    <mergeCell ref="D9533:T9533"/>
    <mergeCell ref="D9558:T9558"/>
    <mergeCell ref="D9612:T9612"/>
    <mergeCell ref="D9651:T9651"/>
    <mergeCell ref="D9723:T9723"/>
    <mergeCell ref="D8574:T8574"/>
    <mergeCell ref="D8634:T8634"/>
    <mergeCell ref="D8760:T8760"/>
    <mergeCell ref="D8771:T8771"/>
    <mergeCell ref="D8852:T8852"/>
    <mergeCell ref="D8888:T8888"/>
    <mergeCell ref="D9080:T9080"/>
    <mergeCell ref="D9119:T9119"/>
    <mergeCell ref="D9201:T9201"/>
    <mergeCell ref="D8105:T8105"/>
    <mergeCell ref="D8115:T8115"/>
    <mergeCell ref="D8125:T8125"/>
    <mergeCell ref="D8135:T8135"/>
    <mergeCell ref="D8161:T8161"/>
    <mergeCell ref="D8169:T8169"/>
    <mergeCell ref="D8236:T8236"/>
    <mergeCell ref="D8362:T8362"/>
    <mergeCell ref="D8436:T8436"/>
    <mergeCell ref="D8015:T8015"/>
    <mergeCell ref="D8025:T8025"/>
    <mergeCell ref="D8035:T8035"/>
    <mergeCell ref="D8045:T8045"/>
    <mergeCell ref="D8055:T8055"/>
    <mergeCell ref="D8065:T8065"/>
    <mergeCell ref="D8075:T8075"/>
    <mergeCell ref="D8085:T8085"/>
    <mergeCell ref="D8095:T8095"/>
    <mergeCell ref="D24:T24"/>
    <mergeCell ref="D30:T30"/>
    <mergeCell ref="D40:T40"/>
    <mergeCell ref="D50:T50"/>
    <mergeCell ref="D59:T59"/>
    <mergeCell ref="D71:T71"/>
    <mergeCell ref="D113:T113"/>
    <mergeCell ref="D202:T202"/>
    <mergeCell ref="D218:T218"/>
    <mergeCell ref="D234:T234"/>
    <mergeCell ref="D249:T249"/>
    <mergeCell ref="D139:T139"/>
    <mergeCell ref="D77:T77"/>
    <mergeCell ref="D83:T83"/>
    <mergeCell ref="D89:T89"/>
    <mergeCell ref="D95:T95"/>
    <mergeCell ref="D101:T101"/>
    <mergeCell ref="D107:T107"/>
    <mergeCell ref="D210:T210"/>
    <mergeCell ref="D226:T226"/>
    <mergeCell ref="D243:T243"/>
    <mergeCell ref="D319:T319"/>
    <mergeCell ref="D329:T329"/>
    <mergeCell ref="D339:T339"/>
    <mergeCell ref="D349:T349"/>
    <mergeCell ref="D359:T359"/>
    <mergeCell ref="D369:T369"/>
    <mergeCell ref="D259:T259"/>
    <mergeCell ref="D269:T269"/>
    <mergeCell ref="D279:T279"/>
    <mergeCell ref="D289:T289"/>
    <mergeCell ref="D299:T299"/>
    <mergeCell ref="D309:T309"/>
    <mergeCell ref="D439:T439"/>
    <mergeCell ref="D449:T449"/>
    <mergeCell ref="D497:T497"/>
    <mergeCell ref="D602:T602"/>
    <mergeCell ref="D627:T627"/>
    <mergeCell ref="D379:T379"/>
    <mergeCell ref="D389:T389"/>
    <mergeCell ref="D399:T399"/>
    <mergeCell ref="D409:T409"/>
    <mergeCell ref="D419:T419"/>
    <mergeCell ref="D429:T429"/>
    <mergeCell ref="D469:T469"/>
    <mergeCell ref="D750:T750"/>
    <mergeCell ref="D763:T763"/>
    <mergeCell ref="D927:T927"/>
    <mergeCell ref="D934:T934"/>
    <mergeCell ref="D952:T952"/>
    <mergeCell ref="D959:T959"/>
    <mergeCell ref="D649:T649"/>
    <mergeCell ref="D662:T662"/>
    <mergeCell ref="D678:T678"/>
    <mergeCell ref="D727:T727"/>
    <mergeCell ref="D736:T736"/>
    <mergeCell ref="D743:T743"/>
    <mergeCell ref="D1029:T1029"/>
    <mergeCell ref="D1036:T1036"/>
    <mergeCell ref="D1083:T1083"/>
    <mergeCell ref="D1123:T1123"/>
    <mergeCell ref="D1228:T1228"/>
    <mergeCell ref="D1310:T1310"/>
    <mergeCell ref="D966:T966"/>
    <mergeCell ref="D980:T980"/>
    <mergeCell ref="D998:T998"/>
    <mergeCell ref="D1006:T1006"/>
    <mergeCell ref="D1015:T1015"/>
    <mergeCell ref="D1022:T1022"/>
    <mergeCell ref="D1903:T1903"/>
    <mergeCell ref="D1999:T1999"/>
    <mergeCell ref="D2109:T2109"/>
    <mergeCell ref="D2213:T2213"/>
    <mergeCell ref="D2288:T2288"/>
    <mergeCell ref="D2454:T2454"/>
    <mergeCell ref="D1371:T1371"/>
    <mergeCell ref="D1459:T1459"/>
    <mergeCell ref="D1589:T1589"/>
    <mergeCell ref="D1647:T1647"/>
    <mergeCell ref="D1820:T1820"/>
    <mergeCell ref="D1852:T1852"/>
    <mergeCell ref="D2786:T2786"/>
    <mergeCell ref="D2837:T2837"/>
    <mergeCell ref="D2936:T2936"/>
    <mergeCell ref="D3168:T3168"/>
    <mergeCell ref="D3215:T3215"/>
    <mergeCell ref="D3231:T3231"/>
    <mergeCell ref="D2493:T2493"/>
    <mergeCell ref="D2554:T2554"/>
    <mergeCell ref="D2591:T2591"/>
    <mergeCell ref="D2638:T2638"/>
    <mergeCell ref="D2686:T2686"/>
    <mergeCell ref="D2736:T2736"/>
    <mergeCell ref="D3821:T3821"/>
    <mergeCell ref="D3868:T3868"/>
    <mergeCell ref="D3930:T3930"/>
    <mergeCell ref="D4083:T4083"/>
    <mergeCell ref="D4161:T4161"/>
    <mergeCell ref="D4213:T4213"/>
    <mergeCell ref="D3257:T3257"/>
    <mergeCell ref="D3279:T3279"/>
    <mergeCell ref="D3454:T3454"/>
    <mergeCell ref="D3609:T3609"/>
    <mergeCell ref="D3623:T3623"/>
    <mergeCell ref="D3737:T3737"/>
    <mergeCell ref="D4922:T4922"/>
    <mergeCell ref="D4986:T4986"/>
    <mergeCell ref="D5585:T5585"/>
    <mergeCell ref="D6251:T6251"/>
    <mergeCell ref="D6614:T6614"/>
    <mergeCell ref="D6620:T6620"/>
    <mergeCell ref="D4364:T4364"/>
    <mergeCell ref="D4516:T4516"/>
    <mergeCell ref="D4534:T4534"/>
    <mergeCell ref="D4707:T4707"/>
    <mergeCell ref="D4743:T4743"/>
    <mergeCell ref="D4910:T4910"/>
    <mergeCell ref="D7067:T7067"/>
    <mergeCell ref="D7087:T7087"/>
    <mergeCell ref="D7221:T7221"/>
    <mergeCell ref="D6652:T6652"/>
    <mergeCell ref="D6668:T6668"/>
    <mergeCell ref="D6728:T6728"/>
    <mergeCell ref="D6739:T6739"/>
    <mergeCell ref="D6815:T6815"/>
    <mergeCell ref="D6826:T6826"/>
    <mergeCell ref="D7824:T7824"/>
    <mergeCell ref="D7848:T7848"/>
    <mergeCell ref="D7864:T7864"/>
    <mergeCell ref="D7874:T7874"/>
    <mergeCell ref="D7661:T7661"/>
    <mergeCell ref="D7679:T7679"/>
    <mergeCell ref="D7719:T7719"/>
    <mergeCell ref="D7743:T7743"/>
    <mergeCell ref="D7766:T7766"/>
    <mergeCell ref="D7749:T7749"/>
    <mergeCell ref="D636:T636"/>
    <mergeCell ref="D671:T671"/>
    <mergeCell ref="D685:T685"/>
    <mergeCell ref="D692:T692"/>
    <mergeCell ref="D943:T943"/>
    <mergeCell ref="D973:T973"/>
    <mergeCell ref="D1043:T1043"/>
    <mergeCell ref="D7772:T7772"/>
    <mergeCell ref="D7778:T7778"/>
    <mergeCell ref="D7513:T7513"/>
    <mergeCell ref="D7631:T7631"/>
    <mergeCell ref="D7637:T7637"/>
    <mergeCell ref="D7643:T7643"/>
    <mergeCell ref="D7649:T7649"/>
    <mergeCell ref="D7655:T7655"/>
    <mergeCell ref="D7232:T7232"/>
    <mergeCell ref="D7298:T7298"/>
    <mergeCell ref="D7309:T7309"/>
    <mergeCell ref="D7385:T7385"/>
    <mergeCell ref="D7396:T7396"/>
    <mergeCell ref="D7502:T7502"/>
    <mergeCell ref="D6928:T6928"/>
    <mergeCell ref="D6939:T6939"/>
    <mergeCell ref="D7045:T7045"/>
  </mergeCells>
  <phoneticPr fontId="29"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4"/>
  </sheetPr>
  <dimension ref="A1:AP2490"/>
  <sheetViews>
    <sheetView topLeftCell="A385" workbookViewId="0">
      <selection activeCell="Q423" sqref="Q423"/>
    </sheetView>
  </sheetViews>
  <sheetFormatPr defaultColWidth="9.109375" defaultRowHeight="13.8"/>
  <cols>
    <col min="1" max="2" width="8.6640625" style="36" customWidth="1"/>
    <col min="3" max="3" width="3.88671875" style="36" hidden="1" customWidth="1"/>
    <col min="4" max="4" width="44.33203125" style="36" customWidth="1"/>
    <col min="5" max="6" width="25.441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1.6640625" style="588" customWidth="1"/>
    <col min="18" max="20" width="11.6640625" style="36" customWidth="1"/>
    <col min="21" max="21" width="6.33203125" style="36" customWidth="1"/>
    <col min="22" max="22" width="4.6640625" style="320" customWidth="1"/>
    <col min="23" max="23" width="5" style="320" bestFit="1" customWidth="1"/>
    <col min="24" max="24" width="4.88671875" style="320" bestFit="1" customWidth="1"/>
    <col min="25" max="25" width="4.33203125" style="320" bestFit="1" customWidth="1"/>
    <col min="26" max="26" width="5.33203125" style="320" customWidth="1"/>
    <col min="27" max="27" width="4" style="320" customWidth="1"/>
    <col min="28" max="28" width="4.109375" style="320"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07"/>
      <c r="B1" s="484" t="s">
        <v>0</v>
      </c>
      <c r="C1" s="485">
        <f>ML_Sum!$C1</f>
        <v>1</v>
      </c>
      <c r="D1" s="486" t="str">
        <f>ML_Sum!$D1</f>
        <v>Quintano Foods Ltd.</v>
      </c>
      <c r="E1" s="487"/>
      <c r="F1" s="488">
        <f>ML_Sum!$F1</f>
        <v>0</v>
      </c>
      <c r="G1" s="515"/>
      <c r="H1"/>
      <c r="I1" s="273">
        <v>1</v>
      </c>
      <c r="J1" s="274">
        <f>ML_Sum!$J1</f>
        <v>1</v>
      </c>
      <c r="K1" s="274">
        <f>ML_Sum!$K1</f>
        <v>1</v>
      </c>
      <c r="L1" s="274">
        <f>ML_Sum!$L1</f>
        <v>1</v>
      </c>
      <c r="M1" s="274">
        <f>ML_Sum!$M1</f>
        <v>1</v>
      </c>
      <c r="N1" s="274">
        <f>ML_Sum!$N1</f>
        <v>1</v>
      </c>
      <c r="O1" s="274">
        <f>ML_Sum!$O1</f>
        <v>1</v>
      </c>
      <c r="P1"/>
      <c r="Q1" s="1064" t="str">
        <f>ML_Sum!$Q1</f>
        <v>€</v>
      </c>
      <c r="R1" s="277" t="s">
        <v>1</v>
      </c>
      <c r="S1" s="339" t="str">
        <f>ML_Sum!$S1</f>
        <v>R</v>
      </c>
      <c r="T1" s="443">
        <f>ML_Sum!$T1</f>
        <v>0.9</v>
      </c>
      <c r="U1" s="444" t="str">
        <f>ML_Sum!W1</f>
        <v>BOQ</v>
      </c>
      <c r="V1" s="445" t="s">
        <v>194</v>
      </c>
      <c r="W1" s="508" t="s">
        <v>184</v>
      </c>
      <c r="X1" s="446" t="s">
        <v>185</v>
      </c>
      <c r="Y1" s="509" t="s">
        <v>186</v>
      </c>
      <c r="Z1" s="447" t="s">
        <v>182</v>
      </c>
      <c r="AA1" s="447" t="s">
        <v>187</v>
      </c>
      <c r="AB1" s="508" t="s">
        <v>188</v>
      </c>
      <c r="AG1" s="513"/>
      <c r="AH1" s="513"/>
      <c r="AI1" s="513"/>
      <c r="AJ1" s="513"/>
      <c r="AK1" s="514"/>
    </row>
    <row r="2" spans="1:42" s="32" customFormat="1">
      <c r="A2" s="483"/>
      <c r="B2" s="484" t="s">
        <v>2</v>
      </c>
      <c r="C2" s="485">
        <f>ML_Sum!$C2</f>
        <v>1</v>
      </c>
      <c r="D2" s="486" t="str">
        <f>ML_Sum!$D2</f>
        <v>Warehouse at tal-Handaq, Qormi</v>
      </c>
      <c r="E2" s="490"/>
      <c r="F2" s="488" t="str">
        <f>ML_Sum!$F2</f>
        <v>Electrical</v>
      </c>
      <c r="G2" s="489"/>
      <c r="H2"/>
      <c r="I2" s="273">
        <v>2</v>
      </c>
      <c r="J2" s="274">
        <f>ML_Sum!$J2</f>
        <v>1</v>
      </c>
      <c r="K2" s="274">
        <f>ML_Sum!$K2</f>
        <v>1</v>
      </c>
      <c r="L2" s="274">
        <f>ML_Sum!$L2</f>
        <v>1</v>
      </c>
      <c r="M2" s="274">
        <f>ML_Sum!$M2</f>
        <v>1</v>
      </c>
      <c r="N2" s="274">
        <f>ML_Sum!$N2</f>
        <v>1</v>
      </c>
      <c r="O2" s="274">
        <f>ML_Sum!$O2</f>
        <v>1</v>
      </c>
      <c r="P2"/>
      <c r="Q2" s="345">
        <f>ML_Sum!$Q2</f>
        <v>0</v>
      </c>
      <c r="R2" s="18" t="s">
        <v>3</v>
      </c>
      <c r="S2" s="346">
        <f>ML_Sum!$S2</f>
        <v>1.231344</v>
      </c>
      <c r="T2" s="347">
        <f>ML_Sum!$T2</f>
        <v>33.812706240000004</v>
      </c>
      <c r="V2" s="320"/>
      <c r="W2" s="320"/>
      <c r="X2" s="320"/>
      <c r="Y2" s="320"/>
      <c r="Z2" s="320"/>
      <c r="AA2" s="320"/>
      <c r="AB2" s="320"/>
    </row>
    <row r="3" spans="1:42" s="32" customFormat="1">
      <c r="A3" s="491"/>
      <c r="B3" s="492" t="s">
        <v>4</v>
      </c>
      <c r="C3" s="485">
        <f>ML_Sum!$C3</f>
        <v>1</v>
      </c>
      <c r="D3" s="486" t="str">
        <f>ML_Sum!$D3</f>
        <v>Electrical and ELV installations (Rev A)</v>
      </c>
      <c r="E3" s="491"/>
      <c r="F3" s="488" t="str">
        <f>ML_Sum!$F3</f>
        <v>ELV Installation (NAS Ltd)</v>
      </c>
      <c r="G3" s="493"/>
      <c r="H3"/>
      <c r="I3" s="273">
        <v>3</v>
      </c>
      <c r="J3" s="274">
        <f>ML_Sum!$J3</f>
        <v>1</v>
      </c>
      <c r="K3" s="274">
        <f>ML_Sum!$K3</f>
        <v>1</v>
      </c>
      <c r="L3" s="274">
        <f>ML_Sum!$L3</f>
        <v>1</v>
      </c>
      <c r="M3" s="274">
        <f>ML_Sum!$M3</f>
        <v>1</v>
      </c>
      <c r="N3" s="274">
        <f>ML_Sum!$N3</f>
        <v>1</v>
      </c>
      <c r="O3" s="274">
        <f>ML_Sum!$O3</f>
        <v>1</v>
      </c>
      <c r="P3"/>
      <c r="Q3" s="345">
        <f>ML_Sum!$Q3</f>
        <v>0</v>
      </c>
      <c r="R3" s="19" t="s">
        <v>5</v>
      </c>
      <c r="S3" s="346">
        <f>ML_Sum!$S3</f>
        <v>1.1287320000000001</v>
      </c>
      <c r="T3" s="347">
        <f>ML_Sum!$T3</f>
        <v>30.994980720000004</v>
      </c>
      <c r="V3" s="320"/>
      <c r="W3" s="320"/>
      <c r="X3" s="320"/>
      <c r="Y3" s="320"/>
      <c r="Z3" s="320"/>
      <c r="AA3" s="320"/>
      <c r="AB3" s="320"/>
    </row>
    <row r="4" spans="1:42" s="32" customFormat="1">
      <c r="A4" s="494"/>
      <c r="B4" s="484" t="s">
        <v>6</v>
      </c>
      <c r="C4" s="485">
        <f>ML_Sum!$C4</f>
        <v>1</v>
      </c>
      <c r="D4" s="486" t="str">
        <f>ML_Sum!$D4</f>
        <v>EL25-0062A</v>
      </c>
      <c r="E4" s="491"/>
      <c r="F4" s="488" t="str">
        <f>ML_Sum!$F4</f>
        <v>Lightning Protection System (MCE Ltd)</v>
      </c>
      <c r="G4" s="493"/>
      <c r="H4"/>
      <c r="I4" s="273">
        <v>4</v>
      </c>
      <c r="J4" s="274">
        <f>ML_Sum!$J4</f>
        <v>1</v>
      </c>
      <c r="K4" s="274">
        <f>ML_Sum!$K4</f>
        <v>1</v>
      </c>
      <c r="L4" s="274">
        <f>ML_Sum!$L4</f>
        <v>1</v>
      </c>
      <c r="M4" s="274">
        <f>ML_Sum!$M4</f>
        <v>1</v>
      </c>
      <c r="N4" s="274">
        <f>ML_Sum!$N4</f>
        <v>1</v>
      </c>
      <c r="O4" s="274">
        <f>ML_Sum!$O4</f>
        <v>1</v>
      </c>
      <c r="P4"/>
      <c r="Q4" s="345">
        <f>ML_Sum!$Q4</f>
        <v>0</v>
      </c>
      <c r="R4" s="20" t="s">
        <v>8</v>
      </c>
      <c r="S4" s="346">
        <f>ML_Sum!$S4</f>
        <v>1.1287320000000001</v>
      </c>
      <c r="T4" s="347">
        <f>ML_Sum!$T4</f>
        <v>30.994980720000004</v>
      </c>
      <c r="V4" s="320"/>
      <c r="W4" s="320"/>
      <c r="X4" s="320"/>
      <c r="Y4" s="320"/>
      <c r="Z4" s="320"/>
      <c r="AA4" s="320"/>
      <c r="AB4" s="320"/>
    </row>
    <row r="5" spans="1:42" s="32" customFormat="1">
      <c r="A5" s="494"/>
      <c r="B5" s="484" t="s">
        <v>196</v>
      </c>
      <c r="C5" s="485">
        <f>ML_Sum!$C5</f>
        <v>1</v>
      </c>
      <c r="D5" s="486" t="str">
        <f>ML_Sum!$D5</f>
        <v>Tender</v>
      </c>
      <c r="E5" s="491"/>
      <c r="F5" s="488" t="str">
        <f>ML_Sum!$F5</f>
        <v>Controls ECA</v>
      </c>
      <c r="G5" s="495"/>
      <c r="H5"/>
      <c r="I5" s="273">
        <v>5</v>
      </c>
      <c r="J5" s="274">
        <f>ML_Sum!$J5</f>
        <v>1</v>
      </c>
      <c r="K5" s="274">
        <f>ML_Sum!$K5</f>
        <v>1</v>
      </c>
      <c r="L5" s="274">
        <f>ML_Sum!$L5</f>
        <v>1</v>
      </c>
      <c r="M5" s="274">
        <f>ML_Sum!$M5</f>
        <v>1</v>
      </c>
      <c r="N5" s="274">
        <f>ML_Sum!$N5</f>
        <v>1</v>
      </c>
      <c r="O5" s="274">
        <f>ML_Sum!$O5</f>
        <v>1</v>
      </c>
      <c r="P5"/>
      <c r="Q5" s="345">
        <f>ML_Sum!$Q5</f>
        <v>0</v>
      </c>
      <c r="R5" s="21" t="s">
        <v>10</v>
      </c>
      <c r="S5" s="346">
        <f>ML_Sum!$S5</f>
        <v>1.231344</v>
      </c>
      <c r="T5" s="347">
        <f>ML_Sum!$T5</f>
        <v>53.34182208</v>
      </c>
      <c r="V5" s="320"/>
      <c r="W5" s="320"/>
      <c r="X5" s="320"/>
      <c r="Y5" s="320"/>
      <c r="Z5" s="320"/>
      <c r="AA5" s="320"/>
      <c r="AB5" s="320"/>
    </row>
    <row r="6" spans="1:42" s="32" customFormat="1">
      <c r="A6"/>
      <c r="B6" s="492" t="s">
        <v>9</v>
      </c>
      <c r="C6" s="485">
        <f>ML_Sum!$C6</f>
        <v>1</v>
      </c>
      <c r="D6" s="486" t="str">
        <f>ML_Sum!$D6</f>
        <v>VAT EXCL.</v>
      </c>
      <c r="E6"/>
      <c r="F6" s="488" t="str">
        <f>ML_Sum!$F6</f>
        <v xml:space="preserve">Testing and Commissiong </v>
      </c>
      <c r="G6" s="495"/>
      <c r="H6"/>
      <c r="I6" s="273">
        <v>6</v>
      </c>
      <c r="J6" s="274">
        <f>ML_Sum!$J6</f>
        <v>1</v>
      </c>
      <c r="K6" s="274">
        <f>ML_Sum!$K6</f>
        <v>1</v>
      </c>
      <c r="L6" s="274">
        <f>ML_Sum!$L6</f>
        <v>1</v>
      </c>
      <c r="M6" s="274">
        <f>ML_Sum!$M6</f>
        <v>1</v>
      </c>
      <c r="N6" s="274">
        <f>ML_Sum!$N6</f>
        <v>1</v>
      </c>
      <c r="O6" s="274">
        <f>ML_Sum!$O6</f>
        <v>1</v>
      </c>
      <c r="P6"/>
      <c r="Q6" s="345">
        <f>ML_Sum!$Q6</f>
        <v>0</v>
      </c>
      <c r="R6" s="22" t="s">
        <v>11</v>
      </c>
      <c r="S6" s="346">
        <f>ML_Sum!$S6</f>
        <v>1.231344</v>
      </c>
      <c r="T6" s="347">
        <f>ML_Sum!$T6</f>
        <v>65.162724480000008</v>
      </c>
      <c r="V6" s="320"/>
      <c r="W6" s="320"/>
      <c r="X6" s="320"/>
      <c r="Y6" s="320"/>
      <c r="Z6" s="320"/>
      <c r="AA6" s="320"/>
      <c r="AB6" s="320"/>
    </row>
    <row r="7" spans="1:42" s="32" customFormat="1">
      <c r="A7" s="483"/>
      <c r="B7" s="492" t="s">
        <v>12</v>
      </c>
      <c r="C7" s="485">
        <f>ML_Sum!$C7</f>
        <v>1</v>
      </c>
      <c r="D7" s="496">
        <v>39364</v>
      </c>
      <c r="E7" s="497"/>
      <c r="F7" s="488" t="str">
        <f>ML_Sum!$F7</f>
        <v>Fire Stopping rates</v>
      </c>
      <c r="G7" s="498"/>
      <c r="H7"/>
      <c r="I7" s="273">
        <v>7</v>
      </c>
      <c r="J7" s="274">
        <f>ML_Sum!$J7</f>
        <v>1</v>
      </c>
      <c r="K7" s="274">
        <f>ML_Sum!$K7</f>
        <v>1</v>
      </c>
      <c r="L7" s="274">
        <f>ML_Sum!$L7</f>
        <v>1</v>
      </c>
      <c r="M7" s="274">
        <f>ML_Sum!$M7</f>
        <v>1</v>
      </c>
      <c r="N7" s="274">
        <f>ML_Sum!$N7</f>
        <v>1</v>
      </c>
      <c r="O7" s="274">
        <f>ML_Sum!$O7</f>
        <v>0</v>
      </c>
      <c r="P7"/>
      <c r="Q7" s="345">
        <f>ML_Sum!$Q7</f>
        <v>0</v>
      </c>
      <c r="R7" s="23" t="s">
        <v>13</v>
      </c>
      <c r="S7" s="346">
        <f>ML_Sum!$S7</f>
        <v>1.231344</v>
      </c>
      <c r="T7" s="347">
        <f>ML_Sum!$T7</f>
        <v>33.812706240000004</v>
      </c>
      <c r="V7" s="320"/>
      <c r="W7" s="320"/>
      <c r="X7" s="320"/>
      <c r="Y7" s="320"/>
      <c r="Z7" s="320"/>
      <c r="AA7" s="320"/>
      <c r="AB7" s="320"/>
    </row>
    <row r="8" spans="1:42" s="32" customFormat="1">
      <c r="A8" s="494"/>
      <c r="B8" s="492" t="s">
        <v>14</v>
      </c>
      <c r="C8" s="485">
        <f>ML_Sum!$C8</f>
        <v>1</v>
      </c>
      <c r="D8" s="486" t="str">
        <f>ML_Sum!$D8</f>
        <v>T.Sammut</v>
      </c>
      <c r="E8" s="491"/>
      <c r="F8" s="488" t="str">
        <f>ML_Sum!$F8</f>
        <v>Main Equipment (Gen Set / Main Switchboards)</v>
      </c>
      <c r="G8" s="499"/>
      <c r="H8"/>
      <c r="I8" s="273">
        <v>8</v>
      </c>
      <c r="J8" s="274">
        <f>ML_Sum!$J8</f>
        <v>1</v>
      </c>
      <c r="K8" s="274">
        <f>ML_Sum!$K8</f>
        <v>1</v>
      </c>
      <c r="L8" s="274">
        <f>ML_Sum!$L8</f>
        <v>1</v>
      </c>
      <c r="M8" s="274">
        <f>ML_Sum!$M8</f>
        <v>1</v>
      </c>
      <c r="N8" s="274">
        <f>ML_Sum!$N8</f>
        <v>1</v>
      </c>
      <c r="O8" s="274">
        <f>ML_Sum!$O8</f>
        <v>0</v>
      </c>
      <c r="P8"/>
      <c r="Q8" s="345">
        <f>ML_Sum!$Q8</f>
        <v>0</v>
      </c>
      <c r="R8" s="24" t="s">
        <v>15</v>
      </c>
      <c r="S8" s="346">
        <f>ML_Sum!$S8</f>
        <v>1.1800379999999999</v>
      </c>
      <c r="T8" s="347">
        <f>ML_Sum!$T8</f>
        <v>32.403843479999999</v>
      </c>
      <c r="V8" s="320"/>
      <c r="W8" s="320"/>
      <c r="X8" s="320"/>
      <c r="Y8" s="320"/>
      <c r="Z8" s="320"/>
      <c r="AA8" s="320"/>
      <c r="AB8" s="320"/>
    </row>
    <row r="9" spans="1:42" s="32" customFormat="1">
      <c r="A9" s="494"/>
      <c r="B9" s="492" t="s">
        <v>283</v>
      </c>
      <c r="C9" s="485">
        <f>ML_Sum!$C9</f>
        <v>1</v>
      </c>
      <c r="D9" s="486">
        <f>ML_Sum!$D9</f>
        <v>27.46</v>
      </c>
      <c r="E9" s="491"/>
      <c r="F9" s="488" t="str">
        <f>ML_Sum!$F9</f>
        <v>DBs and Changeover</v>
      </c>
      <c r="G9" s="499"/>
      <c r="H9"/>
      <c r="I9" s="273">
        <v>9</v>
      </c>
      <c r="J9" s="274">
        <f>ML_Sum!$J9</f>
        <v>1</v>
      </c>
      <c r="K9" s="274">
        <f>ML_Sum!$K9</f>
        <v>1</v>
      </c>
      <c r="L9" s="274">
        <f>ML_Sum!$L9</f>
        <v>1</v>
      </c>
      <c r="M9" s="274">
        <f>ML_Sum!$M9</f>
        <v>1</v>
      </c>
      <c r="N9" s="274">
        <f>ML_Sum!$N9</f>
        <v>1</v>
      </c>
      <c r="O9" s="274">
        <f>ML_Sum!$O9</f>
        <v>0</v>
      </c>
      <c r="P9"/>
      <c r="Q9" s="345">
        <f>ML_Sum!$Q9</f>
        <v>0</v>
      </c>
      <c r="R9" s="25" t="s">
        <v>16</v>
      </c>
      <c r="S9" s="346">
        <f>ML_Sum!$S9</f>
        <v>1.1800379999999999</v>
      </c>
      <c r="T9" s="347">
        <f>ML_Sum!$T9</f>
        <v>32.403843479999999</v>
      </c>
      <c r="V9" s="320"/>
      <c r="W9" s="320"/>
      <c r="X9" s="320"/>
      <c r="Y9" s="320"/>
      <c r="Z9" s="320"/>
      <c r="AA9" s="320"/>
      <c r="AB9" s="320"/>
    </row>
    <row r="10" spans="1:42" s="32" customFormat="1">
      <c r="A10" s="494"/>
      <c r="B10" s="483"/>
      <c r="C10" s="485">
        <f>ML_Sum!$C10</f>
        <v>1</v>
      </c>
      <c r="D10" s="483"/>
      <c r="E10" s="491"/>
      <c r="F10" s="488" t="str">
        <f>ML_Sum!$F10</f>
        <v>Armoured Cables</v>
      </c>
      <c r="G10" s="499"/>
      <c r="H10"/>
      <c r="I10" s="273">
        <v>10</v>
      </c>
      <c r="J10" s="274">
        <f>ML_Sum!$J10</f>
        <v>1</v>
      </c>
      <c r="K10" s="274">
        <f>ML_Sum!$K10</f>
        <v>1</v>
      </c>
      <c r="L10" s="274">
        <f>ML_Sum!$L10</f>
        <v>1</v>
      </c>
      <c r="M10" s="274">
        <f>ML_Sum!$M10</f>
        <v>1</v>
      </c>
      <c r="N10" s="274">
        <f>ML_Sum!$N10</f>
        <v>1</v>
      </c>
      <c r="O10" s="274">
        <f>ML_Sum!$O10</f>
        <v>1</v>
      </c>
      <c r="P10"/>
      <c r="Q10" s="345">
        <f>ML_Sum!$Q10</f>
        <v>0</v>
      </c>
      <c r="R10" s="26" t="s">
        <v>17</v>
      </c>
      <c r="S10" s="346">
        <f>ML_Sum!$S10</f>
        <v>1.1800379999999999</v>
      </c>
      <c r="T10" s="347">
        <f>ML_Sum!$T10</f>
        <v>32.403843479999999</v>
      </c>
      <c r="V10" s="320"/>
      <c r="W10" s="320"/>
      <c r="X10" s="320"/>
      <c r="Y10" s="320"/>
      <c r="Z10" s="320"/>
      <c r="AA10" s="320"/>
      <c r="AB10" s="320"/>
    </row>
    <row r="11" spans="1:42" s="32" customFormat="1">
      <c r="A11" s="494"/>
      <c r="B11" s="483"/>
      <c r="C11" s="485">
        <f>ML_Sum!$C11</f>
        <v>1</v>
      </c>
      <c r="D11" s="483"/>
      <c r="E11" s="491"/>
      <c r="F11" s="488">
        <f>ML_Sum!$F11</f>
        <v>0</v>
      </c>
      <c r="G11" s="499"/>
      <c r="H11" s="499"/>
      <c r="I11" s="483"/>
      <c r="J11" s="483"/>
      <c r="K11" s="483"/>
      <c r="L11" s="483"/>
      <c r="M11" s="483"/>
      <c r="N11" s="483"/>
      <c r="O11" s="483"/>
      <c r="P11" s="499"/>
      <c r="Q11" s="345">
        <f>ML_Sum!$Q11</f>
        <v>0</v>
      </c>
      <c r="R11" s="27" t="s">
        <v>18</v>
      </c>
      <c r="S11" s="346">
        <f>ML_Sum!$S11</f>
        <v>0</v>
      </c>
      <c r="T11" s="347">
        <f>ML_Sum!$T11</f>
        <v>0</v>
      </c>
      <c r="V11" s="320"/>
      <c r="W11" s="320"/>
      <c r="X11" s="320"/>
      <c r="Y11" s="320"/>
      <c r="Z11" s="320"/>
      <c r="AA11" s="320"/>
      <c r="AB11" s="320"/>
    </row>
    <row r="12" spans="1:42" s="32" customFormat="1" ht="14.4" thickBot="1">
      <c r="A12" s="494"/>
      <c r="B12" s="483"/>
      <c r="C12" s="485">
        <f>ML_Sum!$C12</f>
        <v>1</v>
      </c>
      <c r="D12" s="483"/>
      <c r="E12" s="491"/>
      <c r="F12" s="488">
        <f>ML_Sum!$F12</f>
        <v>0</v>
      </c>
      <c r="G12" s="499"/>
      <c r="H12" s="499"/>
      <c r="I12" s="483"/>
      <c r="J12" s="483"/>
      <c r="K12" s="483"/>
      <c r="L12" s="483"/>
      <c r="M12" s="483"/>
      <c r="N12" s="483"/>
      <c r="O12" s="483"/>
      <c r="P12" s="499"/>
      <c r="Q12" s="345">
        <f>ML_Sum!$Q12</f>
        <v>0</v>
      </c>
      <c r="R12" s="395" t="s">
        <v>218</v>
      </c>
      <c r="S12" s="346" t="str">
        <f>ML_Sum!$S12</f>
        <v>MAT MU</v>
      </c>
      <c r="T12" s="347" t="str">
        <f>ML_Sum!$T12</f>
        <v>LAB RATE</v>
      </c>
      <c r="V12" s="320"/>
      <c r="W12" s="320"/>
      <c r="X12" s="320"/>
      <c r="Y12" s="320"/>
      <c r="Z12" s="320"/>
      <c r="AA12" s="320"/>
      <c r="AB12" s="320"/>
    </row>
    <row r="13" spans="1:42" s="32" customFormat="1" ht="14.4" thickBot="1">
      <c r="A13" s="500"/>
      <c r="B13" s="501"/>
      <c r="C13" s="502"/>
      <c r="D13" s="503"/>
      <c r="E13" s="504"/>
      <c r="F13" s="505"/>
      <c r="G13" s="506" t="s">
        <v>142</v>
      </c>
      <c r="H13" s="506" t="s">
        <v>20</v>
      </c>
      <c r="I13" s="506" t="s">
        <v>21</v>
      </c>
      <c r="J13" s="506" t="s">
        <v>22</v>
      </c>
      <c r="K13" s="506" t="s">
        <v>23</v>
      </c>
      <c r="L13" s="506" t="s">
        <v>24</v>
      </c>
      <c r="M13" s="506" t="s">
        <v>25</v>
      </c>
      <c r="N13" s="506" t="s">
        <v>26</v>
      </c>
      <c r="O13" s="506" t="s">
        <v>27</v>
      </c>
      <c r="P13" s="506" t="s">
        <v>28</v>
      </c>
      <c r="Q13" s="28" t="s">
        <v>213</v>
      </c>
      <c r="R13" s="29" t="s">
        <v>30</v>
      </c>
      <c r="S13" s="30" t="s">
        <v>31</v>
      </c>
      <c r="T13" s="31" t="s">
        <v>32</v>
      </c>
      <c r="V13" s="320"/>
      <c r="W13" s="320"/>
      <c r="X13" s="320"/>
      <c r="Y13" s="320"/>
      <c r="Z13" s="320"/>
      <c r="AA13" s="320"/>
      <c r="AB13" s="320"/>
      <c r="AG13"/>
      <c r="AH13"/>
      <c r="AI13"/>
      <c r="AJ13"/>
      <c r="AK13"/>
      <c r="AM13" s="516" t="s">
        <v>279</v>
      </c>
      <c r="AN13" s="518" t="s">
        <v>289</v>
      </c>
      <c r="AO13" s="518" t="s">
        <v>280</v>
      </c>
      <c r="AP13" s="517" t="s">
        <v>277</v>
      </c>
    </row>
    <row r="14" spans="1:42" s="520" customFormat="1" ht="13.2">
      <c r="A14" s="51"/>
      <c r="B14" s="51"/>
      <c r="C14" s="3"/>
      <c r="D14" s="3"/>
      <c r="E14" s="51"/>
      <c r="F14" s="51"/>
      <c r="G14" s="51"/>
      <c r="H14" s="51"/>
      <c r="I14" s="51"/>
      <c r="J14" s="51"/>
      <c r="K14" s="51" t="s">
        <v>134</v>
      </c>
      <c r="L14" s="51"/>
      <c r="M14" s="51"/>
      <c r="N14" s="51"/>
      <c r="O14" s="52"/>
      <c r="P14" s="51"/>
      <c r="Q14" s="51"/>
      <c r="R14" s="51"/>
      <c r="S14" s="51"/>
      <c r="T14" s="51"/>
    </row>
    <row r="15" spans="1:42" s="520" customFormat="1" ht="12">
      <c r="A15" s="51"/>
      <c r="B15" s="51"/>
      <c r="C15" s="51" t="s">
        <v>135</v>
      </c>
      <c r="D15" s="37" t="s">
        <v>2274</v>
      </c>
      <c r="E15" s="51"/>
      <c r="F15" s="51"/>
      <c r="G15" s="51"/>
      <c r="H15" s="51"/>
      <c r="I15" s="51"/>
      <c r="J15" s="51"/>
      <c r="K15" s="51"/>
      <c r="L15" s="51"/>
      <c r="M15" s="51"/>
      <c r="N15" s="51"/>
      <c r="O15" s="52"/>
      <c r="P15" s="51"/>
      <c r="Q15" s="51"/>
      <c r="R15" s="51"/>
      <c r="S15" s="51"/>
      <c r="T15" s="51"/>
    </row>
    <row r="16" spans="1:42" s="520" customFormat="1" ht="12">
      <c r="A16" s="51"/>
      <c r="B16" s="51"/>
      <c r="C16" s="51"/>
      <c r="D16" s="37" t="s">
        <v>3440</v>
      </c>
      <c r="E16" s="1058" t="s">
        <v>3726</v>
      </c>
      <c r="F16" s="51"/>
      <c r="G16" s="51"/>
      <c r="H16" s="51"/>
      <c r="I16" s="51"/>
      <c r="J16" s="51"/>
      <c r="K16" s="51"/>
      <c r="L16" s="51"/>
      <c r="M16" s="51"/>
      <c r="N16" s="51"/>
      <c r="O16" s="52"/>
      <c r="P16" s="51"/>
      <c r="Q16" s="51"/>
      <c r="R16" s="51"/>
      <c r="S16" s="38"/>
      <c r="T16" s="38"/>
    </row>
    <row r="17" spans="1:41" s="3" customFormat="1" thickBot="1">
      <c r="A17" s="531"/>
      <c r="O17" s="107"/>
    </row>
    <row r="18" spans="1:41" s="520" customFormat="1" thickTop="1">
      <c r="A18" s="51"/>
      <c r="B18" s="51"/>
      <c r="C18" s="3"/>
      <c r="D18" s="3"/>
      <c r="E18" s="51"/>
      <c r="F18" s="51"/>
      <c r="G18" s="51"/>
      <c r="H18" s="51"/>
      <c r="I18" s="51"/>
      <c r="J18" s="51"/>
      <c r="K18" s="51" t="s">
        <v>134</v>
      </c>
      <c r="L18" s="51"/>
      <c r="M18" s="51"/>
      <c r="N18" s="51"/>
      <c r="O18" s="52"/>
      <c r="P18" s="51"/>
      <c r="Q18" s="51"/>
      <c r="R18" s="51"/>
      <c r="S18" s="51"/>
      <c r="T18" s="51"/>
    </row>
    <row r="19" spans="1:41" s="520" customFormat="1" ht="12">
      <c r="A19" s="51"/>
      <c r="B19" s="51"/>
      <c r="C19" s="51" t="s">
        <v>135</v>
      </c>
      <c r="D19" s="37" t="s">
        <v>2274</v>
      </c>
      <c r="E19" s="51"/>
      <c r="F19" s="51"/>
      <c r="G19" s="51"/>
      <c r="H19" s="51"/>
      <c r="I19" s="51"/>
      <c r="J19" s="51"/>
      <c r="K19" s="51"/>
      <c r="L19" s="51"/>
      <c r="M19" s="51"/>
      <c r="N19" s="51"/>
      <c r="O19" s="52"/>
      <c r="P19" s="51"/>
      <c r="Q19" s="51"/>
      <c r="R19" s="51"/>
      <c r="S19" s="51"/>
      <c r="T19" s="51"/>
    </row>
    <row r="20" spans="1:41" s="520" customFormat="1" ht="13.35" customHeight="1">
      <c r="A20" s="51"/>
      <c r="B20" s="51"/>
      <c r="C20" s="51"/>
      <c r="D20" s="1451" t="s">
        <v>3441</v>
      </c>
      <c r="E20" s="1452"/>
      <c r="F20" s="1452"/>
      <c r="G20" s="1452"/>
      <c r="H20" s="1452"/>
      <c r="I20" s="1452"/>
      <c r="J20" s="1452"/>
      <c r="K20" s="1452"/>
      <c r="L20" s="1452"/>
      <c r="M20" s="1452"/>
      <c r="N20" s="1452"/>
      <c r="O20" s="1452"/>
      <c r="P20" s="1452"/>
      <c r="Q20" s="1452"/>
      <c r="R20" s="1452"/>
      <c r="S20" s="1452"/>
      <c r="T20" s="1452"/>
    </row>
    <row r="21" spans="1:41" s="3" customFormat="1" thickBot="1">
      <c r="A21" s="531"/>
      <c r="O21" s="107"/>
    </row>
    <row r="22" spans="1:41" s="520" customFormat="1" ht="12" thickTop="1">
      <c r="A22" s="51"/>
      <c r="B22" s="41"/>
      <c r="C22" s="51"/>
      <c r="E22" s="42" t="s">
        <v>138</v>
      </c>
      <c r="F22" s="42" t="s">
        <v>139</v>
      </c>
      <c r="G22" s="51"/>
      <c r="H22" s="51"/>
      <c r="I22" s="51"/>
      <c r="J22" s="51"/>
      <c r="K22" s="51" t="s">
        <v>140</v>
      </c>
      <c r="L22" s="51"/>
      <c r="M22" s="51"/>
      <c r="N22" s="51"/>
      <c r="O22" s="52"/>
      <c r="P22" s="51"/>
      <c r="Q22" s="51"/>
      <c r="R22" s="51"/>
      <c r="S22" s="51"/>
      <c r="T22" s="41"/>
      <c r="AG22" s="521" t="s">
        <v>268</v>
      </c>
      <c r="AH22" s="521" t="s">
        <v>269</v>
      </c>
      <c r="AI22" s="521" t="s">
        <v>270</v>
      </c>
      <c r="AJ22" s="521" t="s">
        <v>271</v>
      </c>
      <c r="AK22" s="521" t="s">
        <v>272</v>
      </c>
      <c r="AM22" s="745" t="s">
        <v>281</v>
      </c>
      <c r="AN22" s="746" t="s">
        <v>282</v>
      </c>
      <c r="AO22" s="522" t="s">
        <v>278</v>
      </c>
    </row>
    <row r="23" spans="1:41" s="520" customFormat="1" ht="12" customHeight="1">
      <c r="A23" s="747">
        <v>5</v>
      </c>
      <c r="B23" s="523" t="s">
        <v>141</v>
      </c>
      <c r="C23" s="748"/>
      <c r="D23" s="749" t="s">
        <v>2277</v>
      </c>
      <c r="E23" s="1187">
        <f>IF(AND($A23=0,$A$1="DIF"),0, ROUND(ROUND(($R27*$S$7+($T27*$T$7))/$A23,2)*$C$7,2))</f>
        <v>57.02</v>
      </c>
      <c r="F23" s="1188">
        <f>ROUND($A23*$E23,2)</f>
        <v>285.10000000000002</v>
      </c>
      <c r="G23" s="752" t="s">
        <v>142</v>
      </c>
      <c r="H23" s="753"/>
      <c r="I23" s="754"/>
      <c r="J23" s="753"/>
      <c r="K23" s="753" t="s">
        <v>13</v>
      </c>
      <c r="L23" s="755" t="s">
        <v>143</v>
      </c>
      <c r="M23" s="755"/>
      <c r="N23" s="755"/>
      <c r="O23" s="755"/>
      <c r="P23" s="755"/>
      <c r="Q23" s="51"/>
      <c r="T23" s="1192" t="str">
        <f>IF(AND($R27=0,$T27=0),"0.00","mu: "&amp; ROUND(F23/$C$7/($R27+$T27*$D$9),2))</f>
        <v>mu: 1.23</v>
      </c>
      <c r="W23" s="524"/>
      <c r="AG23" s="1189">
        <f>IF($E23=0,0,ROUND($R27*$S$7*$C$7/$A23,2))</f>
        <v>11.38</v>
      </c>
      <c r="AH23" s="1189">
        <f>$AG23*$A23</f>
        <v>56.900000000000006</v>
      </c>
      <c r="AI23" s="1190">
        <f>$E23-$AG23</f>
        <v>45.64</v>
      </c>
      <c r="AJ23" s="1190">
        <f>$A23*$AI23</f>
        <v>228.2</v>
      </c>
      <c r="AK23" s="1191">
        <f>ROUND(($AG23+$AI23)*$A23,2)</f>
        <v>285.10000000000002</v>
      </c>
      <c r="AM23" s="527">
        <f>ROUND(R27,2)</f>
        <v>46.2</v>
      </c>
      <c r="AN23" s="528">
        <f>ROUND(T27,2)</f>
        <v>6.75</v>
      </c>
      <c r="AO23" s="529">
        <f>ROUND(AM23+AN23,2)*A23</f>
        <v>264.75</v>
      </c>
    </row>
    <row r="24" spans="1:41" s="520" customFormat="1" ht="13.2">
      <c r="A24" s="748"/>
      <c r="B24"/>
      <c r="C24" s="748"/>
      <c r="D24" s="749" t="s">
        <v>3442</v>
      </c>
      <c r="F24" s="753"/>
      <c r="G24" s="3"/>
      <c r="H24" s="753"/>
      <c r="I24" s="754"/>
      <c r="J24" s="753"/>
      <c r="K24" s="753" t="s">
        <v>144</v>
      </c>
      <c r="L24" s="753"/>
      <c r="M24" s="753"/>
      <c r="N24" s="753"/>
      <c r="O24" s="753"/>
      <c r="P24" s="753"/>
      <c r="Q24" s="51"/>
      <c r="R24" s="530"/>
      <c r="S24" s="757"/>
      <c r="T24" s="753"/>
    </row>
    <row r="25" spans="1:41" s="901" customFormat="1" ht="13.2">
      <c r="A25" s="116">
        <v>5</v>
      </c>
      <c r="B25" s="901" t="s">
        <v>863</v>
      </c>
      <c r="D25" s="901" t="s">
        <v>3503</v>
      </c>
      <c r="E25" s="1142" t="str">
        <f>D24</f>
        <v>150 x 150 mm</v>
      </c>
      <c r="G25" s="941" t="s">
        <v>3504</v>
      </c>
      <c r="H25" s="942">
        <v>726</v>
      </c>
      <c r="I25" s="901" t="s">
        <v>2607</v>
      </c>
      <c r="O25" s="943">
        <v>3</v>
      </c>
      <c r="P25" s="944"/>
      <c r="Q25" s="1197">
        <f>1.1 *(8.4)</f>
        <v>9.240000000000002</v>
      </c>
      <c r="R25" s="946">
        <f>$A25*Q25</f>
        <v>46.20000000000001</v>
      </c>
      <c r="S25" s="1197">
        <v>1.5</v>
      </c>
      <c r="T25" s="947">
        <f>$A25*S25*$T$1</f>
        <v>6.75</v>
      </c>
      <c r="W25" s="901">
        <v>2</v>
      </c>
    </row>
    <row r="26" spans="1:41" s="520" customFormat="1" ht="12">
      <c r="A26" s="758"/>
      <c r="B26" s="758"/>
      <c r="C26" s="758"/>
      <c r="D26" s="758"/>
      <c r="E26" s="758"/>
      <c r="F26" s="753"/>
      <c r="G26" s="758"/>
      <c r="H26" s="758"/>
      <c r="I26" s="519"/>
      <c r="J26" s="758"/>
      <c r="K26" s="758"/>
      <c r="L26" s="758"/>
      <c r="M26" s="758"/>
      <c r="N26" s="758"/>
      <c r="O26" s="758"/>
      <c r="P26" s="758"/>
      <c r="Q26" s="519"/>
      <c r="R26" s="759">
        <f t="shared" ref="R26" si="0">$A26*Q26</f>
        <v>0</v>
      </c>
      <c r="S26" s="519"/>
      <c r="T26" s="760">
        <f t="shared" ref="T26" si="1">$A26*S26*$T$1</f>
        <v>0</v>
      </c>
    </row>
    <row r="27" spans="1:41" s="520" customFormat="1" ht="12.6" thickBot="1">
      <c r="A27" s="761" t="s">
        <v>145</v>
      </c>
      <c r="B27" s="762">
        <f>(R26+T26)</f>
        <v>0</v>
      </c>
      <c r="C27" s="763"/>
      <c r="D27" s="763"/>
      <c r="E27" s="763"/>
      <c r="F27" s="764"/>
      <c r="G27" s="763" t="s">
        <v>146</v>
      </c>
      <c r="H27" s="763"/>
      <c r="I27" s="765"/>
      <c r="J27" s="763"/>
      <c r="K27" s="763" t="s">
        <v>13</v>
      </c>
      <c r="L27" s="766" t="s">
        <v>143</v>
      </c>
      <c r="M27" s="766"/>
      <c r="N27" s="766"/>
      <c r="O27" s="766"/>
      <c r="P27" s="766"/>
      <c r="Q27" s="767"/>
      <c r="R27" s="768">
        <f>SUM(R24:R26)</f>
        <v>46.20000000000001</v>
      </c>
      <c r="S27" s="763"/>
      <c r="T27" s="768">
        <f>SUM(T24:T26)</f>
        <v>6.75</v>
      </c>
      <c r="U27" s="531"/>
      <c r="V27" s="531"/>
      <c r="W27" s="531"/>
      <c r="X27" s="531"/>
      <c r="Y27" s="531"/>
      <c r="Z27" s="531"/>
      <c r="AA27" s="531"/>
      <c r="AB27" s="531"/>
      <c r="AC27" s="531"/>
      <c r="AD27" s="531"/>
      <c r="AE27" s="531"/>
      <c r="AF27" s="531"/>
      <c r="AG27" s="531"/>
      <c r="AH27" s="531"/>
      <c r="AI27" s="531"/>
      <c r="AJ27" s="531"/>
      <c r="AK27" s="531"/>
      <c r="AL27" s="531"/>
      <c r="AM27" s="531"/>
      <c r="AN27" s="531"/>
      <c r="AO27" s="531"/>
    </row>
    <row r="28" spans="1:41" s="520" customFormat="1" ht="12" thickTop="1">
      <c r="A28" s="51"/>
      <c r="B28" s="41"/>
      <c r="C28" s="51"/>
      <c r="E28" s="42" t="s">
        <v>138</v>
      </c>
      <c r="F28" s="42" t="s">
        <v>139</v>
      </c>
      <c r="G28" s="51"/>
      <c r="H28" s="51"/>
      <c r="I28" s="51"/>
      <c r="J28" s="51"/>
      <c r="K28" s="51" t="s">
        <v>140</v>
      </c>
      <c r="L28" s="51"/>
      <c r="M28" s="51"/>
      <c r="N28" s="51"/>
      <c r="O28" s="52"/>
      <c r="P28" s="51"/>
      <c r="Q28" s="51"/>
      <c r="R28" s="51"/>
      <c r="S28" s="51"/>
      <c r="T28" s="41"/>
      <c r="AG28" s="521" t="s">
        <v>268</v>
      </c>
      <c r="AH28" s="521" t="s">
        <v>269</v>
      </c>
      <c r="AI28" s="521" t="s">
        <v>270</v>
      </c>
      <c r="AJ28" s="521" t="s">
        <v>271</v>
      </c>
      <c r="AK28" s="521" t="s">
        <v>272</v>
      </c>
      <c r="AM28" s="745" t="s">
        <v>281</v>
      </c>
      <c r="AN28" s="746" t="s">
        <v>282</v>
      </c>
      <c r="AO28" s="522" t="s">
        <v>278</v>
      </c>
    </row>
    <row r="29" spans="1:41" s="520" customFormat="1" ht="12" customHeight="1">
      <c r="A29" s="747">
        <v>5</v>
      </c>
      <c r="B29" s="523" t="s">
        <v>141</v>
      </c>
      <c r="C29" s="748"/>
      <c r="D29" s="749" t="s">
        <v>2278</v>
      </c>
      <c r="E29" s="1187">
        <f>IF(AND($A29=0,$A$1="DIF"),0, ROUND(ROUND(($R33*$S$7+($T33*$T$7))/$A29,2)*$C$7,2))</f>
        <v>55.75</v>
      </c>
      <c r="F29" s="1188">
        <f>ROUND($A29*$E29,2)</f>
        <v>278.75</v>
      </c>
      <c r="G29" s="752" t="s">
        <v>142</v>
      </c>
      <c r="H29" s="753"/>
      <c r="I29" s="754"/>
      <c r="J29" s="753"/>
      <c r="K29" s="753" t="s">
        <v>13</v>
      </c>
      <c r="L29" s="755" t="s">
        <v>143</v>
      </c>
      <c r="M29" s="755"/>
      <c r="N29" s="755"/>
      <c r="O29" s="755"/>
      <c r="P29" s="755"/>
      <c r="Q29" s="51"/>
      <c r="T29" s="1192" t="str">
        <f>IF(AND($R33=0,$T33=0),"0.00","mu: "&amp; ROUND(F29/$C$7/($R33+$T33*$D$9),2))</f>
        <v>mu: 1.23</v>
      </c>
      <c r="W29" s="524"/>
      <c r="AG29" s="1189">
        <f>IF($E29=0,0,ROUND($R33*$S$7*$C$7/$A29,2))</f>
        <v>10.1</v>
      </c>
      <c r="AH29" s="1189">
        <f>$AG29*$A29</f>
        <v>50.5</v>
      </c>
      <c r="AI29" s="1190">
        <f>$E29-$AG29</f>
        <v>45.65</v>
      </c>
      <c r="AJ29" s="1190">
        <f>$A29*$AI29</f>
        <v>228.25</v>
      </c>
      <c r="AK29" s="1191">
        <f>ROUND(($AG29+$AI29)*$A29,2)</f>
        <v>278.75</v>
      </c>
      <c r="AM29" s="527">
        <f>ROUND(R33,2)</f>
        <v>41.03</v>
      </c>
      <c r="AN29" s="528">
        <f>ROUND(T33,2)</f>
        <v>6.75</v>
      </c>
      <c r="AO29" s="529">
        <f>ROUND(AM29+AN29,2)*A29</f>
        <v>238.9</v>
      </c>
    </row>
    <row r="30" spans="1:41" s="520" customFormat="1" ht="13.2">
      <c r="A30" s="748"/>
      <c r="B30"/>
      <c r="C30" s="748"/>
      <c r="D30" s="749" t="s">
        <v>932</v>
      </c>
      <c r="F30" s="753"/>
      <c r="G30" s="3"/>
      <c r="H30" s="753"/>
      <c r="I30" s="754"/>
      <c r="J30" s="753"/>
      <c r="K30" s="753" t="s">
        <v>144</v>
      </c>
      <c r="L30" s="753"/>
      <c r="M30" s="753"/>
      <c r="N30" s="753"/>
      <c r="O30" s="753"/>
      <c r="P30" s="753"/>
      <c r="Q30" s="51"/>
      <c r="R30" s="530"/>
      <c r="S30" s="757"/>
      <c r="T30" s="753"/>
    </row>
    <row r="31" spans="1:41" s="901" customFormat="1" ht="13.2">
      <c r="A31" s="116">
        <v>5</v>
      </c>
      <c r="B31" s="901" t="s">
        <v>863</v>
      </c>
      <c r="D31" s="901" t="s">
        <v>3503</v>
      </c>
      <c r="E31" s="1142" t="str">
        <f>D30</f>
        <v>200 x 100 mm</v>
      </c>
      <c r="G31" s="941" t="s">
        <v>3504</v>
      </c>
      <c r="H31" s="942">
        <v>726</v>
      </c>
      <c r="I31" s="901" t="s">
        <v>2607</v>
      </c>
      <c r="O31" s="943">
        <v>3</v>
      </c>
      <c r="P31" s="944"/>
      <c r="Q31" s="1197">
        <f>1.1 *(7.46)</f>
        <v>8.2060000000000013</v>
      </c>
      <c r="R31" s="946">
        <f>$A31*Q31</f>
        <v>41.030000000000008</v>
      </c>
      <c r="S31" s="1197">
        <v>1.5</v>
      </c>
      <c r="T31" s="947">
        <f>$A31*S31*$T$1</f>
        <v>6.75</v>
      </c>
      <c r="W31" s="901">
        <v>2</v>
      </c>
    </row>
    <row r="32" spans="1:41" s="520" customFormat="1" ht="12">
      <c r="A32" s="758"/>
      <c r="B32" s="758"/>
      <c r="C32" s="758"/>
      <c r="D32" s="758"/>
      <c r="E32" s="758"/>
      <c r="F32" s="753"/>
      <c r="G32" s="758"/>
      <c r="H32" s="758"/>
      <c r="I32" s="519"/>
      <c r="J32" s="758"/>
      <c r="K32" s="758"/>
      <c r="L32" s="758"/>
      <c r="M32" s="758"/>
      <c r="N32" s="758"/>
      <c r="O32" s="758"/>
      <c r="P32" s="758"/>
      <c r="Q32" s="519"/>
      <c r="R32" s="759">
        <f t="shared" ref="R32" si="2">$A32*Q32</f>
        <v>0</v>
      </c>
      <c r="S32" s="519"/>
      <c r="T32" s="760">
        <f t="shared" ref="T32" si="3">$A32*S32*$T$1</f>
        <v>0</v>
      </c>
    </row>
    <row r="33" spans="1:41" s="520" customFormat="1" ht="12.6" thickBot="1">
      <c r="A33" s="761" t="s">
        <v>145</v>
      </c>
      <c r="B33" s="762">
        <f>(R32+T32)</f>
        <v>0</v>
      </c>
      <c r="C33" s="763"/>
      <c r="D33" s="763"/>
      <c r="E33" s="763"/>
      <c r="F33" s="764"/>
      <c r="G33" s="763" t="s">
        <v>146</v>
      </c>
      <c r="H33" s="763"/>
      <c r="I33" s="765"/>
      <c r="J33" s="763"/>
      <c r="K33" s="763" t="s">
        <v>13</v>
      </c>
      <c r="L33" s="766" t="s">
        <v>143</v>
      </c>
      <c r="M33" s="766"/>
      <c r="N33" s="766"/>
      <c r="O33" s="766"/>
      <c r="P33" s="766"/>
      <c r="Q33" s="767"/>
      <c r="R33" s="768">
        <f>SUM(R30:R32)</f>
        <v>41.030000000000008</v>
      </c>
      <c r="S33" s="763"/>
      <c r="T33" s="768">
        <f>SUM(T30:T32)</f>
        <v>6.75</v>
      </c>
      <c r="U33" s="531"/>
      <c r="V33" s="531"/>
      <c r="W33" s="531"/>
      <c r="X33" s="531"/>
      <c r="Y33" s="531"/>
      <c r="Z33" s="531"/>
      <c r="AA33" s="531"/>
      <c r="AB33" s="531"/>
      <c r="AC33" s="531"/>
      <c r="AD33" s="531"/>
      <c r="AE33" s="531"/>
      <c r="AF33" s="531"/>
      <c r="AG33" s="531"/>
      <c r="AH33" s="531"/>
      <c r="AI33" s="531"/>
      <c r="AJ33" s="531"/>
      <c r="AK33" s="531"/>
      <c r="AL33" s="531"/>
      <c r="AM33" s="531"/>
      <c r="AN33" s="531"/>
      <c r="AO33" s="531"/>
    </row>
    <row r="34" spans="1:41" s="520" customFormat="1" ht="12" thickTop="1">
      <c r="A34" s="51"/>
      <c r="B34" s="41"/>
      <c r="C34" s="51"/>
      <c r="E34" s="42" t="s">
        <v>138</v>
      </c>
      <c r="F34" s="42" t="s">
        <v>139</v>
      </c>
      <c r="G34" s="51"/>
      <c r="H34" s="51"/>
      <c r="I34" s="51"/>
      <c r="J34" s="51"/>
      <c r="K34" s="51" t="s">
        <v>140</v>
      </c>
      <c r="L34" s="51"/>
      <c r="M34" s="51"/>
      <c r="N34" s="51"/>
      <c r="O34" s="52"/>
      <c r="P34" s="51"/>
      <c r="Q34" s="51"/>
      <c r="R34" s="51"/>
      <c r="S34" s="51"/>
      <c r="T34" s="41"/>
      <c r="AG34" s="521" t="s">
        <v>268</v>
      </c>
      <c r="AH34" s="521" t="s">
        <v>269</v>
      </c>
      <c r="AI34" s="521" t="s">
        <v>270</v>
      </c>
      <c r="AJ34" s="521" t="s">
        <v>271</v>
      </c>
      <c r="AK34" s="521" t="s">
        <v>272</v>
      </c>
      <c r="AM34" s="745" t="s">
        <v>281</v>
      </c>
      <c r="AN34" s="746" t="s">
        <v>282</v>
      </c>
      <c r="AO34" s="522" t="s">
        <v>278</v>
      </c>
    </row>
    <row r="35" spans="1:41" s="520" customFormat="1" ht="12" customHeight="1">
      <c r="A35" s="747">
        <v>5</v>
      </c>
      <c r="B35" s="523" t="s">
        <v>141</v>
      </c>
      <c r="C35" s="748"/>
      <c r="D35" s="749" t="s">
        <v>2279</v>
      </c>
      <c r="E35" s="1187">
        <f>IF(AND($A35=0,$A$1="DIF"),0, ROUND(ROUND(($R39*$S$7+($T39*$T$7))/$A35,2)*$C$7,2))</f>
        <v>65.87</v>
      </c>
      <c r="F35" s="1188">
        <f>ROUND($A35*$E35,2)</f>
        <v>329.35</v>
      </c>
      <c r="G35" s="752" t="s">
        <v>142</v>
      </c>
      <c r="H35" s="753"/>
      <c r="I35" s="754"/>
      <c r="J35" s="753"/>
      <c r="K35" s="753" t="s">
        <v>13</v>
      </c>
      <c r="L35" s="755" t="s">
        <v>143</v>
      </c>
      <c r="M35" s="755"/>
      <c r="N35" s="755"/>
      <c r="O35" s="755"/>
      <c r="P35" s="755"/>
      <c r="Q35" s="51"/>
      <c r="T35" s="1192" t="str">
        <f>IF(AND($R39=0,$T39=0),"0.00","mu: "&amp; ROUND(F35/$C$7/($R39+$T39*$D$9),2))</f>
        <v>mu: 1.23</v>
      </c>
      <c r="W35" s="524"/>
      <c r="AG35" s="1189">
        <f>IF($E35=0,0,ROUND($R39*$S$7*$C$7/$A35,2))</f>
        <v>20.22</v>
      </c>
      <c r="AH35" s="1189">
        <f>$AG35*$A35</f>
        <v>101.1</v>
      </c>
      <c r="AI35" s="1190">
        <f>$E35-$AG35</f>
        <v>45.650000000000006</v>
      </c>
      <c r="AJ35" s="1190">
        <f>$A35*$AI35</f>
        <v>228.25000000000003</v>
      </c>
      <c r="AK35" s="1191">
        <f>ROUND(($AG35+$AI35)*$A35,2)</f>
        <v>329.35</v>
      </c>
      <c r="AM35" s="527">
        <f>ROUND(R39,2)</f>
        <v>82.12</v>
      </c>
      <c r="AN35" s="528">
        <f>ROUND(T39,2)</f>
        <v>6.75</v>
      </c>
      <c r="AO35" s="529">
        <f>ROUND(AM35+AN35,2)*A35</f>
        <v>444.35</v>
      </c>
    </row>
    <row r="36" spans="1:41" s="520" customFormat="1" ht="13.2">
      <c r="A36" s="748"/>
      <c r="B36"/>
      <c r="C36" s="748"/>
      <c r="D36" s="749" t="s">
        <v>3443</v>
      </c>
      <c r="F36" s="753"/>
      <c r="G36" s="3"/>
      <c r="H36" s="753"/>
      <c r="I36" s="754"/>
      <c r="J36" s="753"/>
      <c r="K36" s="753" t="s">
        <v>144</v>
      </c>
      <c r="L36" s="753"/>
      <c r="M36" s="753"/>
      <c r="N36" s="753"/>
      <c r="O36" s="753"/>
      <c r="P36" s="753"/>
      <c r="Q36" s="51"/>
      <c r="R36" s="530"/>
      <c r="S36" s="757"/>
      <c r="T36" s="753"/>
    </row>
    <row r="37" spans="1:41" s="901" customFormat="1" ht="13.2">
      <c r="A37" s="116">
        <v>5</v>
      </c>
      <c r="B37" s="901" t="s">
        <v>863</v>
      </c>
      <c r="D37" s="901" t="s">
        <v>3503</v>
      </c>
      <c r="E37" s="1142" t="str">
        <f>D36</f>
        <v>200 x 200 mm</v>
      </c>
      <c r="G37" s="941" t="s">
        <v>3504</v>
      </c>
      <c r="H37" s="942">
        <v>726</v>
      </c>
      <c r="I37" s="901" t="s">
        <v>2607</v>
      </c>
      <c r="O37" s="943">
        <v>3</v>
      </c>
      <c r="P37" s="944"/>
      <c r="Q37" s="1197">
        <f>1.1 *(14.93)</f>
        <v>16.423000000000002</v>
      </c>
      <c r="R37" s="946">
        <f>$A37*Q37</f>
        <v>82.115000000000009</v>
      </c>
      <c r="S37" s="1197">
        <v>1.5</v>
      </c>
      <c r="T37" s="947">
        <f>$A37*S37*$T$1</f>
        <v>6.75</v>
      </c>
      <c r="W37" s="901">
        <v>2</v>
      </c>
    </row>
    <row r="38" spans="1:41" s="520" customFormat="1" ht="12">
      <c r="A38" s="758"/>
      <c r="B38" s="758"/>
      <c r="C38" s="758"/>
      <c r="D38" s="758"/>
      <c r="E38" s="758"/>
      <c r="F38" s="753"/>
      <c r="G38" s="758"/>
      <c r="H38" s="758"/>
      <c r="I38" s="519"/>
      <c r="J38" s="758"/>
      <c r="K38" s="758"/>
      <c r="L38" s="758"/>
      <c r="M38" s="758"/>
      <c r="N38" s="758"/>
      <c r="O38" s="758"/>
      <c r="P38" s="758"/>
      <c r="Q38" s="519"/>
      <c r="R38" s="759">
        <f t="shared" ref="R38" si="4">$A38*Q38</f>
        <v>0</v>
      </c>
      <c r="S38" s="519"/>
      <c r="T38" s="760">
        <f t="shared" ref="T38" si="5">$A38*S38*$T$1</f>
        <v>0</v>
      </c>
    </row>
    <row r="39" spans="1:41" s="520" customFormat="1" ht="12.6" thickBot="1">
      <c r="A39" s="761" t="s">
        <v>145</v>
      </c>
      <c r="B39" s="762">
        <f>(R38+T38)</f>
        <v>0</v>
      </c>
      <c r="C39" s="763"/>
      <c r="D39" s="763"/>
      <c r="E39" s="763"/>
      <c r="F39" s="764"/>
      <c r="G39" s="763" t="s">
        <v>146</v>
      </c>
      <c r="H39" s="763"/>
      <c r="I39" s="765"/>
      <c r="J39" s="763"/>
      <c r="K39" s="763" t="s">
        <v>13</v>
      </c>
      <c r="L39" s="766" t="s">
        <v>143</v>
      </c>
      <c r="M39" s="766"/>
      <c r="N39" s="766"/>
      <c r="O39" s="766"/>
      <c r="P39" s="766"/>
      <c r="Q39" s="767"/>
      <c r="R39" s="768">
        <f>SUM(R36:R38)</f>
        <v>82.115000000000009</v>
      </c>
      <c r="S39" s="763"/>
      <c r="T39" s="768">
        <f>SUM(T36:T38)</f>
        <v>6.75</v>
      </c>
      <c r="U39" s="531"/>
      <c r="V39" s="531"/>
      <c r="W39" s="531"/>
      <c r="X39" s="531"/>
      <c r="Y39" s="531"/>
      <c r="Z39" s="531"/>
      <c r="AA39" s="531"/>
      <c r="AB39" s="531"/>
      <c r="AC39" s="531"/>
      <c r="AD39" s="531"/>
      <c r="AE39" s="531"/>
      <c r="AF39" s="531"/>
      <c r="AG39" s="531"/>
      <c r="AH39" s="531"/>
      <c r="AI39" s="531"/>
      <c r="AJ39" s="531"/>
      <c r="AK39" s="531"/>
      <c r="AL39" s="531"/>
      <c r="AM39" s="531"/>
      <c r="AN39" s="531"/>
      <c r="AO39" s="531"/>
    </row>
    <row r="40" spans="1:41" s="520" customFormat="1" ht="12" thickTop="1">
      <c r="A40" s="51"/>
      <c r="B40" s="41"/>
      <c r="C40" s="51"/>
      <c r="E40" s="42" t="s">
        <v>138</v>
      </c>
      <c r="F40" s="42" t="s">
        <v>139</v>
      </c>
      <c r="G40" s="51"/>
      <c r="H40" s="51"/>
      <c r="I40" s="51"/>
      <c r="J40" s="51"/>
      <c r="K40" s="51" t="s">
        <v>140</v>
      </c>
      <c r="L40" s="51"/>
      <c r="M40" s="51"/>
      <c r="N40" s="51"/>
      <c r="O40" s="52"/>
      <c r="P40" s="51"/>
      <c r="Q40" s="51"/>
      <c r="R40" s="51"/>
      <c r="S40" s="51"/>
      <c r="T40" s="41"/>
      <c r="AG40" s="521" t="s">
        <v>268</v>
      </c>
      <c r="AH40" s="521" t="s">
        <v>269</v>
      </c>
      <c r="AI40" s="521" t="s">
        <v>270</v>
      </c>
      <c r="AJ40" s="521" t="s">
        <v>271</v>
      </c>
      <c r="AK40" s="521" t="s">
        <v>272</v>
      </c>
      <c r="AM40" s="745" t="s">
        <v>281</v>
      </c>
      <c r="AN40" s="746" t="s">
        <v>282</v>
      </c>
      <c r="AO40" s="522" t="s">
        <v>278</v>
      </c>
    </row>
    <row r="41" spans="1:41" s="520" customFormat="1" ht="12" customHeight="1">
      <c r="A41" s="747">
        <v>5</v>
      </c>
      <c r="B41" s="523" t="s">
        <v>141</v>
      </c>
      <c r="C41" s="748"/>
      <c r="D41" s="749" t="s">
        <v>2280</v>
      </c>
      <c r="E41" s="1187">
        <f>IF(AND($A41=0,$A$1="DIF"),0, ROUND(ROUND(($R45*$S$7+($T45*$T$7))/$A41,2)*$C$7,2))</f>
        <v>60.8</v>
      </c>
      <c r="F41" s="1188">
        <f>ROUND($A41*$E41,2)</f>
        <v>304</v>
      </c>
      <c r="G41" s="752" t="s">
        <v>142</v>
      </c>
      <c r="H41" s="753"/>
      <c r="I41" s="754"/>
      <c r="J41" s="753"/>
      <c r="K41" s="753" t="s">
        <v>13</v>
      </c>
      <c r="L41" s="755" t="s">
        <v>143</v>
      </c>
      <c r="M41" s="755"/>
      <c r="N41" s="755"/>
      <c r="O41" s="755"/>
      <c r="P41" s="755"/>
      <c r="Q41" s="51"/>
      <c r="T41" s="1192" t="str">
        <f>IF(AND($R45=0,$T45=0),"0.00","mu: "&amp; ROUND(F41/$C$7/($R45+$T45*$D$9),2))</f>
        <v>mu: 1.23</v>
      </c>
      <c r="W41" s="524"/>
      <c r="AG41" s="1189">
        <f>IF($E41=0,0,ROUND($R45*$S$7*$C$7/$A41,2))</f>
        <v>15.16</v>
      </c>
      <c r="AH41" s="1189">
        <f>$AG41*$A41</f>
        <v>75.8</v>
      </c>
      <c r="AI41" s="1190">
        <f>$E41-$AG41</f>
        <v>45.64</v>
      </c>
      <c r="AJ41" s="1190">
        <f>$A41*$AI41</f>
        <v>228.2</v>
      </c>
      <c r="AK41" s="1191">
        <f>ROUND(($AG41+$AI41)*$A41,2)</f>
        <v>304</v>
      </c>
      <c r="AM41" s="527">
        <f>ROUND(R45,2)</f>
        <v>61.55</v>
      </c>
      <c r="AN41" s="528">
        <f>ROUND(T45,2)</f>
        <v>6.75</v>
      </c>
      <c r="AO41" s="529">
        <f>ROUND(AM41+AN41,2)*A41</f>
        <v>341.5</v>
      </c>
    </row>
    <row r="42" spans="1:41" s="520" customFormat="1" ht="13.2">
      <c r="A42" s="748"/>
      <c r="B42"/>
      <c r="C42" s="748"/>
      <c r="D42" s="749" t="s">
        <v>3444</v>
      </c>
      <c r="F42" s="753"/>
      <c r="G42" s="3"/>
      <c r="H42" s="753"/>
      <c r="I42" s="754"/>
      <c r="J42" s="753"/>
      <c r="K42" s="753" t="s">
        <v>144</v>
      </c>
      <c r="L42" s="753"/>
      <c r="M42" s="753"/>
      <c r="N42" s="753"/>
      <c r="O42" s="753"/>
      <c r="P42" s="753"/>
      <c r="Q42" s="51"/>
      <c r="R42" s="530"/>
      <c r="S42" s="757"/>
      <c r="T42" s="753"/>
    </row>
    <row r="43" spans="1:41" s="901" customFormat="1" ht="13.2">
      <c r="A43" s="116">
        <v>5</v>
      </c>
      <c r="B43" s="901" t="s">
        <v>863</v>
      </c>
      <c r="D43" s="901" t="s">
        <v>3503</v>
      </c>
      <c r="E43" s="1142" t="str">
        <f>D42</f>
        <v>300 x 100 mm</v>
      </c>
      <c r="G43" s="941" t="s">
        <v>3504</v>
      </c>
      <c r="H43" s="942">
        <v>726</v>
      </c>
      <c r="I43" s="901" t="s">
        <v>2607</v>
      </c>
      <c r="O43" s="943">
        <v>3</v>
      </c>
      <c r="P43" s="944"/>
      <c r="Q43" s="1197">
        <f>1.1 *(11.19)</f>
        <v>12.309000000000001</v>
      </c>
      <c r="R43" s="946">
        <f>$A43*Q43</f>
        <v>61.545000000000002</v>
      </c>
      <c r="S43" s="1197">
        <v>1.5</v>
      </c>
      <c r="T43" s="947">
        <f>$A43*S43*$T$1</f>
        <v>6.75</v>
      </c>
      <c r="W43" s="901">
        <v>2</v>
      </c>
    </row>
    <row r="44" spans="1:41" s="520" customFormat="1" ht="12">
      <c r="A44" s="758"/>
      <c r="B44" s="758"/>
      <c r="C44" s="758"/>
      <c r="D44" s="758"/>
      <c r="E44" s="758"/>
      <c r="F44" s="753"/>
      <c r="G44" s="758"/>
      <c r="H44" s="758"/>
      <c r="I44" s="519"/>
      <c r="J44" s="758"/>
      <c r="K44" s="758"/>
      <c r="L44" s="758"/>
      <c r="M44" s="758"/>
      <c r="N44" s="758"/>
      <c r="O44" s="758"/>
      <c r="P44" s="758"/>
      <c r="Q44" s="519"/>
      <c r="R44" s="759">
        <f t="shared" ref="R44" si="6">$A44*Q44</f>
        <v>0</v>
      </c>
      <c r="S44" s="519"/>
      <c r="T44" s="760">
        <f t="shared" ref="T44" si="7">$A44*S44*$T$1</f>
        <v>0</v>
      </c>
    </row>
    <row r="45" spans="1:41" s="520" customFormat="1" ht="12.6" thickBot="1">
      <c r="A45" s="761" t="s">
        <v>145</v>
      </c>
      <c r="B45" s="762">
        <f>(R44+T44)</f>
        <v>0</v>
      </c>
      <c r="C45" s="763"/>
      <c r="D45" s="763"/>
      <c r="E45" s="763"/>
      <c r="F45" s="764"/>
      <c r="G45" s="763" t="s">
        <v>146</v>
      </c>
      <c r="H45" s="763"/>
      <c r="I45" s="765"/>
      <c r="J45" s="763"/>
      <c r="K45" s="763" t="s">
        <v>13</v>
      </c>
      <c r="L45" s="766" t="s">
        <v>143</v>
      </c>
      <c r="M45" s="766"/>
      <c r="N45" s="766"/>
      <c r="O45" s="766"/>
      <c r="P45" s="766"/>
      <c r="Q45" s="767"/>
      <c r="R45" s="768">
        <f>SUM(R42:R44)</f>
        <v>61.545000000000002</v>
      </c>
      <c r="S45" s="763"/>
      <c r="T45" s="768">
        <f>SUM(T42:T44)</f>
        <v>6.75</v>
      </c>
      <c r="U45" s="531"/>
      <c r="V45" s="531"/>
      <c r="W45" s="531"/>
      <c r="X45" s="531"/>
      <c r="Y45" s="531"/>
      <c r="Z45" s="531"/>
      <c r="AA45" s="531"/>
      <c r="AB45" s="531"/>
      <c r="AC45" s="531"/>
      <c r="AD45" s="531"/>
      <c r="AE45" s="531"/>
      <c r="AF45" s="531"/>
      <c r="AG45" s="531"/>
      <c r="AH45" s="531"/>
      <c r="AI45" s="531"/>
      <c r="AJ45" s="531"/>
      <c r="AK45" s="531"/>
      <c r="AL45" s="531"/>
      <c r="AM45" s="531"/>
      <c r="AN45" s="531"/>
      <c r="AO45" s="531"/>
    </row>
    <row r="46" spans="1:41" s="520" customFormat="1" ht="12" thickTop="1">
      <c r="A46" s="51"/>
      <c r="B46" s="41"/>
      <c r="C46" s="51"/>
      <c r="E46" s="42" t="s">
        <v>138</v>
      </c>
      <c r="F46" s="42" t="s">
        <v>139</v>
      </c>
      <c r="G46" s="51"/>
      <c r="H46" s="51"/>
      <c r="I46" s="51"/>
      <c r="J46" s="51"/>
      <c r="K46" s="51" t="s">
        <v>140</v>
      </c>
      <c r="L46" s="51"/>
      <c r="M46" s="51"/>
      <c r="N46" s="51"/>
      <c r="O46" s="52"/>
      <c r="P46" s="51"/>
      <c r="Q46" s="51"/>
      <c r="R46" s="51"/>
      <c r="S46" s="51"/>
      <c r="T46" s="41"/>
      <c r="AG46" s="521" t="s">
        <v>268</v>
      </c>
      <c r="AH46" s="521" t="s">
        <v>269</v>
      </c>
      <c r="AI46" s="521" t="s">
        <v>270</v>
      </c>
      <c r="AJ46" s="521" t="s">
        <v>271</v>
      </c>
      <c r="AK46" s="521" t="s">
        <v>272</v>
      </c>
      <c r="AM46" s="745" t="s">
        <v>281</v>
      </c>
      <c r="AN46" s="746" t="s">
        <v>282</v>
      </c>
      <c r="AO46" s="522" t="s">
        <v>278</v>
      </c>
    </row>
    <row r="47" spans="1:41" s="520" customFormat="1" ht="12" customHeight="1">
      <c r="A47" s="747">
        <v>5</v>
      </c>
      <c r="B47" s="523" t="s">
        <v>141</v>
      </c>
      <c r="C47" s="748"/>
      <c r="D47" s="749" t="s">
        <v>2281</v>
      </c>
      <c r="E47" s="1187">
        <f>IF(AND($A47=0,$A$1="DIF"),0, ROUND(ROUND(($R51*$S$7+($T51*$T$7))/$A47,2)*$C$7,2))</f>
        <v>75.97</v>
      </c>
      <c r="F47" s="1188">
        <f>ROUND($A47*$E47,2)</f>
        <v>379.85</v>
      </c>
      <c r="G47" s="752" t="s">
        <v>142</v>
      </c>
      <c r="H47" s="753"/>
      <c r="I47" s="754"/>
      <c r="J47" s="753"/>
      <c r="K47" s="753" t="s">
        <v>13</v>
      </c>
      <c r="L47" s="755" t="s">
        <v>143</v>
      </c>
      <c r="M47" s="755"/>
      <c r="N47" s="755"/>
      <c r="O47" s="755"/>
      <c r="P47" s="755"/>
      <c r="Q47" s="51"/>
      <c r="T47" s="1192" t="str">
        <f>IF(AND($R51=0,$T51=0),"0.00","mu: "&amp; ROUND(F47/$C$7/($R51+$T51*$D$9),2))</f>
        <v>mu: 1.23</v>
      </c>
      <c r="W47" s="524"/>
      <c r="AG47" s="1189">
        <f>IF($E47=0,0,ROUND($R51*$S$7*$C$7/$A47,2))</f>
        <v>30.33</v>
      </c>
      <c r="AH47" s="1189">
        <f>$AG47*$A47</f>
        <v>151.64999999999998</v>
      </c>
      <c r="AI47" s="1190">
        <f>$E47-$AG47</f>
        <v>45.64</v>
      </c>
      <c r="AJ47" s="1190">
        <f>$A47*$AI47</f>
        <v>228.2</v>
      </c>
      <c r="AK47" s="1191">
        <f>ROUND(($AG47+$AI47)*$A47,2)</f>
        <v>379.85</v>
      </c>
      <c r="AM47" s="527">
        <f>ROUND(R51,2)</f>
        <v>123.15</v>
      </c>
      <c r="AN47" s="528">
        <f>ROUND(T51,2)</f>
        <v>6.75</v>
      </c>
      <c r="AO47" s="529">
        <f>ROUND(AM47+AN47,2)*A47</f>
        <v>649.5</v>
      </c>
    </row>
    <row r="48" spans="1:41" s="520" customFormat="1" ht="13.2">
      <c r="A48" s="748"/>
      <c r="B48"/>
      <c r="C48" s="748"/>
      <c r="D48" s="749" t="s">
        <v>3445</v>
      </c>
      <c r="F48" s="753"/>
      <c r="G48" s="3"/>
      <c r="H48" s="753"/>
      <c r="I48" s="754"/>
      <c r="J48" s="753"/>
      <c r="K48" s="753" t="s">
        <v>144</v>
      </c>
      <c r="L48" s="753"/>
      <c r="M48" s="753"/>
      <c r="N48" s="753"/>
      <c r="O48" s="753"/>
      <c r="P48" s="753"/>
      <c r="Q48" s="51"/>
      <c r="R48" s="530"/>
      <c r="S48" s="757"/>
      <c r="T48" s="753"/>
    </row>
    <row r="49" spans="1:41" s="901" customFormat="1" ht="13.2">
      <c r="A49" s="116">
        <v>5</v>
      </c>
      <c r="B49" s="901" t="s">
        <v>863</v>
      </c>
      <c r="D49" s="901" t="s">
        <v>3503</v>
      </c>
      <c r="E49" s="1142" t="str">
        <f>D48</f>
        <v>300 x 200 mm</v>
      </c>
      <c r="G49" s="941" t="s">
        <v>3504</v>
      </c>
      <c r="H49" s="942">
        <v>726</v>
      </c>
      <c r="I49" s="901" t="s">
        <v>2607</v>
      </c>
      <c r="O49" s="943">
        <v>3</v>
      </c>
      <c r="P49" s="944"/>
      <c r="Q49" s="1197">
        <f>1.1 *(22.39)</f>
        <v>24.629000000000001</v>
      </c>
      <c r="R49" s="946">
        <f>$A49*Q49</f>
        <v>123.14500000000001</v>
      </c>
      <c r="S49" s="1197">
        <v>1.5</v>
      </c>
      <c r="T49" s="947">
        <f>$A49*S49*$T$1</f>
        <v>6.75</v>
      </c>
      <c r="W49" s="901">
        <v>2</v>
      </c>
    </row>
    <row r="50" spans="1:41" s="520" customFormat="1" ht="12">
      <c r="A50" s="758"/>
      <c r="B50" s="758"/>
      <c r="C50" s="758"/>
      <c r="D50" s="758"/>
      <c r="E50" s="758"/>
      <c r="F50" s="753"/>
      <c r="G50" s="758"/>
      <c r="H50" s="758"/>
      <c r="I50" s="519"/>
      <c r="J50" s="758"/>
      <c r="K50" s="758"/>
      <c r="L50" s="758"/>
      <c r="M50" s="758"/>
      <c r="N50" s="758"/>
      <c r="O50" s="758"/>
      <c r="P50" s="758"/>
      <c r="Q50" s="519"/>
      <c r="R50" s="759">
        <f t="shared" ref="R50" si="8">$A50*Q50</f>
        <v>0</v>
      </c>
      <c r="S50" s="519"/>
      <c r="T50" s="760">
        <f t="shared" ref="T50" si="9">$A50*S50*$T$1</f>
        <v>0</v>
      </c>
    </row>
    <row r="51" spans="1:41" s="520" customFormat="1" ht="12.6" thickBot="1">
      <c r="A51" s="761" t="s">
        <v>145</v>
      </c>
      <c r="B51" s="762">
        <f>(R50+T50)</f>
        <v>0</v>
      </c>
      <c r="C51" s="763"/>
      <c r="D51" s="763"/>
      <c r="E51" s="763"/>
      <c r="F51" s="764"/>
      <c r="G51" s="763" t="s">
        <v>146</v>
      </c>
      <c r="H51" s="763"/>
      <c r="I51" s="765"/>
      <c r="J51" s="763"/>
      <c r="K51" s="763" t="s">
        <v>13</v>
      </c>
      <c r="L51" s="766" t="s">
        <v>143</v>
      </c>
      <c r="M51" s="766"/>
      <c r="N51" s="766"/>
      <c r="O51" s="766"/>
      <c r="P51" s="766"/>
      <c r="Q51" s="767"/>
      <c r="R51" s="768">
        <f>SUM(R48:R50)</f>
        <v>123.14500000000001</v>
      </c>
      <c r="S51" s="763"/>
      <c r="T51" s="768">
        <f>SUM(T48:T50)</f>
        <v>6.75</v>
      </c>
      <c r="U51" s="531"/>
      <c r="V51" s="531"/>
      <c r="W51" s="531"/>
      <c r="X51" s="531"/>
      <c r="Y51" s="531"/>
      <c r="Z51" s="531"/>
      <c r="AA51" s="531"/>
      <c r="AB51" s="531"/>
      <c r="AC51" s="531"/>
      <c r="AD51" s="531"/>
      <c r="AE51" s="531"/>
      <c r="AF51" s="531"/>
      <c r="AG51" s="531"/>
      <c r="AH51" s="531"/>
      <c r="AI51" s="531"/>
      <c r="AJ51" s="531"/>
      <c r="AK51" s="531"/>
      <c r="AL51" s="531"/>
      <c r="AM51" s="531"/>
      <c r="AN51" s="531"/>
      <c r="AO51" s="531"/>
    </row>
    <row r="52" spans="1:41" s="520" customFormat="1" ht="12" thickTop="1">
      <c r="A52" s="51"/>
      <c r="B52" s="41"/>
      <c r="C52" s="51"/>
      <c r="E52" s="42" t="s">
        <v>138</v>
      </c>
      <c r="F52" s="42" t="s">
        <v>139</v>
      </c>
      <c r="G52" s="51"/>
      <c r="H52" s="51"/>
      <c r="I52" s="51"/>
      <c r="J52" s="51"/>
      <c r="K52" s="51" t="s">
        <v>140</v>
      </c>
      <c r="L52" s="51"/>
      <c r="M52" s="51"/>
      <c r="N52" s="51"/>
      <c r="O52" s="52"/>
      <c r="P52" s="51"/>
      <c r="Q52" s="51"/>
      <c r="R52" s="51"/>
      <c r="S52" s="51"/>
      <c r="T52" s="41"/>
      <c r="AG52" s="521" t="s">
        <v>268</v>
      </c>
      <c r="AH52" s="521" t="s">
        <v>269</v>
      </c>
      <c r="AI52" s="521" t="s">
        <v>270</v>
      </c>
      <c r="AJ52" s="521" t="s">
        <v>271</v>
      </c>
      <c r="AK52" s="521" t="s">
        <v>272</v>
      </c>
      <c r="AM52" s="745" t="s">
        <v>281</v>
      </c>
      <c r="AN52" s="746" t="s">
        <v>282</v>
      </c>
      <c r="AO52" s="522" t="s">
        <v>278</v>
      </c>
    </row>
    <row r="53" spans="1:41" s="520" customFormat="1" ht="12" customHeight="1">
      <c r="A53" s="747">
        <v>5</v>
      </c>
      <c r="B53" s="523" t="s">
        <v>141</v>
      </c>
      <c r="C53" s="748"/>
      <c r="D53" s="749" t="s">
        <v>2282</v>
      </c>
      <c r="E53" s="1187">
        <f>IF(AND($A53=0,$A$1="DIF"),0, ROUND(ROUND(($R57*$S$7+($T57*$T$7))/$A53,2)*$C$7,2))</f>
        <v>91.13</v>
      </c>
      <c r="F53" s="1188">
        <f>ROUND($A53*$E53,2)</f>
        <v>455.65</v>
      </c>
      <c r="G53" s="752" t="s">
        <v>142</v>
      </c>
      <c r="H53" s="753"/>
      <c r="I53" s="754"/>
      <c r="J53" s="753"/>
      <c r="K53" s="753" t="s">
        <v>13</v>
      </c>
      <c r="L53" s="755" t="s">
        <v>143</v>
      </c>
      <c r="M53" s="755"/>
      <c r="N53" s="755"/>
      <c r="O53" s="755"/>
      <c r="P53" s="755"/>
      <c r="Q53" s="51"/>
      <c r="T53" s="1192" t="str">
        <f>IF(AND($R57=0,$T57=0),"0.00","mu: "&amp; ROUND(F53/$C$7/($R57+$T57*$D$9),2))</f>
        <v>mu: 1.23</v>
      </c>
      <c r="W53" s="524"/>
      <c r="AG53" s="1189">
        <f>IF($E53=0,0,ROUND($R57*$S$7*$C$7/$A53,2))</f>
        <v>45.48</v>
      </c>
      <c r="AH53" s="1189">
        <f>$AG53*$A53</f>
        <v>227.39999999999998</v>
      </c>
      <c r="AI53" s="1190">
        <f>$E53-$AG53</f>
        <v>45.65</v>
      </c>
      <c r="AJ53" s="1190">
        <f>$A53*$AI53</f>
        <v>228.25</v>
      </c>
      <c r="AK53" s="1191">
        <f>ROUND(($AG53+$AI53)*$A53,2)</f>
        <v>455.65</v>
      </c>
      <c r="AM53" s="527">
        <f>ROUND(R57,2)</f>
        <v>184.69</v>
      </c>
      <c r="AN53" s="528">
        <f>ROUND(T57,2)</f>
        <v>6.75</v>
      </c>
      <c r="AO53" s="529">
        <f>ROUND(AM53+AN53,2)*A53</f>
        <v>957.2</v>
      </c>
    </row>
    <row r="54" spans="1:41" s="520" customFormat="1" ht="13.2">
      <c r="A54" s="748"/>
      <c r="B54"/>
      <c r="C54" s="748"/>
      <c r="D54" s="749" t="s">
        <v>3446</v>
      </c>
      <c r="F54" s="753"/>
      <c r="G54" s="3"/>
      <c r="H54" s="753"/>
      <c r="I54" s="754"/>
      <c r="J54" s="753"/>
      <c r="K54" s="753" t="s">
        <v>144</v>
      </c>
      <c r="L54" s="753"/>
      <c r="M54" s="753"/>
      <c r="N54" s="753"/>
      <c r="O54" s="753"/>
      <c r="P54" s="753"/>
      <c r="Q54" s="51"/>
      <c r="R54" s="530"/>
      <c r="S54" s="757"/>
      <c r="T54" s="753"/>
    </row>
    <row r="55" spans="1:41" s="901" customFormat="1" ht="13.2">
      <c r="A55" s="116">
        <v>5</v>
      </c>
      <c r="B55" s="901" t="s">
        <v>863</v>
      </c>
      <c r="D55" s="901" t="s">
        <v>3503</v>
      </c>
      <c r="E55" s="1142" t="str">
        <f>D54</f>
        <v>300 x 300 mm</v>
      </c>
      <c r="G55" s="941" t="s">
        <v>3504</v>
      </c>
      <c r="H55" s="942">
        <v>726</v>
      </c>
      <c r="I55" s="901" t="s">
        <v>2607</v>
      </c>
      <c r="O55" s="943">
        <v>3</v>
      </c>
      <c r="P55" s="944"/>
      <c r="Q55" s="1197">
        <f>1.1 *(33.58)</f>
        <v>36.938000000000002</v>
      </c>
      <c r="R55" s="946">
        <f>$A55*Q55</f>
        <v>184.69</v>
      </c>
      <c r="S55" s="1197">
        <v>1.5</v>
      </c>
      <c r="T55" s="947">
        <f>$A55*S55*$T$1</f>
        <v>6.75</v>
      </c>
      <c r="W55" s="901">
        <v>2</v>
      </c>
    </row>
    <row r="56" spans="1:41" s="520" customFormat="1" ht="12">
      <c r="A56" s="758"/>
      <c r="B56" s="758"/>
      <c r="C56" s="758"/>
      <c r="D56" s="758"/>
      <c r="E56" s="758"/>
      <c r="F56" s="753"/>
      <c r="G56" s="758"/>
      <c r="H56" s="758"/>
      <c r="I56" s="519"/>
      <c r="J56" s="758"/>
      <c r="K56" s="758"/>
      <c r="L56" s="758"/>
      <c r="M56" s="758"/>
      <c r="N56" s="758"/>
      <c r="O56" s="758"/>
      <c r="P56" s="758"/>
      <c r="Q56" s="519"/>
      <c r="R56" s="759">
        <f t="shared" ref="R56" si="10">$A56*Q56</f>
        <v>0</v>
      </c>
      <c r="S56" s="519"/>
      <c r="T56" s="760">
        <f t="shared" ref="T56" si="11">$A56*S56*$T$1</f>
        <v>0</v>
      </c>
    </row>
    <row r="57" spans="1:41" s="520" customFormat="1" ht="12.6" thickBot="1">
      <c r="A57" s="761" t="s">
        <v>145</v>
      </c>
      <c r="B57" s="762">
        <f>(R56+T56)</f>
        <v>0</v>
      </c>
      <c r="C57" s="763"/>
      <c r="D57" s="763"/>
      <c r="E57" s="763"/>
      <c r="F57" s="764"/>
      <c r="G57" s="763" t="s">
        <v>146</v>
      </c>
      <c r="H57" s="763"/>
      <c r="I57" s="765"/>
      <c r="J57" s="763"/>
      <c r="K57" s="763" t="s">
        <v>13</v>
      </c>
      <c r="L57" s="766" t="s">
        <v>143</v>
      </c>
      <c r="M57" s="766"/>
      <c r="N57" s="766"/>
      <c r="O57" s="766"/>
      <c r="P57" s="766"/>
      <c r="Q57" s="767"/>
      <c r="R57" s="768">
        <f>SUM(R54:R56)</f>
        <v>184.69</v>
      </c>
      <c r="S57" s="763"/>
      <c r="T57" s="768">
        <f>SUM(T54:T56)</f>
        <v>6.75</v>
      </c>
      <c r="U57" s="531"/>
      <c r="V57" s="531"/>
      <c r="W57" s="531"/>
      <c r="X57" s="531"/>
      <c r="Y57" s="531"/>
      <c r="Z57" s="531"/>
      <c r="AA57" s="531"/>
      <c r="AB57" s="531"/>
      <c r="AC57" s="531"/>
      <c r="AD57" s="531"/>
      <c r="AE57" s="531"/>
      <c r="AF57" s="531"/>
      <c r="AG57" s="531"/>
      <c r="AH57" s="531"/>
      <c r="AI57" s="531"/>
      <c r="AJ57" s="531"/>
      <c r="AK57" s="531"/>
      <c r="AL57" s="531"/>
      <c r="AM57" s="531"/>
      <c r="AN57" s="531"/>
      <c r="AO57" s="531"/>
    </row>
    <row r="58" spans="1:41" s="520" customFormat="1" ht="12" thickTop="1">
      <c r="A58" s="51"/>
      <c r="B58" s="41"/>
      <c r="C58" s="51"/>
      <c r="E58" s="42" t="s">
        <v>138</v>
      </c>
      <c r="F58" s="42" t="s">
        <v>139</v>
      </c>
      <c r="G58" s="51"/>
      <c r="H58" s="51"/>
      <c r="I58" s="51"/>
      <c r="J58" s="51"/>
      <c r="K58" s="51" t="s">
        <v>140</v>
      </c>
      <c r="L58" s="51"/>
      <c r="M58" s="51"/>
      <c r="N58" s="51"/>
      <c r="O58" s="52"/>
      <c r="P58" s="51"/>
      <c r="Q58" s="51"/>
      <c r="R58" s="51"/>
      <c r="S58" s="51"/>
      <c r="T58" s="41"/>
      <c r="AG58" s="521" t="s">
        <v>268</v>
      </c>
      <c r="AH58" s="521" t="s">
        <v>269</v>
      </c>
      <c r="AI58" s="521" t="s">
        <v>270</v>
      </c>
      <c r="AJ58" s="521" t="s">
        <v>271</v>
      </c>
      <c r="AK58" s="521" t="s">
        <v>272</v>
      </c>
      <c r="AM58" s="745" t="s">
        <v>281</v>
      </c>
      <c r="AN58" s="746" t="s">
        <v>282</v>
      </c>
      <c r="AO58" s="522" t="s">
        <v>278</v>
      </c>
    </row>
    <row r="59" spans="1:41" s="520" customFormat="1" ht="12" customHeight="1">
      <c r="A59" s="747">
        <v>5</v>
      </c>
      <c r="B59" s="523" t="s">
        <v>141</v>
      </c>
      <c r="C59" s="748"/>
      <c r="D59" s="749" t="s">
        <v>2283</v>
      </c>
      <c r="E59" s="1187">
        <f>IF(AND($A59=0,$A$1="DIF"),0, ROUND(ROUND(($R63*$S$7+($T63*$T$7))/$A59,2)*$C$7,2))</f>
        <v>65.87</v>
      </c>
      <c r="F59" s="1188">
        <f>ROUND($A59*$E59,2)</f>
        <v>329.35</v>
      </c>
      <c r="G59" s="752" t="s">
        <v>142</v>
      </c>
      <c r="H59" s="753"/>
      <c r="I59" s="754"/>
      <c r="J59" s="753"/>
      <c r="K59" s="753" t="s">
        <v>13</v>
      </c>
      <c r="L59" s="755" t="s">
        <v>143</v>
      </c>
      <c r="M59" s="755"/>
      <c r="N59" s="755"/>
      <c r="O59" s="755"/>
      <c r="P59" s="755"/>
      <c r="Q59" s="51"/>
      <c r="T59" s="1192" t="str">
        <f>IF(AND($R63=0,$T63=0),"0.00","mu: "&amp; ROUND(F59/$C$7/($R63+$T63*$D$9),2))</f>
        <v>mu: 1.23</v>
      </c>
      <c r="W59" s="524"/>
      <c r="AG59" s="1189">
        <f>IF($E59=0,0,ROUND($R63*$S$7*$C$7/$A59,2))</f>
        <v>20.22</v>
      </c>
      <c r="AH59" s="1189">
        <f>$AG59*$A59</f>
        <v>101.1</v>
      </c>
      <c r="AI59" s="1190">
        <f>$E59-$AG59</f>
        <v>45.650000000000006</v>
      </c>
      <c r="AJ59" s="1190">
        <f>$A59*$AI59</f>
        <v>228.25000000000003</v>
      </c>
      <c r="AK59" s="1191">
        <f>ROUND(($AG59+$AI59)*$A59,2)</f>
        <v>329.35</v>
      </c>
      <c r="AM59" s="527">
        <f>ROUND(R63,2)</f>
        <v>82.12</v>
      </c>
      <c r="AN59" s="528">
        <f>ROUND(T63,2)</f>
        <v>6.75</v>
      </c>
      <c r="AO59" s="529">
        <f>ROUND(AM59+AN59,2)*A59</f>
        <v>444.35</v>
      </c>
    </row>
    <row r="60" spans="1:41" s="520" customFormat="1" ht="13.2">
      <c r="A60" s="748"/>
      <c r="B60"/>
      <c r="C60" s="748"/>
      <c r="D60" s="749" t="s">
        <v>933</v>
      </c>
      <c r="F60" s="753"/>
      <c r="G60" s="3"/>
      <c r="H60" s="753"/>
      <c r="I60" s="754"/>
      <c r="J60" s="753"/>
      <c r="K60" s="753" t="s">
        <v>144</v>
      </c>
      <c r="L60" s="753"/>
      <c r="M60" s="753"/>
      <c r="N60" s="753"/>
      <c r="O60" s="753"/>
      <c r="P60" s="753"/>
      <c r="Q60" s="51"/>
      <c r="R60" s="530"/>
      <c r="S60" s="757"/>
      <c r="T60" s="753"/>
    </row>
    <row r="61" spans="1:41" s="901" customFormat="1" ht="13.2">
      <c r="A61" s="116">
        <v>5</v>
      </c>
      <c r="B61" s="901" t="s">
        <v>863</v>
      </c>
      <c r="D61" s="901" t="s">
        <v>3503</v>
      </c>
      <c r="E61" s="1142" t="str">
        <f>D60</f>
        <v>400 x 100 mm</v>
      </c>
      <c r="G61" s="941" t="s">
        <v>3504</v>
      </c>
      <c r="H61" s="942">
        <v>726</v>
      </c>
      <c r="I61" s="901" t="s">
        <v>2607</v>
      </c>
      <c r="O61" s="943">
        <v>3</v>
      </c>
      <c r="P61" s="944"/>
      <c r="Q61" s="1197">
        <f>1.1 *(14.93)</f>
        <v>16.423000000000002</v>
      </c>
      <c r="R61" s="946">
        <f>$A61*Q61</f>
        <v>82.115000000000009</v>
      </c>
      <c r="S61" s="1197">
        <v>1.5</v>
      </c>
      <c r="T61" s="947">
        <f>$A61*S61*$T$1</f>
        <v>6.75</v>
      </c>
      <c r="W61" s="901">
        <v>2</v>
      </c>
    </row>
    <row r="62" spans="1:41" s="520" customFormat="1" ht="12">
      <c r="A62" s="758"/>
      <c r="B62" s="758"/>
      <c r="C62" s="758"/>
      <c r="D62" s="758"/>
      <c r="E62" s="758"/>
      <c r="F62" s="753"/>
      <c r="G62" s="758"/>
      <c r="H62" s="758"/>
      <c r="I62" s="519"/>
      <c r="J62" s="758"/>
      <c r="K62" s="758"/>
      <c r="L62" s="758"/>
      <c r="M62" s="758"/>
      <c r="N62" s="758"/>
      <c r="O62" s="758"/>
      <c r="P62" s="758"/>
      <c r="Q62" s="519"/>
      <c r="R62" s="759">
        <f t="shared" ref="R62" si="12">$A62*Q62</f>
        <v>0</v>
      </c>
      <c r="S62" s="519"/>
      <c r="T62" s="760">
        <f t="shared" ref="T62" si="13">$A62*S62*$T$1</f>
        <v>0</v>
      </c>
    </row>
    <row r="63" spans="1:41" s="520" customFormat="1" ht="12.6" thickBot="1">
      <c r="A63" s="761" t="s">
        <v>145</v>
      </c>
      <c r="B63" s="762">
        <f>(R62+T62)</f>
        <v>0</v>
      </c>
      <c r="C63" s="763"/>
      <c r="D63" s="763"/>
      <c r="E63" s="763"/>
      <c r="F63" s="764"/>
      <c r="G63" s="763" t="s">
        <v>146</v>
      </c>
      <c r="H63" s="763"/>
      <c r="I63" s="765"/>
      <c r="J63" s="763"/>
      <c r="K63" s="763" t="s">
        <v>13</v>
      </c>
      <c r="L63" s="766" t="s">
        <v>143</v>
      </c>
      <c r="M63" s="766"/>
      <c r="N63" s="766"/>
      <c r="O63" s="766"/>
      <c r="P63" s="766"/>
      <c r="Q63" s="767"/>
      <c r="R63" s="768">
        <f>SUM(R60:R62)</f>
        <v>82.115000000000009</v>
      </c>
      <c r="S63" s="763"/>
      <c r="T63" s="768">
        <f>SUM(T60:T62)</f>
        <v>6.75</v>
      </c>
      <c r="U63" s="531"/>
      <c r="V63" s="531"/>
      <c r="W63" s="531"/>
      <c r="X63" s="531"/>
      <c r="Y63" s="531"/>
      <c r="Z63" s="531"/>
      <c r="AA63" s="531"/>
      <c r="AB63" s="531"/>
      <c r="AC63" s="531"/>
      <c r="AD63" s="531"/>
      <c r="AE63" s="531"/>
      <c r="AF63" s="531"/>
      <c r="AG63" s="531"/>
      <c r="AH63" s="531"/>
      <c r="AI63" s="531"/>
      <c r="AJ63" s="531"/>
      <c r="AK63" s="531"/>
      <c r="AL63" s="531"/>
      <c r="AM63" s="531"/>
      <c r="AN63" s="531"/>
      <c r="AO63" s="531"/>
    </row>
    <row r="64" spans="1:41" s="520" customFormat="1" ht="12" thickTop="1">
      <c r="A64" s="51"/>
      <c r="B64" s="41"/>
      <c r="C64" s="51"/>
      <c r="E64" s="42" t="s">
        <v>138</v>
      </c>
      <c r="F64" s="42" t="s">
        <v>139</v>
      </c>
      <c r="G64" s="51"/>
      <c r="H64" s="51"/>
      <c r="I64" s="51"/>
      <c r="J64" s="51"/>
      <c r="K64" s="51" t="s">
        <v>140</v>
      </c>
      <c r="L64" s="51"/>
      <c r="M64" s="51"/>
      <c r="N64" s="51"/>
      <c r="O64" s="52"/>
      <c r="P64" s="51"/>
      <c r="Q64" s="51"/>
      <c r="R64" s="51"/>
      <c r="S64" s="51"/>
      <c r="T64" s="41"/>
      <c r="AG64" s="521" t="s">
        <v>268</v>
      </c>
      <c r="AH64" s="521" t="s">
        <v>269</v>
      </c>
      <c r="AI64" s="521" t="s">
        <v>270</v>
      </c>
      <c r="AJ64" s="521" t="s">
        <v>271</v>
      </c>
      <c r="AK64" s="521" t="s">
        <v>272</v>
      </c>
      <c r="AM64" s="745" t="s">
        <v>281</v>
      </c>
      <c r="AN64" s="746" t="s">
        <v>282</v>
      </c>
      <c r="AO64" s="522" t="s">
        <v>278</v>
      </c>
    </row>
    <row r="65" spans="1:41" s="520" customFormat="1" ht="12" customHeight="1">
      <c r="A65" s="747">
        <v>5</v>
      </c>
      <c r="B65" s="523" t="s">
        <v>141</v>
      </c>
      <c r="C65" s="748"/>
      <c r="D65" s="749" t="s">
        <v>2284</v>
      </c>
      <c r="E65" s="1187">
        <f>IF(AND($A65=0,$A$1="DIF"),0, ROUND(ROUND(($R69*$S$7+($T69*$T$7))/$A65,2)*$C$7,2))</f>
        <v>86.08</v>
      </c>
      <c r="F65" s="1188">
        <f>ROUND($A65*$E65,2)</f>
        <v>430.4</v>
      </c>
      <c r="G65" s="752" t="s">
        <v>142</v>
      </c>
      <c r="H65" s="753"/>
      <c r="I65" s="754"/>
      <c r="J65" s="753"/>
      <c r="K65" s="753" t="s">
        <v>13</v>
      </c>
      <c r="L65" s="755" t="s">
        <v>143</v>
      </c>
      <c r="M65" s="755"/>
      <c r="N65" s="755"/>
      <c r="O65" s="755"/>
      <c r="P65" s="755"/>
      <c r="Q65" s="51"/>
      <c r="T65" s="1192" t="str">
        <f>IF(AND($R69=0,$T69=0),"0.00","mu: "&amp; ROUND(F65/$C$7/($R69+$T69*$D$9),2))</f>
        <v>mu: 1.23</v>
      </c>
      <c r="W65" s="524"/>
      <c r="AG65" s="1189">
        <f>IF($E65=0,0,ROUND($R69*$S$7*$C$7/$A65,2))</f>
        <v>40.43</v>
      </c>
      <c r="AH65" s="1189">
        <f>$AG65*$A65</f>
        <v>202.15</v>
      </c>
      <c r="AI65" s="1190">
        <f>$E65-$AG65</f>
        <v>45.65</v>
      </c>
      <c r="AJ65" s="1190">
        <f>$A65*$AI65</f>
        <v>228.25</v>
      </c>
      <c r="AK65" s="1191">
        <f>ROUND(($AG65+$AI65)*$A65,2)</f>
        <v>430.4</v>
      </c>
      <c r="AM65" s="527">
        <f>ROUND(R69,2)</f>
        <v>164.18</v>
      </c>
      <c r="AN65" s="528">
        <f>ROUND(T69,2)</f>
        <v>6.75</v>
      </c>
      <c r="AO65" s="529">
        <f>ROUND(AM65+AN65,2)*A65</f>
        <v>854.65000000000009</v>
      </c>
    </row>
    <row r="66" spans="1:41" s="520" customFormat="1" ht="13.2">
      <c r="A66" s="748"/>
      <c r="B66"/>
      <c r="C66" s="748"/>
      <c r="D66" s="749" t="s">
        <v>3447</v>
      </c>
      <c r="F66" s="753"/>
      <c r="G66" s="3"/>
      <c r="H66" s="753"/>
      <c r="I66" s="754"/>
      <c r="J66" s="753"/>
      <c r="K66" s="753" t="s">
        <v>144</v>
      </c>
      <c r="L66" s="753"/>
      <c r="M66" s="753"/>
      <c r="N66" s="753"/>
      <c r="O66" s="753"/>
      <c r="P66" s="753"/>
      <c r="Q66" s="51"/>
      <c r="R66" s="530"/>
      <c r="S66" s="757"/>
      <c r="T66" s="753"/>
    </row>
    <row r="67" spans="1:41" s="901" customFormat="1" ht="13.2">
      <c r="A67" s="116">
        <v>5</v>
      </c>
      <c r="B67" s="901" t="s">
        <v>863</v>
      </c>
      <c r="D67" s="901" t="s">
        <v>3503</v>
      </c>
      <c r="E67" s="1142" t="str">
        <f>D66</f>
        <v>400 x 200 mm</v>
      </c>
      <c r="G67" s="941" t="s">
        <v>3504</v>
      </c>
      <c r="H67" s="942">
        <v>726</v>
      </c>
      <c r="I67" s="901" t="s">
        <v>2607</v>
      </c>
      <c r="O67" s="943">
        <v>3</v>
      </c>
      <c r="P67" s="944"/>
      <c r="Q67" s="1197">
        <f>1.1 *(29.85)</f>
        <v>32.835000000000001</v>
      </c>
      <c r="R67" s="946">
        <f>$A67*Q67</f>
        <v>164.17500000000001</v>
      </c>
      <c r="S67" s="1197">
        <v>1.5</v>
      </c>
      <c r="T67" s="947">
        <f>$A67*S67*$T$1</f>
        <v>6.75</v>
      </c>
      <c r="W67" s="901">
        <v>2</v>
      </c>
    </row>
    <row r="68" spans="1:41" s="520" customFormat="1" ht="12">
      <c r="A68" s="758"/>
      <c r="B68" s="758"/>
      <c r="C68" s="758"/>
      <c r="D68" s="758"/>
      <c r="E68" s="758"/>
      <c r="F68" s="753"/>
      <c r="G68" s="758"/>
      <c r="H68" s="758"/>
      <c r="I68" s="519"/>
      <c r="J68" s="758"/>
      <c r="K68" s="758"/>
      <c r="L68" s="758"/>
      <c r="M68" s="758"/>
      <c r="N68" s="758"/>
      <c r="O68" s="758"/>
      <c r="P68" s="758"/>
      <c r="Q68" s="519"/>
      <c r="R68" s="759">
        <f t="shared" ref="R68" si="14">$A68*Q68</f>
        <v>0</v>
      </c>
      <c r="S68" s="519"/>
      <c r="T68" s="760">
        <f t="shared" ref="T68" si="15">$A68*S68*$T$1</f>
        <v>0</v>
      </c>
    </row>
    <row r="69" spans="1:41" s="520" customFormat="1" ht="12.6" thickBot="1">
      <c r="A69" s="761" t="s">
        <v>145</v>
      </c>
      <c r="B69" s="762">
        <f>(R68+T68)</f>
        <v>0</v>
      </c>
      <c r="C69" s="763"/>
      <c r="D69" s="763"/>
      <c r="E69" s="763"/>
      <c r="F69" s="764"/>
      <c r="G69" s="763" t="s">
        <v>146</v>
      </c>
      <c r="H69" s="763"/>
      <c r="I69" s="765"/>
      <c r="J69" s="763"/>
      <c r="K69" s="763" t="s">
        <v>13</v>
      </c>
      <c r="L69" s="766" t="s">
        <v>143</v>
      </c>
      <c r="M69" s="766"/>
      <c r="N69" s="766"/>
      <c r="O69" s="766"/>
      <c r="P69" s="766"/>
      <c r="Q69" s="767"/>
      <c r="R69" s="768">
        <f>SUM(R66:R68)</f>
        <v>164.17500000000001</v>
      </c>
      <c r="S69" s="763"/>
      <c r="T69" s="768">
        <f>SUM(T66:T68)</f>
        <v>6.75</v>
      </c>
      <c r="U69" s="531"/>
      <c r="V69" s="531"/>
      <c r="W69" s="531"/>
      <c r="X69" s="531"/>
      <c r="Y69" s="531"/>
      <c r="Z69" s="531"/>
      <c r="AA69" s="531"/>
      <c r="AB69" s="531"/>
      <c r="AC69" s="531"/>
      <c r="AD69" s="531"/>
      <c r="AE69" s="531"/>
      <c r="AF69" s="531"/>
      <c r="AG69" s="531"/>
      <c r="AH69" s="531"/>
      <c r="AI69" s="531"/>
      <c r="AJ69" s="531"/>
      <c r="AK69" s="531"/>
      <c r="AL69" s="531"/>
      <c r="AM69" s="531"/>
      <c r="AN69" s="531"/>
      <c r="AO69" s="531"/>
    </row>
    <row r="70" spans="1:41" s="520" customFormat="1" ht="12" thickTop="1">
      <c r="A70" s="51"/>
      <c r="B70" s="41"/>
      <c r="C70" s="51"/>
      <c r="E70" s="42" t="s">
        <v>138</v>
      </c>
      <c r="F70" s="42" t="s">
        <v>139</v>
      </c>
      <c r="G70" s="51"/>
      <c r="H70" s="51"/>
      <c r="I70" s="51"/>
      <c r="J70" s="51"/>
      <c r="K70" s="51" t="s">
        <v>140</v>
      </c>
      <c r="L70" s="51"/>
      <c r="M70" s="51"/>
      <c r="N70" s="51"/>
      <c r="O70" s="52"/>
      <c r="P70" s="51"/>
      <c r="Q70" s="51"/>
      <c r="R70" s="51"/>
      <c r="S70" s="51"/>
      <c r="T70" s="41"/>
      <c r="AG70" s="521" t="s">
        <v>268</v>
      </c>
      <c r="AH70" s="521" t="s">
        <v>269</v>
      </c>
      <c r="AI70" s="521" t="s">
        <v>270</v>
      </c>
      <c r="AJ70" s="521" t="s">
        <v>271</v>
      </c>
      <c r="AK70" s="521" t="s">
        <v>272</v>
      </c>
      <c r="AM70" s="745" t="s">
        <v>281</v>
      </c>
      <c r="AN70" s="746" t="s">
        <v>282</v>
      </c>
      <c r="AO70" s="522" t="s">
        <v>278</v>
      </c>
    </row>
    <row r="71" spans="1:41" s="520" customFormat="1" ht="12" customHeight="1">
      <c r="A71" s="747">
        <v>5</v>
      </c>
      <c r="B71" s="523" t="s">
        <v>141</v>
      </c>
      <c r="C71" s="748"/>
      <c r="D71" s="749" t="s">
        <v>2285</v>
      </c>
      <c r="E71" s="1187">
        <f>IF(AND($A71=0,$A$1="DIF"),0, ROUND(ROUND(($R75*$S$7+($T75*$T$7))/$A71,2)*$C$7,2))</f>
        <v>106.3</v>
      </c>
      <c r="F71" s="1188">
        <f>ROUND($A71*$E71,2)</f>
        <v>531.5</v>
      </c>
      <c r="G71" s="752" t="s">
        <v>142</v>
      </c>
      <c r="H71" s="753"/>
      <c r="I71" s="754"/>
      <c r="J71" s="753"/>
      <c r="K71" s="753" t="s">
        <v>13</v>
      </c>
      <c r="L71" s="755" t="s">
        <v>143</v>
      </c>
      <c r="M71" s="755"/>
      <c r="N71" s="755"/>
      <c r="O71" s="755"/>
      <c r="P71" s="755"/>
      <c r="Q71" s="51"/>
      <c r="T71" s="1192" t="str">
        <f>IF(AND($R75=0,$T75=0),"0.00","mu: "&amp; ROUND(F71/$C$7/($R75+$T75*$D$9),2))</f>
        <v>mu: 1.23</v>
      </c>
      <c r="W71" s="524"/>
      <c r="AG71" s="1189">
        <f>IF($E71=0,0,ROUND($R75*$S$7*$C$7/$A71,2))</f>
        <v>60.65</v>
      </c>
      <c r="AH71" s="1189">
        <f>$AG71*$A71</f>
        <v>303.25</v>
      </c>
      <c r="AI71" s="1190">
        <f>$E71-$AG71</f>
        <v>45.65</v>
      </c>
      <c r="AJ71" s="1190">
        <f>$A71*$AI71</f>
        <v>228.25</v>
      </c>
      <c r="AK71" s="1191">
        <f>ROUND(($AG71+$AI71)*$A71,2)</f>
        <v>531.5</v>
      </c>
      <c r="AM71" s="527">
        <f>ROUND(R75,2)</f>
        <v>246.29</v>
      </c>
      <c r="AN71" s="528">
        <f>ROUND(T75,2)</f>
        <v>6.75</v>
      </c>
      <c r="AO71" s="529">
        <f>ROUND(AM71+AN71,2)*A71</f>
        <v>1265.2</v>
      </c>
    </row>
    <row r="72" spans="1:41" s="520" customFormat="1" ht="13.2">
      <c r="A72" s="748"/>
      <c r="B72"/>
      <c r="C72" s="748"/>
      <c r="D72" s="749" t="s">
        <v>3448</v>
      </c>
      <c r="F72" s="753"/>
      <c r="G72" s="3"/>
      <c r="H72" s="753"/>
      <c r="I72" s="754"/>
      <c r="J72" s="753"/>
      <c r="K72" s="753" t="s">
        <v>144</v>
      </c>
      <c r="L72" s="753"/>
      <c r="M72" s="753"/>
      <c r="N72" s="753"/>
      <c r="O72" s="753"/>
      <c r="P72" s="753"/>
      <c r="Q72" s="51"/>
      <c r="R72" s="530"/>
      <c r="S72" s="757"/>
      <c r="T72" s="753"/>
    </row>
    <row r="73" spans="1:41" s="901" customFormat="1" ht="13.2">
      <c r="A73" s="116">
        <v>5</v>
      </c>
      <c r="B73" s="901" t="s">
        <v>863</v>
      </c>
      <c r="D73" s="901" t="s">
        <v>3503</v>
      </c>
      <c r="E73" s="1142" t="str">
        <f>D72</f>
        <v>400 x 300 mm</v>
      </c>
      <c r="G73" s="941" t="s">
        <v>3504</v>
      </c>
      <c r="H73" s="942">
        <v>726</v>
      </c>
      <c r="I73" s="901" t="s">
        <v>2607</v>
      </c>
      <c r="O73" s="943">
        <v>3</v>
      </c>
      <c r="P73" s="944"/>
      <c r="Q73" s="1197">
        <f>1.1 *(44.78)</f>
        <v>49.258000000000003</v>
      </c>
      <c r="R73" s="946">
        <f>$A73*Q73</f>
        <v>246.29000000000002</v>
      </c>
      <c r="S73" s="1197">
        <v>1.5</v>
      </c>
      <c r="T73" s="947">
        <f>$A73*S73*$T$1</f>
        <v>6.75</v>
      </c>
      <c r="W73" s="901">
        <v>2</v>
      </c>
    </row>
    <row r="74" spans="1:41" s="520" customFormat="1" ht="12">
      <c r="A74" s="758"/>
      <c r="B74" s="758"/>
      <c r="C74" s="758"/>
      <c r="D74" s="758"/>
      <c r="E74" s="758"/>
      <c r="F74" s="753"/>
      <c r="G74" s="758"/>
      <c r="H74" s="758"/>
      <c r="I74" s="519"/>
      <c r="J74" s="758"/>
      <c r="K74" s="758"/>
      <c r="L74" s="758"/>
      <c r="M74" s="758"/>
      <c r="N74" s="758"/>
      <c r="O74" s="758"/>
      <c r="P74" s="758"/>
      <c r="Q74" s="519"/>
      <c r="R74" s="759">
        <f t="shared" ref="R74" si="16">$A74*Q74</f>
        <v>0</v>
      </c>
      <c r="S74" s="519"/>
      <c r="T74" s="760">
        <f t="shared" ref="T74" si="17">$A74*S74*$T$1</f>
        <v>0</v>
      </c>
    </row>
    <row r="75" spans="1:41" s="520" customFormat="1" ht="12.6" thickBot="1">
      <c r="A75" s="761" t="s">
        <v>145</v>
      </c>
      <c r="B75" s="762">
        <f>(R74+T74)</f>
        <v>0</v>
      </c>
      <c r="C75" s="763"/>
      <c r="D75" s="763"/>
      <c r="E75" s="763"/>
      <c r="F75" s="764"/>
      <c r="G75" s="763" t="s">
        <v>146</v>
      </c>
      <c r="H75" s="763"/>
      <c r="I75" s="765"/>
      <c r="J75" s="763"/>
      <c r="K75" s="763" t="s">
        <v>13</v>
      </c>
      <c r="L75" s="766" t="s">
        <v>143</v>
      </c>
      <c r="M75" s="766"/>
      <c r="N75" s="766"/>
      <c r="O75" s="766"/>
      <c r="P75" s="766"/>
      <c r="Q75" s="767"/>
      <c r="R75" s="768">
        <f>SUM(R72:R74)</f>
        <v>246.29000000000002</v>
      </c>
      <c r="S75" s="763"/>
      <c r="T75" s="768">
        <f>SUM(T72:T74)</f>
        <v>6.75</v>
      </c>
      <c r="U75" s="531"/>
      <c r="V75" s="531"/>
      <c r="W75" s="531"/>
      <c r="X75" s="531"/>
      <c r="Y75" s="531"/>
      <c r="Z75" s="531"/>
      <c r="AA75" s="531"/>
      <c r="AB75" s="531"/>
      <c r="AC75" s="531"/>
      <c r="AD75" s="531"/>
      <c r="AE75" s="531"/>
      <c r="AF75" s="531"/>
      <c r="AG75" s="531"/>
      <c r="AH75" s="531"/>
      <c r="AI75" s="531"/>
      <c r="AJ75" s="531"/>
      <c r="AK75" s="531"/>
      <c r="AL75" s="531"/>
      <c r="AM75" s="531"/>
      <c r="AN75" s="531"/>
      <c r="AO75" s="531"/>
    </row>
    <row r="76" spans="1:41" s="520" customFormat="1" ht="12" thickTop="1">
      <c r="A76" s="51"/>
      <c r="B76" s="41"/>
      <c r="C76" s="51"/>
      <c r="E76" s="42" t="s">
        <v>138</v>
      </c>
      <c r="F76" s="42" t="s">
        <v>139</v>
      </c>
      <c r="G76" s="51"/>
      <c r="H76" s="51"/>
      <c r="I76" s="51"/>
      <c r="J76" s="51"/>
      <c r="K76" s="51" t="s">
        <v>140</v>
      </c>
      <c r="L76" s="51"/>
      <c r="M76" s="51"/>
      <c r="N76" s="51"/>
      <c r="O76" s="52"/>
      <c r="P76" s="51"/>
      <c r="Q76" s="51"/>
      <c r="R76" s="51"/>
      <c r="S76" s="51"/>
      <c r="T76" s="41"/>
      <c r="AG76" s="521" t="s">
        <v>268</v>
      </c>
      <c r="AH76" s="521" t="s">
        <v>269</v>
      </c>
      <c r="AI76" s="521" t="s">
        <v>270</v>
      </c>
      <c r="AJ76" s="521" t="s">
        <v>271</v>
      </c>
      <c r="AK76" s="521" t="s">
        <v>272</v>
      </c>
      <c r="AM76" s="745" t="s">
        <v>281</v>
      </c>
      <c r="AN76" s="746" t="s">
        <v>282</v>
      </c>
      <c r="AO76" s="522" t="s">
        <v>278</v>
      </c>
    </row>
    <row r="77" spans="1:41" s="520" customFormat="1" ht="12" customHeight="1">
      <c r="A77" s="747">
        <v>5</v>
      </c>
      <c r="B77" s="523" t="s">
        <v>141</v>
      </c>
      <c r="C77" s="748"/>
      <c r="D77" s="749" t="s">
        <v>2287</v>
      </c>
      <c r="E77" s="1187">
        <f>IF(AND($A77=0,$A$1="DIF"),0, ROUND(ROUND(($R81*$S$7+($T81*$T$7))/$A77,2)*$C$7,2))</f>
        <v>126.51</v>
      </c>
      <c r="F77" s="1188">
        <f>ROUND($A77*$E77,2)</f>
        <v>632.54999999999995</v>
      </c>
      <c r="G77" s="752" t="s">
        <v>142</v>
      </c>
      <c r="H77" s="753"/>
      <c r="I77" s="754"/>
      <c r="J77" s="753"/>
      <c r="K77" s="753" t="s">
        <v>13</v>
      </c>
      <c r="L77" s="755" t="s">
        <v>143</v>
      </c>
      <c r="M77" s="755"/>
      <c r="N77" s="755"/>
      <c r="O77" s="755"/>
      <c r="P77" s="755"/>
      <c r="Q77" s="51"/>
      <c r="T77" s="1192" t="str">
        <f>IF(AND($R81=0,$T81=0),"0.00","mu: "&amp; ROUND(F77/$C$7/($R81+$T81*$D$9),2))</f>
        <v>mu: 1.23</v>
      </c>
      <c r="W77" s="524"/>
      <c r="AG77" s="1189">
        <f>IF($E77=0,0,ROUND($R81*$S$7*$C$7/$A77,2))</f>
        <v>80.86</v>
      </c>
      <c r="AH77" s="1189">
        <f>$AG77*$A77</f>
        <v>404.3</v>
      </c>
      <c r="AI77" s="1190">
        <f>$E77-$AG77</f>
        <v>45.650000000000006</v>
      </c>
      <c r="AJ77" s="1190">
        <f>$A77*$AI77</f>
        <v>228.25000000000003</v>
      </c>
      <c r="AK77" s="1191">
        <f>ROUND(($AG77+$AI77)*$A77,2)</f>
        <v>632.54999999999995</v>
      </c>
      <c r="AM77" s="527">
        <f>ROUND(R81,2)</f>
        <v>328.35</v>
      </c>
      <c r="AN77" s="528">
        <f>ROUND(T81,2)</f>
        <v>6.75</v>
      </c>
      <c r="AO77" s="529">
        <f>ROUND(AM77+AN77,2)*A77</f>
        <v>1675.5</v>
      </c>
    </row>
    <row r="78" spans="1:41" s="520" customFormat="1" ht="13.2">
      <c r="A78" s="748"/>
      <c r="B78"/>
      <c r="C78" s="748"/>
      <c r="D78" s="749" t="s">
        <v>3449</v>
      </c>
      <c r="F78" s="753"/>
      <c r="G78" s="3"/>
      <c r="H78" s="753"/>
      <c r="I78" s="754"/>
      <c r="J78" s="753"/>
      <c r="K78" s="753" t="s">
        <v>144</v>
      </c>
      <c r="L78" s="753"/>
      <c r="M78" s="753"/>
      <c r="N78" s="753"/>
      <c r="O78" s="753"/>
      <c r="P78" s="753"/>
      <c r="Q78" s="51"/>
      <c r="R78" s="530"/>
      <c r="S78" s="757"/>
      <c r="T78" s="753"/>
    </row>
    <row r="79" spans="1:41" s="901" customFormat="1" ht="13.2">
      <c r="A79" s="116">
        <v>5</v>
      </c>
      <c r="B79" s="901" t="s">
        <v>863</v>
      </c>
      <c r="D79" s="901" t="s">
        <v>3503</v>
      </c>
      <c r="E79" s="1142" t="str">
        <f>D78</f>
        <v>400 x 400 mm</v>
      </c>
      <c r="G79" s="941" t="s">
        <v>3504</v>
      </c>
      <c r="H79" s="942">
        <v>726</v>
      </c>
      <c r="I79" s="901" t="s">
        <v>2607</v>
      </c>
      <c r="O79" s="943">
        <v>3</v>
      </c>
      <c r="P79" s="944"/>
      <c r="Q79" s="1197">
        <f>1.1 *(59.7)</f>
        <v>65.67</v>
      </c>
      <c r="R79" s="946">
        <f>$A79*Q79</f>
        <v>328.35</v>
      </c>
      <c r="S79" s="1197">
        <v>1.5</v>
      </c>
      <c r="T79" s="947">
        <f>$A79*S79*$T$1</f>
        <v>6.75</v>
      </c>
      <c r="W79" s="901">
        <v>2</v>
      </c>
    </row>
    <row r="80" spans="1:41" s="520" customFormat="1" ht="12">
      <c r="A80" s="758"/>
      <c r="B80" s="758"/>
      <c r="C80" s="758"/>
      <c r="D80" s="758"/>
      <c r="E80" s="758"/>
      <c r="F80" s="753"/>
      <c r="G80" s="758"/>
      <c r="H80" s="758"/>
      <c r="I80" s="519"/>
      <c r="J80" s="758"/>
      <c r="K80" s="758"/>
      <c r="L80" s="758"/>
      <c r="M80" s="758"/>
      <c r="N80" s="758"/>
      <c r="O80" s="758"/>
      <c r="P80" s="758"/>
      <c r="Q80" s="519"/>
      <c r="R80" s="759">
        <f t="shared" ref="R80" si="18">$A80*Q80</f>
        <v>0</v>
      </c>
      <c r="S80" s="519"/>
      <c r="T80" s="760">
        <f t="shared" ref="T80" si="19">$A80*S80*$T$1</f>
        <v>0</v>
      </c>
    </row>
    <row r="81" spans="1:41" s="520" customFormat="1" ht="12.6" thickBot="1">
      <c r="A81" s="761" t="s">
        <v>145</v>
      </c>
      <c r="B81" s="762">
        <f>(R80+T80)</f>
        <v>0</v>
      </c>
      <c r="C81" s="763"/>
      <c r="D81" s="763"/>
      <c r="E81" s="763"/>
      <c r="F81" s="764"/>
      <c r="G81" s="763" t="s">
        <v>146</v>
      </c>
      <c r="H81" s="51"/>
      <c r="I81" s="765"/>
      <c r="J81" s="763"/>
      <c r="K81" s="763" t="s">
        <v>13</v>
      </c>
      <c r="L81" s="766" t="s">
        <v>143</v>
      </c>
      <c r="M81" s="766"/>
      <c r="N81" s="766"/>
      <c r="O81" s="766"/>
      <c r="P81" s="766"/>
      <c r="Q81" s="767"/>
      <c r="R81" s="768">
        <f>SUM(R78:R80)</f>
        <v>328.35</v>
      </c>
      <c r="S81" s="763"/>
      <c r="T81" s="768">
        <f>SUM(T78:T80)</f>
        <v>6.75</v>
      </c>
      <c r="U81" s="531"/>
      <c r="V81" s="531"/>
      <c r="W81" s="531"/>
      <c r="X81" s="531"/>
      <c r="Y81" s="531"/>
      <c r="Z81" s="531"/>
      <c r="AA81" s="531"/>
      <c r="AB81" s="531"/>
      <c r="AC81" s="531"/>
      <c r="AD81" s="531"/>
      <c r="AE81" s="531"/>
      <c r="AF81" s="531"/>
      <c r="AG81" s="531"/>
      <c r="AH81" s="531"/>
      <c r="AI81" s="531"/>
      <c r="AJ81" s="531"/>
      <c r="AK81" s="531"/>
      <c r="AL81" s="531"/>
      <c r="AM81" s="531"/>
      <c r="AN81" s="531"/>
      <c r="AO81" s="531"/>
    </row>
    <row r="82" spans="1:41" s="520" customFormat="1" ht="12" thickTop="1">
      <c r="A82" s="51"/>
      <c r="B82" s="41"/>
      <c r="C82" s="51"/>
      <c r="E82" s="42" t="s">
        <v>138</v>
      </c>
      <c r="F82" s="42" t="s">
        <v>139</v>
      </c>
      <c r="G82" s="51"/>
      <c r="I82" s="51"/>
      <c r="J82" s="51"/>
      <c r="K82" s="51" t="s">
        <v>140</v>
      </c>
      <c r="L82" s="51"/>
      <c r="M82" s="51"/>
      <c r="N82" s="51"/>
      <c r="O82" s="52"/>
      <c r="P82" s="51"/>
      <c r="Q82" s="51"/>
      <c r="R82" s="51"/>
      <c r="S82" s="51"/>
      <c r="T82" s="41"/>
      <c r="AG82" s="521" t="s">
        <v>268</v>
      </c>
      <c r="AH82" s="521" t="s">
        <v>269</v>
      </c>
      <c r="AI82" s="521" t="s">
        <v>270</v>
      </c>
      <c r="AJ82" s="521" t="s">
        <v>271</v>
      </c>
      <c r="AK82" s="521" t="s">
        <v>272</v>
      </c>
      <c r="AM82" s="745" t="s">
        <v>281</v>
      </c>
      <c r="AN82" s="746" t="s">
        <v>282</v>
      </c>
      <c r="AO82" s="522" t="s">
        <v>278</v>
      </c>
    </row>
    <row r="83" spans="1:41" s="520" customFormat="1" ht="12" customHeight="1">
      <c r="A83" s="747">
        <v>5</v>
      </c>
      <c r="B83" s="523" t="s">
        <v>141</v>
      </c>
      <c r="C83" s="748"/>
      <c r="D83" s="749" t="s">
        <v>2288</v>
      </c>
      <c r="E83" s="1187">
        <f>IF(AND($A83=0,$A$1="DIF"),0, ROUND(ROUND(($R87*$S$7+($T87*$T$7))/$A83,2)*$C$7,2))</f>
        <v>70.92</v>
      </c>
      <c r="F83" s="1188">
        <f>ROUND($A83*$E83,2)</f>
        <v>354.6</v>
      </c>
      <c r="G83" s="752" t="s">
        <v>142</v>
      </c>
      <c r="H83" s="753"/>
      <c r="I83" s="754"/>
      <c r="J83" s="753"/>
      <c r="K83" s="753" t="s">
        <v>13</v>
      </c>
      <c r="L83" s="755" t="s">
        <v>143</v>
      </c>
      <c r="M83" s="755"/>
      <c r="N83" s="755"/>
      <c r="O83" s="755"/>
      <c r="P83" s="755"/>
      <c r="Q83" s="51"/>
      <c r="T83" s="1192" t="str">
        <f>IF(AND($R87=0,$T87=0),"0.00","mu: "&amp; ROUND(F83/$C$7/($R87+$T87*$D$9),2))</f>
        <v>mu: 1.23</v>
      </c>
      <c r="W83" s="524"/>
      <c r="AG83" s="1189">
        <f>IF($E83=0,0,ROUND($R87*$S$7*$C$7/$A83,2))</f>
        <v>25.27</v>
      </c>
      <c r="AH83" s="1189">
        <f>$AG83*$A83</f>
        <v>126.35</v>
      </c>
      <c r="AI83" s="1190">
        <f>$E83-$AG83</f>
        <v>45.650000000000006</v>
      </c>
      <c r="AJ83" s="1190">
        <f>$A83*$AI83</f>
        <v>228.25000000000003</v>
      </c>
      <c r="AK83" s="1191">
        <f>ROUND(($AG83+$AI83)*$A83,2)</f>
        <v>354.6</v>
      </c>
      <c r="AM83" s="527">
        <f>ROUND(R87,2)</f>
        <v>102.63</v>
      </c>
      <c r="AN83" s="528">
        <f>ROUND(T87,2)</f>
        <v>6.75</v>
      </c>
      <c r="AO83" s="529">
        <f>ROUND(AM83+AN83,2)*A83</f>
        <v>546.9</v>
      </c>
    </row>
    <row r="84" spans="1:41" s="520" customFormat="1" ht="13.2">
      <c r="A84" s="748"/>
      <c r="B84"/>
      <c r="C84" s="748"/>
      <c r="D84" s="749" t="s">
        <v>3450</v>
      </c>
      <c r="F84" s="753"/>
      <c r="G84" s="3"/>
      <c r="H84" s="753"/>
      <c r="I84" s="754"/>
      <c r="J84" s="753"/>
      <c r="K84" s="753" t="s">
        <v>144</v>
      </c>
      <c r="L84" s="753"/>
      <c r="M84" s="753"/>
      <c r="N84" s="753"/>
      <c r="O84" s="753"/>
      <c r="P84" s="753"/>
      <c r="Q84" s="51"/>
      <c r="R84" s="530"/>
      <c r="S84" s="757"/>
      <c r="T84" s="753"/>
    </row>
    <row r="85" spans="1:41" s="901" customFormat="1" ht="13.2">
      <c r="A85" s="116">
        <v>5</v>
      </c>
      <c r="B85" s="901" t="s">
        <v>863</v>
      </c>
      <c r="D85" s="901" t="s">
        <v>3503</v>
      </c>
      <c r="E85" s="1142" t="str">
        <f>D84</f>
        <v>500 x 100 mm</v>
      </c>
      <c r="G85" s="941" t="s">
        <v>3504</v>
      </c>
      <c r="H85" s="942">
        <v>726</v>
      </c>
      <c r="I85" s="901" t="s">
        <v>2607</v>
      </c>
      <c r="O85" s="943">
        <v>3</v>
      </c>
      <c r="P85" s="944"/>
      <c r="Q85" s="1197">
        <f>1.1 *(18.66)</f>
        <v>20.526000000000003</v>
      </c>
      <c r="R85" s="946">
        <f>$A85*Q85</f>
        <v>102.63000000000002</v>
      </c>
      <c r="S85" s="1197">
        <v>1.5</v>
      </c>
      <c r="T85" s="947">
        <f>$A85*S85*$T$1</f>
        <v>6.75</v>
      </c>
      <c r="W85" s="901">
        <v>2</v>
      </c>
    </row>
    <row r="86" spans="1:41" s="520" customFormat="1" ht="12">
      <c r="A86" s="758"/>
      <c r="B86" s="758"/>
      <c r="C86" s="758"/>
      <c r="D86" s="758"/>
      <c r="E86" s="758"/>
      <c r="F86" s="753"/>
      <c r="G86" s="758"/>
      <c r="H86" s="758"/>
      <c r="I86" s="519"/>
      <c r="J86" s="758"/>
      <c r="K86" s="758"/>
      <c r="L86" s="758"/>
      <c r="M86" s="758"/>
      <c r="N86" s="758"/>
      <c r="O86" s="758"/>
      <c r="P86" s="758"/>
      <c r="Q86" s="519"/>
      <c r="R86" s="759">
        <f t="shared" ref="R86" si="20">$A86*Q86</f>
        <v>0</v>
      </c>
      <c r="S86" s="519"/>
      <c r="T86" s="760">
        <f t="shared" ref="T86" si="21">$A86*S86*$T$1</f>
        <v>0</v>
      </c>
    </row>
    <row r="87" spans="1:41" s="520" customFormat="1" ht="12.6" thickBot="1">
      <c r="A87" s="761" t="s">
        <v>145</v>
      </c>
      <c r="B87" s="762">
        <f>(R86+T86)</f>
        <v>0</v>
      </c>
      <c r="C87" s="763"/>
      <c r="D87" s="763"/>
      <c r="E87" s="763"/>
      <c r="F87" s="764"/>
      <c r="G87" s="763" t="s">
        <v>146</v>
      </c>
      <c r="H87" s="763"/>
      <c r="I87" s="765"/>
      <c r="J87" s="763"/>
      <c r="K87" s="763" t="s">
        <v>13</v>
      </c>
      <c r="L87" s="766" t="s">
        <v>143</v>
      </c>
      <c r="M87" s="766"/>
      <c r="N87" s="766"/>
      <c r="O87" s="766"/>
      <c r="P87" s="766"/>
      <c r="Q87" s="767"/>
      <c r="R87" s="768">
        <f>SUM(R84:R86)</f>
        <v>102.63000000000002</v>
      </c>
      <c r="S87" s="763"/>
      <c r="T87" s="768">
        <f>SUM(T84:T86)</f>
        <v>6.75</v>
      </c>
      <c r="U87" s="531"/>
      <c r="V87" s="531"/>
      <c r="W87" s="531"/>
      <c r="X87" s="531"/>
      <c r="Y87" s="531"/>
      <c r="Z87" s="531"/>
      <c r="AA87" s="531"/>
      <c r="AB87" s="531"/>
      <c r="AC87" s="531"/>
      <c r="AD87" s="531"/>
      <c r="AE87" s="531"/>
      <c r="AF87" s="531"/>
      <c r="AG87" s="531"/>
      <c r="AH87" s="531"/>
      <c r="AI87" s="531"/>
      <c r="AJ87" s="531"/>
      <c r="AK87" s="531"/>
      <c r="AL87" s="531"/>
      <c r="AM87" s="531"/>
      <c r="AN87" s="531"/>
      <c r="AO87" s="531"/>
    </row>
    <row r="88" spans="1:41" s="520" customFormat="1" ht="12" thickTop="1">
      <c r="A88" s="51"/>
      <c r="B88" s="41"/>
      <c r="C88" s="51"/>
      <c r="E88" s="42" t="s">
        <v>138</v>
      </c>
      <c r="F88" s="42" t="s">
        <v>139</v>
      </c>
      <c r="G88" s="51"/>
      <c r="H88" s="51"/>
      <c r="I88" s="51"/>
      <c r="J88" s="51"/>
      <c r="K88" s="51" t="s">
        <v>140</v>
      </c>
      <c r="L88" s="51"/>
      <c r="M88" s="51"/>
      <c r="N88" s="51"/>
      <c r="O88" s="52"/>
      <c r="P88" s="51"/>
      <c r="Q88" s="51"/>
      <c r="R88" s="51"/>
      <c r="S88" s="51"/>
      <c r="T88" s="41"/>
      <c r="AG88" s="521" t="s">
        <v>268</v>
      </c>
      <c r="AH88" s="521" t="s">
        <v>269</v>
      </c>
      <c r="AI88" s="521" t="s">
        <v>270</v>
      </c>
      <c r="AJ88" s="521" t="s">
        <v>271</v>
      </c>
      <c r="AK88" s="521" t="s">
        <v>272</v>
      </c>
      <c r="AM88" s="745" t="s">
        <v>281</v>
      </c>
      <c r="AN88" s="746" t="s">
        <v>282</v>
      </c>
      <c r="AO88" s="522" t="s">
        <v>278</v>
      </c>
    </row>
    <row r="89" spans="1:41" s="520" customFormat="1" ht="12" customHeight="1">
      <c r="A89" s="747">
        <v>5</v>
      </c>
      <c r="B89" s="523" t="s">
        <v>141</v>
      </c>
      <c r="C89" s="748"/>
      <c r="D89" s="749" t="s">
        <v>2289</v>
      </c>
      <c r="E89" s="1187">
        <f>IF(AND($A89=0,$A$1="DIF"),0, ROUND(ROUND(($R93*$S$7+($T93*$T$7))/$A89,2)*$C$7,2))</f>
        <v>96.18</v>
      </c>
      <c r="F89" s="1188">
        <f>ROUND($A89*$E89,2)</f>
        <v>480.9</v>
      </c>
      <c r="G89" s="752" t="s">
        <v>142</v>
      </c>
      <c r="H89" s="753"/>
      <c r="I89" s="754"/>
      <c r="J89" s="753"/>
      <c r="K89" s="753" t="s">
        <v>13</v>
      </c>
      <c r="L89" s="755" t="s">
        <v>143</v>
      </c>
      <c r="M89" s="755"/>
      <c r="N89" s="755"/>
      <c r="O89" s="755"/>
      <c r="P89" s="755"/>
      <c r="Q89" s="51"/>
      <c r="T89" s="1192" t="str">
        <f>IF(AND($R93=0,$T93=0),"0.00","mu: "&amp; ROUND(F89/$C$7/($R93+$T93*$D$9),2))</f>
        <v>mu: 1.23</v>
      </c>
      <c r="W89" s="524"/>
      <c r="AG89" s="1189">
        <f>IF($E89=0,0,ROUND($R93*$S$7*$C$7/$A89,2))</f>
        <v>50.54</v>
      </c>
      <c r="AH89" s="1189">
        <f>$AG89*$A89</f>
        <v>252.7</v>
      </c>
      <c r="AI89" s="1190">
        <f>$E89-$AG89</f>
        <v>45.640000000000008</v>
      </c>
      <c r="AJ89" s="1190">
        <f>$A89*$AI89</f>
        <v>228.20000000000005</v>
      </c>
      <c r="AK89" s="1191">
        <f>ROUND(($AG89+$AI89)*$A89,2)</f>
        <v>480.9</v>
      </c>
      <c r="AM89" s="527">
        <f>ROUND(R93,2)</f>
        <v>205.21</v>
      </c>
      <c r="AN89" s="528">
        <f>ROUND(T93,2)</f>
        <v>6.75</v>
      </c>
      <c r="AO89" s="529">
        <f>ROUND(AM89+AN89,2)*A89</f>
        <v>1059.8</v>
      </c>
    </row>
    <row r="90" spans="1:41" s="520" customFormat="1" ht="13.2">
      <c r="A90" s="748"/>
      <c r="B90"/>
      <c r="C90" s="748"/>
      <c r="D90" s="749" t="s">
        <v>3451</v>
      </c>
      <c r="F90" s="753"/>
      <c r="G90" s="3"/>
      <c r="H90" s="753"/>
      <c r="I90" s="754"/>
      <c r="J90" s="753"/>
      <c r="K90" s="753" t="s">
        <v>144</v>
      </c>
      <c r="L90" s="753"/>
      <c r="M90" s="753"/>
      <c r="N90" s="753"/>
      <c r="O90" s="753"/>
      <c r="P90" s="753"/>
      <c r="Q90" s="51"/>
      <c r="R90" s="530"/>
      <c r="S90" s="757"/>
      <c r="T90" s="753"/>
    </row>
    <row r="91" spans="1:41" s="901" customFormat="1" ht="13.2">
      <c r="A91" s="116">
        <v>5</v>
      </c>
      <c r="B91" s="901" t="s">
        <v>863</v>
      </c>
      <c r="D91" s="901" t="s">
        <v>3503</v>
      </c>
      <c r="E91" s="1142" t="str">
        <f>D90</f>
        <v>500 x 200 mm</v>
      </c>
      <c r="G91" s="941" t="s">
        <v>3504</v>
      </c>
      <c r="H91" s="942">
        <v>726</v>
      </c>
      <c r="I91" s="901" t="s">
        <v>2607</v>
      </c>
      <c r="O91" s="943">
        <v>3</v>
      </c>
      <c r="P91" s="944"/>
      <c r="Q91" s="1197">
        <f>1.1 *(37.31)</f>
        <v>41.041000000000004</v>
      </c>
      <c r="R91" s="946">
        <f>$A91*Q91</f>
        <v>205.20500000000001</v>
      </c>
      <c r="S91" s="1197">
        <v>1.5</v>
      </c>
      <c r="T91" s="947">
        <f>$A91*S91*$T$1</f>
        <v>6.75</v>
      </c>
      <c r="W91" s="901">
        <v>2</v>
      </c>
    </row>
    <row r="92" spans="1:41" s="520" customFormat="1" ht="12">
      <c r="A92" s="758"/>
      <c r="B92" s="758"/>
      <c r="C92" s="758"/>
      <c r="D92" s="758"/>
      <c r="E92" s="758"/>
      <c r="F92" s="753"/>
      <c r="G92" s="758"/>
      <c r="H92" s="758"/>
      <c r="I92" s="519"/>
      <c r="J92" s="758"/>
      <c r="K92" s="758"/>
      <c r="L92" s="758"/>
      <c r="M92" s="758"/>
      <c r="N92" s="758"/>
      <c r="O92" s="758"/>
      <c r="P92" s="758"/>
      <c r="Q92" s="519"/>
      <c r="R92" s="759">
        <f t="shared" ref="R92" si="22">$A92*Q92</f>
        <v>0</v>
      </c>
      <c r="S92" s="519"/>
      <c r="T92" s="760">
        <f t="shared" ref="T92" si="23">$A92*S92*$T$1</f>
        <v>0</v>
      </c>
    </row>
    <row r="93" spans="1:41" s="520" customFormat="1" ht="12.6" thickBot="1">
      <c r="A93" s="761" t="s">
        <v>145</v>
      </c>
      <c r="B93" s="762">
        <f>(R92+T92)</f>
        <v>0</v>
      </c>
      <c r="C93" s="763"/>
      <c r="D93" s="763"/>
      <c r="E93" s="763"/>
      <c r="F93" s="764"/>
      <c r="G93" s="763" t="s">
        <v>146</v>
      </c>
      <c r="H93" s="763"/>
      <c r="I93" s="765"/>
      <c r="J93" s="763"/>
      <c r="K93" s="763" t="s">
        <v>13</v>
      </c>
      <c r="L93" s="766" t="s">
        <v>143</v>
      </c>
      <c r="M93" s="766"/>
      <c r="N93" s="766"/>
      <c r="O93" s="766"/>
      <c r="P93" s="766"/>
      <c r="Q93" s="767"/>
      <c r="R93" s="768">
        <f>SUM(R90:R92)</f>
        <v>205.20500000000001</v>
      </c>
      <c r="S93" s="763"/>
      <c r="T93" s="768">
        <f>SUM(T90:T92)</f>
        <v>6.75</v>
      </c>
      <c r="U93" s="531"/>
      <c r="V93" s="531"/>
      <c r="W93" s="531"/>
      <c r="X93" s="531"/>
      <c r="Y93" s="531"/>
      <c r="Z93" s="531"/>
      <c r="AA93" s="531"/>
      <c r="AB93" s="531"/>
      <c r="AC93" s="531"/>
      <c r="AD93" s="531"/>
      <c r="AE93" s="531"/>
      <c r="AF93" s="531"/>
      <c r="AG93" s="531"/>
      <c r="AH93" s="531"/>
      <c r="AI93" s="531"/>
      <c r="AJ93" s="531"/>
      <c r="AK93" s="531"/>
      <c r="AL93" s="531"/>
      <c r="AM93" s="531"/>
      <c r="AN93" s="531"/>
      <c r="AO93" s="531"/>
    </row>
    <row r="94" spans="1:41" s="520" customFormat="1" ht="12" thickTop="1">
      <c r="A94" s="51"/>
      <c r="B94" s="41"/>
      <c r="C94" s="51"/>
      <c r="E94" s="42" t="s">
        <v>138</v>
      </c>
      <c r="F94" s="42" t="s">
        <v>139</v>
      </c>
      <c r="G94" s="51"/>
      <c r="H94" s="51"/>
      <c r="I94" s="51"/>
      <c r="J94" s="51"/>
      <c r="K94" s="51" t="s">
        <v>140</v>
      </c>
      <c r="L94" s="51"/>
      <c r="M94" s="51"/>
      <c r="N94" s="51"/>
      <c r="O94" s="52"/>
      <c r="P94" s="51"/>
      <c r="Q94" s="51"/>
      <c r="R94" s="51"/>
      <c r="S94" s="51"/>
      <c r="T94" s="41"/>
      <c r="AG94" s="521" t="s">
        <v>268</v>
      </c>
      <c r="AH94" s="521" t="s">
        <v>269</v>
      </c>
      <c r="AI94" s="521" t="s">
        <v>270</v>
      </c>
      <c r="AJ94" s="521" t="s">
        <v>271</v>
      </c>
      <c r="AK94" s="521" t="s">
        <v>272</v>
      </c>
      <c r="AM94" s="745" t="s">
        <v>281</v>
      </c>
      <c r="AN94" s="746" t="s">
        <v>282</v>
      </c>
      <c r="AO94" s="522" t="s">
        <v>278</v>
      </c>
    </row>
    <row r="95" spans="1:41" s="520" customFormat="1" ht="12" customHeight="1">
      <c r="A95" s="747">
        <v>5</v>
      </c>
      <c r="B95" s="523" t="s">
        <v>141</v>
      </c>
      <c r="C95" s="748"/>
      <c r="D95" s="749" t="s">
        <v>2290</v>
      </c>
      <c r="E95" s="1187">
        <f>IF(AND($A95=0,$A$1="DIF"),0, ROUND(ROUND(($R99*$S$7+($T99*$T$7))/$A95,2)*$C$7,2))</f>
        <v>121.46</v>
      </c>
      <c r="F95" s="1188">
        <f>ROUND($A95*$E95,2)</f>
        <v>607.29999999999995</v>
      </c>
      <c r="G95" s="752" t="s">
        <v>142</v>
      </c>
      <c r="H95" s="753"/>
      <c r="I95" s="754"/>
      <c r="J95" s="753"/>
      <c r="K95" s="753" t="s">
        <v>13</v>
      </c>
      <c r="L95" s="755" t="s">
        <v>143</v>
      </c>
      <c r="M95" s="755"/>
      <c r="N95" s="755"/>
      <c r="O95" s="755"/>
      <c r="P95" s="755"/>
      <c r="Q95" s="51"/>
      <c r="T95" s="1192" t="str">
        <f>IF(AND($R99=0,$T99=0),"0.00","mu: "&amp; ROUND(F95/$C$7/($R99+$T99*$D$9),2))</f>
        <v>mu: 1.23</v>
      </c>
      <c r="W95" s="524"/>
      <c r="AG95" s="1189">
        <f>IF($E95=0,0,ROUND($R99*$S$7*$C$7/$A95,2))</f>
        <v>75.81</v>
      </c>
      <c r="AH95" s="1189">
        <f>$AG95*$A95</f>
        <v>379.05</v>
      </c>
      <c r="AI95" s="1190">
        <f>$E95-$AG95</f>
        <v>45.649999999999991</v>
      </c>
      <c r="AJ95" s="1190">
        <f>$A95*$AI95</f>
        <v>228.24999999999994</v>
      </c>
      <c r="AK95" s="1191">
        <f>ROUND(($AG95+$AI95)*$A95,2)</f>
        <v>607.29999999999995</v>
      </c>
      <c r="AM95" s="527">
        <f>ROUND(R99,2)</f>
        <v>307.83999999999997</v>
      </c>
      <c r="AN95" s="528">
        <f>ROUND(T99,2)</f>
        <v>6.75</v>
      </c>
      <c r="AO95" s="529">
        <f>ROUND(AM95+AN95,2)*A95</f>
        <v>1572.9499999999998</v>
      </c>
    </row>
    <row r="96" spans="1:41" s="520" customFormat="1" ht="13.2">
      <c r="A96" s="748"/>
      <c r="B96"/>
      <c r="C96" s="748"/>
      <c r="D96" s="749" t="s">
        <v>3452</v>
      </c>
      <c r="F96" s="753"/>
      <c r="G96" s="3"/>
      <c r="H96" s="753"/>
      <c r="I96" s="754"/>
      <c r="J96" s="753"/>
      <c r="K96" s="753" t="s">
        <v>144</v>
      </c>
      <c r="L96" s="753"/>
      <c r="M96" s="753"/>
      <c r="N96" s="753"/>
      <c r="O96" s="753"/>
      <c r="P96" s="753"/>
      <c r="Q96" s="51"/>
      <c r="R96" s="530"/>
      <c r="S96" s="757"/>
      <c r="T96" s="753"/>
    </row>
    <row r="97" spans="1:41" s="901" customFormat="1" ht="13.2">
      <c r="A97" s="116">
        <v>5</v>
      </c>
      <c r="B97" s="901" t="s">
        <v>863</v>
      </c>
      <c r="D97" s="901" t="s">
        <v>3503</v>
      </c>
      <c r="E97" s="1142" t="str">
        <f>D96</f>
        <v>500 x 300 mm</v>
      </c>
      <c r="G97" s="941" t="s">
        <v>3504</v>
      </c>
      <c r="H97" s="942">
        <v>726</v>
      </c>
      <c r="I97" s="901" t="s">
        <v>2607</v>
      </c>
      <c r="O97" s="943">
        <v>3</v>
      </c>
      <c r="P97" s="944"/>
      <c r="Q97" s="1197">
        <f>1.1 *(55.97)</f>
        <v>61.567</v>
      </c>
      <c r="R97" s="946">
        <f>$A97*Q97</f>
        <v>307.83499999999998</v>
      </c>
      <c r="S97" s="1197">
        <v>1.5</v>
      </c>
      <c r="T97" s="947">
        <f>$A97*S97*$T$1</f>
        <v>6.75</v>
      </c>
      <c r="W97" s="901">
        <v>2</v>
      </c>
    </row>
    <row r="98" spans="1:41" s="520" customFormat="1" ht="12">
      <c r="A98" s="758"/>
      <c r="B98" s="758"/>
      <c r="C98" s="758"/>
      <c r="D98" s="758"/>
      <c r="E98" s="758"/>
      <c r="F98" s="753"/>
      <c r="G98" s="758"/>
      <c r="H98" s="758"/>
      <c r="I98" s="519"/>
      <c r="J98" s="758"/>
      <c r="K98" s="758"/>
      <c r="L98" s="758"/>
      <c r="M98" s="758"/>
      <c r="N98" s="758"/>
      <c r="O98" s="758"/>
      <c r="P98" s="758"/>
      <c r="Q98" s="519"/>
      <c r="R98" s="759">
        <f t="shared" ref="R98" si="24">$A98*Q98</f>
        <v>0</v>
      </c>
      <c r="S98" s="519"/>
      <c r="T98" s="760">
        <f t="shared" ref="T98" si="25">$A98*S98*$T$1</f>
        <v>0</v>
      </c>
    </row>
    <row r="99" spans="1:41" s="520" customFormat="1" ht="12.6" thickBot="1">
      <c r="A99" s="761" t="s">
        <v>145</v>
      </c>
      <c r="B99" s="762">
        <f>(R98+T98)</f>
        <v>0</v>
      </c>
      <c r="C99" s="763"/>
      <c r="D99" s="763"/>
      <c r="E99" s="763"/>
      <c r="F99" s="764"/>
      <c r="G99" s="763" t="s">
        <v>146</v>
      </c>
      <c r="H99" s="763"/>
      <c r="I99" s="765"/>
      <c r="J99" s="763"/>
      <c r="K99" s="763" t="s">
        <v>13</v>
      </c>
      <c r="L99" s="766" t="s">
        <v>143</v>
      </c>
      <c r="M99" s="766"/>
      <c r="N99" s="766"/>
      <c r="O99" s="766"/>
      <c r="P99" s="766"/>
      <c r="Q99" s="767"/>
      <c r="R99" s="768">
        <f>SUM(R96:R98)</f>
        <v>307.83499999999998</v>
      </c>
      <c r="S99" s="763"/>
      <c r="T99" s="768">
        <f>SUM(T96:T98)</f>
        <v>6.75</v>
      </c>
      <c r="U99" s="531"/>
      <c r="V99" s="531"/>
      <c r="W99" s="531"/>
      <c r="X99" s="531"/>
      <c r="Y99" s="531"/>
      <c r="Z99" s="531"/>
      <c r="AA99" s="531"/>
      <c r="AB99" s="531"/>
      <c r="AC99" s="531"/>
      <c r="AD99" s="531"/>
      <c r="AE99" s="531"/>
      <c r="AF99" s="531"/>
      <c r="AG99" s="531"/>
      <c r="AH99" s="531"/>
      <c r="AI99" s="531"/>
      <c r="AJ99" s="531"/>
      <c r="AK99" s="531"/>
      <c r="AL99" s="531"/>
      <c r="AM99" s="531"/>
      <c r="AN99" s="531"/>
      <c r="AO99" s="531"/>
    </row>
    <row r="100" spans="1:41" s="520" customFormat="1" ht="12" thickTop="1">
      <c r="A100" s="51"/>
      <c r="B100" s="41"/>
      <c r="C100" s="51"/>
      <c r="E100" s="42" t="s">
        <v>138</v>
      </c>
      <c r="F100" s="42" t="s">
        <v>139</v>
      </c>
      <c r="G100" s="51"/>
      <c r="H100" s="51"/>
      <c r="I100" s="51"/>
      <c r="J100" s="51"/>
      <c r="K100" s="51" t="s">
        <v>140</v>
      </c>
      <c r="L100" s="51"/>
      <c r="M100" s="51"/>
      <c r="N100" s="51"/>
      <c r="O100" s="52"/>
      <c r="P100" s="51"/>
      <c r="Q100" s="51"/>
      <c r="R100" s="51"/>
      <c r="S100" s="51"/>
      <c r="T100" s="41"/>
      <c r="AG100" s="521" t="s">
        <v>268</v>
      </c>
      <c r="AH100" s="521" t="s">
        <v>269</v>
      </c>
      <c r="AI100" s="521" t="s">
        <v>270</v>
      </c>
      <c r="AJ100" s="521" t="s">
        <v>271</v>
      </c>
      <c r="AK100" s="521" t="s">
        <v>272</v>
      </c>
      <c r="AM100" s="745" t="s">
        <v>281</v>
      </c>
      <c r="AN100" s="746" t="s">
        <v>282</v>
      </c>
      <c r="AO100" s="522" t="s">
        <v>278</v>
      </c>
    </row>
    <row r="101" spans="1:41" s="520" customFormat="1" ht="12" customHeight="1">
      <c r="A101" s="747">
        <v>5</v>
      </c>
      <c r="B101" s="523" t="s">
        <v>141</v>
      </c>
      <c r="C101" s="748"/>
      <c r="D101" s="749" t="s">
        <v>2291</v>
      </c>
      <c r="E101" s="1187">
        <f>IF(AND($A101=0,$A$1="DIF"),0, ROUND(ROUND(($R105*$S$7+($T105*$T$7))/$A101,2)*$C$7,2))</f>
        <v>146.72999999999999</v>
      </c>
      <c r="F101" s="1188">
        <f>ROUND($A101*$E101,2)</f>
        <v>733.65</v>
      </c>
      <c r="G101" s="752" t="s">
        <v>142</v>
      </c>
      <c r="H101" s="753"/>
      <c r="I101" s="754"/>
      <c r="J101" s="753"/>
      <c r="K101" s="753" t="s">
        <v>13</v>
      </c>
      <c r="L101" s="755" t="s">
        <v>143</v>
      </c>
      <c r="M101" s="755"/>
      <c r="N101" s="755"/>
      <c r="O101" s="755"/>
      <c r="P101" s="755"/>
      <c r="Q101" s="51"/>
      <c r="T101" s="1192" t="str">
        <f>IF(AND($R105=0,$T105=0),"0.00","mu: "&amp; ROUND(F101/$C$7/($R105+$T105*$D$9),2))</f>
        <v>mu: 1.23</v>
      </c>
      <c r="W101" s="524"/>
      <c r="AG101" s="1189">
        <f>IF($E101=0,0,ROUND($R105*$S$7*$C$7/$A101,2))</f>
        <v>101.08</v>
      </c>
      <c r="AH101" s="1189">
        <f>$AG101*$A101</f>
        <v>505.4</v>
      </c>
      <c r="AI101" s="1190">
        <f>$E101-$AG101</f>
        <v>45.649999999999991</v>
      </c>
      <c r="AJ101" s="1190">
        <f>$A101*$AI101</f>
        <v>228.24999999999994</v>
      </c>
      <c r="AK101" s="1191">
        <f>ROUND(($AG101+$AI101)*$A101,2)</f>
        <v>733.65</v>
      </c>
      <c r="AM101" s="527">
        <f>ROUND(R105,2)</f>
        <v>410.47</v>
      </c>
      <c r="AN101" s="528">
        <f>ROUND(T105,2)</f>
        <v>6.75</v>
      </c>
      <c r="AO101" s="529">
        <f>ROUND(AM101+AN101,2)*A101</f>
        <v>2086.1000000000004</v>
      </c>
    </row>
    <row r="102" spans="1:41" s="520" customFormat="1" ht="13.2">
      <c r="A102" s="748"/>
      <c r="B102"/>
      <c r="C102" s="748"/>
      <c r="D102" s="749" t="s">
        <v>3453</v>
      </c>
      <c r="F102" s="753"/>
      <c r="G102" s="3"/>
      <c r="H102" s="753"/>
      <c r="I102" s="754"/>
      <c r="J102" s="753"/>
      <c r="K102" s="753" t="s">
        <v>144</v>
      </c>
      <c r="L102" s="753"/>
      <c r="M102" s="753"/>
      <c r="N102" s="753"/>
      <c r="O102" s="753"/>
      <c r="P102" s="753"/>
      <c r="Q102" s="51"/>
      <c r="R102" s="530"/>
      <c r="S102" s="757"/>
      <c r="T102" s="753"/>
    </row>
    <row r="103" spans="1:41" s="901" customFormat="1" ht="13.2">
      <c r="A103" s="116">
        <v>5</v>
      </c>
      <c r="B103" s="901" t="s">
        <v>863</v>
      </c>
      <c r="D103" s="901" t="s">
        <v>3503</v>
      </c>
      <c r="E103" s="1142" t="str">
        <f>D102</f>
        <v>500 x 400 mm</v>
      </c>
      <c r="G103" s="941" t="s">
        <v>3504</v>
      </c>
      <c r="H103" s="942">
        <v>726</v>
      </c>
      <c r="I103" s="901" t="s">
        <v>2607</v>
      </c>
      <c r="O103" s="943">
        <v>3</v>
      </c>
      <c r="P103" s="944"/>
      <c r="Q103" s="1197">
        <f>1.1 *(74.63)</f>
        <v>82.093000000000004</v>
      </c>
      <c r="R103" s="946">
        <f>$A103*Q103</f>
        <v>410.46500000000003</v>
      </c>
      <c r="S103" s="1197">
        <v>1.5</v>
      </c>
      <c r="T103" s="947">
        <f>$A103*S103*$T$1</f>
        <v>6.75</v>
      </c>
      <c r="W103" s="901">
        <v>2</v>
      </c>
    </row>
    <row r="104" spans="1:41" s="520" customFormat="1" ht="12">
      <c r="A104" s="758"/>
      <c r="B104" s="758"/>
      <c r="C104" s="758"/>
      <c r="D104" s="758"/>
      <c r="E104" s="758"/>
      <c r="F104" s="753"/>
      <c r="G104" s="758"/>
      <c r="H104" s="758"/>
      <c r="I104" s="519"/>
      <c r="J104" s="758"/>
      <c r="K104" s="758"/>
      <c r="L104" s="758"/>
      <c r="M104" s="758"/>
      <c r="N104" s="758"/>
      <c r="O104" s="758"/>
      <c r="P104" s="758"/>
      <c r="Q104" s="519"/>
      <c r="R104" s="759">
        <f t="shared" ref="R104" si="26">$A104*Q104</f>
        <v>0</v>
      </c>
      <c r="S104" s="519"/>
      <c r="T104" s="760">
        <f t="shared" ref="T104" si="27">$A104*S104*$T$1</f>
        <v>0</v>
      </c>
    </row>
    <row r="105" spans="1:41" s="520" customFormat="1" ht="12.6" thickBot="1">
      <c r="A105" s="761" t="s">
        <v>145</v>
      </c>
      <c r="B105" s="762">
        <f>(R104+T104)</f>
        <v>0</v>
      </c>
      <c r="C105" s="763"/>
      <c r="D105" s="763"/>
      <c r="E105" s="763"/>
      <c r="F105" s="764"/>
      <c r="G105" s="763" t="s">
        <v>146</v>
      </c>
      <c r="H105" s="763"/>
      <c r="I105" s="765"/>
      <c r="J105" s="763"/>
      <c r="K105" s="763" t="s">
        <v>13</v>
      </c>
      <c r="L105" s="766" t="s">
        <v>143</v>
      </c>
      <c r="M105" s="766"/>
      <c r="N105" s="766"/>
      <c r="O105" s="766"/>
      <c r="P105" s="766"/>
      <c r="Q105" s="767"/>
      <c r="R105" s="768">
        <f>SUM(R102:R104)</f>
        <v>410.46500000000003</v>
      </c>
      <c r="S105" s="763"/>
      <c r="T105" s="768">
        <f>SUM(T102:T104)</f>
        <v>6.75</v>
      </c>
      <c r="U105" s="531"/>
      <c r="V105" s="531"/>
      <c r="W105" s="531"/>
      <c r="X105" s="531"/>
      <c r="Y105" s="531"/>
      <c r="Z105" s="531"/>
      <c r="AA105" s="531"/>
      <c r="AB105" s="531"/>
      <c r="AC105" s="531"/>
      <c r="AD105" s="531"/>
      <c r="AE105" s="531"/>
      <c r="AF105" s="531"/>
      <c r="AG105" s="531"/>
      <c r="AH105" s="531"/>
      <c r="AI105" s="531"/>
      <c r="AJ105" s="531"/>
      <c r="AK105" s="531"/>
      <c r="AL105" s="531"/>
      <c r="AM105" s="531"/>
      <c r="AN105" s="531"/>
      <c r="AO105" s="531"/>
    </row>
    <row r="106" spans="1:41" s="520" customFormat="1" ht="12" thickTop="1">
      <c r="A106" s="51"/>
      <c r="B106" s="41"/>
      <c r="C106" s="51"/>
      <c r="E106" s="42" t="s">
        <v>138</v>
      </c>
      <c r="F106" s="42" t="s">
        <v>139</v>
      </c>
      <c r="G106" s="51"/>
      <c r="H106" s="51"/>
      <c r="I106" s="51"/>
      <c r="J106" s="51"/>
      <c r="K106" s="51" t="s">
        <v>140</v>
      </c>
      <c r="L106" s="51"/>
      <c r="M106" s="51"/>
      <c r="N106" s="51"/>
      <c r="O106" s="52"/>
      <c r="P106" s="51"/>
      <c r="Q106" s="51"/>
      <c r="R106" s="51"/>
      <c r="S106" s="51"/>
      <c r="T106" s="41"/>
      <c r="AG106" s="521" t="s">
        <v>268</v>
      </c>
      <c r="AH106" s="521" t="s">
        <v>269</v>
      </c>
      <c r="AI106" s="521" t="s">
        <v>270</v>
      </c>
      <c r="AJ106" s="521" t="s">
        <v>271</v>
      </c>
      <c r="AK106" s="521" t="s">
        <v>272</v>
      </c>
      <c r="AM106" s="745" t="s">
        <v>281</v>
      </c>
      <c r="AN106" s="746" t="s">
        <v>282</v>
      </c>
      <c r="AO106" s="522" t="s">
        <v>278</v>
      </c>
    </row>
    <row r="107" spans="1:41" s="520" customFormat="1" ht="12" customHeight="1">
      <c r="A107" s="747">
        <v>5</v>
      </c>
      <c r="B107" s="523" t="s">
        <v>141</v>
      </c>
      <c r="C107" s="748"/>
      <c r="D107" s="749" t="s">
        <v>2292</v>
      </c>
      <c r="E107" s="1187">
        <f>IF(AND($A107=0,$A$1="DIF"),0, ROUND(ROUND(($R111*$S$7+($T111*$T$7))/$A107,2)*$C$7,2))</f>
        <v>171.99</v>
      </c>
      <c r="F107" s="1188">
        <f>ROUND($A107*$E107,2)</f>
        <v>859.95</v>
      </c>
      <c r="G107" s="752" t="s">
        <v>142</v>
      </c>
      <c r="H107" s="753"/>
      <c r="I107" s="754"/>
      <c r="J107" s="753"/>
      <c r="K107" s="753" t="s">
        <v>13</v>
      </c>
      <c r="L107" s="755" t="s">
        <v>143</v>
      </c>
      <c r="M107" s="755"/>
      <c r="N107" s="755"/>
      <c r="O107" s="755"/>
      <c r="P107" s="755"/>
      <c r="Q107" s="51"/>
      <c r="T107" s="1192" t="str">
        <f>IF(AND($R111=0,$T111=0),"0.00","mu: "&amp; ROUND(F107/$C$7/($R111+$T111*$D$9),2))</f>
        <v>mu: 1.23</v>
      </c>
      <c r="W107" s="524"/>
      <c r="AG107" s="1189">
        <f>IF($E107=0,0,ROUND($R111*$S$7*$C$7/$A107,2))</f>
        <v>126.35</v>
      </c>
      <c r="AH107" s="1189">
        <f>$AG107*$A107</f>
        <v>631.75</v>
      </c>
      <c r="AI107" s="1190">
        <f>$E107-$AG107</f>
        <v>45.640000000000015</v>
      </c>
      <c r="AJ107" s="1190">
        <f>$A107*$AI107</f>
        <v>228.20000000000007</v>
      </c>
      <c r="AK107" s="1191">
        <f>ROUND(($AG107+$AI107)*$A107,2)</f>
        <v>859.95</v>
      </c>
      <c r="AM107" s="527">
        <f>ROUND(R111,2)</f>
        <v>513.04</v>
      </c>
      <c r="AN107" s="528">
        <f>ROUND(T111,2)</f>
        <v>6.75</v>
      </c>
      <c r="AO107" s="529">
        <f>ROUND(AM107+AN107,2)*A107</f>
        <v>2598.9499999999998</v>
      </c>
    </row>
    <row r="108" spans="1:41" s="520" customFormat="1" ht="13.2">
      <c r="A108" s="748"/>
      <c r="B108"/>
      <c r="C108" s="748"/>
      <c r="D108" s="749" t="s">
        <v>3454</v>
      </c>
      <c r="F108" s="753"/>
      <c r="G108" s="3"/>
      <c r="H108" s="753"/>
      <c r="I108" s="754"/>
      <c r="J108" s="753"/>
      <c r="K108" s="753" t="s">
        <v>144</v>
      </c>
      <c r="L108" s="753"/>
      <c r="M108" s="753"/>
      <c r="N108" s="753"/>
      <c r="O108" s="753"/>
      <c r="P108" s="753"/>
      <c r="Q108" s="51"/>
      <c r="R108" s="530"/>
      <c r="S108" s="757"/>
      <c r="T108" s="753"/>
    </row>
    <row r="109" spans="1:41" s="901" customFormat="1" ht="13.2">
      <c r="A109" s="116">
        <v>5</v>
      </c>
      <c r="B109" s="901" t="s">
        <v>863</v>
      </c>
      <c r="D109" s="901" t="s">
        <v>3503</v>
      </c>
      <c r="E109" s="1142" t="str">
        <f>D108</f>
        <v>500 x 500 mm</v>
      </c>
      <c r="G109" s="941" t="s">
        <v>3504</v>
      </c>
      <c r="H109" s="942">
        <v>726</v>
      </c>
      <c r="I109" s="901" t="s">
        <v>2607</v>
      </c>
      <c r="O109" s="943">
        <v>3</v>
      </c>
      <c r="P109" s="944"/>
      <c r="Q109" s="1197">
        <f>1.1 *(93.28)</f>
        <v>102.608</v>
      </c>
      <c r="R109" s="946">
        <f>$A109*Q109</f>
        <v>513.04</v>
      </c>
      <c r="S109" s="1197">
        <v>1.5</v>
      </c>
      <c r="T109" s="947">
        <f>$A109*S109*$T$1</f>
        <v>6.75</v>
      </c>
      <c r="W109" s="901">
        <v>2</v>
      </c>
    </row>
    <row r="110" spans="1:41" s="520" customFormat="1" ht="12">
      <c r="A110" s="758"/>
      <c r="B110" s="758"/>
      <c r="C110" s="758"/>
      <c r="D110" s="758"/>
      <c r="E110" s="758"/>
      <c r="F110" s="753"/>
      <c r="G110" s="758"/>
      <c r="H110" s="758"/>
      <c r="I110" s="519"/>
      <c r="J110" s="758"/>
      <c r="K110" s="758"/>
      <c r="L110" s="758"/>
      <c r="M110" s="758"/>
      <c r="N110" s="758"/>
      <c r="O110" s="758"/>
      <c r="P110" s="758"/>
      <c r="Q110" s="519"/>
      <c r="R110" s="759">
        <f t="shared" ref="R110" si="28">$A110*Q110</f>
        <v>0</v>
      </c>
      <c r="S110" s="519"/>
      <c r="T110" s="760">
        <f t="shared" ref="T110" si="29">$A110*S110*$T$1</f>
        <v>0</v>
      </c>
    </row>
    <row r="111" spans="1:41" s="520" customFormat="1" ht="12.6" thickBot="1">
      <c r="A111" s="761" t="s">
        <v>145</v>
      </c>
      <c r="B111" s="762">
        <f>(R110+T110)</f>
        <v>0</v>
      </c>
      <c r="C111" s="763"/>
      <c r="D111" s="763"/>
      <c r="E111" s="763"/>
      <c r="F111" s="764"/>
      <c r="G111" s="763" t="s">
        <v>146</v>
      </c>
      <c r="H111" s="763"/>
      <c r="I111" s="765"/>
      <c r="J111" s="763"/>
      <c r="K111" s="763" t="s">
        <v>13</v>
      </c>
      <c r="L111" s="766" t="s">
        <v>143</v>
      </c>
      <c r="M111" s="766"/>
      <c r="N111" s="766"/>
      <c r="O111" s="766"/>
      <c r="P111" s="766"/>
      <c r="Q111" s="767"/>
      <c r="R111" s="768">
        <f>SUM(R108:R110)</f>
        <v>513.04</v>
      </c>
      <c r="S111" s="763"/>
      <c r="T111" s="768">
        <f>SUM(T108:T110)</f>
        <v>6.75</v>
      </c>
      <c r="U111" s="531"/>
      <c r="V111" s="531"/>
      <c r="W111" s="531"/>
      <c r="X111" s="531"/>
      <c r="Y111" s="531"/>
      <c r="Z111" s="531"/>
      <c r="AA111" s="531"/>
      <c r="AB111" s="531"/>
      <c r="AC111" s="531"/>
      <c r="AD111" s="531"/>
      <c r="AE111" s="531"/>
      <c r="AF111" s="531"/>
      <c r="AG111" s="531"/>
      <c r="AH111" s="531"/>
      <c r="AI111" s="531"/>
      <c r="AJ111" s="531"/>
      <c r="AK111" s="531"/>
      <c r="AL111" s="531"/>
      <c r="AM111" s="531"/>
      <c r="AN111" s="531"/>
      <c r="AO111" s="531"/>
    </row>
    <row r="112" spans="1:41" s="520" customFormat="1" ht="12" thickTop="1">
      <c r="A112" s="51"/>
      <c r="B112" s="41"/>
      <c r="C112" s="51"/>
      <c r="E112" s="42" t="s">
        <v>138</v>
      </c>
      <c r="F112" s="42" t="s">
        <v>139</v>
      </c>
      <c r="G112" s="51"/>
      <c r="H112" s="51"/>
      <c r="I112" s="51"/>
      <c r="J112" s="51"/>
      <c r="K112" s="51" t="s">
        <v>140</v>
      </c>
      <c r="L112" s="51"/>
      <c r="M112" s="51"/>
      <c r="N112" s="51"/>
      <c r="O112" s="52"/>
      <c r="P112" s="51"/>
      <c r="Q112" s="51"/>
      <c r="R112" s="51"/>
      <c r="S112" s="51"/>
      <c r="T112" s="41"/>
      <c r="AG112" s="521" t="s">
        <v>268</v>
      </c>
      <c r="AH112" s="521" t="s">
        <v>269</v>
      </c>
      <c r="AI112" s="521" t="s">
        <v>270</v>
      </c>
      <c r="AJ112" s="521" t="s">
        <v>271</v>
      </c>
      <c r="AK112" s="521" t="s">
        <v>272</v>
      </c>
      <c r="AM112" s="745" t="s">
        <v>281</v>
      </c>
      <c r="AN112" s="746" t="s">
        <v>282</v>
      </c>
      <c r="AO112" s="522" t="s">
        <v>278</v>
      </c>
    </row>
    <row r="113" spans="1:41" s="520" customFormat="1" ht="12" customHeight="1">
      <c r="A113" s="747">
        <v>5</v>
      </c>
      <c r="B113" s="523" t="s">
        <v>141</v>
      </c>
      <c r="C113" s="748"/>
      <c r="D113" s="749" t="s">
        <v>2293</v>
      </c>
      <c r="E113" s="1187">
        <f>IF(AND($A113=0,$A$1="DIF"),0, ROUND(ROUND(($R117*$S$7+($T117*$T$7))/$A113,2)*$C$7,2))</f>
        <v>91.19</v>
      </c>
      <c r="F113" s="1188">
        <f>ROUND($A113*$E113,2)</f>
        <v>455.95</v>
      </c>
      <c r="G113" s="752" t="s">
        <v>142</v>
      </c>
      <c r="H113" s="753"/>
      <c r="I113" s="754"/>
      <c r="J113" s="753"/>
      <c r="K113" s="753" t="s">
        <v>13</v>
      </c>
      <c r="L113" s="755" t="s">
        <v>143</v>
      </c>
      <c r="M113" s="755"/>
      <c r="N113" s="755"/>
      <c r="O113" s="755"/>
      <c r="P113" s="755"/>
      <c r="Q113" s="51"/>
      <c r="T113" s="1192" t="str">
        <f>IF(AND($R117=0,$T117=0),"0.00","mu: "&amp; ROUND(F113/$C$7/($R117+$T117*$D$9),2))</f>
        <v>mu: 1.23</v>
      </c>
      <c r="W113" s="524"/>
      <c r="AG113" s="1189">
        <f>IF($E113=0,0,ROUND($R117*$S$7*$C$7/$A113,2))</f>
        <v>30.33</v>
      </c>
      <c r="AH113" s="1189">
        <f>$AG113*$A113</f>
        <v>151.64999999999998</v>
      </c>
      <c r="AI113" s="1190">
        <f>$E113-$AG113</f>
        <v>60.86</v>
      </c>
      <c r="AJ113" s="1190">
        <f>$A113*$AI113</f>
        <v>304.3</v>
      </c>
      <c r="AK113" s="1191">
        <f>ROUND(($AG113+$AI113)*$A113,2)</f>
        <v>455.95</v>
      </c>
      <c r="AM113" s="527">
        <f>ROUND(R117,2)</f>
        <v>123.15</v>
      </c>
      <c r="AN113" s="528">
        <f>ROUND(T117,2)</f>
        <v>9</v>
      </c>
      <c r="AO113" s="529">
        <f>ROUND(AM113+AN113,2)*A113</f>
        <v>660.75</v>
      </c>
    </row>
    <row r="114" spans="1:41" s="520" customFormat="1" ht="13.2">
      <c r="A114" s="748"/>
      <c r="B114"/>
      <c r="C114" s="748"/>
      <c r="D114" s="749" t="s">
        <v>3455</v>
      </c>
      <c r="F114" s="753"/>
      <c r="G114" s="3"/>
      <c r="H114" s="753"/>
      <c r="I114" s="754"/>
      <c r="J114" s="753"/>
      <c r="K114" s="753" t="s">
        <v>144</v>
      </c>
      <c r="L114" s="753"/>
      <c r="M114" s="753"/>
      <c r="N114" s="753"/>
      <c r="O114" s="753"/>
      <c r="P114" s="753"/>
      <c r="Q114" s="51"/>
      <c r="R114" s="530"/>
      <c r="S114" s="757"/>
      <c r="T114" s="753"/>
    </row>
    <row r="115" spans="1:41" s="901" customFormat="1" ht="13.2">
      <c r="A115" s="116">
        <v>5</v>
      </c>
      <c r="B115" s="901" t="s">
        <v>863</v>
      </c>
      <c r="D115" s="901" t="s">
        <v>3503</v>
      </c>
      <c r="E115" s="1142" t="str">
        <f>D114</f>
        <v>600 x 100 mm</v>
      </c>
      <c r="G115" s="941" t="s">
        <v>3504</v>
      </c>
      <c r="H115" s="942">
        <v>726</v>
      </c>
      <c r="I115" s="901" t="s">
        <v>2607</v>
      </c>
      <c r="O115" s="943">
        <v>3</v>
      </c>
      <c r="P115" s="944"/>
      <c r="Q115" s="1197">
        <f>1.1 *(22.39)</f>
        <v>24.629000000000001</v>
      </c>
      <c r="R115" s="946">
        <f>$A115*Q115</f>
        <v>123.14500000000001</v>
      </c>
      <c r="S115" s="1197">
        <v>2</v>
      </c>
      <c r="T115" s="947">
        <f>$A115*S115*$T$1</f>
        <v>9</v>
      </c>
      <c r="W115" s="901">
        <v>3</v>
      </c>
    </row>
    <row r="116" spans="1:41" s="520" customFormat="1" ht="12">
      <c r="A116" s="758"/>
      <c r="B116" s="758"/>
      <c r="C116" s="758"/>
      <c r="D116" s="758"/>
      <c r="E116" s="758"/>
      <c r="F116" s="753"/>
      <c r="G116" s="758"/>
      <c r="H116" s="758"/>
      <c r="I116" s="519"/>
      <c r="J116" s="758"/>
      <c r="K116" s="758"/>
      <c r="L116" s="758"/>
      <c r="M116" s="758"/>
      <c r="N116" s="758"/>
      <c r="O116" s="758"/>
      <c r="P116" s="758"/>
      <c r="Q116" s="519"/>
      <c r="R116" s="759">
        <f t="shared" ref="R116" si="30">$A116*Q116</f>
        <v>0</v>
      </c>
      <c r="S116" s="519"/>
      <c r="T116" s="760">
        <f t="shared" ref="T116" si="31">$A116*S116*$T$1</f>
        <v>0</v>
      </c>
    </row>
    <row r="117" spans="1:41" s="520" customFormat="1" ht="12.6" thickBot="1">
      <c r="A117" s="761" t="s">
        <v>145</v>
      </c>
      <c r="B117" s="762">
        <f>(R116+T116)</f>
        <v>0</v>
      </c>
      <c r="C117" s="763"/>
      <c r="D117" s="763"/>
      <c r="E117" s="763"/>
      <c r="F117" s="764"/>
      <c r="G117" s="763" t="s">
        <v>146</v>
      </c>
      <c r="H117" s="763"/>
      <c r="I117" s="765"/>
      <c r="J117" s="763"/>
      <c r="K117" s="763" t="s">
        <v>13</v>
      </c>
      <c r="L117" s="766" t="s">
        <v>143</v>
      </c>
      <c r="M117" s="766"/>
      <c r="N117" s="766"/>
      <c r="O117" s="766"/>
      <c r="P117" s="766"/>
      <c r="Q117" s="767"/>
      <c r="R117" s="768">
        <f>SUM(R114:R116)</f>
        <v>123.14500000000001</v>
      </c>
      <c r="S117" s="763"/>
      <c r="T117" s="768">
        <f>SUM(T114:T116)</f>
        <v>9</v>
      </c>
      <c r="U117" s="531"/>
      <c r="V117" s="531"/>
      <c r="W117" s="531"/>
      <c r="X117" s="531"/>
      <c r="Y117" s="531"/>
      <c r="Z117" s="531"/>
      <c r="AA117" s="531"/>
      <c r="AB117" s="531"/>
      <c r="AC117" s="531"/>
      <c r="AD117" s="531"/>
      <c r="AE117" s="531"/>
      <c r="AF117" s="531"/>
      <c r="AG117" s="531"/>
      <c r="AH117" s="531"/>
      <c r="AI117" s="531"/>
      <c r="AJ117" s="531"/>
      <c r="AK117" s="531"/>
      <c r="AL117" s="531"/>
      <c r="AM117" s="531"/>
      <c r="AN117" s="531"/>
      <c r="AO117" s="531"/>
    </row>
    <row r="118" spans="1:41" s="520" customFormat="1" ht="12" thickTop="1">
      <c r="A118" s="51"/>
      <c r="B118" s="41"/>
      <c r="C118" s="51"/>
      <c r="E118" s="42" t="s">
        <v>138</v>
      </c>
      <c r="F118" s="42" t="s">
        <v>139</v>
      </c>
      <c r="G118" s="51"/>
      <c r="H118" s="51"/>
      <c r="I118" s="51"/>
      <c r="J118" s="51"/>
      <c r="K118" s="51" t="s">
        <v>140</v>
      </c>
      <c r="L118" s="51"/>
      <c r="M118" s="51"/>
      <c r="N118" s="51"/>
      <c r="O118" s="52"/>
      <c r="P118" s="51"/>
      <c r="Q118" s="51"/>
      <c r="R118" s="51"/>
      <c r="S118" s="51"/>
      <c r="T118" s="41"/>
      <c r="AG118" s="521" t="s">
        <v>268</v>
      </c>
      <c r="AH118" s="521" t="s">
        <v>269</v>
      </c>
      <c r="AI118" s="521" t="s">
        <v>270</v>
      </c>
      <c r="AJ118" s="521" t="s">
        <v>271</v>
      </c>
      <c r="AK118" s="521" t="s">
        <v>272</v>
      </c>
      <c r="AM118" s="745" t="s">
        <v>281</v>
      </c>
      <c r="AN118" s="746" t="s">
        <v>282</v>
      </c>
      <c r="AO118" s="522" t="s">
        <v>278</v>
      </c>
    </row>
    <row r="119" spans="1:41" s="520" customFormat="1" ht="12" customHeight="1">
      <c r="A119" s="747">
        <v>5</v>
      </c>
      <c r="B119" s="523" t="s">
        <v>141</v>
      </c>
      <c r="C119" s="748"/>
      <c r="D119" s="749" t="s">
        <v>2294</v>
      </c>
      <c r="E119" s="1187">
        <f>IF(AND($A119=0,$A$1="DIF"),0, ROUND(ROUND(($R123*$S$7+($T123*$T$7))/$A119,2)*$C$7,2))</f>
        <v>121.52</v>
      </c>
      <c r="F119" s="1188">
        <f>ROUND($A119*$E119,2)</f>
        <v>607.6</v>
      </c>
      <c r="G119" s="752" t="s">
        <v>142</v>
      </c>
      <c r="H119" s="753"/>
      <c r="I119" s="754"/>
      <c r="J119" s="753"/>
      <c r="K119" s="753" t="s">
        <v>13</v>
      </c>
      <c r="L119" s="755" t="s">
        <v>143</v>
      </c>
      <c r="M119" s="755"/>
      <c r="N119" s="755"/>
      <c r="O119" s="755"/>
      <c r="P119" s="755"/>
      <c r="Q119" s="51"/>
      <c r="T119" s="1192" t="str">
        <f>IF(AND($R123=0,$T123=0),"0.00","mu: "&amp; ROUND(F119/$C$7/($R123+$T123*$D$9),2))</f>
        <v>mu: 1.23</v>
      </c>
      <c r="W119" s="524"/>
      <c r="AG119" s="1189">
        <f>IF($E119=0,0,ROUND($R123*$S$7*$C$7/$A119,2))</f>
        <v>60.65</v>
      </c>
      <c r="AH119" s="1189">
        <f>$AG119*$A119</f>
        <v>303.25</v>
      </c>
      <c r="AI119" s="1190">
        <f>$E119-$AG119</f>
        <v>60.87</v>
      </c>
      <c r="AJ119" s="1190">
        <f>$A119*$AI119</f>
        <v>304.34999999999997</v>
      </c>
      <c r="AK119" s="1191">
        <f>ROUND(($AG119+$AI119)*$A119,2)</f>
        <v>607.6</v>
      </c>
      <c r="AM119" s="527">
        <f>ROUND(R123,2)</f>
        <v>246.29</v>
      </c>
      <c r="AN119" s="528">
        <f>ROUND(T123,2)</f>
        <v>9</v>
      </c>
      <c r="AO119" s="529">
        <f>ROUND(AM119+AN119,2)*A119</f>
        <v>1276.45</v>
      </c>
    </row>
    <row r="120" spans="1:41" s="520" customFormat="1" ht="13.2">
      <c r="A120" s="748"/>
      <c r="B120"/>
      <c r="C120" s="748"/>
      <c r="D120" s="749" t="s">
        <v>3456</v>
      </c>
      <c r="F120" s="753"/>
      <c r="G120" s="3"/>
      <c r="H120" s="753"/>
      <c r="I120" s="754"/>
      <c r="J120" s="753"/>
      <c r="K120" s="753" t="s">
        <v>144</v>
      </c>
      <c r="L120" s="753"/>
      <c r="M120" s="753"/>
      <c r="N120" s="753"/>
      <c r="O120" s="753"/>
      <c r="P120" s="753"/>
      <c r="Q120" s="51"/>
      <c r="R120" s="530"/>
      <c r="S120" s="757"/>
      <c r="T120" s="753"/>
    </row>
    <row r="121" spans="1:41" s="901" customFormat="1" ht="13.2">
      <c r="A121" s="116">
        <v>5</v>
      </c>
      <c r="B121" s="901" t="s">
        <v>863</v>
      </c>
      <c r="D121" s="901" t="s">
        <v>3503</v>
      </c>
      <c r="E121" s="1142" t="str">
        <f>D120</f>
        <v>600 x 200 mm</v>
      </c>
      <c r="G121" s="941" t="s">
        <v>3504</v>
      </c>
      <c r="H121" s="942">
        <v>726</v>
      </c>
      <c r="I121" s="901" t="s">
        <v>2607</v>
      </c>
      <c r="O121" s="943">
        <v>3</v>
      </c>
      <c r="P121" s="944"/>
      <c r="Q121" s="1197">
        <f>1.1 *(44.78)</f>
        <v>49.258000000000003</v>
      </c>
      <c r="R121" s="946">
        <f>$A121*Q121</f>
        <v>246.29000000000002</v>
      </c>
      <c r="S121" s="1197">
        <v>2</v>
      </c>
      <c r="T121" s="947">
        <f>$A121*S121*$T$1</f>
        <v>9</v>
      </c>
      <c r="W121" s="901">
        <v>3</v>
      </c>
    </row>
    <row r="122" spans="1:41" s="520" customFormat="1" ht="12">
      <c r="A122" s="758"/>
      <c r="B122" s="758"/>
      <c r="C122" s="758"/>
      <c r="D122" s="758"/>
      <c r="E122" s="758"/>
      <c r="F122" s="753"/>
      <c r="G122" s="758"/>
      <c r="H122" s="758"/>
      <c r="I122" s="519"/>
      <c r="J122" s="758"/>
      <c r="K122" s="758"/>
      <c r="L122" s="758"/>
      <c r="M122" s="758"/>
      <c r="N122" s="758"/>
      <c r="O122" s="758"/>
      <c r="P122" s="758"/>
      <c r="Q122" s="519"/>
      <c r="R122" s="759">
        <f t="shared" ref="R122" si="32">$A122*Q122</f>
        <v>0</v>
      </c>
      <c r="S122" s="519"/>
      <c r="T122" s="760">
        <f t="shared" ref="T122" si="33">$A122*S122*$T$1</f>
        <v>0</v>
      </c>
    </row>
    <row r="123" spans="1:41" s="520" customFormat="1" ht="12.6" thickBot="1">
      <c r="A123" s="761" t="s">
        <v>145</v>
      </c>
      <c r="B123" s="762">
        <f>(R122+T122)</f>
        <v>0</v>
      </c>
      <c r="C123" s="763"/>
      <c r="D123" s="763"/>
      <c r="E123" s="763"/>
      <c r="F123" s="764"/>
      <c r="G123" s="763" t="s">
        <v>146</v>
      </c>
      <c r="H123" s="763"/>
      <c r="I123" s="765"/>
      <c r="J123" s="763"/>
      <c r="K123" s="763" t="s">
        <v>13</v>
      </c>
      <c r="L123" s="766" t="s">
        <v>143</v>
      </c>
      <c r="M123" s="766"/>
      <c r="N123" s="766"/>
      <c r="O123" s="766"/>
      <c r="P123" s="766"/>
      <c r="Q123" s="767"/>
      <c r="R123" s="768">
        <f>SUM(R120:R122)</f>
        <v>246.29000000000002</v>
      </c>
      <c r="S123" s="763"/>
      <c r="T123" s="768">
        <f>SUM(T120:T122)</f>
        <v>9</v>
      </c>
      <c r="U123" s="531"/>
      <c r="V123" s="531"/>
      <c r="W123" s="531"/>
      <c r="X123" s="531"/>
      <c r="Y123" s="531"/>
      <c r="Z123" s="531"/>
      <c r="AA123" s="531"/>
      <c r="AB123" s="531"/>
      <c r="AC123" s="531"/>
      <c r="AD123" s="531"/>
      <c r="AE123" s="531"/>
      <c r="AF123" s="531"/>
      <c r="AG123" s="531"/>
      <c r="AH123" s="531"/>
      <c r="AI123" s="531"/>
      <c r="AJ123" s="531"/>
      <c r="AK123" s="531"/>
      <c r="AL123" s="531"/>
      <c r="AM123" s="531"/>
      <c r="AN123" s="531"/>
      <c r="AO123" s="531"/>
    </row>
    <row r="124" spans="1:41" s="520" customFormat="1" ht="12" thickTop="1">
      <c r="A124" s="51"/>
      <c r="B124" s="41"/>
      <c r="C124" s="51"/>
      <c r="E124" s="42" t="s">
        <v>138</v>
      </c>
      <c r="F124" s="42" t="s">
        <v>139</v>
      </c>
      <c r="G124" s="51"/>
      <c r="H124" s="51"/>
      <c r="I124" s="51"/>
      <c r="J124" s="51"/>
      <c r="K124" s="51" t="s">
        <v>140</v>
      </c>
      <c r="L124" s="51"/>
      <c r="M124" s="51"/>
      <c r="N124" s="51"/>
      <c r="O124" s="52"/>
      <c r="P124" s="51"/>
      <c r="Q124" s="51"/>
      <c r="R124" s="51"/>
      <c r="S124" s="51"/>
      <c r="T124" s="41"/>
      <c r="AG124" s="521" t="s">
        <v>268</v>
      </c>
      <c r="AH124" s="521" t="s">
        <v>269</v>
      </c>
      <c r="AI124" s="521" t="s">
        <v>270</v>
      </c>
      <c r="AJ124" s="521" t="s">
        <v>271</v>
      </c>
      <c r="AK124" s="521" t="s">
        <v>272</v>
      </c>
      <c r="AM124" s="745" t="s">
        <v>281</v>
      </c>
      <c r="AN124" s="746" t="s">
        <v>282</v>
      </c>
      <c r="AO124" s="522" t="s">
        <v>278</v>
      </c>
    </row>
    <row r="125" spans="1:41" s="520" customFormat="1" ht="12" customHeight="1">
      <c r="A125" s="747">
        <v>5</v>
      </c>
      <c r="B125" s="523" t="s">
        <v>141</v>
      </c>
      <c r="C125" s="748"/>
      <c r="D125" s="749" t="s">
        <v>2295</v>
      </c>
      <c r="E125" s="1187">
        <f>IF(AND($A125=0,$A$1="DIF"),0, ROUND(ROUND(($R129*$S$7+($T129*$T$7))/$A125,2)*$C$7,2))</f>
        <v>151.83000000000001</v>
      </c>
      <c r="F125" s="1188">
        <f>ROUND($A125*$E125,2)</f>
        <v>759.15</v>
      </c>
      <c r="G125" s="752" t="s">
        <v>142</v>
      </c>
      <c r="H125" s="753"/>
      <c r="I125" s="754"/>
      <c r="J125" s="753"/>
      <c r="K125" s="753" t="s">
        <v>13</v>
      </c>
      <c r="L125" s="755" t="s">
        <v>143</v>
      </c>
      <c r="M125" s="755"/>
      <c r="N125" s="755"/>
      <c r="O125" s="755"/>
      <c r="P125" s="755"/>
      <c r="Q125" s="51"/>
      <c r="T125" s="1192" t="str">
        <f>IF(AND($R129=0,$T129=0),"0.00","mu: "&amp; ROUND(F125/$C$7/($R129+$T129*$D$9),2))</f>
        <v>mu: 1.23</v>
      </c>
      <c r="W125" s="524"/>
      <c r="AG125" s="1189">
        <f>IF($E125=0,0,ROUND($R129*$S$7*$C$7/$A125,2))</f>
        <v>90.97</v>
      </c>
      <c r="AH125" s="1189">
        <f>$AG125*$A125</f>
        <v>454.85</v>
      </c>
      <c r="AI125" s="1190">
        <f>$E125-$AG125</f>
        <v>60.860000000000014</v>
      </c>
      <c r="AJ125" s="1190">
        <f>$A125*$AI125</f>
        <v>304.30000000000007</v>
      </c>
      <c r="AK125" s="1191">
        <f>ROUND(($AG125+$AI125)*$A125,2)</f>
        <v>759.15</v>
      </c>
      <c r="AM125" s="527">
        <f>ROUND(R129,2)</f>
        <v>369.38</v>
      </c>
      <c r="AN125" s="528">
        <f>ROUND(T129,2)</f>
        <v>9</v>
      </c>
      <c r="AO125" s="529">
        <f>ROUND(AM125+AN125,2)*A125</f>
        <v>1891.9</v>
      </c>
    </row>
    <row r="126" spans="1:41" s="520" customFormat="1" ht="13.2">
      <c r="A126" s="748"/>
      <c r="B126"/>
      <c r="C126" s="748"/>
      <c r="D126" s="749" t="s">
        <v>3457</v>
      </c>
      <c r="F126" s="753"/>
      <c r="G126" s="3"/>
      <c r="H126" s="753"/>
      <c r="I126" s="754"/>
      <c r="J126" s="753"/>
      <c r="K126" s="753" t="s">
        <v>144</v>
      </c>
      <c r="L126" s="753"/>
      <c r="M126" s="753"/>
      <c r="N126" s="753"/>
      <c r="O126" s="753"/>
      <c r="P126" s="753"/>
      <c r="Q126" s="51"/>
      <c r="R126" s="530"/>
      <c r="S126" s="757"/>
      <c r="T126" s="753"/>
    </row>
    <row r="127" spans="1:41" s="901" customFormat="1" ht="13.2">
      <c r="A127" s="116">
        <v>5</v>
      </c>
      <c r="B127" s="901" t="s">
        <v>863</v>
      </c>
      <c r="D127" s="901" t="s">
        <v>3503</v>
      </c>
      <c r="E127" s="1142" t="str">
        <f>D126</f>
        <v>600 x 300 mm</v>
      </c>
      <c r="G127" s="941" t="s">
        <v>3504</v>
      </c>
      <c r="H127" s="942">
        <v>726</v>
      </c>
      <c r="I127" s="901" t="s">
        <v>2607</v>
      </c>
      <c r="O127" s="943">
        <v>3</v>
      </c>
      <c r="P127" s="944"/>
      <c r="Q127" s="1197">
        <f>1.1 *(67.16)</f>
        <v>73.876000000000005</v>
      </c>
      <c r="R127" s="946">
        <f>$A127*Q127</f>
        <v>369.38</v>
      </c>
      <c r="S127" s="1197">
        <v>2</v>
      </c>
      <c r="T127" s="947">
        <f>$A127*S127*$T$1</f>
        <v>9</v>
      </c>
      <c r="W127" s="901">
        <v>3</v>
      </c>
    </row>
    <row r="128" spans="1:41" s="520" customFormat="1" ht="12">
      <c r="A128" s="758"/>
      <c r="B128" s="758"/>
      <c r="C128" s="758"/>
      <c r="D128" s="758"/>
      <c r="E128" s="758"/>
      <c r="F128" s="753"/>
      <c r="G128" s="758"/>
      <c r="H128" s="758"/>
      <c r="I128" s="519"/>
      <c r="J128" s="758"/>
      <c r="K128" s="758"/>
      <c r="L128" s="758"/>
      <c r="M128" s="758"/>
      <c r="N128" s="758"/>
      <c r="O128" s="758"/>
      <c r="P128" s="758"/>
      <c r="Q128" s="519"/>
      <c r="R128" s="759">
        <f t="shared" ref="R128" si="34">$A128*Q128</f>
        <v>0</v>
      </c>
      <c r="S128" s="519"/>
      <c r="T128" s="760">
        <f t="shared" ref="T128" si="35">$A128*S128*$T$1</f>
        <v>0</v>
      </c>
    </row>
    <row r="129" spans="1:41" s="520" customFormat="1" ht="12.6" thickBot="1">
      <c r="A129" s="761" t="s">
        <v>145</v>
      </c>
      <c r="B129" s="762">
        <f>(R128+T128)</f>
        <v>0</v>
      </c>
      <c r="C129" s="763"/>
      <c r="D129" s="763"/>
      <c r="E129" s="763"/>
      <c r="F129" s="764"/>
      <c r="G129" s="763" t="s">
        <v>146</v>
      </c>
      <c r="H129" s="763"/>
      <c r="I129" s="765"/>
      <c r="J129" s="763"/>
      <c r="K129" s="763" t="s">
        <v>13</v>
      </c>
      <c r="L129" s="766" t="s">
        <v>143</v>
      </c>
      <c r="M129" s="766"/>
      <c r="N129" s="766"/>
      <c r="O129" s="766"/>
      <c r="P129" s="766"/>
      <c r="Q129" s="767"/>
      <c r="R129" s="768">
        <f>SUM(R126:R128)</f>
        <v>369.38</v>
      </c>
      <c r="S129" s="763"/>
      <c r="T129" s="768">
        <f>SUM(T126:T128)</f>
        <v>9</v>
      </c>
      <c r="U129" s="531"/>
      <c r="V129" s="531"/>
      <c r="W129" s="531"/>
      <c r="X129" s="531"/>
      <c r="Y129" s="531"/>
      <c r="Z129" s="531"/>
      <c r="AA129" s="531"/>
      <c r="AB129" s="531"/>
      <c r="AC129" s="531"/>
      <c r="AD129" s="531"/>
      <c r="AE129" s="531"/>
      <c r="AF129" s="531"/>
      <c r="AG129" s="531"/>
      <c r="AH129" s="531"/>
      <c r="AI129" s="531"/>
      <c r="AJ129" s="531"/>
      <c r="AK129" s="531"/>
      <c r="AL129" s="531"/>
      <c r="AM129" s="531"/>
      <c r="AN129" s="531"/>
      <c r="AO129" s="531"/>
    </row>
    <row r="130" spans="1:41" s="520" customFormat="1" ht="12" thickTop="1">
      <c r="A130" s="51"/>
      <c r="B130" s="41"/>
      <c r="C130" s="51"/>
      <c r="E130" s="42" t="s">
        <v>138</v>
      </c>
      <c r="F130" s="42" t="s">
        <v>139</v>
      </c>
      <c r="G130" s="51"/>
      <c r="H130" s="51"/>
      <c r="I130" s="51"/>
      <c r="J130" s="51"/>
      <c r="K130" s="51" t="s">
        <v>140</v>
      </c>
      <c r="L130" s="51"/>
      <c r="M130" s="51"/>
      <c r="N130" s="51"/>
      <c r="O130" s="52"/>
      <c r="P130" s="51"/>
      <c r="Q130" s="51"/>
      <c r="R130" s="51"/>
      <c r="S130" s="51"/>
      <c r="T130" s="41"/>
      <c r="AG130" s="521" t="s">
        <v>268</v>
      </c>
      <c r="AH130" s="521" t="s">
        <v>269</v>
      </c>
      <c r="AI130" s="521" t="s">
        <v>270</v>
      </c>
      <c r="AJ130" s="521" t="s">
        <v>271</v>
      </c>
      <c r="AK130" s="521" t="s">
        <v>272</v>
      </c>
      <c r="AM130" s="745" t="s">
        <v>281</v>
      </c>
      <c r="AN130" s="746" t="s">
        <v>282</v>
      </c>
      <c r="AO130" s="522" t="s">
        <v>278</v>
      </c>
    </row>
    <row r="131" spans="1:41" s="520" customFormat="1" ht="12" customHeight="1">
      <c r="A131" s="747">
        <v>5</v>
      </c>
      <c r="B131" s="523" t="s">
        <v>141</v>
      </c>
      <c r="C131" s="748"/>
      <c r="D131" s="749" t="s">
        <v>2296</v>
      </c>
      <c r="E131" s="1187">
        <f>IF(AND($A131=0,$A$1="DIF"),0, ROUND(ROUND(($R135*$S$7+($T135*$T$7))/$A131,2)*$C$7,2))</f>
        <v>182.16</v>
      </c>
      <c r="F131" s="1188">
        <f>ROUND($A131*$E131,2)</f>
        <v>910.8</v>
      </c>
      <c r="G131" s="752" t="s">
        <v>142</v>
      </c>
      <c r="H131" s="753"/>
      <c r="I131" s="754"/>
      <c r="J131" s="753"/>
      <c r="K131" s="753" t="s">
        <v>13</v>
      </c>
      <c r="L131" s="755" t="s">
        <v>143</v>
      </c>
      <c r="M131" s="755"/>
      <c r="N131" s="755"/>
      <c r="O131" s="755"/>
      <c r="P131" s="755"/>
      <c r="Q131" s="51"/>
      <c r="T131" s="1192" t="str">
        <f>IF(AND($R135=0,$T135=0),"0.00","mu: "&amp; ROUND(F131/$C$7/($R135+$T135*$D$9),2))</f>
        <v>mu: 1.23</v>
      </c>
      <c r="W131" s="524"/>
      <c r="AG131" s="1189">
        <f>IF($E131=0,0,ROUND($R135*$S$7*$C$7/$A131,2))</f>
        <v>121.29</v>
      </c>
      <c r="AH131" s="1189">
        <f>$AG131*$A131</f>
        <v>606.45000000000005</v>
      </c>
      <c r="AI131" s="1190">
        <f>$E131-$AG131</f>
        <v>60.86999999999999</v>
      </c>
      <c r="AJ131" s="1190">
        <f>$A131*$AI131</f>
        <v>304.34999999999997</v>
      </c>
      <c r="AK131" s="1191">
        <f>ROUND(($AG131+$AI131)*$A131,2)</f>
        <v>910.8</v>
      </c>
      <c r="AM131" s="527">
        <f>ROUND(R135,2)</f>
        <v>492.53</v>
      </c>
      <c r="AN131" s="528">
        <f>ROUND(T135,2)</f>
        <v>9</v>
      </c>
      <c r="AO131" s="529">
        <f>ROUND(AM131+AN131,2)*A131</f>
        <v>2507.6499999999996</v>
      </c>
    </row>
    <row r="132" spans="1:41" s="520" customFormat="1" ht="13.2">
      <c r="A132" s="748"/>
      <c r="B132"/>
      <c r="C132" s="748"/>
      <c r="D132" s="749" t="s">
        <v>3458</v>
      </c>
      <c r="F132" s="753"/>
      <c r="G132" s="3"/>
      <c r="H132" s="753"/>
      <c r="I132" s="754"/>
      <c r="J132" s="753"/>
      <c r="K132" s="753" t="s">
        <v>144</v>
      </c>
      <c r="L132" s="753"/>
      <c r="M132" s="753"/>
      <c r="N132" s="753"/>
      <c r="O132" s="753"/>
      <c r="P132" s="753"/>
      <c r="Q132" s="51"/>
      <c r="R132" s="530"/>
      <c r="S132" s="757"/>
      <c r="T132" s="753"/>
    </row>
    <row r="133" spans="1:41" s="901" customFormat="1" ht="13.2">
      <c r="A133" s="116">
        <v>5</v>
      </c>
      <c r="B133" s="901" t="s">
        <v>863</v>
      </c>
      <c r="D133" s="901" t="s">
        <v>3503</v>
      </c>
      <c r="E133" s="1142" t="str">
        <f>D132</f>
        <v>600 x 400 mm</v>
      </c>
      <c r="G133" s="941" t="s">
        <v>3504</v>
      </c>
      <c r="H133" s="942">
        <v>726</v>
      </c>
      <c r="I133" s="901" t="s">
        <v>2607</v>
      </c>
      <c r="O133" s="943">
        <v>3</v>
      </c>
      <c r="P133" s="944"/>
      <c r="Q133" s="1197">
        <f>1.1 *(89.55)</f>
        <v>98.50500000000001</v>
      </c>
      <c r="R133" s="946">
        <f>$A133*Q133</f>
        <v>492.52500000000003</v>
      </c>
      <c r="S133" s="1197">
        <v>2</v>
      </c>
      <c r="T133" s="947">
        <f>$A133*S133*$T$1</f>
        <v>9</v>
      </c>
      <c r="W133" s="901">
        <v>3</v>
      </c>
    </row>
    <row r="134" spans="1:41" s="520" customFormat="1" ht="12">
      <c r="A134" s="758"/>
      <c r="B134" s="758"/>
      <c r="C134" s="758"/>
      <c r="D134" s="758"/>
      <c r="E134" s="758"/>
      <c r="F134" s="753"/>
      <c r="G134" s="758"/>
      <c r="H134" s="758"/>
      <c r="I134" s="519"/>
      <c r="J134" s="758"/>
      <c r="K134" s="758"/>
      <c r="L134" s="758"/>
      <c r="M134" s="758"/>
      <c r="N134" s="758"/>
      <c r="O134" s="758"/>
      <c r="P134" s="758"/>
      <c r="Q134" s="519"/>
      <c r="R134" s="759">
        <f t="shared" ref="R134" si="36">$A134*Q134</f>
        <v>0</v>
      </c>
      <c r="S134" s="519"/>
      <c r="T134" s="760">
        <f t="shared" ref="T134" si="37">$A134*S134*$T$1</f>
        <v>0</v>
      </c>
    </row>
    <row r="135" spans="1:41" s="520" customFormat="1" ht="12.6" thickBot="1">
      <c r="A135" s="761" t="s">
        <v>145</v>
      </c>
      <c r="B135" s="762">
        <f>(R134+T134)</f>
        <v>0</v>
      </c>
      <c r="C135" s="763"/>
      <c r="D135" s="763"/>
      <c r="E135" s="763"/>
      <c r="F135" s="764"/>
      <c r="G135" s="763" t="s">
        <v>146</v>
      </c>
      <c r="H135" s="763"/>
      <c r="I135" s="765"/>
      <c r="J135" s="763"/>
      <c r="K135" s="763" t="s">
        <v>13</v>
      </c>
      <c r="L135" s="766" t="s">
        <v>143</v>
      </c>
      <c r="M135" s="766"/>
      <c r="N135" s="766"/>
      <c r="O135" s="766"/>
      <c r="P135" s="766"/>
      <c r="Q135" s="767"/>
      <c r="R135" s="768">
        <f>SUM(R132:R134)</f>
        <v>492.52500000000003</v>
      </c>
      <c r="S135" s="763"/>
      <c r="T135" s="768">
        <f>SUM(T132:T134)</f>
        <v>9</v>
      </c>
      <c r="U135" s="531"/>
      <c r="V135" s="531"/>
      <c r="W135" s="531"/>
      <c r="X135" s="531"/>
      <c r="Y135" s="531"/>
      <c r="Z135" s="531"/>
      <c r="AA135" s="531"/>
      <c r="AB135" s="531"/>
      <c r="AC135" s="531"/>
      <c r="AD135" s="531"/>
      <c r="AE135" s="531"/>
      <c r="AF135" s="531"/>
      <c r="AG135" s="531"/>
      <c r="AH135" s="531"/>
      <c r="AI135" s="531"/>
      <c r="AJ135" s="531"/>
      <c r="AK135" s="531"/>
      <c r="AL135" s="531"/>
      <c r="AM135" s="531"/>
      <c r="AN135" s="531"/>
      <c r="AO135" s="531"/>
    </row>
    <row r="136" spans="1:41" s="520" customFormat="1" ht="12" thickTop="1">
      <c r="A136" s="51"/>
      <c r="B136" s="41"/>
      <c r="C136" s="51"/>
      <c r="E136" s="42" t="s">
        <v>138</v>
      </c>
      <c r="F136" s="42" t="s">
        <v>139</v>
      </c>
      <c r="G136" s="51"/>
      <c r="H136" s="51"/>
      <c r="I136" s="51"/>
      <c r="J136" s="51"/>
      <c r="K136" s="51" t="s">
        <v>140</v>
      </c>
      <c r="L136" s="51"/>
      <c r="M136" s="51"/>
      <c r="N136" s="51"/>
      <c r="O136" s="52"/>
      <c r="P136" s="51"/>
      <c r="Q136" s="51"/>
      <c r="R136" s="51"/>
      <c r="S136" s="51"/>
      <c r="T136" s="41"/>
      <c r="AG136" s="521" t="s">
        <v>268</v>
      </c>
      <c r="AH136" s="521" t="s">
        <v>269</v>
      </c>
      <c r="AI136" s="521" t="s">
        <v>270</v>
      </c>
      <c r="AJ136" s="521" t="s">
        <v>271</v>
      </c>
      <c r="AK136" s="521" t="s">
        <v>272</v>
      </c>
      <c r="AM136" s="745" t="s">
        <v>281</v>
      </c>
      <c r="AN136" s="746" t="s">
        <v>282</v>
      </c>
      <c r="AO136" s="522" t="s">
        <v>278</v>
      </c>
    </row>
    <row r="137" spans="1:41" s="520" customFormat="1" ht="12" customHeight="1">
      <c r="A137" s="747">
        <v>5</v>
      </c>
      <c r="B137" s="523" t="s">
        <v>141</v>
      </c>
      <c r="C137" s="748"/>
      <c r="D137" s="749" t="s">
        <v>2297</v>
      </c>
      <c r="E137" s="1187">
        <f>IF(AND($A137=0,$A$1="DIF"),0, ROUND(ROUND(($R141*$S$7+($T141*$T$7))/$A137,2)*$C$7,2))</f>
        <v>212.48</v>
      </c>
      <c r="F137" s="1188">
        <f>ROUND($A137*$E137,2)</f>
        <v>1062.4000000000001</v>
      </c>
      <c r="G137" s="752" t="s">
        <v>142</v>
      </c>
      <c r="H137" s="753"/>
      <c r="I137" s="754"/>
      <c r="J137" s="753"/>
      <c r="K137" s="753" t="s">
        <v>13</v>
      </c>
      <c r="L137" s="755" t="s">
        <v>143</v>
      </c>
      <c r="M137" s="755"/>
      <c r="N137" s="755"/>
      <c r="O137" s="755"/>
      <c r="P137" s="755"/>
      <c r="Q137" s="51"/>
      <c r="T137" s="1192" t="str">
        <f>IF(AND($R141=0,$T141=0),"0.00","mu: "&amp; ROUND(F137/$C$7/($R141+$T141*$D$9),2))</f>
        <v>mu: 1.23</v>
      </c>
      <c r="W137" s="524"/>
      <c r="AG137" s="1189">
        <f>IF($E137=0,0,ROUND($R141*$S$7*$C$7/$A137,2))</f>
        <v>151.62</v>
      </c>
      <c r="AH137" s="1189">
        <f>$AG137*$A137</f>
        <v>758.1</v>
      </c>
      <c r="AI137" s="1190">
        <f>$E137-$AG137</f>
        <v>60.859999999999985</v>
      </c>
      <c r="AJ137" s="1190">
        <f>$A137*$AI137</f>
        <v>304.29999999999995</v>
      </c>
      <c r="AK137" s="1191">
        <f>ROUND(($AG137+$AI137)*$A137,2)</f>
        <v>1062.4000000000001</v>
      </c>
      <c r="AM137" s="527">
        <f>ROUND(R141,2)</f>
        <v>615.66999999999996</v>
      </c>
      <c r="AN137" s="528">
        <f>ROUND(T141,2)</f>
        <v>9</v>
      </c>
      <c r="AO137" s="529">
        <f>ROUND(AM137+AN137,2)*A137</f>
        <v>3123.35</v>
      </c>
    </row>
    <row r="138" spans="1:41" s="520" customFormat="1" ht="13.2">
      <c r="A138" s="748"/>
      <c r="B138"/>
      <c r="C138" s="748"/>
      <c r="D138" s="749" t="s">
        <v>3459</v>
      </c>
      <c r="F138" s="753"/>
      <c r="G138" s="3"/>
      <c r="H138" s="753"/>
      <c r="I138" s="754"/>
      <c r="J138" s="753"/>
      <c r="K138" s="753" t="s">
        <v>144</v>
      </c>
      <c r="L138" s="753"/>
      <c r="M138" s="753"/>
      <c r="N138" s="753"/>
      <c r="O138" s="753"/>
      <c r="P138" s="753"/>
      <c r="Q138" s="51"/>
      <c r="R138" s="530"/>
      <c r="S138" s="757"/>
      <c r="T138" s="753"/>
    </row>
    <row r="139" spans="1:41" s="901" customFormat="1" ht="13.2">
      <c r="A139" s="116">
        <v>5</v>
      </c>
      <c r="B139" s="901" t="s">
        <v>863</v>
      </c>
      <c r="D139" s="901" t="s">
        <v>3503</v>
      </c>
      <c r="E139" s="1142" t="str">
        <f>D138</f>
        <v>600 x 500 mm</v>
      </c>
      <c r="G139" s="941" t="s">
        <v>3504</v>
      </c>
      <c r="H139" s="942">
        <v>726</v>
      </c>
      <c r="I139" s="901" t="s">
        <v>2607</v>
      </c>
      <c r="O139" s="943">
        <v>3</v>
      </c>
      <c r="P139" s="944"/>
      <c r="Q139" s="1197">
        <f>1.1 *(111.94)</f>
        <v>123.134</v>
      </c>
      <c r="R139" s="946">
        <f>$A139*Q139</f>
        <v>615.66999999999996</v>
      </c>
      <c r="S139" s="1197">
        <v>2</v>
      </c>
      <c r="T139" s="947">
        <f>$A139*S139*$T$1</f>
        <v>9</v>
      </c>
      <c r="W139" s="901">
        <v>3</v>
      </c>
    </row>
    <row r="140" spans="1:41" s="520" customFormat="1" ht="12">
      <c r="A140" s="758"/>
      <c r="B140" s="758"/>
      <c r="C140" s="758"/>
      <c r="D140" s="758"/>
      <c r="E140" s="758"/>
      <c r="F140" s="753"/>
      <c r="G140" s="758"/>
      <c r="H140" s="758"/>
      <c r="I140" s="519"/>
      <c r="J140" s="758"/>
      <c r="K140" s="758"/>
      <c r="L140" s="758"/>
      <c r="M140" s="758"/>
      <c r="N140" s="758"/>
      <c r="O140" s="758"/>
      <c r="P140" s="758"/>
      <c r="Q140" s="519"/>
      <c r="R140" s="759">
        <f t="shared" ref="R140" si="38">$A140*Q140</f>
        <v>0</v>
      </c>
      <c r="S140" s="519"/>
      <c r="T140" s="760">
        <f t="shared" ref="T140" si="39">$A140*S140*$T$1</f>
        <v>0</v>
      </c>
    </row>
    <row r="141" spans="1:41" s="520" customFormat="1" ht="12.6" thickBot="1">
      <c r="A141" s="761" t="s">
        <v>145</v>
      </c>
      <c r="B141" s="762">
        <f>(R140+T140)</f>
        <v>0</v>
      </c>
      <c r="C141" s="763"/>
      <c r="D141" s="763"/>
      <c r="E141" s="763"/>
      <c r="F141" s="764"/>
      <c r="G141" s="763" t="s">
        <v>146</v>
      </c>
      <c r="H141" s="763"/>
      <c r="I141" s="765"/>
      <c r="J141" s="763"/>
      <c r="K141" s="763" t="s">
        <v>13</v>
      </c>
      <c r="L141" s="766" t="s">
        <v>143</v>
      </c>
      <c r="M141" s="766"/>
      <c r="N141" s="766"/>
      <c r="O141" s="766"/>
      <c r="P141" s="766"/>
      <c r="Q141" s="767"/>
      <c r="R141" s="768">
        <f>SUM(R138:R140)</f>
        <v>615.66999999999996</v>
      </c>
      <c r="S141" s="763"/>
      <c r="T141" s="768">
        <f>SUM(T138:T140)</f>
        <v>9</v>
      </c>
      <c r="U141" s="531"/>
      <c r="V141" s="531"/>
      <c r="W141" s="531"/>
      <c r="X141" s="531"/>
      <c r="Y141" s="531"/>
      <c r="Z141" s="531"/>
      <c r="AA141" s="531"/>
      <c r="AB141" s="531"/>
      <c r="AC141" s="531"/>
      <c r="AD141" s="531"/>
      <c r="AE141" s="531"/>
      <c r="AF141" s="531"/>
      <c r="AG141" s="531"/>
      <c r="AH141" s="531"/>
      <c r="AI141" s="531"/>
      <c r="AJ141" s="531"/>
      <c r="AK141" s="531"/>
      <c r="AL141" s="531"/>
      <c r="AM141" s="531"/>
      <c r="AN141" s="531"/>
      <c r="AO141" s="531"/>
    </row>
    <row r="142" spans="1:41" s="520" customFormat="1" ht="12" thickTop="1">
      <c r="A142" s="51"/>
      <c r="B142" s="41"/>
      <c r="C142" s="51"/>
      <c r="E142" s="42" t="s">
        <v>138</v>
      </c>
      <c r="F142" s="42" t="s">
        <v>139</v>
      </c>
      <c r="G142" s="51"/>
      <c r="H142" s="51"/>
      <c r="I142" s="51"/>
      <c r="J142" s="51"/>
      <c r="K142" s="51" t="s">
        <v>140</v>
      </c>
      <c r="L142" s="51"/>
      <c r="M142" s="51"/>
      <c r="N142" s="51"/>
      <c r="O142" s="52"/>
      <c r="P142" s="51"/>
      <c r="Q142" s="51"/>
      <c r="R142" s="51"/>
      <c r="S142" s="51"/>
      <c r="T142" s="41"/>
      <c r="AG142" s="521" t="s">
        <v>268</v>
      </c>
      <c r="AH142" s="521" t="s">
        <v>269</v>
      </c>
      <c r="AI142" s="521" t="s">
        <v>270</v>
      </c>
      <c r="AJ142" s="521" t="s">
        <v>271</v>
      </c>
      <c r="AK142" s="521" t="s">
        <v>272</v>
      </c>
      <c r="AM142" s="745" t="s">
        <v>281</v>
      </c>
      <c r="AN142" s="746" t="s">
        <v>282</v>
      </c>
      <c r="AO142" s="522" t="s">
        <v>278</v>
      </c>
    </row>
    <row r="143" spans="1:41" s="520" customFormat="1" ht="12" customHeight="1">
      <c r="A143" s="747">
        <v>5</v>
      </c>
      <c r="B143" s="523" t="s">
        <v>141</v>
      </c>
      <c r="C143" s="748"/>
      <c r="D143" s="749" t="s">
        <v>2298</v>
      </c>
      <c r="E143" s="1187">
        <f>IF(AND($A143=0,$A$1="DIF"),0, ROUND(ROUND(($R147*$S$7+($T147*$T$7))/$A143,2)*$C$7,2))</f>
        <v>242.81</v>
      </c>
      <c r="F143" s="1188">
        <f>ROUND($A143*$E143,2)</f>
        <v>1214.05</v>
      </c>
      <c r="G143" s="752" t="s">
        <v>142</v>
      </c>
      <c r="H143" s="753"/>
      <c r="I143" s="754"/>
      <c r="J143" s="753"/>
      <c r="K143" s="753" t="s">
        <v>13</v>
      </c>
      <c r="L143" s="755" t="s">
        <v>143</v>
      </c>
      <c r="M143" s="755"/>
      <c r="N143" s="755"/>
      <c r="O143" s="755"/>
      <c r="P143" s="755"/>
      <c r="Q143" s="51"/>
      <c r="T143" s="1192" t="str">
        <f>IF(AND($R147=0,$T147=0),"0.00","mu: "&amp; ROUND(F143/$C$7/($R147+$T147*$D$9),2))</f>
        <v>mu: 1.23</v>
      </c>
      <c r="W143" s="524"/>
      <c r="AG143" s="1189">
        <f>IF($E143=0,0,ROUND($R147*$S$7*$C$7/$A143,2))</f>
        <v>181.95</v>
      </c>
      <c r="AH143" s="1189">
        <f>$AG143*$A143</f>
        <v>909.75</v>
      </c>
      <c r="AI143" s="1190">
        <f>$E143-$AG143</f>
        <v>60.860000000000014</v>
      </c>
      <c r="AJ143" s="1190">
        <f>$A143*$AI143</f>
        <v>304.30000000000007</v>
      </c>
      <c r="AK143" s="1191">
        <f>ROUND(($AG143+$AI143)*$A143,2)</f>
        <v>1214.05</v>
      </c>
      <c r="AM143" s="527">
        <f>ROUND(R147,2)</f>
        <v>738.82</v>
      </c>
      <c r="AN143" s="528">
        <f>ROUND(T147,2)</f>
        <v>9</v>
      </c>
      <c r="AO143" s="529">
        <f>ROUND(AM143+AN143,2)*A143</f>
        <v>3739.1000000000004</v>
      </c>
    </row>
    <row r="144" spans="1:41" s="520" customFormat="1" ht="13.2">
      <c r="A144" s="748"/>
      <c r="B144"/>
      <c r="C144" s="748"/>
      <c r="D144" s="749" t="s">
        <v>3460</v>
      </c>
      <c r="F144" s="753"/>
      <c r="G144" s="3"/>
      <c r="H144" s="753"/>
      <c r="I144" s="754"/>
      <c r="J144" s="753"/>
      <c r="K144" s="753" t="s">
        <v>144</v>
      </c>
      <c r="L144" s="753"/>
      <c r="M144" s="753"/>
      <c r="N144" s="753"/>
      <c r="O144" s="753"/>
      <c r="P144" s="753"/>
      <c r="Q144" s="51"/>
      <c r="R144" s="530"/>
      <c r="S144" s="757"/>
      <c r="T144" s="753"/>
    </row>
    <row r="145" spans="1:41" s="901" customFormat="1" ht="13.2">
      <c r="A145" s="116">
        <v>5</v>
      </c>
      <c r="B145" s="901" t="s">
        <v>863</v>
      </c>
      <c r="D145" s="901" t="s">
        <v>3503</v>
      </c>
      <c r="E145" s="1142" t="str">
        <f>D144</f>
        <v>600 x 600 mm</v>
      </c>
      <c r="G145" s="941" t="s">
        <v>3504</v>
      </c>
      <c r="H145" s="942">
        <v>726</v>
      </c>
      <c r="I145" s="901" t="s">
        <v>2607</v>
      </c>
      <c r="O145" s="943">
        <v>3</v>
      </c>
      <c r="P145" s="944"/>
      <c r="Q145" s="1197">
        <f>1.1 *(134.33)</f>
        <v>147.76300000000003</v>
      </c>
      <c r="R145" s="946">
        <f>$A145*Q145</f>
        <v>738.81500000000017</v>
      </c>
      <c r="S145" s="1197">
        <v>2</v>
      </c>
      <c r="T145" s="947">
        <f>$A145*S145*$T$1</f>
        <v>9</v>
      </c>
      <c r="W145" s="901">
        <v>3</v>
      </c>
    </row>
    <row r="146" spans="1:41" s="520" customFormat="1" ht="12">
      <c r="A146" s="758"/>
      <c r="B146" s="758"/>
      <c r="C146" s="758"/>
      <c r="D146" s="758"/>
      <c r="E146" s="758"/>
      <c r="F146" s="753"/>
      <c r="G146" s="758"/>
      <c r="H146" s="758"/>
      <c r="I146" s="519"/>
      <c r="J146" s="758"/>
      <c r="K146" s="758"/>
      <c r="L146" s="758"/>
      <c r="M146" s="758"/>
      <c r="N146" s="758"/>
      <c r="O146" s="758"/>
      <c r="P146" s="758"/>
      <c r="Q146" s="519"/>
      <c r="R146" s="759">
        <f t="shared" ref="R146" si="40">$A146*Q146</f>
        <v>0</v>
      </c>
      <c r="S146" s="519"/>
      <c r="T146" s="760">
        <f t="shared" ref="T146" si="41">$A146*S146*$T$1</f>
        <v>0</v>
      </c>
    </row>
    <row r="147" spans="1:41" s="520" customFormat="1" ht="12.6" thickBot="1">
      <c r="A147" s="761" t="s">
        <v>145</v>
      </c>
      <c r="B147" s="762">
        <f>(R146+T146)</f>
        <v>0</v>
      </c>
      <c r="C147" s="763"/>
      <c r="D147" s="763"/>
      <c r="E147" s="763"/>
      <c r="F147" s="764"/>
      <c r="G147" s="763" t="s">
        <v>146</v>
      </c>
      <c r="H147" s="763"/>
      <c r="I147" s="765"/>
      <c r="J147" s="763"/>
      <c r="K147" s="763" t="s">
        <v>13</v>
      </c>
      <c r="L147" s="766" t="s">
        <v>143</v>
      </c>
      <c r="M147" s="766"/>
      <c r="N147" s="766"/>
      <c r="O147" s="766"/>
      <c r="P147" s="766"/>
      <c r="Q147" s="767"/>
      <c r="R147" s="768">
        <f>SUM(R144:R146)</f>
        <v>738.81500000000017</v>
      </c>
      <c r="S147" s="763"/>
      <c r="T147" s="768">
        <f>SUM(T144:T146)</f>
        <v>9</v>
      </c>
      <c r="U147" s="531"/>
      <c r="V147" s="531"/>
      <c r="W147" s="531"/>
      <c r="X147" s="531"/>
      <c r="Y147" s="531"/>
      <c r="Z147" s="531"/>
      <c r="AA147" s="531"/>
      <c r="AB147" s="531"/>
      <c r="AC147" s="531"/>
      <c r="AD147" s="531"/>
      <c r="AE147" s="531"/>
      <c r="AF147" s="531"/>
      <c r="AG147" s="531"/>
      <c r="AH147" s="531"/>
      <c r="AI147" s="531"/>
      <c r="AJ147" s="531"/>
      <c r="AK147" s="531"/>
      <c r="AL147" s="531"/>
      <c r="AM147" s="531"/>
      <c r="AN147" s="531"/>
      <c r="AO147" s="531"/>
    </row>
    <row r="148" spans="1:41" s="520" customFormat="1" ht="12" thickTop="1">
      <c r="A148" s="51"/>
      <c r="B148" s="41"/>
      <c r="C148" s="51"/>
      <c r="E148" s="42" t="s">
        <v>138</v>
      </c>
      <c r="F148" s="42" t="s">
        <v>139</v>
      </c>
      <c r="G148" s="51"/>
      <c r="H148" s="51"/>
      <c r="I148" s="51"/>
      <c r="J148" s="51"/>
      <c r="K148" s="51" t="s">
        <v>140</v>
      </c>
      <c r="L148" s="51"/>
      <c r="M148" s="51"/>
      <c r="N148" s="51"/>
      <c r="O148" s="52"/>
      <c r="P148" s="51"/>
      <c r="Q148" s="51"/>
      <c r="R148" s="51"/>
      <c r="S148" s="51"/>
      <c r="T148" s="41"/>
      <c r="AG148" s="521" t="s">
        <v>268</v>
      </c>
      <c r="AH148" s="521" t="s">
        <v>269</v>
      </c>
      <c r="AI148" s="521" t="s">
        <v>270</v>
      </c>
      <c r="AJ148" s="521" t="s">
        <v>271</v>
      </c>
      <c r="AK148" s="521" t="s">
        <v>272</v>
      </c>
      <c r="AM148" s="745" t="s">
        <v>281</v>
      </c>
      <c r="AN148" s="746" t="s">
        <v>282</v>
      </c>
      <c r="AO148" s="522" t="s">
        <v>278</v>
      </c>
    </row>
    <row r="149" spans="1:41" s="520" customFormat="1" ht="12" customHeight="1">
      <c r="A149" s="747">
        <v>5</v>
      </c>
      <c r="B149" s="523" t="s">
        <v>141</v>
      </c>
      <c r="C149" s="748"/>
      <c r="D149" s="749" t="s">
        <v>2299</v>
      </c>
      <c r="E149" s="1187">
        <f>IF(AND($A149=0,$A$1="DIF"),0, ROUND(ROUND(($R153*$S$7+($T153*$T$7))/$A149,2)*$C$7,2))</f>
        <v>96.24</v>
      </c>
      <c r="F149" s="1188">
        <f>ROUND($A149*$E149,2)</f>
        <v>481.2</v>
      </c>
      <c r="G149" s="752" t="s">
        <v>142</v>
      </c>
      <c r="H149" s="753"/>
      <c r="I149" s="754"/>
      <c r="J149" s="753"/>
      <c r="K149" s="753" t="s">
        <v>13</v>
      </c>
      <c r="L149" s="755" t="s">
        <v>143</v>
      </c>
      <c r="M149" s="755"/>
      <c r="N149" s="755"/>
      <c r="O149" s="755"/>
      <c r="P149" s="755"/>
      <c r="Q149" s="51"/>
      <c r="T149" s="1192" t="str">
        <f>IF(AND($R153=0,$T153=0),"0.00","mu: "&amp; ROUND(F149/$C$7/($R153+$T153*$D$9),2))</f>
        <v>mu: 1.23</v>
      </c>
      <c r="W149" s="524"/>
      <c r="AG149" s="1189">
        <f>IF($E149=0,0,ROUND($R153*$S$7*$C$7/$A149,2))</f>
        <v>35.380000000000003</v>
      </c>
      <c r="AH149" s="1189">
        <f>$AG149*$A149</f>
        <v>176.9</v>
      </c>
      <c r="AI149" s="1190">
        <f>$E149-$AG149</f>
        <v>60.859999999999992</v>
      </c>
      <c r="AJ149" s="1190">
        <f>$A149*$AI149</f>
        <v>304.29999999999995</v>
      </c>
      <c r="AK149" s="1191">
        <f>ROUND(($AG149+$AI149)*$A149,2)</f>
        <v>481.2</v>
      </c>
      <c r="AM149" s="527">
        <f>ROUND(R153,2)</f>
        <v>143.66</v>
      </c>
      <c r="AN149" s="528">
        <f>ROUND(T153,2)</f>
        <v>9</v>
      </c>
      <c r="AO149" s="529">
        <f>ROUND(AM149+AN149,2)*A149</f>
        <v>763.3</v>
      </c>
    </row>
    <row r="150" spans="1:41" s="520" customFormat="1" ht="13.2">
      <c r="A150" s="748"/>
      <c r="B150"/>
      <c r="C150" s="748"/>
      <c r="D150" s="749" t="s">
        <v>3461</v>
      </c>
      <c r="F150" s="753"/>
      <c r="G150" s="3"/>
      <c r="H150" s="753"/>
      <c r="I150" s="754"/>
      <c r="J150" s="753"/>
      <c r="K150" s="753" t="s">
        <v>144</v>
      </c>
      <c r="L150" s="753"/>
      <c r="M150" s="753"/>
      <c r="N150" s="753"/>
      <c r="O150" s="753"/>
      <c r="P150" s="753"/>
      <c r="Q150" s="51"/>
      <c r="R150" s="530"/>
      <c r="S150" s="757"/>
      <c r="T150" s="753"/>
    </row>
    <row r="151" spans="1:41" s="901" customFormat="1" ht="13.2">
      <c r="A151" s="116">
        <v>5</v>
      </c>
      <c r="B151" s="901" t="s">
        <v>863</v>
      </c>
      <c r="D151" s="901" t="s">
        <v>3503</v>
      </c>
      <c r="E151" s="1142" t="str">
        <f>D150</f>
        <v>700 x 100 mm</v>
      </c>
      <c r="G151" s="941" t="s">
        <v>3504</v>
      </c>
      <c r="H151" s="942">
        <v>726</v>
      </c>
      <c r="I151" s="901" t="s">
        <v>2607</v>
      </c>
      <c r="O151" s="943">
        <v>3</v>
      </c>
      <c r="P151" s="944"/>
      <c r="Q151" s="1197">
        <f>1.1 *(26.12)</f>
        <v>28.732000000000003</v>
      </c>
      <c r="R151" s="946">
        <f>$A151*Q151</f>
        <v>143.66000000000003</v>
      </c>
      <c r="S151" s="1197">
        <v>2</v>
      </c>
      <c r="T151" s="947">
        <f>$A151*S151*$T$1</f>
        <v>9</v>
      </c>
      <c r="W151" s="901">
        <v>3</v>
      </c>
    </row>
    <row r="152" spans="1:41" s="520" customFormat="1" ht="12">
      <c r="A152" s="758"/>
      <c r="B152" s="758"/>
      <c r="C152" s="758"/>
      <c r="D152" s="758"/>
      <c r="E152" s="758"/>
      <c r="F152" s="753"/>
      <c r="G152" s="758"/>
      <c r="H152" s="758"/>
      <c r="I152" s="519"/>
      <c r="J152" s="758"/>
      <c r="K152" s="758"/>
      <c r="L152" s="758"/>
      <c r="M152" s="758"/>
      <c r="N152" s="758"/>
      <c r="O152" s="758"/>
      <c r="P152" s="758"/>
      <c r="Q152" s="519"/>
      <c r="R152" s="759">
        <f t="shared" ref="R152" si="42">$A152*Q152</f>
        <v>0</v>
      </c>
      <c r="S152" s="519"/>
      <c r="T152" s="760">
        <f t="shared" ref="T152" si="43">$A152*S152*$T$1</f>
        <v>0</v>
      </c>
    </row>
    <row r="153" spans="1:41" s="520" customFormat="1" ht="12.6" thickBot="1">
      <c r="A153" s="761" t="s">
        <v>145</v>
      </c>
      <c r="B153" s="762">
        <f>(R152+T152)</f>
        <v>0</v>
      </c>
      <c r="C153" s="763"/>
      <c r="D153" s="763"/>
      <c r="E153" s="763"/>
      <c r="F153" s="764"/>
      <c r="G153" s="763" t="s">
        <v>146</v>
      </c>
      <c r="H153" s="763"/>
      <c r="I153" s="765"/>
      <c r="J153" s="763"/>
      <c r="K153" s="763" t="s">
        <v>13</v>
      </c>
      <c r="L153" s="766" t="s">
        <v>143</v>
      </c>
      <c r="M153" s="766"/>
      <c r="N153" s="766"/>
      <c r="O153" s="766"/>
      <c r="P153" s="766"/>
      <c r="Q153" s="767"/>
      <c r="R153" s="768">
        <f>SUM(R150:R152)</f>
        <v>143.66000000000003</v>
      </c>
      <c r="S153" s="763"/>
      <c r="T153" s="768">
        <f>SUM(T150:T152)</f>
        <v>9</v>
      </c>
      <c r="U153" s="531"/>
      <c r="V153" s="531"/>
      <c r="W153" s="531"/>
      <c r="X153" s="531"/>
      <c r="Y153" s="531"/>
      <c r="Z153" s="531"/>
      <c r="AA153" s="531"/>
      <c r="AB153" s="531"/>
      <c r="AC153" s="531"/>
      <c r="AD153" s="531"/>
      <c r="AE153" s="531"/>
      <c r="AF153" s="531"/>
      <c r="AG153" s="531"/>
      <c r="AH153" s="531"/>
      <c r="AI153" s="531"/>
      <c r="AJ153" s="531"/>
      <c r="AK153" s="531"/>
      <c r="AL153" s="531"/>
      <c r="AM153" s="531"/>
      <c r="AN153" s="531"/>
      <c r="AO153" s="531"/>
    </row>
    <row r="154" spans="1:41" s="520" customFormat="1" ht="12" thickTop="1">
      <c r="A154" s="51"/>
      <c r="B154" s="41"/>
      <c r="C154" s="51"/>
      <c r="E154" s="42" t="s">
        <v>138</v>
      </c>
      <c r="F154" s="42" t="s">
        <v>139</v>
      </c>
      <c r="G154" s="51"/>
      <c r="H154" s="51"/>
      <c r="I154" s="51"/>
      <c r="J154" s="51"/>
      <c r="K154" s="51" t="s">
        <v>140</v>
      </c>
      <c r="L154" s="51"/>
      <c r="M154" s="51"/>
      <c r="N154" s="51"/>
      <c r="O154" s="52"/>
      <c r="P154" s="51"/>
      <c r="Q154" s="51"/>
      <c r="R154" s="51"/>
      <c r="S154" s="51"/>
      <c r="T154" s="41"/>
      <c r="AG154" s="521" t="s">
        <v>268</v>
      </c>
      <c r="AH154" s="521" t="s">
        <v>269</v>
      </c>
      <c r="AI154" s="521" t="s">
        <v>270</v>
      </c>
      <c r="AJ154" s="521" t="s">
        <v>271</v>
      </c>
      <c r="AK154" s="521" t="s">
        <v>272</v>
      </c>
      <c r="AM154" s="745" t="s">
        <v>281</v>
      </c>
      <c r="AN154" s="746" t="s">
        <v>282</v>
      </c>
      <c r="AO154" s="522" t="s">
        <v>278</v>
      </c>
    </row>
    <row r="155" spans="1:41" s="520" customFormat="1" ht="12" customHeight="1">
      <c r="A155" s="747">
        <v>5</v>
      </c>
      <c r="B155" s="523" t="s">
        <v>141</v>
      </c>
      <c r="C155" s="748"/>
      <c r="D155" s="749" t="s">
        <v>2300</v>
      </c>
      <c r="E155" s="1187">
        <f>IF(AND($A155=0,$A$1="DIF"),0, ROUND(ROUND(($R159*$S$7+($T159*$T$7))/$A155,2)*$C$7,2))</f>
        <v>131.62</v>
      </c>
      <c r="F155" s="1188">
        <f>ROUND($A155*$E155,2)</f>
        <v>658.1</v>
      </c>
      <c r="G155" s="752" t="s">
        <v>142</v>
      </c>
      <c r="H155" s="753"/>
      <c r="I155" s="754"/>
      <c r="J155" s="753"/>
      <c r="K155" s="753" t="s">
        <v>13</v>
      </c>
      <c r="L155" s="755" t="s">
        <v>143</v>
      </c>
      <c r="M155" s="755"/>
      <c r="N155" s="755"/>
      <c r="O155" s="755"/>
      <c r="P155" s="755"/>
      <c r="Q155" s="51"/>
      <c r="T155" s="1192" t="str">
        <f>IF(AND($R159=0,$T159=0),"0.00","mu: "&amp; ROUND(F155/$C$7/($R159+$T159*$D$9),2))</f>
        <v>mu: 1.23</v>
      </c>
      <c r="W155" s="524"/>
      <c r="AG155" s="1189">
        <f>IF($E155=0,0,ROUND($R159*$S$7*$C$7/$A155,2))</f>
        <v>70.760000000000005</v>
      </c>
      <c r="AH155" s="1189">
        <f>$AG155*$A155</f>
        <v>353.8</v>
      </c>
      <c r="AI155" s="1190">
        <f>$E155-$AG155</f>
        <v>60.86</v>
      </c>
      <c r="AJ155" s="1190">
        <f>$A155*$AI155</f>
        <v>304.3</v>
      </c>
      <c r="AK155" s="1191">
        <f>ROUND(($AG155+$AI155)*$A155,2)</f>
        <v>658.1</v>
      </c>
      <c r="AM155" s="527">
        <f>ROUND(R159,2)</f>
        <v>287.32</v>
      </c>
      <c r="AN155" s="528">
        <f>ROUND(T159,2)</f>
        <v>9</v>
      </c>
      <c r="AO155" s="529">
        <f>ROUND(AM155+AN155,2)*A155</f>
        <v>1481.6</v>
      </c>
    </row>
    <row r="156" spans="1:41" s="520" customFormat="1" ht="13.2">
      <c r="A156" s="748"/>
      <c r="B156"/>
      <c r="C156" s="748"/>
      <c r="D156" s="749" t="s">
        <v>3462</v>
      </c>
      <c r="F156" s="753"/>
      <c r="G156" s="3"/>
      <c r="H156" s="753"/>
      <c r="I156" s="754"/>
      <c r="J156" s="753"/>
      <c r="K156" s="753" t="s">
        <v>144</v>
      </c>
      <c r="L156" s="753"/>
      <c r="M156" s="753"/>
      <c r="N156" s="753"/>
      <c r="O156" s="753"/>
      <c r="P156" s="753"/>
      <c r="Q156" s="51"/>
      <c r="R156" s="530"/>
      <c r="S156" s="757"/>
      <c r="T156" s="753"/>
    </row>
    <row r="157" spans="1:41" s="901" customFormat="1" ht="13.2">
      <c r="A157" s="116">
        <v>5</v>
      </c>
      <c r="B157" s="901" t="s">
        <v>863</v>
      </c>
      <c r="D157" s="901" t="s">
        <v>3503</v>
      </c>
      <c r="E157" s="1142" t="str">
        <f>D156</f>
        <v>700 x 200 mm</v>
      </c>
      <c r="G157" s="941" t="s">
        <v>3504</v>
      </c>
      <c r="H157" s="942">
        <v>726</v>
      </c>
      <c r="I157" s="901" t="s">
        <v>2607</v>
      </c>
      <c r="O157" s="943">
        <v>3</v>
      </c>
      <c r="P157" s="944"/>
      <c r="Q157" s="1197">
        <f>1.1 *(52.24)</f>
        <v>57.464000000000006</v>
      </c>
      <c r="R157" s="946">
        <f>$A157*Q157</f>
        <v>287.32000000000005</v>
      </c>
      <c r="S157" s="1197">
        <v>2</v>
      </c>
      <c r="T157" s="947">
        <f>$A157*S157*$T$1</f>
        <v>9</v>
      </c>
      <c r="W157" s="901">
        <v>3</v>
      </c>
    </row>
    <row r="158" spans="1:41" s="520" customFormat="1" ht="12">
      <c r="A158" s="758"/>
      <c r="B158" s="758"/>
      <c r="C158" s="758"/>
      <c r="D158" s="758"/>
      <c r="E158" s="758"/>
      <c r="F158" s="753"/>
      <c r="G158" s="758"/>
      <c r="H158" s="758"/>
      <c r="I158" s="519"/>
      <c r="J158" s="758"/>
      <c r="K158" s="758"/>
      <c r="L158" s="758"/>
      <c r="M158" s="758"/>
      <c r="N158" s="758"/>
      <c r="O158" s="758"/>
      <c r="P158" s="758"/>
      <c r="Q158" s="519"/>
      <c r="R158" s="759">
        <f t="shared" ref="R158" si="44">$A158*Q158</f>
        <v>0</v>
      </c>
      <c r="S158" s="519"/>
      <c r="T158" s="760">
        <f t="shared" ref="T158" si="45">$A158*S158*$T$1</f>
        <v>0</v>
      </c>
    </row>
    <row r="159" spans="1:41" s="520" customFormat="1" ht="12.6" thickBot="1">
      <c r="A159" s="761" t="s">
        <v>145</v>
      </c>
      <c r="B159" s="762">
        <f>(R158+T158)</f>
        <v>0</v>
      </c>
      <c r="C159" s="763"/>
      <c r="D159" s="763"/>
      <c r="E159" s="763"/>
      <c r="F159" s="764"/>
      <c r="G159" s="763" t="s">
        <v>146</v>
      </c>
      <c r="H159" s="763"/>
      <c r="I159" s="765"/>
      <c r="J159" s="763"/>
      <c r="K159" s="763" t="s">
        <v>13</v>
      </c>
      <c r="L159" s="766" t="s">
        <v>143</v>
      </c>
      <c r="M159" s="766"/>
      <c r="N159" s="766"/>
      <c r="O159" s="766"/>
      <c r="P159" s="766"/>
      <c r="Q159" s="767"/>
      <c r="R159" s="768">
        <f>SUM(R156:R158)</f>
        <v>287.32000000000005</v>
      </c>
      <c r="S159" s="763"/>
      <c r="T159" s="768">
        <f>SUM(T156:T158)</f>
        <v>9</v>
      </c>
      <c r="U159" s="531"/>
      <c r="V159" s="531"/>
      <c r="W159" s="531"/>
      <c r="X159" s="531"/>
      <c r="Y159" s="531"/>
      <c r="Z159" s="531"/>
      <c r="AA159" s="531"/>
      <c r="AB159" s="531"/>
      <c r="AC159" s="531"/>
      <c r="AD159" s="531"/>
      <c r="AE159" s="531"/>
      <c r="AF159" s="531"/>
      <c r="AG159" s="531"/>
      <c r="AH159" s="531"/>
      <c r="AI159" s="531"/>
      <c r="AJ159" s="531"/>
      <c r="AK159" s="531"/>
      <c r="AL159" s="531"/>
      <c r="AM159" s="531"/>
      <c r="AN159" s="531"/>
      <c r="AO159" s="531"/>
    </row>
    <row r="160" spans="1:41" s="520" customFormat="1" ht="12" thickTop="1">
      <c r="A160" s="51"/>
      <c r="B160" s="41"/>
      <c r="C160" s="51"/>
      <c r="E160" s="42" t="s">
        <v>138</v>
      </c>
      <c r="F160" s="42" t="s">
        <v>139</v>
      </c>
      <c r="G160" s="51"/>
      <c r="H160" s="51"/>
      <c r="I160" s="51"/>
      <c r="J160" s="51"/>
      <c r="K160" s="51" t="s">
        <v>140</v>
      </c>
      <c r="L160" s="51"/>
      <c r="M160" s="51"/>
      <c r="N160" s="51"/>
      <c r="O160" s="52"/>
      <c r="P160" s="51"/>
      <c r="Q160" s="51"/>
      <c r="R160" s="51"/>
      <c r="S160" s="51"/>
      <c r="T160" s="41"/>
      <c r="AG160" s="521" t="s">
        <v>268</v>
      </c>
      <c r="AH160" s="521" t="s">
        <v>269</v>
      </c>
      <c r="AI160" s="521" t="s">
        <v>270</v>
      </c>
      <c r="AJ160" s="521" t="s">
        <v>271</v>
      </c>
      <c r="AK160" s="521" t="s">
        <v>272</v>
      </c>
      <c r="AM160" s="745" t="s">
        <v>281</v>
      </c>
      <c r="AN160" s="746" t="s">
        <v>282</v>
      </c>
      <c r="AO160" s="522" t="s">
        <v>278</v>
      </c>
    </row>
    <row r="161" spans="1:41" s="520" customFormat="1" ht="12" customHeight="1">
      <c r="A161" s="747">
        <v>5</v>
      </c>
      <c r="B161" s="523" t="s">
        <v>141</v>
      </c>
      <c r="C161" s="748"/>
      <c r="D161" s="749" t="s">
        <v>2301</v>
      </c>
      <c r="E161" s="1187">
        <f>IF(AND($A161=0,$A$1="DIF"),0, ROUND(ROUND(($R165*$S$7+($T165*$T$7))/$A161,2)*$C$7,2))</f>
        <v>205.6</v>
      </c>
      <c r="F161" s="1188">
        <f>ROUND($A161*$E161,2)</f>
        <v>1028</v>
      </c>
      <c r="G161" s="752" t="s">
        <v>142</v>
      </c>
      <c r="H161" s="753"/>
      <c r="I161" s="754"/>
      <c r="J161" s="753"/>
      <c r="K161" s="753" t="s">
        <v>13</v>
      </c>
      <c r="L161" s="755" t="s">
        <v>143</v>
      </c>
      <c r="M161" s="755"/>
      <c r="N161" s="755"/>
      <c r="O161" s="755"/>
      <c r="P161" s="755"/>
      <c r="Q161" s="51"/>
      <c r="T161" s="1192" t="str">
        <f>IF(AND($R165=0,$T165=0),"0.00","mu: "&amp; ROUND(F161/$C$7/($R165+$T165*$D$9),2))</f>
        <v>mu: 1.23</v>
      </c>
      <c r="W161" s="524"/>
      <c r="AG161" s="1189">
        <f>IF($E161=0,0,ROUND($R165*$S$7*$C$7/$A161,2))</f>
        <v>144.72999999999999</v>
      </c>
      <c r="AH161" s="1189">
        <f>$AG161*$A161</f>
        <v>723.65</v>
      </c>
      <c r="AI161" s="1190">
        <f>$E161-$AG161</f>
        <v>60.870000000000005</v>
      </c>
      <c r="AJ161" s="1190">
        <f>$A161*$AI161</f>
        <v>304.35000000000002</v>
      </c>
      <c r="AK161" s="1191">
        <f>ROUND(($AG161+$AI161)*$A161,2)</f>
        <v>1028</v>
      </c>
      <c r="AM161" s="527">
        <f>ROUND(R165,2)</f>
        <v>587.70000000000005</v>
      </c>
      <c r="AN161" s="528">
        <f>ROUND(T165,2)</f>
        <v>9</v>
      </c>
      <c r="AO161" s="529">
        <f>ROUND(AM161+AN161,2)*A161</f>
        <v>2983.5</v>
      </c>
    </row>
    <row r="162" spans="1:41" s="520" customFormat="1" ht="13.2">
      <c r="A162" s="748"/>
      <c r="B162"/>
      <c r="C162" s="748"/>
      <c r="D162" s="749" t="s">
        <v>3463</v>
      </c>
      <c r="F162" s="753"/>
      <c r="G162" s="3"/>
      <c r="H162" s="753"/>
      <c r="I162" s="754"/>
      <c r="J162" s="753"/>
      <c r="K162" s="753" t="s">
        <v>144</v>
      </c>
      <c r="L162" s="753"/>
      <c r="M162" s="753"/>
      <c r="N162" s="753"/>
      <c r="O162" s="753"/>
      <c r="P162" s="753"/>
      <c r="Q162" s="51"/>
      <c r="R162" s="530"/>
      <c r="S162" s="757"/>
      <c r="T162" s="753"/>
    </row>
    <row r="163" spans="1:41" s="901" customFormat="1" ht="13.2">
      <c r="A163" s="116">
        <v>5</v>
      </c>
      <c r="B163" s="901" t="s">
        <v>863</v>
      </c>
      <c r="D163" s="901" t="s">
        <v>3503</v>
      </c>
      <c r="E163" s="1142" t="str">
        <f>D162</f>
        <v>700 x 300 mm</v>
      </c>
      <c r="G163" s="941" t="s">
        <v>3504</v>
      </c>
      <c r="H163" s="942">
        <v>726</v>
      </c>
      <c r="I163" s="901" t="s">
        <v>2607</v>
      </c>
      <c r="O163" s="943">
        <v>3</v>
      </c>
      <c r="P163" s="944"/>
      <c r="Q163" s="945">
        <f>1.5 *(78.36)</f>
        <v>117.53999999999999</v>
      </c>
      <c r="R163" s="946">
        <f>$A163*Q163</f>
        <v>587.69999999999993</v>
      </c>
      <c r="S163" s="1197">
        <v>2</v>
      </c>
      <c r="T163" s="947">
        <f>$A163*S163*$T$1</f>
        <v>9</v>
      </c>
      <c r="W163" s="901">
        <v>3</v>
      </c>
    </row>
    <row r="164" spans="1:41" s="520" customFormat="1" ht="12">
      <c r="A164" s="758"/>
      <c r="B164" s="758"/>
      <c r="C164" s="758"/>
      <c r="D164" s="758"/>
      <c r="E164" s="758"/>
      <c r="F164" s="753"/>
      <c r="G164" s="758"/>
      <c r="H164" s="758"/>
      <c r="I164" s="519"/>
      <c r="J164" s="758"/>
      <c r="K164" s="758"/>
      <c r="L164" s="758"/>
      <c r="M164" s="758"/>
      <c r="N164" s="758"/>
      <c r="O164" s="758"/>
      <c r="P164" s="758"/>
      <c r="Q164" s="519"/>
      <c r="R164" s="759">
        <f t="shared" ref="R164" si="46">$A164*Q164</f>
        <v>0</v>
      </c>
      <c r="S164" s="519"/>
      <c r="T164" s="760">
        <f t="shared" ref="T164" si="47">$A164*S164*$T$1</f>
        <v>0</v>
      </c>
    </row>
    <row r="165" spans="1:41" s="520" customFormat="1" ht="12.6" thickBot="1">
      <c r="A165" s="761" t="s">
        <v>145</v>
      </c>
      <c r="B165" s="762">
        <f>(R164+T164)</f>
        <v>0</v>
      </c>
      <c r="C165" s="763"/>
      <c r="D165" s="763"/>
      <c r="E165" s="763"/>
      <c r="F165" s="764"/>
      <c r="G165" s="763" t="s">
        <v>146</v>
      </c>
      <c r="H165" s="763"/>
      <c r="I165" s="765"/>
      <c r="J165" s="763"/>
      <c r="K165" s="763" t="s">
        <v>13</v>
      </c>
      <c r="L165" s="766" t="s">
        <v>143</v>
      </c>
      <c r="M165" s="766"/>
      <c r="N165" s="766"/>
      <c r="O165" s="766"/>
      <c r="P165" s="766"/>
      <c r="Q165" s="767"/>
      <c r="R165" s="768">
        <f>SUM(R162:R164)</f>
        <v>587.69999999999993</v>
      </c>
      <c r="S165" s="763"/>
      <c r="T165" s="768">
        <f>SUM(T162:T164)</f>
        <v>9</v>
      </c>
      <c r="U165" s="531"/>
      <c r="V165" s="531"/>
      <c r="W165" s="531"/>
      <c r="X165" s="531"/>
      <c r="Y165" s="531"/>
      <c r="Z165" s="531"/>
      <c r="AA165" s="531"/>
      <c r="AB165" s="531"/>
      <c r="AC165" s="531"/>
      <c r="AD165" s="531"/>
      <c r="AE165" s="531"/>
      <c r="AF165" s="531"/>
      <c r="AG165" s="531"/>
      <c r="AH165" s="531"/>
      <c r="AI165" s="531"/>
      <c r="AJ165" s="531"/>
      <c r="AK165" s="531"/>
      <c r="AL165" s="531"/>
      <c r="AM165" s="531"/>
      <c r="AN165" s="531"/>
      <c r="AO165" s="531"/>
    </row>
    <row r="166" spans="1:41" s="520" customFormat="1" ht="12" thickTop="1">
      <c r="A166" s="51"/>
      <c r="B166" s="41"/>
      <c r="C166" s="51"/>
      <c r="E166" s="42" t="s">
        <v>138</v>
      </c>
      <c r="F166" s="42" t="s">
        <v>139</v>
      </c>
      <c r="G166" s="51"/>
      <c r="H166" s="51"/>
      <c r="I166" s="51"/>
      <c r="J166" s="51"/>
      <c r="K166" s="51" t="s">
        <v>140</v>
      </c>
      <c r="L166" s="51"/>
      <c r="M166" s="51"/>
      <c r="N166" s="51"/>
      <c r="O166" s="52"/>
      <c r="P166" s="51"/>
      <c r="Q166" s="51"/>
      <c r="R166" s="51"/>
      <c r="S166" s="51"/>
      <c r="T166" s="41"/>
      <c r="AG166" s="521" t="s">
        <v>268</v>
      </c>
      <c r="AH166" s="521" t="s">
        <v>269</v>
      </c>
      <c r="AI166" s="521" t="s">
        <v>270</v>
      </c>
      <c r="AJ166" s="521" t="s">
        <v>271</v>
      </c>
      <c r="AK166" s="521" t="s">
        <v>272</v>
      </c>
      <c r="AM166" s="745" t="s">
        <v>281</v>
      </c>
      <c r="AN166" s="746" t="s">
        <v>282</v>
      </c>
      <c r="AO166" s="522" t="s">
        <v>278</v>
      </c>
    </row>
    <row r="167" spans="1:41" s="520" customFormat="1" ht="12" customHeight="1">
      <c r="A167" s="747">
        <v>5</v>
      </c>
      <c r="B167" s="523" t="s">
        <v>141</v>
      </c>
      <c r="C167" s="748"/>
      <c r="D167" s="749" t="s">
        <v>2302</v>
      </c>
      <c r="E167" s="1187">
        <f>IF(AND($A167=0,$A$1="DIF"),0, ROUND(ROUND(($R171*$S$7+($T171*$T$7))/$A167,2)*$C$7,2))</f>
        <v>253.84</v>
      </c>
      <c r="F167" s="1188">
        <f>ROUND($A167*$E167,2)</f>
        <v>1269.2</v>
      </c>
      <c r="G167" s="752" t="s">
        <v>142</v>
      </c>
      <c r="H167" s="753"/>
      <c r="I167" s="754"/>
      <c r="J167" s="753"/>
      <c r="K167" s="753" t="s">
        <v>13</v>
      </c>
      <c r="L167" s="755" t="s">
        <v>143</v>
      </c>
      <c r="M167" s="755"/>
      <c r="N167" s="755"/>
      <c r="O167" s="755"/>
      <c r="P167" s="755"/>
      <c r="Q167" s="51"/>
      <c r="T167" s="1192" t="str">
        <f>IF(AND($R171=0,$T171=0),"0.00","mu: "&amp; ROUND(F167/$C$7/($R171+$T171*$D$9),2))</f>
        <v>mu: 1.23</v>
      </c>
      <c r="W167" s="524"/>
      <c r="AG167" s="1189">
        <f>IF($E167=0,0,ROUND($R171*$S$7*$C$7/$A167,2))</f>
        <v>192.98</v>
      </c>
      <c r="AH167" s="1189">
        <f>$AG167*$A167</f>
        <v>964.9</v>
      </c>
      <c r="AI167" s="1190">
        <f>$E167-$AG167</f>
        <v>60.860000000000014</v>
      </c>
      <c r="AJ167" s="1190">
        <f>$A167*$AI167</f>
        <v>304.30000000000007</v>
      </c>
      <c r="AK167" s="1191">
        <f>ROUND(($AG167+$AI167)*$A167,2)</f>
        <v>1269.2</v>
      </c>
      <c r="AM167" s="527">
        <f>ROUND(R171,2)</f>
        <v>783.6</v>
      </c>
      <c r="AN167" s="528">
        <f>ROUND(T171,2)</f>
        <v>9</v>
      </c>
      <c r="AO167" s="529">
        <f>ROUND(AM167+AN167,2)*A167</f>
        <v>3963</v>
      </c>
    </row>
    <row r="168" spans="1:41" s="520" customFormat="1" ht="13.2">
      <c r="A168" s="748"/>
      <c r="B168"/>
      <c r="C168" s="748"/>
      <c r="D168" s="749" t="s">
        <v>3464</v>
      </c>
      <c r="F168" s="753"/>
      <c r="G168" s="3"/>
      <c r="H168" s="753"/>
      <c r="I168" s="754"/>
      <c r="J168" s="753"/>
      <c r="K168" s="753" t="s">
        <v>144</v>
      </c>
      <c r="L168" s="753"/>
      <c r="M168" s="753"/>
      <c r="N168" s="753"/>
      <c r="O168" s="753"/>
      <c r="P168" s="753"/>
      <c r="Q168" s="51"/>
      <c r="R168" s="530"/>
      <c r="S168" s="757"/>
      <c r="T168" s="753"/>
    </row>
    <row r="169" spans="1:41" s="901" customFormat="1" ht="13.2">
      <c r="A169" s="116">
        <v>5</v>
      </c>
      <c r="B169" s="901" t="s">
        <v>863</v>
      </c>
      <c r="D169" s="901" t="s">
        <v>3503</v>
      </c>
      <c r="E169" s="1142" t="str">
        <f>D168</f>
        <v>700 x 400 mm</v>
      </c>
      <c r="G169" s="941" t="s">
        <v>3504</v>
      </c>
      <c r="H169" s="942">
        <v>726</v>
      </c>
      <c r="I169" s="901" t="s">
        <v>2607</v>
      </c>
      <c r="O169" s="943">
        <v>3</v>
      </c>
      <c r="P169" s="944"/>
      <c r="Q169" s="945">
        <f>1.5 *(104.48)</f>
        <v>156.72</v>
      </c>
      <c r="R169" s="946">
        <f>$A169*Q169</f>
        <v>783.6</v>
      </c>
      <c r="S169" s="1197">
        <v>2</v>
      </c>
      <c r="T169" s="947">
        <f>$A169*S169*$T$1</f>
        <v>9</v>
      </c>
      <c r="W169" s="901">
        <v>3</v>
      </c>
    </row>
    <row r="170" spans="1:41" s="520" customFormat="1" ht="12">
      <c r="A170" s="758"/>
      <c r="B170" s="758"/>
      <c r="C170" s="758"/>
      <c r="D170" s="758"/>
      <c r="E170" s="758"/>
      <c r="F170" s="753"/>
      <c r="G170" s="758"/>
      <c r="H170" s="758"/>
      <c r="I170" s="519"/>
      <c r="J170" s="758"/>
      <c r="K170" s="758"/>
      <c r="L170" s="758"/>
      <c r="M170" s="758"/>
      <c r="N170" s="758"/>
      <c r="O170" s="758"/>
      <c r="P170" s="758"/>
      <c r="Q170" s="519"/>
      <c r="R170" s="759">
        <f t="shared" ref="R170" si="48">$A170*Q170</f>
        <v>0</v>
      </c>
      <c r="S170" s="519"/>
      <c r="T170" s="760">
        <f t="shared" ref="T170" si="49">$A170*S170*$T$1</f>
        <v>0</v>
      </c>
    </row>
    <row r="171" spans="1:41" s="520" customFormat="1" ht="12.6" thickBot="1">
      <c r="A171" s="761" t="s">
        <v>145</v>
      </c>
      <c r="B171" s="762">
        <f>(R170+T170)</f>
        <v>0</v>
      </c>
      <c r="C171" s="763"/>
      <c r="D171" s="763"/>
      <c r="E171" s="763"/>
      <c r="F171" s="764"/>
      <c r="G171" s="763" t="s">
        <v>146</v>
      </c>
      <c r="H171" s="763"/>
      <c r="I171" s="765"/>
      <c r="J171" s="763"/>
      <c r="K171" s="763" t="s">
        <v>13</v>
      </c>
      <c r="L171" s="766" t="s">
        <v>143</v>
      </c>
      <c r="M171" s="766"/>
      <c r="N171" s="766"/>
      <c r="O171" s="766"/>
      <c r="P171" s="766"/>
      <c r="Q171" s="767"/>
      <c r="R171" s="768">
        <f>SUM(R168:R170)</f>
        <v>783.6</v>
      </c>
      <c r="S171" s="763"/>
      <c r="T171" s="768">
        <f>SUM(T168:T170)</f>
        <v>9</v>
      </c>
      <c r="U171" s="531"/>
      <c r="V171" s="531"/>
      <c r="W171" s="531"/>
      <c r="X171" s="531"/>
      <c r="Y171" s="531"/>
      <c r="Z171" s="531"/>
      <c r="AA171" s="531"/>
      <c r="AB171" s="531"/>
      <c r="AC171" s="531"/>
      <c r="AD171" s="531"/>
      <c r="AE171" s="531"/>
      <c r="AF171" s="531"/>
      <c r="AG171" s="531"/>
      <c r="AH171" s="531"/>
      <c r="AI171" s="531"/>
      <c r="AJ171" s="531"/>
      <c r="AK171" s="531"/>
      <c r="AL171" s="531"/>
      <c r="AM171" s="531"/>
      <c r="AN171" s="531"/>
      <c r="AO171" s="531"/>
    </row>
    <row r="172" spans="1:41" s="520" customFormat="1" ht="12" thickTop="1">
      <c r="A172" s="51"/>
      <c r="B172" s="41"/>
      <c r="C172" s="51"/>
      <c r="E172" s="42" t="s">
        <v>138</v>
      </c>
      <c r="F172" s="42" t="s">
        <v>139</v>
      </c>
      <c r="G172" s="51"/>
      <c r="H172" s="51"/>
      <c r="I172" s="51"/>
      <c r="J172" s="51"/>
      <c r="K172" s="51" t="s">
        <v>140</v>
      </c>
      <c r="L172" s="51"/>
      <c r="M172" s="51"/>
      <c r="N172" s="51"/>
      <c r="O172" s="52"/>
      <c r="P172" s="51"/>
      <c r="Q172" s="51"/>
      <c r="R172" s="51"/>
      <c r="S172" s="51"/>
      <c r="T172" s="41"/>
      <c r="AG172" s="521" t="s">
        <v>268</v>
      </c>
      <c r="AH172" s="521" t="s">
        <v>269</v>
      </c>
      <c r="AI172" s="521" t="s">
        <v>270</v>
      </c>
      <c r="AJ172" s="521" t="s">
        <v>271</v>
      </c>
      <c r="AK172" s="521" t="s">
        <v>272</v>
      </c>
      <c r="AM172" s="745" t="s">
        <v>281</v>
      </c>
      <c r="AN172" s="746" t="s">
        <v>282</v>
      </c>
      <c r="AO172" s="522" t="s">
        <v>278</v>
      </c>
    </row>
    <row r="173" spans="1:41" s="520" customFormat="1" ht="12" customHeight="1">
      <c r="A173" s="747">
        <v>5</v>
      </c>
      <c r="B173" s="523" t="s">
        <v>141</v>
      </c>
      <c r="C173" s="748"/>
      <c r="D173" s="749" t="s">
        <v>2303</v>
      </c>
      <c r="E173" s="1187">
        <f>IF(AND($A173=0,$A$1="DIF"),0, ROUND(ROUND(($R177*$S$7+($T177*$T$7))/$A173,2)*$C$7,2))</f>
        <v>302.06</v>
      </c>
      <c r="F173" s="1188">
        <f>ROUND($A173*$E173,2)</f>
        <v>1510.3</v>
      </c>
      <c r="G173" s="752" t="s">
        <v>142</v>
      </c>
      <c r="H173" s="753"/>
      <c r="I173" s="754"/>
      <c r="J173" s="753"/>
      <c r="K173" s="753" t="s">
        <v>13</v>
      </c>
      <c r="L173" s="755" t="s">
        <v>143</v>
      </c>
      <c r="M173" s="755"/>
      <c r="N173" s="755"/>
      <c r="O173" s="755"/>
      <c r="P173" s="755"/>
      <c r="Q173" s="51"/>
      <c r="T173" s="1192" t="str">
        <f>IF(AND($R177=0,$T177=0),"0.00","mu: "&amp; ROUND(F173/$C$7/($R177+$T177*$D$9),2))</f>
        <v>mu: 1.23</v>
      </c>
      <c r="W173" s="524"/>
      <c r="AG173" s="1189">
        <f>IF($E173=0,0,ROUND($R177*$S$7*$C$7/$A173,2))</f>
        <v>241.2</v>
      </c>
      <c r="AH173" s="1189">
        <f>$AG173*$A173</f>
        <v>1206</v>
      </c>
      <c r="AI173" s="1190">
        <f>$E173-$AG173</f>
        <v>60.860000000000014</v>
      </c>
      <c r="AJ173" s="1190">
        <f>$A173*$AI173</f>
        <v>304.30000000000007</v>
      </c>
      <c r="AK173" s="1191">
        <f>ROUND(($AG173+$AI173)*$A173,2)</f>
        <v>1510.3</v>
      </c>
      <c r="AM173" s="527">
        <f>ROUND(R177,2)</f>
        <v>979.43</v>
      </c>
      <c r="AN173" s="528">
        <f>ROUND(T177,2)</f>
        <v>9</v>
      </c>
      <c r="AO173" s="529">
        <f>ROUND(AM173+AN173,2)*A173</f>
        <v>4942.1499999999996</v>
      </c>
    </row>
    <row r="174" spans="1:41" s="520" customFormat="1" ht="13.2">
      <c r="A174" s="748"/>
      <c r="B174"/>
      <c r="C174" s="748"/>
      <c r="D174" s="749" t="s">
        <v>3465</v>
      </c>
      <c r="F174" s="753"/>
      <c r="G174" s="3"/>
      <c r="H174" s="753"/>
      <c r="I174" s="754"/>
      <c r="J174" s="753"/>
      <c r="K174" s="753" t="s">
        <v>144</v>
      </c>
      <c r="L174" s="753"/>
      <c r="M174" s="753"/>
      <c r="N174" s="753"/>
      <c r="O174" s="753"/>
      <c r="P174" s="753"/>
      <c r="Q174" s="51"/>
      <c r="R174" s="530"/>
      <c r="S174" s="757"/>
      <c r="T174" s="753"/>
    </row>
    <row r="175" spans="1:41" s="901" customFormat="1" ht="13.2">
      <c r="A175" s="116">
        <v>5</v>
      </c>
      <c r="B175" s="901" t="s">
        <v>863</v>
      </c>
      <c r="D175" s="901" t="s">
        <v>3503</v>
      </c>
      <c r="E175" s="1142" t="str">
        <f>D174</f>
        <v>700 x 500 mm</v>
      </c>
      <c r="G175" s="941" t="s">
        <v>3504</v>
      </c>
      <c r="H175" s="942">
        <v>726</v>
      </c>
      <c r="I175" s="901" t="s">
        <v>2607</v>
      </c>
      <c r="O175" s="943">
        <v>3</v>
      </c>
      <c r="P175" s="944"/>
      <c r="Q175" s="945">
        <f>1.5 *(130.59)</f>
        <v>195.88499999999999</v>
      </c>
      <c r="R175" s="946">
        <f>$A175*Q175</f>
        <v>979.42499999999995</v>
      </c>
      <c r="S175" s="1197">
        <v>2</v>
      </c>
      <c r="T175" s="947">
        <f>$A175*S175*$T$1</f>
        <v>9</v>
      </c>
      <c r="W175" s="901">
        <v>3</v>
      </c>
    </row>
    <row r="176" spans="1:41" s="520" customFormat="1" ht="12">
      <c r="A176" s="758"/>
      <c r="B176" s="758"/>
      <c r="C176" s="758"/>
      <c r="D176" s="758"/>
      <c r="E176" s="758"/>
      <c r="F176" s="753"/>
      <c r="G176" s="758"/>
      <c r="H176" s="758"/>
      <c r="I176" s="519"/>
      <c r="J176" s="758"/>
      <c r="K176" s="758"/>
      <c r="L176" s="758"/>
      <c r="M176" s="758"/>
      <c r="N176" s="758"/>
      <c r="O176" s="758"/>
      <c r="P176" s="758"/>
      <c r="Q176" s="519"/>
      <c r="R176" s="759">
        <f t="shared" ref="R176" si="50">$A176*Q176</f>
        <v>0</v>
      </c>
      <c r="S176" s="519"/>
      <c r="T176" s="760">
        <f t="shared" ref="T176" si="51">$A176*S176*$T$1</f>
        <v>0</v>
      </c>
    </row>
    <row r="177" spans="1:41" s="520" customFormat="1" ht="12.6" thickBot="1">
      <c r="A177" s="761" t="s">
        <v>145</v>
      </c>
      <c r="B177" s="762">
        <f>(R176+T176)</f>
        <v>0</v>
      </c>
      <c r="C177" s="763"/>
      <c r="D177" s="763"/>
      <c r="E177" s="763"/>
      <c r="F177" s="764"/>
      <c r="G177" s="763" t="s">
        <v>146</v>
      </c>
      <c r="H177" s="763"/>
      <c r="I177" s="765"/>
      <c r="J177" s="763"/>
      <c r="K177" s="763" t="s">
        <v>13</v>
      </c>
      <c r="L177" s="766" t="s">
        <v>143</v>
      </c>
      <c r="M177" s="766"/>
      <c r="N177" s="766"/>
      <c r="O177" s="766"/>
      <c r="P177" s="766"/>
      <c r="Q177" s="767"/>
      <c r="R177" s="768">
        <f>SUM(R174:R176)</f>
        <v>979.42499999999995</v>
      </c>
      <c r="S177" s="763"/>
      <c r="T177" s="768">
        <f>SUM(T174:T176)</f>
        <v>9</v>
      </c>
      <c r="U177" s="531"/>
      <c r="V177" s="531"/>
      <c r="W177" s="531"/>
      <c r="X177" s="531"/>
      <c r="Y177" s="531"/>
      <c r="Z177" s="531"/>
      <c r="AA177" s="531"/>
      <c r="AB177" s="531"/>
      <c r="AC177" s="531"/>
      <c r="AD177" s="531"/>
      <c r="AE177" s="531"/>
      <c r="AF177" s="531"/>
      <c r="AG177" s="531"/>
      <c r="AH177" s="531"/>
      <c r="AI177" s="531"/>
      <c r="AJ177" s="531"/>
      <c r="AK177" s="531"/>
      <c r="AL177" s="531"/>
      <c r="AM177" s="531"/>
      <c r="AN177" s="531"/>
      <c r="AO177" s="531"/>
    </row>
    <row r="178" spans="1:41" s="520" customFormat="1" ht="12" thickTop="1">
      <c r="A178" s="51"/>
      <c r="B178" s="41"/>
      <c r="C178" s="51"/>
      <c r="E178" s="42" t="s">
        <v>138</v>
      </c>
      <c r="F178" s="42" t="s">
        <v>139</v>
      </c>
      <c r="G178" s="51"/>
      <c r="H178" s="51"/>
      <c r="I178" s="51"/>
      <c r="J178" s="51"/>
      <c r="K178" s="51" t="s">
        <v>140</v>
      </c>
      <c r="L178" s="51"/>
      <c r="M178" s="51"/>
      <c r="N178" s="51"/>
      <c r="O178" s="52"/>
      <c r="P178" s="51"/>
      <c r="Q178" s="51"/>
      <c r="R178" s="51"/>
      <c r="S178" s="51"/>
      <c r="T178" s="41"/>
      <c r="AG178" s="521" t="s">
        <v>268</v>
      </c>
      <c r="AH178" s="521" t="s">
        <v>269</v>
      </c>
      <c r="AI178" s="521" t="s">
        <v>270</v>
      </c>
      <c r="AJ178" s="521" t="s">
        <v>271</v>
      </c>
      <c r="AK178" s="521" t="s">
        <v>272</v>
      </c>
      <c r="AM178" s="745" t="s">
        <v>281</v>
      </c>
      <c r="AN178" s="746" t="s">
        <v>282</v>
      </c>
      <c r="AO178" s="522" t="s">
        <v>278</v>
      </c>
    </row>
    <row r="179" spans="1:41" s="520" customFormat="1" ht="12" customHeight="1">
      <c r="A179" s="747">
        <v>5</v>
      </c>
      <c r="B179" s="523" t="s">
        <v>141</v>
      </c>
      <c r="C179" s="748"/>
      <c r="D179" s="749" t="s">
        <v>2304</v>
      </c>
      <c r="E179" s="1187">
        <f>IF(AND($A179=0,$A$1="DIF"),0, ROUND(ROUND(($R183*$S$7+($T183*$T$7))/$A179,2)*$C$7,2))</f>
        <v>273.12</v>
      </c>
      <c r="F179" s="1188">
        <f>ROUND($A179*$E179,2)</f>
        <v>1365.6</v>
      </c>
      <c r="G179" s="752" t="s">
        <v>142</v>
      </c>
      <c r="H179" s="753"/>
      <c r="I179" s="754"/>
      <c r="J179" s="753"/>
      <c r="K179" s="753" t="s">
        <v>13</v>
      </c>
      <c r="L179" s="755" t="s">
        <v>143</v>
      </c>
      <c r="M179" s="755"/>
      <c r="N179" s="755"/>
      <c r="O179" s="755"/>
      <c r="P179" s="755"/>
      <c r="Q179" s="51"/>
      <c r="T179" s="1192" t="str">
        <f>IF(AND($R183=0,$T183=0),"0.00","mu: "&amp; ROUND(F179/$C$7/($R183+$T183*$D$9),2))</f>
        <v>mu: 1.23</v>
      </c>
      <c r="W179" s="524"/>
      <c r="AG179" s="1189">
        <f>IF($E179=0,0,ROUND($R183*$S$7*$C$7/$A179,2))</f>
        <v>212.26</v>
      </c>
      <c r="AH179" s="1189">
        <f>$AG179*$A179</f>
        <v>1061.3</v>
      </c>
      <c r="AI179" s="1190">
        <f>$E179-$AG179</f>
        <v>60.860000000000014</v>
      </c>
      <c r="AJ179" s="1190">
        <f>$A179*$AI179</f>
        <v>304.30000000000007</v>
      </c>
      <c r="AK179" s="1191">
        <f>ROUND(($AG179+$AI179)*$A179,2)</f>
        <v>1365.6</v>
      </c>
      <c r="AM179" s="527">
        <f>ROUND(R183,2)</f>
        <v>861.91</v>
      </c>
      <c r="AN179" s="528">
        <f>ROUND(T183,2)</f>
        <v>9</v>
      </c>
      <c r="AO179" s="529">
        <f>ROUND(AM179+AN179,2)*A179</f>
        <v>4354.55</v>
      </c>
    </row>
    <row r="180" spans="1:41" s="520" customFormat="1" ht="13.2">
      <c r="A180" s="748"/>
      <c r="B180"/>
      <c r="C180" s="748"/>
      <c r="D180" s="749" t="s">
        <v>3466</v>
      </c>
      <c r="F180" s="753"/>
      <c r="G180" s="3"/>
      <c r="H180" s="753"/>
      <c r="I180" s="754"/>
      <c r="J180" s="753"/>
      <c r="K180" s="753" t="s">
        <v>144</v>
      </c>
      <c r="L180" s="753"/>
      <c r="M180" s="753"/>
      <c r="N180" s="753"/>
      <c r="O180" s="753"/>
      <c r="P180" s="753"/>
      <c r="Q180" s="51"/>
      <c r="R180" s="530"/>
      <c r="S180" s="757"/>
      <c r="T180" s="753"/>
    </row>
    <row r="181" spans="1:41" s="901" customFormat="1" ht="13.2">
      <c r="A181" s="116">
        <v>5</v>
      </c>
      <c r="B181" s="901" t="s">
        <v>863</v>
      </c>
      <c r="D181" s="901" t="s">
        <v>3503</v>
      </c>
      <c r="E181" s="1142" t="str">
        <f>D180</f>
        <v>700 x 600 mm</v>
      </c>
      <c r="G181" s="941" t="s">
        <v>3504</v>
      </c>
      <c r="H181" s="942">
        <v>726</v>
      </c>
      <c r="I181" s="901" t="s">
        <v>2607</v>
      </c>
      <c r="O181" s="943">
        <v>3</v>
      </c>
      <c r="P181" s="944"/>
      <c r="Q181" s="1197">
        <f>1.1 *(156.71)</f>
        <v>172.38100000000003</v>
      </c>
      <c r="R181" s="946">
        <f>$A181*Q181</f>
        <v>861.9050000000002</v>
      </c>
      <c r="S181" s="1197">
        <v>2</v>
      </c>
      <c r="T181" s="947">
        <f>$A181*S181*$T$1</f>
        <v>9</v>
      </c>
      <c r="W181" s="901">
        <v>3</v>
      </c>
    </row>
    <row r="182" spans="1:41" s="520" customFormat="1" ht="12">
      <c r="A182" s="758"/>
      <c r="B182" s="758"/>
      <c r="C182" s="758"/>
      <c r="D182" s="758"/>
      <c r="E182" s="758"/>
      <c r="F182" s="753"/>
      <c r="G182" s="758"/>
      <c r="H182" s="758"/>
      <c r="I182" s="519"/>
      <c r="J182" s="758"/>
      <c r="K182" s="758"/>
      <c r="L182" s="758"/>
      <c r="M182" s="758"/>
      <c r="N182" s="758"/>
      <c r="O182" s="758"/>
      <c r="P182" s="758"/>
      <c r="Q182" s="519"/>
      <c r="R182" s="759">
        <f t="shared" ref="R182" si="52">$A182*Q182</f>
        <v>0</v>
      </c>
      <c r="S182" s="519"/>
      <c r="T182" s="760">
        <f t="shared" ref="T182" si="53">$A182*S182*$T$1</f>
        <v>0</v>
      </c>
    </row>
    <row r="183" spans="1:41" s="520" customFormat="1" ht="12.6" thickBot="1">
      <c r="A183" s="761" t="s">
        <v>145</v>
      </c>
      <c r="B183" s="762">
        <f>(R182+T182)</f>
        <v>0</v>
      </c>
      <c r="C183" s="763"/>
      <c r="D183" s="763"/>
      <c r="E183" s="763"/>
      <c r="F183" s="764"/>
      <c r="G183" s="763" t="s">
        <v>146</v>
      </c>
      <c r="H183" s="763"/>
      <c r="I183" s="765"/>
      <c r="J183" s="763"/>
      <c r="K183" s="763" t="s">
        <v>13</v>
      </c>
      <c r="L183" s="766" t="s">
        <v>143</v>
      </c>
      <c r="M183" s="766"/>
      <c r="N183" s="766"/>
      <c r="O183" s="766"/>
      <c r="P183" s="766"/>
      <c r="Q183" s="767"/>
      <c r="R183" s="768">
        <f>SUM(R180:R182)</f>
        <v>861.9050000000002</v>
      </c>
      <c r="S183" s="763"/>
      <c r="T183" s="768">
        <f>SUM(T180:T182)</f>
        <v>9</v>
      </c>
      <c r="U183" s="531"/>
      <c r="V183" s="531"/>
      <c r="W183" s="531"/>
      <c r="X183" s="531"/>
      <c r="Y183" s="531"/>
      <c r="Z183" s="531"/>
      <c r="AA183" s="531"/>
      <c r="AB183" s="531"/>
      <c r="AC183" s="531"/>
      <c r="AD183" s="531"/>
      <c r="AE183" s="531"/>
      <c r="AF183" s="531"/>
      <c r="AG183" s="531"/>
      <c r="AH183" s="531"/>
      <c r="AI183" s="531"/>
      <c r="AJ183" s="531"/>
      <c r="AK183" s="531"/>
      <c r="AL183" s="531"/>
      <c r="AM183" s="531"/>
      <c r="AN183" s="531"/>
      <c r="AO183" s="531"/>
    </row>
    <row r="184" spans="1:41" s="520" customFormat="1" ht="12" thickTop="1">
      <c r="A184" s="51"/>
      <c r="B184" s="41"/>
      <c r="C184" s="51"/>
      <c r="E184" s="42" t="s">
        <v>138</v>
      </c>
      <c r="F184" s="42" t="s">
        <v>139</v>
      </c>
      <c r="G184" s="51"/>
      <c r="H184" s="51"/>
      <c r="I184" s="51"/>
      <c r="J184" s="51"/>
      <c r="K184" s="51" t="s">
        <v>140</v>
      </c>
      <c r="L184" s="51"/>
      <c r="M184" s="51"/>
      <c r="N184" s="51"/>
      <c r="O184" s="52"/>
      <c r="P184" s="51"/>
      <c r="Q184" s="51"/>
      <c r="R184" s="51"/>
      <c r="S184" s="51"/>
      <c r="T184" s="41"/>
      <c r="AG184" s="521" t="s">
        <v>268</v>
      </c>
      <c r="AH184" s="521" t="s">
        <v>269</v>
      </c>
      <c r="AI184" s="521" t="s">
        <v>270</v>
      </c>
      <c r="AJ184" s="521" t="s">
        <v>271</v>
      </c>
      <c r="AK184" s="521" t="s">
        <v>272</v>
      </c>
      <c r="AM184" s="745" t="s">
        <v>281</v>
      </c>
      <c r="AN184" s="746" t="s">
        <v>282</v>
      </c>
      <c r="AO184" s="522" t="s">
        <v>278</v>
      </c>
    </row>
    <row r="185" spans="1:41" s="520" customFormat="1" ht="12" customHeight="1">
      <c r="A185" s="747">
        <v>5</v>
      </c>
      <c r="B185" s="523" t="s">
        <v>141</v>
      </c>
      <c r="C185" s="748"/>
      <c r="D185" s="749" t="s">
        <v>2305</v>
      </c>
      <c r="E185" s="1187">
        <f>IF(AND($A185=0,$A$1="DIF"),0, ROUND(ROUND(($R189*$S$7+($T189*$T$7))/$A185,2)*$C$7,2))</f>
        <v>141.72999999999999</v>
      </c>
      <c r="F185" s="1188">
        <f>ROUND($A185*$E185,2)</f>
        <v>708.65</v>
      </c>
      <c r="G185" s="752" t="s">
        <v>142</v>
      </c>
      <c r="H185" s="753"/>
      <c r="I185" s="754"/>
      <c r="J185" s="753"/>
      <c r="K185" s="753" t="s">
        <v>13</v>
      </c>
      <c r="L185" s="755" t="s">
        <v>143</v>
      </c>
      <c r="M185" s="755"/>
      <c r="N185" s="755"/>
      <c r="O185" s="755"/>
      <c r="P185" s="755"/>
      <c r="Q185" s="51"/>
      <c r="T185" s="1192" t="str">
        <f>IF(AND($R189=0,$T189=0),"0.00","mu: "&amp; ROUND(F185/$C$7/($R189+$T189*$D$9),2))</f>
        <v>mu: 1.23</v>
      </c>
      <c r="W185" s="524"/>
      <c r="AG185" s="1189">
        <f>IF($E185=0,0,ROUND($R189*$S$7*$C$7/$A185,2))</f>
        <v>80.86</v>
      </c>
      <c r="AH185" s="1189">
        <f>$AG185*$A185</f>
        <v>404.3</v>
      </c>
      <c r="AI185" s="1190">
        <f>$E185-$AG185</f>
        <v>60.86999999999999</v>
      </c>
      <c r="AJ185" s="1190">
        <f>$A185*$AI185</f>
        <v>304.34999999999997</v>
      </c>
      <c r="AK185" s="1191">
        <f>ROUND(($AG185+$AI185)*$A185,2)</f>
        <v>708.65</v>
      </c>
      <c r="AM185" s="527">
        <f>ROUND(R189,2)</f>
        <v>328.35</v>
      </c>
      <c r="AN185" s="528">
        <f>ROUND(T189,2)</f>
        <v>9</v>
      </c>
      <c r="AO185" s="529">
        <f>ROUND(AM185+AN185,2)*A185</f>
        <v>1686.75</v>
      </c>
    </row>
    <row r="186" spans="1:41" s="520" customFormat="1" ht="13.2">
      <c r="A186" s="748"/>
      <c r="B186"/>
      <c r="C186" s="748"/>
      <c r="D186" s="749" t="s">
        <v>3467</v>
      </c>
      <c r="F186" s="753"/>
      <c r="G186" s="3"/>
      <c r="H186" s="753"/>
      <c r="I186" s="754"/>
      <c r="J186" s="753"/>
      <c r="K186" s="753" t="s">
        <v>144</v>
      </c>
      <c r="L186" s="753"/>
      <c r="M186" s="753"/>
      <c r="N186" s="753"/>
      <c r="O186" s="753"/>
      <c r="P186" s="753"/>
      <c r="Q186" s="51"/>
      <c r="R186" s="530"/>
      <c r="S186" s="757"/>
      <c r="T186" s="753"/>
    </row>
    <row r="187" spans="1:41" s="901" customFormat="1" ht="13.2">
      <c r="A187" s="116">
        <v>5</v>
      </c>
      <c r="B187" s="901" t="s">
        <v>863</v>
      </c>
      <c r="D187" s="901" t="s">
        <v>3503</v>
      </c>
      <c r="E187" s="1142" t="str">
        <f>D186</f>
        <v>800 x 200 mm</v>
      </c>
      <c r="G187" s="941" t="s">
        <v>3504</v>
      </c>
      <c r="H187" s="942">
        <v>726</v>
      </c>
      <c r="I187" s="901" t="s">
        <v>2607</v>
      </c>
      <c r="O187" s="943">
        <v>3</v>
      </c>
      <c r="P187" s="944"/>
      <c r="Q187" s="1197">
        <f>1.1 *(59.7)</f>
        <v>65.67</v>
      </c>
      <c r="R187" s="946">
        <f>$A187*Q187</f>
        <v>328.35</v>
      </c>
      <c r="S187" s="1197">
        <v>2</v>
      </c>
      <c r="T187" s="947">
        <f>$A187*S187*$T$1</f>
        <v>9</v>
      </c>
      <c r="W187" s="901">
        <v>3</v>
      </c>
    </row>
    <row r="188" spans="1:41" s="520" customFormat="1" ht="12">
      <c r="A188" s="758"/>
      <c r="B188" s="758"/>
      <c r="C188" s="758"/>
      <c r="D188" s="758"/>
      <c r="E188" s="758"/>
      <c r="F188" s="753"/>
      <c r="G188" s="758"/>
      <c r="H188" s="758"/>
      <c r="I188" s="519"/>
      <c r="J188" s="758"/>
      <c r="K188" s="758"/>
      <c r="L188" s="758"/>
      <c r="M188" s="758"/>
      <c r="N188" s="758"/>
      <c r="O188" s="758"/>
      <c r="P188" s="758"/>
      <c r="Q188" s="519"/>
      <c r="R188" s="759">
        <f t="shared" ref="R188" si="54">$A188*Q188</f>
        <v>0</v>
      </c>
      <c r="S188" s="519"/>
      <c r="T188" s="760">
        <f t="shared" ref="T188" si="55">$A188*S188*$T$1</f>
        <v>0</v>
      </c>
    </row>
    <row r="189" spans="1:41" s="520" customFormat="1" ht="12.6" thickBot="1">
      <c r="A189" s="761" t="s">
        <v>145</v>
      </c>
      <c r="B189" s="762">
        <f>(R188+T188)</f>
        <v>0</v>
      </c>
      <c r="C189" s="763"/>
      <c r="D189" s="763"/>
      <c r="E189" s="763"/>
      <c r="F189" s="764"/>
      <c r="G189" s="763" t="s">
        <v>146</v>
      </c>
      <c r="H189" s="763"/>
      <c r="I189" s="765"/>
      <c r="J189" s="763"/>
      <c r="K189" s="763" t="s">
        <v>13</v>
      </c>
      <c r="L189" s="766" t="s">
        <v>143</v>
      </c>
      <c r="M189" s="766"/>
      <c r="N189" s="766"/>
      <c r="O189" s="766"/>
      <c r="P189" s="766"/>
      <c r="Q189" s="767"/>
      <c r="R189" s="768">
        <f>SUM(R186:R188)</f>
        <v>328.35</v>
      </c>
      <c r="S189" s="763"/>
      <c r="T189" s="768">
        <f>SUM(T186:T188)</f>
        <v>9</v>
      </c>
      <c r="U189" s="531"/>
      <c r="V189" s="531"/>
      <c r="W189" s="531"/>
      <c r="X189" s="531"/>
      <c r="Y189" s="531"/>
      <c r="Z189" s="531"/>
      <c r="AA189" s="531"/>
      <c r="AB189" s="531"/>
      <c r="AC189" s="531"/>
      <c r="AD189" s="531"/>
      <c r="AE189" s="531"/>
      <c r="AF189" s="531"/>
      <c r="AG189" s="531"/>
      <c r="AH189" s="531"/>
      <c r="AI189" s="531"/>
      <c r="AJ189" s="531"/>
      <c r="AK189" s="531"/>
      <c r="AL189" s="531"/>
      <c r="AM189" s="531"/>
      <c r="AN189" s="531"/>
      <c r="AO189" s="531"/>
    </row>
    <row r="190" spans="1:41" s="520" customFormat="1" ht="12" thickTop="1">
      <c r="A190" s="51"/>
      <c r="B190" s="41"/>
      <c r="C190" s="51"/>
      <c r="E190" s="42" t="s">
        <v>138</v>
      </c>
      <c r="F190" s="42" t="s">
        <v>139</v>
      </c>
      <c r="G190" s="51"/>
      <c r="H190" s="51"/>
      <c r="I190" s="51"/>
      <c r="J190" s="51"/>
      <c r="K190" s="51" t="s">
        <v>140</v>
      </c>
      <c r="L190" s="51"/>
      <c r="M190" s="51"/>
      <c r="N190" s="51"/>
      <c r="O190" s="52"/>
      <c r="P190" s="51"/>
      <c r="Q190" s="51"/>
      <c r="R190" s="51"/>
      <c r="S190" s="51"/>
      <c r="T190" s="41"/>
      <c r="AG190" s="521" t="s">
        <v>268</v>
      </c>
      <c r="AH190" s="521" t="s">
        <v>269</v>
      </c>
      <c r="AI190" s="521" t="s">
        <v>270</v>
      </c>
      <c r="AJ190" s="521" t="s">
        <v>271</v>
      </c>
      <c r="AK190" s="521" t="s">
        <v>272</v>
      </c>
      <c r="AM190" s="745" t="s">
        <v>281</v>
      </c>
      <c r="AN190" s="746" t="s">
        <v>282</v>
      </c>
      <c r="AO190" s="522" t="s">
        <v>278</v>
      </c>
    </row>
    <row r="191" spans="1:41" s="520" customFormat="1" ht="12" customHeight="1">
      <c r="A191" s="747">
        <v>5</v>
      </c>
      <c r="B191" s="523" t="s">
        <v>141</v>
      </c>
      <c r="C191" s="748"/>
      <c r="D191" s="749" t="s">
        <v>2306</v>
      </c>
      <c r="E191" s="1187">
        <f>IF(AND($A191=0,$A$1="DIF"),0, ROUND(ROUND(($R195*$S$7+($T195*$T$7))/$A191,2)*$C$7,2))</f>
        <v>182.16</v>
      </c>
      <c r="F191" s="1188">
        <f>ROUND($A191*$E191,2)</f>
        <v>910.8</v>
      </c>
      <c r="G191" s="752" t="s">
        <v>142</v>
      </c>
      <c r="H191" s="753"/>
      <c r="I191" s="754"/>
      <c r="J191" s="753"/>
      <c r="K191" s="753" t="s">
        <v>13</v>
      </c>
      <c r="L191" s="755" t="s">
        <v>143</v>
      </c>
      <c r="M191" s="755"/>
      <c r="N191" s="755"/>
      <c r="O191" s="755"/>
      <c r="P191" s="755"/>
      <c r="Q191" s="51"/>
      <c r="T191" s="1192" t="str">
        <f>IF(AND($R195=0,$T195=0),"0.00","mu: "&amp; ROUND(F191/$C$7/($R195+$T195*$D$9),2))</f>
        <v>mu: 1.23</v>
      </c>
      <c r="W191" s="524"/>
      <c r="AG191" s="1189">
        <f>IF($E191=0,0,ROUND($R195*$S$7*$C$7/$A191,2))</f>
        <v>121.29</v>
      </c>
      <c r="AH191" s="1189">
        <f>$AG191*$A191</f>
        <v>606.45000000000005</v>
      </c>
      <c r="AI191" s="1190">
        <f>$E191-$AG191</f>
        <v>60.86999999999999</v>
      </c>
      <c r="AJ191" s="1190">
        <f>$A191*$AI191</f>
        <v>304.34999999999997</v>
      </c>
      <c r="AK191" s="1191">
        <f>ROUND(($AG191+$AI191)*$A191,2)</f>
        <v>910.8</v>
      </c>
      <c r="AM191" s="527">
        <f>ROUND(R195,2)</f>
        <v>492.53</v>
      </c>
      <c r="AN191" s="528">
        <f>ROUND(T195,2)</f>
        <v>9</v>
      </c>
      <c r="AO191" s="529">
        <f>ROUND(AM191+AN191,2)*A191</f>
        <v>2507.6499999999996</v>
      </c>
    </row>
    <row r="192" spans="1:41" s="520" customFormat="1" ht="13.2">
      <c r="A192" s="748"/>
      <c r="B192"/>
      <c r="C192" s="748"/>
      <c r="D192" s="749" t="s">
        <v>3468</v>
      </c>
      <c r="F192" s="753"/>
      <c r="G192" s="3"/>
      <c r="H192" s="753"/>
      <c r="I192" s="754"/>
      <c r="J192" s="753"/>
      <c r="K192" s="753" t="s">
        <v>144</v>
      </c>
      <c r="L192" s="753"/>
      <c r="M192" s="753"/>
      <c r="N192" s="753"/>
      <c r="O192" s="753"/>
      <c r="P192" s="753"/>
      <c r="Q192" s="51"/>
      <c r="R192" s="530"/>
      <c r="S192" s="757"/>
      <c r="T192" s="753"/>
    </row>
    <row r="193" spans="1:41" s="901" customFormat="1" ht="13.2">
      <c r="A193" s="116">
        <v>5</v>
      </c>
      <c r="B193" s="901" t="s">
        <v>863</v>
      </c>
      <c r="D193" s="901" t="s">
        <v>3503</v>
      </c>
      <c r="E193" s="1142" t="str">
        <f>D192</f>
        <v>800 x 300 mm</v>
      </c>
      <c r="G193" s="941" t="s">
        <v>3504</v>
      </c>
      <c r="H193" s="942">
        <v>726</v>
      </c>
      <c r="I193" s="901" t="s">
        <v>2607</v>
      </c>
      <c r="O193" s="943">
        <v>3</v>
      </c>
      <c r="P193" s="944"/>
      <c r="Q193" s="1197">
        <f>1.1 *(89.55)</f>
        <v>98.50500000000001</v>
      </c>
      <c r="R193" s="946">
        <f>$A193*Q193</f>
        <v>492.52500000000003</v>
      </c>
      <c r="S193" s="1197">
        <v>2</v>
      </c>
      <c r="T193" s="947">
        <f>$A193*S193*$T$1</f>
        <v>9</v>
      </c>
      <c r="W193" s="901">
        <v>3</v>
      </c>
    </row>
    <row r="194" spans="1:41" s="520" customFormat="1" ht="12">
      <c r="A194" s="758"/>
      <c r="B194" s="758"/>
      <c r="C194" s="758"/>
      <c r="D194" s="758"/>
      <c r="E194" s="758"/>
      <c r="F194" s="753"/>
      <c r="G194" s="758"/>
      <c r="H194" s="758"/>
      <c r="I194" s="519"/>
      <c r="J194" s="758"/>
      <c r="K194" s="758"/>
      <c r="L194" s="758"/>
      <c r="M194" s="758"/>
      <c r="N194" s="758"/>
      <c r="O194" s="758"/>
      <c r="P194" s="758"/>
      <c r="Q194" s="519"/>
      <c r="R194" s="759">
        <f t="shared" ref="R194" si="56">$A194*Q194</f>
        <v>0</v>
      </c>
      <c r="S194" s="519"/>
      <c r="T194" s="760">
        <f t="shared" ref="T194" si="57">$A194*S194*$T$1</f>
        <v>0</v>
      </c>
    </row>
    <row r="195" spans="1:41" s="520" customFormat="1" ht="12.6" thickBot="1">
      <c r="A195" s="761" t="s">
        <v>145</v>
      </c>
      <c r="B195" s="762">
        <f>(R194+T194)</f>
        <v>0</v>
      </c>
      <c r="C195" s="763"/>
      <c r="D195" s="763"/>
      <c r="E195" s="763"/>
      <c r="F195" s="764"/>
      <c r="G195" s="763" t="s">
        <v>146</v>
      </c>
      <c r="H195" s="763"/>
      <c r="I195" s="765"/>
      <c r="J195" s="763"/>
      <c r="K195" s="763" t="s">
        <v>13</v>
      </c>
      <c r="L195" s="766" t="s">
        <v>143</v>
      </c>
      <c r="M195" s="766"/>
      <c r="N195" s="766"/>
      <c r="O195" s="766"/>
      <c r="P195" s="766"/>
      <c r="Q195" s="767"/>
      <c r="R195" s="768">
        <f>SUM(R192:R194)</f>
        <v>492.52500000000003</v>
      </c>
      <c r="S195" s="763"/>
      <c r="T195" s="768">
        <f>SUM(T192:T194)</f>
        <v>9</v>
      </c>
      <c r="U195" s="531"/>
      <c r="V195" s="531"/>
      <c r="W195" s="531"/>
      <c r="X195" s="531"/>
      <c r="Y195" s="531"/>
      <c r="Z195" s="531"/>
      <c r="AA195" s="531"/>
      <c r="AB195" s="531"/>
      <c r="AC195" s="531"/>
      <c r="AD195" s="531"/>
      <c r="AE195" s="531"/>
      <c r="AF195" s="531"/>
      <c r="AG195" s="531"/>
      <c r="AH195" s="531"/>
      <c r="AI195" s="531"/>
      <c r="AJ195" s="531"/>
      <c r="AK195" s="531"/>
      <c r="AL195" s="531"/>
      <c r="AM195" s="531"/>
      <c r="AN195" s="531"/>
      <c r="AO195" s="531"/>
    </row>
    <row r="196" spans="1:41" s="520" customFormat="1" ht="12" thickTop="1">
      <c r="A196" s="51"/>
      <c r="B196" s="41"/>
      <c r="C196" s="51"/>
      <c r="E196" s="42" t="s">
        <v>138</v>
      </c>
      <c r="F196" s="42" t="s">
        <v>139</v>
      </c>
      <c r="G196" s="51"/>
      <c r="H196" s="51"/>
      <c r="I196" s="51"/>
      <c r="J196" s="51"/>
      <c r="K196" s="51" t="s">
        <v>140</v>
      </c>
      <c r="L196" s="51"/>
      <c r="M196" s="51"/>
      <c r="N196" s="51"/>
      <c r="O196" s="52"/>
      <c r="P196" s="51"/>
      <c r="Q196" s="51"/>
      <c r="R196" s="51"/>
      <c r="S196" s="51"/>
      <c r="T196" s="41"/>
      <c r="AG196" s="521" t="s">
        <v>268</v>
      </c>
      <c r="AH196" s="521" t="s">
        <v>269</v>
      </c>
      <c r="AI196" s="521" t="s">
        <v>270</v>
      </c>
      <c r="AJ196" s="521" t="s">
        <v>271</v>
      </c>
      <c r="AK196" s="521" t="s">
        <v>272</v>
      </c>
      <c r="AM196" s="745" t="s">
        <v>281</v>
      </c>
      <c r="AN196" s="746" t="s">
        <v>282</v>
      </c>
      <c r="AO196" s="522" t="s">
        <v>278</v>
      </c>
    </row>
    <row r="197" spans="1:41" s="520" customFormat="1" ht="12" customHeight="1">
      <c r="A197" s="747">
        <v>5</v>
      </c>
      <c r="B197" s="523" t="s">
        <v>141</v>
      </c>
      <c r="C197" s="748"/>
      <c r="D197" s="749" t="s">
        <v>2307</v>
      </c>
      <c r="E197" s="1187">
        <f>IF(AND($A197=0,$A$1="DIF"),0, ROUND(ROUND(($R201*$S$7+($T201*$T$7))/$A197,2)*$C$7,2))</f>
        <v>222.59</v>
      </c>
      <c r="F197" s="1188">
        <f>ROUND($A197*$E197,2)</f>
        <v>1112.95</v>
      </c>
      <c r="G197" s="752" t="s">
        <v>142</v>
      </c>
      <c r="H197" s="753"/>
      <c r="I197" s="754"/>
      <c r="J197" s="753"/>
      <c r="K197" s="753" t="s">
        <v>13</v>
      </c>
      <c r="L197" s="755" t="s">
        <v>143</v>
      </c>
      <c r="M197" s="755"/>
      <c r="N197" s="755"/>
      <c r="O197" s="755"/>
      <c r="P197" s="755"/>
      <c r="Q197" s="51"/>
      <c r="T197" s="1192" t="str">
        <f>IF(AND($R201=0,$T201=0),"0.00","mu: "&amp; ROUND(F197/$C$7/($R201+$T201*$D$9),2))</f>
        <v>mu: 1.23</v>
      </c>
      <c r="W197" s="524"/>
      <c r="AG197" s="1189">
        <f>IF($E197=0,0,ROUND($R201*$S$7*$C$7/$A197,2))</f>
        <v>161.72</v>
      </c>
      <c r="AH197" s="1189">
        <f>$AG197*$A197</f>
        <v>808.6</v>
      </c>
      <c r="AI197" s="1190">
        <f>$E197-$AG197</f>
        <v>60.870000000000005</v>
      </c>
      <c r="AJ197" s="1190">
        <f>$A197*$AI197</f>
        <v>304.35000000000002</v>
      </c>
      <c r="AK197" s="1191">
        <f>ROUND(($AG197+$AI197)*$A197,2)</f>
        <v>1112.95</v>
      </c>
      <c r="AM197" s="527">
        <f>ROUND(R201,2)</f>
        <v>656.7</v>
      </c>
      <c r="AN197" s="528">
        <f>ROUND(T201,2)</f>
        <v>9</v>
      </c>
      <c r="AO197" s="529">
        <f>ROUND(AM197+AN197,2)*A197</f>
        <v>3328.5</v>
      </c>
    </row>
    <row r="198" spans="1:41" s="520" customFormat="1" ht="13.2">
      <c r="A198" s="748"/>
      <c r="B198"/>
      <c r="C198" s="748"/>
      <c r="D198" s="749" t="s">
        <v>3469</v>
      </c>
      <c r="F198" s="753"/>
      <c r="G198" s="3"/>
      <c r="H198" s="753"/>
      <c r="I198" s="754"/>
      <c r="J198" s="753"/>
      <c r="K198" s="753" t="s">
        <v>144</v>
      </c>
      <c r="L198" s="753"/>
      <c r="M198" s="753"/>
      <c r="N198" s="753"/>
      <c r="O198" s="753"/>
      <c r="P198" s="753"/>
      <c r="Q198" s="51"/>
      <c r="R198" s="530"/>
      <c r="S198" s="757"/>
      <c r="T198" s="753"/>
    </row>
    <row r="199" spans="1:41" s="901" customFormat="1" ht="13.2">
      <c r="A199" s="116">
        <v>5</v>
      </c>
      <c r="B199" s="901" t="s">
        <v>863</v>
      </c>
      <c r="D199" s="901" t="s">
        <v>3503</v>
      </c>
      <c r="E199" s="1142" t="str">
        <f>D198</f>
        <v>800 x 400 mm</v>
      </c>
      <c r="G199" s="941" t="s">
        <v>3504</v>
      </c>
      <c r="H199" s="942">
        <v>726</v>
      </c>
      <c r="I199" s="901" t="s">
        <v>2607</v>
      </c>
      <c r="O199" s="943">
        <v>3</v>
      </c>
      <c r="P199" s="944"/>
      <c r="Q199" s="1197">
        <f>1.1 *(119.4)</f>
        <v>131.34</v>
      </c>
      <c r="R199" s="946">
        <f>$A199*Q199</f>
        <v>656.7</v>
      </c>
      <c r="S199" s="1197">
        <v>2</v>
      </c>
      <c r="T199" s="947">
        <f>$A199*S199*$T$1</f>
        <v>9</v>
      </c>
      <c r="W199" s="901">
        <v>3</v>
      </c>
    </row>
    <row r="200" spans="1:41" s="520" customFormat="1" ht="12">
      <c r="A200" s="758"/>
      <c r="B200" s="758"/>
      <c r="C200" s="758"/>
      <c r="D200" s="758"/>
      <c r="E200" s="758"/>
      <c r="F200" s="753"/>
      <c r="G200" s="758"/>
      <c r="H200" s="758"/>
      <c r="I200" s="519"/>
      <c r="J200" s="758"/>
      <c r="K200" s="758"/>
      <c r="L200" s="758"/>
      <c r="M200" s="758"/>
      <c r="N200" s="758"/>
      <c r="O200" s="758"/>
      <c r="P200" s="758"/>
      <c r="Q200" s="519"/>
      <c r="R200" s="759">
        <f t="shared" ref="R200" si="58">$A200*Q200</f>
        <v>0</v>
      </c>
      <c r="S200" s="519"/>
      <c r="T200" s="760">
        <f t="shared" ref="T200" si="59">$A200*S200*$T$1</f>
        <v>0</v>
      </c>
    </row>
    <row r="201" spans="1:41" s="520" customFormat="1" ht="12.6" thickBot="1">
      <c r="A201" s="761" t="s">
        <v>145</v>
      </c>
      <c r="B201" s="762">
        <f>(R200+T200)</f>
        <v>0</v>
      </c>
      <c r="C201" s="763"/>
      <c r="D201" s="763"/>
      <c r="E201" s="763"/>
      <c r="F201" s="764"/>
      <c r="G201" s="763" t="s">
        <v>146</v>
      </c>
      <c r="H201" s="763"/>
      <c r="I201" s="765"/>
      <c r="J201" s="763"/>
      <c r="K201" s="763" t="s">
        <v>13</v>
      </c>
      <c r="L201" s="766" t="s">
        <v>143</v>
      </c>
      <c r="M201" s="766"/>
      <c r="N201" s="766"/>
      <c r="O201" s="766"/>
      <c r="P201" s="766"/>
      <c r="Q201" s="767"/>
      <c r="R201" s="768">
        <f>SUM(R198:R200)</f>
        <v>656.7</v>
      </c>
      <c r="S201" s="763"/>
      <c r="T201" s="768">
        <f>SUM(T198:T200)</f>
        <v>9</v>
      </c>
      <c r="U201" s="531"/>
      <c r="V201" s="531"/>
      <c r="W201" s="531"/>
      <c r="X201" s="531"/>
      <c r="Y201" s="531"/>
      <c r="Z201" s="531"/>
      <c r="AA201" s="531"/>
      <c r="AB201" s="531"/>
      <c r="AC201" s="531"/>
      <c r="AD201" s="531"/>
      <c r="AE201" s="531"/>
      <c r="AF201" s="531"/>
      <c r="AG201" s="531"/>
      <c r="AH201" s="531"/>
      <c r="AI201" s="531"/>
      <c r="AJ201" s="531"/>
      <c r="AK201" s="531"/>
      <c r="AL201" s="531"/>
      <c r="AM201" s="531"/>
      <c r="AN201" s="531"/>
      <c r="AO201" s="531"/>
    </row>
    <row r="202" spans="1:41" s="520" customFormat="1" ht="12" thickTop="1">
      <c r="A202" s="51"/>
      <c r="B202" s="41"/>
      <c r="C202" s="51"/>
      <c r="E202" s="42" t="s">
        <v>138</v>
      </c>
      <c r="F202" s="42" t="s">
        <v>139</v>
      </c>
      <c r="G202" s="51"/>
      <c r="H202" s="51"/>
      <c r="I202" s="51"/>
      <c r="J202" s="51"/>
      <c r="K202" s="51" t="s">
        <v>140</v>
      </c>
      <c r="L202" s="51"/>
      <c r="M202" s="51"/>
      <c r="N202" s="51"/>
      <c r="O202" s="52"/>
      <c r="P202" s="51"/>
      <c r="Q202" s="51"/>
      <c r="R202" s="51"/>
      <c r="S202" s="51"/>
      <c r="T202" s="41"/>
      <c r="AG202" s="521" t="s">
        <v>268</v>
      </c>
      <c r="AH202" s="521" t="s">
        <v>269</v>
      </c>
      <c r="AI202" s="521" t="s">
        <v>270</v>
      </c>
      <c r="AJ202" s="521" t="s">
        <v>271</v>
      </c>
      <c r="AK202" s="521" t="s">
        <v>272</v>
      </c>
      <c r="AM202" s="745" t="s">
        <v>281</v>
      </c>
      <c r="AN202" s="746" t="s">
        <v>282</v>
      </c>
      <c r="AO202" s="522" t="s">
        <v>278</v>
      </c>
    </row>
    <row r="203" spans="1:41" s="520" customFormat="1" ht="12" customHeight="1">
      <c r="A203" s="747">
        <v>5</v>
      </c>
      <c r="B203" s="523" t="s">
        <v>141</v>
      </c>
      <c r="C203" s="748"/>
      <c r="D203" s="749" t="s">
        <v>2308</v>
      </c>
      <c r="E203" s="1187">
        <f>IF(AND($A203=0,$A$1="DIF"),0, ROUND(ROUND(($R207*$S$7+($T207*$T$7))/$A203,2)*$C$7,2))</f>
        <v>263.02</v>
      </c>
      <c r="F203" s="1188">
        <f>ROUND($A203*$E203,2)</f>
        <v>1315.1</v>
      </c>
      <c r="G203" s="752" t="s">
        <v>142</v>
      </c>
      <c r="H203" s="753"/>
      <c r="I203" s="754"/>
      <c r="J203" s="753"/>
      <c r="K203" s="753" t="s">
        <v>13</v>
      </c>
      <c r="L203" s="755" t="s">
        <v>143</v>
      </c>
      <c r="M203" s="755"/>
      <c r="N203" s="755"/>
      <c r="O203" s="755"/>
      <c r="P203" s="755"/>
      <c r="Q203" s="51"/>
      <c r="T203" s="1192" t="str">
        <f>IF(AND($R207=0,$T207=0),"0.00","mu: "&amp; ROUND(F203/$C$7/($R207+$T207*$D$9),2))</f>
        <v>mu: 1.23</v>
      </c>
      <c r="W203" s="524"/>
      <c r="AG203" s="1189">
        <f>IF($E203=0,0,ROUND($R207*$S$7*$C$7/$A203,2))</f>
        <v>202.16</v>
      </c>
      <c r="AH203" s="1189">
        <f>$AG203*$A203</f>
        <v>1010.8</v>
      </c>
      <c r="AI203" s="1190">
        <f>$E203-$AG203</f>
        <v>60.859999999999985</v>
      </c>
      <c r="AJ203" s="1190">
        <f>$A203*$AI203</f>
        <v>304.29999999999995</v>
      </c>
      <c r="AK203" s="1191">
        <f>ROUND(($AG203+$AI203)*$A203,2)</f>
        <v>1315.1</v>
      </c>
      <c r="AM203" s="527">
        <f>ROUND(R207,2)</f>
        <v>820.88</v>
      </c>
      <c r="AN203" s="528">
        <f>ROUND(T207,2)</f>
        <v>9</v>
      </c>
      <c r="AO203" s="529">
        <f>ROUND(AM203+AN203,2)*A203</f>
        <v>4149.3999999999996</v>
      </c>
    </row>
    <row r="204" spans="1:41" s="520" customFormat="1" ht="13.2">
      <c r="A204" s="748"/>
      <c r="B204"/>
      <c r="C204" s="748"/>
      <c r="D204" s="749" t="s">
        <v>3470</v>
      </c>
      <c r="F204" s="753"/>
      <c r="G204" s="3"/>
      <c r="H204" s="753"/>
      <c r="I204" s="754"/>
      <c r="J204" s="753"/>
      <c r="K204" s="753" t="s">
        <v>144</v>
      </c>
      <c r="L204" s="753"/>
      <c r="M204" s="753"/>
      <c r="N204" s="753"/>
      <c r="O204" s="753"/>
      <c r="P204" s="753"/>
      <c r="Q204" s="51"/>
      <c r="R204" s="530"/>
      <c r="S204" s="757"/>
      <c r="T204" s="753"/>
    </row>
    <row r="205" spans="1:41" s="901" customFormat="1" ht="13.2">
      <c r="A205" s="116">
        <v>5</v>
      </c>
      <c r="B205" s="901" t="s">
        <v>863</v>
      </c>
      <c r="D205" s="901" t="s">
        <v>3503</v>
      </c>
      <c r="E205" s="1142" t="str">
        <f>D204</f>
        <v>800 x 500 mm</v>
      </c>
      <c r="G205" s="941" t="s">
        <v>3504</v>
      </c>
      <c r="H205" s="942">
        <v>726</v>
      </c>
      <c r="I205" s="901" t="s">
        <v>2607</v>
      </c>
      <c r="O205" s="943">
        <v>3</v>
      </c>
      <c r="P205" s="944"/>
      <c r="Q205" s="1197">
        <f>1.1 *(149.25)</f>
        <v>164.17500000000001</v>
      </c>
      <c r="R205" s="946">
        <f>$A205*Q205</f>
        <v>820.875</v>
      </c>
      <c r="S205" s="1197">
        <v>2</v>
      </c>
      <c r="T205" s="947">
        <f>$A205*S205*$T$1</f>
        <v>9</v>
      </c>
      <c r="W205" s="901">
        <v>3</v>
      </c>
    </row>
    <row r="206" spans="1:41" s="520" customFormat="1" ht="12">
      <c r="A206" s="758"/>
      <c r="B206" s="758"/>
      <c r="C206" s="758"/>
      <c r="D206" s="758"/>
      <c r="E206" s="758"/>
      <c r="F206" s="753"/>
      <c r="G206" s="758"/>
      <c r="H206" s="758"/>
      <c r="I206" s="519"/>
      <c r="J206" s="758"/>
      <c r="K206" s="758"/>
      <c r="L206" s="758"/>
      <c r="M206" s="758"/>
      <c r="N206" s="758"/>
      <c r="O206" s="758"/>
      <c r="P206" s="758"/>
      <c r="Q206" s="519"/>
      <c r="R206" s="759">
        <f t="shared" ref="R206" si="60">$A206*Q206</f>
        <v>0</v>
      </c>
      <c r="S206" s="519"/>
      <c r="T206" s="760">
        <f t="shared" ref="T206" si="61">$A206*S206*$T$1</f>
        <v>0</v>
      </c>
    </row>
    <row r="207" spans="1:41" s="520" customFormat="1" ht="12.6" thickBot="1">
      <c r="A207" s="761" t="s">
        <v>145</v>
      </c>
      <c r="B207" s="762">
        <f>(R206+T206)</f>
        <v>0</v>
      </c>
      <c r="C207" s="763"/>
      <c r="D207" s="763"/>
      <c r="E207" s="763"/>
      <c r="F207" s="764"/>
      <c r="G207" s="763" t="s">
        <v>146</v>
      </c>
      <c r="H207" s="763"/>
      <c r="I207" s="765"/>
      <c r="J207" s="763"/>
      <c r="K207" s="763" t="s">
        <v>13</v>
      </c>
      <c r="L207" s="766" t="s">
        <v>143</v>
      </c>
      <c r="M207" s="766"/>
      <c r="N207" s="766"/>
      <c r="O207" s="766"/>
      <c r="P207" s="766"/>
      <c r="Q207" s="767"/>
      <c r="R207" s="768">
        <f>SUM(R204:R206)</f>
        <v>820.875</v>
      </c>
      <c r="S207" s="763"/>
      <c r="T207" s="768">
        <f>SUM(T204:T206)</f>
        <v>9</v>
      </c>
      <c r="U207" s="531"/>
      <c r="V207" s="531"/>
      <c r="W207" s="531"/>
      <c r="X207" s="531"/>
      <c r="Y207" s="531"/>
      <c r="Z207" s="531"/>
      <c r="AA207" s="531"/>
      <c r="AB207" s="531"/>
      <c r="AC207" s="531"/>
      <c r="AD207" s="531"/>
      <c r="AE207" s="531"/>
      <c r="AF207" s="531"/>
      <c r="AG207" s="531"/>
      <c r="AH207" s="531"/>
      <c r="AI207" s="531"/>
      <c r="AJ207" s="531"/>
      <c r="AK207" s="531"/>
      <c r="AL207" s="531"/>
      <c r="AM207" s="531"/>
      <c r="AN207" s="531"/>
      <c r="AO207" s="531"/>
    </row>
    <row r="208" spans="1:41" s="520" customFormat="1" ht="12" thickTop="1">
      <c r="A208" s="51"/>
      <c r="B208" s="41"/>
      <c r="C208" s="51"/>
      <c r="E208" s="42" t="s">
        <v>138</v>
      </c>
      <c r="F208" s="42" t="s">
        <v>139</v>
      </c>
      <c r="G208" s="51"/>
      <c r="H208" s="51"/>
      <c r="I208" s="51"/>
      <c r="J208" s="51"/>
      <c r="K208" s="51" t="s">
        <v>140</v>
      </c>
      <c r="L208" s="51"/>
      <c r="M208" s="51"/>
      <c r="N208" s="51"/>
      <c r="O208" s="52"/>
      <c r="P208" s="51"/>
      <c r="Q208" s="51"/>
      <c r="R208" s="51"/>
      <c r="S208" s="51"/>
      <c r="T208" s="41"/>
      <c r="AG208" s="521" t="s">
        <v>268</v>
      </c>
      <c r="AH208" s="521" t="s">
        <v>269</v>
      </c>
      <c r="AI208" s="521" t="s">
        <v>270</v>
      </c>
      <c r="AJ208" s="521" t="s">
        <v>271</v>
      </c>
      <c r="AK208" s="521" t="s">
        <v>272</v>
      </c>
      <c r="AM208" s="745" t="s">
        <v>281</v>
      </c>
      <c r="AN208" s="746" t="s">
        <v>282</v>
      </c>
      <c r="AO208" s="522" t="s">
        <v>278</v>
      </c>
    </row>
    <row r="209" spans="1:41" s="520" customFormat="1" ht="12" customHeight="1">
      <c r="A209" s="747">
        <v>5</v>
      </c>
      <c r="B209" s="523" t="s">
        <v>141</v>
      </c>
      <c r="C209" s="748"/>
      <c r="D209" s="749" t="s">
        <v>2309</v>
      </c>
      <c r="E209" s="1187">
        <f>IF(AND($A209=0,$A$1="DIF"),0, ROUND(ROUND(($R213*$S$7+($T213*$T$7))/$A209,2)*$C$7,2))</f>
        <v>167.05</v>
      </c>
      <c r="F209" s="1188">
        <f>ROUND($A209*$E209,2)</f>
        <v>835.25</v>
      </c>
      <c r="G209" s="752" t="s">
        <v>142</v>
      </c>
      <c r="H209" s="753"/>
      <c r="I209" s="754"/>
      <c r="J209" s="753"/>
      <c r="K209" s="753" t="s">
        <v>13</v>
      </c>
      <c r="L209" s="755" t="s">
        <v>143</v>
      </c>
      <c r="M209" s="755"/>
      <c r="N209" s="755"/>
      <c r="O209" s="755"/>
      <c r="P209" s="755"/>
      <c r="Q209" s="51"/>
      <c r="T209" s="1192" t="str">
        <f>IF(AND($R213=0,$T213=0),"0.00","mu: "&amp; ROUND(F209/$C$7/($R213+$T213*$D$9),2))</f>
        <v>mu: 1.23</v>
      </c>
      <c r="W209" s="524"/>
      <c r="AG209" s="1189">
        <f>IF($E209=0,0,ROUND($R213*$S$7*$C$7/$A209,2))</f>
        <v>90.97</v>
      </c>
      <c r="AH209" s="1189">
        <f>$AG209*$A209</f>
        <v>454.85</v>
      </c>
      <c r="AI209" s="1190">
        <f>$E209-$AG209</f>
        <v>76.080000000000013</v>
      </c>
      <c r="AJ209" s="1190">
        <f>$A209*$AI209</f>
        <v>380.40000000000009</v>
      </c>
      <c r="AK209" s="1191">
        <f>ROUND(($AG209+$AI209)*$A209,2)</f>
        <v>835.25</v>
      </c>
      <c r="AM209" s="527">
        <f>ROUND(R213,2)</f>
        <v>369.38</v>
      </c>
      <c r="AN209" s="528">
        <f>ROUND(T213,2)</f>
        <v>11.25</v>
      </c>
      <c r="AO209" s="529">
        <f>ROUND(AM209+AN209,2)*A209</f>
        <v>1903.15</v>
      </c>
    </row>
    <row r="210" spans="1:41" s="520" customFormat="1" ht="13.2">
      <c r="A210" s="748"/>
      <c r="B210"/>
      <c r="C210" s="748"/>
      <c r="D210" s="749" t="s">
        <v>3471</v>
      </c>
      <c r="F210" s="753"/>
      <c r="G210" s="3"/>
      <c r="H210" s="753"/>
      <c r="I210" s="754"/>
      <c r="J210" s="753"/>
      <c r="K210" s="753" t="s">
        <v>144</v>
      </c>
      <c r="L210" s="753"/>
      <c r="M210" s="753"/>
      <c r="N210" s="753"/>
      <c r="O210" s="753"/>
      <c r="P210" s="753"/>
      <c r="Q210" s="51"/>
      <c r="R210" s="530"/>
      <c r="S210" s="757"/>
      <c r="T210" s="753"/>
    </row>
    <row r="211" spans="1:41" s="901" customFormat="1" ht="13.2">
      <c r="A211" s="116">
        <v>5</v>
      </c>
      <c r="B211" s="901" t="s">
        <v>863</v>
      </c>
      <c r="D211" s="901" t="s">
        <v>3503</v>
      </c>
      <c r="E211" s="1142" t="str">
        <f>D210</f>
        <v>900 x 200 mm</v>
      </c>
      <c r="G211" s="941" t="s">
        <v>3504</v>
      </c>
      <c r="H211" s="942">
        <v>726</v>
      </c>
      <c r="I211" s="901" t="s">
        <v>2607</v>
      </c>
      <c r="O211" s="943">
        <v>3</v>
      </c>
      <c r="P211" s="944"/>
      <c r="Q211" s="1197">
        <f>1.1 *(67.16)</f>
        <v>73.876000000000005</v>
      </c>
      <c r="R211" s="946">
        <f>$A211*Q211</f>
        <v>369.38</v>
      </c>
      <c r="S211" s="1197">
        <v>2.5</v>
      </c>
      <c r="T211" s="947">
        <f>$A211*S211*$T$1</f>
        <v>11.25</v>
      </c>
      <c r="W211" s="901">
        <v>4</v>
      </c>
    </row>
    <row r="212" spans="1:41" s="520" customFormat="1" ht="12">
      <c r="A212" s="758"/>
      <c r="B212" s="758"/>
      <c r="C212" s="758"/>
      <c r="D212" s="758"/>
      <c r="E212" s="758"/>
      <c r="F212" s="753"/>
      <c r="G212" s="758"/>
      <c r="H212" s="758"/>
      <c r="I212" s="519"/>
      <c r="J212" s="758"/>
      <c r="K212" s="758"/>
      <c r="L212" s="758"/>
      <c r="M212" s="758"/>
      <c r="N212" s="758"/>
      <c r="O212" s="758"/>
      <c r="P212" s="758"/>
      <c r="Q212" s="519"/>
      <c r="R212" s="759">
        <f t="shared" ref="R212" si="62">$A212*Q212</f>
        <v>0</v>
      </c>
      <c r="S212" s="519"/>
      <c r="T212" s="760">
        <f t="shared" ref="T212" si="63">$A212*S212*$T$1</f>
        <v>0</v>
      </c>
    </row>
    <row r="213" spans="1:41" s="520" customFormat="1" ht="12.6" thickBot="1">
      <c r="A213" s="761" t="s">
        <v>145</v>
      </c>
      <c r="B213" s="762">
        <f>(R212+T212)</f>
        <v>0</v>
      </c>
      <c r="C213" s="763"/>
      <c r="D213" s="763"/>
      <c r="E213" s="763"/>
      <c r="F213" s="764"/>
      <c r="G213" s="763" t="s">
        <v>146</v>
      </c>
      <c r="H213" s="763"/>
      <c r="I213" s="765"/>
      <c r="J213" s="763"/>
      <c r="K213" s="763" t="s">
        <v>13</v>
      </c>
      <c r="L213" s="766" t="s">
        <v>143</v>
      </c>
      <c r="M213" s="766"/>
      <c r="N213" s="766"/>
      <c r="O213" s="766"/>
      <c r="P213" s="766"/>
      <c r="Q213" s="767"/>
      <c r="R213" s="768">
        <f>SUM(R210:R212)</f>
        <v>369.38</v>
      </c>
      <c r="S213" s="763"/>
      <c r="T213" s="768">
        <f>SUM(T210:T212)</f>
        <v>11.25</v>
      </c>
      <c r="U213" s="531"/>
      <c r="V213" s="531"/>
      <c r="W213" s="531"/>
      <c r="X213" s="531"/>
      <c r="Y213" s="531"/>
      <c r="Z213" s="531"/>
      <c r="AA213" s="531"/>
      <c r="AB213" s="531"/>
      <c r="AC213" s="531"/>
      <c r="AD213" s="531"/>
      <c r="AE213" s="531"/>
      <c r="AF213" s="531"/>
      <c r="AG213" s="531"/>
      <c r="AH213" s="531"/>
      <c r="AI213" s="531"/>
      <c r="AJ213" s="531"/>
      <c r="AK213" s="531"/>
      <c r="AL213" s="531"/>
      <c r="AM213" s="531"/>
      <c r="AN213" s="531"/>
      <c r="AO213" s="531"/>
    </row>
    <row r="214" spans="1:41" s="520" customFormat="1" ht="12" thickTop="1">
      <c r="A214" s="51"/>
      <c r="B214" s="41"/>
      <c r="C214" s="51"/>
      <c r="E214" s="42" t="s">
        <v>138</v>
      </c>
      <c r="F214" s="42" t="s">
        <v>139</v>
      </c>
      <c r="G214" s="51"/>
      <c r="H214" s="51"/>
      <c r="I214" s="51"/>
      <c r="J214" s="51"/>
      <c r="K214" s="51" t="s">
        <v>140</v>
      </c>
      <c r="L214" s="51"/>
      <c r="M214" s="51"/>
      <c r="N214" s="51"/>
      <c r="O214" s="52"/>
      <c r="P214" s="51"/>
      <c r="Q214" s="51"/>
      <c r="R214" s="51"/>
      <c r="S214" s="51"/>
      <c r="T214" s="41"/>
      <c r="AG214" s="521" t="s">
        <v>268</v>
      </c>
      <c r="AH214" s="521" t="s">
        <v>269</v>
      </c>
      <c r="AI214" s="521" t="s">
        <v>270</v>
      </c>
      <c r="AJ214" s="521" t="s">
        <v>271</v>
      </c>
      <c r="AK214" s="521" t="s">
        <v>272</v>
      </c>
      <c r="AM214" s="745" t="s">
        <v>281</v>
      </c>
      <c r="AN214" s="746" t="s">
        <v>282</v>
      </c>
      <c r="AO214" s="522" t="s">
        <v>278</v>
      </c>
    </row>
    <row r="215" spans="1:41" s="520" customFormat="1" ht="12" customHeight="1">
      <c r="A215" s="747">
        <v>5</v>
      </c>
      <c r="B215" s="523" t="s">
        <v>141</v>
      </c>
      <c r="C215" s="748"/>
      <c r="D215" s="749" t="s">
        <v>2310</v>
      </c>
      <c r="E215" s="1187">
        <f>IF(AND($A215=0,$A$1="DIF"),0, ROUND(ROUND(($R219*$S$7+($T219*$T$7))/$A215,2)*$C$7,2))</f>
        <v>212.53</v>
      </c>
      <c r="F215" s="1188">
        <f>ROUND($A215*$E215,2)</f>
        <v>1062.6500000000001</v>
      </c>
      <c r="G215" s="752" t="s">
        <v>142</v>
      </c>
      <c r="H215" s="753"/>
      <c r="I215" s="754"/>
      <c r="J215" s="753"/>
      <c r="K215" s="753" t="s">
        <v>13</v>
      </c>
      <c r="L215" s="755" t="s">
        <v>143</v>
      </c>
      <c r="M215" s="755"/>
      <c r="N215" s="755"/>
      <c r="O215" s="755"/>
      <c r="P215" s="755"/>
      <c r="Q215" s="51"/>
      <c r="T215" s="1192" t="str">
        <f>IF(AND($R219=0,$T219=0),"0.00","mu: "&amp; ROUND(F215/$C$7/($R219+$T219*$D$9),2))</f>
        <v>mu: 1.23</v>
      </c>
      <c r="W215" s="524"/>
      <c r="AG215" s="1189">
        <f>IF($E215=0,0,ROUND($R219*$S$7*$C$7/$A215,2))</f>
        <v>136.44999999999999</v>
      </c>
      <c r="AH215" s="1189">
        <f>$AG215*$A215</f>
        <v>682.25</v>
      </c>
      <c r="AI215" s="1190">
        <f>$E215-$AG215</f>
        <v>76.080000000000013</v>
      </c>
      <c r="AJ215" s="1190">
        <f>$A215*$AI215</f>
        <v>380.40000000000009</v>
      </c>
      <c r="AK215" s="1191">
        <f>ROUND(($AG215+$AI215)*$A215,2)</f>
        <v>1062.6500000000001</v>
      </c>
      <c r="AM215" s="527">
        <f>ROUND(R219,2)</f>
        <v>554.07000000000005</v>
      </c>
      <c r="AN215" s="528">
        <f>ROUND(T219,2)</f>
        <v>11.25</v>
      </c>
      <c r="AO215" s="529">
        <f>ROUND(AM215+AN215,2)*A215</f>
        <v>2826.6000000000004</v>
      </c>
    </row>
    <row r="216" spans="1:41" s="520" customFormat="1" ht="13.2">
      <c r="A216" s="748"/>
      <c r="B216"/>
      <c r="C216" s="748"/>
      <c r="D216" s="749" t="s">
        <v>3472</v>
      </c>
      <c r="F216" s="753"/>
      <c r="G216" s="3"/>
      <c r="H216" s="753"/>
      <c r="I216" s="754"/>
      <c r="J216" s="753"/>
      <c r="K216" s="753" t="s">
        <v>144</v>
      </c>
      <c r="L216" s="753"/>
      <c r="M216" s="753"/>
      <c r="N216" s="753"/>
      <c r="O216" s="753"/>
      <c r="P216" s="753"/>
      <c r="Q216" s="51"/>
      <c r="R216" s="530"/>
      <c r="S216" s="757"/>
      <c r="T216" s="753"/>
    </row>
    <row r="217" spans="1:41" s="901" customFormat="1" ht="13.2">
      <c r="A217" s="116">
        <v>5</v>
      </c>
      <c r="B217" s="901" t="s">
        <v>863</v>
      </c>
      <c r="D217" s="901" t="s">
        <v>3503</v>
      </c>
      <c r="E217" s="1142" t="str">
        <f>D216</f>
        <v>900 x 300 mm</v>
      </c>
      <c r="G217" s="941" t="s">
        <v>3504</v>
      </c>
      <c r="H217" s="942">
        <v>726</v>
      </c>
      <c r="I217" s="901" t="s">
        <v>2607</v>
      </c>
      <c r="O217" s="943">
        <v>3</v>
      </c>
      <c r="P217" s="944"/>
      <c r="Q217" s="1197">
        <f>1.1 *(100.74)</f>
        <v>110.81400000000001</v>
      </c>
      <c r="R217" s="946">
        <f>$A217*Q217</f>
        <v>554.07000000000005</v>
      </c>
      <c r="S217" s="1197">
        <v>2.5</v>
      </c>
      <c r="T217" s="947">
        <f>$A217*S217*$T$1</f>
        <v>11.25</v>
      </c>
      <c r="W217" s="901">
        <v>4</v>
      </c>
    </row>
    <row r="218" spans="1:41" s="520" customFormat="1" ht="12">
      <c r="A218" s="758"/>
      <c r="B218" s="758"/>
      <c r="C218" s="758"/>
      <c r="D218" s="758"/>
      <c r="E218" s="758"/>
      <c r="F218" s="753"/>
      <c r="G218" s="758"/>
      <c r="H218" s="758"/>
      <c r="I218" s="519"/>
      <c r="J218" s="758"/>
      <c r="K218" s="758"/>
      <c r="L218" s="758"/>
      <c r="M218" s="758"/>
      <c r="N218" s="758"/>
      <c r="O218" s="758"/>
      <c r="P218" s="758"/>
      <c r="Q218" s="519"/>
      <c r="R218" s="759">
        <f t="shared" ref="R218" si="64">$A218*Q218</f>
        <v>0</v>
      </c>
      <c r="S218" s="519"/>
      <c r="T218" s="760">
        <f t="shared" ref="T218" si="65">$A218*S218*$T$1</f>
        <v>0</v>
      </c>
    </row>
    <row r="219" spans="1:41" s="520" customFormat="1" ht="12.6" thickBot="1">
      <c r="A219" s="761" t="s">
        <v>145</v>
      </c>
      <c r="B219" s="762">
        <f>(R218+T218)</f>
        <v>0</v>
      </c>
      <c r="C219" s="763"/>
      <c r="D219" s="763"/>
      <c r="E219" s="763"/>
      <c r="F219" s="764"/>
      <c r="G219" s="763" t="s">
        <v>146</v>
      </c>
      <c r="H219" s="763"/>
      <c r="I219" s="765"/>
      <c r="J219" s="763"/>
      <c r="K219" s="763" t="s">
        <v>13</v>
      </c>
      <c r="L219" s="766" t="s">
        <v>143</v>
      </c>
      <c r="M219" s="766"/>
      <c r="N219" s="766"/>
      <c r="O219" s="766"/>
      <c r="P219" s="766"/>
      <c r="Q219" s="767"/>
      <c r="R219" s="768">
        <f>SUM(R216:R218)</f>
        <v>554.07000000000005</v>
      </c>
      <c r="S219" s="763"/>
      <c r="T219" s="768">
        <f>SUM(T216:T218)</f>
        <v>11.25</v>
      </c>
      <c r="U219" s="531"/>
      <c r="V219" s="531"/>
      <c r="W219" s="531"/>
      <c r="X219" s="531"/>
      <c r="Y219" s="531"/>
      <c r="Z219" s="531"/>
      <c r="AA219" s="531"/>
      <c r="AB219" s="531"/>
      <c r="AC219" s="531"/>
      <c r="AD219" s="531"/>
      <c r="AE219" s="531"/>
      <c r="AF219" s="531"/>
      <c r="AG219" s="531"/>
      <c r="AH219" s="531"/>
      <c r="AI219" s="531"/>
      <c r="AJ219" s="531"/>
      <c r="AK219" s="531"/>
      <c r="AL219" s="531"/>
      <c r="AM219" s="531"/>
      <c r="AN219" s="531"/>
      <c r="AO219" s="531"/>
    </row>
    <row r="220" spans="1:41" s="520" customFormat="1" ht="12" thickTop="1">
      <c r="A220" s="51"/>
      <c r="B220" s="41"/>
      <c r="C220" s="51"/>
      <c r="E220" s="42" t="s">
        <v>138</v>
      </c>
      <c r="F220" s="42" t="s">
        <v>139</v>
      </c>
      <c r="G220" s="51"/>
      <c r="H220" s="51"/>
      <c r="I220" s="51"/>
      <c r="J220" s="51"/>
      <c r="K220" s="51" t="s">
        <v>140</v>
      </c>
      <c r="L220" s="51"/>
      <c r="M220" s="51"/>
      <c r="N220" s="51"/>
      <c r="O220" s="52"/>
      <c r="P220" s="51"/>
      <c r="Q220" s="51"/>
      <c r="R220" s="51"/>
      <c r="S220" s="51"/>
      <c r="T220" s="41"/>
      <c r="AG220" s="521" t="s">
        <v>268</v>
      </c>
      <c r="AH220" s="521" t="s">
        <v>269</v>
      </c>
      <c r="AI220" s="521" t="s">
        <v>270</v>
      </c>
      <c r="AJ220" s="521" t="s">
        <v>271</v>
      </c>
      <c r="AK220" s="521" t="s">
        <v>272</v>
      </c>
      <c r="AM220" s="745" t="s">
        <v>281</v>
      </c>
      <c r="AN220" s="746" t="s">
        <v>282</v>
      </c>
      <c r="AO220" s="522" t="s">
        <v>278</v>
      </c>
    </row>
    <row r="221" spans="1:41" s="520" customFormat="1" ht="12" customHeight="1">
      <c r="A221" s="747">
        <v>5</v>
      </c>
      <c r="B221" s="523" t="s">
        <v>141</v>
      </c>
      <c r="C221" s="748"/>
      <c r="D221" s="749" t="s">
        <v>2311</v>
      </c>
      <c r="E221" s="1187">
        <f>IF(AND($A221=0,$A$1="DIF"),0, ROUND(ROUND(($R225*$S$7+($T225*$T$7))/$A221,2)*$C$7,2))</f>
        <v>258.02999999999997</v>
      </c>
      <c r="F221" s="1188">
        <f>ROUND($A221*$E221,2)</f>
        <v>1290.1500000000001</v>
      </c>
      <c r="G221" s="752" t="s">
        <v>142</v>
      </c>
      <c r="H221" s="753"/>
      <c r="I221" s="754"/>
      <c r="J221" s="753"/>
      <c r="K221" s="753" t="s">
        <v>13</v>
      </c>
      <c r="L221" s="755" t="s">
        <v>143</v>
      </c>
      <c r="M221" s="755"/>
      <c r="N221" s="755"/>
      <c r="O221" s="755"/>
      <c r="P221" s="755"/>
      <c r="Q221" s="51"/>
      <c r="T221" s="1192" t="str">
        <f>IF(AND($R225=0,$T225=0),"0.00","mu: "&amp; ROUND(F221/$C$7/($R225+$T225*$D$9),2))</f>
        <v>mu: 1.23</v>
      </c>
      <c r="W221" s="524"/>
      <c r="AG221" s="1189">
        <f>IF($E221=0,0,ROUND($R225*$S$7*$C$7/$A221,2))</f>
        <v>181.95</v>
      </c>
      <c r="AH221" s="1189">
        <f>$AG221*$A221</f>
        <v>909.75</v>
      </c>
      <c r="AI221" s="1190">
        <f>$E221-$AG221</f>
        <v>76.079999999999984</v>
      </c>
      <c r="AJ221" s="1190">
        <f>$A221*$AI221</f>
        <v>380.39999999999992</v>
      </c>
      <c r="AK221" s="1191">
        <f>ROUND(($AG221+$AI221)*$A221,2)</f>
        <v>1290.1500000000001</v>
      </c>
      <c r="AM221" s="527">
        <f>ROUND(R225,2)</f>
        <v>738.82</v>
      </c>
      <c r="AN221" s="528">
        <f>ROUND(T225,2)</f>
        <v>11.25</v>
      </c>
      <c r="AO221" s="529">
        <f>ROUND(AM221+AN221,2)*A221</f>
        <v>3750.3500000000004</v>
      </c>
    </row>
    <row r="222" spans="1:41" s="520" customFormat="1" ht="13.2">
      <c r="A222" s="748"/>
      <c r="B222"/>
      <c r="C222" s="748"/>
      <c r="D222" s="749" t="s">
        <v>3473</v>
      </c>
      <c r="F222" s="753"/>
      <c r="G222" s="3"/>
      <c r="H222" s="753"/>
      <c r="I222" s="754"/>
      <c r="J222" s="753"/>
      <c r="K222" s="753" t="s">
        <v>144</v>
      </c>
      <c r="L222" s="753"/>
      <c r="M222" s="753"/>
      <c r="N222" s="753"/>
      <c r="O222" s="753"/>
      <c r="P222" s="753"/>
      <c r="Q222" s="51"/>
      <c r="R222" s="530"/>
      <c r="S222" s="757"/>
      <c r="T222" s="753"/>
    </row>
    <row r="223" spans="1:41" s="901" customFormat="1" ht="13.2">
      <c r="A223" s="116">
        <v>5</v>
      </c>
      <c r="B223" s="901" t="s">
        <v>863</v>
      </c>
      <c r="D223" s="901" t="s">
        <v>3503</v>
      </c>
      <c r="E223" s="1142" t="str">
        <f>D222</f>
        <v>900 x 400 mm</v>
      </c>
      <c r="G223" s="941" t="s">
        <v>3504</v>
      </c>
      <c r="H223" s="942">
        <v>726</v>
      </c>
      <c r="I223" s="901" t="s">
        <v>2607</v>
      </c>
      <c r="O223" s="943">
        <v>3</v>
      </c>
      <c r="P223" s="944"/>
      <c r="Q223" s="1197">
        <f>1.1 *(134.33)</f>
        <v>147.76300000000003</v>
      </c>
      <c r="R223" s="946">
        <f>$A223*Q223</f>
        <v>738.81500000000017</v>
      </c>
      <c r="S223" s="1197">
        <v>2.5</v>
      </c>
      <c r="T223" s="947">
        <f>$A223*S223*$T$1</f>
        <v>11.25</v>
      </c>
      <c r="W223" s="901">
        <v>4</v>
      </c>
    </row>
    <row r="224" spans="1:41" s="520" customFormat="1" ht="12">
      <c r="A224" s="758"/>
      <c r="B224" s="758"/>
      <c r="C224" s="758"/>
      <c r="D224" s="758"/>
      <c r="E224" s="758"/>
      <c r="F224" s="753"/>
      <c r="G224" s="758"/>
      <c r="H224" s="758"/>
      <c r="I224" s="519"/>
      <c r="J224" s="758"/>
      <c r="K224" s="758"/>
      <c r="L224" s="758"/>
      <c r="M224" s="758"/>
      <c r="N224" s="758"/>
      <c r="O224" s="758"/>
      <c r="P224" s="758"/>
      <c r="Q224" s="519"/>
      <c r="R224" s="759">
        <f t="shared" ref="R224" si="66">$A224*Q224</f>
        <v>0</v>
      </c>
      <c r="S224" s="519"/>
      <c r="T224" s="760">
        <f t="shared" ref="T224" si="67">$A224*S224*$T$1</f>
        <v>0</v>
      </c>
    </row>
    <row r="225" spans="1:41" s="520" customFormat="1" ht="12.6" thickBot="1">
      <c r="A225" s="761" t="s">
        <v>145</v>
      </c>
      <c r="B225" s="762">
        <f>(R224+T224)</f>
        <v>0</v>
      </c>
      <c r="C225" s="763"/>
      <c r="D225" s="763"/>
      <c r="E225" s="763"/>
      <c r="F225" s="764"/>
      <c r="G225" s="763" t="s">
        <v>146</v>
      </c>
      <c r="H225" s="763"/>
      <c r="I225" s="765"/>
      <c r="J225" s="763"/>
      <c r="K225" s="763" t="s">
        <v>13</v>
      </c>
      <c r="L225" s="766" t="s">
        <v>143</v>
      </c>
      <c r="M225" s="766"/>
      <c r="N225" s="766"/>
      <c r="O225" s="766"/>
      <c r="P225" s="766"/>
      <c r="Q225" s="767"/>
      <c r="R225" s="768">
        <f>SUM(R222:R224)</f>
        <v>738.81500000000017</v>
      </c>
      <c r="S225" s="763"/>
      <c r="T225" s="768">
        <f>SUM(T222:T224)</f>
        <v>11.25</v>
      </c>
      <c r="U225" s="531"/>
      <c r="V225" s="531"/>
      <c r="W225" s="531"/>
      <c r="X225" s="531"/>
      <c r="Y225" s="531"/>
      <c r="Z225" s="531"/>
      <c r="AA225" s="531"/>
      <c r="AB225" s="531"/>
      <c r="AC225" s="531"/>
      <c r="AD225" s="531"/>
      <c r="AE225" s="531"/>
      <c r="AF225" s="531"/>
      <c r="AG225" s="531"/>
      <c r="AH225" s="531"/>
      <c r="AI225" s="531"/>
      <c r="AJ225" s="531"/>
      <c r="AK225" s="531"/>
      <c r="AL225" s="531"/>
      <c r="AM225" s="531"/>
      <c r="AN225" s="531"/>
      <c r="AO225" s="531"/>
    </row>
    <row r="226" spans="1:41" s="520" customFormat="1" ht="12" thickTop="1">
      <c r="A226" s="51"/>
      <c r="B226" s="41"/>
      <c r="C226" s="51"/>
      <c r="E226" s="42" t="s">
        <v>138</v>
      </c>
      <c r="F226" s="42" t="s">
        <v>139</v>
      </c>
      <c r="G226" s="51"/>
      <c r="H226" s="51"/>
      <c r="I226" s="51"/>
      <c r="J226" s="51"/>
      <c r="K226" s="51" t="s">
        <v>140</v>
      </c>
      <c r="L226" s="51"/>
      <c r="M226" s="51"/>
      <c r="N226" s="51"/>
      <c r="O226" s="52"/>
      <c r="P226" s="51"/>
      <c r="Q226" s="51"/>
      <c r="R226" s="51"/>
      <c r="S226" s="51"/>
      <c r="T226" s="41"/>
      <c r="AG226" s="521" t="s">
        <v>268</v>
      </c>
      <c r="AH226" s="521" t="s">
        <v>269</v>
      </c>
      <c r="AI226" s="521" t="s">
        <v>270</v>
      </c>
      <c r="AJ226" s="521" t="s">
        <v>271</v>
      </c>
      <c r="AK226" s="521" t="s">
        <v>272</v>
      </c>
      <c r="AM226" s="745" t="s">
        <v>281</v>
      </c>
      <c r="AN226" s="746" t="s">
        <v>282</v>
      </c>
      <c r="AO226" s="522" t="s">
        <v>278</v>
      </c>
    </row>
    <row r="227" spans="1:41" s="520" customFormat="1" ht="12" customHeight="1">
      <c r="A227" s="747">
        <v>5</v>
      </c>
      <c r="B227" s="523" t="s">
        <v>141</v>
      </c>
      <c r="C227" s="748"/>
      <c r="D227" s="749" t="s">
        <v>2312</v>
      </c>
      <c r="E227" s="1187">
        <f>IF(AND($A227=0,$A$1="DIF"),0, ROUND(ROUND(($R231*$S$7+($T231*$T$7))/$A227,2)*$C$7,2))</f>
        <v>303.51</v>
      </c>
      <c r="F227" s="1188">
        <f>ROUND($A227*$E227,2)</f>
        <v>1517.55</v>
      </c>
      <c r="G227" s="752" t="s">
        <v>142</v>
      </c>
      <c r="H227" s="753"/>
      <c r="I227" s="754"/>
      <c r="J227" s="753"/>
      <c r="K227" s="753" t="s">
        <v>13</v>
      </c>
      <c r="L227" s="755" t="s">
        <v>143</v>
      </c>
      <c r="M227" s="755"/>
      <c r="N227" s="755"/>
      <c r="O227" s="755"/>
      <c r="P227" s="755"/>
      <c r="Q227" s="51"/>
      <c r="T227" s="1192" t="str">
        <f>IF(AND($R231=0,$T231=0),"0.00","mu: "&amp; ROUND(F227/$C$7/($R231+$T231*$D$9),2))</f>
        <v>mu: 1.23</v>
      </c>
      <c r="W227" s="524"/>
      <c r="AG227" s="1189">
        <f>IF($E227=0,0,ROUND($R231*$S$7*$C$7/$A227,2))</f>
        <v>227.43</v>
      </c>
      <c r="AH227" s="1189">
        <f>$AG227*$A227</f>
        <v>1137.1500000000001</v>
      </c>
      <c r="AI227" s="1190">
        <f>$E227-$AG227</f>
        <v>76.079999999999984</v>
      </c>
      <c r="AJ227" s="1190">
        <f>$A227*$AI227</f>
        <v>380.39999999999992</v>
      </c>
      <c r="AK227" s="1191">
        <f>ROUND(($AG227+$AI227)*$A227,2)</f>
        <v>1517.55</v>
      </c>
      <c r="AM227" s="527">
        <f>ROUND(R231,2)</f>
        <v>923.51</v>
      </c>
      <c r="AN227" s="528">
        <f>ROUND(T231,2)</f>
        <v>11.25</v>
      </c>
      <c r="AO227" s="529">
        <f>ROUND(AM227+AN227,2)*A227</f>
        <v>4673.8</v>
      </c>
    </row>
    <row r="228" spans="1:41" s="520" customFormat="1" ht="13.2">
      <c r="A228" s="748"/>
      <c r="B228"/>
      <c r="C228" s="748"/>
      <c r="D228" s="749" t="s">
        <v>3474</v>
      </c>
      <c r="F228" s="753"/>
      <c r="G228" s="3"/>
      <c r="H228" s="753"/>
      <c r="I228" s="754"/>
      <c r="J228" s="753"/>
      <c r="K228" s="753" t="s">
        <v>144</v>
      </c>
      <c r="L228" s="753"/>
      <c r="M228" s="753"/>
      <c r="N228" s="753"/>
      <c r="O228" s="753"/>
      <c r="P228" s="753"/>
      <c r="Q228" s="51"/>
      <c r="R228" s="530"/>
      <c r="S228" s="757"/>
      <c r="T228" s="753"/>
    </row>
    <row r="229" spans="1:41" s="901" customFormat="1" ht="13.2">
      <c r="A229" s="116">
        <v>5</v>
      </c>
      <c r="B229" s="901" t="s">
        <v>863</v>
      </c>
      <c r="D229" s="901" t="s">
        <v>3503</v>
      </c>
      <c r="E229" s="1142" t="str">
        <f>D228</f>
        <v>900 x 500 mm</v>
      </c>
      <c r="G229" s="941" t="s">
        <v>3504</v>
      </c>
      <c r="H229" s="942">
        <v>726</v>
      </c>
      <c r="I229" s="901" t="s">
        <v>2607</v>
      </c>
      <c r="O229" s="943">
        <v>3</v>
      </c>
      <c r="P229" s="944"/>
      <c r="Q229" s="1197">
        <f>1.1 *(167.91)</f>
        <v>184.70100000000002</v>
      </c>
      <c r="R229" s="946">
        <f>$A229*Q229</f>
        <v>923.50500000000011</v>
      </c>
      <c r="S229" s="1197">
        <v>2.5</v>
      </c>
      <c r="T229" s="947">
        <f>$A229*S229*$T$1</f>
        <v>11.25</v>
      </c>
      <c r="W229" s="901">
        <v>4</v>
      </c>
    </row>
    <row r="230" spans="1:41" s="520" customFormat="1" ht="12">
      <c r="A230" s="758"/>
      <c r="B230" s="758"/>
      <c r="C230" s="758"/>
      <c r="D230" s="758"/>
      <c r="E230" s="758"/>
      <c r="F230" s="753"/>
      <c r="G230" s="758"/>
      <c r="H230" s="758"/>
      <c r="I230" s="519"/>
      <c r="J230" s="758"/>
      <c r="K230" s="758"/>
      <c r="L230" s="758"/>
      <c r="M230" s="758"/>
      <c r="N230" s="758"/>
      <c r="O230" s="758"/>
      <c r="P230" s="758"/>
      <c r="Q230" s="519"/>
      <c r="R230" s="759">
        <f t="shared" ref="R230" si="68">$A230*Q230</f>
        <v>0</v>
      </c>
      <c r="S230" s="519"/>
      <c r="T230" s="760">
        <f t="shared" ref="T230" si="69">$A230*S230*$T$1</f>
        <v>0</v>
      </c>
    </row>
    <row r="231" spans="1:41" s="520" customFormat="1" ht="12.6" thickBot="1">
      <c r="A231" s="761" t="s">
        <v>145</v>
      </c>
      <c r="B231" s="762">
        <f>(R230+T230)</f>
        <v>0</v>
      </c>
      <c r="C231" s="763"/>
      <c r="D231" s="763"/>
      <c r="E231" s="763"/>
      <c r="F231" s="764"/>
      <c r="G231" s="763" t="s">
        <v>146</v>
      </c>
      <c r="H231" s="763"/>
      <c r="I231" s="765"/>
      <c r="J231" s="763"/>
      <c r="K231" s="763" t="s">
        <v>13</v>
      </c>
      <c r="L231" s="766" t="s">
        <v>143</v>
      </c>
      <c r="M231" s="766"/>
      <c r="N231" s="766"/>
      <c r="O231" s="766"/>
      <c r="P231" s="766"/>
      <c r="Q231" s="767"/>
      <c r="R231" s="768">
        <f>SUM(R228:R230)</f>
        <v>923.50500000000011</v>
      </c>
      <c r="S231" s="763"/>
      <c r="T231" s="768">
        <f>SUM(T228:T230)</f>
        <v>11.25</v>
      </c>
      <c r="U231" s="531"/>
      <c r="V231" s="531"/>
      <c r="W231" s="531"/>
      <c r="X231" s="531"/>
      <c r="Y231" s="531"/>
      <c r="Z231" s="531"/>
      <c r="AA231" s="531"/>
      <c r="AB231" s="531"/>
      <c r="AC231" s="531"/>
      <c r="AD231" s="531"/>
      <c r="AE231" s="531"/>
      <c r="AF231" s="531"/>
      <c r="AG231" s="531"/>
      <c r="AH231" s="531"/>
      <c r="AI231" s="531"/>
      <c r="AJ231" s="531"/>
      <c r="AK231" s="531"/>
      <c r="AL231" s="531"/>
      <c r="AM231" s="531"/>
      <c r="AN231" s="531"/>
      <c r="AO231" s="531"/>
    </row>
    <row r="232" spans="1:41" s="520" customFormat="1" ht="12" thickTop="1">
      <c r="A232" s="51"/>
      <c r="B232" s="41"/>
      <c r="C232" s="51"/>
      <c r="E232" s="42" t="s">
        <v>138</v>
      </c>
      <c r="F232" s="42" t="s">
        <v>139</v>
      </c>
      <c r="G232" s="51"/>
      <c r="H232" s="51"/>
      <c r="I232" s="51"/>
      <c r="J232" s="51"/>
      <c r="K232" s="51" t="s">
        <v>140</v>
      </c>
      <c r="L232" s="51"/>
      <c r="M232" s="51"/>
      <c r="N232" s="51"/>
      <c r="O232" s="52"/>
      <c r="P232" s="51"/>
      <c r="Q232" s="51"/>
      <c r="R232" s="51"/>
      <c r="S232" s="51"/>
      <c r="T232" s="41"/>
      <c r="AG232" s="521" t="s">
        <v>268</v>
      </c>
      <c r="AH232" s="521" t="s">
        <v>269</v>
      </c>
      <c r="AI232" s="521" t="s">
        <v>270</v>
      </c>
      <c r="AJ232" s="521" t="s">
        <v>271</v>
      </c>
      <c r="AK232" s="521" t="s">
        <v>272</v>
      </c>
      <c r="AM232" s="745" t="s">
        <v>281</v>
      </c>
      <c r="AN232" s="746" t="s">
        <v>282</v>
      </c>
      <c r="AO232" s="522" t="s">
        <v>278</v>
      </c>
    </row>
    <row r="233" spans="1:41" s="520" customFormat="1" ht="12" customHeight="1">
      <c r="A233" s="747">
        <v>5</v>
      </c>
      <c r="B233" s="523" t="s">
        <v>141</v>
      </c>
      <c r="C233" s="748"/>
      <c r="D233" s="749" t="s">
        <v>2313</v>
      </c>
      <c r="E233" s="1187">
        <f>IF(AND($A233=0,$A$1="DIF"),0, ROUND(ROUND(($R237*$S$7+($T237*$T$7))/$A233,2)*$C$7,2))</f>
        <v>177.16</v>
      </c>
      <c r="F233" s="1188">
        <f>ROUND($A233*$E233,2)</f>
        <v>885.8</v>
      </c>
      <c r="G233" s="752" t="s">
        <v>142</v>
      </c>
      <c r="H233" s="753"/>
      <c r="I233" s="754"/>
      <c r="J233" s="753"/>
      <c r="K233" s="753" t="s">
        <v>13</v>
      </c>
      <c r="L233" s="755" t="s">
        <v>143</v>
      </c>
      <c r="M233" s="755"/>
      <c r="N233" s="755"/>
      <c r="O233" s="755"/>
      <c r="P233" s="755"/>
      <c r="Q233" s="51"/>
      <c r="T233" s="1192" t="str">
        <f>IF(AND($R237=0,$T237=0),"0.00","mu: "&amp; ROUND(F233/$C$7/($R237+$T237*$D$9),2))</f>
        <v>mu: 1.23</v>
      </c>
      <c r="W233" s="524"/>
      <c r="AG233" s="1189">
        <f>IF($E233=0,0,ROUND($R237*$S$7*$C$7/$A233,2))</f>
        <v>101.08</v>
      </c>
      <c r="AH233" s="1189">
        <f>$AG233*$A233</f>
        <v>505.4</v>
      </c>
      <c r="AI233" s="1190">
        <f>$E233-$AG233</f>
        <v>76.08</v>
      </c>
      <c r="AJ233" s="1190">
        <f>$A233*$AI233</f>
        <v>380.4</v>
      </c>
      <c r="AK233" s="1191">
        <f>ROUND(($AG233+$AI233)*$A233,2)</f>
        <v>885.8</v>
      </c>
      <c r="AM233" s="527">
        <f>ROUND(R237,2)</f>
        <v>410.47</v>
      </c>
      <c r="AN233" s="528">
        <f>ROUND(T237,2)</f>
        <v>11.25</v>
      </c>
      <c r="AO233" s="529">
        <f>ROUND(AM233+AN233,2)*A233</f>
        <v>2108.6000000000004</v>
      </c>
    </row>
    <row r="234" spans="1:41" s="520" customFormat="1" ht="13.2">
      <c r="A234" s="748"/>
      <c r="B234"/>
      <c r="C234" s="748"/>
      <c r="D234" s="749" t="s">
        <v>3475</v>
      </c>
      <c r="F234" s="753"/>
      <c r="G234" s="3"/>
      <c r="H234" s="753"/>
      <c r="I234" s="754"/>
      <c r="J234" s="753"/>
      <c r="K234" s="753" t="s">
        <v>144</v>
      </c>
      <c r="L234" s="753"/>
      <c r="M234" s="753"/>
      <c r="N234" s="753"/>
      <c r="O234" s="753"/>
      <c r="P234" s="753"/>
      <c r="Q234" s="51"/>
      <c r="R234" s="530"/>
      <c r="S234" s="757"/>
      <c r="T234" s="753"/>
    </row>
    <row r="235" spans="1:41" s="901" customFormat="1" ht="13.2">
      <c r="A235" s="116">
        <v>5</v>
      </c>
      <c r="B235" s="901" t="s">
        <v>863</v>
      </c>
      <c r="D235" s="901" t="s">
        <v>3503</v>
      </c>
      <c r="E235" s="1142" t="str">
        <f>D234</f>
        <v>1000 x 200 mm</v>
      </c>
      <c r="G235" s="941" t="s">
        <v>3504</v>
      </c>
      <c r="H235" s="942">
        <v>726</v>
      </c>
      <c r="I235" s="901" t="s">
        <v>2607</v>
      </c>
      <c r="O235" s="943">
        <v>3</v>
      </c>
      <c r="P235" s="944"/>
      <c r="Q235" s="1197">
        <f>1.1 *(74.63)</f>
        <v>82.093000000000004</v>
      </c>
      <c r="R235" s="946">
        <f>$A235*Q235</f>
        <v>410.46500000000003</v>
      </c>
      <c r="S235" s="1197">
        <v>2.5</v>
      </c>
      <c r="T235" s="947">
        <f>$A235*S235*$T$1</f>
        <v>11.25</v>
      </c>
      <c r="W235" s="901">
        <v>4</v>
      </c>
    </row>
    <row r="236" spans="1:41" s="520" customFormat="1" ht="12">
      <c r="A236" s="758"/>
      <c r="B236" s="758"/>
      <c r="C236" s="758"/>
      <c r="D236" s="758"/>
      <c r="E236" s="758"/>
      <c r="F236" s="753"/>
      <c r="G236" s="758"/>
      <c r="H236" s="758"/>
      <c r="I236" s="519"/>
      <c r="J236" s="758"/>
      <c r="K236" s="758"/>
      <c r="L236" s="758"/>
      <c r="M236" s="758"/>
      <c r="N236" s="758"/>
      <c r="O236" s="758"/>
      <c r="P236" s="758"/>
      <c r="Q236" s="519"/>
      <c r="R236" s="759">
        <f t="shared" ref="R236" si="70">$A236*Q236</f>
        <v>0</v>
      </c>
      <c r="S236" s="519"/>
      <c r="T236" s="760">
        <f t="shared" ref="T236" si="71">$A236*S236*$T$1</f>
        <v>0</v>
      </c>
    </row>
    <row r="237" spans="1:41" s="520" customFormat="1" ht="12.6" thickBot="1">
      <c r="A237" s="761" t="s">
        <v>145</v>
      </c>
      <c r="B237" s="762">
        <f>(R236+T236)</f>
        <v>0</v>
      </c>
      <c r="C237" s="763"/>
      <c r="D237" s="763"/>
      <c r="E237" s="763"/>
      <c r="F237" s="764"/>
      <c r="G237" s="763" t="s">
        <v>146</v>
      </c>
      <c r="H237" s="763"/>
      <c r="I237" s="765"/>
      <c r="J237" s="763"/>
      <c r="K237" s="763" t="s">
        <v>13</v>
      </c>
      <c r="L237" s="766" t="s">
        <v>143</v>
      </c>
      <c r="M237" s="766"/>
      <c r="N237" s="766"/>
      <c r="O237" s="766"/>
      <c r="P237" s="766"/>
      <c r="Q237" s="767"/>
      <c r="R237" s="768">
        <f>SUM(R234:R236)</f>
        <v>410.46500000000003</v>
      </c>
      <c r="S237" s="763"/>
      <c r="T237" s="768">
        <f>SUM(T234:T236)</f>
        <v>11.25</v>
      </c>
      <c r="U237" s="531"/>
      <c r="V237" s="531"/>
      <c r="W237" s="531"/>
      <c r="X237" s="531"/>
      <c r="Y237" s="531"/>
      <c r="Z237" s="531"/>
      <c r="AA237" s="531"/>
      <c r="AB237" s="531"/>
      <c r="AC237" s="531"/>
      <c r="AD237" s="531"/>
      <c r="AE237" s="531"/>
      <c r="AF237" s="531"/>
      <c r="AG237" s="531"/>
      <c r="AH237" s="531"/>
      <c r="AI237" s="531"/>
      <c r="AJ237" s="531"/>
      <c r="AK237" s="531"/>
      <c r="AL237" s="531"/>
      <c r="AM237" s="531"/>
      <c r="AN237" s="531"/>
      <c r="AO237" s="531"/>
    </row>
    <row r="238" spans="1:41" s="520" customFormat="1" ht="12" thickTop="1">
      <c r="A238" s="51"/>
      <c r="B238" s="41"/>
      <c r="C238" s="51"/>
      <c r="E238" s="42" t="s">
        <v>138</v>
      </c>
      <c r="F238" s="42" t="s">
        <v>139</v>
      </c>
      <c r="G238" s="51"/>
      <c r="H238" s="51"/>
      <c r="I238" s="51"/>
      <c r="J238" s="51"/>
      <c r="K238" s="51" t="s">
        <v>140</v>
      </c>
      <c r="L238" s="51"/>
      <c r="M238" s="51"/>
      <c r="N238" s="51"/>
      <c r="O238" s="52"/>
      <c r="P238" s="51"/>
      <c r="Q238" s="51"/>
      <c r="R238" s="51"/>
      <c r="S238" s="51"/>
      <c r="T238" s="41"/>
      <c r="AG238" s="521" t="s">
        <v>268</v>
      </c>
      <c r="AH238" s="521" t="s">
        <v>269</v>
      </c>
      <c r="AI238" s="521" t="s">
        <v>270</v>
      </c>
      <c r="AJ238" s="521" t="s">
        <v>271</v>
      </c>
      <c r="AK238" s="521" t="s">
        <v>272</v>
      </c>
      <c r="AM238" s="745" t="s">
        <v>281</v>
      </c>
      <c r="AN238" s="746" t="s">
        <v>282</v>
      </c>
      <c r="AO238" s="522" t="s">
        <v>278</v>
      </c>
    </row>
    <row r="239" spans="1:41" s="520" customFormat="1" ht="12" customHeight="1">
      <c r="A239" s="747">
        <v>5</v>
      </c>
      <c r="B239" s="523" t="s">
        <v>141</v>
      </c>
      <c r="C239" s="748"/>
      <c r="D239" s="749" t="s">
        <v>2314</v>
      </c>
      <c r="E239" s="1187">
        <f>IF(AND($A239=0,$A$1="DIF"),0, ROUND(ROUND(($R243*$S$7+($T243*$T$7))/$A239,2)*$C$7,2))</f>
        <v>227.7</v>
      </c>
      <c r="F239" s="1188">
        <f>ROUND($A239*$E239,2)</f>
        <v>1138.5</v>
      </c>
      <c r="G239" s="752" t="s">
        <v>142</v>
      </c>
      <c r="H239" s="753"/>
      <c r="I239" s="754"/>
      <c r="J239" s="753"/>
      <c r="K239" s="753" t="s">
        <v>13</v>
      </c>
      <c r="L239" s="755" t="s">
        <v>143</v>
      </c>
      <c r="M239" s="755"/>
      <c r="N239" s="755"/>
      <c r="O239" s="755"/>
      <c r="P239" s="755"/>
      <c r="Q239" s="51"/>
      <c r="T239" s="1192" t="str">
        <f>IF(AND($R243=0,$T243=0),"0.00","mu: "&amp; ROUND(F239/$C$7/($R243+$T243*$D$9),2))</f>
        <v>mu: 1.23</v>
      </c>
      <c r="W239" s="524"/>
      <c r="AG239" s="1189">
        <f>IF($E239=0,0,ROUND($R243*$S$7*$C$7/$A239,2))</f>
        <v>151.62</v>
      </c>
      <c r="AH239" s="1189">
        <f>$AG239*$A239</f>
        <v>758.1</v>
      </c>
      <c r="AI239" s="1190">
        <f>$E239-$AG239</f>
        <v>76.079999999999984</v>
      </c>
      <c r="AJ239" s="1190">
        <f>$A239*$AI239</f>
        <v>380.39999999999992</v>
      </c>
      <c r="AK239" s="1191">
        <f>ROUND(($AG239+$AI239)*$A239,2)</f>
        <v>1138.5</v>
      </c>
      <c r="AM239" s="527">
        <f>ROUND(R243,2)</f>
        <v>615.66999999999996</v>
      </c>
      <c r="AN239" s="528">
        <f>ROUND(T243,2)</f>
        <v>11.25</v>
      </c>
      <c r="AO239" s="529">
        <f>ROUND(AM239+AN239,2)*A239</f>
        <v>3134.6</v>
      </c>
    </row>
    <row r="240" spans="1:41" s="520" customFormat="1" ht="13.2">
      <c r="A240" s="748"/>
      <c r="B240"/>
      <c r="C240" s="748"/>
      <c r="D240" s="749" t="s">
        <v>3476</v>
      </c>
      <c r="F240" s="753"/>
      <c r="G240" s="3"/>
      <c r="H240" s="753"/>
      <c r="I240" s="754"/>
      <c r="J240" s="753"/>
      <c r="K240" s="753" t="s">
        <v>144</v>
      </c>
      <c r="L240" s="753"/>
      <c r="M240" s="753"/>
      <c r="N240" s="753"/>
      <c r="O240" s="753"/>
      <c r="P240" s="753"/>
      <c r="Q240" s="51"/>
      <c r="R240" s="530"/>
      <c r="S240" s="757"/>
      <c r="T240" s="753"/>
    </row>
    <row r="241" spans="1:41" s="901" customFormat="1" ht="13.2">
      <c r="A241" s="116">
        <v>5</v>
      </c>
      <c r="B241" s="901" t="s">
        <v>863</v>
      </c>
      <c r="D241" s="901" t="s">
        <v>3503</v>
      </c>
      <c r="E241" s="1142" t="str">
        <f>D240</f>
        <v>1000 x 300 mm</v>
      </c>
      <c r="G241" s="941" t="s">
        <v>3504</v>
      </c>
      <c r="H241" s="942">
        <v>726</v>
      </c>
      <c r="I241" s="901" t="s">
        <v>2607</v>
      </c>
      <c r="O241" s="943">
        <v>3</v>
      </c>
      <c r="P241" s="944"/>
      <c r="Q241" s="1197">
        <f>1.1 *(111.94)</f>
        <v>123.134</v>
      </c>
      <c r="R241" s="946">
        <f>$A241*Q241</f>
        <v>615.66999999999996</v>
      </c>
      <c r="S241" s="1197">
        <v>2.5</v>
      </c>
      <c r="T241" s="947">
        <f>$A241*S241*$T$1</f>
        <v>11.25</v>
      </c>
      <c r="W241" s="901">
        <v>4</v>
      </c>
    </row>
    <row r="242" spans="1:41" s="520" customFormat="1" ht="12">
      <c r="A242" s="758"/>
      <c r="B242" s="758"/>
      <c r="C242" s="758"/>
      <c r="D242" s="758"/>
      <c r="E242" s="758"/>
      <c r="F242" s="753"/>
      <c r="G242" s="758"/>
      <c r="H242" s="758"/>
      <c r="I242" s="519"/>
      <c r="J242" s="758"/>
      <c r="K242" s="758"/>
      <c r="L242" s="758"/>
      <c r="M242" s="758"/>
      <c r="N242" s="758"/>
      <c r="O242" s="758"/>
      <c r="P242" s="758"/>
      <c r="Q242" s="519"/>
      <c r="R242" s="759">
        <f t="shared" ref="R242" si="72">$A242*Q242</f>
        <v>0</v>
      </c>
      <c r="S242" s="519"/>
      <c r="T242" s="760">
        <f t="shared" ref="T242" si="73">$A242*S242*$T$1</f>
        <v>0</v>
      </c>
    </row>
    <row r="243" spans="1:41" s="520" customFormat="1" ht="12.6" thickBot="1">
      <c r="A243" s="761" t="s">
        <v>145</v>
      </c>
      <c r="B243" s="762">
        <f>(R242+T242)</f>
        <v>0</v>
      </c>
      <c r="C243" s="763"/>
      <c r="D243" s="763"/>
      <c r="E243" s="763"/>
      <c r="F243" s="764"/>
      <c r="G243" s="763" t="s">
        <v>146</v>
      </c>
      <c r="H243" s="763"/>
      <c r="I243" s="765"/>
      <c r="J243" s="763"/>
      <c r="K243" s="763" t="s">
        <v>13</v>
      </c>
      <c r="L243" s="766" t="s">
        <v>143</v>
      </c>
      <c r="M243" s="766"/>
      <c r="N243" s="766"/>
      <c r="O243" s="766"/>
      <c r="P243" s="766"/>
      <c r="Q243" s="767"/>
      <c r="R243" s="768">
        <f>SUM(R240:R242)</f>
        <v>615.66999999999996</v>
      </c>
      <c r="S243" s="763"/>
      <c r="T243" s="768">
        <f>SUM(T240:T242)</f>
        <v>11.25</v>
      </c>
      <c r="U243" s="531"/>
      <c r="V243" s="531"/>
      <c r="W243" s="531"/>
      <c r="X243" s="531"/>
      <c r="Y243" s="531"/>
      <c r="Z243" s="531"/>
      <c r="AA243" s="531"/>
      <c r="AB243" s="531"/>
      <c r="AC243" s="531"/>
      <c r="AD243" s="531"/>
      <c r="AE243" s="531"/>
      <c r="AF243" s="531"/>
      <c r="AG243" s="531"/>
      <c r="AH243" s="531"/>
      <c r="AI243" s="531"/>
      <c r="AJ243" s="531"/>
      <c r="AK243" s="531"/>
      <c r="AL243" s="531"/>
      <c r="AM243" s="531"/>
      <c r="AN243" s="531"/>
      <c r="AO243" s="531"/>
    </row>
    <row r="244" spans="1:41" s="520" customFormat="1" ht="12" thickTop="1">
      <c r="A244" s="51"/>
      <c r="B244" s="41"/>
      <c r="C244" s="51"/>
      <c r="E244" s="42" t="s">
        <v>138</v>
      </c>
      <c r="F244" s="42" t="s">
        <v>139</v>
      </c>
      <c r="G244" s="51"/>
      <c r="H244" s="51"/>
      <c r="I244" s="51"/>
      <c r="J244" s="51"/>
      <c r="K244" s="51" t="s">
        <v>140</v>
      </c>
      <c r="L244" s="51"/>
      <c r="M244" s="51"/>
      <c r="N244" s="51"/>
      <c r="O244" s="52"/>
      <c r="P244" s="51"/>
      <c r="Q244" s="51"/>
      <c r="R244" s="51"/>
      <c r="S244" s="51"/>
      <c r="T244" s="41"/>
      <c r="AG244" s="521" t="s">
        <v>268</v>
      </c>
      <c r="AH244" s="521" t="s">
        <v>269</v>
      </c>
      <c r="AI244" s="521" t="s">
        <v>270</v>
      </c>
      <c r="AJ244" s="521" t="s">
        <v>271</v>
      </c>
      <c r="AK244" s="521" t="s">
        <v>272</v>
      </c>
      <c r="AM244" s="745" t="s">
        <v>281</v>
      </c>
      <c r="AN244" s="746" t="s">
        <v>282</v>
      </c>
      <c r="AO244" s="522" t="s">
        <v>278</v>
      </c>
    </row>
    <row r="245" spans="1:41" s="520" customFormat="1" ht="12" customHeight="1">
      <c r="A245" s="747">
        <v>5</v>
      </c>
      <c r="B245" s="523" t="s">
        <v>141</v>
      </c>
      <c r="C245" s="748"/>
      <c r="D245" s="749" t="s">
        <v>2315</v>
      </c>
      <c r="E245" s="1187">
        <f>IF(AND($A245=0,$A$1="DIF"),0, ROUND(ROUND(($R249*$S$7+($T249*$T$7))/$A245,2)*$C$7,2))</f>
        <v>278.23</v>
      </c>
      <c r="F245" s="1188">
        <f>ROUND($A245*$E245,2)</f>
        <v>1391.15</v>
      </c>
      <c r="G245" s="752" t="s">
        <v>142</v>
      </c>
      <c r="H245" s="753"/>
      <c r="I245" s="754"/>
      <c r="J245" s="753"/>
      <c r="K245" s="753" t="s">
        <v>13</v>
      </c>
      <c r="L245" s="755" t="s">
        <v>143</v>
      </c>
      <c r="M245" s="755"/>
      <c r="N245" s="755"/>
      <c r="O245" s="755"/>
      <c r="P245" s="755"/>
      <c r="Q245" s="51"/>
      <c r="T245" s="1192" t="str">
        <f>IF(AND($R249=0,$T249=0),"0.00","mu: "&amp; ROUND(F245/$C$7/($R249+$T249*$D$9),2))</f>
        <v>mu: 1.23</v>
      </c>
      <c r="W245" s="524"/>
      <c r="AG245" s="1189">
        <f>IF($E245=0,0,ROUND($R249*$S$7*$C$7/$A245,2))</f>
        <v>202.16</v>
      </c>
      <c r="AH245" s="1189">
        <f>$AG245*$A245</f>
        <v>1010.8</v>
      </c>
      <c r="AI245" s="1190">
        <f>$E245-$AG245</f>
        <v>76.070000000000022</v>
      </c>
      <c r="AJ245" s="1190">
        <f>$A245*$AI245</f>
        <v>380.35000000000014</v>
      </c>
      <c r="AK245" s="1191">
        <f>ROUND(($AG245+$AI245)*$A245,2)</f>
        <v>1391.15</v>
      </c>
      <c r="AM245" s="527">
        <f>ROUND(R249,2)</f>
        <v>820.88</v>
      </c>
      <c r="AN245" s="528">
        <f>ROUND(T249,2)</f>
        <v>11.25</v>
      </c>
      <c r="AO245" s="529">
        <f>ROUND(AM245+AN245,2)*A245</f>
        <v>4160.6499999999996</v>
      </c>
    </row>
    <row r="246" spans="1:41" s="520" customFormat="1" ht="13.2">
      <c r="A246" s="748"/>
      <c r="B246"/>
      <c r="C246" s="748"/>
      <c r="D246" s="749" t="s">
        <v>3477</v>
      </c>
      <c r="F246" s="753"/>
      <c r="G246" s="3"/>
      <c r="H246" s="753"/>
      <c r="I246" s="754"/>
      <c r="J246" s="753"/>
      <c r="K246" s="753" t="s">
        <v>144</v>
      </c>
      <c r="L246" s="753"/>
      <c r="M246" s="753"/>
      <c r="N246" s="753"/>
      <c r="O246" s="753"/>
      <c r="P246" s="753"/>
      <c r="Q246" s="51"/>
      <c r="R246" s="530"/>
      <c r="S246" s="757"/>
      <c r="T246" s="753"/>
    </row>
    <row r="247" spans="1:41" s="901" customFormat="1" ht="13.2">
      <c r="A247" s="116">
        <v>5</v>
      </c>
      <c r="B247" s="901" t="s">
        <v>863</v>
      </c>
      <c r="D247" s="901" t="s">
        <v>3503</v>
      </c>
      <c r="E247" s="1142" t="str">
        <f>D246</f>
        <v>1000 x 400 mm</v>
      </c>
      <c r="G247" s="941" t="s">
        <v>3504</v>
      </c>
      <c r="H247" s="942">
        <v>726</v>
      </c>
      <c r="I247" s="901" t="s">
        <v>2607</v>
      </c>
      <c r="O247" s="943">
        <v>3</v>
      </c>
      <c r="P247" s="944"/>
      <c r="Q247" s="1197">
        <f>1.1 *(149.25)</f>
        <v>164.17500000000001</v>
      </c>
      <c r="R247" s="946">
        <f>$A247*Q247</f>
        <v>820.875</v>
      </c>
      <c r="S247" s="1197">
        <v>2.5</v>
      </c>
      <c r="T247" s="947">
        <f>$A247*S247*$T$1</f>
        <v>11.25</v>
      </c>
      <c r="W247" s="901">
        <v>4</v>
      </c>
    </row>
    <row r="248" spans="1:41" s="520" customFormat="1" ht="12">
      <c r="A248" s="758"/>
      <c r="B248" s="758"/>
      <c r="C248" s="758"/>
      <c r="D248" s="758"/>
      <c r="E248" s="758"/>
      <c r="F248" s="753"/>
      <c r="G248" s="758"/>
      <c r="H248" s="758"/>
      <c r="I248" s="519"/>
      <c r="J248" s="758"/>
      <c r="K248" s="758"/>
      <c r="L248" s="758"/>
      <c r="M248" s="758"/>
      <c r="N248" s="758"/>
      <c r="O248" s="758"/>
      <c r="P248" s="758"/>
      <c r="Q248" s="519"/>
      <c r="R248" s="759">
        <f t="shared" ref="R248" si="74">$A248*Q248</f>
        <v>0</v>
      </c>
      <c r="S248" s="519"/>
      <c r="T248" s="760">
        <f t="shared" ref="T248" si="75">$A248*S248*$T$1</f>
        <v>0</v>
      </c>
    </row>
    <row r="249" spans="1:41" s="520" customFormat="1" ht="12.6" thickBot="1">
      <c r="A249" s="761" t="s">
        <v>145</v>
      </c>
      <c r="B249" s="762">
        <f>(R248+T248)</f>
        <v>0</v>
      </c>
      <c r="C249" s="763"/>
      <c r="D249" s="763"/>
      <c r="E249" s="763"/>
      <c r="F249" s="764"/>
      <c r="G249" s="763" t="s">
        <v>146</v>
      </c>
      <c r="H249" s="763"/>
      <c r="I249" s="765"/>
      <c r="J249" s="763"/>
      <c r="K249" s="763" t="s">
        <v>13</v>
      </c>
      <c r="L249" s="766" t="s">
        <v>143</v>
      </c>
      <c r="M249" s="766"/>
      <c r="N249" s="766"/>
      <c r="O249" s="766"/>
      <c r="P249" s="766"/>
      <c r="Q249" s="767"/>
      <c r="R249" s="768">
        <f>SUM(R246:R248)</f>
        <v>820.875</v>
      </c>
      <c r="S249" s="763"/>
      <c r="T249" s="768">
        <f>SUM(T246:T248)</f>
        <v>11.25</v>
      </c>
      <c r="U249" s="531"/>
      <c r="V249" s="531"/>
      <c r="W249" s="531"/>
      <c r="X249" s="531"/>
      <c r="Y249" s="531"/>
      <c r="Z249" s="531"/>
      <c r="AA249" s="531"/>
      <c r="AB249" s="531"/>
      <c r="AC249" s="531"/>
      <c r="AD249" s="531"/>
      <c r="AE249" s="531"/>
      <c r="AF249" s="531"/>
      <c r="AG249" s="531"/>
      <c r="AH249" s="531"/>
      <c r="AI249" s="531"/>
      <c r="AJ249" s="531"/>
      <c r="AK249" s="531"/>
      <c r="AL249" s="531"/>
      <c r="AM249" s="531"/>
      <c r="AN249" s="531"/>
      <c r="AO249" s="531"/>
    </row>
    <row r="250" spans="1:41" s="520" customFormat="1" ht="12" thickTop="1">
      <c r="A250" s="51"/>
      <c r="B250" s="41"/>
      <c r="C250" s="51"/>
      <c r="E250" s="42" t="s">
        <v>138</v>
      </c>
      <c r="F250" s="42" t="s">
        <v>139</v>
      </c>
      <c r="G250" s="51"/>
      <c r="H250" s="51"/>
      <c r="I250" s="51"/>
      <c r="J250" s="51"/>
      <c r="K250" s="51" t="s">
        <v>140</v>
      </c>
      <c r="L250" s="51"/>
      <c r="M250" s="51"/>
      <c r="N250" s="51"/>
      <c r="O250" s="52"/>
      <c r="P250" s="51"/>
      <c r="Q250" s="51"/>
      <c r="R250" s="51"/>
      <c r="S250" s="51"/>
      <c r="T250" s="41"/>
      <c r="AG250" s="521" t="s">
        <v>268</v>
      </c>
      <c r="AH250" s="521" t="s">
        <v>269</v>
      </c>
      <c r="AI250" s="521" t="s">
        <v>270</v>
      </c>
      <c r="AJ250" s="521" t="s">
        <v>271</v>
      </c>
      <c r="AK250" s="521" t="s">
        <v>272</v>
      </c>
      <c r="AM250" s="745" t="s">
        <v>281</v>
      </c>
      <c r="AN250" s="746" t="s">
        <v>282</v>
      </c>
      <c r="AO250" s="522" t="s">
        <v>278</v>
      </c>
    </row>
    <row r="251" spans="1:41" s="520" customFormat="1" ht="12" customHeight="1">
      <c r="A251" s="747">
        <v>5</v>
      </c>
      <c r="B251" s="523" t="s">
        <v>141</v>
      </c>
      <c r="C251" s="748"/>
      <c r="D251" s="749" t="s">
        <v>2316</v>
      </c>
      <c r="E251" s="1187">
        <f>IF(AND($A251=0,$A$1="DIF"),0, ROUND(ROUND(($R255*$S$7+($T255*$T$7))/$A251,2)*$C$7,2))</f>
        <v>328.77</v>
      </c>
      <c r="F251" s="1188">
        <f>ROUND($A251*$E251,2)</f>
        <v>1643.85</v>
      </c>
      <c r="G251" s="752" t="s">
        <v>142</v>
      </c>
      <c r="H251" s="753"/>
      <c r="I251" s="754"/>
      <c r="J251" s="753"/>
      <c r="K251" s="753" t="s">
        <v>13</v>
      </c>
      <c r="L251" s="755" t="s">
        <v>143</v>
      </c>
      <c r="M251" s="755"/>
      <c r="N251" s="755"/>
      <c r="O251" s="755"/>
      <c r="P251" s="755"/>
      <c r="Q251" s="51"/>
      <c r="T251" s="1192" t="str">
        <f>IF(AND($R255=0,$T255=0),"0.00","mu: "&amp; ROUND(F251/$C$7/($R255+$T255*$D$9),2))</f>
        <v>mu: 1.23</v>
      </c>
      <c r="W251" s="524"/>
      <c r="AG251" s="1189">
        <f>IF($E251=0,0,ROUND($R255*$S$7*$C$7/$A251,2))</f>
        <v>252.69</v>
      </c>
      <c r="AH251" s="1189">
        <f>$AG251*$A251</f>
        <v>1263.45</v>
      </c>
      <c r="AI251" s="1190">
        <f>$E251-$AG251</f>
        <v>76.079999999999984</v>
      </c>
      <c r="AJ251" s="1190">
        <f>$A251*$AI251</f>
        <v>380.39999999999992</v>
      </c>
      <c r="AK251" s="1191">
        <f>ROUND(($AG251+$AI251)*$A251,2)</f>
        <v>1643.85</v>
      </c>
      <c r="AM251" s="527">
        <f>ROUND(R255,2)</f>
        <v>1026.08</v>
      </c>
      <c r="AN251" s="528">
        <f>ROUND(T255,2)</f>
        <v>11.25</v>
      </c>
      <c r="AO251" s="529">
        <f>ROUND(AM251+AN251,2)*A251</f>
        <v>5186.6499999999996</v>
      </c>
    </row>
    <row r="252" spans="1:41" s="520" customFormat="1" ht="13.2">
      <c r="A252" s="748"/>
      <c r="B252"/>
      <c r="C252" s="748"/>
      <c r="D252" s="749" t="s">
        <v>3478</v>
      </c>
      <c r="F252" s="753"/>
      <c r="G252" s="3"/>
      <c r="H252" s="753"/>
      <c r="I252" s="754"/>
      <c r="J252" s="753"/>
      <c r="K252" s="753" t="s">
        <v>144</v>
      </c>
      <c r="L252" s="753"/>
      <c r="M252" s="753"/>
      <c r="N252" s="753"/>
      <c r="O252" s="753"/>
      <c r="P252" s="753"/>
      <c r="Q252" s="51"/>
      <c r="R252" s="530"/>
      <c r="S252" s="757"/>
      <c r="T252" s="753"/>
    </row>
    <row r="253" spans="1:41" s="901" customFormat="1" ht="13.2">
      <c r="A253" s="116">
        <v>5</v>
      </c>
      <c r="B253" s="901" t="s">
        <v>863</v>
      </c>
      <c r="D253" s="901" t="s">
        <v>3503</v>
      </c>
      <c r="E253" s="1142" t="str">
        <f>D252</f>
        <v>1000 x 500 mm</v>
      </c>
      <c r="G253" s="941" t="s">
        <v>3504</v>
      </c>
      <c r="H253" s="942">
        <v>726</v>
      </c>
      <c r="I253" s="901" t="s">
        <v>2607</v>
      </c>
      <c r="O253" s="943">
        <v>3</v>
      </c>
      <c r="P253" s="944"/>
      <c r="Q253" s="1197">
        <f>1.1 *(186.56)</f>
        <v>205.21600000000001</v>
      </c>
      <c r="R253" s="946">
        <f>$A253*Q253</f>
        <v>1026.08</v>
      </c>
      <c r="S253" s="1197">
        <v>2.5</v>
      </c>
      <c r="T253" s="947">
        <f>$A253*S253*$T$1</f>
        <v>11.25</v>
      </c>
      <c r="W253" s="901">
        <v>4</v>
      </c>
    </row>
    <row r="254" spans="1:41" s="520" customFormat="1" ht="12">
      <c r="A254" s="758"/>
      <c r="B254" s="758"/>
      <c r="C254" s="758"/>
      <c r="D254" s="758"/>
      <c r="E254" s="758"/>
      <c r="F254" s="753"/>
      <c r="G254" s="758"/>
      <c r="H254" s="758"/>
      <c r="I254" s="519"/>
      <c r="J254" s="758"/>
      <c r="K254" s="758"/>
      <c r="L254" s="758"/>
      <c r="M254" s="758"/>
      <c r="N254" s="758"/>
      <c r="O254" s="758"/>
      <c r="P254" s="758"/>
      <c r="Q254" s="519"/>
      <c r="R254" s="759">
        <f t="shared" ref="R254" si="76">$A254*Q254</f>
        <v>0</v>
      </c>
      <c r="S254" s="519"/>
      <c r="T254" s="760">
        <f t="shared" ref="T254" si="77">$A254*S254*$T$1</f>
        <v>0</v>
      </c>
    </row>
    <row r="255" spans="1:41" s="520" customFormat="1" ht="12.6" thickBot="1">
      <c r="A255" s="761" t="s">
        <v>145</v>
      </c>
      <c r="B255" s="762">
        <f>(R254+T254)</f>
        <v>0</v>
      </c>
      <c r="C255" s="763"/>
      <c r="D255" s="763"/>
      <c r="E255" s="763"/>
      <c r="F255" s="764"/>
      <c r="G255" s="763" t="s">
        <v>146</v>
      </c>
      <c r="H255" s="763"/>
      <c r="I255" s="765"/>
      <c r="J255" s="763"/>
      <c r="K255" s="763" t="s">
        <v>13</v>
      </c>
      <c r="L255" s="766" t="s">
        <v>143</v>
      </c>
      <c r="M255" s="766"/>
      <c r="N255" s="766"/>
      <c r="O255" s="766"/>
      <c r="P255" s="766"/>
      <c r="Q255" s="767"/>
      <c r="R255" s="768">
        <f>SUM(R252:R254)</f>
        <v>1026.08</v>
      </c>
      <c r="S255" s="763"/>
      <c r="T255" s="768">
        <f>SUM(T252:T254)</f>
        <v>11.25</v>
      </c>
      <c r="U255" s="531"/>
      <c r="V255" s="531"/>
      <c r="W255" s="531"/>
      <c r="X255" s="531"/>
      <c r="Y255" s="531"/>
      <c r="Z255" s="531"/>
      <c r="AA255" s="531"/>
      <c r="AB255" s="531"/>
      <c r="AC255" s="531"/>
      <c r="AD255" s="531"/>
      <c r="AE255" s="531"/>
      <c r="AF255" s="531"/>
      <c r="AG255" s="531"/>
      <c r="AH255" s="531"/>
      <c r="AI255" s="531"/>
      <c r="AJ255" s="531"/>
      <c r="AK255" s="531"/>
      <c r="AL255" s="531"/>
      <c r="AM255" s="531"/>
      <c r="AN255" s="531"/>
      <c r="AO255" s="531"/>
    </row>
    <row r="256" spans="1:41" s="520" customFormat="1" ht="12" thickTop="1">
      <c r="A256" s="51"/>
      <c r="B256" s="41"/>
      <c r="C256" s="51"/>
      <c r="E256" s="42" t="s">
        <v>138</v>
      </c>
      <c r="F256" s="42" t="s">
        <v>139</v>
      </c>
      <c r="G256" s="51"/>
      <c r="H256" s="51"/>
      <c r="I256" s="51"/>
      <c r="J256" s="51"/>
      <c r="K256" s="51" t="s">
        <v>140</v>
      </c>
      <c r="L256" s="51"/>
      <c r="M256" s="51"/>
      <c r="N256" s="51"/>
      <c r="O256" s="52"/>
      <c r="P256" s="51"/>
      <c r="Q256" s="51"/>
      <c r="R256" s="51"/>
      <c r="S256" s="51"/>
      <c r="T256" s="41"/>
      <c r="AG256" s="521" t="s">
        <v>268</v>
      </c>
      <c r="AH256" s="521" t="s">
        <v>269</v>
      </c>
      <c r="AI256" s="521" t="s">
        <v>270</v>
      </c>
      <c r="AJ256" s="521" t="s">
        <v>271</v>
      </c>
      <c r="AK256" s="521" t="s">
        <v>272</v>
      </c>
      <c r="AM256" s="745" t="s">
        <v>281</v>
      </c>
      <c r="AN256" s="746" t="s">
        <v>282</v>
      </c>
      <c r="AO256" s="522" t="s">
        <v>278</v>
      </c>
    </row>
    <row r="257" spans="1:41" s="520" customFormat="1" ht="12" customHeight="1">
      <c r="A257" s="747">
        <v>5</v>
      </c>
      <c r="B257" s="523" t="s">
        <v>141</v>
      </c>
      <c r="C257" s="748"/>
      <c r="D257" s="749" t="s">
        <v>2317</v>
      </c>
      <c r="E257" s="1187">
        <f>IF(AND($A257=0,$A$1="DIF"),0, ROUND(ROUND(($R261*$S$7+($T261*$T$7))/$A257,2)*$C$7,2))</f>
        <v>202.48</v>
      </c>
      <c r="F257" s="1188">
        <f>ROUND($A257*$E257,2)</f>
        <v>1012.4</v>
      </c>
      <c r="G257" s="752" t="s">
        <v>142</v>
      </c>
      <c r="H257" s="753"/>
      <c r="I257" s="754"/>
      <c r="J257" s="753"/>
      <c r="K257" s="753" t="s">
        <v>13</v>
      </c>
      <c r="L257" s="755" t="s">
        <v>143</v>
      </c>
      <c r="M257" s="755"/>
      <c r="N257" s="755"/>
      <c r="O257" s="755"/>
      <c r="P257" s="755"/>
      <c r="Q257" s="51"/>
      <c r="T257" s="1192" t="str">
        <f>IF(AND($R261=0,$T261=0),"0.00","mu: "&amp; ROUND(F257/$C$7/($R261+$T261*$D$9),2))</f>
        <v>mu: 1.23</v>
      </c>
      <c r="W257" s="524"/>
      <c r="AG257" s="1189">
        <f>IF($E257=0,0,ROUND($R261*$S$7*$C$7/$A257,2))</f>
        <v>111.19</v>
      </c>
      <c r="AH257" s="1189">
        <f>$AG257*$A257</f>
        <v>555.95000000000005</v>
      </c>
      <c r="AI257" s="1190">
        <f>$E257-$AG257</f>
        <v>91.289999999999992</v>
      </c>
      <c r="AJ257" s="1190">
        <f>$A257*$AI257</f>
        <v>456.44999999999993</v>
      </c>
      <c r="AK257" s="1191">
        <f>ROUND(($AG257+$AI257)*$A257,2)</f>
        <v>1012.4</v>
      </c>
      <c r="AM257" s="527">
        <f>ROUND(R261,2)</f>
        <v>451.5</v>
      </c>
      <c r="AN257" s="528">
        <f>ROUND(T261,2)</f>
        <v>13.5</v>
      </c>
      <c r="AO257" s="529">
        <f>ROUND(AM257+AN257,2)*A257</f>
        <v>2325</v>
      </c>
    </row>
    <row r="258" spans="1:41" s="520" customFormat="1" ht="13.2">
      <c r="A258" s="748"/>
      <c r="B258"/>
      <c r="C258" s="748"/>
      <c r="D258" s="749" t="s">
        <v>3479</v>
      </c>
      <c r="F258" s="753"/>
      <c r="G258" s="3"/>
      <c r="H258" s="753"/>
      <c r="I258" s="754"/>
      <c r="J258" s="753"/>
      <c r="K258" s="753" t="s">
        <v>144</v>
      </c>
      <c r="L258" s="753"/>
      <c r="M258" s="753"/>
      <c r="N258" s="753"/>
      <c r="O258" s="753"/>
      <c r="P258" s="753"/>
      <c r="Q258" s="51"/>
      <c r="R258" s="530"/>
      <c r="S258" s="757"/>
      <c r="T258" s="753"/>
    </row>
    <row r="259" spans="1:41" s="901" customFormat="1" ht="13.2">
      <c r="A259" s="116">
        <v>5</v>
      </c>
      <c r="B259" s="901" t="s">
        <v>863</v>
      </c>
      <c r="D259" s="901" t="s">
        <v>3503</v>
      </c>
      <c r="E259" s="1142" t="str">
        <f>D258</f>
        <v>1100 x 200 mm</v>
      </c>
      <c r="G259" s="941" t="s">
        <v>3504</v>
      </c>
      <c r="H259" s="942">
        <v>726</v>
      </c>
      <c r="I259" s="901" t="s">
        <v>2607</v>
      </c>
      <c r="O259" s="943">
        <v>3</v>
      </c>
      <c r="P259" s="944"/>
      <c r="Q259" s="1197">
        <f>1.1 *(82.09)</f>
        <v>90.299000000000007</v>
      </c>
      <c r="R259" s="946">
        <f>$A259*Q259</f>
        <v>451.495</v>
      </c>
      <c r="S259" s="1197">
        <v>3</v>
      </c>
      <c r="T259" s="947">
        <f>$A259*S259*$T$1</f>
        <v>13.5</v>
      </c>
      <c r="W259" s="901">
        <v>5</v>
      </c>
    </row>
    <row r="260" spans="1:41" s="520" customFormat="1" ht="12">
      <c r="A260" s="758"/>
      <c r="B260" s="758"/>
      <c r="C260" s="758"/>
      <c r="D260" s="758"/>
      <c r="E260" s="758"/>
      <c r="F260" s="753"/>
      <c r="G260" s="758"/>
      <c r="H260" s="758"/>
      <c r="I260" s="519"/>
      <c r="J260" s="758"/>
      <c r="K260" s="758"/>
      <c r="L260" s="758"/>
      <c r="M260" s="758"/>
      <c r="N260" s="758"/>
      <c r="O260" s="758"/>
      <c r="P260" s="758"/>
      <c r="Q260" s="519"/>
      <c r="R260" s="759">
        <f t="shared" ref="R260" si="78">$A260*Q260</f>
        <v>0</v>
      </c>
      <c r="S260" s="519"/>
      <c r="T260" s="760">
        <f t="shared" ref="T260" si="79">$A260*S260*$T$1</f>
        <v>0</v>
      </c>
    </row>
    <row r="261" spans="1:41" s="520" customFormat="1" ht="12.6" thickBot="1">
      <c r="A261" s="761" t="s">
        <v>145</v>
      </c>
      <c r="B261" s="762">
        <f>(R260+T260)</f>
        <v>0</v>
      </c>
      <c r="C261" s="763"/>
      <c r="D261" s="763"/>
      <c r="E261" s="763"/>
      <c r="F261" s="764"/>
      <c r="G261" s="763" t="s">
        <v>146</v>
      </c>
      <c r="H261" s="763"/>
      <c r="I261" s="765"/>
      <c r="J261" s="763"/>
      <c r="K261" s="763" t="s">
        <v>13</v>
      </c>
      <c r="L261" s="766" t="s">
        <v>143</v>
      </c>
      <c r="M261" s="766"/>
      <c r="N261" s="766"/>
      <c r="O261" s="766"/>
      <c r="P261" s="766"/>
      <c r="Q261" s="767"/>
      <c r="R261" s="768">
        <f>SUM(R258:R260)</f>
        <v>451.495</v>
      </c>
      <c r="S261" s="763"/>
      <c r="T261" s="768">
        <f>SUM(T258:T260)</f>
        <v>13.5</v>
      </c>
      <c r="U261" s="531"/>
      <c r="V261" s="531"/>
      <c r="W261" s="531"/>
      <c r="X261" s="531"/>
      <c r="Y261" s="531"/>
      <c r="Z261" s="531"/>
      <c r="AA261" s="531"/>
      <c r="AB261" s="531"/>
      <c r="AC261" s="531"/>
      <c r="AD261" s="531"/>
      <c r="AE261" s="531"/>
      <c r="AF261" s="531"/>
      <c r="AG261" s="531"/>
      <c r="AH261" s="531"/>
      <c r="AI261" s="531"/>
      <c r="AJ261" s="531"/>
      <c r="AK261" s="531"/>
      <c r="AL261" s="531"/>
      <c r="AM261" s="531"/>
      <c r="AN261" s="531"/>
      <c r="AO261" s="531"/>
    </row>
    <row r="262" spans="1:41" s="520" customFormat="1" ht="12" thickTop="1">
      <c r="A262" s="51"/>
      <c r="B262" s="41"/>
      <c r="C262" s="51"/>
      <c r="E262" s="42" t="s">
        <v>138</v>
      </c>
      <c r="F262" s="42" t="s">
        <v>139</v>
      </c>
      <c r="G262" s="51"/>
      <c r="H262" s="51"/>
      <c r="I262" s="51"/>
      <c r="J262" s="51"/>
      <c r="K262" s="51" t="s">
        <v>140</v>
      </c>
      <c r="L262" s="51"/>
      <c r="M262" s="51"/>
      <c r="N262" s="51"/>
      <c r="O262" s="52"/>
      <c r="P262" s="51"/>
      <c r="Q262" s="51"/>
      <c r="R262" s="51"/>
      <c r="S262" s="51"/>
      <c r="T262" s="41"/>
      <c r="AG262" s="521" t="s">
        <v>268</v>
      </c>
      <c r="AH262" s="521" t="s">
        <v>269</v>
      </c>
      <c r="AI262" s="521" t="s">
        <v>270</v>
      </c>
      <c r="AJ262" s="521" t="s">
        <v>271</v>
      </c>
      <c r="AK262" s="521" t="s">
        <v>272</v>
      </c>
      <c r="AM262" s="745" t="s">
        <v>281</v>
      </c>
      <c r="AN262" s="746" t="s">
        <v>282</v>
      </c>
      <c r="AO262" s="522" t="s">
        <v>278</v>
      </c>
    </row>
    <row r="263" spans="1:41" s="520" customFormat="1" ht="12" customHeight="1">
      <c r="A263" s="747">
        <v>5</v>
      </c>
      <c r="B263" s="523" t="s">
        <v>141</v>
      </c>
      <c r="C263" s="748"/>
      <c r="D263" s="749" t="s">
        <v>2318</v>
      </c>
      <c r="E263" s="1187">
        <f>IF(AND($A263=0,$A$1="DIF"),0, ROUND(ROUND(($R267*$S$7+($T267*$T$7))/$A263,2)*$C$7,2))</f>
        <v>258.07</v>
      </c>
      <c r="F263" s="1188">
        <f>ROUND($A263*$E263,2)</f>
        <v>1290.3499999999999</v>
      </c>
      <c r="G263" s="752" t="s">
        <v>142</v>
      </c>
      <c r="H263" s="753"/>
      <c r="I263" s="754"/>
      <c r="J263" s="753"/>
      <c r="K263" s="753" t="s">
        <v>13</v>
      </c>
      <c r="L263" s="755" t="s">
        <v>143</v>
      </c>
      <c r="M263" s="755"/>
      <c r="N263" s="755"/>
      <c r="O263" s="755"/>
      <c r="P263" s="755"/>
      <c r="Q263" s="51"/>
      <c r="T263" s="1192" t="str">
        <f>IF(AND($R267=0,$T267=0),"0.00","mu: "&amp; ROUND(F263/$C$7/($R267+$T267*$D$9),2))</f>
        <v>mu: 1.23</v>
      </c>
      <c r="W263" s="524"/>
      <c r="AG263" s="1189">
        <f>IF($E263=0,0,ROUND($R267*$S$7*$C$7/$A263,2))</f>
        <v>166.78</v>
      </c>
      <c r="AH263" s="1189">
        <f>$AG263*$A263</f>
        <v>833.9</v>
      </c>
      <c r="AI263" s="1190">
        <f>$E263-$AG263</f>
        <v>91.289999999999992</v>
      </c>
      <c r="AJ263" s="1190">
        <f>$A263*$AI263</f>
        <v>456.44999999999993</v>
      </c>
      <c r="AK263" s="1191">
        <f>ROUND(($AG263+$AI263)*$A263,2)</f>
        <v>1290.3499999999999</v>
      </c>
      <c r="AM263" s="527">
        <f>ROUND(R267,2)</f>
        <v>677.22</v>
      </c>
      <c r="AN263" s="528">
        <f>ROUND(T267,2)</f>
        <v>13.5</v>
      </c>
      <c r="AO263" s="529">
        <f>ROUND(AM263+AN263,2)*A263</f>
        <v>3453.6000000000004</v>
      </c>
    </row>
    <row r="264" spans="1:41" s="520" customFormat="1" ht="13.2">
      <c r="A264" s="748"/>
      <c r="B264"/>
      <c r="C264" s="748"/>
      <c r="D264" s="749" t="s">
        <v>3480</v>
      </c>
      <c r="F264" s="753"/>
      <c r="G264" s="3"/>
      <c r="H264" s="753"/>
      <c r="I264" s="754"/>
      <c r="J264" s="753"/>
      <c r="K264" s="753" t="s">
        <v>144</v>
      </c>
      <c r="L264" s="753"/>
      <c r="M264" s="753"/>
      <c r="N264" s="753"/>
      <c r="O264" s="753"/>
      <c r="P264" s="753"/>
      <c r="Q264" s="51"/>
      <c r="R264" s="530"/>
      <c r="S264" s="757"/>
      <c r="T264" s="753"/>
    </row>
    <row r="265" spans="1:41" s="901" customFormat="1" ht="13.2">
      <c r="A265" s="116">
        <v>5</v>
      </c>
      <c r="B265" s="901" t="s">
        <v>863</v>
      </c>
      <c r="D265" s="901" t="s">
        <v>3503</v>
      </c>
      <c r="E265" s="1142" t="str">
        <f>D264</f>
        <v>1100 x 300 mm</v>
      </c>
      <c r="G265" s="941" t="s">
        <v>3504</v>
      </c>
      <c r="H265" s="942">
        <v>726</v>
      </c>
      <c r="I265" s="901" t="s">
        <v>2607</v>
      </c>
      <c r="O265" s="943">
        <v>3</v>
      </c>
      <c r="P265" s="944"/>
      <c r="Q265" s="1197">
        <f>1.1 *(123.13)</f>
        <v>135.44300000000001</v>
      </c>
      <c r="R265" s="946">
        <f>$A265*Q265</f>
        <v>677.21500000000003</v>
      </c>
      <c r="S265" s="1197">
        <v>3</v>
      </c>
      <c r="T265" s="947">
        <f>$A265*S265*$T$1</f>
        <v>13.5</v>
      </c>
      <c r="W265" s="901">
        <v>5</v>
      </c>
    </row>
    <row r="266" spans="1:41" s="520" customFormat="1" ht="12">
      <c r="A266" s="758"/>
      <c r="B266" s="758"/>
      <c r="C266" s="758"/>
      <c r="D266" s="758"/>
      <c r="E266" s="758"/>
      <c r="F266" s="753"/>
      <c r="G266" s="758"/>
      <c r="H266" s="758"/>
      <c r="I266" s="519"/>
      <c r="J266" s="758"/>
      <c r="K266" s="758"/>
      <c r="L266" s="758"/>
      <c r="M266" s="758"/>
      <c r="N266" s="758"/>
      <c r="O266" s="758"/>
      <c r="P266" s="758"/>
      <c r="Q266" s="519"/>
      <c r="R266" s="759">
        <f t="shared" ref="R266" si="80">$A266*Q266</f>
        <v>0</v>
      </c>
      <c r="S266" s="519"/>
      <c r="T266" s="760">
        <f t="shared" ref="T266" si="81">$A266*S266*$T$1</f>
        <v>0</v>
      </c>
    </row>
    <row r="267" spans="1:41" s="520" customFormat="1" ht="12.6" thickBot="1">
      <c r="A267" s="761" t="s">
        <v>145</v>
      </c>
      <c r="B267" s="762">
        <f>(R266+T266)</f>
        <v>0</v>
      </c>
      <c r="C267" s="763"/>
      <c r="D267" s="763"/>
      <c r="E267" s="763"/>
      <c r="F267" s="764"/>
      <c r="G267" s="763" t="s">
        <v>146</v>
      </c>
      <c r="H267" s="763"/>
      <c r="I267" s="765"/>
      <c r="J267" s="763"/>
      <c r="K267" s="763" t="s">
        <v>13</v>
      </c>
      <c r="L267" s="766" t="s">
        <v>143</v>
      </c>
      <c r="M267" s="766"/>
      <c r="N267" s="766"/>
      <c r="O267" s="766"/>
      <c r="P267" s="766"/>
      <c r="Q267" s="767"/>
      <c r="R267" s="768">
        <f>SUM(R264:R266)</f>
        <v>677.21500000000003</v>
      </c>
      <c r="S267" s="763"/>
      <c r="T267" s="768">
        <f>SUM(T264:T266)</f>
        <v>13.5</v>
      </c>
      <c r="U267" s="531"/>
      <c r="V267" s="531"/>
      <c r="W267" s="531"/>
      <c r="X267" s="531"/>
      <c r="Y267" s="531"/>
      <c r="Z267" s="531"/>
      <c r="AA267" s="531"/>
      <c r="AB267" s="531"/>
      <c r="AC267" s="531"/>
      <c r="AD267" s="531"/>
      <c r="AE267" s="531"/>
      <c r="AF267" s="531"/>
      <c r="AG267" s="531"/>
      <c r="AH267" s="531"/>
      <c r="AI267" s="531"/>
      <c r="AJ267" s="531"/>
      <c r="AK267" s="531"/>
      <c r="AL267" s="531"/>
      <c r="AM267" s="531"/>
      <c r="AN267" s="531"/>
      <c r="AO267" s="531"/>
    </row>
    <row r="268" spans="1:41" s="520" customFormat="1" ht="12" thickTop="1">
      <c r="A268" s="51"/>
      <c r="B268" s="41"/>
      <c r="C268" s="51"/>
      <c r="E268" s="42" t="s">
        <v>138</v>
      </c>
      <c r="F268" s="42" t="s">
        <v>139</v>
      </c>
      <c r="G268" s="51"/>
      <c r="H268" s="51"/>
      <c r="I268" s="51"/>
      <c r="J268" s="51"/>
      <c r="K268" s="51" t="s">
        <v>140</v>
      </c>
      <c r="L268" s="51"/>
      <c r="M268" s="51"/>
      <c r="N268" s="51"/>
      <c r="O268" s="52"/>
      <c r="P268" s="51"/>
      <c r="Q268" s="51"/>
      <c r="R268" s="51"/>
      <c r="S268" s="51"/>
      <c r="T268" s="41"/>
      <c r="AG268" s="521" t="s">
        <v>268</v>
      </c>
      <c r="AH268" s="521" t="s">
        <v>269</v>
      </c>
      <c r="AI268" s="521" t="s">
        <v>270</v>
      </c>
      <c r="AJ268" s="521" t="s">
        <v>271</v>
      </c>
      <c r="AK268" s="521" t="s">
        <v>272</v>
      </c>
      <c r="AM268" s="745" t="s">
        <v>281</v>
      </c>
      <c r="AN268" s="746" t="s">
        <v>282</v>
      </c>
      <c r="AO268" s="522" t="s">
        <v>278</v>
      </c>
    </row>
    <row r="269" spans="1:41" s="520" customFormat="1" ht="12" customHeight="1">
      <c r="A269" s="747">
        <v>5</v>
      </c>
      <c r="B269" s="523" t="s">
        <v>141</v>
      </c>
      <c r="C269" s="748"/>
      <c r="D269" s="749" t="s">
        <v>2319</v>
      </c>
      <c r="E269" s="1187">
        <f>IF(AND($A269=0,$A$1="DIF"),0, ROUND(ROUND(($R273*$S$7+($T273*$T$7))/$A269,2)*$C$7,2))</f>
        <v>313.67</v>
      </c>
      <c r="F269" s="1188">
        <f>ROUND($A269*$E269,2)</f>
        <v>1568.35</v>
      </c>
      <c r="G269" s="752" t="s">
        <v>142</v>
      </c>
      <c r="H269" s="753"/>
      <c r="I269" s="754"/>
      <c r="J269" s="753"/>
      <c r="K269" s="753" t="s">
        <v>13</v>
      </c>
      <c r="L269" s="755" t="s">
        <v>143</v>
      </c>
      <c r="M269" s="755"/>
      <c r="N269" s="755"/>
      <c r="O269" s="755"/>
      <c r="P269" s="755"/>
      <c r="Q269" s="51"/>
      <c r="T269" s="1192" t="str">
        <f>IF(AND($R273=0,$T273=0),"0.00","mu: "&amp; ROUND(F269/$C$7/($R273+$T273*$D$9),2))</f>
        <v>mu: 1.23</v>
      </c>
      <c r="W269" s="524"/>
      <c r="AG269" s="1189">
        <f>IF($E269=0,0,ROUND($R273*$S$7*$C$7/$A269,2))</f>
        <v>222.38</v>
      </c>
      <c r="AH269" s="1189">
        <f>$AG269*$A269</f>
        <v>1111.9000000000001</v>
      </c>
      <c r="AI269" s="1190">
        <f>$E269-$AG269</f>
        <v>91.29000000000002</v>
      </c>
      <c r="AJ269" s="1190">
        <f>$A269*$AI269</f>
        <v>456.4500000000001</v>
      </c>
      <c r="AK269" s="1191">
        <f>ROUND(($AG269+$AI269)*$A269,2)</f>
        <v>1568.35</v>
      </c>
      <c r="AM269" s="527">
        <f>ROUND(R273,2)</f>
        <v>902.99</v>
      </c>
      <c r="AN269" s="528">
        <f>ROUND(T273,2)</f>
        <v>13.5</v>
      </c>
      <c r="AO269" s="529">
        <f>ROUND(AM269+AN269,2)*A269</f>
        <v>4582.45</v>
      </c>
    </row>
    <row r="270" spans="1:41" s="520" customFormat="1" ht="13.2">
      <c r="A270" s="748"/>
      <c r="B270"/>
      <c r="C270" s="748"/>
      <c r="D270" s="749" t="s">
        <v>3481</v>
      </c>
      <c r="F270" s="753"/>
      <c r="G270" s="3"/>
      <c r="H270" s="753"/>
      <c r="I270" s="754"/>
      <c r="J270" s="753"/>
      <c r="K270" s="753" t="s">
        <v>144</v>
      </c>
      <c r="L270" s="753"/>
      <c r="M270" s="753"/>
      <c r="N270" s="753"/>
      <c r="O270" s="753"/>
      <c r="P270" s="753"/>
      <c r="Q270" s="51"/>
      <c r="R270" s="530"/>
      <c r="S270" s="757"/>
      <c r="T270" s="753"/>
    </row>
    <row r="271" spans="1:41" s="901" customFormat="1" ht="13.2">
      <c r="A271" s="116">
        <v>5</v>
      </c>
      <c r="B271" s="901" t="s">
        <v>863</v>
      </c>
      <c r="D271" s="901" t="s">
        <v>3503</v>
      </c>
      <c r="E271" s="1142" t="str">
        <f>D270</f>
        <v>1100 x 400 mm</v>
      </c>
      <c r="G271" s="941" t="s">
        <v>3504</v>
      </c>
      <c r="H271" s="942">
        <v>726</v>
      </c>
      <c r="I271" s="901" t="s">
        <v>2607</v>
      </c>
      <c r="O271" s="943">
        <v>3</v>
      </c>
      <c r="P271" s="944"/>
      <c r="Q271" s="1197">
        <f>1.1 *(164.18)</f>
        <v>180.59800000000001</v>
      </c>
      <c r="R271" s="946">
        <f>$A271*Q271</f>
        <v>902.99</v>
      </c>
      <c r="S271" s="1197">
        <v>3</v>
      </c>
      <c r="T271" s="947">
        <f>$A271*S271*$T$1</f>
        <v>13.5</v>
      </c>
      <c r="W271" s="901">
        <v>5</v>
      </c>
    </row>
    <row r="272" spans="1:41" s="520" customFormat="1" ht="12">
      <c r="A272" s="758"/>
      <c r="B272" s="758"/>
      <c r="C272" s="758"/>
      <c r="D272" s="758"/>
      <c r="E272" s="758"/>
      <c r="F272" s="753"/>
      <c r="G272" s="758"/>
      <c r="H272" s="758"/>
      <c r="I272" s="519"/>
      <c r="J272" s="758"/>
      <c r="K272" s="758"/>
      <c r="L272" s="758"/>
      <c r="M272" s="758"/>
      <c r="N272" s="758"/>
      <c r="O272" s="758"/>
      <c r="P272" s="758"/>
      <c r="Q272" s="519"/>
      <c r="R272" s="759">
        <f t="shared" ref="R272" si="82">$A272*Q272</f>
        <v>0</v>
      </c>
      <c r="S272" s="519"/>
      <c r="T272" s="760">
        <f t="shared" ref="T272" si="83">$A272*S272*$T$1</f>
        <v>0</v>
      </c>
    </row>
    <row r="273" spans="1:41" s="520" customFormat="1" ht="12.6" thickBot="1">
      <c r="A273" s="761" t="s">
        <v>145</v>
      </c>
      <c r="B273" s="762">
        <f>(R272+T272)</f>
        <v>0</v>
      </c>
      <c r="C273" s="763"/>
      <c r="D273" s="763"/>
      <c r="E273" s="763"/>
      <c r="F273" s="764"/>
      <c r="G273" s="763" t="s">
        <v>146</v>
      </c>
      <c r="H273" s="763"/>
      <c r="I273" s="765"/>
      <c r="J273" s="763"/>
      <c r="K273" s="763" t="s">
        <v>13</v>
      </c>
      <c r="L273" s="766" t="s">
        <v>143</v>
      </c>
      <c r="M273" s="766"/>
      <c r="N273" s="766"/>
      <c r="O273" s="766"/>
      <c r="P273" s="766"/>
      <c r="Q273" s="767"/>
      <c r="R273" s="768">
        <f>SUM(R270:R272)</f>
        <v>902.99</v>
      </c>
      <c r="S273" s="763"/>
      <c r="T273" s="768">
        <f>SUM(T270:T272)</f>
        <v>13.5</v>
      </c>
      <c r="U273" s="531"/>
      <c r="V273" s="531"/>
      <c r="W273" s="531"/>
      <c r="X273" s="531"/>
      <c r="Y273" s="531"/>
      <c r="Z273" s="531"/>
      <c r="AA273" s="531"/>
      <c r="AB273" s="531"/>
      <c r="AC273" s="531"/>
      <c r="AD273" s="531"/>
      <c r="AE273" s="531"/>
      <c r="AF273" s="531"/>
      <c r="AG273" s="531"/>
      <c r="AH273" s="531"/>
      <c r="AI273" s="531"/>
      <c r="AJ273" s="531"/>
      <c r="AK273" s="531"/>
      <c r="AL273" s="531"/>
      <c r="AM273" s="531"/>
      <c r="AN273" s="531"/>
      <c r="AO273" s="531"/>
    </row>
    <row r="274" spans="1:41" s="520" customFormat="1" ht="12" thickTop="1">
      <c r="A274" s="51"/>
      <c r="B274" s="41"/>
      <c r="C274" s="51"/>
      <c r="E274" s="42" t="s">
        <v>138</v>
      </c>
      <c r="F274" s="42" t="s">
        <v>139</v>
      </c>
      <c r="G274" s="51"/>
      <c r="H274" s="51"/>
      <c r="I274" s="51"/>
      <c r="J274" s="51"/>
      <c r="K274" s="51" t="s">
        <v>140</v>
      </c>
      <c r="L274" s="51"/>
      <c r="M274" s="51"/>
      <c r="N274" s="51"/>
      <c r="O274" s="52"/>
      <c r="P274" s="51"/>
      <c r="Q274" s="51"/>
      <c r="R274" s="51"/>
      <c r="S274" s="51"/>
      <c r="T274" s="41"/>
      <c r="AG274" s="521" t="s">
        <v>268</v>
      </c>
      <c r="AH274" s="521" t="s">
        <v>269</v>
      </c>
      <c r="AI274" s="521" t="s">
        <v>270</v>
      </c>
      <c r="AJ274" s="521" t="s">
        <v>271</v>
      </c>
      <c r="AK274" s="521" t="s">
        <v>272</v>
      </c>
      <c r="AM274" s="745" t="s">
        <v>281</v>
      </c>
      <c r="AN274" s="746" t="s">
        <v>282</v>
      </c>
      <c r="AO274" s="522" t="s">
        <v>278</v>
      </c>
    </row>
    <row r="275" spans="1:41" s="520" customFormat="1" ht="12" customHeight="1">
      <c r="A275" s="747">
        <v>5</v>
      </c>
      <c r="B275" s="523" t="s">
        <v>141</v>
      </c>
      <c r="C275" s="748"/>
      <c r="D275" s="749" t="s">
        <v>2320</v>
      </c>
      <c r="E275" s="1187">
        <f>IF(AND($A275=0,$A$1="DIF"),0, ROUND(ROUND(($R279*$S$7+($T279*$T$7))/$A275,2)*$C$7,2))</f>
        <v>369.26</v>
      </c>
      <c r="F275" s="1188">
        <f>ROUND($A275*$E275,2)</f>
        <v>1846.3</v>
      </c>
      <c r="G275" s="752" t="s">
        <v>142</v>
      </c>
      <c r="H275" s="753"/>
      <c r="I275" s="754"/>
      <c r="J275" s="753"/>
      <c r="K275" s="753" t="s">
        <v>13</v>
      </c>
      <c r="L275" s="755" t="s">
        <v>143</v>
      </c>
      <c r="M275" s="755"/>
      <c r="N275" s="755"/>
      <c r="O275" s="755"/>
      <c r="P275" s="755"/>
      <c r="Q275" s="51"/>
      <c r="T275" s="1192" t="str">
        <f>IF(AND($R279=0,$T279=0),"0.00","mu: "&amp; ROUND(F275/$C$7/($R279+$T279*$D$9),2))</f>
        <v>mu: 1.23</v>
      </c>
      <c r="W275" s="524"/>
      <c r="AG275" s="1189">
        <f>IF($E275=0,0,ROUND($R279*$S$7*$C$7/$A275,2))</f>
        <v>277.97000000000003</v>
      </c>
      <c r="AH275" s="1189">
        <f>$AG275*$A275</f>
        <v>1389.8500000000001</v>
      </c>
      <c r="AI275" s="1190">
        <f>$E275-$AG275</f>
        <v>91.289999999999964</v>
      </c>
      <c r="AJ275" s="1190">
        <f>$A275*$AI275</f>
        <v>456.44999999999982</v>
      </c>
      <c r="AK275" s="1191">
        <f>ROUND(($AG275+$AI275)*$A275,2)</f>
        <v>1846.3</v>
      </c>
      <c r="AM275" s="527">
        <f>ROUND(R279,2)</f>
        <v>1128.71</v>
      </c>
      <c r="AN275" s="528">
        <f>ROUND(T279,2)</f>
        <v>13.5</v>
      </c>
      <c r="AO275" s="529">
        <f>ROUND(AM275+AN275,2)*A275</f>
        <v>5711.05</v>
      </c>
    </row>
    <row r="276" spans="1:41" s="520" customFormat="1" ht="13.2">
      <c r="A276" s="748"/>
      <c r="B276"/>
      <c r="C276" s="748"/>
      <c r="D276" s="749" t="s">
        <v>3482</v>
      </c>
      <c r="F276" s="753"/>
      <c r="G276" s="3"/>
      <c r="H276" s="753"/>
      <c r="I276" s="754"/>
      <c r="J276" s="753"/>
      <c r="K276" s="753" t="s">
        <v>144</v>
      </c>
      <c r="L276" s="753"/>
      <c r="M276" s="753"/>
      <c r="N276" s="753"/>
      <c r="O276" s="753"/>
      <c r="P276" s="753"/>
      <c r="Q276" s="51"/>
      <c r="R276" s="530"/>
      <c r="S276" s="757"/>
      <c r="T276" s="753"/>
    </row>
    <row r="277" spans="1:41" s="901" customFormat="1" ht="13.2">
      <c r="A277" s="116">
        <v>5</v>
      </c>
      <c r="B277" s="901" t="s">
        <v>863</v>
      </c>
      <c r="D277" s="901" t="s">
        <v>3503</v>
      </c>
      <c r="E277" s="1142" t="str">
        <f>D276</f>
        <v>1100 x 500 mm</v>
      </c>
      <c r="G277" s="941" t="s">
        <v>3504</v>
      </c>
      <c r="H277" s="942">
        <v>726</v>
      </c>
      <c r="I277" s="901" t="s">
        <v>2607</v>
      </c>
      <c r="O277" s="943">
        <v>3</v>
      </c>
      <c r="P277" s="944"/>
      <c r="Q277" s="1197">
        <f>1.1 *(205.22)</f>
        <v>225.74200000000002</v>
      </c>
      <c r="R277" s="946">
        <f>$A277*Q277</f>
        <v>1128.71</v>
      </c>
      <c r="S277" s="1197">
        <v>3</v>
      </c>
      <c r="T277" s="947">
        <f>$A277*S277*$T$1</f>
        <v>13.5</v>
      </c>
      <c r="W277" s="901">
        <v>5</v>
      </c>
    </row>
    <row r="278" spans="1:41" s="520" customFormat="1" ht="12">
      <c r="A278" s="758"/>
      <c r="B278" s="758"/>
      <c r="C278" s="758"/>
      <c r="D278" s="758"/>
      <c r="E278" s="758"/>
      <c r="F278" s="753"/>
      <c r="G278" s="758"/>
      <c r="H278" s="758"/>
      <c r="I278" s="519"/>
      <c r="J278" s="758"/>
      <c r="K278" s="758"/>
      <c r="L278" s="758"/>
      <c r="M278" s="758"/>
      <c r="N278" s="758"/>
      <c r="O278" s="758"/>
      <c r="P278" s="758"/>
      <c r="Q278" s="519"/>
      <c r="R278" s="759">
        <f t="shared" ref="R278" si="84">$A278*Q278</f>
        <v>0</v>
      </c>
      <c r="S278" s="519"/>
      <c r="T278" s="760">
        <f t="shared" ref="T278" si="85">$A278*S278*$T$1</f>
        <v>0</v>
      </c>
    </row>
    <row r="279" spans="1:41" s="520" customFormat="1" ht="12.6" thickBot="1">
      <c r="A279" s="761" t="s">
        <v>145</v>
      </c>
      <c r="B279" s="762">
        <f>(R278+T278)</f>
        <v>0</v>
      </c>
      <c r="C279" s="763"/>
      <c r="D279" s="763"/>
      <c r="E279" s="763"/>
      <c r="F279" s="764"/>
      <c r="G279" s="763" t="s">
        <v>146</v>
      </c>
      <c r="H279" s="763"/>
      <c r="I279" s="765"/>
      <c r="J279" s="763"/>
      <c r="K279" s="763" t="s">
        <v>13</v>
      </c>
      <c r="L279" s="766" t="s">
        <v>143</v>
      </c>
      <c r="M279" s="766"/>
      <c r="N279" s="766"/>
      <c r="O279" s="766"/>
      <c r="P279" s="766"/>
      <c r="Q279" s="767"/>
      <c r="R279" s="768">
        <f>SUM(R276:R278)</f>
        <v>1128.71</v>
      </c>
      <c r="S279" s="763"/>
      <c r="T279" s="768">
        <f>SUM(T276:T278)</f>
        <v>13.5</v>
      </c>
      <c r="U279" s="531"/>
      <c r="V279" s="531"/>
      <c r="W279" s="531"/>
      <c r="X279" s="531"/>
      <c r="Y279" s="531"/>
      <c r="Z279" s="531"/>
      <c r="AA279" s="531"/>
      <c r="AB279" s="531"/>
      <c r="AC279" s="531"/>
      <c r="AD279" s="531"/>
      <c r="AE279" s="531"/>
      <c r="AF279" s="531"/>
      <c r="AG279" s="531"/>
      <c r="AH279" s="531"/>
      <c r="AI279" s="531"/>
      <c r="AJ279" s="531"/>
      <c r="AK279" s="531"/>
      <c r="AL279" s="531"/>
      <c r="AM279" s="531"/>
      <c r="AN279" s="531"/>
      <c r="AO279" s="531"/>
    </row>
    <row r="280" spans="1:41" s="520" customFormat="1" ht="12" thickTop="1">
      <c r="A280" s="51"/>
      <c r="B280" s="41"/>
      <c r="C280" s="51"/>
      <c r="E280" s="42" t="s">
        <v>138</v>
      </c>
      <c r="F280" s="42" t="s">
        <v>139</v>
      </c>
      <c r="G280" s="51"/>
      <c r="H280" s="51"/>
      <c r="I280" s="51"/>
      <c r="J280" s="51"/>
      <c r="K280" s="51" t="s">
        <v>140</v>
      </c>
      <c r="L280" s="51"/>
      <c r="M280" s="51"/>
      <c r="N280" s="51"/>
      <c r="O280" s="52"/>
      <c r="P280" s="51"/>
      <c r="Q280" s="51"/>
      <c r="R280" s="51"/>
      <c r="S280" s="51"/>
      <c r="T280" s="41"/>
      <c r="AG280" s="521" t="s">
        <v>268</v>
      </c>
      <c r="AH280" s="521" t="s">
        <v>269</v>
      </c>
      <c r="AI280" s="521" t="s">
        <v>270</v>
      </c>
      <c r="AJ280" s="521" t="s">
        <v>271</v>
      </c>
      <c r="AK280" s="521" t="s">
        <v>272</v>
      </c>
      <c r="AM280" s="745" t="s">
        <v>281</v>
      </c>
      <c r="AN280" s="746" t="s">
        <v>282</v>
      </c>
      <c r="AO280" s="522" t="s">
        <v>278</v>
      </c>
    </row>
    <row r="281" spans="1:41" s="520" customFormat="1" ht="12" customHeight="1">
      <c r="A281" s="747">
        <v>5</v>
      </c>
      <c r="B281" s="523" t="s">
        <v>141</v>
      </c>
      <c r="C281" s="748"/>
      <c r="D281" s="749" t="s">
        <v>2321</v>
      </c>
      <c r="E281" s="1187">
        <f>IF(AND($A281=0,$A$1="DIF"),0, ROUND(ROUND(($R285*$S$7+($T285*$T$7))/$A281,2)*$C$7,2))</f>
        <v>243.02</v>
      </c>
      <c r="F281" s="1188">
        <f>ROUND($A281*$E281,2)</f>
        <v>1215.0999999999999</v>
      </c>
      <c r="G281" s="752" t="s">
        <v>142</v>
      </c>
      <c r="H281" s="753"/>
      <c r="I281" s="754"/>
      <c r="J281" s="753"/>
      <c r="K281" s="753" t="s">
        <v>13</v>
      </c>
      <c r="L281" s="755" t="s">
        <v>143</v>
      </c>
      <c r="M281" s="755"/>
      <c r="N281" s="755"/>
      <c r="O281" s="755"/>
      <c r="P281" s="755"/>
      <c r="Q281" s="51"/>
      <c r="T281" s="1192" t="str">
        <f>IF(AND($R285=0,$T285=0),"0.00","mu: "&amp; ROUND(F281/$C$7/($R285+$T285*$D$9),2))</f>
        <v>mu: 1.23</v>
      </c>
      <c r="W281" s="524"/>
      <c r="AG281" s="1189">
        <f>IF($E281=0,0,ROUND($R285*$S$7*$C$7/$A281,2))</f>
        <v>121.29</v>
      </c>
      <c r="AH281" s="1189">
        <f>$AG281*$A281</f>
        <v>606.45000000000005</v>
      </c>
      <c r="AI281" s="1190">
        <f>$E281-$AG281</f>
        <v>121.73</v>
      </c>
      <c r="AJ281" s="1190">
        <f>$A281*$AI281</f>
        <v>608.65</v>
      </c>
      <c r="AK281" s="1191">
        <f>ROUND(($AG281+$AI281)*$A281,2)</f>
        <v>1215.0999999999999</v>
      </c>
      <c r="AM281" s="527">
        <f>ROUND(R285,2)</f>
        <v>492.53</v>
      </c>
      <c r="AN281" s="528">
        <f>ROUND(T285,2)</f>
        <v>18</v>
      </c>
      <c r="AO281" s="529">
        <f>ROUND(AM281+AN281,2)*A281</f>
        <v>2552.6499999999996</v>
      </c>
    </row>
    <row r="282" spans="1:41" s="520" customFormat="1" ht="13.2">
      <c r="A282" s="748"/>
      <c r="B282"/>
      <c r="C282" s="748"/>
      <c r="D282" s="749" t="s">
        <v>3483</v>
      </c>
      <c r="F282" s="753"/>
      <c r="G282" s="3"/>
      <c r="H282" s="753"/>
      <c r="I282" s="754"/>
      <c r="J282" s="753"/>
      <c r="K282" s="753" t="s">
        <v>144</v>
      </c>
      <c r="L282" s="753"/>
      <c r="M282" s="753"/>
      <c r="N282" s="753"/>
      <c r="O282" s="753"/>
      <c r="P282" s="753"/>
      <c r="Q282" s="51"/>
      <c r="R282" s="530"/>
      <c r="S282" s="757"/>
      <c r="T282" s="753"/>
    </row>
    <row r="283" spans="1:41" s="901" customFormat="1" ht="13.2">
      <c r="A283" s="116">
        <v>5</v>
      </c>
      <c r="B283" s="901" t="s">
        <v>863</v>
      </c>
      <c r="D283" s="901" t="s">
        <v>3503</v>
      </c>
      <c r="E283" s="1142" t="str">
        <f>D282</f>
        <v>1200 x 200 mm</v>
      </c>
      <c r="G283" s="941" t="s">
        <v>3504</v>
      </c>
      <c r="H283" s="942">
        <v>726</v>
      </c>
      <c r="I283" s="901" t="s">
        <v>2607</v>
      </c>
      <c r="O283" s="943">
        <v>3</v>
      </c>
      <c r="P283" s="944"/>
      <c r="Q283" s="1197">
        <f>1.1 *(89.55)</f>
        <v>98.50500000000001</v>
      </c>
      <c r="R283" s="946">
        <f>$A283*Q283</f>
        <v>492.52500000000003</v>
      </c>
      <c r="S283" s="1197">
        <v>4</v>
      </c>
      <c r="T283" s="947">
        <f>$A283*S283*$T$1</f>
        <v>18</v>
      </c>
      <c r="W283" s="901">
        <v>6</v>
      </c>
    </row>
    <row r="284" spans="1:41" s="520" customFormat="1" ht="12">
      <c r="A284" s="758"/>
      <c r="B284" s="758"/>
      <c r="C284" s="758"/>
      <c r="D284" s="758"/>
      <c r="E284" s="758"/>
      <c r="F284" s="753"/>
      <c r="G284" s="758"/>
      <c r="H284" s="758"/>
      <c r="I284" s="519"/>
      <c r="J284" s="758"/>
      <c r="K284" s="758"/>
      <c r="L284" s="758"/>
      <c r="M284" s="758"/>
      <c r="N284" s="758"/>
      <c r="O284" s="758"/>
      <c r="P284" s="758"/>
      <c r="Q284" s="519"/>
      <c r="R284" s="759">
        <f t="shared" ref="R284" si="86">$A284*Q284</f>
        <v>0</v>
      </c>
      <c r="S284" s="519"/>
      <c r="T284" s="760">
        <f t="shared" ref="T284" si="87">$A284*S284*$T$1</f>
        <v>0</v>
      </c>
    </row>
    <row r="285" spans="1:41" s="520" customFormat="1" ht="12.6" thickBot="1">
      <c r="A285" s="761" t="s">
        <v>145</v>
      </c>
      <c r="B285" s="762">
        <f>(R284+T284)</f>
        <v>0</v>
      </c>
      <c r="C285" s="763"/>
      <c r="D285" s="763"/>
      <c r="E285" s="763"/>
      <c r="F285" s="764"/>
      <c r="G285" s="763" t="s">
        <v>146</v>
      </c>
      <c r="H285" s="763"/>
      <c r="I285" s="765"/>
      <c r="J285" s="763"/>
      <c r="K285" s="763" t="s">
        <v>13</v>
      </c>
      <c r="L285" s="766" t="s">
        <v>143</v>
      </c>
      <c r="M285" s="766"/>
      <c r="N285" s="766"/>
      <c r="O285" s="766"/>
      <c r="P285" s="766"/>
      <c r="Q285" s="767"/>
      <c r="R285" s="768">
        <f>SUM(R282:R284)</f>
        <v>492.52500000000003</v>
      </c>
      <c r="S285" s="763"/>
      <c r="T285" s="768">
        <f>SUM(T282:T284)</f>
        <v>18</v>
      </c>
      <c r="U285" s="531"/>
      <c r="V285" s="531"/>
      <c r="W285" s="531"/>
      <c r="X285" s="531"/>
      <c r="Y285" s="531"/>
      <c r="Z285" s="531"/>
      <c r="AA285" s="531"/>
      <c r="AB285" s="531"/>
      <c r="AC285" s="531"/>
      <c r="AD285" s="531"/>
      <c r="AE285" s="531"/>
      <c r="AF285" s="531"/>
      <c r="AG285" s="531"/>
      <c r="AH285" s="531"/>
      <c r="AI285" s="531"/>
      <c r="AJ285" s="531"/>
      <c r="AK285" s="531"/>
      <c r="AL285" s="531"/>
      <c r="AM285" s="531"/>
      <c r="AN285" s="531"/>
      <c r="AO285" s="531"/>
    </row>
    <row r="286" spans="1:41" s="520" customFormat="1" ht="12" thickTop="1">
      <c r="A286" s="51"/>
      <c r="B286" s="41"/>
      <c r="C286" s="51"/>
      <c r="E286" s="42" t="s">
        <v>138</v>
      </c>
      <c r="F286" s="42" t="s">
        <v>139</v>
      </c>
      <c r="G286" s="51"/>
      <c r="H286" s="51"/>
      <c r="I286" s="51"/>
      <c r="J286" s="51"/>
      <c r="K286" s="51" t="s">
        <v>140</v>
      </c>
      <c r="L286" s="51"/>
      <c r="M286" s="51"/>
      <c r="N286" s="51"/>
      <c r="O286" s="52"/>
      <c r="P286" s="51"/>
      <c r="Q286" s="51"/>
      <c r="R286" s="51"/>
      <c r="S286" s="51"/>
      <c r="T286" s="41"/>
      <c r="AG286" s="521" t="s">
        <v>268</v>
      </c>
      <c r="AH286" s="521" t="s">
        <v>269</v>
      </c>
      <c r="AI286" s="521" t="s">
        <v>270</v>
      </c>
      <c r="AJ286" s="521" t="s">
        <v>271</v>
      </c>
      <c r="AK286" s="521" t="s">
        <v>272</v>
      </c>
      <c r="AM286" s="745" t="s">
        <v>281</v>
      </c>
      <c r="AN286" s="746" t="s">
        <v>282</v>
      </c>
      <c r="AO286" s="522" t="s">
        <v>278</v>
      </c>
    </row>
    <row r="287" spans="1:41" s="520" customFormat="1" ht="12" customHeight="1">
      <c r="A287" s="747">
        <v>5</v>
      </c>
      <c r="B287" s="523" t="s">
        <v>141</v>
      </c>
      <c r="C287" s="748"/>
      <c r="D287" s="749" t="s">
        <v>2322</v>
      </c>
      <c r="E287" s="1187">
        <f>IF(AND($A287=0,$A$1="DIF"),0, ROUND(ROUND(($R291*$S$7+($T291*$T$7))/$A287,2)*$C$7,2))</f>
        <v>303.67</v>
      </c>
      <c r="F287" s="1188">
        <f>ROUND($A287*$E287,2)</f>
        <v>1518.35</v>
      </c>
      <c r="G287" s="752" t="s">
        <v>142</v>
      </c>
      <c r="H287" s="753"/>
      <c r="I287" s="754"/>
      <c r="J287" s="753"/>
      <c r="K287" s="753" t="s">
        <v>13</v>
      </c>
      <c r="L287" s="755" t="s">
        <v>143</v>
      </c>
      <c r="M287" s="755"/>
      <c r="N287" s="755"/>
      <c r="O287" s="755"/>
      <c r="P287" s="755"/>
      <c r="Q287" s="51"/>
      <c r="T287" s="1192" t="str">
        <f>IF(AND($R291=0,$T291=0),"0.00","mu: "&amp; ROUND(F287/$C$7/($R291+$T291*$D$9),2))</f>
        <v>mu: 1.23</v>
      </c>
      <c r="W287" s="524"/>
      <c r="AG287" s="1189">
        <f>IF($E287=0,0,ROUND($R291*$S$7*$C$7/$A287,2))</f>
        <v>181.95</v>
      </c>
      <c r="AH287" s="1189">
        <f>$AG287*$A287</f>
        <v>909.75</v>
      </c>
      <c r="AI287" s="1190">
        <f>$E287-$AG287</f>
        <v>121.72000000000003</v>
      </c>
      <c r="AJ287" s="1190">
        <f>$A287*$AI287</f>
        <v>608.60000000000014</v>
      </c>
      <c r="AK287" s="1191">
        <f>ROUND(($AG287+$AI287)*$A287,2)</f>
        <v>1518.35</v>
      </c>
      <c r="AM287" s="527">
        <f>ROUND(R291,2)</f>
        <v>738.82</v>
      </c>
      <c r="AN287" s="528">
        <f>ROUND(T291,2)</f>
        <v>18</v>
      </c>
      <c r="AO287" s="529">
        <f>ROUND(AM287+AN287,2)*A287</f>
        <v>3784.1000000000004</v>
      </c>
    </row>
    <row r="288" spans="1:41" s="520" customFormat="1" ht="13.2">
      <c r="A288" s="748"/>
      <c r="B288"/>
      <c r="C288" s="748"/>
      <c r="D288" s="749" t="s">
        <v>3484</v>
      </c>
      <c r="F288" s="753"/>
      <c r="G288" s="3"/>
      <c r="H288" s="753"/>
      <c r="I288" s="754"/>
      <c r="J288" s="753"/>
      <c r="K288" s="753" t="s">
        <v>144</v>
      </c>
      <c r="L288" s="753"/>
      <c r="M288" s="753"/>
      <c r="N288" s="753"/>
      <c r="O288" s="753"/>
      <c r="P288" s="753"/>
      <c r="Q288" s="51"/>
      <c r="R288" s="530"/>
      <c r="S288" s="757"/>
      <c r="T288" s="753"/>
    </row>
    <row r="289" spans="1:41" s="901" customFormat="1" ht="13.2">
      <c r="A289" s="116">
        <v>5</v>
      </c>
      <c r="B289" s="901" t="s">
        <v>863</v>
      </c>
      <c r="D289" s="901" t="s">
        <v>3503</v>
      </c>
      <c r="E289" s="1142" t="str">
        <f>D288</f>
        <v>1200 x 300 mm</v>
      </c>
      <c r="G289" s="941" t="s">
        <v>3504</v>
      </c>
      <c r="H289" s="942">
        <v>726</v>
      </c>
      <c r="I289" s="901" t="s">
        <v>2607</v>
      </c>
      <c r="O289" s="943">
        <v>3</v>
      </c>
      <c r="P289" s="944"/>
      <c r="Q289" s="1197">
        <f>1.1 *(134.33)</f>
        <v>147.76300000000003</v>
      </c>
      <c r="R289" s="946">
        <f>$A289*Q289</f>
        <v>738.81500000000017</v>
      </c>
      <c r="S289" s="1197">
        <v>4</v>
      </c>
      <c r="T289" s="947">
        <f>$A289*S289*$T$1</f>
        <v>18</v>
      </c>
      <c r="W289" s="901">
        <v>6</v>
      </c>
    </row>
    <row r="290" spans="1:41" s="520" customFormat="1" ht="12">
      <c r="A290" s="758"/>
      <c r="B290" s="758"/>
      <c r="C290" s="758"/>
      <c r="D290" s="758"/>
      <c r="E290" s="758"/>
      <c r="F290" s="753"/>
      <c r="G290" s="758"/>
      <c r="H290" s="758"/>
      <c r="I290" s="519"/>
      <c r="J290" s="758"/>
      <c r="K290" s="758"/>
      <c r="L290" s="758"/>
      <c r="M290" s="758"/>
      <c r="N290" s="758"/>
      <c r="O290" s="758"/>
      <c r="P290" s="758"/>
      <c r="Q290" s="519"/>
      <c r="R290" s="759">
        <f t="shared" ref="R290" si="88">$A290*Q290</f>
        <v>0</v>
      </c>
      <c r="S290" s="519"/>
      <c r="T290" s="760">
        <f t="shared" ref="T290" si="89">$A290*S290*$T$1</f>
        <v>0</v>
      </c>
    </row>
    <row r="291" spans="1:41" s="520" customFormat="1" ht="12.6" thickBot="1">
      <c r="A291" s="761" t="s">
        <v>145</v>
      </c>
      <c r="B291" s="762">
        <f>(R290+T290)</f>
        <v>0</v>
      </c>
      <c r="C291" s="763"/>
      <c r="D291" s="763"/>
      <c r="E291" s="763"/>
      <c r="F291" s="764"/>
      <c r="G291" s="763" t="s">
        <v>146</v>
      </c>
      <c r="H291" s="763"/>
      <c r="I291" s="765"/>
      <c r="J291" s="763"/>
      <c r="K291" s="763" t="s">
        <v>13</v>
      </c>
      <c r="L291" s="766" t="s">
        <v>143</v>
      </c>
      <c r="M291" s="766"/>
      <c r="N291" s="766"/>
      <c r="O291" s="766"/>
      <c r="P291" s="766"/>
      <c r="Q291" s="767"/>
      <c r="R291" s="768">
        <f>SUM(R288:R290)</f>
        <v>738.81500000000017</v>
      </c>
      <c r="S291" s="763"/>
      <c r="T291" s="768">
        <f>SUM(T288:T290)</f>
        <v>18</v>
      </c>
      <c r="U291" s="531"/>
      <c r="V291" s="531"/>
      <c r="W291" s="531"/>
      <c r="X291" s="531"/>
      <c r="Y291" s="531"/>
      <c r="Z291" s="531"/>
      <c r="AA291" s="531"/>
      <c r="AB291" s="531"/>
      <c r="AC291" s="531"/>
      <c r="AD291" s="531"/>
      <c r="AE291" s="531"/>
      <c r="AF291" s="531"/>
      <c r="AG291" s="531"/>
      <c r="AH291" s="531"/>
      <c r="AI291" s="531"/>
      <c r="AJ291" s="531"/>
      <c r="AK291" s="531"/>
      <c r="AL291" s="531"/>
      <c r="AM291" s="531"/>
      <c r="AN291" s="531"/>
      <c r="AO291" s="531"/>
    </row>
    <row r="292" spans="1:41" s="520" customFormat="1" ht="12" thickTop="1">
      <c r="A292" s="51"/>
      <c r="B292" s="41"/>
      <c r="C292" s="51"/>
      <c r="E292" s="42" t="s">
        <v>138</v>
      </c>
      <c r="F292" s="42" t="s">
        <v>139</v>
      </c>
      <c r="G292" s="51"/>
      <c r="H292" s="51"/>
      <c r="I292" s="51"/>
      <c r="J292" s="51"/>
      <c r="K292" s="51" t="s">
        <v>140</v>
      </c>
      <c r="L292" s="51"/>
      <c r="M292" s="51"/>
      <c r="N292" s="51"/>
      <c r="O292" s="52"/>
      <c r="P292" s="51"/>
      <c r="Q292" s="51"/>
      <c r="R292" s="51"/>
      <c r="S292" s="51"/>
      <c r="T292" s="41"/>
      <c r="AG292" s="521" t="s">
        <v>268</v>
      </c>
      <c r="AH292" s="521" t="s">
        <v>269</v>
      </c>
      <c r="AI292" s="521" t="s">
        <v>270</v>
      </c>
      <c r="AJ292" s="521" t="s">
        <v>271</v>
      </c>
      <c r="AK292" s="521" t="s">
        <v>272</v>
      </c>
      <c r="AM292" s="745" t="s">
        <v>281</v>
      </c>
      <c r="AN292" s="746" t="s">
        <v>282</v>
      </c>
      <c r="AO292" s="522" t="s">
        <v>278</v>
      </c>
    </row>
    <row r="293" spans="1:41" s="520" customFormat="1" ht="12" customHeight="1">
      <c r="A293" s="747">
        <v>5</v>
      </c>
      <c r="B293" s="523" t="s">
        <v>141</v>
      </c>
      <c r="C293" s="748"/>
      <c r="D293" s="749" t="s">
        <v>2323</v>
      </c>
      <c r="E293" s="1187">
        <f>IF(AND($A293=0,$A$1="DIF"),0, ROUND(ROUND(($R297*$S$7+($T297*$T$7))/$A293,2)*$C$7,2))</f>
        <v>364.31</v>
      </c>
      <c r="F293" s="1188">
        <f>ROUND($A293*$E293,2)</f>
        <v>1821.55</v>
      </c>
      <c r="G293" s="752" t="s">
        <v>142</v>
      </c>
      <c r="H293" s="753"/>
      <c r="I293" s="754"/>
      <c r="J293" s="753"/>
      <c r="K293" s="753" t="s">
        <v>13</v>
      </c>
      <c r="L293" s="755" t="s">
        <v>143</v>
      </c>
      <c r="M293" s="755"/>
      <c r="N293" s="755"/>
      <c r="O293" s="755"/>
      <c r="P293" s="755"/>
      <c r="Q293" s="51"/>
      <c r="T293" s="1192" t="str">
        <f>IF(AND($R297=0,$T297=0),"0.00","mu: "&amp; ROUND(F293/$C$7/($R297+$T297*$D$9),2))</f>
        <v>mu: 1.23</v>
      </c>
      <c r="W293" s="524"/>
      <c r="AG293" s="1189">
        <f>IF($E293=0,0,ROUND($R297*$S$7*$C$7/$A293,2))</f>
        <v>242.59</v>
      </c>
      <c r="AH293" s="1189">
        <f>$AG293*$A293</f>
        <v>1212.95</v>
      </c>
      <c r="AI293" s="1190">
        <f>$E293-$AG293</f>
        <v>121.72</v>
      </c>
      <c r="AJ293" s="1190">
        <f>$A293*$AI293</f>
        <v>608.6</v>
      </c>
      <c r="AK293" s="1191">
        <f>ROUND(($AG293+$AI293)*$A293,2)</f>
        <v>1821.55</v>
      </c>
      <c r="AM293" s="527">
        <f>ROUND(R297,2)</f>
        <v>985.05</v>
      </c>
      <c r="AN293" s="528">
        <f>ROUND(T297,2)</f>
        <v>18</v>
      </c>
      <c r="AO293" s="529">
        <f>ROUND(AM293+AN293,2)*A293</f>
        <v>5015.25</v>
      </c>
    </row>
    <row r="294" spans="1:41" s="520" customFormat="1" ht="13.2">
      <c r="A294" s="748"/>
      <c r="B294"/>
      <c r="C294" s="748"/>
      <c r="D294" s="749" t="s">
        <v>3485</v>
      </c>
      <c r="F294" s="753"/>
      <c r="G294" s="3"/>
      <c r="H294" s="753"/>
      <c r="I294" s="754"/>
      <c r="J294" s="753"/>
      <c r="K294" s="753" t="s">
        <v>144</v>
      </c>
      <c r="L294" s="753"/>
      <c r="M294" s="753"/>
      <c r="N294" s="753"/>
      <c r="O294" s="753"/>
      <c r="P294" s="753"/>
      <c r="Q294" s="51"/>
      <c r="R294" s="530"/>
      <c r="S294" s="757"/>
      <c r="T294" s="753"/>
    </row>
    <row r="295" spans="1:41" s="901" customFormat="1" ht="13.2">
      <c r="A295" s="116">
        <v>5</v>
      </c>
      <c r="B295" s="901" t="s">
        <v>863</v>
      </c>
      <c r="D295" s="901" t="s">
        <v>3503</v>
      </c>
      <c r="E295" s="1142" t="str">
        <f>D294</f>
        <v>1200 x 400 mm</v>
      </c>
      <c r="G295" s="941" t="s">
        <v>3504</v>
      </c>
      <c r="H295" s="942">
        <v>726</v>
      </c>
      <c r="I295" s="901" t="s">
        <v>2607</v>
      </c>
      <c r="O295" s="943">
        <v>3</v>
      </c>
      <c r="P295" s="944"/>
      <c r="Q295" s="1197">
        <f>1.1 *(179.1)</f>
        <v>197.01000000000002</v>
      </c>
      <c r="R295" s="946">
        <f>$A295*Q295</f>
        <v>985.05000000000007</v>
      </c>
      <c r="S295" s="1197">
        <v>4</v>
      </c>
      <c r="T295" s="947">
        <f>$A295*S295*$T$1</f>
        <v>18</v>
      </c>
      <c r="W295" s="901">
        <v>6</v>
      </c>
    </row>
    <row r="296" spans="1:41" s="520" customFormat="1" ht="12">
      <c r="A296" s="758"/>
      <c r="B296" s="758"/>
      <c r="C296" s="758"/>
      <c r="D296" s="758"/>
      <c r="E296" s="758"/>
      <c r="F296" s="753"/>
      <c r="G296" s="758"/>
      <c r="H296" s="758"/>
      <c r="I296" s="519"/>
      <c r="J296" s="758"/>
      <c r="K296" s="758"/>
      <c r="L296" s="758"/>
      <c r="M296" s="758"/>
      <c r="N296" s="758"/>
      <c r="O296" s="758"/>
      <c r="P296" s="758"/>
      <c r="Q296" s="519"/>
      <c r="R296" s="759">
        <f t="shared" ref="R296" si="90">$A296*Q296</f>
        <v>0</v>
      </c>
      <c r="S296" s="519"/>
      <c r="T296" s="760">
        <f t="shared" ref="T296" si="91">$A296*S296*$T$1</f>
        <v>0</v>
      </c>
    </row>
    <row r="297" spans="1:41" s="520" customFormat="1" ht="12.6" thickBot="1">
      <c r="A297" s="761" t="s">
        <v>145</v>
      </c>
      <c r="B297" s="762">
        <f>(R296+T296)</f>
        <v>0</v>
      </c>
      <c r="C297" s="763"/>
      <c r="D297" s="763"/>
      <c r="E297" s="763"/>
      <c r="F297" s="764"/>
      <c r="G297" s="763" t="s">
        <v>146</v>
      </c>
      <c r="H297" s="763"/>
      <c r="I297" s="765"/>
      <c r="J297" s="763"/>
      <c r="K297" s="763" t="s">
        <v>13</v>
      </c>
      <c r="L297" s="766" t="s">
        <v>143</v>
      </c>
      <c r="M297" s="766"/>
      <c r="N297" s="766"/>
      <c r="O297" s="766"/>
      <c r="P297" s="766"/>
      <c r="Q297" s="767"/>
      <c r="R297" s="768">
        <f>SUM(R294:R296)</f>
        <v>985.05000000000007</v>
      </c>
      <c r="S297" s="763"/>
      <c r="T297" s="768">
        <f>SUM(T294:T296)</f>
        <v>18</v>
      </c>
      <c r="U297" s="531"/>
      <c r="V297" s="531"/>
      <c r="W297" s="531"/>
      <c r="X297" s="531"/>
      <c r="Y297" s="531"/>
      <c r="Z297" s="531"/>
      <c r="AA297" s="531"/>
      <c r="AB297" s="531"/>
      <c r="AC297" s="531"/>
      <c r="AD297" s="531"/>
      <c r="AE297" s="531"/>
      <c r="AF297" s="531"/>
      <c r="AG297" s="531"/>
      <c r="AH297" s="531"/>
      <c r="AI297" s="531"/>
      <c r="AJ297" s="531"/>
      <c r="AK297" s="531"/>
      <c r="AL297" s="531"/>
      <c r="AM297" s="531"/>
      <c r="AN297" s="531"/>
      <c r="AO297" s="531"/>
    </row>
    <row r="298" spans="1:41" s="520" customFormat="1" ht="12" thickTop="1">
      <c r="A298" s="51"/>
      <c r="B298" s="41"/>
      <c r="C298" s="51"/>
      <c r="E298" s="42" t="s">
        <v>138</v>
      </c>
      <c r="F298" s="42" t="s">
        <v>139</v>
      </c>
      <c r="G298" s="51"/>
      <c r="H298" s="51"/>
      <c r="I298" s="51"/>
      <c r="J298" s="51"/>
      <c r="K298" s="51" t="s">
        <v>140</v>
      </c>
      <c r="L298" s="51"/>
      <c r="M298" s="51"/>
      <c r="N298" s="51"/>
      <c r="O298" s="52"/>
      <c r="P298" s="51"/>
      <c r="Q298" s="51"/>
      <c r="R298" s="51"/>
      <c r="S298" s="51"/>
      <c r="T298" s="41"/>
      <c r="AG298" s="521" t="s">
        <v>268</v>
      </c>
      <c r="AH298" s="521" t="s">
        <v>269</v>
      </c>
      <c r="AI298" s="521" t="s">
        <v>270</v>
      </c>
      <c r="AJ298" s="521" t="s">
        <v>271</v>
      </c>
      <c r="AK298" s="521" t="s">
        <v>272</v>
      </c>
      <c r="AM298" s="745" t="s">
        <v>281</v>
      </c>
      <c r="AN298" s="746" t="s">
        <v>282</v>
      </c>
      <c r="AO298" s="522" t="s">
        <v>278</v>
      </c>
    </row>
    <row r="299" spans="1:41" s="520" customFormat="1" ht="12" customHeight="1">
      <c r="A299" s="747">
        <v>5</v>
      </c>
      <c r="B299" s="523" t="s">
        <v>141</v>
      </c>
      <c r="C299" s="748"/>
      <c r="D299" s="749" t="s">
        <v>2324</v>
      </c>
      <c r="E299" s="1187">
        <f>IF(AND($A299=0,$A$1="DIF"),0, ROUND(ROUND(($R303*$S$7+($T303*$T$7))/$A299,2)*$C$7,2))</f>
        <v>253.12</v>
      </c>
      <c r="F299" s="1188">
        <f>ROUND($A299*$E299,2)</f>
        <v>1265.5999999999999</v>
      </c>
      <c r="G299" s="752" t="s">
        <v>142</v>
      </c>
      <c r="H299" s="753"/>
      <c r="I299" s="754"/>
      <c r="J299" s="753"/>
      <c r="K299" s="753" t="s">
        <v>13</v>
      </c>
      <c r="L299" s="755" t="s">
        <v>143</v>
      </c>
      <c r="M299" s="755"/>
      <c r="N299" s="755"/>
      <c r="O299" s="755"/>
      <c r="P299" s="755"/>
      <c r="Q299" s="51"/>
      <c r="T299" s="1192" t="str">
        <f>IF(AND($R303=0,$T303=0),"0.00","mu: "&amp; ROUND(F299/$C$7/($R303+$T303*$D$9),2))</f>
        <v>mu: 1.23</v>
      </c>
      <c r="W299" s="524"/>
      <c r="AG299" s="1189">
        <f>IF($E299=0,0,ROUND($R303*$S$7*$C$7/$A299,2))</f>
        <v>131.4</v>
      </c>
      <c r="AH299" s="1189">
        <f>$AG299*$A299</f>
        <v>657</v>
      </c>
      <c r="AI299" s="1190">
        <f>$E299-$AG299</f>
        <v>121.72</v>
      </c>
      <c r="AJ299" s="1190">
        <f>$A299*$AI299</f>
        <v>608.6</v>
      </c>
      <c r="AK299" s="1191">
        <f>ROUND(($AG299+$AI299)*$A299,2)</f>
        <v>1265.5999999999999</v>
      </c>
      <c r="AM299" s="527">
        <f>ROUND(R303,2)</f>
        <v>533.55999999999995</v>
      </c>
      <c r="AN299" s="528">
        <f>ROUND(T303,2)</f>
        <v>18</v>
      </c>
      <c r="AO299" s="529">
        <f>ROUND(AM299+AN299,2)*A299</f>
        <v>2757.7999999999997</v>
      </c>
    </row>
    <row r="300" spans="1:41" s="520" customFormat="1" ht="13.2">
      <c r="A300" s="748"/>
      <c r="B300"/>
      <c r="C300" s="748"/>
      <c r="D300" s="749" t="s">
        <v>3486</v>
      </c>
      <c r="F300" s="753"/>
      <c r="G300" s="3"/>
      <c r="H300" s="753"/>
      <c r="I300" s="754"/>
      <c r="J300" s="753"/>
      <c r="K300" s="753" t="s">
        <v>144</v>
      </c>
      <c r="L300" s="753"/>
      <c r="M300" s="753"/>
      <c r="N300" s="753"/>
      <c r="O300" s="753"/>
      <c r="P300" s="753"/>
      <c r="Q300" s="51"/>
      <c r="R300" s="530"/>
      <c r="S300" s="757"/>
      <c r="T300" s="753"/>
    </row>
    <row r="301" spans="1:41" s="901" customFormat="1" ht="13.2">
      <c r="A301" s="116">
        <v>5</v>
      </c>
      <c r="B301" s="901" t="s">
        <v>863</v>
      </c>
      <c r="D301" s="901" t="s">
        <v>3503</v>
      </c>
      <c r="E301" s="1142" t="str">
        <f>D300</f>
        <v>1300 x 200 mm</v>
      </c>
      <c r="G301" s="941" t="s">
        <v>3504</v>
      </c>
      <c r="H301" s="942">
        <v>726</v>
      </c>
      <c r="I301" s="901" t="s">
        <v>2607</v>
      </c>
      <c r="O301" s="943">
        <v>3</v>
      </c>
      <c r="P301" s="944"/>
      <c r="Q301" s="1197">
        <f>1.1 *(97.01)</f>
        <v>106.71100000000001</v>
      </c>
      <c r="R301" s="946">
        <f>$A301*Q301</f>
        <v>533.55500000000006</v>
      </c>
      <c r="S301" s="1197">
        <v>4</v>
      </c>
      <c r="T301" s="947">
        <f>$A301*S301*$T$1</f>
        <v>18</v>
      </c>
      <c r="W301" s="901">
        <v>6</v>
      </c>
    </row>
    <row r="302" spans="1:41" s="520" customFormat="1" ht="12">
      <c r="A302" s="758"/>
      <c r="B302" s="758"/>
      <c r="C302" s="758"/>
      <c r="D302" s="758"/>
      <c r="E302" s="758"/>
      <c r="F302" s="753"/>
      <c r="G302" s="758"/>
      <c r="H302" s="758"/>
      <c r="I302" s="519"/>
      <c r="J302" s="758"/>
      <c r="K302" s="758"/>
      <c r="L302" s="758"/>
      <c r="M302" s="758"/>
      <c r="N302" s="758"/>
      <c r="O302" s="758"/>
      <c r="P302" s="758"/>
      <c r="Q302" s="519"/>
      <c r="R302" s="759">
        <f t="shared" ref="R302" si="92">$A302*Q302</f>
        <v>0</v>
      </c>
      <c r="S302" s="519"/>
      <c r="T302" s="760">
        <f t="shared" ref="T302" si="93">$A302*S302*$T$1</f>
        <v>0</v>
      </c>
    </row>
    <row r="303" spans="1:41" s="520" customFormat="1" ht="12.6" thickBot="1">
      <c r="A303" s="761" t="s">
        <v>145</v>
      </c>
      <c r="B303" s="762">
        <f>(R302+T302)</f>
        <v>0</v>
      </c>
      <c r="C303" s="763"/>
      <c r="D303" s="763"/>
      <c r="E303" s="763"/>
      <c r="F303" s="764"/>
      <c r="G303" s="763" t="s">
        <v>146</v>
      </c>
      <c r="H303" s="763"/>
      <c r="I303" s="765"/>
      <c r="J303" s="763"/>
      <c r="K303" s="763" t="s">
        <v>13</v>
      </c>
      <c r="L303" s="766" t="s">
        <v>143</v>
      </c>
      <c r="M303" s="766"/>
      <c r="N303" s="766"/>
      <c r="O303" s="766"/>
      <c r="P303" s="766"/>
      <c r="Q303" s="767"/>
      <c r="R303" s="768">
        <f>SUM(R300:R302)</f>
        <v>533.55500000000006</v>
      </c>
      <c r="S303" s="763"/>
      <c r="T303" s="768">
        <f>SUM(T300:T302)</f>
        <v>18</v>
      </c>
      <c r="U303" s="531"/>
      <c r="V303" s="531"/>
      <c r="W303" s="531"/>
      <c r="X303" s="531"/>
      <c r="Y303" s="531"/>
      <c r="Z303" s="531"/>
      <c r="AA303" s="531"/>
      <c r="AB303" s="531"/>
      <c r="AC303" s="531"/>
      <c r="AD303" s="531"/>
      <c r="AE303" s="531"/>
      <c r="AF303" s="531"/>
      <c r="AG303" s="531"/>
      <c r="AH303" s="531"/>
      <c r="AI303" s="531"/>
      <c r="AJ303" s="531"/>
      <c r="AK303" s="531"/>
      <c r="AL303" s="531"/>
      <c r="AM303" s="531"/>
      <c r="AN303" s="531"/>
      <c r="AO303" s="531"/>
    </row>
    <row r="304" spans="1:41" s="520" customFormat="1" ht="12" thickTop="1">
      <c r="A304" s="51"/>
      <c r="B304" s="41"/>
      <c r="C304" s="51"/>
      <c r="E304" s="42" t="s">
        <v>138</v>
      </c>
      <c r="F304" s="42" t="s">
        <v>139</v>
      </c>
      <c r="G304" s="51"/>
      <c r="H304" s="51"/>
      <c r="I304" s="51"/>
      <c r="J304" s="51"/>
      <c r="K304" s="51" t="s">
        <v>140</v>
      </c>
      <c r="L304" s="51"/>
      <c r="M304" s="51"/>
      <c r="N304" s="51"/>
      <c r="O304" s="52"/>
      <c r="P304" s="51"/>
      <c r="Q304" s="51"/>
      <c r="R304" s="51"/>
      <c r="S304" s="51"/>
      <c r="T304" s="41"/>
      <c r="AG304" s="521" t="s">
        <v>268</v>
      </c>
      <c r="AH304" s="521" t="s">
        <v>269</v>
      </c>
      <c r="AI304" s="521" t="s">
        <v>270</v>
      </c>
      <c r="AJ304" s="521" t="s">
        <v>271</v>
      </c>
      <c r="AK304" s="521" t="s">
        <v>272</v>
      </c>
      <c r="AM304" s="745" t="s">
        <v>281</v>
      </c>
      <c r="AN304" s="746" t="s">
        <v>282</v>
      </c>
      <c r="AO304" s="522" t="s">
        <v>278</v>
      </c>
    </row>
    <row r="305" spans="1:41" s="520" customFormat="1" ht="12" customHeight="1">
      <c r="A305" s="747">
        <v>5</v>
      </c>
      <c r="B305" s="523" t="s">
        <v>141</v>
      </c>
      <c r="C305" s="748"/>
      <c r="D305" s="749" t="s">
        <v>2325</v>
      </c>
      <c r="E305" s="1187">
        <f>IF(AND($A305=0,$A$1="DIF"),0, ROUND(ROUND(($R309*$S$7+($T309*$T$7))/$A305,2)*$C$7,2))</f>
        <v>318.83</v>
      </c>
      <c r="F305" s="1188">
        <f>ROUND($A305*$E305,2)</f>
        <v>1594.15</v>
      </c>
      <c r="G305" s="752" t="s">
        <v>142</v>
      </c>
      <c r="H305" s="753"/>
      <c r="I305" s="754"/>
      <c r="J305" s="753"/>
      <c r="K305" s="753" t="s">
        <v>13</v>
      </c>
      <c r="L305" s="755" t="s">
        <v>143</v>
      </c>
      <c r="M305" s="755"/>
      <c r="N305" s="755"/>
      <c r="O305" s="755"/>
      <c r="P305" s="755"/>
      <c r="Q305" s="51"/>
      <c r="T305" s="1192" t="str">
        <f>IF(AND($R309=0,$T309=0),"0.00","mu: "&amp; ROUND(F305/$C$7/($R309+$T309*$D$9),2))</f>
        <v>mu: 1.23</v>
      </c>
      <c r="W305" s="524"/>
      <c r="AG305" s="1189">
        <f>IF($E305=0,0,ROUND($R309*$S$7*$C$7/$A305,2))</f>
        <v>197.1</v>
      </c>
      <c r="AH305" s="1189">
        <f>$AG305*$A305</f>
        <v>985.5</v>
      </c>
      <c r="AI305" s="1190">
        <f>$E305-$AG305</f>
        <v>121.72999999999999</v>
      </c>
      <c r="AJ305" s="1190">
        <f>$A305*$AI305</f>
        <v>608.65</v>
      </c>
      <c r="AK305" s="1191">
        <f>ROUND(($AG305+$AI305)*$A305,2)</f>
        <v>1594.15</v>
      </c>
      <c r="AM305" s="527">
        <f>ROUND(R309,2)</f>
        <v>800.36</v>
      </c>
      <c r="AN305" s="528">
        <f>ROUND(T309,2)</f>
        <v>18</v>
      </c>
      <c r="AO305" s="529">
        <f>ROUND(AM305+AN305,2)*A305</f>
        <v>4091.8</v>
      </c>
    </row>
    <row r="306" spans="1:41" s="520" customFormat="1" ht="13.2">
      <c r="A306" s="748"/>
      <c r="B306"/>
      <c r="C306" s="748"/>
      <c r="D306" s="749" t="s">
        <v>3487</v>
      </c>
      <c r="F306" s="753"/>
      <c r="G306" s="3"/>
      <c r="H306" s="753"/>
      <c r="I306" s="754"/>
      <c r="J306" s="753"/>
      <c r="K306" s="753" t="s">
        <v>144</v>
      </c>
      <c r="L306" s="753"/>
      <c r="M306" s="753"/>
      <c r="N306" s="753"/>
      <c r="O306" s="753"/>
      <c r="P306" s="753"/>
      <c r="Q306" s="51"/>
      <c r="R306" s="530"/>
      <c r="S306" s="757"/>
      <c r="T306" s="753"/>
    </row>
    <row r="307" spans="1:41" s="901" customFormat="1" ht="13.2">
      <c r="A307" s="116">
        <v>5</v>
      </c>
      <c r="B307" s="901" t="s">
        <v>863</v>
      </c>
      <c r="D307" s="901" t="s">
        <v>3503</v>
      </c>
      <c r="E307" s="1142" t="str">
        <f>D306</f>
        <v>1300 x 300 mm</v>
      </c>
      <c r="G307" s="941" t="s">
        <v>3504</v>
      </c>
      <c r="H307" s="942">
        <v>726</v>
      </c>
      <c r="I307" s="901" t="s">
        <v>2607</v>
      </c>
      <c r="O307" s="943">
        <v>3</v>
      </c>
      <c r="P307" s="944"/>
      <c r="Q307" s="1197">
        <f>1.1 *(145.52)</f>
        <v>160.07200000000003</v>
      </c>
      <c r="R307" s="946">
        <f>$A307*Q307</f>
        <v>800.36000000000013</v>
      </c>
      <c r="S307" s="1197">
        <v>4</v>
      </c>
      <c r="T307" s="947">
        <f>$A307*S307*$T$1</f>
        <v>18</v>
      </c>
      <c r="W307" s="901">
        <v>6</v>
      </c>
    </row>
    <row r="308" spans="1:41" s="520" customFormat="1" ht="12">
      <c r="A308" s="758"/>
      <c r="B308" s="758"/>
      <c r="C308" s="758"/>
      <c r="D308" s="758"/>
      <c r="E308" s="758"/>
      <c r="F308" s="753"/>
      <c r="G308" s="758"/>
      <c r="H308" s="758"/>
      <c r="I308" s="519"/>
      <c r="J308" s="758"/>
      <c r="K308" s="758"/>
      <c r="L308" s="758"/>
      <c r="M308" s="758"/>
      <c r="N308" s="758"/>
      <c r="O308" s="758"/>
      <c r="P308" s="758"/>
      <c r="Q308" s="519"/>
      <c r="R308" s="759">
        <f t="shared" ref="R308" si="94">$A308*Q308</f>
        <v>0</v>
      </c>
      <c r="S308" s="519"/>
      <c r="T308" s="760">
        <f t="shared" ref="T308" si="95">$A308*S308*$T$1</f>
        <v>0</v>
      </c>
    </row>
    <row r="309" spans="1:41" s="520" customFormat="1" ht="12.6" thickBot="1">
      <c r="A309" s="761" t="s">
        <v>145</v>
      </c>
      <c r="B309" s="762">
        <f>(R308+T308)</f>
        <v>0</v>
      </c>
      <c r="C309" s="763"/>
      <c r="D309" s="763"/>
      <c r="E309" s="763"/>
      <c r="F309" s="764"/>
      <c r="G309" s="763" t="s">
        <v>146</v>
      </c>
      <c r="H309" s="763"/>
      <c r="I309" s="765"/>
      <c r="J309" s="763"/>
      <c r="K309" s="763" t="s">
        <v>13</v>
      </c>
      <c r="L309" s="766" t="s">
        <v>143</v>
      </c>
      <c r="M309" s="766"/>
      <c r="N309" s="766"/>
      <c r="O309" s="766"/>
      <c r="P309" s="766"/>
      <c r="Q309" s="767"/>
      <c r="R309" s="768">
        <f>SUM(R306:R308)</f>
        <v>800.36000000000013</v>
      </c>
      <c r="S309" s="763"/>
      <c r="T309" s="768">
        <f>SUM(T306:T308)</f>
        <v>18</v>
      </c>
      <c r="U309" s="531"/>
      <c r="V309" s="531"/>
      <c r="W309" s="531"/>
      <c r="X309" s="531"/>
      <c r="Y309" s="531"/>
      <c r="Z309" s="531"/>
      <c r="AA309" s="531"/>
      <c r="AB309" s="531"/>
      <c r="AC309" s="531"/>
      <c r="AD309" s="531"/>
      <c r="AE309" s="531"/>
      <c r="AF309" s="531"/>
      <c r="AG309" s="531"/>
      <c r="AH309" s="531"/>
      <c r="AI309" s="531"/>
      <c r="AJ309" s="531"/>
      <c r="AK309" s="531"/>
      <c r="AL309" s="531"/>
      <c r="AM309" s="531"/>
      <c r="AN309" s="531"/>
      <c r="AO309" s="531"/>
    </row>
    <row r="310" spans="1:41" s="520" customFormat="1" ht="12" thickTop="1">
      <c r="A310" s="51"/>
      <c r="B310" s="41"/>
      <c r="C310" s="51"/>
      <c r="E310" s="42" t="s">
        <v>138</v>
      </c>
      <c r="F310" s="42" t="s">
        <v>139</v>
      </c>
      <c r="G310" s="51"/>
      <c r="H310" s="51"/>
      <c r="I310" s="51"/>
      <c r="J310" s="51"/>
      <c r="K310" s="51" t="s">
        <v>140</v>
      </c>
      <c r="L310" s="51"/>
      <c r="M310" s="51"/>
      <c r="N310" s="51"/>
      <c r="O310" s="52"/>
      <c r="P310" s="51"/>
      <c r="Q310" s="51"/>
      <c r="R310" s="51"/>
      <c r="S310" s="51"/>
      <c r="T310" s="41"/>
      <c r="AG310" s="521" t="s">
        <v>268</v>
      </c>
      <c r="AH310" s="521" t="s">
        <v>269</v>
      </c>
      <c r="AI310" s="521" t="s">
        <v>270</v>
      </c>
      <c r="AJ310" s="521" t="s">
        <v>271</v>
      </c>
      <c r="AK310" s="521" t="s">
        <v>272</v>
      </c>
      <c r="AM310" s="745" t="s">
        <v>281</v>
      </c>
      <c r="AN310" s="746" t="s">
        <v>282</v>
      </c>
      <c r="AO310" s="522" t="s">
        <v>278</v>
      </c>
    </row>
    <row r="311" spans="1:41" s="520" customFormat="1" ht="12" customHeight="1">
      <c r="A311" s="747">
        <v>5</v>
      </c>
      <c r="B311" s="523" t="s">
        <v>141</v>
      </c>
      <c r="C311" s="748"/>
      <c r="D311" s="749" t="s">
        <v>2326</v>
      </c>
      <c r="E311" s="1187">
        <f>IF(AND($A311=0,$A$1="DIF"),0, ROUND(ROUND(($R315*$S$7+($T315*$T$7))/$A311,2)*$C$7,2))</f>
        <v>384.54</v>
      </c>
      <c r="F311" s="1188">
        <f>ROUND($A311*$E311,2)</f>
        <v>1922.7</v>
      </c>
      <c r="G311" s="752" t="s">
        <v>142</v>
      </c>
      <c r="H311" s="753"/>
      <c r="I311" s="754"/>
      <c r="J311" s="753"/>
      <c r="K311" s="753" t="s">
        <v>13</v>
      </c>
      <c r="L311" s="755" t="s">
        <v>143</v>
      </c>
      <c r="M311" s="755"/>
      <c r="N311" s="755"/>
      <c r="O311" s="755"/>
      <c r="P311" s="755"/>
      <c r="Q311" s="51"/>
      <c r="T311" s="1192" t="str">
        <f>IF(AND($R315=0,$T315=0),"0.00","mu: "&amp; ROUND(F311/$C$7/($R315+$T315*$D$9),2))</f>
        <v>mu: 1.23</v>
      </c>
      <c r="W311" s="524"/>
      <c r="AG311" s="1189">
        <f>IF($E311=0,0,ROUND($R315*$S$7*$C$7/$A311,2))</f>
        <v>262.81</v>
      </c>
      <c r="AH311" s="1189">
        <f>$AG311*$A311</f>
        <v>1314.05</v>
      </c>
      <c r="AI311" s="1190">
        <f>$E311-$AG311</f>
        <v>121.73000000000002</v>
      </c>
      <c r="AJ311" s="1190">
        <f>$A311*$AI311</f>
        <v>608.65000000000009</v>
      </c>
      <c r="AK311" s="1191">
        <f>ROUND(($AG311+$AI311)*$A311,2)</f>
        <v>1922.7</v>
      </c>
      <c r="AM311" s="527">
        <f>ROUND(R315,2)</f>
        <v>1067.17</v>
      </c>
      <c r="AN311" s="528">
        <f>ROUND(T315,2)</f>
        <v>18</v>
      </c>
      <c r="AO311" s="529">
        <f>ROUND(AM311+AN311,2)*A311</f>
        <v>5425.85</v>
      </c>
    </row>
    <row r="312" spans="1:41" s="520" customFormat="1" ht="13.2">
      <c r="A312" s="748"/>
      <c r="B312"/>
      <c r="C312" s="748"/>
      <c r="D312" s="749" t="s">
        <v>3488</v>
      </c>
      <c r="F312" s="753"/>
      <c r="G312" s="3"/>
      <c r="H312" s="753"/>
      <c r="I312" s="754"/>
      <c r="J312" s="753"/>
      <c r="K312" s="753" t="s">
        <v>144</v>
      </c>
      <c r="L312" s="753"/>
      <c r="M312" s="753"/>
      <c r="N312" s="753"/>
      <c r="O312" s="753"/>
      <c r="P312" s="753"/>
      <c r="Q312" s="51"/>
      <c r="R312" s="530"/>
      <c r="S312" s="757"/>
      <c r="T312" s="753"/>
    </row>
    <row r="313" spans="1:41" s="901" customFormat="1" ht="13.2">
      <c r="A313" s="116">
        <v>5</v>
      </c>
      <c r="B313" s="901" t="s">
        <v>863</v>
      </c>
      <c r="D313" s="901" t="s">
        <v>3503</v>
      </c>
      <c r="E313" s="1142" t="str">
        <f>D312</f>
        <v>1300 x 400 mm</v>
      </c>
      <c r="G313" s="941" t="s">
        <v>3504</v>
      </c>
      <c r="H313" s="942">
        <v>726</v>
      </c>
      <c r="I313" s="901" t="s">
        <v>2607</v>
      </c>
      <c r="O313" s="943">
        <v>3</v>
      </c>
      <c r="P313" s="944"/>
      <c r="Q313" s="1197">
        <f>1.1 *(194.03)</f>
        <v>213.43300000000002</v>
      </c>
      <c r="R313" s="946">
        <f>$A313*Q313</f>
        <v>1067.1650000000002</v>
      </c>
      <c r="S313" s="1197">
        <v>4</v>
      </c>
      <c r="T313" s="947">
        <f>$A313*S313*$T$1</f>
        <v>18</v>
      </c>
      <c r="W313" s="901">
        <v>6</v>
      </c>
    </row>
    <row r="314" spans="1:41" s="520" customFormat="1" ht="12">
      <c r="A314" s="758"/>
      <c r="B314" s="758"/>
      <c r="C314" s="758"/>
      <c r="D314" s="758"/>
      <c r="E314" s="758"/>
      <c r="F314" s="753"/>
      <c r="G314" s="758"/>
      <c r="H314" s="758"/>
      <c r="I314" s="519"/>
      <c r="J314" s="758"/>
      <c r="K314" s="758"/>
      <c r="L314" s="758"/>
      <c r="M314" s="758"/>
      <c r="N314" s="758"/>
      <c r="O314" s="758"/>
      <c r="P314" s="758"/>
      <c r="Q314" s="519"/>
      <c r="R314" s="759">
        <f t="shared" ref="R314" si="96">$A314*Q314</f>
        <v>0</v>
      </c>
      <c r="S314" s="519"/>
      <c r="T314" s="760">
        <f t="shared" ref="T314" si="97">$A314*S314*$T$1</f>
        <v>0</v>
      </c>
    </row>
    <row r="315" spans="1:41" s="520" customFormat="1" ht="12.6" thickBot="1">
      <c r="A315" s="761" t="s">
        <v>145</v>
      </c>
      <c r="B315" s="762">
        <f>(R314+T314)</f>
        <v>0</v>
      </c>
      <c r="C315" s="763"/>
      <c r="D315" s="763"/>
      <c r="E315" s="763"/>
      <c r="F315" s="764"/>
      <c r="G315" s="763" t="s">
        <v>146</v>
      </c>
      <c r="H315" s="763"/>
      <c r="I315" s="765"/>
      <c r="J315" s="763"/>
      <c r="K315" s="763" t="s">
        <v>13</v>
      </c>
      <c r="L315" s="766" t="s">
        <v>143</v>
      </c>
      <c r="M315" s="766"/>
      <c r="N315" s="766"/>
      <c r="O315" s="766"/>
      <c r="P315" s="766"/>
      <c r="Q315" s="767"/>
      <c r="R315" s="768">
        <f>SUM(R312:R314)</f>
        <v>1067.1650000000002</v>
      </c>
      <c r="S315" s="763"/>
      <c r="T315" s="768">
        <f>SUM(T312:T314)</f>
        <v>18</v>
      </c>
      <c r="U315" s="531"/>
      <c r="V315" s="531"/>
      <c r="W315" s="531"/>
      <c r="X315" s="531"/>
      <c r="Y315" s="531"/>
      <c r="Z315" s="531"/>
      <c r="AA315" s="531"/>
      <c r="AB315" s="531"/>
      <c r="AC315" s="531"/>
      <c r="AD315" s="531"/>
      <c r="AE315" s="531"/>
      <c r="AF315" s="531"/>
      <c r="AG315" s="531"/>
      <c r="AH315" s="531"/>
      <c r="AI315" s="531"/>
      <c r="AJ315" s="531"/>
      <c r="AK315" s="531"/>
      <c r="AL315" s="531"/>
      <c r="AM315" s="531"/>
      <c r="AN315" s="531"/>
      <c r="AO315" s="531"/>
    </row>
    <row r="316" spans="1:41" s="520" customFormat="1" ht="12" thickTop="1">
      <c r="A316" s="51"/>
      <c r="B316" s="41"/>
      <c r="C316" s="51"/>
      <c r="E316" s="42" t="s">
        <v>138</v>
      </c>
      <c r="F316" s="42" t="s">
        <v>139</v>
      </c>
      <c r="G316" s="51"/>
      <c r="H316" s="51"/>
      <c r="I316" s="51"/>
      <c r="J316" s="51"/>
      <c r="K316" s="51" t="s">
        <v>140</v>
      </c>
      <c r="L316" s="51"/>
      <c r="M316" s="51"/>
      <c r="N316" s="51"/>
      <c r="O316" s="52"/>
      <c r="P316" s="51"/>
      <c r="Q316" s="51"/>
      <c r="R316" s="51"/>
      <c r="S316" s="51"/>
      <c r="T316" s="41"/>
      <c r="AG316" s="521" t="s">
        <v>268</v>
      </c>
      <c r="AH316" s="521" t="s">
        <v>269</v>
      </c>
      <c r="AI316" s="521" t="s">
        <v>270</v>
      </c>
      <c r="AJ316" s="521" t="s">
        <v>271</v>
      </c>
      <c r="AK316" s="521" t="s">
        <v>272</v>
      </c>
      <c r="AM316" s="745" t="s">
        <v>281</v>
      </c>
      <c r="AN316" s="746" t="s">
        <v>282</v>
      </c>
      <c r="AO316" s="522" t="s">
        <v>278</v>
      </c>
    </row>
    <row r="317" spans="1:41" s="520" customFormat="1" ht="12" customHeight="1">
      <c r="A317" s="747">
        <v>5</v>
      </c>
      <c r="B317" s="523" t="s">
        <v>141</v>
      </c>
      <c r="C317" s="748"/>
      <c r="D317" s="749" t="s">
        <v>2327</v>
      </c>
      <c r="E317" s="1187">
        <f>IF(AND($A317=0,$A$1="DIF"),0, ROUND(ROUND(($R321*$S$7+($T321*$T$7))/$A317,2)*$C$7,2))</f>
        <v>263.24</v>
      </c>
      <c r="F317" s="1188">
        <f>ROUND($A317*$E317,2)</f>
        <v>1316.2</v>
      </c>
      <c r="G317" s="752" t="s">
        <v>142</v>
      </c>
      <c r="H317" s="753"/>
      <c r="I317" s="754"/>
      <c r="J317" s="753"/>
      <c r="K317" s="753" t="s">
        <v>13</v>
      </c>
      <c r="L317" s="755" t="s">
        <v>143</v>
      </c>
      <c r="M317" s="755"/>
      <c r="N317" s="755"/>
      <c r="O317" s="755"/>
      <c r="P317" s="755"/>
      <c r="Q317" s="51"/>
      <c r="T317" s="1192" t="str">
        <f>IF(AND($R321=0,$T321=0),"0.00","mu: "&amp; ROUND(F317/$C$7/($R321+$T321*$D$9),2))</f>
        <v>mu: 1.23</v>
      </c>
      <c r="W317" s="524"/>
      <c r="AG317" s="1189">
        <f>IF($E317=0,0,ROUND($R321*$S$7*$C$7/$A317,2))</f>
        <v>141.52000000000001</v>
      </c>
      <c r="AH317" s="1189">
        <f>$AG317*$A317</f>
        <v>707.6</v>
      </c>
      <c r="AI317" s="1190">
        <f>$E317-$AG317</f>
        <v>121.72</v>
      </c>
      <c r="AJ317" s="1190">
        <f>$A317*$AI317</f>
        <v>608.6</v>
      </c>
      <c r="AK317" s="1191">
        <f>ROUND(($AG317+$AI317)*$A317,2)</f>
        <v>1316.2</v>
      </c>
      <c r="AM317" s="527">
        <f>ROUND(R321,2)</f>
        <v>574.64</v>
      </c>
      <c r="AN317" s="528">
        <f>ROUND(T321,2)</f>
        <v>18</v>
      </c>
      <c r="AO317" s="529">
        <f>ROUND(AM317+AN317,2)*A317</f>
        <v>2963.2</v>
      </c>
    </row>
    <row r="318" spans="1:41" s="520" customFormat="1" ht="13.2">
      <c r="A318" s="748"/>
      <c r="B318"/>
      <c r="C318" s="748"/>
      <c r="D318" s="749" t="s">
        <v>3489</v>
      </c>
      <c r="F318" s="753"/>
      <c r="G318" s="3"/>
      <c r="H318" s="753"/>
      <c r="I318" s="754"/>
      <c r="J318" s="753"/>
      <c r="K318" s="753" t="s">
        <v>144</v>
      </c>
      <c r="L318" s="753"/>
      <c r="M318" s="753"/>
      <c r="N318" s="753"/>
      <c r="O318" s="753"/>
      <c r="P318" s="753"/>
      <c r="Q318" s="51"/>
      <c r="R318" s="530"/>
      <c r="S318" s="757"/>
      <c r="T318" s="753"/>
    </row>
    <row r="319" spans="1:41" s="901" customFormat="1" ht="13.2">
      <c r="A319" s="116">
        <v>5</v>
      </c>
      <c r="B319" s="901" t="s">
        <v>863</v>
      </c>
      <c r="D319" s="901" t="s">
        <v>3503</v>
      </c>
      <c r="E319" s="1142" t="str">
        <f>D318</f>
        <v>1400 x 200 mm</v>
      </c>
      <c r="G319" s="941" t="s">
        <v>3504</v>
      </c>
      <c r="H319" s="942">
        <v>726</v>
      </c>
      <c r="I319" s="901" t="s">
        <v>2607</v>
      </c>
      <c r="O319" s="943">
        <v>3</v>
      </c>
      <c r="P319" s="944"/>
      <c r="Q319" s="1197">
        <f>1.1 *(104.48)</f>
        <v>114.92800000000001</v>
      </c>
      <c r="R319" s="946">
        <f>$A319*Q319</f>
        <v>574.6400000000001</v>
      </c>
      <c r="S319" s="1197">
        <v>4</v>
      </c>
      <c r="T319" s="947">
        <f>$A319*S319*$T$1</f>
        <v>18</v>
      </c>
      <c r="W319" s="901">
        <v>6</v>
      </c>
    </row>
    <row r="320" spans="1:41" s="520" customFormat="1" ht="12">
      <c r="A320" s="758"/>
      <c r="B320" s="758"/>
      <c r="C320" s="758"/>
      <c r="D320" s="758"/>
      <c r="E320" s="758"/>
      <c r="F320" s="753"/>
      <c r="G320" s="758"/>
      <c r="H320" s="758"/>
      <c r="I320" s="519"/>
      <c r="J320" s="758"/>
      <c r="K320" s="758"/>
      <c r="L320" s="758"/>
      <c r="M320" s="758"/>
      <c r="N320" s="758"/>
      <c r="O320" s="758"/>
      <c r="P320" s="758"/>
      <c r="Q320" s="519"/>
      <c r="R320" s="759">
        <f t="shared" ref="R320" si="98">$A320*Q320</f>
        <v>0</v>
      </c>
      <c r="S320" s="519"/>
      <c r="T320" s="760">
        <f t="shared" ref="T320" si="99">$A320*S320*$T$1</f>
        <v>0</v>
      </c>
    </row>
    <row r="321" spans="1:41" s="520" customFormat="1" ht="12.6" thickBot="1">
      <c r="A321" s="761" t="s">
        <v>145</v>
      </c>
      <c r="B321" s="762">
        <f>(R320+T320)</f>
        <v>0</v>
      </c>
      <c r="C321" s="763"/>
      <c r="D321" s="763"/>
      <c r="E321" s="763"/>
      <c r="F321" s="764"/>
      <c r="G321" s="763" t="s">
        <v>146</v>
      </c>
      <c r="H321" s="763"/>
      <c r="I321" s="765"/>
      <c r="J321" s="763"/>
      <c r="K321" s="763" t="s">
        <v>13</v>
      </c>
      <c r="L321" s="766" t="s">
        <v>143</v>
      </c>
      <c r="M321" s="766"/>
      <c r="N321" s="766"/>
      <c r="O321" s="766"/>
      <c r="P321" s="766"/>
      <c r="Q321" s="767"/>
      <c r="R321" s="768">
        <f>SUM(R318:R320)</f>
        <v>574.6400000000001</v>
      </c>
      <c r="S321" s="763"/>
      <c r="T321" s="768">
        <f>SUM(T318:T320)</f>
        <v>18</v>
      </c>
      <c r="U321" s="531"/>
      <c r="V321" s="531"/>
      <c r="W321" s="531"/>
      <c r="X321" s="531"/>
      <c r="Y321" s="531"/>
      <c r="Z321" s="531"/>
      <c r="AA321" s="531"/>
      <c r="AB321" s="531"/>
      <c r="AC321" s="531"/>
      <c r="AD321" s="531"/>
      <c r="AE321" s="531"/>
      <c r="AF321" s="531"/>
      <c r="AG321" s="531"/>
      <c r="AH321" s="531"/>
      <c r="AI321" s="531"/>
      <c r="AJ321" s="531"/>
      <c r="AK321" s="531"/>
      <c r="AL321" s="531"/>
      <c r="AM321" s="531"/>
      <c r="AN321" s="531"/>
      <c r="AO321" s="531"/>
    </row>
    <row r="322" spans="1:41" s="520" customFormat="1" ht="12" thickTop="1">
      <c r="A322" s="51"/>
      <c r="B322" s="41"/>
      <c r="C322" s="51"/>
      <c r="E322" s="42" t="s">
        <v>138</v>
      </c>
      <c r="F322" s="42" t="s">
        <v>139</v>
      </c>
      <c r="G322" s="51"/>
      <c r="H322" s="51"/>
      <c r="I322" s="51"/>
      <c r="J322" s="51"/>
      <c r="K322" s="51" t="s">
        <v>140</v>
      </c>
      <c r="L322" s="51"/>
      <c r="M322" s="51"/>
      <c r="N322" s="51"/>
      <c r="O322" s="52"/>
      <c r="P322" s="51"/>
      <c r="Q322" s="51"/>
      <c r="R322" s="51"/>
      <c r="S322" s="51"/>
      <c r="T322" s="41"/>
      <c r="AG322" s="521" t="s">
        <v>268</v>
      </c>
      <c r="AH322" s="521" t="s">
        <v>269</v>
      </c>
      <c r="AI322" s="521" t="s">
        <v>270</v>
      </c>
      <c r="AJ322" s="521" t="s">
        <v>271</v>
      </c>
      <c r="AK322" s="521" t="s">
        <v>272</v>
      </c>
      <c r="AM322" s="745" t="s">
        <v>281</v>
      </c>
      <c r="AN322" s="746" t="s">
        <v>282</v>
      </c>
      <c r="AO322" s="522" t="s">
        <v>278</v>
      </c>
    </row>
    <row r="323" spans="1:41" s="520" customFormat="1" ht="12" customHeight="1">
      <c r="A323" s="747">
        <v>5</v>
      </c>
      <c r="B323" s="523" t="s">
        <v>141</v>
      </c>
      <c r="C323" s="748"/>
      <c r="D323" s="749" t="s">
        <v>2328</v>
      </c>
      <c r="E323" s="1187">
        <f>IF(AND($A323=0,$A$1="DIF"),0, ROUND(ROUND(($R327*$S$7+($T327*$T$7))/$A323,2)*$C$7,2))</f>
        <v>333.99</v>
      </c>
      <c r="F323" s="1188">
        <f>ROUND($A323*$E323,2)</f>
        <v>1669.95</v>
      </c>
      <c r="G323" s="752" t="s">
        <v>142</v>
      </c>
      <c r="H323" s="753"/>
      <c r="I323" s="754"/>
      <c r="J323" s="753"/>
      <c r="K323" s="753" t="s">
        <v>13</v>
      </c>
      <c r="L323" s="755" t="s">
        <v>143</v>
      </c>
      <c r="M323" s="755"/>
      <c r="N323" s="755"/>
      <c r="O323" s="755"/>
      <c r="P323" s="755"/>
      <c r="Q323" s="51"/>
      <c r="T323" s="1192" t="str">
        <f>IF(AND($R327=0,$T327=0),"0.00","mu: "&amp; ROUND(F323/$C$7/($R327+$T327*$D$9),2))</f>
        <v>mu: 1.23</v>
      </c>
      <c r="W323" s="524"/>
      <c r="AG323" s="1189">
        <f>IF($E323=0,0,ROUND($R327*$S$7*$C$7/$A323,2))</f>
        <v>212.26</v>
      </c>
      <c r="AH323" s="1189">
        <f>$AG323*$A323</f>
        <v>1061.3</v>
      </c>
      <c r="AI323" s="1190">
        <f>$E323-$AG323</f>
        <v>121.73000000000002</v>
      </c>
      <c r="AJ323" s="1190">
        <f>$A323*$AI323</f>
        <v>608.65000000000009</v>
      </c>
      <c r="AK323" s="1191">
        <f>ROUND(($AG323+$AI323)*$A323,2)</f>
        <v>1669.95</v>
      </c>
      <c r="AM323" s="527">
        <f>ROUND(R327,2)</f>
        <v>861.91</v>
      </c>
      <c r="AN323" s="528">
        <f>ROUND(T327,2)</f>
        <v>18</v>
      </c>
      <c r="AO323" s="529">
        <f>ROUND(AM323+AN323,2)*A323</f>
        <v>4399.55</v>
      </c>
    </row>
    <row r="324" spans="1:41" s="520" customFormat="1" ht="13.2">
      <c r="A324" s="748"/>
      <c r="B324"/>
      <c r="C324" s="748"/>
      <c r="D324" s="749" t="s">
        <v>3490</v>
      </c>
      <c r="F324" s="753"/>
      <c r="G324" s="3"/>
      <c r="H324" s="753"/>
      <c r="I324" s="754"/>
      <c r="J324" s="753"/>
      <c r="K324" s="753" t="s">
        <v>144</v>
      </c>
      <c r="L324" s="753"/>
      <c r="M324" s="753"/>
      <c r="N324" s="753"/>
      <c r="O324" s="753"/>
      <c r="P324" s="753"/>
      <c r="Q324" s="51"/>
      <c r="R324" s="530"/>
      <c r="S324" s="757"/>
      <c r="T324" s="753"/>
    </row>
    <row r="325" spans="1:41" s="901" customFormat="1" ht="13.2">
      <c r="A325" s="116">
        <v>5</v>
      </c>
      <c r="B325" s="901" t="s">
        <v>863</v>
      </c>
      <c r="D325" s="901" t="s">
        <v>3503</v>
      </c>
      <c r="E325" s="1142" t="str">
        <f>D324</f>
        <v>1400 x 300 mm</v>
      </c>
      <c r="G325" s="941" t="s">
        <v>3504</v>
      </c>
      <c r="H325" s="942">
        <v>726</v>
      </c>
      <c r="I325" s="901" t="s">
        <v>2607</v>
      </c>
      <c r="O325" s="943">
        <v>3</v>
      </c>
      <c r="P325" s="944"/>
      <c r="Q325" s="1197">
        <f>1.1 *(156.71)</f>
        <v>172.38100000000003</v>
      </c>
      <c r="R325" s="946">
        <f>$A325*Q325</f>
        <v>861.9050000000002</v>
      </c>
      <c r="S325" s="1197">
        <v>4</v>
      </c>
      <c r="T325" s="947">
        <f>$A325*S325*$T$1</f>
        <v>18</v>
      </c>
      <c r="W325" s="901">
        <v>6</v>
      </c>
    </row>
    <row r="326" spans="1:41" s="520" customFormat="1" ht="12">
      <c r="A326" s="758"/>
      <c r="B326" s="758"/>
      <c r="C326" s="758"/>
      <c r="D326" s="758"/>
      <c r="E326" s="758"/>
      <c r="F326" s="753"/>
      <c r="G326" s="758"/>
      <c r="H326" s="758"/>
      <c r="I326" s="519"/>
      <c r="J326" s="758"/>
      <c r="K326" s="758"/>
      <c r="L326" s="758"/>
      <c r="M326" s="758"/>
      <c r="N326" s="758"/>
      <c r="O326" s="758"/>
      <c r="P326" s="758"/>
      <c r="Q326" s="519"/>
      <c r="R326" s="759">
        <f t="shared" ref="R326" si="100">$A326*Q326</f>
        <v>0</v>
      </c>
      <c r="S326" s="519"/>
      <c r="T326" s="760">
        <f t="shared" ref="T326" si="101">$A326*S326*$T$1</f>
        <v>0</v>
      </c>
    </row>
    <row r="327" spans="1:41" s="520" customFormat="1" ht="12.6" thickBot="1">
      <c r="A327" s="761" t="s">
        <v>145</v>
      </c>
      <c r="B327" s="762">
        <f>(R326+T326)</f>
        <v>0</v>
      </c>
      <c r="C327" s="763"/>
      <c r="D327" s="763"/>
      <c r="E327" s="763"/>
      <c r="F327" s="764"/>
      <c r="G327" s="763" t="s">
        <v>146</v>
      </c>
      <c r="H327" s="763"/>
      <c r="I327" s="765"/>
      <c r="J327" s="763"/>
      <c r="K327" s="763" t="s">
        <v>13</v>
      </c>
      <c r="L327" s="766" t="s">
        <v>143</v>
      </c>
      <c r="M327" s="766"/>
      <c r="N327" s="766"/>
      <c r="O327" s="766"/>
      <c r="P327" s="766"/>
      <c r="Q327" s="767"/>
      <c r="R327" s="768">
        <f>SUM(R324:R326)</f>
        <v>861.9050000000002</v>
      </c>
      <c r="S327" s="763"/>
      <c r="T327" s="768">
        <f>SUM(T324:T326)</f>
        <v>18</v>
      </c>
      <c r="U327" s="531"/>
      <c r="V327" s="531"/>
      <c r="W327" s="531"/>
      <c r="X327" s="531"/>
      <c r="Y327" s="531"/>
      <c r="Z327" s="531"/>
      <c r="AA327" s="531"/>
      <c r="AB327" s="531"/>
      <c r="AC327" s="531"/>
      <c r="AD327" s="531"/>
      <c r="AE327" s="531"/>
      <c r="AF327" s="531"/>
      <c r="AG327" s="531"/>
      <c r="AH327" s="531"/>
      <c r="AI327" s="531"/>
      <c r="AJ327" s="531"/>
      <c r="AK327" s="531"/>
      <c r="AL327" s="531"/>
      <c r="AM327" s="531"/>
      <c r="AN327" s="531"/>
      <c r="AO327" s="531"/>
    </row>
    <row r="328" spans="1:41" s="520" customFormat="1" ht="12" thickTop="1">
      <c r="A328" s="51"/>
      <c r="B328" s="41"/>
      <c r="C328" s="51"/>
      <c r="E328" s="42" t="s">
        <v>138</v>
      </c>
      <c r="F328" s="42" t="s">
        <v>139</v>
      </c>
      <c r="G328" s="51"/>
      <c r="H328" s="51"/>
      <c r="I328" s="51"/>
      <c r="J328" s="51"/>
      <c r="K328" s="51" t="s">
        <v>140</v>
      </c>
      <c r="L328" s="51"/>
      <c r="M328" s="51"/>
      <c r="N328" s="51"/>
      <c r="O328" s="52"/>
      <c r="P328" s="51"/>
      <c r="Q328" s="51"/>
      <c r="R328" s="51"/>
      <c r="S328" s="51"/>
      <c r="T328" s="41"/>
      <c r="AG328" s="521" t="s">
        <v>268</v>
      </c>
      <c r="AH328" s="521" t="s">
        <v>269</v>
      </c>
      <c r="AI328" s="521" t="s">
        <v>270</v>
      </c>
      <c r="AJ328" s="521" t="s">
        <v>271</v>
      </c>
      <c r="AK328" s="521" t="s">
        <v>272</v>
      </c>
      <c r="AM328" s="745" t="s">
        <v>281</v>
      </c>
      <c r="AN328" s="746" t="s">
        <v>282</v>
      </c>
      <c r="AO328" s="522" t="s">
        <v>278</v>
      </c>
    </row>
    <row r="329" spans="1:41" s="520" customFormat="1" ht="12" customHeight="1">
      <c r="A329" s="747">
        <v>5</v>
      </c>
      <c r="B329" s="523" t="s">
        <v>141</v>
      </c>
      <c r="C329" s="748"/>
      <c r="D329" s="749" t="s">
        <v>2329</v>
      </c>
      <c r="E329" s="1187">
        <f>IF(AND($A329=0,$A$1="DIF"),0, ROUND(ROUND(($R333*$S$7+($T333*$T$7))/$A329,2)*$C$7,2))</f>
        <v>404.74</v>
      </c>
      <c r="F329" s="1188">
        <f>ROUND($A329*$E329,2)</f>
        <v>2023.7</v>
      </c>
      <c r="G329" s="752" t="s">
        <v>142</v>
      </c>
      <c r="H329" s="753"/>
      <c r="I329" s="754"/>
      <c r="J329" s="753"/>
      <c r="K329" s="753" t="s">
        <v>13</v>
      </c>
      <c r="L329" s="755" t="s">
        <v>143</v>
      </c>
      <c r="M329" s="755"/>
      <c r="N329" s="755"/>
      <c r="O329" s="755"/>
      <c r="P329" s="755"/>
      <c r="Q329" s="51"/>
      <c r="T329" s="1192" t="str">
        <f>IF(AND($R333=0,$T333=0),"0.00","mu: "&amp; ROUND(F329/$C$7/($R333+$T333*$D$9),2))</f>
        <v>mu: 1.23</v>
      </c>
      <c r="W329" s="524"/>
      <c r="AG329" s="1189">
        <f>IF($E329=0,0,ROUND($R333*$S$7*$C$7/$A329,2))</f>
        <v>283.02</v>
      </c>
      <c r="AH329" s="1189">
        <f>$AG329*$A329</f>
        <v>1415.1</v>
      </c>
      <c r="AI329" s="1190">
        <f>$E329-$AG329</f>
        <v>121.72000000000003</v>
      </c>
      <c r="AJ329" s="1190">
        <f>$A329*$AI329</f>
        <v>608.60000000000014</v>
      </c>
      <c r="AK329" s="1191">
        <f>ROUND(($AG329+$AI329)*$A329,2)</f>
        <v>2023.7</v>
      </c>
      <c r="AM329" s="527">
        <f>ROUND(R333,2)</f>
        <v>1149.23</v>
      </c>
      <c r="AN329" s="528">
        <f>ROUND(T333,2)</f>
        <v>18</v>
      </c>
      <c r="AO329" s="529">
        <f>ROUND(AM329+AN329,2)*A329</f>
        <v>5836.15</v>
      </c>
    </row>
    <row r="330" spans="1:41" s="520" customFormat="1" ht="13.2">
      <c r="A330" s="748"/>
      <c r="B330"/>
      <c r="C330" s="748"/>
      <c r="D330" s="749" t="s">
        <v>3491</v>
      </c>
      <c r="F330" s="753"/>
      <c r="G330" s="3"/>
      <c r="H330" s="753"/>
      <c r="I330" s="754"/>
      <c r="J330" s="753"/>
      <c r="K330" s="753" t="s">
        <v>144</v>
      </c>
      <c r="L330" s="753"/>
      <c r="M330" s="753"/>
      <c r="N330" s="753"/>
      <c r="O330" s="753"/>
      <c r="P330" s="753"/>
      <c r="Q330" s="51"/>
      <c r="R330" s="530"/>
      <c r="S330" s="757"/>
      <c r="T330" s="753"/>
    </row>
    <row r="331" spans="1:41" s="901" customFormat="1" ht="13.2">
      <c r="A331" s="116">
        <v>5</v>
      </c>
      <c r="B331" s="901" t="s">
        <v>863</v>
      </c>
      <c r="D331" s="901" t="s">
        <v>3503</v>
      </c>
      <c r="E331" s="1142" t="str">
        <f>D330</f>
        <v>1400 x 400 mm</v>
      </c>
      <c r="G331" s="941" t="s">
        <v>3504</v>
      </c>
      <c r="H331" s="942">
        <v>726</v>
      </c>
      <c r="I331" s="901" t="s">
        <v>2607</v>
      </c>
      <c r="O331" s="943">
        <v>3</v>
      </c>
      <c r="P331" s="944"/>
      <c r="Q331" s="1197">
        <f>1.1 *(208.95)</f>
        <v>229.845</v>
      </c>
      <c r="R331" s="946">
        <f>$A331*Q331</f>
        <v>1149.2249999999999</v>
      </c>
      <c r="S331" s="1197">
        <v>4</v>
      </c>
      <c r="T331" s="947">
        <f>$A331*S331*$T$1</f>
        <v>18</v>
      </c>
      <c r="W331" s="901">
        <v>6</v>
      </c>
    </row>
    <row r="332" spans="1:41" s="520" customFormat="1" ht="12">
      <c r="A332" s="758"/>
      <c r="B332" s="758"/>
      <c r="C332" s="758"/>
      <c r="D332" s="758"/>
      <c r="E332" s="758"/>
      <c r="F332" s="753"/>
      <c r="G332" s="758"/>
      <c r="H332" s="758"/>
      <c r="I332" s="519"/>
      <c r="J332" s="758"/>
      <c r="K332" s="758"/>
      <c r="L332" s="758"/>
      <c r="M332" s="758"/>
      <c r="N332" s="758"/>
      <c r="O332" s="758"/>
      <c r="P332" s="758"/>
      <c r="Q332" s="519"/>
      <c r="R332" s="759">
        <f t="shared" ref="R332" si="102">$A332*Q332</f>
        <v>0</v>
      </c>
      <c r="S332" s="519"/>
      <c r="T332" s="760">
        <f t="shared" ref="T332" si="103">$A332*S332*$T$1</f>
        <v>0</v>
      </c>
    </row>
    <row r="333" spans="1:41" s="520" customFormat="1" ht="12.6" thickBot="1">
      <c r="A333" s="761" t="s">
        <v>145</v>
      </c>
      <c r="B333" s="762">
        <f>(R332+T332)</f>
        <v>0</v>
      </c>
      <c r="C333" s="763"/>
      <c r="D333" s="763"/>
      <c r="E333" s="763"/>
      <c r="F333" s="764"/>
      <c r="G333" s="763" t="s">
        <v>146</v>
      </c>
      <c r="H333" s="763"/>
      <c r="I333" s="765"/>
      <c r="J333" s="763"/>
      <c r="K333" s="763" t="s">
        <v>13</v>
      </c>
      <c r="L333" s="766" t="s">
        <v>143</v>
      </c>
      <c r="M333" s="766"/>
      <c r="N333" s="766"/>
      <c r="O333" s="766"/>
      <c r="P333" s="766"/>
      <c r="Q333" s="767"/>
      <c r="R333" s="768">
        <f>SUM(R330:R332)</f>
        <v>1149.2249999999999</v>
      </c>
      <c r="S333" s="763"/>
      <c r="T333" s="768">
        <f>SUM(T330:T332)</f>
        <v>18</v>
      </c>
      <c r="U333" s="531"/>
      <c r="V333" s="531"/>
      <c r="W333" s="531"/>
      <c r="X333" s="531"/>
      <c r="Y333" s="531"/>
      <c r="Z333" s="531"/>
      <c r="AA333" s="531"/>
      <c r="AB333" s="531"/>
      <c r="AC333" s="531"/>
      <c r="AD333" s="531"/>
      <c r="AE333" s="531"/>
      <c r="AF333" s="531"/>
      <c r="AG333" s="531"/>
      <c r="AH333" s="531"/>
      <c r="AI333" s="531"/>
      <c r="AJ333" s="531"/>
      <c r="AK333" s="531"/>
      <c r="AL333" s="531"/>
      <c r="AM333" s="531"/>
      <c r="AN333" s="531"/>
      <c r="AO333" s="531"/>
    </row>
    <row r="334" spans="1:41" s="520" customFormat="1" ht="12" thickTop="1">
      <c r="A334" s="51"/>
      <c r="B334" s="41"/>
      <c r="C334" s="51"/>
      <c r="E334" s="42" t="s">
        <v>138</v>
      </c>
      <c r="F334" s="42" t="s">
        <v>139</v>
      </c>
      <c r="G334" s="51"/>
      <c r="H334" s="51"/>
      <c r="I334" s="51"/>
      <c r="J334" s="51"/>
      <c r="K334" s="51" t="s">
        <v>140</v>
      </c>
      <c r="L334" s="51"/>
      <c r="M334" s="51"/>
      <c r="N334" s="51"/>
      <c r="O334" s="52"/>
      <c r="P334" s="51"/>
      <c r="Q334" s="51"/>
      <c r="R334" s="51"/>
      <c r="S334" s="51"/>
      <c r="T334" s="41"/>
      <c r="AG334" s="521" t="s">
        <v>268</v>
      </c>
      <c r="AH334" s="521" t="s">
        <v>269</v>
      </c>
      <c r="AI334" s="521" t="s">
        <v>270</v>
      </c>
      <c r="AJ334" s="521" t="s">
        <v>271</v>
      </c>
      <c r="AK334" s="521" t="s">
        <v>272</v>
      </c>
      <c r="AM334" s="745" t="s">
        <v>281</v>
      </c>
      <c r="AN334" s="746" t="s">
        <v>282</v>
      </c>
      <c r="AO334" s="522" t="s">
        <v>278</v>
      </c>
    </row>
    <row r="335" spans="1:41" s="520" customFormat="1" ht="12" customHeight="1">
      <c r="A335" s="747">
        <v>5</v>
      </c>
      <c r="B335" s="523" t="s">
        <v>141</v>
      </c>
      <c r="C335" s="748"/>
      <c r="D335" s="749" t="s">
        <v>2330</v>
      </c>
      <c r="E335" s="1187">
        <f>IF(AND($A335=0,$A$1="DIF"),0, ROUND(ROUND(($R339*$S$7+($T339*$T$7))/$A335,2)*$C$7,2))</f>
        <v>273.35000000000002</v>
      </c>
      <c r="F335" s="1188">
        <f>ROUND($A335*$E335,2)</f>
        <v>1366.75</v>
      </c>
      <c r="G335" s="752" t="s">
        <v>142</v>
      </c>
      <c r="H335" s="753"/>
      <c r="I335" s="754"/>
      <c r="J335" s="753"/>
      <c r="K335" s="753" t="s">
        <v>13</v>
      </c>
      <c r="L335" s="755" t="s">
        <v>143</v>
      </c>
      <c r="M335" s="755"/>
      <c r="N335" s="755"/>
      <c r="O335" s="755"/>
      <c r="P335" s="755"/>
      <c r="Q335" s="51"/>
      <c r="T335" s="1192" t="str">
        <f>IF(AND($R339=0,$T339=0),"0.00","mu: "&amp; ROUND(F335/$C$7/($R339+$T339*$D$9),2))</f>
        <v>mu: 1.23</v>
      </c>
      <c r="W335" s="524"/>
      <c r="AG335" s="1189">
        <f>IF($E335=0,0,ROUND($R339*$S$7*$C$7/$A335,2))</f>
        <v>151.62</v>
      </c>
      <c r="AH335" s="1189">
        <f>$AG335*$A335</f>
        <v>758.1</v>
      </c>
      <c r="AI335" s="1190">
        <f>$E335-$AG335</f>
        <v>121.73000000000002</v>
      </c>
      <c r="AJ335" s="1190">
        <f>$A335*$AI335</f>
        <v>608.65000000000009</v>
      </c>
      <c r="AK335" s="1191">
        <f>ROUND(($AG335+$AI335)*$A335,2)</f>
        <v>1366.75</v>
      </c>
      <c r="AM335" s="527">
        <f>ROUND(R339,2)</f>
        <v>615.66999999999996</v>
      </c>
      <c r="AN335" s="528">
        <f>ROUND(T339,2)</f>
        <v>18</v>
      </c>
      <c r="AO335" s="529">
        <f>ROUND(AM335+AN335,2)*A335</f>
        <v>3168.35</v>
      </c>
    </row>
    <row r="336" spans="1:41" s="520" customFormat="1" ht="13.2">
      <c r="A336" s="748"/>
      <c r="B336"/>
      <c r="C336" s="748"/>
      <c r="D336" s="749" t="s">
        <v>3492</v>
      </c>
      <c r="F336" s="753"/>
      <c r="G336" s="3"/>
      <c r="H336" s="753"/>
      <c r="I336" s="754"/>
      <c r="J336" s="753"/>
      <c r="K336" s="753" t="s">
        <v>144</v>
      </c>
      <c r="L336" s="753"/>
      <c r="M336" s="753"/>
      <c r="N336" s="753"/>
      <c r="O336" s="753"/>
      <c r="P336" s="753"/>
      <c r="Q336" s="51"/>
      <c r="R336" s="530"/>
      <c r="S336" s="757"/>
      <c r="T336" s="753"/>
    </row>
    <row r="337" spans="1:41" s="901" customFormat="1" ht="13.2">
      <c r="A337" s="116">
        <v>5</v>
      </c>
      <c r="B337" s="901" t="s">
        <v>863</v>
      </c>
      <c r="D337" s="901" t="s">
        <v>3503</v>
      </c>
      <c r="E337" s="1142" t="str">
        <f>D336</f>
        <v>1500 x 200 mm</v>
      </c>
      <c r="G337" s="941" t="s">
        <v>3504</v>
      </c>
      <c r="H337" s="942">
        <v>726</v>
      </c>
      <c r="I337" s="901" t="s">
        <v>2607</v>
      </c>
      <c r="O337" s="943">
        <v>3</v>
      </c>
      <c r="P337" s="944"/>
      <c r="Q337" s="1197">
        <f>1.1 *(111.94)</f>
        <v>123.134</v>
      </c>
      <c r="R337" s="946">
        <f>$A337*Q337</f>
        <v>615.66999999999996</v>
      </c>
      <c r="S337" s="1197">
        <v>4</v>
      </c>
      <c r="T337" s="947">
        <f>$A337*S337*$T$1</f>
        <v>18</v>
      </c>
      <c r="W337" s="901">
        <v>6</v>
      </c>
    </row>
    <row r="338" spans="1:41" s="520" customFormat="1" ht="12">
      <c r="A338" s="758"/>
      <c r="B338" s="758"/>
      <c r="C338" s="758"/>
      <c r="D338" s="758"/>
      <c r="E338" s="758"/>
      <c r="F338" s="753"/>
      <c r="G338" s="758"/>
      <c r="H338" s="758"/>
      <c r="I338" s="519"/>
      <c r="J338" s="758"/>
      <c r="K338" s="758"/>
      <c r="L338" s="758"/>
      <c r="M338" s="758"/>
      <c r="N338" s="758"/>
      <c r="O338" s="758"/>
      <c r="P338" s="758"/>
      <c r="Q338" s="519"/>
      <c r="R338" s="759">
        <f t="shared" ref="R338" si="104">$A338*Q338</f>
        <v>0</v>
      </c>
      <c r="S338" s="519"/>
      <c r="T338" s="760">
        <f t="shared" ref="T338" si="105">$A338*S338*$T$1</f>
        <v>0</v>
      </c>
    </row>
    <row r="339" spans="1:41" s="520" customFormat="1" ht="12.6" thickBot="1">
      <c r="A339" s="761" t="s">
        <v>145</v>
      </c>
      <c r="B339" s="762">
        <f>(R338+T338)</f>
        <v>0</v>
      </c>
      <c r="C339" s="763"/>
      <c r="D339" s="763"/>
      <c r="E339" s="763"/>
      <c r="F339" s="764"/>
      <c r="G339" s="763" t="s">
        <v>146</v>
      </c>
      <c r="H339" s="763"/>
      <c r="I339" s="765"/>
      <c r="J339" s="763"/>
      <c r="K339" s="763" t="s">
        <v>13</v>
      </c>
      <c r="L339" s="766" t="s">
        <v>143</v>
      </c>
      <c r="M339" s="766"/>
      <c r="N339" s="766"/>
      <c r="O339" s="766"/>
      <c r="P339" s="766"/>
      <c r="Q339" s="767"/>
      <c r="R339" s="768">
        <f>SUM(R336:R338)</f>
        <v>615.66999999999996</v>
      </c>
      <c r="S339" s="763"/>
      <c r="T339" s="768">
        <f>SUM(T336:T338)</f>
        <v>18</v>
      </c>
      <c r="U339" s="531"/>
      <c r="V339" s="531"/>
      <c r="W339" s="531"/>
      <c r="X339" s="531"/>
      <c r="Y339" s="531"/>
      <c r="Z339" s="531"/>
      <c r="AA339" s="531"/>
      <c r="AB339" s="531"/>
      <c r="AC339" s="531"/>
      <c r="AD339" s="531"/>
      <c r="AE339" s="531"/>
      <c r="AF339" s="531"/>
      <c r="AG339" s="531"/>
      <c r="AH339" s="531"/>
      <c r="AI339" s="531"/>
      <c r="AJ339" s="531"/>
      <c r="AK339" s="531"/>
      <c r="AL339" s="531"/>
      <c r="AM339" s="531"/>
      <c r="AN339" s="531"/>
      <c r="AO339" s="531"/>
    </row>
    <row r="340" spans="1:41" s="520" customFormat="1" ht="12" thickTop="1">
      <c r="A340" s="51"/>
      <c r="B340" s="41"/>
      <c r="C340" s="51"/>
      <c r="E340" s="42" t="s">
        <v>138</v>
      </c>
      <c r="F340" s="42" t="s">
        <v>139</v>
      </c>
      <c r="G340" s="51"/>
      <c r="H340" s="51"/>
      <c r="I340" s="51"/>
      <c r="J340" s="51"/>
      <c r="K340" s="51" t="s">
        <v>140</v>
      </c>
      <c r="L340" s="51"/>
      <c r="M340" s="51"/>
      <c r="N340" s="51"/>
      <c r="O340" s="52"/>
      <c r="P340" s="51"/>
      <c r="Q340" s="51"/>
      <c r="R340" s="51"/>
      <c r="S340" s="51"/>
      <c r="T340" s="41"/>
      <c r="AG340" s="521" t="s">
        <v>268</v>
      </c>
      <c r="AH340" s="521" t="s">
        <v>269</v>
      </c>
      <c r="AI340" s="521" t="s">
        <v>270</v>
      </c>
      <c r="AJ340" s="521" t="s">
        <v>271</v>
      </c>
      <c r="AK340" s="521" t="s">
        <v>272</v>
      </c>
      <c r="AM340" s="745" t="s">
        <v>281</v>
      </c>
      <c r="AN340" s="746" t="s">
        <v>282</v>
      </c>
      <c r="AO340" s="522" t="s">
        <v>278</v>
      </c>
    </row>
    <row r="341" spans="1:41" s="520" customFormat="1" ht="12" customHeight="1">
      <c r="A341" s="747">
        <v>5</v>
      </c>
      <c r="B341" s="523" t="s">
        <v>141</v>
      </c>
      <c r="C341" s="748"/>
      <c r="D341" s="749" t="s">
        <v>2331</v>
      </c>
      <c r="E341" s="1187">
        <f>IF(AND($A341=0,$A$1="DIF"),0, ROUND(ROUND(($R345*$S$7+($T345*$T$7))/$A341,2)*$C$7,2))</f>
        <v>349.16</v>
      </c>
      <c r="F341" s="1188">
        <f>ROUND($A341*$E341,2)</f>
        <v>1745.8</v>
      </c>
      <c r="G341" s="752" t="s">
        <v>142</v>
      </c>
      <c r="H341" s="753"/>
      <c r="I341" s="754"/>
      <c r="J341" s="753"/>
      <c r="K341" s="753" t="s">
        <v>13</v>
      </c>
      <c r="L341" s="755" t="s">
        <v>143</v>
      </c>
      <c r="M341" s="755"/>
      <c r="N341" s="755"/>
      <c r="O341" s="755"/>
      <c r="P341" s="755"/>
      <c r="Q341" s="51"/>
      <c r="T341" s="1192" t="str">
        <f>IF(AND($R345=0,$T345=0),"0.00","mu: "&amp; ROUND(F341/$C$7/($R345+$T345*$D$9),2))</f>
        <v>mu: 1.23</v>
      </c>
      <c r="W341" s="524"/>
      <c r="AG341" s="1189">
        <f>IF($E341=0,0,ROUND($R345*$S$7*$C$7/$A341,2))</f>
        <v>227.43</v>
      </c>
      <c r="AH341" s="1189">
        <f>$AG341*$A341</f>
        <v>1137.1500000000001</v>
      </c>
      <c r="AI341" s="1190">
        <f>$E341-$AG341</f>
        <v>121.73000000000002</v>
      </c>
      <c r="AJ341" s="1190">
        <f>$A341*$AI341</f>
        <v>608.65000000000009</v>
      </c>
      <c r="AK341" s="1191">
        <f>ROUND(($AG341+$AI341)*$A341,2)</f>
        <v>1745.8</v>
      </c>
      <c r="AM341" s="527">
        <f>ROUND(R345,2)</f>
        <v>923.51</v>
      </c>
      <c r="AN341" s="528">
        <f>ROUND(T345,2)</f>
        <v>18</v>
      </c>
      <c r="AO341" s="529">
        <f>ROUND(AM341+AN341,2)*A341</f>
        <v>4707.55</v>
      </c>
    </row>
    <row r="342" spans="1:41" s="520" customFormat="1" ht="13.2">
      <c r="A342" s="748"/>
      <c r="B342"/>
      <c r="C342" s="748"/>
      <c r="D342" s="749" t="s">
        <v>3493</v>
      </c>
      <c r="F342" s="753"/>
      <c r="G342" s="3"/>
      <c r="H342" s="753"/>
      <c r="I342" s="754"/>
      <c r="J342" s="753"/>
      <c r="K342" s="753" t="s">
        <v>144</v>
      </c>
      <c r="L342" s="753"/>
      <c r="M342" s="753"/>
      <c r="N342" s="753"/>
      <c r="O342" s="753"/>
      <c r="P342" s="753"/>
      <c r="Q342" s="51"/>
      <c r="R342" s="530"/>
      <c r="S342" s="757"/>
      <c r="T342" s="753"/>
    </row>
    <row r="343" spans="1:41" s="901" customFormat="1" ht="13.2">
      <c r="A343" s="116">
        <v>5</v>
      </c>
      <c r="B343" s="901" t="s">
        <v>863</v>
      </c>
      <c r="D343" s="901" t="s">
        <v>3503</v>
      </c>
      <c r="E343" s="1142" t="str">
        <f>D342</f>
        <v>1500 x 300 mm</v>
      </c>
      <c r="G343" s="941" t="s">
        <v>3504</v>
      </c>
      <c r="H343" s="942">
        <v>726</v>
      </c>
      <c r="I343" s="901" t="s">
        <v>2607</v>
      </c>
      <c r="O343" s="943">
        <v>3</v>
      </c>
      <c r="P343" s="944"/>
      <c r="Q343" s="1197">
        <f>1.1 *(167.91)</f>
        <v>184.70100000000002</v>
      </c>
      <c r="R343" s="946">
        <f>$A343*Q343</f>
        <v>923.50500000000011</v>
      </c>
      <c r="S343" s="1197">
        <v>4</v>
      </c>
      <c r="T343" s="947">
        <f>$A343*S343*$T$1</f>
        <v>18</v>
      </c>
      <c r="W343" s="901">
        <v>6</v>
      </c>
    </row>
    <row r="344" spans="1:41" s="520" customFormat="1" ht="12">
      <c r="A344" s="758"/>
      <c r="B344" s="758"/>
      <c r="C344" s="758"/>
      <c r="D344" s="758"/>
      <c r="E344" s="758"/>
      <c r="F344" s="753"/>
      <c r="G344" s="758"/>
      <c r="H344" s="758"/>
      <c r="I344" s="519"/>
      <c r="J344" s="758"/>
      <c r="K344" s="758"/>
      <c r="L344" s="758"/>
      <c r="M344" s="758"/>
      <c r="N344" s="758"/>
      <c r="O344" s="758"/>
      <c r="P344" s="758"/>
      <c r="Q344" s="519"/>
      <c r="R344" s="759">
        <f t="shared" ref="R344" si="106">$A344*Q344</f>
        <v>0</v>
      </c>
      <c r="S344" s="519"/>
      <c r="T344" s="760">
        <f t="shared" ref="T344" si="107">$A344*S344*$T$1</f>
        <v>0</v>
      </c>
    </row>
    <row r="345" spans="1:41" s="520" customFormat="1" ht="12.6" thickBot="1">
      <c r="A345" s="761" t="s">
        <v>145</v>
      </c>
      <c r="B345" s="762">
        <f>(R344+T344)</f>
        <v>0</v>
      </c>
      <c r="C345" s="763"/>
      <c r="D345" s="763"/>
      <c r="E345" s="763"/>
      <c r="F345" s="764"/>
      <c r="G345" s="763" t="s">
        <v>146</v>
      </c>
      <c r="H345" s="763"/>
      <c r="I345" s="765"/>
      <c r="J345" s="763"/>
      <c r="K345" s="763" t="s">
        <v>13</v>
      </c>
      <c r="L345" s="766" t="s">
        <v>143</v>
      </c>
      <c r="M345" s="766"/>
      <c r="N345" s="766"/>
      <c r="O345" s="766"/>
      <c r="P345" s="766"/>
      <c r="Q345" s="767"/>
      <c r="R345" s="768">
        <f>SUM(R342:R344)</f>
        <v>923.50500000000011</v>
      </c>
      <c r="S345" s="763"/>
      <c r="T345" s="768">
        <f>SUM(T342:T344)</f>
        <v>18</v>
      </c>
      <c r="U345" s="531"/>
      <c r="V345" s="531"/>
      <c r="W345" s="531"/>
      <c r="X345" s="531"/>
      <c r="Y345" s="531"/>
      <c r="Z345" s="531"/>
      <c r="AA345" s="531"/>
      <c r="AB345" s="531"/>
      <c r="AC345" s="531"/>
      <c r="AD345" s="531"/>
      <c r="AE345" s="531"/>
      <c r="AF345" s="531"/>
      <c r="AG345" s="531"/>
      <c r="AH345" s="531"/>
      <c r="AI345" s="531"/>
      <c r="AJ345" s="531"/>
      <c r="AK345" s="531"/>
      <c r="AL345" s="531"/>
      <c r="AM345" s="531"/>
      <c r="AN345" s="531"/>
      <c r="AO345" s="531"/>
    </row>
    <row r="346" spans="1:41" s="520" customFormat="1" ht="12" thickTop="1">
      <c r="A346" s="51"/>
      <c r="B346" s="41"/>
      <c r="C346" s="51"/>
      <c r="E346" s="42" t="s">
        <v>138</v>
      </c>
      <c r="F346" s="42" t="s">
        <v>139</v>
      </c>
      <c r="G346" s="51"/>
      <c r="H346" s="51"/>
      <c r="I346" s="51"/>
      <c r="J346" s="51"/>
      <c r="K346" s="51" t="s">
        <v>140</v>
      </c>
      <c r="L346" s="51"/>
      <c r="M346" s="51"/>
      <c r="N346" s="51"/>
      <c r="O346" s="52"/>
      <c r="P346" s="51"/>
      <c r="Q346" s="51"/>
      <c r="R346" s="51"/>
      <c r="S346" s="51"/>
      <c r="T346" s="41"/>
      <c r="AG346" s="521" t="s">
        <v>268</v>
      </c>
      <c r="AH346" s="521" t="s">
        <v>269</v>
      </c>
      <c r="AI346" s="521" t="s">
        <v>270</v>
      </c>
      <c r="AJ346" s="521" t="s">
        <v>271</v>
      </c>
      <c r="AK346" s="521" t="s">
        <v>272</v>
      </c>
      <c r="AM346" s="745" t="s">
        <v>281</v>
      </c>
      <c r="AN346" s="746" t="s">
        <v>282</v>
      </c>
      <c r="AO346" s="522" t="s">
        <v>278</v>
      </c>
    </row>
    <row r="347" spans="1:41" s="520" customFormat="1" ht="12" customHeight="1">
      <c r="A347" s="747">
        <v>5</v>
      </c>
      <c r="B347" s="523" t="s">
        <v>141</v>
      </c>
      <c r="C347" s="748"/>
      <c r="D347" s="749" t="s">
        <v>2332</v>
      </c>
      <c r="E347" s="1187">
        <f>IF(AND($A347=0,$A$1="DIF"),0, ROUND(ROUND(($R351*$S$7+($T351*$T$7))/$A347,2)*$C$7,2))</f>
        <v>0</v>
      </c>
      <c r="F347" s="1188">
        <f>ROUND($A347*$E347,2)</f>
        <v>0</v>
      </c>
      <c r="G347" s="752" t="s">
        <v>142</v>
      </c>
      <c r="H347" s="753"/>
      <c r="I347" s="754"/>
      <c r="J347" s="753"/>
      <c r="K347" s="753" t="s">
        <v>13</v>
      </c>
      <c r="L347" s="755" t="s">
        <v>143</v>
      </c>
      <c r="M347" s="755"/>
      <c r="N347" s="755"/>
      <c r="O347" s="755"/>
      <c r="P347" s="755"/>
      <c r="Q347" s="51"/>
      <c r="T347" s="1192" t="str">
        <f>IF(AND($R351=0,$T351=0),"0.00","mu: "&amp; ROUND(F347/$C$7/($R351+$T351*$D$9),2))</f>
        <v>0.00</v>
      </c>
      <c r="W347" s="524"/>
      <c r="AG347" s="1189">
        <f>IF($E347=0,0,ROUND($R351*$S$7*$C$7/$A347,2))</f>
        <v>0</v>
      </c>
      <c r="AH347" s="1189">
        <f>$AG347*$A347</f>
        <v>0</v>
      </c>
      <c r="AI347" s="1190">
        <f>$E347-$AG347</f>
        <v>0</v>
      </c>
      <c r="AJ347" s="1190">
        <f>$A347*$AI347</f>
        <v>0</v>
      </c>
      <c r="AK347" s="1191">
        <f>ROUND(($AG347+$AI347)*$A347,2)</f>
        <v>0</v>
      </c>
      <c r="AM347" s="527">
        <f>ROUND(R351,2)</f>
        <v>0</v>
      </c>
      <c r="AN347" s="528">
        <f>ROUND(T351,2)</f>
        <v>0</v>
      </c>
      <c r="AO347" s="529">
        <f>ROUND(AM347+AN347,2)*A347</f>
        <v>0</v>
      </c>
    </row>
    <row r="348" spans="1:41" s="520" customFormat="1" ht="13.2">
      <c r="A348" s="748"/>
      <c r="B348"/>
      <c r="C348" s="748"/>
      <c r="D348" s="749" t="s">
        <v>3494</v>
      </c>
      <c r="F348" s="753"/>
      <c r="G348" s="3"/>
      <c r="H348" s="753"/>
      <c r="I348" s="754"/>
      <c r="J348" s="753"/>
      <c r="K348" s="753" t="s">
        <v>144</v>
      </c>
      <c r="L348" s="753"/>
      <c r="M348" s="753"/>
      <c r="N348" s="753"/>
      <c r="O348" s="753"/>
      <c r="P348" s="753"/>
      <c r="Q348" s="51"/>
      <c r="R348" s="530"/>
      <c r="S348" s="757"/>
      <c r="T348" s="753"/>
    </row>
    <row r="349" spans="1:41" s="901" customFormat="1" ht="13.2">
      <c r="A349" s="116">
        <v>5</v>
      </c>
      <c r="B349" s="901" t="s">
        <v>863</v>
      </c>
      <c r="D349" s="901" t="s">
        <v>3503</v>
      </c>
      <c r="E349" s="1142" t="str">
        <f>D348</f>
        <v>dia. 175 mm</v>
      </c>
      <c r="G349" s="941" t="s">
        <v>3504</v>
      </c>
      <c r="H349" s="942">
        <v>726</v>
      </c>
      <c r="I349" s="901" t="s">
        <v>2607</v>
      </c>
      <c r="O349" s="943">
        <v>3</v>
      </c>
      <c r="P349" s="944"/>
      <c r="Q349" s="945"/>
      <c r="R349" s="946">
        <f>$A349*Q349</f>
        <v>0</v>
      </c>
      <c r="S349" s="945"/>
      <c r="T349" s="947">
        <f>$A349*S349*$T$1</f>
        <v>0</v>
      </c>
    </row>
    <row r="350" spans="1:41" s="520" customFormat="1" ht="12">
      <c r="A350" s="758"/>
      <c r="B350" s="758"/>
      <c r="C350" s="758"/>
      <c r="D350" s="758"/>
      <c r="E350" s="758"/>
      <c r="F350" s="753"/>
      <c r="G350" s="758"/>
      <c r="H350" s="758"/>
      <c r="I350" s="519"/>
      <c r="J350" s="758"/>
      <c r="K350" s="758"/>
      <c r="L350" s="758"/>
      <c r="M350" s="758"/>
      <c r="N350" s="758"/>
      <c r="O350" s="758"/>
      <c r="P350" s="758"/>
      <c r="Q350" s="519"/>
      <c r="R350" s="759">
        <f t="shared" ref="R350" si="108">$A350*Q350</f>
        <v>0</v>
      </c>
      <c r="S350" s="519"/>
      <c r="T350" s="760">
        <f t="shared" ref="T350" si="109">$A350*S350*$T$1</f>
        <v>0</v>
      </c>
    </row>
    <row r="351" spans="1:41" s="520" customFormat="1" ht="12.6" thickBot="1">
      <c r="A351" s="761" t="s">
        <v>145</v>
      </c>
      <c r="B351" s="762">
        <f>(R350+T350)</f>
        <v>0</v>
      </c>
      <c r="C351" s="763"/>
      <c r="D351" s="763"/>
      <c r="E351" s="763"/>
      <c r="F351" s="764"/>
      <c r="G351" s="763" t="s">
        <v>146</v>
      </c>
      <c r="H351" s="763"/>
      <c r="I351" s="765"/>
      <c r="J351" s="763"/>
      <c r="K351" s="763" t="s">
        <v>13</v>
      </c>
      <c r="L351" s="766" t="s">
        <v>143</v>
      </c>
      <c r="M351" s="766"/>
      <c r="N351" s="766"/>
      <c r="O351" s="766"/>
      <c r="P351" s="766"/>
      <c r="Q351" s="767"/>
      <c r="R351" s="768">
        <f>SUM(R348:R350)</f>
        <v>0</v>
      </c>
      <c r="S351" s="763"/>
      <c r="T351" s="768">
        <f>SUM(T348:T350)</f>
        <v>0</v>
      </c>
      <c r="U351" s="531"/>
      <c r="V351" s="531"/>
      <c r="W351" s="531"/>
      <c r="X351" s="531"/>
      <c r="Y351" s="531"/>
      <c r="Z351" s="531"/>
      <c r="AA351" s="531"/>
      <c r="AB351" s="531"/>
      <c r="AC351" s="531"/>
      <c r="AD351" s="531"/>
      <c r="AE351" s="531"/>
      <c r="AF351" s="531"/>
      <c r="AG351" s="531"/>
      <c r="AH351" s="531"/>
      <c r="AI351" s="531"/>
      <c r="AJ351" s="531"/>
      <c r="AK351" s="531"/>
      <c r="AL351" s="531"/>
      <c r="AM351" s="531"/>
      <c r="AN351" s="531"/>
      <c r="AO351" s="531"/>
    </row>
    <row r="352" spans="1:41" s="520" customFormat="1" ht="12" thickTop="1">
      <c r="A352" s="51"/>
      <c r="B352" s="41"/>
      <c r="C352" s="51"/>
      <c r="E352" s="42" t="s">
        <v>138</v>
      </c>
      <c r="F352" s="42" t="s">
        <v>139</v>
      </c>
      <c r="G352" s="51"/>
      <c r="H352" s="51"/>
      <c r="I352" s="51"/>
      <c r="J352" s="51"/>
      <c r="K352" s="51" t="s">
        <v>140</v>
      </c>
      <c r="L352" s="51"/>
      <c r="M352" s="51"/>
      <c r="N352" s="51"/>
      <c r="O352" s="52"/>
      <c r="P352" s="51"/>
      <c r="Q352" s="51"/>
      <c r="R352" s="51"/>
      <c r="S352" s="51"/>
      <c r="T352" s="41"/>
      <c r="AG352" s="521" t="s">
        <v>268</v>
      </c>
      <c r="AH352" s="521" t="s">
        <v>269</v>
      </c>
      <c r="AI352" s="521" t="s">
        <v>270</v>
      </c>
      <c r="AJ352" s="521" t="s">
        <v>271</v>
      </c>
      <c r="AK352" s="521" t="s">
        <v>272</v>
      </c>
      <c r="AM352" s="745" t="s">
        <v>281</v>
      </c>
      <c r="AN352" s="746" t="s">
        <v>282</v>
      </c>
      <c r="AO352" s="522" t="s">
        <v>278</v>
      </c>
    </row>
    <row r="353" spans="1:41" s="520" customFormat="1" ht="12" customHeight="1">
      <c r="A353" s="747">
        <v>5</v>
      </c>
      <c r="B353" s="523" t="s">
        <v>141</v>
      </c>
      <c r="C353" s="748"/>
      <c r="D353" s="749" t="s">
        <v>2333</v>
      </c>
      <c r="E353" s="1187">
        <f>IF(AND($A353=0,$A$1="DIF"),0, ROUND(ROUND(($R357*$S$7+($T357*$T$7))/$A353,2)*$C$7,2))</f>
        <v>0</v>
      </c>
      <c r="F353" s="1188">
        <f>ROUND($A353*$E353,2)</f>
        <v>0</v>
      </c>
      <c r="G353" s="752" t="s">
        <v>142</v>
      </c>
      <c r="H353" s="753"/>
      <c r="I353" s="754"/>
      <c r="J353" s="753"/>
      <c r="K353" s="753" t="s">
        <v>13</v>
      </c>
      <c r="L353" s="755" t="s">
        <v>143</v>
      </c>
      <c r="M353" s="755"/>
      <c r="N353" s="755"/>
      <c r="O353" s="755"/>
      <c r="P353" s="755"/>
      <c r="Q353" s="51"/>
      <c r="T353" s="1192" t="str">
        <f>IF(AND($R357=0,$T357=0),"0.00","mu: "&amp; ROUND(F353/$C$7/($R357+$T357*$D$9),2))</f>
        <v>0.00</v>
      </c>
      <c r="W353" s="524"/>
      <c r="AG353" s="1189">
        <f>IF($E353=0,0,ROUND($R357*$S$7*$C$7/$A353,2))</f>
        <v>0</v>
      </c>
      <c r="AH353" s="1189">
        <f>$AG353*$A353</f>
        <v>0</v>
      </c>
      <c r="AI353" s="1190">
        <f>$E353-$AG353</f>
        <v>0</v>
      </c>
      <c r="AJ353" s="1190">
        <f>$A353*$AI353</f>
        <v>0</v>
      </c>
      <c r="AK353" s="1191">
        <f>ROUND(($AG353+$AI353)*$A353,2)</f>
        <v>0</v>
      </c>
      <c r="AM353" s="527">
        <f>ROUND(R357,2)</f>
        <v>0</v>
      </c>
      <c r="AN353" s="528">
        <f>ROUND(T357,2)</f>
        <v>0</v>
      </c>
      <c r="AO353" s="529">
        <f>ROUND(AM353+AN353,2)*A353</f>
        <v>0</v>
      </c>
    </row>
    <row r="354" spans="1:41" s="520" customFormat="1" ht="13.2">
      <c r="A354" s="748"/>
      <c r="B354"/>
      <c r="C354" s="748"/>
      <c r="D354" s="749" t="s">
        <v>3495</v>
      </c>
      <c r="F354" s="753"/>
      <c r="G354" s="3"/>
      <c r="H354" s="753"/>
      <c r="I354" s="754"/>
      <c r="J354" s="753"/>
      <c r="K354" s="753" t="s">
        <v>144</v>
      </c>
      <c r="L354" s="753"/>
      <c r="M354" s="753"/>
      <c r="N354" s="753"/>
      <c r="O354" s="753"/>
      <c r="P354" s="753"/>
      <c r="Q354" s="51"/>
      <c r="R354" s="530"/>
      <c r="S354" s="757"/>
      <c r="T354" s="753"/>
    </row>
    <row r="355" spans="1:41" s="901" customFormat="1" ht="13.2">
      <c r="A355" s="116">
        <v>5</v>
      </c>
      <c r="B355" s="901" t="s">
        <v>863</v>
      </c>
      <c r="D355" s="901" t="s">
        <v>3503</v>
      </c>
      <c r="E355" s="1142" t="str">
        <f>D354</f>
        <v>dia. 200 mm</v>
      </c>
      <c r="G355" s="941" t="s">
        <v>3504</v>
      </c>
      <c r="H355" s="942">
        <v>726</v>
      </c>
      <c r="I355" s="901" t="s">
        <v>2607</v>
      </c>
      <c r="O355" s="943">
        <v>3</v>
      </c>
      <c r="P355" s="944"/>
      <c r="Q355" s="945"/>
      <c r="R355" s="946">
        <f>$A355*Q355</f>
        <v>0</v>
      </c>
      <c r="S355" s="945"/>
      <c r="T355" s="947">
        <f>$A355*S355*$T$1</f>
        <v>0</v>
      </c>
    </row>
    <row r="356" spans="1:41" s="520" customFormat="1" ht="12">
      <c r="A356" s="758"/>
      <c r="B356" s="758"/>
      <c r="C356" s="758"/>
      <c r="D356" s="758"/>
      <c r="E356" s="758"/>
      <c r="F356" s="753"/>
      <c r="G356" s="758"/>
      <c r="H356" s="758"/>
      <c r="I356" s="519"/>
      <c r="J356" s="758"/>
      <c r="K356" s="758"/>
      <c r="L356" s="758"/>
      <c r="M356" s="758"/>
      <c r="N356" s="758"/>
      <c r="O356" s="758"/>
      <c r="P356" s="758"/>
      <c r="Q356" s="519"/>
      <c r="R356" s="759">
        <f t="shared" ref="R356" si="110">$A356*Q356</f>
        <v>0</v>
      </c>
      <c r="S356" s="519"/>
      <c r="T356" s="760">
        <f t="shared" ref="T356" si="111">$A356*S356*$T$1</f>
        <v>0</v>
      </c>
    </row>
    <row r="357" spans="1:41" s="520" customFormat="1" ht="12.6" thickBot="1">
      <c r="A357" s="761" t="s">
        <v>145</v>
      </c>
      <c r="B357" s="762">
        <f>(R356+T356)</f>
        <v>0</v>
      </c>
      <c r="C357" s="763"/>
      <c r="D357" s="763"/>
      <c r="E357" s="763"/>
      <c r="F357" s="764"/>
      <c r="G357" s="763" t="s">
        <v>146</v>
      </c>
      <c r="H357" s="763"/>
      <c r="I357" s="765"/>
      <c r="J357" s="763"/>
      <c r="K357" s="763" t="s">
        <v>13</v>
      </c>
      <c r="L357" s="766" t="s">
        <v>143</v>
      </c>
      <c r="M357" s="766"/>
      <c r="N357" s="766"/>
      <c r="O357" s="766"/>
      <c r="P357" s="766"/>
      <c r="Q357" s="767"/>
      <c r="R357" s="768">
        <f>SUM(R354:R356)</f>
        <v>0</v>
      </c>
      <c r="S357" s="763"/>
      <c r="T357" s="768">
        <f>SUM(T354:T356)</f>
        <v>0</v>
      </c>
      <c r="U357" s="531"/>
      <c r="V357" s="531"/>
      <c r="W357" s="531"/>
      <c r="X357" s="531"/>
      <c r="Y357" s="531"/>
      <c r="Z357" s="531"/>
      <c r="AA357" s="531"/>
      <c r="AB357" s="531"/>
      <c r="AC357" s="531"/>
      <c r="AD357" s="531"/>
      <c r="AE357" s="531"/>
      <c r="AF357" s="531"/>
      <c r="AG357" s="531"/>
      <c r="AH357" s="531"/>
      <c r="AI357" s="531"/>
      <c r="AJ357" s="531"/>
      <c r="AK357" s="531"/>
      <c r="AL357" s="531"/>
      <c r="AM357" s="531"/>
      <c r="AN357" s="531"/>
      <c r="AO357" s="531"/>
    </row>
    <row r="358" spans="1:41" s="520" customFormat="1" ht="12" thickTop="1">
      <c r="A358" s="51"/>
      <c r="B358" s="41"/>
      <c r="C358" s="51"/>
      <c r="E358" s="42" t="s">
        <v>138</v>
      </c>
      <c r="F358" s="42" t="s">
        <v>139</v>
      </c>
      <c r="G358" s="51"/>
      <c r="H358" s="51"/>
      <c r="I358" s="51"/>
      <c r="J358" s="51"/>
      <c r="K358" s="51" t="s">
        <v>140</v>
      </c>
      <c r="L358" s="51"/>
      <c r="M358" s="51"/>
      <c r="N358" s="51"/>
      <c r="O358" s="52"/>
      <c r="P358" s="51"/>
      <c r="Q358" s="51"/>
      <c r="R358" s="51"/>
      <c r="S358" s="51"/>
      <c r="T358" s="41"/>
      <c r="AG358" s="521" t="s">
        <v>268</v>
      </c>
      <c r="AH358" s="521" t="s">
        <v>269</v>
      </c>
      <c r="AI358" s="521" t="s">
        <v>270</v>
      </c>
      <c r="AJ358" s="521" t="s">
        <v>271</v>
      </c>
      <c r="AK358" s="521" t="s">
        <v>272</v>
      </c>
      <c r="AM358" s="745" t="s">
        <v>281</v>
      </c>
      <c r="AN358" s="746" t="s">
        <v>282</v>
      </c>
      <c r="AO358" s="522" t="s">
        <v>278</v>
      </c>
    </row>
    <row r="359" spans="1:41" s="520" customFormat="1" ht="12" customHeight="1">
      <c r="A359" s="747">
        <v>5</v>
      </c>
      <c r="B359" s="523" t="s">
        <v>141</v>
      </c>
      <c r="C359" s="748"/>
      <c r="D359" s="749" t="s">
        <v>2334</v>
      </c>
      <c r="E359" s="1187">
        <f>IF(AND($A359=0,$A$1="DIF"),0, ROUND(ROUND(($R363*$S$7+($T363*$T$7))/$A359,2)*$C$7,2))</f>
        <v>0</v>
      </c>
      <c r="F359" s="1188">
        <f>ROUND($A359*$E359,2)</f>
        <v>0</v>
      </c>
      <c r="G359" s="752" t="s">
        <v>142</v>
      </c>
      <c r="H359" s="753"/>
      <c r="I359" s="754"/>
      <c r="J359" s="753"/>
      <c r="K359" s="753" t="s">
        <v>13</v>
      </c>
      <c r="L359" s="755" t="s">
        <v>143</v>
      </c>
      <c r="M359" s="755"/>
      <c r="N359" s="755"/>
      <c r="O359" s="755"/>
      <c r="P359" s="755"/>
      <c r="Q359" s="51"/>
      <c r="T359" s="1192" t="str">
        <f>IF(AND($R363=0,$T363=0),"0.00","mu: "&amp; ROUND(F359/$C$7/($R363+$T363*$D$9),2))</f>
        <v>0.00</v>
      </c>
      <c r="W359" s="524"/>
      <c r="AG359" s="1189">
        <f>IF($E359=0,0,ROUND($R363*$S$7*$C$7/$A359,2))</f>
        <v>0</v>
      </c>
      <c r="AH359" s="1189">
        <f>$AG359*$A359</f>
        <v>0</v>
      </c>
      <c r="AI359" s="1190">
        <f>$E359-$AG359</f>
        <v>0</v>
      </c>
      <c r="AJ359" s="1190">
        <f>$A359*$AI359</f>
        <v>0</v>
      </c>
      <c r="AK359" s="1191">
        <f>ROUND(($AG359+$AI359)*$A359,2)</f>
        <v>0</v>
      </c>
      <c r="AM359" s="527">
        <f>ROUND(R363,2)</f>
        <v>0</v>
      </c>
      <c r="AN359" s="528">
        <f>ROUND(T363,2)</f>
        <v>0</v>
      </c>
      <c r="AO359" s="529">
        <f>ROUND(AM359+AN359,2)*A359</f>
        <v>0</v>
      </c>
    </row>
    <row r="360" spans="1:41" s="520" customFormat="1" ht="13.2">
      <c r="A360" s="748"/>
      <c r="B360"/>
      <c r="C360" s="748"/>
      <c r="D360" s="749" t="s">
        <v>3496</v>
      </c>
      <c r="F360" s="753"/>
      <c r="G360" s="3"/>
      <c r="H360" s="753"/>
      <c r="I360" s="754"/>
      <c r="J360" s="753"/>
      <c r="K360" s="753" t="s">
        <v>144</v>
      </c>
      <c r="L360" s="753"/>
      <c r="M360" s="753"/>
      <c r="N360" s="753"/>
      <c r="O360" s="753"/>
      <c r="P360" s="753"/>
      <c r="Q360" s="51"/>
      <c r="R360" s="530"/>
      <c r="S360" s="757"/>
      <c r="T360" s="753"/>
    </row>
    <row r="361" spans="1:41" s="901" customFormat="1" ht="13.2">
      <c r="A361" s="116">
        <v>5</v>
      </c>
      <c r="B361" s="901" t="s">
        <v>863</v>
      </c>
      <c r="D361" s="901" t="s">
        <v>3503</v>
      </c>
      <c r="E361" s="1142" t="str">
        <f>D360</f>
        <v>dia. 250 mm</v>
      </c>
      <c r="G361" s="941" t="s">
        <v>3504</v>
      </c>
      <c r="H361" s="942">
        <v>726</v>
      </c>
      <c r="I361" s="901" t="s">
        <v>2607</v>
      </c>
      <c r="O361" s="943">
        <v>3</v>
      </c>
      <c r="P361" s="944"/>
      <c r="Q361" s="945"/>
      <c r="R361" s="946">
        <f>$A361*Q361</f>
        <v>0</v>
      </c>
      <c r="S361" s="945"/>
      <c r="T361" s="947">
        <f>$A361*S361*$T$1</f>
        <v>0</v>
      </c>
    </row>
    <row r="362" spans="1:41" s="520" customFormat="1" ht="12">
      <c r="A362" s="758"/>
      <c r="B362" s="758"/>
      <c r="C362" s="758"/>
      <c r="D362" s="758"/>
      <c r="E362" s="758"/>
      <c r="F362" s="753"/>
      <c r="G362" s="758"/>
      <c r="H362" s="758"/>
      <c r="I362" s="519"/>
      <c r="J362" s="758"/>
      <c r="K362" s="758"/>
      <c r="L362" s="758"/>
      <c r="M362" s="758"/>
      <c r="N362" s="758"/>
      <c r="O362" s="758"/>
      <c r="P362" s="758"/>
      <c r="Q362" s="519"/>
      <c r="R362" s="759">
        <f t="shared" ref="R362" si="112">$A362*Q362</f>
        <v>0</v>
      </c>
      <c r="S362" s="519"/>
      <c r="T362" s="760">
        <f t="shared" ref="T362" si="113">$A362*S362*$T$1</f>
        <v>0</v>
      </c>
    </row>
    <row r="363" spans="1:41" s="520" customFormat="1" ht="12.6" thickBot="1">
      <c r="A363" s="761" t="s">
        <v>145</v>
      </c>
      <c r="B363" s="762">
        <f>(R362+T362)</f>
        <v>0</v>
      </c>
      <c r="C363" s="763"/>
      <c r="D363" s="763"/>
      <c r="E363" s="763"/>
      <c r="F363" s="764"/>
      <c r="G363" s="763" t="s">
        <v>146</v>
      </c>
      <c r="H363" s="763"/>
      <c r="I363" s="765"/>
      <c r="J363" s="763"/>
      <c r="K363" s="763" t="s">
        <v>13</v>
      </c>
      <c r="L363" s="766" t="s">
        <v>143</v>
      </c>
      <c r="M363" s="766"/>
      <c r="N363" s="766"/>
      <c r="O363" s="766"/>
      <c r="P363" s="766"/>
      <c r="Q363" s="767"/>
      <c r="R363" s="768">
        <f>SUM(R360:R362)</f>
        <v>0</v>
      </c>
      <c r="S363" s="763"/>
      <c r="T363" s="768">
        <f>SUM(T360:T362)</f>
        <v>0</v>
      </c>
      <c r="U363" s="531"/>
      <c r="V363" s="531"/>
      <c r="W363" s="531"/>
      <c r="X363" s="531"/>
      <c r="Y363" s="531"/>
      <c r="Z363" s="531"/>
      <c r="AA363" s="531"/>
      <c r="AB363" s="531"/>
      <c r="AC363" s="531"/>
      <c r="AD363" s="531"/>
      <c r="AE363" s="531"/>
      <c r="AF363" s="531"/>
      <c r="AG363" s="531"/>
      <c r="AH363" s="531"/>
      <c r="AI363" s="531"/>
      <c r="AJ363" s="531"/>
      <c r="AK363" s="531"/>
      <c r="AL363" s="531"/>
      <c r="AM363" s="531"/>
      <c r="AN363" s="531"/>
      <c r="AO363" s="531"/>
    </row>
    <row r="364" spans="1:41" s="520" customFormat="1" ht="12" thickTop="1">
      <c r="A364" s="51"/>
      <c r="B364" s="41"/>
      <c r="C364" s="51"/>
      <c r="E364" s="42" t="s">
        <v>138</v>
      </c>
      <c r="F364" s="42" t="s">
        <v>139</v>
      </c>
      <c r="G364" s="51"/>
      <c r="H364" s="51"/>
      <c r="I364" s="51"/>
      <c r="J364" s="51"/>
      <c r="K364" s="51" t="s">
        <v>140</v>
      </c>
      <c r="L364" s="51"/>
      <c r="M364" s="51"/>
      <c r="N364" s="51"/>
      <c r="O364" s="52"/>
      <c r="P364" s="51"/>
      <c r="Q364" s="51"/>
      <c r="R364" s="51"/>
      <c r="S364" s="51"/>
      <c r="T364" s="41"/>
      <c r="AG364" s="521" t="s">
        <v>268</v>
      </c>
      <c r="AH364" s="521" t="s">
        <v>269</v>
      </c>
      <c r="AI364" s="521" t="s">
        <v>270</v>
      </c>
      <c r="AJ364" s="521" t="s">
        <v>271</v>
      </c>
      <c r="AK364" s="521" t="s">
        <v>272</v>
      </c>
      <c r="AM364" s="745" t="s">
        <v>281</v>
      </c>
      <c r="AN364" s="746" t="s">
        <v>282</v>
      </c>
      <c r="AO364" s="522" t="s">
        <v>278</v>
      </c>
    </row>
    <row r="365" spans="1:41" s="520" customFormat="1" ht="12" customHeight="1">
      <c r="A365" s="747">
        <v>5</v>
      </c>
      <c r="B365" s="523" t="s">
        <v>141</v>
      </c>
      <c r="C365" s="748"/>
      <c r="D365" s="749" t="s">
        <v>2336</v>
      </c>
      <c r="E365" s="1187">
        <f>IF(AND($A365=0,$A$1="DIF"),0, ROUND(ROUND(($R369*$S$7+($T369*$T$7))/$A365,2)*$C$7,2))</f>
        <v>0</v>
      </c>
      <c r="F365" s="1188">
        <f>ROUND($A365*$E365,2)</f>
        <v>0</v>
      </c>
      <c r="G365" s="752" t="s">
        <v>142</v>
      </c>
      <c r="H365" s="753"/>
      <c r="I365" s="754"/>
      <c r="J365" s="753"/>
      <c r="K365" s="753" t="s">
        <v>13</v>
      </c>
      <c r="L365" s="755" t="s">
        <v>143</v>
      </c>
      <c r="M365" s="755"/>
      <c r="N365" s="755"/>
      <c r="O365" s="755"/>
      <c r="P365" s="755"/>
      <c r="Q365" s="51"/>
      <c r="T365" s="1192" t="str">
        <f>IF(AND($R369=0,$T369=0),"0.00","mu: "&amp; ROUND(F365/$C$7/($R369+$T369*$D$9),2))</f>
        <v>0.00</v>
      </c>
      <c r="W365" s="524"/>
      <c r="AG365" s="1189">
        <f>IF($E365=0,0,ROUND($R369*$S$7*$C$7/$A365,2))</f>
        <v>0</v>
      </c>
      <c r="AH365" s="1189">
        <f>$AG365*$A365</f>
        <v>0</v>
      </c>
      <c r="AI365" s="1190">
        <f>$E365-$AG365</f>
        <v>0</v>
      </c>
      <c r="AJ365" s="1190">
        <f>$A365*$AI365</f>
        <v>0</v>
      </c>
      <c r="AK365" s="1191">
        <f>ROUND(($AG365+$AI365)*$A365,2)</f>
        <v>0</v>
      </c>
      <c r="AM365" s="527">
        <f>ROUND(R369,2)</f>
        <v>0</v>
      </c>
      <c r="AN365" s="528">
        <f>ROUND(T369,2)</f>
        <v>0</v>
      </c>
      <c r="AO365" s="529">
        <f>ROUND(AM365+AN365,2)*A365</f>
        <v>0</v>
      </c>
    </row>
    <row r="366" spans="1:41" s="520" customFormat="1" ht="13.2">
      <c r="A366" s="748"/>
      <c r="B366"/>
      <c r="C366" s="748"/>
      <c r="D366" s="749" t="s">
        <v>3497</v>
      </c>
      <c r="F366" s="753"/>
      <c r="G366" s="3"/>
      <c r="H366" s="753"/>
      <c r="I366" s="754"/>
      <c r="J366" s="753"/>
      <c r="K366" s="753" t="s">
        <v>144</v>
      </c>
      <c r="L366" s="753"/>
      <c r="M366" s="753"/>
      <c r="N366" s="753"/>
      <c r="O366" s="753"/>
      <c r="P366" s="753"/>
      <c r="Q366" s="51"/>
      <c r="R366" s="530"/>
      <c r="S366" s="757"/>
      <c r="T366" s="753"/>
    </row>
    <row r="367" spans="1:41" s="901" customFormat="1" ht="13.2">
      <c r="A367" s="116">
        <v>5</v>
      </c>
      <c r="B367" s="901" t="s">
        <v>863</v>
      </c>
      <c r="D367" s="901" t="s">
        <v>3503</v>
      </c>
      <c r="E367" s="1142" t="str">
        <f>D366</f>
        <v>dia. 300 mm</v>
      </c>
      <c r="G367" s="941" t="s">
        <v>3504</v>
      </c>
      <c r="H367" s="942">
        <v>726</v>
      </c>
      <c r="I367" s="901" t="s">
        <v>2607</v>
      </c>
      <c r="O367" s="943">
        <v>3</v>
      </c>
      <c r="P367" s="944"/>
      <c r="Q367" s="945"/>
      <c r="R367" s="946">
        <f>$A367*Q367</f>
        <v>0</v>
      </c>
      <c r="S367" s="945"/>
      <c r="T367" s="947">
        <f>$A367*S367*$T$1</f>
        <v>0</v>
      </c>
    </row>
    <row r="368" spans="1:41" s="520" customFormat="1" ht="12">
      <c r="A368" s="758"/>
      <c r="B368" s="758"/>
      <c r="C368" s="758"/>
      <c r="D368" s="758"/>
      <c r="E368" s="758"/>
      <c r="F368" s="753"/>
      <c r="G368" s="758"/>
      <c r="H368" s="758"/>
      <c r="I368" s="519"/>
      <c r="J368" s="758"/>
      <c r="K368" s="758"/>
      <c r="L368" s="758"/>
      <c r="M368" s="758"/>
      <c r="N368" s="758"/>
      <c r="O368" s="758"/>
      <c r="P368" s="758"/>
      <c r="Q368" s="519"/>
      <c r="R368" s="759">
        <f t="shared" ref="R368" si="114">$A368*Q368</f>
        <v>0</v>
      </c>
      <c r="S368" s="519"/>
      <c r="T368" s="760">
        <f t="shared" ref="T368" si="115">$A368*S368*$T$1</f>
        <v>0</v>
      </c>
    </row>
    <row r="369" spans="1:41" s="520" customFormat="1" ht="12.6" thickBot="1">
      <c r="A369" s="761" t="s">
        <v>145</v>
      </c>
      <c r="B369" s="762">
        <f>(R368+T368)</f>
        <v>0</v>
      </c>
      <c r="C369" s="763"/>
      <c r="D369" s="763"/>
      <c r="E369" s="763"/>
      <c r="F369" s="764"/>
      <c r="G369" s="763" t="s">
        <v>146</v>
      </c>
      <c r="H369" s="763"/>
      <c r="I369" s="765"/>
      <c r="J369" s="763"/>
      <c r="K369" s="763" t="s">
        <v>13</v>
      </c>
      <c r="L369" s="766" t="s">
        <v>143</v>
      </c>
      <c r="M369" s="766"/>
      <c r="N369" s="766"/>
      <c r="O369" s="766"/>
      <c r="P369" s="766"/>
      <c r="Q369" s="767"/>
      <c r="R369" s="768">
        <f>SUM(R366:R368)</f>
        <v>0</v>
      </c>
      <c r="S369" s="763"/>
      <c r="T369" s="768">
        <f>SUM(T366:T368)</f>
        <v>0</v>
      </c>
      <c r="U369" s="531"/>
      <c r="V369" s="531"/>
      <c r="W369" s="531"/>
      <c r="X369" s="531"/>
      <c r="Y369" s="531"/>
      <c r="Z369" s="531"/>
      <c r="AA369" s="531"/>
      <c r="AB369" s="531"/>
      <c r="AC369" s="531"/>
      <c r="AD369" s="531"/>
      <c r="AE369" s="531"/>
      <c r="AF369" s="531"/>
      <c r="AG369" s="531"/>
      <c r="AH369" s="531"/>
      <c r="AI369" s="531"/>
      <c r="AJ369" s="531"/>
      <c r="AK369" s="531"/>
      <c r="AL369" s="531"/>
      <c r="AM369" s="531"/>
      <c r="AN369" s="531"/>
      <c r="AO369" s="531"/>
    </row>
    <row r="370" spans="1:41" s="520" customFormat="1" ht="12" thickTop="1">
      <c r="A370" s="51"/>
      <c r="B370" s="41"/>
      <c r="C370" s="51"/>
      <c r="E370" s="42" t="s">
        <v>138</v>
      </c>
      <c r="F370" s="42" t="s">
        <v>139</v>
      </c>
      <c r="G370" s="51"/>
      <c r="H370" s="51"/>
      <c r="I370" s="51"/>
      <c r="J370" s="51"/>
      <c r="K370" s="51" t="s">
        <v>140</v>
      </c>
      <c r="L370" s="51"/>
      <c r="M370" s="51"/>
      <c r="N370" s="51"/>
      <c r="O370" s="52"/>
      <c r="P370" s="51"/>
      <c r="Q370" s="51"/>
      <c r="R370" s="51"/>
      <c r="S370" s="51"/>
      <c r="T370" s="41"/>
      <c r="AG370" s="521" t="s">
        <v>268</v>
      </c>
      <c r="AH370" s="521" t="s">
        <v>269</v>
      </c>
      <c r="AI370" s="521" t="s">
        <v>270</v>
      </c>
      <c r="AJ370" s="521" t="s">
        <v>271</v>
      </c>
      <c r="AK370" s="521" t="s">
        <v>272</v>
      </c>
      <c r="AM370" s="745" t="s">
        <v>281</v>
      </c>
      <c r="AN370" s="746" t="s">
        <v>282</v>
      </c>
      <c r="AO370" s="522" t="s">
        <v>278</v>
      </c>
    </row>
    <row r="371" spans="1:41" s="520" customFormat="1" ht="12" customHeight="1">
      <c r="A371" s="747">
        <v>5</v>
      </c>
      <c r="B371" s="523" t="s">
        <v>141</v>
      </c>
      <c r="C371" s="748"/>
      <c r="D371" s="749" t="s">
        <v>2337</v>
      </c>
      <c r="E371" s="1187">
        <f>IF(AND($A371=0,$A$1="DIF"),0, ROUND(ROUND(($R375*$S$7+($T375*$T$7))/$A371,2)*$C$7,2))</f>
        <v>0</v>
      </c>
      <c r="F371" s="1188">
        <f>ROUND($A371*$E371,2)</f>
        <v>0</v>
      </c>
      <c r="G371" s="752" t="s">
        <v>142</v>
      </c>
      <c r="H371" s="753"/>
      <c r="I371" s="754"/>
      <c r="J371" s="753"/>
      <c r="K371" s="753" t="s">
        <v>13</v>
      </c>
      <c r="L371" s="755" t="s">
        <v>143</v>
      </c>
      <c r="M371" s="755"/>
      <c r="N371" s="755"/>
      <c r="O371" s="755"/>
      <c r="P371" s="755"/>
      <c r="Q371" s="51"/>
      <c r="T371" s="1192" t="str">
        <f>IF(AND($R375=0,$T375=0),"0.00","mu: "&amp; ROUND(F371/$C$7/($R375+$T375*$D$9),2))</f>
        <v>0.00</v>
      </c>
      <c r="W371" s="524"/>
      <c r="AG371" s="1189">
        <f>IF($E371=0,0,ROUND($R375*$S$7*$C$7/$A371,2))</f>
        <v>0</v>
      </c>
      <c r="AH371" s="1189">
        <f>$AG371*$A371</f>
        <v>0</v>
      </c>
      <c r="AI371" s="1190">
        <f>$E371-$AG371</f>
        <v>0</v>
      </c>
      <c r="AJ371" s="1190">
        <f>$A371*$AI371</f>
        <v>0</v>
      </c>
      <c r="AK371" s="1191">
        <f>ROUND(($AG371+$AI371)*$A371,2)</f>
        <v>0</v>
      </c>
      <c r="AM371" s="527">
        <f>ROUND(R375,2)</f>
        <v>0</v>
      </c>
      <c r="AN371" s="528">
        <f>ROUND(T375,2)</f>
        <v>0</v>
      </c>
      <c r="AO371" s="529">
        <f>ROUND(AM371+AN371,2)*A371</f>
        <v>0</v>
      </c>
    </row>
    <row r="372" spans="1:41" s="520" customFormat="1" ht="13.2">
      <c r="A372" s="748"/>
      <c r="B372"/>
      <c r="C372" s="748"/>
      <c r="D372" s="749" t="s">
        <v>3498</v>
      </c>
      <c r="F372" s="753"/>
      <c r="G372" s="3"/>
      <c r="H372" s="753"/>
      <c r="I372" s="754"/>
      <c r="J372" s="753"/>
      <c r="K372" s="753" t="s">
        <v>144</v>
      </c>
      <c r="L372" s="753"/>
      <c r="M372" s="753"/>
      <c r="N372" s="753"/>
      <c r="O372" s="753"/>
      <c r="P372" s="753"/>
      <c r="Q372" s="51"/>
      <c r="R372" s="530"/>
      <c r="S372" s="757"/>
      <c r="T372" s="753"/>
    </row>
    <row r="373" spans="1:41" s="901" customFormat="1" ht="13.2">
      <c r="A373" s="116">
        <v>5</v>
      </c>
      <c r="B373" s="901" t="s">
        <v>863</v>
      </c>
      <c r="D373" s="901" t="s">
        <v>3503</v>
      </c>
      <c r="E373" s="1142" t="str">
        <f>D372</f>
        <v>dia. 350 mm</v>
      </c>
      <c r="G373" s="941" t="s">
        <v>3504</v>
      </c>
      <c r="H373" s="942">
        <v>726</v>
      </c>
      <c r="I373" s="901" t="s">
        <v>2607</v>
      </c>
      <c r="O373" s="943">
        <v>3</v>
      </c>
      <c r="P373" s="944"/>
      <c r="Q373" s="945"/>
      <c r="R373" s="946">
        <f>$A373*Q373</f>
        <v>0</v>
      </c>
      <c r="S373" s="945"/>
      <c r="T373" s="947">
        <f>$A373*S373*$T$1</f>
        <v>0</v>
      </c>
    </row>
    <row r="374" spans="1:41" s="520" customFormat="1" ht="12">
      <c r="A374" s="758"/>
      <c r="B374" s="758"/>
      <c r="C374" s="758"/>
      <c r="D374" s="758"/>
      <c r="E374" s="758"/>
      <c r="F374" s="753"/>
      <c r="G374" s="758"/>
      <c r="H374" s="758"/>
      <c r="I374" s="519"/>
      <c r="J374" s="758"/>
      <c r="K374" s="758"/>
      <c r="L374" s="758"/>
      <c r="M374" s="758"/>
      <c r="N374" s="758"/>
      <c r="O374" s="758"/>
      <c r="P374" s="758"/>
      <c r="Q374" s="519"/>
      <c r="R374" s="759">
        <f t="shared" ref="R374" si="116">$A374*Q374</f>
        <v>0</v>
      </c>
      <c r="S374" s="519"/>
      <c r="T374" s="760">
        <f t="shared" ref="T374" si="117">$A374*S374*$T$1</f>
        <v>0</v>
      </c>
    </row>
    <row r="375" spans="1:41" s="520" customFormat="1" ht="12.6" thickBot="1">
      <c r="A375" s="761" t="s">
        <v>145</v>
      </c>
      <c r="B375" s="762">
        <f>(R374+T374)</f>
        <v>0</v>
      </c>
      <c r="C375" s="763"/>
      <c r="D375" s="763"/>
      <c r="E375" s="763"/>
      <c r="F375" s="764"/>
      <c r="G375" s="763" t="s">
        <v>146</v>
      </c>
      <c r="H375" s="763"/>
      <c r="I375" s="765"/>
      <c r="J375" s="763"/>
      <c r="K375" s="763" t="s">
        <v>13</v>
      </c>
      <c r="L375" s="766" t="s">
        <v>143</v>
      </c>
      <c r="M375" s="766"/>
      <c r="N375" s="766"/>
      <c r="O375" s="766"/>
      <c r="P375" s="766"/>
      <c r="Q375" s="767"/>
      <c r="R375" s="768">
        <f>SUM(R372:R374)</f>
        <v>0</v>
      </c>
      <c r="S375" s="763"/>
      <c r="T375" s="768">
        <f>SUM(T372:T374)</f>
        <v>0</v>
      </c>
      <c r="U375" s="531"/>
      <c r="V375" s="531"/>
      <c r="W375" s="531"/>
      <c r="X375" s="531"/>
      <c r="Y375" s="531"/>
      <c r="Z375" s="531"/>
      <c r="AA375" s="531"/>
      <c r="AB375" s="531"/>
      <c r="AC375" s="531"/>
      <c r="AD375" s="531"/>
      <c r="AE375" s="531"/>
      <c r="AF375" s="531"/>
      <c r="AG375" s="531"/>
      <c r="AH375" s="531"/>
      <c r="AI375" s="531"/>
      <c r="AJ375" s="531"/>
      <c r="AK375" s="531"/>
      <c r="AL375" s="531"/>
      <c r="AM375" s="531"/>
      <c r="AN375" s="531"/>
      <c r="AO375" s="531"/>
    </row>
    <row r="376" spans="1:41" s="520" customFormat="1" ht="12" thickTop="1">
      <c r="A376" s="51"/>
      <c r="B376" s="41"/>
      <c r="C376" s="51"/>
      <c r="E376" s="42" t="s">
        <v>138</v>
      </c>
      <c r="F376" s="42" t="s">
        <v>139</v>
      </c>
      <c r="G376" s="51"/>
      <c r="H376" s="51"/>
      <c r="I376" s="51"/>
      <c r="J376" s="51"/>
      <c r="K376" s="51" t="s">
        <v>140</v>
      </c>
      <c r="L376" s="51"/>
      <c r="M376" s="51"/>
      <c r="N376" s="51"/>
      <c r="O376" s="52"/>
      <c r="P376" s="51"/>
      <c r="Q376" s="51"/>
      <c r="R376" s="51"/>
      <c r="S376" s="51"/>
      <c r="T376" s="41"/>
      <c r="AG376" s="521" t="s">
        <v>268</v>
      </c>
      <c r="AH376" s="521" t="s">
        <v>269</v>
      </c>
      <c r="AI376" s="521" t="s">
        <v>270</v>
      </c>
      <c r="AJ376" s="521" t="s">
        <v>271</v>
      </c>
      <c r="AK376" s="521" t="s">
        <v>272</v>
      </c>
      <c r="AM376" s="745" t="s">
        <v>281</v>
      </c>
      <c r="AN376" s="746" t="s">
        <v>282</v>
      </c>
      <c r="AO376" s="522" t="s">
        <v>278</v>
      </c>
    </row>
    <row r="377" spans="1:41" s="520" customFormat="1" ht="12" customHeight="1">
      <c r="A377" s="747">
        <v>1</v>
      </c>
      <c r="B377" s="523" t="s">
        <v>299</v>
      </c>
      <c r="C377" s="748"/>
      <c r="D377" s="749" t="s">
        <v>2338</v>
      </c>
      <c r="E377" s="1187">
        <f>IF(AND($A377=0,$A$1="DIF"),0, ROUND(ROUND(($R381*$S$7+($T381*$T$7))/$A377,2)*$C$7,2))</f>
        <v>0</v>
      </c>
      <c r="F377" s="1188">
        <f>ROUND($A377*$E377,2)</f>
        <v>0</v>
      </c>
      <c r="G377" s="752" t="s">
        <v>142</v>
      </c>
      <c r="H377" s="753"/>
      <c r="I377" s="754"/>
      <c r="J377" s="753"/>
      <c r="K377" s="753" t="s">
        <v>13</v>
      </c>
      <c r="L377" s="755" t="s">
        <v>143</v>
      </c>
      <c r="M377" s="755"/>
      <c r="N377" s="755"/>
      <c r="O377" s="755"/>
      <c r="P377" s="755"/>
      <c r="Q377" s="1058" t="s">
        <v>3716</v>
      </c>
      <c r="T377" s="1192" t="str">
        <f>IF(AND($R381=0,$T381=0),"0.00","mu: "&amp; ROUND(F377/$C$7/($R381+$T381*$D$9),2))</f>
        <v>0.00</v>
      </c>
      <c r="W377" s="524"/>
      <c r="AG377" s="1189">
        <f>IF($E377=0,0,ROUND($R381*$S$7*$C$7/$A377,2))</f>
        <v>0</v>
      </c>
      <c r="AH377" s="1189">
        <f>$AG377*$A377</f>
        <v>0</v>
      </c>
      <c r="AI377" s="1190">
        <f>$E377-$AG377</f>
        <v>0</v>
      </c>
      <c r="AJ377" s="1190">
        <f>$A377*$AI377</f>
        <v>0</v>
      </c>
      <c r="AK377" s="1191">
        <f>ROUND(($AG377+$AI377)*$A377,2)</f>
        <v>0</v>
      </c>
      <c r="AM377" s="527">
        <f>ROUND(R381,2)</f>
        <v>0</v>
      </c>
      <c r="AN377" s="528">
        <f>ROUND(T381,2)</f>
        <v>0</v>
      </c>
      <c r="AO377" s="529">
        <f>ROUND(AM377+AN377,2)*A377</f>
        <v>0</v>
      </c>
    </row>
    <row r="378" spans="1:41" s="520" customFormat="1" ht="39.9" customHeight="1">
      <c r="A378" s="748"/>
      <c r="B378"/>
      <c r="C378" s="748"/>
      <c r="D378" s="1451" t="s">
        <v>3499</v>
      </c>
      <c r="E378" s="1452"/>
      <c r="F378" s="1452"/>
      <c r="G378" s="1452"/>
      <c r="H378" s="1452"/>
      <c r="I378" s="1452"/>
      <c r="J378" s="1452"/>
      <c r="K378" s="1452"/>
      <c r="L378" s="1452"/>
      <c r="M378" s="1452"/>
      <c r="N378" s="1452"/>
      <c r="O378" s="1452"/>
      <c r="P378" s="1452"/>
      <c r="Q378" s="1452"/>
      <c r="R378" s="1452"/>
      <c r="S378" s="1452"/>
      <c r="T378" s="1452"/>
    </row>
    <row r="379" spans="1:41" s="901" customFormat="1" ht="13.2">
      <c r="A379" s="116">
        <v>1</v>
      </c>
      <c r="B379" s="901" t="s">
        <v>863</v>
      </c>
      <c r="D379" s="901" t="s">
        <v>3503</v>
      </c>
      <c r="E379" s="1142" t="str">
        <f>D378</f>
        <v>Provision for inspecting of all fire compartmentation walls as indicated on drawings to ensure that all penetrations, openings etc. are filled with fire stopping material, c/w all necessary fire stopping materials for the making good of any encountered penetrations/openings.</v>
      </c>
      <c r="G379" s="941" t="s">
        <v>3504</v>
      </c>
      <c r="H379" s="942">
        <v>726</v>
      </c>
      <c r="I379" s="901" t="s">
        <v>2607</v>
      </c>
      <c r="O379" s="943">
        <v>3</v>
      </c>
      <c r="P379" s="944"/>
      <c r="Q379" s="945"/>
      <c r="R379" s="946">
        <f>$A379*Q379</f>
        <v>0</v>
      </c>
      <c r="S379" s="945"/>
      <c r="T379" s="947">
        <f>$A379*S379*$T$1</f>
        <v>0</v>
      </c>
    </row>
    <row r="380" spans="1:41" s="520" customFormat="1" ht="12">
      <c r="A380" s="758"/>
      <c r="B380" s="758"/>
      <c r="C380" s="758"/>
      <c r="D380" s="758"/>
      <c r="E380" s="758"/>
      <c r="F380" s="753"/>
      <c r="G380" s="758"/>
      <c r="H380" s="758"/>
      <c r="I380" s="519"/>
      <c r="J380" s="758"/>
      <c r="K380" s="758"/>
      <c r="L380" s="758"/>
      <c r="M380" s="758"/>
      <c r="N380" s="758"/>
      <c r="O380" s="758"/>
      <c r="P380" s="758"/>
      <c r="Q380" s="519"/>
      <c r="R380" s="759">
        <f t="shared" ref="R380" si="118">$A380*Q380</f>
        <v>0</v>
      </c>
      <c r="S380" s="519"/>
      <c r="T380" s="760">
        <f t="shared" ref="T380" si="119">$A380*S380*$T$1</f>
        <v>0</v>
      </c>
    </row>
    <row r="381" spans="1:41" s="520" customFormat="1" ht="12.6" thickBot="1">
      <c r="A381" s="761" t="s">
        <v>145</v>
      </c>
      <c r="B381" s="762">
        <f>(R380+T380)</f>
        <v>0</v>
      </c>
      <c r="C381" s="763"/>
      <c r="D381" s="763"/>
      <c r="E381" s="763"/>
      <c r="F381" s="764"/>
      <c r="G381" s="763" t="s">
        <v>146</v>
      </c>
      <c r="H381" s="763"/>
      <c r="I381" s="765"/>
      <c r="J381" s="763"/>
      <c r="K381" s="763" t="s">
        <v>13</v>
      </c>
      <c r="L381" s="766" t="s">
        <v>143</v>
      </c>
      <c r="M381" s="766"/>
      <c r="N381" s="766"/>
      <c r="O381" s="766"/>
      <c r="P381" s="766"/>
      <c r="Q381" s="767"/>
      <c r="R381" s="768">
        <f>SUM(R378:R380)</f>
        <v>0</v>
      </c>
      <c r="S381" s="763"/>
      <c r="T381" s="768">
        <f>SUM(T378:T380)</f>
        <v>0</v>
      </c>
      <c r="U381" s="531"/>
      <c r="V381" s="531"/>
      <c r="W381" s="531"/>
      <c r="X381" s="531"/>
      <c r="Y381" s="531"/>
      <c r="Z381" s="531"/>
      <c r="AA381" s="531"/>
      <c r="AB381" s="531"/>
      <c r="AC381" s="531"/>
      <c r="AD381" s="531"/>
      <c r="AE381" s="531"/>
      <c r="AF381" s="531"/>
      <c r="AG381" s="531"/>
      <c r="AH381" s="531"/>
      <c r="AI381" s="531"/>
      <c r="AJ381" s="531"/>
      <c r="AK381" s="531"/>
      <c r="AL381" s="531"/>
      <c r="AM381" s="531"/>
      <c r="AN381" s="531"/>
      <c r="AO381" s="531"/>
    </row>
    <row r="382" spans="1:41" s="520" customFormat="1" ht="12" thickTop="1">
      <c r="A382" s="51"/>
      <c r="B382" s="41"/>
      <c r="C382" s="51"/>
      <c r="E382" s="42" t="s">
        <v>138</v>
      </c>
      <c r="F382" s="42" t="s">
        <v>139</v>
      </c>
      <c r="G382" s="51"/>
      <c r="H382" s="51"/>
      <c r="I382" s="51"/>
      <c r="J382" s="51"/>
      <c r="K382" s="51" t="s">
        <v>140</v>
      </c>
      <c r="L382" s="51"/>
      <c r="M382" s="51"/>
      <c r="N382" s="51"/>
      <c r="O382" s="52"/>
      <c r="P382" s="51"/>
      <c r="Q382" s="51"/>
      <c r="R382" s="51"/>
      <c r="S382" s="51"/>
      <c r="T382" s="41"/>
      <c r="AG382" s="521" t="s">
        <v>268</v>
      </c>
      <c r="AH382" s="521" t="s">
        <v>269</v>
      </c>
      <c r="AI382" s="521" t="s">
        <v>270</v>
      </c>
      <c r="AJ382" s="521" t="s">
        <v>271</v>
      </c>
      <c r="AK382" s="521" t="s">
        <v>272</v>
      </c>
      <c r="AM382" s="745" t="s">
        <v>281</v>
      </c>
      <c r="AN382" s="746" t="s">
        <v>282</v>
      </c>
      <c r="AO382" s="522" t="s">
        <v>278</v>
      </c>
    </row>
    <row r="383" spans="1:41" s="520" customFormat="1" ht="12" customHeight="1">
      <c r="A383" s="747">
        <v>5</v>
      </c>
      <c r="B383" s="523" t="s">
        <v>299</v>
      </c>
      <c r="C383" s="748"/>
      <c r="D383" s="749" t="s">
        <v>2339</v>
      </c>
      <c r="E383" s="1187">
        <f>IF(AND($A383=0,$A$1="DIF"),0, ROUND(ROUND(($R387*$S$7+($T387*$T$7))/$A383,2)*$C$7,2))</f>
        <v>0</v>
      </c>
      <c r="F383" s="1188">
        <f>ROUND($A383*$E383,2)</f>
        <v>0</v>
      </c>
      <c r="G383" s="752" t="s">
        <v>142</v>
      </c>
      <c r="H383" s="753"/>
      <c r="I383" s="754"/>
      <c r="J383" s="753"/>
      <c r="K383" s="753" t="s">
        <v>13</v>
      </c>
      <c r="L383" s="755" t="s">
        <v>143</v>
      </c>
      <c r="M383" s="755"/>
      <c r="N383" s="755"/>
      <c r="O383" s="755"/>
      <c r="P383" s="755"/>
      <c r="Q383" s="1058" t="s">
        <v>3687</v>
      </c>
      <c r="T383" s="1192" t="str">
        <f>IF(AND($R387=0,$T387=0),"0.00","mu: "&amp; ROUND(F383/$C$7/($R387+$T387*$D$9),2))</f>
        <v>0.00</v>
      </c>
      <c r="W383" s="524"/>
      <c r="AG383" s="1189">
        <f>IF($E383=0,0,ROUND($R387*$S$7*$C$7/$A383,2))</f>
        <v>0</v>
      </c>
      <c r="AH383" s="1189">
        <f>$AG383*$A383</f>
        <v>0</v>
      </c>
      <c r="AI383" s="1190">
        <f>$E383-$AG383</f>
        <v>0</v>
      </c>
      <c r="AJ383" s="1190">
        <f>$A383*$AI383</f>
        <v>0</v>
      </c>
      <c r="AK383" s="1191">
        <f>ROUND(($AG383+$AI383)*$A383,2)</f>
        <v>0</v>
      </c>
      <c r="AM383" s="527">
        <f>ROUND(R387,2)</f>
        <v>0</v>
      </c>
      <c r="AN383" s="528">
        <f>ROUND(T387,2)</f>
        <v>0</v>
      </c>
      <c r="AO383" s="529">
        <f>ROUND(AM383+AN383,2)*A383</f>
        <v>0</v>
      </c>
    </row>
    <row r="384" spans="1:41" s="520" customFormat="1" ht="39.9" customHeight="1">
      <c r="A384" s="748"/>
      <c r="B384"/>
      <c r="C384" s="748"/>
      <c r="D384" s="1451" t="s">
        <v>3500</v>
      </c>
      <c r="E384" s="1452"/>
      <c r="F384" s="1452"/>
      <c r="G384" s="1452"/>
      <c r="H384" s="1452"/>
      <c r="I384" s="1452"/>
      <c r="J384" s="1452"/>
      <c r="K384" s="1452"/>
      <c r="L384" s="1452"/>
      <c r="M384" s="1452"/>
      <c r="N384" s="1452"/>
      <c r="O384" s="1452"/>
      <c r="P384" s="1452"/>
      <c r="Q384" s="1452"/>
      <c r="R384" s="1452"/>
      <c r="S384" s="1452"/>
      <c r="T384" s="1452"/>
    </row>
    <row r="385" spans="1:41" s="901" customFormat="1" ht="13.2">
      <c r="A385" s="116">
        <v>5</v>
      </c>
      <c r="B385" s="901" t="s">
        <v>863</v>
      </c>
      <c r="D385" s="901" t="s">
        <v>3503</v>
      </c>
      <c r="E385" s="1142" t="str">
        <f>D384</f>
        <v>Certification of all fire compartments walls and ceilings to meet the fire rating specified in the fire report</v>
      </c>
      <c r="G385" s="941" t="s">
        <v>3504</v>
      </c>
      <c r="H385" s="942">
        <v>726</v>
      </c>
      <c r="I385" s="901" t="s">
        <v>2607</v>
      </c>
      <c r="O385" s="943">
        <v>3</v>
      </c>
      <c r="P385" s="944"/>
      <c r="Q385" s="945"/>
      <c r="R385" s="946">
        <f>$A385*Q385</f>
        <v>0</v>
      </c>
      <c r="S385" s="945"/>
      <c r="T385" s="947">
        <f>$A385*S385*$T$1</f>
        <v>0</v>
      </c>
    </row>
    <row r="386" spans="1:41" s="520" customFormat="1" ht="12">
      <c r="A386" s="758"/>
      <c r="B386" s="758"/>
      <c r="C386" s="758"/>
      <c r="D386" s="758"/>
      <c r="E386" s="758"/>
      <c r="F386" s="753"/>
      <c r="G386" s="758"/>
      <c r="H386" s="758"/>
      <c r="I386" s="519"/>
      <c r="J386" s="758"/>
      <c r="K386" s="758"/>
      <c r="L386" s="758"/>
      <c r="M386" s="758"/>
      <c r="N386" s="758"/>
      <c r="O386" s="758"/>
      <c r="P386" s="758"/>
      <c r="Q386" s="519"/>
      <c r="R386" s="759">
        <f t="shared" ref="R386" si="120">$A386*Q386</f>
        <v>0</v>
      </c>
      <c r="S386" s="519"/>
      <c r="T386" s="760">
        <f t="shared" ref="T386" si="121">$A386*S386*$T$1</f>
        <v>0</v>
      </c>
    </row>
    <row r="387" spans="1:41" s="520" customFormat="1" ht="12.6" thickBot="1">
      <c r="A387" s="761" t="s">
        <v>145</v>
      </c>
      <c r="B387" s="762">
        <f>(R386+T386)</f>
        <v>0</v>
      </c>
      <c r="C387" s="763"/>
      <c r="D387" s="763"/>
      <c r="E387" s="763"/>
      <c r="F387" s="764"/>
      <c r="G387" s="763" t="s">
        <v>146</v>
      </c>
      <c r="H387" s="763"/>
      <c r="I387" s="765"/>
      <c r="J387" s="763"/>
      <c r="K387" s="763" t="s">
        <v>13</v>
      </c>
      <c r="L387" s="766" t="s">
        <v>143</v>
      </c>
      <c r="M387" s="766"/>
      <c r="N387" s="766"/>
      <c r="O387" s="766"/>
      <c r="P387" s="766"/>
      <c r="Q387" s="767"/>
      <c r="R387" s="768">
        <f>SUM(R384:R386)</f>
        <v>0</v>
      </c>
      <c r="S387" s="763"/>
      <c r="T387" s="768">
        <f>SUM(T384:T386)</f>
        <v>0</v>
      </c>
      <c r="U387" s="531"/>
      <c r="V387" s="531"/>
      <c r="W387" s="531"/>
      <c r="X387" s="531"/>
      <c r="Y387" s="531"/>
      <c r="Z387" s="531"/>
      <c r="AA387" s="531"/>
      <c r="AB387" s="531"/>
      <c r="AC387" s="531"/>
      <c r="AD387" s="531"/>
      <c r="AE387" s="531"/>
      <c r="AF387" s="531"/>
      <c r="AG387" s="531"/>
      <c r="AH387" s="531"/>
      <c r="AI387" s="531"/>
      <c r="AJ387" s="531"/>
      <c r="AK387" s="531"/>
      <c r="AL387" s="531"/>
      <c r="AM387" s="531"/>
      <c r="AN387" s="531"/>
      <c r="AO387" s="531"/>
    </row>
    <row r="388" spans="1:41" s="520" customFormat="1" ht="12" thickTop="1">
      <c r="A388" s="48" t="s">
        <v>148</v>
      </c>
      <c r="D388" s="13"/>
      <c r="E388" s="42"/>
      <c r="O388" s="771"/>
    </row>
    <row r="389" spans="1:41" s="520" customFormat="1" ht="13.2">
      <c r="B389" s="3"/>
      <c r="O389" s="771"/>
    </row>
    <row r="390" spans="1:41" s="520" customFormat="1" ht="12">
      <c r="B390" s="772">
        <f>$F390/$C$2-($R390*$S$2+$T390*$T$2)</f>
        <v>-3.5349040001165122E-2</v>
      </c>
      <c r="D390" s="773" t="s">
        <v>1065</v>
      </c>
      <c r="E390" s="774"/>
      <c r="F390" s="775">
        <f>SUMIF($L14:$L388,"ITEM",F14:F388)</f>
        <v>55304.899999999994</v>
      </c>
      <c r="G390" s="758"/>
      <c r="H390" s="758"/>
      <c r="I390" s="519"/>
      <c r="J390" s="758"/>
      <c r="K390" s="758"/>
      <c r="L390" s="755" t="s">
        <v>157</v>
      </c>
      <c r="M390" s="755"/>
      <c r="N390" s="755"/>
      <c r="O390" s="755"/>
      <c r="P390" s="755"/>
      <c r="R390" s="775">
        <f>SUMIF($L14:$L388,"ITEM",R14:R388)</f>
        <v>28788.399999999998</v>
      </c>
      <c r="S390" s="776"/>
      <c r="T390" s="775">
        <f>SUMIF($L14:$L388,"ITEM",T14:T388)</f>
        <v>587.25</v>
      </c>
    </row>
    <row r="391" spans="1:41" s="520" customFormat="1" ht="13.2">
      <c r="A391" s="51"/>
      <c r="B391" s="49" t="s">
        <v>1064</v>
      </c>
      <c r="C391" s="51"/>
      <c r="D391" s="3"/>
      <c r="F391" s="777" t="s">
        <v>158</v>
      </c>
      <c r="G391" s="758"/>
      <c r="H391" s="758"/>
      <c r="I391" s="519"/>
      <c r="J391" s="758"/>
      <c r="K391" s="758"/>
      <c r="L391" s="758"/>
      <c r="M391" s="758"/>
      <c r="N391" s="758"/>
      <c r="O391" s="758"/>
      <c r="P391" s="758"/>
      <c r="Q391" s="778"/>
      <c r="R391" s="777" t="s">
        <v>159</v>
      </c>
      <c r="S391" s="38"/>
      <c r="T391" s="777" t="s">
        <v>160</v>
      </c>
    </row>
    <row r="392" spans="1:41" s="520" customFormat="1" ht="13.2">
      <c r="A392" s="758"/>
      <c r="B392" s="3"/>
      <c r="C392" s="758"/>
      <c r="D392" s="3"/>
      <c r="E392" s="3"/>
      <c r="G392" s="3"/>
      <c r="H392" s="3"/>
      <c r="I392" s="3"/>
      <c r="J392" s="3"/>
      <c r="K392" s="3"/>
      <c r="L392" s="3"/>
      <c r="M392" s="3"/>
      <c r="N392" s="3"/>
      <c r="O392" s="107"/>
      <c r="P392" s="3"/>
      <c r="Q392" s="3"/>
      <c r="R392" s="3"/>
      <c r="S392" s="3"/>
      <c r="T392" s="3"/>
    </row>
    <row r="393" spans="1:41" s="520" customFormat="1" ht="12" thickBot="1">
      <c r="A393" s="531"/>
      <c r="B393" s="763"/>
      <c r="C393" s="763"/>
      <c r="D393" s="531"/>
      <c r="E393" s="39"/>
      <c r="F393" s="779"/>
      <c r="G393" s="763"/>
      <c r="H393" s="763"/>
      <c r="I393" s="765"/>
      <c r="J393" s="763"/>
      <c r="K393" s="763"/>
      <c r="L393" s="766"/>
      <c r="M393" s="766"/>
      <c r="N393" s="766"/>
      <c r="O393" s="766"/>
      <c r="P393" s="766"/>
      <c r="Q393" s="767"/>
      <c r="R393" s="779"/>
      <c r="S393" s="780"/>
      <c r="T393" s="779"/>
      <c r="U393" s="531"/>
      <c r="V393" s="531"/>
      <c r="W393" s="531"/>
      <c r="X393" s="531"/>
      <c r="Y393" s="531"/>
      <c r="Z393" s="531"/>
      <c r="AA393" s="531"/>
      <c r="AB393" s="531"/>
      <c r="AC393" s="531"/>
      <c r="AD393" s="531"/>
      <c r="AE393" s="531"/>
      <c r="AF393" s="531"/>
      <c r="AG393" s="531"/>
      <c r="AH393" s="531"/>
      <c r="AI393" s="531"/>
      <c r="AJ393" s="531"/>
      <c r="AK393" s="531"/>
    </row>
    <row r="394" spans="1:41" s="520" customFormat="1" thickTop="1">
      <c r="A394" s="48" t="s">
        <v>148</v>
      </c>
      <c r="B394" s="3"/>
      <c r="C394" s="51"/>
      <c r="D394" s="51"/>
      <c r="E394" s="51"/>
      <c r="F394" s="51"/>
      <c r="G394" s="51"/>
      <c r="H394" s="51"/>
      <c r="I394" s="51"/>
      <c r="J394" s="51"/>
      <c r="K394" s="51"/>
      <c r="L394" s="51"/>
      <c r="M394" s="51"/>
      <c r="N394" s="51"/>
      <c r="O394" s="52"/>
      <c r="P394" s="51"/>
      <c r="Q394" s="51"/>
      <c r="R394" s="51"/>
      <c r="S394" s="51"/>
      <c r="T394" s="51"/>
    </row>
    <row r="395" spans="1:41" s="520" customFormat="1" ht="13.2">
      <c r="A395" s="51"/>
      <c r="B395" s="3"/>
      <c r="C395" s="3"/>
      <c r="D395" s="520" t="s">
        <v>3501</v>
      </c>
      <c r="E395" s="3"/>
      <c r="F395" s="3"/>
      <c r="G395" s="3"/>
      <c r="H395" s="3"/>
      <c r="I395" s="3"/>
      <c r="J395" s="3"/>
      <c r="K395" s="3"/>
      <c r="L395" s="3"/>
      <c r="M395" s="3"/>
      <c r="N395" s="3"/>
      <c r="O395" s="107"/>
      <c r="P395" s="3"/>
      <c r="Q395" s="3"/>
      <c r="R395" s="3"/>
      <c r="S395" s="3"/>
      <c r="T395" s="3"/>
    </row>
    <row r="396" spans="1:41" s="520" customFormat="1" ht="12">
      <c r="A396" s="51"/>
      <c r="B396" s="772">
        <f>$F396/$C$2-($R396*$S$2+$T396*$T$2)</f>
        <v>-3.5349040001165122E-2</v>
      </c>
      <c r="C396" s="51"/>
      <c r="D396" s="781" t="s">
        <v>1074</v>
      </c>
      <c r="E396" s="774"/>
      <c r="F396" s="782">
        <f>SUMIF($L14:$L394,"PAGE",F14:F394)</f>
        <v>55304.899999999994</v>
      </c>
      <c r="G396" s="758"/>
      <c r="H396" s="758"/>
      <c r="I396" s="519"/>
      <c r="J396" s="758"/>
      <c r="K396" s="758"/>
      <c r="L396" s="121" t="s">
        <v>1075</v>
      </c>
      <c r="M396" s="121"/>
      <c r="N396" s="121"/>
      <c r="O396" s="122"/>
      <c r="P396" s="121"/>
      <c r="Q396" s="51"/>
      <c r="R396" s="782">
        <f>SUMIF($L14:$L394,"PAGE",R14:R394)</f>
        <v>28788.399999999998</v>
      </c>
      <c r="S396" s="51"/>
      <c r="T396" s="782">
        <f>SUMIF($L14:$L394,"PAGE",T14:T394)</f>
        <v>587.25</v>
      </c>
    </row>
    <row r="397" spans="1:41" s="520" customFormat="1" ht="12">
      <c r="A397" s="51"/>
      <c r="B397" s="49" t="s">
        <v>1064</v>
      </c>
      <c r="C397" s="51"/>
      <c r="D397" s="781"/>
      <c r="F397" s="783" t="s">
        <v>1076</v>
      </c>
      <c r="G397" s="758"/>
      <c r="H397" s="758"/>
      <c r="I397" s="519"/>
      <c r="J397" s="758"/>
      <c r="K397" s="758"/>
      <c r="L397" s="51"/>
      <c r="M397" s="51"/>
      <c r="N397" s="51"/>
      <c r="O397" s="52"/>
      <c r="P397" s="51"/>
      <c r="Q397" s="51"/>
      <c r="R397" s="783" t="s">
        <v>1077</v>
      </c>
      <c r="S397" s="38"/>
      <c r="T397" s="783" t="s">
        <v>1078</v>
      </c>
    </row>
    <row r="398" spans="1:41" s="520" customFormat="1" ht="11.4">
      <c r="O398" s="771"/>
    </row>
    <row r="399" spans="1:41" s="520" customFormat="1" ht="12" thickBot="1">
      <c r="A399" s="763"/>
      <c r="B399" s="763"/>
      <c r="C399" s="763"/>
      <c r="D399" s="763"/>
      <c r="E399" s="763"/>
      <c r="F399" s="39"/>
      <c r="G399" s="531"/>
      <c r="H399" s="531"/>
      <c r="I399" s="531"/>
      <c r="J399" s="531"/>
      <c r="K399" s="531"/>
      <c r="L399" s="763"/>
      <c r="M399" s="763"/>
      <c r="N399" s="763"/>
      <c r="O399" s="763"/>
      <c r="P399" s="763"/>
      <c r="Q399" s="767"/>
      <c r="R399" s="39"/>
      <c r="S399" s="39"/>
      <c r="T399" s="39"/>
      <c r="U399" s="531"/>
      <c r="V399" s="531"/>
      <c r="W399" s="531"/>
      <c r="X399" s="531"/>
      <c r="Y399" s="531"/>
      <c r="Z399" s="531"/>
      <c r="AA399" s="531"/>
      <c r="AB399" s="531"/>
      <c r="AC399" s="531"/>
      <c r="AD399" s="531"/>
      <c r="AE399" s="531"/>
      <c r="AF399" s="531"/>
      <c r="AG399" s="531"/>
      <c r="AH399" s="531"/>
      <c r="AI399" s="531"/>
      <c r="AJ399" s="531"/>
      <c r="AK399" s="531"/>
    </row>
    <row r="400" spans="1:41" s="520" customFormat="1" ht="14.4" thickTop="1" thickBot="1">
      <c r="A400" s="48"/>
      <c r="B400" s="3"/>
      <c r="C400" s="51"/>
      <c r="D400" s="3"/>
      <c r="E400" s="3"/>
      <c r="F400" s="3"/>
      <c r="G400" s="3"/>
      <c r="H400" s="3"/>
      <c r="I400" s="3"/>
      <c r="J400" s="3"/>
      <c r="K400" s="3"/>
      <c r="L400" s="3"/>
      <c r="M400" s="3"/>
      <c r="N400" s="3"/>
      <c r="O400" s="107"/>
      <c r="P400" s="3"/>
      <c r="Q400" s="3"/>
      <c r="R400" s="3"/>
      <c r="S400" s="3"/>
      <c r="T400" s="3"/>
      <c r="AH400" s="948">
        <f>SUM(AH$15:AH399)</f>
        <v>35448.450000000004</v>
      </c>
      <c r="AI400" s="36"/>
      <c r="AJ400" s="948">
        <f>SUM(AJ$15:AJ399)</f>
        <v>19856.450000000004</v>
      </c>
      <c r="AK400" s="948">
        <f>SUM(AK$15:AK399)</f>
        <v>55304.899999999994</v>
      </c>
    </row>
    <row r="401" spans="1:37" s="520" customFormat="1" ht="12" thickTop="1">
      <c r="B401" s="949">
        <f>$F401/$C$2-($R401*$S$2+$T401*$T$2)</f>
        <v>0</v>
      </c>
      <c r="C401" s="520" t="s">
        <v>73</v>
      </c>
      <c r="D401" s="950"/>
      <c r="E401" s="950" t="str">
        <f>$F$2 &amp; " (mu_A) :"</f>
        <v>Electrical (mu_A) :</v>
      </c>
      <c r="F401" s="951">
        <f>SUMIF($K$13:$K400,"mu_A",F$13:F400)</f>
        <v>0</v>
      </c>
      <c r="O401" s="771"/>
      <c r="R401" s="952">
        <f>SUMIF($K$13:$K400,"mu_A",$R$13:$R400)</f>
        <v>0</v>
      </c>
      <c r="T401" s="952">
        <f>SUMIF($K$13:$K400,"mu_A",$T$13:$T400)</f>
        <v>0</v>
      </c>
      <c r="AH401" s="953">
        <f>R401*$S$2</f>
        <v>0</v>
      </c>
      <c r="AJ401" s="953">
        <f>T401*$T$2</f>
        <v>0</v>
      </c>
    </row>
    <row r="402" spans="1:37" s="520" customFormat="1" ht="11.4">
      <c r="B402" s="949">
        <f>$F402/$C$3-($R402*$S$3+$T402*$T$3)</f>
        <v>0</v>
      </c>
      <c r="C402" s="520" t="s">
        <v>73</v>
      </c>
      <c r="D402" s="950"/>
      <c r="E402" s="950" t="str">
        <f>$F$3&amp; " (mu_B) :"</f>
        <v>ELV Installation (NAS Ltd) (mu_B) :</v>
      </c>
      <c r="F402" s="954">
        <f>SUMIF($K$13:$K400,"mu_B",F$13:F400)</f>
        <v>0</v>
      </c>
      <c r="G402" s="758"/>
      <c r="H402" s="758"/>
      <c r="I402" s="519"/>
      <c r="J402" s="758"/>
      <c r="K402" s="758"/>
      <c r="L402" s="758"/>
      <c r="M402" s="758"/>
      <c r="N402" s="758"/>
      <c r="O402" s="758"/>
      <c r="P402" s="758"/>
      <c r="Q402" s="778"/>
      <c r="R402" s="955">
        <f>SUMIF($K$13:$K400,"mu_B",$R$13:$R400)</f>
        <v>0</v>
      </c>
      <c r="S402" s="813"/>
      <c r="T402" s="955">
        <f>SUMIF($K$13:$K400,"mu_B",$T$13:$T400)</f>
        <v>0</v>
      </c>
      <c r="AH402" s="956">
        <f>R402*$S$3</f>
        <v>0</v>
      </c>
      <c r="AJ402" s="956">
        <f>T402*$T$3</f>
        <v>0</v>
      </c>
    </row>
    <row r="403" spans="1:37" s="520" customFormat="1" ht="11.4">
      <c r="B403" s="949">
        <f>$F403/$C$4-($R403*$S$4+$T403*$T$4)</f>
        <v>0</v>
      </c>
      <c r="C403" s="520" t="s">
        <v>73</v>
      </c>
      <c r="D403" s="950"/>
      <c r="E403" s="950" t="str">
        <f>$F$4&amp; " (mu_C) :"</f>
        <v>Lightning Protection System (MCE Ltd) (mu_C) :</v>
      </c>
      <c r="F403" s="957">
        <f>SUMIF($K$13:$K400,"mu_C",F$13:F400)</f>
        <v>0</v>
      </c>
      <c r="G403" s="758"/>
      <c r="H403" s="758"/>
      <c r="I403" s="519"/>
      <c r="J403" s="758"/>
      <c r="K403" s="758"/>
      <c r="L403" s="855"/>
      <c r="M403" s="855"/>
      <c r="N403" s="855"/>
      <c r="O403" s="855"/>
      <c r="P403" s="855"/>
      <c r="R403" s="955">
        <f>SUMIF($K$13:$K400,"mu_C",$R$13:$R400)</f>
        <v>0</v>
      </c>
      <c r="S403" s="776"/>
      <c r="T403" s="955">
        <f>SUMIF($K$13:$K400,"mu_C",$T$13:$T400)</f>
        <v>0</v>
      </c>
      <c r="AH403" s="958">
        <f>R403*$S$4</f>
        <v>0</v>
      </c>
      <c r="AJ403" s="958">
        <f>T403*$T$4</f>
        <v>0</v>
      </c>
    </row>
    <row r="404" spans="1:37" s="520" customFormat="1" ht="11.4">
      <c r="B404" s="949">
        <f>$F404/$C$5-($R404*$S$5+$T404*$T$5)</f>
        <v>0</v>
      </c>
      <c r="C404" s="520" t="s">
        <v>73</v>
      </c>
      <c r="D404" s="950"/>
      <c r="E404" s="950" t="str">
        <f>$F$5&amp; " (mu_D) :"</f>
        <v>Controls ECA (mu_D) :</v>
      </c>
      <c r="F404" s="959">
        <f>SUMIF($K$13:$K400,"mu_D",F$13:F400)</f>
        <v>0</v>
      </c>
      <c r="G404" s="758"/>
      <c r="H404" s="758"/>
      <c r="I404" s="519"/>
      <c r="J404" s="758"/>
      <c r="K404" s="758"/>
      <c r="L404" s="855"/>
      <c r="M404" s="855"/>
      <c r="N404" s="855"/>
      <c r="O404" s="855"/>
      <c r="P404" s="855"/>
      <c r="R404" s="955">
        <f>SUMIF($K$13:$K400,"mu_D",$R$13:$R400)</f>
        <v>0</v>
      </c>
      <c r="S404" s="776"/>
      <c r="T404" s="955">
        <f>SUMIF($K$13:$K400,"mu_D",$T$13:$T400)</f>
        <v>0</v>
      </c>
      <c r="AH404" s="960">
        <f>R404*$S$5</f>
        <v>0</v>
      </c>
      <c r="AJ404" s="960">
        <f>T404*$T$5</f>
        <v>0</v>
      </c>
    </row>
    <row r="405" spans="1:37" s="520" customFormat="1" ht="11.4">
      <c r="B405" s="949">
        <f>$F405/$C$6-($R405*$S$6+$T405*$T$6)</f>
        <v>0</v>
      </c>
      <c r="C405" s="520" t="s">
        <v>73</v>
      </c>
      <c r="D405" s="950"/>
      <c r="E405" s="950" t="str">
        <f>$F$6&amp; " (mu_E) :"</f>
        <v>Testing and Commissiong  (mu_E) :</v>
      </c>
      <c r="F405" s="961">
        <f>SUMIF($K$13:$K400,"mu_E",F$13:F400)</f>
        <v>0</v>
      </c>
      <c r="G405" s="758"/>
      <c r="H405" s="758"/>
      <c r="I405" s="519"/>
      <c r="J405" s="758"/>
      <c r="K405" s="758"/>
      <c r="L405" s="855"/>
      <c r="M405" s="855"/>
      <c r="N405" s="855"/>
      <c r="O405" s="855"/>
      <c r="P405" s="855"/>
      <c r="R405" s="955">
        <f>SUMIF($K$13:$K400,"mu_E",$R$13:$R400)</f>
        <v>0</v>
      </c>
      <c r="S405" s="776"/>
      <c r="T405" s="955">
        <f>SUMIF($K$13:$K400,"mu_E",$T$13:$T400)</f>
        <v>0</v>
      </c>
      <c r="AH405" s="962">
        <f>R405*$S$6</f>
        <v>0</v>
      </c>
      <c r="AJ405" s="962">
        <f>T405*$T$6</f>
        <v>0</v>
      </c>
    </row>
    <row r="406" spans="1:37" s="520" customFormat="1" ht="11.4">
      <c r="B406" s="949">
        <f>$F406/$C$7-($R406*$S$7+$T406*$T$7)</f>
        <v>-3.5349040001165122E-2</v>
      </c>
      <c r="C406" s="520" t="s">
        <v>73</v>
      </c>
      <c r="D406" s="950"/>
      <c r="E406" s="950" t="str">
        <f>$F$7&amp; " (mu_F) :"</f>
        <v>Fire Stopping rates (mu_F) :</v>
      </c>
      <c r="F406" s="963">
        <f>SUMIF($K$13:$K400,"mu_F",F$13:F400)</f>
        <v>55304.899999999994</v>
      </c>
      <c r="G406" s="758"/>
      <c r="H406" s="758"/>
      <c r="I406" s="519"/>
      <c r="J406" s="758"/>
      <c r="K406" s="758"/>
      <c r="L406" s="855"/>
      <c r="M406" s="855"/>
      <c r="N406" s="855"/>
      <c r="O406" s="855"/>
      <c r="P406" s="855"/>
      <c r="R406" s="955">
        <f>SUMIF($K$13:$K400,"mu_F",$R$13:$R400)</f>
        <v>28788.399999999998</v>
      </c>
      <c r="S406" s="776"/>
      <c r="T406" s="955">
        <f>SUMIF($K$13:$K400,"mu_F",$T$13:$T400)</f>
        <v>587.25</v>
      </c>
      <c r="AH406" s="964">
        <f>R406*$S$7</f>
        <v>35448.423609599995</v>
      </c>
      <c r="AJ406" s="964">
        <f>T406*$T$7</f>
        <v>19856.511739440004</v>
      </c>
    </row>
    <row r="407" spans="1:37" s="520" customFormat="1" ht="11.4">
      <c r="B407" s="949">
        <f>$F407/$C$8-($R407*$S$8+$T407*$T$8)</f>
        <v>0</v>
      </c>
      <c r="C407" s="520" t="s">
        <v>73</v>
      </c>
      <c r="D407" s="950"/>
      <c r="E407" s="950" t="str">
        <f>$F$8&amp; " (mu_G) :"</f>
        <v>Main Equipment (Gen Set / Main Switchboards) (mu_G) :</v>
      </c>
      <c r="F407" s="965">
        <f>SUMIF($K$13:$K400,"mu_G",F$13:F400)</f>
        <v>0</v>
      </c>
      <c r="G407" s="758"/>
      <c r="H407" s="758"/>
      <c r="I407" s="519"/>
      <c r="J407" s="758"/>
      <c r="K407" s="758"/>
      <c r="L407" s="855"/>
      <c r="M407" s="855"/>
      <c r="N407" s="855"/>
      <c r="O407" s="855"/>
      <c r="P407" s="855"/>
      <c r="R407" s="955">
        <f>SUMIF($K$13:$K400,"mu_G",$R$13:$R400)</f>
        <v>0</v>
      </c>
      <c r="S407" s="776"/>
      <c r="T407" s="955">
        <f>SUMIF($K$13:$K400,"mu_G",$T$13:$T400)</f>
        <v>0</v>
      </c>
      <c r="AH407" s="966">
        <f>R407*$S$8</f>
        <v>0</v>
      </c>
      <c r="AJ407" s="966">
        <f>T407*$T$8</f>
        <v>0</v>
      </c>
    </row>
    <row r="408" spans="1:37" s="520" customFormat="1" ht="11.4">
      <c r="B408" s="949">
        <f>$F408/$C$9-($R408*$S$9+$T408*$T$9)</f>
        <v>0</v>
      </c>
      <c r="C408" s="520" t="s">
        <v>73</v>
      </c>
      <c r="D408" s="950"/>
      <c r="E408" s="950" t="str">
        <f>$F$9&amp; " (mu_H) :"</f>
        <v>DBs and Changeover (mu_H) :</v>
      </c>
      <c r="F408" s="967">
        <f>SUMIF($K$13:$K400,"mu_H",F$13:F400)</f>
        <v>0</v>
      </c>
      <c r="G408" s="758"/>
      <c r="H408" s="758"/>
      <c r="I408" s="519"/>
      <c r="J408" s="758"/>
      <c r="K408" s="758"/>
      <c r="L408" s="855"/>
      <c r="M408" s="855"/>
      <c r="N408" s="855"/>
      <c r="O408" s="855"/>
      <c r="P408" s="855"/>
      <c r="R408" s="955">
        <f>SUMIF($K$13:$K400,"mu_H",$R$13:$R400)</f>
        <v>0</v>
      </c>
      <c r="S408" s="776"/>
      <c r="T408" s="955">
        <f>SUMIF($K$13:$K400,"mu_H",$T$13:$T400)</f>
        <v>0</v>
      </c>
      <c r="AH408" s="968">
        <f>R408*$S$9</f>
        <v>0</v>
      </c>
      <c r="AJ408" s="968">
        <f>T408*$T$9</f>
        <v>0</v>
      </c>
    </row>
    <row r="409" spans="1:37" s="520" customFormat="1" ht="11.4">
      <c r="B409" s="949">
        <f>$F409/$C$10-($R409*$S$10+$T409*$T$10)</f>
        <v>0</v>
      </c>
      <c r="C409" s="520" t="s">
        <v>73</v>
      </c>
      <c r="D409" s="950"/>
      <c r="E409" s="950" t="str">
        <f>$F$10&amp; " (mu_I) :"</f>
        <v>Armoured Cables (mu_I) :</v>
      </c>
      <c r="F409" s="969">
        <f>SUMIF($K$13:$K400,"mu_I",F$13:F400)</f>
        <v>0</v>
      </c>
      <c r="G409" s="758"/>
      <c r="H409" s="758"/>
      <c r="I409" s="519"/>
      <c r="J409" s="758"/>
      <c r="K409" s="758"/>
      <c r="L409" s="855"/>
      <c r="M409" s="855"/>
      <c r="N409" s="855"/>
      <c r="O409" s="855"/>
      <c r="P409" s="855"/>
      <c r="R409" s="955">
        <f>SUMIF($K$13:$K400,"mu_I",$R$13:$R400)</f>
        <v>0</v>
      </c>
      <c r="S409" s="776"/>
      <c r="T409" s="955">
        <f>SUMIF($K$13:$K400,"mu_I",$T$13:$T400)</f>
        <v>0</v>
      </c>
      <c r="AH409" s="970">
        <f>R409*$S$10</f>
        <v>0</v>
      </c>
      <c r="AJ409" s="970">
        <f>T409*$T$10</f>
        <v>0</v>
      </c>
    </row>
    <row r="410" spans="1:37" s="520" customFormat="1" ht="11.4">
      <c r="B410" s="949">
        <f>$F410/$C$11-($R410*$S$11+$T410*$T$11)</f>
        <v>0</v>
      </c>
      <c r="D410" s="950"/>
      <c r="E410" s="950" t="str">
        <f>$F$10&amp; " (mu_J) :"</f>
        <v>Armoured Cables (mu_J) :</v>
      </c>
      <c r="F410" s="971">
        <f>SUMIF($K$13:$K400,"mu_J",F$13:F400)</f>
        <v>0</v>
      </c>
      <c r="G410" s="758"/>
      <c r="H410" s="758"/>
      <c r="I410" s="519"/>
      <c r="J410" s="758"/>
      <c r="K410" s="758"/>
      <c r="L410" s="855"/>
      <c r="M410" s="855"/>
      <c r="N410" s="855"/>
      <c r="O410" s="855"/>
      <c r="P410" s="855"/>
      <c r="R410" s="955">
        <f>SUMIF($K$13:$K400,"mu_J",$R$13:$R400)</f>
        <v>0</v>
      </c>
      <c r="S410" s="776"/>
      <c r="T410" s="955">
        <f>SUMIF($K$13:$K400,"mu_J",$T$13:$T400)</f>
        <v>0</v>
      </c>
      <c r="AH410" s="972">
        <f>R410*$S$11</f>
        <v>0</v>
      </c>
      <c r="AJ410" s="972">
        <f>T410*$T$11</f>
        <v>0</v>
      </c>
    </row>
    <row r="411" spans="1:37" s="520" customFormat="1" ht="14.4" thickBot="1">
      <c r="A411" s="973"/>
      <c r="B411" s="973"/>
      <c r="C411" s="974" t="s">
        <v>2719</v>
      </c>
      <c r="D411" s="975"/>
      <c r="E411" s="976" t="s">
        <v>2720</v>
      </c>
      <c r="F411" s="977">
        <f>SUM(F401:F410)</f>
        <v>55304.899999999994</v>
      </c>
      <c r="G411" s="978"/>
      <c r="H411" s="978"/>
      <c r="I411" s="979"/>
      <c r="J411" s="978"/>
      <c r="K411" s="978"/>
      <c r="L411" s="980"/>
      <c r="M411" s="980"/>
      <c r="N411" s="980"/>
      <c r="O411" s="980"/>
      <c r="P411" s="980"/>
      <c r="Q411" s="981"/>
      <c r="R411" s="981">
        <f>SUM(R401:R410)</f>
        <v>28788.399999999998</v>
      </c>
      <c r="S411" s="982"/>
      <c r="T411" s="981">
        <f>SUM(T401:T410)</f>
        <v>587.25</v>
      </c>
      <c r="U411" s="531"/>
      <c r="V411" s="531"/>
      <c r="W411" s="531"/>
      <c r="X411" s="531"/>
      <c r="Y411" s="531"/>
      <c r="Z411" s="531"/>
      <c r="AA411" s="531"/>
      <c r="AB411" s="531"/>
      <c r="AC411" s="531"/>
      <c r="AD411" s="531"/>
      <c r="AE411" s="531"/>
      <c r="AF411" s="531"/>
      <c r="AG411" s="531"/>
      <c r="AH411" s="948">
        <f>SUM(AH401:AH410)</f>
        <v>35448.423609599995</v>
      </c>
      <c r="AI411" s="983"/>
      <c r="AJ411" s="948">
        <f>SUM(AJ401:AJ410)</f>
        <v>19856.511739440004</v>
      </c>
      <c r="AK411" s="948">
        <f>AH411+AJ411</f>
        <v>55304.935349039995</v>
      </c>
    </row>
    <row r="412" spans="1:37" s="520" customFormat="1" ht="14.4" thickTop="1">
      <c r="A412" s="514"/>
      <c r="B412" s="514"/>
      <c r="C412" s="984"/>
      <c r="D412" s="985"/>
      <c r="E412" s="777"/>
      <c r="F412" s="986"/>
      <c r="G412" s="754"/>
      <c r="H412" s="754"/>
      <c r="I412" s="754"/>
      <c r="J412" s="754"/>
      <c r="K412" s="754"/>
      <c r="L412" s="987"/>
      <c r="M412" s="987"/>
      <c r="N412" s="987"/>
      <c r="O412" s="987"/>
      <c r="P412" s="987"/>
      <c r="Q412" s="986"/>
      <c r="R412" s="986"/>
      <c r="S412" s="988"/>
      <c r="T412" s="986"/>
      <c r="AH412" s="989">
        <f>AH400-AH411</f>
        <v>2.6390400009404402E-2</v>
      </c>
      <c r="AI412" s="36"/>
      <c r="AJ412" s="989">
        <f>AJ400-AJ411</f>
        <v>-6.1739439999655588E-2</v>
      </c>
      <c r="AK412" s="989">
        <f>AK400-AK411</f>
        <v>-3.5349040001165122E-2</v>
      </c>
    </row>
    <row r="413" spans="1:37" s="520" customFormat="1" ht="12.6" thickBot="1">
      <c r="A413" s="990"/>
      <c r="B413" s="991" t="s">
        <v>2721</v>
      </c>
      <c r="C413" s="51"/>
      <c r="D413" s="53"/>
      <c r="E413" s="38" t="s">
        <v>2722</v>
      </c>
      <c r="F413" s="992"/>
      <c r="G413" s="530"/>
      <c r="H413" s="530"/>
      <c r="I413" s="530"/>
      <c r="J413" s="530"/>
      <c r="K413" s="530"/>
      <c r="L413" s="986" t="s">
        <v>2723</v>
      </c>
      <c r="M413" s="986"/>
      <c r="N413" s="986"/>
      <c r="O413" s="986"/>
      <c r="P413" s="986"/>
      <c r="Q413" s="530"/>
      <c r="R413" s="993">
        <f>SUMIF($L$15:$L400,"",R$15:R400)</f>
        <v>28788.399999999998</v>
      </c>
      <c r="S413" s="994"/>
      <c r="T413" s="993">
        <f>SUMIF($L$15:$L400,"",T$15:T400)</f>
        <v>587.25</v>
      </c>
    </row>
    <row r="414" spans="1:37" s="520" customFormat="1" ht="12">
      <c r="A414" s="990"/>
      <c r="B414" s="991" t="s">
        <v>2724</v>
      </c>
      <c r="C414" s="51"/>
      <c r="D414" s="51"/>
      <c r="E414" s="813"/>
      <c r="F414" s="530"/>
      <c r="G414" s="530"/>
      <c r="H414" s="530"/>
      <c r="I414" s="530"/>
      <c r="J414" s="530"/>
      <c r="K414" s="530"/>
      <c r="L414" s="530"/>
      <c r="M414" s="530"/>
      <c r="N414" s="530"/>
      <c r="O414" s="530"/>
      <c r="P414" s="530"/>
      <c r="Q414" s="530"/>
      <c r="R414" s="530"/>
      <c r="S414" s="530"/>
      <c r="T414" s="530"/>
    </row>
    <row r="415" spans="1:37" s="520" customFormat="1" ht="12.6" thickBot="1">
      <c r="A415" s="995"/>
      <c r="B415" s="996">
        <f>$F415/$C$2-($R415*$S$2+$T415*$T$2)</f>
        <v>-3.5349040001165122E-2</v>
      </c>
      <c r="C415" s="51"/>
      <c r="D415" s="53"/>
      <c r="E415" s="38" t="s">
        <v>2725</v>
      </c>
      <c r="F415" s="997">
        <f>SUMIF($L$15:$L400,"ITEM",F$15:F400)</f>
        <v>55304.899999999994</v>
      </c>
      <c r="G415" s="530"/>
      <c r="H415" s="530"/>
      <c r="I415" s="530"/>
      <c r="J415" s="530"/>
      <c r="K415" s="530"/>
      <c r="L415" s="986" t="s">
        <v>2726</v>
      </c>
      <c r="M415" s="986"/>
      <c r="N415" s="986"/>
      <c r="O415" s="986"/>
      <c r="P415" s="986"/>
      <c r="Q415" s="994"/>
      <c r="R415" s="998">
        <f>SUMIF($L$15:$L400,"ITEM",R$15:R400)</f>
        <v>28788.399999999998</v>
      </c>
      <c r="S415" s="999"/>
      <c r="T415" s="998">
        <f>SUMIF($L$15:$L400,"ITEM",T$15:T400)</f>
        <v>587.25</v>
      </c>
    </row>
    <row r="416" spans="1:37" s="520" customFormat="1" ht="11.4">
      <c r="A416" s="995"/>
      <c r="B416" s="1000"/>
      <c r="C416" s="758"/>
      <c r="D416" s="51"/>
      <c r="E416" s="813"/>
      <c r="F416" s="530"/>
      <c r="G416" s="530"/>
      <c r="H416" s="530"/>
      <c r="I416" s="530"/>
      <c r="J416" s="530"/>
      <c r="K416" s="530"/>
      <c r="L416" s="530"/>
      <c r="M416" s="530"/>
      <c r="N416" s="530"/>
      <c r="O416" s="530"/>
      <c r="P416" s="530"/>
      <c r="Q416" s="530"/>
      <c r="R416" s="530"/>
      <c r="S416" s="530"/>
      <c r="T416" s="530"/>
    </row>
    <row r="417" spans="1:37" s="520" customFormat="1" thickBot="1">
      <c r="A417" s="995"/>
      <c r="B417" s="996">
        <f>$F417/$C$2-($R417*$S$2+$T417*$T$2)</f>
        <v>-3.5349040001165122E-2</v>
      </c>
      <c r="C417" s="51"/>
      <c r="D417" s="1001"/>
      <c r="E417" s="1002" t="s">
        <v>2727</v>
      </c>
      <c r="F417" s="1003">
        <f>SUMIF($L$15:$L400,"PAGE",F$15:F400)</f>
        <v>55304.899999999994</v>
      </c>
      <c r="G417" s="519"/>
      <c r="H417" s="519"/>
      <c r="I417" s="519"/>
      <c r="J417" s="519"/>
      <c r="K417" s="530"/>
      <c r="L417" s="987" t="s">
        <v>2728</v>
      </c>
      <c r="M417" s="987"/>
      <c r="N417" s="987"/>
      <c r="O417" s="987"/>
      <c r="P417" s="987"/>
      <c r="Q417" s="994"/>
      <c r="R417" s="1004">
        <f>SUMIF($L$15:$L400,"PAGE",R$15:R400)</f>
        <v>28788.399999999998</v>
      </c>
      <c r="S417" s="1005"/>
      <c r="T417" s="1004">
        <f>SUMIF($L$15:$L400,"PAGE",T$15:T400)</f>
        <v>587.25</v>
      </c>
    </row>
    <row r="418" spans="1:37" s="520" customFormat="1" ht="11.4">
      <c r="A418" s="995"/>
      <c r="B418" s="996"/>
      <c r="C418" s="51"/>
      <c r="D418" s="51"/>
      <c r="E418" s="813"/>
      <c r="F418" s="530"/>
      <c r="G418" s="530"/>
      <c r="H418" s="530"/>
      <c r="I418" s="530"/>
      <c r="J418" s="530"/>
      <c r="K418" s="530"/>
      <c r="L418" s="530"/>
      <c r="M418" s="530"/>
      <c r="N418" s="530"/>
      <c r="O418" s="530"/>
      <c r="P418" s="530"/>
      <c r="Q418" s="530"/>
      <c r="R418" s="530"/>
      <c r="S418" s="530"/>
      <c r="T418" s="530"/>
    </row>
    <row r="419" spans="1:37" s="520" customFormat="1" ht="12.6" thickBot="1">
      <c r="A419" s="1006" t="s">
        <v>148</v>
      </c>
      <c r="B419" s="996">
        <f>$F419/$C$2-($R419*$S$2+$T419*$T$2)</f>
        <v>-3.5349040001165122E-2</v>
      </c>
      <c r="C419" s="51"/>
      <c r="D419" s="753"/>
      <c r="E419" s="1002" t="s">
        <v>2729</v>
      </c>
      <c r="F419" s="1007">
        <f>SUMIF($L$15:$L400,"SECT",F$15:F400)</f>
        <v>55304.899999999994</v>
      </c>
      <c r="G419" s="519"/>
      <c r="H419" s="519"/>
      <c r="I419" s="519"/>
      <c r="J419" s="519"/>
      <c r="K419" s="530"/>
      <c r="L419" s="986" t="s">
        <v>2730</v>
      </c>
      <c r="M419" s="986"/>
      <c r="N419" s="986"/>
      <c r="O419" s="986"/>
      <c r="P419" s="986"/>
      <c r="Q419" s="994"/>
      <c r="R419" s="1008">
        <f>SUMIF($L$15:$L400,"SECT",R$15:R400)</f>
        <v>28788.399999999998</v>
      </c>
      <c r="S419" s="994"/>
      <c r="T419" s="1008">
        <f>SUMIF($L$15:$L400,"SECT",T$15:T400)</f>
        <v>587.25</v>
      </c>
    </row>
    <row r="420" spans="1:37" s="520" customFormat="1" thickBot="1">
      <c r="A420" s="54" t="s">
        <v>149</v>
      </c>
      <c r="B420" s="39"/>
      <c r="C420" s="3"/>
      <c r="D420" s="39"/>
      <c r="E420" s="39"/>
      <c r="F420" s="1009"/>
      <c r="G420" s="1010"/>
      <c r="H420" s="1010"/>
      <c r="I420" s="1010"/>
      <c r="J420" s="1010"/>
      <c r="K420" s="1010"/>
      <c r="L420" s="1010"/>
      <c r="M420" s="1010"/>
      <c r="N420" s="1010"/>
      <c r="O420" s="1010"/>
      <c r="P420" s="1010"/>
      <c r="Q420" s="1010"/>
      <c r="R420" s="1009"/>
      <c r="S420" s="1011"/>
      <c r="T420" s="1009"/>
      <c r="U420" s="531"/>
      <c r="V420" s="531"/>
      <c r="W420" s="531"/>
      <c r="X420" s="531"/>
      <c r="Y420" s="531"/>
      <c r="Z420" s="531"/>
      <c r="AA420" s="531"/>
      <c r="AB420" s="531"/>
      <c r="AC420" s="531"/>
      <c r="AD420" s="531"/>
      <c r="AE420" s="531"/>
      <c r="AF420" s="531"/>
      <c r="AG420" s="531"/>
      <c r="AH420" s="531"/>
      <c r="AI420" s="531"/>
      <c r="AJ420" s="531"/>
      <c r="AK420" s="531"/>
    </row>
    <row r="421" spans="1:37" s="886" customFormat="1" thickTop="1">
      <c r="A421" s="1012"/>
      <c r="B421" s="1013" t="s">
        <v>71</v>
      </c>
      <c r="C421" s="1014"/>
      <c r="D421" s="1015"/>
      <c r="E421" s="1016" t="s">
        <v>150</v>
      </c>
      <c r="F421" s="275"/>
      <c r="G421" s="275"/>
      <c r="H421" s="275"/>
      <c r="I421" s="275"/>
      <c r="J421" s="275"/>
      <c r="K421" s="275"/>
      <c r="L421" s="275"/>
      <c r="M421" s="275"/>
      <c r="N421" s="275"/>
      <c r="O421" s="1017"/>
      <c r="P421" s="275"/>
      <c r="Q421" s="1018"/>
      <c r="R421" s="1019">
        <f>SUM(R422:R477)</f>
        <v>28788.399999999998</v>
      </c>
      <c r="S421" s="1020"/>
      <c r="T421" s="1019">
        <f>SUM(T422:T477)</f>
        <v>587.25</v>
      </c>
    </row>
    <row r="422" spans="1:37" s="886" customFormat="1" ht="13.2">
      <c r="A422" s="1021"/>
      <c r="B422" s="1022">
        <v>1</v>
      </c>
      <c r="C422" s="1014" t="s">
        <v>73</v>
      </c>
      <c r="D422" t="s">
        <v>74</v>
      </c>
      <c r="E422"/>
      <c r="F422" s="1023">
        <v>501</v>
      </c>
      <c r="G422"/>
      <c r="H422"/>
      <c r="I422"/>
      <c r="J422"/>
      <c r="K422"/>
      <c r="L422"/>
      <c r="M422"/>
      <c r="N422"/>
      <c r="O422" s="116"/>
      <c r="P422">
        <v>1</v>
      </c>
      <c r="Q422"/>
      <c r="R422" s="1024">
        <f t="shared" ref="R422:R453" si="122">SUMIF($H$13:$H$400,$F422,R$13:R$400)</f>
        <v>0</v>
      </c>
      <c r="S422" s="1025"/>
      <c r="T422" s="1024">
        <f t="shared" ref="T422:T453" si="123">SUMIF($H$13:$H$400,$F422,T$13:T$400)</f>
        <v>0</v>
      </c>
    </row>
    <row r="423" spans="1:37" s="886" customFormat="1" ht="13.2">
      <c r="A423" s="1021"/>
      <c r="B423" s="1022">
        <v>2</v>
      </c>
      <c r="C423" s="1014" t="s">
        <v>73</v>
      </c>
      <c r="D423" t="s">
        <v>75</v>
      </c>
      <c r="E423"/>
      <c r="F423" s="1023">
        <v>505</v>
      </c>
      <c r="G423"/>
      <c r="H423"/>
      <c r="I423"/>
      <c r="J423"/>
      <c r="K423"/>
      <c r="L423"/>
      <c r="M423"/>
      <c r="N423"/>
      <c r="O423" s="116"/>
      <c r="P423">
        <v>1</v>
      </c>
      <c r="Q423"/>
      <c r="R423" s="1024">
        <f t="shared" si="122"/>
        <v>0</v>
      </c>
      <c r="S423" s="1025"/>
      <c r="T423" s="1024">
        <f t="shared" si="123"/>
        <v>0</v>
      </c>
    </row>
    <row r="424" spans="1:37" s="886" customFormat="1" ht="13.2">
      <c r="A424" s="1021"/>
      <c r="B424" s="1022">
        <v>3</v>
      </c>
      <c r="C424" s="1014" t="s">
        <v>73</v>
      </c>
      <c r="D424" t="s">
        <v>76</v>
      </c>
      <c r="E424"/>
      <c r="F424" s="1023">
        <v>510</v>
      </c>
      <c r="G424"/>
      <c r="H424"/>
      <c r="I424"/>
      <c r="J424"/>
      <c r="K424"/>
      <c r="L424"/>
      <c r="M424"/>
      <c r="N424"/>
      <c r="O424" s="116"/>
      <c r="P424">
        <v>2</v>
      </c>
      <c r="Q424"/>
      <c r="R424" s="1024">
        <f t="shared" si="122"/>
        <v>0</v>
      </c>
      <c r="S424" s="1025"/>
      <c r="T424" s="1024">
        <f t="shared" si="123"/>
        <v>0</v>
      </c>
    </row>
    <row r="425" spans="1:37" s="886" customFormat="1" ht="13.2">
      <c r="A425" s="1021"/>
      <c r="B425" s="1022">
        <v>4</v>
      </c>
      <c r="C425" s="1014" t="s">
        <v>73</v>
      </c>
      <c r="D425" t="s">
        <v>77</v>
      </c>
      <c r="E425"/>
      <c r="F425" s="1023">
        <v>511</v>
      </c>
      <c r="G425"/>
      <c r="H425"/>
      <c r="I425"/>
      <c r="J425"/>
      <c r="K425"/>
      <c r="L425"/>
      <c r="M425"/>
      <c r="N425"/>
      <c r="O425" s="116"/>
      <c r="P425">
        <v>2</v>
      </c>
      <c r="Q425"/>
      <c r="R425" s="1024">
        <f t="shared" si="122"/>
        <v>0</v>
      </c>
      <c r="S425" s="1025"/>
      <c r="T425" s="1024">
        <f t="shared" si="123"/>
        <v>0</v>
      </c>
    </row>
    <row r="426" spans="1:37" s="886" customFormat="1" ht="13.2">
      <c r="A426" s="1021"/>
      <c r="B426" s="1022">
        <v>5</v>
      </c>
      <c r="C426" s="1014" t="s">
        <v>73</v>
      </c>
      <c r="D426" t="s">
        <v>78</v>
      </c>
      <c r="E426"/>
      <c r="F426" s="1023">
        <v>512</v>
      </c>
      <c r="G426"/>
      <c r="H426"/>
      <c r="I426"/>
      <c r="J426"/>
      <c r="K426"/>
      <c r="L426"/>
      <c r="M426"/>
      <c r="N426"/>
      <c r="O426" s="116"/>
      <c r="P426">
        <v>2</v>
      </c>
      <c r="Q426"/>
      <c r="R426" s="1024">
        <f t="shared" si="122"/>
        <v>0</v>
      </c>
      <c r="S426" s="1025"/>
      <c r="T426" s="1024">
        <f t="shared" si="123"/>
        <v>0</v>
      </c>
    </row>
    <row r="427" spans="1:37" s="886" customFormat="1" ht="13.2">
      <c r="A427" s="1021"/>
      <c r="B427" s="1022">
        <v>6</v>
      </c>
      <c r="C427" s="1014" t="s">
        <v>73</v>
      </c>
      <c r="D427" t="s">
        <v>79</v>
      </c>
      <c r="E427"/>
      <c r="F427" s="1023">
        <v>520</v>
      </c>
      <c r="G427"/>
      <c r="H427"/>
      <c r="I427"/>
      <c r="J427"/>
      <c r="K427"/>
      <c r="L427"/>
      <c r="M427"/>
      <c r="N427"/>
      <c r="O427" s="116"/>
      <c r="P427">
        <v>1</v>
      </c>
      <c r="Q427"/>
      <c r="R427" s="1024">
        <f t="shared" si="122"/>
        <v>0</v>
      </c>
      <c r="S427" s="1025"/>
      <c r="T427" s="1024">
        <f t="shared" si="123"/>
        <v>0</v>
      </c>
    </row>
    <row r="428" spans="1:37" s="886" customFormat="1" ht="13.2">
      <c r="A428" s="1021"/>
      <c r="B428" s="1022">
        <v>7</v>
      </c>
      <c r="C428" s="1014" t="s">
        <v>73</v>
      </c>
      <c r="D428" t="s">
        <v>80</v>
      </c>
      <c r="E428"/>
      <c r="F428" s="1023">
        <v>530</v>
      </c>
      <c r="G428"/>
      <c r="H428"/>
      <c r="I428"/>
      <c r="J428"/>
      <c r="K428"/>
      <c r="L428"/>
      <c r="M428"/>
      <c r="N428"/>
      <c r="O428" s="116"/>
      <c r="P428">
        <v>2</v>
      </c>
      <c r="Q428"/>
      <c r="R428" s="1024">
        <f t="shared" si="122"/>
        <v>0</v>
      </c>
      <c r="S428" s="1025"/>
      <c r="T428" s="1024">
        <f t="shared" si="123"/>
        <v>0</v>
      </c>
    </row>
    <row r="429" spans="1:37" s="886" customFormat="1" ht="13.2">
      <c r="A429" s="1021"/>
      <c r="B429" s="1022">
        <v>8</v>
      </c>
      <c r="C429" s="1014" t="s">
        <v>73</v>
      </c>
      <c r="D429" t="s">
        <v>81</v>
      </c>
      <c r="E429"/>
      <c r="F429" s="1023">
        <v>550</v>
      </c>
      <c r="G429"/>
      <c r="H429"/>
      <c r="I429"/>
      <c r="J429"/>
      <c r="K429"/>
      <c r="L429"/>
      <c r="M429"/>
      <c r="N429"/>
      <c r="O429" s="116"/>
      <c r="P429">
        <v>2</v>
      </c>
      <c r="Q429"/>
      <c r="R429" s="1024">
        <f t="shared" si="122"/>
        <v>0</v>
      </c>
      <c r="S429" s="1025"/>
      <c r="T429" s="1024">
        <f t="shared" si="123"/>
        <v>0</v>
      </c>
    </row>
    <row r="430" spans="1:37" s="886" customFormat="1" ht="13.2">
      <c r="A430" s="1021"/>
      <c r="B430" s="1022">
        <v>9</v>
      </c>
      <c r="C430" s="1014" t="s">
        <v>73</v>
      </c>
      <c r="D430" t="s">
        <v>82</v>
      </c>
      <c r="E430"/>
      <c r="F430" s="1023">
        <v>570</v>
      </c>
      <c r="G430"/>
      <c r="H430"/>
      <c r="I430"/>
      <c r="J430"/>
      <c r="K430"/>
      <c r="L430"/>
      <c r="M430"/>
      <c r="N430"/>
      <c r="O430" s="116"/>
      <c r="P430">
        <v>2</v>
      </c>
      <c r="Q430"/>
      <c r="R430" s="1024">
        <f t="shared" si="122"/>
        <v>0</v>
      </c>
      <c r="S430" s="1025"/>
      <c r="T430" s="1024">
        <f t="shared" si="123"/>
        <v>0</v>
      </c>
    </row>
    <row r="431" spans="1:37" s="886" customFormat="1" ht="13.2">
      <c r="A431" s="1021"/>
      <c r="B431" s="1022">
        <v>10</v>
      </c>
      <c r="C431" s="1014" t="s">
        <v>73</v>
      </c>
      <c r="D431" t="s">
        <v>83</v>
      </c>
      <c r="E431"/>
      <c r="F431" s="1023">
        <v>615</v>
      </c>
      <c r="G431"/>
      <c r="H431"/>
      <c r="I431"/>
      <c r="J431"/>
      <c r="K431"/>
      <c r="L431"/>
      <c r="M431"/>
      <c r="N431"/>
      <c r="O431" s="116"/>
      <c r="P431">
        <v>2</v>
      </c>
      <c r="Q431"/>
      <c r="R431" s="1024">
        <f t="shared" si="122"/>
        <v>0</v>
      </c>
      <c r="S431" s="1025"/>
      <c r="T431" s="1024">
        <f t="shared" si="123"/>
        <v>0</v>
      </c>
    </row>
    <row r="432" spans="1:37" s="886" customFormat="1" ht="13.2">
      <c r="A432" s="1021"/>
      <c r="B432" s="1022">
        <v>11</v>
      </c>
      <c r="C432" s="1014" t="s">
        <v>73</v>
      </c>
      <c r="D432" t="s">
        <v>85</v>
      </c>
      <c r="E432"/>
      <c r="F432" s="1023">
        <v>616</v>
      </c>
      <c r="G432"/>
      <c r="H432"/>
      <c r="I432"/>
      <c r="J432"/>
      <c r="K432"/>
      <c r="L432"/>
      <c r="M432"/>
      <c r="N432"/>
      <c r="O432" s="116"/>
      <c r="P432">
        <v>2</v>
      </c>
      <c r="Q432"/>
      <c r="R432" s="1024">
        <f t="shared" si="122"/>
        <v>0</v>
      </c>
      <c r="S432" s="1025"/>
      <c r="T432" s="1024">
        <f t="shared" si="123"/>
        <v>0</v>
      </c>
    </row>
    <row r="433" spans="1:20" s="886" customFormat="1" ht="13.2">
      <c r="A433" s="1021"/>
      <c r="B433" s="1022">
        <v>12</v>
      </c>
      <c r="C433" s="1014" t="s">
        <v>73</v>
      </c>
      <c r="D433" t="s">
        <v>86</v>
      </c>
      <c r="E433"/>
      <c r="F433" s="1023">
        <v>617</v>
      </c>
      <c r="G433"/>
      <c r="H433"/>
      <c r="I433"/>
      <c r="J433"/>
      <c r="K433"/>
      <c r="L433"/>
      <c r="M433"/>
      <c r="N433"/>
      <c r="O433" s="116"/>
      <c r="P433">
        <v>2</v>
      </c>
      <c r="Q433"/>
      <c r="R433" s="1024">
        <f t="shared" si="122"/>
        <v>0</v>
      </c>
      <c r="S433" s="1025"/>
      <c r="T433" s="1024">
        <f t="shared" si="123"/>
        <v>0</v>
      </c>
    </row>
    <row r="434" spans="1:20" s="886" customFormat="1" ht="13.2">
      <c r="A434" s="1021"/>
      <c r="B434" s="1022">
        <v>13</v>
      </c>
      <c r="C434" s="1014" t="s">
        <v>73</v>
      </c>
      <c r="D434" t="s">
        <v>151</v>
      </c>
      <c r="E434"/>
      <c r="F434" s="1023">
        <v>620</v>
      </c>
      <c r="G434"/>
      <c r="H434"/>
      <c r="I434"/>
      <c r="J434"/>
      <c r="K434"/>
      <c r="L434"/>
      <c r="M434"/>
      <c r="N434"/>
      <c r="O434" s="116"/>
      <c r="P434">
        <v>2</v>
      </c>
      <c r="Q434"/>
      <c r="R434" s="1024">
        <f t="shared" si="122"/>
        <v>0</v>
      </c>
      <c r="S434" s="1025"/>
      <c r="T434" s="1024">
        <f t="shared" si="123"/>
        <v>0</v>
      </c>
    </row>
    <row r="435" spans="1:20" s="886" customFormat="1" ht="13.2">
      <c r="A435" s="1021"/>
      <c r="B435" s="1022">
        <v>14</v>
      </c>
      <c r="C435" s="1014" t="s">
        <v>73</v>
      </c>
      <c r="D435" t="s">
        <v>88</v>
      </c>
      <c r="E435"/>
      <c r="F435" s="1023">
        <v>650</v>
      </c>
      <c r="G435"/>
      <c r="H435"/>
      <c r="I435"/>
      <c r="J435"/>
      <c r="K435"/>
      <c r="L435"/>
      <c r="M435"/>
      <c r="N435"/>
      <c r="O435" s="116"/>
      <c r="P435">
        <v>1</v>
      </c>
      <c r="Q435"/>
      <c r="R435" s="1024">
        <f t="shared" si="122"/>
        <v>0</v>
      </c>
      <c r="S435" s="1025"/>
      <c r="T435" s="1024">
        <f t="shared" si="123"/>
        <v>0</v>
      </c>
    </row>
    <row r="436" spans="1:20" s="886" customFormat="1" ht="13.2">
      <c r="A436" s="1021"/>
      <c r="B436" s="1022">
        <v>15</v>
      </c>
      <c r="C436" s="1014" t="s">
        <v>73</v>
      </c>
      <c r="D436" t="s">
        <v>89</v>
      </c>
      <c r="E436"/>
      <c r="F436" s="1023">
        <v>651</v>
      </c>
      <c r="G436"/>
      <c r="H436"/>
      <c r="I436"/>
      <c r="J436"/>
      <c r="K436"/>
      <c r="L436"/>
      <c r="M436"/>
      <c r="N436"/>
      <c r="O436" s="116"/>
      <c r="P436">
        <v>1</v>
      </c>
      <c r="Q436"/>
      <c r="R436" s="1024">
        <f t="shared" si="122"/>
        <v>0</v>
      </c>
      <c r="S436" s="1025"/>
      <c r="T436" s="1024">
        <f t="shared" si="123"/>
        <v>0</v>
      </c>
    </row>
    <row r="437" spans="1:20" s="886" customFormat="1" ht="13.2">
      <c r="A437" s="1021"/>
      <c r="B437" s="1022">
        <v>16</v>
      </c>
      <c r="C437" s="1014" t="s">
        <v>73</v>
      </c>
      <c r="D437" t="s">
        <v>90</v>
      </c>
      <c r="E437"/>
      <c r="F437" s="1023">
        <v>652</v>
      </c>
      <c r="G437"/>
      <c r="H437"/>
      <c r="I437"/>
      <c r="J437"/>
      <c r="K437"/>
      <c r="L437"/>
      <c r="M437"/>
      <c r="N437"/>
      <c r="O437" s="116"/>
      <c r="P437">
        <v>1</v>
      </c>
      <c r="Q437"/>
      <c r="R437" s="1024">
        <f t="shared" si="122"/>
        <v>0</v>
      </c>
      <c r="S437" s="1025"/>
      <c r="T437" s="1024">
        <f t="shared" si="123"/>
        <v>0</v>
      </c>
    </row>
    <row r="438" spans="1:20" s="886" customFormat="1" ht="13.2">
      <c r="A438" s="1021"/>
      <c r="B438" s="1022">
        <v>17</v>
      </c>
      <c r="C438" s="1014" t="s">
        <v>73</v>
      </c>
      <c r="D438" t="s">
        <v>91</v>
      </c>
      <c r="E438"/>
      <c r="F438" s="1023">
        <v>654</v>
      </c>
      <c r="G438"/>
      <c r="H438"/>
      <c r="I438"/>
      <c r="J438"/>
      <c r="K438"/>
      <c r="L438"/>
      <c r="M438"/>
      <c r="N438"/>
      <c r="O438" s="116"/>
      <c r="P438">
        <v>1</v>
      </c>
      <c r="Q438"/>
      <c r="R438" s="1024">
        <f t="shared" si="122"/>
        <v>0</v>
      </c>
      <c r="S438" s="1025"/>
      <c r="T438" s="1024">
        <f t="shared" si="123"/>
        <v>0</v>
      </c>
    </row>
    <row r="439" spans="1:20" s="886" customFormat="1" ht="13.2">
      <c r="A439" s="1021"/>
      <c r="B439" s="1022">
        <v>18</v>
      </c>
      <c r="C439" s="1014" t="s">
        <v>73</v>
      </c>
      <c r="D439" t="s">
        <v>92</v>
      </c>
      <c r="E439"/>
      <c r="F439" s="1023">
        <v>675</v>
      </c>
      <c r="G439"/>
      <c r="H439"/>
      <c r="I439"/>
      <c r="J439"/>
      <c r="K439"/>
      <c r="L439"/>
      <c r="M439"/>
      <c r="N439"/>
      <c r="O439" s="116"/>
      <c r="P439">
        <v>1</v>
      </c>
      <c r="Q439"/>
      <c r="R439" s="1024">
        <f t="shared" si="122"/>
        <v>0</v>
      </c>
      <c r="S439" s="1025"/>
      <c r="T439" s="1024">
        <f t="shared" si="123"/>
        <v>0</v>
      </c>
    </row>
    <row r="440" spans="1:20" s="886" customFormat="1" ht="13.2">
      <c r="A440" s="1021"/>
      <c r="B440" s="1022">
        <v>19</v>
      </c>
      <c r="C440" s="1014" t="s">
        <v>73</v>
      </c>
      <c r="D440" t="s">
        <v>93</v>
      </c>
      <c r="E440"/>
      <c r="F440" s="1023">
        <v>676</v>
      </c>
      <c r="G440"/>
      <c r="H440"/>
      <c r="I440"/>
      <c r="J440"/>
      <c r="K440"/>
      <c r="L440"/>
      <c r="M440"/>
      <c r="N440"/>
      <c r="O440" s="116"/>
      <c r="P440">
        <v>1</v>
      </c>
      <c r="Q440"/>
      <c r="R440" s="1024">
        <f t="shared" si="122"/>
        <v>0</v>
      </c>
      <c r="S440" s="1025"/>
      <c r="T440" s="1024">
        <f t="shared" si="123"/>
        <v>0</v>
      </c>
    </row>
    <row r="441" spans="1:20" s="886" customFormat="1" ht="13.2">
      <c r="A441" s="1021"/>
      <c r="B441" s="1022">
        <v>20</v>
      </c>
      <c r="C441" s="1014" t="s">
        <v>73</v>
      </c>
      <c r="D441" t="s">
        <v>94</v>
      </c>
      <c r="E441"/>
      <c r="F441" s="1023">
        <v>680</v>
      </c>
      <c r="G441"/>
      <c r="H441"/>
      <c r="I441"/>
      <c r="J441"/>
      <c r="K441"/>
      <c r="L441"/>
      <c r="M441"/>
      <c r="N441"/>
      <c r="O441" s="116"/>
      <c r="P441">
        <v>1</v>
      </c>
      <c r="Q441"/>
      <c r="R441" s="1024">
        <f t="shared" si="122"/>
        <v>0</v>
      </c>
      <c r="S441" s="1025"/>
      <c r="T441" s="1024">
        <f t="shared" si="123"/>
        <v>0</v>
      </c>
    </row>
    <row r="442" spans="1:20" s="886" customFormat="1" ht="13.2">
      <c r="A442" s="1021"/>
      <c r="B442" s="1022">
        <v>21</v>
      </c>
      <c r="C442" s="1014" t="s">
        <v>73</v>
      </c>
      <c r="D442" t="s">
        <v>96</v>
      </c>
      <c r="E442"/>
      <c r="F442" s="1023">
        <v>681</v>
      </c>
      <c r="G442"/>
      <c r="H442"/>
      <c r="I442"/>
      <c r="J442"/>
      <c r="K442"/>
      <c r="L442"/>
      <c r="M442"/>
      <c r="N442"/>
      <c r="O442" s="116"/>
      <c r="P442">
        <v>1</v>
      </c>
      <c r="Q442"/>
      <c r="R442" s="1024">
        <f t="shared" si="122"/>
        <v>0</v>
      </c>
      <c r="S442" s="1025"/>
      <c r="T442" s="1024">
        <f t="shared" si="123"/>
        <v>0</v>
      </c>
    </row>
    <row r="443" spans="1:20" s="886" customFormat="1" ht="13.2">
      <c r="A443" s="1021"/>
      <c r="B443" s="1022">
        <v>22</v>
      </c>
      <c r="C443" s="1014" t="s">
        <v>73</v>
      </c>
      <c r="D443" t="s">
        <v>97</v>
      </c>
      <c r="E443"/>
      <c r="F443" s="1023">
        <v>690</v>
      </c>
      <c r="G443"/>
      <c r="H443"/>
      <c r="I443"/>
      <c r="J443"/>
      <c r="K443"/>
      <c r="L443"/>
      <c r="M443"/>
      <c r="N443"/>
      <c r="O443" s="116"/>
      <c r="P443">
        <v>1</v>
      </c>
      <c r="Q443"/>
      <c r="R443" s="1024">
        <f t="shared" si="122"/>
        <v>0</v>
      </c>
      <c r="S443" s="1025"/>
      <c r="T443" s="1024">
        <f t="shared" si="123"/>
        <v>0</v>
      </c>
    </row>
    <row r="444" spans="1:20" s="886" customFormat="1" ht="13.2">
      <c r="A444" s="1021"/>
      <c r="B444" s="1022">
        <v>23</v>
      </c>
      <c r="C444" s="1014" t="s">
        <v>73</v>
      </c>
      <c r="D444" t="s">
        <v>98</v>
      </c>
      <c r="E444"/>
      <c r="F444" s="1023">
        <v>700</v>
      </c>
      <c r="G444"/>
      <c r="H444"/>
      <c r="I444"/>
      <c r="J444"/>
      <c r="K444"/>
      <c r="L444"/>
      <c r="M444"/>
      <c r="N444"/>
      <c r="O444" s="116"/>
      <c r="P444">
        <v>1</v>
      </c>
      <c r="Q444"/>
      <c r="R444" s="1024">
        <f t="shared" si="122"/>
        <v>0</v>
      </c>
      <c r="S444" s="1025"/>
      <c r="T444" s="1024">
        <f t="shared" si="123"/>
        <v>0</v>
      </c>
    </row>
    <row r="445" spans="1:20" s="886" customFormat="1" ht="13.2">
      <c r="A445" s="1021"/>
      <c r="B445" s="1022">
        <v>24</v>
      </c>
      <c r="C445" s="1014" t="s">
        <v>73</v>
      </c>
      <c r="D445" t="s">
        <v>99</v>
      </c>
      <c r="E445"/>
      <c r="F445" s="1023">
        <v>705</v>
      </c>
      <c r="G445"/>
      <c r="H445"/>
      <c r="I445"/>
      <c r="J445"/>
      <c r="K445"/>
      <c r="L445"/>
      <c r="M445"/>
      <c r="N445"/>
      <c r="O445" s="116"/>
      <c r="P445">
        <v>3</v>
      </c>
      <c r="Q445"/>
      <c r="R445" s="1024">
        <f t="shared" si="122"/>
        <v>0</v>
      </c>
      <c r="S445" s="1025"/>
      <c r="T445" s="1024">
        <f t="shared" si="123"/>
        <v>0</v>
      </c>
    </row>
    <row r="446" spans="1:20" s="886" customFormat="1" ht="13.2">
      <c r="A446" s="1021"/>
      <c r="B446" s="1022">
        <v>25</v>
      </c>
      <c r="C446" s="1014" t="s">
        <v>73</v>
      </c>
      <c r="D446" t="s">
        <v>100</v>
      </c>
      <c r="E446"/>
      <c r="F446" s="1023">
        <v>706</v>
      </c>
      <c r="G446"/>
      <c r="H446"/>
      <c r="I446"/>
      <c r="J446"/>
      <c r="K446"/>
      <c r="L446"/>
      <c r="M446"/>
      <c r="N446"/>
      <c r="O446" s="116"/>
      <c r="P446">
        <v>3</v>
      </c>
      <c r="Q446"/>
      <c r="R446" s="1024">
        <f t="shared" si="122"/>
        <v>0</v>
      </c>
      <c r="S446" s="1025"/>
      <c r="T446" s="1024">
        <f t="shared" si="123"/>
        <v>0</v>
      </c>
    </row>
    <row r="447" spans="1:20" s="886" customFormat="1" ht="13.2">
      <c r="A447" s="1021"/>
      <c r="B447" s="1022">
        <v>26</v>
      </c>
      <c r="C447" s="1014" t="s">
        <v>73</v>
      </c>
      <c r="D447" t="s">
        <v>101</v>
      </c>
      <c r="E447"/>
      <c r="F447" s="1023">
        <v>725</v>
      </c>
      <c r="G447"/>
      <c r="H447"/>
      <c r="I447"/>
      <c r="J447"/>
      <c r="K447"/>
      <c r="L447"/>
      <c r="M447"/>
      <c r="N447"/>
      <c r="O447" s="116"/>
      <c r="P447">
        <v>3</v>
      </c>
      <c r="Q447"/>
      <c r="R447" s="1024">
        <f t="shared" si="122"/>
        <v>0</v>
      </c>
      <c r="S447" s="1025"/>
      <c r="T447" s="1024">
        <f t="shared" si="123"/>
        <v>0</v>
      </c>
    </row>
    <row r="448" spans="1:20" s="886" customFormat="1" ht="13.2">
      <c r="A448" s="1021"/>
      <c r="B448" s="1022">
        <v>27</v>
      </c>
      <c r="C448" s="1014" t="s">
        <v>73</v>
      </c>
      <c r="D448" t="s">
        <v>102</v>
      </c>
      <c r="E448"/>
      <c r="F448" s="1023">
        <v>726</v>
      </c>
      <c r="G448"/>
      <c r="H448"/>
      <c r="I448"/>
      <c r="J448"/>
      <c r="K448"/>
      <c r="L448"/>
      <c r="M448"/>
      <c r="N448"/>
      <c r="O448" s="116"/>
      <c r="P448">
        <v>3</v>
      </c>
      <c r="Q448"/>
      <c r="R448" s="1024">
        <f t="shared" si="122"/>
        <v>28788.399999999998</v>
      </c>
      <c r="S448" s="1025"/>
      <c r="T448" s="1024">
        <f t="shared" si="123"/>
        <v>587.25</v>
      </c>
    </row>
    <row r="449" spans="1:20" s="886" customFormat="1" ht="13.2">
      <c r="A449" s="1021"/>
      <c r="B449" s="1022">
        <v>28</v>
      </c>
      <c r="C449" s="1014" t="s">
        <v>73</v>
      </c>
      <c r="D449" t="s">
        <v>103</v>
      </c>
      <c r="E449"/>
      <c r="F449" s="1023">
        <v>750</v>
      </c>
      <c r="G449"/>
      <c r="H449"/>
      <c r="I449"/>
      <c r="J449"/>
      <c r="K449"/>
      <c r="L449"/>
      <c r="M449"/>
      <c r="N449"/>
      <c r="O449" s="116"/>
      <c r="P449">
        <v>3</v>
      </c>
      <c r="Q449"/>
      <c r="R449" s="1024">
        <f t="shared" si="122"/>
        <v>0</v>
      </c>
      <c r="S449" s="1025"/>
      <c r="T449" s="1024">
        <f t="shared" si="123"/>
        <v>0</v>
      </c>
    </row>
    <row r="450" spans="1:20" s="886" customFormat="1" ht="13.2">
      <c r="A450" s="1021"/>
      <c r="B450" s="1022">
        <v>29</v>
      </c>
      <c r="C450" s="1014" t="s">
        <v>73</v>
      </c>
      <c r="D450" t="s">
        <v>104</v>
      </c>
      <c r="E450"/>
      <c r="F450" s="1023">
        <v>751</v>
      </c>
      <c r="G450"/>
      <c r="H450"/>
      <c r="I450"/>
      <c r="J450"/>
      <c r="K450"/>
      <c r="L450"/>
      <c r="M450"/>
      <c r="N450"/>
      <c r="O450" s="116"/>
      <c r="P450">
        <v>3</v>
      </c>
      <c r="Q450"/>
      <c r="R450" s="1024">
        <f t="shared" si="122"/>
        <v>0</v>
      </c>
      <c r="S450" s="1025"/>
      <c r="T450" s="1024">
        <f t="shared" si="123"/>
        <v>0</v>
      </c>
    </row>
    <row r="451" spans="1:20" s="886" customFormat="1" ht="13.2">
      <c r="A451" s="1021"/>
      <c r="B451" s="1022">
        <v>30</v>
      </c>
      <c r="C451" s="1014" t="s">
        <v>73</v>
      </c>
      <c r="D451" t="s">
        <v>105</v>
      </c>
      <c r="E451"/>
      <c r="F451" s="1023">
        <v>752</v>
      </c>
      <c r="G451"/>
      <c r="H451"/>
      <c r="I451"/>
      <c r="J451"/>
      <c r="K451"/>
      <c r="L451"/>
      <c r="M451"/>
      <c r="N451"/>
      <c r="O451" s="116"/>
      <c r="P451">
        <v>3</v>
      </c>
      <c r="Q451"/>
      <c r="R451" s="1024">
        <f t="shared" si="122"/>
        <v>0</v>
      </c>
      <c r="S451" s="1025"/>
      <c r="T451" s="1024">
        <f t="shared" si="123"/>
        <v>0</v>
      </c>
    </row>
    <row r="452" spans="1:20" s="886" customFormat="1" ht="13.2">
      <c r="A452" s="1021"/>
      <c r="B452" s="1022">
        <v>31</v>
      </c>
      <c r="C452" s="1014" t="s">
        <v>73</v>
      </c>
      <c r="D452" s="535" t="s">
        <v>284</v>
      </c>
      <c r="E452"/>
      <c r="F452" s="1023">
        <v>753</v>
      </c>
      <c r="G452"/>
      <c r="H452"/>
      <c r="I452"/>
      <c r="J452"/>
      <c r="K452"/>
      <c r="L452"/>
      <c r="M452"/>
      <c r="N452"/>
      <c r="O452" s="116"/>
      <c r="P452">
        <v>3</v>
      </c>
      <c r="Q452"/>
      <c r="R452" s="1024">
        <f t="shared" si="122"/>
        <v>0</v>
      </c>
      <c r="S452" s="1025"/>
      <c r="T452" s="1024">
        <f t="shared" si="123"/>
        <v>0</v>
      </c>
    </row>
    <row r="453" spans="1:20" s="886" customFormat="1" ht="13.2">
      <c r="A453" s="1021"/>
      <c r="B453" s="1022">
        <v>32</v>
      </c>
      <c r="C453" s="1014" t="s">
        <v>73</v>
      </c>
      <c r="D453" t="s">
        <v>107</v>
      </c>
      <c r="E453"/>
      <c r="F453" s="1023">
        <v>770</v>
      </c>
      <c r="G453"/>
      <c r="H453"/>
      <c r="I453"/>
      <c r="J453"/>
      <c r="K453"/>
      <c r="L453"/>
      <c r="M453"/>
      <c r="N453"/>
      <c r="O453" s="116"/>
      <c r="P453">
        <v>3</v>
      </c>
      <c r="Q453"/>
      <c r="R453" s="1024">
        <f t="shared" si="122"/>
        <v>0</v>
      </c>
      <c r="S453" s="1025"/>
      <c r="T453" s="1024">
        <f t="shared" si="123"/>
        <v>0</v>
      </c>
    </row>
    <row r="454" spans="1:20" s="886" customFormat="1" ht="13.2">
      <c r="A454" s="1021"/>
      <c r="B454" s="1022">
        <v>33</v>
      </c>
      <c r="C454" s="1014" t="s">
        <v>73</v>
      </c>
      <c r="D454" t="s">
        <v>108</v>
      </c>
      <c r="E454"/>
      <c r="F454" s="1023">
        <v>790</v>
      </c>
      <c r="G454"/>
      <c r="H454"/>
      <c r="I454"/>
      <c r="J454"/>
      <c r="K454"/>
      <c r="L454"/>
      <c r="M454"/>
      <c r="N454"/>
      <c r="O454" s="116"/>
      <c r="P454">
        <v>3</v>
      </c>
      <c r="Q454"/>
      <c r="R454" s="1024">
        <f t="shared" ref="R454:R477" si="124">SUMIF($H$13:$H$400,$F454,R$13:R$400)</f>
        <v>0</v>
      </c>
      <c r="S454" s="1025"/>
      <c r="T454" s="1024">
        <f t="shared" ref="T454:T477" si="125">SUMIF($H$13:$H$400,$F454,T$13:T$400)</f>
        <v>0</v>
      </c>
    </row>
    <row r="455" spans="1:20" s="886" customFormat="1" ht="13.2">
      <c r="A455" s="1021"/>
      <c r="B455" s="1022">
        <v>34</v>
      </c>
      <c r="C455" s="1014" t="s">
        <v>73</v>
      </c>
      <c r="D455" t="s">
        <v>109</v>
      </c>
      <c r="E455"/>
      <c r="F455" s="1023">
        <v>791</v>
      </c>
      <c r="G455"/>
      <c r="H455"/>
      <c r="I455"/>
      <c r="J455"/>
      <c r="K455"/>
      <c r="L455"/>
      <c r="M455"/>
      <c r="N455"/>
      <c r="O455" s="116"/>
      <c r="P455">
        <v>3</v>
      </c>
      <c r="Q455"/>
      <c r="R455" s="1024">
        <f t="shared" si="124"/>
        <v>0</v>
      </c>
      <c r="S455" s="1025"/>
      <c r="T455" s="1024">
        <f t="shared" si="125"/>
        <v>0</v>
      </c>
    </row>
    <row r="456" spans="1:20" s="886" customFormat="1" ht="13.2">
      <c r="A456" s="1021"/>
      <c r="B456" s="1022">
        <v>35</v>
      </c>
      <c r="C456" s="1014" t="s">
        <v>73</v>
      </c>
      <c r="D456" t="s">
        <v>110</v>
      </c>
      <c r="E456"/>
      <c r="F456" s="1023">
        <v>810</v>
      </c>
      <c r="G456"/>
      <c r="H456"/>
      <c r="I456"/>
      <c r="J456"/>
      <c r="K456"/>
      <c r="L456"/>
      <c r="M456"/>
      <c r="N456"/>
      <c r="O456" s="116"/>
      <c r="P456">
        <v>3</v>
      </c>
      <c r="Q456"/>
      <c r="R456" s="1024">
        <f t="shared" si="124"/>
        <v>0</v>
      </c>
      <c r="S456" s="1025"/>
      <c r="T456" s="1024">
        <f t="shared" si="125"/>
        <v>0</v>
      </c>
    </row>
    <row r="457" spans="1:20" s="886" customFormat="1" ht="13.2">
      <c r="A457" s="1021"/>
      <c r="B457" s="1022">
        <v>36</v>
      </c>
      <c r="C457" s="1014" t="s">
        <v>73</v>
      </c>
      <c r="D457" t="s">
        <v>111</v>
      </c>
      <c r="E457"/>
      <c r="F457" s="1023">
        <v>815</v>
      </c>
      <c r="G457"/>
      <c r="H457"/>
      <c r="I457"/>
      <c r="J457"/>
      <c r="K457"/>
      <c r="L457"/>
      <c r="M457"/>
      <c r="N457"/>
      <c r="O457" s="116"/>
      <c r="P457">
        <v>3</v>
      </c>
      <c r="Q457"/>
      <c r="R457" s="1024">
        <f t="shared" si="124"/>
        <v>0</v>
      </c>
      <c r="S457" s="1025"/>
      <c r="T457" s="1024">
        <f t="shared" si="125"/>
        <v>0</v>
      </c>
    </row>
    <row r="458" spans="1:20" s="886" customFormat="1" ht="13.2">
      <c r="A458" s="1021"/>
      <c r="B458" s="1022">
        <v>37</v>
      </c>
      <c r="C458" s="1014" t="s">
        <v>73</v>
      </c>
      <c r="D458" t="s">
        <v>112</v>
      </c>
      <c r="E458"/>
      <c r="F458" s="1023">
        <v>820</v>
      </c>
      <c r="G458"/>
      <c r="H458"/>
      <c r="I458"/>
      <c r="J458"/>
      <c r="K458"/>
      <c r="L458"/>
      <c r="M458"/>
      <c r="N458"/>
      <c r="O458" s="116"/>
      <c r="P458">
        <v>2</v>
      </c>
      <c r="Q458"/>
      <c r="R458" s="1024">
        <f t="shared" si="124"/>
        <v>0</v>
      </c>
      <c r="S458" s="1025"/>
      <c r="T458" s="1024">
        <f t="shared" si="125"/>
        <v>0</v>
      </c>
    </row>
    <row r="459" spans="1:20" s="886" customFormat="1" ht="13.2">
      <c r="A459" s="1021"/>
      <c r="B459" s="1022">
        <v>38</v>
      </c>
      <c r="C459" s="1014" t="s">
        <v>73</v>
      </c>
      <c r="D459" t="s">
        <v>113</v>
      </c>
      <c r="E459"/>
      <c r="F459" s="1023">
        <v>821</v>
      </c>
      <c r="G459"/>
      <c r="H459"/>
      <c r="I459"/>
      <c r="J459"/>
      <c r="K459"/>
      <c r="L459"/>
      <c r="M459"/>
      <c r="N459"/>
      <c r="O459" s="116"/>
      <c r="P459">
        <v>3</v>
      </c>
      <c r="Q459"/>
      <c r="R459" s="1024">
        <f t="shared" si="124"/>
        <v>0</v>
      </c>
      <c r="S459" s="1025"/>
      <c r="T459" s="1024">
        <f t="shared" si="125"/>
        <v>0</v>
      </c>
    </row>
    <row r="460" spans="1:20" s="886" customFormat="1" ht="13.2">
      <c r="A460" s="1021"/>
      <c r="B460" s="1022">
        <v>39</v>
      </c>
      <c r="C460" s="1014" t="s">
        <v>73</v>
      </c>
      <c r="D460" t="s">
        <v>114</v>
      </c>
      <c r="E460"/>
      <c r="F460" s="1023">
        <v>835</v>
      </c>
      <c r="G460"/>
      <c r="H460"/>
      <c r="I460"/>
      <c r="J460"/>
      <c r="K460"/>
      <c r="L460"/>
      <c r="M460"/>
      <c r="N460"/>
      <c r="O460" s="116"/>
      <c r="P460">
        <v>3</v>
      </c>
      <c r="Q460"/>
      <c r="R460" s="1024">
        <f t="shared" si="124"/>
        <v>0</v>
      </c>
      <c r="S460" s="1025"/>
      <c r="T460" s="1024">
        <f t="shared" si="125"/>
        <v>0</v>
      </c>
    </row>
    <row r="461" spans="1:20" s="886" customFormat="1" ht="13.2">
      <c r="A461" s="1021"/>
      <c r="B461" s="1022">
        <v>40</v>
      </c>
      <c r="C461" s="1014" t="s">
        <v>73</v>
      </c>
      <c r="D461" t="s">
        <v>115</v>
      </c>
      <c r="E461"/>
      <c r="F461" s="1023">
        <v>845</v>
      </c>
      <c r="G461"/>
      <c r="H461"/>
      <c r="I461"/>
      <c r="J461"/>
      <c r="K461"/>
      <c r="L461"/>
      <c r="M461"/>
      <c r="N461"/>
      <c r="O461" s="116"/>
      <c r="P461">
        <v>2</v>
      </c>
      <c r="Q461"/>
      <c r="R461" s="1024">
        <f t="shared" si="124"/>
        <v>0</v>
      </c>
      <c r="S461" s="1025"/>
      <c r="T461" s="1024">
        <f t="shared" si="125"/>
        <v>0</v>
      </c>
    </row>
    <row r="462" spans="1:20" s="886" customFormat="1" ht="13.2">
      <c r="A462" s="1021"/>
      <c r="B462" s="1022">
        <v>41</v>
      </c>
      <c r="C462" s="1014" t="s">
        <v>73</v>
      </c>
      <c r="D462" t="s">
        <v>117</v>
      </c>
      <c r="E462"/>
      <c r="F462" s="1023">
        <v>855</v>
      </c>
      <c r="G462"/>
      <c r="H462"/>
      <c r="I462"/>
      <c r="J462"/>
      <c r="K462"/>
      <c r="L462"/>
      <c r="M462"/>
      <c r="N462"/>
      <c r="O462" s="116"/>
      <c r="P462">
        <v>3</v>
      </c>
      <c r="Q462"/>
      <c r="R462" s="1024">
        <f t="shared" si="124"/>
        <v>0</v>
      </c>
      <c r="S462" s="1025"/>
      <c r="T462" s="1024">
        <f t="shared" si="125"/>
        <v>0</v>
      </c>
    </row>
    <row r="463" spans="1:20" s="886" customFormat="1" ht="13.2">
      <c r="A463" s="1021"/>
      <c r="B463" s="1022">
        <v>42</v>
      </c>
      <c r="C463" s="1014" t="s">
        <v>73</v>
      </c>
      <c r="D463" t="s">
        <v>118</v>
      </c>
      <c r="E463"/>
      <c r="F463" s="1023">
        <v>856</v>
      </c>
      <c r="G463"/>
      <c r="H463"/>
      <c r="I463"/>
      <c r="J463"/>
      <c r="K463"/>
      <c r="L463"/>
      <c r="M463"/>
      <c r="N463"/>
      <c r="O463" s="116"/>
      <c r="P463">
        <v>3</v>
      </c>
      <c r="Q463"/>
      <c r="R463" s="1024">
        <f t="shared" si="124"/>
        <v>0</v>
      </c>
      <c r="S463" s="1025"/>
      <c r="T463" s="1024">
        <f t="shared" si="125"/>
        <v>0</v>
      </c>
    </row>
    <row r="464" spans="1:20" s="886" customFormat="1" ht="13.2">
      <c r="A464" s="1021"/>
      <c r="B464" s="1022">
        <v>43</v>
      </c>
      <c r="C464" s="1014" t="s">
        <v>73</v>
      </c>
      <c r="D464" s="36" t="s">
        <v>264</v>
      </c>
      <c r="E464"/>
      <c r="F464" s="1023">
        <v>857</v>
      </c>
      <c r="G464"/>
      <c r="H464"/>
      <c r="I464"/>
      <c r="J464"/>
      <c r="K464"/>
      <c r="L464"/>
      <c r="M464"/>
      <c r="N464"/>
      <c r="O464" s="116"/>
      <c r="P464">
        <v>4</v>
      </c>
      <c r="Q464"/>
      <c r="R464" s="1024">
        <f t="shared" si="124"/>
        <v>0</v>
      </c>
      <c r="S464" s="1025"/>
      <c r="T464" s="1024">
        <f t="shared" si="125"/>
        <v>0</v>
      </c>
    </row>
    <row r="465" spans="1:37" s="886" customFormat="1" ht="13.2">
      <c r="A465" s="1021"/>
      <c r="B465" s="1022">
        <v>44</v>
      </c>
      <c r="C465" s="1014" t="s">
        <v>73</v>
      </c>
      <c r="D465" t="s">
        <v>119</v>
      </c>
      <c r="E465"/>
      <c r="F465" s="1023">
        <v>858</v>
      </c>
      <c r="G465"/>
      <c r="H465"/>
      <c r="I465"/>
      <c r="J465"/>
      <c r="K465"/>
      <c r="L465"/>
      <c r="M465"/>
      <c r="N465"/>
      <c r="O465" s="116"/>
      <c r="P465">
        <v>3</v>
      </c>
      <c r="Q465"/>
      <c r="R465" s="1024">
        <f t="shared" si="124"/>
        <v>0</v>
      </c>
      <c r="S465" s="1025"/>
      <c r="T465" s="1024">
        <f t="shared" si="125"/>
        <v>0</v>
      </c>
    </row>
    <row r="466" spans="1:37" s="886" customFormat="1" ht="13.2">
      <c r="A466" s="1021"/>
      <c r="B466" s="1022">
        <v>45</v>
      </c>
      <c r="C466" s="1014" t="s">
        <v>73</v>
      </c>
      <c r="D466" t="s">
        <v>120</v>
      </c>
      <c r="E466"/>
      <c r="F466" s="1023">
        <v>865</v>
      </c>
      <c r="G466"/>
      <c r="H466"/>
      <c r="I466"/>
      <c r="J466"/>
      <c r="K466"/>
      <c r="L466"/>
      <c r="M466"/>
      <c r="N466"/>
      <c r="O466" s="116"/>
      <c r="P466">
        <v>3</v>
      </c>
      <c r="Q466"/>
      <c r="R466" s="1024">
        <f t="shared" si="124"/>
        <v>0</v>
      </c>
      <c r="S466" s="1025"/>
      <c r="T466" s="1024">
        <f t="shared" si="125"/>
        <v>0</v>
      </c>
    </row>
    <row r="467" spans="1:37" s="886" customFormat="1" ht="13.2">
      <c r="A467" s="1021"/>
      <c r="B467" s="1022">
        <v>46</v>
      </c>
      <c r="C467" s="1014" t="s">
        <v>73</v>
      </c>
      <c r="D467" t="s">
        <v>121</v>
      </c>
      <c r="E467"/>
      <c r="F467" s="1023">
        <v>870</v>
      </c>
      <c r="G467"/>
      <c r="H467"/>
      <c r="I467"/>
      <c r="J467"/>
      <c r="K467"/>
      <c r="L467"/>
      <c r="M467"/>
      <c r="N467"/>
      <c r="O467" s="116"/>
      <c r="P467">
        <v>4</v>
      </c>
      <c r="Q467"/>
      <c r="R467" s="1024">
        <f t="shared" si="124"/>
        <v>0</v>
      </c>
      <c r="S467" s="1025"/>
      <c r="T467" s="1024">
        <f t="shared" si="125"/>
        <v>0</v>
      </c>
    </row>
    <row r="468" spans="1:37" s="886" customFormat="1" ht="13.2">
      <c r="A468" s="1021"/>
      <c r="B468" s="1022">
        <v>47</v>
      </c>
      <c r="C468" s="1014" t="s">
        <v>73</v>
      </c>
      <c r="D468" t="s">
        <v>122</v>
      </c>
      <c r="E468"/>
      <c r="F468" s="1023">
        <v>875</v>
      </c>
      <c r="G468"/>
      <c r="H468"/>
      <c r="I468"/>
      <c r="J468"/>
      <c r="K468"/>
      <c r="L468"/>
      <c r="M468"/>
      <c r="N468"/>
      <c r="O468" s="116"/>
      <c r="P468">
        <v>1</v>
      </c>
      <c r="Q468"/>
      <c r="R468" s="1024">
        <f t="shared" si="124"/>
        <v>0</v>
      </c>
      <c r="S468" s="1025"/>
      <c r="T468" s="1024">
        <f t="shared" si="125"/>
        <v>0</v>
      </c>
    </row>
    <row r="469" spans="1:37" s="886" customFormat="1" ht="13.2">
      <c r="A469" s="1021"/>
      <c r="B469" s="1022">
        <v>48</v>
      </c>
      <c r="C469" s="1014" t="s">
        <v>73</v>
      </c>
      <c r="D469" t="s">
        <v>123</v>
      </c>
      <c r="E469"/>
      <c r="F469" s="1023">
        <v>880</v>
      </c>
      <c r="G469"/>
      <c r="H469"/>
      <c r="I469"/>
      <c r="J469"/>
      <c r="K469"/>
      <c r="L469"/>
      <c r="M469"/>
      <c r="N469"/>
      <c r="O469" s="116"/>
      <c r="P469">
        <v>3</v>
      </c>
      <c r="Q469"/>
      <c r="R469" s="1024">
        <f t="shared" si="124"/>
        <v>0</v>
      </c>
      <c r="S469" s="1025"/>
      <c r="T469" s="1024">
        <f t="shared" si="125"/>
        <v>0</v>
      </c>
    </row>
    <row r="470" spans="1:37" s="886" customFormat="1" ht="13.2">
      <c r="A470" s="1021"/>
      <c r="B470" s="1022">
        <v>49</v>
      </c>
      <c r="C470" s="1014" t="s">
        <v>73</v>
      </c>
      <c r="D470" t="s">
        <v>124</v>
      </c>
      <c r="E470"/>
      <c r="F470" s="1023">
        <v>885</v>
      </c>
      <c r="G470"/>
      <c r="H470"/>
      <c r="I470"/>
      <c r="J470"/>
      <c r="K470"/>
      <c r="L470"/>
      <c r="M470"/>
      <c r="N470"/>
      <c r="O470" s="116"/>
      <c r="P470">
        <v>4</v>
      </c>
      <c r="Q470"/>
      <c r="R470" s="1024">
        <f t="shared" si="124"/>
        <v>0</v>
      </c>
      <c r="S470" s="1025"/>
      <c r="T470" s="1024">
        <f t="shared" si="125"/>
        <v>0</v>
      </c>
    </row>
    <row r="471" spans="1:37" s="886" customFormat="1" ht="13.2">
      <c r="A471" s="1021"/>
      <c r="B471" s="1022">
        <v>50</v>
      </c>
      <c r="C471" s="1014" t="s">
        <v>73</v>
      </c>
      <c r="D471" t="s">
        <v>68</v>
      </c>
      <c r="E471"/>
      <c r="F471" s="1023">
        <v>900</v>
      </c>
      <c r="G471"/>
      <c r="H471"/>
      <c r="I471"/>
      <c r="J471"/>
      <c r="K471"/>
      <c r="L471"/>
      <c r="M471"/>
      <c r="N471"/>
      <c r="O471" s="116"/>
      <c r="P471">
        <v>3</v>
      </c>
      <c r="Q471"/>
      <c r="R471" s="1024">
        <f t="shared" si="124"/>
        <v>0</v>
      </c>
      <c r="S471" s="1025"/>
      <c r="T471" s="1024">
        <f t="shared" si="125"/>
        <v>0</v>
      </c>
    </row>
    <row r="472" spans="1:37" s="886" customFormat="1" ht="13.2">
      <c r="A472" s="1021"/>
      <c r="B472" s="1022">
        <v>51</v>
      </c>
      <c r="C472" s="1014" t="s">
        <v>73</v>
      </c>
      <c r="D472" t="s">
        <v>126</v>
      </c>
      <c r="E472"/>
      <c r="F472" s="1023">
        <v>901</v>
      </c>
      <c r="G472"/>
      <c r="H472"/>
      <c r="I472"/>
      <c r="J472"/>
      <c r="K472"/>
      <c r="L472"/>
      <c r="M472"/>
      <c r="N472"/>
      <c r="O472" s="116"/>
      <c r="P472">
        <v>1</v>
      </c>
      <c r="Q472"/>
      <c r="R472" s="1024">
        <f t="shared" si="124"/>
        <v>0</v>
      </c>
      <c r="S472" s="1025"/>
      <c r="T472" s="1024">
        <f t="shared" si="125"/>
        <v>0</v>
      </c>
    </row>
    <row r="473" spans="1:37" s="886" customFormat="1" ht="13.2">
      <c r="A473" s="1021"/>
      <c r="B473" s="1022">
        <v>52</v>
      </c>
      <c r="C473" s="1014" t="s">
        <v>73</v>
      </c>
      <c r="D473" t="s">
        <v>127</v>
      </c>
      <c r="E473"/>
      <c r="F473" s="1023">
        <v>902</v>
      </c>
      <c r="G473"/>
      <c r="H473"/>
      <c r="I473"/>
      <c r="J473"/>
      <c r="K473"/>
      <c r="L473"/>
      <c r="M473"/>
      <c r="N473"/>
      <c r="O473" s="116"/>
      <c r="P473">
        <v>3</v>
      </c>
      <c r="Q473"/>
      <c r="R473" s="1024">
        <f t="shared" si="124"/>
        <v>0</v>
      </c>
      <c r="S473" s="1025"/>
      <c r="T473" s="1024">
        <f t="shared" si="125"/>
        <v>0</v>
      </c>
    </row>
    <row r="474" spans="1:37" s="886" customFormat="1" ht="13.2">
      <c r="A474" s="1021"/>
      <c r="B474" s="1022">
        <v>53</v>
      </c>
      <c r="C474" s="1014" t="s">
        <v>73</v>
      </c>
      <c r="D474" s="886" t="s">
        <v>128</v>
      </c>
      <c r="E474"/>
      <c r="F474" s="1023">
        <v>960</v>
      </c>
      <c r="G474"/>
      <c r="H474"/>
      <c r="I474"/>
      <c r="J474"/>
      <c r="K474"/>
      <c r="L474"/>
      <c r="M474"/>
      <c r="N474"/>
      <c r="O474" s="116"/>
      <c r="P474">
        <v>4</v>
      </c>
      <c r="Q474"/>
      <c r="R474" s="1024">
        <f t="shared" si="124"/>
        <v>0</v>
      </c>
      <c r="S474" s="1025"/>
      <c r="T474" s="1024">
        <f t="shared" si="125"/>
        <v>0</v>
      </c>
    </row>
    <row r="475" spans="1:37" s="886" customFormat="1" ht="13.2">
      <c r="A475" s="1021"/>
      <c r="B475" s="1022">
        <v>54</v>
      </c>
      <c r="C475" s="1014" t="s">
        <v>73</v>
      </c>
      <c r="D475" s="886" t="s">
        <v>129</v>
      </c>
      <c r="E475"/>
      <c r="F475" s="1023">
        <v>961</v>
      </c>
      <c r="G475"/>
      <c r="H475"/>
      <c r="I475"/>
      <c r="J475"/>
      <c r="K475"/>
      <c r="L475"/>
      <c r="M475"/>
      <c r="N475"/>
      <c r="O475" s="116"/>
      <c r="P475">
        <v>3</v>
      </c>
      <c r="Q475"/>
      <c r="R475" s="1024">
        <f t="shared" si="124"/>
        <v>0</v>
      </c>
      <c r="S475" s="1025"/>
      <c r="T475" s="1024">
        <f t="shared" si="125"/>
        <v>0</v>
      </c>
    </row>
    <row r="476" spans="1:37" s="886" customFormat="1" ht="13.2">
      <c r="A476" s="1021"/>
      <c r="B476" s="1022">
        <v>55</v>
      </c>
      <c r="C476" s="1014" t="s">
        <v>73</v>
      </c>
      <c r="D476" s="886" t="s">
        <v>130</v>
      </c>
      <c r="E476"/>
      <c r="F476" s="1023">
        <v>962</v>
      </c>
      <c r="G476"/>
      <c r="H476"/>
      <c r="I476"/>
      <c r="J476"/>
      <c r="K476"/>
      <c r="L476"/>
      <c r="M476"/>
      <c r="N476"/>
      <c r="O476" s="116"/>
      <c r="P476">
        <v>1</v>
      </c>
      <c r="Q476"/>
      <c r="R476" s="1024">
        <f t="shared" si="124"/>
        <v>0</v>
      </c>
      <c r="S476" s="1025"/>
      <c r="T476" s="1024">
        <f t="shared" si="125"/>
        <v>0</v>
      </c>
    </row>
    <row r="477" spans="1:37" s="886" customFormat="1" ht="13.2">
      <c r="A477" s="1021"/>
      <c r="B477" s="1022">
        <v>56</v>
      </c>
      <c r="C477" s="1014" t="s">
        <v>73</v>
      </c>
      <c r="D477" s="886" t="s">
        <v>131</v>
      </c>
      <c r="E477"/>
      <c r="F477" s="1023">
        <v>970</v>
      </c>
      <c r="G477"/>
      <c r="H477"/>
      <c r="I477"/>
      <c r="J477"/>
      <c r="K477"/>
      <c r="L477"/>
      <c r="M477"/>
      <c r="N477"/>
      <c r="O477" s="116"/>
      <c r="P477">
        <v>4</v>
      </c>
      <c r="Q477"/>
      <c r="R477" s="1024">
        <f t="shared" si="124"/>
        <v>0</v>
      </c>
      <c r="S477" s="1025"/>
      <c r="T477" s="1024">
        <f t="shared" si="125"/>
        <v>0</v>
      </c>
    </row>
    <row r="478" spans="1:37" s="886" customFormat="1" thickBot="1">
      <c r="A478" s="1026"/>
      <c r="B478" s="1027"/>
      <c r="C478" s="1028"/>
      <c r="D478" s="1029"/>
      <c r="E478" s="1030"/>
      <c r="F478" s="1031"/>
      <c r="G478" s="1030"/>
      <c r="H478" s="1030"/>
      <c r="I478" s="1030"/>
      <c r="J478" s="1030"/>
      <c r="K478" s="1030"/>
      <c r="L478" s="1030"/>
      <c r="M478" s="1030"/>
      <c r="N478" s="1030"/>
      <c r="O478" s="1032"/>
      <c r="P478" s="1030"/>
      <c r="Q478" s="1030"/>
      <c r="R478" s="1033"/>
      <c r="S478" s="1034"/>
      <c r="T478" s="1033"/>
      <c r="U478" s="1029"/>
      <c r="V478" s="1029"/>
      <c r="W478" s="1029"/>
      <c r="X478" s="1029"/>
      <c r="Y478" s="1029"/>
      <c r="Z478" s="1029"/>
      <c r="AA478" s="1029"/>
      <c r="AB478" s="1029"/>
      <c r="AC478" s="1029"/>
      <c r="AD478" s="1029"/>
      <c r="AE478" s="1029"/>
      <c r="AF478" s="1029"/>
      <c r="AG478" s="1029"/>
      <c r="AH478" s="1029"/>
      <c r="AI478" s="1029"/>
      <c r="AJ478" s="1029"/>
      <c r="AK478" s="1029"/>
    </row>
    <row r="479" spans="1:37" s="886" customFormat="1" thickTop="1">
      <c r="A479" s="1021"/>
      <c r="B479" s="1023"/>
      <c r="C479" s="1014" t="s">
        <v>73</v>
      </c>
      <c r="D479" s="128"/>
      <c r="E479"/>
      <c r="F479" s="1035" t="s">
        <v>152</v>
      </c>
      <c r="G479" s="1036"/>
      <c r="H479">
        <v>1</v>
      </c>
      <c r="I479"/>
      <c r="J479"/>
      <c r="K479"/>
      <c r="L479"/>
      <c r="M479"/>
      <c r="N479"/>
      <c r="O479" s="116"/>
      <c r="P479"/>
      <c r="Q479"/>
      <c r="R479" s="1024">
        <f>SUMIF($P422:$P477,1,R422:R477)</f>
        <v>0</v>
      </c>
      <c r="S479"/>
      <c r="T479" s="1024">
        <f>SUMIF($P422:$P477,1,T422:T477)</f>
        <v>0</v>
      </c>
    </row>
    <row r="480" spans="1:37" s="886" customFormat="1" ht="13.2">
      <c r="A480" s="1021"/>
      <c r="B480" s="1023"/>
      <c r="C480" s="1014" t="s">
        <v>73</v>
      </c>
      <c r="D480" s="128"/>
      <c r="E480"/>
      <c r="F480" s="1035" t="s">
        <v>153</v>
      </c>
      <c r="G480" s="1036"/>
      <c r="H480">
        <v>2</v>
      </c>
      <c r="I480"/>
      <c r="J480"/>
      <c r="K480"/>
      <c r="L480"/>
      <c r="M480"/>
      <c r="N480"/>
      <c r="O480" s="116"/>
      <c r="P480"/>
      <c r="Q480"/>
      <c r="R480" s="1024">
        <f>SUMIF($P422:$P477,2,R422:R477)</f>
        <v>0</v>
      </c>
      <c r="S480"/>
      <c r="T480" s="1024">
        <f>SUMIF($P422:$P477,2,T422:T477)</f>
        <v>0</v>
      </c>
    </row>
    <row r="481" spans="1:37" s="886" customFormat="1" ht="13.2">
      <c r="A481" s="1021"/>
      <c r="B481" s="1023"/>
      <c r="C481" s="1014" t="s">
        <v>73</v>
      </c>
      <c r="D481" s="128"/>
      <c r="E481"/>
      <c r="F481" s="1035" t="s">
        <v>154</v>
      </c>
      <c r="G481" s="1036"/>
      <c r="H481">
        <v>2</v>
      </c>
      <c r="I481"/>
      <c r="J481"/>
      <c r="K481"/>
      <c r="L481"/>
      <c r="M481"/>
      <c r="N481"/>
      <c r="O481" s="116"/>
      <c r="P481"/>
      <c r="Q481"/>
      <c r="R481" s="1024">
        <f>SUMIF($P422:$P477,3,R422:R477)</f>
        <v>28788.399999999998</v>
      </c>
      <c r="S481"/>
      <c r="T481" s="1024">
        <f>SUMIF($P422:$P477,3,T422:T477)</f>
        <v>587.25</v>
      </c>
    </row>
    <row r="482" spans="1:37" s="886" customFormat="1" ht="13.2">
      <c r="A482" s="1021"/>
      <c r="B482" s="1023"/>
      <c r="C482" s="1014" t="s">
        <v>73</v>
      </c>
      <c r="D482" s="128"/>
      <c r="E482"/>
      <c r="F482" s="1035" t="s">
        <v>155</v>
      </c>
      <c r="G482" s="1036"/>
      <c r="H482">
        <v>3</v>
      </c>
      <c r="I482"/>
      <c r="J482"/>
      <c r="K482"/>
      <c r="L482"/>
      <c r="M482"/>
      <c r="N482"/>
      <c r="O482" s="116"/>
      <c r="P482"/>
      <c r="Q482"/>
      <c r="R482" s="1024">
        <f>SUMIF($P422:$P477,4,R422:R477)</f>
        <v>0</v>
      </c>
      <c r="S482"/>
      <c r="T482" s="1024">
        <f>SUMIF($P422:$P477,4,T422:T477)</f>
        <v>0</v>
      </c>
    </row>
    <row r="483" spans="1:37" s="886" customFormat="1" thickBot="1">
      <c r="A483" s="1026"/>
      <c r="B483" s="1031"/>
      <c r="C483" s="1028"/>
      <c r="D483" s="1037"/>
      <c r="E483" s="1030"/>
      <c r="F483" s="1038" t="s">
        <v>156</v>
      </c>
      <c r="G483" s="1039"/>
      <c r="H483" s="1040"/>
      <c r="I483" s="1040"/>
      <c r="J483" s="1040"/>
      <c r="K483" s="1040"/>
      <c r="L483" s="1040"/>
      <c r="M483" s="1040"/>
      <c r="N483" s="1040"/>
      <c r="O483" s="1041"/>
      <c r="P483" s="1040"/>
      <c r="Q483" s="1040"/>
      <c r="R483" s="1042">
        <f>SUM(R479:R482)</f>
        <v>28788.399999999998</v>
      </c>
      <c r="S483" s="1043"/>
      <c r="T483" s="1042">
        <f>SUM(T479:T482)</f>
        <v>587.25</v>
      </c>
      <c r="U483" s="1029"/>
      <c r="V483" s="1029"/>
      <c r="W483" s="1029"/>
      <c r="X483" s="1029"/>
      <c r="Y483" s="1029"/>
      <c r="Z483" s="1029"/>
      <c r="AA483" s="1029"/>
      <c r="AB483" s="1029"/>
      <c r="AC483" s="1029"/>
      <c r="AD483" s="1029"/>
      <c r="AE483" s="1029"/>
      <c r="AF483" s="1029"/>
      <c r="AG483" s="1029"/>
      <c r="AH483" s="1029"/>
      <c r="AI483" s="1029"/>
      <c r="AJ483" s="1029"/>
      <c r="AK483" s="1029"/>
    </row>
    <row r="484" spans="1:37" s="3" customFormat="1" thickTop="1">
      <c r="A484" s="520"/>
      <c r="O484" s="107"/>
    </row>
    <row r="485" spans="1:37" s="3" customFormat="1" ht="13.2">
      <c r="A485" s="520"/>
      <c r="O485" s="107"/>
    </row>
    <row r="486" spans="1:37" s="3" customFormat="1" ht="13.2">
      <c r="A486" s="520"/>
      <c r="O486" s="107"/>
    </row>
    <row r="487" spans="1:37" s="3" customFormat="1" ht="13.2">
      <c r="A487" s="520"/>
      <c r="O487" s="107"/>
    </row>
    <row r="488" spans="1:37" s="3" customFormat="1" ht="13.2">
      <c r="A488" s="520"/>
      <c r="O488" s="107"/>
    </row>
    <row r="489" spans="1:37" s="3" customFormat="1" ht="13.2">
      <c r="A489" s="520"/>
      <c r="O489" s="107"/>
    </row>
    <row r="490" spans="1:37" s="3" customFormat="1" ht="13.2">
      <c r="A490" s="520"/>
      <c r="O490" s="107"/>
    </row>
    <row r="491" spans="1:37" s="3" customFormat="1" ht="13.2">
      <c r="A491" s="520"/>
      <c r="O491" s="107"/>
    </row>
    <row r="492" spans="1:37" s="3" customFormat="1" ht="13.2">
      <c r="A492" s="520"/>
      <c r="O492" s="107"/>
    </row>
    <row r="493" spans="1:37" s="3" customFormat="1" ht="13.2">
      <c r="A493" s="520"/>
      <c r="O493" s="107"/>
    </row>
    <row r="494" spans="1:37" s="3" customFormat="1" ht="13.2">
      <c r="A494" s="520"/>
      <c r="O494" s="107"/>
    </row>
    <row r="495" spans="1:37" s="3" customFormat="1" ht="13.2">
      <c r="A495" s="520"/>
      <c r="O495" s="107"/>
    </row>
    <row r="496" spans="1:37" s="3" customFormat="1" ht="13.2">
      <c r="A496" s="520"/>
      <c r="O496" s="107"/>
    </row>
    <row r="497" spans="1:15" s="3" customFormat="1" ht="13.2">
      <c r="A497" s="520"/>
      <c r="O497" s="107"/>
    </row>
    <row r="498" spans="1:15" s="3" customFormat="1" ht="13.2">
      <c r="A498" s="520"/>
      <c r="O498" s="107"/>
    </row>
    <row r="499" spans="1:15" s="3" customFormat="1" ht="13.2">
      <c r="A499" s="520"/>
      <c r="O499" s="107"/>
    </row>
    <row r="500" spans="1:15" s="3" customFormat="1" ht="13.2">
      <c r="A500" s="520"/>
      <c r="O500" s="107"/>
    </row>
    <row r="501" spans="1:15" s="3" customFormat="1" ht="13.2">
      <c r="A501" s="520"/>
      <c r="O501" s="107"/>
    </row>
    <row r="502" spans="1:15" s="3" customFormat="1" ht="13.2">
      <c r="A502" s="520"/>
      <c r="O502" s="107"/>
    </row>
    <row r="503" spans="1:15" s="3" customFormat="1" ht="13.2">
      <c r="A503" s="520"/>
      <c r="O503" s="107"/>
    </row>
    <row r="504" spans="1:15" s="3" customFormat="1" ht="13.2">
      <c r="A504" s="520"/>
      <c r="O504" s="107"/>
    </row>
    <row r="505" spans="1:15" s="3" customFormat="1" ht="13.2">
      <c r="A505" s="520"/>
      <c r="O505" s="107"/>
    </row>
    <row r="506" spans="1:15" s="3" customFormat="1" ht="13.2">
      <c r="A506" s="520"/>
      <c r="O506" s="107"/>
    </row>
    <row r="507" spans="1:15" s="3" customFormat="1" ht="13.2">
      <c r="A507" s="520"/>
      <c r="O507" s="107"/>
    </row>
    <row r="508" spans="1:15" s="3" customFormat="1" ht="13.2">
      <c r="A508" s="520"/>
      <c r="O508" s="107"/>
    </row>
    <row r="509" spans="1:15" s="3" customFormat="1" ht="13.2">
      <c r="A509" s="520"/>
      <c r="O509" s="107"/>
    </row>
    <row r="510" spans="1:15" s="3" customFormat="1" ht="13.2">
      <c r="A510" s="520"/>
      <c r="O510" s="107"/>
    </row>
    <row r="511" spans="1:15" s="3" customFormat="1" ht="13.2">
      <c r="A511" s="520"/>
      <c r="O511" s="107"/>
    </row>
    <row r="512" spans="1:15" s="3" customFormat="1" ht="13.2">
      <c r="A512" s="520"/>
      <c r="O512" s="107"/>
    </row>
    <row r="513" spans="1:15" s="3" customFormat="1" ht="13.2">
      <c r="A513" s="520"/>
      <c r="O513" s="107"/>
    </row>
    <row r="514" spans="1:15" s="3" customFormat="1" ht="13.2">
      <c r="A514" s="520"/>
      <c r="O514" s="107"/>
    </row>
    <row r="515" spans="1:15" s="3" customFormat="1" ht="13.2">
      <c r="A515" s="520"/>
      <c r="O515" s="107"/>
    </row>
    <row r="516" spans="1:15" s="3" customFormat="1" ht="13.2">
      <c r="A516" s="520"/>
      <c r="O516" s="107"/>
    </row>
    <row r="517" spans="1:15" s="3" customFormat="1" ht="13.2">
      <c r="A517" s="520"/>
      <c r="O517" s="107"/>
    </row>
    <row r="518" spans="1:15" s="3" customFormat="1" ht="13.2">
      <c r="A518" s="520"/>
      <c r="O518" s="107"/>
    </row>
    <row r="519" spans="1:15" s="3" customFormat="1" ht="13.2">
      <c r="A519" s="520"/>
      <c r="O519" s="107"/>
    </row>
    <row r="520" spans="1:15" s="3" customFormat="1" ht="13.2">
      <c r="A520" s="520"/>
      <c r="O520" s="107"/>
    </row>
    <row r="521" spans="1:15" s="3" customFormat="1" ht="13.2">
      <c r="A521" s="520"/>
      <c r="O521" s="107"/>
    </row>
    <row r="522" spans="1:15" s="3" customFormat="1" ht="13.2">
      <c r="A522" s="520"/>
      <c r="O522" s="107"/>
    </row>
    <row r="523" spans="1:15" s="3" customFormat="1" ht="13.2">
      <c r="A523" s="520"/>
      <c r="O523" s="107"/>
    </row>
    <row r="524" spans="1:15" s="3" customFormat="1" ht="13.2">
      <c r="A524" s="520"/>
      <c r="O524" s="107"/>
    </row>
    <row r="525" spans="1:15" s="3" customFormat="1" ht="13.2">
      <c r="A525" s="520"/>
      <c r="O525" s="107"/>
    </row>
    <row r="526" spans="1:15" s="3" customFormat="1" ht="13.2">
      <c r="A526" s="520"/>
      <c r="O526" s="107"/>
    </row>
    <row r="527" spans="1:15" s="3" customFormat="1" ht="13.2">
      <c r="A527" s="520"/>
      <c r="O527" s="107"/>
    </row>
    <row r="528" spans="1:15" s="3" customFormat="1" ht="13.2">
      <c r="A528" s="520"/>
      <c r="O528" s="107"/>
    </row>
    <row r="529" spans="1:15" s="3" customFormat="1" ht="13.2">
      <c r="A529" s="520"/>
      <c r="O529" s="107"/>
    </row>
    <row r="530" spans="1:15" s="3" customFormat="1" ht="13.2">
      <c r="A530" s="520"/>
      <c r="O530" s="107"/>
    </row>
    <row r="531" spans="1:15" s="3" customFormat="1" ht="13.2">
      <c r="A531" s="520"/>
      <c r="O531" s="107"/>
    </row>
    <row r="532" spans="1:15" s="3" customFormat="1" ht="13.2">
      <c r="A532" s="520"/>
      <c r="O532" s="107"/>
    </row>
    <row r="533" spans="1:15" s="3" customFormat="1" ht="13.2">
      <c r="A533" s="520"/>
      <c r="O533" s="107"/>
    </row>
    <row r="534" spans="1:15" s="3" customFormat="1" ht="13.2">
      <c r="A534" s="520"/>
      <c r="O534" s="107"/>
    </row>
    <row r="535" spans="1:15" s="3" customFormat="1" ht="13.2">
      <c r="A535" s="520"/>
      <c r="O535" s="107"/>
    </row>
    <row r="536" spans="1:15" s="3" customFormat="1" ht="13.2">
      <c r="A536" s="520"/>
      <c r="O536" s="107"/>
    </row>
    <row r="537" spans="1:15" s="3" customFormat="1" ht="13.2">
      <c r="A537" s="520"/>
      <c r="O537" s="107"/>
    </row>
    <row r="538" spans="1:15" s="3" customFormat="1" ht="13.2">
      <c r="A538" s="520"/>
      <c r="O538" s="107"/>
    </row>
    <row r="539" spans="1:15" s="3" customFormat="1" ht="13.2">
      <c r="A539" s="520"/>
      <c r="O539" s="107"/>
    </row>
    <row r="540" spans="1:15" s="3" customFormat="1" ht="13.2">
      <c r="A540" s="520"/>
      <c r="O540" s="107"/>
    </row>
    <row r="541" spans="1:15" s="3" customFormat="1" ht="13.2">
      <c r="A541" s="520"/>
      <c r="O541" s="107"/>
    </row>
    <row r="542" spans="1:15" s="3" customFormat="1" ht="13.2">
      <c r="A542" s="520"/>
      <c r="O542" s="107"/>
    </row>
    <row r="543" spans="1:15" s="3" customFormat="1" ht="13.2">
      <c r="A543" s="520"/>
      <c r="O543" s="107"/>
    </row>
    <row r="544" spans="1:15" s="3" customFormat="1" ht="13.2">
      <c r="A544" s="520"/>
      <c r="O544" s="107"/>
    </row>
    <row r="545" spans="1:15" s="3" customFormat="1" ht="13.2">
      <c r="A545" s="520"/>
      <c r="O545" s="107"/>
    </row>
    <row r="546" spans="1:15" s="3" customFormat="1" ht="13.2">
      <c r="A546" s="520"/>
      <c r="O546" s="107"/>
    </row>
    <row r="547" spans="1:15" s="3" customFormat="1" ht="13.2">
      <c r="A547" s="520"/>
      <c r="O547" s="107"/>
    </row>
    <row r="548" spans="1:15" s="3" customFormat="1" ht="13.2">
      <c r="A548" s="520"/>
      <c r="O548" s="107"/>
    </row>
    <row r="549" spans="1:15" s="3" customFormat="1" ht="13.2">
      <c r="A549" s="520"/>
      <c r="O549" s="107"/>
    </row>
    <row r="550" spans="1:15" s="3" customFormat="1" ht="13.2">
      <c r="A550" s="520"/>
      <c r="O550" s="107"/>
    </row>
    <row r="551" spans="1:15" s="3" customFormat="1" ht="13.2">
      <c r="A551" s="520"/>
      <c r="O551" s="107"/>
    </row>
    <row r="552" spans="1:15" s="3" customFormat="1" ht="13.2">
      <c r="A552" s="520"/>
      <c r="O552" s="107"/>
    </row>
    <row r="553" spans="1:15" s="3" customFormat="1" ht="13.2">
      <c r="A553" s="520"/>
      <c r="O553" s="107"/>
    </row>
    <row r="554" spans="1:15" s="3" customFormat="1" ht="13.2">
      <c r="A554" s="520"/>
      <c r="O554" s="107"/>
    </row>
    <row r="555" spans="1:15" s="3" customFormat="1" ht="13.2">
      <c r="A555" s="520"/>
      <c r="O555" s="107"/>
    </row>
    <row r="556" spans="1:15" s="3" customFormat="1" ht="13.2">
      <c r="A556" s="520"/>
      <c r="O556" s="107"/>
    </row>
    <row r="557" spans="1:15" s="3" customFormat="1" ht="13.2">
      <c r="A557" s="520"/>
      <c r="O557" s="107"/>
    </row>
    <row r="558" spans="1:15" s="3" customFormat="1" ht="13.2">
      <c r="A558" s="520"/>
      <c r="O558" s="107"/>
    </row>
    <row r="559" spans="1:15" s="3" customFormat="1" ht="13.2">
      <c r="A559" s="520"/>
      <c r="O559" s="107"/>
    </row>
    <row r="560" spans="1:15" s="3" customFormat="1" ht="13.2">
      <c r="A560" s="520"/>
      <c r="O560" s="107"/>
    </row>
    <row r="561" spans="1:15" s="3" customFormat="1" ht="13.2">
      <c r="A561" s="520"/>
      <c r="O561" s="107"/>
    </row>
    <row r="562" spans="1:15" s="3" customFormat="1" ht="13.2">
      <c r="A562" s="520"/>
      <c r="O562" s="107"/>
    </row>
    <row r="563" spans="1:15" s="3" customFormat="1" ht="13.2">
      <c r="A563" s="520"/>
      <c r="O563" s="107"/>
    </row>
    <row r="564" spans="1:15" s="3" customFormat="1" ht="13.2">
      <c r="A564" s="520"/>
      <c r="O564" s="107"/>
    </row>
    <row r="565" spans="1:15" s="3" customFormat="1" ht="13.2">
      <c r="A565" s="520"/>
      <c r="O565" s="107"/>
    </row>
    <row r="566" spans="1:15" s="3" customFormat="1" ht="13.2">
      <c r="A566" s="520"/>
      <c r="O566" s="107"/>
    </row>
    <row r="567" spans="1:15" s="3" customFormat="1" ht="13.2">
      <c r="A567" s="520"/>
      <c r="O567" s="107"/>
    </row>
    <row r="568" spans="1:15" s="3" customFormat="1" ht="13.2">
      <c r="A568" s="520"/>
      <c r="O568" s="107"/>
    </row>
    <row r="569" spans="1:15" s="3" customFormat="1" ht="13.2">
      <c r="A569" s="520"/>
      <c r="O569" s="107"/>
    </row>
    <row r="570" spans="1:15" s="3" customFormat="1" ht="13.2">
      <c r="A570" s="520"/>
      <c r="O570" s="107"/>
    </row>
    <row r="571" spans="1:15" s="3" customFormat="1" ht="13.2">
      <c r="A571" s="520"/>
      <c r="O571" s="107"/>
    </row>
    <row r="572" spans="1:15" s="3" customFormat="1" ht="13.2">
      <c r="A572" s="520"/>
      <c r="O572" s="107"/>
    </row>
    <row r="573" spans="1:15" s="3" customFormat="1" ht="13.2">
      <c r="A573" s="520"/>
      <c r="O573" s="107"/>
    </row>
    <row r="574" spans="1:15" s="3" customFormat="1" ht="13.2">
      <c r="A574" s="520"/>
      <c r="O574" s="107"/>
    </row>
    <row r="575" spans="1:15" s="3" customFormat="1" ht="13.2">
      <c r="A575" s="520"/>
      <c r="O575" s="107"/>
    </row>
    <row r="576" spans="1:15" s="3" customFormat="1" ht="13.2">
      <c r="A576" s="520"/>
      <c r="O576" s="107"/>
    </row>
    <row r="577" spans="1:15" s="3" customFormat="1" ht="13.2">
      <c r="A577" s="520"/>
      <c r="O577" s="107"/>
    </row>
    <row r="578" spans="1:15" s="3" customFormat="1" ht="13.2">
      <c r="A578" s="520"/>
      <c r="O578" s="107"/>
    </row>
    <row r="579" spans="1:15" s="3" customFormat="1" ht="13.2">
      <c r="A579" s="520"/>
      <c r="O579" s="107"/>
    </row>
    <row r="580" spans="1:15" s="3" customFormat="1" ht="13.2">
      <c r="A580" s="520"/>
      <c r="O580" s="107"/>
    </row>
    <row r="581" spans="1:15" s="3" customFormat="1" ht="13.2">
      <c r="A581" s="520"/>
      <c r="O581" s="107"/>
    </row>
    <row r="582" spans="1:15" s="3" customFormat="1" ht="13.2">
      <c r="A582" s="520"/>
      <c r="O582" s="107"/>
    </row>
    <row r="583" spans="1:15" s="3" customFormat="1" ht="13.2">
      <c r="A583" s="520"/>
      <c r="O583" s="107"/>
    </row>
    <row r="584" spans="1:15" s="3" customFormat="1" ht="13.2">
      <c r="A584" s="520"/>
      <c r="O584" s="107"/>
    </row>
    <row r="585" spans="1:15" s="3" customFormat="1" ht="13.2">
      <c r="A585" s="520"/>
      <c r="O585" s="107"/>
    </row>
    <row r="586" spans="1:15" s="3" customFormat="1" ht="13.2">
      <c r="A586" s="520"/>
      <c r="O586" s="107"/>
    </row>
    <row r="587" spans="1:15" s="3" customFormat="1" ht="13.2">
      <c r="A587" s="520"/>
      <c r="O587" s="107"/>
    </row>
    <row r="588" spans="1:15" s="3" customFormat="1" ht="13.2">
      <c r="A588" s="520"/>
      <c r="O588" s="107"/>
    </row>
    <row r="589" spans="1:15" s="3" customFormat="1" ht="13.2">
      <c r="A589" s="520"/>
      <c r="O589" s="107"/>
    </row>
    <row r="590" spans="1:15" s="3" customFormat="1" ht="13.2">
      <c r="A590" s="520"/>
      <c r="O590" s="107"/>
    </row>
    <row r="591" spans="1:15" s="3" customFormat="1" ht="13.2">
      <c r="A591" s="520"/>
      <c r="O591" s="107"/>
    </row>
    <row r="592" spans="1:15" s="3" customFormat="1" ht="13.2">
      <c r="A592" s="520"/>
      <c r="O592" s="107"/>
    </row>
    <row r="593" spans="1:15" s="3" customFormat="1" ht="13.2">
      <c r="A593" s="520"/>
      <c r="O593" s="107"/>
    </row>
    <row r="594" spans="1:15" s="3" customFormat="1" ht="13.2">
      <c r="A594" s="520"/>
      <c r="O594" s="107"/>
    </row>
    <row r="595" spans="1:15" s="3" customFormat="1" ht="13.2">
      <c r="A595" s="520"/>
      <c r="O595" s="107"/>
    </row>
    <row r="596" spans="1:15" s="3" customFormat="1" ht="13.2">
      <c r="A596" s="520"/>
      <c r="O596" s="107"/>
    </row>
    <row r="597" spans="1:15" s="3" customFormat="1" ht="13.2">
      <c r="A597" s="520"/>
      <c r="O597" s="107"/>
    </row>
    <row r="598" spans="1:15" s="3" customFormat="1" ht="13.2">
      <c r="A598" s="520"/>
      <c r="O598" s="107"/>
    </row>
    <row r="599" spans="1:15" s="3" customFormat="1" ht="13.2">
      <c r="A599" s="520"/>
      <c r="O599" s="107"/>
    </row>
    <row r="600" spans="1:15" s="3" customFormat="1" ht="13.2">
      <c r="A600" s="520"/>
      <c r="O600" s="107"/>
    </row>
    <row r="601" spans="1:15" s="3" customFormat="1" ht="13.2">
      <c r="A601" s="520"/>
      <c r="O601" s="107"/>
    </row>
    <row r="602" spans="1:15" s="3" customFormat="1" ht="13.2">
      <c r="A602" s="520"/>
      <c r="O602" s="107"/>
    </row>
    <row r="603" spans="1:15" s="3" customFormat="1" ht="13.2">
      <c r="A603" s="520"/>
      <c r="O603" s="107"/>
    </row>
    <row r="604" spans="1:15" s="3" customFormat="1" ht="13.2">
      <c r="A604" s="520"/>
      <c r="O604" s="107"/>
    </row>
    <row r="605" spans="1:15" s="3" customFormat="1" ht="13.2">
      <c r="A605" s="520"/>
      <c r="O605" s="107"/>
    </row>
    <row r="606" spans="1:15" s="3" customFormat="1" ht="13.2">
      <c r="A606" s="520"/>
      <c r="O606" s="107"/>
    </row>
    <row r="607" spans="1:15" s="3" customFormat="1" ht="13.2">
      <c r="A607" s="520"/>
      <c r="O607" s="107"/>
    </row>
    <row r="608" spans="1:15" s="3" customFormat="1" ht="13.2">
      <c r="A608" s="520"/>
      <c r="O608" s="107"/>
    </row>
    <row r="609" spans="1:15" s="3" customFormat="1" ht="13.2">
      <c r="A609" s="520"/>
      <c r="O609" s="107"/>
    </row>
    <row r="610" spans="1:15" s="3" customFormat="1" ht="13.2">
      <c r="A610" s="520"/>
      <c r="O610" s="107"/>
    </row>
    <row r="611" spans="1:15" s="3" customFormat="1" ht="13.2">
      <c r="A611" s="520"/>
      <c r="O611" s="107"/>
    </row>
    <row r="612" spans="1:15" s="3" customFormat="1" ht="13.2">
      <c r="A612" s="520"/>
      <c r="O612" s="107"/>
    </row>
    <row r="613" spans="1:15" s="3" customFormat="1" ht="13.2">
      <c r="A613" s="520"/>
      <c r="O613" s="107"/>
    </row>
    <row r="614" spans="1:15" s="3" customFormat="1" ht="13.2">
      <c r="A614" s="520"/>
      <c r="O614" s="107"/>
    </row>
    <row r="615" spans="1:15" s="3" customFormat="1" ht="13.2">
      <c r="A615" s="520"/>
      <c r="O615" s="107"/>
    </row>
    <row r="616" spans="1:15" s="3" customFormat="1" ht="13.2">
      <c r="A616" s="520"/>
      <c r="O616" s="107"/>
    </row>
    <row r="617" spans="1:15" s="3" customFormat="1" ht="13.2">
      <c r="A617" s="520"/>
      <c r="O617" s="107"/>
    </row>
    <row r="618" spans="1:15" s="3" customFormat="1" ht="13.2">
      <c r="A618" s="520"/>
      <c r="O618" s="107"/>
    </row>
    <row r="619" spans="1:15" s="3" customFormat="1" ht="13.2">
      <c r="A619" s="520"/>
      <c r="O619" s="107"/>
    </row>
    <row r="620" spans="1:15" s="3" customFormat="1" ht="13.2">
      <c r="A620" s="520"/>
      <c r="O620" s="107"/>
    </row>
    <row r="621" spans="1:15" s="3" customFormat="1" ht="13.2">
      <c r="A621" s="520"/>
      <c r="O621" s="107"/>
    </row>
    <row r="622" spans="1:15" s="3" customFormat="1" ht="13.2">
      <c r="A622" s="520"/>
      <c r="O622" s="107"/>
    </row>
    <row r="623" spans="1:15" s="3" customFormat="1" ht="13.2">
      <c r="A623" s="520"/>
      <c r="O623" s="107"/>
    </row>
    <row r="624" spans="1:15" s="3" customFormat="1" ht="13.2">
      <c r="A624" s="520"/>
      <c r="O624" s="107"/>
    </row>
    <row r="625" spans="1:15" s="3" customFormat="1" ht="13.2">
      <c r="A625" s="520"/>
      <c r="O625" s="107"/>
    </row>
    <row r="626" spans="1:15" s="3" customFormat="1" ht="13.2">
      <c r="A626" s="520"/>
      <c r="O626" s="107"/>
    </row>
    <row r="627" spans="1:15" s="3" customFormat="1" ht="13.2">
      <c r="A627" s="520"/>
      <c r="O627" s="107"/>
    </row>
    <row r="628" spans="1:15" s="3" customFormat="1" ht="13.2">
      <c r="A628" s="520"/>
      <c r="O628" s="107"/>
    </row>
    <row r="629" spans="1:15" s="3" customFormat="1" ht="13.2">
      <c r="A629" s="520"/>
      <c r="O629" s="107"/>
    </row>
    <row r="630" spans="1:15" s="3" customFormat="1" ht="13.2">
      <c r="A630" s="520"/>
      <c r="O630" s="107"/>
    </row>
    <row r="631" spans="1:15" s="3" customFormat="1" ht="13.2">
      <c r="A631" s="520"/>
      <c r="O631" s="107"/>
    </row>
    <row r="632" spans="1:15" s="3" customFormat="1" ht="13.2">
      <c r="A632" s="520"/>
      <c r="O632" s="107"/>
    </row>
    <row r="633" spans="1:15" s="3" customFormat="1" ht="13.2">
      <c r="A633" s="520"/>
      <c r="O633" s="107"/>
    </row>
    <row r="634" spans="1:15" s="3" customFormat="1" ht="13.2">
      <c r="A634" s="520"/>
      <c r="O634" s="107"/>
    </row>
    <row r="635" spans="1:15" s="3" customFormat="1" ht="13.2">
      <c r="A635" s="520"/>
      <c r="O635" s="107"/>
    </row>
    <row r="636" spans="1:15" s="3" customFormat="1" ht="13.2">
      <c r="A636" s="520"/>
      <c r="O636" s="107"/>
    </row>
    <row r="637" spans="1:15" s="3" customFormat="1" ht="13.2">
      <c r="A637" s="520"/>
      <c r="O637" s="107"/>
    </row>
    <row r="638" spans="1:15" s="3" customFormat="1" ht="13.2">
      <c r="A638" s="520"/>
      <c r="O638" s="107"/>
    </row>
    <row r="639" spans="1:15" s="3" customFormat="1" ht="13.2">
      <c r="A639" s="520"/>
      <c r="O639" s="107"/>
    </row>
    <row r="640" spans="1:15" s="3" customFormat="1" ht="13.2">
      <c r="A640" s="520"/>
      <c r="O640" s="107"/>
    </row>
    <row r="641" spans="1:15" s="3" customFormat="1" ht="13.2">
      <c r="A641" s="520"/>
      <c r="O641" s="107"/>
    </row>
    <row r="642" spans="1:15" s="3" customFormat="1" ht="13.2">
      <c r="A642" s="520"/>
      <c r="O642" s="107"/>
    </row>
    <row r="643" spans="1:15" s="3" customFormat="1" ht="13.2">
      <c r="A643" s="520"/>
      <c r="O643" s="107"/>
    </row>
    <row r="644" spans="1:15" s="3" customFormat="1" ht="13.2">
      <c r="A644" s="520"/>
      <c r="O644" s="107"/>
    </row>
    <row r="645" spans="1:15" s="3" customFormat="1" ht="13.2">
      <c r="A645" s="520"/>
      <c r="O645" s="107"/>
    </row>
    <row r="646" spans="1:15" s="3" customFormat="1" ht="13.2">
      <c r="A646" s="520"/>
      <c r="O646" s="107"/>
    </row>
    <row r="647" spans="1:15" s="3" customFormat="1" ht="13.2">
      <c r="A647" s="520"/>
      <c r="O647" s="107"/>
    </row>
    <row r="648" spans="1:15" s="3" customFormat="1" ht="13.2">
      <c r="A648" s="520"/>
      <c r="O648" s="107"/>
    </row>
    <row r="649" spans="1:15" s="3" customFormat="1" ht="13.2">
      <c r="A649" s="520"/>
      <c r="O649" s="107"/>
    </row>
    <row r="650" spans="1:15" s="3" customFormat="1" ht="13.2">
      <c r="A650" s="520"/>
      <c r="O650" s="107"/>
    </row>
    <row r="651" spans="1:15" s="3" customFormat="1" ht="13.2">
      <c r="A651" s="520"/>
      <c r="O651" s="107"/>
    </row>
    <row r="652" spans="1:15" s="3" customFormat="1" ht="13.2">
      <c r="A652" s="520"/>
      <c r="O652" s="107"/>
    </row>
    <row r="653" spans="1:15" s="3" customFormat="1" ht="13.2">
      <c r="A653" s="520"/>
      <c r="O653" s="107"/>
    </row>
    <row r="654" spans="1:15" s="3" customFormat="1" ht="13.2">
      <c r="A654" s="520"/>
      <c r="O654" s="107"/>
    </row>
    <row r="655" spans="1:15" s="3" customFormat="1" ht="13.2">
      <c r="A655" s="520"/>
      <c r="O655" s="107"/>
    </row>
    <row r="656" spans="1:15" s="3" customFormat="1" ht="13.2">
      <c r="A656" s="520"/>
      <c r="O656" s="107"/>
    </row>
    <row r="657" spans="1:15" s="3" customFormat="1" ht="13.2">
      <c r="A657" s="520"/>
      <c r="O657" s="107"/>
    </row>
    <row r="658" spans="1:15" s="3" customFormat="1" ht="13.2">
      <c r="A658" s="520"/>
      <c r="O658" s="107"/>
    </row>
    <row r="659" spans="1:15" s="3" customFormat="1" ht="13.2">
      <c r="A659" s="520"/>
      <c r="O659" s="107"/>
    </row>
    <row r="660" spans="1:15" s="3" customFormat="1" ht="13.2">
      <c r="A660" s="520"/>
      <c r="O660" s="107"/>
    </row>
    <row r="661" spans="1:15" s="3" customFormat="1" ht="13.2">
      <c r="A661" s="520"/>
      <c r="O661" s="107"/>
    </row>
    <row r="662" spans="1:15" s="3" customFormat="1" ht="13.2">
      <c r="A662" s="520"/>
      <c r="O662" s="107"/>
    </row>
    <row r="663" spans="1:15" s="3" customFormat="1" ht="13.2">
      <c r="A663" s="520"/>
      <c r="O663" s="107"/>
    </row>
    <row r="664" spans="1:15" s="3" customFormat="1" ht="13.2">
      <c r="A664" s="520"/>
      <c r="O664" s="107"/>
    </row>
    <row r="665" spans="1:15" s="3" customFormat="1" ht="13.2">
      <c r="A665" s="520"/>
      <c r="O665" s="107"/>
    </row>
    <row r="666" spans="1:15" s="3" customFormat="1" ht="13.2">
      <c r="A666" s="520"/>
      <c r="O666" s="107"/>
    </row>
    <row r="667" spans="1:15" s="3" customFormat="1" ht="13.2">
      <c r="A667" s="520"/>
      <c r="O667" s="107"/>
    </row>
    <row r="668" spans="1:15" s="3" customFormat="1" ht="13.2">
      <c r="A668" s="520"/>
      <c r="O668" s="107"/>
    </row>
    <row r="669" spans="1:15" s="3" customFormat="1" ht="13.2">
      <c r="A669" s="520"/>
      <c r="O669" s="107"/>
    </row>
    <row r="670" spans="1:15" s="3" customFormat="1" ht="13.2">
      <c r="A670" s="520"/>
      <c r="O670" s="107"/>
    </row>
    <row r="671" spans="1:15" s="3" customFormat="1" ht="13.2">
      <c r="A671" s="520"/>
      <c r="O671" s="107"/>
    </row>
    <row r="672" spans="1:15" s="3" customFormat="1" ht="13.2">
      <c r="A672" s="520"/>
      <c r="O672" s="107"/>
    </row>
    <row r="673" spans="1:15" s="3" customFormat="1" ht="13.2">
      <c r="A673" s="520"/>
      <c r="O673" s="107"/>
    </row>
    <row r="674" spans="1:15" s="3" customFormat="1" ht="13.2">
      <c r="A674" s="520"/>
      <c r="O674" s="107"/>
    </row>
    <row r="675" spans="1:15" s="3" customFormat="1" ht="13.2">
      <c r="A675" s="520"/>
      <c r="O675" s="107"/>
    </row>
    <row r="676" spans="1:15" s="3" customFormat="1" ht="13.2">
      <c r="A676" s="520"/>
      <c r="O676" s="107"/>
    </row>
    <row r="677" spans="1:15" s="3" customFormat="1" ht="13.2">
      <c r="A677" s="520"/>
      <c r="O677" s="107"/>
    </row>
    <row r="678" spans="1:15" s="3" customFormat="1" ht="13.2">
      <c r="A678" s="520"/>
      <c r="O678" s="107"/>
    </row>
    <row r="679" spans="1:15" s="3" customFormat="1" ht="13.2">
      <c r="A679" s="520"/>
      <c r="O679" s="107"/>
    </row>
    <row r="680" spans="1:15" s="3" customFormat="1" ht="13.2">
      <c r="A680" s="520"/>
      <c r="O680" s="107"/>
    </row>
    <row r="681" spans="1:15" s="3" customFormat="1" ht="13.2">
      <c r="A681" s="520"/>
      <c r="O681" s="107"/>
    </row>
    <row r="682" spans="1:15" s="3" customFormat="1" ht="13.2">
      <c r="A682" s="520"/>
      <c r="O682" s="107"/>
    </row>
    <row r="683" spans="1:15" s="3" customFormat="1" ht="13.2">
      <c r="A683" s="520"/>
      <c r="O683" s="107"/>
    </row>
    <row r="684" spans="1:15" s="3" customFormat="1" ht="13.2">
      <c r="A684" s="520"/>
      <c r="O684" s="107"/>
    </row>
    <row r="685" spans="1:15" s="3" customFormat="1" ht="13.2">
      <c r="A685" s="520"/>
      <c r="O685" s="107"/>
    </row>
    <row r="686" spans="1:15" s="3" customFormat="1" ht="13.2">
      <c r="A686" s="520"/>
      <c r="O686" s="107"/>
    </row>
    <row r="687" spans="1:15" s="3" customFormat="1" ht="13.2">
      <c r="A687" s="520"/>
      <c r="O687" s="107"/>
    </row>
    <row r="688" spans="1:15" s="3" customFormat="1" ht="13.2">
      <c r="A688" s="520"/>
      <c r="O688" s="107"/>
    </row>
    <row r="689" spans="1:15" s="3" customFormat="1" ht="13.2">
      <c r="A689" s="520"/>
      <c r="O689" s="107"/>
    </row>
    <row r="690" spans="1:15" s="3" customFormat="1" ht="13.2">
      <c r="A690" s="520"/>
      <c r="O690" s="107"/>
    </row>
    <row r="691" spans="1:15" s="3" customFormat="1" ht="13.2">
      <c r="A691" s="520"/>
      <c r="O691" s="107"/>
    </row>
    <row r="692" spans="1:15" s="3" customFormat="1" ht="13.2">
      <c r="A692" s="520"/>
      <c r="O692" s="107"/>
    </row>
    <row r="693" spans="1:15" s="3" customFormat="1" ht="13.2">
      <c r="A693" s="520"/>
      <c r="O693" s="107"/>
    </row>
    <row r="694" spans="1:15" s="3" customFormat="1" ht="13.2">
      <c r="A694" s="520"/>
      <c r="O694" s="107"/>
    </row>
    <row r="695" spans="1:15" s="3" customFormat="1" ht="13.2">
      <c r="A695" s="520"/>
      <c r="O695" s="107"/>
    </row>
    <row r="696" spans="1:15" s="3" customFormat="1" ht="13.2">
      <c r="A696" s="520"/>
      <c r="O696" s="107"/>
    </row>
    <row r="697" spans="1:15" s="3" customFormat="1" ht="13.2">
      <c r="A697" s="520"/>
      <c r="O697" s="107"/>
    </row>
    <row r="698" spans="1:15" s="3" customFormat="1" ht="13.2">
      <c r="A698" s="520"/>
      <c r="O698" s="107"/>
    </row>
    <row r="699" spans="1:15" s="3" customFormat="1" ht="13.2">
      <c r="A699" s="520"/>
      <c r="O699" s="107"/>
    </row>
    <row r="700" spans="1:15" s="3" customFormat="1" ht="13.2">
      <c r="A700" s="520"/>
      <c r="O700" s="107"/>
    </row>
    <row r="701" spans="1:15" s="3" customFormat="1" ht="13.2">
      <c r="A701" s="520"/>
      <c r="O701" s="107"/>
    </row>
    <row r="702" spans="1:15" s="3" customFormat="1" ht="13.2">
      <c r="A702" s="520"/>
      <c r="O702" s="107"/>
    </row>
    <row r="703" spans="1:15" s="3" customFormat="1" ht="13.2">
      <c r="A703" s="520"/>
      <c r="O703" s="107"/>
    </row>
    <row r="704" spans="1:15" s="3" customFormat="1" ht="13.2">
      <c r="A704" s="520"/>
      <c r="O704" s="107"/>
    </row>
    <row r="705" spans="1:15" s="3" customFormat="1" ht="13.2">
      <c r="A705" s="520"/>
      <c r="O705" s="107"/>
    </row>
    <row r="706" spans="1:15" s="3" customFormat="1" ht="13.2">
      <c r="A706" s="520"/>
      <c r="O706" s="107"/>
    </row>
    <row r="707" spans="1:15" s="3" customFormat="1" ht="13.2">
      <c r="A707" s="520"/>
      <c r="O707" s="107"/>
    </row>
    <row r="708" spans="1:15" s="3" customFormat="1" ht="13.2">
      <c r="A708" s="520"/>
      <c r="O708" s="107"/>
    </row>
    <row r="709" spans="1:15" s="3" customFormat="1" ht="13.2">
      <c r="A709" s="520"/>
      <c r="O709" s="107"/>
    </row>
    <row r="710" spans="1:15" s="3" customFormat="1" ht="13.2">
      <c r="A710" s="520"/>
      <c r="O710" s="107"/>
    </row>
    <row r="711" spans="1:15" s="3" customFormat="1" ht="13.2">
      <c r="A711" s="520"/>
      <c r="O711" s="107"/>
    </row>
    <row r="712" spans="1:15" s="3" customFormat="1" ht="13.2">
      <c r="A712" s="520"/>
      <c r="O712" s="107"/>
    </row>
    <row r="713" spans="1:15" s="3" customFormat="1" ht="13.2">
      <c r="A713" s="520"/>
      <c r="O713" s="107"/>
    </row>
    <row r="714" spans="1:15" s="3" customFormat="1" ht="13.2">
      <c r="A714" s="520"/>
      <c r="O714" s="107"/>
    </row>
    <row r="715" spans="1:15" s="3" customFormat="1" ht="13.2">
      <c r="A715" s="520"/>
      <c r="O715" s="107"/>
    </row>
    <row r="716" spans="1:15" s="3" customFormat="1" ht="13.2">
      <c r="A716" s="520"/>
      <c r="O716" s="107"/>
    </row>
    <row r="717" spans="1:15" s="3" customFormat="1" ht="13.2">
      <c r="A717" s="520"/>
      <c r="O717" s="107"/>
    </row>
    <row r="718" spans="1:15" s="3" customFormat="1" ht="13.2">
      <c r="A718" s="520"/>
      <c r="O718" s="107"/>
    </row>
    <row r="719" spans="1:15" s="3" customFormat="1" ht="13.2">
      <c r="A719" s="520"/>
      <c r="O719" s="107"/>
    </row>
    <row r="720" spans="1:15" s="3" customFormat="1" ht="13.2">
      <c r="A720" s="520"/>
      <c r="O720" s="107"/>
    </row>
    <row r="721" spans="1:15" s="3" customFormat="1" ht="13.2">
      <c r="A721" s="520"/>
      <c r="O721" s="107"/>
    </row>
    <row r="722" spans="1:15" s="3" customFormat="1" ht="13.2">
      <c r="A722" s="520"/>
      <c r="O722" s="107"/>
    </row>
    <row r="723" spans="1:15" s="3" customFormat="1" ht="13.2">
      <c r="A723" s="520"/>
      <c r="O723" s="107"/>
    </row>
    <row r="724" spans="1:15" s="3" customFormat="1" ht="13.2">
      <c r="A724" s="520"/>
      <c r="O724" s="107"/>
    </row>
    <row r="725" spans="1:15" s="3" customFormat="1" ht="13.2">
      <c r="A725" s="520"/>
      <c r="O725" s="107"/>
    </row>
    <row r="726" spans="1:15" s="3" customFormat="1" ht="13.2">
      <c r="A726" s="520"/>
      <c r="O726" s="107"/>
    </row>
    <row r="727" spans="1:15" s="3" customFormat="1" ht="13.2">
      <c r="A727" s="520"/>
      <c r="O727" s="107"/>
    </row>
    <row r="728" spans="1:15" s="3" customFormat="1" ht="13.2">
      <c r="A728" s="520"/>
      <c r="O728" s="107"/>
    </row>
    <row r="729" spans="1:15" s="3" customFormat="1" ht="13.2">
      <c r="A729" s="520"/>
      <c r="O729" s="107"/>
    </row>
    <row r="730" spans="1:15" s="3" customFormat="1" ht="13.2">
      <c r="A730" s="520"/>
      <c r="O730" s="107"/>
    </row>
    <row r="731" spans="1:15" s="3" customFormat="1" ht="13.2">
      <c r="A731" s="520"/>
      <c r="O731" s="107"/>
    </row>
    <row r="732" spans="1:15" s="3" customFormat="1" ht="13.2">
      <c r="A732" s="520"/>
      <c r="O732" s="107"/>
    </row>
    <row r="733" spans="1:15" s="3" customFormat="1" ht="13.2">
      <c r="A733" s="520"/>
      <c r="O733" s="107"/>
    </row>
    <row r="734" spans="1:15" s="3" customFormat="1" ht="13.2">
      <c r="A734" s="520"/>
      <c r="O734" s="107"/>
    </row>
    <row r="735" spans="1:15" s="3" customFormat="1" ht="13.2">
      <c r="A735" s="520"/>
      <c r="O735" s="107"/>
    </row>
    <row r="736" spans="1:15" s="3" customFormat="1" ht="13.2">
      <c r="A736" s="520"/>
      <c r="O736" s="107"/>
    </row>
    <row r="737" spans="1:15" s="3" customFormat="1" ht="13.2">
      <c r="A737" s="520"/>
      <c r="O737" s="107"/>
    </row>
    <row r="738" spans="1:15" s="3" customFormat="1" ht="13.2">
      <c r="A738" s="520"/>
      <c r="O738" s="107"/>
    </row>
    <row r="739" spans="1:15" s="3" customFormat="1" ht="13.2">
      <c r="A739" s="520"/>
      <c r="O739" s="107"/>
    </row>
    <row r="740" spans="1:15" s="3" customFormat="1" ht="13.2">
      <c r="A740" s="520"/>
      <c r="O740" s="107"/>
    </row>
    <row r="741" spans="1:15" s="3" customFormat="1" ht="13.2">
      <c r="A741" s="520"/>
      <c r="O741" s="107"/>
    </row>
    <row r="742" spans="1:15" s="3" customFormat="1" ht="13.2">
      <c r="A742" s="520"/>
      <c r="O742" s="107"/>
    </row>
    <row r="743" spans="1:15" s="3" customFormat="1" ht="13.2">
      <c r="A743" s="520"/>
      <c r="O743" s="107"/>
    </row>
    <row r="744" spans="1:15" s="3" customFormat="1" ht="13.2">
      <c r="A744" s="520"/>
      <c r="O744" s="107"/>
    </row>
    <row r="745" spans="1:15" s="3" customFormat="1" ht="13.2">
      <c r="A745" s="520"/>
      <c r="O745" s="107"/>
    </row>
    <row r="746" spans="1:15" s="3" customFormat="1" ht="13.2">
      <c r="A746" s="520"/>
      <c r="O746" s="107"/>
    </row>
    <row r="747" spans="1:15" s="3" customFormat="1" ht="13.2">
      <c r="A747" s="520"/>
      <c r="O747" s="107"/>
    </row>
    <row r="748" spans="1:15" s="3" customFormat="1" ht="13.2">
      <c r="A748" s="520"/>
      <c r="O748" s="107"/>
    </row>
    <row r="749" spans="1:15" s="3" customFormat="1" ht="13.2">
      <c r="A749" s="520"/>
      <c r="O749" s="107"/>
    </row>
    <row r="750" spans="1:15" s="3" customFormat="1" ht="13.2">
      <c r="A750" s="520"/>
      <c r="O750" s="107"/>
    </row>
    <row r="751" spans="1:15" s="3" customFormat="1" ht="13.2">
      <c r="A751" s="520"/>
      <c r="O751" s="107"/>
    </row>
    <row r="752" spans="1:15" s="3" customFormat="1" ht="13.2">
      <c r="A752" s="520"/>
      <c r="O752" s="107"/>
    </row>
    <row r="753" spans="1:15" s="3" customFormat="1" ht="13.2">
      <c r="A753" s="520"/>
      <c r="O753" s="107"/>
    </row>
    <row r="754" spans="1:15" s="3" customFormat="1" ht="13.2">
      <c r="A754" s="520"/>
      <c r="O754" s="107"/>
    </row>
    <row r="755" spans="1:15" s="3" customFormat="1" ht="13.2">
      <c r="A755" s="520"/>
      <c r="O755" s="107"/>
    </row>
    <row r="756" spans="1:15" s="3" customFormat="1" ht="13.2">
      <c r="A756" s="520"/>
      <c r="O756" s="107"/>
    </row>
    <row r="757" spans="1:15" s="3" customFormat="1" ht="13.2">
      <c r="A757" s="520"/>
      <c r="O757" s="107"/>
    </row>
    <row r="758" spans="1:15" s="3" customFormat="1" ht="13.2">
      <c r="A758" s="520"/>
      <c r="O758" s="107"/>
    </row>
    <row r="759" spans="1:15" s="3" customFormat="1" ht="13.2">
      <c r="A759" s="520"/>
      <c r="O759" s="107"/>
    </row>
    <row r="760" spans="1:15" s="3" customFormat="1" ht="13.2">
      <c r="A760" s="520"/>
      <c r="O760" s="107"/>
    </row>
    <row r="761" spans="1:15" s="3" customFormat="1" ht="13.2">
      <c r="A761" s="520"/>
      <c r="O761" s="107"/>
    </row>
    <row r="762" spans="1:15" s="3" customFormat="1" ht="13.2">
      <c r="A762" s="520"/>
      <c r="O762" s="107"/>
    </row>
    <row r="763" spans="1:15" s="3" customFormat="1" ht="13.2">
      <c r="A763" s="520"/>
      <c r="O763" s="107"/>
    </row>
    <row r="764" spans="1:15" s="3" customFormat="1" ht="13.2">
      <c r="A764" s="520"/>
      <c r="O764" s="107"/>
    </row>
    <row r="765" spans="1:15" s="3" customFormat="1" ht="13.2">
      <c r="A765" s="520"/>
      <c r="O765" s="107"/>
    </row>
    <row r="766" spans="1:15" s="3" customFormat="1" ht="13.2">
      <c r="A766" s="520"/>
      <c r="O766" s="107"/>
    </row>
    <row r="767" spans="1:15" s="3" customFormat="1" ht="13.2">
      <c r="A767" s="520"/>
      <c r="O767" s="107"/>
    </row>
    <row r="768" spans="1:15" s="3" customFormat="1" ht="13.2">
      <c r="A768" s="520"/>
      <c r="O768" s="107"/>
    </row>
    <row r="769" spans="1:15" s="3" customFormat="1" ht="13.2">
      <c r="A769" s="520"/>
      <c r="O769" s="107"/>
    </row>
    <row r="770" spans="1:15" s="3" customFormat="1" ht="13.2">
      <c r="A770" s="520"/>
      <c r="O770" s="107"/>
    </row>
    <row r="771" spans="1:15" s="3" customFormat="1" ht="13.2">
      <c r="A771" s="520"/>
      <c r="O771" s="107"/>
    </row>
    <row r="772" spans="1:15" s="3" customFormat="1" ht="13.2">
      <c r="A772" s="520"/>
      <c r="O772" s="107"/>
    </row>
    <row r="773" spans="1:15" s="3" customFormat="1" ht="13.2">
      <c r="A773" s="520"/>
      <c r="O773" s="107"/>
    </row>
    <row r="774" spans="1:15" s="3" customFormat="1" ht="13.2">
      <c r="A774" s="520"/>
      <c r="O774" s="107"/>
    </row>
    <row r="775" spans="1:15" s="3" customFormat="1" ht="13.2">
      <c r="A775" s="520"/>
      <c r="O775" s="107"/>
    </row>
    <row r="776" spans="1:15" s="3" customFormat="1" ht="13.2">
      <c r="A776" s="520"/>
      <c r="O776" s="107"/>
    </row>
    <row r="777" spans="1:15" s="3" customFormat="1" ht="13.2">
      <c r="A777" s="520"/>
      <c r="O777" s="107"/>
    </row>
    <row r="778" spans="1:15" s="3" customFormat="1" ht="13.2">
      <c r="A778" s="520"/>
      <c r="O778" s="107"/>
    </row>
    <row r="779" spans="1:15" s="3" customFormat="1" ht="13.2">
      <c r="A779" s="520"/>
      <c r="O779" s="107"/>
    </row>
    <row r="780" spans="1:15" s="3" customFormat="1" ht="13.2">
      <c r="A780" s="520"/>
      <c r="O780" s="107"/>
    </row>
    <row r="781" spans="1:15" s="3" customFormat="1" ht="13.2">
      <c r="A781" s="520"/>
      <c r="O781" s="107"/>
    </row>
    <row r="782" spans="1:15" s="3" customFormat="1" ht="13.2">
      <c r="A782" s="520"/>
      <c r="O782" s="107"/>
    </row>
    <row r="783" spans="1:15" s="3" customFormat="1" ht="13.2">
      <c r="A783" s="520"/>
      <c r="O783" s="107"/>
    </row>
    <row r="784" spans="1:15" s="3" customFormat="1" ht="13.2">
      <c r="A784" s="520"/>
      <c r="O784" s="107"/>
    </row>
    <row r="785" spans="1:15" s="3" customFormat="1" ht="13.2">
      <c r="A785" s="520"/>
      <c r="O785" s="107"/>
    </row>
    <row r="786" spans="1:15" s="3" customFormat="1" ht="13.2">
      <c r="A786" s="520"/>
      <c r="O786" s="107"/>
    </row>
    <row r="787" spans="1:15" s="3" customFormat="1" ht="13.2">
      <c r="A787" s="520"/>
      <c r="O787" s="107"/>
    </row>
    <row r="788" spans="1:15" s="3" customFormat="1" ht="13.2">
      <c r="A788" s="520"/>
      <c r="O788" s="107"/>
    </row>
    <row r="789" spans="1:15" s="3" customFormat="1" ht="13.2">
      <c r="A789" s="520"/>
      <c r="O789" s="107"/>
    </row>
    <row r="790" spans="1:15" s="3" customFormat="1" ht="13.2">
      <c r="A790" s="520"/>
      <c r="O790" s="107"/>
    </row>
    <row r="791" spans="1:15" s="3" customFormat="1" ht="13.2">
      <c r="A791" s="520"/>
      <c r="O791" s="107"/>
    </row>
    <row r="792" spans="1:15" s="3" customFormat="1" ht="13.2">
      <c r="A792" s="520"/>
      <c r="O792" s="107"/>
    </row>
    <row r="793" spans="1:15" s="3" customFormat="1" ht="13.2">
      <c r="A793" s="520"/>
      <c r="O793" s="107"/>
    </row>
    <row r="794" spans="1:15" s="3" customFormat="1" ht="13.2">
      <c r="A794" s="520"/>
      <c r="O794" s="107"/>
    </row>
    <row r="795" spans="1:15" s="3" customFormat="1" ht="13.2">
      <c r="A795" s="520"/>
      <c r="O795" s="107"/>
    </row>
    <row r="796" spans="1:15" s="3" customFormat="1" ht="13.2">
      <c r="A796" s="520"/>
      <c r="O796" s="107"/>
    </row>
    <row r="797" spans="1:15" s="3" customFormat="1" ht="13.2">
      <c r="A797" s="520"/>
      <c r="O797" s="107"/>
    </row>
    <row r="798" spans="1:15" s="3" customFormat="1" ht="13.2">
      <c r="A798" s="520"/>
      <c r="O798" s="107"/>
    </row>
    <row r="799" spans="1:15" s="3" customFormat="1" ht="13.2">
      <c r="A799" s="520"/>
      <c r="O799" s="107"/>
    </row>
    <row r="800" spans="1:15" s="3" customFormat="1" ht="13.2">
      <c r="A800" s="520"/>
      <c r="O800" s="107"/>
    </row>
    <row r="801" spans="1:15" s="3" customFormat="1" ht="13.2">
      <c r="A801" s="520"/>
      <c r="O801" s="107"/>
    </row>
    <row r="802" spans="1:15" s="3" customFormat="1" ht="13.2">
      <c r="A802" s="520"/>
      <c r="O802" s="107"/>
    </row>
    <row r="803" spans="1:15" s="3" customFormat="1" ht="13.2">
      <c r="A803" s="520"/>
      <c r="O803" s="107"/>
    </row>
    <row r="804" spans="1:15" s="3" customFormat="1" ht="13.2">
      <c r="A804" s="520"/>
      <c r="O804" s="107"/>
    </row>
    <row r="805" spans="1:15" s="3" customFormat="1" ht="13.2">
      <c r="A805" s="520"/>
      <c r="O805" s="107"/>
    </row>
    <row r="806" spans="1:15" s="3" customFormat="1" ht="13.2">
      <c r="A806" s="520"/>
      <c r="O806" s="107"/>
    </row>
    <row r="807" spans="1:15" s="3" customFormat="1" ht="13.2">
      <c r="A807" s="520"/>
      <c r="O807" s="107"/>
    </row>
    <row r="808" spans="1:15" s="3" customFormat="1" ht="13.2">
      <c r="A808" s="520"/>
      <c r="O808" s="107"/>
    </row>
    <row r="809" spans="1:15" s="3" customFormat="1" ht="13.2">
      <c r="A809" s="520"/>
      <c r="O809" s="107"/>
    </row>
    <row r="810" spans="1:15" s="3" customFormat="1" ht="13.2">
      <c r="A810" s="520"/>
      <c r="O810" s="107"/>
    </row>
    <row r="811" spans="1:15" s="3" customFormat="1" ht="13.2">
      <c r="A811" s="520"/>
      <c r="O811" s="107"/>
    </row>
    <row r="812" spans="1:15" s="3" customFormat="1" ht="13.2">
      <c r="A812" s="520"/>
      <c r="O812" s="107"/>
    </row>
    <row r="813" spans="1:15" s="3" customFormat="1" ht="13.2">
      <c r="A813" s="520"/>
      <c r="O813" s="107"/>
    </row>
    <row r="814" spans="1:15" s="3" customFormat="1" ht="13.2">
      <c r="A814" s="520"/>
      <c r="O814" s="107"/>
    </row>
    <row r="815" spans="1:15" s="3" customFormat="1" ht="13.2">
      <c r="A815" s="520"/>
      <c r="O815" s="107"/>
    </row>
    <row r="816" spans="1:15" s="3" customFormat="1" ht="13.2">
      <c r="A816" s="520"/>
      <c r="O816" s="107"/>
    </row>
    <row r="817" spans="1:15" s="3" customFormat="1" ht="13.2">
      <c r="A817" s="520"/>
      <c r="O817" s="107"/>
    </row>
    <row r="818" spans="1:15" s="3" customFormat="1" ht="13.2">
      <c r="A818" s="520"/>
      <c r="O818" s="107"/>
    </row>
    <row r="819" spans="1:15" s="3" customFormat="1" ht="13.2">
      <c r="A819" s="520"/>
      <c r="O819" s="107"/>
    </row>
    <row r="820" spans="1:15" s="3" customFormat="1" ht="13.2">
      <c r="A820" s="520"/>
      <c r="O820" s="107"/>
    </row>
    <row r="821" spans="1:15" s="3" customFormat="1" ht="13.2">
      <c r="A821" s="520"/>
      <c r="O821" s="107"/>
    </row>
    <row r="822" spans="1:15" s="3" customFormat="1" ht="13.2">
      <c r="A822" s="520"/>
      <c r="O822" s="107"/>
    </row>
    <row r="823" spans="1:15" s="3" customFormat="1" ht="13.2">
      <c r="A823" s="520"/>
      <c r="O823" s="107"/>
    </row>
    <row r="824" spans="1:15" s="3" customFormat="1" ht="13.2">
      <c r="A824" s="520"/>
      <c r="O824" s="107"/>
    </row>
    <row r="825" spans="1:15" s="3" customFormat="1" ht="13.2">
      <c r="A825" s="520"/>
      <c r="O825" s="107"/>
    </row>
    <row r="826" spans="1:15" s="3" customFormat="1" ht="13.2">
      <c r="A826" s="520"/>
      <c r="O826" s="107"/>
    </row>
    <row r="827" spans="1:15" s="3" customFormat="1" ht="13.2">
      <c r="A827" s="520"/>
      <c r="O827" s="107"/>
    </row>
    <row r="828" spans="1:15" s="3" customFormat="1" ht="13.2">
      <c r="A828" s="520"/>
      <c r="O828" s="107"/>
    </row>
    <row r="829" spans="1:15" s="3" customFormat="1" ht="13.2">
      <c r="A829" s="520"/>
      <c r="O829" s="107"/>
    </row>
    <row r="830" spans="1:15" s="3" customFormat="1" ht="13.2">
      <c r="A830" s="520"/>
      <c r="O830" s="107"/>
    </row>
    <row r="831" spans="1:15" s="3" customFormat="1" ht="13.2">
      <c r="A831" s="520"/>
      <c r="O831" s="107"/>
    </row>
    <row r="832" spans="1:15" s="3" customFormat="1" ht="13.2">
      <c r="A832" s="520"/>
      <c r="O832" s="107"/>
    </row>
    <row r="833" spans="1:15" s="3" customFormat="1" ht="13.2">
      <c r="A833" s="520"/>
      <c r="O833" s="107"/>
    </row>
    <row r="834" spans="1:15" s="3" customFormat="1" ht="13.2">
      <c r="A834" s="520"/>
      <c r="O834" s="107"/>
    </row>
    <row r="835" spans="1:15" s="3" customFormat="1" ht="13.2">
      <c r="A835" s="520"/>
      <c r="O835" s="107"/>
    </row>
    <row r="836" spans="1:15" s="3" customFormat="1" ht="13.2">
      <c r="A836" s="520"/>
      <c r="O836" s="107"/>
    </row>
    <row r="837" spans="1:15" s="3" customFormat="1" ht="13.2">
      <c r="A837" s="520"/>
      <c r="O837" s="107"/>
    </row>
    <row r="838" spans="1:15" s="3" customFormat="1" ht="13.2">
      <c r="A838" s="520"/>
      <c r="O838" s="107"/>
    </row>
    <row r="839" spans="1:15" s="3" customFormat="1" ht="13.2">
      <c r="A839" s="520"/>
      <c r="O839" s="107"/>
    </row>
    <row r="840" spans="1:15" s="3" customFormat="1" ht="13.2">
      <c r="A840" s="520"/>
      <c r="O840" s="107"/>
    </row>
    <row r="841" spans="1:15" s="3" customFormat="1" ht="13.2">
      <c r="A841" s="520"/>
      <c r="O841" s="107"/>
    </row>
    <row r="842" spans="1:15" s="3" customFormat="1" ht="13.2">
      <c r="A842" s="520"/>
      <c r="O842" s="107"/>
    </row>
    <row r="843" spans="1:15" s="3" customFormat="1" ht="13.2">
      <c r="A843" s="520"/>
      <c r="O843" s="107"/>
    </row>
    <row r="844" spans="1:15" s="3" customFormat="1" ht="13.2">
      <c r="A844" s="520"/>
      <c r="O844" s="107"/>
    </row>
    <row r="845" spans="1:15" s="3" customFormat="1" ht="13.2">
      <c r="A845" s="520"/>
      <c r="O845" s="107"/>
    </row>
    <row r="846" spans="1:15" s="3" customFormat="1" ht="13.2">
      <c r="A846" s="520"/>
      <c r="O846" s="107"/>
    </row>
    <row r="847" spans="1:15" s="3" customFormat="1" ht="13.2">
      <c r="A847" s="520"/>
      <c r="O847" s="107"/>
    </row>
    <row r="848" spans="1:15" s="3" customFormat="1" ht="13.2">
      <c r="A848" s="520"/>
      <c r="O848" s="107"/>
    </row>
    <row r="849" spans="1:15" s="3" customFormat="1" ht="13.2">
      <c r="A849" s="520"/>
      <c r="O849" s="107"/>
    </row>
    <row r="850" spans="1:15" s="3" customFormat="1" ht="13.2">
      <c r="A850" s="520"/>
      <c r="O850" s="107"/>
    </row>
    <row r="851" spans="1:15" s="3" customFormat="1" ht="13.2">
      <c r="A851" s="520"/>
      <c r="O851" s="107"/>
    </row>
    <row r="852" spans="1:15" s="3" customFormat="1" ht="13.2">
      <c r="A852" s="520"/>
      <c r="O852" s="107"/>
    </row>
    <row r="853" spans="1:15" s="3" customFormat="1" ht="13.2">
      <c r="A853" s="520"/>
      <c r="O853" s="107"/>
    </row>
    <row r="854" spans="1:15" s="3" customFormat="1" ht="13.2">
      <c r="A854" s="520"/>
      <c r="O854" s="107"/>
    </row>
    <row r="855" spans="1:15" s="3" customFormat="1" ht="13.2">
      <c r="A855" s="520"/>
      <c r="O855" s="107"/>
    </row>
    <row r="856" spans="1:15" s="3" customFormat="1" ht="13.2">
      <c r="A856" s="520"/>
      <c r="O856" s="107"/>
    </row>
    <row r="857" spans="1:15" s="3" customFormat="1" ht="13.2">
      <c r="A857" s="520"/>
      <c r="O857" s="107"/>
    </row>
    <row r="858" spans="1:15" s="3" customFormat="1" ht="13.2">
      <c r="A858" s="520"/>
      <c r="O858" s="107"/>
    </row>
    <row r="859" spans="1:15" s="3" customFormat="1" ht="13.2">
      <c r="A859" s="520"/>
      <c r="O859" s="107"/>
    </row>
    <row r="860" spans="1:15" s="3" customFormat="1" ht="13.2">
      <c r="A860" s="520"/>
      <c r="O860" s="107"/>
    </row>
    <row r="861" spans="1:15" s="3" customFormat="1" ht="13.2">
      <c r="A861" s="520"/>
      <c r="O861" s="107"/>
    </row>
    <row r="862" spans="1:15" s="3" customFormat="1" ht="13.2">
      <c r="A862" s="520"/>
      <c r="O862" s="107"/>
    </row>
    <row r="863" spans="1:15" s="3" customFormat="1" ht="13.2">
      <c r="A863" s="520"/>
      <c r="O863" s="107"/>
    </row>
    <row r="864" spans="1:15" s="3" customFormat="1" ht="13.2">
      <c r="A864" s="520"/>
      <c r="O864" s="107"/>
    </row>
    <row r="865" spans="1:15" s="3" customFormat="1" ht="13.2">
      <c r="A865" s="520"/>
      <c r="O865" s="107"/>
    </row>
    <row r="866" spans="1:15" s="3" customFormat="1" ht="13.2">
      <c r="A866" s="520"/>
      <c r="O866" s="107"/>
    </row>
    <row r="867" spans="1:15" s="3" customFormat="1" ht="13.2">
      <c r="A867" s="520"/>
      <c r="O867" s="107"/>
    </row>
    <row r="868" spans="1:15" s="3" customFormat="1" ht="13.2">
      <c r="A868" s="520"/>
      <c r="O868" s="107"/>
    </row>
    <row r="869" spans="1:15" s="3" customFormat="1" ht="13.2">
      <c r="A869" s="520"/>
      <c r="O869" s="107"/>
    </row>
    <row r="870" spans="1:15" s="3" customFormat="1" ht="13.2">
      <c r="A870" s="520"/>
      <c r="O870" s="107"/>
    </row>
    <row r="871" spans="1:15" s="3" customFormat="1" ht="13.2">
      <c r="A871" s="520"/>
      <c r="O871" s="107"/>
    </row>
    <row r="872" spans="1:15" s="3" customFormat="1" ht="13.2">
      <c r="A872" s="520"/>
      <c r="O872" s="107"/>
    </row>
    <row r="873" spans="1:15" s="3" customFormat="1" ht="13.2">
      <c r="A873" s="520"/>
      <c r="O873" s="107"/>
    </row>
    <row r="874" spans="1:15" s="3" customFormat="1" ht="13.2">
      <c r="A874" s="520"/>
      <c r="O874" s="107"/>
    </row>
    <row r="875" spans="1:15" s="3" customFormat="1" ht="13.2">
      <c r="A875" s="520"/>
      <c r="O875" s="107"/>
    </row>
    <row r="876" spans="1:15" s="3" customFormat="1" ht="13.2">
      <c r="A876" s="520"/>
      <c r="O876" s="107"/>
    </row>
    <row r="877" spans="1:15" s="3" customFormat="1" ht="13.2">
      <c r="A877" s="520"/>
      <c r="O877" s="107"/>
    </row>
    <row r="878" spans="1:15" s="3" customFormat="1" ht="13.2">
      <c r="A878" s="520"/>
      <c r="O878" s="107"/>
    </row>
    <row r="879" spans="1:15" s="3" customFormat="1" ht="13.2">
      <c r="A879" s="520"/>
      <c r="O879" s="107"/>
    </row>
    <row r="880" spans="1:15" s="3" customFormat="1" ht="13.2">
      <c r="A880" s="520"/>
      <c r="O880" s="107"/>
    </row>
    <row r="881" spans="1:15" s="3" customFormat="1" ht="13.2">
      <c r="A881" s="520"/>
      <c r="O881" s="107"/>
    </row>
    <row r="882" spans="1:15" s="3" customFormat="1" ht="13.2">
      <c r="A882" s="520"/>
      <c r="O882" s="107"/>
    </row>
    <row r="883" spans="1:15" s="3" customFormat="1" ht="13.2">
      <c r="A883" s="520"/>
      <c r="O883" s="107"/>
    </row>
    <row r="884" spans="1:15" s="3" customFormat="1" ht="13.2">
      <c r="A884" s="520"/>
      <c r="O884" s="107"/>
    </row>
    <row r="885" spans="1:15" s="3" customFormat="1" ht="13.2">
      <c r="A885" s="520"/>
      <c r="O885" s="107"/>
    </row>
    <row r="886" spans="1:15" s="3" customFormat="1" ht="13.2">
      <c r="A886" s="520"/>
      <c r="O886" s="107"/>
    </row>
    <row r="887" spans="1:15" s="3" customFormat="1" ht="13.2">
      <c r="A887" s="520"/>
      <c r="O887" s="107"/>
    </row>
    <row r="888" spans="1:15" s="3" customFormat="1" ht="13.2">
      <c r="A888" s="520"/>
      <c r="O888" s="107"/>
    </row>
    <row r="889" spans="1:15" s="3" customFormat="1" ht="13.2">
      <c r="A889" s="520"/>
      <c r="O889" s="107"/>
    </row>
    <row r="890" spans="1:15" s="3" customFormat="1" ht="13.2">
      <c r="A890" s="520"/>
      <c r="O890" s="107"/>
    </row>
    <row r="891" spans="1:15" s="3" customFormat="1" ht="13.2">
      <c r="A891" s="520"/>
      <c r="O891" s="107"/>
    </row>
    <row r="892" spans="1:15" s="3" customFormat="1" ht="13.2">
      <c r="A892" s="520"/>
      <c r="O892" s="107"/>
    </row>
    <row r="893" spans="1:15" s="3" customFormat="1" ht="13.2">
      <c r="A893" s="520"/>
      <c r="O893" s="107"/>
    </row>
    <row r="894" spans="1:15" s="3" customFormat="1" ht="13.2">
      <c r="A894" s="520"/>
      <c r="O894" s="107"/>
    </row>
    <row r="895" spans="1:15" s="3" customFormat="1" ht="13.2">
      <c r="A895" s="520"/>
      <c r="O895" s="107"/>
    </row>
    <row r="896" spans="1:15" s="3" customFormat="1" ht="13.2">
      <c r="A896" s="520"/>
      <c r="O896" s="107"/>
    </row>
    <row r="897" spans="1:15" s="3" customFormat="1" ht="13.2">
      <c r="A897" s="520"/>
      <c r="O897" s="107"/>
    </row>
    <row r="898" spans="1:15" s="3" customFormat="1" ht="13.2">
      <c r="A898" s="520"/>
      <c r="O898" s="107"/>
    </row>
    <row r="899" spans="1:15" s="3" customFormat="1" ht="13.2">
      <c r="A899" s="520"/>
      <c r="O899" s="107"/>
    </row>
    <row r="900" spans="1:15" s="3" customFormat="1" ht="13.2">
      <c r="A900" s="520"/>
      <c r="O900" s="107"/>
    </row>
    <row r="901" spans="1:15" s="3" customFormat="1" ht="13.2">
      <c r="A901" s="520"/>
      <c r="O901" s="107"/>
    </row>
    <row r="902" spans="1:15" s="3" customFormat="1" ht="13.2">
      <c r="A902" s="520"/>
      <c r="O902" s="107"/>
    </row>
    <row r="903" spans="1:15" s="3" customFormat="1" ht="13.2">
      <c r="A903" s="520"/>
      <c r="O903" s="107"/>
    </row>
    <row r="904" spans="1:15" s="3" customFormat="1" ht="13.2">
      <c r="A904" s="520"/>
      <c r="O904" s="107"/>
    </row>
    <row r="905" spans="1:15" s="3" customFormat="1" ht="13.2">
      <c r="A905" s="520"/>
      <c r="O905" s="107"/>
    </row>
    <row r="906" spans="1:15" s="3" customFormat="1" ht="13.2">
      <c r="A906" s="520"/>
      <c r="O906" s="107"/>
    </row>
    <row r="907" spans="1:15" s="3" customFormat="1" ht="13.2">
      <c r="A907" s="520"/>
      <c r="O907" s="107"/>
    </row>
    <row r="908" spans="1:15" s="3" customFormat="1" ht="13.2">
      <c r="A908" s="520"/>
      <c r="O908" s="107"/>
    </row>
    <row r="909" spans="1:15" s="3" customFormat="1" ht="13.2">
      <c r="A909" s="520"/>
      <c r="O909" s="107"/>
    </row>
    <row r="910" spans="1:15" s="3" customFormat="1" ht="13.2">
      <c r="A910" s="520"/>
      <c r="O910" s="107"/>
    </row>
    <row r="911" spans="1:15" s="3" customFormat="1" ht="13.2">
      <c r="A911" s="520"/>
      <c r="O911" s="107"/>
    </row>
    <row r="912" spans="1:15" s="3" customFormat="1" ht="13.2">
      <c r="A912" s="520"/>
      <c r="O912" s="107"/>
    </row>
    <row r="913" spans="1:15" s="3" customFormat="1" ht="13.2">
      <c r="A913" s="520"/>
      <c r="O913" s="107"/>
    </row>
    <row r="914" spans="1:15" s="3" customFormat="1" ht="13.2">
      <c r="A914" s="520"/>
      <c r="O914" s="107"/>
    </row>
    <row r="915" spans="1:15" s="3" customFormat="1" ht="13.2">
      <c r="A915" s="520"/>
      <c r="O915" s="107"/>
    </row>
    <row r="916" spans="1:15" s="3" customFormat="1" ht="13.2">
      <c r="A916" s="520"/>
      <c r="O916" s="107"/>
    </row>
    <row r="917" spans="1:15" s="3" customFormat="1" ht="13.2">
      <c r="A917" s="520"/>
      <c r="O917" s="107"/>
    </row>
    <row r="918" spans="1:15" s="3" customFormat="1" ht="13.2">
      <c r="A918" s="520"/>
      <c r="O918" s="107"/>
    </row>
    <row r="919" spans="1:15" s="3" customFormat="1" ht="13.2">
      <c r="A919" s="520"/>
      <c r="O919" s="107"/>
    </row>
    <row r="920" spans="1:15" s="3" customFormat="1" ht="13.2">
      <c r="A920" s="520"/>
      <c r="O920" s="107"/>
    </row>
    <row r="921" spans="1:15" s="3" customFormat="1" ht="13.2">
      <c r="A921" s="520"/>
      <c r="O921" s="107"/>
    </row>
    <row r="922" spans="1:15" s="3" customFormat="1" ht="13.2">
      <c r="A922" s="520"/>
      <c r="O922" s="107"/>
    </row>
    <row r="923" spans="1:15" s="3" customFormat="1" ht="13.2">
      <c r="A923" s="520"/>
      <c r="O923" s="107"/>
    </row>
    <row r="924" spans="1:15" s="3" customFormat="1" ht="13.2">
      <c r="A924" s="520"/>
      <c r="O924" s="107"/>
    </row>
    <row r="925" spans="1:15" s="3" customFormat="1" ht="13.2">
      <c r="A925" s="520"/>
      <c r="O925" s="107"/>
    </row>
    <row r="926" spans="1:15" s="3" customFormat="1" ht="13.2">
      <c r="A926" s="520"/>
      <c r="O926" s="107"/>
    </row>
    <row r="927" spans="1:15" s="3" customFormat="1" ht="13.2">
      <c r="A927" s="520"/>
      <c r="O927" s="107"/>
    </row>
    <row r="928" spans="1:15" s="3" customFormat="1" ht="13.2">
      <c r="A928" s="520"/>
      <c r="O928" s="107"/>
    </row>
    <row r="929" spans="1:15" s="3" customFormat="1" ht="13.2">
      <c r="A929" s="520"/>
      <c r="O929" s="107"/>
    </row>
    <row r="930" spans="1:15" s="3" customFormat="1" ht="13.2">
      <c r="A930" s="520"/>
      <c r="O930" s="107"/>
    </row>
    <row r="931" spans="1:15" s="3" customFormat="1" ht="13.2">
      <c r="A931" s="520"/>
      <c r="O931" s="107"/>
    </row>
    <row r="932" spans="1:15" s="3" customFormat="1" ht="13.2">
      <c r="A932" s="520"/>
      <c r="O932" s="107"/>
    </row>
    <row r="933" spans="1:15" s="3" customFormat="1" ht="13.2">
      <c r="A933" s="520"/>
      <c r="O933" s="107"/>
    </row>
    <row r="934" spans="1:15" s="3" customFormat="1" ht="13.2">
      <c r="A934" s="520"/>
      <c r="O934" s="107"/>
    </row>
    <row r="935" spans="1:15" s="3" customFormat="1" ht="13.2">
      <c r="A935" s="520"/>
      <c r="O935" s="107"/>
    </row>
    <row r="936" spans="1:15" s="3" customFormat="1" ht="13.2">
      <c r="A936" s="520"/>
      <c r="O936" s="107"/>
    </row>
    <row r="937" spans="1:15" s="3" customFormat="1" ht="13.2">
      <c r="A937" s="520"/>
      <c r="O937" s="107"/>
    </row>
    <row r="938" spans="1:15" s="3" customFormat="1" ht="13.2">
      <c r="A938" s="520"/>
      <c r="O938" s="107"/>
    </row>
    <row r="939" spans="1:15" s="3" customFormat="1" ht="13.2">
      <c r="A939" s="520"/>
      <c r="O939" s="107"/>
    </row>
    <row r="940" spans="1:15" s="3" customFormat="1" ht="13.2">
      <c r="A940" s="520"/>
      <c r="O940" s="107"/>
    </row>
    <row r="941" spans="1:15" s="3" customFormat="1" ht="13.2">
      <c r="A941" s="520"/>
      <c r="O941" s="107"/>
    </row>
    <row r="942" spans="1:15" s="3" customFormat="1" ht="13.2">
      <c r="A942" s="520"/>
      <c r="O942" s="107"/>
    </row>
    <row r="943" spans="1:15" s="3" customFormat="1" ht="13.2">
      <c r="A943" s="520"/>
      <c r="O943" s="107"/>
    </row>
    <row r="944" spans="1:15" s="3" customFormat="1" ht="13.2">
      <c r="A944" s="520"/>
      <c r="O944" s="107"/>
    </row>
    <row r="945" spans="1:15" s="3" customFormat="1" ht="13.2">
      <c r="A945" s="520"/>
      <c r="O945" s="107"/>
    </row>
    <row r="946" spans="1:15" s="3" customFormat="1" ht="13.2">
      <c r="A946" s="520"/>
      <c r="O946" s="107"/>
    </row>
    <row r="947" spans="1:15" s="3" customFormat="1" ht="13.2">
      <c r="A947" s="520"/>
      <c r="O947" s="107"/>
    </row>
    <row r="948" spans="1:15" s="3" customFormat="1" ht="13.2">
      <c r="A948" s="520"/>
      <c r="O948" s="107"/>
    </row>
    <row r="949" spans="1:15" s="3" customFormat="1" ht="13.2">
      <c r="A949" s="520"/>
      <c r="O949" s="107"/>
    </row>
    <row r="950" spans="1:15" s="3" customFormat="1" ht="13.2">
      <c r="A950" s="520"/>
      <c r="O950" s="107"/>
    </row>
    <row r="951" spans="1:15" s="3" customFormat="1" ht="13.2">
      <c r="A951" s="520"/>
      <c r="O951" s="107"/>
    </row>
    <row r="952" spans="1:15" s="3" customFormat="1" ht="13.2">
      <c r="A952" s="520"/>
      <c r="O952" s="107"/>
    </row>
    <row r="953" spans="1:15" s="3" customFormat="1" ht="13.2">
      <c r="A953" s="520"/>
      <c r="O953" s="107"/>
    </row>
    <row r="954" spans="1:15" s="3" customFormat="1" ht="13.2">
      <c r="A954" s="520"/>
      <c r="O954" s="107"/>
    </row>
    <row r="955" spans="1:15" s="3" customFormat="1" ht="13.2">
      <c r="A955" s="520"/>
      <c r="O955" s="107"/>
    </row>
    <row r="956" spans="1:15" s="3" customFormat="1" ht="13.2">
      <c r="A956" s="520"/>
      <c r="O956" s="107"/>
    </row>
    <row r="957" spans="1:15" s="3" customFormat="1" ht="13.2">
      <c r="A957" s="520"/>
      <c r="O957" s="107"/>
    </row>
    <row r="958" spans="1:15" s="3" customFormat="1" ht="13.2">
      <c r="A958" s="520"/>
      <c r="O958" s="107"/>
    </row>
    <row r="959" spans="1:15" s="3" customFormat="1" ht="13.2">
      <c r="A959" s="520"/>
      <c r="O959" s="107"/>
    </row>
    <row r="960" spans="1:15" s="3" customFormat="1" ht="13.2">
      <c r="A960" s="520"/>
      <c r="O960" s="107"/>
    </row>
    <row r="961" spans="1:15" s="3" customFormat="1" ht="13.2">
      <c r="A961" s="520"/>
      <c r="O961" s="107"/>
    </row>
    <row r="962" spans="1:15" s="3" customFormat="1" ht="13.2">
      <c r="A962" s="520"/>
      <c r="O962" s="107"/>
    </row>
    <row r="963" spans="1:15" s="3" customFormat="1" ht="13.2">
      <c r="A963" s="520"/>
      <c r="O963" s="107"/>
    </row>
    <row r="964" spans="1:15" s="3" customFormat="1" ht="13.2">
      <c r="A964" s="520"/>
      <c r="O964" s="107"/>
    </row>
    <row r="965" spans="1:15" s="3" customFormat="1" ht="13.2">
      <c r="A965" s="520"/>
      <c r="O965" s="107"/>
    </row>
    <row r="966" spans="1:15" s="3" customFormat="1" ht="13.2">
      <c r="A966" s="520"/>
      <c r="O966" s="107"/>
    </row>
    <row r="967" spans="1:15" s="3" customFormat="1" ht="13.2">
      <c r="A967" s="520"/>
      <c r="O967" s="107"/>
    </row>
    <row r="968" spans="1:15" s="3" customFormat="1" ht="13.2">
      <c r="A968" s="520"/>
      <c r="O968" s="107"/>
    </row>
    <row r="969" spans="1:15" s="3" customFormat="1" ht="13.2">
      <c r="A969" s="520"/>
      <c r="O969" s="107"/>
    </row>
    <row r="970" spans="1:15" s="3" customFormat="1" ht="13.2">
      <c r="A970" s="520"/>
      <c r="O970" s="107"/>
    </row>
    <row r="971" spans="1:15" s="3" customFormat="1" ht="13.2">
      <c r="A971" s="520"/>
      <c r="O971" s="107"/>
    </row>
    <row r="972" spans="1:15" s="3" customFormat="1" ht="13.2">
      <c r="A972" s="520"/>
      <c r="O972" s="107"/>
    </row>
    <row r="973" spans="1:15" s="3" customFormat="1" ht="13.2">
      <c r="A973" s="520"/>
      <c r="O973" s="107"/>
    </row>
    <row r="974" spans="1:15" s="3" customFormat="1" ht="13.2">
      <c r="A974" s="520"/>
      <c r="O974" s="107"/>
    </row>
    <row r="975" spans="1:15" s="3" customFormat="1" ht="13.2">
      <c r="A975" s="520"/>
      <c r="O975" s="107"/>
    </row>
    <row r="976" spans="1:15" s="3" customFormat="1" ht="13.2">
      <c r="A976" s="520"/>
      <c r="O976" s="107"/>
    </row>
    <row r="977" spans="1:15" s="3" customFormat="1" ht="13.2">
      <c r="A977" s="520"/>
      <c r="O977" s="107"/>
    </row>
    <row r="978" spans="1:15" s="3" customFormat="1" ht="13.2">
      <c r="A978" s="520"/>
      <c r="O978" s="107"/>
    </row>
    <row r="979" spans="1:15" s="3" customFormat="1" ht="13.2">
      <c r="A979" s="520"/>
      <c r="O979" s="107"/>
    </row>
    <row r="980" spans="1:15" s="3" customFormat="1" ht="13.2">
      <c r="A980" s="520"/>
      <c r="O980" s="107"/>
    </row>
    <row r="981" spans="1:15" s="3" customFormat="1" ht="13.2">
      <c r="A981" s="520"/>
      <c r="O981" s="107"/>
    </row>
    <row r="982" spans="1:15" s="3" customFormat="1" ht="13.2">
      <c r="A982" s="520"/>
      <c r="O982" s="107"/>
    </row>
    <row r="983" spans="1:15" s="3" customFormat="1" ht="13.2">
      <c r="A983" s="520"/>
      <c r="O983" s="107"/>
    </row>
    <row r="984" spans="1:15" s="3" customFormat="1" ht="13.2">
      <c r="A984" s="520"/>
      <c r="O984" s="107"/>
    </row>
    <row r="985" spans="1:15" s="3" customFormat="1" ht="13.2">
      <c r="A985" s="520"/>
      <c r="O985" s="107"/>
    </row>
    <row r="986" spans="1:15" s="3" customFormat="1" ht="13.2">
      <c r="A986" s="520"/>
      <c r="O986" s="107"/>
    </row>
    <row r="987" spans="1:15" s="3" customFormat="1" ht="13.2">
      <c r="A987" s="520"/>
      <c r="O987" s="107"/>
    </row>
    <row r="988" spans="1:15" s="3" customFormat="1" ht="13.2">
      <c r="A988" s="520"/>
      <c r="O988" s="107"/>
    </row>
    <row r="989" spans="1:15" s="3" customFormat="1" ht="13.2">
      <c r="A989" s="520"/>
      <c r="O989" s="107"/>
    </row>
    <row r="990" spans="1:15" s="3" customFormat="1" ht="13.2">
      <c r="A990" s="520"/>
      <c r="O990" s="107"/>
    </row>
    <row r="991" spans="1:15" s="3" customFormat="1" ht="13.2">
      <c r="A991" s="520"/>
      <c r="O991" s="107"/>
    </row>
    <row r="992" spans="1:15" s="3" customFormat="1" ht="13.2">
      <c r="A992" s="520"/>
      <c r="O992" s="107"/>
    </row>
    <row r="993" spans="1:15" s="3" customFormat="1" ht="13.2">
      <c r="A993" s="520"/>
      <c r="O993" s="107"/>
    </row>
    <row r="994" spans="1:15" s="3" customFormat="1" ht="13.2">
      <c r="A994" s="520"/>
      <c r="O994" s="107"/>
    </row>
    <row r="995" spans="1:15" s="3" customFormat="1" ht="13.2">
      <c r="A995" s="520"/>
      <c r="O995" s="107"/>
    </row>
    <row r="996" spans="1:15" s="3" customFormat="1" ht="13.2">
      <c r="A996" s="520"/>
      <c r="O996" s="107"/>
    </row>
    <row r="997" spans="1:15" s="3" customFormat="1" ht="13.2">
      <c r="A997" s="520"/>
      <c r="O997" s="107"/>
    </row>
    <row r="998" spans="1:15" s="3" customFormat="1" ht="13.2">
      <c r="A998" s="520"/>
      <c r="O998" s="107"/>
    </row>
    <row r="999" spans="1:15" s="3" customFormat="1" ht="13.2">
      <c r="A999" s="520"/>
      <c r="O999" s="107"/>
    </row>
    <row r="1000" spans="1:15" s="3" customFormat="1" ht="13.2">
      <c r="A1000" s="520"/>
      <c r="O1000" s="107"/>
    </row>
    <row r="1001" spans="1:15" s="3" customFormat="1" ht="13.2">
      <c r="A1001" s="520"/>
      <c r="O1001" s="107"/>
    </row>
    <row r="1002" spans="1:15" s="3" customFormat="1" ht="13.2">
      <c r="A1002" s="520"/>
      <c r="O1002" s="107"/>
    </row>
    <row r="1003" spans="1:15" s="3" customFormat="1" ht="13.2">
      <c r="A1003" s="520"/>
      <c r="O1003" s="107"/>
    </row>
    <row r="1004" spans="1:15" s="3" customFormat="1" ht="13.2">
      <c r="A1004" s="520"/>
      <c r="O1004" s="107"/>
    </row>
    <row r="1005" spans="1:15" s="3" customFormat="1" ht="13.2">
      <c r="A1005" s="520"/>
      <c r="O1005" s="107"/>
    </row>
    <row r="1006" spans="1:15" s="3" customFormat="1" ht="13.2">
      <c r="A1006" s="520"/>
      <c r="O1006" s="107"/>
    </row>
    <row r="1007" spans="1:15" s="3" customFormat="1" ht="13.2">
      <c r="A1007" s="520"/>
      <c r="O1007" s="107"/>
    </row>
    <row r="1008" spans="1:15" s="3" customFormat="1" ht="13.2">
      <c r="A1008" s="520"/>
      <c r="O1008" s="107"/>
    </row>
    <row r="1009" spans="1:15" s="3" customFormat="1" ht="13.2">
      <c r="A1009" s="520"/>
      <c r="O1009" s="107"/>
    </row>
    <row r="1010" spans="1:15" s="3" customFormat="1" ht="13.2">
      <c r="A1010" s="520"/>
      <c r="O1010" s="107"/>
    </row>
    <row r="1011" spans="1:15" s="3" customFormat="1" ht="13.2">
      <c r="A1011" s="520"/>
      <c r="O1011" s="107"/>
    </row>
    <row r="1012" spans="1:15" s="3" customFormat="1" ht="13.2">
      <c r="A1012" s="520"/>
      <c r="O1012" s="107"/>
    </row>
    <row r="1013" spans="1:15" s="3" customFormat="1" ht="13.2">
      <c r="A1013" s="520"/>
      <c r="O1013" s="107"/>
    </row>
    <row r="1014" spans="1:15" s="3" customFormat="1" ht="13.2">
      <c r="A1014" s="520"/>
      <c r="O1014" s="107"/>
    </row>
    <row r="1015" spans="1:15" s="3" customFormat="1" ht="13.2">
      <c r="A1015" s="520"/>
      <c r="O1015" s="107"/>
    </row>
    <row r="1016" spans="1:15" s="3" customFormat="1" ht="13.2">
      <c r="A1016" s="520"/>
      <c r="O1016" s="107"/>
    </row>
    <row r="1017" spans="1:15" s="3" customFormat="1" ht="13.2">
      <c r="A1017" s="520"/>
      <c r="O1017" s="107"/>
    </row>
    <row r="1018" spans="1:15" s="3" customFormat="1" ht="13.2">
      <c r="A1018" s="520"/>
      <c r="O1018" s="107"/>
    </row>
    <row r="1019" spans="1:15" s="3" customFormat="1" ht="13.2">
      <c r="A1019" s="520"/>
      <c r="O1019" s="107"/>
    </row>
    <row r="1020" spans="1:15" s="3" customFormat="1" ht="13.2">
      <c r="A1020" s="520"/>
      <c r="O1020" s="107"/>
    </row>
    <row r="1021" spans="1:15" s="3" customFormat="1" ht="13.2">
      <c r="A1021" s="520"/>
      <c r="O1021" s="107"/>
    </row>
    <row r="1022" spans="1:15" s="3" customFormat="1" ht="13.2">
      <c r="A1022" s="520"/>
      <c r="O1022" s="107"/>
    </row>
    <row r="1023" spans="1:15" s="3" customFormat="1" ht="13.2">
      <c r="A1023" s="520"/>
      <c r="O1023" s="107"/>
    </row>
    <row r="1024" spans="1:15" s="3" customFormat="1" ht="13.2">
      <c r="A1024" s="520"/>
      <c r="O1024" s="107"/>
    </row>
    <row r="1025" spans="1:15" s="3" customFormat="1" ht="13.2">
      <c r="A1025" s="520"/>
      <c r="O1025" s="107"/>
    </row>
    <row r="1026" spans="1:15" s="3" customFormat="1" ht="13.2">
      <c r="A1026" s="520"/>
      <c r="O1026" s="107"/>
    </row>
    <row r="1027" spans="1:15" s="3" customFormat="1" ht="13.2">
      <c r="A1027" s="520"/>
      <c r="O1027" s="107"/>
    </row>
    <row r="1028" spans="1:15" s="3" customFormat="1" ht="13.2">
      <c r="A1028" s="520"/>
      <c r="O1028" s="107"/>
    </row>
    <row r="1029" spans="1:15" s="3" customFormat="1" ht="13.2">
      <c r="A1029" s="520"/>
      <c r="O1029" s="107"/>
    </row>
    <row r="1030" spans="1:15" s="3" customFormat="1" ht="13.2">
      <c r="A1030" s="520"/>
      <c r="O1030" s="107"/>
    </row>
    <row r="1031" spans="1:15" s="3" customFormat="1" ht="13.2">
      <c r="A1031" s="520"/>
      <c r="O1031" s="107"/>
    </row>
    <row r="1032" spans="1:15" s="3" customFormat="1" ht="13.2">
      <c r="A1032" s="520"/>
      <c r="O1032" s="107"/>
    </row>
    <row r="1033" spans="1:15" s="3" customFormat="1" ht="13.2">
      <c r="A1033" s="520"/>
      <c r="O1033" s="107"/>
    </row>
    <row r="1034" spans="1:15" s="3" customFormat="1" ht="13.2">
      <c r="A1034" s="520"/>
      <c r="O1034" s="107"/>
    </row>
    <row r="1035" spans="1:15" s="3" customFormat="1" ht="13.2">
      <c r="A1035" s="520"/>
      <c r="O1035" s="107"/>
    </row>
    <row r="1036" spans="1:15" s="3" customFormat="1" ht="13.2">
      <c r="A1036" s="520"/>
      <c r="O1036" s="107"/>
    </row>
    <row r="1037" spans="1:15" s="3" customFormat="1" ht="13.2">
      <c r="A1037" s="520"/>
      <c r="O1037" s="107"/>
    </row>
    <row r="1038" spans="1:15" s="3" customFormat="1" ht="13.2">
      <c r="A1038" s="520"/>
      <c r="O1038" s="107"/>
    </row>
    <row r="1039" spans="1:15" s="3" customFormat="1" ht="13.2">
      <c r="A1039" s="520"/>
      <c r="O1039" s="107"/>
    </row>
    <row r="1040" spans="1:15" s="3" customFormat="1" ht="13.2">
      <c r="A1040" s="520"/>
      <c r="O1040" s="107"/>
    </row>
    <row r="1041" spans="1:15" s="3" customFormat="1" ht="13.2">
      <c r="A1041" s="520"/>
      <c r="O1041" s="107"/>
    </row>
    <row r="1042" spans="1:15" s="3" customFormat="1" ht="13.2">
      <c r="A1042" s="520"/>
      <c r="O1042" s="107"/>
    </row>
    <row r="1043" spans="1:15" s="3" customFormat="1" ht="13.2">
      <c r="A1043" s="520"/>
      <c r="O1043" s="107"/>
    </row>
    <row r="1044" spans="1:15" s="3" customFormat="1" ht="13.2">
      <c r="A1044" s="520"/>
      <c r="O1044" s="107"/>
    </row>
    <row r="1045" spans="1:15" s="3" customFormat="1" ht="13.2">
      <c r="A1045" s="520"/>
      <c r="O1045" s="107"/>
    </row>
    <row r="1046" spans="1:15" s="3" customFormat="1" ht="13.2">
      <c r="A1046" s="520"/>
      <c r="O1046" s="107"/>
    </row>
    <row r="1047" spans="1:15" s="3" customFormat="1" ht="13.2">
      <c r="A1047" s="520"/>
      <c r="O1047" s="107"/>
    </row>
    <row r="1048" spans="1:15" s="3" customFormat="1" ht="13.2">
      <c r="A1048" s="520"/>
      <c r="O1048" s="107"/>
    </row>
    <row r="1049" spans="1:15" s="3" customFormat="1" ht="13.2">
      <c r="A1049" s="520"/>
      <c r="O1049" s="107"/>
    </row>
    <row r="1050" spans="1:15" s="3" customFormat="1" ht="13.2">
      <c r="A1050" s="520"/>
      <c r="O1050" s="107"/>
    </row>
    <row r="1051" spans="1:15" s="3" customFormat="1" ht="13.2">
      <c r="A1051" s="520"/>
      <c r="O1051" s="107"/>
    </row>
    <row r="1052" spans="1:15" s="3" customFormat="1" ht="13.2">
      <c r="A1052" s="520"/>
      <c r="O1052" s="107"/>
    </row>
    <row r="1053" spans="1:15" s="3" customFormat="1" ht="13.2">
      <c r="A1053" s="520"/>
      <c r="O1053" s="107"/>
    </row>
    <row r="1054" spans="1:15" s="3" customFormat="1" ht="13.2">
      <c r="A1054" s="520"/>
      <c r="O1054" s="107"/>
    </row>
    <row r="1055" spans="1:15" s="3" customFormat="1" ht="13.2">
      <c r="A1055" s="520"/>
      <c r="O1055" s="107"/>
    </row>
    <row r="1056" spans="1:15" s="3" customFormat="1" ht="13.2">
      <c r="A1056" s="520"/>
      <c r="O1056" s="107"/>
    </row>
    <row r="1057" spans="1:15" s="3" customFormat="1" ht="13.2">
      <c r="A1057" s="520"/>
      <c r="O1057" s="107"/>
    </row>
    <row r="1058" spans="1:15" s="3" customFormat="1" ht="13.2">
      <c r="A1058" s="520"/>
      <c r="O1058" s="107"/>
    </row>
    <row r="1059" spans="1:15" s="3" customFormat="1" ht="13.2">
      <c r="A1059" s="520"/>
      <c r="O1059" s="107"/>
    </row>
    <row r="1060" spans="1:15" s="3" customFormat="1" ht="13.2">
      <c r="A1060" s="520"/>
      <c r="O1060" s="107"/>
    </row>
    <row r="1061" spans="1:15" s="3" customFormat="1" ht="13.2">
      <c r="A1061" s="520"/>
      <c r="O1061" s="107"/>
    </row>
    <row r="1062" spans="1:15" s="3" customFormat="1" ht="13.2">
      <c r="A1062" s="520"/>
      <c r="O1062" s="107"/>
    </row>
    <row r="1063" spans="1:15" s="3" customFormat="1" ht="13.2">
      <c r="A1063" s="520"/>
      <c r="O1063" s="107"/>
    </row>
    <row r="1064" spans="1:15" s="3" customFormat="1" ht="13.2">
      <c r="A1064" s="520"/>
      <c r="O1064" s="107"/>
    </row>
    <row r="1065" spans="1:15" s="3" customFormat="1" ht="13.2">
      <c r="A1065" s="520"/>
      <c r="O1065" s="107"/>
    </row>
    <row r="1066" spans="1:15" s="3" customFormat="1" ht="13.2">
      <c r="A1066" s="520"/>
      <c r="O1066" s="107"/>
    </row>
    <row r="1067" spans="1:15" s="3" customFormat="1" ht="13.2">
      <c r="A1067" s="520"/>
      <c r="O1067" s="107"/>
    </row>
    <row r="1068" spans="1:15" s="3" customFormat="1" ht="13.2">
      <c r="A1068" s="520"/>
      <c r="O1068" s="107"/>
    </row>
    <row r="1069" spans="1:15" s="3" customFormat="1" ht="13.2">
      <c r="A1069" s="520"/>
      <c r="O1069" s="107"/>
    </row>
    <row r="1070" spans="1:15" s="3" customFormat="1" ht="13.2">
      <c r="A1070" s="520"/>
      <c r="O1070" s="107"/>
    </row>
    <row r="1071" spans="1:15" s="3" customFormat="1" ht="13.2">
      <c r="A1071" s="520"/>
      <c r="O1071" s="107"/>
    </row>
    <row r="1072" spans="1:15" s="3" customFormat="1" ht="13.2">
      <c r="A1072" s="520"/>
      <c r="O1072" s="107"/>
    </row>
    <row r="1073" spans="1:15" s="3" customFormat="1" ht="13.2">
      <c r="A1073" s="520"/>
      <c r="O1073" s="107"/>
    </row>
    <row r="1074" spans="1:15" s="3" customFormat="1" ht="13.2">
      <c r="A1074" s="520"/>
      <c r="O1074" s="107"/>
    </row>
    <row r="1075" spans="1:15" s="3" customFormat="1" ht="13.2">
      <c r="A1075" s="520"/>
      <c r="O1075" s="107"/>
    </row>
    <row r="1076" spans="1:15" s="3" customFormat="1" ht="13.2">
      <c r="A1076" s="520"/>
      <c r="O1076" s="107"/>
    </row>
    <row r="1077" spans="1:15" s="3" customFormat="1" ht="13.2">
      <c r="A1077" s="520"/>
      <c r="O1077" s="107"/>
    </row>
    <row r="1078" spans="1:15" s="3" customFormat="1" ht="13.2">
      <c r="A1078" s="520"/>
      <c r="O1078" s="107"/>
    </row>
    <row r="1079" spans="1:15" s="3" customFormat="1" ht="13.2">
      <c r="A1079" s="520"/>
      <c r="O1079" s="107"/>
    </row>
    <row r="1080" spans="1:15" s="3" customFormat="1" ht="13.2">
      <c r="A1080" s="520"/>
      <c r="O1080" s="107"/>
    </row>
    <row r="1081" spans="1:15" s="3" customFormat="1" ht="13.2">
      <c r="A1081" s="520"/>
      <c r="O1081" s="107"/>
    </row>
    <row r="1082" spans="1:15" s="3" customFormat="1" ht="13.2">
      <c r="A1082" s="520"/>
      <c r="O1082" s="107"/>
    </row>
    <row r="1083" spans="1:15" s="3" customFormat="1" ht="13.2">
      <c r="A1083" s="520"/>
      <c r="O1083" s="107"/>
    </row>
    <row r="1084" spans="1:15" s="3" customFormat="1" ht="13.2">
      <c r="A1084" s="520"/>
      <c r="O1084" s="107"/>
    </row>
    <row r="1085" spans="1:15" s="3" customFormat="1" ht="13.2">
      <c r="A1085" s="520"/>
      <c r="O1085" s="107"/>
    </row>
    <row r="1086" spans="1:15" s="3" customFormat="1" ht="13.2">
      <c r="A1086" s="520"/>
      <c r="O1086" s="107"/>
    </row>
    <row r="1087" spans="1:15" s="3" customFormat="1" ht="13.2">
      <c r="A1087" s="520"/>
      <c r="O1087" s="107"/>
    </row>
    <row r="1088" spans="1:15" s="3" customFormat="1" ht="13.2">
      <c r="A1088" s="520"/>
      <c r="O1088" s="107"/>
    </row>
    <row r="1089" spans="1:15" s="3" customFormat="1" ht="13.2">
      <c r="A1089" s="520"/>
      <c r="O1089" s="107"/>
    </row>
    <row r="1090" spans="1:15" s="3" customFormat="1" ht="13.2">
      <c r="A1090" s="520"/>
      <c r="O1090" s="107"/>
    </row>
    <row r="1091" spans="1:15" s="3" customFormat="1" ht="13.2">
      <c r="A1091" s="520"/>
      <c r="O1091" s="107"/>
    </row>
    <row r="1092" spans="1:15" s="3" customFormat="1" ht="13.2">
      <c r="A1092" s="520"/>
      <c r="O1092" s="107"/>
    </row>
    <row r="1093" spans="1:15" s="3" customFormat="1" ht="13.2">
      <c r="A1093" s="520"/>
      <c r="O1093" s="107"/>
    </row>
    <row r="1094" spans="1:15" s="3" customFormat="1" ht="13.2">
      <c r="A1094" s="520"/>
      <c r="O1094" s="107"/>
    </row>
    <row r="1095" spans="1:15" s="3" customFormat="1" ht="13.2">
      <c r="A1095" s="520"/>
      <c r="O1095" s="107"/>
    </row>
    <row r="1096" spans="1:15" s="3" customFormat="1" ht="13.2">
      <c r="A1096" s="520"/>
      <c r="O1096" s="107"/>
    </row>
    <row r="1097" spans="1:15" s="3" customFormat="1" ht="13.2">
      <c r="A1097" s="520"/>
      <c r="O1097" s="107"/>
    </row>
    <row r="1098" spans="1:15" s="3" customFormat="1" ht="13.2">
      <c r="A1098" s="520"/>
      <c r="O1098" s="107"/>
    </row>
    <row r="1099" spans="1:15" s="3" customFormat="1" ht="13.2">
      <c r="A1099" s="520"/>
      <c r="O1099" s="107"/>
    </row>
    <row r="1100" spans="1:15" s="3" customFormat="1" ht="13.2">
      <c r="A1100" s="520"/>
      <c r="O1100" s="107"/>
    </row>
    <row r="1101" spans="1:15" s="3" customFormat="1" ht="13.2">
      <c r="A1101" s="520"/>
      <c r="O1101" s="107"/>
    </row>
    <row r="1102" spans="1:15" s="3" customFormat="1" ht="13.2">
      <c r="A1102" s="520"/>
      <c r="O1102" s="107"/>
    </row>
    <row r="1103" spans="1:15" s="3" customFormat="1" ht="13.2">
      <c r="A1103" s="520"/>
      <c r="O1103" s="107"/>
    </row>
    <row r="1104" spans="1:15" s="3" customFormat="1" ht="13.2">
      <c r="A1104" s="520"/>
      <c r="O1104" s="107"/>
    </row>
    <row r="1105" spans="1:15" s="3" customFormat="1" ht="13.2">
      <c r="A1105" s="520"/>
      <c r="O1105" s="107"/>
    </row>
    <row r="1106" spans="1:15" s="3" customFormat="1" ht="13.2">
      <c r="A1106" s="520"/>
      <c r="O1106" s="107"/>
    </row>
    <row r="1107" spans="1:15" s="3" customFormat="1" ht="13.2">
      <c r="A1107" s="520"/>
      <c r="O1107" s="107"/>
    </row>
    <row r="1108" spans="1:15" s="3" customFormat="1" ht="13.2">
      <c r="A1108" s="520"/>
      <c r="O1108" s="107"/>
    </row>
    <row r="1109" spans="1:15" s="3" customFormat="1" ht="13.2">
      <c r="A1109" s="520"/>
      <c r="O1109" s="107"/>
    </row>
    <row r="1110" spans="1:15" s="3" customFormat="1" ht="13.2">
      <c r="A1110" s="520"/>
      <c r="O1110" s="107"/>
    </row>
    <row r="1111" spans="1:15" s="3" customFormat="1" ht="13.2">
      <c r="A1111" s="520"/>
      <c r="O1111" s="107"/>
    </row>
    <row r="1112" spans="1:15" s="3" customFormat="1" ht="13.2">
      <c r="A1112" s="520"/>
      <c r="O1112" s="107"/>
    </row>
    <row r="1113" spans="1:15" s="3" customFormat="1" ht="13.2">
      <c r="A1113" s="520"/>
      <c r="O1113" s="107"/>
    </row>
    <row r="1114" spans="1:15" s="3" customFormat="1" ht="13.2">
      <c r="A1114" s="520"/>
      <c r="O1114" s="107"/>
    </row>
    <row r="1115" spans="1:15" s="3" customFormat="1" ht="13.2">
      <c r="A1115" s="520"/>
      <c r="O1115" s="107"/>
    </row>
    <row r="1116" spans="1:15" s="3" customFormat="1" ht="13.2">
      <c r="A1116" s="520"/>
      <c r="O1116" s="107"/>
    </row>
    <row r="1117" spans="1:15" s="3" customFormat="1" ht="13.2">
      <c r="A1117" s="520"/>
      <c r="O1117" s="107"/>
    </row>
    <row r="1118" spans="1:15" s="3" customFormat="1" ht="13.2">
      <c r="A1118" s="520"/>
      <c r="O1118" s="107"/>
    </row>
    <row r="1119" spans="1:15" s="3" customFormat="1" ht="13.2">
      <c r="A1119" s="520"/>
      <c r="O1119" s="107"/>
    </row>
    <row r="1120" spans="1:15" s="3" customFormat="1" ht="13.2">
      <c r="A1120" s="520"/>
      <c r="O1120" s="107"/>
    </row>
    <row r="1121" spans="1:15" s="3" customFormat="1" ht="13.2">
      <c r="A1121" s="520"/>
      <c r="O1121" s="107"/>
    </row>
    <row r="1122" spans="1:15" s="3" customFormat="1" ht="13.2">
      <c r="A1122" s="520"/>
      <c r="O1122" s="107"/>
    </row>
    <row r="1123" spans="1:15" s="3" customFormat="1" ht="13.2">
      <c r="A1123" s="520"/>
      <c r="O1123" s="107"/>
    </row>
    <row r="1124" spans="1:15" s="3" customFormat="1" ht="13.2">
      <c r="A1124" s="520"/>
      <c r="O1124" s="107"/>
    </row>
    <row r="1125" spans="1:15" s="3" customFormat="1" ht="13.2">
      <c r="A1125" s="520"/>
      <c r="O1125" s="107"/>
    </row>
    <row r="1126" spans="1:15" s="3" customFormat="1" ht="13.2">
      <c r="A1126" s="520"/>
      <c r="O1126" s="107"/>
    </row>
    <row r="1127" spans="1:15" s="3" customFormat="1" ht="13.2">
      <c r="A1127" s="520"/>
      <c r="O1127" s="107"/>
    </row>
    <row r="1128" spans="1:15" s="3" customFormat="1" ht="13.2">
      <c r="A1128" s="520"/>
      <c r="O1128" s="107"/>
    </row>
    <row r="1129" spans="1:15" s="3" customFormat="1" ht="13.2">
      <c r="A1129" s="520"/>
      <c r="O1129" s="107"/>
    </row>
    <row r="1130" spans="1:15" s="3" customFormat="1" ht="13.2">
      <c r="A1130" s="520"/>
      <c r="O1130" s="107"/>
    </row>
    <row r="1131" spans="1:15" s="3" customFormat="1" ht="13.2">
      <c r="A1131" s="520"/>
      <c r="O1131" s="107"/>
    </row>
    <row r="1132" spans="1:15" s="3" customFormat="1" ht="13.2">
      <c r="A1132" s="520"/>
      <c r="O1132" s="107"/>
    </row>
    <row r="1133" spans="1:15" s="3" customFormat="1" ht="13.2">
      <c r="A1133" s="520"/>
      <c r="O1133" s="107"/>
    </row>
    <row r="1134" spans="1:15" s="3" customFormat="1" ht="13.2">
      <c r="A1134" s="520"/>
      <c r="O1134" s="107"/>
    </row>
    <row r="1135" spans="1:15" s="3" customFormat="1" ht="13.2">
      <c r="A1135" s="520"/>
      <c r="O1135" s="107"/>
    </row>
    <row r="1136" spans="1:15" s="3" customFormat="1" ht="13.2">
      <c r="A1136" s="520"/>
      <c r="O1136" s="107"/>
    </row>
    <row r="1137" spans="1:15" s="3" customFormat="1" ht="13.2">
      <c r="A1137" s="520"/>
      <c r="O1137" s="107"/>
    </row>
    <row r="1138" spans="1:15" s="3" customFormat="1" ht="13.2">
      <c r="A1138" s="520"/>
      <c r="O1138" s="107"/>
    </row>
    <row r="1139" spans="1:15" s="3" customFormat="1" ht="13.2">
      <c r="A1139" s="520"/>
      <c r="O1139" s="107"/>
    </row>
    <row r="1140" spans="1:15" s="3" customFormat="1" ht="13.2">
      <c r="A1140" s="520"/>
      <c r="O1140" s="107"/>
    </row>
    <row r="1141" spans="1:15" s="3" customFormat="1" ht="13.2">
      <c r="A1141" s="520"/>
      <c r="O1141" s="107"/>
    </row>
    <row r="1142" spans="1:15" s="3" customFormat="1" ht="13.2">
      <c r="A1142" s="520"/>
      <c r="O1142" s="107"/>
    </row>
    <row r="1143" spans="1:15" s="3" customFormat="1" ht="13.2">
      <c r="A1143" s="520"/>
      <c r="O1143" s="107"/>
    </row>
    <row r="1144" spans="1:15" s="3" customFormat="1" ht="13.2">
      <c r="A1144" s="520"/>
      <c r="O1144" s="107"/>
    </row>
    <row r="1145" spans="1:15" s="3" customFormat="1" ht="13.2">
      <c r="A1145" s="520"/>
      <c r="O1145" s="107"/>
    </row>
    <row r="1146" spans="1:15" s="3" customFormat="1" ht="13.2">
      <c r="A1146" s="520"/>
      <c r="O1146" s="107"/>
    </row>
    <row r="1147" spans="1:15" s="3" customFormat="1" ht="13.2">
      <c r="A1147" s="520"/>
      <c r="O1147" s="107"/>
    </row>
    <row r="1148" spans="1:15" s="3" customFormat="1" ht="13.2">
      <c r="A1148" s="520"/>
      <c r="O1148" s="107"/>
    </row>
    <row r="1149" spans="1:15" s="3" customFormat="1" ht="13.2">
      <c r="A1149" s="520"/>
      <c r="O1149" s="107"/>
    </row>
    <row r="1150" spans="1:15" s="3" customFormat="1" ht="13.2">
      <c r="A1150" s="520"/>
      <c r="O1150" s="107"/>
    </row>
    <row r="1151" spans="1:15" s="3" customFormat="1" ht="13.2">
      <c r="A1151" s="520"/>
      <c r="O1151" s="107"/>
    </row>
    <row r="1152" spans="1:15" s="3" customFormat="1" ht="13.2">
      <c r="A1152" s="520"/>
      <c r="O1152" s="107"/>
    </row>
    <row r="1153" spans="1:15" s="3" customFormat="1" ht="13.2">
      <c r="A1153" s="520"/>
      <c r="O1153" s="107"/>
    </row>
    <row r="1154" spans="1:15" s="3" customFormat="1" ht="13.2">
      <c r="A1154" s="520"/>
      <c r="O1154" s="107"/>
    </row>
    <row r="1155" spans="1:15" s="3" customFormat="1" ht="13.2">
      <c r="A1155" s="520"/>
      <c r="O1155" s="107"/>
    </row>
    <row r="1156" spans="1:15" s="3" customFormat="1" ht="13.2">
      <c r="A1156" s="520"/>
      <c r="O1156" s="107"/>
    </row>
    <row r="1157" spans="1:15" s="3" customFormat="1" ht="13.2">
      <c r="A1157" s="520"/>
      <c r="O1157" s="107"/>
    </row>
    <row r="1158" spans="1:15" s="3" customFormat="1" ht="13.2">
      <c r="A1158" s="520"/>
      <c r="O1158" s="107"/>
    </row>
    <row r="1159" spans="1:15" s="3" customFormat="1" ht="13.2">
      <c r="A1159" s="520"/>
      <c r="O1159" s="107"/>
    </row>
    <row r="1160" spans="1:15" s="3" customFormat="1" ht="13.2">
      <c r="A1160" s="520"/>
      <c r="O1160" s="107"/>
    </row>
    <row r="1161" spans="1:15" s="3" customFormat="1" ht="13.2">
      <c r="A1161" s="520"/>
      <c r="O1161" s="107"/>
    </row>
    <row r="1162" spans="1:15" s="3" customFormat="1" ht="13.2">
      <c r="A1162" s="520"/>
      <c r="O1162" s="107"/>
    </row>
    <row r="1163" spans="1:15" s="3" customFormat="1" ht="13.2">
      <c r="A1163" s="520"/>
      <c r="O1163" s="107"/>
    </row>
    <row r="1164" spans="1:15" s="3" customFormat="1" ht="13.2">
      <c r="A1164" s="520"/>
      <c r="O1164" s="107"/>
    </row>
    <row r="1165" spans="1:15" s="3" customFormat="1" ht="13.2">
      <c r="A1165" s="520"/>
      <c r="O1165" s="107"/>
    </row>
    <row r="1166" spans="1:15" s="3" customFormat="1" ht="13.2">
      <c r="A1166" s="520"/>
      <c r="O1166" s="107"/>
    </row>
    <row r="1167" spans="1:15" s="3" customFormat="1" ht="13.2">
      <c r="A1167" s="520"/>
      <c r="O1167" s="107"/>
    </row>
    <row r="1168" spans="1:15" s="3" customFormat="1" ht="13.2">
      <c r="A1168" s="520"/>
      <c r="O1168" s="107"/>
    </row>
    <row r="1169" spans="1:15" s="3" customFormat="1" ht="13.2">
      <c r="A1169" s="520"/>
      <c r="O1169" s="107"/>
    </row>
    <row r="1170" spans="1:15" s="3" customFormat="1" ht="13.2">
      <c r="A1170" s="520"/>
      <c r="O1170" s="107"/>
    </row>
    <row r="1171" spans="1:15" s="3" customFormat="1" ht="13.2">
      <c r="A1171" s="520"/>
      <c r="O1171" s="107"/>
    </row>
    <row r="1172" spans="1:15" s="3" customFormat="1" ht="13.2">
      <c r="A1172" s="520"/>
      <c r="O1172" s="107"/>
    </row>
    <row r="1173" spans="1:15" s="3" customFormat="1" ht="13.2">
      <c r="A1173" s="520"/>
      <c r="O1173" s="107"/>
    </row>
    <row r="1174" spans="1:15" s="3" customFormat="1" ht="13.2">
      <c r="A1174" s="520"/>
      <c r="O1174" s="107"/>
    </row>
    <row r="1175" spans="1:15" s="3" customFormat="1" ht="13.2">
      <c r="A1175" s="520"/>
      <c r="O1175" s="107"/>
    </row>
    <row r="1176" spans="1:15" s="3" customFormat="1" ht="13.2">
      <c r="A1176" s="520"/>
      <c r="O1176" s="107"/>
    </row>
    <row r="1177" spans="1:15" s="3" customFormat="1" ht="13.2">
      <c r="A1177" s="520"/>
      <c r="O1177" s="107"/>
    </row>
    <row r="1178" spans="1:15" s="3" customFormat="1" ht="13.2">
      <c r="A1178" s="520"/>
      <c r="O1178" s="107"/>
    </row>
    <row r="1179" spans="1:15" s="3" customFormat="1" ht="13.2">
      <c r="A1179" s="520"/>
      <c r="O1179" s="107"/>
    </row>
    <row r="1180" spans="1:15" s="3" customFormat="1" ht="13.2">
      <c r="A1180" s="520"/>
      <c r="O1180" s="107"/>
    </row>
    <row r="1181" spans="1:15" s="3" customFormat="1" ht="13.2">
      <c r="A1181" s="520"/>
      <c r="O1181" s="107"/>
    </row>
    <row r="1182" spans="1:15" s="3" customFormat="1" ht="13.2">
      <c r="A1182" s="520"/>
      <c r="O1182" s="107"/>
    </row>
    <row r="1183" spans="1:15" s="3" customFormat="1" ht="13.2">
      <c r="A1183" s="520"/>
      <c r="O1183" s="107"/>
    </row>
    <row r="1184" spans="1:15" s="3" customFormat="1" ht="13.2">
      <c r="A1184" s="520"/>
      <c r="O1184" s="107"/>
    </row>
    <row r="1185" spans="1:15" s="3" customFormat="1" ht="13.2">
      <c r="A1185" s="520"/>
      <c r="O1185" s="107"/>
    </row>
    <row r="1186" spans="1:15" s="3" customFormat="1" ht="13.2">
      <c r="A1186" s="520"/>
      <c r="O1186" s="107"/>
    </row>
    <row r="1187" spans="1:15" s="3" customFormat="1" ht="13.2">
      <c r="A1187" s="520"/>
      <c r="O1187" s="107"/>
    </row>
    <row r="1188" spans="1:15" s="3" customFormat="1" ht="13.2">
      <c r="A1188" s="520"/>
      <c r="O1188" s="107"/>
    </row>
    <row r="1189" spans="1:15" s="3" customFormat="1" ht="13.2">
      <c r="A1189" s="520"/>
      <c r="O1189" s="107"/>
    </row>
    <row r="1190" spans="1:15" s="3" customFormat="1" ht="13.2">
      <c r="A1190" s="520"/>
      <c r="O1190" s="107"/>
    </row>
    <row r="1191" spans="1:15" s="3" customFormat="1" ht="13.2">
      <c r="A1191" s="520"/>
      <c r="O1191" s="107"/>
    </row>
    <row r="1192" spans="1:15" s="3" customFormat="1" ht="13.2">
      <c r="A1192" s="520"/>
      <c r="O1192" s="107"/>
    </row>
    <row r="1193" spans="1:15" s="3" customFormat="1" ht="13.2">
      <c r="A1193" s="520"/>
      <c r="O1193" s="107"/>
    </row>
    <row r="1194" spans="1:15" s="3" customFormat="1" ht="13.2">
      <c r="A1194" s="520"/>
      <c r="O1194" s="107"/>
    </row>
    <row r="1195" spans="1:15" s="3" customFormat="1" ht="13.2">
      <c r="A1195" s="520"/>
      <c r="O1195" s="107"/>
    </row>
    <row r="1196" spans="1:15" s="3" customFormat="1" ht="13.2">
      <c r="A1196" s="520"/>
      <c r="O1196" s="107"/>
    </row>
    <row r="1197" spans="1:15" s="3" customFormat="1" ht="13.2">
      <c r="A1197" s="520"/>
      <c r="O1197" s="107"/>
    </row>
    <row r="1198" spans="1:15" s="3" customFormat="1" ht="13.2">
      <c r="A1198" s="520"/>
      <c r="O1198" s="107"/>
    </row>
    <row r="1199" spans="1:15" s="3" customFormat="1" ht="13.2">
      <c r="A1199" s="520"/>
      <c r="O1199" s="107"/>
    </row>
    <row r="1200" spans="1:15" s="3" customFormat="1" ht="13.2">
      <c r="A1200" s="520"/>
      <c r="O1200" s="107"/>
    </row>
    <row r="1201" spans="1:15" s="3" customFormat="1" ht="13.2">
      <c r="A1201" s="520"/>
      <c r="O1201" s="107"/>
    </row>
    <row r="1202" spans="1:15" s="3" customFormat="1" ht="13.2">
      <c r="A1202" s="520"/>
      <c r="O1202" s="107"/>
    </row>
    <row r="1203" spans="1:15" s="3" customFormat="1" ht="13.2">
      <c r="A1203" s="520"/>
      <c r="O1203" s="107"/>
    </row>
    <row r="1204" spans="1:15" s="3" customFormat="1" ht="13.2">
      <c r="A1204" s="520"/>
      <c r="O1204" s="107"/>
    </row>
    <row r="1205" spans="1:15" s="3" customFormat="1" ht="13.2">
      <c r="A1205" s="520"/>
      <c r="O1205" s="107"/>
    </row>
    <row r="1206" spans="1:15" s="3" customFormat="1" ht="13.2">
      <c r="A1206" s="520"/>
      <c r="O1206" s="107"/>
    </row>
    <row r="1207" spans="1:15" s="3" customFormat="1" ht="13.2">
      <c r="A1207" s="520"/>
      <c r="O1207" s="107"/>
    </row>
    <row r="1208" spans="1:15" s="3" customFormat="1" ht="13.2">
      <c r="A1208" s="520"/>
      <c r="O1208" s="107"/>
    </row>
    <row r="1209" spans="1:15" s="3" customFormat="1" ht="13.2">
      <c r="A1209" s="520"/>
      <c r="O1209" s="107"/>
    </row>
    <row r="1210" spans="1:15" s="3" customFormat="1" ht="13.2">
      <c r="A1210" s="520"/>
      <c r="O1210" s="107"/>
    </row>
    <row r="1211" spans="1:15" s="3" customFormat="1" ht="13.2">
      <c r="A1211" s="520"/>
      <c r="O1211" s="107"/>
    </row>
    <row r="1212" spans="1:15" s="3" customFormat="1" ht="13.2">
      <c r="A1212" s="520"/>
      <c r="O1212" s="107"/>
    </row>
    <row r="1213" spans="1:15" s="3" customFormat="1" ht="13.2">
      <c r="A1213" s="520"/>
      <c r="O1213" s="107"/>
    </row>
    <row r="1214" spans="1:15" s="3" customFormat="1" ht="13.2">
      <c r="A1214" s="520"/>
      <c r="O1214" s="107"/>
    </row>
    <row r="1215" spans="1:15" s="3" customFormat="1" ht="13.2">
      <c r="A1215" s="520"/>
      <c r="O1215" s="107"/>
    </row>
    <row r="1216" spans="1:15" s="3" customFormat="1" ht="13.2">
      <c r="A1216" s="520"/>
      <c r="O1216" s="107"/>
    </row>
    <row r="1217" spans="1:15" s="3" customFormat="1" ht="13.2">
      <c r="A1217" s="520"/>
      <c r="O1217" s="107"/>
    </row>
    <row r="1218" spans="1:15" s="3" customFormat="1" ht="13.2">
      <c r="A1218" s="520"/>
      <c r="O1218" s="107"/>
    </row>
    <row r="1219" spans="1:15" s="3" customFormat="1" ht="13.2">
      <c r="A1219" s="520"/>
      <c r="O1219" s="107"/>
    </row>
    <row r="1220" spans="1:15" s="3" customFormat="1" ht="13.2">
      <c r="A1220" s="520"/>
      <c r="O1220" s="107"/>
    </row>
    <row r="1221" spans="1:15" s="3" customFormat="1" ht="13.2">
      <c r="A1221" s="520"/>
      <c r="O1221" s="107"/>
    </row>
    <row r="1222" spans="1:15" s="3" customFormat="1" ht="13.2">
      <c r="A1222" s="520"/>
      <c r="O1222" s="107"/>
    </row>
    <row r="1223" spans="1:15" s="3" customFormat="1" ht="13.2">
      <c r="A1223" s="520"/>
      <c r="O1223" s="107"/>
    </row>
    <row r="1224" spans="1:15" s="3" customFormat="1" ht="13.2">
      <c r="A1224" s="520"/>
      <c r="O1224" s="107"/>
    </row>
    <row r="1225" spans="1:15" s="3" customFormat="1" ht="13.2">
      <c r="A1225" s="520"/>
      <c r="O1225" s="107"/>
    </row>
    <row r="1226" spans="1:15" s="3" customFormat="1" ht="13.2">
      <c r="A1226" s="520"/>
      <c r="O1226" s="107"/>
    </row>
    <row r="1227" spans="1:15" s="3" customFormat="1" ht="13.2">
      <c r="A1227" s="520"/>
      <c r="O1227" s="107"/>
    </row>
    <row r="1228" spans="1:15" s="3" customFormat="1" ht="13.2">
      <c r="A1228" s="520"/>
      <c r="O1228" s="107"/>
    </row>
    <row r="1229" spans="1:15" s="3" customFormat="1" ht="13.2">
      <c r="A1229" s="520"/>
      <c r="O1229" s="107"/>
    </row>
    <row r="1230" spans="1:15" s="3" customFormat="1" ht="13.2">
      <c r="A1230" s="520"/>
      <c r="O1230" s="107"/>
    </row>
    <row r="1231" spans="1:15" s="3" customFormat="1" ht="13.2">
      <c r="A1231" s="520"/>
      <c r="O1231" s="107"/>
    </row>
    <row r="1232" spans="1:15" s="3" customFormat="1" ht="13.2">
      <c r="A1232" s="520"/>
      <c r="O1232" s="107"/>
    </row>
    <row r="1233" spans="1:15" s="3" customFormat="1" ht="13.2">
      <c r="A1233" s="520"/>
      <c r="O1233" s="107"/>
    </row>
    <row r="1234" spans="1:15" s="3" customFormat="1" ht="13.2">
      <c r="A1234" s="520"/>
      <c r="O1234" s="107"/>
    </row>
    <row r="1235" spans="1:15" s="3" customFormat="1" ht="13.2">
      <c r="A1235" s="520"/>
      <c r="O1235" s="107"/>
    </row>
    <row r="1236" spans="1:15" s="3" customFormat="1" ht="13.2">
      <c r="A1236" s="520"/>
      <c r="O1236" s="107"/>
    </row>
    <row r="1237" spans="1:15" s="3" customFormat="1" ht="13.2">
      <c r="A1237" s="520"/>
      <c r="O1237" s="107"/>
    </row>
    <row r="1238" spans="1:15" s="3" customFormat="1" ht="13.2">
      <c r="A1238" s="520"/>
      <c r="O1238" s="107"/>
    </row>
    <row r="1239" spans="1:15" s="3" customFormat="1" ht="13.2">
      <c r="A1239" s="520"/>
      <c r="O1239" s="107"/>
    </row>
    <row r="1240" spans="1:15" s="3" customFormat="1" ht="13.2">
      <c r="A1240" s="520"/>
      <c r="O1240" s="107"/>
    </row>
    <row r="1241" spans="1:15" s="3" customFormat="1" ht="13.2">
      <c r="A1241" s="520"/>
      <c r="O1241" s="107"/>
    </row>
    <row r="1242" spans="1:15" s="3" customFormat="1" ht="13.2">
      <c r="A1242" s="520"/>
      <c r="O1242" s="107"/>
    </row>
    <row r="1243" spans="1:15" s="3" customFormat="1" ht="13.2">
      <c r="A1243" s="520"/>
      <c r="O1243" s="107"/>
    </row>
    <row r="1244" spans="1:15" s="3" customFormat="1" ht="13.2">
      <c r="A1244" s="520"/>
      <c r="O1244" s="107"/>
    </row>
    <row r="1245" spans="1:15" s="3" customFormat="1" ht="13.2">
      <c r="A1245" s="520"/>
      <c r="O1245" s="107"/>
    </row>
    <row r="1246" spans="1:15" s="3" customFormat="1" ht="13.2">
      <c r="A1246" s="520"/>
      <c r="O1246" s="107"/>
    </row>
    <row r="1247" spans="1:15" s="3" customFormat="1" ht="13.2">
      <c r="A1247" s="520"/>
      <c r="O1247" s="107"/>
    </row>
    <row r="1248" spans="1:15" s="3" customFormat="1" ht="13.2">
      <c r="A1248" s="520"/>
      <c r="O1248" s="107"/>
    </row>
    <row r="1249" spans="1:15" s="3" customFormat="1" ht="13.2">
      <c r="A1249" s="520"/>
      <c r="O1249" s="107"/>
    </row>
    <row r="1250" spans="1:15" s="3" customFormat="1" ht="13.2">
      <c r="A1250" s="520"/>
      <c r="O1250" s="107"/>
    </row>
    <row r="1251" spans="1:15" s="3" customFormat="1" ht="13.2">
      <c r="A1251" s="520"/>
      <c r="O1251" s="107"/>
    </row>
    <row r="1252" spans="1:15" s="3" customFormat="1" ht="13.2">
      <c r="A1252" s="520"/>
      <c r="O1252" s="107"/>
    </row>
    <row r="1253" spans="1:15" s="3" customFormat="1" ht="13.2">
      <c r="A1253" s="520"/>
      <c r="O1253" s="107"/>
    </row>
    <row r="1254" spans="1:15" s="3" customFormat="1" ht="13.2">
      <c r="A1254" s="520"/>
      <c r="O1254" s="107"/>
    </row>
    <row r="1255" spans="1:15" s="3" customFormat="1" ht="13.2">
      <c r="A1255" s="520"/>
      <c r="O1255" s="107"/>
    </row>
    <row r="1256" spans="1:15" s="3" customFormat="1" ht="13.2">
      <c r="A1256" s="520"/>
      <c r="O1256" s="107"/>
    </row>
    <row r="1257" spans="1:15" s="3" customFormat="1" ht="13.2">
      <c r="A1257" s="520"/>
      <c r="O1257" s="107"/>
    </row>
    <row r="1258" spans="1:15" s="3" customFormat="1" ht="13.2">
      <c r="A1258" s="520"/>
      <c r="O1258" s="107"/>
    </row>
    <row r="1259" spans="1:15" s="3" customFormat="1" ht="13.2">
      <c r="A1259" s="520"/>
      <c r="O1259" s="107"/>
    </row>
    <row r="1260" spans="1:15" s="3" customFormat="1" ht="13.2">
      <c r="A1260" s="520"/>
      <c r="O1260" s="107"/>
    </row>
    <row r="1261" spans="1:15" s="3" customFormat="1" ht="13.2">
      <c r="A1261" s="520"/>
      <c r="O1261" s="107"/>
    </row>
    <row r="1262" spans="1:15" s="3" customFormat="1" ht="13.2">
      <c r="A1262" s="520"/>
      <c r="O1262" s="107"/>
    </row>
    <row r="1263" spans="1:15" s="3" customFormat="1" ht="13.2">
      <c r="A1263" s="520"/>
      <c r="O1263" s="107"/>
    </row>
    <row r="1264" spans="1:15" s="3" customFormat="1" ht="13.2">
      <c r="A1264" s="520"/>
      <c r="O1264" s="107"/>
    </row>
    <row r="1265" spans="1:15" s="3" customFormat="1" ht="13.2">
      <c r="A1265" s="520"/>
      <c r="O1265" s="107"/>
    </row>
    <row r="1266" spans="1:15" s="3" customFormat="1" ht="13.2">
      <c r="A1266" s="520"/>
      <c r="O1266" s="107"/>
    </row>
    <row r="1267" spans="1:15" s="3" customFormat="1" ht="13.2">
      <c r="A1267" s="520"/>
      <c r="O1267" s="107"/>
    </row>
    <row r="1268" spans="1:15" s="3" customFormat="1" ht="13.2">
      <c r="A1268" s="520"/>
      <c r="O1268" s="107"/>
    </row>
    <row r="1269" spans="1:15" s="3" customFormat="1" ht="13.2">
      <c r="A1269" s="520"/>
      <c r="O1269" s="107"/>
    </row>
    <row r="1270" spans="1:15" s="3" customFormat="1" ht="13.2">
      <c r="A1270" s="520"/>
      <c r="O1270" s="107"/>
    </row>
    <row r="1271" spans="1:15" s="3" customFormat="1" ht="13.2">
      <c r="A1271" s="520"/>
      <c r="O1271" s="107"/>
    </row>
    <row r="1272" spans="1:15" s="3" customFormat="1" ht="13.2">
      <c r="A1272" s="520"/>
      <c r="O1272" s="107"/>
    </row>
    <row r="1273" spans="1:15" s="3" customFormat="1" ht="13.2">
      <c r="A1273" s="520"/>
      <c r="O1273" s="107"/>
    </row>
    <row r="1274" spans="1:15" s="3" customFormat="1" ht="13.2">
      <c r="A1274" s="520"/>
      <c r="O1274" s="107"/>
    </row>
    <row r="1275" spans="1:15" s="3" customFormat="1" ht="13.2">
      <c r="A1275" s="520"/>
      <c r="O1275" s="107"/>
    </row>
    <row r="1276" spans="1:15" s="3" customFormat="1" ht="13.2">
      <c r="A1276" s="520"/>
      <c r="O1276" s="107"/>
    </row>
    <row r="1277" spans="1:15" s="3" customFormat="1" ht="13.2">
      <c r="A1277" s="520"/>
      <c r="O1277" s="107"/>
    </row>
    <row r="1278" spans="1:15" s="3" customFormat="1" ht="13.2">
      <c r="A1278" s="520"/>
      <c r="O1278" s="107"/>
    </row>
    <row r="1279" spans="1:15" s="3" customFormat="1" ht="13.2">
      <c r="A1279" s="520"/>
      <c r="O1279" s="107"/>
    </row>
    <row r="1280" spans="1:15" s="3" customFormat="1" ht="13.2">
      <c r="A1280" s="520"/>
      <c r="O1280" s="107"/>
    </row>
    <row r="1281" spans="1:15" s="3" customFormat="1" ht="13.2">
      <c r="A1281" s="520"/>
      <c r="O1281" s="107"/>
    </row>
    <row r="1282" spans="1:15" s="3" customFormat="1" ht="13.2">
      <c r="A1282" s="520"/>
      <c r="O1282" s="107"/>
    </row>
    <row r="1283" spans="1:15" s="3" customFormat="1" ht="13.2">
      <c r="A1283" s="520"/>
      <c r="O1283" s="107"/>
    </row>
    <row r="1284" spans="1:15" s="3" customFormat="1" ht="13.2">
      <c r="A1284" s="520"/>
      <c r="O1284" s="107"/>
    </row>
    <row r="1285" spans="1:15" s="3" customFormat="1" ht="13.2">
      <c r="A1285" s="520"/>
      <c r="O1285" s="107"/>
    </row>
    <row r="1286" spans="1:15" s="3" customFormat="1" ht="13.2">
      <c r="A1286" s="520"/>
      <c r="O1286" s="107"/>
    </row>
    <row r="1287" spans="1:15" s="3" customFormat="1" ht="13.2">
      <c r="A1287" s="520"/>
      <c r="O1287" s="107"/>
    </row>
    <row r="1288" spans="1:15" s="3" customFormat="1" ht="13.2">
      <c r="A1288" s="520"/>
      <c r="O1288" s="107"/>
    </row>
    <row r="1289" spans="1:15" s="3" customFormat="1" ht="13.2">
      <c r="A1289" s="520"/>
      <c r="O1289" s="107"/>
    </row>
    <row r="1290" spans="1:15" s="3" customFormat="1" ht="13.2">
      <c r="A1290" s="520"/>
      <c r="O1290" s="107"/>
    </row>
    <row r="1291" spans="1:15" s="3" customFormat="1" ht="13.2">
      <c r="A1291" s="520"/>
      <c r="O1291" s="107"/>
    </row>
    <row r="1292" spans="1:15" s="3" customFormat="1" ht="13.2">
      <c r="A1292" s="520"/>
      <c r="O1292" s="107"/>
    </row>
    <row r="1293" spans="1:15" s="3" customFormat="1" ht="13.2">
      <c r="A1293" s="520"/>
      <c r="O1293" s="107"/>
    </row>
    <row r="1294" spans="1:15" s="3" customFormat="1" ht="13.2">
      <c r="A1294" s="520"/>
      <c r="O1294" s="107"/>
    </row>
    <row r="1295" spans="1:15" s="3" customFormat="1" ht="13.2">
      <c r="A1295" s="520"/>
      <c r="O1295" s="107"/>
    </row>
    <row r="1296" spans="1:15" s="3" customFormat="1" ht="13.2">
      <c r="A1296" s="520"/>
      <c r="O1296" s="107"/>
    </row>
    <row r="1297" spans="1:15" s="3" customFormat="1" ht="13.2">
      <c r="A1297" s="520"/>
      <c r="O1297" s="107"/>
    </row>
    <row r="1298" spans="1:15" s="3" customFormat="1" ht="13.2">
      <c r="A1298" s="520"/>
      <c r="O1298" s="107"/>
    </row>
    <row r="1299" spans="1:15" s="3" customFormat="1" ht="13.2">
      <c r="A1299" s="520"/>
      <c r="O1299" s="107"/>
    </row>
    <row r="1300" spans="1:15" s="3" customFormat="1" ht="13.2">
      <c r="A1300" s="520"/>
      <c r="O1300" s="107"/>
    </row>
    <row r="1301" spans="1:15" s="3" customFormat="1" ht="13.2">
      <c r="A1301" s="520"/>
      <c r="O1301" s="107"/>
    </row>
    <row r="1302" spans="1:15" s="3" customFormat="1" ht="13.2">
      <c r="A1302" s="520"/>
      <c r="O1302" s="107"/>
    </row>
    <row r="1303" spans="1:15" s="3" customFormat="1" ht="13.2">
      <c r="A1303" s="520"/>
      <c r="O1303" s="107"/>
    </row>
    <row r="1304" spans="1:15" s="3" customFormat="1" ht="13.2">
      <c r="A1304" s="520"/>
      <c r="O1304" s="107"/>
    </row>
    <row r="1305" spans="1:15" s="3" customFormat="1" ht="13.2">
      <c r="A1305" s="520"/>
      <c r="O1305" s="107"/>
    </row>
    <row r="1306" spans="1:15" s="3" customFormat="1" ht="13.2">
      <c r="A1306" s="520"/>
      <c r="O1306" s="107"/>
    </row>
    <row r="1307" spans="1:15" s="3" customFormat="1" ht="13.2">
      <c r="A1307" s="520"/>
      <c r="O1307" s="107"/>
    </row>
    <row r="1308" spans="1:15" s="3" customFormat="1" ht="13.2">
      <c r="A1308" s="520"/>
      <c r="O1308" s="107"/>
    </row>
    <row r="1309" spans="1:15" s="3" customFormat="1" ht="13.2">
      <c r="A1309" s="520"/>
      <c r="O1309" s="107"/>
    </row>
    <row r="1310" spans="1:15" s="3" customFormat="1" ht="13.2">
      <c r="A1310" s="520"/>
      <c r="O1310" s="107"/>
    </row>
    <row r="1311" spans="1:15" s="3" customFormat="1" ht="13.2">
      <c r="A1311" s="520"/>
      <c r="O1311" s="107"/>
    </row>
    <row r="1312" spans="1:15" s="3" customFormat="1" ht="13.2">
      <c r="A1312" s="520"/>
      <c r="O1312" s="107"/>
    </row>
    <row r="1313" spans="1:15" s="3" customFormat="1" ht="13.2">
      <c r="A1313" s="520"/>
      <c r="O1313" s="107"/>
    </row>
    <row r="1314" spans="1:15" s="3" customFormat="1" ht="13.2">
      <c r="A1314" s="520"/>
      <c r="O1314" s="107"/>
    </row>
    <row r="1315" spans="1:15" s="3" customFormat="1" ht="13.2">
      <c r="A1315" s="520"/>
      <c r="O1315" s="107"/>
    </row>
    <row r="1316" spans="1:15" s="3" customFormat="1" ht="13.2">
      <c r="A1316" s="520"/>
      <c r="O1316" s="107"/>
    </row>
    <row r="1317" spans="1:15" s="3" customFormat="1" ht="13.2">
      <c r="A1317" s="520"/>
      <c r="O1317" s="107"/>
    </row>
    <row r="1318" spans="1:15" s="3" customFormat="1" ht="13.2">
      <c r="A1318" s="520"/>
      <c r="O1318" s="107"/>
    </row>
    <row r="1319" spans="1:15" s="3" customFormat="1" ht="13.2">
      <c r="A1319" s="520"/>
      <c r="O1319" s="107"/>
    </row>
    <row r="1320" spans="1:15" s="3" customFormat="1" ht="13.2">
      <c r="A1320" s="520"/>
      <c r="O1320" s="107"/>
    </row>
    <row r="1321" spans="1:15" s="3" customFormat="1" ht="13.2">
      <c r="A1321" s="520"/>
      <c r="O1321" s="107"/>
    </row>
    <row r="1322" spans="1:15" s="3" customFormat="1" ht="13.2">
      <c r="A1322" s="520"/>
      <c r="O1322" s="107"/>
    </row>
    <row r="1323" spans="1:15" s="3" customFormat="1" ht="13.2">
      <c r="A1323" s="520"/>
      <c r="O1323" s="107"/>
    </row>
    <row r="1324" spans="1:15" s="3" customFormat="1" ht="13.2">
      <c r="A1324" s="520"/>
      <c r="O1324" s="107"/>
    </row>
    <row r="1325" spans="1:15" s="3" customFormat="1" ht="13.2">
      <c r="A1325" s="520"/>
      <c r="O1325" s="107"/>
    </row>
    <row r="1326" spans="1:15" s="3" customFormat="1" ht="13.2">
      <c r="A1326" s="520"/>
      <c r="O1326" s="107"/>
    </row>
    <row r="1327" spans="1:15" s="3" customFormat="1" ht="13.2">
      <c r="A1327" s="520"/>
      <c r="O1327" s="107"/>
    </row>
    <row r="1328" spans="1:15" s="3" customFormat="1" ht="13.2">
      <c r="A1328" s="520"/>
      <c r="O1328" s="107"/>
    </row>
    <row r="1329" spans="1:15" s="3" customFormat="1" ht="13.2">
      <c r="A1329" s="520"/>
      <c r="O1329" s="107"/>
    </row>
    <row r="1330" spans="1:15" s="3" customFormat="1" ht="13.2">
      <c r="A1330" s="520"/>
      <c r="O1330" s="107"/>
    </row>
    <row r="1331" spans="1:15" s="3" customFormat="1" ht="13.2">
      <c r="A1331" s="520"/>
      <c r="O1331" s="107"/>
    </row>
    <row r="1332" spans="1:15" s="3" customFormat="1" ht="13.2">
      <c r="A1332" s="520"/>
      <c r="O1332" s="107"/>
    </row>
    <row r="1333" spans="1:15" s="3" customFormat="1" ht="13.2">
      <c r="A1333" s="520"/>
      <c r="O1333" s="107"/>
    </row>
    <row r="1334" spans="1:15" s="3" customFormat="1" ht="13.2">
      <c r="A1334" s="520"/>
      <c r="O1334" s="107"/>
    </row>
    <row r="1335" spans="1:15" s="3" customFormat="1" ht="13.2">
      <c r="A1335" s="520"/>
      <c r="O1335" s="107"/>
    </row>
    <row r="1336" spans="1:15" s="3" customFormat="1" ht="13.2">
      <c r="A1336" s="520"/>
      <c r="O1336" s="107"/>
    </row>
    <row r="1337" spans="1:15" s="3" customFormat="1" ht="13.2">
      <c r="A1337" s="520"/>
      <c r="O1337" s="107"/>
    </row>
    <row r="1338" spans="1:15" s="3" customFormat="1" ht="13.2">
      <c r="A1338" s="520"/>
      <c r="O1338" s="107"/>
    </row>
    <row r="1339" spans="1:15" s="3" customFormat="1" ht="13.2">
      <c r="A1339" s="520"/>
      <c r="O1339" s="107"/>
    </row>
    <row r="1340" spans="1:15" s="3" customFormat="1" ht="13.2">
      <c r="A1340" s="520"/>
      <c r="O1340" s="107"/>
    </row>
    <row r="1341" spans="1:15" s="3" customFormat="1" ht="13.2">
      <c r="A1341" s="520"/>
      <c r="O1341" s="107"/>
    </row>
    <row r="1342" spans="1:15" s="3" customFormat="1" ht="13.2">
      <c r="A1342" s="520"/>
      <c r="O1342" s="107"/>
    </row>
    <row r="1343" spans="1:15" s="3" customFormat="1" ht="13.2">
      <c r="A1343" s="520"/>
      <c r="O1343" s="107"/>
    </row>
    <row r="1344" spans="1:15" s="3" customFormat="1" ht="13.2">
      <c r="A1344" s="520"/>
      <c r="O1344" s="107"/>
    </row>
    <row r="1345" spans="1:15" s="3" customFormat="1" ht="13.2">
      <c r="A1345" s="520"/>
      <c r="O1345" s="107"/>
    </row>
    <row r="1346" spans="1:15" s="3" customFormat="1" ht="13.2">
      <c r="A1346" s="520"/>
      <c r="O1346" s="107"/>
    </row>
    <row r="1347" spans="1:15" s="3" customFormat="1" ht="13.2">
      <c r="A1347" s="520"/>
      <c r="O1347" s="107"/>
    </row>
    <row r="1348" spans="1:15" s="3" customFormat="1" ht="13.2">
      <c r="A1348" s="520"/>
      <c r="O1348" s="107"/>
    </row>
    <row r="1349" spans="1:15" s="3" customFormat="1" ht="13.2">
      <c r="A1349" s="520"/>
      <c r="O1349" s="107"/>
    </row>
    <row r="1350" spans="1:15" s="3" customFormat="1" ht="13.2">
      <c r="A1350" s="520"/>
      <c r="O1350" s="107"/>
    </row>
    <row r="1351" spans="1:15" s="3" customFormat="1" ht="13.2">
      <c r="A1351" s="520"/>
      <c r="O1351" s="107"/>
    </row>
    <row r="1352" spans="1:15" s="3" customFormat="1" ht="13.2">
      <c r="A1352" s="520"/>
      <c r="O1352" s="107"/>
    </row>
    <row r="1353" spans="1:15" s="3" customFormat="1" ht="13.2">
      <c r="A1353" s="520"/>
      <c r="O1353" s="107"/>
    </row>
    <row r="1354" spans="1:15" s="3" customFormat="1" ht="13.2">
      <c r="A1354" s="520"/>
      <c r="O1354" s="107"/>
    </row>
    <row r="1355" spans="1:15" s="3" customFormat="1" ht="13.2">
      <c r="A1355" s="520"/>
      <c r="O1355" s="107"/>
    </row>
    <row r="1356" spans="1:15" s="3" customFormat="1" ht="13.2">
      <c r="A1356" s="520"/>
      <c r="O1356" s="107"/>
    </row>
    <row r="1357" spans="1:15" s="3" customFormat="1" ht="13.2">
      <c r="A1357" s="520"/>
      <c r="O1357" s="107"/>
    </row>
    <row r="1358" spans="1:15" s="3" customFormat="1" ht="13.2">
      <c r="A1358" s="520"/>
      <c r="O1358" s="107"/>
    </row>
    <row r="1359" spans="1:15" s="3" customFormat="1" ht="13.2">
      <c r="A1359" s="520"/>
      <c r="O1359" s="107"/>
    </row>
    <row r="1360" spans="1:15" s="3" customFormat="1" ht="13.2">
      <c r="A1360" s="520"/>
      <c r="O1360" s="107"/>
    </row>
    <row r="1361" spans="1:15" s="3" customFormat="1" ht="13.2">
      <c r="A1361" s="520"/>
      <c r="O1361" s="107"/>
    </row>
    <row r="1362" spans="1:15" s="3" customFormat="1" ht="13.2">
      <c r="A1362" s="520"/>
      <c r="O1362" s="107"/>
    </row>
    <row r="1363" spans="1:15" s="3" customFormat="1" ht="13.2">
      <c r="A1363" s="520"/>
      <c r="O1363" s="107"/>
    </row>
    <row r="1364" spans="1:15" s="3" customFormat="1" ht="13.2">
      <c r="A1364" s="520"/>
      <c r="O1364" s="107"/>
    </row>
    <row r="1365" spans="1:15" s="3" customFormat="1" ht="13.2">
      <c r="A1365" s="520"/>
      <c r="O1365" s="107"/>
    </row>
    <row r="1366" spans="1:15" s="3" customFormat="1" ht="13.2">
      <c r="A1366" s="520"/>
      <c r="O1366" s="107"/>
    </row>
    <row r="1367" spans="1:15" s="3" customFormat="1" ht="13.2">
      <c r="A1367" s="520"/>
      <c r="O1367" s="107"/>
    </row>
    <row r="1368" spans="1:15" s="3" customFormat="1" ht="13.2">
      <c r="A1368" s="520"/>
      <c r="O1368" s="107"/>
    </row>
    <row r="1369" spans="1:15" s="3" customFormat="1" ht="13.2">
      <c r="A1369" s="520"/>
      <c r="O1369" s="107"/>
    </row>
    <row r="1370" spans="1:15" s="3" customFormat="1" ht="13.2">
      <c r="A1370" s="520"/>
      <c r="O1370" s="107"/>
    </row>
    <row r="1371" spans="1:15" s="3" customFormat="1" ht="13.2">
      <c r="A1371" s="520"/>
      <c r="O1371" s="107"/>
    </row>
    <row r="1372" spans="1:15" s="3" customFormat="1" ht="13.2">
      <c r="A1372" s="520"/>
      <c r="O1372" s="107"/>
    </row>
    <row r="1373" spans="1:15" s="3" customFormat="1" ht="13.2">
      <c r="A1373" s="520"/>
      <c r="O1373" s="107"/>
    </row>
    <row r="1374" spans="1:15" s="3" customFormat="1" ht="13.2">
      <c r="A1374" s="520"/>
      <c r="O1374" s="107"/>
    </row>
    <row r="1375" spans="1:15" s="3" customFormat="1" ht="13.2">
      <c r="A1375" s="520"/>
      <c r="O1375" s="107"/>
    </row>
    <row r="1376" spans="1:15" s="3" customFormat="1" ht="13.2">
      <c r="A1376" s="520"/>
      <c r="O1376" s="107"/>
    </row>
    <row r="1377" spans="1:15" s="3" customFormat="1" ht="13.2">
      <c r="A1377" s="520"/>
      <c r="O1377" s="107"/>
    </row>
    <row r="1378" spans="1:15" s="3" customFormat="1" ht="13.2">
      <c r="A1378" s="520"/>
      <c r="O1378" s="107"/>
    </row>
    <row r="1379" spans="1:15" s="3" customFormat="1" ht="13.2">
      <c r="A1379" s="520"/>
      <c r="O1379" s="107"/>
    </row>
    <row r="1380" spans="1:15" s="3" customFormat="1" ht="13.2">
      <c r="A1380" s="520"/>
      <c r="O1380" s="107"/>
    </row>
    <row r="1381" spans="1:15" s="3" customFormat="1" ht="13.2">
      <c r="A1381" s="520"/>
      <c r="O1381" s="107"/>
    </row>
    <row r="1382" spans="1:15" s="3" customFormat="1" ht="13.2">
      <c r="A1382" s="520"/>
      <c r="O1382" s="107"/>
    </row>
    <row r="1383" spans="1:15" s="3" customFormat="1" ht="13.2">
      <c r="A1383" s="520"/>
      <c r="O1383" s="107"/>
    </row>
    <row r="1384" spans="1:15" s="3" customFormat="1" ht="13.2">
      <c r="A1384" s="520"/>
      <c r="O1384" s="107"/>
    </row>
    <row r="1385" spans="1:15" s="3" customFormat="1" ht="13.2">
      <c r="A1385" s="520"/>
      <c r="O1385" s="107"/>
    </row>
    <row r="1386" spans="1:15" s="3" customFormat="1" ht="13.2">
      <c r="A1386" s="520"/>
      <c r="O1386" s="107"/>
    </row>
    <row r="1387" spans="1:15" s="3" customFormat="1" ht="13.2">
      <c r="A1387" s="520"/>
      <c r="O1387" s="107"/>
    </row>
    <row r="1388" spans="1:15" s="3" customFormat="1" ht="13.2">
      <c r="A1388" s="520"/>
      <c r="O1388" s="107"/>
    </row>
    <row r="1389" spans="1:15" s="3" customFormat="1" ht="13.2">
      <c r="A1389" s="520"/>
      <c r="O1389" s="107"/>
    </row>
    <row r="1390" spans="1:15" s="3" customFormat="1" ht="13.2">
      <c r="A1390" s="520"/>
      <c r="O1390" s="107"/>
    </row>
    <row r="1391" spans="1:15" s="3" customFormat="1" ht="13.2">
      <c r="A1391" s="520"/>
      <c r="O1391" s="107"/>
    </row>
    <row r="1392" spans="1:15" s="3" customFormat="1" ht="13.2">
      <c r="A1392" s="520"/>
      <c r="O1392" s="107"/>
    </row>
    <row r="1393" spans="1:15" s="3" customFormat="1" ht="13.2">
      <c r="A1393" s="520"/>
      <c r="O1393" s="107"/>
    </row>
    <row r="1394" spans="1:15" s="3" customFormat="1" ht="13.2">
      <c r="A1394" s="520"/>
      <c r="O1394" s="107"/>
    </row>
    <row r="1395" spans="1:15" s="3" customFormat="1" ht="13.2">
      <c r="A1395" s="520"/>
      <c r="O1395" s="107"/>
    </row>
    <row r="1396" spans="1:15" s="3" customFormat="1" ht="13.2">
      <c r="A1396" s="520"/>
      <c r="O1396" s="107"/>
    </row>
    <row r="1397" spans="1:15" s="3" customFormat="1" ht="13.2">
      <c r="A1397" s="520"/>
      <c r="O1397" s="107"/>
    </row>
    <row r="1398" spans="1:15" s="3" customFormat="1" ht="13.2">
      <c r="A1398" s="520"/>
      <c r="O1398" s="107"/>
    </row>
    <row r="1399" spans="1:15" s="3" customFormat="1" ht="13.2">
      <c r="A1399" s="520"/>
      <c r="O1399" s="107"/>
    </row>
    <row r="1400" spans="1:15" s="3" customFormat="1" ht="13.2">
      <c r="A1400" s="520"/>
      <c r="O1400" s="107"/>
    </row>
    <row r="1401" spans="1:15" s="3" customFormat="1" ht="13.2">
      <c r="A1401" s="520"/>
      <c r="O1401" s="107"/>
    </row>
    <row r="1402" spans="1:15" s="3" customFormat="1" ht="13.2">
      <c r="A1402" s="520"/>
      <c r="O1402" s="107"/>
    </row>
    <row r="1403" spans="1:15" s="3" customFormat="1" ht="13.2">
      <c r="A1403" s="520"/>
      <c r="O1403" s="107"/>
    </row>
    <row r="1404" spans="1:15" s="3" customFormat="1" ht="13.2">
      <c r="A1404" s="520"/>
      <c r="O1404" s="107"/>
    </row>
    <row r="1405" spans="1:15" s="3" customFormat="1" ht="13.2">
      <c r="A1405" s="520"/>
      <c r="O1405" s="107"/>
    </row>
    <row r="1406" spans="1:15" s="3" customFormat="1" ht="13.2">
      <c r="A1406" s="520"/>
      <c r="O1406" s="107"/>
    </row>
    <row r="1407" spans="1:15" s="3" customFormat="1" ht="13.2">
      <c r="A1407" s="520"/>
      <c r="O1407" s="107"/>
    </row>
    <row r="1408" spans="1:15" s="3" customFormat="1" ht="13.2">
      <c r="A1408" s="520"/>
      <c r="O1408" s="107"/>
    </row>
    <row r="1409" spans="1:15" s="3" customFormat="1" ht="13.2">
      <c r="A1409" s="520"/>
      <c r="O1409" s="107"/>
    </row>
    <row r="1410" spans="1:15" s="3" customFormat="1" ht="13.2">
      <c r="A1410" s="520"/>
      <c r="O1410" s="107"/>
    </row>
    <row r="1411" spans="1:15" s="3" customFormat="1" ht="13.2">
      <c r="A1411" s="520"/>
      <c r="O1411" s="107"/>
    </row>
    <row r="1412" spans="1:15" s="3" customFormat="1" ht="13.2">
      <c r="A1412" s="520"/>
      <c r="O1412" s="107"/>
    </row>
    <row r="1413" spans="1:15" s="3" customFormat="1" ht="13.2">
      <c r="A1413" s="520"/>
      <c r="O1413" s="107"/>
    </row>
    <row r="1414" spans="1:15" s="3" customFormat="1" ht="13.2">
      <c r="A1414" s="520"/>
      <c r="O1414" s="107"/>
    </row>
    <row r="1415" spans="1:15" s="3" customFormat="1" ht="13.2">
      <c r="A1415" s="520"/>
      <c r="O1415" s="107"/>
    </row>
    <row r="1416" spans="1:15" s="3" customFormat="1" ht="13.2">
      <c r="A1416" s="520"/>
      <c r="O1416" s="107"/>
    </row>
    <row r="1417" spans="1:15" s="3" customFormat="1" ht="13.2">
      <c r="A1417" s="520"/>
      <c r="O1417" s="107"/>
    </row>
    <row r="1418" spans="1:15" s="3" customFormat="1" ht="13.2">
      <c r="A1418" s="520"/>
      <c r="O1418" s="107"/>
    </row>
    <row r="1419" spans="1:15" s="3" customFormat="1" ht="13.2">
      <c r="A1419" s="520"/>
      <c r="O1419" s="107"/>
    </row>
    <row r="1420" spans="1:15" s="3" customFormat="1" ht="13.2">
      <c r="A1420" s="520"/>
      <c r="O1420" s="107"/>
    </row>
    <row r="1421" spans="1:15" s="3" customFormat="1" ht="13.2">
      <c r="A1421" s="520"/>
      <c r="O1421" s="107"/>
    </row>
    <row r="1422" spans="1:15" s="3" customFormat="1" ht="13.2">
      <c r="A1422" s="520"/>
      <c r="O1422" s="107"/>
    </row>
    <row r="1423" spans="1:15" s="3" customFormat="1" ht="13.2">
      <c r="A1423" s="520"/>
      <c r="O1423" s="107"/>
    </row>
    <row r="1424" spans="1:15" s="3" customFormat="1" ht="13.2">
      <c r="A1424" s="520"/>
      <c r="O1424" s="107"/>
    </row>
    <row r="1425" spans="1:15" s="3" customFormat="1" ht="13.2">
      <c r="A1425" s="520"/>
      <c r="O1425" s="107"/>
    </row>
    <row r="1426" spans="1:15" s="3" customFormat="1" ht="13.2">
      <c r="A1426" s="520"/>
      <c r="O1426" s="107"/>
    </row>
    <row r="1427" spans="1:15" s="3" customFormat="1" ht="13.2">
      <c r="A1427" s="520"/>
      <c r="O1427" s="107"/>
    </row>
    <row r="1428" spans="1:15" s="3" customFormat="1" ht="13.2">
      <c r="A1428" s="520"/>
      <c r="O1428" s="107"/>
    </row>
    <row r="1429" spans="1:15" s="3" customFormat="1" ht="13.2">
      <c r="A1429" s="520"/>
      <c r="O1429" s="107"/>
    </row>
    <row r="1430" spans="1:15" s="3" customFormat="1" ht="13.2">
      <c r="A1430" s="520"/>
      <c r="O1430" s="107"/>
    </row>
    <row r="1431" spans="1:15" s="3" customFormat="1" ht="13.2">
      <c r="A1431" s="520"/>
      <c r="O1431" s="107"/>
    </row>
    <row r="1432" spans="1:15" s="3" customFormat="1" ht="13.2">
      <c r="A1432" s="520"/>
      <c r="O1432" s="107"/>
    </row>
    <row r="1433" spans="1:15" s="3" customFormat="1" ht="13.2">
      <c r="A1433" s="520"/>
      <c r="O1433" s="107"/>
    </row>
    <row r="1434" spans="1:15" s="3" customFormat="1" ht="13.2">
      <c r="A1434" s="520"/>
      <c r="O1434" s="107"/>
    </row>
    <row r="1435" spans="1:15" s="3" customFormat="1" ht="13.2">
      <c r="A1435" s="520"/>
      <c r="O1435" s="107"/>
    </row>
    <row r="1436" spans="1:15" s="3" customFormat="1" ht="13.2">
      <c r="A1436" s="520"/>
      <c r="O1436" s="107"/>
    </row>
    <row r="1437" spans="1:15" s="3" customFormat="1" ht="13.2">
      <c r="A1437" s="520"/>
      <c r="O1437" s="107"/>
    </row>
    <row r="1438" spans="1:15" s="3" customFormat="1" ht="13.2">
      <c r="A1438" s="520"/>
      <c r="O1438" s="107"/>
    </row>
    <row r="1439" spans="1:15" s="3" customFormat="1" ht="13.2">
      <c r="A1439" s="520"/>
      <c r="O1439" s="107"/>
    </row>
    <row r="1440" spans="1:15" s="3" customFormat="1" ht="13.2">
      <c r="A1440" s="520"/>
      <c r="O1440" s="107"/>
    </row>
    <row r="1441" spans="1:15" s="3" customFormat="1" ht="13.2">
      <c r="A1441" s="520"/>
      <c r="O1441" s="107"/>
    </row>
    <row r="1442" spans="1:15" s="3" customFormat="1" ht="13.2">
      <c r="A1442" s="520"/>
      <c r="O1442" s="107"/>
    </row>
    <row r="1443" spans="1:15" s="3" customFormat="1" ht="13.2">
      <c r="A1443" s="520"/>
      <c r="O1443" s="107"/>
    </row>
    <row r="1444" spans="1:15" s="3" customFormat="1" ht="13.2">
      <c r="A1444" s="520"/>
      <c r="O1444" s="107"/>
    </row>
    <row r="1445" spans="1:15" s="3" customFormat="1" ht="13.2">
      <c r="A1445" s="520"/>
      <c r="O1445" s="107"/>
    </row>
    <row r="1446" spans="1:15" s="3" customFormat="1" ht="13.2">
      <c r="A1446" s="520"/>
      <c r="O1446" s="107"/>
    </row>
    <row r="1447" spans="1:15" s="3" customFormat="1" ht="13.2">
      <c r="A1447" s="520"/>
      <c r="O1447" s="107"/>
    </row>
    <row r="1448" spans="1:15" s="3" customFormat="1" ht="13.2">
      <c r="A1448" s="520"/>
      <c r="O1448" s="107"/>
    </row>
    <row r="1449" spans="1:15" s="3" customFormat="1" ht="13.2">
      <c r="A1449" s="520"/>
      <c r="O1449" s="107"/>
    </row>
    <row r="1450" spans="1:15" s="3" customFormat="1" ht="13.2">
      <c r="A1450" s="520"/>
      <c r="O1450" s="107"/>
    </row>
    <row r="1451" spans="1:15" s="3" customFormat="1" ht="13.2">
      <c r="A1451" s="520"/>
      <c r="O1451" s="107"/>
    </row>
    <row r="1452" spans="1:15" s="3" customFormat="1" ht="13.2">
      <c r="A1452" s="520"/>
      <c r="O1452" s="107"/>
    </row>
    <row r="1453" spans="1:15" s="3" customFormat="1" ht="13.2">
      <c r="A1453" s="520"/>
      <c r="O1453" s="107"/>
    </row>
    <row r="1454" spans="1:15" s="3" customFormat="1" ht="13.2">
      <c r="A1454" s="520"/>
      <c r="O1454" s="107"/>
    </row>
    <row r="1455" spans="1:15" s="3" customFormat="1" ht="13.2">
      <c r="A1455" s="520"/>
      <c r="O1455" s="107"/>
    </row>
    <row r="1456" spans="1:15" s="3" customFormat="1" ht="13.2">
      <c r="A1456" s="520"/>
      <c r="O1456" s="107"/>
    </row>
    <row r="1457" spans="1:15" s="3" customFormat="1" ht="13.2">
      <c r="A1457" s="520"/>
      <c r="O1457" s="107"/>
    </row>
    <row r="1458" spans="1:15" s="3" customFormat="1" ht="13.2">
      <c r="A1458" s="520"/>
      <c r="O1458" s="107"/>
    </row>
    <row r="1459" spans="1:15" s="3" customFormat="1" ht="13.2">
      <c r="A1459" s="520"/>
      <c r="O1459" s="107"/>
    </row>
    <row r="1460" spans="1:15" s="3" customFormat="1" ht="13.2">
      <c r="A1460" s="520"/>
      <c r="O1460" s="107"/>
    </row>
    <row r="1461" spans="1:15" s="3" customFormat="1" ht="13.2">
      <c r="A1461" s="520"/>
      <c r="O1461" s="107"/>
    </row>
    <row r="1462" spans="1:15" s="3" customFormat="1" ht="13.2">
      <c r="A1462" s="520"/>
      <c r="O1462" s="107"/>
    </row>
    <row r="1463" spans="1:15" s="3" customFormat="1" ht="13.2">
      <c r="A1463" s="520"/>
      <c r="O1463" s="107"/>
    </row>
    <row r="1464" spans="1:15" s="3" customFormat="1" ht="13.2">
      <c r="A1464" s="520"/>
      <c r="O1464" s="107"/>
    </row>
    <row r="1465" spans="1:15" s="3" customFormat="1" ht="13.2">
      <c r="A1465" s="520"/>
      <c r="O1465" s="107"/>
    </row>
    <row r="1466" spans="1:15" s="3" customFormat="1" ht="13.2">
      <c r="A1466" s="520"/>
      <c r="O1466" s="107"/>
    </row>
    <row r="1467" spans="1:15" s="3" customFormat="1" ht="13.2">
      <c r="A1467" s="520"/>
      <c r="O1467" s="107"/>
    </row>
    <row r="1468" spans="1:15" s="3" customFormat="1" ht="13.2">
      <c r="A1468" s="520"/>
      <c r="O1468" s="107"/>
    </row>
    <row r="1469" spans="1:15" s="3" customFormat="1" ht="13.2">
      <c r="A1469" s="520"/>
      <c r="O1469" s="107"/>
    </row>
    <row r="1470" spans="1:15" s="3" customFormat="1" ht="13.2">
      <c r="A1470" s="520"/>
      <c r="O1470" s="107"/>
    </row>
    <row r="1471" spans="1:15" s="3" customFormat="1" ht="13.2">
      <c r="A1471" s="520"/>
      <c r="O1471" s="107"/>
    </row>
    <row r="1472" spans="1:15" s="3" customFormat="1" ht="13.2">
      <c r="A1472" s="520"/>
      <c r="O1472" s="107"/>
    </row>
    <row r="1473" spans="1:15" s="3" customFormat="1" ht="13.2">
      <c r="A1473" s="520"/>
      <c r="O1473" s="107"/>
    </row>
    <row r="1474" spans="1:15" s="3" customFormat="1" ht="13.2">
      <c r="A1474" s="520"/>
      <c r="O1474" s="107"/>
    </row>
    <row r="1475" spans="1:15" s="3" customFormat="1" ht="13.2">
      <c r="A1475" s="520"/>
      <c r="O1475" s="107"/>
    </row>
    <row r="1476" spans="1:15" s="3" customFormat="1" ht="13.2">
      <c r="A1476" s="520"/>
      <c r="O1476" s="107"/>
    </row>
    <row r="1477" spans="1:15" s="3" customFormat="1" ht="13.2">
      <c r="A1477" s="520"/>
      <c r="O1477" s="107"/>
    </row>
    <row r="1478" spans="1:15" s="3" customFormat="1" ht="13.2">
      <c r="A1478" s="520"/>
      <c r="O1478" s="107"/>
    </row>
    <row r="1479" spans="1:15" s="3" customFormat="1" ht="13.2">
      <c r="A1479" s="520"/>
      <c r="O1479" s="107"/>
    </row>
    <row r="1480" spans="1:15" s="3" customFormat="1" ht="13.2">
      <c r="A1480" s="520"/>
      <c r="O1480" s="107"/>
    </row>
    <row r="1481" spans="1:15" s="3" customFormat="1" ht="13.2">
      <c r="A1481" s="520"/>
      <c r="O1481" s="107"/>
    </row>
    <row r="1482" spans="1:15" s="3" customFormat="1" ht="13.2">
      <c r="A1482" s="520"/>
      <c r="O1482" s="107"/>
    </row>
    <row r="1483" spans="1:15" s="3" customFormat="1" ht="13.2">
      <c r="A1483" s="520"/>
      <c r="O1483" s="107"/>
    </row>
    <row r="1484" spans="1:15" s="3" customFormat="1" ht="13.2">
      <c r="A1484" s="520"/>
      <c r="O1484" s="107"/>
    </row>
    <row r="1485" spans="1:15" s="3" customFormat="1" ht="13.2">
      <c r="A1485" s="520"/>
      <c r="O1485" s="107"/>
    </row>
    <row r="1486" spans="1:15" s="3" customFormat="1" ht="13.2">
      <c r="A1486" s="520"/>
      <c r="O1486" s="107"/>
    </row>
    <row r="1487" spans="1:15" s="3" customFormat="1" ht="13.2">
      <c r="A1487" s="520"/>
      <c r="O1487" s="107"/>
    </row>
    <row r="1488" spans="1:15" s="3" customFormat="1" ht="13.2">
      <c r="A1488" s="520"/>
      <c r="O1488" s="107"/>
    </row>
    <row r="1489" spans="1:15" s="3" customFormat="1" ht="13.2">
      <c r="A1489" s="520"/>
      <c r="O1489" s="107"/>
    </row>
    <row r="1490" spans="1:15" s="3" customFormat="1" ht="13.2">
      <c r="A1490" s="520"/>
      <c r="O1490" s="107"/>
    </row>
    <row r="1491" spans="1:15" s="3" customFormat="1" ht="13.2">
      <c r="A1491" s="520"/>
      <c r="O1491" s="107"/>
    </row>
    <row r="1492" spans="1:15" s="3" customFormat="1" ht="13.2">
      <c r="A1492" s="520"/>
      <c r="O1492" s="107"/>
    </row>
    <row r="1493" spans="1:15" s="3" customFormat="1" ht="13.2">
      <c r="A1493" s="520"/>
      <c r="O1493" s="107"/>
    </row>
    <row r="1494" spans="1:15" s="3" customFormat="1" ht="13.2">
      <c r="A1494" s="520"/>
      <c r="O1494" s="107"/>
    </row>
    <row r="1495" spans="1:15" s="3" customFormat="1" ht="13.2">
      <c r="A1495" s="520"/>
      <c r="O1495" s="107"/>
    </row>
    <row r="1496" spans="1:15" s="3" customFormat="1" ht="13.2">
      <c r="A1496" s="520"/>
      <c r="O1496" s="107"/>
    </row>
    <row r="1497" spans="1:15" s="3" customFormat="1" ht="13.2">
      <c r="A1497" s="520"/>
      <c r="O1497" s="107"/>
    </row>
    <row r="1498" spans="1:15" s="3" customFormat="1" ht="13.2">
      <c r="A1498" s="520"/>
      <c r="O1498" s="107"/>
    </row>
    <row r="1499" spans="1:15" s="3" customFormat="1" ht="13.2">
      <c r="A1499" s="520"/>
      <c r="O1499" s="107"/>
    </row>
    <row r="1500" spans="1:15" s="3" customFormat="1" ht="13.2">
      <c r="A1500" s="520"/>
      <c r="O1500" s="107"/>
    </row>
    <row r="1501" spans="1:15" s="3" customFormat="1" ht="13.2">
      <c r="A1501" s="520"/>
      <c r="O1501" s="107"/>
    </row>
    <row r="1502" spans="1:15" s="3" customFormat="1" ht="13.2">
      <c r="A1502" s="520"/>
      <c r="O1502" s="107"/>
    </row>
    <row r="1503" spans="1:15" s="3" customFormat="1" ht="13.2">
      <c r="A1503" s="520"/>
      <c r="O1503" s="107"/>
    </row>
    <row r="1504" spans="1:15" s="3" customFormat="1" ht="13.2">
      <c r="A1504" s="520"/>
      <c r="O1504" s="107"/>
    </row>
    <row r="1505" spans="1:15" s="3" customFormat="1" ht="13.2">
      <c r="A1505" s="520"/>
      <c r="O1505" s="107"/>
    </row>
    <row r="1506" spans="1:15" s="3" customFormat="1" ht="13.2">
      <c r="A1506" s="520"/>
      <c r="O1506" s="107"/>
    </row>
    <row r="1507" spans="1:15" s="3" customFormat="1" ht="13.2">
      <c r="A1507" s="520"/>
      <c r="O1507" s="107"/>
    </row>
    <row r="1508" spans="1:15" s="3" customFormat="1" ht="13.2">
      <c r="A1508" s="520"/>
      <c r="O1508" s="107"/>
    </row>
    <row r="1509" spans="1:15" s="3" customFormat="1" ht="13.2">
      <c r="A1509" s="520"/>
      <c r="O1509" s="107"/>
    </row>
    <row r="1510" spans="1:15" s="3" customFormat="1" ht="13.2">
      <c r="A1510" s="520"/>
      <c r="O1510" s="107"/>
    </row>
    <row r="1511" spans="1:15" s="3" customFormat="1" ht="13.2">
      <c r="A1511" s="520"/>
      <c r="O1511" s="107"/>
    </row>
    <row r="1512" spans="1:15" s="3" customFormat="1" ht="13.2">
      <c r="A1512" s="520"/>
      <c r="O1512" s="107"/>
    </row>
    <row r="1513" spans="1:15" s="3" customFormat="1" ht="13.2">
      <c r="A1513" s="520"/>
      <c r="O1513" s="107"/>
    </row>
    <row r="1514" spans="1:15" s="3" customFormat="1" ht="13.2">
      <c r="A1514" s="520"/>
      <c r="O1514" s="107"/>
    </row>
    <row r="1515" spans="1:15" s="3" customFormat="1" ht="13.2">
      <c r="A1515" s="520"/>
      <c r="O1515" s="107"/>
    </row>
    <row r="1516" spans="1:15" s="3" customFormat="1" ht="13.2">
      <c r="A1516" s="520"/>
      <c r="O1516" s="107"/>
    </row>
    <row r="1517" spans="1:15" s="3" customFormat="1" ht="13.2">
      <c r="A1517" s="520"/>
      <c r="O1517" s="107"/>
    </row>
    <row r="1518" spans="1:15" s="3" customFormat="1" ht="13.2">
      <c r="A1518" s="520"/>
      <c r="O1518" s="107"/>
    </row>
    <row r="1519" spans="1:15" s="3" customFormat="1" ht="13.2">
      <c r="A1519" s="520"/>
      <c r="O1519" s="107"/>
    </row>
    <row r="1520" spans="1:15" s="3" customFormat="1" ht="13.2">
      <c r="A1520" s="520"/>
      <c r="O1520" s="107"/>
    </row>
    <row r="1521" spans="1:15" s="3" customFormat="1" ht="13.2">
      <c r="A1521" s="520"/>
      <c r="O1521" s="107"/>
    </row>
    <row r="1522" spans="1:15" s="3" customFormat="1" ht="13.2">
      <c r="A1522" s="520"/>
      <c r="O1522" s="107"/>
    </row>
    <row r="1523" spans="1:15" s="3" customFormat="1" ht="13.2">
      <c r="A1523" s="520"/>
      <c r="O1523" s="107"/>
    </row>
    <row r="1524" spans="1:15" s="3" customFormat="1" ht="13.2">
      <c r="A1524" s="520"/>
      <c r="O1524" s="107"/>
    </row>
    <row r="1525" spans="1:15" s="3" customFormat="1" ht="13.2">
      <c r="A1525" s="520"/>
      <c r="O1525" s="107"/>
    </row>
    <row r="1526" spans="1:15" s="3" customFormat="1" ht="13.2">
      <c r="A1526" s="520"/>
      <c r="O1526" s="107"/>
    </row>
    <row r="1527" spans="1:15" s="3" customFormat="1" ht="13.2">
      <c r="A1527" s="520"/>
      <c r="O1527" s="107"/>
    </row>
    <row r="1528" spans="1:15" s="3" customFormat="1" ht="13.2">
      <c r="A1528" s="520"/>
      <c r="O1528" s="107"/>
    </row>
    <row r="1529" spans="1:15" s="3" customFormat="1" ht="13.2">
      <c r="A1529" s="520"/>
      <c r="O1529" s="107"/>
    </row>
    <row r="1530" spans="1:15" s="3" customFormat="1" ht="13.2">
      <c r="A1530" s="520"/>
      <c r="O1530" s="107"/>
    </row>
    <row r="1531" spans="1:15" s="3" customFormat="1" ht="13.2">
      <c r="A1531" s="520"/>
      <c r="O1531" s="107"/>
    </row>
    <row r="1532" spans="1:15" s="3" customFormat="1" ht="13.2">
      <c r="A1532" s="520"/>
      <c r="O1532" s="107"/>
    </row>
    <row r="1533" spans="1:15" s="3" customFormat="1" ht="13.2">
      <c r="A1533" s="520"/>
      <c r="O1533" s="107"/>
    </row>
    <row r="1534" spans="1:15" s="3" customFormat="1" ht="13.2">
      <c r="A1534" s="520"/>
      <c r="O1534" s="107"/>
    </row>
    <row r="1535" spans="1:15" s="3" customFormat="1" ht="13.2">
      <c r="A1535" s="520"/>
      <c r="O1535" s="107"/>
    </row>
    <row r="1536" spans="1:15" s="3" customFormat="1" ht="13.2">
      <c r="A1536" s="520"/>
      <c r="O1536" s="107"/>
    </row>
    <row r="1537" spans="1:15" s="3" customFormat="1" ht="13.2">
      <c r="A1537" s="520"/>
      <c r="O1537" s="107"/>
    </row>
    <row r="1538" spans="1:15" s="3" customFormat="1" ht="13.2">
      <c r="A1538" s="520"/>
      <c r="O1538" s="107"/>
    </row>
    <row r="1539" spans="1:15" s="3" customFormat="1" ht="13.2">
      <c r="A1539" s="520"/>
      <c r="O1539" s="107"/>
    </row>
    <row r="1540" spans="1:15" s="3" customFormat="1" ht="13.2">
      <c r="A1540" s="520"/>
      <c r="O1540" s="107"/>
    </row>
    <row r="1541" spans="1:15" s="3" customFormat="1" ht="13.2">
      <c r="A1541" s="520"/>
      <c r="O1541" s="107"/>
    </row>
    <row r="1542" spans="1:15" s="3" customFormat="1" ht="13.2">
      <c r="A1542" s="520"/>
      <c r="O1542" s="107"/>
    </row>
    <row r="1543" spans="1:15" s="3" customFormat="1" ht="13.2">
      <c r="A1543" s="520"/>
      <c r="O1543" s="107"/>
    </row>
    <row r="1544" spans="1:15" s="3" customFormat="1" ht="13.2">
      <c r="A1544" s="520"/>
      <c r="O1544" s="107"/>
    </row>
    <row r="1545" spans="1:15" s="3" customFormat="1" ht="13.2">
      <c r="A1545" s="520"/>
      <c r="O1545" s="107"/>
    </row>
    <row r="1546" spans="1:15" s="3" customFormat="1" ht="13.2">
      <c r="A1546" s="520"/>
      <c r="O1546" s="107"/>
    </row>
    <row r="1547" spans="1:15" s="3" customFormat="1" ht="13.2">
      <c r="A1547" s="520"/>
      <c r="O1547" s="107"/>
    </row>
    <row r="1548" spans="1:15" s="3" customFormat="1" ht="13.2">
      <c r="A1548" s="520"/>
      <c r="O1548" s="107"/>
    </row>
    <row r="1549" spans="1:15" s="3" customFormat="1" ht="13.2">
      <c r="A1549" s="520"/>
      <c r="O1549" s="107"/>
    </row>
    <row r="1550" spans="1:15" s="3" customFormat="1" ht="13.2">
      <c r="A1550" s="520"/>
      <c r="O1550" s="107"/>
    </row>
    <row r="1551" spans="1:15" s="3" customFormat="1" ht="13.2">
      <c r="A1551" s="520"/>
      <c r="O1551" s="107"/>
    </row>
    <row r="1552" spans="1:15" s="3" customFormat="1" ht="13.2">
      <c r="A1552" s="520"/>
      <c r="O1552" s="107"/>
    </row>
    <row r="1553" spans="1:15" s="3" customFormat="1" ht="13.2">
      <c r="A1553" s="520"/>
      <c r="O1553" s="107"/>
    </row>
    <row r="1554" spans="1:15" s="3" customFormat="1" ht="13.2">
      <c r="A1554" s="520"/>
      <c r="O1554" s="107"/>
    </row>
    <row r="1555" spans="1:15" s="3" customFormat="1" ht="13.2">
      <c r="A1555" s="520"/>
      <c r="O1555" s="107"/>
    </row>
    <row r="1556" spans="1:15" s="3" customFormat="1" ht="13.2">
      <c r="A1556" s="520"/>
      <c r="O1556" s="107"/>
    </row>
    <row r="1557" spans="1:15" s="3" customFormat="1" ht="13.2">
      <c r="A1557" s="520"/>
      <c r="O1557" s="107"/>
    </row>
    <row r="1558" spans="1:15" s="3" customFormat="1" ht="13.2">
      <c r="A1558" s="520"/>
      <c r="O1558" s="107"/>
    </row>
    <row r="1559" spans="1:15" s="3" customFormat="1" ht="13.2">
      <c r="A1559" s="520"/>
      <c r="O1559" s="107"/>
    </row>
    <row r="1560" spans="1:15" s="3" customFormat="1" ht="13.2">
      <c r="A1560" s="520"/>
      <c r="O1560" s="107"/>
    </row>
    <row r="1561" spans="1:15" s="3" customFormat="1" ht="13.2">
      <c r="A1561" s="520"/>
      <c r="O1561" s="107"/>
    </row>
    <row r="1562" spans="1:15" s="3" customFormat="1" ht="13.2">
      <c r="A1562" s="520"/>
      <c r="O1562" s="107"/>
    </row>
    <row r="1563" spans="1:15" s="3" customFormat="1" ht="13.2">
      <c r="A1563" s="520"/>
      <c r="O1563" s="107"/>
    </row>
    <row r="1564" spans="1:15" s="3" customFormat="1" ht="13.2">
      <c r="A1564" s="520"/>
      <c r="O1564" s="107"/>
    </row>
    <row r="1565" spans="1:15" s="3" customFormat="1" ht="13.2">
      <c r="A1565" s="520"/>
      <c r="O1565" s="107"/>
    </row>
    <row r="1566" spans="1:15" s="3" customFormat="1" ht="13.2">
      <c r="A1566" s="520"/>
      <c r="O1566" s="107"/>
    </row>
    <row r="1567" spans="1:15" s="3" customFormat="1" ht="13.2">
      <c r="A1567" s="520"/>
      <c r="O1567" s="107"/>
    </row>
    <row r="1568" spans="1:15" s="3" customFormat="1" ht="13.2">
      <c r="A1568" s="520"/>
      <c r="O1568" s="107"/>
    </row>
    <row r="1569" spans="1:15" s="3" customFormat="1" ht="13.2">
      <c r="A1569" s="520"/>
      <c r="O1569" s="107"/>
    </row>
    <row r="1570" spans="1:15" s="3" customFormat="1" ht="13.2">
      <c r="A1570" s="520"/>
      <c r="O1570" s="107"/>
    </row>
    <row r="1571" spans="1:15" s="3" customFormat="1" ht="13.2">
      <c r="A1571" s="520"/>
      <c r="O1571" s="107"/>
    </row>
    <row r="1572" spans="1:15" s="3" customFormat="1" ht="13.2">
      <c r="A1572" s="520"/>
      <c r="O1572" s="107"/>
    </row>
    <row r="1573" spans="1:15" s="3" customFormat="1" ht="13.2">
      <c r="A1573" s="520"/>
      <c r="O1573" s="107"/>
    </row>
    <row r="1574" spans="1:15" s="3" customFormat="1" ht="13.2">
      <c r="A1574" s="520"/>
      <c r="O1574" s="107"/>
    </row>
    <row r="1575" spans="1:15" s="3" customFormat="1" ht="13.2">
      <c r="A1575" s="520"/>
      <c r="O1575" s="107"/>
    </row>
    <row r="1576" spans="1:15" s="3" customFormat="1" ht="13.2">
      <c r="A1576" s="520"/>
      <c r="O1576" s="107"/>
    </row>
    <row r="1577" spans="1:15" s="3" customFormat="1" ht="13.2">
      <c r="A1577" s="520"/>
      <c r="O1577" s="107"/>
    </row>
    <row r="1578" spans="1:15" s="3" customFormat="1" ht="13.2">
      <c r="A1578" s="520"/>
      <c r="O1578" s="107"/>
    </row>
    <row r="1579" spans="1:15" s="3" customFormat="1" ht="13.2">
      <c r="A1579" s="520"/>
      <c r="O1579" s="107"/>
    </row>
    <row r="1580" spans="1:15" s="3" customFormat="1" ht="13.2">
      <c r="A1580" s="520"/>
      <c r="O1580" s="107"/>
    </row>
    <row r="1581" spans="1:15" s="3" customFormat="1" ht="13.2">
      <c r="A1581" s="520"/>
      <c r="O1581" s="107"/>
    </row>
    <row r="1582" spans="1:15" s="3" customFormat="1" ht="13.2">
      <c r="A1582" s="520"/>
      <c r="O1582" s="107"/>
    </row>
    <row r="1583" spans="1:15" s="3" customFormat="1" ht="13.2">
      <c r="A1583" s="520"/>
      <c r="O1583" s="107"/>
    </row>
    <row r="1584" spans="1:15" s="3" customFormat="1" ht="13.2">
      <c r="A1584" s="520"/>
      <c r="O1584" s="107"/>
    </row>
    <row r="1585" spans="1:15" s="3" customFormat="1" ht="13.2">
      <c r="A1585" s="520"/>
      <c r="O1585" s="107"/>
    </row>
    <row r="1586" spans="1:15" s="3" customFormat="1" ht="13.2">
      <c r="A1586" s="520"/>
      <c r="O1586" s="107"/>
    </row>
    <row r="1587" spans="1:15" s="3" customFormat="1" ht="13.2">
      <c r="A1587" s="520"/>
      <c r="O1587" s="107"/>
    </row>
    <row r="1588" spans="1:15" s="3" customFormat="1" ht="13.2">
      <c r="A1588" s="520"/>
      <c r="O1588" s="107"/>
    </row>
    <row r="1589" spans="1:15" s="3" customFormat="1" ht="13.2">
      <c r="A1589" s="520"/>
      <c r="O1589" s="107"/>
    </row>
    <row r="1590" spans="1:15" s="3" customFormat="1" ht="13.2">
      <c r="A1590" s="520"/>
      <c r="O1590" s="107"/>
    </row>
    <row r="1591" spans="1:15" s="3" customFormat="1" ht="13.2">
      <c r="A1591" s="520"/>
      <c r="O1591" s="107"/>
    </row>
    <row r="1592" spans="1:15" s="3" customFormat="1" ht="13.2">
      <c r="A1592" s="520"/>
      <c r="O1592" s="107"/>
    </row>
    <row r="1593" spans="1:15" s="3" customFormat="1" ht="13.2">
      <c r="A1593" s="520"/>
      <c r="O1593" s="107"/>
    </row>
    <row r="1594" spans="1:15" s="3" customFormat="1" ht="13.2">
      <c r="A1594" s="520"/>
      <c r="O1594" s="107"/>
    </row>
    <row r="1595" spans="1:15" s="3" customFormat="1" ht="13.2">
      <c r="A1595" s="520"/>
      <c r="O1595" s="107"/>
    </row>
    <row r="1596" spans="1:15" s="3" customFormat="1" ht="13.2">
      <c r="A1596" s="520"/>
      <c r="O1596" s="107"/>
    </row>
    <row r="1597" spans="1:15" s="3" customFormat="1" ht="13.2">
      <c r="A1597" s="520"/>
      <c r="O1597" s="107"/>
    </row>
    <row r="1598" spans="1:15" s="3" customFormat="1" ht="13.2">
      <c r="A1598" s="520"/>
      <c r="O1598" s="107"/>
    </row>
    <row r="1599" spans="1:15" s="3" customFormat="1" ht="13.2">
      <c r="A1599" s="520"/>
      <c r="O1599" s="107"/>
    </row>
    <row r="1600" spans="1:15" s="3" customFormat="1" ht="13.2">
      <c r="A1600" s="520"/>
      <c r="O1600" s="107"/>
    </row>
    <row r="1601" spans="1:15" s="3" customFormat="1" ht="13.2">
      <c r="A1601" s="520"/>
      <c r="O1601" s="107"/>
    </row>
    <row r="1602" spans="1:15" s="3" customFormat="1" ht="13.2">
      <c r="A1602" s="520"/>
      <c r="O1602" s="107"/>
    </row>
    <row r="1603" spans="1:15" s="3" customFormat="1" ht="13.2">
      <c r="A1603" s="520"/>
      <c r="O1603" s="107"/>
    </row>
    <row r="1604" spans="1:15" s="3" customFormat="1" ht="13.2">
      <c r="A1604" s="520"/>
      <c r="O1604" s="107"/>
    </row>
    <row r="1605" spans="1:15" s="3" customFormat="1" ht="13.2">
      <c r="A1605" s="520"/>
      <c r="O1605" s="107"/>
    </row>
    <row r="1606" spans="1:15" s="3" customFormat="1" ht="13.2">
      <c r="A1606" s="520"/>
      <c r="O1606" s="107"/>
    </row>
    <row r="1607" spans="1:15" s="3" customFormat="1" ht="13.2">
      <c r="A1607" s="520"/>
      <c r="O1607" s="107"/>
    </row>
    <row r="1608" spans="1:15" s="3" customFormat="1" ht="13.2">
      <c r="A1608" s="520"/>
      <c r="O1608" s="107"/>
    </row>
    <row r="1609" spans="1:15" s="3" customFormat="1" ht="13.2">
      <c r="A1609" s="520"/>
      <c r="O1609" s="107"/>
    </row>
    <row r="1610" spans="1:15" s="3" customFormat="1" ht="13.2">
      <c r="A1610" s="520"/>
      <c r="O1610" s="107"/>
    </row>
    <row r="1611" spans="1:15" s="3" customFormat="1" ht="13.2">
      <c r="A1611" s="520"/>
      <c r="O1611" s="107"/>
    </row>
    <row r="1612" spans="1:15" s="3" customFormat="1" ht="13.2">
      <c r="A1612" s="520"/>
      <c r="O1612" s="107"/>
    </row>
    <row r="1613" spans="1:15" s="3" customFormat="1" ht="13.2">
      <c r="A1613" s="520"/>
      <c r="O1613" s="107"/>
    </row>
    <row r="1614" spans="1:15" s="3" customFormat="1" ht="13.2">
      <c r="A1614" s="520"/>
      <c r="O1614" s="107"/>
    </row>
    <row r="1615" spans="1:15" s="3" customFormat="1" ht="13.2">
      <c r="A1615" s="520"/>
      <c r="O1615" s="107"/>
    </row>
    <row r="1616" spans="1:15" s="3" customFormat="1" ht="13.2">
      <c r="A1616" s="520"/>
      <c r="O1616" s="107"/>
    </row>
    <row r="1617" spans="1:15" s="3" customFormat="1" ht="13.2">
      <c r="A1617" s="520"/>
      <c r="O1617" s="107"/>
    </row>
    <row r="1618" spans="1:15" s="3" customFormat="1" ht="13.2">
      <c r="A1618" s="520"/>
      <c r="O1618" s="107"/>
    </row>
    <row r="1619" spans="1:15" s="3" customFormat="1" ht="13.2">
      <c r="A1619" s="520"/>
      <c r="O1619" s="107"/>
    </row>
    <row r="1620" spans="1:15" s="3" customFormat="1" ht="13.2">
      <c r="A1620" s="520"/>
      <c r="O1620" s="107"/>
    </row>
    <row r="1621" spans="1:15" s="3" customFormat="1" ht="13.2">
      <c r="A1621" s="520"/>
      <c r="O1621" s="107"/>
    </row>
    <row r="1622" spans="1:15" s="3" customFormat="1" ht="13.2">
      <c r="A1622" s="520"/>
      <c r="O1622" s="107"/>
    </row>
    <row r="1623" spans="1:15" s="3" customFormat="1" ht="13.2">
      <c r="A1623" s="520"/>
      <c r="O1623" s="107"/>
    </row>
    <row r="1624" spans="1:15" s="3" customFormat="1" ht="13.2">
      <c r="A1624" s="520"/>
      <c r="O1624" s="107"/>
    </row>
    <row r="1625" spans="1:15" s="3" customFormat="1" ht="13.2">
      <c r="A1625" s="520"/>
      <c r="O1625" s="107"/>
    </row>
    <row r="1626" spans="1:15" s="3" customFormat="1" ht="13.2">
      <c r="A1626" s="520"/>
      <c r="O1626" s="107"/>
    </row>
    <row r="1627" spans="1:15" s="3" customFormat="1" ht="13.2">
      <c r="A1627" s="520"/>
      <c r="O1627" s="107"/>
    </row>
    <row r="1628" spans="1:15" s="3" customFormat="1" ht="13.2">
      <c r="A1628" s="520"/>
      <c r="O1628" s="107"/>
    </row>
    <row r="1629" spans="1:15" s="3" customFormat="1" ht="13.2">
      <c r="A1629" s="520"/>
      <c r="O1629" s="107"/>
    </row>
    <row r="1630" spans="1:15" s="3" customFormat="1" ht="13.2">
      <c r="A1630" s="520"/>
      <c r="O1630" s="107"/>
    </row>
    <row r="1631" spans="1:15" s="3" customFormat="1" ht="13.2">
      <c r="A1631" s="520"/>
      <c r="O1631" s="107"/>
    </row>
    <row r="1632" spans="1:15" s="3" customFormat="1" ht="13.2">
      <c r="A1632" s="520"/>
      <c r="O1632" s="107"/>
    </row>
    <row r="1633" spans="1:15" s="3" customFormat="1" ht="13.2">
      <c r="A1633" s="520"/>
      <c r="O1633" s="107"/>
    </row>
    <row r="1634" spans="1:15" s="3" customFormat="1" ht="13.2">
      <c r="A1634" s="520"/>
      <c r="O1634" s="107"/>
    </row>
    <row r="1635" spans="1:15" s="3" customFormat="1" ht="13.2">
      <c r="A1635" s="520"/>
      <c r="O1635" s="107"/>
    </row>
    <row r="1636" spans="1:15" s="3" customFormat="1" ht="13.2">
      <c r="A1636" s="520"/>
      <c r="O1636" s="107"/>
    </row>
    <row r="1637" spans="1:15" s="3" customFormat="1" ht="13.2">
      <c r="A1637" s="520"/>
      <c r="O1637" s="107"/>
    </row>
    <row r="1638" spans="1:15" s="3" customFormat="1" ht="13.2">
      <c r="A1638" s="520"/>
      <c r="O1638" s="107"/>
    </row>
    <row r="1639" spans="1:15" s="3" customFormat="1" ht="13.2">
      <c r="A1639" s="520"/>
      <c r="O1639" s="107"/>
    </row>
    <row r="1640" spans="1:15" s="3" customFormat="1" ht="13.2">
      <c r="A1640" s="520"/>
      <c r="O1640" s="107"/>
    </row>
    <row r="1641" spans="1:15" s="3" customFormat="1" ht="13.2">
      <c r="A1641" s="520"/>
      <c r="O1641" s="107"/>
    </row>
    <row r="1642" spans="1:15" s="3" customFormat="1" ht="13.2">
      <c r="A1642" s="520"/>
      <c r="O1642" s="107"/>
    </row>
    <row r="1643" spans="1:15" s="3" customFormat="1" ht="13.2">
      <c r="A1643" s="520"/>
      <c r="O1643" s="107"/>
    </row>
    <row r="1644" spans="1:15" s="3" customFormat="1" ht="13.2">
      <c r="A1644" s="520"/>
      <c r="O1644" s="107"/>
    </row>
    <row r="1645" spans="1:15" s="3" customFormat="1" ht="13.2">
      <c r="A1645" s="520"/>
      <c r="O1645" s="107"/>
    </row>
    <row r="1646" spans="1:15" s="3" customFormat="1" ht="13.2">
      <c r="A1646" s="520"/>
      <c r="O1646" s="107"/>
    </row>
    <row r="1647" spans="1:15" s="3" customFormat="1" ht="13.2">
      <c r="A1647" s="520"/>
      <c r="O1647" s="107"/>
    </row>
    <row r="1648" spans="1:15" s="3" customFormat="1" ht="13.2">
      <c r="A1648" s="520"/>
      <c r="O1648" s="107"/>
    </row>
    <row r="1649" spans="1:15" s="3" customFormat="1" ht="13.2">
      <c r="A1649" s="520"/>
      <c r="O1649" s="107"/>
    </row>
    <row r="1650" spans="1:15" s="3" customFormat="1" ht="13.2">
      <c r="A1650" s="520"/>
      <c r="O1650" s="107"/>
    </row>
    <row r="1651" spans="1:15" s="3" customFormat="1" ht="13.2">
      <c r="A1651" s="520"/>
      <c r="O1651" s="107"/>
    </row>
    <row r="1652" spans="1:15" s="3" customFormat="1" ht="13.2">
      <c r="A1652" s="520"/>
      <c r="O1652" s="107"/>
    </row>
    <row r="1653" spans="1:15" s="3" customFormat="1" ht="13.2">
      <c r="A1653" s="520"/>
      <c r="O1653" s="107"/>
    </row>
    <row r="1654" spans="1:15" s="3" customFormat="1" ht="13.2">
      <c r="A1654" s="520"/>
      <c r="O1654" s="107"/>
    </row>
    <row r="1655" spans="1:15" s="3" customFormat="1" ht="13.2">
      <c r="A1655" s="520"/>
      <c r="O1655" s="107"/>
    </row>
    <row r="1656" spans="1:15" s="3" customFormat="1" ht="13.2">
      <c r="A1656" s="520"/>
      <c r="O1656" s="107"/>
    </row>
    <row r="1657" spans="1:15" s="3" customFormat="1" ht="13.2">
      <c r="A1657" s="520"/>
      <c r="O1657" s="107"/>
    </row>
    <row r="1658" spans="1:15" s="3" customFormat="1" ht="13.2">
      <c r="A1658" s="520"/>
      <c r="O1658" s="107"/>
    </row>
    <row r="1659" spans="1:15" s="3" customFormat="1" ht="13.2">
      <c r="A1659" s="520"/>
      <c r="O1659" s="107"/>
    </row>
    <row r="1660" spans="1:15" s="3" customFormat="1" ht="13.2">
      <c r="A1660" s="520"/>
      <c r="O1660" s="107"/>
    </row>
    <row r="1661" spans="1:15" s="3" customFormat="1" ht="13.2">
      <c r="A1661" s="520"/>
      <c r="O1661" s="107"/>
    </row>
    <row r="1662" spans="1:15" s="3" customFormat="1" ht="13.2">
      <c r="A1662" s="520"/>
      <c r="O1662" s="107"/>
    </row>
    <row r="1663" spans="1:15" s="3" customFormat="1" ht="13.2">
      <c r="A1663" s="520"/>
      <c r="O1663" s="107"/>
    </row>
    <row r="1664" spans="1:15" s="3" customFormat="1" ht="13.2">
      <c r="A1664" s="520"/>
      <c r="O1664" s="107"/>
    </row>
    <row r="1665" spans="1:15" s="3" customFormat="1" ht="13.2">
      <c r="A1665" s="520"/>
      <c r="O1665" s="107"/>
    </row>
    <row r="1666" spans="1:15" s="3" customFormat="1" ht="13.2">
      <c r="A1666" s="520"/>
      <c r="O1666" s="107"/>
    </row>
    <row r="1667" spans="1:15" s="3" customFormat="1" ht="13.2">
      <c r="A1667" s="520"/>
      <c r="O1667" s="107"/>
    </row>
    <row r="1668" spans="1:15" s="3" customFormat="1" ht="13.2">
      <c r="A1668" s="520"/>
      <c r="O1668" s="107"/>
    </row>
    <row r="1669" spans="1:15" s="3" customFormat="1" ht="13.2">
      <c r="A1669" s="520"/>
      <c r="O1669" s="107"/>
    </row>
    <row r="1670" spans="1:15" s="3" customFormat="1" ht="13.2">
      <c r="A1670" s="520"/>
      <c r="O1670" s="107"/>
    </row>
    <row r="1671" spans="1:15" s="3" customFormat="1" ht="13.2">
      <c r="A1671" s="520"/>
      <c r="O1671" s="107"/>
    </row>
    <row r="1672" spans="1:15" s="3" customFormat="1" ht="13.2">
      <c r="A1672" s="520"/>
      <c r="O1672" s="107"/>
    </row>
    <row r="1673" spans="1:15" s="3" customFormat="1" ht="13.2">
      <c r="A1673" s="520"/>
      <c r="O1673" s="107"/>
    </row>
    <row r="1674" spans="1:15" s="3" customFormat="1" ht="13.2">
      <c r="A1674" s="520"/>
      <c r="O1674" s="107"/>
    </row>
    <row r="1675" spans="1:15" s="3" customFormat="1" ht="13.2">
      <c r="A1675" s="520"/>
      <c r="O1675" s="107"/>
    </row>
    <row r="1676" spans="1:15" s="3" customFormat="1" ht="13.2">
      <c r="A1676" s="520"/>
      <c r="O1676" s="107"/>
    </row>
    <row r="1677" spans="1:15" s="3" customFormat="1" ht="13.2">
      <c r="A1677" s="520"/>
      <c r="O1677" s="107"/>
    </row>
    <row r="1678" spans="1:15" s="3" customFormat="1" ht="13.2">
      <c r="A1678" s="520"/>
      <c r="O1678" s="107"/>
    </row>
    <row r="1679" spans="1:15" s="3" customFormat="1" ht="13.2">
      <c r="A1679" s="520"/>
      <c r="O1679" s="107"/>
    </row>
    <row r="1680" spans="1:15" s="3" customFormat="1" ht="13.2">
      <c r="A1680" s="520"/>
      <c r="O1680" s="107"/>
    </row>
    <row r="1681" spans="1:15" s="3" customFormat="1" ht="13.2">
      <c r="A1681" s="520"/>
      <c r="O1681" s="107"/>
    </row>
    <row r="1682" spans="1:15" s="3" customFormat="1" ht="13.2">
      <c r="A1682" s="520"/>
      <c r="O1682" s="107"/>
    </row>
    <row r="1683" spans="1:15" s="3" customFormat="1" ht="13.2">
      <c r="A1683" s="520"/>
      <c r="O1683" s="107"/>
    </row>
    <row r="1684" spans="1:15" s="3" customFormat="1" ht="13.2">
      <c r="A1684" s="520"/>
      <c r="O1684" s="107"/>
    </row>
    <row r="1685" spans="1:15" s="3" customFormat="1" ht="13.2">
      <c r="A1685" s="520"/>
      <c r="O1685" s="107"/>
    </row>
    <row r="1686" spans="1:15" s="3" customFormat="1" ht="13.2">
      <c r="A1686" s="520"/>
      <c r="O1686" s="107"/>
    </row>
    <row r="1687" spans="1:15" s="3" customFormat="1" ht="13.2">
      <c r="A1687" s="520"/>
      <c r="O1687" s="107"/>
    </row>
    <row r="1688" spans="1:15" s="3" customFormat="1" ht="13.2">
      <c r="A1688" s="520"/>
      <c r="O1688" s="107"/>
    </row>
    <row r="1689" spans="1:15" s="3" customFormat="1" ht="13.2">
      <c r="A1689" s="520"/>
      <c r="O1689" s="107"/>
    </row>
    <row r="1690" spans="1:15" s="3" customFormat="1" ht="13.2">
      <c r="A1690" s="520"/>
      <c r="O1690" s="107"/>
    </row>
    <row r="1691" spans="1:15" s="3" customFormat="1" ht="13.2">
      <c r="A1691" s="520"/>
      <c r="O1691" s="107"/>
    </row>
    <row r="1692" spans="1:15" s="3" customFormat="1" ht="13.2">
      <c r="A1692" s="520"/>
      <c r="O1692" s="107"/>
    </row>
    <row r="1693" spans="1:15" s="3" customFormat="1" ht="13.2">
      <c r="A1693" s="520"/>
      <c r="O1693" s="107"/>
    </row>
    <row r="1694" spans="1:15" s="3" customFormat="1" ht="13.2">
      <c r="A1694" s="520"/>
      <c r="O1694" s="107"/>
    </row>
    <row r="1695" spans="1:15" s="3" customFormat="1" ht="13.2">
      <c r="A1695" s="520"/>
      <c r="O1695" s="107"/>
    </row>
    <row r="1696" spans="1:15" s="3" customFormat="1" ht="13.2">
      <c r="A1696" s="520"/>
      <c r="O1696" s="107"/>
    </row>
    <row r="1697" spans="1:15" s="3" customFormat="1" ht="13.2">
      <c r="A1697" s="520"/>
      <c r="O1697" s="107"/>
    </row>
    <row r="1698" spans="1:15" s="3" customFormat="1" ht="13.2">
      <c r="A1698" s="520"/>
      <c r="O1698" s="107"/>
    </row>
    <row r="1699" spans="1:15" s="3" customFormat="1" ht="13.2">
      <c r="A1699" s="520"/>
      <c r="O1699" s="107"/>
    </row>
    <row r="1700" spans="1:15" s="3" customFormat="1" ht="13.2">
      <c r="A1700" s="520"/>
      <c r="O1700" s="107"/>
    </row>
    <row r="1701" spans="1:15" s="3" customFormat="1" ht="13.2">
      <c r="A1701" s="520"/>
      <c r="O1701" s="107"/>
    </row>
    <row r="1702" spans="1:15" s="3" customFormat="1" ht="13.2">
      <c r="A1702" s="520"/>
      <c r="O1702" s="107"/>
    </row>
    <row r="1703" spans="1:15" s="3" customFormat="1" ht="13.2">
      <c r="A1703" s="520"/>
      <c r="O1703" s="107"/>
    </row>
    <row r="1704" spans="1:15" s="3" customFormat="1" ht="13.2">
      <c r="A1704" s="520"/>
      <c r="O1704" s="107"/>
    </row>
    <row r="1705" spans="1:15" s="3" customFormat="1" ht="13.2">
      <c r="A1705" s="520"/>
      <c r="O1705" s="107"/>
    </row>
    <row r="1706" spans="1:15" s="3" customFormat="1" ht="13.2">
      <c r="A1706" s="520"/>
      <c r="O1706" s="107"/>
    </row>
    <row r="1707" spans="1:15" s="3" customFormat="1" ht="13.2">
      <c r="A1707" s="520"/>
      <c r="O1707" s="107"/>
    </row>
    <row r="1708" spans="1:15" s="3" customFormat="1" ht="13.2">
      <c r="A1708" s="520"/>
      <c r="O1708" s="107"/>
    </row>
    <row r="1709" spans="1:15" s="3" customFormat="1" ht="13.2">
      <c r="A1709" s="520"/>
      <c r="O1709" s="107"/>
    </row>
    <row r="1710" spans="1:15" s="3" customFormat="1" ht="13.2">
      <c r="A1710" s="520"/>
      <c r="O1710" s="107"/>
    </row>
    <row r="1711" spans="1:15" s="3" customFormat="1" ht="13.2">
      <c r="A1711" s="520"/>
      <c r="O1711" s="107"/>
    </row>
    <row r="1712" spans="1:15" s="3" customFormat="1" ht="13.2">
      <c r="A1712" s="520"/>
      <c r="O1712" s="107"/>
    </row>
    <row r="1713" spans="1:15" s="3" customFormat="1" ht="13.2">
      <c r="A1713" s="520"/>
      <c r="O1713" s="107"/>
    </row>
    <row r="1714" spans="1:15" s="3" customFormat="1" ht="13.2">
      <c r="A1714" s="520"/>
      <c r="O1714" s="107"/>
    </row>
    <row r="1715" spans="1:15" s="3" customFormat="1" ht="13.2">
      <c r="A1715" s="520"/>
      <c r="O1715" s="107"/>
    </row>
    <row r="1716" spans="1:15" s="3" customFormat="1" ht="13.2">
      <c r="A1716" s="520"/>
      <c r="O1716" s="107"/>
    </row>
    <row r="1717" spans="1:15" s="3" customFormat="1" ht="13.2">
      <c r="A1717" s="520"/>
      <c r="O1717" s="107"/>
    </row>
    <row r="1718" spans="1:15" s="3" customFormat="1" ht="13.2">
      <c r="A1718" s="520"/>
      <c r="O1718" s="107"/>
    </row>
    <row r="1719" spans="1:15" s="3" customFormat="1" ht="13.2">
      <c r="A1719" s="520"/>
      <c r="O1719" s="107"/>
    </row>
    <row r="1720" spans="1:15" s="3" customFormat="1" ht="13.2">
      <c r="A1720" s="520"/>
      <c r="O1720" s="107"/>
    </row>
    <row r="1721" spans="1:15" s="3" customFormat="1" ht="13.2">
      <c r="A1721" s="520"/>
      <c r="O1721" s="107"/>
    </row>
    <row r="1722" spans="1:15" s="3" customFormat="1" ht="13.2">
      <c r="A1722" s="520"/>
      <c r="O1722" s="107"/>
    </row>
    <row r="1723" spans="1:15" s="3" customFormat="1" ht="13.2">
      <c r="A1723" s="520"/>
      <c r="O1723" s="107"/>
    </row>
    <row r="1724" spans="1:15" s="3" customFormat="1" ht="13.2">
      <c r="A1724" s="520"/>
      <c r="O1724" s="107"/>
    </row>
    <row r="1725" spans="1:15" s="3" customFormat="1" ht="13.2">
      <c r="A1725" s="520"/>
      <c r="O1725" s="107"/>
    </row>
    <row r="1726" spans="1:15" s="3" customFormat="1" ht="13.2">
      <c r="A1726" s="520"/>
      <c r="O1726" s="107"/>
    </row>
    <row r="1727" spans="1:15" s="3" customFormat="1" ht="13.2">
      <c r="A1727" s="520"/>
      <c r="O1727" s="107"/>
    </row>
    <row r="1728" spans="1:15" s="3" customFormat="1" ht="13.2">
      <c r="A1728" s="520"/>
      <c r="O1728" s="107"/>
    </row>
    <row r="1729" spans="1:15" s="3" customFormat="1" ht="13.2">
      <c r="A1729" s="520"/>
      <c r="O1729" s="107"/>
    </row>
    <row r="1730" spans="1:15" s="3" customFormat="1" ht="13.2">
      <c r="A1730" s="520"/>
      <c r="O1730" s="107"/>
    </row>
    <row r="1731" spans="1:15" s="3" customFormat="1" ht="13.2">
      <c r="A1731" s="520"/>
      <c r="O1731" s="107"/>
    </row>
    <row r="1732" spans="1:15" s="3" customFormat="1" ht="13.2">
      <c r="A1732" s="520"/>
      <c r="O1732" s="107"/>
    </row>
    <row r="1733" spans="1:15" s="3" customFormat="1" ht="13.2">
      <c r="A1733" s="520"/>
      <c r="O1733" s="107"/>
    </row>
    <row r="1734" spans="1:15" s="3" customFormat="1" ht="13.2">
      <c r="A1734" s="520"/>
      <c r="O1734" s="107"/>
    </row>
    <row r="1735" spans="1:15" s="3" customFormat="1" ht="13.2">
      <c r="A1735" s="520"/>
      <c r="O1735" s="107"/>
    </row>
    <row r="1736" spans="1:15" s="3" customFormat="1" ht="13.2">
      <c r="A1736" s="520"/>
      <c r="O1736" s="107"/>
    </row>
    <row r="1737" spans="1:15" s="3" customFormat="1" ht="13.2">
      <c r="A1737" s="520"/>
      <c r="O1737" s="107"/>
    </row>
    <row r="1738" spans="1:15" s="3" customFormat="1" ht="13.2">
      <c r="A1738" s="520"/>
      <c r="O1738" s="107"/>
    </row>
    <row r="1739" spans="1:15" s="3" customFormat="1" ht="13.2">
      <c r="A1739" s="520"/>
      <c r="O1739" s="107"/>
    </row>
    <row r="1740" spans="1:15" s="3" customFormat="1" ht="13.2">
      <c r="A1740" s="520"/>
      <c r="O1740" s="107"/>
    </row>
    <row r="1741" spans="1:15" s="3" customFormat="1" ht="13.2">
      <c r="A1741" s="520"/>
      <c r="O1741" s="107"/>
    </row>
    <row r="1742" spans="1:15" s="3" customFormat="1" ht="13.2">
      <c r="A1742" s="520"/>
      <c r="O1742" s="107"/>
    </row>
    <row r="1743" spans="1:15" s="3" customFormat="1" ht="13.2">
      <c r="A1743" s="520"/>
      <c r="O1743" s="107"/>
    </row>
    <row r="1744" spans="1:15" s="3" customFormat="1" ht="13.2">
      <c r="A1744" s="520"/>
      <c r="O1744" s="107"/>
    </row>
    <row r="1745" spans="1:15" s="3" customFormat="1" ht="13.2">
      <c r="A1745" s="520"/>
      <c r="O1745" s="107"/>
    </row>
    <row r="1746" spans="1:15" s="3" customFormat="1" ht="13.2">
      <c r="A1746" s="520"/>
      <c r="O1746" s="107"/>
    </row>
    <row r="1747" spans="1:15" s="3" customFormat="1" ht="13.2">
      <c r="A1747" s="520"/>
      <c r="O1747" s="107"/>
    </row>
    <row r="1748" spans="1:15" s="3" customFormat="1" ht="13.2">
      <c r="A1748" s="520"/>
      <c r="O1748" s="107"/>
    </row>
    <row r="1749" spans="1:15" s="3" customFormat="1" ht="13.2">
      <c r="A1749" s="520"/>
      <c r="O1749" s="107"/>
    </row>
    <row r="1750" spans="1:15" s="3" customFormat="1" ht="13.2">
      <c r="A1750" s="520"/>
      <c r="O1750" s="107"/>
    </row>
    <row r="1751" spans="1:15" s="3" customFormat="1" ht="13.2">
      <c r="A1751" s="520"/>
      <c r="O1751" s="107"/>
    </row>
    <row r="1752" spans="1:15" s="3" customFormat="1" ht="13.2">
      <c r="A1752" s="520"/>
      <c r="O1752" s="107"/>
    </row>
    <row r="1753" spans="1:15" s="3" customFormat="1" ht="13.2">
      <c r="A1753" s="520"/>
      <c r="O1753" s="107"/>
    </row>
    <row r="1754" spans="1:15" s="3" customFormat="1" ht="13.2">
      <c r="A1754" s="520"/>
      <c r="O1754" s="107"/>
    </row>
    <row r="1755" spans="1:15" s="3" customFormat="1" ht="13.2">
      <c r="A1755" s="520"/>
      <c r="O1755" s="107"/>
    </row>
    <row r="1756" spans="1:15" s="3" customFormat="1" ht="13.2">
      <c r="A1756" s="520"/>
      <c r="O1756" s="107"/>
    </row>
    <row r="1757" spans="1:15" s="3" customFormat="1" ht="13.2">
      <c r="A1757" s="520"/>
      <c r="O1757" s="107"/>
    </row>
    <row r="1758" spans="1:15" s="3" customFormat="1" ht="13.2">
      <c r="A1758" s="520"/>
      <c r="O1758" s="107"/>
    </row>
    <row r="1759" spans="1:15" s="3" customFormat="1" ht="13.2">
      <c r="A1759" s="520"/>
      <c r="O1759" s="107"/>
    </row>
    <row r="1760" spans="1:15" s="3" customFormat="1" ht="13.2">
      <c r="A1760" s="520"/>
      <c r="O1760" s="107"/>
    </row>
    <row r="1761" spans="1:15" s="3" customFormat="1" ht="13.2">
      <c r="A1761" s="520"/>
      <c r="O1761" s="107"/>
    </row>
    <row r="1762" spans="1:15" s="3" customFormat="1" ht="13.2">
      <c r="A1762" s="520"/>
      <c r="O1762" s="107"/>
    </row>
    <row r="1763" spans="1:15" s="3" customFormat="1" ht="13.2">
      <c r="A1763" s="520"/>
      <c r="O1763" s="107"/>
    </row>
    <row r="1764" spans="1:15" s="3" customFormat="1" ht="13.2">
      <c r="A1764" s="520"/>
      <c r="O1764" s="107"/>
    </row>
    <row r="1765" spans="1:15" s="3" customFormat="1" ht="13.2">
      <c r="A1765" s="520"/>
      <c r="O1765" s="107"/>
    </row>
    <row r="1766" spans="1:15" s="3" customFormat="1" ht="13.2">
      <c r="A1766" s="520"/>
      <c r="O1766" s="107"/>
    </row>
    <row r="1767" spans="1:15" s="3" customFormat="1" ht="13.2">
      <c r="A1767" s="520"/>
      <c r="O1767" s="107"/>
    </row>
    <row r="1768" spans="1:15" s="3" customFormat="1" ht="13.2">
      <c r="A1768" s="520"/>
      <c r="O1768" s="107"/>
    </row>
    <row r="1769" spans="1:15" s="3" customFormat="1" ht="13.2">
      <c r="A1769" s="520"/>
      <c r="O1769" s="107"/>
    </row>
    <row r="1770" spans="1:15" s="3" customFormat="1" ht="13.2">
      <c r="A1770" s="520"/>
      <c r="O1770" s="107"/>
    </row>
    <row r="1771" spans="1:15" s="3" customFormat="1" ht="13.2">
      <c r="A1771" s="520"/>
      <c r="O1771" s="107"/>
    </row>
    <row r="1772" spans="1:15" s="3" customFormat="1" ht="13.2">
      <c r="A1772" s="520"/>
      <c r="O1772" s="107"/>
    </row>
    <row r="1773" spans="1:15" s="3" customFormat="1" ht="13.2">
      <c r="A1773" s="520"/>
      <c r="O1773" s="107"/>
    </row>
    <row r="1774" spans="1:15" s="3" customFormat="1" ht="13.2">
      <c r="A1774" s="520"/>
      <c r="O1774" s="107"/>
    </row>
    <row r="1775" spans="1:15" s="3" customFormat="1" ht="13.2">
      <c r="A1775" s="520"/>
      <c r="O1775" s="107"/>
    </row>
    <row r="1776" spans="1:15" s="3" customFormat="1" ht="13.2">
      <c r="A1776" s="520"/>
      <c r="O1776" s="107"/>
    </row>
    <row r="1777" spans="1:15" s="3" customFormat="1" ht="13.2">
      <c r="A1777" s="520"/>
      <c r="O1777" s="107"/>
    </row>
    <row r="1778" spans="1:15" s="3" customFormat="1" ht="13.2">
      <c r="A1778" s="520"/>
      <c r="O1778" s="107"/>
    </row>
    <row r="1779" spans="1:15" s="3" customFormat="1" ht="13.2">
      <c r="A1779" s="520"/>
      <c r="O1779" s="107"/>
    </row>
    <row r="1780" spans="1:15" s="3" customFormat="1" ht="13.2">
      <c r="A1780" s="520"/>
      <c r="O1780" s="107"/>
    </row>
    <row r="1781" spans="1:15" s="3" customFormat="1" ht="13.2">
      <c r="A1781" s="520"/>
      <c r="O1781" s="107"/>
    </row>
    <row r="1782" spans="1:15" s="3" customFormat="1" ht="13.2">
      <c r="A1782" s="520"/>
      <c r="O1782" s="107"/>
    </row>
    <row r="1783" spans="1:15" s="3" customFormat="1" ht="13.2">
      <c r="A1783" s="520"/>
      <c r="O1783" s="107"/>
    </row>
    <row r="1784" spans="1:15" s="3" customFormat="1" ht="13.2">
      <c r="A1784" s="520"/>
      <c r="O1784" s="107"/>
    </row>
    <row r="1785" spans="1:15" s="3" customFormat="1" ht="13.2">
      <c r="A1785" s="520"/>
      <c r="O1785" s="107"/>
    </row>
    <row r="1786" spans="1:15" s="3" customFormat="1" ht="13.2">
      <c r="A1786" s="520"/>
      <c r="O1786" s="107"/>
    </row>
    <row r="1787" spans="1:15" s="3" customFormat="1" ht="13.2">
      <c r="A1787" s="520"/>
      <c r="O1787" s="107"/>
    </row>
    <row r="1788" spans="1:15" s="3" customFormat="1" ht="13.2">
      <c r="A1788" s="520"/>
      <c r="O1788" s="107"/>
    </row>
    <row r="1789" spans="1:15" s="3" customFormat="1" ht="13.2">
      <c r="A1789" s="520"/>
      <c r="O1789" s="107"/>
    </row>
    <row r="1790" spans="1:15" s="3" customFormat="1" ht="13.2">
      <c r="A1790" s="520"/>
      <c r="O1790" s="107"/>
    </row>
    <row r="1791" spans="1:15" s="3" customFormat="1" ht="13.2">
      <c r="A1791" s="520"/>
      <c r="O1791" s="107"/>
    </row>
    <row r="1792" spans="1:15" s="3" customFormat="1" ht="13.2">
      <c r="A1792" s="520"/>
      <c r="O1792" s="107"/>
    </row>
    <row r="1793" spans="1:15" s="3" customFormat="1" ht="13.2">
      <c r="A1793" s="520"/>
      <c r="O1793" s="107"/>
    </row>
    <row r="1794" spans="1:15" s="3" customFormat="1" ht="13.2">
      <c r="A1794" s="520"/>
      <c r="O1794" s="107"/>
    </row>
    <row r="1795" spans="1:15" s="3" customFormat="1" ht="13.2">
      <c r="A1795" s="520"/>
      <c r="O1795" s="107"/>
    </row>
    <row r="1796" spans="1:15" s="3" customFormat="1" ht="13.2">
      <c r="A1796" s="520"/>
      <c r="O1796" s="107"/>
    </row>
    <row r="1797" spans="1:15" s="3" customFormat="1" ht="13.2">
      <c r="A1797" s="520"/>
      <c r="O1797" s="107"/>
    </row>
    <row r="1798" spans="1:15" s="3" customFormat="1" ht="13.2">
      <c r="A1798" s="520"/>
      <c r="O1798" s="107"/>
    </row>
    <row r="1799" spans="1:15" s="3" customFormat="1" ht="13.2">
      <c r="A1799" s="520"/>
      <c r="O1799" s="107"/>
    </row>
    <row r="1800" spans="1:15" s="3" customFormat="1" ht="13.2">
      <c r="A1800" s="520"/>
      <c r="O1800" s="107"/>
    </row>
    <row r="1801" spans="1:15" s="3" customFormat="1" ht="13.2">
      <c r="A1801" s="520"/>
      <c r="O1801" s="107"/>
    </row>
    <row r="1802" spans="1:15" s="3" customFormat="1" ht="13.2">
      <c r="A1802" s="520"/>
      <c r="O1802" s="107"/>
    </row>
    <row r="1803" spans="1:15" s="3" customFormat="1" ht="13.2">
      <c r="A1803" s="520"/>
      <c r="O1803" s="107"/>
    </row>
    <row r="1804" spans="1:15" s="3" customFormat="1" ht="13.2">
      <c r="A1804" s="520"/>
      <c r="O1804" s="107"/>
    </row>
    <row r="1805" spans="1:15" s="3" customFormat="1" ht="13.2">
      <c r="A1805" s="520"/>
      <c r="O1805" s="107"/>
    </row>
    <row r="1806" spans="1:15" s="3" customFormat="1" ht="13.2">
      <c r="A1806" s="520"/>
      <c r="O1806" s="107"/>
    </row>
    <row r="1807" spans="1:15" s="3" customFormat="1" ht="13.2">
      <c r="A1807" s="520"/>
      <c r="O1807" s="107"/>
    </row>
    <row r="1808" spans="1:15" s="3" customFormat="1" ht="13.2">
      <c r="A1808" s="520"/>
      <c r="O1808" s="107"/>
    </row>
    <row r="1809" spans="1:15" s="3" customFormat="1" ht="13.2">
      <c r="A1809" s="520"/>
      <c r="O1809" s="107"/>
    </row>
    <row r="1810" spans="1:15" s="3" customFormat="1" ht="13.2">
      <c r="A1810" s="520"/>
      <c r="O1810" s="107"/>
    </row>
    <row r="1811" spans="1:15" s="3" customFormat="1" ht="13.2">
      <c r="A1811" s="520"/>
      <c r="O1811" s="107"/>
    </row>
    <row r="1812" spans="1:15" s="3" customFormat="1" ht="13.2">
      <c r="A1812" s="520"/>
      <c r="O1812" s="107"/>
    </row>
    <row r="1813" spans="1:15" s="3" customFormat="1" ht="13.2">
      <c r="A1813" s="520"/>
      <c r="O1813" s="107"/>
    </row>
    <row r="1814" spans="1:15" s="3" customFormat="1" ht="13.2">
      <c r="A1814" s="520"/>
      <c r="O1814" s="107"/>
    </row>
    <row r="1815" spans="1:15" s="3" customFormat="1" ht="13.2">
      <c r="A1815" s="520"/>
      <c r="O1815" s="107"/>
    </row>
    <row r="1816" spans="1:15" s="3" customFormat="1" ht="13.2">
      <c r="A1816" s="520"/>
      <c r="O1816" s="107"/>
    </row>
    <row r="1817" spans="1:15" s="3" customFormat="1" ht="13.2">
      <c r="A1817" s="520"/>
      <c r="O1817" s="107"/>
    </row>
    <row r="1818" spans="1:15" s="3" customFormat="1" ht="13.2">
      <c r="A1818" s="520"/>
      <c r="O1818" s="107"/>
    </row>
    <row r="1819" spans="1:15" s="3" customFormat="1" ht="13.2">
      <c r="A1819" s="520"/>
      <c r="O1819" s="107"/>
    </row>
    <row r="1820" spans="1:15" s="3" customFormat="1" ht="13.2">
      <c r="A1820" s="520"/>
      <c r="O1820" s="107"/>
    </row>
    <row r="1821" spans="1:15" s="3" customFormat="1" ht="13.2">
      <c r="A1821" s="520"/>
      <c r="O1821" s="107"/>
    </row>
    <row r="1822" spans="1:15" s="3" customFormat="1" ht="13.2">
      <c r="A1822" s="520"/>
      <c r="O1822" s="107"/>
    </row>
    <row r="1823" spans="1:15" s="3" customFormat="1" ht="13.2">
      <c r="A1823" s="520"/>
      <c r="O1823" s="107"/>
    </row>
    <row r="1824" spans="1:15" s="3" customFormat="1" ht="13.2">
      <c r="A1824" s="520"/>
      <c r="O1824" s="107"/>
    </row>
    <row r="1825" spans="1:15" s="3" customFormat="1" ht="13.2">
      <c r="A1825" s="520"/>
      <c r="O1825" s="107"/>
    </row>
    <row r="1826" spans="1:15" s="3" customFormat="1" ht="13.2">
      <c r="A1826" s="520"/>
      <c r="O1826" s="107"/>
    </row>
    <row r="1827" spans="1:15" s="3" customFormat="1" ht="13.2">
      <c r="A1827" s="520"/>
      <c r="O1827" s="107"/>
    </row>
    <row r="1828" spans="1:15" s="3" customFormat="1" ht="13.2">
      <c r="A1828" s="520"/>
      <c r="O1828" s="107"/>
    </row>
    <row r="1829" spans="1:15" s="3" customFormat="1" ht="13.2">
      <c r="A1829" s="520"/>
      <c r="O1829" s="107"/>
    </row>
    <row r="1830" spans="1:15" s="3" customFormat="1" ht="13.2">
      <c r="A1830" s="520"/>
      <c r="O1830" s="107"/>
    </row>
    <row r="1831" spans="1:15" s="3" customFormat="1" ht="13.2">
      <c r="A1831" s="520"/>
      <c r="O1831" s="107"/>
    </row>
    <row r="1832" spans="1:15" s="3" customFormat="1" ht="13.2">
      <c r="A1832" s="520"/>
      <c r="O1832" s="107"/>
    </row>
    <row r="1833" spans="1:15" s="3" customFormat="1" ht="13.2">
      <c r="A1833" s="520"/>
      <c r="O1833" s="107"/>
    </row>
    <row r="1834" spans="1:15" s="3" customFormat="1" ht="13.2">
      <c r="A1834" s="520"/>
      <c r="O1834" s="107"/>
    </row>
    <row r="1835" spans="1:15" s="3" customFormat="1" ht="13.2">
      <c r="A1835" s="520"/>
      <c r="O1835" s="107"/>
    </row>
    <row r="1836" spans="1:15" s="3" customFormat="1" ht="13.2">
      <c r="A1836" s="520"/>
      <c r="O1836" s="107"/>
    </row>
    <row r="1837" spans="1:15" s="3" customFormat="1" ht="13.2">
      <c r="A1837" s="520"/>
      <c r="O1837" s="107"/>
    </row>
    <row r="1838" spans="1:15" s="3" customFormat="1" ht="13.2">
      <c r="A1838" s="520"/>
      <c r="O1838" s="107"/>
    </row>
    <row r="1839" spans="1:15" s="3" customFormat="1" ht="13.2">
      <c r="A1839" s="520"/>
      <c r="O1839" s="107"/>
    </row>
    <row r="1840" spans="1:15" s="3" customFormat="1" ht="13.2">
      <c r="A1840" s="520"/>
      <c r="O1840" s="107"/>
    </row>
    <row r="1841" spans="1:15" s="3" customFormat="1" ht="13.2">
      <c r="A1841" s="520"/>
      <c r="O1841" s="107"/>
    </row>
    <row r="1842" spans="1:15" s="3" customFormat="1" ht="13.2">
      <c r="A1842" s="520"/>
      <c r="O1842" s="107"/>
    </row>
    <row r="1843" spans="1:15" s="3" customFormat="1" ht="13.2">
      <c r="A1843" s="520"/>
      <c r="O1843" s="107"/>
    </row>
    <row r="1844" spans="1:15" s="3" customFormat="1" ht="13.2">
      <c r="A1844" s="520"/>
      <c r="O1844" s="107"/>
    </row>
    <row r="1845" spans="1:15" s="3" customFormat="1" ht="13.2">
      <c r="A1845" s="520"/>
      <c r="O1845" s="107"/>
    </row>
    <row r="1846" spans="1:15" s="3" customFormat="1" ht="13.2">
      <c r="A1846" s="520"/>
      <c r="O1846" s="107"/>
    </row>
    <row r="1847" spans="1:15" s="3" customFormat="1" ht="13.2">
      <c r="A1847" s="520"/>
      <c r="O1847" s="107"/>
    </row>
    <row r="1848" spans="1:15" s="3" customFormat="1" ht="13.2">
      <c r="A1848" s="520"/>
      <c r="O1848" s="107"/>
    </row>
    <row r="1849" spans="1:15" s="3" customFormat="1" ht="13.2">
      <c r="A1849" s="520"/>
      <c r="O1849" s="107"/>
    </row>
    <row r="1850" spans="1:15" s="3" customFormat="1" ht="13.2">
      <c r="A1850" s="520"/>
      <c r="O1850" s="107"/>
    </row>
    <row r="1851" spans="1:15" s="3" customFormat="1" ht="13.2">
      <c r="A1851" s="520"/>
      <c r="O1851" s="107"/>
    </row>
    <row r="1852" spans="1:15" s="3" customFormat="1" ht="13.2">
      <c r="A1852" s="520"/>
      <c r="O1852" s="107"/>
    </row>
    <row r="1853" spans="1:15" s="3" customFormat="1" ht="13.2">
      <c r="A1853" s="520"/>
      <c r="O1853" s="107"/>
    </row>
    <row r="1854" spans="1:15" s="3" customFormat="1" ht="13.2">
      <c r="A1854" s="520"/>
      <c r="O1854" s="107"/>
    </row>
    <row r="1855" spans="1:15" s="3" customFormat="1" ht="13.2">
      <c r="A1855" s="520"/>
      <c r="O1855" s="107"/>
    </row>
    <row r="1856" spans="1:15" s="3" customFormat="1" ht="13.2">
      <c r="A1856" s="520"/>
      <c r="O1856" s="107"/>
    </row>
    <row r="1857" spans="1:15" s="3" customFormat="1" ht="13.2">
      <c r="A1857" s="520"/>
      <c r="O1857" s="107"/>
    </row>
    <row r="1858" spans="1:15" s="3" customFormat="1" ht="13.2">
      <c r="A1858" s="520"/>
      <c r="O1858" s="107"/>
    </row>
    <row r="1859" spans="1:15" s="3" customFormat="1" ht="13.2">
      <c r="A1859" s="520"/>
      <c r="O1859" s="107"/>
    </row>
    <row r="1860" spans="1:15" s="3" customFormat="1" ht="13.2">
      <c r="A1860" s="520"/>
      <c r="O1860" s="107"/>
    </row>
    <row r="1861" spans="1:15" s="3" customFormat="1" ht="13.2">
      <c r="A1861" s="520"/>
      <c r="O1861" s="107"/>
    </row>
    <row r="1862" spans="1:15" s="3" customFormat="1" ht="13.2">
      <c r="A1862" s="520"/>
      <c r="O1862" s="107"/>
    </row>
    <row r="1863" spans="1:15" s="3" customFormat="1" ht="13.2">
      <c r="A1863" s="520"/>
      <c r="O1863" s="107"/>
    </row>
    <row r="1864" spans="1:15" s="3" customFormat="1" ht="13.2">
      <c r="A1864" s="520"/>
      <c r="O1864" s="107"/>
    </row>
    <row r="1865" spans="1:15" s="3" customFormat="1" ht="13.2">
      <c r="A1865" s="520"/>
      <c r="O1865" s="107"/>
    </row>
    <row r="1866" spans="1:15" s="3" customFormat="1" ht="13.2">
      <c r="A1866" s="520"/>
      <c r="O1866" s="107"/>
    </row>
    <row r="1867" spans="1:15" s="3" customFormat="1" ht="13.2">
      <c r="A1867" s="520"/>
      <c r="O1867" s="107"/>
    </row>
    <row r="1868" spans="1:15" s="3" customFormat="1" ht="13.2">
      <c r="A1868" s="520"/>
      <c r="O1868" s="107"/>
    </row>
    <row r="1869" spans="1:15" s="3" customFormat="1" ht="13.2">
      <c r="A1869" s="520"/>
      <c r="O1869" s="107"/>
    </row>
    <row r="1870" spans="1:15" s="3" customFormat="1" ht="13.2">
      <c r="A1870" s="520"/>
      <c r="O1870" s="107"/>
    </row>
    <row r="1871" spans="1:15" s="3" customFormat="1" ht="13.2">
      <c r="A1871" s="520"/>
      <c r="O1871" s="107"/>
    </row>
    <row r="1872" spans="1:15" s="3" customFormat="1" ht="13.2">
      <c r="A1872" s="520"/>
      <c r="O1872" s="107"/>
    </row>
    <row r="1873" spans="1:15" s="3" customFormat="1" ht="13.2">
      <c r="A1873" s="520"/>
      <c r="O1873" s="107"/>
    </row>
    <row r="1874" spans="1:15" s="3" customFormat="1" ht="13.2">
      <c r="A1874" s="520"/>
      <c r="O1874" s="107"/>
    </row>
    <row r="1875" spans="1:15" s="3" customFormat="1" ht="13.2">
      <c r="A1875" s="520"/>
      <c r="O1875" s="107"/>
    </row>
    <row r="1876" spans="1:15" s="3" customFormat="1" ht="13.2">
      <c r="A1876" s="520"/>
      <c r="O1876" s="107"/>
    </row>
    <row r="1877" spans="1:15" s="3" customFormat="1" ht="13.2">
      <c r="A1877" s="520"/>
      <c r="O1877" s="107"/>
    </row>
    <row r="1878" spans="1:15" s="3" customFormat="1" ht="13.2">
      <c r="A1878" s="520"/>
      <c r="O1878" s="107"/>
    </row>
    <row r="1879" spans="1:15" s="3" customFormat="1" ht="13.2">
      <c r="A1879" s="520"/>
      <c r="O1879" s="107"/>
    </row>
    <row r="1880" spans="1:15" s="3" customFormat="1" ht="13.2">
      <c r="A1880" s="520"/>
      <c r="O1880" s="107"/>
    </row>
    <row r="1881" spans="1:15" s="3" customFormat="1" ht="13.2">
      <c r="A1881" s="520"/>
      <c r="O1881" s="107"/>
    </row>
    <row r="1882" spans="1:15" s="3" customFormat="1" ht="13.2">
      <c r="A1882" s="520"/>
      <c r="O1882" s="107"/>
    </row>
    <row r="1883" spans="1:15" s="3" customFormat="1" ht="13.2">
      <c r="A1883" s="520"/>
      <c r="O1883" s="107"/>
    </row>
    <row r="1884" spans="1:15" s="3" customFormat="1" ht="13.2">
      <c r="A1884" s="520"/>
      <c r="O1884" s="107"/>
    </row>
    <row r="1885" spans="1:15" s="3" customFormat="1" ht="13.2">
      <c r="A1885" s="520"/>
      <c r="O1885" s="107"/>
    </row>
    <row r="1886" spans="1:15" s="3" customFormat="1" ht="13.2">
      <c r="A1886" s="520"/>
      <c r="O1886" s="107"/>
    </row>
    <row r="1887" spans="1:15" s="3" customFormat="1" ht="13.2">
      <c r="A1887" s="520"/>
      <c r="O1887" s="107"/>
    </row>
    <row r="1888" spans="1:15" s="3" customFormat="1" ht="13.2">
      <c r="A1888" s="520"/>
      <c r="O1888" s="107"/>
    </row>
    <row r="1889" spans="1:15" s="3" customFormat="1" ht="13.2">
      <c r="A1889" s="520"/>
      <c r="O1889" s="107"/>
    </row>
    <row r="1890" spans="1:15" s="3" customFormat="1" ht="13.2">
      <c r="A1890" s="520"/>
      <c r="O1890" s="107"/>
    </row>
    <row r="1891" spans="1:15" s="3" customFormat="1" ht="13.2">
      <c r="A1891" s="520"/>
      <c r="O1891" s="107"/>
    </row>
    <row r="1892" spans="1:15" s="3" customFormat="1" ht="13.2">
      <c r="A1892" s="520"/>
      <c r="O1892" s="107"/>
    </row>
    <row r="1893" spans="1:15" s="3" customFormat="1" ht="13.2">
      <c r="A1893" s="520"/>
      <c r="O1893" s="107"/>
    </row>
    <row r="1894" spans="1:15" s="3" customFormat="1" ht="13.2">
      <c r="A1894" s="520"/>
      <c r="O1894" s="107"/>
    </row>
    <row r="1895" spans="1:15" s="3" customFormat="1" ht="13.2">
      <c r="A1895" s="520"/>
      <c r="O1895" s="107"/>
    </row>
    <row r="1896" spans="1:15" s="3" customFormat="1" ht="13.2">
      <c r="A1896" s="520"/>
      <c r="O1896" s="107"/>
    </row>
    <row r="1897" spans="1:15" s="3" customFormat="1" ht="13.2">
      <c r="A1897" s="520"/>
      <c r="O1897" s="107"/>
    </row>
    <row r="1898" spans="1:15" s="3" customFormat="1" ht="13.2">
      <c r="A1898" s="520"/>
      <c r="O1898" s="107"/>
    </row>
    <row r="1899" spans="1:15" s="3" customFormat="1" ht="13.2">
      <c r="A1899" s="520"/>
      <c r="O1899" s="107"/>
    </row>
    <row r="1900" spans="1:15" s="3" customFormat="1" ht="13.2">
      <c r="A1900" s="520"/>
      <c r="O1900" s="107"/>
    </row>
    <row r="1901" spans="1:15" s="3" customFormat="1" ht="13.2">
      <c r="A1901" s="520"/>
      <c r="O1901" s="107"/>
    </row>
    <row r="1902" spans="1:15" s="3" customFormat="1" ht="13.2">
      <c r="A1902" s="520"/>
      <c r="O1902" s="107"/>
    </row>
    <row r="1903" spans="1:15" s="3" customFormat="1" ht="13.2">
      <c r="A1903" s="520"/>
      <c r="O1903" s="107"/>
    </row>
    <row r="1904" spans="1:15" s="3" customFormat="1" ht="13.2">
      <c r="A1904" s="520"/>
      <c r="O1904" s="107"/>
    </row>
    <row r="1905" spans="1:15" s="3" customFormat="1" ht="13.2">
      <c r="A1905" s="520"/>
      <c r="O1905" s="107"/>
    </row>
    <row r="1906" spans="1:15" s="3" customFormat="1" ht="13.2">
      <c r="A1906" s="520"/>
      <c r="O1906" s="107"/>
    </row>
    <row r="1907" spans="1:15" s="3" customFormat="1" ht="13.2">
      <c r="A1907" s="520"/>
      <c r="O1907" s="107"/>
    </row>
    <row r="1908" spans="1:15" s="3" customFormat="1" ht="13.2">
      <c r="A1908" s="520"/>
      <c r="O1908" s="107"/>
    </row>
    <row r="1909" spans="1:15" s="3" customFormat="1" ht="13.2">
      <c r="A1909" s="520"/>
      <c r="O1909" s="107"/>
    </row>
    <row r="1910" spans="1:15" s="3" customFormat="1" ht="13.2">
      <c r="A1910" s="520"/>
      <c r="O1910" s="107"/>
    </row>
    <row r="1911" spans="1:15" s="3" customFormat="1" ht="13.2">
      <c r="A1911" s="520"/>
      <c r="O1911" s="107"/>
    </row>
    <row r="1912" spans="1:15" s="3" customFormat="1" ht="13.2">
      <c r="A1912" s="520"/>
      <c r="O1912" s="107"/>
    </row>
    <row r="1913" spans="1:15" s="3" customFormat="1" ht="13.2">
      <c r="A1913" s="520"/>
      <c r="O1913" s="107"/>
    </row>
    <row r="1914" spans="1:15" s="3" customFormat="1" ht="13.2">
      <c r="A1914" s="520"/>
      <c r="O1914" s="107"/>
    </row>
    <row r="1915" spans="1:15" s="3" customFormat="1" ht="13.2">
      <c r="A1915" s="520"/>
      <c r="O1915" s="107"/>
    </row>
    <row r="1916" spans="1:15" s="3" customFormat="1" ht="13.2">
      <c r="A1916" s="520"/>
      <c r="O1916" s="107"/>
    </row>
    <row r="1917" spans="1:15" s="3" customFormat="1" ht="13.2">
      <c r="A1917" s="520"/>
      <c r="O1917" s="107"/>
    </row>
    <row r="1918" spans="1:15" s="3" customFormat="1" ht="13.2">
      <c r="A1918" s="520"/>
      <c r="O1918" s="107"/>
    </row>
    <row r="1919" spans="1:15" s="3" customFormat="1" ht="13.2">
      <c r="A1919" s="520"/>
      <c r="O1919" s="107"/>
    </row>
    <row r="1920" spans="1:15" s="3" customFormat="1" ht="13.2">
      <c r="A1920" s="520"/>
      <c r="O1920" s="107"/>
    </row>
    <row r="1921" spans="1:15" s="3" customFormat="1" ht="13.2">
      <c r="A1921" s="520"/>
      <c r="O1921" s="107"/>
    </row>
    <row r="1922" spans="1:15" s="3" customFormat="1" ht="13.2">
      <c r="A1922" s="520"/>
      <c r="O1922" s="107"/>
    </row>
    <row r="1923" spans="1:15" s="3" customFormat="1" ht="13.2">
      <c r="A1923" s="520"/>
      <c r="O1923" s="107"/>
    </row>
    <row r="1924" spans="1:15" s="3" customFormat="1" ht="13.2">
      <c r="A1924" s="520"/>
      <c r="O1924" s="107"/>
    </row>
    <row r="1925" spans="1:15" s="3" customFormat="1" ht="13.2">
      <c r="A1925" s="520"/>
      <c r="O1925" s="107"/>
    </row>
    <row r="1926" spans="1:15" s="3" customFormat="1" ht="13.2">
      <c r="A1926" s="520"/>
      <c r="O1926" s="107"/>
    </row>
    <row r="1927" spans="1:15" s="3" customFormat="1" ht="13.2">
      <c r="A1927" s="520"/>
      <c r="O1927" s="107"/>
    </row>
    <row r="1928" spans="1:15" s="3" customFormat="1" ht="13.2">
      <c r="A1928" s="520"/>
      <c r="O1928" s="107"/>
    </row>
    <row r="1929" spans="1:15" s="3" customFormat="1" ht="13.2">
      <c r="A1929" s="520"/>
      <c r="O1929" s="107"/>
    </row>
    <row r="1930" spans="1:15" s="3" customFormat="1" ht="13.2">
      <c r="A1930" s="520"/>
      <c r="O1930" s="107"/>
    </row>
    <row r="1931" spans="1:15" s="3" customFormat="1" ht="13.2">
      <c r="A1931" s="520"/>
      <c r="O1931" s="107"/>
    </row>
    <row r="1932" spans="1:15" s="3" customFormat="1" ht="13.2">
      <c r="A1932" s="520"/>
      <c r="O1932" s="107"/>
    </row>
    <row r="1933" spans="1:15" s="3" customFormat="1" ht="13.2">
      <c r="A1933" s="520"/>
      <c r="O1933" s="107"/>
    </row>
    <row r="1934" spans="1:15" s="3" customFormat="1" ht="13.2">
      <c r="A1934" s="520"/>
      <c r="O1934" s="107"/>
    </row>
    <row r="1935" spans="1:15" s="3" customFormat="1" ht="13.2">
      <c r="A1935" s="520"/>
      <c r="O1935" s="107"/>
    </row>
    <row r="1936" spans="1:15" s="3" customFormat="1" ht="13.2">
      <c r="A1936" s="520"/>
      <c r="O1936" s="107"/>
    </row>
    <row r="1937" spans="1:15" s="3" customFormat="1" ht="13.2">
      <c r="A1937" s="520"/>
      <c r="O1937" s="107"/>
    </row>
    <row r="1938" spans="1:15" s="3" customFormat="1" ht="13.2">
      <c r="A1938" s="520"/>
      <c r="O1938" s="107"/>
    </row>
    <row r="1939" spans="1:15" s="3" customFormat="1" ht="13.2">
      <c r="A1939" s="520"/>
      <c r="O1939" s="107"/>
    </row>
    <row r="1940" spans="1:15" s="3" customFormat="1" ht="13.2">
      <c r="A1940" s="520"/>
      <c r="O1940" s="107"/>
    </row>
    <row r="1941" spans="1:15" s="3" customFormat="1" ht="13.2">
      <c r="A1941" s="520"/>
      <c r="O1941" s="107"/>
    </row>
    <row r="1942" spans="1:15" s="3" customFormat="1" ht="13.2">
      <c r="A1942" s="520"/>
      <c r="O1942" s="107"/>
    </row>
    <row r="1943" spans="1:15" s="3" customFormat="1" ht="13.2">
      <c r="A1943" s="520"/>
      <c r="O1943" s="107"/>
    </row>
    <row r="1944" spans="1:15" s="3" customFormat="1" ht="13.2">
      <c r="A1944" s="520"/>
      <c r="O1944" s="107"/>
    </row>
    <row r="1945" spans="1:15" s="3" customFormat="1" ht="13.2">
      <c r="A1945" s="520"/>
      <c r="O1945" s="107"/>
    </row>
    <row r="1946" spans="1:15" s="3" customFormat="1" ht="13.2">
      <c r="A1946" s="520"/>
      <c r="O1946" s="107"/>
    </row>
    <row r="1947" spans="1:15" s="3" customFormat="1" ht="13.2">
      <c r="A1947" s="520"/>
      <c r="O1947" s="107"/>
    </row>
    <row r="1948" spans="1:15" s="3" customFormat="1" ht="13.2">
      <c r="A1948" s="520"/>
      <c r="O1948" s="107"/>
    </row>
    <row r="1949" spans="1:15" s="3" customFormat="1" ht="13.2">
      <c r="A1949" s="520"/>
      <c r="O1949" s="107"/>
    </row>
    <row r="1950" spans="1:15" s="3" customFormat="1" ht="13.2">
      <c r="A1950" s="520"/>
      <c r="O1950" s="107"/>
    </row>
    <row r="1951" spans="1:15" s="3" customFormat="1" ht="13.2">
      <c r="A1951" s="520"/>
      <c r="O1951" s="107"/>
    </row>
    <row r="1952" spans="1:15" s="3" customFormat="1" ht="13.2">
      <c r="A1952" s="520"/>
      <c r="O1952" s="107"/>
    </row>
    <row r="1953" spans="1:15" s="3" customFormat="1" ht="13.2">
      <c r="A1953" s="520"/>
      <c r="O1953" s="107"/>
    </row>
    <row r="1954" spans="1:15" s="3" customFormat="1" ht="13.2">
      <c r="A1954" s="520"/>
      <c r="O1954" s="107"/>
    </row>
    <row r="1955" spans="1:15" s="3" customFormat="1" ht="13.2">
      <c r="A1955" s="520"/>
      <c r="O1955" s="107"/>
    </row>
    <row r="1956" spans="1:15" s="3" customFormat="1" ht="13.2">
      <c r="A1956" s="520"/>
      <c r="O1956" s="107"/>
    </row>
    <row r="1957" spans="1:15" s="3" customFormat="1" ht="13.2">
      <c r="A1957" s="520"/>
      <c r="O1957" s="107"/>
    </row>
    <row r="1958" spans="1:15" s="3" customFormat="1" ht="13.2">
      <c r="A1958" s="520"/>
      <c r="O1958" s="107"/>
    </row>
    <row r="1959" spans="1:15" s="3" customFormat="1" ht="13.2">
      <c r="A1959" s="520"/>
      <c r="O1959" s="107"/>
    </row>
    <row r="1960" spans="1:15" s="3" customFormat="1" ht="13.2">
      <c r="A1960" s="520"/>
      <c r="O1960" s="107"/>
    </row>
    <row r="1961" spans="1:15" s="3" customFormat="1" ht="13.2">
      <c r="A1961" s="520"/>
      <c r="O1961" s="107"/>
    </row>
    <row r="1962" spans="1:15" s="3" customFormat="1" ht="13.2">
      <c r="A1962" s="520"/>
      <c r="O1962" s="107"/>
    </row>
    <row r="1963" spans="1:15" s="3" customFormat="1" ht="13.2">
      <c r="A1963" s="520"/>
      <c r="O1963" s="107"/>
    </row>
    <row r="1964" spans="1:15" s="3" customFormat="1" ht="13.2">
      <c r="A1964" s="520"/>
      <c r="O1964" s="107"/>
    </row>
    <row r="1965" spans="1:15" s="3" customFormat="1" ht="13.2">
      <c r="A1965" s="520"/>
      <c r="O1965" s="107"/>
    </row>
    <row r="1966" spans="1:15" s="3" customFormat="1" ht="13.2">
      <c r="A1966" s="520"/>
      <c r="O1966" s="107"/>
    </row>
    <row r="1967" spans="1:15" s="3" customFormat="1" ht="13.2">
      <c r="A1967" s="520"/>
      <c r="O1967" s="107"/>
    </row>
    <row r="1968" spans="1:15" s="3" customFormat="1" ht="13.2">
      <c r="A1968" s="520"/>
      <c r="O1968" s="107"/>
    </row>
    <row r="1969" spans="1:15" s="3" customFormat="1" ht="13.2">
      <c r="A1969" s="520"/>
      <c r="O1969" s="107"/>
    </row>
    <row r="1970" spans="1:15" s="3" customFormat="1" ht="13.2">
      <c r="A1970" s="520"/>
      <c r="O1970" s="107"/>
    </row>
    <row r="1971" spans="1:15" s="3" customFormat="1" ht="13.2">
      <c r="A1971" s="520"/>
      <c r="O1971" s="107"/>
    </row>
    <row r="1972" spans="1:15" s="3" customFormat="1" ht="13.2">
      <c r="A1972" s="520"/>
      <c r="O1972" s="107"/>
    </row>
    <row r="1973" spans="1:15" s="3" customFormat="1" ht="13.2">
      <c r="A1973" s="520"/>
      <c r="O1973" s="107"/>
    </row>
    <row r="1974" spans="1:15" s="3" customFormat="1" ht="13.2">
      <c r="A1974" s="520"/>
      <c r="O1974" s="107"/>
    </row>
    <row r="1975" spans="1:15" s="3" customFormat="1" ht="13.2">
      <c r="A1975" s="520"/>
      <c r="O1975" s="107"/>
    </row>
    <row r="1976" spans="1:15" s="3" customFormat="1" ht="13.2">
      <c r="A1976" s="520"/>
      <c r="O1976" s="107"/>
    </row>
    <row r="1977" spans="1:15" s="3" customFormat="1" ht="13.2">
      <c r="A1977" s="520"/>
      <c r="O1977" s="107"/>
    </row>
    <row r="1978" spans="1:15" s="3" customFormat="1" ht="13.2">
      <c r="A1978" s="520"/>
      <c r="O1978" s="107"/>
    </row>
    <row r="1979" spans="1:15" s="3" customFormat="1" ht="13.2">
      <c r="A1979" s="520"/>
      <c r="O1979" s="107"/>
    </row>
    <row r="1980" spans="1:15" s="3" customFormat="1" ht="13.2">
      <c r="A1980" s="520"/>
      <c r="O1980" s="107"/>
    </row>
    <row r="1981" spans="1:15" s="3" customFormat="1" ht="13.2">
      <c r="A1981" s="520"/>
      <c r="O1981" s="107"/>
    </row>
    <row r="1982" spans="1:15" s="3" customFormat="1" ht="13.2">
      <c r="A1982" s="520"/>
      <c r="O1982" s="107"/>
    </row>
    <row r="1983" spans="1:15" s="3" customFormat="1" ht="13.2">
      <c r="A1983" s="520"/>
      <c r="O1983" s="107"/>
    </row>
    <row r="1984" spans="1:15" s="3" customFormat="1" ht="13.2">
      <c r="A1984" s="520"/>
      <c r="O1984" s="107"/>
    </row>
    <row r="1985" spans="1:15" s="3" customFormat="1" ht="13.2">
      <c r="A1985" s="520"/>
      <c r="O1985" s="107"/>
    </row>
    <row r="1986" spans="1:15" s="3" customFormat="1" ht="13.2">
      <c r="A1986" s="520"/>
      <c r="O1986" s="107"/>
    </row>
    <row r="1987" spans="1:15" s="3" customFormat="1" ht="13.2">
      <c r="A1987" s="520"/>
      <c r="O1987" s="107"/>
    </row>
    <row r="1988" spans="1:15" s="3" customFormat="1" ht="13.2">
      <c r="A1988" s="520"/>
      <c r="O1988" s="107"/>
    </row>
    <row r="1989" spans="1:15" s="3" customFormat="1" ht="13.2">
      <c r="A1989" s="520"/>
      <c r="O1989" s="107"/>
    </row>
    <row r="1990" spans="1:15" s="3" customFormat="1" ht="13.2">
      <c r="A1990" s="520"/>
      <c r="O1990" s="107"/>
    </row>
    <row r="1991" spans="1:15" s="3" customFormat="1" ht="13.2">
      <c r="A1991" s="520"/>
      <c r="O1991" s="107"/>
    </row>
    <row r="1992" spans="1:15" s="3" customFormat="1" ht="13.2">
      <c r="A1992" s="520"/>
      <c r="O1992" s="107"/>
    </row>
    <row r="1993" spans="1:15" s="3" customFormat="1" ht="13.2">
      <c r="A1993" s="520"/>
      <c r="O1993" s="107"/>
    </row>
    <row r="1994" spans="1:15" s="3" customFormat="1" ht="13.2">
      <c r="A1994" s="520"/>
      <c r="O1994" s="107"/>
    </row>
    <row r="1995" spans="1:15" s="3" customFormat="1" ht="13.2">
      <c r="A1995" s="520"/>
      <c r="O1995" s="107"/>
    </row>
    <row r="1996" spans="1:15" s="3" customFormat="1" ht="13.2">
      <c r="A1996" s="520"/>
      <c r="O1996" s="107"/>
    </row>
    <row r="1997" spans="1:15" s="3" customFormat="1" ht="13.2">
      <c r="A1997" s="520"/>
      <c r="O1997" s="107"/>
    </row>
    <row r="1998" spans="1:15" s="3" customFormat="1" ht="13.2">
      <c r="A1998" s="520"/>
      <c r="O1998" s="107"/>
    </row>
    <row r="1999" spans="1:15" s="3" customFormat="1" ht="13.2">
      <c r="A1999" s="520"/>
      <c r="O1999" s="107"/>
    </row>
    <row r="2000" spans="1:15" s="3" customFormat="1" ht="13.2">
      <c r="A2000" s="520"/>
      <c r="O2000" s="107"/>
    </row>
    <row r="2001" spans="1:15" s="3" customFormat="1" ht="13.2">
      <c r="A2001" s="520"/>
      <c r="O2001" s="107"/>
    </row>
    <row r="2002" spans="1:15" s="3" customFormat="1" ht="13.2">
      <c r="A2002" s="520"/>
      <c r="O2002" s="107"/>
    </row>
    <row r="2003" spans="1:15" s="3" customFormat="1" ht="13.2">
      <c r="A2003" s="520"/>
      <c r="O2003" s="107"/>
    </row>
    <row r="2004" spans="1:15" s="3" customFormat="1" ht="13.2">
      <c r="A2004" s="520"/>
      <c r="O2004" s="107"/>
    </row>
    <row r="2005" spans="1:15" s="3" customFormat="1" ht="13.2">
      <c r="A2005" s="520"/>
      <c r="O2005" s="107"/>
    </row>
    <row r="2006" spans="1:15" s="3" customFormat="1" ht="13.2">
      <c r="A2006" s="520"/>
      <c r="O2006" s="107"/>
    </row>
    <row r="2007" spans="1:15" s="3" customFormat="1" ht="13.2">
      <c r="A2007" s="520"/>
      <c r="O2007" s="107"/>
    </row>
    <row r="2008" spans="1:15" s="3" customFormat="1" ht="13.2">
      <c r="A2008" s="520"/>
      <c r="O2008" s="107"/>
    </row>
    <row r="2009" spans="1:15" s="3" customFormat="1" ht="13.2">
      <c r="A2009" s="520"/>
      <c r="O2009" s="107"/>
    </row>
    <row r="2010" spans="1:15" s="3" customFormat="1" ht="13.2">
      <c r="A2010" s="520"/>
      <c r="O2010" s="107"/>
    </row>
    <row r="2011" spans="1:15" s="3" customFormat="1" ht="13.2">
      <c r="A2011" s="520"/>
      <c r="O2011" s="107"/>
    </row>
    <row r="2012" spans="1:15" s="3" customFormat="1" ht="13.2">
      <c r="A2012" s="520"/>
      <c r="O2012" s="107"/>
    </row>
    <row r="2013" spans="1:15" s="3" customFormat="1" ht="13.2">
      <c r="A2013" s="520"/>
      <c r="O2013" s="107"/>
    </row>
    <row r="2014" spans="1:15" s="3" customFormat="1" ht="13.2">
      <c r="A2014" s="520"/>
      <c r="O2014" s="107"/>
    </row>
    <row r="2015" spans="1:15" s="3" customFormat="1" ht="13.2">
      <c r="A2015" s="520"/>
      <c r="O2015" s="107"/>
    </row>
    <row r="2016" spans="1:15" s="3" customFormat="1" ht="13.2">
      <c r="A2016" s="520"/>
      <c r="O2016" s="107"/>
    </row>
    <row r="2017" spans="1:15" s="3" customFormat="1" ht="13.2">
      <c r="A2017" s="520"/>
      <c r="O2017" s="107"/>
    </row>
    <row r="2018" spans="1:15" s="3" customFormat="1" ht="13.2">
      <c r="A2018" s="520"/>
      <c r="O2018" s="107"/>
    </row>
    <row r="2019" spans="1:15" s="3" customFormat="1" ht="13.2">
      <c r="A2019" s="520"/>
      <c r="O2019" s="107"/>
    </row>
    <row r="2020" spans="1:15" s="3" customFormat="1" ht="13.2">
      <c r="A2020" s="520"/>
      <c r="O2020" s="107"/>
    </row>
    <row r="2021" spans="1:15" s="3" customFormat="1" ht="13.2">
      <c r="A2021" s="520"/>
      <c r="O2021" s="107"/>
    </row>
    <row r="2022" spans="1:15" s="3" customFormat="1" ht="13.2">
      <c r="A2022" s="520"/>
      <c r="O2022" s="107"/>
    </row>
    <row r="2023" spans="1:15" s="3" customFormat="1" ht="13.2">
      <c r="A2023" s="520"/>
      <c r="O2023" s="107"/>
    </row>
    <row r="2024" spans="1:15" s="3" customFormat="1" ht="13.2">
      <c r="A2024" s="520"/>
      <c r="O2024" s="107"/>
    </row>
    <row r="2025" spans="1:15" s="3" customFormat="1" ht="13.2">
      <c r="A2025" s="520"/>
      <c r="O2025" s="107"/>
    </row>
    <row r="2026" spans="1:15" s="3" customFormat="1" ht="13.2">
      <c r="A2026" s="520"/>
      <c r="O2026" s="107"/>
    </row>
    <row r="2027" spans="1:15" s="3" customFormat="1" ht="13.2">
      <c r="A2027" s="520"/>
      <c r="O2027" s="107"/>
    </row>
    <row r="2028" spans="1:15" s="3" customFormat="1" ht="13.2">
      <c r="A2028" s="520"/>
      <c r="O2028" s="107"/>
    </row>
    <row r="2029" spans="1:15" s="3" customFormat="1" ht="13.2">
      <c r="A2029" s="520"/>
      <c r="O2029" s="107"/>
    </row>
    <row r="2030" spans="1:15" s="3" customFormat="1" ht="13.2">
      <c r="A2030" s="520"/>
      <c r="O2030" s="107"/>
    </row>
    <row r="2031" spans="1:15" s="3" customFormat="1" ht="13.2">
      <c r="A2031" s="520"/>
      <c r="O2031" s="107"/>
    </row>
    <row r="2032" spans="1:15" s="3" customFormat="1" ht="13.2">
      <c r="A2032" s="520"/>
      <c r="O2032" s="107"/>
    </row>
    <row r="2033" spans="1:15" s="3" customFormat="1" ht="13.2">
      <c r="A2033" s="520"/>
      <c r="O2033" s="107"/>
    </row>
    <row r="2034" spans="1:15" s="3" customFormat="1" ht="13.2">
      <c r="A2034" s="520"/>
      <c r="O2034" s="107"/>
    </row>
    <row r="2035" spans="1:15" s="3" customFormat="1" ht="13.2">
      <c r="A2035" s="520"/>
      <c r="O2035" s="107"/>
    </row>
    <row r="2036" spans="1:15" s="3" customFormat="1" ht="13.2">
      <c r="A2036" s="520"/>
      <c r="O2036" s="107"/>
    </row>
    <row r="2037" spans="1:15" s="3" customFormat="1" ht="13.2">
      <c r="A2037" s="520"/>
      <c r="O2037" s="107"/>
    </row>
    <row r="2038" spans="1:15" s="3" customFormat="1" ht="13.2">
      <c r="A2038" s="520"/>
      <c r="O2038" s="107"/>
    </row>
    <row r="2039" spans="1:15" s="3" customFormat="1" ht="13.2">
      <c r="A2039" s="520"/>
      <c r="O2039" s="107"/>
    </row>
    <row r="2040" spans="1:15" s="3" customFormat="1" ht="13.2">
      <c r="A2040" s="520"/>
      <c r="O2040" s="107"/>
    </row>
    <row r="2041" spans="1:15" s="3" customFormat="1" ht="13.2">
      <c r="A2041" s="520"/>
      <c r="O2041" s="107"/>
    </row>
    <row r="2042" spans="1:15" s="3" customFormat="1" ht="13.2">
      <c r="A2042" s="520"/>
      <c r="O2042" s="107"/>
    </row>
    <row r="2043" spans="1:15" s="3" customFormat="1" ht="13.2">
      <c r="A2043" s="520"/>
      <c r="O2043" s="107"/>
    </row>
    <row r="2044" spans="1:15" s="3" customFormat="1" ht="13.2">
      <c r="A2044" s="520"/>
      <c r="O2044" s="107"/>
    </row>
    <row r="2045" spans="1:15" s="3" customFormat="1" ht="13.2">
      <c r="A2045" s="520"/>
      <c r="O2045" s="107"/>
    </row>
    <row r="2046" spans="1:15" s="3" customFormat="1" ht="13.2">
      <c r="A2046" s="520"/>
      <c r="O2046" s="107"/>
    </row>
    <row r="2047" spans="1:15" s="3" customFormat="1" ht="13.2">
      <c r="A2047" s="520"/>
      <c r="O2047" s="107"/>
    </row>
    <row r="2048" spans="1:15" s="3" customFormat="1" ht="13.2">
      <c r="A2048" s="520"/>
      <c r="O2048" s="107"/>
    </row>
    <row r="2049" spans="1:15" s="3" customFormat="1" ht="13.2">
      <c r="A2049" s="520"/>
      <c r="O2049" s="107"/>
    </row>
    <row r="2050" spans="1:15" s="3" customFormat="1" ht="13.2">
      <c r="A2050" s="520"/>
      <c r="O2050" s="107"/>
    </row>
    <row r="2051" spans="1:15" s="3" customFormat="1" ht="13.2">
      <c r="A2051" s="520"/>
      <c r="O2051" s="107"/>
    </row>
    <row r="2052" spans="1:15" s="3" customFormat="1" ht="13.2">
      <c r="A2052" s="520"/>
      <c r="O2052" s="107"/>
    </row>
    <row r="2053" spans="1:15" s="3" customFormat="1" ht="13.2">
      <c r="A2053" s="520"/>
      <c r="O2053" s="107"/>
    </row>
    <row r="2054" spans="1:15" s="3" customFormat="1" ht="13.2">
      <c r="A2054" s="520"/>
      <c r="O2054" s="107"/>
    </row>
    <row r="2055" spans="1:15" s="3" customFormat="1" ht="13.2">
      <c r="A2055" s="520"/>
      <c r="O2055" s="107"/>
    </row>
    <row r="2056" spans="1:15" s="3" customFormat="1" ht="13.2">
      <c r="A2056" s="520"/>
      <c r="O2056" s="107"/>
    </row>
    <row r="2057" spans="1:15" s="3" customFormat="1" ht="13.2">
      <c r="A2057" s="520"/>
      <c r="O2057" s="107"/>
    </row>
    <row r="2058" spans="1:15" s="3" customFormat="1" ht="13.2">
      <c r="A2058" s="520"/>
      <c r="O2058" s="107"/>
    </row>
    <row r="2059" spans="1:15" s="3" customFormat="1" ht="13.2">
      <c r="A2059" s="520"/>
      <c r="O2059" s="107"/>
    </row>
    <row r="2060" spans="1:15" s="3" customFormat="1" ht="13.2">
      <c r="A2060" s="520"/>
      <c r="O2060" s="107"/>
    </row>
    <row r="2061" spans="1:15" s="3" customFormat="1" ht="13.2">
      <c r="A2061" s="520"/>
      <c r="O2061" s="107"/>
    </row>
    <row r="2062" spans="1:15" s="3" customFormat="1" ht="13.2">
      <c r="A2062" s="520"/>
      <c r="O2062" s="107"/>
    </row>
    <row r="2063" spans="1:15" s="3" customFormat="1" ht="13.2">
      <c r="A2063" s="520"/>
      <c r="O2063" s="107"/>
    </row>
    <row r="2064" spans="1:15" s="3" customFormat="1" ht="13.2">
      <c r="A2064" s="520"/>
      <c r="O2064" s="107"/>
    </row>
    <row r="2065" spans="1:15" s="3" customFormat="1" ht="13.2">
      <c r="A2065" s="520"/>
      <c r="O2065" s="107"/>
    </row>
    <row r="2066" spans="1:15" s="3" customFormat="1" ht="13.2">
      <c r="A2066" s="520"/>
      <c r="O2066" s="107"/>
    </row>
    <row r="2067" spans="1:15" s="3" customFormat="1" ht="13.2">
      <c r="A2067" s="520"/>
      <c r="O2067" s="107"/>
    </row>
    <row r="2068" spans="1:15" s="3" customFormat="1" ht="13.2">
      <c r="A2068" s="520"/>
      <c r="O2068" s="107"/>
    </row>
    <row r="2069" spans="1:15" s="3" customFormat="1" ht="13.2">
      <c r="A2069" s="520"/>
      <c r="O2069" s="107"/>
    </row>
    <row r="2070" spans="1:15" s="3" customFormat="1" ht="13.2">
      <c r="A2070" s="520"/>
      <c r="O2070" s="107"/>
    </row>
    <row r="2071" spans="1:15" s="3" customFormat="1" ht="13.2">
      <c r="A2071" s="520"/>
      <c r="O2071" s="107"/>
    </row>
    <row r="2072" spans="1:15" s="3" customFormat="1" ht="13.2">
      <c r="A2072" s="520"/>
      <c r="O2072" s="107"/>
    </row>
    <row r="2073" spans="1:15" s="3" customFormat="1" ht="13.2">
      <c r="A2073" s="520"/>
      <c r="O2073" s="107"/>
    </row>
    <row r="2074" spans="1:15" s="3" customFormat="1" ht="13.2">
      <c r="A2074" s="520"/>
      <c r="O2074" s="107"/>
    </row>
    <row r="2075" spans="1:15" s="3" customFormat="1" ht="13.2">
      <c r="A2075" s="520"/>
      <c r="O2075" s="107"/>
    </row>
    <row r="2076" spans="1:15" s="3" customFormat="1" ht="13.2">
      <c r="A2076" s="520"/>
      <c r="O2076" s="107"/>
    </row>
    <row r="2077" spans="1:15" s="3" customFormat="1" ht="13.2">
      <c r="A2077" s="520"/>
      <c r="O2077" s="107"/>
    </row>
    <row r="2078" spans="1:15" s="3" customFormat="1" ht="13.2">
      <c r="A2078" s="520"/>
      <c r="O2078" s="107"/>
    </row>
    <row r="2079" spans="1:15" s="3" customFormat="1" ht="13.2">
      <c r="A2079" s="520"/>
      <c r="O2079" s="107"/>
    </row>
    <row r="2080" spans="1:15" s="3" customFormat="1" ht="13.2">
      <c r="A2080" s="520"/>
      <c r="O2080" s="107"/>
    </row>
    <row r="2081" spans="1:15" s="3" customFormat="1" ht="13.2">
      <c r="A2081" s="520"/>
      <c r="O2081" s="107"/>
    </row>
    <row r="2082" spans="1:15" s="3" customFormat="1" ht="13.2">
      <c r="A2082" s="520"/>
      <c r="O2082" s="107"/>
    </row>
    <row r="2083" spans="1:15" s="3" customFormat="1" ht="13.2">
      <c r="A2083" s="520"/>
      <c r="O2083" s="107"/>
    </row>
    <row r="2084" spans="1:15" s="3" customFormat="1" ht="13.2">
      <c r="A2084" s="520"/>
      <c r="O2084" s="107"/>
    </row>
    <row r="2085" spans="1:15" s="3" customFormat="1" ht="13.2">
      <c r="A2085" s="520"/>
      <c r="O2085" s="107"/>
    </row>
    <row r="2086" spans="1:15" s="3" customFormat="1" ht="13.2">
      <c r="A2086" s="520"/>
      <c r="O2086" s="107"/>
    </row>
    <row r="2087" spans="1:15" s="3" customFormat="1" ht="13.2">
      <c r="A2087" s="520"/>
      <c r="O2087" s="107"/>
    </row>
    <row r="2088" spans="1:15" s="3" customFormat="1" ht="13.2">
      <c r="A2088" s="520"/>
      <c r="O2088" s="107"/>
    </row>
    <row r="2089" spans="1:15" s="3" customFormat="1" ht="13.2">
      <c r="A2089" s="520"/>
      <c r="O2089" s="107"/>
    </row>
    <row r="2090" spans="1:15" s="3" customFormat="1" ht="13.2">
      <c r="A2090" s="520"/>
      <c r="O2090" s="107"/>
    </row>
    <row r="2091" spans="1:15" s="3" customFormat="1" ht="13.2">
      <c r="A2091" s="520"/>
      <c r="O2091" s="107"/>
    </row>
    <row r="2092" spans="1:15" s="3" customFormat="1" ht="13.2">
      <c r="A2092" s="520"/>
      <c r="O2092" s="107"/>
    </row>
    <row r="2093" spans="1:15" s="3" customFormat="1" ht="13.2">
      <c r="A2093" s="520"/>
      <c r="O2093" s="107"/>
    </row>
    <row r="2094" spans="1:15" s="3" customFormat="1" ht="13.2">
      <c r="A2094" s="520"/>
      <c r="O2094" s="107"/>
    </row>
    <row r="2095" spans="1:15" s="3" customFormat="1" ht="13.2">
      <c r="A2095" s="520"/>
      <c r="O2095" s="107"/>
    </row>
    <row r="2096" spans="1:15" s="3" customFormat="1" ht="13.2">
      <c r="A2096" s="520"/>
      <c r="O2096" s="107"/>
    </row>
    <row r="2097" spans="1:15" s="3" customFormat="1" ht="13.2">
      <c r="A2097" s="520"/>
      <c r="O2097" s="107"/>
    </row>
    <row r="2098" spans="1:15" s="3" customFormat="1" ht="13.2">
      <c r="A2098" s="520"/>
      <c r="O2098" s="107"/>
    </row>
    <row r="2099" spans="1:15" s="3" customFormat="1" ht="13.2">
      <c r="A2099" s="520"/>
      <c r="O2099" s="107"/>
    </row>
    <row r="2100" spans="1:15" s="3" customFormat="1" ht="13.2">
      <c r="A2100" s="520"/>
      <c r="O2100" s="107"/>
    </row>
    <row r="2101" spans="1:15" s="3" customFormat="1" ht="13.2">
      <c r="A2101" s="520"/>
      <c r="O2101" s="107"/>
    </row>
    <row r="2102" spans="1:15" s="3" customFormat="1" ht="13.2">
      <c r="A2102" s="520"/>
      <c r="O2102" s="107"/>
    </row>
    <row r="2103" spans="1:15" s="3" customFormat="1" ht="13.2">
      <c r="A2103" s="520"/>
      <c r="O2103" s="107"/>
    </row>
    <row r="2104" spans="1:15" s="3" customFormat="1" ht="13.2">
      <c r="A2104" s="520"/>
      <c r="O2104" s="107"/>
    </row>
    <row r="2105" spans="1:15" s="3" customFormat="1" ht="13.2">
      <c r="A2105" s="520"/>
      <c r="O2105" s="107"/>
    </row>
    <row r="2106" spans="1:15" s="3" customFormat="1" ht="13.2">
      <c r="A2106" s="520"/>
      <c r="O2106" s="107"/>
    </row>
    <row r="2107" spans="1:15" s="3" customFormat="1" ht="13.2">
      <c r="A2107" s="520"/>
      <c r="O2107" s="107"/>
    </row>
    <row r="2108" spans="1:15" s="3" customFormat="1" ht="13.2">
      <c r="A2108" s="520"/>
      <c r="O2108" s="107"/>
    </row>
    <row r="2109" spans="1:15" s="3" customFormat="1" ht="13.2">
      <c r="A2109" s="520"/>
      <c r="O2109" s="107"/>
    </row>
    <row r="2110" spans="1:15" s="3" customFormat="1" ht="13.2">
      <c r="A2110" s="520"/>
      <c r="O2110" s="107"/>
    </row>
    <row r="2111" spans="1:15" s="3" customFormat="1" ht="13.2">
      <c r="A2111" s="520"/>
      <c r="O2111" s="107"/>
    </row>
    <row r="2112" spans="1:15" s="3" customFormat="1" ht="13.2">
      <c r="A2112" s="520"/>
      <c r="O2112" s="107"/>
    </row>
    <row r="2113" spans="1:15" s="3" customFormat="1" ht="13.2">
      <c r="A2113" s="520"/>
      <c r="O2113" s="107"/>
    </row>
    <row r="2114" spans="1:15" s="3" customFormat="1" ht="13.2">
      <c r="A2114" s="520"/>
      <c r="O2114" s="107"/>
    </row>
    <row r="2115" spans="1:15" s="3" customFormat="1" ht="13.2">
      <c r="A2115" s="520"/>
      <c r="O2115" s="107"/>
    </row>
    <row r="2116" spans="1:15" s="3" customFormat="1" ht="13.2">
      <c r="A2116" s="520"/>
      <c r="O2116" s="107"/>
    </row>
    <row r="2117" spans="1:15" s="3" customFormat="1" ht="13.2">
      <c r="A2117" s="520"/>
      <c r="O2117" s="107"/>
    </row>
    <row r="2118" spans="1:15" s="3" customFormat="1" ht="13.2">
      <c r="A2118" s="520"/>
      <c r="O2118" s="107"/>
    </row>
    <row r="2119" spans="1:15" s="3" customFormat="1" ht="13.2">
      <c r="A2119" s="520"/>
      <c r="O2119" s="107"/>
    </row>
    <row r="2120" spans="1:15" s="3" customFormat="1" ht="13.2">
      <c r="A2120" s="520"/>
      <c r="O2120" s="107"/>
    </row>
    <row r="2121" spans="1:15" s="3" customFormat="1" ht="13.2">
      <c r="A2121" s="520"/>
      <c r="O2121" s="107"/>
    </row>
    <row r="2122" spans="1:15" s="3" customFormat="1" ht="13.2">
      <c r="A2122" s="520"/>
      <c r="O2122" s="107"/>
    </row>
    <row r="2123" spans="1:15" s="3" customFormat="1" ht="13.2">
      <c r="A2123" s="520"/>
      <c r="O2123" s="107"/>
    </row>
    <row r="2124" spans="1:15" s="3" customFormat="1" ht="13.2">
      <c r="A2124" s="520"/>
      <c r="O2124" s="107"/>
    </row>
    <row r="2125" spans="1:15" s="3" customFormat="1" ht="13.2">
      <c r="A2125" s="520"/>
      <c r="O2125" s="107"/>
    </row>
    <row r="2126" spans="1:15" s="3" customFormat="1" ht="13.2">
      <c r="A2126" s="520"/>
      <c r="O2126" s="107"/>
    </row>
    <row r="2127" spans="1:15" s="3" customFormat="1" ht="13.2">
      <c r="A2127" s="520"/>
      <c r="O2127" s="107"/>
    </row>
    <row r="2128" spans="1:15" s="3" customFormat="1" ht="13.2">
      <c r="A2128" s="520"/>
      <c r="O2128" s="107"/>
    </row>
    <row r="2129" spans="1:15" s="3" customFormat="1" ht="13.2">
      <c r="A2129" s="520"/>
      <c r="O2129" s="107"/>
    </row>
    <row r="2130" spans="1:15" s="3" customFormat="1" ht="13.2">
      <c r="A2130" s="520"/>
      <c r="O2130" s="107"/>
    </row>
    <row r="2131" spans="1:15" s="3" customFormat="1" ht="13.2">
      <c r="A2131" s="520"/>
      <c r="O2131" s="107"/>
    </row>
    <row r="2132" spans="1:15" s="3" customFormat="1" ht="13.2">
      <c r="A2132" s="520"/>
      <c r="O2132" s="107"/>
    </row>
    <row r="2133" spans="1:15" s="3" customFormat="1" ht="13.2">
      <c r="A2133" s="520"/>
      <c r="O2133" s="107"/>
    </row>
    <row r="2134" spans="1:15" s="3" customFormat="1" ht="13.2">
      <c r="A2134" s="520"/>
      <c r="O2134" s="107"/>
    </row>
    <row r="2135" spans="1:15" s="3" customFormat="1" ht="13.2">
      <c r="A2135" s="520"/>
      <c r="O2135" s="107"/>
    </row>
    <row r="2136" spans="1:15" s="3" customFormat="1" ht="13.2">
      <c r="A2136" s="520"/>
      <c r="O2136" s="107"/>
    </row>
    <row r="2137" spans="1:15" s="3" customFormat="1" ht="13.2">
      <c r="A2137" s="520"/>
      <c r="O2137" s="107"/>
    </row>
    <row r="2138" spans="1:15" s="3" customFormat="1" ht="13.2">
      <c r="A2138" s="520"/>
      <c r="O2138" s="107"/>
    </row>
    <row r="2139" spans="1:15" s="3" customFormat="1" ht="13.2">
      <c r="A2139" s="520"/>
      <c r="O2139" s="107"/>
    </row>
    <row r="2140" spans="1:15" s="3" customFormat="1" ht="13.2">
      <c r="A2140" s="520"/>
      <c r="O2140" s="107"/>
    </row>
    <row r="2141" spans="1:15" s="3" customFormat="1" ht="13.2">
      <c r="A2141" s="520"/>
      <c r="O2141" s="107"/>
    </row>
    <row r="2142" spans="1:15" s="3" customFormat="1" ht="13.2">
      <c r="A2142" s="520"/>
      <c r="O2142" s="107"/>
    </row>
    <row r="2143" spans="1:15" s="3" customFormat="1" ht="13.2">
      <c r="A2143" s="520"/>
      <c r="O2143" s="107"/>
    </row>
    <row r="2144" spans="1:15" s="3" customFormat="1" ht="13.2">
      <c r="A2144" s="520"/>
      <c r="O2144" s="107"/>
    </row>
    <row r="2145" spans="1:15" s="3" customFormat="1" ht="13.2">
      <c r="A2145" s="520"/>
      <c r="O2145" s="107"/>
    </row>
    <row r="2146" spans="1:15" s="3" customFormat="1" ht="13.2">
      <c r="A2146" s="520"/>
      <c r="O2146" s="107"/>
    </row>
    <row r="2147" spans="1:15" s="3" customFormat="1" ht="13.2">
      <c r="A2147" s="520"/>
      <c r="O2147" s="107"/>
    </row>
    <row r="2148" spans="1:15" s="3" customFormat="1" ht="13.2">
      <c r="A2148" s="520"/>
      <c r="O2148" s="107"/>
    </row>
    <row r="2149" spans="1:15" s="3" customFormat="1" ht="13.2">
      <c r="A2149" s="520"/>
      <c r="O2149" s="107"/>
    </row>
    <row r="2150" spans="1:15" s="3" customFormat="1" ht="13.2">
      <c r="A2150" s="520"/>
      <c r="O2150" s="107"/>
    </row>
    <row r="2151" spans="1:15" s="3" customFormat="1" ht="13.2">
      <c r="A2151" s="520"/>
      <c r="O2151" s="107"/>
    </row>
    <row r="2152" spans="1:15" s="3" customFormat="1" ht="13.2">
      <c r="A2152" s="520"/>
      <c r="O2152" s="107"/>
    </row>
    <row r="2153" spans="1:15" s="3" customFormat="1" ht="13.2">
      <c r="A2153" s="520"/>
      <c r="O2153" s="107"/>
    </row>
    <row r="2154" spans="1:15" s="3" customFormat="1" ht="13.2">
      <c r="A2154" s="520"/>
      <c r="O2154" s="107"/>
    </row>
    <row r="2155" spans="1:15" s="3" customFormat="1" ht="13.2">
      <c r="A2155" s="520"/>
      <c r="O2155" s="107"/>
    </row>
    <row r="2156" spans="1:15" s="3" customFormat="1" ht="13.2">
      <c r="A2156" s="520"/>
      <c r="O2156" s="107"/>
    </row>
    <row r="2157" spans="1:15" s="3" customFormat="1" ht="13.2">
      <c r="A2157" s="520"/>
      <c r="O2157" s="107"/>
    </row>
    <row r="2158" spans="1:15" s="3" customFormat="1" ht="13.2">
      <c r="A2158" s="520"/>
      <c r="O2158" s="107"/>
    </row>
    <row r="2159" spans="1:15" s="3" customFormat="1" ht="13.2">
      <c r="A2159" s="520"/>
      <c r="O2159" s="107"/>
    </row>
    <row r="2160" spans="1:15" s="3" customFormat="1" ht="13.2">
      <c r="A2160" s="520"/>
      <c r="O2160" s="107"/>
    </row>
    <row r="2161" spans="1:15" s="3" customFormat="1" ht="13.2">
      <c r="A2161" s="520"/>
      <c r="O2161" s="107"/>
    </row>
    <row r="2162" spans="1:15" s="3" customFormat="1" ht="13.2">
      <c r="A2162" s="520"/>
      <c r="O2162" s="107"/>
    </row>
    <row r="2163" spans="1:15" s="3" customFormat="1" ht="13.2">
      <c r="A2163" s="520"/>
      <c r="O2163" s="107"/>
    </row>
    <row r="2164" spans="1:15" s="3" customFormat="1" ht="13.2">
      <c r="A2164" s="520"/>
      <c r="O2164" s="107"/>
    </row>
    <row r="2165" spans="1:15" s="3" customFormat="1" ht="13.2">
      <c r="A2165" s="520"/>
      <c r="O2165" s="107"/>
    </row>
    <row r="2166" spans="1:15" s="3" customFormat="1" ht="13.2">
      <c r="A2166" s="520"/>
      <c r="O2166" s="107"/>
    </row>
    <row r="2167" spans="1:15" s="3" customFormat="1" ht="13.2">
      <c r="A2167" s="520"/>
      <c r="O2167" s="107"/>
    </row>
    <row r="2168" spans="1:15" s="3" customFormat="1" ht="13.2">
      <c r="A2168" s="520"/>
      <c r="O2168" s="107"/>
    </row>
    <row r="2169" spans="1:15" s="3" customFormat="1" ht="13.2">
      <c r="A2169" s="520"/>
      <c r="O2169" s="107"/>
    </row>
    <row r="2170" spans="1:15" s="3" customFormat="1" ht="13.2">
      <c r="A2170" s="520"/>
      <c r="O2170" s="107"/>
    </row>
    <row r="2171" spans="1:15" s="3" customFormat="1" ht="13.2">
      <c r="A2171" s="520"/>
      <c r="O2171" s="107"/>
    </row>
    <row r="2172" spans="1:15" s="3" customFormat="1" ht="13.2">
      <c r="A2172" s="520"/>
      <c r="O2172" s="107"/>
    </row>
    <row r="2173" spans="1:15" s="3" customFormat="1" ht="13.2">
      <c r="A2173" s="520"/>
      <c r="O2173" s="107"/>
    </row>
    <row r="2174" spans="1:15" s="3" customFormat="1" ht="13.2">
      <c r="A2174" s="520"/>
      <c r="O2174" s="107"/>
    </row>
    <row r="2175" spans="1:15" s="3" customFormat="1" ht="13.2">
      <c r="A2175" s="520"/>
      <c r="O2175" s="107"/>
    </row>
    <row r="2176" spans="1:15" s="3" customFormat="1" ht="13.2">
      <c r="A2176" s="520"/>
      <c r="O2176" s="107"/>
    </row>
    <row r="2177" spans="1:15" s="3" customFormat="1" ht="13.2">
      <c r="A2177" s="520"/>
      <c r="O2177" s="107"/>
    </row>
    <row r="2178" spans="1:15" s="3" customFormat="1" ht="13.2">
      <c r="A2178" s="520"/>
      <c r="O2178" s="107"/>
    </row>
    <row r="2179" spans="1:15" s="3" customFormat="1" ht="13.2">
      <c r="A2179" s="520"/>
      <c r="O2179" s="107"/>
    </row>
    <row r="2180" spans="1:15" s="3" customFormat="1" ht="13.2">
      <c r="A2180" s="520"/>
      <c r="O2180" s="107"/>
    </row>
    <row r="2181" spans="1:15" s="3" customFormat="1" ht="13.2">
      <c r="A2181" s="520"/>
      <c r="O2181" s="107"/>
    </row>
    <row r="2182" spans="1:15" s="3" customFormat="1" ht="13.2">
      <c r="A2182" s="520"/>
      <c r="O2182" s="107"/>
    </row>
    <row r="2183" spans="1:15" s="3" customFormat="1" ht="13.2">
      <c r="A2183" s="520"/>
      <c r="O2183" s="107"/>
    </row>
    <row r="2184" spans="1:15" s="3" customFormat="1" ht="13.2">
      <c r="A2184" s="520"/>
      <c r="O2184" s="107"/>
    </row>
    <row r="2185" spans="1:15" s="3" customFormat="1" ht="13.2">
      <c r="A2185" s="520"/>
      <c r="O2185" s="107"/>
    </row>
    <row r="2186" spans="1:15" s="3" customFormat="1" ht="13.2">
      <c r="A2186" s="520"/>
      <c r="O2186" s="107"/>
    </row>
    <row r="2187" spans="1:15" s="3" customFormat="1" ht="13.2">
      <c r="A2187" s="520"/>
      <c r="O2187" s="107"/>
    </row>
    <row r="2188" spans="1:15" s="3" customFormat="1" ht="13.2">
      <c r="A2188" s="520"/>
      <c r="O2188" s="107"/>
    </row>
    <row r="2189" spans="1:15" s="3" customFormat="1" ht="13.2">
      <c r="A2189" s="520"/>
      <c r="O2189" s="107"/>
    </row>
    <row r="2190" spans="1:15" s="3" customFormat="1" ht="13.2">
      <c r="A2190" s="520"/>
      <c r="O2190" s="107"/>
    </row>
    <row r="2191" spans="1:15" s="3" customFormat="1" ht="13.2">
      <c r="A2191" s="520"/>
      <c r="O2191" s="107"/>
    </row>
    <row r="2192" spans="1:15" s="3" customFormat="1" ht="13.2">
      <c r="A2192" s="520"/>
      <c r="O2192" s="107"/>
    </row>
    <row r="2193" spans="1:15" s="3" customFormat="1" ht="13.2">
      <c r="A2193" s="520"/>
      <c r="O2193" s="107"/>
    </row>
    <row r="2194" spans="1:15" s="3" customFormat="1" ht="13.2">
      <c r="A2194" s="520"/>
      <c r="O2194" s="107"/>
    </row>
    <row r="2195" spans="1:15" s="3" customFormat="1" ht="13.2">
      <c r="A2195" s="520"/>
      <c r="O2195" s="107"/>
    </row>
    <row r="2196" spans="1:15" s="3" customFormat="1" ht="13.2">
      <c r="A2196" s="520"/>
      <c r="O2196" s="107"/>
    </row>
    <row r="2197" spans="1:15" s="3" customFormat="1" ht="13.2">
      <c r="A2197" s="520"/>
      <c r="O2197" s="107"/>
    </row>
    <row r="2198" spans="1:15" s="3" customFormat="1" ht="13.2">
      <c r="A2198" s="520"/>
      <c r="O2198" s="107"/>
    </row>
    <row r="2199" spans="1:15" s="3" customFormat="1" ht="13.2">
      <c r="A2199" s="520"/>
      <c r="O2199" s="107"/>
    </row>
    <row r="2200" spans="1:15" s="3" customFormat="1" ht="13.2">
      <c r="A2200" s="520"/>
      <c r="O2200" s="107"/>
    </row>
    <row r="2201" spans="1:15" s="3" customFormat="1" ht="13.2">
      <c r="A2201" s="520"/>
      <c r="O2201" s="107"/>
    </row>
    <row r="2202" spans="1:15" s="3" customFormat="1" ht="13.2">
      <c r="A2202" s="520"/>
      <c r="O2202" s="107"/>
    </row>
    <row r="2203" spans="1:15" s="3" customFormat="1" ht="13.2">
      <c r="A2203" s="520"/>
      <c r="O2203" s="107"/>
    </row>
    <row r="2204" spans="1:15" s="3" customFormat="1" ht="13.2">
      <c r="A2204" s="520"/>
      <c r="O2204" s="107"/>
    </row>
    <row r="2205" spans="1:15" s="3" customFormat="1" ht="13.2">
      <c r="A2205" s="520"/>
      <c r="O2205" s="107"/>
    </row>
    <row r="2206" spans="1:15" s="3" customFormat="1" ht="13.2">
      <c r="A2206" s="520"/>
      <c r="O2206" s="107"/>
    </row>
    <row r="2207" spans="1:15" s="3" customFormat="1" ht="13.2">
      <c r="A2207" s="520"/>
      <c r="O2207" s="107"/>
    </row>
    <row r="2208" spans="1:15" s="3" customFormat="1" ht="13.2">
      <c r="A2208" s="520"/>
      <c r="O2208" s="107"/>
    </row>
    <row r="2209" spans="1:15" s="3" customFormat="1" ht="13.2">
      <c r="A2209" s="520"/>
      <c r="O2209" s="107"/>
    </row>
    <row r="2210" spans="1:15" s="3" customFormat="1" ht="13.2">
      <c r="A2210" s="520"/>
      <c r="O2210" s="107"/>
    </row>
    <row r="2211" spans="1:15" s="3" customFormat="1" ht="13.2">
      <c r="A2211" s="520"/>
      <c r="O2211" s="107"/>
    </row>
    <row r="2212" spans="1:15" s="3" customFormat="1" ht="13.2">
      <c r="A2212" s="520"/>
      <c r="O2212" s="107"/>
    </row>
    <row r="2213" spans="1:15" s="3" customFormat="1" ht="13.2">
      <c r="A2213" s="520"/>
      <c r="O2213" s="107"/>
    </row>
    <row r="2214" spans="1:15" s="3" customFormat="1" ht="13.2">
      <c r="A2214" s="520"/>
      <c r="O2214" s="107"/>
    </row>
    <row r="2215" spans="1:15" s="3" customFormat="1" ht="13.2">
      <c r="A2215" s="520"/>
      <c r="O2215" s="107"/>
    </row>
    <row r="2216" spans="1:15" s="3" customFormat="1" ht="13.2">
      <c r="A2216" s="520"/>
      <c r="O2216" s="107"/>
    </row>
    <row r="2217" spans="1:15" s="3" customFormat="1" ht="13.2">
      <c r="A2217" s="520"/>
      <c r="O2217" s="107"/>
    </row>
    <row r="2218" spans="1:15" s="3" customFormat="1" ht="13.2">
      <c r="A2218" s="520"/>
      <c r="O2218" s="107"/>
    </row>
    <row r="2219" spans="1:15" s="3" customFormat="1" ht="13.2">
      <c r="A2219" s="520"/>
      <c r="O2219" s="107"/>
    </row>
    <row r="2220" spans="1:15" s="3" customFormat="1" ht="13.2">
      <c r="A2220" s="520"/>
      <c r="O2220" s="107"/>
    </row>
    <row r="2221" spans="1:15" s="3" customFormat="1" ht="13.2">
      <c r="A2221" s="520"/>
      <c r="O2221" s="107"/>
    </row>
    <row r="2222" spans="1:15" s="3" customFormat="1" ht="13.2">
      <c r="A2222" s="520"/>
      <c r="O2222" s="107"/>
    </row>
    <row r="2223" spans="1:15" s="3" customFormat="1" ht="13.2">
      <c r="A2223" s="520"/>
      <c r="O2223" s="107"/>
    </row>
    <row r="2224" spans="1:15" s="3" customFormat="1" ht="13.2">
      <c r="A2224" s="520"/>
      <c r="O2224" s="107"/>
    </row>
    <row r="2225" spans="1:15" s="3" customFormat="1" ht="13.2">
      <c r="A2225" s="520"/>
      <c r="O2225" s="107"/>
    </row>
    <row r="2226" spans="1:15" s="3" customFormat="1" ht="13.2">
      <c r="A2226" s="520"/>
      <c r="O2226" s="107"/>
    </row>
    <row r="2227" spans="1:15" s="3" customFormat="1" ht="13.2">
      <c r="A2227" s="520"/>
      <c r="O2227" s="107"/>
    </row>
    <row r="2228" spans="1:15" s="3" customFormat="1" ht="13.2">
      <c r="A2228" s="520"/>
      <c r="O2228" s="107"/>
    </row>
    <row r="2229" spans="1:15" s="3" customFormat="1" ht="13.2">
      <c r="A2229" s="520"/>
      <c r="O2229" s="107"/>
    </row>
    <row r="2230" spans="1:15" s="3" customFormat="1" ht="13.2">
      <c r="A2230" s="520"/>
      <c r="O2230" s="107"/>
    </row>
    <row r="2231" spans="1:15" s="3" customFormat="1" ht="13.2">
      <c r="A2231" s="520"/>
      <c r="O2231" s="107"/>
    </row>
    <row r="2232" spans="1:15" s="3" customFormat="1" ht="13.2">
      <c r="A2232" s="520"/>
      <c r="O2232" s="107"/>
    </row>
    <row r="2233" spans="1:15" s="3" customFormat="1" ht="13.2">
      <c r="A2233" s="520"/>
      <c r="O2233" s="107"/>
    </row>
    <row r="2234" spans="1:15" s="3" customFormat="1" ht="13.2">
      <c r="A2234" s="520"/>
      <c r="O2234" s="107"/>
    </row>
    <row r="2235" spans="1:15" s="3" customFormat="1" ht="13.2">
      <c r="A2235" s="520"/>
      <c r="O2235" s="107"/>
    </row>
    <row r="2236" spans="1:15" s="3" customFormat="1" ht="13.2">
      <c r="A2236" s="520"/>
      <c r="O2236" s="107"/>
    </row>
    <row r="2237" spans="1:15" s="3" customFormat="1" ht="13.2">
      <c r="A2237" s="520"/>
      <c r="O2237" s="107"/>
    </row>
    <row r="2238" spans="1:15" s="3" customFormat="1" ht="13.2">
      <c r="A2238" s="520"/>
      <c r="O2238" s="107"/>
    </row>
    <row r="2239" spans="1:15" s="3" customFormat="1" ht="13.2">
      <c r="A2239" s="520"/>
      <c r="O2239" s="107"/>
    </row>
    <row r="2240" spans="1:15" s="3" customFormat="1" ht="13.2">
      <c r="A2240" s="520"/>
      <c r="O2240" s="107"/>
    </row>
    <row r="2241" spans="1:15" s="3" customFormat="1" ht="13.2">
      <c r="A2241" s="520"/>
      <c r="O2241" s="107"/>
    </row>
    <row r="2242" spans="1:15" s="3" customFormat="1" ht="13.2">
      <c r="A2242" s="520"/>
      <c r="O2242" s="107"/>
    </row>
    <row r="2243" spans="1:15" s="3" customFormat="1" ht="13.2">
      <c r="A2243" s="520"/>
      <c r="O2243" s="107"/>
    </row>
    <row r="2244" spans="1:15" s="3" customFormat="1" ht="13.2">
      <c r="A2244" s="520"/>
      <c r="O2244" s="107"/>
    </row>
    <row r="2245" spans="1:15" s="3" customFormat="1" ht="13.2">
      <c r="A2245" s="520"/>
      <c r="O2245" s="107"/>
    </row>
    <row r="2246" spans="1:15" s="3" customFormat="1" ht="13.2">
      <c r="A2246" s="520"/>
      <c r="O2246" s="107"/>
    </row>
    <row r="2247" spans="1:15" s="3" customFormat="1" ht="13.2">
      <c r="A2247" s="520"/>
      <c r="O2247" s="107"/>
    </row>
    <row r="2248" spans="1:15" s="3" customFormat="1" ht="13.2">
      <c r="A2248" s="520"/>
      <c r="O2248" s="107"/>
    </row>
    <row r="2249" spans="1:15" s="3" customFormat="1" ht="13.2">
      <c r="A2249" s="520"/>
      <c r="O2249" s="107"/>
    </row>
    <row r="2250" spans="1:15" s="3" customFormat="1" ht="13.2">
      <c r="A2250" s="520"/>
      <c r="O2250" s="107"/>
    </row>
    <row r="2251" spans="1:15" s="3" customFormat="1" ht="13.2">
      <c r="A2251" s="520"/>
      <c r="O2251" s="107"/>
    </row>
    <row r="2252" spans="1:15" s="3" customFormat="1" ht="13.2">
      <c r="A2252" s="520"/>
      <c r="O2252" s="107"/>
    </row>
    <row r="2253" spans="1:15" s="3" customFormat="1" ht="13.2">
      <c r="A2253" s="520"/>
      <c r="O2253" s="107"/>
    </row>
    <row r="2254" spans="1:15" s="3" customFormat="1" ht="13.2">
      <c r="A2254" s="520"/>
      <c r="O2254" s="107"/>
    </row>
    <row r="2255" spans="1:15" s="3" customFormat="1" ht="13.2">
      <c r="A2255" s="520"/>
      <c r="O2255" s="107"/>
    </row>
    <row r="2256" spans="1:15" s="3" customFormat="1" ht="13.2">
      <c r="A2256" s="520"/>
      <c r="O2256" s="107"/>
    </row>
    <row r="2257" spans="1:15" s="3" customFormat="1" ht="13.2">
      <c r="A2257" s="520"/>
      <c r="O2257" s="107"/>
    </row>
    <row r="2258" spans="1:15" s="3" customFormat="1" ht="13.2">
      <c r="A2258" s="520"/>
      <c r="O2258" s="107"/>
    </row>
    <row r="2259" spans="1:15" s="3" customFormat="1" ht="13.2">
      <c r="A2259" s="520"/>
      <c r="O2259" s="107"/>
    </row>
    <row r="2260" spans="1:15" s="3" customFormat="1" ht="13.2">
      <c r="A2260" s="520"/>
      <c r="O2260" s="107"/>
    </row>
    <row r="2261" spans="1:15" s="3" customFormat="1" ht="13.2">
      <c r="A2261" s="520"/>
      <c r="O2261" s="107"/>
    </row>
    <row r="2262" spans="1:15" s="3" customFormat="1" ht="13.2">
      <c r="A2262" s="520"/>
      <c r="O2262" s="107"/>
    </row>
    <row r="2263" spans="1:15" s="3" customFormat="1" ht="13.2">
      <c r="A2263" s="520"/>
      <c r="O2263" s="107"/>
    </row>
    <row r="2264" spans="1:15" s="3" customFormat="1" ht="13.2">
      <c r="A2264" s="520"/>
      <c r="O2264" s="107"/>
    </row>
    <row r="2265" spans="1:15" s="3" customFormat="1" ht="13.2">
      <c r="A2265" s="520"/>
      <c r="O2265" s="107"/>
    </row>
    <row r="2266" spans="1:15" s="3" customFormat="1" ht="13.2">
      <c r="A2266" s="520"/>
      <c r="O2266" s="107"/>
    </row>
    <row r="2267" spans="1:15" s="3" customFormat="1" ht="13.2">
      <c r="A2267" s="520"/>
      <c r="O2267" s="107"/>
    </row>
    <row r="2268" spans="1:15" s="3" customFormat="1" ht="13.2">
      <c r="A2268" s="520"/>
      <c r="O2268" s="107"/>
    </row>
    <row r="2269" spans="1:15" s="3" customFormat="1" ht="13.2">
      <c r="A2269" s="520"/>
      <c r="O2269" s="107"/>
    </row>
    <row r="2270" spans="1:15" s="3" customFormat="1" ht="13.2">
      <c r="A2270" s="520"/>
      <c r="O2270" s="107"/>
    </row>
    <row r="2271" spans="1:15" s="3" customFormat="1" ht="13.2">
      <c r="A2271" s="520"/>
      <c r="O2271" s="107"/>
    </row>
    <row r="2272" spans="1:15" s="3" customFormat="1" ht="13.2">
      <c r="A2272" s="520"/>
      <c r="O2272" s="107"/>
    </row>
    <row r="2273" spans="1:15" s="3" customFormat="1" ht="13.2">
      <c r="A2273" s="520"/>
      <c r="O2273" s="107"/>
    </row>
    <row r="2274" spans="1:15" s="3" customFormat="1" ht="13.2">
      <c r="A2274" s="520"/>
      <c r="O2274" s="107"/>
    </row>
    <row r="2275" spans="1:15" s="3" customFormat="1" ht="13.2">
      <c r="A2275" s="520"/>
      <c r="O2275" s="107"/>
    </row>
    <row r="2276" spans="1:15" s="3" customFormat="1" ht="13.2">
      <c r="A2276" s="520"/>
      <c r="O2276" s="107"/>
    </row>
    <row r="2277" spans="1:15" s="3" customFormat="1" ht="13.2">
      <c r="A2277" s="520"/>
      <c r="O2277" s="107"/>
    </row>
    <row r="2278" spans="1:15" s="3" customFormat="1" ht="13.2">
      <c r="A2278" s="520"/>
      <c r="O2278" s="107"/>
    </row>
    <row r="2279" spans="1:15" s="3" customFormat="1" ht="13.2">
      <c r="A2279" s="520"/>
      <c r="O2279" s="107"/>
    </row>
    <row r="2280" spans="1:15" s="3" customFormat="1" ht="13.2">
      <c r="A2280" s="520"/>
      <c r="O2280" s="107"/>
    </row>
    <row r="2281" spans="1:15" s="3" customFormat="1" ht="13.2">
      <c r="A2281" s="520"/>
      <c r="O2281" s="107"/>
    </row>
    <row r="2282" spans="1:15" s="3" customFormat="1" ht="13.2">
      <c r="A2282" s="520"/>
      <c r="O2282" s="107"/>
    </row>
    <row r="2283" spans="1:15" s="3" customFormat="1" ht="13.2">
      <c r="A2283" s="520"/>
      <c r="O2283" s="107"/>
    </row>
    <row r="2284" spans="1:15" s="3" customFormat="1" ht="13.2">
      <c r="A2284" s="520"/>
      <c r="O2284" s="107"/>
    </row>
    <row r="2285" spans="1:15" s="3" customFormat="1" ht="13.2">
      <c r="A2285" s="520"/>
      <c r="O2285" s="107"/>
    </row>
    <row r="2286" spans="1:15" s="3" customFormat="1" ht="13.2">
      <c r="A2286" s="520"/>
      <c r="O2286" s="107"/>
    </row>
    <row r="2287" spans="1:15" s="3" customFormat="1" ht="13.2">
      <c r="A2287" s="520"/>
      <c r="O2287" s="107"/>
    </row>
    <row r="2288" spans="1:15" s="3" customFormat="1" ht="13.2">
      <c r="A2288" s="520"/>
      <c r="O2288" s="107"/>
    </row>
    <row r="2289" spans="1:15" s="3" customFormat="1" ht="13.2">
      <c r="A2289" s="520"/>
      <c r="O2289" s="107"/>
    </row>
    <row r="2290" spans="1:15" s="3" customFormat="1" ht="13.2">
      <c r="A2290" s="520"/>
      <c r="O2290" s="107"/>
    </row>
    <row r="2291" spans="1:15" s="3" customFormat="1" ht="13.2">
      <c r="A2291" s="520"/>
      <c r="O2291" s="107"/>
    </row>
    <row r="2292" spans="1:15" s="3" customFormat="1" ht="13.2">
      <c r="A2292" s="520"/>
      <c r="O2292" s="107"/>
    </row>
    <row r="2293" spans="1:15" s="3" customFormat="1" ht="13.2">
      <c r="A2293" s="520"/>
      <c r="O2293" s="107"/>
    </row>
    <row r="2294" spans="1:15" s="3" customFormat="1" ht="13.2">
      <c r="A2294" s="520"/>
      <c r="O2294" s="107"/>
    </row>
    <row r="2295" spans="1:15" s="3" customFormat="1" ht="13.2">
      <c r="A2295" s="520"/>
      <c r="O2295" s="107"/>
    </row>
    <row r="2296" spans="1:15" s="3" customFormat="1" ht="13.2">
      <c r="A2296" s="520"/>
      <c r="O2296" s="107"/>
    </row>
    <row r="2297" spans="1:15" s="3" customFormat="1" ht="13.2">
      <c r="A2297" s="520"/>
      <c r="O2297" s="107"/>
    </row>
    <row r="2298" spans="1:15" s="3" customFormat="1" ht="13.2">
      <c r="A2298" s="520"/>
      <c r="O2298" s="107"/>
    </row>
    <row r="2299" spans="1:15" s="3" customFormat="1" ht="13.2">
      <c r="A2299" s="520"/>
      <c r="O2299" s="107"/>
    </row>
    <row r="2300" spans="1:15" s="3" customFormat="1" ht="13.2">
      <c r="A2300" s="520"/>
      <c r="O2300" s="107"/>
    </row>
    <row r="2301" spans="1:15" s="3" customFormat="1" ht="13.2">
      <c r="A2301" s="520"/>
      <c r="O2301" s="107"/>
    </row>
    <row r="2302" spans="1:15" s="3" customFormat="1" ht="13.2">
      <c r="A2302" s="520"/>
      <c r="O2302" s="107"/>
    </row>
    <row r="2303" spans="1:15" s="3" customFormat="1" ht="13.2">
      <c r="A2303" s="520"/>
      <c r="O2303" s="107"/>
    </row>
    <row r="2304" spans="1:15" s="3" customFormat="1" ht="13.2">
      <c r="A2304" s="520"/>
      <c r="O2304" s="107"/>
    </row>
    <row r="2305" spans="1:37" s="3" customFormat="1" ht="13.2">
      <c r="A2305" s="520"/>
      <c r="O2305" s="107"/>
    </row>
    <row r="2306" spans="1:37" s="3" customFormat="1" ht="13.2">
      <c r="A2306" s="520"/>
      <c r="O2306" s="107"/>
    </row>
    <row r="2307" spans="1:37" s="3" customFormat="1" ht="13.2">
      <c r="A2307" s="520"/>
      <c r="O2307" s="107"/>
    </row>
    <row r="2308" spans="1:37" s="3" customFormat="1" ht="13.2">
      <c r="A2308" s="520"/>
      <c r="O2308" s="107"/>
    </row>
    <row r="2309" spans="1:37" s="3" customFormat="1" ht="13.2">
      <c r="A2309" s="520"/>
      <c r="O2309" s="107"/>
    </row>
    <row r="2310" spans="1:37" s="3" customFormat="1" ht="13.2">
      <c r="A2310" s="520"/>
      <c r="O2310" s="107"/>
    </row>
    <row r="2311" spans="1:37" s="520" customFormat="1" thickBot="1">
      <c r="A2311" s="48"/>
      <c r="B2311" s="3"/>
      <c r="C2311" s="51"/>
      <c r="D2311" s="3"/>
      <c r="E2311" s="3"/>
      <c r="F2311" s="3"/>
      <c r="G2311" s="3"/>
      <c r="H2311" s="3"/>
      <c r="I2311" s="3"/>
      <c r="J2311" s="3"/>
      <c r="K2311" s="3"/>
      <c r="L2311" s="3"/>
      <c r="M2311" s="3"/>
      <c r="N2311" s="3"/>
      <c r="O2311" s="107"/>
      <c r="P2311" s="3"/>
      <c r="Q2311" s="3"/>
      <c r="R2311" s="3"/>
      <c r="S2311" s="3"/>
      <c r="T2311" s="3"/>
      <c r="AH2311" s="948" t="e">
        <f>SUM(#REF!)</f>
        <v>#REF!</v>
      </c>
      <c r="AI2311" s="36"/>
      <c r="AJ2311" s="948" t="e">
        <f>SUM(#REF!)</f>
        <v>#REF!</v>
      </c>
      <c r="AK2311" s="948" t="e">
        <f>SUM(#REF!)</f>
        <v>#REF!</v>
      </c>
    </row>
    <row r="2312" spans="1:37" s="520" customFormat="1" ht="12" thickTop="1">
      <c r="B2312" s="949">
        <f>$F2312/$C$2-($R2312*$S$2+$T2312*$T$2)</f>
        <v>0</v>
      </c>
      <c r="C2312" s="520" t="s">
        <v>73</v>
      </c>
      <c r="D2312" s="950"/>
      <c r="E2312" s="950" t="str">
        <f>$F$2 &amp; " (mu_A) :"</f>
        <v>Electrical (mu_A) :</v>
      </c>
      <c r="F2312" s="951">
        <f>SUMIF($K$13:$K2311,"mu_A",F$13:F2311)</f>
        <v>0</v>
      </c>
      <c r="O2312" s="771"/>
      <c r="R2312" s="952">
        <f>SUMIF($K$13:$K2311,"mu_A",$R$13:$R2311)</f>
        <v>0</v>
      </c>
      <c r="T2312" s="952">
        <f>SUMIF($K$13:$K2311,"mu_A",$T$13:$T2311)</f>
        <v>0</v>
      </c>
      <c r="AH2312" s="953">
        <f>R2312*$S$2</f>
        <v>0</v>
      </c>
      <c r="AJ2312" s="953">
        <f>T2312*$T$2</f>
        <v>0</v>
      </c>
    </row>
    <row r="2313" spans="1:37" s="520" customFormat="1" ht="11.4">
      <c r="B2313" s="949">
        <f>$F2313/$C$3-($R2313*$S$3+$T2313*$T$3)</f>
        <v>0</v>
      </c>
      <c r="C2313" s="520" t="s">
        <v>73</v>
      </c>
      <c r="D2313" s="950"/>
      <c r="E2313" s="950" t="str">
        <f>$F$3&amp; " (mu_B) :"</f>
        <v>ELV Installation (NAS Ltd) (mu_B) :</v>
      </c>
      <c r="F2313" s="954">
        <f>SUMIF($K$13:$K2311,"mu_B",F$13:F2311)</f>
        <v>0</v>
      </c>
      <c r="G2313" s="758"/>
      <c r="H2313" s="758"/>
      <c r="I2313" s="519"/>
      <c r="J2313" s="758"/>
      <c r="K2313" s="758"/>
      <c r="L2313" s="758"/>
      <c r="M2313" s="758"/>
      <c r="N2313" s="758"/>
      <c r="O2313" s="758"/>
      <c r="P2313" s="758"/>
      <c r="Q2313" s="778"/>
      <c r="R2313" s="955">
        <f>SUMIF($K$13:$K2311,"mu_B",$R$13:$R2311)</f>
        <v>0</v>
      </c>
      <c r="S2313" s="813"/>
      <c r="T2313" s="955">
        <f>SUMIF($K$13:$K2311,"mu_B",$T$13:$T2311)</f>
        <v>0</v>
      </c>
      <c r="AH2313" s="956">
        <f>R2313*$S$3</f>
        <v>0</v>
      </c>
      <c r="AJ2313" s="956">
        <f>T2313*$T$3</f>
        <v>0</v>
      </c>
    </row>
    <row r="2314" spans="1:37" s="520" customFormat="1" ht="11.4">
      <c r="B2314" s="949">
        <f>$F2314/$C$4-($R2314*$S$4+$T2314*$T$4)</f>
        <v>0</v>
      </c>
      <c r="C2314" s="520" t="s">
        <v>73</v>
      </c>
      <c r="D2314" s="950"/>
      <c r="E2314" s="950" t="str">
        <f>$F$4&amp; " (mu_C) :"</f>
        <v>Lightning Protection System (MCE Ltd) (mu_C) :</v>
      </c>
      <c r="F2314" s="957">
        <f>SUMIF($K$13:$K2311,"mu_C",F$13:F2311)</f>
        <v>0</v>
      </c>
      <c r="G2314" s="758"/>
      <c r="H2314" s="758"/>
      <c r="I2314" s="519"/>
      <c r="J2314" s="758"/>
      <c r="K2314" s="758"/>
      <c r="L2314" s="855"/>
      <c r="M2314" s="855"/>
      <c r="N2314" s="855"/>
      <c r="O2314" s="855"/>
      <c r="P2314" s="855"/>
      <c r="R2314" s="955">
        <f>SUMIF($K$13:$K2311,"mu_C",$R$13:$R2311)</f>
        <v>0</v>
      </c>
      <c r="S2314" s="776"/>
      <c r="T2314" s="955">
        <f>SUMIF($K$13:$K2311,"mu_C",$T$13:$T2311)</f>
        <v>0</v>
      </c>
      <c r="AH2314" s="958">
        <f>R2314*$S$4</f>
        <v>0</v>
      </c>
      <c r="AJ2314" s="958">
        <f>T2314*$T$4</f>
        <v>0</v>
      </c>
    </row>
    <row r="2315" spans="1:37" s="520" customFormat="1" ht="11.4">
      <c r="B2315" s="949">
        <f>$F2315/$C$5-($R2315*$S$5+$T2315*$T$5)</f>
        <v>0</v>
      </c>
      <c r="C2315" s="520" t="s">
        <v>73</v>
      </c>
      <c r="D2315" s="950"/>
      <c r="E2315" s="950" t="str">
        <f>$F$5&amp; " (mu_D) :"</f>
        <v>Controls ECA (mu_D) :</v>
      </c>
      <c r="F2315" s="959">
        <f>SUMIF($K$13:$K2311,"mu_D",F$13:F2311)</f>
        <v>0</v>
      </c>
      <c r="G2315" s="758"/>
      <c r="H2315" s="758"/>
      <c r="I2315" s="519"/>
      <c r="J2315" s="758"/>
      <c r="K2315" s="758"/>
      <c r="L2315" s="855"/>
      <c r="M2315" s="855"/>
      <c r="N2315" s="855"/>
      <c r="O2315" s="855"/>
      <c r="P2315" s="855"/>
      <c r="R2315" s="955">
        <f>SUMIF($K$13:$K2311,"mu_D",$R$13:$R2311)</f>
        <v>0</v>
      </c>
      <c r="S2315" s="776"/>
      <c r="T2315" s="955">
        <f>SUMIF($K$13:$K2311,"mu_D",$T$13:$T2311)</f>
        <v>0</v>
      </c>
      <c r="AH2315" s="960">
        <f>R2315*$S$5</f>
        <v>0</v>
      </c>
      <c r="AJ2315" s="960">
        <f>T2315*$T$5</f>
        <v>0</v>
      </c>
    </row>
    <row r="2316" spans="1:37" s="520" customFormat="1" ht="11.4">
      <c r="B2316" s="949">
        <f>$F2316/$C$6-($R2316*$S$6+$T2316*$T$6)</f>
        <v>0</v>
      </c>
      <c r="C2316" s="520" t="s">
        <v>73</v>
      </c>
      <c r="D2316" s="950"/>
      <c r="E2316" s="950" t="str">
        <f>$F$6&amp; " (mu_E) :"</f>
        <v>Testing and Commissiong  (mu_E) :</v>
      </c>
      <c r="F2316" s="961">
        <f>SUMIF($K$13:$K2311,"mu_E",F$13:F2311)</f>
        <v>0</v>
      </c>
      <c r="G2316" s="758"/>
      <c r="H2316" s="758"/>
      <c r="I2316" s="519"/>
      <c r="J2316" s="758"/>
      <c r="K2316" s="758"/>
      <c r="L2316" s="855"/>
      <c r="M2316" s="855"/>
      <c r="N2316" s="855"/>
      <c r="O2316" s="855"/>
      <c r="P2316" s="855"/>
      <c r="R2316" s="955">
        <f>SUMIF($K$13:$K2311,"mu_E",$R$13:$R2311)</f>
        <v>0</v>
      </c>
      <c r="S2316" s="776"/>
      <c r="T2316" s="955">
        <f>SUMIF($K$13:$K2311,"mu_E",$T$13:$T2311)</f>
        <v>0</v>
      </c>
      <c r="AH2316" s="962">
        <f>R2316*$S$6</f>
        <v>0</v>
      </c>
      <c r="AJ2316" s="962">
        <f>T2316*$T$6</f>
        <v>0</v>
      </c>
    </row>
    <row r="2317" spans="1:37" s="520" customFormat="1" ht="11.4">
      <c r="B2317" s="949">
        <f>$F2317/$C$7-($R2317*$S$7+$T2317*$T$7)</f>
        <v>-3.5349040001165122E-2</v>
      </c>
      <c r="C2317" s="520" t="s">
        <v>73</v>
      </c>
      <c r="D2317" s="950"/>
      <c r="E2317" s="950" t="str">
        <f>$F$7&amp; " (mu_F) :"</f>
        <v>Fire Stopping rates (mu_F) :</v>
      </c>
      <c r="F2317" s="963">
        <f>SUMIF($K$13:$K2311,"mu_F",F$13:F2311)</f>
        <v>55304.899999999994</v>
      </c>
      <c r="G2317" s="758"/>
      <c r="H2317" s="758"/>
      <c r="I2317" s="519"/>
      <c r="J2317" s="758"/>
      <c r="K2317" s="758"/>
      <c r="L2317" s="855"/>
      <c r="M2317" s="855"/>
      <c r="N2317" s="855"/>
      <c r="O2317" s="855"/>
      <c r="P2317" s="855"/>
      <c r="R2317" s="955">
        <f>SUMIF($K$13:$K2311,"mu_F",$R$13:$R2311)</f>
        <v>28788.399999999998</v>
      </c>
      <c r="S2317" s="776"/>
      <c r="T2317" s="955">
        <f>SUMIF($K$13:$K2311,"mu_F",$T$13:$T2311)</f>
        <v>587.25</v>
      </c>
      <c r="AH2317" s="964">
        <f>R2317*$S$7</f>
        <v>35448.423609599995</v>
      </c>
      <c r="AJ2317" s="964">
        <f>T2317*$T$7</f>
        <v>19856.511739440004</v>
      </c>
    </row>
    <row r="2318" spans="1:37" s="520" customFormat="1" ht="11.4">
      <c r="B2318" s="949">
        <f>$F2318/$C$8-($R2318*$S$8+$T2318*$T$8)</f>
        <v>0</v>
      </c>
      <c r="C2318" s="520" t="s">
        <v>73</v>
      </c>
      <c r="D2318" s="950"/>
      <c r="E2318" s="950" t="str">
        <f>$F$8&amp; " (mu_G) :"</f>
        <v>Main Equipment (Gen Set / Main Switchboards) (mu_G) :</v>
      </c>
      <c r="F2318" s="965">
        <f>SUMIF($K$13:$K2311,"mu_G",F$13:F2311)</f>
        <v>0</v>
      </c>
      <c r="G2318" s="758"/>
      <c r="H2318" s="758"/>
      <c r="I2318" s="519"/>
      <c r="J2318" s="758"/>
      <c r="K2318" s="758"/>
      <c r="L2318" s="855"/>
      <c r="M2318" s="855"/>
      <c r="N2318" s="855"/>
      <c r="O2318" s="855"/>
      <c r="P2318" s="855"/>
      <c r="R2318" s="955">
        <f>SUMIF($K$13:$K2311,"mu_G",$R$13:$R2311)</f>
        <v>0</v>
      </c>
      <c r="S2318" s="776"/>
      <c r="T2318" s="955">
        <f>SUMIF($K$13:$K2311,"mu_G",$T$13:$T2311)</f>
        <v>0</v>
      </c>
      <c r="AH2318" s="966">
        <f>R2318*$S$8</f>
        <v>0</v>
      </c>
      <c r="AJ2318" s="966">
        <f>T2318*$T$8</f>
        <v>0</v>
      </c>
    </row>
    <row r="2319" spans="1:37" s="520" customFormat="1" ht="11.4">
      <c r="B2319" s="949">
        <f>$F2319/$C$9-($R2319*$S$9+$T2319*$T$9)</f>
        <v>0</v>
      </c>
      <c r="C2319" s="520" t="s">
        <v>73</v>
      </c>
      <c r="D2319" s="950"/>
      <c r="E2319" s="950" t="str">
        <f>$F$9&amp; " (mu_H) :"</f>
        <v>DBs and Changeover (mu_H) :</v>
      </c>
      <c r="F2319" s="967">
        <f>SUMIF($K$13:$K2311,"mu_H",F$13:F2311)</f>
        <v>0</v>
      </c>
      <c r="G2319" s="758"/>
      <c r="H2319" s="758"/>
      <c r="I2319" s="519"/>
      <c r="J2319" s="758"/>
      <c r="K2319" s="758"/>
      <c r="L2319" s="855"/>
      <c r="M2319" s="855"/>
      <c r="N2319" s="855"/>
      <c r="O2319" s="855"/>
      <c r="P2319" s="855"/>
      <c r="R2319" s="955">
        <f>SUMIF($K$13:$K2311,"mu_H",$R$13:$R2311)</f>
        <v>0</v>
      </c>
      <c r="S2319" s="776"/>
      <c r="T2319" s="955">
        <f>SUMIF($K$13:$K2311,"mu_H",$T$13:$T2311)</f>
        <v>0</v>
      </c>
      <c r="AH2319" s="968">
        <f>R2319*$S$9</f>
        <v>0</v>
      </c>
      <c r="AJ2319" s="968">
        <f>T2319*$T$9</f>
        <v>0</v>
      </c>
    </row>
    <row r="2320" spans="1:37" s="520" customFormat="1" ht="11.4">
      <c r="B2320" s="949">
        <f>$F2320/$C$10-($R2320*$S$10+$T2320*$T$10)</f>
        <v>0</v>
      </c>
      <c r="C2320" s="520" t="s">
        <v>73</v>
      </c>
      <c r="D2320" s="950"/>
      <c r="E2320" s="950" t="str">
        <f>$F$10&amp; " (mu_I) :"</f>
        <v>Armoured Cables (mu_I) :</v>
      </c>
      <c r="F2320" s="969">
        <f>SUMIF($K$13:$K2311,"mu_I",F$13:F2311)</f>
        <v>0</v>
      </c>
      <c r="G2320" s="758"/>
      <c r="H2320" s="758"/>
      <c r="I2320" s="519"/>
      <c r="J2320" s="758"/>
      <c r="K2320" s="758"/>
      <c r="L2320" s="855"/>
      <c r="M2320" s="855"/>
      <c r="N2320" s="855"/>
      <c r="O2320" s="855"/>
      <c r="P2320" s="855"/>
      <c r="R2320" s="955">
        <f>SUMIF($K$13:$K2311,"mu_I",$R$13:$R2311)</f>
        <v>0</v>
      </c>
      <c r="S2320" s="776"/>
      <c r="T2320" s="955">
        <f>SUMIF($K$13:$K2311,"mu_I",$T$13:$T2311)</f>
        <v>0</v>
      </c>
      <c r="AH2320" s="970">
        <f>R2320*$S$10</f>
        <v>0</v>
      </c>
      <c r="AJ2320" s="970">
        <f>T2320*$T$10</f>
        <v>0</v>
      </c>
    </row>
    <row r="2321" spans="1:37" s="520" customFormat="1" ht="11.4">
      <c r="B2321" s="949">
        <f>$F2321/$C$11-($R2321*$S$11+$T2321*$T$11)</f>
        <v>0</v>
      </c>
      <c r="D2321" s="950"/>
      <c r="E2321" s="950" t="str">
        <f>$F$10&amp; " (mu_J) :"</f>
        <v>Armoured Cables (mu_J) :</v>
      </c>
      <c r="F2321" s="971">
        <f>SUMIF($K$13:$K2311,"mu_J",F$13:F2311)</f>
        <v>0</v>
      </c>
      <c r="G2321" s="758"/>
      <c r="H2321" s="758"/>
      <c r="I2321" s="519"/>
      <c r="J2321" s="758"/>
      <c r="K2321" s="758"/>
      <c r="L2321" s="855"/>
      <c r="M2321" s="855"/>
      <c r="N2321" s="855"/>
      <c r="O2321" s="855"/>
      <c r="P2321" s="855"/>
      <c r="R2321" s="955">
        <f>SUMIF($K$13:$K2311,"mu_J",$R$13:$R2311)</f>
        <v>0</v>
      </c>
      <c r="S2321" s="776"/>
      <c r="T2321" s="955">
        <f>SUMIF($K$13:$K2311,"mu_J",$T$13:$T2311)</f>
        <v>0</v>
      </c>
      <c r="AH2321" s="972">
        <f>R2321*$S$11</f>
        <v>0</v>
      </c>
      <c r="AJ2321" s="972">
        <f>T2321*$T$11</f>
        <v>0</v>
      </c>
    </row>
    <row r="2322" spans="1:37" s="520" customFormat="1" ht="14.4" thickBot="1">
      <c r="A2322" s="973"/>
      <c r="B2322" s="973"/>
      <c r="C2322" s="974" t="s">
        <v>2719</v>
      </c>
      <c r="D2322" s="975"/>
      <c r="E2322" s="976" t="s">
        <v>2720</v>
      </c>
      <c r="F2322" s="977">
        <f>SUM(F2312:F2321)</f>
        <v>55304.899999999994</v>
      </c>
      <c r="G2322" s="978"/>
      <c r="H2322" s="978"/>
      <c r="I2322" s="979"/>
      <c r="J2322" s="978"/>
      <c r="K2322" s="978"/>
      <c r="L2322" s="980"/>
      <c r="M2322" s="980"/>
      <c r="N2322" s="980"/>
      <c r="O2322" s="980"/>
      <c r="P2322" s="980"/>
      <c r="Q2322" s="981"/>
      <c r="R2322" s="981">
        <f>SUM(R2312:R2321)</f>
        <v>28788.399999999998</v>
      </c>
      <c r="S2322" s="982"/>
      <c r="T2322" s="981">
        <f>SUM(T2312:T2321)</f>
        <v>587.25</v>
      </c>
      <c r="U2322" s="531"/>
      <c r="V2322" s="531"/>
      <c r="W2322" s="531"/>
      <c r="X2322" s="531"/>
      <c r="Y2322" s="531"/>
      <c r="Z2322" s="531"/>
      <c r="AA2322" s="531"/>
      <c r="AB2322" s="531"/>
      <c r="AC2322" s="531"/>
      <c r="AD2322" s="531"/>
      <c r="AE2322" s="531"/>
      <c r="AF2322" s="531"/>
      <c r="AG2322" s="531"/>
      <c r="AH2322" s="948">
        <f>SUM(AH2312:AH2321)</f>
        <v>35448.423609599995</v>
      </c>
      <c r="AI2322" s="983"/>
      <c r="AJ2322" s="948">
        <f>SUM(AJ2312:AJ2321)</f>
        <v>19856.511739440004</v>
      </c>
      <c r="AK2322" s="948">
        <f>AH2322+AJ2322</f>
        <v>55304.935349039995</v>
      </c>
    </row>
    <row r="2323" spans="1:37" s="520" customFormat="1" ht="14.4" thickTop="1">
      <c r="A2323" s="514"/>
      <c r="B2323" s="514"/>
      <c r="C2323" s="984"/>
      <c r="D2323" s="985"/>
      <c r="E2323" s="777"/>
      <c r="F2323" s="986"/>
      <c r="G2323" s="754"/>
      <c r="H2323" s="754"/>
      <c r="I2323" s="754"/>
      <c r="J2323" s="754"/>
      <c r="K2323" s="754"/>
      <c r="L2323" s="987"/>
      <c r="M2323" s="987"/>
      <c r="N2323" s="987"/>
      <c r="O2323" s="987"/>
      <c r="P2323" s="987"/>
      <c r="Q2323" s="986"/>
      <c r="R2323" s="986"/>
      <c r="S2323" s="988"/>
      <c r="T2323" s="986"/>
      <c r="AH2323" s="989" t="e">
        <f>AH2311-AH2322</f>
        <v>#REF!</v>
      </c>
      <c r="AI2323" s="36"/>
      <c r="AJ2323" s="989" t="e">
        <f>AJ2311-AJ2322</f>
        <v>#REF!</v>
      </c>
      <c r="AK2323" s="989" t="e">
        <f>AK2311-AK2322</f>
        <v>#REF!</v>
      </c>
    </row>
    <row r="2324" spans="1:37" s="520" customFormat="1" ht="12.6" thickBot="1">
      <c r="A2324" s="990"/>
      <c r="B2324" s="991" t="s">
        <v>2721</v>
      </c>
      <c r="C2324" s="51"/>
      <c r="D2324" s="53"/>
      <c r="E2324" s="38" t="s">
        <v>2722</v>
      </c>
      <c r="F2324" s="992"/>
      <c r="G2324" s="530"/>
      <c r="H2324" s="530"/>
      <c r="I2324" s="530"/>
      <c r="J2324" s="530"/>
      <c r="K2324" s="530"/>
      <c r="L2324" s="986" t="s">
        <v>2723</v>
      </c>
      <c r="M2324" s="986"/>
      <c r="N2324" s="986"/>
      <c r="O2324" s="986"/>
      <c r="P2324" s="986"/>
      <c r="Q2324" s="530"/>
      <c r="R2324" s="993">
        <f>SUMIF($L$14:$L2311,"",R$14:R2311)</f>
        <v>201518.8</v>
      </c>
      <c r="S2324" s="994"/>
      <c r="T2324" s="993">
        <f>SUMIF($L$14:$L2311,"",T$14:T2311)</f>
        <v>4110.75</v>
      </c>
    </row>
    <row r="2325" spans="1:37" s="520" customFormat="1" ht="12">
      <c r="A2325" s="990"/>
      <c r="B2325" s="991" t="s">
        <v>2724</v>
      </c>
      <c r="C2325" s="51"/>
      <c r="D2325" s="51"/>
      <c r="E2325" s="813"/>
      <c r="F2325" s="530"/>
      <c r="G2325" s="530"/>
      <c r="H2325" s="530"/>
      <c r="I2325" s="530"/>
      <c r="J2325" s="530"/>
      <c r="K2325" s="530"/>
      <c r="L2325" s="530"/>
      <c r="M2325" s="530"/>
      <c r="N2325" s="530"/>
      <c r="O2325" s="530"/>
      <c r="P2325" s="530"/>
      <c r="Q2325" s="530"/>
      <c r="R2325" s="530"/>
      <c r="S2325" s="530"/>
      <c r="T2325" s="530"/>
    </row>
    <row r="2326" spans="1:37" s="520" customFormat="1" ht="12.6" thickBot="1">
      <c r="A2326" s="995"/>
      <c r="B2326" s="996">
        <f>$F2326/$C$2-($R2326*$S$2+$T2326*$T$2)</f>
        <v>-3.5349040001165122E-2</v>
      </c>
      <c r="C2326" s="51"/>
      <c r="D2326" s="53"/>
      <c r="E2326" s="38" t="s">
        <v>2725</v>
      </c>
      <c r="F2326" s="997">
        <f>SUMIF($L$14:$L2311,"ITEM",F$14:F2311)</f>
        <v>55304.899999999994</v>
      </c>
      <c r="G2326" s="530"/>
      <c r="H2326" s="530"/>
      <c r="I2326" s="530"/>
      <c r="J2326" s="530"/>
      <c r="K2326" s="530"/>
      <c r="L2326" s="986" t="s">
        <v>2726</v>
      </c>
      <c r="M2326" s="986"/>
      <c r="N2326" s="986"/>
      <c r="O2326" s="986"/>
      <c r="P2326" s="986"/>
      <c r="Q2326" s="994"/>
      <c r="R2326" s="998">
        <f>SUMIF($L$14:$L2311,"ITEM",R$14:R2311)</f>
        <v>28788.399999999998</v>
      </c>
      <c r="S2326" s="999"/>
      <c r="T2326" s="998">
        <f>SUMIF($L$14:$L2311,"ITEM",T$14:T2311)</f>
        <v>587.25</v>
      </c>
    </row>
    <row r="2327" spans="1:37" s="520" customFormat="1" ht="11.4">
      <c r="A2327" s="995"/>
      <c r="B2327" s="1000"/>
      <c r="C2327" s="758"/>
      <c r="D2327" s="51"/>
      <c r="E2327" s="813"/>
      <c r="F2327" s="530"/>
      <c r="G2327" s="530"/>
      <c r="H2327" s="530"/>
      <c r="I2327" s="530"/>
      <c r="J2327" s="530"/>
      <c r="K2327" s="530"/>
      <c r="L2327" s="530"/>
      <c r="M2327" s="530"/>
      <c r="N2327" s="530"/>
      <c r="O2327" s="530"/>
      <c r="P2327" s="530"/>
      <c r="Q2327" s="530"/>
      <c r="R2327" s="530"/>
      <c r="S2327" s="530"/>
      <c r="T2327" s="530"/>
    </row>
    <row r="2328" spans="1:37" s="520" customFormat="1" thickBot="1">
      <c r="A2328" s="995"/>
      <c r="B2328" s="996">
        <f>$F2328/$C$2-($R2328*$S$2+$T2328*$T$2)</f>
        <v>-3.5349040001165122E-2</v>
      </c>
      <c r="C2328" s="51"/>
      <c r="D2328" s="1001"/>
      <c r="E2328" s="1002" t="s">
        <v>2727</v>
      </c>
      <c r="F2328" s="1003">
        <f>SUMIF($L$14:$L2311,"PAGE",F$14:F2311)</f>
        <v>55304.899999999994</v>
      </c>
      <c r="G2328" s="519"/>
      <c r="H2328" s="519"/>
      <c r="I2328" s="519"/>
      <c r="J2328" s="519"/>
      <c r="K2328" s="530"/>
      <c r="L2328" s="987" t="s">
        <v>2728</v>
      </c>
      <c r="M2328" s="987"/>
      <c r="N2328" s="987"/>
      <c r="O2328" s="987"/>
      <c r="P2328" s="987"/>
      <c r="Q2328" s="994"/>
      <c r="R2328" s="1004">
        <f>SUMIF($L$14:$L2311,"PAGE",R$14:R2311)</f>
        <v>28788.399999999998</v>
      </c>
      <c r="S2328" s="1005"/>
      <c r="T2328" s="1004">
        <f>SUMIF($L$14:$L2311,"PAGE",T$14:T2311)</f>
        <v>587.25</v>
      </c>
    </row>
    <row r="2329" spans="1:37" s="520" customFormat="1" ht="11.4">
      <c r="A2329" s="995"/>
      <c r="B2329" s="996"/>
      <c r="C2329" s="51"/>
      <c r="D2329" s="51"/>
      <c r="E2329" s="813"/>
      <c r="F2329" s="530"/>
      <c r="G2329" s="530"/>
      <c r="H2329" s="530"/>
      <c r="I2329" s="530"/>
      <c r="J2329" s="530"/>
      <c r="K2329" s="530"/>
      <c r="L2329" s="530"/>
      <c r="M2329" s="530"/>
      <c r="N2329" s="530"/>
      <c r="O2329" s="530"/>
      <c r="P2329" s="530"/>
      <c r="Q2329" s="530"/>
      <c r="R2329" s="530"/>
      <c r="S2329" s="530"/>
      <c r="T2329" s="530"/>
    </row>
    <row r="2330" spans="1:37" s="520" customFormat="1" ht="12.6" thickBot="1">
      <c r="A2330" s="1006" t="s">
        <v>148</v>
      </c>
      <c r="B2330" s="996">
        <f>$F2330/$C$2-($R2330*$S$2+$T2330*$T$2)</f>
        <v>-3.5349040001165122E-2</v>
      </c>
      <c r="C2330" s="51"/>
      <c r="D2330" s="753"/>
      <c r="E2330" s="1002" t="s">
        <v>2729</v>
      </c>
      <c r="F2330" s="1007">
        <f>SUMIF($L$14:$L2311,"SECT",F$14:F2311)</f>
        <v>55304.899999999994</v>
      </c>
      <c r="G2330" s="519"/>
      <c r="H2330" s="519"/>
      <c r="I2330" s="519"/>
      <c r="J2330" s="519"/>
      <c r="K2330" s="530"/>
      <c r="L2330" s="986" t="s">
        <v>2730</v>
      </c>
      <c r="M2330" s="986"/>
      <c r="N2330" s="986"/>
      <c r="O2330" s="986"/>
      <c r="P2330" s="986"/>
      <c r="Q2330" s="994"/>
      <c r="R2330" s="1008">
        <f>SUMIF($L$14:$L2311,"SECT",R$14:R2311)</f>
        <v>28788.399999999998</v>
      </c>
      <c r="S2330" s="994"/>
      <c r="T2330" s="1008">
        <f>SUMIF($L$14:$L2311,"SECT",T$14:T2311)</f>
        <v>587.25</v>
      </c>
    </row>
    <row r="2331" spans="1:37" s="520" customFormat="1" thickBot="1">
      <c r="A2331" s="54" t="s">
        <v>149</v>
      </c>
      <c r="B2331" s="39"/>
      <c r="C2331" s="3"/>
      <c r="D2331" s="39"/>
      <c r="E2331" s="39"/>
      <c r="F2331" s="1009"/>
      <c r="G2331" s="1010"/>
      <c r="H2331" s="1010"/>
      <c r="I2331" s="1010"/>
      <c r="J2331" s="1010"/>
      <c r="K2331" s="1010"/>
      <c r="L2331" s="1010"/>
      <c r="M2331" s="1010"/>
      <c r="N2331" s="1010"/>
      <c r="O2331" s="1010"/>
      <c r="P2331" s="1010"/>
      <c r="Q2331" s="1010"/>
      <c r="R2331" s="1009"/>
      <c r="S2331" s="1011"/>
      <c r="T2331" s="1009"/>
      <c r="U2331" s="531"/>
      <c r="V2331" s="531"/>
      <c r="W2331" s="531"/>
      <c r="X2331" s="531"/>
      <c r="Y2331" s="531"/>
      <c r="Z2331" s="531"/>
      <c r="AA2331" s="531"/>
      <c r="AB2331" s="531"/>
      <c r="AC2331" s="531"/>
      <c r="AD2331" s="531"/>
      <c r="AE2331" s="531"/>
      <c r="AF2331" s="531"/>
      <c r="AG2331" s="531"/>
      <c r="AH2331" s="531"/>
      <c r="AI2331" s="531"/>
      <c r="AJ2331" s="531"/>
      <c r="AK2331" s="531"/>
    </row>
    <row r="2332" spans="1:37" s="886" customFormat="1" thickTop="1">
      <c r="A2332" s="1012"/>
      <c r="B2332" s="1013" t="s">
        <v>71</v>
      </c>
      <c r="C2332" s="1014"/>
      <c r="D2332" s="1015"/>
      <c r="E2332" s="1016" t="s">
        <v>150</v>
      </c>
      <c r="F2332" s="275"/>
      <c r="G2332" s="275"/>
      <c r="H2332" s="275"/>
      <c r="I2332" s="275"/>
      <c r="J2332" s="275"/>
      <c r="K2332" s="275"/>
      <c r="L2332" s="275"/>
      <c r="M2332" s="275"/>
      <c r="N2332" s="275"/>
      <c r="O2332" s="1017"/>
      <c r="P2332" s="275"/>
      <c r="Q2332" s="1018"/>
      <c r="R2332" s="1019">
        <f>SUM(R2333:R2388)</f>
        <v>28788.399999999998</v>
      </c>
      <c r="S2332" s="1020"/>
      <c r="T2332" s="1019">
        <f>SUM(T2333:T2388)</f>
        <v>587.25</v>
      </c>
    </row>
    <row r="2333" spans="1:37" s="886" customFormat="1" ht="13.2">
      <c r="A2333" s="1021"/>
      <c r="B2333" s="1022">
        <v>1</v>
      </c>
      <c r="C2333" s="1014" t="s">
        <v>73</v>
      </c>
      <c r="D2333" t="s">
        <v>74</v>
      </c>
      <c r="E2333"/>
      <c r="F2333" s="1023">
        <v>501</v>
      </c>
      <c r="G2333"/>
      <c r="H2333"/>
      <c r="I2333"/>
      <c r="J2333"/>
      <c r="K2333"/>
      <c r="L2333"/>
      <c r="M2333"/>
      <c r="N2333"/>
      <c r="O2333" s="116"/>
      <c r="P2333">
        <v>1</v>
      </c>
      <c r="Q2333"/>
      <c r="R2333" s="1024">
        <f t="shared" ref="R2333:R2364" si="126">SUMIF($H$13:$H$2311,$F2333,R$13:R$2311)</f>
        <v>0</v>
      </c>
      <c r="S2333" s="1025"/>
      <c r="T2333" s="1024">
        <f t="shared" ref="T2333:T2364" si="127">SUMIF($H$13:$H$2311,$F2333,T$13:T$2311)</f>
        <v>0</v>
      </c>
    </row>
    <row r="2334" spans="1:37" s="886" customFormat="1" ht="13.2">
      <c r="A2334" s="1021"/>
      <c r="B2334" s="1022">
        <v>2</v>
      </c>
      <c r="C2334" s="1014" t="s">
        <v>73</v>
      </c>
      <c r="D2334" t="s">
        <v>75</v>
      </c>
      <c r="E2334"/>
      <c r="F2334" s="1023">
        <v>505</v>
      </c>
      <c r="G2334"/>
      <c r="H2334"/>
      <c r="I2334"/>
      <c r="J2334"/>
      <c r="K2334"/>
      <c r="L2334"/>
      <c r="M2334"/>
      <c r="N2334"/>
      <c r="O2334" s="116"/>
      <c r="P2334">
        <v>1</v>
      </c>
      <c r="Q2334"/>
      <c r="R2334" s="1024">
        <f t="shared" si="126"/>
        <v>0</v>
      </c>
      <c r="S2334" s="1025"/>
      <c r="T2334" s="1024">
        <f t="shared" si="127"/>
        <v>0</v>
      </c>
    </row>
    <row r="2335" spans="1:37" s="886" customFormat="1" ht="13.2">
      <c r="A2335" s="1021"/>
      <c r="B2335" s="1022">
        <v>3</v>
      </c>
      <c r="C2335" s="1014" t="s">
        <v>73</v>
      </c>
      <c r="D2335" t="s">
        <v>76</v>
      </c>
      <c r="E2335"/>
      <c r="F2335" s="1023">
        <v>510</v>
      </c>
      <c r="G2335"/>
      <c r="H2335"/>
      <c r="I2335"/>
      <c r="J2335"/>
      <c r="K2335"/>
      <c r="L2335"/>
      <c r="M2335"/>
      <c r="N2335"/>
      <c r="O2335" s="116"/>
      <c r="P2335">
        <v>2</v>
      </c>
      <c r="Q2335"/>
      <c r="R2335" s="1024">
        <f t="shared" si="126"/>
        <v>0</v>
      </c>
      <c r="S2335" s="1025"/>
      <c r="T2335" s="1024">
        <f t="shared" si="127"/>
        <v>0</v>
      </c>
    </row>
    <row r="2336" spans="1:37" s="886" customFormat="1" ht="13.2">
      <c r="A2336" s="1021"/>
      <c r="B2336" s="1022">
        <v>4</v>
      </c>
      <c r="C2336" s="1014" t="s">
        <v>73</v>
      </c>
      <c r="D2336" t="s">
        <v>77</v>
      </c>
      <c r="E2336"/>
      <c r="F2336" s="1023">
        <v>511</v>
      </c>
      <c r="G2336"/>
      <c r="H2336"/>
      <c r="I2336"/>
      <c r="J2336"/>
      <c r="K2336"/>
      <c r="L2336"/>
      <c r="M2336"/>
      <c r="N2336"/>
      <c r="O2336" s="116"/>
      <c r="P2336">
        <v>2</v>
      </c>
      <c r="Q2336"/>
      <c r="R2336" s="1024">
        <f t="shared" si="126"/>
        <v>0</v>
      </c>
      <c r="S2336" s="1025"/>
      <c r="T2336" s="1024">
        <f t="shared" si="127"/>
        <v>0</v>
      </c>
    </row>
    <row r="2337" spans="1:20" s="886" customFormat="1" ht="13.2">
      <c r="A2337" s="1021"/>
      <c r="B2337" s="1022">
        <v>5</v>
      </c>
      <c r="C2337" s="1014" t="s">
        <v>73</v>
      </c>
      <c r="D2337" t="s">
        <v>78</v>
      </c>
      <c r="E2337"/>
      <c r="F2337" s="1023">
        <v>512</v>
      </c>
      <c r="G2337"/>
      <c r="H2337"/>
      <c r="I2337"/>
      <c r="J2337"/>
      <c r="K2337"/>
      <c r="L2337"/>
      <c r="M2337"/>
      <c r="N2337"/>
      <c r="O2337" s="116"/>
      <c r="P2337">
        <v>2</v>
      </c>
      <c r="Q2337"/>
      <c r="R2337" s="1024">
        <f t="shared" si="126"/>
        <v>0</v>
      </c>
      <c r="S2337" s="1025"/>
      <c r="T2337" s="1024">
        <f t="shared" si="127"/>
        <v>0</v>
      </c>
    </row>
    <row r="2338" spans="1:20" s="886" customFormat="1" ht="13.2">
      <c r="A2338" s="1021"/>
      <c r="B2338" s="1022">
        <v>6</v>
      </c>
      <c r="C2338" s="1014" t="s">
        <v>73</v>
      </c>
      <c r="D2338" t="s">
        <v>79</v>
      </c>
      <c r="E2338"/>
      <c r="F2338" s="1023">
        <v>520</v>
      </c>
      <c r="G2338"/>
      <c r="H2338"/>
      <c r="I2338"/>
      <c r="J2338"/>
      <c r="K2338"/>
      <c r="L2338"/>
      <c r="M2338"/>
      <c r="N2338"/>
      <c r="O2338" s="116"/>
      <c r="P2338">
        <v>1</v>
      </c>
      <c r="Q2338"/>
      <c r="R2338" s="1024">
        <f t="shared" si="126"/>
        <v>0</v>
      </c>
      <c r="S2338" s="1025"/>
      <c r="T2338" s="1024">
        <f t="shared" si="127"/>
        <v>0</v>
      </c>
    </row>
    <row r="2339" spans="1:20" s="886" customFormat="1" ht="13.2">
      <c r="A2339" s="1021"/>
      <c r="B2339" s="1022">
        <v>7</v>
      </c>
      <c r="C2339" s="1014" t="s">
        <v>73</v>
      </c>
      <c r="D2339" t="s">
        <v>80</v>
      </c>
      <c r="E2339"/>
      <c r="F2339" s="1023">
        <v>530</v>
      </c>
      <c r="G2339"/>
      <c r="H2339"/>
      <c r="I2339"/>
      <c r="J2339"/>
      <c r="K2339"/>
      <c r="L2339"/>
      <c r="M2339"/>
      <c r="N2339"/>
      <c r="O2339" s="116"/>
      <c r="P2339">
        <v>2</v>
      </c>
      <c r="Q2339"/>
      <c r="R2339" s="1024">
        <f t="shared" si="126"/>
        <v>0</v>
      </c>
      <c r="S2339" s="1025"/>
      <c r="T2339" s="1024">
        <f t="shared" si="127"/>
        <v>0</v>
      </c>
    </row>
    <row r="2340" spans="1:20" s="886" customFormat="1" ht="13.2">
      <c r="A2340" s="1021"/>
      <c r="B2340" s="1022">
        <v>8</v>
      </c>
      <c r="C2340" s="1014" t="s">
        <v>73</v>
      </c>
      <c r="D2340" t="s">
        <v>81</v>
      </c>
      <c r="E2340"/>
      <c r="F2340" s="1023">
        <v>550</v>
      </c>
      <c r="G2340"/>
      <c r="H2340"/>
      <c r="I2340"/>
      <c r="J2340"/>
      <c r="K2340"/>
      <c r="L2340"/>
      <c r="M2340"/>
      <c r="N2340"/>
      <c r="O2340" s="116"/>
      <c r="P2340">
        <v>2</v>
      </c>
      <c r="Q2340"/>
      <c r="R2340" s="1024">
        <f t="shared" si="126"/>
        <v>0</v>
      </c>
      <c r="S2340" s="1025"/>
      <c r="T2340" s="1024">
        <f t="shared" si="127"/>
        <v>0</v>
      </c>
    </row>
    <row r="2341" spans="1:20" s="886" customFormat="1" ht="13.2">
      <c r="A2341" s="1021"/>
      <c r="B2341" s="1022">
        <v>9</v>
      </c>
      <c r="C2341" s="1014" t="s">
        <v>73</v>
      </c>
      <c r="D2341" t="s">
        <v>82</v>
      </c>
      <c r="E2341"/>
      <c r="F2341" s="1023">
        <v>570</v>
      </c>
      <c r="G2341"/>
      <c r="H2341"/>
      <c r="I2341"/>
      <c r="J2341"/>
      <c r="K2341"/>
      <c r="L2341"/>
      <c r="M2341"/>
      <c r="N2341"/>
      <c r="O2341" s="116"/>
      <c r="P2341">
        <v>2</v>
      </c>
      <c r="Q2341"/>
      <c r="R2341" s="1024">
        <f t="shared" si="126"/>
        <v>0</v>
      </c>
      <c r="S2341" s="1025"/>
      <c r="T2341" s="1024">
        <f t="shared" si="127"/>
        <v>0</v>
      </c>
    </row>
    <row r="2342" spans="1:20" s="886" customFormat="1" ht="13.2">
      <c r="A2342" s="1021"/>
      <c r="B2342" s="1022">
        <v>10</v>
      </c>
      <c r="C2342" s="1014" t="s">
        <v>73</v>
      </c>
      <c r="D2342" t="s">
        <v>83</v>
      </c>
      <c r="E2342"/>
      <c r="F2342" s="1023">
        <v>615</v>
      </c>
      <c r="G2342"/>
      <c r="H2342"/>
      <c r="I2342"/>
      <c r="J2342"/>
      <c r="K2342"/>
      <c r="L2342"/>
      <c r="M2342"/>
      <c r="N2342"/>
      <c r="O2342" s="116"/>
      <c r="P2342">
        <v>2</v>
      </c>
      <c r="Q2342"/>
      <c r="R2342" s="1024">
        <f t="shared" si="126"/>
        <v>0</v>
      </c>
      <c r="S2342" s="1025"/>
      <c r="T2342" s="1024">
        <f t="shared" si="127"/>
        <v>0</v>
      </c>
    </row>
    <row r="2343" spans="1:20" s="886" customFormat="1" ht="13.2">
      <c r="A2343" s="1021"/>
      <c r="B2343" s="1022">
        <v>11</v>
      </c>
      <c r="C2343" s="1014" t="s">
        <v>73</v>
      </c>
      <c r="D2343" t="s">
        <v>85</v>
      </c>
      <c r="E2343"/>
      <c r="F2343" s="1023">
        <v>616</v>
      </c>
      <c r="G2343"/>
      <c r="H2343"/>
      <c r="I2343"/>
      <c r="J2343"/>
      <c r="K2343"/>
      <c r="L2343"/>
      <c r="M2343"/>
      <c r="N2343"/>
      <c r="O2343" s="116"/>
      <c r="P2343">
        <v>2</v>
      </c>
      <c r="Q2343"/>
      <c r="R2343" s="1024">
        <f t="shared" si="126"/>
        <v>0</v>
      </c>
      <c r="S2343" s="1025"/>
      <c r="T2343" s="1024">
        <f t="shared" si="127"/>
        <v>0</v>
      </c>
    </row>
    <row r="2344" spans="1:20" s="886" customFormat="1" ht="13.2">
      <c r="A2344" s="1021"/>
      <c r="B2344" s="1022">
        <v>12</v>
      </c>
      <c r="C2344" s="1014" t="s">
        <v>73</v>
      </c>
      <c r="D2344" t="s">
        <v>86</v>
      </c>
      <c r="E2344"/>
      <c r="F2344" s="1023">
        <v>617</v>
      </c>
      <c r="G2344"/>
      <c r="H2344"/>
      <c r="I2344"/>
      <c r="J2344"/>
      <c r="K2344"/>
      <c r="L2344"/>
      <c r="M2344"/>
      <c r="N2344"/>
      <c r="O2344" s="116"/>
      <c r="P2344">
        <v>2</v>
      </c>
      <c r="Q2344"/>
      <c r="R2344" s="1024">
        <f t="shared" si="126"/>
        <v>0</v>
      </c>
      <c r="S2344" s="1025"/>
      <c r="T2344" s="1024">
        <f t="shared" si="127"/>
        <v>0</v>
      </c>
    </row>
    <row r="2345" spans="1:20" s="886" customFormat="1" ht="13.2">
      <c r="A2345" s="1021"/>
      <c r="B2345" s="1022">
        <v>13</v>
      </c>
      <c r="C2345" s="1014" t="s">
        <v>73</v>
      </c>
      <c r="D2345" t="s">
        <v>151</v>
      </c>
      <c r="E2345"/>
      <c r="F2345" s="1023">
        <v>620</v>
      </c>
      <c r="G2345"/>
      <c r="H2345"/>
      <c r="I2345"/>
      <c r="J2345"/>
      <c r="K2345"/>
      <c r="L2345"/>
      <c r="M2345"/>
      <c r="N2345"/>
      <c r="O2345" s="116"/>
      <c r="P2345">
        <v>2</v>
      </c>
      <c r="Q2345"/>
      <c r="R2345" s="1024">
        <f t="shared" si="126"/>
        <v>0</v>
      </c>
      <c r="S2345" s="1025"/>
      <c r="T2345" s="1024">
        <f t="shared" si="127"/>
        <v>0</v>
      </c>
    </row>
    <row r="2346" spans="1:20" s="886" customFormat="1" ht="13.2">
      <c r="A2346" s="1021"/>
      <c r="B2346" s="1022">
        <v>14</v>
      </c>
      <c r="C2346" s="1014" t="s">
        <v>73</v>
      </c>
      <c r="D2346" t="s">
        <v>88</v>
      </c>
      <c r="E2346"/>
      <c r="F2346" s="1023">
        <v>650</v>
      </c>
      <c r="G2346"/>
      <c r="H2346"/>
      <c r="I2346"/>
      <c r="J2346"/>
      <c r="K2346"/>
      <c r="L2346"/>
      <c r="M2346"/>
      <c r="N2346"/>
      <c r="O2346" s="116"/>
      <c r="P2346">
        <v>1</v>
      </c>
      <c r="Q2346"/>
      <c r="R2346" s="1024">
        <f t="shared" si="126"/>
        <v>0</v>
      </c>
      <c r="S2346" s="1025"/>
      <c r="T2346" s="1024">
        <f t="shared" si="127"/>
        <v>0</v>
      </c>
    </row>
    <row r="2347" spans="1:20" s="886" customFormat="1" ht="13.2">
      <c r="A2347" s="1021"/>
      <c r="B2347" s="1022">
        <v>15</v>
      </c>
      <c r="C2347" s="1014" t="s">
        <v>73</v>
      </c>
      <c r="D2347" t="s">
        <v>89</v>
      </c>
      <c r="E2347"/>
      <c r="F2347" s="1023">
        <v>651</v>
      </c>
      <c r="G2347"/>
      <c r="H2347"/>
      <c r="I2347"/>
      <c r="J2347"/>
      <c r="K2347"/>
      <c r="L2347"/>
      <c r="M2347"/>
      <c r="N2347"/>
      <c r="O2347" s="116"/>
      <c r="P2347">
        <v>1</v>
      </c>
      <c r="Q2347"/>
      <c r="R2347" s="1024">
        <f t="shared" si="126"/>
        <v>0</v>
      </c>
      <c r="S2347" s="1025"/>
      <c r="T2347" s="1024">
        <f t="shared" si="127"/>
        <v>0</v>
      </c>
    </row>
    <row r="2348" spans="1:20" s="886" customFormat="1" ht="13.2">
      <c r="A2348" s="1021"/>
      <c r="B2348" s="1022">
        <v>16</v>
      </c>
      <c r="C2348" s="1014" t="s">
        <v>73</v>
      </c>
      <c r="D2348" t="s">
        <v>90</v>
      </c>
      <c r="E2348"/>
      <c r="F2348" s="1023">
        <v>652</v>
      </c>
      <c r="G2348"/>
      <c r="H2348"/>
      <c r="I2348"/>
      <c r="J2348"/>
      <c r="K2348"/>
      <c r="L2348"/>
      <c r="M2348"/>
      <c r="N2348"/>
      <c r="O2348" s="116"/>
      <c r="P2348">
        <v>1</v>
      </c>
      <c r="Q2348"/>
      <c r="R2348" s="1024">
        <f t="shared" si="126"/>
        <v>0</v>
      </c>
      <c r="S2348" s="1025"/>
      <c r="T2348" s="1024">
        <f t="shared" si="127"/>
        <v>0</v>
      </c>
    </row>
    <row r="2349" spans="1:20" s="886" customFormat="1" ht="13.2">
      <c r="A2349" s="1021"/>
      <c r="B2349" s="1022">
        <v>17</v>
      </c>
      <c r="C2349" s="1014" t="s">
        <v>73</v>
      </c>
      <c r="D2349" t="s">
        <v>91</v>
      </c>
      <c r="E2349"/>
      <c r="F2349" s="1023">
        <v>654</v>
      </c>
      <c r="G2349"/>
      <c r="H2349"/>
      <c r="I2349"/>
      <c r="J2349"/>
      <c r="K2349"/>
      <c r="L2349"/>
      <c r="M2349"/>
      <c r="N2349"/>
      <c r="O2349" s="116"/>
      <c r="P2349">
        <v>1</v>
      </c>
      <c r="Q2349"/>
      <c r="R2349" s="1024">
        <f t="shared" si="126"/>
        <v>0</v>
      </c>
      <c r="S2349" s="1025"/>
      <c r="T2349" s="1024">
        <f t="shared" si="127"/>
        <v>0</v>
      </c>
    </row>
    <row r="2350" spans="1:20" s="886" customFormat="1" ht="13.2">
      <c r="A2350" s="1021"/>
      <c r="B2350" s="1022">
        <v>18</v>
      </c>
      <c r="C2350" s="1014" t="s">
        <v>73</v>
      </c>
      <c r="D2350" t="s">
        <v>92</v>
      </c>
      <c r="E2350"/>
      <c r="F2350" s="1023">
        <v>675</v>
      </c>
      <c r="G2350"/>
      <c r="H2350"/>
      <c r="I2350"/>
      <c r="J2350"/>
      <c r="K2350"/>
      <c r="L2350"/>
      <c r="M2350"/>
      <c r="N2350"/>
      <c r="O2350" s="116"/>
      <c r="P2350">
        <v>1</v>
      </c>
      <c r="Q2350"/>
      <c r="R2350" s="1024">
        <f t="shared" si="126"/>
        <v>0</v>
      </c>
      <c r="S2350" s="1025"/>
      <c r="T2350" s="1024">
        <f t="shared" si="127"/>
        <v>0</v>
      </c>
    </row>
    <row r="2351" spans="1:20" s="886" customFormat="1" ht="13.2">
      <c r="A2351" s="1021"/>
      <c r="B2351" s="1022">
        <v>19</v>
      </c>
      <c r="C2351" s="1014" t="s">
        <v>73</v>
      </c>
      <c r="D2351" t="s">
        <v>93</v>
      </c>
      <c r="E2351"/>
      <c r="F2351" s="1023">
        <v>676</v>
      </c>
      <c r="G2351"/>
      <c r="H2351"/>
      <c r="I2351"/>
      <c r="J2351"/>
      <c r="K2351"/>
      <c r="L2351"/>
      <c r="M2351"/>
      <c r="N2351"/>
      <c r="O2351" s="116"/>
      <c r="P2351">
        <v>1</v>
      </c>
      <c r="Q2351"/>
      <c r="R2351" s="1024">
        <f t="shared" si="126"/>
        <v>0</v>
      </c>
      <c r="S2351" s="1025"/>
      <c r="T2351" s="1024">
        <f t="shared" si="127"/>
        <v>0</v>
      </c>
    </row>
    <row r="2352" spans="1:20" s="886" customFormat="1" ht="13.2">
      <c r="A2352" s="1021"/>
      <c r="B2352" s="1022">
        <v>20</v>
      </c>
      <c r="C2352" s="1014" t="s">
        <v>73</v>
      </c>
      <c r="D2352" t="s">
        <v>94</v>
      </c>
      <c r="E2352"/>
      <c r="F2352" s="1023">
        <v>680</v>
      </c>
      <c r="G2352"/>
      <c r="H2352"/>
      <c r="I2352"/>
      <c r="J2352"/>
      <c r="K2352"/>
      <c r="L2352"/>
      <c r="M2352"/>
      <c r="N2352"/>
      <c r="O2352" s="116"/>
      <c r="P2352">
        <v>1</v>
      </c>
      <c r="Q2352"/>
      <c r="R2352" s="1024">
        <f t="shared" si="126"/>
        <v>0</v>
      </c>
      <c r="S2352" s="1025"/>
      <c r="T2352" s="1024">
        <f t="shared" si="127"/>
        <v>0</v>
      </c>
    </row>
    <row r="2353" spans="1:20" s="886" customFormat="1" ht="13.2">
      <c r="A2353" s="1021"/>
      <c r="B2353" s="1022">
        <v>21</v>
      </c>
      <c r="C2353" s="1014" t="s">
        <v>73</v>
      </c>
      <c r="D2353" t="s">
        <v>96</v>
      </c>
      <c r="E2353"/>
      <c r="F2353" s="1023">
        <v>681</v>
      </c>
      <c r="G2353"/>
      <c r="H2353"/>
      <c r="I2353"/>
      <c r="J2353"/>
      <c r="K2353"/>
      <c r="L2353"/>
      <c r="M2353"/>
      <c r="N2353"/>
      <c r="O2353" s="116"/>
      <c r="P2353">
        <v>1</v>
      </c>
      <c r="Q2353"/>
      <c r="R2353" s="1024">
        <f t="shared" si="126"/>
        <v>0</v>
      </c>
      <c r="S2353" s="1025"/>
      <c r="T2353" s="1024">
        <f t="shared" si="127"/>
        <v>0</v>
      </c>
    </row>
    <row r="2354" spans="1:20" s="886" customFormat="1" ht="13.2">
      <c r="A2354" s="1021"/>
      <c r="B2354" s="1022">
        <v>22</v>
      </c>
      <c r="C2354" s="1014" t="s">
        <v>73</v>
      </c>
      <c r="D2354" t="s">
        <v>97</v>
      </c>
      <c r="E2354"/>
      <c r="F2354" s="1023">
        <v>690</v>
      </c>
      <c r="G2354"/>
      <c r="H2354"/>
      <c r="I2354"/>
      <c r="J2354"/>
      <c r="K2354"/>
      <c r="L2354"/>
      <c r="M2354"/>
      <c r="N2354"/>
      <c r="O2354" s="116"/>
      <c r="P2354">
        <v>1</v>
      </c>
      <c r="Q2354"/>
      <c r="R2354" s="1024">
        <f t="shared" si="126"/>
        <v>0</v>
      </c>
      <c r="S2354" s="1025"/>
      <c r="T2354" s="1024">
        <f t="shared" si="127"/>
        <v>0</v>
      </c>
    </row>
    <row r="2355" spans="1:20" s="886" customFormat="1" ht="13.2">
      <c r="A2355" s="1021"/>
      <c r="B2355" s="1022">
        <v>23</v>
      </c>
      <c r="C2355" s="1014" t="s">
        <v>73</v>
      </c>
      <c r="D2355" t="s">
        <v>98</v>
      </c>
      <c r="E2355"/>
      <c r="F2355" s="1023">
        <v>700</v>
      </c>
      <c r="G2355"/>
      <c r="H2355"/>
      <c r="I2355"/>
      <c r="J2355"/>
      <c r="K2355"/>
      <c r="L2355"/>
      <c r="M2355"/>
      <c r="N2355"/>
      <c r="O2355" s="116"/>
      <c r="P2355">
        <v>1</v>
      </c>
      <c r="Q2355"/>
      <c r="R2355" s="1024">
        <f t="shared" si="126"/>
        <v>0</v>
      </c>
      <c r="S2355" s="1025"/>
      <c r="T2355" s="1024">
        <f t="shared" si="127"/>
        <v>0</v>
      </c>
    </row>
    <row r="2356" spans="1:20" s="886" customFormat="1" ht="13.2">
      <c r="A2356" s="1021"/>
      <c r="B2356" s="1022">
        <v>24</v>
      </c>
      <c r="C2356" s="1014" t="s">
        <v>73</v>
      </c>
      <c r="D2356" t="s">
        <v>99</v>
      </c>
      <c r="E2356"/>
      <c r="F2356" s="1023">
        <v>705</v>
      </c>
      <c r="G2356"/>
      <c r="H2356"/>
      <c r="I2356"/>
      <c r="J2356"/>
      <c r="K2356"/>
      <c r="L2356"/>
      <c r="M2356"/>
      <c r="N2356"/>
      <c r="O2356" s="116"/>
      <c r="P2356">
        <v>3</v>
      </c>
      <c r="Q2356"/>
      <c r="R2356" s="1024">
        <f t="shared" si="126"/>
        <v>0</v>
      </c>
      <c r="S2356" s="1025"/>
      <c r="T2356" s="1024">
        <f t="shared" si="127"/>
        <v>0</v>
      </c>
    </row>
    <row r="2357" spans="1:20" s="886" customFormat="1" ht="13.2">
      <c r="A2357" s="1021"/>
      <c r="B2357" s="1022">
        <v>25</v>
      </c>
      <c r="C2357" s="1014" t="s">
        <v>73</v>
      </c>
      <c r="D2357" t="s">
        <v>100</v>
      </c>
      <c r="E2357"/>
      <c r="F2357" s="1023">
        <v>706</v>
      </c>
      <c r="G2357"/>
      <c r="H2357"/>
      <c r="I2357"/>
      <c r="J2357"/>
      <c r="K2357"/>
      <c r="L2357"/>
      <c r="M2357"/>
      <c r="N2357"/>
      <c r="O2357" s="116"/>
      <c r="P2357">
        <v>3</v>
      </c>
      <c r="Q2357"/>
      <c r="R2357" s="1024">
        <f t="shared" si="126"/>
        <v>0</v>
      </c>
      <c r="S2357" s="1025"/>
      <c r="T2357" s="1024">
        <f t="shared" si="127"/>
        <v>0</v>
      </c>
    </row>
    <row r="2358" spans="1:20" s="886" customFormat="1" ht="13.2">
      <c r="A2358" s="1021"/>
      <c r="B2358" s="1022">
        <v>26</v>
      </c>
      <c r="C2358" s="1014" t="s">
        <v>73</v>
      </c>
      <c r="D2358" t="s">
        <v>101</v>
      </c>
      <c r="E2358"/>
      <c r="F2358" s="1023">
        <v>725</v>
      </c>
      <c r="G2358"/>
      <c r="H2358"/>
      <c r="I2358"/>
      <c r="J2358"/>
      <c r="K2358"/>
      <c r="L2358"/>
      <c r="M2358"/>
      <c r="N2358"/>
      <c r="O2358" s="116"/>
      <c r="P2358">
        <v>3</v>
      </c>
      <c r="Q2358"/>
      <c r="R2358" s="1024">
        <f t="shared" si="126"/>
        <v>0</v>
      </c>
      <c r="S2358" s="1025"/>
      <c r="T2358" s="1024">
        <f t="shared" si="127"/>
        <v>0</v>
      </c>
    </row>
    <row r="2359" spans="1:20" s="886" customFormat="1" ht="13.2">
      <c r="A2359" s="1021"/>
      <c r="B2359" s="1022">
        <v>27</v>
      </c>
      <c r="C2359" s="1014" t="s">
        <v>73</v>
      </c>
      <c r="D2359" t="s">
        <v>102</v>
      </c>
      <c r="E2359"/>
      <c r="F2359" s="1023">
        <v>726</v>
      </c>
      <c r="G2359"/>
      <c r="H2359"/>
      <c r="I2359"/>
      <c r="J2359"/>
      <c r="K2359"/>
      <c r="L2359"/>
      <c r="M2359"/>
      <c r="N2359"/>
      <c r="O2359" s="116"/>
      <c r="P2359">
        <v>3</v>
      </c>
      <c r="Q2359"/>
      <c r="R2359" s="1024">
        <f t="shared" si="126"/>
        <v>28788.399999999998</v>
      </c>
      <c r="S2359" s="1025"/>
      <c r="T2359" s="1024">
        <f t="shared" si="127"/>
        <v>587.25</v>
      </c>
    </row>
    <row r="2360" spans="1:20" s="886" customFormat="1" ht="13.2">
      <c r="A2360" s="1021"/>
      <c r="B2360" s="1022">
        <v>28</v>
      </c>
      <c r="C2360" s="1014" t="s">
        <v>73</v>
      </c>
      <c r="D2360" t="s">
        <v>103</v>
      </c>
      <c r="E2360"/>
      <c r="F2360" s="1023">
        <v>750</v>
      </c>
      <c r="G2360"/>
      <c r="H2360"/>
      <c r="I2360"/>
      <c r="J2360"/>
      <c r="K2360"/>
      <c r="L2360"/>
      <c r="M2360"/>
      <c r="N2360"/>
      <c r="O2360" s="116"/>
      <c r="P2360">
        <v>3</v>
      </c>
      <c r="Q2360"/>
      <c r="R2360" s="1024">
        <f t="shared" si="126"/>
        <v>0</v>
      </c>
      <c r="S2360" s="1025"/>
      <c r="T2360" s="1024">
        <f t="shared" si="127"/>
        <v>0</v>
      </c>
    </row>
    <row r="2361" spans="1:20" s="886" customFormat="1" ht="13.2">
      <c r="A2361" s="1021"/>
      <c r="B2361" s="1022">
        <v>29</v>
      </c>
      <c r="C2361" s="1014" t="s">
        <v>73</v>
      </c>
      <c r="D2361" t="s">
        <v>104</v>
      </c>
      <c r="E2361"/>
      <c r="F2361" s="1023">
        <v>751</v>
      </c>
      <c r="G2361"/>
      <c r="H2361"/>
      <c r="I2361"/>
      <c r="J2361"/>
      <c r="K2361"/>
      <c r="L2361"/>
      <c r="M2361"/>
      <c r="N2361"/>
      <c r="O2361" s="116"/>
      <c r="P2361">
        <v>3</v>
      </c>
      <c r="Q2361"/>
      <c r="R2361" s="1024">
        <f t="shared" si="126"/>
        <v>0</v>
      </c>
      <c r="S2361" s="1025"/>
      <c r="T2361" s="1024">
        <f t="shared" si="127"/>
        <v>0</v>
      </c>
    </row>
    <row r="2362" spans="1:20" s="886" customFormat="1" ht="13.2">
      <c r="A2362" s="1021"/>
      <c r="B2362" s="1022">
        <v>30</v>
      </c>
      <c r="C2362" s="1014" t="s">
        <v>73</v>
      </c>
      <c r="D2362" t="s">
        <v>105</v>
      </c>
      <c r="E2362"/>
      <c r="F2362" s="1023">
        <v>752</v>
      </c>
      <c r="G2362"/>
      <c r="H2362"/>
      <c r="I2362"/>
      <c r="J2362"/>
      <c r="K2362"/>
      <c r="L2362"/>
      <c r="M2362"/>
      <c r="N2362"/>
      <c r="O2362" s="116"/>
      <c r="P2362">
        <v>3</v>
      </c>
      <c r="Q2362"/>
      <c r="R2362" s="1024">
        <f t="shared" si="126"/>
        <v>0</v>
      </c>
      <c r="S2362" s="1025"/>
      <c r="T2362" s="1024">
        <f t="shared" si="127"/>
        <v>0</v>
      </c>
    </row>
    <row r="2363" spans="1:20" s="886" customFormat="1" ht="13.2">
      <c r="A2363" s="1021"/>
      <c r="B2363" s="1022">
        <v>31</v>
      </c>
      <c r="C2363" s="1014" t="s">
        <v>73</v>
      </c>
      <c r="D2363" s="535" t="s">
        <v>284</v>
      </c>
      <c r="E2363"/>
      <c r="F2363" s="1023">
        <v>753</v>
      </c>
      <c r="G2363"/>
      <c r="H2363"/>
      <c r="I2363"/>
      <c r="J2363"/>
      <c r="K2363"/>
      <c r="L2363"/>
      <c r="M2363"/>
      <c r="N2363"/>
      <c r="O2363" s="116"/>
      <c r="P2363">
        <v>3</v>
      </c>
      <c r="Q2363"/>
      <c r="R2363" s="1024">
        <f t="shared" si="126"/>
        <v>0</v>
      </c>
      <c r="S2363" s="1025"/>
      <c r="T2363" s="1024">
        <f t="shared" si="127"/>
        <v>0</v>
      </c>
    </row>
    <row r="2364" spans="1:20" s="886" customFormat="1" ht="13.2">
      <c r="A2364" s="1021"/>
      <c r="B2364" s="1022">
        <v>32</v>
      </c>
      <c r="C2364" s="1014" t="s">
        <v>73</v>
      </c>
      <c r="D2364" t="s">
        <v>107</v>
      </c>
      <c r="E2364"/>
      <c r="F2364" s="1023">
        <v>770</v>
      </c>
      <c r="G2364"/>
      <c r="H2364"/>
      <c r="I2364"/>
      <c r="J2364"/>
      <c r="K2364"/>
      <c r="L2364"/>
      <c r="M2364"/>
      <c r="N2364"/>
      <c r="O2364" s="116"/>
      <c r="P2364">
        <v>3</v>
      </c>
      <c r="Q2364"/>
      <c r="R2364" s="1024">
        <f t="shared" si="126"/>
        <v>0</v>
      </c>
      <c r="S2364" s="1025"/>
      <c r="T2364" s="1024">
        <f t="shared" si="127"/>
        <v>0</v>
      </c>
    </row>
    <row r="2365" spans="1:20" s="886" customFormat="1" ht="13.2">
      <c r="A2365" s="1021"/>
      <c r="B2365" s="1022">
        <v>33</v>
      </c>
      <c r="C2365" s="1014" t="s">
        <v>73</v>
      </c>
      <c r="D2365" t="s">
        <v>108</v>
      </c>
      <c r="E2365"/>
      <c r="F2365" s="1023">
        <v>790</v>
      </c>
      <c r="G2365"/>
      <c r="H2365"/>
      <c r="I2365"/>
      <c r="J2365"/>
      <c r="K2365"/>
      <c r="L2365"/>
      <c r="M2365"/>
      <c r="N2365"/>
      <c r="O2365" s="116"/>
      <c r="P2365">
        <v>3</v>
      </c>
      <c r="Q2365"/>
      <c r="R2365" s="1024">
        <f t="shared" ref="R2365:R2388" si="128">SUMIF($H$13:$H$2311,$F2365,R$13:R$2311)</f>
        <v>0</v>
      </c>
      <c r="S2365" s="1025"/>
      <c r="T2365" s="1024">
        <f t="shared" ref="T2365:T2388" si="129">SUMIF($H$13:$H$2311,$F2365,T$13:T$2311)</f>
        <v>0</v>
      </c>
    </row>
    <row r="2366" spans="1:20" s="886" customFormat="1" ht="13.2">
      <c r="A2366" s="1021"/>
      <c r="B2366" s="1022">
        <v>34</v>
      </c>
      <c r="C2366" s="1014" t="s">
        <v>73</v>
      </c>
      <c r="D2366" t="s">
        <v>109</v>
      </c>
      <c r="E2366"/>
      <c r="F2366" s="1023">
        <v>791</v>
      </c>
      <c r="G2366"/>
      <c r="H2366"/>
      <c r="I2366"/>
      <c r="J2366"/>
      <c r="K2366"/>
      <c r="L2366"/>
      <c r="M2366"/>
      <c r="N2366"/>
      <c r="O2366" s="116"/>
      <c r="P2366">
        <v>3</v>
      </c>
      <c r="Q2366"/>
      <c r="R2366" s="1024">
        <f t="shared" si="128"/>
        <v>0</v>
      </c>
      <c r="S2366" s="1025"/>
      <c r="T2366" s="1024">
        <f t="shared" si="129"/>
        <v>0</v>
      </c>
    </row>
    <row r="2367" spans="1:20" s="886" customFormat="1" ht="13.2">
      <c r="A2367" s="1021"/>
      <c r="B2367" s="1022">
        <v>35</v>
      </c>
      <c r="C2367" s="1014" t="s">
        <v>73</v>
      </c>
      <c r="D2367" t="s">
        <v>110</v>
      </c>
      <c r="E2367"/>
      <c r="F2367" s="1023">
        <v>810</v>
      </c>
      <c r="G2367"/>
      <c r="H2367"/>
      <c r="I2367"/>
      <c r="J2367"/>
      <c r="K2367"/>
      <c r="L2367"/>
      <c r="M2367"/>
      <c r="N2367"/>
      <c r="O2367" s="116"/>
      <c r="P2367">
        <v>3</v>
      </c>
      <c r="Q2367"/>
      <c r="R2367" s="1024">
        <f t="shared" si="128"/>
        <v>0</v>
      </c>
      <c r="S2367" s="1025"/>
      <c r="T2367" s="1024">
        <f t="shared" si="129"/>
        <v>0</v>
      </c>
    </row>
    <row r="2368" spans="1:20" s="886" customFormat="1" ht="13.2">
      <c r="A2368" s="1021"/>
      <c r="B2368" s="1022">
        <v>36</v>
      </c>
      <c r="C2368" s="1014" t="s">
        <v>73</v>
      </c>
      <c r="D2368" t="s">
        <v>111</v>
      </c>
      <c r="E2368"/>
      <c r="F2368" s="1023">
        <v>815</v>
      </c>
      <c r="G2368"/>
      <c r="H2368"/>
      <c r="I2368"/>
      <c r="J2368"/>
      <c r="K2368"/>
      <c r="L2368"/>
      <c r="M2368"/>
      <c r="N2368"/>
      <c r="O2368" s="116"/>
      <c r="P2368">
        <v>3</v>
      </c>
      <c r="Q2368"/>
      <c r="R2368" s="1024">
        <f t="shared" si="128"/>
        <v>0</v>
      </c>
      <c r="S2368" s="1025"/>
      <c r="T2368" s="1024">
        <f t="shared" si="129"/>
        <v>0</v>
      </c>
    </row>
    <row r="2369" spans="1:20" s="886" customFormat="1" ht="13.2">
      <c r="A2369" s="1021"/>
      <c r="B2369" s="1022">
        <v>37</v>
      </c>
      <c r="C2369" s="1014" t="s">
        <v>73</v>
      </c>
      <c r="D2369" t="s">
        <v>112</v>
      </c>
      <c r="E2369"/>
      <c r="F2369" s="1023">
        <v>820</v>
      </c>
      <c r="G2369"/>
      <c r="H2369"/>
      <c r="I2369"/>
      <c r="J2369"/>
      <c r="K2369"/>
      <c r="L2369"/>
      <c r="M2369"/>
      <c r="N2369"/>
      <c r="O2369" s="116"/>
      <c r="P2369">
        <v>2</v>
      </c>
      <c r="Q2369"/>
      <c r="R2369" s="1024">
        <f t="shared" si="128"/>
        <v>0</v>
      </c>
      <c r="S2369" s="1025"/>
      <c r="T2369" s="1024">
        <f t="shared" si="129"/>
        <v>0</v>
      </c>
    </row>
    <row r="2370" spans="1:20" s="886" customFormat="1" ht="13.2">
      <c r="A2370" s="1021"/>
      <c r="B2370" s="1022">
        <v>38</v>
      </c>
      <c r="C2370" s="1014" t="s">
        <v>73</v>
      </c>
      <c r="D2370" t="s">
        <v>113</v>
      </c>
      <c r="E2370"/>
      <c r="F2370" s="1023">
        <v>821</v>
      </c>
      <c r="G2370"/>
      <c r="H2370"/>
      <c r="I2370"/>
      <c r="J2370"/>
      <c r="K2370"/>
      <c r="L2370"/>
      <c r="M2370"/>
      <c r="N2370"/>
      <c r="O2370" s="116"/>
      <c r="P2370">
        <v>3</v>
      </c>
      <c r="Q2370"/>
      <c r="R2370" s="1024">
        <f t="shared" si="128"/>
        <v>0</v>
      </c>
      <c r="S2370" s="1025"/>
      <c r="T2370" s="1024">
        <f t="shared" si="129"/>
        <v>0</v>
      </c>
    </row>
    <row r="2371" spans="1:20" s="886" customFormat="1" ht="13.2">
      <c r="A2371" s="1021"/>
      <c r="B2371" s="1022">
        <v>39</v>
      </c>
      <c r="C2371" s="1014" t="s">
        <v>73</v>
      </c>
      <c r="D2371" t="s">
        <v>114</v>
      </c>
      <c r="E2371"/>
      <c r="F2371" s="1023">
        <v>835</v>
      </c>
      <c r="G2371"/>
      <c r="H2371"/>
      <c r="I2371"/>
      <c r="J2371"/>
      <c r="K2371"/>
      <c r="L2371"/>
      <c r="M2371"/>
      <c r="N2371"/>
      <c r="O2371" s="116"/>
      <c r="P2371">
        <v>3</v>
      </c>
      <c r="Q2371"/>
      <c r="R2371" s="1024">
        <f t="shared" si="128"/>
        <v>0</v>
      </c>
      <c r="S2371" s="1025"/>
      <c r="T2371" s="1024">
        <f t="shared" si="129"/>
        <v>0</v>
      </c>
    </row>
    <row r="2372" spans="1:20" s="886" customFormat="1" ht="13.2">
      <c r="A2372" s="1021"/>
      <c r="B2372" s="1022">
        <v>40</v>
      </c>
      <c r="C2372" s="1014" t="s">
        <v>73</v>
      </c>
      <c r="D2372" t="s">
        <v>115</v>
      </c>
      <c r="E2372"/>
      <c r="F2372" s="1023">
        <v>845</v>
      </c>
      <c r="G2372"/>
      <c r="H2372"/>
      <c r="I2372"/>
      <c r="J2372"/>
      <c r="K2372"/>
      <c r="L2372"/>
      <c r="M2372"/>
      <c r="N2372"/>
      <c r="O2372" s="116"/>
      <c r="P2372">
        <v>2</v>
      </c>
      <c r="Q2372"/>
      <c r="R2372" s="1024">
        <f t="shared" si="128"/>
        <v>0</v>
      </c>
      <c r="S2372" s="1025"/>
      <c r="T2372" s="1024">
        <f t="shared" si="129"/>
        <v>0</v>
      </c>
    </row>
    <row r="2373" spans="1:20" s="886" customFormat="1" ht="13.2">
      <c r="A2373" s="1021"/>
      <c r="B2373" s="1022">
        <v>41</v>
      </c>
      <c r="C2373" s="1014" t="s">
        <v>73</v>
      </c>
      <c r="D2373" t="s">
        <v>117</v>
      </c>
      <c r="E2373"/>
      <c r="F2373" s="1023">
        <v>855</v>
      </c>
      <c r="G2373"/>
      <c r="H2373"/>
      <c r="I2373"/>
      <c r="J2373"/>
      <c r="K2373"/>
      <c r="L2373"/>
      <c r="M2373"/>
      <c r="N2373"/>
      <c r="O2373" s="116"/>
      <c r="P2373">
        <v>3</v>
      </c>
      <c r="Q2373"/>
      <c r="R2373" s="1024">
        <f t="shared" si="128"/>
        <v>0</v>
      </c>
      <c r="S2373" s="1025"/>
      <c r="T2373" s="1024">
        <f t="shared" si="129"/>
        <v>0</v>
      </c>
    </row>
    <row r="2374" spans="1:20" s="886" customFormat="1" ht="13.2">
      <c r="A2374" s="1021"/>
      <c r="B2374" s="1022">
        <v>42</v>
      </c>
      <c r="C2374" s="1014" t="s">
        <v>73</v>
      </c>
      <c r="D2374" t="s">
        <v>118</v>
      </c>
      <c r="E2374"/>
      <c r="F2374" s="1023">
        <v>856</v>
      </c>
      <c r="G2374"/>
      <c r="H2374"/>
      <c r="I2374"/>
      <c r="J2374"/>
      <c r="K2374"/>
      <c r="L2374"/>
      <c r="M2374"/>
      <c r="N2374"/>
      <c r="O2374" s="116"/>
      <c r="P2374">
        <v>3</v>
      </c>
      <c r="Q2374"/>
      <c r="R2374" s="1024">
        <f t="shared" si="128"/>
        <v>0</v>
      </c>
      <c r="S2374" s="1025"/>
      <c r="T2374" s="1024">
        <f t="shared" si="129"/>
        <v>0</v>
      </c>
    </row>
    <row r="2375" spans="1:20" s="886" customFormat="1" ht="13.2">
      <c r="A2375" s="1021"/>
      <c r="B2375" s="1022">
        <v>43</v>
      </c>
      <c r="C2375" s="1014" t="s">
        <v>73</v>
      </c>
      <c r="D2375" s="36" t="s">
        <v>264</v>
      </c>
      <c r="E2375"/>
      <c r="F2375" s="1023">
        <v>857</v>
      </c>
      <c r="G2375"/>
      <c r="H2375"/>
      <c r="I2375"/>
      <c r="J2375"/>
      <c r="K2375"/>
      <c r="L2375"/>
      <c r="M2375"/>
      <c r="N2375"/>
      <c r="O2375" s="116"/>
      <c r="P2375">
        <v>4</v>
      </c>
      <c r="Q2375"/>
      <c r="R2375" s="1024">
        <f t="shared" si="128"/>
        <v>0</v>
      </c>
      <c r="S2375" s="1025"/>
      <c r="T2375" s="1024">
        <f t="shared" si="129"/>
        <v>0</v>
      </c>
    </row>
    <row r="2376" spans="1:20" s="886" customFormat="1" ht="13.2">
      <c r="A2376" s="1021"/>
      <c r="B2376" s="1022">
        <v>44</v>
      </c>
      <c r="C2376" s="1014" t="s">
        <v>73</v>
      </c>
      <c r="D2376" t="s">
        <v>119</v>
      </c>
      <c r="E2376"/>
      <c r="F2376" s="1023">
        <v>858</v>
      </c>
      <c r="G2376"/>
      <c r="H2376"/>
      <c r="I2376"/>
      <c r="J2376"/>
      <c r="K2376"/>
      <c r="L2376"/>
      <c r="M2376"/>
      <c r="N2376"/>
      <c r="O2376" s="116"/>
      <c r="P2376">
        <v>3</v>
      </c>
      <c r="Q2376"/>
      <c r="R2376" s="1024">
        <f t="shared" si="128"/>
        <v>0</v>
      </c>
      <c r="S2376" s="1025"/>
      <c r="T2376" s="1024">
        <f t="shared" si="129"/>
        <v>0</v>
      </c>
    </row>
    <row r="2377" spans="1:20" s="886" customFormat="1" ht="13.2">
      <c r="A2377" s="1021"/>
      <c r="B2377" s="1022">
        <v>45</v>
      </c>
      <c r="C2377" s="1014" t="s">
        <v>73</v>
      </c>
      <c r="D2377" t="s">
        <v>120</v>
      </c>
      <c r="E2377"/>
      <c r="F2377" s="1023">
        <v>865</v>
      </c>
      <c r="G2377"/>
      <c r="H2377"/>
      <c r="I2377"/>
      <c r="J2377"/>
      <c r="K2377"/>
      <c r="L2377"/>
      <c r="M2377"/>
      <c r="N2377"/>
      <c r="O2377" s="116"/>
      <c r="P2377">
        <v>3</v>
      </c>
      <c r="Q2377"/>
      <c r="R2377" s="1024">
        <f t="shared" si="128"/>
        <v>0</v>
      </c>
      <c r="S2377" s="1025"/>
      <c r="T2377" s="1024">
        <f t="shared" si="129"/>
        <v>0</v>
      </c>
    </row>
    <row r="2378" spans="1:20" s="886" customFormat="1" ht="13.2">
      <c r="A2378" s="1021"/>
      <c r="B2378" s="1022">
        <v>46</v>
      </c>
      <c r="C2378" s="1014" t="s">
        <v>73</v>
      </c>
      <c r="D2378" t="s">
        <v>121</v>
      </c>
      <c r="E2378"/>
      <c r="F2378" s="1023">
        <v>870</v>
      </c>
      <c r="G2378"/>
      <c r="H2378"/>
      <c r="I2378"/>
      <c r="J2378"/>
      <c r="K2378"/>
      <c r="L2378"/>
      <c r="M2378"/>
      <c r="N2378"/>
      <c r="O2378" s="116"/>
      <c r="P2378">
        <v>4</v>
      </c>
      <c r="Q2378"/>
      <c r="R2378" s="1024">
        <f t="shared" si="128"/>
        <v>0</v>
      </c>
      <c r="S2378" s="1025"/>
      <c r="T2378" s="1024">
        <f t="shared" si="129"/>
        <v>0</v>
      </c>
    </row>
    <row r="2379" spans="1:20" s="886" customFormat="1" ht="13.2">
      <c r="A2379" s="1021"/>
      <c r="B2379" s="1022">
        <v>47</v>
      </c>
      <c r="C2379" s="1014" t="s">
        <v>73</v>
      </c>
      <c r="D2379" t="s">
        <v>122</v>
      </c>
      <c r="E2379"/>
      <c r="F2379" s="1023">
        <v>875</v>
      </c>
      <c r="G2379"/>
      <c r="H2379"/>
      <c r="I2379"/>
      <c r="J2379"/>
      <c r="K2379"/>
      <c r="L2379"/>
      <c r="M2379"/>
      <c r="N2379"/>
      <c r="O2379" s="116"/>
      <c r="P2379">
        <v>1</v>
      </c>
      <c r="Q2379"/>
      <c r="R2379" s="1024">
        <f t="shared" si="128"/>
        <v>0</v>
      </c>
      <c r="S2379" s="1025"/>
      <c r="T2379" s="1024">
        <f t="shared" si="129"/>
        <v>0</v>
      </c>
    </row>
    <row r="2380" spans="1:20" s="886" customFormat="1" ht="13.2">
      <c r="A2380" s="1021"/>
      <c r="B2380" s="1022">
        <v>48</v>
      </c>
      <c r="C2380" s="1014" t="s">
        <v>73</v>
      </c>
      <c r="D2380" t="s">
        <v>123</v>
      </c>
      <c r="E2380"/>
      <c r="F2380" s="1023">
        <v>880</v>
      </c>
      <c r="G2380"/>
      <c r="H2380"/>
      <c r="I2380"/>
      <c r="J2380"/>
      <c r="K2380"/>
      <c r="L2380"/>
      <c r="M2380"/>
      <c r="N2380"/>
      <c r="O2380" s="116"/>
      <c r="P2380">
        <v>3</v>
      </c>
      <c r="Q2380"/>
      <c r="R2380" s="1024">
        <f t="shared" si="128"/>
        <v>0</v>
      </c>
      <c r="S2380" s="1025"/>
      <c r="T2380" s="1024">
        <f t="shared" si="129"/>
        <v>0</v>
      </c>
    </row>
    <row r="2381" spans="1:20" s="886" customFormat="1" ht="13.2">
      <c r="A2381" s="1021"/>
      <c r="B2381" s="1022">
        <v>49</v>
      </c>
      <c r="C2381" s="1014" t="s">
        <v>73</v>
      </c>
      <c r="D2381" t="s">
        <v>124</v>
      </c>
      <c r="E2381"/>
      <c r="F2381" s="1023">
        <v>885</v>
      </c>
      <c r="G2381"/>
      <c r="H2381"/>
      <c r="I2381"/>
      <c r="J2381"/>
      <c r="K2381"/>
      <c r="L2381"/>
      <c r="M2381"/>
      <c r="N2381"/>
      <c r="O2381" s="116"/>
      <c r="P2381">
        <v>4</v>
      </c>
      <c r="Q2381"/>
      <c r="R2381" s="1024">
        <f t="shared" si="128"/>
        <v>0</v>
      </c>
      <c r="S2381" s="1025"/>
      <c r="T2381" s="1024">
        <f t="shared" si="129"/>
        <v>0</v>
      </c>
    </row>
    <row r="2382" spans="1:20" s="886" customFormat="1" ht="13.2">
      <c r="A2382" s="1021"/>
      <c r="B2382" s="1022">
        <v>50</v>
      </c>
      <c r="C2382" s="1014" t="s">
        <v>73</v>
      </c>
      <c r="D2382" t="s">
        <v>68</v>
      </c>
      <c r="E2382"/>
      <c r="F2382" s="1023">
        <v>900</v>
      </c>
      <c r="G2382"/>
      <c r="H2382"/>
      <c r="I2382"/>
      <c r="J2382"/>
      <c r="K2382"/>
      <c r="L2382"/>
      <c r="M2382"/>
      <c r="N2382"/>
      <c r="O2382" s="116"/>
      <c r="P2382">
        <v>3</v>
      </c>
      <c r="Q2382"/>
      <c r="R2382" s="1024">
        <f t="shared" si="128"/>
        <v>0</v>
      </c>
      <c r="S2382" s="1025"/>
      <c r="T2382" s="1024">
        <f t="shared" si="129"/>
        <v>0</v>
      </c>
    </row>
    <row r="2383" spans="1:20" s="886" customFormat="1" ht="13.2">
      <c r="A2383" s="1021"/>
      <c r="B2383" s="1022">
        <v>51</v>
      </c>
      <c r="C2383" s="1014" t="s">
        <v>73</v>
      </c>
      <c r="D2383" t="s">
        <v>126</v>
      </c>
      <c r="E2383"/>
      <c r="F2383" s="1023">
        <v>901</v>
      </c>
      <c r="G2383"/>
      <c r="H2383"/>
      <c r="I2383"/>
      <c r="J2383"/>
      <c r="K2383"/>
      <c r="L2383"/>
      <c r="M2383"/>
      <c r="N2383"/>
      <c r="O2383" s="116"/>
      <c r="P2383">
        <v>1</v>
      </c>
      <c r="Q2383"/>
      <c r="R2383" s="1024">
        <f t="shared" si="128"/>
        <v>0</v>
      </c>
      <c r="S2383" s="1025"/>
      <c r="T2383" s="1024">
        <f t="shared" si="129"/>
        <v>0</v>
      </c>
    </row>
    <row r="2384" spans="1:20" s="886" customFormat="1" ht="13.2">
      <c r="A2384" s="1021"/>
      <c r="B2384" s="1022">
        <v>52</v>
      </c>
      <c r="C2384" s="1014" t="s">
        <v>73</v>
      </c>
      <c r="D2384" t="s">
        <v>127</v>
      </c>
      <c r="E2384"/>
      <c r="F2384" s="1023">
        <v>902</v>
      </c>
      <c r="G2384"/>
      <c r="H2384"/>
      <c r="I2384"/>
      <c r="J2384"/>
      <c r="K2384"/>
      <c r="L2384"/>
      <c r="M2384"/>
      <c r="N2384"/>
      <c r="O2384" s="116"/>
      <c r="P2384">
        <v>3</v>
      </c>
      <c r="Q2384"/>
      <c r="R2384" s="1024">
        <f t="shared" si="128"/>
        <v>0</v>
      </c>
      <c r="S2384" s="1025"/>
      <c r="T2384" s="1024">
        <f t="shared" si="129"/>
        <v>0</v>
      </c>
    </row>
    <row r="2385" spans="1:37" s="886" customFormat="1" ht="13.2">
      <c r="A2385" s="1021"/>
      <c r="B2385" s="1022">
        <v>53</v>
      </c>
      <c r="C2385" s="1014" t="s">
        <v>73</v>
      </c>
      <c r="D2385" s="886" t="s">
        <v>128</v>
      </c>
      <c r="E2385"/>
      <c r="F2385" s="1023">
        <v>960</v>
      </c>
      <c r="G2385"/>
      <c r="H2385"/>
      <c r="I2385"/>
      <c r="J2385"/>
      <c r="K2385"/>
      <c r="L2385"/>
      <c r="M2385"/>
      <c r="N2385"/>
      <c r="O2385" s="116"/>
      <c r="P2385">
        <v>4</v>
      </c>
      <c r="Q2385"/>
      <c r="R2385" s="1024">
        <f t="shared" si="128"/>
        <v>0</v>
      </c>
      <c r="S2385" s="1025"/>
      <c r="T2385" s="1024">
        <f t="shared" si="129"/>
        <v>0</v>
      </c>
    </row>
    <row r="2386" spans="1:37" s="886" customFormat="1" ht="13.2">
      <c r="A2386" s="1021"/>
      <c r="B2386" s="1022">
        <v>54</v>
      </c>
      <c r="C2386" s="1014" t="s">
        <v>73</v>
      </c>
      <c r="D2386" s="886" t="s">
        <v>129</v>
      </c>
      <c r="E2386"/>
      <c r="F2386" s="1023">
        <v>961</v>
      </c>
      <c r="G2386"/>
      <c r="H2386"/>
      <c r="I2386"/>
      <c r="J2386"/>
      <c r="K2386"/>
      <c r="L2386"/>
      <c r="M2386"/>
      <c r="N2386"/>
      <c r="O2386" s="116"/>
      <c r="P2386">
        <v>3</v>
      </c>
      <c r="Q2386"/>
      <c r="R2386" s="1024">
        <f t="shared" si="128"/>
        <v>0</v>
      </c>
      <c r="S2386" s="1025"/>
      <c r="T2386" s="1024">
        <f t="shared" si="129"/>
        <v>0</v>
      </c>
    </row>
    <row r="2387" spans="1:37" s="886" customFormat="1" ht="13.2">
      <c r="A2387" s="1021"/>
      <c r="B2387" s="1022">
        <v>55</v>
      </c>
      <c r="C2387" s="1014" t="s">
        <v>73</v>
      </c>
      <c r="D2387" s="886" t="s">
        <v>130</v>
      </c>
      <c r="E2387"/>
      <c r="F2387" s="1023">
        <v>962</v>
      </c>
      <c r="G2387"/>
      <c r="H2387"/>
      <c r="I2387"/>
      <c r="J2387"/>
      <c r="K2387"/>
      <c r="L2387"/>
      <c r="M2387"/>
      <c r="N2387"/>
      <c r="O2387" s="116"/>
      <c r="P2387">
        <v>1</v>
      </c>
      <c r="Q2387"/>
      <c r="R2387" s="1024">
        <f t="shared" si="128"/>
        <v>0</v>
      </c>
      <c r="S2387" s="1025"/>
      <c r="T2387" s="1024">
        <f t="shared" si="129"/>
        <v>0</v>
      </c>
    </row>
    <row r="2388" spans="1:37" s="886" customFormat="1" ht="13.2">
      <c r="A2388" s="1021"/>
      <c r="B2388" s="1022">
        <v>56</v>
      </c>
      <c r="C2388" s="1014" t="s">
        <v>73</v>
      </c>
      <c r="D2388" s="886" t="s">
        <v>131</v>
      </c>
      <c r="E2388"/>
      <c r="F2388" s="1023">
        <v>970</v>
      </c>
      <c r="G2388"/>
      <c r="H2388"/>
      <c r="I2388"/>
      <c r="J2388"/>
      <c r="K2388"/>
      <c r="L2388"/>
      <c r="M2388"/>
      <c r="N2388"/>
      <c r="O2388" s="116"/>
      <c r="P2388">
        <v>4</v>
      </c>
      <c r="Q2388"/>
      <c r="R2388" s="1024">
        <f t="shared" si="128"/>
        <v>0</v>
      </c>
      <c r="S2388" s="1025"/>
      <c r="T2388" s="1024">
        <f t="shared" si="129"/>
        <v>0</v>
      </c>
    </row>
    <row r="2389" spans="1:37" s="886" customFormat="1" thickBot="1">
      <c r="A2389" s="1026"/>
      <c r="B2389" s="1027"/>
      <c r="C2389" s="1028"/>
      <c r="D2389" s="1029"/>
      <c r="E2389" s="1030"/>
      <c r="F2389" s="1031"/>
      <c r="G2389" s="1030"/>
      <c r="H2389" s="1030"/>
      <c r="I2389" s="1030"/>
      <c r="J2389" s="1030"/>
      <c r="K2389" s="1030"/>
      <c r="L2389" s="1030"/>
      <c r="M2389" s="1030"/>
      <c r="N2389" s="1030"/>
      <c r="O2389" s="1032"/>
      <c r="P2389" s="1030"/>
      <c r="Q2389" s="1030"/>
      <c r="R2389" s="1033"/>
      <c r="S2389" s="1034"/>
      <c r="T2389" s="1033"/>
      <c r="U2389" s="1029"/>
      <c r="V2389" s="1029"/>
      <c r="W2389" s="1029"/>
      <c r="X2389" s="1029"/>
      <c r="Y2389" s="1029"/>
      <c r="Z2389" s="1029"/>
      <c r="AA2389" s="1029"/>
      <c r="AB2389" s="1029"/>
      <c r="AC2389" s="1029"/>
      <c r="AD2389" s="1029"/>
      <c r="AE2389" s="1029"/>
      <c r="AF2389" s="1029"/>
      <c r="AG2389" s="1029"/>
      <c r="AH2389" s="1029"/>
      <c r="AI2389" s="1029"/>
      <c r="AJ2389" s="1029"/>
      <c r="AK2389" s="1029"/>
    </row>
    <row r="2390" spans="1:37" s="886" customFormat="1" thickTop="1">
      <c r="A2390" s="1021"/>
      <c r="B2390" s="1023"/>
      <c r="C2390" s="1014" t="s">
        <v>73</v>
      </c>
      <c r="D2390" s="128"/>
      <c r="E2390"/>
      <c r="F2390" s="1035" t="s">
        <v>152</v>
      </c>
      <c r="G2390" s="1036"/>
      <c r="H2390">
        <v>1</v>
      </c>
      <c r="I2390"/>
      <c r="J2390"/>
      <c r="K2390"/>
      <c r="L2390"/>
      <c r="M2390"/>
      <c r="N2390"/>
      <c r="O2390" s="116"/>
      <c r="P2390"/>
      <c r="Q2390"/>
      <c r="R2390" s="1024">
        <f>SUMIF($P2333:$P2388,1,R2333:R2388)</f>
        <v>0</v>
      </c>
      <c r="S2390"/>
      <c r="T2390" s="1024">
        <f>SUMIF($P2333:$P2388,1,T2333:T2388)</f>
        <v>0</v>
      </c>
    </row>
    <row r="2391" spans="1:37" s="886" customFormat="1" ht="13.2">
      <c r="A2391" s="1021"/>
      <c r="B2391" s="1023"/>
      <c r="C2391" s="1014" t="s">
        <v>73</v>
      </c>
      <c r="D2391" s="128"/>
      <c r="E2391"/>
      <c r="F2391" s="1035" t="s">
        <v>153</v>
      </c>
      <c r="G2391" s="1036"/>
      <c r="H2391">
        <v>2</v>
      </c>
      <c r="I2391"/>
      <c r="J2391"/>
      <c r="K2391"/>
      <c r="L2391"/>
      <c r="M2391"/>
      <c r="N2391"/>
      <c r="O2391" s="116"/>
      <c r="P2391"/>
      <c r="Q2391"/>
      <c r="R2391" s="1024">
        <f>SUMIF($P2333:$P2388,2,R2333:R2388)</f>
        <v>0</v>
      </c>
      <c r="S2391"/>
      <c r="T2391" s="1024">
        <f>SUMIF($P2333:$P2388,2,T2333:T2388)</f>
        <v>0</v>
      </c>
    </row>
    <row r="2392" spans="1:37" s="886" customFormat="1" ht="13.2">
      <c r="A2392" s="1021"/>
      <c r="B2392" s="1023"/>
      <c r="C2392" s="1014" t="s">
        <v>73</v>
      </c>
      <c r="D2392" s="128"/>
      <c r="E2392"/>
      <c r="F2392" s="1035" t="s">
        <v>154</v>
      </c>
      <c r="G2392" s="1036"/>
      <c r="H2392">
        <v>2</v>
      </c>
      <c r="I2392"/>
      <c r="J2392"/>
      <c r="K2392"/>
      <c r="L2392"/>
      <c r="M2392"/>
      <c r="N2392"/>
      <c r="O2392" s="116"/>
      <c r="P2392"/>
      <c r="Q2392"/>
      <c r="R2392" s="1024">
        <f>SUMIF($P2333:$P2388,3,R2333:R2388)</f>
        <v>28788.399999999998</v>
      </c>
      <c r="S2392"/>
      <c r="T2392" s="1024">
        <f>SUMIF($P2333:$P2388,3,T2333:T2388)</f>
        <v>587.25</v>
      </c>
    </row>
    <row r="2393" spans="1:37" s="886" customFormat="1" ht="13.2">
      <c r="A2393" s="1021"/>
      <c r="B2393" s="1023"/>
      <c r="C2393" s="1014" t="s">
        <v>73</v>
      </c>
      <c r="D2393" s="128"/>
      <c r="E2393"/>
      <c r="F2393" s="1035" t="s">
        <v>155</v>
      </c>
      <c r="G2393" s="1036"/>
      <c r="H2393">
        <v>3</v>
      </c>
      <c r="I2393"/>
      <c r="J2393"/>
      <c r="K2393"/>
      <c r="L2393"/>
      <c r="M2393"/>
      <c r="N2393"/>
      <c r="O2393" s="116"/>
      <c r="P2393"/>
      <c r="Q2393"/>
      <c r="R2393" s="1024">
        <f>SUMIF($P2333:$P2388,4,R2333:R2388)</f>
        <v>0</v>
      </c>
      <c r="S2393"/>
      <c r="T2393" s="1024">
        <f>SUMIF($P2333:$P2388,4,T2333:T2388)</f>
        <v>0</v>
      </c>
    </row>
    <row r="2394" spans="1:37" s="886" customFormat="1" thickBot="1">
      <c r="A2394" s="1026"/>
      <c r="B2394" s="1031"/>
      <c r="C2394" s="1028"/>
      <c r="D2394" s="1037"/>
      <c r="E2394" s="1030"/>
      <c r="F2394" s="1038" t="s">
        <v>156</v>
      </c>
      <c r="G2394" s="1039"/>
      <c r="H2394" s="1040"/>
      <c r="I2394" s="1040"/>
      <c r="J2394" s="1040"/>
      <c r="K2394" s="1040"/>
      <c r="L2394" s="1040"/>
      <c r="M2394" s="1040"/>
      <c r="N2394" s="1040"/>
      <c r="O2394" s="1041"/>
      <c r="P2394" s="1040"/>
      <c r="Q2394" s="1040"/>
      <c r="R2394" s="1042">
        <f>SUM(R2390:R2393)</f>
        <v>28788.399999999998</v>
      </c>
      <c r="S2394" s="1043"/>
      <c r="T2394" s="1042">
        <f>SUM(T2390:T2393)</f>
        <v>587.25</v>
      </c>
      <c r="U2394" s="1029"/>
      <c r="V2394" s="1029"/>
      <c r="W2394" s="1029"/>
      <c r="X2394" s="1029"/>
      <c r="Y2394" s="1029"/>
      <c r="Z2394" s="1029"/>
      <c r="AA2394" s="1029"/>
      <c r="AB2394" s="1029"/>
      <c r="AC2394" s="1029"/>
      <c r="AD2394" s="1029"/>
      <c r="AE2394" s="1029"/>
      <c r="AF2394" s="1029"/>
      <c r="AG2394" s="1029"/>
      <c r="AH2394" s="1029"/>
      <c r="AI2394" s="1029"/>
      <c r="AJ2394" s="1029"/>
      <c r="AK2394" s="1029"/>
    </row>
    <row r="2395" spans="1:37" customFormat="1" thickTop="1">
      <c r="A2395" s="520"/>
      <c r="B2395" s="1044" t="s">
        <v>2731</v>
      </c>
      <c r="C2395" s="128" t="s">
        <v>2731</v>
      </c>
      <c r="D2395" s="128"/>
      <c r="O2395" s="116"/>
    </row>
    <row r="2396" spans="1:37" customFormat="1" ht="13.2">
      <c r="A2396" s="886"/>
      <c r="O2396" s="116"/>
    </row>
    <row r="2397" spans="1:37" customFormat="1" ht="13.2">
      <c r="A2397" s="886"/>
      <c r="B2397" s="1045">
        <f t="shared" ref="B2397:B2428" si="130">SUMIF($D$13:$D$2311,D2397,$C$13:$C$2311)</f>
        <v>0</v>
      </c>
      <c r="C2397" s="886"/>
      <c r="D2397" s="1046" t="str">
        <f>Elec_Rates!$D$19</f>
        <v>001# Light Point Rate (LSZH Conduit)</v>
      </c>
      <c r="O2397" s="116"/>
      <c r="Q2397" s="51"/>
    </row>
    <row r="2398" spans="1:37" customFormat="1" ht="13.2">
      <c r="A2398" s="886"/>
      <c r="B2398" s="1045">
        <f t="shared" si="130"/>
        <v>0</v>
      </c>
      <c r="C2398" s="886"/>
      <c r="D2398" s="1046" t="str">
        <f>Elec_Rates!$D$30</f>
        <v>002# Maintaned Emergency Light point rate (LSZH Conduit)</v>
      </c>
      <c r="O2398" s="116"/>
    </row>
    <row r="2399" spans="1:37" customFormat="1" ht="13.2">
      <c r="A2399" s="886"/>
      <c r="B2399" s="1045">
        <f t="shared" si="130"/>
        <v>0</v>
      </c>
      <c r="C2399" s="886"/>
      <c r="D2399" s="1046" t="str">
        <f>Elec_Rates!$D$39</f>
        <v>003# Power Point Rate (LSZH Conduit)</v>
      </c>
      <c r="O2399" s="116"/>
    </row>
    <row r="2400" spans="1:37" customFormat="1" ht="13.2">
      <c r="A2400" s="886"/>
      <c r="B2400" s="1045">
        <f t="shared" si="130"/>
        <v>0</v>
      </c>
      <c r="C2400" s="886"/>
      <c r="D2400" s="1046" t="str">
        <f>Elec_Rates!$D$46</f>
        <v>004# Light point rate (Galvanised Conduit)</v>
      </c>
      <c r="O2400" s="116"/>
    </row>
    <row r="2401" spans="1:15" customFormat="1" ht="13.2">
      <c r="A2401" s="886"/>
      <c r="B2401" s="1045">
        <f t="shared" si="130"/>
        <v>0</v>
      </c>
      <c r="C2401" s="886"/>
      <c r="D2401" s="1046" t="str">
        <f>Elec_Rates!D56</f>
        <v>005# Externall Light point rate (Galvanised Conduit)</v>
      </c>
      <c r="O2401" s="116"/>
    </row>
    <row r="2402" spans="1:15" customFormat="1" ht="13.2">
      <c r="A2402" s="886"/>
      <c r="B2402" s="1045">
        <f t="shared" si="130"/>
        <v>0</v>
      </c>
      <c r="C2402" s="886"/>
      <c r="D2402" s="1046" t="str">
        <f>Elec_Rates!$D$79</f>
        <v>006# Light point rate (Galvanised Conduit)  in Warehouse</v>
      </c>
      <c r="O2402" s="116"/>
    </row>
    <row r="2403" spans="1:15" customFormat="1" ht="13.2">
      <c r="A2403" s="886"/>
      <c r="B2403" s="1045">
        <f t="shared" si="130"/>
        <v>0</v>
      </c>
      <c r="C2403" s="886"/>
      <c r="D2403" s="1046" t="str">
        <f>Elec_Rates!D91</f>
        <v>007# Bracketing for Lighting in Warehouse</v>
      </c>
      <c r="O2403" s="116"/>
    </row>
    <row r="2404" spans="1:15" customFormat="1" ht="13.2">
      <c r="A2404" s="886"/>
      <c r="B2404" s="1045">
        <f t="shared" si="130"/>
        <v>0</v>
      </c>
      <c r="C2404" s="886"/>
      <c r="D2404" s="1046" t="str">
        <f>Elec_Rates!$D$103</f>
        <v>008# Maintained Emergency Light point rate (Galvanised Conduit)</v>
      </c>
      <c r="O2404" s="116"/>
    </row>
    <row r="2405" spans="1:15" customFormat="1" ht="13.2">
      <c r="A2405" s="886"/>
      <c r="B2405" s="1045">
        <f t="shared" si="130"/>
        <v>0</v>
      </c>
      <c r="C2405" s="886"/>
      <c r="D2405" s="1046" t="str">
        <f>Elec_Rates!$D$112</f>
        <v>009# Power points rate (Galvanised conduit)</v>
      </c>
      <c r="O2405" s="116"/>
    </row>
    <row r="2406" spans="1:15" customFormat="1" ht="13.2">
      <c r="A2406" s="886"/>
      <c r="B2406" s="1045">
        <f t="shared" si="130"/>
        <v>0</v>
      </c>
      <c r="C2406" s="886"/>
      <c r="D2406" s="1046" t="str">
        <f>Elec_Rates!$D$120</f>
        <v>010# Power points rate galvanised conduit (CWZ LSZH Cable)</v>
      </c>
      <c r="O2406" s="116"/>
    </row>
    <row r="2407" spans="1:15" customFormat="1" ht="13.2">
      <c r="A2407" s="886"/>
      <c r="B2407" s="1045">
        <f t="shared" si="130"/>
        <v>0</v>
      </c>
      <c r="C2407" s="886"/>
      <c r="D2407" s="1046" t="str">
        <f>Elec_Rates!D127</f>
        <v>011# Power points rate LSZH conduit (CWZ LSZH Cable)</v>
      </c>
      <c r="O2407" s="116"/>
    </row>
    <row r="2408" spans="1:15" customFormat="1" ht="13.2">
      <c r="A2408" s="886"/>
      <c r="B2408" s="1045">
        <f t="shared" si="130"/>
        <v>0</v>
      </c>
      <c r="C2408" s="886"/>
      <c r="D2408" s="1046" t="str">
        <f>Elec_Rates!$D$134</f>
        <v>012# Single phase isolator / socket outlet point Galvanised conduit</v>
      </c>
      <c r="O2408" s="116"/>
    </row>
    <row r="2409" spans="1:15" customFormat="1" ht="13.2">
      <c r="A2409" s="886"/>
      <c r="B2409" s="1045">
        <f t="shared" si="130"/>
        <v>0</v>
      </c>
      <c r="C2409" s="886"/>
      <c r="D2409" s="1046" t="str">
        <f>Elec_Rates!D141</f>
        <v>013# Single phase isolator / socket outlet point Stainless Steel conduit</v>
      </c>
      <c r="O2409" s="116"/>
    </row>
    <row r="2410" spans="1:15" customFormat="1" ht="13.2">
      <c r="A2410" s="886"/>
      <c r="B2410" s="1045">
        <f t="shared" si="130"/>
        <v>0</v>
      </c>
      <c r="C2410" s="886"/>
      <c r="D2410" s="1046" t="str">
        <f>Elec_Rates!$D$156</f>
        <v>014# 3Pin 16Amp IP67 Unswitched Socket outlet</v>
      </c>
      <c r="O2410" s="116"/>
    </row>
    <row r="2411" spans="1:15" customFormat="1" ht="13.2">
      <c r="A2411" s="886"/>
      <c r="B2411" s="1045">
        <f t="shared" si="130"/>
        <v>0</v>
      </c>
      <c r="C2411" s="886"/>
      <c r="D2411" s="1046" t="str">
        <f>Elec_Rates!$D$165</f>
        <v>015# 3Pin 16Amp IP67 Interlocked Socket outlet</v>
      </c>
      <c r="O2411" s="116"/>
    </row>
    <row r="2412" spans="1:15" customFormat="1" ht="13.2">
      <c r="A2412" s="886"/>
      <c r="B2412" s="1045">
        <f t="shared" si="130"/>
        <v>0</v>
      </c>
      <c r="C2412" s="886"/>
      <c r="D2412" s="1046" t="str">
        <f>Elec_Rates!$D$174</f>
        <v>016# 5Pin 16Amp IP67 Interlocked Socket outlet</v>
      </c>
      <c r="O2412" s="116"/>
    </row>
    <row r="2413" spans="1:15" customFormat="1" ht="13.2">
      <c r="A2413" s="886"/>
      <c r="B2413" s="1045">
        <f t="shared" si="130"/>
        <v>0</v>
      </c>
      <c r="C2413" s="886"/>
      <c r="D2413" s="1046" t="str">
        <f>Elec_Rates!$D$183</f>
        <v>017# 5Pin 32Amp IP67 Interlocked Socket outlet</v>
      </c>
      <c r="O2413" s="116"/>
    </row>
    <row r="2414" spans="1:15" customFormat="1" ht="13.2">
      <c r="A2414" s="886"/>
      <c r="B2414" s="1045">
        <f t="shared" si="130"/>
        <v>0</v>
      </c>
      <c r="C2414" s="886"/>
      <c r="D2414" s="1046" t="str">
        <f>Elec_Rates!$D$192</f>
        <v>018# 1-Phase 25/32A Isolator</v>
      </c>
      <c r="O2414" s="116"/>
    </row>
    <row r="2415" spans="1:15" customFormat="1" ht="13.2">
      <c r="A2415" s="886"/>
      <c r="B2415" s="1045">
        <f t="shared" si="130"/>
        <v>0</v>
      </c>
      <c r="C2415" s="886"/>
      <c r="D2415" s="1046" t="str">
        <f>Elec_Rates!$D$201</f>
        <v>019# 3-Phase 16A Isolator</v>
      </c>
      <c r="O2415" s="116"/>
    </row>
    <row r="2416" spans="1:15" customFormat="1" ht="13.2">
      <c r="A2416" s="886"/>
      <c r="B2416" s="1045">
        <f t="shared" si="130"/>
        <v>0</v>
      </c>
      <c r="C2416" s="886"/>
      <c r="D2416" s="1046" t="str">
        <f>Elec_Rates!$D$210</f>
        <v>020# 3-Phase 20/25/32A Isolator</v>
      </c>
      <c r="O2416" s="116"/>
    </row>
    <row r="2417" spans="1:15" customFormat="1" ht="13.2">
      <c r="A2417" s="886"/>
      <c r="B2417" s="1045">
        <f t="shared" si="130"/>
        <v>0</v>
      </c>
      <c r="C2417" s="886"/>
      <c r="D2417" s="1046" t="str">
        <f>Elec_Rates!$D$219</f>
        <v>021# 3-Phase 40A Isolator</v>
      </c>
      <c r="O2417" s="116"/>
    </row>
    <row r="2418" spans="1:15" customFormat="1" ht="13.2">
      <c r="A2418" s="886"/>
      <c r="B2418" s="1045">
        <f t="shared" si="130"/>
        <v>0</v>
      </c>
      <c r="C2418" s="886"/>
      <c r="D2418" s="1046" t="str">
        <f>Elec_Rates!$D$228</f>
        <v>022# 3-Phase 63A Isolator</v>
      </c>
      <c r="O2418" s="116"/>
    </row>
    <row r="2419" spans="1:15" customFormat="1" ht="13.2">
      <c r="A2419" s="886"/>
      <c r="B2419" s="1045">
        <f t="shared" si="130"/>
        <v>0</v>
      </c>
      <c r="C2419" s="886"/>
      <c r="D2419" s="1046" t="str">
        <f>Elec_Rates!$D$237</f>
        <v>023# 5 x 300mm2  F120 Fire Resistant Cable (BS7846) - XLPE/SWA/LSZH</v>
      </c>
      <c r="O2419" s="116"/>
    </row>
    <row r="2420" spans="1:15" customFormat="1" ht="13.2">
      <c r="A2420" s="886"/>
      <c r="B2420" s="1045">
        <f t="shared" si="130"/>
        <v>0</v>
      </c>
      <c r="C2420" s="886"/>
      <c r="D2420" s="1046" t="str">
        <f>Elec_Rates!$D$249</f>
        <v>024# 5 x 240mm2  F120 Fire Resistant Cable (BS7846) -  XLPE/SWA/LSZH</v>
      </c>
      <c r="O2420" s="116"/>
    </row>
    <row r="2421" spans="1:15" customFormat="1" ht="13.2">
      <c r="A2421" s="886"/>
      <c r="B2421" s="1045">
        <f t="shared" si="130"/>
        <v>0</v>
      </c>
      <c r="C2421" s="886"/>
      <c r="D2421" s="1046" t="str">
        <f>Elec_Rates!$D$261</f>
        <v>025# 5 x 185mm2 XLPE/SWA/LSZH</v>
      </c>
      <c r="O2421" s="116"/>
    </row>
    <row r="2422" spans="1:15" customFormat="1" ht="13.2">
      <c r="A2422" s="886"/>
      <c r="B2422" s="1045">
        <f t="shared" si="130"/>
        <v>0</v>
      </c>
      <c r="C2422" s="886"/>
      <c r="D2422" s="1046" t="str">
        <f>Elec_Rates!$D$271</f>
        <v>026# 5 x 150mm2 XLPE/SWA/LSZH</v>
      </c>
      <c r="O2422" s="116"/>
    </row>
    <row r="2423" spans="1:15" customFormat="1" ht="13.2">
      <c r="A2423" s="886"/>
      <c r="B2423" s="1045">
        <f t="shared" si="130"/>
        <v>0</v>
      </c>
      <c r="C2423" s="886"/>
      <c r="D2423" s="1046" t="str">
        <f>Elec_Rates!$D$281</f>
        <v>027# 5 x 120mm2 F120 Fire Resistant Cable (BS7846) -  XLPE/SWA/LSZH</v>
      </c>
      <c r="O2423" s="116"/>
    </row>
    <row r="2424" spans="1:15" customFormat="1" ht="13.2">
      <c r="A2424" s="886"/>
      <c r="B2424" s="1045">
        <f t="shared" si="130"/>
        <v>0</v>
      </c>
      <c r="C2424" s="886"/>
      <c r="D2424" s="1046" t="str">
        <f>Elec_Rates!$D$293</f>
        <v>028# 5 x 120mm2 XLPE/SWA/LSZH</v>
      </c>
      <c r="O2424" s="116"/>
    </row>
    <row r="2425" spans="1:15" customFormat="1" ht="13.2">
      <c r="A2425" s="886"/>
      <c r="B2425" s="1045">
        <f t="shared" si="130"/>
        <v>0</v>
      </c>
      <c r="C2425" s="886"/>
      <c r="D2425" s="1046" t="str">
        <f>Elec_Rates!$D$303</f>
        <v>029# 5 x 95mm2 F120 Fire Resistant Cable (BS7846) -  XLPE/SWA/LSZH</v>
      </c>
      <c r="O2425" s="116"/>
    </row>
    <row r="2426" spans="1:15" customFormat="1" ht="13.2">
      <c r="A2426" s="886"/>
      <c r="B2426" s="1045">
        <f t="shared" si="130"/>
        <v>0</v>
      </c>
      <c r="C2426" s="886"/>
      <c r="D2426" s="1046" t="str">
        <f>Elec_Rates!$D$315</f>
        <v>030# 5 x 95mm2 XLPE/SWA/LSZH</v>
      </c>
      <c r="O2426" s="116"/>
    </row>
    <row r="2427" spans="1:15" customFormat="1" ht="13.2">
      <c r="A2427" s="886"/>
      <c r="B2427" s="1045">
        <f t="shared" si="130"/>
        <v>0</v>
      </c>
      <c r="C2427" s="886"/>
      <c r="D2427" s="1046" t="str">
        <f>Elec_Rates!$D$325</f>
        <v>031# 5 x 70mm2  F120 Fire Resistant Cable (BS7846) - XLPE/SWA/LSZH</v>
      </c>
      <c r="O2427" s="116"/>
    </row>
    <row r="2428" spans="1:15" customFormat="1" ht="13.2">
      <c r="A2428" s="886"/>
      <c r="B2428" s="1045">
        <f t="shared" si="130"/>
        <v>0</v>
      </c>
      <c r="C2428" s="886"/>
      <c r="D2428" s="1046" t="str">
        <f>Elec_Rates!$D$335</f>
        <v>032# 5 x 50mm2  F120 Fire Resistant Cable (BS7846) - XLPE/SWA/LSZH</v>
      </c>
      <c r="O2428" s="116"/>
    </row>
    <row r="2429" spans="1:15" customFormat="1" ht="13.2">
      <c r="A2429" s="886"/>
      <c r="B2429" s="1045">
        <f t="shared" ref="B2429:B2460" si="131">SUMIF($D$13:$D$2311,D2429,$C$13:$C$2311)</f>
        <v>0</v>
      </c>
      <c r="C2429" s="886"/>
      <c r="D2429" s="1046" t="str">
        <f>Elec_Rates!$D$345</f>
        <v>033# 5 x 35mm2 F120 Fire Resistant Cable (BS7846) -  XLPE/SWA/LSZH</v>
      </c>
      <c r="O2429" s="116"/>
    </row>
    <row r="2430" spans="1:15" customFormat="1" ht="13.2">
      <c r="A2430" s="886"/>
      <c r="B2430" s="1045">
        <f t="shared" si="131"/>
        <v>0</v>
      </c>
      <c r="C2430" s="886"/>
      <c r="D2430" s="1046" t="str">
        <f>Elec_Rates!$D$355</f>
        <v>034# 5 x 35mm2 XLPE/SWA/LSZH</v>
      </c>
      <c r="O2430" s="116"/>
    </row>
    <row r="2431" spans="1:15" customFormat="1" ht="13.2">
      <c r="A2431" s="886"/>
      <c r="B2431" s="1045">
        <f t="shared" si="131"/>
        <v>0</v>
      </c>
      <c r="C2431" s="886"/>
      <c r="D2431" s="1046" t="str">
        <f>Elec_Rates!$D$365</f>
        <v>035# 5 x 25mm2 F120 Fire Resistant Cable (BS7846) -  XLPE/SWA/LSZH</v>
      </c>
      <c r="O2431" s="116"/>
    </row>
    <row r="2432" spans="1:15" customFormat="1" ht="13.2">
      <c r="A2432" s="886"/>
      <c r="B2432" s="1045">
        <f t="shared" si="131"/>
        <v>0</v>
      </c>
      <c r="C2432" s="886"/>
      <c r="D2432" s="1046" t="str">
        <f>Elec_Rates!$D$375</f>
        <v>036# 5 x 25mm2 XLPE/SWA/LSZH</v>
      </c>
      <c r="O2432" s="116"/>
    </row>
    <row r="2433" spans="1:15" customFormat="1" ht="13.2">
      <c r="A2433" s="886"/>
      <c r="B2433" s="1045">
        <f t="shared" si="131"/>
        <v>0</v>
      </c>
      <c r="C2433" s="886"/>
      <c r="D2433" s="1046" t="str">
        <f>Elec_Rates!$D$385</f>
        <v>037# 5 x 16mm2 F120 Fire Resistant Cable (BS7846) -  XLPE/SWA/LSZH</v>
      </c>
      <c r="O2433" s="116"/>
    </row>
    <row r="2434" spans="1:15" customFormat="1" ht="13.2">
      <c r="A2434" s="886"/>
      <c r="B2434" s="1045">
        <f t="shared" si="131"/>
        <v>0</v>
      </c>
      <c r="C2434" s="886"/>
      <c r="D2434" s="1046" t="str">
        <f>Elec_Rates!$D$395</f>
        <v>038# 5 x 16mm2 XLPE/SWA/LSZH</v>
      </c>
      <c r="O2434" s="116"/>
    </row>
    <row r="2435" spans="1:15" customFormat="1" ht="13.2">
      <c r="A2435" s="886"/>
      <c r="B2435" s="1045">
        <f t="shared" si="131"/>
        <v>0</v>
      </c>
      <c r="C2435" s="886"/>
      <c r="D2435" s="1046" t="str">
        <f>Elec_Rates!$D$405</f>
        <v>039# 5 x 10mm2 F120 Fire Resistant Cable (BS7846) -  XLPE/SWA/LSZH</v>
      </c>
      <c r="O2435" s="116"/>
    </row>
    <row r="2436" spans="1:15" customFormat="1" ht="13.2">
      <c r="A2436" s="886"/>
      <c r="B2436" s="1045">
        <f t="shared" si="131"/>
        <v>0</v>
      </c>
      <c r="C2436" s="886"/>
      <c r="D2436" s="1046" t="str">
        <f>Elec_Rates!$D$417</f>
        <v>040# 5 x 10mm2 XLPE/SWA/LSZH</v>
      </c>
      <c r="O2436" s="116"/>
    </row>
    <row r="2437" spans="1:15" customFormat="1" ht="13.2">
      <c r="A2437" s="886"/>
      <c r="B2437" s="1045">
        <f t="shared" si="131"/>
        <v>0</v>
      </c>
      <c r="C2437" s="886"/>
      <c r="D2437" s="1046" t="str">
        <f>Elec_Rates!$D$427</f>
        <v>041# 3 x 10mm2 LSZH/LSZH</v>
      </c>
      <c r="O2437" s="116"/>
    </row>
    <row r="2438" spans="1:15" customFormat="1" ht="13.2">
      <c r="A2438" s="886"/>
      <c r="B2438" s="1045">
        <f t="shared" si="131"/>
        <v>0</v>
      </c>
      <c r="C2438" s="886"/>
      <c r="D2438" s="1046" t="str">
        <f>Elec_Rates!$D$437</f>
        <v>042# 5 x 6mm2 XLPE/SWA/LSZH</v>
      </c>
      <c r="O2438" s="116"/>
    </row>
    <row r="2439" spans="1:15" customFormat="1" ht="13.2">
      <c r="A2439" s="886"/>
      <c r="B2439" s="1045">
        <f t="shared" si="131"/>
        <v>0</v>
      </c>
      <c r="C2439" s="886"/>
      <c r="D2439" s="1046" t="str">
        <f>Elec_Rates!$D$448</f>
        <v>043# 3 x 6mm2 LSZH/LSZH</v>
      </c>
      <c r="O2439" s="116"/>
    </row>
    <row r="2440" spans="1:15" customFormat="1" ht="13.2">
      <c r="A2440" s="886"/>
      <c r="B2440" s="1045">
        <f t="shared" si="131"/>
        <v>0</v>
      </c>
      <c r="C2440" s="886"/>
      <c r="D2440" s="1046" t="str">
        <f>Elec_Rates!$D$458</f>
        <v>044# 5 x 4mm2 F120 Fire Resistant Cable (BS7846) -  XLPE/SWA/LSZH</v>
      </c>
      <c r="O2440" s="116"/>
    </row>
    <row r="2441" spans="1:15" customFormat="1" ht="13.2">
      <c r="A2441" s="886"/>
      <c r="B2441" s="1045">
        <f t="shared" si="131"/>
        <v>0</v>
      </c>
      <c r="C2441" s="886"/>
      <c r="D2441" s="1046" t="str">
        <f>Elec_Rates!$D$468</f>
        <v>045# 5 x 4mm2 XLPE/SWA/LSZH</v>
      </c>
      <c r="O2441" s="116"/>
    </row>
    <row r="2442" spans="1:15" customFormat="1" ht="13.2">
      <c r="A2442" s="886"/>
      <c r="B2442" s="1045">
        <f t="shared" si="131"/>
        <v>0</v>
      </c>
      <c r="C2442" s="886"/>
      <c r="D2442" s="1046" t="str">
        <f>Elec_Rates!$D$478</f>
        <v>046# 3 x 4mm2 XLPE/SWA/LSZH</v>
      </c>
      <c r="O2442" s="116"/>
    </row>
    <row r="2443" spans="1:15" customFormat="1" ht="13.2">
      <c r="A2443" s="886"/>
      <c r="B2443" s="1045">
        <f t="shared" si="131"/>
        <v>0</v>
      </c>
      <c r="C2443" s="886"/>
      <c r="D2443" s="1046" t="str">
        <f>Elec_Rates!$D$488</f>
        <v>047# 5 x 2.5mm2 F120 Fire Resistant Cable (BS7846) -  XLPE/SWA/LSZH</v>
      </c>
      <c r="O2443" s="116"/>
    </row>
    <row r="2444" spans="1:15" customFormat="1" ht="13.2">
      <c r="A2444" s="886"/>
      <c r="B2444" s="1045">
        <f t="shared" si="131"/>
        <v>0</v>
      </c>
      <c r="C2444" s="886"/>
      <c r="D2444" s="1046" t="str">
        <f>Elec_Rates!$D$510</f>
        <v>048# 5 x 2.5mm2 XLPE/SWA/LSZH</v>
      </c>
      <c r="O2444" s="116"/>
    </row>
    <row r="2445" spans="1:15" customFormat="1" ht="13.2">
      <c r="A2445" s="886"/>
      <c r="B2445" s="1045">
        <f t="shared" si="131"/>
        <v>0</v>
      </c>
      <c r="C2445" s="886"/>
      <c r="D2445" s="1046" t="str">
        <f>Elec_Rates!D520</f>
        <v>049# 5 x 2.5mm2 XLPE/SWA/LSZH in stainless steel sleeves at warehouse level 0</v>
      </c>
      <c r="O2445" s="116"/>
    </row>
    <row r="2446" spans="1:15" customFormat="1" ht="13.2">
      <c r="A2446" s="886"/>
      <c r="B2446" s="1045">
        <f t="shared" si="131"/>
        <v>0</v>
      </c>
      <c r="C2446" s="886"/>
      <c r="D2446" s="1046" t="str">
        <f>Elec_Rates!$D$545</f>
        <v>050# Install only Light fitting Type A1</v>
      </c>
      <c r="O2446" s="116"/>
    </row>
    <row r="2447" spans="1:15" customFormat="1" ht="13.2">
      <c r="A2447" s="886"/>
      <c r="B2447" s="1045">
        <f t="shared" si="131"/>
        <v>0</v>
      </c>
      <c r="C2447" s="886"/>
      <c r="D2447" s="1046" t="str">
        <f>Elec_Rates!$D$552</f>
        <v>051# Install only Light fitting Type A2</v>
      </c>
      <c r="O2447" s="116"/>
    </row>
    <row r="2448" spans="1:15" customFormat="1" ht="13.2">
      <c r="A2448" s="886"/>
      <c r="B2448" s="1045">
        <f t="shared" si="131"/>
        <v>0</v>
      </c>
      <c r="C2448" s="886"/>
      <c r="D2448" s="1046" t="str">
        <f>Elec_Rates!$D$559</f>
        <v>052# Install only Light fitting Type B1</v>
      </c>
      <c r="O2448" s="116"/>
    </row>
    <row r="2449" spans="1:15" customFormat="1" ht="13.2">
      <c r="A2449" s="886"/>
      <c r="B2449" s="1045">
        <f t="shared" si="131"/>
        <v>0</v>
      </c>
      <c r="C2449" s="886"/>
      <c r="D2449" s="1046" t="str">
        <f>Elec_Rates!$D$568</f>
        <v>053# Install only Light fitting Type B2</v>
      </c>
      <c r="O2449" s="116"/>
    </row>
    <row r="2450" spans="1:15" customFormat="1" ht="13.2">
      <c r="A2450" s="886"/>
      <c r="B2450" s="1045">
        <f t="shared" si="131"/>
        <v>0</v>
      </c>
      <c r="C2450" s="886"/>
      <c r="D2450" s="1046" t="str">
        <f>Elec_Rates!$D$577</f>
        <v>054# Install only Light fitting Type C2</v>
      </c>
      <c r="O2450" s="116"/>
    </row>
    <row r="2451" spans="1:15" customFormat="1" ht="13.2">
      <c r="A2451" s="886"/>
      <c r="B2451" s="1045">
        <f t="shared" si="131"/>
        <v>0</v>
      </c>
      <c r="C2451" s="886"/>
      <c r="D2451" s="1046" t="str">
        <f>Elec_Rates!$D$586</f>
        <v>055# Install only Light fitting Type D1</v>
      </c>
      <c r="O2451" s="116"/>
    </row>
    <row r="2452" spans="1:15" customFormat="1" ht="13.2">
      <c r="A2452" s="886"/>
      <c r="B2452" s="1045">
        <f t="shared" si="131"/>
        <v>0</v>
      </c>
      <c r="C2452" s="886"/>
      <c r="D2452" s="1046" t="str">
        <f>Elec_Rates!$D$595</f>
        <v>056# Install only Light fitting Type E1</v>
      </c>
      <c r="O2452" s="116"/>
    </row>
    <row r="2453" spans="1:15" customFormat="1" ht="13.2">
      <c r="A2453" s="886"/>
      <c r="B2453" s="1045">
        <f t="shared" si="131"/>
        <v>0</v>
      </c>
      <c r="C2453" s="886"/>
      <c r="D2453" s="1046" t="str">
        <f>Elec_Rates!$D$604</f>
        <v>057# Install only Light fitting Type E2</v>
      </c>
      <c r="O2453" s="116"/>
    </row>
    <row r="2454" spans="1:15" customFormat="1" ht="13.2">
      <c r="A2454" s="886"/>
      <c r="B2454" s="1045">
        <f t="shared" si="131"/>
        <v>0</v>
      </c>
      <c r="C2454" s="886"/>
      <c r="D2454" s="1046" t="str">
        <f>Elec_Rates!$D$613</f>
        <v>058# Install only Light fitting Type F1</v>
      </c>
      <c r="O2454" s="116"/>
    </row>
    <row r="2455" spans="1:15" customFormat="1" ht="13.2">
      <c r="A2455" s="886"/>
      <c r="B2455" s="1045">
        <f t="shared" si="131"/>
        <v>0</v>
      </c>
      <c r="C2455" s="886"/>
      <c r="D2455" s="1046" t="str">
        <f>Elec_Rates!$D$622</f>
        <v>059# Install only Light fitting Type F2</v>
      </c>
      <c r="O2455" s="116"/>
    </row>
    <row r="2456" spans="1:15" customFormat="1" ht="13.2">
      <c r="A2456" s="886"/>
      <c r="B2456" s="1045">
        <f t="shared" si="131"/>
        <v>0</v>
      </c>
      <c r="C2456" s="886"/>
      <c r="D2456" s="1046" t="str">
        <f>Elec_Rates!$D$631</f>
        <v>060# Install only Light fitting Type G1</v>
      </c>
      <c r="O2456" s="116"/>
    </row>
    <row r="2457" spans="1:15" customFormat="1" ht="13.2">
      <c r="A2457" s="886"/>
      <c r="B2457" s="1045">
        <f t="shared" si="131"/>
        <v>0</v>
      </c>
      <c r="C2457" s="886"/>
      <c r="D2457" s="1046" t="str">
        <f>Elec_Rates!$D$640</f>
        <v>061# Install only Light fitting Type G2</v>
      </c>
      <c r="O2457" s="116"/>
    </row>
    <row r="2458" spans="1:15" customFormat="1" ht="13.2">
      <c r="A2458" s="886"/>
      <c r="B2458" s="1045">
        <f t="shared" si="131"/>
        <v>0</v>
      </c>
      <c r="C2458" s="886"/>
      <c r="D2458" s="1046" t="str">
        <f>Elec_Rates!$D$649</f>
        <v>062# Install only Light fitting Type G3</v>
      </c>
      <c r="O2458" s="116"/>
    </row>
    <row r="2459" spans="1:15" customFormat="1" ht="13.2">
      <c r="A2459" s="886"/>
      <c r="B2459" s="1045">
        <f t="shared" si="131"/>
        <v>0</v>
      </c>
      <c r="C2459" s="886"/>
      <c r="D2459" s="1046" t="str">
        <f>Elec_Rates!$D$658</f>
        <v>063# Install only Light fitting Type G4</v>
      </c>
      <c r="O2459" s="116"/>
    </row>
    <row r="2460" spans="1:15" customFormat="1" ht="13.2">
      <c r="A2460" s="886"/>
      <c r="B2460" s="1045">
        <f t="shared" si="131"/>
        <v>0</v>
      </c>
      <c r="C2460" s="886"/>
      <c r="D2460" s="1046" t="str">
        <f>Elec_Rates!$D$667</f>
        <v>064# Install only Light fitting Type H1</v>
      </c>
      <c r="O2460" s="116"/>
    </row>
    <row r="2461" spans="1:15" customFormat="1" ht="13.2">
      <c r="A2461" s="886"/>
      <c r="B2461" s="1045">
        <f t="shared" ref="B2461:B2488" si="132">SUMIF($D$13:$D$2311,D2461,$C$13:$C$2311)</f>
        <v>0</v>
      </c>
      <c r="C2461" s="886"/>
      <c r="D2461" s="1046" t="str">
        <f>Elec_Rates!$D$676</f>
        <v>065# Install only Light fitting Type I1</v>
      </c>
      <c r="O2461" s="116"/>
    </row>
    <row r="2462" spans="1:15" customFormat="1" ht="13.2">
      <c r="A2462" s="886"/>
      <c r="B2462" s="1045">
        <f t="shared" si="132"/>
        <v>0</v>
      </c>
      <c r="C2462" s="886"/>
      <c r="D2462" s="1046" t="str">
        <f>Elec_Rates!$D$688</f>
        <v>066# Install only Light fitting Type J1</v>
      </c>
      <c r="O2462" s="116"/>
    </row>
    <row r="2463" spans="1:15" customFormat="1" ht="13.2">
      <c r="A2463" s="886"/>
      <c r="B2463" s="1045">
        <f t="shared" si="132"/>
        <v>0</v>
      </c>
      <c r="C2463" s="886"/>
      <c r="D2463" s="1046" t="str">
        <f>Elec_Rates!$D$697</f>
        <v>067# Install only Light fitting Type J2</v>
      </c>
      <c r="O2463" s="116"/>
    </row>
    <row r="2464" spans="1:15" customFormat="1" ht="13.2">
      <c r="A2464" s="886"/>
      <c r="B2464" s="1045">
        <f t="shared" si="132"/>
        <v>0</v>
      </c>
      <c r="C2464" s="886"/>
      <c r="D2464" s="1046" t="str">
        <f>Elec_Rates!$D$706</f>
        <v>068# Install only Light fitting Type J3</v>
      </c>
      <c r="O2464" s="116"/>
    </row>
    <row r="2465" spans="1:15" customFormat="1" ht="13.2">
      <c r="A2465" s="886"/>
      <c r="B2465" s="1045">
        <f t="shared" si="132"/>
        <v>0</v>
      </c>
      <c r="C2465" s="886"/>
      <c r="D2465" s="1046" t="str">
        <f>Elec_Rates!$D$715</f>
        <v>069# Install only Light fitting Type L1</v>
      </c>
      <c r="O2465" s="116"/>
    </row>
    <row r="2466" spans="1:15" customFormat="1" ht="13.2">
      <c r="A2466" s="886"/>
      <c r="B2466" s="1045">
        <f t="shared" si="132"/>
        <v>0</v>
      </c>
      <c r="C2466" s="886"/>
      <c r="D2466" s="1046" t="str">
        <f>Elec_Rates!$D$723</f>
        <v>070# Install only Light fitting Type M1</v>
      </c>
      <c r="O2466" s="116"/>
    </row>
    <row r="2467" spans="1:15" customFormat="1" ht="13.2">
      <c r="A2467" s="886"/>
      <c r="B2467" s="1045">
        <f t="shared" si="132"/>
        <v>0</v>
      </c>
      <c r="C2467" s="886"/>
      <c r="D2467" s="1046" t="str">
        <f>Elec_Rates!$D$739</f>
        <v>071# 500mm cable Tray</v>
      </c>
      <c r="O2467" s="116"/>
    </row>
    <row r="2468" spans="1:15" customFormat="1" ht="13.2">
      <c r="A2468" s="886"/>
      <c r="B2468" s="1045">
        <f t="shared" si="132"/>
        <v>0</v>
      </c>
      <c r="C2468" s="886"/>
      <c r="D2468" s="1046" t="str">
        <f>Elec_Rates!$D$751</f>
        <v>072# 400mm cable Tray</v>
      </c>
      <c r="O2468" s="116"/>
    </row>
    <row r="2469" spans="1:15" customFormat="1" ht="13.2">
      <c r="A2469" s="886"/>
      <c r="B2469" s="1045">
        <f t="shared" si="132"/>
        <v>0</v>
      </c>
      <c r="C2469" s="886"/>
      <c r="D2469" s="1046" t="str">
        <f>Elec_Rates!$D$762</f>
        <v>073# 300mm cable Tray</v>
      </c>
      <c r="O2469" s="116"/>
    </row>
    <row r="2470" spans="1:15" customFormat="1" ht="13.2">
      <c r="A2470" s="886"/>
      <c r="B2470" s="1045">
        <f t="shared" si="132"/>
        <v>0</v>
      </c>
      <c r="C2470" s="886"/>
      <c r="D2470" s="1046" t="str">
        <f>Elec_Rates!$D$774</f>
        <v>074# 200mm cable Tray</v>
      </c>
      <c r="O2470" s="116"/>
    </row>
    <row r="2471" spans="1:15" customFormat="1" ht="13.2">
      <c r="A2471" s="886"/>
      <c r="B2471" s="1045">
        <f t="shared" si="132"/>
        <v>0</v>
      </c>
      <c r="C2471" s="886"/>
      <c r="D2471" s="1046" t="str">
        <f>Elec_Rates!$D$785</f>
        <v>075# 100mm cable Tray</v>
      </c>
      <c r="O2471" s="116"/>
    </row>
    <row r="2472" spans="1:15" customFormat="1" ht="13.2">
      <c r="A2472" s="886"/>
      <c r="B2472" s="1045">
        <f t="shared" si="132"/>
        <v>0</v>
      </c>
      <c r="C2472" s="886"/>
      <c r="D2472" s="1046" t="str">
        <f>Elec_Rates!$D$797</f>
        <v>076# 50mm Galvanised Steel Cable tray</v>
      </c>
      <c r="O2472" s="116"/>
    </row>
    <row r="2473" spans="1:15" customFormat="1" ht="13.2">
      <c r="A2473" s="886"/>
      <c r="B2473" s="1045">
        <f t="shared" si="132"/>
        <v>0</v>
      </c>
      <c r="C2473" s="886"/>
      <c r="D2473" s="1046" t="str">
        <f>Elec_Rates!$D$808</f>
        <v>077# 75x50mm galvanised steel cable trunking</v>
      </c>
      <c r="O2473" s="116"/>
    </row>
    <row r="2474" spans="1:15" customFormat="1" ht="13.2">
      <c r="A2474" s="886"/>
      <c r="B2474" s="1045">
        <f t="shared" si="132"/>
        <v>0</v>
      </c>
      <c r="C2474" s="886"/>
      <c r="D2474" s="1046" t="str">
        <f>Elec_Rates!$D$822</f>
        <v>078# 75x75mm galvanised steel cable trunking</v>
      </c>
      <c r="O2474" s="116"/>
    </row>
    <row r="2475" spans="1:15" customFormat="1" ht="13.2">
      <c r="A2475" s="886"/>
      <c r="B2475" s="1045">
        <f t="shared" si="132"/>
        <v>0</v>
      </c>
      <c r="C2475" s="886"/>
      <c r="D2475" s="1046" t="str">
        <f>Elec_Rates!$D$837</f>
        <v>079# 100x75mm galvanised steel cable trunking</v>
      </c>
      <c r="O2475" s="116"/>
    </row>
    <row r="2476" spans="1:15" customFormat="1" ht="13.2">
      <c r="A2476" s="886"/>
      <c r="B2476" s="1045">
        <f t="shared" si="132"/>
        <v>0</v>
      </c>
      <c r="C2476" s="886"/>
      <c r="D2476" s="1046" t="str">
        <f>Elec_Rates!$D$851</f>
        <v>080# 150x75mm galvanised steel cable trunking</v>
      </c>
      <c r="O2476" s="116"/>
    </row>
    <row r="2477" spans="1:15" customFormat="1" ht="13.2">
      <c r="A2477" s="886"/>
      <c r="B2477" s="1045">
        <f t="shared" si="132"/>
        <v>0</v>
      </c>
      <c r="C2477" s="886"/>
      <c r="D2477" s="1046" t="str">
        <f>Elec_Rates!$D$865</f>
        <v>081# 200x100mm galvanised steel cable trunking</v>
      </c>
      <c r="O2477" s="116"/>
    </row>
    <row r="2478" spans="1:15" customFormat="1" ht="13.2">
      <c r="A2478" s="886"/>
      <c r="B2478" s="1045">
        <f t="shared" si="132"/>
        <v>0</v>
      </c>
      <c r="C2478" s="886"/>
      <c r="D2478" s="1046" t="str">
        <f>Elec_Rates!$D$879</f>
        <v>082# 250x75mm galvanised steel cable trunking</v>
      </c>
      <c r="O2478" s="116"/>
    </row>
    <row r="2479" spans="1:15" customFormat="1" ht="13.2">
      <c r="A2479" s="886"/>
      <c r="B2479" s="1045">
        <f t="shared" si="132"/>
        <v>0</v>
      </c>
      <c r="C2479" s="886"/>
      <c r="D2479" s="1046" t="str">
        <f>Elec_Rates!$D$893</f>
        <v>083# 400x100mm galvanised steel cable trunking</v>
      </c>
      <c r="O2479" s="116"/>
    </row>
    <row r="2480" spans="1:15" customFormat="1" ht="13.2">
      <c r="A2480" s="886"/>
      <c r="B2480" s="1045">
        <f t="shared" si="132"/>
        <v>0</v>
      </c>
      <c r="C2480" s="886"/>
      <c r="D2480" s="1046" t="str">
        <f>Elec_Rates!$D$907</f>
        <v>084# Bracket for 50-150mm cable tray/basket/trunking</v>
      </c>
      <c r="O2480" s="116"/>
    </row>
    <row r="2481" spans="1:37" customFormat="1" ht="13.2">
      <c r="A2481" s="886"/>
      <c r="B2481" s="1045">
        <f t="shared" si="132"/>
        <v>0</v>
      </c>
      <c r="C2481" s="886"/>
      <c r="D2481" s="1046" t="str">
        <f>Elec_Rates!$D$920</f>
        <v>085# Bracket for 200-300mm cable tray/basket</v>
      </c>
      <c r="O2481" s="116"/>
    </row>
    <row r="2482" spans="1:37" customFormat="1" ht="13.2">
      <c r="A2482" s="886"/>
      <c r="B2482" s="1045">
        <f t="shared" si="132"/>
        <v>0</v>
      </c>
      <c r="C2482" s="886"/>
      <c r="D2482" s="1046" t="str">
        <f>Elec_Rates!$D$933</f>
        <v>086# Bracket for 400-600mm cable tray/basket</v>
      </c>
      <c r="O2482" s="116"/>
    </row>
    <row r="2483" spans="1:37" customFormat="1" ht="13.2">
      <c r="A2483" s="886"/>
      <c r="B2483" s="1045">
        <f t="shared" si="132"/>
        <v>0</v>
      </c>
      <c r="C2483" s="886"/>
      <c r="D2483" s="1046" t="str">
        <f>Elec_Rates!$D$948</f>
        <v>087# Bracket for Cable containment in warehouse</v>
      </c>
      <c r="O2483" s="116"/>
    </row>
    <row r="2484" spans="1:37" customFormat="1" ht="13.2">
      <c r="A2484" s="886"/>
      <c r="B2484" s="1045">
        <f t="shared" si="132"/>
        <v>0</v>
      </c>
      <c r="C2484" s="886"/>
      <c r="D2484" s="1046" t="str">
        <f>Elec_Rates!D994</f>
        <v>088# Scissors lift in Warehouse for cable tray and trunking (Excluding bracketing)</v>
      </c>
      <c r="O2484" s="116"/>
    </row>
    <row r="2485" spans="1:37" customFormat="1" ht="13.2">
      <c r="A2485" s="886"/>
      <c r="B2485" s="1045">
        <f t="shared" si="132"/>
        <v>0</v>
      </c>
      <c r="C2485" s="886"/>
      <c r="D2485" s="1046" t="str">
        <f>Elec_Rates!$D$1005</f>
        <v>089# Galvanised Conduit point for Data at level 0</v>
      </c>
      <c r="O2485" s="116"/>
    </row>
    <row r="2486" spans="1:37" customFormat="1" ht="13.2">
      <c r="A2486" s="886"/>
      <c r="B2486" s="1045">
        <f t="shared" si="132"/>
        <v>0</v>
      </c>
      <c r="C2486" s="886"/>
      <c r="D2486" s="1046" t="str">
        <f>Elec_Rates!D1017</f>
        <v>090# LSZH Conduit point for Data</v>
      </c>
      <c r="O2486" s="116"/>
    </row>
    <row r="2487" spans="1:37" customFormat="1" ht="13.2">
      <c r="A2487" s="886"/>
      <c r="B2487" s="1045">
        <f t="shared" si="132"/>
        <v>0</v>
      </c>
      <c r="C2487" s="886"/>
      <c r="D2487" s="1046" t="str">
        <f>Elec_Rates!$D$1023</f>
        <v>091# Galvanised Conduit points for Fire alarm devices</v>
      </c>
      <c r="O2487" s="116"/>
    </row>
    <row r="2488" spans="1:37" customFormat="1" ht="13.2">
      <c r="A2488" s="886"/>
      <c r="B2488" s="1045">
        <f t="shared" si="132"/>
        <v>0</v>
      </c>
      <c r="C2488" s="886"/>
      <c r="D2488" s="1046" t="str">
        <f>Elec_Rates!$D$1029</f>
        <v>092# LSZH Conduit points for Fire alarm devices</v>
      </c>
      <c r="O2488" s="116"/>
    </row>
    <row r="2489" spans="1:37" customFormat="1" thickBot="1">
      <c r="A2489" s="1029"/>
      <c r="B2489" s="1030"/>
      <c r="C2489" s="1030"/>
      <c r="D2489" s="1032"/>
      <c r="E2489" s="1030"/>
      <c r="F2489" s="1030"/>
      <c r="G2489" s="1030"/>
      <c r="H2489" s="1030"/>
      <c r="I2489" s="1030"/>
      <c r="J2489" s="1030"/>
      <c r="K2489" s="1030"/>
      <c r="L2489" s="1030"/>
      <c r="M2489" s="1030"/>
      <c r="N2489" s="1030"/>
      <c r="O2489" s="1032"/>
      <c r="P2489" s="1030"/>
      <c r="Q2489" s="1030"/>
      <c r="R2489" s="1030"/>
      <c r="S2489" s="1030"/>
      <c r="T2489" s="1030"/>
      <c r="U2489" s="1030"/>
      <c r="V2489" s="1030"/>
      <c r="W2489" s="1030"/>
      <c r="X2489" s="1030"/>
      <c r="Y2489" s="1030"/>
      <c r="Z2489" s="1030"/>
      <c r="AA2489" s="1030"/>
      <c r="AB2489" s="1030"/>
      <c r="AC2489" s="1030"/>
      <c r="AD2489" s="1030"/>
      <c r="AE2489" s="1030"/>
      <c r="AF2489" s="1030"/>
      <c r="AG2489" s="1030"/>
      <c r="AH2489" s="1030"/>
      <c r="AI2489" s="1030"/>
      <c r="AJ2489" s="1030"/>
      <c r="AK2489" s="1030"/>
    </row>
    <row r="2490" spans="1:37" ht="14.4" thickTop="1">
      <c r="Q2490" s="36"/>
    </row>
  </sheetData>
  <sheetProtection formatCells="0" formatColumns="0" formatRows="0" insertColumns="0" insertRows="0" insertHyperlinks="0" deleteColumns="0" deleteRows="0" sort="0" autoFilter="0" pivotTables="0"/>
  <mergeCells count="3">
    <mergeCell ref="D378:T378"/>
    <mergeCell ref="D384:T384"/>
    <mergeCell ref="D20:T20"/>
  </mergeCells>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D12C-C284-4BD0-9990-55607FDE42D0}">
  <dimension ref="A1:G1663"/>
  <sheetViews>
    <sheetView topLeftCell="A1625" workbookViewId="0">
      <selection activeCell="E1556" sqref="E1556"/>
    </sheetView>
  </sheetViews>
  <sheetFormatPr defaultColWidth="9.33203125" defaultRowHeight="13.8"/>
  <cols>
    <col min="1" max="1" width="9.33203125" style="673"/>
    <col min="2" max="2" width="61" style="744" customWidth="1"/>
    <col min="3" max="4" width="9.44140625" style="623" customWidth="1"/>
    <col min="5" max="5" width="14" style="625" customWidth="1"/>
    <col min="6" max="6" width="15.44140625" style="626" customWidth="1"/>
    <col min="7" max="16384" width="9.33203125" style="627"/>
  </cols>
  <sheetData>
    <row r="1" spans="1:6">
      <c r="A1" s="623"/>
      <c r="B1" s="624"/>
    </row>
    <row r="2" spans="1:6" s="631" customFormat="1">
      <c r="A2" s="628"/>
      <c r="B2" s="629" t="s">
        <v>293</v>
      </c>
      <c r="C2" s="628"/>
      <c r="D2" s="628"/>
      <c r="E2" s="1238"/>
      <c r="F2" s="1238"/>
    </row>
    <row r="3" spans="1:6" s="631" customFormat="1">
      <c r="A3" s="628"/>
      <c r="B3" s="632"/>
      <c r="C3" s="628"/>
      <c r="D3" s="628"/>
      <c r="E3" s="633"/>
      <c r="F3" s="630"/>
    </row>
    <row r="4" spans="1:6" s="631" customFormat="1" ht="27.6">
      <c r="A4" s="634" t="s">
        <v>143</v>
      </c>
      <c r="B4" s="635" t="s">
        <v>198</v>
      </c>
      <c r="C4" s="636" t="s">
        <v>199</v>
      </c>
      <c r="D4" s="636" t="s">
        <v>200</v>
      </c>
      <c r="E4" s="637" t="s">
        <v>294</v>
      </c>
      <c r="F4" s="1122" t="s">
        <v>295</v>
      </c>
    </row>
    <row r="5" spans="1:6" s="631" customFormat="1">
      <c r="A5" s="638">
        <v>1</v>
      </c>
      <c r="B5" s="639" t="s">
        <v>296</v>
      </c>
      <c r="C5" s="640"/>
      <c r="D5" s="640"/>
      <c r="E5" s="641"/>
      <c r="F5" s="1123"/>
    </row>
    <row r="6" spans="1:6" s="631" customFormat="1" ht="27.6">
      <c r="A6" s="643"/>
      <c r="B6" s="644" t="s">
        <v>297</v>
      </c>
      <c r="C6" s="645"/>
      <c r="D6" s="646"/>
      <c r="E6" s="647"/>
      <c r="F6" s="1124"/>
    </row>
    <row r="7" spans="1:6" s="631" customFormat="1" ht="69">
      <c r="A7" s="643">
        <f ca="1">IFERROR(IF(OFFSET(A7,-1,0)&gt;0,OFFSET(A7,-1,0)+0.001,ERROR.TYPE(0)),IFERROR(IF(OFFSET(A7,-2,0)&gt;0,OFFSET(A7,-2,0)+0.001,ERROR.TYPE(0)),IFERROR(IF(OFFSET(A7,-3,0)&gt;0,OFFSET(A7,-3,0)+0.001,ERROR.TYPE(0)),IFERROR(IF(OFFSET(A7,-4,0)&gt;0,OFFSET(A7,-4,0)+0.001,ERROR.TYPE(0)),IFERROR(IF(OFFSET(A7,-5,0)&gt;0,OFFSET(A7,-5,0)+0.001,ERROR.TYPE(0)),IFERROR(IF(OFFSET(A7,-6,0)&gt;0,OFFSET(A7,-6,0)+0.001,ERROR.TYPE(0)),IFERROR(IF(OFFSET(A7,-7,0)&gt;0,OFFSET(A7,-7,0)+0.001,ERROR.TYPE(0)),IFERROR(IF(OFFSET(A7,-8,0)&gt;0,OFFSET(A7,-8,0)+0.001,ERROR.TYPE(0)),IFERROR(IF(OFFSET(A7,-9,0)&gt;0,OFFSET(A7,-9,0)+0.001,ERROR.TYPE(0)),IFERROR(IF(OFFSET(A7,-10,0)&gt;0,OFFSET(A7,-10,0)+0.001,ERROR.TYPE(0)),ERROR.TYPE(0)))))))))))</f>
        <v>1.0009999999999999</v>
      </c>
      <c r="B7" s="648" t="s">
        <v>298</v>
      </c>
      <c r="C7" s="646">
        <v>1</v>
      </c>
      <c r="D7" s="646" t="s">
        <v>299</v>
      </c>
      <c r="E7" s="649">
        <f>Elec_Est!E23</f>
        <v>2462.69</v>
      </c>
      <c r="F7" s="1125">
        <f>IFERROR($C7*E7,E7)</f>
        <v>2462.69</v>
      </c>
    </row>
    <row r="8" spans="1:6" s="631" customFormat="1" ht="262.2">
      <c r="A8" s="643">
        <f t="shared" ref="A8:A11" ca="1" si="0">IFERROR(IF(OFFSET(A8,-1,0)&gt;0,OFFSET(A8,-1,0)+0.001,ERROR.TYPE(0)),IFERROR(IF(OFFSET(A8,-2,0)&gt;0,OFFSET(A8,-2,0)+0.001,ERROR.TYPE(0)),IFERROR(IF(OFFSET(A8,-3,0)&gt;0,OFFSET(A8,-3,0)+0.001,ERROR.TYPE(0)),IFERROR(IF(OFFSET(A8,-4,0)&gt;0,OFFSET(A8,-4,0)+0.001,ERROR.TYPE(0)),IFERROR(IF(OFFSET(A8,-5,0)&gt;0,OFFSET(A8,-5,0)+0.001,ERROR.TYPE(0)),IFERROR(IF(OFFSET(A8,-6,0)&gt;0,OFFSET(A8,-6,0)+0.001,ERROR.TYPE(0)),IFERROR(IF(OFFSET(A8,-7,0)&gt;0,OFFSET(A8,-7,0)+0.001,ERROR.TYPE(0)),IFERROR(IF(OFFSET(A8,-8,0)&gt;0,OFFSET(A8,-8,0)+0.001,ERROR.TYPE(0)),IFERROR(IF(OFFSET(A8,-9,0)&gt;0,OFFSET(A8,-9,0)+0.001,ERROR.TYPE(0)),IFERROR(IF(OFFSET(A8,-10,0)&gt;0,OFFSET(A8,-10,0)+0.001,ERROR.TYPE(0)),ERROR.TYPE(0)))))))))))</f>
        <v>1.0019999999999998</v>
      </c>
      <c r="B8" s="651" t="s">
        <v>300</v>
      </c>
      <c r="C8" s="646">
        <v>1</v>
      </c>
      <c r="D8" s="646" t="s">
        <v>299</v>
      </c>
      <c r="E8" s="649" t="str">
        <f>Elec_Est!Q29</f>
        <v>Included</v>
      </c>
      <c r="F8" s="1125"/>
    </row>
    <row r="9" spans="1:6" s="631" customFormat="1" ht="82.8">
      <c r="A9" s="643">
        <f t="shared" ca="1" si="0"/>
        <v>1.0029999999999997</v>
      </c>
      <c r="B9" s="648" t="s">
        <v>301</v>
      </c>
      <c r="C9" s="646">
        <v>1</v>
      </c>
      <c r="D9" s="646" t="s">
        <v>299</v>
      </c>
      <c r="E9" s="649" t="str">
        <f>Elec_Est!Q39</f>
        <v>Refer to covering letter</v>
      </c>
      <c r="F9" s="1125"/>
    </row>
    <row r="10" spans="1:6" s="631" customFormat="1" ht="82.8">
      <c r="A10" s="643">
        <f t="shared" ca="1" si="0"/>
        <v>1.0039999999999996</v>
      </c>
      <c r="B10" s="648" t="s">
        <v>302</v>
      </c>
      <c r="C10" s="646">
        <v>1</v>
      </c>
      <c r="D10" s="646" t="s">
        <v>299</v>
      </c>
      <c r="E10" s="649">
        <f>Elec_Est!E49</f>
        <v>4369.3</v>
      </c>
      <c r="F10" s="1125">
        <f t="shared" ref="F10" si="1">IFERROR($C10*E10,E10)</f>
        <v>4369.3</v>
      </c>
    </row>
    <row r="11" spans="1:6" s="631" customFormat="1" ht="55.2">
      <c r="A11" s="643">
        <f t="shared" ca="1" si="0"/>
        <v>1.0049999999999994</v>
      </c>
      <c r="B11" s="648" t="s">
        <v>303</v>
      </c>
      <c r="C11" s="646">
        <v>1</v>
      </c>
      <c r="D11" s="646" t="s">
        <v>299</v>
      </c>
      <c r="E11" s="649" t="str">
        <f>Elec_Est!Q58</f>
        <v>Included</v>
      </c>
      <c r="F11" s="1125"/>
    </row>
    <row r="12" spans="1:6" s="631" customFormat="1">
      <c r="A12" s="638"/>
      <c r="B12" s="639" t="s">
        <v>304</v>
      </c>
      <c r="C12" s="1456" t="s">
        <v>305</v>
      </c>
      <c r="D12" s="1457"/>
      <c r="E12" s="652"/>
      <c r="F12" s="1123">
        <f>SUM(F7:F11)</f>
        <v>6831.99</v>
      </c>
    </row>
    <row r="13" spans="1:6" s="631" customFormat="1">
      <c r="A13" s="653"/>
      <c r="B13" s="632"/>
      <c r="C13" s="654"/>
      <c r="D13" s="654"/>
      <c r="E13" s="655"/>
      <c r="F13" s="1126"/>
    </row>
    <row r="14" spans="1:6" s="631" customFormat="1">
      <c r="A14" s="653"/>
      <c r="B14" s="632"/>
      <c r="C14" s="654"/>
      <c r="D14" s="654"/>
      <c r="E14" s="655"/>
      <c r="F14" s="1126"/>
    </row>
    <row r="15" spans="1:6" s="631" customFormat="1" ht="27.6">
      <c r="A15" s="634" t="s">
        <v>143</v>
      </c>
      <c r="B15" s="635" t="s">
        <v>198</v>
      </c>
      <c r="C15" s="636" t="s">
        <v>199</v>
      </c>
      <c r="D15" s="636" t="s">
        <v>200</v>
      </c>
      <c r="E15" s="637" t="s">
        <v>294</v>
      </c>
      <c r="F15" s="1122" t="s">
        <v>295</v>
      </c>
    </row>
    <row r="16" spans="1:6" s="631" customFormat="1" ht="82.8">
      <c r="A16" s="643">
        <f t="shared" ref="A16:A23" ca="1" si="2">IFERROR(IF(OFFSET(A16,-1,0)&gt;0,OFFSET(A16,-1,0)+0.001,ERROR.TYPE(0)),IFERROR(IF(OFFSET(A16,-2,0)&gt;0,OFFSET(A16,-2,0)+0.001,ERROR.TYPE(0)),IFERROR(IF(OFFSET(A16,-3,0)&gt;0,OFFSET(A16,-3,0)+0.001,ERROR.TYPE(0)),IFERROR(IF(OFFSET(A16,-4,0)&gt;0,OFFSET(A16,-4,0)+0.001,ERROR.TYPE(0)),IFERROR(IF(OFFSET(A16,-5,0)&gt;0,OFFSET(A16,-5,0)+0.001,ERROR.TYPE(0)),IFERROR(IF(OFFSET(A16,-6,0)&gt;0,OFFSET(A16,-6,0)+0.001,ERROR.TYPE(0)),IFERROR(IF(OFFSET(A16,-7,0)&gt;0,OFFSET(A16,-7,0)+0.001,ERROR.TYPE(0)),IFERROR(IF(OFFSET(A16,-8,0)&gt;0,OFFSET(A16,-8,0)+0.001,ERROR.TYPE(0)),IFERROR(IF(OFFSET(A16,-9,0)&gt;0,OFFSET(A16,-9,0)+0.001,ERROR.TYPE(0)),IFERROR(IF(OFFSET(A16,-10,0)&gt;0,OFFSET(A16,-10,0)+0.001,ERROR.TYPE(0)),ERROR.TYPE(0)))))))))))</f>
        <v>1.0059999999999993</v>
      </c>
      <c r="B16" s="648" t="s">
        <v>306</v>
      </c>
      <c r="C16" s="646">
        <v>1</v>
      </c>
      <c r="D16" s="646" t="s">
        <v>299</v>
      </c>
      <c r="E16" s="649" t="str">
        <f>Elec_Est!Q70</f>
        <v>Included</v>
      </c>
      <c r="F16" s="1125"/>
    </row>
    <row r="17" spans="1:6" s="631" customFormat="1" ht="69">
      <c r="A17" s="643">
        <f t="shared" ca="1" si="2"/>
        <v>1.0069999999999992</v>
      </c>
      <c r="B17" s="648" t="s">
        <v>307</v>
      </c>
      <c r="C17" s="646">
        <v>1</v>
      </c>
      <c r="D17" s="646" t="s">
        <v>299</v>
      </c>
      <c r="E17" s="649" t="str">
        <f>Elec_Est!Q76</f>
        <v>By Client</v>
      </c>
      <c r="F17" s="1125"/>
    </row>
    <row r="18" spans="1:6" s="631" customFormat="1" ht="55.2">
      <c r="A18" s="643">
        <f t="shared" ca="1" si="2"/>
        <v>1.0079999999999991</v>
      </c>
      <c r="B18" s="648" t="s">
        <v>308</v>
      </c>
      <c r="C18" s="646">
        <v>1</v>
      </c>
      <c r="D18" s="646" t="s">
        <v>299</v>
      </c>
      <c r="E18" s="649" t="str">
        <f>Elec_Est!Q82</f>
        <v>To be advised</v>
      </c>
      <c r="F18" s="1125"/>
    </row>
    <row r="19" spans="1:6" s="631" customFormat="1" ht="138">
      <c r="A19" s="643">
        <f t="shared" ca="1" si="2"/>
        <v>1.008999999999999</v>
      </c>
      <c r="B19" s="648" t="s">
        <v>309</v>
      </c>
      <c r="C19" s="646">
        <v>1</v>
      </c>
      <c r="D19" s="646" t="s">
        <v>299</v>
      </c>
      <c r="E19" s="649">
        <f>Elec_Est!E88</f>
        <v>4320.24</v>
      </c>
      <c r="F19" s="1125">
        <f t="shared" ref="F19" si="3">IFERROR($C19*E19,E19)</f>
        <v>4320.24</v>
      </c>
    </row>
    <row r="20" spans="1:6" s="631" customFormat="1" ht="55.2">
      <c r="A20" s="643">
        <f t="shared" ca="1" si="2"/>
        <v>1.0099999999999989</v>
      </c>
      <c r="B20" s="656" t="s">
        <v>310</v>
      </c>
      <c r="C20" s="646">
        <v>1</v>
      </c>
      <c r="D20" s="646" t="s">
        <v>299</v>
      </c>
      <c r="E20" s="649" t="str">
        <f>Elec_Est!Q94</f>
        <v>Included</v>
      </c>
      <c r="F20" s="1125"/>
    </row>
    <row r="21" spans="1:6" s="658" customFormat="1" ht="27.6">
      <c r="A21" s="643">
        <f t="shared" ca="1" si="2"/>
        <v>1.0109999999999988</v>
      </c>
      <c r="B21" s="657" t="s">
        <v>311</v>
      </c>
      <c r="C21" s="646">
        <v>1</v>
      </c>
      <c r="D21" s="646" t="s">
        <v>299</v>
      </c>
      <c r="E21" s="649" t="str">
        <f>Elec_Est!Q100</f>
        <v>Included</v>
      </c>
      <c r="F21" s="1125"/>
    </row>
    <row r="22" spans="1:6" s="631" customFormat="1" ht="41.4">
      <c r="A22" s="643">
        <f t="shared" ca="1" si="2"/>
        <v>1.0119999999999987</v>
      </c>
      <c r="B22" s="656" t="s">
        <v>312</v>
      </c>
      <c r="C22" s="646">
        <v>1</v>
      </c>
      <c r="D22" s="646" t="s">
        <v>299</v>
      </c>
      <c r="E22" s="649" t="str">
        <f>Elec_Est!Q106</f>
        <v>Refer to covering letter</v>
      </c>
      <c r="F22" s="1125"/>
    </row>
    <row r="23" spans="1:6" s="631" customFormat="1" ht="41.4">
      <c r="A23" s="643">
        <f t="shared" ca="1" si="2"/>
        <v>1.0129999999999986</v>
      </c>
      <c r="B23" s="656" t="s">
        <v>313</v>
      </c>
      <c r="C23" s="646">
        <v>1</v>
      </c>
      <c r="D23" s="646" t="s">
        <v>299</v>
      </c>
      <c r="E23" s="649" t="str">
        <f>Elec_Est!Q112</f>
        <v>Refer to covering letter</v>
      </c>
      <c r="F23" s="1125"/>
    </row>
    <row r="24" spans="1:6" s="631" customFormat="1">
      <c r="A24" s="638"/>
      <c r="B24" s="639" t="s">
        <v>314</v>
      </c>
      <c r="C24" s="1456" t="s">
        <v>305</v>
      </c>
      <c r="D24" s="1457"/>
      <c r="E24" s="652"/>
      <c r="F24" s="1123">
        <f>SUM(F16:F23)</f>
        <v>4320.24</v>
      </c>
    </row>
    <row r="25" spans="1:6" s="631" customFormat="1">
      <c r="A25" s="653"/>
      <c r="B25" s="632"/>
      <c r="C25" s="654"/>
      <c r="D25" s="654"/>
      <c r="E25" s="655"/>
      <c r="F25" s="1126"/>
    </row>
    <row r="26" spans="1:6" s="631" customFormat="1">
      <c r="A26" s="638"/>
      <c r="B26" s="639" t="s">
        <v>315</v>
      </c>
      <c r="C26" s="1456" t="s">
        <v>305</v>
      </c>
      <c r="D26" s="1457"/>
      <c r="E26" s="659"/>
      <c r="F26" s="1123">
        <f>F24+F12</f>
        <v>11152.23</v>
      </c>
    </row>
    <row r="27" spans="1:6" s="631" customFormat="1">
      <c r="A27" s="660"/>
      <c r="B27" s="629"/>
      <c r="C27" s="661"/>
      <c r="D27" s="654"/>
      <c r="E27" s="662"/>
      <c r="F27" s="1127"/>
    </row>
    <row r="28" spans="1:6" s="631" customFormat="1">
      <c r="A28" s="1263"/>
      <c r="B28" s="1264"/>
      <c r="C28" s="1263"/>
      <c r="D28" s="1263"/>
      <c r="E28" s="1265"/>
      <c r="F28" s="1266"/>
    </row>
    <row r="29" spans="1:6" s="631" customFormat="1" ht="27.6">
      <c r="A29" s="1267" t="s">
        <v>143</v>
      </c>
      <c r="B29" s="1268" t="s">
        <v>198</v>
      </c>
      <c r="C29" s="1269" t="s">
        <v>199</v>
      </c>
      <c r="D29" s="1269" t="s">
        <v>200</v>
      </c>
      <c r="E29" s="1270" t="s">
        <v>294</v>
      </c>
      <c r="F29" s="1271" t="s">
        <v>295</v>
      </c>
    </row>
    <row r="30" spans="1:6" s="631" customFormat="1">
      <c r="A30" s="1272">
        <v>2</v>
      </c>
      <c r="B30" s="1273" t="s">
        <v>316</v>
      </c>
      <c r="C30" s="1274"/>
      <c r="D30" s="1274"/>
      <c r="E30" s="1275"/>
      <c r="F30" s="1276"/>
    </row>
    <row r="31" spans="1:6" s="631" customFormat="1">
      <c r="A31" s="1277"/>
      <c r="B31" s="1273" t="s">
        <v>317</v>
      </c>
      <c r="C31" s="1278"/>
      <c r="D31" s="1278"/>
      <c r="E31" s="1279"/>
      <c r="F31" s="1280"/>
    </row>
    <row r="32" spans="1:6" s="631" customFormat="1" ht="55.2">
      <c r="A32" s="1281"/>
      <c r="B32" s="1282" t="s">
        <v>318</v>
      </c>
      <c r="C32" s="1281"/>
      <c r="D32" s="1281"/>
      <c r="E32" s="1283"/>
      <c r="F32" s="1280"/>
    </row>
    <row r="33" spans="1:6" s="631" customFormat="1">
      <c r="A33" s="1284">
        <f t="shared" ref="A33:A38" ca="1" si="4">IFERROR(IF(OFFSET(A33,-1,0,1,1)&gt;0,OFFSET(A33,-1,0,1,1)+0.001,ERROR.TYPE(0)),IFERROR(IF(OFFSET(A33,-2,0,1,1)&gt;0,OFFSET(A33,-2,0,1,1)+0.001,ERROR.TYPE(0)),IFERROR(IF(OFFSET(A33,-3,0,1,1)&gt;0,OFFSET(A33,-3,0,1,1)+0.001,ERROR.TYPE(0)),IFERROR(IF(OFFSET(A33,-4,0,1,1)&gt;0,OFFSET(A33,-4,0,1,1)+0.001,ERROR.TYPE(0)),IFERROR(IF(OFFSET(A33,-5,0,1,1)&gt;0,OFFSET(A33,-5,0,1,1)+0.001,ERROR.TYPE(0)),IFERROR(IF(OFFSET(A33,-6,0,1,1)&gt;0,OFFSET(A33,-6,0,1,1)+0.001,ERROR.TYPE(0)),IFERROR(IF(OFFSET(A33,-7,0,1,1)&gt;0,OFFSET(A33,-7,0,1,1)+0.001,ERROR.TYPE(0)),IFERROR(IF(OFFSET(A33,-8,0,1,1)&gt;0,OFFSET(A33,-8,0,1,1)+0.001,ERROR.TYPE(0)),IFERROR(IF(OFFSET(A33,-9,0,1,1)&gt;0,OFFSET(A33,-9,0,1,1)+0.001,ERROR.TYPE(0)),IFERROR(IF(OFFSET(A33,-10,0,1,1)&gt;0,OFFSET(A33,-10,0,1,1)+0.001,ERROR.TYPE(0)),ERROR.TYPE(0)))))))))))</f>
        <v>2.0009999999999999</v>
      </c>
      <c r="B33" s="1285" t="s">
        <v>319</v>
      </c>
      <c r="C33" s="1286">
        <v>85</v>
      </c>
      <c r="D33" s="1278" t="s">
        <v>320</v>
      </c>
      <c r="E33" s="1279"/>
      <c r="F33" s="1280">
        <f t="shared" ref="F33:F38" si="5">IFERROR($C33*E33,E33)</f>
        <v>0</v>
      </c>
    </row>
    <row r="34" spans="1:6" s="631" customFormat="1">
      <c r="A34" s="1284">
        <f t="shared" ca="1" si="4"/>
        <v>2.0019999999999998</v>
      </c>
      <c r="B34" s="1285" t="s">
        <v>321</v>
      </c>
      <c r="C34" s="1286">
        <v>360</v>
      </c>
      <c r="D34" s="1278" t="s">
        <v>320</v>
      </c>
      <c r="E34" s="1279"/>
      <c r="F34" s="1280">
        <f t="shared" si="5"/>
        <v>0</v>
      </c>
    </row>
    <row r="35" spans="1:6" s="631" customFormat="1">
      <c r="A35" s="1284">
        <f t="shared" ca="1" si="4"/>
        <v>2.0029999999999997</v>
      </c>
      <c r="B35" s="1285" t="s">
        <v>322</v>
      </c>
      <c r="C35" s="1286">
        <v>135</v>
      </c>
      <c r="D35" s="1278" t="s">
        <v>320</v>
      </c>
      <c r="E35" s="1279"/>
      <c r="F35" s="1280">
        <f t="shared" si="5"/>
        <v>0</v>
      </c>
    </row>
    <row r="36" spans="1:6" s="631" customFormat="1">
      <c r="A36" s="1284">
        <f t="shared" ca="1" si="4"/>
        <v>2.0039999999999996</v>
      </c>
      <c r="B36" s="1285" t="s">
        <v>323</v>
      </c>
      <c r="C36" s="1286">
        <v>640</v>
      </c>
      <c r="D36" s="1278" t="s">
        <v>320</v>
      </c>
      <c r="E36" s="1279"/>
      <c r="F36" s="1280">
        <f t="shared" si="5"/>
        <v>0</v>
      </c>
    </row>
    <row r="37" spans="1:6" s="631" customFormat="1">
      <c r="A37" s="1284">
        <f t="shared" ca="1" si="4"/>
        <v>2.0049999999999994</v>
      </c>
      <c r="B37" s="1285" t="s">
        <v>324</v>
      </c>
      <c r="C37" s="1286">
        <v>50</v>
      </c>
      <c r="D37" s="1278" t="s">
        <v>320</v>
      </c>
      <c r="E37" s="1279"/>
      <c r="F37" s="1280">
        <f t="shared" si="5"/>
        <v>0</v>
      </c>
    </row>
    <row r="38" spans="1:6" s="631" customFormat="1">
      <c r="A38" s="1284">
        <f t="shared" ca="1" si="4"/>
        <v>2.0059999999999993</v>
      </c>
      <c r="B38" s="1285" t="s">
        <v>325</v>
      </c>
      <c r="C38" s="1286">
        <v>75</v>
      </c>
      <c r="D38" s="1278" t="s">
        <v>320</v>
      </c>
      <c r="E38" s="1279"/>
      <c r="F38" s="1280">
        <f t="shared" si="5"/>
        <v>0</v>
      </c>
    </row>
    <row r="39" spans="1:6" s="631" customFormat="1">
      <c r="A39" s="1277"/>
      <c r="B39" s="1273" t="s">
        <v>326</v>
      </c>
      <c r="C39" s="1278"/>
      <c r="D39" s="1278"/>
      <c r="E39" s="1279"/>
      <c r="F39" s="1280"/>
    </row>
    <row r="40" spans="1:6" s="631" customFormat="1" ht="55.2">
      <c r="A40" s="1284"/>
      <c r="B40" s="1282" t="s">
        <v>327</v>
      </c>
      <c r="C40" s="1287"/>
      <c r="D40" s="1281"/>
      <c r="E40" s="1283"/>
      <c r="F40" s="1280"/>
    </row>
    <row r="41" spans="1:6" s="631" customFormat="1">
      <c r="A41" s="1284">
        <f t="shared" ref="A41:A54" ca="1" si="6">IFERROR(IF(OFFSET(A41,-1,0,1,1)&gt;0,OFFSET(A41,-1,0,1,1)+0.001,ERROR.TYPE(0)),IFERROR(IF(OFFSET(A41,-2,0,1,1)&gt;0,OFFSET(A41,-2,0,1,1)+0.001,ERROR.TYPE(0)),IFERROR(IF(OFFSET(A41,-3,0,1,1)&gt;0,OFFSET(A41,-3,0,1,1)+0.001,ERROR.TYPE(0)),IFERROR(IF(OFFSET(A41,-4,0,1,1)&gt;0,OFFSET(A41,-4,0,1,1)+0.001,ERROR.TYPE(0)),IFERROR(IF(OFFSET(A41,-5,0,1,1)&gt;0,OFFSET(A41,-5,0,1,1)+0.001,ERROR.TYPE(0)),IFERROR(IF(OFFSET(A41,-6,0,1,1)&gt;0,OFFSET(A41,-6,0,1,1)+0.001,ERROR.TYPE(0)),IFERROR(IF(OFFSET(A41,-7,0,1,1)&gt;0,OFFSET(A41,-7,0,1,1)+0.001,ERROR.TYPE(0)),IFERROR(IF(OFFSET(A41,-8,0,1,1)&gt;0,OFFSET(A41,-8,0,1,1)+0.001,ERROR.TYPE(0)),IFERROR(IF(OFFSET(A41,-9,0,1,1)&gt;0,OFFSET(A41,-9,0,1,1)+0.001,ERROR.TYPE(0)),IFERROR(IF(OFFSET(A41,-10,0,1,1)&gt;0,OFFSET(A41,-10,0,1,1)+0.001,ERROR.TYPE(0)),ERROR.TYPE(0)))))))))))</f>
        <v>2.0069999999999992</v>
      </c>
      <c r="B41" s="1285" t="s">
        <v>328</v>
      </c>
      <c r="C41" s="1286">
        <v>2</v>
      </c>
      <c r="D41" s="1278" t="s">
        <v>329</v>
      </c>
      <c r="E41" s="1279"/>
      <c r="F41" s="1280">
        <f t="shared" ref="F41:F46" si="7">IFERROR($C41*E41,E41)</f>
        <v>0</v>
      </c>
    </row>
    <row r="42" spans="1:6" s="631" customFormat="1">
      <c r="A42" s="1284">
        <f t="shared" ca="1" si="6"/>
        <v>2.0079999999999991</v>
      </c>
      <c r="B42" s="1285" t="s">
        <v>330</v>
      </c>
      <c r="C42" s="1286">
        <v>24</v>
      </c>
      <c r="D42" s="1278" t="s">
        <v>329</v>
      </c>
      <c r="E42" s="1279"/>
      <c r="F42" s="1280">
        <f t="shared" si="7"/>
        <v>0</v>
      </c>
    </row>
    <row r="43" spans="1:6" s="631" customFormat="1">
      <c r="A43" s="1284">
        <f t="shared" ca="1" si="6"/>
        <v>2.008999999999999</v>
      </c>
      <c r="B43" s="1285" t="s">
        <v>331</v>
      </c>
      <c r="C43" s="1286">
        <v>2</v>
      </c>
      <c r="D43" s="1278" t="s">
        <v>329</v>
      </c>
      <c r="E43" s="1279"/>
      <c r="F43" s="1280">
        <f t="shared" si="7"/>
        <v>0</v>
      </c>
    </row>
    <row r="44" spans="1:6" s="631" customFormat="1">
      <c r="A44" s="1284">
        <f t="shared" ca="1" si="6"/>
        <v>2.0099999999999989</v>
      </c>
      <c r="B44" s="1285" t="s">
        <v>332</v>
      </c>
      <c r="C44" s="1286">
        <v>6</v>
      </c>
      <c r="D44" s="1278" t="s">
        <v>329</v>
      </c>
      <c r="E44" s="1279"/>
      <c r="F44" s="1280">
        <f t="shared" si="7"/>
        <v>0</v>
      </c>
    </row>
    <row r="45" spans="1:6" s="631" customFormat="1">
      <c r="A45" s="1284">
        <f t="shared" ca="1" si="6"/>
        <v>2.0109999999999988</v>
      </c>
      <c r="B45" s="1285" t="s">
        <v>333</v>
      </c>
      <c r="C45" s="1286">
        <v>3</v>
      </c>
      <c r="D45" s="1278" t="s">
        <v>329</v>
      </c>
      <c r="E45" s="1279"/>
      <c r="F45" s="1280">
        <f t="shared" si="7"/>
        <v>0</v>
      </c>
    </row>
    <row r="46" spans="1:6" s="631" customFormat="1">
      <c r="A46" s="1284">
        <f t="shared" ca="1" si="6"/>
        <v>2.0119999999999987</v>
      </c>
      <c r="B46" s="1285" t="s">
        <v>334</v>
      </c>
      <c r="C46" s="1286">
        <v>1</v>
      </c>
      <c r="D46" s="1278" t="s">
        <v>329</v>
      </c>
      <c r="E46" s="1279"/>
      <c r="F46" s="1280">
        <f t="shared" si="7"/>
        <v>0</v>
      </c>
    </row>
    <row r="47" spans="1:6" s="631" customFormat="1">
      <c r="A47" s="1284">
        <f ca="1">IFERROR(IF(OFFSET(A47,-1,0,1,1)&gt;0,OFFSET(A47,-1,0,1,1)+0.001,ERROR.TYPE(0)),IFERROR(IF(OFFSET(A47,-2,0,1,1)&gt;0,OFFSET(A47,-2,0,1,1)+0.001,ERROR.TYPE(0)),IFERROR(IF(OFFSET(A47,-3,0,1,1)&gt;0,OFFSET(A47,-3,0,1,1)+0.001,ERROR.TYPE(0)),IFERROR(IF(OFFSET(A47,-4,0,1,1)&gt;0,OFFSET(A47,-4,0,1,1)+0.001,ERROR.TYPE(0)),IFERROR(IF(OFFSET(A47,-5,0,1,1)&gt;0,OFFSET(A47,-5,0,1,1)+0.001,ERROR.TYPE(0)),IFERROR(IF(OFFSET(A47,-6,0,1,1)&gt;0,OFFSET(A47,-6,0,1,1)+0.001,ERROR.TYPE(0)),IFERROR(IF(OFFSET(A47,-7,0,1,1)&gt;0,OFFSET(A47,-7,0,1,1)+0.001,ERROR.TYPE(0)),IFERROR(IF(OFFSET(A47,-8,0,1,1)&gt;0,OFFSET(A47,-8,0,1,1)+0.001,ERROR.TYPE(0)),IFERROR(IF(OFFSET(A47,-9,0,1,1)&gt;0,OFFSET(A47,-9,0,1,1)+0.001,ERROR.TYPE(0)),IFERROR(IF(OFFSET(A47,-10,0,1,1)&gt;0,OFFSET(A47,-10,0,1,1)+0.001,ERROR.TYPE(0)),ERROR.TYPE(0)))))))))))</f>
        <v>2.0129999999999986</v>
      </c>
      <c r="B47" s="1285" t="s">
        <v>335</v>
      </c>
      <c r="C47" s="1286">
        <v>1</v>
      </c>
      <c r="D47" s="1278" t="s">
        <v>329</v>
      </c>
      <c r="E47" s="1279"/>
      <c r="F47" s="1280">
        <f>IFERROR($C47*E47,E47)</f>
        <v>0</v>
      </c>
    </row>
    <row r="48" spans="1:6" s="631" customFormat="1">
      <c r="A48" s="1284">
        <f t="shared" ca="1" si="6"/>
        <v>2.0139999999999985</v>
      </c>
      <c r="B48" s="1285" t="s">
        <v>336</v>
      </c>
      <c r="C48" s="1286">
        <v>2</v>
      </c>
      <c r="D48" s="1278" t="s">
        <v>329</v>
      </c>
      <c r="E48" s="1279"/>
      <c r="F48" s="1280">
        <f t="shared" ref="F48:F54" si="8">IFERROR($C48*E48,E48)</f>
        <v>0</v>
      </c>
    </row>
    <row r="49" spans="1:6" s="631" customFormat="1">
      <c r="A49" s="1284">
        <f t="shared" ca="1" si="6"/>
        <v>2.0149999999999983</v>
      </c>
      <c r="B49" s="1285" t="s">
        <v>337</v>
      </c>
      <c r="C49" s="1286">
        <v>6</v>
      </c>
      <c r="D49" s="1278" t="s">
        <v>329</v>
      </c>
      <c r="E49" s="1279"/>
      <c r="F49" s="1280">
        <f t="shared" si="8"/>
        <v>0</v>
      </c>
    </row>
    <row r="50" spans="1:6" s="631" customFormat="1">
      <c r="A50" s="1284">
        <f t="shared" ca="1" si="6"/>
        <v>2.0159999999999982</v>
      </c>
      <c r="B50" s="1285" t="s">
        <v>338</v>
      </c>
      <c r="C50" s="1286">
        <v>1</v>
      </c>
      <c r="D50" s="1278" t="s">
        <v>329</v>
      </c>
      <c r="E50" s="1279"/>
      <c r="F50" s="1280">
        <f t="shared" si="8"/>
        <v>0</v>
      </c>
    </row>
    <row r="51" spans="1:6" s="631" customFormat="1">
      <c r="A51" s="1284">
        <f t="shared" ca="1" si="6"/>
        <v>2.0169999999999981</v>
      </c>
      <c r="B51" s="1285" t="s">
        <v>339</v>
      </c>
      <c r="C51" s="1286">
        <v>1</v>
      </c>
      <c r="D51" s="1278" t="s">
        <v>329</v>
      </c>
      <c r="E51" s="1279"/>
      <c r="F51" s="1280">
        <f t="shared" si="8"/>
        <v>0</v>
      </c>
    </row>
    <row r="52" spans="1:6" s="631" customFormat="1">
      <c r="A52" s="1284">
        <f t="shared" ca="1" si="6"/>
        <v>2.017999999999998</v>
      </c>
      <c r="B52" s="1285" t="s">
        <v>340</v>
      </c>
      <c r="C52" s="1286">
        <v>1</v>
      </c>
      <c r="D52" s="1278" t="s">
        <v>329</v>
      </c>
      <c r="E52" s="1279"/>
      <c r="F52" s="1280">
        <f t="shared" si="8"/>
        <v>0</v>
      </c>
    </row>
    <row r="53" spans="1:6" s="631" customFormat="1">
      <c r="A53" s="1284">
        <f t="shared" ca="1" si="6"/>
        <v>2.0189999999999979</v>
      </c>
      <c r="B53" s="1285" t="s">
        <v>341</v>
      </c>
      <c r="C53" s="1286">
        <v>2</v>
      </c>
      <c r="D53" s="1278" t="s">
        <v>329</v>
      </c>
      <c r="E53" s="1279"/>
      <c r="F53" s="1280">
        <f t="shared" si="8"/>
        <v>0</v>
      </c>
    </row>
    <row r="54" spans="1:6" s="631" customFormat="1">
      <c r="A54" s="1284">
        <f t="shared" ca="1" si="6"/>
        <v>2.0199999999999978</v>
      </c>
      <c r="B54" s="1285" t="s">
        <v>342</v>
      </c>
      <c r="C54" s="1286">
        <v>1</v>
      </c>
      <c r="D54" s="1278" t="s">
        <v>329</v>
      </c>
      <c r="E54" s="1279"/>
      <c r="F54" s="1280">
        <f t="shared" si="8"/>
        <v>0</v>
      </c>
    </row>
    <row r="55" spans="1:6" s="631" customFormat="1">
      <c r="A55" s="1284"/>
      <c r="B55" s="1288" t="s">
        <v>343</v>
      </c>
      <c r="C55" s="1289"/>
      <c r="D55" s="1290"/>
      <c r="E55" s="1291"/>
      <c r="F55" s="1280"/>
    </row>
    <row r="56" spans="1:6" s="631" customFormat="1" ht="55.2">
      <c r="A56" s="1292"/>
      <c r="B56" s="1293" t="s">
        <v>344</v>
      </c>
      <c r="C56" s="1286"/>
      <c r="D56" s="1278"/>
      <c r="E56" s="1294"/>
      <c r="F56" s="1295"/>
    </row>
    <row r="57" spans="1:6" s="631" customFormat="1">
      <c r="A57" s="1284">
        <f ca="1">IFERROR(IF(OFFSET(A57,-1,0)&gt;0,OFFSET(A57,-1,0)+0.001,ERROR.TYPE(0)),IFERROR(IF(OFFSET(A57,-2,0)&gt;0,OFFSET(A57,-2,0)+0.001,ERROR.TYPE(0)),IFERROR(IF(OFFSET(A57,-3,0)&gt;0,OFFSET(A57,-3,0)+0.001,ERROR.TYPE(0)),IFERROR(IF(OFFSET(A57,-4,0)&gt;0,OFFSET(A57,-4,0)+0.001,ERROR.TYPE(0)),IFERROR(IF(OFFSET(A57,-5,0)&gt;0,OFFSET(A57,-5,0)+0.001,ERROR.TYPE(0)),IFERROR(IF(OFFSET(A57,-6,0)&gt;0,OFFSET(A57,-6,0)+0.001,ERROR.TYPE(0)),IFERROR(IF(OFFSET(A57,-7,0)&gt;0,OFFSET(A57,-7,0)+0.001,ERROR.TYPE(0)),IFERROR(IF(OFFSET(A57,-8,0)&gt;0,OFFSET(A57,-8,0)+0.001,ERROR.TYPE(0)),IFERROR(IF(OFFSET(A57,-9,0)&gt;0,OFFSET(A57,-9,0)+0.001,ERROR.TYPE(0)),IFERROR(IF(OFFSET(A57,-10,0)&gt;0,OFFSET(A57,-10,0)+0.001,ERROR.TYPE(0)),ERROR.TYPE(0)))))))))))</f>
        <v>2.0209999999999977</v>
      </c>
      <c r="B57" s="1296" t="s">
        <v>345</v>
      </c>
      <c r="C57" s="1286">
        <v>3</v>
      </c>
      <c r="D57" s="1278" t="s">
        <v>329</v>
      </c>
      <c r="E57" s="1279"/>
      <c r="F57" s="1280">
        <f>IFERROR($C57*E57,E57)</f>
        <v>0</v>
      </c>
    </row>
    <row r="58" spans="1:6" s="631" customFormat="1">
      <c r="A58" s="1284"/>
      <c r="B58" s="1293" t="s">
        <v>346</v>
      </c>
      <c r="C58" s="1286"/>
      <c r="D58" s="1278" t="s">
        <v>7</v>
      </c>
      <c r="E58" s="1294"/>
      <c r="F58" s="1280"/>
    </row>
    <row r="59" spans="1:6" s="631" customFormat="1">
      <c r="A59" s="1284">
        <f ca="1">IFERROR(IF(OFFSET(A59,-1,0)&gt;0,OFFSET(A59,-1,0)+0.001,ERROR.TYPE(0)),IFERROR(IF(OFFSET(A59,-2,0)&gt;0,OFFSET(A59,-2,0)+0.001,ERROR.TYPE(0)),IFERROR(IF(OFFSET(A59,-3,0)&gt;0,OFFSET(A59,-3,0)+0.001,ERROR.TYPE(0)),IFERROR(IF(OFFSET(A59,-4,0)&gt;0,OFFSET(A59,-4,0)+0.001,ERROR.TYPE(0)),IFERROR(IF(OFFSET(A59,-5,0)&gt;0,OFFSET(A59,-5,0)+0.001,ERROR.TYPE(0)),IFERROR(IF(OFFSET(A59,-6,0)&gt;0,OFFSET(A59,-6,0)+0.001,ERROR.TYPE(0)),IFERROR(IF(OFFSET(A59,-7,0)&gt;0,OFFSET(A59,-7,0)+0.001,ERROR.TYPE(0)),IFERROR(IF(OFFSET(A59,-8,0)&gt;0,OFFSET(A59,-8,0)+0.001,ERROR.TYPE(0)),IFERROR(IF(OFFSET(A59,-9,0)&gt;0,OFFSET(A59,-9,0)+0.001,ERROR.TYPE(0)),IFERROR(IF(OFFSET(A59,-10,0)&gt;0,OFFSET(A59,-10,0)+0.001,ERROR.TYPE(0)),ERROR.TYPE(0)))))))))))</f>
        <v>2.0219999999999976</v>
      </c>
      <c r="B59" s="1296" t="s">
        <v>345</v>
      </c>
      <c r="C59" s="1286">
        <v>3</v>
      </c>
      <c r="D59" s="1278" t="s">
        <v>329</v>
      </c>
      <c r="E59" s="1279"/>
      <c r="F59" s="1280">
        <f>IFERROR($C59*E59,E59)</f>
        <v>0</v>
      </c>
    </row>
    <row r="60" spans="1:6" s="631" customFormat="1">
      <c r="A60" s="1284"/>
      <c r="B60" s="1288" t="s">
        <v>347</v>
      </c>
      <c r="C60" s="1289"/>
      <c r="D60" s="1290"/>
      <c r="E60" s="1291"/>
      <c r="F60" s="1280"/>
    </row>
    <row r="61" spans="1:6" s="631" customFormat="1" ht="55.2">
      <c r="A61" s="1292"/>
      <c r="B61" s="1293" t="s">
        <v>344</v>
      </c>
      <c r="C61" s="1286"/>
      <c r="D61" s="1278"/>
      <c r="E61" s="1294"/>
      <c r="F61" s="1295"/>
    </row>
    <row r="62" spans="1:6" s="631" customFormat="1">
      <c r="A62" s="1284">
        <f ca="1">IFERROR(IF(OFFSET(A62,-1,0)&gt;0,OFFSET(A62,-1,0)+0.001,ERROR.TYPE(0)),IFERROR(IF(OFFSET(A62,-2,0)&gt;0,OFFSET(A62,-2,0)+0.001,ERROR.TYPE(0)),IFERROR(IF(OFFSET(A62,-3,0)&gt;0,OFFSET(A62,-3,0)+0.001,ERROR.TYPE(0)),IFERROR(IF(OFFSET(A62,-4,0)&gt;0,OFFSET(A62,-4,0)+0.001,ERROR.TYPE(0)),IFERROR(IF(OFFSET(A62,-5,0)&gt;0,OFFSET(A62,-5,0)+0.001,ERROR.TYPE(0)),IFERROR(IF(OFFSET(A62,-6,0)&gt;0,OFFSET(A62,-6,0)+0.001,ERROR.TYPE(0)),IFERROR(IF(OFFSET(A62,-7,0)&gt;0,OFFSET(A62,-7,0)+0.001,ERROR.TYPE(0)),IFERROR(IF(OFFSET(A62,-8,0)&gt;0,OFFSET(A62,-8,0)+0.001,ERROR.TYPE(0)),IFERROR(IF(OFFSET(A62,-9,0)&gt;0,OFFSET(A62,-9,0)+0.001,ERROR.TYPE(0)),IFERROR(IF(OFFSET(A62,-10,0)&gt;0,OFFSET(A62,-10,0)+0.001,ERROR.TYPE(0)),ERROR.TYPE(0)))))))))))</f>
        <v>2.0229999999999975</v>
      </c>
      <c r="B62" s="1296" t="s">
        <v>348</v>
      </c>
      <c r="C62" s="1286">
        <v>4</v>
      </c>
      <c r="D62" s="1278" t="s">
        <v>329</v>
      </c>
      <c r="E62" s="1279"/>
      <c r="F62" s="1280">
        <f t="shared" ref="F62:F67" si="9">IFERROR($C62*E62,E62)</f>
        <v>0</v>
      </c>
    </row>
    <row r="63" spans="1:6" s="631" customFormat="1">
      <c r="A63" s="1284">
        <f t="shared" ref="A63:A67" ca="1" si="10">IFERROR(IF(OFFSET(A63,-1,0)&gt;0,OFFSET(A63,-1,0)+0.001,ERROR.TYPE(0)),IFERROR(IF(OFFSET(A63,-2,0)&gt;0,OFFSET(A63,-2,0)+0.001,ERROR.TYPE(0)),IFERROR(IF(OFFSET(A63,-3,0)&gt;0,OFFSET(A63,-3,0)+0.001,ERROR.TYPE(0)),IFERROR(IF(OFFSET(A63,-4,0)&gt;0,OFFSET(A63,-4,0)+0.001,ERROR.TYPE(0)),IFERROR(IF(OFFSET(A63,-5,0)&gt;0,OFFSET(A63,-5,0)+0.001,ERROR.TYPE(0)),IFERROR(IF(OFFSET(A63,-6,0)&gt;0,OFFSET(A63,-6,0)+0.001,ERROR.TYPE(0)),IFERROR(IF(OFFSET(A63,-7,0)&gt;0,OFFSET(A63,-7,0)+0.001,ERROR.TYPE(0)),IFERROR(IF(OFFSET(A63,-8,0)&gt;0,OFFSET(A63,-8,0)+0.001,ERROR.TYPE(0)),IFERROR(IF(OFFSET(A63,-9,0)&gt;0,OFFSET(A63,-9,0)+0.001,ERROR.TYPE(0)),IFERROR(IF(OFFSET(A63,-10,0)&gt;0,OFFSET(A63,-10,0)+0.001,ERROR.TYPE(0)),ERROR.TYPE(0)))))))))))</f>
        <v>2.0239999999999974</v>
      </c>
      <c r="B63" s="1296" t="s">
        <v>349</v>
      </c>
      <c r="C63" s="1286">
        <v>4</v>
      </c>
      <c r="D63" s="1278" t="s">
        <v>329</v>
      </c>
      <c r="E63" s="1279"/>
      <c r="F63" s="1280">
        <f t="shared" si="9"/>
        <v>0</v>
      </c>
    </row>
    <row r="64" spans="1:6" s="631" customFormat="1">
      <c r="A64" s="1284">
        <f ca="1">IFERROR(IF(OFFSET(A64,-1,0)&gt;0,OFFSET(A64,-1,0)+0.001,ERROR.TYPE(0)),IFERROR(IF(OFFSET(A64,-2,0)&gt;0,OFFSET(A64,-2,0)+0.001,ERROR.TYPE(0)),IFERROR(IF(OFFSET(A64,-3,0)&gt;0,OFFSET(A64,-3,0)+0.001,ERROR.TYPE(0)),IFERROR(IF(OFFSET(A64,-4,0)&gt;0,OFFSET(A64,-4,0)+0.001,ERROR.TYPE(0)),IFERROR(IF(OFFSET(A64,-5,0)&gt;0,OFFSET(A64,-5,0)+0.001,ERROR.TYPE(0)),IFERROR(IF(OFFSET(A64,-6,0)&gt;0,OFFSET(A64,-6,0)+0.001,ERROR.TYPE(0)),IFERROR(IF(OFFSET(A64,-7,0)&gt;0,OFFSET(A64,-7,0)+0.001,ERROR.TYPE(0)),IFERROR(IF(OFFSET(A64,-8,0)&gt;0,OFFSET(A64,-8,0)+0.001,ERROR.TYPE(0)),IFERROR(IF(OFFSET(A64,-9,0)&gt;0,OFFSET(A64,-9,0)+0.001,ERROR.TYPE(0)),IFERROR(IF(OFFSET(A64,-10,0)&gt;0,OFFSET(A64,-10,0)+0.001,ERROR.TYPE(0)),ERROR.TYPE(0)))))))))))</f>
        <v>2.0249999999999972</v>
      </c>
      <c r="B64" s="1296" t="s">
        <v>345</v>
      </c>
      <c r="C64" s="1286">
        <v>12</v>
      </c>
      <c r="D64" s="1278" t="s">
        <v>329</v>
      </c>
      <c r="E64" s="1279"/>
      <c r="F64" s="1280">
        <f>IFERROR($C64*E64,E64)</f>
        <v>0</v>
      </c>
    </row>
    <row r="65" spans="1:6" s="631" customFormat="1">
      <c r="A65" s="1284">
        <f t="shared" ca="1" si="10"/>
        <v>2.0259999999999971</v>
      </c>
      <c r="B65" s="1296" t="s">
        <v>350</v>
      </c>
      <c r="C65" s="1286">
        <v>1</v>
      </c>
      <c r="D65" s="1278" t="s">
        <v>329</v>
      </c>
      <c r="E65" s="1279"/>
      <c r="F65" s="1280">
        <f t="shared" si="9"/>
        <v>0</v>
      </c>
    </row>
    <row r="66" spans="1:6" s="631" customFormat="1">
      <c r="A66" s="1284">
        <f t="shared" ca="1" si="10"/>
        <v>2.026999999999997</v>
      </c>
      <c r="B66" s="1296" t="s">
        <v>351</v>
      </c>
      <c r="C66" s="1286">
        <v>1</v>
      </c>
      <c r="D66" s="1278" t="s">
        <v>329</v>
      </c>
      <c r="E66" s="1279"/>
      <c r="F66" s="1280">
        <f t="shared" si="9"/>
        <v>0</v>
      </c>
    </row>
    <row r="67" spans="1:6" s="631" customFormat="1">
      <c r="A67" s="1284">
        <f t="shared" ca="1" si="10"/>
        <v>2.0279999999999969</v>
      </c>
      <c r="B67" s="1296" t="s">
        <v>352</v>
      </c>
      <c r="C67" s="1286">
        <v>1</v>
      </c>
      <c r="D67" s="1278" t="s">
        <v>329</v>
      </c>
      <c r="E67" s="1279"/>
      <c r="F67" s="1280">
        <f t="shared" si="9"/>
        <v>0</v>
      </c>
    </row>
    <row r="68" spans="1:6" s="631" customFormat="1" ht="41.4">
      <c r="A68" s="1284"/>
      <c r="B68" s="1297" t="s">
        <v>353</v>
      </c>
      <c r="C68" s="1289"/>
      <c r="D68" s="1290"/>
      <c r="E68" s="1298"/>
      <c r="F68" s="1280"/>
    </row>
    <row r="69" spans="1:6" s="631" customFormat="1">
      <c r="A69" s="1284">
        <f ca="1">IFERROR(IF(OFFSET(A69,-1,0)&gt;0,OFFSET(A69,-1,0)+0.001,ERROR.TYPE(0)),IFERROR(IF(OFFSET(A69,-2,0)&gt;0,OFFSET(A69,-2,0)+0.001,ERROR.TYPE(0)),IFERROR(IF(OFFSET(A69,-3,0)&gt;0,OFFSET(A69,-3,0)+0.001,ERROR.TYPE(0)),IFERROR(IF(OFFSET(A69,-4,0)&gt;0,OFFSET(A69,-4,0)+0.001,ERROR.TYPE(0)),IFERROR(IF(OFFSET(A69,-5,0)&gt;0,OFFSET(A69,-5,0)+0.001,ERROR.TYPE(0)),IFERROR(IF(OFFSET(A69,-6,0)&gt;0,OFFSET(A69,-6,0)+0.001,ERROR.TYPE(0)),IFERROR(IF(OFFSET(A69,-7,0)&gt;0,OFFSET(A69,-7,0)+0.001,ERROR.TYPE(0)),IFERROR(IF(OFFSET(A69,-8,0)&gt;0,OFFSET(A69,-8,0)+0.001,ERROR.TYPE(0)),IFERROR(IF(OFFSET(A69,-9,0)&gt;0,OFFSET(A69,-9,0)+0.001,ERROR.TYPE(0)),IFERROR(IF(OFFSET(A69,-10,0)&gt;0,OFFSET(A69,-10,0)+0.001,ERROR.TYPE(0)),ERROR.TYPE(0)))))))))))</f>
        <v>2.0289999999999968</v>
      </c>
      <c r="B69" s="1296" t="s">
        <v>348</v>
      </c>
      <c r="C69" s="1286">
        <v>4</v>
      </c>
      <c r="D69" s="1278" t="s">
        <v>329</v>
      </c>
      <c r="E69" s="1279"/>
      <c r="F69" s="1280">
        <f t="shared" ref="F69:F70" si="11">IFERROR($C69*E69,E69)</f>
        <v>0</v>
      </c>
    </row>
    <row r="70" spans="1:6" s="631" customFormat="1">
      <c r="A70" s="1284">
        <f t="shared" ref="A70" ca="1" si="12">IFERROR(IF(OFFSET(A70,-1,0)&gt;0,OFFSET(A70,-1,0)+0.001,ERROR.TYPE(0)),IFERROR(IF(OFFSET(A70,-2,0)&gt;0,OFFSET(A70,-2,0)+0.001,ERROR.TYPE(0)),IFERROR(IF(OFFSET(A70,-3,0)&gt;0,OFFSET(A70,-3,0)+0.001,ERROR.TYPE(0)),IFERROR(IF(OFFSET(A70,-4,0)&gt;0,OFFSET(A70,-4,0)+0.001,ERROR.TYPE(0)),IFERROR(IF(OFFSET(A70,-5,0)&gt;0,OFFSET(A70,-5,0)+0.001,ERROR.TYPE(0)),IFERROR(IF(OFFSET(A70,-6,0)&gt;0,OFFSET(A70,-6,0)+0.001,ERROR.TYPE(0)),IFERROR(IF(OFFSET(A70,-7,0)&gt;0,OFFSET(A70,-7,0)+0.001,ERROR.TYPE(0)),IFERROR(IF(OFFSET(A70,-8,0)&gt;0,OFFSET(A70,-8,0)+0.001,ERROR.TYPE(0)),IFERROR(IF(OFFSET(A70,-9,0)&gt;0,OFFSET(A70,-9,0)+0.001,ERROR.TYPE(0)),IFERROR(IF(OFFSET(A70,-10,0)&gt;0,OFFSET(A70,-10,0)+0.001,ERROR.TYPE(0)),ERROR.TYPE(0)))))))))))</f>
        <v>2.0299999999999967</v>
      </c>
      <c r="B70" s="1296" t="s">
        <v>354</v>
      </c>
      <c r="C70" s="1286">
        <v>4</v>
      </c>
      <c r="D70" s="1278" t="s">
        <v>329</v>
      </c>
      <c r="E70" s="1279"/>
      <c r="F70" s="1280">
        <f t="shared" si="11"/>
        <v>0</v>
      </c>
    </row>
    <row r="71" spans="1:6" s="631" customFormat="1">
      <c r="A71" s="1284"/>
      <c r="B71" s="1293" t="s">
        <v>355</v>
      </c>
      <c r="C71" s="1286"/>
      <c r="D71" s="1278" t="s">
        <v>7</v>
      </c>
      <c r="E71" s="1294"/>
      <c r="F71" s="1280"/>
    </row>
    <row r="72" spans="1:6" s="631" customFormat="1">
      <c r="A72" s="1284">
        <f ca="1">IFERROR(IF(OFFSET(A72,-1,0)&gt;0,OFFSET(A72,-1,0)+0.001,ERROR.TYPE(0)),IFERROR(IF(OFFSET(A72,-2,0)&gt;0,OFFSET(A72,-2,0)+0.001,ERROR.TYPE(0)),IFERROR(IF(OFFSET(A72,-3,0)&gt;0,OFFSET(A72,-3,0)+0.001,ERROR.TYPE(0)),IFERROR(IF(OFFSET(A72,-4,0)&gt;0,OFFSET(A72,-4,0)+0.001,ERROR.TYPE(0)),IFERROR(IF(OFFSET(A72,-5,0)&gt;0,OFFSET(A72,-5,0)+0.001,ERROR.TYPE(0)),IFERROR(IF(OFFSET(A72,-6,0)&gt;0,OFFSET(A72,-6,0)+0.001,ERROR.TYPE(0)),IFERROR(IF(OFFSET(A72,-7,0)&gt;0,OFFSET(A72,-7,0)+0.001,ERROR.TYPE(0)),IFERROR(IF(OFFSET(A72,-8,0)&gt;0,OFFSET(A72,-8,0)+0.001,ERROR.TYPE(0)),IFERROR(IF(OFFSET(A72,-9,0)&gt;0,OFFSET(A72,-9,0)+0.001,ERROR.TYPE(0)),IFERROR(IF(OFFSET(A72,-10,0)&gt;0,OFFSET(A72,-10,0)+0.001,ERROR.TYPE(0)),ERROR.TYPE(0)))))))))))</f>
        <v>2.0309999999999966</v>
      </c>
      <c r="B72" s="1296" t="s">
        <v>348</v>
      </c>
      <c r="C72" s="1286">
        <v>4</v>
      </c>
      <c r="D72" s="1278" t="s">
        <v>329</v>
      </c>
      <c r="E72" s="1279"/>
      <c r="F72" s="1280">
        <f t="shared" ref="F72" si="13">IFERROR($C72*E72,E72)</f>
        <v>0</v>
      </c>
    </row>
    <row r="73" spans="1:6" s="631" customFormat="1">
      <c r="A73" s="1284">
        <f ca="1">IFERROR(IF(OFFSET(A73,-1,0)&gt;0,OFFSET(A73,-1,0)+0.001,ERROR.TYPE(0)),IFERROR(IF(OFFSET(A73,-2,0)&gt;0,OFFSET(A73,-2,0)+0.001,ERROR.TYPE(0)),IFERROR(IF(OFFSET(A73,-3,0)&gt;0,OFFSET(A73,-3,0)+0.001,ERROR.TYPE(0)),IFERROR(IF(OFFSET(A73,-4,0)&gt;0,OFFSET(A73,-4,0)+0.001,ERROR.TYPE(0)),IFERROR(IF(OFFSET(A73,-5,0)&gt;0,OFFSET(A73,-5,0)+0.001,ERROR.TYPE(0)),IFERROR(IF(OFFSET(A73,-6,0)&gt;0,OFFSET(A73,-6,0)+0.001,ERROR.TYPE(0)),IFERROR(IF(OFFSET(A73,-7,0)&gt;0,OFFSET(A73,-7,0)+0.001,ERROR.TYPE(0)),IFERROR(IF(OFFSET(A73,-8,0)&gt;0,OFFSET(A73,-8,0)+0.001,ERROR.TYPE(0)),IFERROR(IF(OFFSET(A73,-9,0)&gt;0,OFFSET(A73,-9,0)+0.001,ERROR.TYPE(0)),IFERROR(IF(OFFSET(A73,-10,0)&gt;0,OFFSET(A73,-10,0)+0.001,ERROR.TYPE(0)),ERROR.TYPE(0)))))))))))</f>
        <v>2.0319999999999965</v>
      </c>
      <c r="B73" s="1296" t="s">
        <v>356</v>
      </c>
      <c r="C73" s="1286">
        <v>4</v>
      </c>
      <c r="D73" s="1278" t="s">
        <v>329</v>
      </c>
      <c r="E73" s="1279"/>
      <c r="F73" s="1280">
        <f>IFERROR($C73*E73,E73)</f>
        <v>0</v>
      </c>
    </row>
    <row r="74" spans="1:6" s="631" customFormat="1">
      <c r="A74" s="1284">
        <f t="shared" ref="A74" ca="1" si="14">IFERROR(IF(OFFSET(A74,-1,0)&gt;0,OFFSET(A74,-1,0)+0.001,ERROR.TYPE(0)),IFERROR(IF(OFFSET(A74,-2,0)&gt;0,OFFSET(A74,-2,0)+0.001,ERROR.TYPE(0)),IFERROR(IF(OFFSET(A74,-3,0)&gt;0,OFFSET(A74,-3,0)+0.001,ERROR.TYPE(0)),IFERROR(IF(OFFSET(A74,-4,0)&gt;0,OFFSET(A74,-4,0)+0.001,ERROR.TYPE(0)),IFERROR(IF(OFFSET(A74,-5,0)&gt;0,OFFSET(A74,-5,0)+0.001,ERROR.TYPE(0)),IFERROR(IF(OFFSET(A74,-6,0)&gt;0,OFFSET(A74,-6,0)+0.001,ERROR.TYPE(0)),IFERROR(IF(OFFSET(A74,-7,0)&gt;0,OFFSET(A74,-7,0)+0.001,ERROR.TYPE(0)),IFERROR(IF(OFFSET(A74,-8,0)&gt;0,OFFSET(A74,-8,0)+0.001,ERROR.TYPE(0)),IFERROR(IF(OFFSET(A74,-9,0)&gt;0,OFFSET(A74,-9,0)+0.001,ERROR.TYPE(0)),IFERROR(IF(OFFSET(A74,-10,0)&gt;0,OFFSET(A74,-10,0)+0.001,ERROR.TYPE(0)),ERROR.TYPE(0)))))))))))</f>
        <v>2.0329999999999964</v>
      </c>
      <c r="B74" s="1296" t="s">
        <v>349</v>
      </c>
      <c r="C74" s="1286">
        <v>4</v>
      </c>
      <c r="D74" s="1278" t="s">
        <v>329</v>
      </c>
      <c r="E74" s="1279"/>
      <c r="F74" s="1280">
        <f t="shared" ref="F74" si="15">IFERROR($C74*E74,E74)</f>
        <v>0</v>
      </c>
    </row>
    <row r="75" spans="1:6" s="631" customFormat="1">
      <c r="A75" s="1284"/>
      <c r="B75" s="1293" t="s">
        <v>346</v>
      </c>
      <c r="C75" s="1286"/>
      <c r="D75" s="1278" t="s">
        <v>7</v>
      </c>
      <c r="E75" s="1294"/>
      <c r="F75" s="1280"/>
    </row>
    <row r="76" spans="1:6" s="631" customFormat="1">
      <c r="A76" s="1284">
        <f t="shared" ref="A76" ca="1" si="16">IFERROR(IF(OFFSET(A76,-1,0)&gt;0,OFFSET(A76,-1,0)+0.001,ERROR.TYPE(0)),IFERROR(IF(OFFSET(A76,-2,0)&gt;0,OFFSET(A76,-2,0)+0.001,ERROR.TYPE(0)),IFERROR(IF(OFFSET(A76,-3,0)&gt;0,OFFSET(A76,-3,0)+0.001,ERROR.TYPE(0)),IFERROR(IF(OFFSET(A76,-4,0)&gt;0,OFFSET(A76,-4,0)+0.001,ERROR.TYPE(0)),IFERROR(IF(OFFSET(A76,-5,0)&gt;0,OFFSET(A76,-5,0)+0.001,ERROR.TYPE(0)),IFERROR(IF(OFFSET(A76,-6,0)&gt;0,OFFSET(A76,-6,0)+0.001,ERROR.TYPE(0)),IFERROR(IF(OFFSET(A76,-7,0)&gt;0,OFFSET(A76,-7,0)+0.001,ERROR.TYPE(0)),IFERROR(IF(OFFSET(A76,-8,0)&gt;0,OFFSET(A76,-8,0)+0.001,ERROR.TYPE(0)),IFERROR(IF(OFFSET(A76,-9,0)&gt;0,OFFSET(A76,-9,0)+0.001,ERROR.TYPE(0)),IFERROR(IF(OFFSET(A76,-10,0)&gt;0,OFFSET(A76,-10,0)+0.001,ERROR.TYPE(0)),ERROR.TYPE(0)))))))))))</f>
        <v>2.0339999999999963</v>
      </c>
      <c r="B76" s="1285" t="s">
        <v>357</v>
      </c>
      <c r="C76" s="1286">
        <v>16</v>
      </c>
      <c r="D76" s="1278" t="s">
        <v>329</v>
      </c>
      <c r="E76" s="1279"/>
      <c r="F76" s="1280">
        <f t="shared" ref="F76" si="17">IFERROR($C76*E76,E76)</f>
        <v>0</v>
      </c>
    </row>
    <row r="77" spans="1:6" s="631" customFormat="1">
      <c r="A77" s="1284">
        <f ca="1">IFERROR(IF(OFFSET(A77,-1,0)&gt;0,OFFSET(A77,-1,0)+0.001,ERROR.TYPE(0)),IFERROR(IF(OFFSET(A77,-2,0)&gt;0,OFFSET(A77,-2,0)+0.001,ERROR.TYPE(0)),IFERROR(IF(OFFSET(A77,-3,0)&gt;0,OFFSET(A77,-3,0)+0.001,ERROR.TYPE(0)),IFERROR(IF(OFFSET(A77,-4,0)&gt;0,OFFSET(A77,-4,0)+0.001,ERROR.TYPE(0)),IFERROR(IF(OFFSET(A77,-5,0)&gt;0,OFFSET(A77,-5,0)+0.001,ERROR.TYPE(0)),IFERROR(IF(OFFSET(A77,-6,0)&gt;0,OFFSET(A77,-6,0)+0.001,ERROR.TYPE(0)),IFERROR(IF(OFFSET(A77,-7,0)&gt;0,OFFSET(A77,-7,0)+0.001,ERROR.TYPE(0)),IFERROR(IF(OFFSET(A77,-8,0)&gt;0,OFFSET(A77,-8,0)+0.001,ERROR.TYPE(0)),IFERROR(IF(OFFSET(A77,-9,0)&gt;0,OFFSET(A77,-9,0)+0.001,ERROR.TYPE(0)),IFERROR(IF(OFFSET(A77,-10,0)&gt;0,OFFSET(A77,-10,0)+0.001,ERROR.TYPE(0)),ERROR.TYPE(0)))))))))))</f>
        <v>2.0349999999999961</v>
      </c>
      <c r="B77" s="1296" t="s">
        <v>345</v>
      </c>
      <c r="C77" s="1286">
        <v>12</v>
      </c>
      <c r="D77" s="1278" t="s">
        <v>329</v>
      </c>
      <c r="E77" s="1279"/>
      <c r="F77" s="1280">
        <f>IFERROR($C77*E77,E77)</f>
        <v>0</v>
      </c>
    </row>
    <row r="78" spans="1:6" s="631" customFormat="1">
      <c r="A78" s="1284">
        <f ca="1">IFERROR(IF(OFFSET(A78,-1,0)&gt;0,OFFSET(A78,-1,0)+0.001,ERROR.TYPE(0)),IFERROR(IF(OFFSET(A78,-2,0)&gt;0,OFFSET(A78,-2,0)+0.001,ERROR.TYPE(0)),IFERROR(IF(OFFSET(A78,-3,0)&gt;0,OFFSET(A78,-3,0)+0.001,ERROR.TYPE(0)),IFERROR(IF(OFFSET(A78,-4,0)&gt;0,OFFSET(A78,-4,0)+0.001,ERROR.TYPE(0)),IFERROR(IF(OFFSET(A78,-5,0)&gt;0,OFFSET(A78,-5,0)+0.001,ERROR.TYPE(0)),IFERROR(IF(OFFSET(A78,-6,0)&gt;0,OFFSET(A78,-6,0)+0.001,ERROR.TYPE(0)),IFERROR(IF(OFFSET(A78,-7,0)&gt;0,OFFSET(A78,-7,0)+0.001,ERROR.TYPE(0)),IFERROR(IF(OFFSET(A78,-8,0)&gt;0,OFFSET(A78,-8,0)+0.001,ERROR.TYPE(0)),IFERROR(IF(OFFSET(A78,-9,0)&gt;0,OFFSET(A78,-9,0)+0.001,ERROR.TYPE(0)),IFERROR(IF(OFFSET(A78,-10,0)&gt;0,OFFSET(A78,-10,0)+0.001,ERROR.TYPE(0)),ERROR.TYPE(0)))))))))))</f>
        <v>2.035999999999996</v>
      </c>
      <c r="B78" s="1296" t="s">
        <v>358</v>
      </c>
      <c r="C78" s="1286">
        <v>1</v>
      </c>
      <c r="D78" s="1278" t="s">
        <v>329</v>
      </c>
      <c r="E78" s="1279"/>
      <c r="F78" s="1280">
        <f>IFERROR($C78*E78,E78)</f>
        <v>0</v>
      </c>
    </row>
    <row r="79" spans="1:6" s="631" customFormat="1">
      <c r="A79" s="1284">
        <f t="shared" ref="A79:A80" ca="1" si="18">IFERROR(IF(OFFSET(A79,-1,0)&gt;0,OFFSET(A79,-1,0)+0.001,ERROR.TYPE(0)),IFERROR(IF(OFFSET(A79,-2,0)&gt;0,OFFSET(A79,-2,0)+0.001,ERROR.TYPE(0)),IFERROR(IF(OFFSET(A79,-3,0)&gt;0,OFFSET(A79,-3,0)+0.001,ERROR.TYPE(0)),IFERROR(IF(OFFSET(A79,-4,0)&gt;0,OFFSET(A79,-4,0)+0.001,ERROR.TYPE(0)),IFERROR(IF(OFFSET(A79,-5,0)&gt;0,OFFSET(A79,-5,0)+0.001,ERROR.TYPE(0)),IFERROR(IF(OFFSET(A79,-6,0)&gt;0,OFFSET(A79,-6,0)+0.001,ERROR.TYPE(0)),IFERROR(IF(OFFSET(A79,-7,0)&gt;0,OFFSET(A79,-7,0)+0.001,ERROR.TYPE(0)),IFERROR(IF(OFFSET(A79,-8,0)&gt;0,OFFSET(A79,-8,0)+0.001,ERROR.TYPE(0)),IFERROR(IF(OFFSET(A79,-9,0)&gt;0,OFFSET(A79,-9,0)+0.001,ERROR.TYPE(0)),IFERROR(IF(OFFSET(A79,-10,0)&gt;0,OFFSET(A79,-10,0)+0.001,ERROR.TYPE(0)),ERROR.TYPE(0)))))))))))</f>
        <v>2.0369999999999959</v>
      </c>
      <c r="B79" s="1296" t="s">
        <v>359</v>
      </c>
      <c r="C79" s="1286">
        <v>1</v>
      </c>
      <c r="D79" s="1278" t="s">
        <v>329</v>
      </c>
      <c r="E79" s="1279"/>
      <c r="F79" s="1280">
        <f t="shared" ref="F79:F80" si="19">IFERROR($C79*E79,E79)</f>
        <v>0</v>
      </c>
    </row>
    <row r="80" spans="1:6" s="631" customFormat="1" ht="27.6">
      <c r="A80" s="1284">
        <f t="shared" ca="1" si="18"/>
        <v>2.0379999999999958</v>
      </c>
      <c r="B80" s="1296" t="s">
        <v>360</v>
      </c>
      <c r="C80" s="1286">
        <v>1</v>
      </c>
      <c r="D80" s="1278" t="s">
        <v>299</v>
      </c>
      <c r="E80" s="1279"/>
      <c r="F80" s="1280">
        <f t="shared" si="19"/>
        <v>0</v>
      </c>
    </row>
    <row r="81" spans="1:6" s="631" customFormat="1">
      <c r="A81" s="1292"/>
      <c r="B81" s="1273" t="s">
        <v>361</v>
      </c>
      <c r="C81" s="1492" t="s">
        <v>305</v>
      </c>
      <c r="D81" s="1493"/>
      <c r="E81" s="1275"/>
      <c r="F81" s="1299">
        <f>SUM(F32:F80)</f>
        <v>0</v>
      </c>
    </row>
    <row r="82" spans="1:6">
      <c r="A82" s="1300"/>
      <c r="B82" s="1301"/>
      <c r="C82" s="1302"/>
      <c r="D82" s="1302"/>
      <c r="E82" s="1303"/>
      <c r="F82" s="1304"/>
    </row>
    <row r="83" spans="1:6">
      <c r="A83" s="1300"/>
      <c r="B83" s="1301"/>
      <c r="C83" s="1302"/>
      <c r="D83" s="1302"/>
      <c r="E83" s="1303"/>
      <c r="F83" s="1304"/>
    </row>
    <row r="84" spans="1:6" s="631" customFormat="1" ht="27.6">
      <c r="A84" s="1267" t="s">
        <v>143</v>
      </c>
      <c r="B84" s="1268" t="s">
        <v>198</v>
      </c>
      <c r="C84" s="1269" t="s">
        <v>199</v>
      </c>
      <c r="D84" s="1269" t="s">
        <v>200</v>
      </c>
      <c r="E84" s="1270" t="s">
        <v>294</v>
      </c>
      <c r="F84" s="1271" t="s">
        <v>295</v>
      </c>
    </row>
    <row r="85" spans="1:6" s="631" customFormat="1">
      <c r="A85" s="1284"/>
      <c r="B85" s="1288" t="s">
        <v>362</v>
      </c>
      <c r="C85" s="1289"/>
      <c r="D85" s="1290"/>
      <c r="E85" s="1291"/>
      <c r="F85" s="1280"/>
    </row>
    <row r="86" spans="1:6" s="631" customFormat="1" ht="55.2">
      <c r="A86" s="1292"/>
      <c r="B86" s="1293" t="s">
        <v>363</v>
      </c>
      <c r="C86" s="1286"/>
      <c r="D86" s="1278"/>
      <c r="E86" s="1294"/>
      <c r="F86" s="1295"/>
    </row>
    <row r="87" spans="1:6" s="631" customFormat="1">
      <c r="A87" s="1284">
        <f ca="1">IFERROR(IF(OFFSET(A87,-1,0)&gt;0,OFFSET(A87,-1,0)+0.001,ERROR.TYPE(0)),IFERROR(IF(OFFSET(A87,-2,0)&gt;0,OFFSET(A87,-2,0)+0.001,ERROR.TYPE(0)),IFERROR(IF(OFFSET(A87,-3,0)&gt;0,OFFSET(A87,-3,0)+0.001,ERROR.TYPE(0)),IFERROR(IF(OFFSET(A87,-4,0)&gt;0,OFFSET(A87,-4,0)+0.001,ERROR.TYPE(0)),IFERROR(IF(OFFSET(A87,-5,0)&gt;0,OFFSET(A87,-5,0)+0.001,ERROR.TYPE(0)),IFERROR(IF(OFFSET(A87,-6,0)&gt;0,OFFSET(A87,-6,0)+0.001,ERROR.TYPE(0)),IFERROR(IF(OFFSET(A87,-7,0)&gt;0,OFFSET(A87,-7,0)+0.001,ERROR.TYPE(0)),IFERROR(IF(OFFSET(A87,-8,0)&gt;0,OFFSET(A87,-8,0)+0.001,ERROR.TYPE(0)),IFERROR(IF(OFFSET(A87,-9,0)&gt;0,OFFSET(A87,-9,0)+0.001,ERROR.TYPE(0)),IFERROR(IF(OFFSET(A87,-10,0)&gt;0,OFFSET(A87,-10,0)+0.001,ERROR.TYPE(0)),ERROR.TYPE(0)))))))))))</f>
        <v>2.0389999999999957</v>
      </c>
      <c r="B87" s="1296" t="s">
        <v>364</v>
      </c>
      <c r="C87" s="1286">
        <v>1</v>
      </c>
      <c r="D87" s="1278" t="s">
        <v>329</v>
      </c>
      <c r="E87" s="1279"/>
      <c r="F87" s="1280">
        <f t="shared" ref="F87:F89" si="20">IFERROR($C87*E87,E87)</f>
        <v>0</v>
      </c>
    </row>
    <row r="88" spans="1:6" s="631" customFormat="1">
      <c r="A88" s="1284">
        <f ca="1">IFERROR(IF(OFFSET(A88,-1,0)&gt;0,OFFSET(A88,-1,0)+0.001,ERROR.TYPE(0)),IFERROR(IF(OFFSET(A88,-2,0)&gt;0,OFFSET(A88,-2,0)+0.001,ERROR.TYPE(0)),IFERROR(IF(OFFSET(A88,-3,0)&gt;0,OFFSET(A88,-3,0)+0.001,ERROR.TYPE(0)),IFERROR(IF(OFFSET(A88,-4,0)&gt;0,OFFSET(A88,-4,0)+0.001,ERROR.TYPE(0)),IFERROR(IF(OFFSET(A88,-5,0)&gt;0,OFFSET(A88,-5,0)+0.001,ERROR.TYPE(0)),IFERROR(IF(OFFSET(A88,-6,0)&gt;0,OFFSET(A88,-6,0)+0.001,ERROR.TYPE(0)),IFERROR(IF(OFFSET(A88,-7,0)&gt;0,OFFSET(A88,-7,0)+0.001,ERROR.TYPE(0)),IFERROR(IF(OFFSET(A88,-8,0)&gt;0,OFFSET(A88,-8,0)+0.001,ERROR.TYPE(0)),IFERROR(IF(OFFSET(A88,-9,0)&gt;0,OFFSET(A88,-9,0)+0.001,ERROR.TYPE(0)),IFERROR(IF(OFFSET(A88,-10,0)&gt;0,OFFSET(A88,-10,0)+0.001,ERROR.TYPE(0)),ERROR.TYPE(0)))))))))))</f>
        <v>2.0399999999999956</v>
      </c>
      <c r="B88" s="1296" t="s">
        <v>348</v>
      </c>
      <c r="C88" s="1286">
        <v>3</v>
      </c>
      <c r="D88" s="1278" t="s">
        <v>329</v>
      </c>
      <c r="E88" s="1279"/>
      <c r="F88" s="1280">
        <f t="shared" si="20"/>
        <v>0</v>
      </c>
    </row>
    <row r="89" spans="1:6" s="631" customFormat="1">
      <c r="A89" s="1284">
        <f t="shared" ref="A89:A93" ca="1" si="21">IFERROR(IF(OFFSET(A89,-1,0)&gt;0,OFFSET(A89,-1,0)+0.001,ERROR.TYPE(0)),IFERROR(IF(OFFSET(A89,-2,0)&gt;0,OFFSET(A89,-2,0)+0.001,ERROR.TYPE(0)),IFERROR(IF(OFFSET(A89,-3,0)&gt;0,OFFSET(A89,-3,0)+0.001,ERROR.TYPE(0)),IFERROR(IF(OFFSET(A89,-4,0)&gt;0,OFFSET(A89,-4,0)+0.001,ERROR.TYPE(0)),IFERROR(IF(OFFSET(A89,-5,0)&gt;0,OFFSET(A89,-5,0)+0.001,ERROR.TYPE(0)),IFERROR(IF(OFFSET(A89,-6,0)&gt;0,OFFSET(A89,-6,0)+0.001,ERROR.TYPE(0)),IFERROR(IF(OFFSET(A89,-7,0)&gt;0,OFFSET(A89,-7,0)+0.001,ERROR.TYPE(0)),IFERROR(IF(OFFSET(A89,-8,0)&gt;0,OFFSET(A89,-8,0)+0.001,ERROR.TYPE(0)),IFERROR(IF(OFFSET(A89,-9,0)&gt;0,OFFSET(A89,-9,0)+0.001,ERROR.TYPE(0)),IFERROR(IF(OFFSET(A89,-10,0)&gt;0,OFFSET(A89,-10,0)+0.001,ERROR.TYPE(0)),ERROR.TYPE(0)))))))))))</f>
        <v>2.0409999999999955</v>
      </c>
      <c r="B89" s="1296" t="s">
        <v>349</v>
      </c>
      <c r="C89" s="1286">
        <v>3</v>
      </c>
      <c r="D89" s="1278" t="s">
        <v>329</v>
      </c>
      <c r="E89" s="1279"/>
      <c r="F89" s="1280">
        <f t="shared" si="20"/>
        <v>0</v>
      </c>
    </row>
    <row r="90" spans="1:6" s="631" customFormat="1">
      <c r="A90" s="1284">
        <f ca="1">IFERROR(IF(OFFSET(A90,-1,0)&gt;0,OFFSET(A90,-1,0)+0.001,ERROR.TYPE(0)),IFERROR(IF(OFFSET(A90,-2,0)&gt;0,OFFSET(A90,-2,0)+0.001,ERROR.TYPE(0)),IFERROR(IF(OFFSET(A90,-3,0)&gt;0,OFFSET(A90,-3,0)+0.001,ERROR.TYPE(0)),IFERROR(IF(OFFSET(A90,-4,0)&gt;0,OFFSET(A90,-4,0)+0.001,ERROR.TYPE(0)),IFERROR(IF(OFFSET(A90,-5,0)&gt;0,OFFSET(A90,-5,0)+0.001,ERROR.TYPE(0)),IFERROR(IF(OFFSET(A90,-6,0)&gt;0,OFFSET(A90,-6,0)+0.001,ERROR.TYPE(0)),IFERROR(IF(OFFSET(A90,-7,0)&gt;0,OFFSET(A90,-7,0)+0.001,ERROR.TYPE(0)),IFERROR(IF(OFFSET(A90,-8,0)&gt;0,OFFSET(A90,-8,0)+0.001,ERROR.TYPE(0)),IFERROR(IF(OFFSET(A90,-9,0)&gt;0,OFFSET(A90,-9,0)+0.001,ERROR.TYPE(0)),IFERROR(IF(OFFSET(A90,-10,0)&gt;0,OFFSET(A90,-10,0)+0.001,ERROR.TYPE(0)),ERROR.TYPE(0)))))))))))</f>
        <v>2.0419999999999954</v>
      </c>
      <c r="B90" s="1296" t="s">
        <v>345</v>
      </c>
      <c r="C90" s="1286">
        <v>1</v>
      </c>
      <c r="D90" s="1278" t="s">
        <v>329</v>
      </c>
      <c r="E90" s="1279"/>
      <c r="F90" s="1280">
        <f>IFERROR($C90*E90,E90)</f>
        <v>0</v>
      </c>
    </row>
    <row r="91" spans="1:6" s="631" customFormat="1">
      <c r="A91" s="1284">
        <f t="shared" ca="1" si="21"/>
        <v>2.0429999999999953</v>
      </c>
      <c r="B91" s="1296" t="s">
        <v>350</v>
      </c>
      <c r="C91" s="1286">
        <v>1</v>
      </c>
      <c r="D91" s="1278" t="s">
        <v>329</v>
      </c>
      <c r="E91" s="1279"/>
      <c r="F91" s="1280">
        <f t="shared" ref="F91:F93" si="22">IFERROR($C91*E91,E91)</f>
        <v>0</v>
      </c>
    </row>
    <row r="92" spans="1:6" s="631" customFormat="1">
      <c r="A92" s="1284">
        <f t="shared" ca="1" si="21"/>
        <v>2.0439999999999952</v>
      </c>
      <c r="B92" s="1296" t="s">
        <v>351</v>
      </c>
      <c r="C92" s="1286">
        <v>2</v>
      </c>
      <c r="D92" s="1278" t="s">
        <v>329</v>
      </c>
      <c r="E92" s="1279"/>
      <c r="F92" s="1280">
        <f t="shared" si="22"/>
        <v>0</v>
      </c>
    </row>
    <row r="93" spans="1:6" s="631" customFormat="1">
      <c r="A93" s="1284">
        <f t="shared" ca="1" si="21"/>
        <v>2.044999999999995</v>
      </c>
      <c r="B93" s="1296" t="s">
        <v>365</v>
      </c>
      <c r="C93" s="1286">
        <v>1</v>
      </c>
      <c r="D93" s="1278" t="s">
        <v>329</v>
      </c>
      <c r="E93" s="1279"/>
      <c r="F93" s="1280">
        <f t="shared" si="22"/>
        <v>0</v>
      </c>
    </row>
    <row r="94" spans="1:6" s="631" customFormat="1" ht="41.4">
      <c r="A94" s="1284"/>
      <c r="B94" s="1297" t="s">
        <v>353</v>
      </c>
      <c r="C94" s="1289"/>
      <c r="D94" s="1290"/>
      <c r="E94" s="1298"/>
      <c r="F94" s="1280"/>
    </row>
    <row r="95" spans="1:6" s="631" customFormat="1">
      <c r="A95" s="1284">
        <f ca="1">IFERROR(IF(OFFSET(A95,-1,0)&gt;0,OFFSET(A95,-1,0)+0.001,ERROR.TYPE(0)),IFERROR(IF(OFFSET(A95,-2,0)&gt;0,OFFSET(A95,-2,0)+0.001,ERROR.TYPE(0)),IFERROR(IF(OFFSET(A95,-3,0)&gt;0,OFFSET(A95,-3,0)+0.001,ERROR.TYPE(0)),IFERROR(IF(OFFSET(A95,-4,0)&gt;0,OFFSET(A95,-4,0)+0.001,ERROR.TYPE(0)),IFERROR(IF(OFFSET(A95,-5,0)&gt;0,OFFSET(A95,-5,0)+0.001,ERROR.TYPE(0)),IFERROR(IF(OFFSET(A95,-6,0)&gt;0,OFFSET(A95,-6,0)+0.001,ERROR.TYPE(0)),IFERROR(IF(OFFSET(A95,-7,0)&gt;0,OFFSET(A95,-7,0)+0.001,ERROR.TYPE(0)),IFERROR(IF(OFFSET(A95,-8,0)&gt;0,OFFSET(A95,-8,0)+0.001,ERROR.TYPE(0)),IFERROR(IF(OFFSET(A95,-9,0)&gt;0,OFFSET(A95,-9,0)+0.001,ERROR.TYPE(0)),IFERROR(IF(OFFSET(A95,-10,0)&gt;0,OFFSET(A95,-10,0)+0.001,ERROR.TYPE(0)),ERROR.TYPE(0)))))))))))</f>
        <v>2.0459999999999949</v>
      </c>
      <c r="B95" s="1296" t="s">
        <v>364</v>
      </c>
      <c r="C95" s="1286">
        <v>1</v>
      </c>
      <c r="D95" s="1278" t="s">
        <v>329</v>
      </c>
      <c r="E95" s="1279"/>
      <c r="F95" s="1280">
        <f t="shared" ref="F95:F98" si="23">IFERROR($C95*E95,E95)</f>
        <v>0</v>
      </c>
    </row>
    <row r="96" spans="1:6" s="631" customFormat="1">
      <c r="A96" s="1284">
        <f ca="1">IFERROR(IF(OFFSET(A96,-1,0)&gt;0,OFFSET(A96,-1,0)+0.001,ERROR.TYPE(0)),IFERROR(IF(OFFSET(A96,-2,0)&gt;0,OFFSET(A96,-2,0)+0.001,ERROR.TYPE(0)),IFERROR(IF(OFFSET(A96,-3,0)&gt;0,OFFSET(A96,-3,0)+0.001,ERROR.TYPE(0)),IFERROR(IF(OFFSET(A96,-4,0)&gt;0,OFFSET(A96,-4,0)+0.001,ERROR.TYPE(0)),IFERROR(IF(OFFSET(A96,-5,0)&gt;0,OFFSET(A96,-5,0)+0.001,ERROR.TYPE(0)),IFERROR(IF(OFFSET(A96,-6,0)&gt;0,OFFSET(A96,-6,0)+0.001,ERROR.TYPE(0)),IFERROR(IF(OFFSET(A96,-7,0)&gt;0,OFFSET(A96,-7,0)+0.001,ERROR.TYPE(0)),IFERROR(IF(OFFSET(A96,-8,0)&gt;0,OFFSET(A96,-8,0)+0.001,ERROR.TYPE(0)),IFERROR(IF(OFFSET(A96,-9,0)&gt;0,OFFSET(A96,-9,0)+0.001,ERROR.TYPE(0)),IFERROR(IF(OFFSET(A96,-10,0)&gt;0,OFFSET(A96,-10,0)+0.001,ERROR.TYPE(0)),ERROR.TYPE(0)))))))))))</f>
        <v>2.0469999999999948</v>
      </c>
      <c r="B96" s="1296" t="s">
        <v>348</v>
      </c>
      <c r="C96" s="1286">
        <v>3</v>
      </c>
      <c r="D96" s="1278" t="s">
        <v>329</v>
      </c>
      <c r="E96" s="1279"/>
      <c r="F96" s="1280">
        <f t="shared" si="23"/>
        <v>0</v>
      </c>
    </row>
    <row r="97" spans="1:6" s="631" customFormat="1">
      <c r="A97" s="1284">
        <f t="shared" ref="A97:A98" ca="1" si="24">IFERROR(IF(OFFSET(A97,-1,0)&gt;0,OFFSET(A97,-1,0)+0.001,ERROR.TYPE(0)),IFERROR(IF(OFFSET(A97,-2,0)&gt;0,OFFSET(A97,-2,0)+0.001,ERROR.TYPE(0)),IFERROR(IF(OFFSET(A97,-3,0)&gt;0,OFFSET(A97,-3,0)+0.001,ERROR.TYPE(0)),IFERROR(IF(OFFSET(A97,-4,0)&gt;0,OFFSET(A97,-4,0)+0.001,ERROR.TYPE(0)),IFERROR(IF(OFFSET(A97,-5,0)&gt;0,OFFSET(A97,-5,0)+0.001,ERROR.TYPE(0)),IFERROR(IF(OFFSET(A97,-6,0)&gt;0,OFFSET(A97,-6,0)+0.001,ERROR.TYPE(0)),IFERROR(IF(OFFSET(A97,-7,0)&gt;0,OFFSET(A97,-7,0)+0.001,ERROR.TYPE(0)),IFERROR(IF(OFFSET(A97,-8,0)&gt;0,OFFSET(A97,-8,0)+0.001,ERROR.TYPE(0)),IFERROR(IF(OFFSET(A97,-9,0)&gt;0,OFFSET(A97,-9,0)+0.001,ERROR.TYPE(0)),IFERROR(IF(OFFSET(A97,-10,0)&gt;0,OFFSET(A97,-10,0)+0.001,ERROR.TYPE(0)),ERROR.TYPE(0)))))))))))</f>
        <v>2.0479999999999947</v>
      </c>
      <c r="B97" s="1296" t="s">
        <v>354</v>
      </c>
      <c r="C97" s="1286">
        <v>3</v>
      </c>
      <c r="D97" s="1278" t="s">
        <v>329</v>
      </c>
      <c r="E97" s="1279"/>
      <c r="F97" s="1280">
        <f t="shared" si="23"/>
        <v>0</v>
      </c>
    </row>
    <row r="98" spans="1:6" s="631" customFormat="1">
      <c r="A98" s="1284">
        <f t="shared" ca="1" si="24"/>
        <v>2.0489999999999946</v>
      </c>
      <c r="B98" s="1296" t="s">
        <v>365</v>
      </c>
      <c r="C98" s="1286">
        <v>1</v>
      </c>
      <c r="D98" s="1278" t="s">
        <v>329</v>
      </c>
      <c r="E98" s="1279"/>
      <c r="F98" s="1280">
        <f t="shared" si="23"/>
        <v>0</v>
      </c>
    </row>
    <row r="99" spans="1:6" s="631" customFormat="1">
      <c r="A99" s="1284"/>
      <c r="B99" s="1293" t="s">
        <v>355</v>
      </c>
      <c r="C99" s="1286"/>
      <c r="D99" s="1278" t="s">
        <v>7</v>
      </c>
      <c r="E99" s="1294"/>
      <c r="F99" s="1280"/>
    </row>
    <row r="100" spans="1:6" s="631" customFormat="1">
      <c r="A100" s="1284">
        <f ca="1">IFERROR(IF(OFFSET(A100,-1,0)&gt;0,OFFSET(A100,-1,0)+0.001,ERROR.TYPE(0)),IFERROR(IF(OFFSET(A100,-2,0)&gt;0,OFFSET(A100,-2,0)+0.001,ERROR.TYPE(0)),IFERROR(IF(OFFSET(A100,-3,0)&gt;0,OFFSET(A100,-3,0)+0.001,ERROR.TYPE(0)),IFERROR(IF(OFFSET(A100,-4,0)&gt;0,OFFSET(A100,-4,0)+0.001,ERROR.TYPE(0)),IFERROR(IF(OFFSET(A100,-5,0)&gt;0,OFFSET(A100,-5,0)+0.001,ERROR.TYPE(0)),IFERROR(IF(OFFSET(A100,-6,0)&gt;0,OFFSET(A100,-6,0)+0.001,ERROR.TYPE(0)),IFERROR(IF(OFFSET(A100,-7,0)&gt;0,OFFSET(A100,-7,0)+0.001,ERROR.TYPE(0)),IFERROR(IF(OFFSET(A100,-8,0)&gt;0,OFFSET(A100,-8,0)+0.001,ERROR.TYPE(0)),IFERROR(IF(OFFSET(A100,-9,0)&gt;0,OFFSET(A100,-9,0)+0.001,ERROR.TYPE(0)),IFERROR(IF(OFFSET(A100,-10,0)&gt;0,OFFSET(A100,-10,0)+0.001,ERROR.TYPE(0)),ERROR.TYPE(0)))))))))))</f>
        <v>2.0499999999999945</v>
      </c>
      <c r="B100" s="1296" t="s">
        <v>364</v>
      </c>
      <c r="C100" s="1286">
        <v>1</v>
      </c>
      <c r="D100" s="1278" t="s">
        <v>329</v>
      </c>
      <c r="E100" s="1279"/>
      <c r="F100" s="1280">
        <f t="shared" ref="F100:F102" si="25">IFERROR($C100*E100,E100)</f>
        <v>0</v>
      </c>
    </row>
    <row r="101" spans="1:6" s="631" customFormat="1">
      <c r="A101" s="1284">
        <f ca="1">IFERROR(IF(OFFSET(A101,-1,0)&gt;0,OFFSET(A101,-1,0)+0.001,ERROR.TYPE(0)),IFERROR(IF(OFFSET(A101,-2,0)&gt;0,OFFSET(A101,-2,0)+0.001,ERROR.TYPE(0)),IFERROR(IF(OFFSET(A101,-3,0)&gt;0,OFFSET(A101,-3,0)+0.001,ERROR.TYPE(0)),IFERROR(IF(OFFSET(A101,-4,0)&gt;0,OFFSET(A101,-4,0)+0.001,ERROR.TYPE(0)),IFERROR(IF(OFFSET(A101,-5,0)&gt;0,OFFSET(A101,-5,0)+0.001,ERROR.TYPE(0)),IFERROR(IF(OFFSET(A101,-6,0)&gt;0,OFFSET(A101,-6,0)+0.001,ERROR.TYPE(0)),IFERROR(IF(OFFSET(A101,-7,0)&gt;0,OFFSET(A101,-7,0)+0.001,ERROR.TYPE(0)),IFERROR(IF(OFFSET(A101,-8,0)&gt;0,OFFSET(A101,-8,0)+0.001,ERROR.TYPE(0)),IFERROR(IF(OFFSET(A101,-9,0)&gt;0,OFFSET(A101,-9,0)+0.001,ERROR.TYPE(0)),IFERROR(IF(OFFSET(A101,-10,0)&gt;0,OFFSET(A101,-10,0)+0.001,ERROR.TYPE(0)),ERROR.TYPE(0)))))))))))</f>
        <v>2.0509999999999944</v>
      </c>
      <c r="B101" s="1296" t="s">
        <v>366</v>
      </c>
      <c r="C101" s="1286">
        <v>1</v>
      </c>
      <c r="D101" s="1278" t="s">
        <v>329</v>
      </c>
      <c r="E101" s="1279"/>
      <c r="F101" s="1280">
        <f t="shared" si="25"/>
        <v>0</v>
      </c>
    </row>
    <row r="102" spans="1:6" s="631" customFormat="1">
      <c r="A102" s="1284">
        <f ca="1">IFERROR(IF(OFFSET(A102,-1,0)&gt;0,OFFSET(A102,-1,0)+0.001,ERROR.TYPE(0)),IFERROR(IF(OFFSET(A102,-2,0)&gt;0,OFFSET(A102,-2,0)+0.001,ERROR.TYPE(0)),IFERROR(IF(OFFSET(A102,-3,0)&gt;0,OFFSET(A102,-3,0)+0.001,ERROR.TYPE(0)),IFERROR(IF(OFFSET(A102,-4,0)&gt;0,OFFSET(A102,-4,0)+0.001,ERROR.TYPE(0)),IFERROR(IF(OFFSET(A102,-5,0)&gt;0,OFFSET(A102,-5,0)+0.001,ERROR.TYPE(0)),IFERROR(IF(OFFSET(A102,-6,0)&gt;0,OFFSET(A102,-6,0)+0.001,ERROR.TYPE(0)),IFERROR(IF(OFFSET(A102,-7,0)&gt;0,OFFSET(A102,-7,0)+0.001,ERROR.TYPE(0)),IFERROR(IF(OFFSET(A102,-8,0)&gt;0,OFFSET(A102,-8,0)+0.001,ERROR.TYPE(0)),IFERROR(IF(OFFSET(A102,-9,0)&gt;0,OFFSET(A102,-9,0)+0.001,ERROR.TYPE(0)),IFERROR(IF(OFFSET(A102,-10,0)&gt;0,OFFSET(A102,-10,0)+0.001,ERROR.TYPE(0)),ERROR.TYPE(0)))))))))))</f>
        <v>2.0519999999999943</v>
      </c>
      <c r="B102" s="1296" t="s">
        <v>348</v>
      </c>
      <c r="C102" s="1286">
        <v>3</v>
      </c>
      <c r="D102" s="1278" t="s">
        <v>329</v>
      </c>
      <c r="E102" s="1279"/>
      <c r="F102" s="1280">
        <f t="shared" si="25"/>
        <v>0</v>
      </c>
    </row>
    <row r="103" spans="1:6" s="631" customFormat="1">
      <c r="A103" s="1284">
        <f ca="1">IFERROR(IF(OFFSET(A103,-1,0)&gt;0,OFFSET(A103,-1,0)+0.001,ERROR.TYPE(0)),IFERROR(IF(OFFSET(A103,-2,0)&gt;0,OFFSET(A103,-2,0)+0.001,ERROR.TYPE(0)),IFERROR(IF(OFFSET(A103,-3,0)&gt;0,OFFSET(A103,-3,0)+0.001,ERROR.TYPE(0)),IFERROR(IF(OFFSET(A103,-4,0)&gt;0,OFFSET(A103,-4,0)+0.001,ERROR.TYPE(0)),IFERROR(IF(OFFSET(A103,-5,0)&gt;0,OFFSET(A103,-5,0)+0.001,ERROR.TYPE(0)),IFERROR(IF(OFFSET(A103,-6,0)&gt;0,OFFSET(A103,-6,0)+0.001,ERROR.TYPE(0)),IFERROR(IF(OFFSET(A103,-7,0)&gt;0,OFFSET(A103,-7,0)+0.001,ERROR.TYPE(0)),IFERROR(IF(OFFSET(A103,-8,0)&gt;0,OFFSET(A103,-8,0)+0.001,ERROR.TYPE(0)),IFERROR(IF(OFFSET(A103,-9,0)&gt;0,OFFSET(A103,-9,0)+0.001,ERROR.TYPE(0)),IFERROR(IF(OFFSET(A103,-10,0)&gt;0,OFFSET(A103,-10,0)+0.001,ERROR.TYPE(0)),ERROR.TYPE(0)))))))))))</f>
        <v>2.0529999999999942</v>
      </c>
      <c r="B103" s="1296" t="s">
        <v>356</v>
      </c>
      <c r="C103" s="1286">
        <v>3</v>
      </c>
      <c r="D103" s="1278" t="s">
        <v>329</v>
      </c>
      <c r="E103" s="1279"/>
      <c r="F103" s="1280">
        <f>IFERROR($C103*E103,E103)</f>
        <v>0</v>
      </c>
    </row>
    <row r="104" spans="1:6" s="631" customFormat="1">
      <c r="A104" s="1284">
        <f t="shared" ref="A104" ca="1" si="26">IFERROR(IF(OFFSET(A104,-1,0)&gt;0,OFFSET(A104,-1,0)+0.001,ERROR.TYPE(0)),IFERROR(IF(OFFSET(A104,-2,0)&gt;0,OFFSET(A104,-2,0)+0.001,ERROR.TYPE(0)),IFERROR(IF(OFFSET(A104,-3,0)&gt;0,OFFSET(A104,-3,0)+0.001,ERROR.TYPE(0)),IFERROR(IF(OFFSET(A104,-4,0)&gt;0,OFFSET(A104,-4,0)+0.001,ERROR.TYPE(0)),IFERROR(IF(OFFSET(A104,-5,0)&gt;0,OFFSET(A104,-5,0)+0.001,ERROR.TYPE(0)),IFERROR(IF(OFFSET(A104,-6,0)&gt;0,OFFSET(A104,-6,0)+0.001,ERROR.TYPE(0)),IFERROR(IF(OFFSET(A104,-7,0)&gt;0,OFFSET(A104,-7,0)+0.001,ERROR.TYPE(0)),IFERROR(IF(OFFSET(A104,-8,0)&gt;0,OFFSET(A104,-8,0)+0.001,ERROR.TYPE(0)),IFERROR(IF(OFFSET(A104,-9,0)&gt;0,OFFSET(A104,-9,0)+0.001,ERROR.TYPE(0)),IFERROR(IF(OFFSET(A104,-10,0)&gt;0,OFFSET(A104,-10,0)+0.001,ERROR.TYPE(0)),ERROR.TYPE(0)))))))))))</f>
        <v>2.0539999999999941</v>
      </c>
      <c r="B104" s="1296" t="s">
        <v>349</v>
      </c>
      <c r="C104" s="1286">
        <v>3</v>
      </c>
      <c r="D104" s="1278" t="s">
        <v>329</v>
      </c>
      <c r="E104" s="1279"/>
      <c r="F104" s="1280">
        <f t="shared" ref="F104" si="27">IFERROR($C104*E104,E104)</f>
        <v>0</v>
      </c>
    </row>
    <row r="105" spans="1:6" s="631" customFormat="1">
      <c r="A105" s="1284"/>
      <c r="B105" s="1293" t="s">
        <v>346</v>
      </c>
      <c r="C105" s="1286"/>
      <c r="D105" s="1278" t="s">
        <v>7</v>
      </c>
      <c r="E105" s="1294"/>
      <c r="F105" s="1280"/>
    </row>
    <row r="106" spans="1:6" s="631" customFormat="1">
      <c r="A106" s="1284">
        <f t="shared" ref="A106" ca="1" si="28">IFERROR(IF(OFFSET(A106,-1,0)&gt;0,OFFSET(A106,-1,0)+0.001,ERROR.TYPE(0)),IFERROR(IF(OFFSET(A106,-2,0)&gt;0,OFFSET(A106,-2,0)+0.001,ERROR.TYPE(0)),IFERROR(IF(OFFSET(A106,-3,0)&gt;0,OFFSET(A106,-3,0)+0.001,ERROR.TYPE(0)),IFERROR(IF(OFFSET(A106,-4,0)&gt;0,OFFSET(A106,-4,0)+0.001,ERROR.TYPE(0)),IFERROR(IF(OFFSET(A106,-5,0)&gt;0,OFFSET(A106,-5,0)+0.001,ERROR.TYPE(0)),IFERROR(IF(OFFSET(A106,-6,0)&gt;0,OFFSET(A106,-6,0)+0.001,ERROR.TYPE(0)),IFERROR(IF(OFFSET(A106,-7,0)&gt;0,OFFSET(A106,-7,0)+0.001,ERROR.TYPE(0)),IFERROR(IF(OFFSET(A106,-8,0)&gt;0,OFFSET(A106,-8,0)+0.001,ERROR.TYPE(0)),IFERROR(IF(OFFSET(A106,-9,0)&gt;0,OFFSET(A106,-9,0)+0.001,ERROR.TYPE(0)),IFERROR(IF(OFFSET(A106,-10,0)&gt;0,OFFSET(A106,-10,0)+0.001,ERROR.TYPE(0)),ERROR.TYPE(0)))))))))))</f>
        <v>2.0549999999999939</v>
      </c>
      <c r="B106" s="1285" t="s">
        <v>357</v>
      </c>
      <c r="C106" s="1286">
        <v>18</v>
      </c>
      <c r="D106" s="1278" t="s">
        <v>329</v>
      </c>
      <c r="E106" s="1279"/>
      <c r="F106" s="1280">
        <f t="shared" ref="F106" si="29">IFERROR($C106*E106,E106)</f>
        <v>0</v>
      </c>
    </row>
    <row r="107" spans="1:6" s="631" customFormat="1">
      <c r="A107" s="1284">
        <f ca="1">IFERROR(IF(OFFSET(A107,-1,0)&gt;0,OFFSET(A107,-1,0)+0.001,ERROR.TYPE(0)),IFERROR(IF(OFFSET(A107,-2,0)&gt;0,OFFSET(A107,-2,0)+0.001,ERROR.TYPE(0)),IFERROR(IF(OFFSET(A107,-3,0)&gt;0,OFFSET(A107,-3,0)+0.001,ERROR.TYPE(0)),IFERROR(IF(OFFSET(A107,-4,0)&gt;0,OFFSET(A107,-4,0)+0.001,ERROR.TYPE(0)),IFERROR(IF(OFFSET(A107,-5,0)&gt;0,OFFSET(A107,-5,0)+0.001,ERROR.TYPE(0)),IFERROR(IF(OFFSET(A107,-6,0)&gt;0,OFFSET(A107,-6,0)+0.001,ERROR.TYPE(0)),IFERROR(IF(OFFSET(A107,-7,0)&gt;0,OFFSET(A107,-7,0)+0.001,ERROR.TYPE(0)),IFERROR(IF(OFFSET(A107,-8,0)&gt;0,OFFSET(A107,-8,0)+0.001,ERROR.TYPE(0)),IFERROR(IF(OFFSET(A107,-9,0)&gt;0,OFFSET(A107,-9,0)+0.001,ERROR.TYPE(0)),IFERROR(IF(OFFSET(A107,-10,0)&gt;0,OFFSET(A107,-10,0)+0.001,ERROR.TYPE(0)),ERROR.TYPE(0)))))))))))</f>
        <v>2.0559999999999938</v>
      </c>
      <c r="B107" s="1296" t="s">
        <v>345</v>
      </c>
      <c r="C107" s="1286">
        <v>1</v>
      </c>
      <c r="D107" s="1278" t="s">
        <v>329</v>
      </c>
      <c r="E107" s="1279"/>
      <c r="F107" s="1280">
        <f>IFERROR($C107*E107,E107)</f>
        <v>0</v>
      </c>
    </row>
    <row r="108" spans="1:6" s="631" customFormat="1">
      <c r="A108" s="1284">
        <f ca="1">IFERROR(IF(OFFSET(A108,-1,0)&gt;0,OFFSET(A108,-1,0)+0.001,ERROR.TYPE(0)),IFERROR(IF(OFFSET(A108,-2,0)&gt;0,OFFSET(A108,-2,0)+0.001,ERROR.TYPE(0)),IFERROR(IF(OFFSET(A108,-3,0)&gt;0,OFFSET(A108,-3,0)+0.001,ERROR.TYPE(0)),IFERROR(IF(OFFSET(A108,-4,0)&gt;0,OFFSET(A108,-4,0)+0.001,ERROR.TYPE(0)),IFERROR(IF(OFFSET(A108,-5,0)&gt;0,OFFSET(A108,-5,0)+0.001,ERROR.TYPE(0)),IFERROR(IF(OFFSET(A108,-6,0)&gt;0,OFFSET(A108,-6,0)+0.001,ERROR.TYPE(0)),IFERROR(IF(OFFSET(A108,-7,0)&gt;0,OFFSET(A108,-7,0)+0.001,ERROR.TYPE(0)),IFERROR(IF(OFFSET(A108,-8,0)&gt;0,OFFSET(A108,-8,0)+0.001,ERROR.TYPE(0)),IFERROR(IF(OFFSET(A108,-9,0)&gt;0,OFFSET(A108,-9,0)+0.001,ERROR.TYPE(0)),IFERROR(IF(OFFSET(A108,-10,0)&gt;0,OFFSET(A108,-10,0)+0.001,ERROR.TYPE(0)),ERROR.TYPE(0)))))))))))</f>
        <v>2.0569999999999937</v>
      </c>
      <c r="B108" s="1296" t="s">
        <v>358</v>
      </c>
      <c r="C108" s="1286">
        <v>1</v>
      </c>
      <c r="D108" s="1278" t="s">
        <v>329</v>
      </c>
      <c r="E108" s="1279"/>
      <c r="F108" s="1280">
        <f>IFERROR($C108*E108,E108)</f>
        <v>0</v>
      </c>
    </row>
    <row r="109" spans="1:6" s="631" customFormat="1">
      <c r="A109" s="1284">
        <f t="shared" ref="A109:A110" ca="1" si="30">IFERROR(IF(OFFSET(A109,-1,0)&gt;0,OFFSET(A109,-1,0)+0.001,ERROR.TYPE(0)),IFERROR(IF(OFFSET(A109,-2,0)&gt;0,OFFSET(A109,-2,0)+0.001,ERROR.TYPE(0)),IFERROR(IF(OFFSET(A109,-3,0)&gt;0,OFFSET(A109,-3,0)+0.001,ERROR.TYPE(0)),IFERROR(IF(OFFSET(A109,-4,0)&gt;0,OFFSET(A109,-4,0)+0.001,ERROR.TYPE(0)),IFERROR(IF(OFFSET(A109,-5,0)&gt;0,OFFSET(A109,-5,0)+0.001,ERROR.TYPE(0)),IFERROR(IF(OFFSET(A109,-6,0)&gt;0,OFFSET(A109,-6,0)+0.001,ERROR.TYPE(0)),IFERROR(IF(OFFSET(A109,-7,0)&gt;0,OFFSET(A109,-7,0)+0.001,ERROR.TYPE(0)),IFERROR(IF(OFFSET(A109,-8,0)&gt;0,OFFSET(A109,-8,0)+0.001,ERROR.TYPE(0)),IFERROR(IF(OFFSET(A109,-9,0)&gt;0,OFFSET(A109,-9,0)+0.001,ERROR.TYPE(0)),IFERROR(IF(OFFSET(A109,-10,0)&gt;0,OFFSET(A109,-10,0)+0.001,ERROR.TYPE(0)),ERROR.TYPE(0)))))))))))</f>
        <v>2.0579999999999936</v>
      </c>
      <c r="B109" s="1296" t="s">
        <v>359</v>
      </c>
      <c r="C109" s="1286">
        <v>2</v>
      </c>
      <c r="D109" s="1278" t="s">
        <v>329</v>
      </c>
      <c r="E109" s="1279"/>
      <c r="F109" s="1280">
        <f t="shared" ref="F109:F110" si="31">IFERROR($C109*E109,E109)</f>
        <v>0</v>
      </c>
    </row>
    <row r="110" spans="1:6" s="631" customFormat="1">
      <c r="A110" s="1284">
        <f t="shared" ca="1" si="30"/>
        <v>2.0589999999999935</v>
      </c>
      <c r="B110" s="1296" t="s">
        <v>367</v>
      </c>
      <c r="C110" s="1286">
        <v>1</v>
      </c>
      <c r="D110" s="1278" t="s">
        <v>329</v>
      </c>
      <c r="E110" s="1279"/>
      <c r="F110" s="1280">
        <f t="shared" si="31"/>
        <v>0</v>
      </c>
    </row>
    <row r="111" spans="1:6" s="631" customFormat="1">
      <c r="A111" s="1284"/>
      <c r="B111" s="1288" t="s">
        <v>368</v>
      </c>
      <c r="C111" s="1289"/>
      <c r="D111" s="1290"/>
      <c r="E111" s="1291"/>
      <c r="F111" s="1280"/>
    </row>
    <row r="112" spans="1:6" s="631" customFormat="1" ht="55.2">
      <c r="A112" s="1292"/>
      <c r="B112" s="1293" t="s">
        <v>363</v>
      </c>
      <c r="C112" s="1286"/>
      <c r="D112" s="1278"/>
      <c r="E112" s="1294"/>
      <c r="F112" s="1295"/>
    </row>
    <row r="113" spans="1:6" s="631" customFormat="1">
      <c r="A113" s="1284">
        <f ca="1">IFERROR(IF(OFFSET(A113,-1,0)&gt;0,OFFSET(A113,-1,0)+0.001,ERROR.TYPE(0)),IFERROR(IF(OFFSET(A113,-2,0)&gt;0,OFFSET(A113,-2,0)+0.001,ERROR.TYPE(0)),IFERROR(IF(OFFSET(A113,-3,0)&gt;0,OFFSET(A113,-3,0)+0.001,ERROR.TYPE(0)),IFERROR(IF(OFFSET(A113,-4,0)&gt;0,OFFSET(A113,-4,0)+0.001,ERROR.TYPE(0)),IFERROR(IF(OFFSET(A113,-5,0)&gt;0,OFFSET(A113,-5,0)+0.001,ERROR.TYPE(0)),IFERROR(IF(OFFSET(A113,-6,0)&gt;0,OFFSET(A113,-6,0)+0.001,ERROR.TYPE(0)),IFERROR(IF(OFFSET(A113,-7,0)&gt;0,OFFSET(A113,-7,0)+0.001,ERROR.TYPE(0)),IFERROR(IF(OFFSET(A113,-8,0)&gt;0,OFFSET(A113,-8,0)+0.001,ERROR.TYPE(0)),IFERROR(IF(OFFSET(A113,-9,0)&gt;0,OFFSET(A113,-9,0)+0.001,ERROR.TYPE(0)),IFERROR(IF(OFFSET(A113,-10,0)&gt;0,OFFSET(A113,-10,0)+0.001,ERROR.TYPE(0)),ERROR.TYPE(0)))))))))))</f>
        <v>2.0599999999999934</v>
      </c>
      <c r="B113" s="1296" t="s">
        <v>364</v>
      </c>
      <c r="C113" s="1286">
        <v>2</v>
      </c>
      <c r="D113" s="1278" t="s">
        <v>329</v>
      </c>
      <c r="E113" s="1279"/>
      <c r="F113" s="1280">
        <f t="shared" ref="F113:F115" si="32">IFERROR($C113*E113,E113)</f>
        <v>0</v>
      </c>
    </row>
    <row r="114" spans="1:6" s="631" customFormat="1">
      <c r="A114" s="1284">
        <f ca="1">IFERROR(IF(OFFSET(A114,-1,0)&gt;0,OFFSET(A114,-1,0)+0.001,ERROR.TYPE(0)),IFERROR(IF(OFFSET(A114,-2,0)&gt;0,OFFSET(A114,-2,0)+0.001,ERROR.TYPE(0)),IFERROR(IF(OFFSET(A114,-3,0)&gt;0,OFFSET(A114,-3,0)+0.001,ERROR.TYPE(0)),IFERROR(IF(OFFSET(A114,-4,0)&gt;0,OFFSET(A114,-4,0)+0.001,ERROR.TYPE(0)),IFERROR(IF(OFFSET(A114,-5,0)&gt;0,OFFSET(A114,-5,0)+0.001,ERROR.TYPE(0)),IFERROR(IF(OFFSET(A114,-6,0)&gt;0,OFFSET(A114,-6,0)+0.001,ERROR.TYPE(0)),IFERROR(IF(OFFSET(A114,-7,0)&gt;0,OFFSET(A114,-7,0)+0.001,ERROR.TYPE(0)),IFERROR(IF(OFFSET(A114,-8,0)&gt;0,OFFSET(A114,-8,0)+0.001,ERROR.TYPE(0)),IFERROR(IF(OFFSET(A114,-9,0)&gt;0,OFFSET(A114,-9,0)+0.001,ERROR.TYPE(0)),IFERROR(IF(OFFSET(A114,-10,0)&gt;0,OFFSET(A114,-10,0)+0.001,ERROR.TYPE(0)),ERROR.TYPE(0)))))))))))</f>
        <v>2.0609999999999933</v>
      </c>
      <c r="B114" s="1296" t="s">
        <v>348</v>
      </c>
      <c r="C114" s="1286">
        <v>6</v>
      </c>
      <c r="D114" s="1278" t="s">
        <v>329</v>
      </c>
      <c r="E114" s="1279"/>
      <c r="F114" s="1280">
        <f t="shared" si="32"/>
        <v>0</v>
      </c>
    </row>
    <row r="115" spans="1:6" s="631" customFormat="1">
      <c r="A115" s="1284">
        <f t="shared" ref="A115:A118" ca="1" si="33">IFERROR(IF(OFFSET(A115,-1,0)&gt;0,OFFSET(A115,-1,0)+0.001,ERROR.TYPE(0)),IFERROR(IF(OFFSET(A115,-2,0)&gt;0,OFFSET(A115,-2,0)+0.001,ERROR.TYPE(0)),IFERROR(IF(OFFSET(A115,-3,0)&gt;0,OFFSET(A115,-3,0)+0.001,ERROR.TYPE(0)),IFERROR(IF(OFFSET(A115,-4,0)&gt;0,OFFSET(A115,-4,0)+0.001,ERROR.TYPE(0)),IFERROR(IF(OFFSET(A115,-5,0)&gt;0,OFFSET(A115,-5,0)+0.001,ERROR.TYPE(0)),IFERROR(IF(OFFSET(A115,-6,0)&gt;0,OFFSET(A115,-6,0)+0.001,ERROR.TYPE(0)),IFERROR(IF(OFFSET(A115,-7,0)&gt;0,OFFSET(A115,-7,0)+0.001,ERROR.TYPE(0)),IFERROR(IF(OFFSET(A115,-8,0)&gt;0,OFFSET(A115,-8,0)+0.001,ERROR.TYPE(0)),IFERROR(IF(OFFSET(A115,-9,0)&gt;0,OFFSET(A115,-9,0)+0.001,ERROR.TYPE(0)),IFERROR(IF(OFFSET(A115,-10,0)&gt;0,OFFSET(A115,-10,0)+0.001,ERROR.TYPE(0)),ERROR.TYPE(0)))))))))))</f>
        <v>2.0619999999999932</v>
      </c>
      <c r="B115" s="1296" t="s">
        <v>349</v>
      </c>
      <c r="C115" s="1286">
        <v>6</v>
      </c>
      <c r="D115" s="1278" t="s">
        <v>329</v>
      </c>
      <c r="E115" s="1279"/>
      <c r="F115" s="1280">
        <f t="shared" si="32"/>
        <v>0</v>
      </c>
    </row>
    <row r="116" spans="1:6" s="631" customFormat="1">
      <c r="A116" s="1284">
        <f ca="1">IFERROR(IF(OFFSET(A116,-1,0)&gt;0,OFFSET(A116,-1,0)+0.001,ERROR.TYPE(0)),IFERROR(IF(OFFSET(A116,-2,0)&gt;0,OFFSET(A116,-2,0)+0.001,ERROR.TYPE(0)),IFERROR(IF(OFFSET(A116,-3,0)&gt;0,OFFSET(A116,-3,0)+0.001,ERROR.TYPE(0)),IFERROR(IF(OFFSET(A116,-4,0)&gt;0,OFFSET(A116,-4,0)+0.001,ERROR.TYPE(0)),IFERROR(IF(OFFSET(A116,-5,0)&gt;0,OFFSET(A116,-5,0)+0.001,ERROR.TYPE(0)),IFERROR(IF(OFFSET(A116,-6,0)&gt;0,OFFSET(A116,-6,0)+0.001,ERROR.TYPE(0)),IFERROR(IF(OFFSET(A116,-7,0)&gt;0,OFFSET(A116,-7,0)+0.001,ERROR.TYPE(0)),IFERROR(IF(OFFSET(A116,-8,0)&gt;0,OFFSET(A116,-8,0)+0.001,ERROR.TYPE(0)),IFERROR(IF(OFFSET(A116,-9,0)&gt;0,OFFSET(A116,-9,0)+0.001,ERROR.TYPE(0)),IFERROR(IF(OFFSET(A116,-10,0)&gt;0,OFFSET(A116,-10,0)+0.001,ERROR.TYPE(0)),ERROR.TYPE(0)))))))))))</f>
        <v>2.0629999999999931</v>
      </c>
      <c r="B116" s="1296" t="s">
        <v>345</v>
      </c>
      <c r="C116" s="1286">
        <v>2</v>
      </c>
      <c r="D116" s="1278" t="s">
        <v>329</v>
      </c>
      <c r="E116" s="1279"/>
      <c r="F116" s="1280">
        <f>IFERROR($C116*E116,E116)</f>
        <v>0</v>
      </c>
    </row>
    <row r="117" spans="1:6" s="631" customFormat="1">
      <c r="A117" s="1284">
        <f t="shared" ca="1" si="33"/>
        <v>2.063999999999993</v>
      </c>
      <c r="B117" s="1296" t="s">
        <v>350</v>
      </c>
      <c r="C117" s="1286">
        <v>2</v>
      </c>
      <c r="D117" s="1278" t="s">
        <v>329</v>
      </c>
      <c r="E117" s="1279"/>
      <c r="F117" s="1280">
        <f t="shared" ref="F117:F118" si="34">IFERROR($C117*E117,E117)</f>
        <v>0</v>
      </c>
    </row>
    <row r="118" spans="1:6" s="631" customFormat="1">
      <c r="A118" s="1284">
        <f t="shared" ca="1" si="33"/>
        <v>2.0649999999999928</v>
      </c>
      <c r="B118" s="1296" t="s">
        <v>365</v>
      </c>
      <c r="C118" s="1286">
        <v>2</v>
      </c>
      <c r="D118" s="1278" t="s">
        <v>329</v>
      </c>
      <c r="E118" s="1279"/>
      <c r="F118" s="1280">
        <f t="shared" si="34"/>
        <v>0</v>
      </c>
    </row>
    <row r="119" spans="1:6" s="631" customFormat="1" ht="41.4">
      <c r="A119" s="1284"/>
      <c r="B119" s="1297" t="s">
        <v>353</v>
      </c>
      <c r="C119" s="1289"/>
      <c r="D119" s="1290"/>
      <c r="E119" s="1298"/>
      <c r="F119" s="1280"/>
    </row>
    <row r="120" spans="1:6" s="631" customFormat="1">
      <c r="A120" s="1284">
        <f ca="1">IFERROR(IF(OFFSET(A120,-1,0)&gt;0,OFFSET(A120,-1,0)+0.001,ERROR.TYPE(0)),IFERROR(IF(OFFSET(A120,-2,0)&gt;0,OFFSET(A120,-2,0)+0.001,ERROR.TYPE(0)),IFERROR(IF(OFFSET(A120,-3,0)&gt;0,OFFSET(A120,-3,0)+0.001,ERROR.TYPE(0)),IFERROR(IF(OFFSET(A120,-4,0)&gt;0,OFFSET(A120,-4,0)+0.001,ERROR.TYPE(0)),IFERROR(IF(OFFSET(A120,-5,0)&gt;0,OFFSET(A120,-5,0)+0.001,ERROR.TYPE(0)),IFERROR(IF(OFFSET(A120,-6,0)&gt;0,OFFSET(A120,-6,0)+0.001,ERROR.TYPE(0)),IFERROR(IF(OFFSET(A120,-7,0)&gt;0,OFFSET(A120,-7,0)+0.001,ERROR.TYPE(0)),IFERROR(IF(OFFSET(A120,-8,0)&gt;0,OFFSET(A120,-8,0)+0.001,ERROR.TYPE(0)),IFERROR(IF(OFFSET(A120,-9,0)&gt;0,OFFSET(A120,-9,0)+0.001,ERROR.TYPE(0)),IFERROR(IF(OFFSET(A120,-10,0)&gt;0,OFFSET(A120,-10,0)+0.001,ERROR.TYPE(0)),ERROR.TYPE(0)))))))))))</f>
        <v>2.0659999999999927</v>
      </c>
      <c r="B120" s="1296" t="s">
        <v>364</v>
      </c>
      <c r="C120" s="1286">
        <v>2</v>
      </c>
      <c r="D120" s="1278" t="s">
        <v>329</v>
      </c>
      <c r="E120" s="1279"/>
      <c r="F120" s="1280">
        <f t="shared" ref="F120:F123" si="35">IFERROR($C120*E120,E120)</f>
        <v>0</v>
      </c>
    </row>
    <row r="121" spans="1:6" s="631" customFormat="1">
      <c r="A121" s="1284">
        <f ca="1">IFERROR(IF(OFFSET(A121,-1,0)&gt;0,OFFSET(A121,-1,0)+0.001,ERROR.TYPE(0)),IFERROR(IF(OFFSET(A121,-2,0)&gt;0,OFFSET(A121,-2,0)+0.001,ERROR.TYPE(0)),IFERROR(IF(OFFSET(A121,-3,0)&gt;0,OFFSET(A121,-3,0)+0.001,ERROR.TYPE(0)),IFERROR(IF(OFFSET(A121,-4,0)&gt;0,OFFSET(A121,-4,0)+0.001,ERROR.TYPE(0)),IFERROR(IF(OFFSET(A121,-5,0)&gt;0,OFFSET(A121,-5,0)+0.001,ERROR.TYPE(0)),IFERROR(IF(OFFSET(A121,-6,0)&gt;0,OFFSET(A121,-6,0)+0.001,ERROR.TYPE(0)),IFERROR(IF(OFFSET(A121,-7,0)&gt;0,OFFSET(A121,-7,0)+0.001,ERROR.TYPE(0)),IFERROR(IF(OFFSET(A121,-8,0)&gt;0,OFFSET(A121,-8,0)+0.001,ERROR.TYPE(0)),IFERROR(IF(OFFSET(A121,-9,0)&gt;0,OFFSET(A121,-9,0)+0.001,ERROR.TYPE(0)),IFERROR(IF(OFFSET(A121,-10,0)&gt;0,OFFSET(A121,-10,0)+0.001,ERROR.TYPE(0)),ERROR.TYPE(0)))))))))))</f>
        <v>2.0669999999999926</v>
      </c>
      <c r="B121" s="1296" t="s">
        <v>348</v>
      </c>
      <c r="C121" s="1286">
        <v>6</v>
      </c>
      <c r="D121" s="1278" t="s">
        <v>329</v>
      </c>
      <c r="E121" s="1279"/>
      <c r="F121" s="1280">
        <f t="shared" si="35"/>
        <v>0</v>
      </c>
    </row>
    <row r="122" spans="1:6" s="631" customFormat="1">
      <c r="A122" s="1284">
        <f t="shared" ref="A122:A123" ca="1" si="36">IFERROR(IF(OFFSET(A122,-1,0)&gt;0,OFFSET(A122,-1,0)+0.001,ERROR.TYPE(0)),IFERROR(IF(OFFSET(A122,-2,0)&gt;0,OFFSET(A122,-2,0)+0.001,ERROR.TYPE(0)),IFERROR(IF(OFFSET(A122,-3,0)&gt;0,OFFSET(A122,-3,0)+0.001,ERROR.TYPE(0)),IFERROR(IF(OFFSET(A122,-4,0)&gt;0,OFFSET(A122,-4,0)+0.001,ERROR.TYPE(0)),IFERROR(IF(OFFSET(A122,-5,0)&gt;0,OFFSET(A122,-5,0)+0.001,ERROR.TYPE(0)),IFERROR(IF(OFFSET(A122,-6,0)&gt;0,OFFSET(A122,-6,0)+0.001,ERROR.TYPE(0)),IFERROR(IF(OFFSET(A122,-7,0)&gt;0,OFFSET(A122,-7,0)+0.001,ERROR.TYPE(0)),IFERROR(IF(OFFSET(A122,-8,0)&gt;0,OFFSET(A122,-8,0)+0.001,ERROR.TYPE(0)),IFERROR(IF(OFFSET(A122,-9,0)&gt;0,OFFSET(A122,-9,0)+0.001,ERROR.TYPE(0)),IFERROR(IF(OFFSET(A122,-10,0)&gt;0,OFFSET(A122,-10,0)+0.001,ERROR.TYPE(0)),ERROR.TYPE(0)))))))))))</f>
        <v>2.0679999999999925</v>
      </c>
      <c r="B122" s="1296" t="s">
        <v>354</v>
      </c>
      <c r="C122" s="1286">
        <v>6</v>
      </c>
      <c r="D122" s="1278" t="s">
        <v>329</v>
      </c>
      <c r="E122" s="1279"/>
      <c r="F122" s="1280">
        <f t="shared" si="35"/>
        <v>0</v>
      </c>
    </row>
    <row r="123" spans="1:6" s="631" customFormat="1">
      <c r="A123" s="1284">
        <f t="shared" ca="1" si="36"/>
        <v>2.0689999999999924</v>
      </c>
      <c r="B123" s="1296" t="s">
        <v>365</v>
      </c>
      <c r="C123" s="1286">
        <v>2</v>
      </c>
      <c r="D123" s="1278" t="s">
        <v>329</v>
      </c>
      <c r="E123" s="1279"/>
      <c r="F123" s="1280">
        <f t="shared" si="35"/>
        <v>0</v>
      </c>
    </row>
    <row r="124" spans="1:6" s="631" customFormat="1">
      <c r="A124" s="1284"/>
      <c r="B124" s="1293" t="s">
        <v>355</v>
      </c>
      <c r="C124" s="1286"/>
      <c r="D124" s="1278" t="s">
        <v>7</v>
      </c>
      <c r="E124" s="1294"/>
      <c r="F124" s="1280"/>
    </row>
    <row r="125" spans="1:6" s="631" customFormat="1">
      <c r="A125" s="1284">
        <f ca="1">IFERROR(IF(OFFSET(A125,-1,0)&gt;0,OFFSET(A125,-1,0)+0.001,ERROR.TYPE(0)),IFERROR(IF(OFFSET(A125,-2,0)&gt;0,OFFSET(A125,-2,0)+0.001,ERROR.TYPE(0)),IFERROR(IF(OFFSET(A125,-3,0)&gt;0,OFFSET(A125,-3,0)+0.001,ERROR.TYPE(0)),IFERROR(IF(OFFSET(A125,-4,0)&gt;0,OFFSET(A125,-4,0)+0.001,ERROR.TYPE(0)),IFERROR(IF(OFFSET(A125,-5,0)&gt;0,OFFSET(A125,-5,0)+0.001,ERROR.TYPE(0)),IFERROR(IF(OFFSET(A125,-6,0)&gt;0,OFFSET(A125,-6,0)+0.001,ERROR.TYPE(0)),IFERROR(IF(OFFSET(A125,-7,0)&gt;0,OFFSET(A125,-7,0)+0.001,ERROR.TYPE(0)),IFERROR(IF(OFFSET(A125,-8,0)&gt;0,OFFSET(A125,-8,0)+0.001,ERROR.TYPE(0)),IFERROR(IF(OFFSET(A125,-9,0)&gt;0,OFFSET(A125,-9,0)+0.001,ERROR.TYPE(0)),IFERROR(IF(OFFSET(A125,-10,0)&gt;0,OFFSET(A125,-10,0)+0.001,ERROR.TYPE(0)),ERROR.TYPE(0)))))))))))</f>
        <v>2.0699999999999923</v>
      </c>
      <c r="B125" s="1296" t="s">
        <v>364</v>
      </c>
      <c r="C125" s="1286">
        <v>2</v>
      </c>
      <c r="D125" s="1278" t="s">
        <v>329</v>
      </c>
      <c r="E125" s="1279"/>
      <c r="F125" s="1280">
        <f t="shared" ref="F125:F127" si="37">IFERROR($C125*E125,E125)</f>
        <v>0</v>
      </c>
    </row>
    <row r="126" spans="1:6" s="631" customFormat="1">
      <c r="A126" s="1284">
        <f ca="1">IFERROR(IF(OFFSET(A126,-1,0)&gt;0,OFFSET(A126,-1,0)+0.001,ERROR.TYPE(0)),IFERROR(IF(OFFSET(A126,-2,0)&gt;0,OFFSET(A126,-2,0)+0.001,ERROR.TYPE(0)),IFERROR(IF(OFFSET(A126,-3,0)&gt;0,OFFSET(A126,-3,0)+0.001,ERROR.TYPE(0)),IFERROR(IF(OFFSET(A126,-4,0)&gt;0,OFFSET(A126,-4,0)+0.001,ERROR.TYPE(0)),IFERROR(IF(OFFSET(A126,-5,0)&gt;0,OFFSET(A126,-5,0)+0.001,ERROR.TYPE(0)),IFERROR(IF(OFFSET(A126,-6,0)&gt;0,OFFSET(A126,-6,0)+0.001,ERROR.TYPE(0)),IFERROR(IF(OFFSET(A126,-7,0)&gt;0,OFFSET(A126,-7,0)+0.001,ERROR.TYPE(0)),IFERROR(IF(OFFSET(A126,-8,0)&gt;0,OFFSET(A126,-8,0)+0.001,ERROR.TYPE(0)),IFERROR(IF(OFFSET(A126,-9,0)&gt;0,OFFSET(A126,-9,0)+0.001,ERROR.TYPE(0)),IFERROR(IF(OFFSET(A126,-10,0)&gt;0,OFFSET(A126,-10,0)+0.001,ERROR.TYPE(0)),ERROR.TYPE(0)))))))))))</f>
        <v>2.0709999999999922</v>
      </c>
      <c r="B126" s="1296" t="s">
        <v>366</v>
      </c>
      <c r="C126" s="1286">
        <v>2</v>
      </c>
      <c r="D126" s="1278" t="s">
        <v>329</v>
      </c>
      <c r="E126" s="1279"/>
      <c r="F126" s="1280">
        <f t="shared" si="37"/>
        <v>0</v>
      </c>
    </row>
    <row r="127" spans="1:6" s="631" customFormat="1">
      <c r="A127" s="1284">
        <f ca="1">IFERROR(IF(OFFSET(A127,-1,0)&gt;0,OFFSET(A127,-1,0)+0.001,ERROR.TYPE(0)),IFERROR(IF(OFFSET(A127,-2,0)&gt;0,OFFSET(A127,-2,0)+0.001,ERROR.TYPE(0)),IFERROR(IF(OFFSET(A127,-3,0)&gt;0,OFFSET(A127,-3,0)+0.001,ERROR.TYPE(0)),IFERROR(IF(OFFSET(A127,-4,0)&gt;0,OFFSET(A127,-4,0)+0.001,ERROR.TYPE(0)),IFERROR(IF(OFFSET(A127,-5,0)&gt;0,OFFSET(A127,-5,0)+0.001,ERROR.TYPE(0)),IFERROR(IF(OFFSET(A127,-6,0)&gt;0,OFFSET(A127,-6,0)+0.001,ERROR.TYPE(0)),IFERROR(IF(OFFSET(A127,-7,0)&gt;0,OFFSET(A127,-7,0)+0.001,ERROR.TYPE(0)),IFERROR(IF(OFFSET(A127,-8,0)&gt;0,OFFSET(A127,-8,0)+0.001,ERROR.TYPE(0)),IFERROR(IF(OFFSET(A127,-9,0)&gt;0,OFFSET(A127,-9,0)+0.001,ERROR.TYPE(0)),IFERROR(IF(OFFSET(A127,-10,0)&gt;0,OFFSET(A127,-10,0)+0.001,ERROR.TYPE(0)),ERROR.TYPE(0)))))))))))</f>
        <v>2.0719999999999921</v>
      </c>
      <c r="B127" s="1296" t="s">
        <v>348</v>
      </c>
      <c r="C127" s="1286">
        <v>6</v>
      </c>
      <c r="D127" s="1278" t="s">
        <v>329</v>
      </c>
      <c r="E127" s="1279"/>
      <c r="F127" s="1280">
        <f t="shared" si="37"/>
        <v>0</v>
      </c>
    </row>
    <row r="128" spans="1:6" s="631" customFormat="1">
      <c r="A128" s="1284">
        <f ca="1">IFERROR(IF(OFFSET(A128,-1,0)&gt;0,OFFSET(A128,-1,0)+0.001,ERROR.TYPE(0)),IFERROR(IF(OFFSET(A128,-2,0)&gt;0,OFFSET(A128,-2,0)+0.001,ERROR.TYPE(0)),IFERROR(IF(OFFSET(A128,-3,0)&gt;0,OFFSET(A128,-3,0)+0.001,ERROR.TYPE(0)),IFERROR(IF(OFFSET(A128,-4,0)&gt;0,OFFSET(A128,-4,0)+0.001,ERROR.TYPE(0)),IFERROR(IF(OFFSET(A128,-5,0)&gt;0,OFFSET(A128,-5,0)+0.001,ERROR.TYPE(0)),IFERROR(IF(OFFSET(A128,-6,0)&gt;0,OFFSET(A128,-6,0)+0.001,ERROR.TYPE(0)),IFERROR(IF(OFFSET(A128,-7,0)&gt;0,OFFSET(A128,-7,0)+0.001,ERROR.TYPE(0)),IFERROR(IF(OFFSET(A128,-8,0)&gt;0,OFFSET(A128,-8,0)+0.001,ERROR.TYPE(0)),IFERROR(IF(OFFSET(A128,-9,0)&gt;0,OFFSET(A128,-9,0)+0.001,ERROR.TYPE(0)),IFERROR(IF(OFFSET(A128,-10,0)&gt;0,OFFSET(A128,-10,0)+0.001,ERROR.TYPE(0)),ERROR.TYPE(0)))))))))))</f>
        <v>2.072999999999992</v>
      </c>
      <c r="B128" s="1296" t="s">
        <v>356</v>
      </c>
      <c r="C128" s="1286">
        <v>6</v>
      </c>
      <c r="D128" s="1278" t="s">
        <v>329</v>
      </c>
      <c r="E128" s="1279"/>
      <c r="F128" s="1280">
        <f>IFERROR($C128*E128,E128)</f>
        <v>0</v>
      </c>
    </row>
    <row r="129" spans="1:6" s="631" customFormat="1">
      <c r="A129" s="1284">
        <f t="shared" ref="A129" ca="1" si="38">IFERROR(IF(OFFSET(A129,-1,0)&gt;0,OFFSET(A129,-1,0)+0.001,ERROR.TYPE(0)),IFERROR(IF(OFFSET(A129,-2,0)&gt;0,OFFSET(A129,-2,0)+0.001,ERROR.TYPE(0)),IFERROR(IF(OFFSET(A129,-3,0)&gt;0,OFFSET(A129,-3,0)+0.001,ERROR.TYPE(0)),IFERROR(IF(OFFSET(A129,-4,0)&gt;0,OFFSET(A129,-4,0)+0.001,ERROR.TYPE(0)),IFERROR(IF(OFFSET(A129,-5,0)&gt;0,OFFSET(A129,-5,0)+0.001,ERROR.TYPE(0)),IFERROR(IF(OFFSET(A129,-6,0)&gt;0,OFFSET(A129,-6,0)+0.001,ERROR.TYPE(0)),IFERROR(IF(OFFSET(A129,-7,0)&gt;0,OFFSET(A129,-7,0)+0.001,ERROR.TYPE(0)),IFERROR(IF(OFFSET(A129,-8,0)&gt;0,OFFSET(A129,-8,0)+0.001,ERROR.TYPE(0)),IFERROR(IF(OFFSET(A129,-9,0)&gt;0,OFFSET(A129,-9,0)+0.001,ERROR.TYPE(0)),IFERROR(IF(OFFSET(A129,-10,0)&gt;0,OFFSET(A129,-10,0)+0.001,ERROR.TYPE(0)),ERROR.TYPE(0)))))))))))</f>
        <v>2.0739999999999919</v>
      </c>
      <c r="B129" s="1296" t="s">
        <v>349</v>
      </c>
      <c r="C129" s="1286">
        <v>6</v>
      </c>
      <c r="D129" s="1278" t="s">
        <v>329</v>
      </c>
      <c r="E129" s="1279"/>
      <c r="F129" s="1280">
        <f t="shared" ref="F129" si="39">IFERROR($C129*E129,E129)</f>
        <v>0</v>
      </c>
    </row>
    <row r="130" spans="1:6" s="631" customFormat="1">
      <c r="A130" s="1284"/>
      <c r="B130" s="1293" t="s">
        <v>346</v>
      </c>
      <c r="C130" s="1286"/>
      <c r="D130" s="1278" t="s">
        <v>7</v>
      </c>
      <c r="E130" s="1294"/>
      <c r="F130" s="1280"/>
    </row>
    <row r="131" spans="1:6" s="631" customFormat="1">
      <c r="A131" s="1284">
        <f t="shared" ref="A131" ca="1" si="40">IFERROR(IF(OFFSET(A131,-1,0)&gt;0,OFFSET(A131,-1,0)+0.001,ERROR.TYPE(0)),IFERROR(IF(OFFSET(A131,-2,0)&gt;0,OFFSET(A131,-2,0)+0.001,ERROR.TYPE(0)),IFERROR(IF(OFFSET(A131,-3,0)&gt;0,OFFSET(A131,-3,0)+0.001,ERROR.TYPE(0)),IFERROR(IF(OFFSET(A131,-4,0)&gt;0,OFFSET(A131,-4,0)+0.001,ERROR.TYPE(0)),IFERROR(IF(OFFSET(A131,-5,0)&gt;0,OFFSET(A131,-5,0)+0.001,ERROR.TYPE(0)),IFERROR(IF(OFFSET(A131,-6,0)&gt;0,OFFSET(A131,-6,0)+0.001,ERROR.TYPE(0)),IFERROR(IF(OFFSET(A131,-7,0)&gt;0,OFFSET(A131,-7,0)+0.001,ERROR.TYPE(0)),IFERROR(IF(OFFSET(A131,-8,0)&gt;0,OFFSET(A131,-8,0)+0.001,ERROR.TYPE(0)),IFERROR(IF(OFFSET(A131,-9,0)&gt;0,OFFSET(A131,-9,0)+0.001,ERROR.TYPE(0)),IFERROR(IF(OFFSET(A131,-10,0)&gt;0,OFFSET(A131,-10,0)+0.001,ERROR.TYPE(0)),ERROR.TYPE(0)))))))))))</f>
        <v>2.0749999999999917</v>
      </c>
      <c r="B131" s="1285" t="s">
        <v>357</v>
      </c>
      <c r="C131" s="1286">
        <v>28</v>
      </c>
      <c r="D131" s="1278" t="s">
        <v>329</v>
      </c>
      <c r="E131" s="1279"/>
      <c r="F131" s="1280">
        <f t="shared" ref="F131" si="41">IFERROR($C131*E131,E131)</f>
        <v>0</v>
      </c>
    </row>
    <row r="132" spans="1:6" s="631" customFormat="1">
      <c r="A132" s="1284">
        <f ca="1">IFERROR(IF(OFFSET(A132,-1,0)&gt;0,OFFSET(A132,-1,0)+0.001,ERROR.TYPE(0)),IFERROR(IF(OFFSET(A132,-2,0)&gt;0,OFFSET(A132,-2,0)+0.001,ERROR.TYPE(0)),IFERROR(IF(OFFSET(A132,-3,0)&gt;0,OFFSET(A132,-3,0)+0.001,ERROR.TYPE(0)),IFERROR(IF(OFFSET(A132,-4,0)&gt;0,OFFSET(A132,-4,0)+0.001,ERROR.TYPE(0)),IFERROR(IF(OFFSET(A132,-5,0)&gt;0,OFFSET(A132,-5,0)+0.001,ERROR.TYPE(0)),IFERROR(IF(OFFSET(A132,-6,0)&gt;0,OFFSET(A132,-6,0)+0.001,ERROR.TYPE(0)),IFERROR(IF(OFFSET(A132,-7,0)&gt;0,OFFSET(A132,-7,0)+0.001,ERROR.TYPE(0)),IFERROR(IF(OFFSET(A132,-8,0)&gt;0,OFFSET(A132,-8,0)+0.001,ERROR.TYPE(0)),IFERROR(IF(OFFSET(A132,-9,0)&gt;0,OFFSET(A132,-9,0)+0.001,ERROR.TYPE(0)),IFERROR(IF(OFFSET(A132,-10,0)&gt;0,OFFSET(A132,-10,0)+0.001,ERROR.TYPE(0)),ERROR.TYPE(0)))))))))))</f>
        <v>2.0759999999999916</v>
      </c>
      <c r="B132" s="1296" t="s">
        <v>345</v>
      </c>
      <c r="C132" s="1286">
        <v>2</v>
      </c>
      <c r="D132" s="1278" t="s">
        <v>329</v>
      </c>
      <c r="E132" s="1279"/>
      <c r="F132" s="1280">
        <f>IFERROR($C132*E132,E132)</f>
        <v>0</v>
      </c>
    </row>
    <row r="133" spans="1:6" s="631" customFormat="1">
      <c r="A133" s="1284">
        <f ca="1">IFERROR(IF(OFFSET(A133,-1,0)&gt;0,OFFSET(A133,-1,0)+0.001,ERROR.TYPE(0)),IFERROR(IF(OFFSET(A133,-2,0)&gt;0,OFFSET(A133,-2,0)+0.001,ERROR.TYPE(0)),IFERROR(IF(OFFSET(A133,-3,0)&gt;0,OFFSET(A133,-3,0)+0.001,ERROR.TYPE(0)),IFERROR(IF(OFFSET(A133,-4,0)&gt;0,OFFSET(A133,-4,0)+0.001,ERROR.TYPE(0)),IFERROR(IF(OFFSET(A133,-5,0)&gt;0,OFFSET(A133,-5,0)+0.001,ERROR.TYPE(0)),IFERROR(IF(OFFSET(A133,-6,0)&gt;0,OFFSET(A133,-6,0)+0.001,ERROR.TYPE(0)),IFERROR(IF(OFFSET(A133,-7,0)&gt;0,OFFSET(A133,-7,0)+0.001,ERROR.TYPE(0)),IFERROR(IF(OFFSET(A133,-8,0)&gt;0,OFFSET(A133,-8,0)+0.001,ERROR.TYPE(0)),IFERROR(IF(OFFSET(A133,-9,0)&gt;0,OFFSET(A133,-9,0)+0.001,ERROR.TYPE(0)),IFERROR(IF(OFFSET(A133,-10,0)&gt;0,OFFSET(A133,-10,0)+0.001,ERROR.TYPE(0)),ERROR.TYPE(0)))))))))))</f>
        <v>2.0769999999999915</v>
      </c>
      <c r="B133" s="1296" t="s">
        <v>358</v>
      </c>
      <c r="C133" s="1286">
        <v>1</v>
      </c>
      <c r="D133" s="1278" t="s">
        <v>329</v>
      </c>
      <c r="E133" s="1279"/>
      <c r="F133" s="1280">
        <f>IFERROR($C133*E133,E133)</f>
        <v>0</v>
      </c>
    </row>
    <row r="134" spans="1:6" s="631" customFormat="1">
      <c r="A134" s="1284">
        <f t="shared" ref="A134:A135" ca="1" si="42">IFERROR(IF(OFFSET(A134,-1,0)&gt;0,OFFSET(A134,-1,0)+0.001,ERROR.TYPE(0)),IFERROR(IF(OFFSET(A134,-2,0)&gt;0,OFFSET(A134,-2,0)+0.001,ERROR.TYPE(0)),IFERROR(IF(OFFSET(A134,-3,0)&gt;0,OFFSET(A134,-3,0)+0.001,ERROR.TYPE(0)),IFERROR(IF(OFFSET(A134,-4,0)&gt;0,OFFSET(A134,-4,0)+0.001,ERROR.TYPE(0)),IFERROR(IF(OFFSET(A134,-5,0)&gt;0,OFFSET(A134,-5,0)+0.001,ERROR.TYPE(0)),IFERROR(IF(OFFSET(A134,-6,0)&gt;0,OFFSET(A134,-6,0)+0.001,ERROR.TYPE(0)),IFERROR(IF(OFFSET(A134,-7,0)&gt;0,OFFSET(A134,-7,0)+0.001,ERROR.TYPE(0)),IFERROR(IF(OFFSET(A134,-8,0)&gt;0,OFFSET(A134,-8,0)+0.001,ERROR.TYPE(0)),IFERROR(IF(OFFSET(A134,-9,0)&gt;0,OFFSET(A134,-9,0)+0.001,ERROR.TYPE(0)),IFERROR(IF(OFFSET(A134,-10,0)&gt;0,OFFSET(A134,-10,0)+0.001,ERROR.TYPE(0)),ERROR.TYPE(0)))))))))))</f>
        <v>2.0779999999999914</v>
      </c>
      <c r="B134" s="1296" t="s">
        <v>369</v>
      </c>
      <c r="C134" s="1286">
        <v>1</v>
      </c>
      <c r="D134" s="1278" t="s">
        <v>329</v>
      </c>
      <c r="E134" s="1279"/>
      <c r="F134" s="1280">
        <f t="shared" ref="F134:F135" si="43">IFERROR($C134*E134,E134)</f>
        <v>0</v>
      </c>
    </row>
    <row r="135" spans="1:6" s="631" customFormat="1">
      <c r="A135" s="1284">
        <f t="shared" ca="1" si="42"/>
        <v>2.0789999999999913</v>
      </c>
      <c r="B135" s="1296" t="s">
        <v>367</v>
      </c>
      <c r="C135" s="1286">
        <v>2</v>
      </c>
      <c r="D135" s="1278" t="s">
        <v>329</v>
      </c>
      <c r="E135" s="1279"/>
      <c r="F135" s="1280">
        <f t="shared" si="43"/>
        <v>0</v>
      </c>
    </row>
    <row r="136" spans="1:6" s="631" customFormat="1">
      <c r="A136" s="1292"/>
      <c r="B136" s="1273" t="s">
        <v>370</v>
      </c>
      <c r="C136" s="1492" t="s">
        <v>305</v>
      </c>
      <c r="D136" s="1493"/>
      <c r="E136" s="1275"/>
      <c r="F136" s="1299">
        <f>SUM(F87:F135)</f>
        <v>0</v>
      </c>
    </row>
    <row r="137" spans="1:6">
      <c r="A137" s="1300"/>
      <c r="B137" s="1301"/>
      <c r="C137" s="1302"/>
      <c r="D137" s="1302"/>
      <c r="E137" s="1303"/>
      <c r="F137" s="1304"/>
    </row>
    <row r="138" spans="1:6">
      <c r="A138" s="1300"/>
      <c r="B138" s="1301"/>
      <c r="C138" s="1302"/>
      <c r="D138" s="1302"/>
      <c r="E138" s="1303"/>
      <c r="F138" s="1304"/>
    </row>
    <row r="139" spans="1:6" s="631" customFormat="1" ht="27.6">
      <c r="A139" s="1267" t="s">
        <v>143</v>
      </c>
      <c r="B139" s="1268" t="s">
        <v>198</v>
      </c>
      <c r="C139" s="1269" t="s">
        <v>199</v>
      </c>
      <c r="D139" s="1269" t="s">
        <v>200</v>
      </c>
      <c r="E139" s="1270" t="s">
        <v>294</v>
      </c>
      <c r="F139" s="1271" t="s">
        <v>295</v>
      </c>
    </row>
    <row r="140" spans="1:6" s="631" customFormat="1">
      <c r="A140" s="1284"/>
      <c r="B140" s="1288" t="s">
        <v>371</v>
      </c>
      <c r="C140" s="1289"/>
      <c r="D140" s="1290"/>
      <c r="E140" s="1291"/>
      <c r="F140" s="1280"/>
    </row>
    <row r="141" spans="1:6" s="631" customFormat="1" ht="55.2">
      <c r="A141" s="1292"/>
      <c r="B141" s="1293" t="s">
        <v>363</v>
      </c>
      <c r="C141" s="1286"/>
      <c r="D141" s="1278"/>
      <c r="E141" s="1294"/>
      <c r="F141" s="1295"/>
    </row>
    <row r="142" spans="1:6" s="631" customFormat="1">
      <c r="A142" s="1284">
        <f ca="1">IFERROR(IF(OFFSET(A142,-1,0)&gt;0,OFFSET(A142,-1,0)+0.001,ERROR.TYPE(0)),IFERROR(IF(OFFSET(A142,-2,0)&gt;0,OFFSET(A142,-2,0)+0.001,ERROR.TYPE(0)),IFERROR(IF(OFFSET(A142,-3,0)&gt;0,OFFSET(A142,-3,0)+0.001,ERROR.TYPE(0)),IFERROR(IF(OFFSET(A142,-4,0)&gt;0,OFFSET(A142,-4,0)+0.001,ERROR.TYPE(0)),IFERROR(IF(OFFSET(A142,-5,0)&gt;0,OFFSET(A142,-5,0)+0.001,ERROR.TYPE(0)),IFERROR(IF(OFFSET(A142,-6,0)&gt;0,OFFSET(A142,-6,0)+0.001,ERROR.TYPE(0)),IFERROR(IF(OFFSET(A142,-7,0)&gt;0,OFFSET(A142,-7,0)+0.001,ERROR.TYPE(0)),IFERROR(IF(OFFSET(A142,-8,0)&gt;0,OFFSET(A142,-8,0)+0.001,ERROR.TYPE(0)),IFERROR(IF(OFFSET(A142,-9,0)&gt;0,OFFSET(A142,-9,0)+0.001,ERROR.TYPE(0)),IFERROR(IF(OFFSET(A142,-10,0)&gt;0,OFFSET(A142,-10,0)+0.001,ERROR.TYPE(0)),ERROR.TYPE(0)))))))))))</f>
        <v>2.0799999999999912</v>
      </c>
      <c r="B142" s="1296" t="s">
        <v>364</v>
      </c>
      <c r="C142" s="1286">
        <v>1</v>
      </c>
      <c r="D142" s="1278" t="s">
        <v>329</v>
      </c>
      <c r="E142" s="1279"/>
      <c r="F142" s="1280">
        <f t="shared" ref="F142:F144" si="44">IFERROR($C142*E142,E142)</f>
        <v>0</v>
      </c>
    </row>
    <row r="143" spans="1:6" s="631" customFormat="1">
      <c r="A143" s="1284">
        <f ca="1">IFERROR(IF(OFFSET(A143,-1,0)&gt;0,OFFSET(A143,-1,0)+0.001,ERROR.TYPE(0)),IFERROR(IF(OFFSET(A143,-2,0)&gt;0,OFFSET(A143,-2,0)+0.001,ERROR.TYPE(0)),IFERROR(IF(OFFSET(A143,-3,0)&gt;0,OFFSET(A143,-3,0)+0.001,ERROR.TYPE(0)),IFERROR(IF(OFFSET(A143,-4,0)&gt;0,OFFSET(A143,-4,0)+0.001,ERROR.TYPE(0)),IFERROR(IF(OFFSET(A143,-5,0)&gt;0,OFFSET(A143,-5,0)+0.001,ERROR.TYPE(0)),IFERROR(IF(OFFSET(A143,-6,0)&gt;0,OFFSET(A143,-6,0)+0.001,ERROR.TYPE(0)),IFERROR(IF(OFFSET(A143,-7,0)&gt;0,OFFSET(A143,-7,0)+0.001,ERROR.TYPE(0)),IFERROR(IF(OFFSET(A143,-8,0)&gt;0,OFFSET(A143,-8,0)+0.001,ERROR.TYPE(0)),IFERROR(IF(OFFSET(A143,-9,0)&gt;0,OFFSET(A143,-9,0)+0.001,ERROR.TYPE(0)),IFERROR(IF(OFFSET(A143,-10,0)&gt;0,OFFSET(A143,-10,0)+0.001,ERROR.TYPE(0)),ERROR.TYPE(0)))))))))))</f>
        <v>2.0809999999999911</v>
      </c>
      <c r="B143" s="1296" t="s">
        <v>348</v>
      </c>
      <c r="C143" s="1286">
        <v>3</v>
      </c>
      <c r="D143" s="1278" t="s">
        <v>329</v>
      </c>
      <c r="E143" s="1279"/>
      <c r="F143" s="1280">
        <f t="shared" si="44"/>
        <v>0</v>
      </c>
    </row>
    <row r="144" spans="1:6" s="631" customFormat="1">
      <c r="A144" s="1284">
        <f t="shared" ref="A144:A147" ca="1" si="45">IFERROR(IF(OFFSET(A144,-1,0)&gt;0,OFFSET(A144,-1,0)+0.001,ERROR.TYPE(0)),IFERROR(IF(OFFSET(A144,-2,0)&gt;0,OFFSET(A144,-2,0)+0.001,ERROR.TYPE(0)),IFERROR(IF(OFFSET(A144,-3,0)&gt;0,OFFSET(A144,-3,0)+0.001,ERROR.TYPE(0)),IFERROR(IF(OFFSET(A144,-4,0)&gt;0,OFFSET(A144,-4,0)+0.001,ERROR.TYPE(0)),IFERROR(IF(OFFSET(A144,-5,0)&gt;0,OFFSET(A144,-5,0)+0.001,ERROR.TYPE(0)),IFERROR(IF(OFFSET(A144,-6,0)&gt;0,OFFSET(A144,-6,0)+0.001,ERROR.TYPE(0)),IFERROR(IF(OFFSET(A144,-7,0)&gt;0,OFFSET(A144,-7,0)+0.001,ERROR.TYPE(0)),IFERROR(IF(OFFSET(A144,-8,0)&gt;0,OFFSET(A144,-8,0)+0.001,ERROR.TYPE(0)),IFERROR(IF(OFFSET(A144,-9,0)&gt;0,OFFSET(A144,-9,0)+0.001,ERROR.TYPE(0)),IFERROR(IF(OFFSET(A144,-10,0)&gt;0,OFFSET(A144,-10,0)+0.001,ERROR.TYPE(0)),ERROR.TYPE(0)))))))))))</f>
        <v>2.081999999999991</v>
      </c>
      <c r="B144" s="1296" t="s">
        <v>349</v>
      </c>
      <c r="C144" s="1286">
        <v>3</v>
      </c>
      <c r="D144" s="1278" t="s">
        <v>329</v>
      </c>
      <c r="E144" s="1279"/>
      <c r="F144" s="1280">
        <f t="shared" si="44"/>
        <v>0</v>
      </c>
    </row>
    <row r="145" spans="1:6" s="631" customFormat="1">
      <c r="A145" s="1284">
        <f ca="1">IFERROR(IF(OFFSET(A145,-1,0)&gt;0,OFFSET(A145,-1,0)+0.001,ERROR.TYPE(0)),IFERROR(IF(OFFSET(A145,-2,0)&gt;0,OFFSET(A145,-2,0)+0.001,ERROR.TYPE(0)),IFERROR(IF(OFFSET(A145,-3,0)&gt;0,OFFSET(A145,-3,0)+0.001,ERROR.TYPE(0)),IFERROR(IF(OFFSET(A145,-4,0)&gt;0,OFFSET(A145,-4,0)+0.001,ERROR.TYPE(0)),IFERROR(IF(OFFSET(A145,-5,0)&gt;0,OFFSET(A145,-5,0)+0.001,ERROR.TYPE(0)),IFERROR(IF(OFFSET(A145,-6,0)&gt;0,OFFSET(A145,-6,0)+0.001,ERROR.TYPE(0)),IFERROR(IF(OFFSET(A145,-7,0)&gt;0,OFFSET(A145,-7,0)+0.001,ERROR.TYPE(0)),IFERROR(IF(OFFSET(A145,-8,0)&gt;0,OFFSET(A145,-8,0)+0.001,ERROR.TYPE(0)),IFERROR(IF(OFFSET(A145,-9,0)&gt;0,OFFSET(A145,-9,0)+0.001,ERROR.TYPE(0)),IFERROR(IF(OFFSET(A145,-10,0)&gt;0,OFFSET(A145,-10,0)+0.001,ERROR.TYPE(0)),ERROR.TYPE(0)))))))))))</f>
        <v>2.0829999999999909</v>
      </c>
      <c r="B145" s="1296" t="s">
        <v>345</v>
      </c>
      <c r="C145" s="1286">
        <v>1</v>
      </c>
      <c r="D145" s="1278" t="s">
        <v>329</v>
      </c>
      <c r="E145" s="1279"/>
      <c r="F145" s="1280">
        <f>IFERROR($C145*E145,E145)</f>
        <v>0</v>
      </c>
    </row>
    <row r="146" spans="1:6" s="631" customFormat="1">
      <c r="A146" s="1284">
        <f t="shared" ca="1" si="45"/>
        <v>2.0839999999999907</v>
      </c>
      <c r="B146" s="1296" t="s">
        <v>350</v>
      </c>
      <c r="C146" s="1286">
        <v>1</v>
      </c>
      <c r="D146" s="1278" t="s">
        <v>329</v>
      </c>
      <c r="E146" s="1279"/>
      <c r="F146" s="1280">
        <f t="shared" ref="F146:F147" si="46">IFERROR($C146*E146,E146)</f>
        <v>0</v>
      </c>
    </row>
    <row r="147" spans="1:6" s="631" customFormat="1">
      <c r="A147" s="1284">
        <f t="shared" ca="1" si="45"/>
        <v>2.0849999999999906</v>
      </c>
      <c r="B147" s="1296" t="s">
        <v>365</v>
      </c>
      <c r="C147" s="1286">
        <v>1</v>
      </c>
      <c r="D147" s="1278" t="s">
        <v>329</v>
      </c>
      <c r="E147" s="1279"/>
      <c r="F147" s="1280">
        <f t="shared" si="46"/>
        <v>0</v>
      </c>
    </row>
    <row r="148" spans="1:6" s="631" customFormat="1" ht="41.4">
      <c r="A148" s="1284"/>
      <c r="B148" s="1297" t="s">
        <v>353</v>
      </c>
      <c r="C148" s="1289"/>
      <c r="D148" s="1290"/>
      <c r="E148" s="1298"/>
      <c r="F148" s="1280"/>
    </row>
    <row r="149" spans="1:6" s="631" customFormat="1">
      <c r="A149" s="1284">
        <f ca="1">IFERROR(IF(OFFSET(A149,-1,0)&gt;0,OFFSET(A149,-1,0)+0.001,ERROR.TYPE(0)),IFERROR(IF(OFFSET(A149,-2,0)&gt;0,OFFSET(A149,-2,0)+0.001,ERROR.TYPE(0)),IFERROR(IF(OFFSET(A149,-3,0)&gt;0,OFFSET(A149,-3,0)+0.001,ERROR.TYPE(0)),IFERROR(IF(OFFSET(A149,-4,0)&gt;0,OFFSET(A149,-4,0)+0.001,ERROR.TYPE(0)),IFERROR(IF(OFFSET(A149,-5,0)&gt;0,OFFSET(A149,-5,0)+0.001,ERROR.TYPE(0)),IFERROR(IF(OFFSET(A149,-6,0)&gt;0,OFFSET(A149,-6,0)+0.001,ERROR.TYPE(0)),IFERROR(IF(OFFSET(A149,-7,0)&gt;0,OFFSET(A149,-7,0)+0.001,ERROR.TYPE(0)),IFERROR(IF(OFFSET(A149,-8,0)&gt;0,OFFSET(A149,-8,0)+0.001,ERROR.TYPE(0)),IFERROR(IF(OFFSET(A149,-9,0)&gt;0,OFFSET(A149,-9,0)+0.001,ERROR.TYPE(0)),IFERROR(IF(OFFSET(A149,-10,0)&gt;0,OFFSET(A149,-10,0)+0.001,ERROR.TYPE(0)),ERROR.TYPE(0)))))))))))</f>
        <v>2.0859999999999905</v>
      </c>
      <c r="B149" s="1296" t="s">
        <v>364</v>
      </c>
      <c r="C149" s="1286">
        <v>1</v>
      </c>
      <c r="D149" s="1278" t="s">
        <v>329</v>
      </c>
      <c r="E149" s="1279"/>
      <c r="F149" s="1280">
        <f t="shared" ref="F149:F152" si="47">IFERROR($C149*E149,E149)</f>
        <v>0</v>
      </c>
    </row>
    <row r="150" spans="1:6" s="631" customFormat="1">
      <c r="A150" s="1284">
        <f ca="1">IFERROR(IF(OFFSET(A150,-1,0)&gt;0,OFFSET(A150,-1,0)+0.001,ERROR.TYPE(0)),IFERROR(IF(OFFSET(A150,-2,0)&gt;0,OFFSET(A150,-2,0)+0.001,ERROR.TYPE(0)),IFERROR(IF(OFFSET(A150,-3,0)&gt;0,OFFSET(A150,-3,0)+0.001,ERROR.TYPE(0)),IFERROR(IF(OFFSET(A150,-4,0)&gt;0,OFFSET(A150,-4,0)+0.001,ERROR.TYPE(0)),IFERROR(IF(OFFSET(A150,-5,0)&gt;0,OFFSET(A150,-5,0)+0.001,ERROR.TYPE(0)),IFERROR(IF(OFFSET(A150,-6,0)&gt;0,OFFSET(A150,-6,0)+0.001,ERROR.TYPE(0)),IFERROR(IF(OFFSET(A150,-7,0)&gt;0,OFFSET(A150,-7,0)+0.001,ERROR.TYPE(0)),IFERROR(IF(OFFSET(A150,-8,0)&gt;0,OFFSET(A150,-8,0)+0.001,ERROR.TYPE(0)),IFERROR(IF(OFFSET(A150,-9,0)&gt;0,OFFSET(A150,-9,0)+0.001,ERROR.TYPE(0)),IFERROR(IF(OFFSET(A150,-10,0)&gt;0,OFFSET(A150,-10,0)+0.001,ERROR.TYPE(0)),ERROR.TYPE(0)))))))))))</f>
        <v>2.0869999999999904</v>
      </c>
      <c r="B150" s="1296" t="s">
        <v>348</v>
      </c>
      <c r="C150" s="1286">
        <v>3</v>
      </c>
      <c r="D150" s="1278" t="s">
        <v>329</v>
      </c>
      <c r="E150" s="1279"/>
      <c r="F150" s="1280">
        <f t="shared" si="47"/>
        <v>0</v>
      </c>
    </row>
    <row r="151" spans="1:6" s="631" customFormat="1">
      <c r="A151" s="1284">
        <f t="shared" ref="A151:A152" ca="1" si="48">IFERROR(IF(OFFSET(A151,-1,0)&gt;0,OFFSET(A151,-1,0)+0.001,ERROR.TYPE(0)),IFERROR(IF(OFFSET(A151,-2,0)&gt;0,OFFSET(A151,-2,0)+0.001,ERROR.TYPE(0)),IFERROR(IF(OFFSET(A151,-3,0)&gt;0,OFFSET(A151,-3,0)+0.001,ERROR.TYPE(0)),IFERROR(IF(OFFSET(A151,-4,0)&gt;0,OFFSET(A151,-4,0)+0.001,ERROR.TYPE(0)),IFERROR(IF(OFFSET(A151,-5,0)&gt;0,OFFSET(A151,-5,0)+0.001,ERROR.TYPE(0)),IFERROR(IF(OFFSET(A151,-6,0)&gt;0,OFFSET(A151,-6,0)+0.001,ERROR.TYPE(0)),IFERROR(IF(OFFSET(A151,-7,0)&gt;0,OFFSET(A151,-7,0)+0.001,ERROR.TYPE(0)),IFERROR(IF(OFFSET(A151,-8,0)&gt;0,OFFSET(A151,-8,0)+0.001,ERROR.TYPE(0)),IFERROR(IF(OFFSET(A151,-9,0)&gt;0,OFFSET(A151,-9,0)+0.001,ERROR.TYPE(0)),IFERROR(IF(OFFSET(A151,-10,0)&gt;0,OFFSET(A151,-10,0)+0.001,ERROR.TYPE(0)),ERROR.TYPE(0)))))))))))</f>
        <v>2.0879999999999903</v>
      </c>
      <c r="B151" s="1296" t="s">
        <v>354</v>
      </c>
      <c r="C151" s="1286">
        <v>3</v>
      </c>
      <c r="D151" s="1278" t="s">
        <v>329</v>
      </c>
      <c r="E151" s="1279"/>
      <c r="F151" s="1280">
        <f t="shared" si="47"/>
        <v>0</v>
      </c>
    </row>
    <row r="152" spans="1:6" s="631" customFormat="1">
      <c r="A152" s="1284">
        <f t="shared" ca="1" si="48"/>
        <v>2.0889999999999902</v>
      </c>
      <c r="B152" s="1296" t="s">
        <v>372</v>
      </c>
      <c r="C152" s="1286">
        <v>1</v>
      </c>
      <c r="D152" s="1278" t="s">
        <v>329</v>
      </c>
      <c r="E152" s="1279"/>
      <c r="F152" s="1280">
        <f t="shared" si="47"/>
        <v>0</v>
      </c>
    </row>
    <row r="153" spans="1:6" s="631" customFormat="1">
      <c r="A153" s="1284"/>
      <c r="B153" s="1293" t="s">
        <v>355</v>
      </c>
      <c r="C153" s="1286"/>
      <c r="D153" s="1278" t="s">
        <v>7</v>
      </c>
      <c r="E153" s="1294"/>
      <c r="F153" s="1280"/>
    </row>
    <row r="154" spans="1:6" s="631" customFormat="1">
      <c r="A154" s="1284">
        <f ca="1">IFERROR(IF(OFFSET(A154,-1,0)&gt;0,OFFSET(A154,-1,0)+0.001,ERROR.TYPE(0)),IFERROR(IF(OFFSET(A154,-2,0)&gt;0,OFFSET(A154,-2,0)+0.001,ERROR.TYPE(0)),IFERROR(IF(OFFSET(A154,-3,0)&gt;0,OFFSET(A154,-3,0)+0.001,ERROR.TYPE(0)),IFERROR(IF(OFFSET(A154,-4,0)&gt;0,OFFSET(A154,-4,0)+0.001,ERROR.TYPE(0)),IFERROR(IF(OFFSET(A154,-5,0)&gt;0,OFFSET(A154,-5,0)+0.001,ERROR.TYPE(0)),IFERROR(IF(OFFSET(A154,-6,0)&gt;0,OFFSET(A154,-6,0)+0.001,ERROR.TYPE(0)),IFERROR(IF(OFFSET(A154,-7,0)&gt;0,OFFSET(A154,-7,0)+0.001,ERROR.TYPE(0)),IFERROR(IF(OFFSET(A154,-8,0)&gt;0,OFFSET(A154,-8,0)+0.001,ERROR.TYPE(0)),IFERROR(IF(OFFSET(A154,-9,0)&gt;0,OFFSET(A154,-9,0)+0.001,ERROR.TYPE(0)),IFERROR(IF(OFFSET(A154,-10,0)&gt;0,OFFSET(A154,-10,0)+0.001,ERROR.TYPE(0)),ERROR.TYPE(0)))))))))))</f>
        <v>2.0899999999999901</v>
      </c>
      <c r="B154" s="1296" t="s">
        <v>364</v>
      </c>
      <c r="C154" s="1286">
        <v>1</v>
      </c>
      <c r="D154" s="1278" t="s">
        <v>329</v>
      </c>
      <c r="E154" s="1279"/>
      <c r="F154" s="1280">
        <f t="shared" ref="F154:F156" si="49">IFERROR($C154*E154,E154)</f>
        <v>0</v>
      </c>
    </row>
    <row r="155" spans="1:6" s="631" customFormat="1">
      <c r="A155" s="1284">
        <f ca="1">IFERROR(IF(OFFSET(A155,-1,0)&gt;0,OFFSET(A155,-1,0)+0.001,ERROR.TYPE(0)),IFERROR(IF(OFFSET(A155,-2,0)&gt;0,OFFSET(A155,-2,0)+0.001,ERROR.TYPE(0)),IFERROR(IF(OFFSET(A155,-3,0)&gt;0,OFFSET(A155,-3,0)+0.001,ERROR.TYPE(0)),IFERROR(IF(OFFSET(A155,-4,0)&gt;0,OFFSET(A155,-4,0)+0.001,ERROR.TYPE(0)),IFERROR(IF(OFFSET(A155,-5,0)&gt;0,OFFSET(A155,-5,0)+0.001,ERROR.TYPE(0)),IFERROR(IF(OFFSET(A155,-6,0)&gt;0,OFFSET(A155,-6,0)+0.001,ERROR.TYPE(0)),IFERROR(IF(OFFSET(A155,-7,0)&gt;0,OFFSET(A155,-7,0)+0.001,ERROR.TYPE(0)),IFERROR(IF(OFFSET(A155,-8,0)&gt;0,OFFSET(A155,-8,0)+0.001,ERROR.TYPE(0)),IFERROR(IF(OFFSET(A155,-9,0)&gt;0,OFFSET(A155,-9,0)+0.001,ERROR.TYPE(0)),IFERROR(IF(OFFSET(A155,-10,0)&gt;0,OFFSET(A155,-10,0)+0.001,ERROR.TYPE(0)),ERROR.TYPE(0)))))))))))</f>
        <v>2.09099999999999</v>
      </c>
      <c r="B155" s="1296" t="s">
        <v>366</v>
      </c>
      <c r="C155" s="1286">
        <v>1</v>
      </c>
      <c r="D155" s="1278" t="s">
        <v>329</v>
      </c>
      <c r="E155" s="1279"/>
      <c r="F155" s="1280">
        <f t="shared" si="49"/>
        <v>0</v>
      </c>
    </row>
    <row r="156" spans="1:6" s="631" customFormat="1">
      <c r="A156" s="1284">
        <f ca="1">IFERROR(IF(OFFSET(A156,-1,0)&gt;0,OFFSET(A156,-1,0)+0.001,ERROR.TYPE(0)),IFERROR(IF(OFFSET(A156,-2,0)&gt;0,OFFSET(A156,-2,0)+0.001,ERROR.TYPE(0)),IFERROR(IF(OFFSET(A156,-3,0)&gt;0,OFFSET(A156,-3,0)+0.001,ERROR.TYPE(0)),IFERROR(IF(OFFSET(A156,-4,0)&gt;0,OFFSET(A156,-4,0)+0.001,ERROR.TYPE(0)),IFERROR(IF(OFFSET(A156,-5,0)&gt;0,OFFSET(A156,-5,0)+0.001,ERROR.TYPE(0)),IFERROR(IF(OFFSET(A156,-6,0)&gt;0,OFFSET(A156,-6,0)+0.001,ERROR.TYPE(0)),IFERROR(IF(OFFSET(A156,-7,0)&gt;0,OFFSET(A156,-7,0)+0.001,ERROR.TYPE(0)),IFERROR(IF(OFFSET(A156,-8,0)&gt;0,OFFSET(A156,-8,0)+0.001,ERROR.TYPE(0)),IFERROR(IF(OFFSET(A156,-9,0)&gt;0,OFFSET(A156,-9,0)+0.001,ERROR.TYPE(0)),IFERROR(IF(OFFSET(A156,-10,0)&gt;0,OFFSET(A156,-10,0)+0.001,ERROR.TYPE(0)),ERROR.TYPE(0)))))))))))</f>
        <v>2.0919999999999899</v>
      </c>
      <c r="B156" s="1296" t="s">
        <v>348</v>
      </c>
      <c r="C156" s="1286">
        <v>3</v>
      </c>
      <c r="D156" s="1278" t="s">
        <v>329</v>
      </c>
      <c r="E156" s="1279"/>
      <c r="F156" s="1280">
        <f t="shared" si="49"/>
        <v>0</v>
      </c>
    </row>
    <row r="157" spans="1:6" s="631" customFormat="1">
      <c r="A157" s="1284">
        <f ca="1">IFERROR(IF(OFFSET(A157,-1,0)&gt;0,OFFSET(A157,-1,0)+0.001,ERROR.TYPE(0)),IFERROR(IF(OFFSET(A157,-2,0)&gt;0,OFFSET(A157,-2,0)+0.001,ERROR.TYPE(0)),IFERROR(IF(OFFSET(A157,-3,0)&gt;0,OFFSET(A157,-3,0)+0.001,ERROR.TYPE(0)),IFERROR(IF(OFFSET(A157,-4,0)&gt;0,OFFSET(A157,-4,0)+0.001,ERROR.TYPE(0)),IFERROR(IF(OFFSET(A157,-5,0)&gt;0,OFFSET(A157,-5,0)+0.001,ERROR.TYPE(0)),IFERROR(IF(OFFSET(A157,-6,0)&gt;0,OFFSET(A157,-6,0)+0.001,ERROR.TYPE(0)),IFERROR(IF(OFFSET(A157,-7,0)&gt;0,OFFSET(A157,-7,0)+0.001,ERROR.TYPE(0)),IFERROR(IF(OFFSET(A157,-8,0)&gt;0,OFFSET(A157,-8,0)+0.001,ERROR.TYPE(0)),IFERROR(IF(OFFSET(A157,-9,0)&gt;0,OFFSET(A157,-9,0)+0.001,ERROR.TYPE(0)),IFERROR(IF(OFFSET(A157,-10,0)&gt;0,OFFSET(A157,-10,0)+0.001,ERROR.TYPE(0)),ERROR.TYPE(0)))))))))))</f>
        <v>2.0929999999999898</v>
      </c>
      <c r="B157" s="1296" t="s">
        <v>356</v>
      </c>
      <c r="C157" s="1286">
        <v>3</v>
      </c>
      <c r="D157" s="1278" t="s">
        <v>329</v>
      </c>
      <c r="E157" s="1279"/>
      <c r="F157" s="1280">
        <f>IFERROR($C157*E157,E157)</f>
        <v>0</v>
      </c>
    </row>
    <row r="158" spans="1:6" s="631" customFormat="1">
      <c r="A158" s="1284">
        <f t="shared" ref="A158" ca="1" si="50">IFERROR(IF(OFFSET(A158,-1,0)&gt;0,OFFSET(A158,-1,0)+0.001,ERROR.TYPE(0)),IFERROR(IF(OFFSET(A158,-2,0)&gt;0,OFFSET(A158,-2,0)+0.001,ERROR.TYPE(0)),IFERROR(IF(OFFSET(A158,-3,0)&gt;0,OFFSET(A158,-3,0)+0.001,ERROR.TYPE(0)),IFERROR(IF(OFFSET(A158,-4,0)&gt;0,OFFSET(A158,-4,0)+0.001,ERROR.TYPE(0)),IFERROR(IF(OFFSET(A158,-5,0)&gt;0,OFFSET(A158,-5,0)+0.001,ERROR.TYPE(0)),IFERROR(IF(OFFSET(A158,-6,0)&gt;0,OFFSET(A158,-6,0)+0.001,ERROR.TYPE(0)),IFERROR(IF(OFFSET(A158,-7,0)&gt;0,OFFSET(A158,-7,0)+0.001,ERROR.TYPE(0)),IFERROR(IF(OFFSET(A158,-8,0)&gt;0,OFFSET(A158,-8,0)+0.001,ERROR.TYPE(0)),IFERROR(IF(OFFSET(A158,-9,0)&gt;0,OFFSET(A158,-9,0)+0.001,ERROR.TYPE(0)),IFERROR(IF(OFFSET(A158,-10,0)&gt;0,OFFSET(A158,-10,0)+0.001,ERROR.TYPE(0)),ERROR.TYPE(0)))))))))))</f>
        <v>2.0939999999999896</v>
      </c>
      <c r="B158" s="1296" t="s">
        <v>349</v>
      </c>
      <c r="C158" s="1286">
        <v>3</v>
      </c>
      <c r="D158" s="1278" t="s">
        <v>329</v>
      </c>
      <c r="E158" s="1279"/>
      <c r="F158" s="1280">
        <f t="shared" ref="F158" si="51">IFERROR($C158*E158,E158)</f>
        <v>0</v>
      </c>
    </row>
    <row r="159" spans="1:6" s="631" customFormat="1">
      <c r="A159" s="1284"/>
      <c r="B159" s="1293" t="s">
        <v>346</v>
      </c>
      <c r="C159" s="1286"/>
      <c r="D159" s="1278" t="s">
        <v>7</v>
      </c>
      <c r="E159" s="1294"/>
      <c r="F159" s="1280"/>
    </row>
    <row r="160" spans="1:6" s="631" customFormat="1">
      <c r="A160" s="1284">
        <f t="shared" ref="A160" ca="1" si="52">IFERROR(IF(OFFSET(A160,-1,0)&gt;0,OFFSET(A160,-1,0)+0.001,ERROR.TYPE(0)),IFERROR(IF(OFFSET(A160,-2,0)&gt;0,OFFSET(A160,-2,0)+0.001,ERROR.TYPE(0)),IFERROR(IF(OFFSET(A160,-3,0)&gt;0,OFFSET(A160,-3,0)+0.001,ERROR.TYPE(0)),IFERROR(IF(OFFSET(A160,-4,0)&gt;0,OFFSET(A160,-4,0)+0.001,ERROR.TYPE(0)),IFERROR(IF(OFFSET(A160,-5,0)&gt;0,OFFSET(A160,-5,0)+0.001,ERROR.TYPE(0)),IFERROR(IF(OFFSET(A160,-6,0)&gt;0,OFFSET(A160,-6,0)+0.001,ERROR.TYPE(0)),IFERROR(IF(OFFSET(A160,-7,0)&gt;0,OFFSET(A160,-7,0)+0.001,ERROR.TYPE(0)),IFERROR(IF(OFFSET(A160,-8,0)&gt;0,OFFSET(A160,-8,0)+0.001,ERROR.TYPE(0)),IFERROR(IF(OFFSET(A160,-9,0)&gt;0,OFFSET(A160,-9,0)+0.001,ERROR.TYPE(0)),IFERROR(IF(OFFSET(A160,-10,0)&gt;0,OFFSET(A160,-10,0)+0.001,ERROR.TYPE(0)),ERROR.TYPE(0)))))))))))</f>
        <v>2.0949999999999895</v>
      </c>
      <c r="B160" s="1285" t="s">
        <v>357</v>
      </c>
      <c r="C160" s="1286">
        <v>14</v>
      </c>
      <c r="D160" s="1278" t="s">
        <v>329</v>
      </c>
      <c r="E160" s="1279"/>
      <c r="F160" s="1280">
        <f t="shared" ref="F160" si="53">IFERROR($C160*E160,E160)</f>
        <v>0</v>
      </c>
    </row>
    <row r="161" spans="1:6" s="631" customFormat="1">
      <c r="A161" s="1284">
        <f ca="1">IFERROR(IF(OFFSET(A161,-1,0)&gt;0,OFFSET(A161,-1,0)+0.001,ERROR.TYPE(0)),IFERROR(IF(OFFSET(A161,-2,0)&gt;0,OFFSET(A161,-2,0)+0.001,ERROR.TYPE(0)),IFERROR(IF(OFFSET(A161,-3,0)&gt;0,OFFSET(A161,-3,0)+0.001,ERROR.TYPE(0)),IFERROR(IF(OFFSET(A161,-4,0)&gt;0,OFFSET(A161,-4,0)+0.001,ERROR.TYPE(0)),IFERROR(IF(OFFSET(A161,-5,0)&gt;0,OFFSET(A161,-5,0)+0.001,ERROR.TYPE(0)),IFERROR(IF(OFFSET(A161,-6,0)&gt;0,OFFSET(A161,-6,0)+0.001,ERROR.TYPE(0)),IFERROR(IF(OFFSET(A161,-7,0)&gt;0,OFFSET(A161,-7,0)+0.001,ERROR.TYPE(0)),IFERROR(IF(OFFSET(A161,-8,0)&gt;0,OFFSET(A161,-8,0)+0.001,ERROR.TYPE(0)),IFERROR(IF(OFFSET(A161,-9,0)&gt;0,OFFSET(A161,-9,0)+0.001,ERROR.TYPE(0)),IFERROR(IF(OFFSET(A161,-10,0)&gt;0,OFFSET(A161,-10,0)+0.001,ERROR.TYPE(0)),ERROR.TYPE(0)))))))))))</f>
        <v>2.0959999999999894</v>
      </c>
      <c r="B161" s="1296" t="s">
        <v>345</v>
      </c>
      <c r="C161" s="1286">
        <v>1</v>
      </c>
      <c r="D161" s="1278" t="s">
        <v>329</v>
      </c>
      <c r="E161" s="1279"/>
      <c r="F161" s="1280">
        <f>IFERROR($C161*E161,E161)</f>
        <v>0</v>
      </c>
    </row>
    <row r="162" spans="1:6" s="631" customFormat="1">
      <c r="A162" s="1284">
        <f ca="1">IFERROR(IF(OFFSET(A162,-1,0)&gt;0,OFFSET(A162,-1,0)+0.001,ERROR.TYPE(0)),IFERROR(IF(OFFSET(A162,-2,0)&gt;0,OFFSET(A162,-2,0)+0.001,ERROR.TYPE(0)),IFERROR(IF(OFFSET(A162,-3,0)&gt;0,OFFSET(A162,-3,0)+0.001,ERROR.TYPE(0)),IFERROR(IF(OFFSET(A162,-4,0)&gt;0,OFFSET(A162,-4,0)+0.001,ERROR.TYPE(0)),IFERROR(IF(OFFSET(A162,-5,0)&gt;0,OFFSET(A162,-5,0)+0.001,ERROR.TYPE(0)),IFERROR(IF(OFFSET(A162,-6,0)&gt;0,OFFSET(A162,-6,0)+0.001,ERROR.TYPE(0)),IFERROR(IF(OFFSET(A162,-7,0)&gt;0,OFFSET(A162,-7,0)+0.001,ERROR.TYPE(0)),IFERROR(IF(OFFSET(A162,-8,0)&gt;0,OFFSET(A162,-8,0)+0.001,ERROR.TYPE(0)),IFERROR(IF(OFFSET(A162,-9,0)&gt;0,OFFSET(A162,-9,0)+0.001,ERROR.TYPE(0)),IFERROR(IF(OFFSET(A162,-10,0)&gt;0,OFFSET(A162,-10,0)+0.001,ERROR.TYPE(0)),ERROR.TYPE(0)))))))))))</f>
        <v>2.0969999999999893</v>
      </c>
      <c r="B162" s="1296" t="s">
        <v>358</v>
      </c>
      <c r="C162" s="1286">
        <v>1</v>
      </c>
      <c r="D162" s="1278" t="s">
        <v>329</v>
      </c>
      <c r="E162" s="1279"/>
      <c r="F162" s="1280">
        <f>IFERROR($C162*E162,E162)</f>
        <v>0</v>
      </c>
    </row>
    <row r="163" spans="1:6" s="631" customFormat="1">
      <c r="A163" s="1277"/>
      <c r="B163" s="1273" t="s">
        <v>373</v>
      </c>
      <c r="C163" s="1278"/>
      <c r="D163" s="1278"/>
      <c r="E163" s="1279"/>
      <c r="F163" s="1280"/>
    </row>
    <row r="164" spans="1:6" s="631" customFormat="1">
      <c r="A164" s="1284"/>
      <c r="B164" s="1293" t="s">
        <v>374</v>
      </c>
      <c r="C164" s="1286"/>
      <c r="D164" s="1278"/>
      <c r="E164" s="1294"/>
      <c r="F164" s="1280"/>
    </row>
    <row r="165" spans="1:6" s="631" customFormat="1">
      <c r="A165" s="1284">
        <f t="shared" ref="A165:A171" ca="1" si="54">IFERROR(IF(OFFSET(A165,-1,0)&gt;0,OFFSET(A165,-1,0)+0.001,ERROR.TYPE(0)),IFERROR(IF(OFFSET(A165,-2,0)&gt;0,OFFSET(A165,-2,0)+0.001,ERROR.TYPE(0)),IFERROR(IF(OFFSET(A165,-3,0)&gt;0,OFFSET(A165,-3,0)+0.001,ERROR.TYPE(0)),IFERROR(IF(OFFSET(A165,-4,0)&gt;0,OFFSET(A165,-4,0)+0.001,ERROR.TYPE(0)),IFERROR(IF(OFFSET(A165,-5,0)&gt;0,OFFSET(A165,-5,0)+0.001,ERROR.TYPE(0)),IFERROR(IF(OFFSET(A165,-6,0)&gt;0,OFFSET(A165,-6,0)+0.001,ERROR.TYPE(0)),IFERROR(IF(OFFSET(A165,-7,0)&gt;0,OFFSET(A165,-7,0)+0.001,ERROR.TYPE(0)),IFERROR(IF(OFFSET(A165,-8,0)&gt;0,OFFSET(A165,-8,0)+0.001,ERROR.TYPE(0)),IFERROR(IF(OFFSET(A165,-9,0)&gt;0,OFFSET(A165,-9,0)+0.001,ERROR.TYPE(0)),IFERROR(IF(OFFSET(A165,-10,0)&gt;0,OFFSET(A165,-10,0)+0.001,ERROR.TYPE(0)),ERROR.TYPE(0)))))))))))</f>
        <v>2.0979999999999892</v>
      </c>
      <c r="B165" s="1305" t="s">
        <v>375</v>
      </c>
      <c r="C165" s="1286">
        <v>1</v>
      </c>
      <c r="D165" s="1278" t="s">
        <v>329</v>
      </c>
      <c r="E165" s="1279"/>
      <c r="F165" s="1280">
        <f t="shared" ref="F165:F167" si="55">IFERROR($C165*E165,E165)</f>
        <v>0</v>
      </c>
    </row>
    <row r="166" spans="1:6" s="631" customFormat="1" ht="27.6">
      <c r="A166" s="1284">
        <f t="shared" ca="1" si="54"/>
        <v>2.0989999999999891</v>
      </c>
      <c r="B166" s="1305" t="s">
        <v>376</v>
      </c>
      <c r="C166" s="1286">
        <v>1</v>
      </c>
      <c r="D166" s="1278" t="s">
        <v>329</v>
      </c>
      <c r="E166" s="1279"/>
      <c r="F166" s="1280">
        <f t="shared" si="55"/>
        <v>0</v>
      </c>
    </row>
    <row r="167" spans="1:6" s="631" customFormat="1" ht="41.4">
      <c r="A167" s="1284">
        <f t="shared" ca="1" si="54"/>
        <v>2.099999999999989</v>
      </c>
      <c r="B167" s="1305" t="s">
        <v>377</v>
      </c>
      <c r="C167" s="1286">
        <v>1</v>
      </c>
      <c r="D167" s="1278" t="s">
        <v>329</v>
      </c>
      <c r="E167" s="1279"/>
      <c r="F167" s="1280">
        <f t="shared" si="55"/>
        <v>0</v>
      </c>
    </row>
    <row r="168" spans="1:6" s="631" customFormat="1" ht="55.2">
      <c r="A168" s="1284"/>
      <c r="B168" s="1282" t="s">
        <v>378</v>
      </c>
      <c r="C168" s="1306"/>
      <c r="D168" s="1307"/>
      <c r="E168" s="1308"/>
      <c r="F168" s="1280"/>
    </row>
    <row r="169" spans="1:6" s="631" customFormat="1">
      <c r="A169" s="1284">
        <f t="shared" ca="1" si="54"/>
        <v>2.1009999999999889</v>
      </c>
      <c r="B169" s="1285" t="s">
        <v>3838</v>
      </c>
      <c r="C169" s="1286">
        <v>1</v>
      </c>
      <c r="D169" s="1278" t="s">
        <v>329</v>
      </c>
      <c r="E169" s="1279"/>
      <c r="F169" s="1280">
        <f t="shared" ref="F169:F171" si="56">IFERROR($C169*E169,E169)</f>
        <v>0</v>
      </c>
    </row>
    <row r="170" spans="1:6" s="631" customFormat="1">
      <c r="A170" s="1284">
        <f t="shared" ca="1" si="54"/>
        <v>2.1019999999999888</v>
      </c>
      <c r="B170" s="1285" t="s">
        <v>3839</v>
      </c>
      <c r="C170" s="1286">
        <v>1</v>
      </c>
      <c r="D170" s="1278" t="s">
        <v>329</v>
      </c>
      <c r="E170" s="1279"/>
      <c r="F170" s="1280">
        <f t="shared" si="56"/>
        <v>0</v>
      </c>
    </row>
    <row r="171" spans="1:6" s="631" customFormat="1">
      <c r="A171" s="1284">
        <f t="shared" ca="1" si="54"/>
        <v>2.1029999999999887</v>
      </c>
      <c r="B171" s="1285" t="s">
        <v>3840</v>
      </c>
      <c r="C171" s="1286">
        <v>1</v>
      </c>
      <c r="D171" s="1278" t="s">
        <v>329</v>
      </c>
      <c r="E171" s="1279"/>
      <c r="F171" s="1280">
        <f t="shared" si="56"/>
        <v>0</v>
      </c>
    </row>
    <row r="172" spans="1:6" s="631" customFormat="1">
      <c r="A172" s="1284"/>
      <c r="B172" s="1288" t="s">
        <v>379</v>
      </c>
      <c r="C172" s="1289"/>
      <c r="D172" s="1290"/>
      <c r="E172" s="1279"/>
      <c r="F172" s="1280"/>
    </row>
    <row r="173" spans="1:6" s="631" customFormat="1" ht="27.6">
      <c r="A173" s="1284">
        <f t="shared" ref="A173:A175" ca="1" si="57">IFERROR(IF(OFFSET(A173,-1,0)&gt;0,OFFSET(A173,-1,0)+0.001,ERROR.TYPE(0)),IFERROR(IF(OFFSET(A173,-2,0)&gt;0,OFFSET(A173,-2,0)+0.001,ERROR.TYPE(0)),IFERROR(IF(OFFSET(A173,-3,0)&gt;0,OFFSET(A173,-3,0)+0.001,ERROR.TYPE(0)),IFERROR(IF(OFFSET(A173,-4,0)&gt;0,OFFSET(A173,-4,0)+0.001,ERROR.TYPE(0)),IFERROR(IF(OFFSET(A173,-5,0)&gt;0,OFFSET(A173,-5,0)+0.001,ERROR.TYPE(0)),IFERROR(IF(OFFSET(A173,-6,0)&gt;0,OFFSET(A173,-6,0)+0.001,ERROR.TYPE(0)),IFERROR(IF(OFFSET(A173,-7,0)&gt;0,OFFSET(A173,-7,0)+0.001,ERROR.TYPE(0)),IFERROR(IF(OFFSET(A173,-8,0)&gt;0,OFFSET(A173,-8,0)+0.001,ERROR.TYPE(0)),IFERROR(IF(OFFSET(A173,-9,0)&gt;0,OFFSET(A173,-9,0)+0.001,ERROR.TYPE(0)),IFERROR(IF(OFFSET(A173,-10,0)&gt;0,OFFSET(A173,-10,0)+0.001,ERROR.TYPE(0)),ERROR.TYPE(0)))))))))))</f>
        <v>2.1039999999999885</v>
      </c>
      <c r="B173" s="1309" t="s">
        <v>380</v>
      </c>
      <c r="C173" s="1286">
        <v>1</v>
      </c>
      <c r="D173" s="1278" t="s">
        <v>299</v>
      </c>
      <c r="E173" s="1279"/>
      <c r="F173" s="1280">
        <f t="shared" ref="F173:F175" si="58">IFERROR($C173*E173,E173)</f>
        <v>0</v>
      </c>
    </row>
    <row r="174" spans="1:6" s="631" customFormat="1" ht="27.6">
      <c r="A174" s="1284">
        <f t="shared" ca="1" si="57"/>
        <v>2.1049999999999884</v>
      </c>
      <c r="B174" s="1285" t="s">
        <v>381</v>
      </c>
      <c r="C174" s="1286">
        <v>1</v>
      </c>
      <c r="D174" s="1278" t="s">
        <v>299</v>
      </c>
      <c r="E174" s="1279"/>
      <c r="F174" s="1280">
        <f t="shared" si="58"/>
        <v>0</v>
      </c>
    </row>
    <row r="175" spans="1:6" s="631" customFormat="1" ht="27.6">
      <c r="A175" s="1284">
        <f t="shared" ca="1" si="57"/>
        <v>2.1059999999999883</v>
      </c>
      <c r="B175" s="1310" t="s">
        <v>382</v>
      </c>
      <c r="C175" s="1290">
        <v>1</v>
      </c>
      <c r="D175" s="1311" t="s">
        <v>383</v>
      </c>
      <c r="E175" s="1279"/>
      <c r="F175" s="1280">
        <f t="shared" si="58"/>
        <v>0</v>
      </c>
    </row>
    <row r="176" spans="1:6" s="631" customFormat="1">
      <c r="A176" s="1272"/>
      <c r="B176" s="1273" t="s">
        <v>384</v>
      </c>
      <c r="C176" s="1458" t="s">
        <v>305</v>
      </c>
      <c r="D176" s="1459"/>
      <c r="E176" s="1312"/>
      <c r="F176" s="1299">
        <f>SUM(F141:F175)</f>
        <v>0</v>
      </c>
    </row>
    <row r="177" spans="1:6" s="631" customFormat="1">
      <c r="A177" s="1313"/>
      <c r="B177" s="1301"/>
      <c r="C177" s="1314"/>
      <c r="D177" s="1315"/>
      <c r="E177" s="1316"/>
      <c r="F177" s="1317"/>
    </row>
    <row r="178" spans="1:6" s="631" customFormat="1">
      <c r="A178" s="1272"/>
      <c r="B178" s="1273" t="s">
        <v>385</v>
      </c>
      <c r="C178" s="1458" t="s">
        <v>305</v>
      </c>
      <c r="D178" s="1459"/>
      <c r="E178" s="1318"/>
      <c r="F178" s="1276">
        <f>F176+F136+F81</f>
        <v>0</v>
      </c>
    </row>
    <row r="179" spans="1:6">
      <c r="A179" s="1313"/>
      <c r="B179" s="1301"/>
      <c r="C179" s="1314"/>
      <c r="D179" s="1315"/>
      <c r="E179" s="1316"/>
      <c r="F179" s="1317"/>
    </row>
    <row r="180" spans="1:6">
      <c r="A180" s="1313"/>
      <c r="B180" s="1301"/>
      <c r="C180" s="1314"/>
      <c r="D180" s="1315"/>
      <c r="E180" s="1316"/>
      <c r="F180" s="1317"/>
    </row>
    <row r="181" spans="1:6" s="631" customFormat="1" ht="27.6">
      <c r="A181" s="1267" t="s">
        <v>143</v>
      </c>
      <c r="B181" s="1268" t="s">
        <v>198</v>
      </c>
      <c r="C181" s="1269" t="s">
        <v>199</v>
      </c>
      <c r="D181" s="1269" t="s">
        <v>200</v>
      </c>
      <c r="E181" s="1270" t="s">
        <v>294</v>
      </c>
      <c r="F181" s="1271" t="s">
        <v>295</v>
      </c>
    </row>
    <row r="182" spans="1:6" s="631" customFormat="1">
      <c r="A182" s="1267">
        <v>3</v>
      </c>
      <c r="B182" s="1273" t="s">
        <v>386</v>
      </c>
      <c r="C182" s="1290"/>
      <c r="D182" s="1290"/>
      <c r="E182" s="1275"/>
      <c r="F182" s="1276"/>
    </row>
    <row r="183" spans="1:6" s="631" customFormat="1">
      <c r="A183" s="1274"/>
      <c r="B183" s="1273" t="s">
        <v>387</v>
      </c>
      <c r="C183" s="1290"/>
      <c r="D183" s="1290"/>
      <c r="E183" s="1275"/>
      <c r="F183" s="1276"/>
    </row>
    <row r="184" spans="1:6" s="631" customFormat="1" ht="69">
      <c r="A184" s="1290"/>
      <c r="B184" s="1282" t="s">
        <v>388</v>
      </c>
      <c r="C184" s="1290"/>
      <c r="D184" s="1290"/>
      <c r="E184" s="1279"/>
      <c r="F184" s="1276"/>
    </row>
    <row r="185" spans="1:6" s="631" customFormat="1">
      <c r="A185" s="1284">
        <f t="shared" ref="A185:A211" ca="1" si="59">IFERROR(IF(OFFSET(A185,-1,0,1,1)&gt;0,OFFSET(A185,-1,0,1,1)+0.001,ERROR.TYPE(0)),IFERROR(IF(OFFSET(A185,-2,0,1,1)&gt;0,OFFSET(A185,-2,0,1,1)+0.001,ERROR.TYPE(0)),IFERROR(IF(OFFSET(A185,-3,0,1,1)&gt;0,OFFSET(A185,-3,0,1,1)+0.001,ERROR.TYPE(0)),IFERROR(IF(OFFSET(A185,-4,0,1,1)&gt;0,OFFSET(A185,-4,0,1,1)+0.001,ERROR.TYPE(0)),IFERROR(IF(OFFSET(A185,-5,0,1,1)&gt;0,OFFSET(A185,-5,0,1,1)+0.001,ERROR.TYPE(0)),IFERROR(IF(OFFSET(A185,-6,0,1,1)&gt;0,OFFSET(A185,-6,0,1,1)+0.001,ERROR.TYPE(0)),IFERROR(IF(OFFSET(A185,-7,0,1,1)&gt;0,OFFSET(A185,-7,0,1,1)+0.001,ERROR.TYPE(0)),IFERROR(IF(OFFSET(A185,-8,0,1,1)&gt;0,OFFSET(A185,-8,0,1,1)+0.001,ERROR.TYPE(0)),IFERROR(IF(OFFSET(A185,-9,0,1,1)&gt;0,OFFSET(A185,-9,0,1,1)+0.001,ERROR.TYPE(0)),IFERROR(IF(OFFSET(A185,-10,0,1,1)&gt;0,OFFSET(A185,-10,0,1,1)+0.001,ERROR.TYPE(0)),ERROR.TYPE(0)))))))))))</f>
        <v>3.0009999999999999</v>
      </c>
      <c r="B185" s="1285" t="s">
        <v>389</v>
      </c>
      <c r="C185" s="1290">
        <v>140</v>
      </c>
      <c r="D185" s="1290" t="s">
        <v>320</v>
      </c>
      <c r="E185" s="1279"/>
      <c r="F185" s="1280">
        <f t="shared" ref="F185:F191" si="60">IFERROR($C185*E185,E185)</f>
        <v>0</v>
      </c>
    </row>
    <row r="186" spans="1:6" s="631" customFormat="1">
      <c r="A186" s="1284">
        <f t="shared" ca="1" si="59"/>
        <v>3.0019999999999998</v>
      </c>
      <c r="B186" s="1285" t="s">
        <v>390</v>
      </c>
      <c r="C186" s="1290">
        <v>30</v>
      </c>
      <c r="D186" s="1290" t="s">
        <v>320</v>
      </c>
      <c r="E186" s="1279"/>
      <c r="F186" s="1280">
        <f t="shared" si="60"/>
        <v>0</v>
      </c>
    </row>
    <row r="187" spans="1:6" s="631" customFormat="1">
      <c r="A187" s="1284">
        <f t="shared" ca="1" si="59"/>
        <v>3.0029999999999997</v>
      </c>
      <c r="B187" s="1285" t="s">
        <v>391</v>
      </c>
      <c r="C187" s="1290">
        <v>70</v>
      </c>
      <c r="D187" s="1290" t="s">
        <v>320</v>
      </c>
      <c r="E187" s="1279"/>
      <c r="F187" s="1280">
        <f t="shared" si="60"/>
        <v>0</v>
      </c>
    </row>
    <row r="188" spans="1:6" s="631" customFormat="1">
      <c r="A188" s="1284">
        <f t="shared" ca="1" si="59"/>
        <v>3.0039999999999996</v>
      </c>
      <c r="B188" s="1285" t="s">
        <v>392</v>
      </c>
      <c r="C188" s="1290">
        <v>590</v>
      </c>
      <c r="D188" s="1290" t="s">
        <v>320</v>
      </c>
      <c r="E188" s="1279"/>
      <c r="F188" s="1280">
        <f t="shared" si="60"/>
        <v>0</v>
      </c>
    </row>
    <row r="189" spans="1:6" s="631" customFormat="1">
      <c r="A189" s="1284">
        <f t="shared" ca="1" si="59"/>
        <v>3.0049999999999994</v>
      </c>
      <c r="B189" s="1285" t="s">
        <v>393</v>
      </c>
      <c r="C189" s="1290">
        <v>45</v>
      </c>
      <c r="D189" s="1290" t="s">
        <v>320</v>
      </c>
      <c r="E189" s="1279"/>
      <c r="F189" s="1280">
        <f t="shared" si="60"/>
        <v>0</v>
      </c>
    </row>
    <row r="190" spans="1:6" s="631" customFormat="1">
      <c r="A190" s="1284">
        <f t="shared" ca="1" si="59"/>
        <v>3.0059999999999993</v>
      </c>
      <c r="B190" s="1285" t="s">
        <v>394</v>
      </c>
      <c r="C190" s="1290">
        <v>115</v>
      </c>
      <c r="D190" s="1290" t="s">
        <v>320</v>
      </c>
      <c r="E190" s="1279"/>
      <c r="F190" s="1280">
        <f t="shared" si="60"/>
        <v>0</v>
      </c>
    </row>
    <row r="191" spans="1:6" s="631" customFormat="1">
      <c r="A191" s="1284">
        <f t="shared" ca="1" si="59"/>
        <v>3.0069999999999992</v>
      </c>
      <c r="B191" s="1285" t="s">
        <v>395</v>
      </c>
      <c r="C191" s="1290">
        <v>25</v>
      </c>
      <c r="D191" s="1290" t="s">
        <v>320</v>
      </c>
      <c r="E191" s="1279"/>
      <c r="F191" s="1280">
        <f t="shared" si="60"/>
        <v>0</v>
      </c>
    </row>
    <row r="192" spans="1:6" s="631" customFormat="1">
      <c r="A192" s="1274"/>
      <c r="B192" s="1273" t="s">
        <v>396</v>
      </c>
      <c r="C192" s="1290"/>
      <c r="D192" s="1290"/>
      <c r="E192" s="1275"/>
      <c r="F192" s="1276"/>
    </row>
    <row r="193" spans="1:6" s="631" customFormat="1" ht="69">
      <c r="A193" s="1284"/>
      <c r="B193" s="1282" t="s">
        <v>397</v>
      </c>
      <c r="C193" s="1290"/>
      <c r="D193" s="1290"/>
      <c r="E193" s="1279"/>
      <c r="F193" s="1280"/>
    </row>
    <row r="194" spans="1:6" s="631" customFormat="1">
      <c r="A194" s="1284">
        <f ca="1">IFERROR(IF(OFFSET(A194,-1,0,1,1)&gt;0,OFFSET(A194,-1,0,1,1)+0.001,ERROR.TYPE(0)),IFERROR(IF(OFFSET(A194,-2,0,1,1)&gt;0,OFFSET(A194,-2,0,1,1)+0.001,ERROR.TYPE(0)),IFERROR(IF(OFFSET(A194,-3,0,1,1)&gt;0,OFFSET(A194,-3,0,1,1)+0.001,ERROR.TYPE(0)),IFERROR(IF(OFFSET(A194,-4,0,1,1)&gt;0,OFFSET(A194,-4,0,1,1)+0.001,ERROR.TYPE(0)),IFERROR(IF(OFFSET(A194,-5,0,1,1)&gt;0,OFFSET(A194,-5,0,1,1)+0.001,ERROR.TYPE(0)),IFERROR(IF(OFFSET(A194,-6,0,1,1)&gt;0,OFFSET(A194,-6,0,1,1)+0.001,ERROR.TYPE(0)),IFERROR(IF(OFFSET(A194,-7,0,1,1)&gt;0,OFFSET(A194,-7,0,1,1)+0.001,ERROR.TYPE(0)),IFERROR(IF(OFFSET(A194,-8,0,1,1)&gt;0,OFFSET(A194,-8,0,1,1)+0.001,ERROR.TYPE(0)),IFERROR(IF(OFFSET(A194,-9,0,1,1)&gt;0,OFFSET(A194,-9,0,1,1)+0.001,ERROR.TYPE(0)),IFERROR(IF(OFFSET(A194,-10,0,1,1)&gt;0,OFFSET(A194,-10,0,1,1)+0.001,ERROR.TYPE(0)),ERROR.TYPE(0)))))))))))</f>
        <v>3.0079999999999991</v>
      </c>
      <c r="B194" s="1285" t="s">
        <v>389</v>
      </c>
      <c r="C194" s="1290">
        <v>35</v>
      </c>
      <c r="D194" s="1290" t="s">
        <v>320</v>
      </c>
      <c r="E194" s="1279"/>
      <c r="F194" s="1280">
        <f>IFERROR($C194*E194,E194)</f>
        <v>0</v>
      </c>
    </row>
    <row r="195" spans="1:6" s="631" customFormat="1">
      <c r="A195" s="1284">
        <f ca="1">IFERROR(IF(OFFSET(A195,-1,0,1,1)&gt;0,OFFSET(A195,-1,0,1,1)+0.001,ERROR.TYPE(0)),IFERROR(IF(OFFSET(A195,-2,0,1,1)&gt;0,OFFSET(A195,-2,0,1,1)+0.001,ERROR.TYPE(0)),IFERROR(IF(OFFSET(A195,-3,0,1,1)&gt;0,OFFSET(A195,-3,0,1,1)+0.001,ERROR.TYPE(0)),IFERROR(IF(OFFSET(A195,-4,0,1,1)&gt;0,OFFSET(A195,-4,0,1,1)+0.001,ERROR.TYPE(0)),IFERROR(IF(OFFSET(A195,-5,0,1,1)&gt;0,OFFSET(A195,-5,0,1,1)+0.001,ERROR.TYPE(0)),IFERROR(IF(OFFSET(A195,-6,0,1,1)&gt;0,OFFSET(A195,-6,0,1,1)+0.001,ERROR.TYPE(0)),IFERROR(IF(OFFSET(A195,-7,0,1,1)&gt;0,OFFSET(A195,-7,0,1,1)+0.001,ERROR.TYPE(0)),IFERROR(IF(OFFSET(A195,-8,0,1,1)&gt;0,OFFSET(A195,-8,0,1,1)+0.001,ERROR.TYPE(0)),IFERROR(IF(OFFSET(A195,-9,0,1,1)&gt;0,OFFSET(A195,-9,0,1,1)+0.001,ERROR.TYPE(0)),IFERROR(IF(OFFSET(A195,-10,0,1,1)&gt;0,OFFSET(A195,-10,0,1,1)+0.001,ERROR.TYPE(0)),ERROR.TYPE(0)))))))))))</f>
        <v>3.008999999999999</v>
      </c>
      <c r="B195" s="1285" t="s">
        <v>390</v>
      </c>
      <c r="C195" s="1290">
        <v>25</v>
      </c>
      <c r="D195" s="1290" t="s">
        <v>320</v>
      </c>
      <c r="E195" s="1279"/>
      <c r="F195" s="1280">
        <f>IFERROR($C195*E195,E195)</f>
        <v>0</v>
      </c>
    </row>
    <row r="196" spans="1:6" s="631" customFormat="1">
      <c r="A196" s="1284">
        <f ca="1">IFERROR(IF(OFFSET(A196,-1,0,1,1)&gt;0,OFFSET(A196,-1,0,1,1)+0.001,ERROR.TYPE(0)),IFERROR(IF(OFFSET(A196,-2,0,1,1)&gt;0,OFFSET(A196,-2,0,1,1)+0.001,ERROR.TYPE(0)),IFERROR(IF(OFFSET(A196,-3,0,1,1)&gt;0,OFFSET(A196,-3,0,1,1)+0.001,ERROR.TYPE(0)),IFERROR(IF(OFFSET(A196,-4,0,1,1)&gt;0,OFFSET(A196,-4,0,1,1)+0.001,ERROR.TYPE(0)),IFERROR(IF(OFFSET(A196,-5,0,1,1)&gt;0,OFFSET(A196,-5,0,1,1)+0.001,ERROR.TYPE(0)),IFERROR(IF(OFFSET(A196,-6,0,1,1)&gt;0,OFFSET(A196,-6,0,1,1)+0.001,ERROR.TYPE(0)),IFERROR(IF(OFFSET(A196,-7,0,1,1)&gt;0,OFFSET(A196,-7,0,1,1)+0.001,ERROR.TYPE(0)),IFERROR(IF(OFFSET(A196,-8,0,1,1)&gt;0,OFFSET(A196,-8,0,1,1)+0.001,ERROR.TYPE(0)),IFERROR(IF(OFFSET(A196,-9,0,1,1)&gt;0,OFFSET(A196,-9,0,1,1)+0.001,ERROR.TYPE(0)),IFERROR(IF(OFFSET(A196,-10,0,1,1)&gt;0,OFFSET(A196,-10,0,1,1)+0.001,ERROR.TYPE(0)),ERROR.TYPE(0)))))))))))</f>
        <v>3.0099999999999989</v>
      </c>
      <c r="B196" s="1285" t="s">
        <v>392</v>
      </c>
      <c r="C196" s="1290">
        <v>35</v>
      </c>
      <c r="D196" s="1290" t="s">
        <v>320</v>
      </c>
      <c r="E196" s="1279"/>
      <c r="F196" s="1280">
        <f>IFERROR($C196*E196,E196)</f>
        <v>0</v>
      </c>
    </row>
    <row r="197" spans="1:6" s="631" customFormat="1">
      <c r="A197" s="1284">
        <f ca="1">IFERROR(IF(OFFSET(A197,-1,0,1,1)&gt;0,OFFSET(A197,-1,0,1,1)+0.001,ERROR.TYPE(0)),IFERROR(IF(OFFSET(A197,-2,0,1,1)&gt;0,OFFSET(A197,-2,0,1,1)+0.001,ERROR.TYPE(0)),IFERROR(IF(OFFSET(A197,-3,0,1,1)&gt;0,OFFSET(A197,-3,0,1,1)+0.001,ERROR.TYPE(0)),IFERROR(IF(OFFSET(A197,-4,0,1,1)&gt;0,OFFSET(A197,-4,0,1,1)+0.001,ERROR.TYPE(0)),IFERROR(IF(OFFSET(A197,-5,0,1,1)&gt;0,OFFSET(A197,-5,0,1,1)+0.001,ERROR.TYPE(0)),IFERROR(IF(OFFSET(A197,-6,0,1,1)&gt;0,OFFSET(A197,-6,0,1,1)+0.001,ERROR.TYPE(0)),IFERROR(IF(OFFSET(A197,-7,0,1,1)&gt;0,OFFSET(A197,-7,0,1,1)+0.001,ERROR.TYPE(0)),IFERROR(IF(OFFSET(A197,-8,0,1,1)&gt;0,OFFSET(A197,-8,0,1,1)+0.001,ERROR.TYPE(0)),IFERROR(IF(OFFSET(A197,-9,0,1,1)&gt;0,OFFSET(A197,-9,0,1,1)+0.001,ERROR.TYPE(0)),IFERROR(IF(OFFSET(A197,-10,0,1,1)&gt;0,OFFSET(A197,-10,0,1,1)+0.001,ERROR.TYPE(0)),ERROR.TYPE(0)))))))))))</f>
        <v>3.0109999999999988</v>
      </c>
      <c r="B197" s="1285" t="s">
        <v>394</v>
      </c>
      <c r="C197" s="1290">
        <v>45</v>
      </c>
      <c r="D197" s="1290" t="s">
        <v>320</v>
      </c>
      <c r="E197" s="1279"/>
      <c r="F197" s="1280">
        <f>IFERROR($C197*E197,E197)</f>
        <v>0</v>
      </c>
    </row>
    <row r="198" spans="1:6" s="631" customFormat="1">
      <c r="A198" s="1284">
        <f ca="1">IFERROR(IF(OFFSET(A198,-1,0,1,1)&gt;0,OFFSET(A198,-1,0,1,1)+0.001,ERROR.TYPE(0)),IFERROR(IF(OFFSET(A198,-2,0,1,1)&gt;0,OFFSET(A198,-2,0,1,1)+0.001,ERROR.TYPE(0)),IFERROR(IF(OFFSET(A198,-3,0,1,1)&gt;0,OFFSET(A198,-3,0,1,1)+0.001,ERROR.TYPE(0)),IFERROR(IF(OFFSET(A198,-4,0,1,1)&gt;0,OFFSET(A198,-4,0,1,1)+0.001,ERROR.TYPE(0)),IFERROR(IF(OFFSET(A198,-5,0,1,1)&gt;0,OFFSET(A198,-5,0,1,1)+0.001,ERROR.TYPE(0)),IFERROR(IF(OFFSET(A198,-6,0,1,1)&gt;0,OFFSET(A198,-6,0,1,1)+0.001,ERROR.TYPE(0)),IFERROR(IF(OFFSET(A198,-7,0,1,1)&gt;0,OFFSET(A198,-7,0,1,1)+0.001,ERROR.TYPE(0)),IFERROR(IF(OFFSET(A198,-8,0,1,1)&gt;0,OFFSET(A198,-8,0,1,1)+0.001,ERROR.TYPE(0)),IFERROR(IF(OFFSET(A198,-9,0,1,1)&gt;0,OFFSET(A198,-9,0,1,1)+0.001,ERROR.TYPE(0)),IFERROR(IF(OFFSET(A198,-10,0,1,1)&gt;0,OFFSET(A198,-10,0,1,1)+0.001,ERROR.TYPE(0)),ERROR.TYPE(0)))))))))))</f>
        <v>3.0119999999999987</v>
      </c>
      <c r="B198" s="1285" t="s">
        <v>398</v>
      </c>
      <c r="C198" s="1290">
        <v>165</v>
      </c>
      <c r="D198" s="1290" t="s">
        <v>320</v>
      </c>
      <c r="E198" s="1279"/>
      <c r="F198" s="1280">
        <f>IFERROR($C198*E198,E198)</f>
        <v>0</v>
      </c>
    </row>
    <row r="199" spans="1:6" s="631" customFormat="1">
      <c r="A199" s="1274"/>
      <c r="B199" s="1273" t="s">
        <v>399</v>
      </c>
      <c r="C199" s="1290"/>
      <c r="D199" s="1290"/>
      <c r="E199" s="1275"/>
      <c r="F199" s="1276"/>
    </row>
    <row r="200" spans="1:6" s="631" customFormat="1" ht="69">
      <c r="A200" s="1284"/>
      <c r="B200" s="1282" t="s">
        <v>400</v>
      </c>
      <c r="C200" s="1290"/>
      <c r="D200" s="1290"/>
      <c r="E200" s="1279"/>
      <c r="F200" s="1280"/>
    </row>
    <row r="201" spans="1:6" s="631" customFormat="1">
      <c r="A201" s="1284">
        <f t="shared" ca="1" si="59"/>
        <v>3.0129999999999986</v>
      </c>
      <c r="B201" s="1285" t="s">
        <v>389</v>
      </c>
      <c r="C201" s="1290">
        <v>60</v>
      </c>
      <c r="D201" s="1290" t="s">
        <v>320</v>
      </c>
      <c r="E201" s="1279"/>
      <c r="F201" s="1280">
        <f>IFERROR($C201*E201,E201)</f>
        <v>0</v>
      </c>
    </row>
    <row r="202" spans="1:6" s="631" customFormat="1">
      <c r="A202" s="1284">
        <f t="shared" ca="1" si="59"/>
        <v>3.0139999999999985</v>
      </c>
      <c r="B202" s="1285" t="s">
        <v>393</v>
      </c>
      <c r="C202" s="1290">
        <v>60</v>
      </c>
      <c r="D202" s="1290" t="s">
        <v>320</v>
      </c>
      <c r="E202" s="1279"/>
      <c r="F202" s="1280">
        <f>IFERROR($C202*E202,E202)</f>
        <v>0</v>
      </c>
    </row>
    <row r="203" spans="1:6" s="631" customFormat="1">
      <c r="A203" s="1284">
        <f t="shared" ca="1" si="59"/>
        <v>3.0149999999999983</v>
      </c>
      <c r="B203" s="1285" t="s">
        <v>394</v>
      </c>
      <c r="C203" s="1290">
        <v>225</v>
      </c>
      <c r="D203" s="1290" t="s">
        <v>320</v>
      </c>
      <c r="E203" s="1279"/>
      <c r="F203" s="1280">
        <f>IFERROR($C203*E203,E203)</f>
        <v>0</v>
      </c>
    </row>
    <row r="204" spans="1:6" s="631" customFormat="1">
      <c r="A204" s="1284">
        <f t="shared" ca="1" si="59"/>
        <v>3.0159999999999982</v>
      </c>
      <c r="B204" s="1285" t="s">
        <v>395</v>
      </c>
      <c r="C204" s="1290">
        <v>15</v>
      </c>
      <c r="D204" s="1290" t="s">
        <v>320</v>
      </c>
      <c r="E204" s="1279"/>
      <c r="F204" s="1280">
        <f>IFERROR($C204*E204,E204)</f>
        <v>0</v>
      </c>
    </row>
    <row r="205" spans="1:6" s="631" customFormat="1">
      <c r="A205" s="1284">
        <f t="shared" ca="1" si="59"/>
        <v>3.0169999999999981</v>
      </c>
      <c r="B205" s="1285" t="s">
        <v>401</v>
      </c>
      <c r="C205" s="1290">
        <v>280</v>
      </c>
      <c r="D205" s="1290" t="s">
        <v>320</v>
      </c>
      <c r="E205" s="1279"/>
      <c r="F205" s="1280">
        <f>IFERROR($C205*E205,E205)</f>
        <v>0</v>
      </c>
    </row>
    <row r="206" spans="1:6" s="631" customFormat="1">
      <c r="A206" s="1284"/>
      <c r="B206" s="1273" t="s">
        <v>402</v>
      </c>
      <c r="C206" s="1290"/>
      <c r="D206" s="1290"/>
      <c r="E206" s="1275"/>
      <c r="F206" s="1280"/>
    </row>
    <row r="207" spans="1:6" s="631" customFormat="1">
      <c r="A207" s="1277"/>
      <c r="B207" s="1273" t="s">
        <v>403</v>
      </c>
      <c r="C207" s="1278"/>
      <c r="D207" s="1278"/>
      <c r="E207" s="1279"/>
      <c r="F207" s="1280"/>
    </row>
    <row r="208" spans="1:6" s="631" customFormat="1" ht="69">
      <c r="A208" s="1284"/>
      <c r="B208" s="1282" t="s">
        <v>404</v>
      </c>
      <c r="C208" s="1290"/>
      <c r="D208" s="1290"/>
      <c r="E208" s="1279"/>
      <c r="F208" s="1280"/>
    </row>
    <row r="209" spans="1:6" s="631" customFormat="1">
      <c r="A209" s="1284">
        <f t="shared" ca="1" si="59"/>
        <v>3.017999999999998</v>
      </c>
      <c r="B209" s="1285" t="s">
        <v>405</v>
      </c>
      <c r="C209" s="1290">
        <v>280</v>
      </c>
      <c r="D209" s="1290" t="s">
        <v>320</v>
      </c>
      <c r="E209" s="1279"/>
      <c r="F209" s="1280">
        <f>IFERROR($C209*E209,E209)</f>
        <v>0</v>
      </c>
    </row>
    <row r="210" spans="1:6" s="631" customFormat="1">
      <c r="A210" s="1284">
        <f t="shared" ca="1" si="59"/>
        <v>3.0189999999999979</v>
      </c>
      <c r="B210" s="1285" t="s">
        <v>406</v>
      </c>
      <c r="C210" s="1290">
        <v>30</v>
      </c>
      <c r="D210" s="1290" t="s">
        <v>320</v>
      </c>
      <c r="E210" s="1279"/>
      <c r="F210" s="1280">
        <f>IFERROR($C210*E210,E210)</f>
        <v>0</v>
      </c>
    </row>
    <row r="211" spans="1:6" s="631" customFormat="1">
      <c r="A211" s="1284">
        <f t="shared" ca="1" si="59"/>
        <v>3.0199999999999978</v>
      </c>
      <c r="B211" s="1285" t="s">
        <v>407</v>
      </c>
      <c r="C211" s="1290">
        <v>370</v>
      </c>
      <c r="D211" s="1290" t="s">
        <v>320</v>
      </c>
      <c r="E211" s="1279"/>
      <c r="F211" s="1280">
        <f>IFERROR($C211*E211,E211)</f>
        <v>0</v>
      </c>
    </row>
    <row r="212" spans="1:6" s="631" customFormat="1">
      <c r="A212" s="1284"/>
      <c r="B212" s="1293" t="s">
        <v>408</v>
      </c>
      <c r="C212" s="1289"/>
      <c r="D212" s="1290"/>
      <c r="E212" s="1298"/>
      <c r="F212" s="1280"/>
    </row>
    <row r="213" spans="1:6" s="631" customFormat="1" ht="27.6">
      <c r="A213" s="1284">
        <f ca="1">IFERROR(IF(OFFSET(A213,-1,0)&gt;0,OFFSET(A213,-1,0)+0.001,ERROR.TYPE(0)),IFERROR(IF(OFFSET(A213,-2,0)&gt;0,OFFSET(A213,-2,0)+0.001,ERROR.TYPE(0)),IFERROR(IF(OFFSET(A213,-3,0)&gt;0,OFFSET(A213,-3,0)+0.001,ERROR.TYPE(0)),IFERROR(IF(OFFSET(A213,-4,0)&gt;0,OFFSET(A213,-4,0)+0.001,ERROR.TYPE(0)),IFERROR(IF(OFFSET(A213,-5,0)&gt;0,OFFSET(A213,-5,0)+0.001,ERROR.TYPE(0)),IFERROR(IF(OFFSET(A213,-6,0)&gt;0,OFFSET(A213,-6,0)+0.001,ERROR.TYPE(0)),IFERROR(IF(OFFSET(A213,-7,0)&gt;0,OFFSET(A213,-7,0)+0.001,ERROR.TYPE(0)),IFERROR(IF(OFFSET(A213,-8,0)&gt;0,OFFSET(A213,-8,0)+0.001,ERROR.TYPE(0)),IFERROR(IF(OFFSET(A213,-9,0)&gt;0,OFFSET(A213,-9,0)+0.001,ERROR.TYPE(0)),IFERROR(IF(OFFSET(A213,-10,0)&gt;0,OFFSET(A213,-10,0)+0.001,ERROR.TYPE(0)),ERROR.TYPE(0)))))))))))</f>
        <v>3.0209999999999977</v>
      </c>
      <c r="B213" s="1296" t="s">
        <v>409</v>
      </c>
      <c r="C213" s="1286">
        <v>1</v>
      </c>
      <c r="D213" s="1278" t="s">
        <v>329</v>
      </c>
      <c r="E213" s="1279"/>
      <c r="F213" s="1280">
        <f>IFERROR($C213*E213,E213)</f>
        <v>0</v>
      </c>
    </row>
    <row r="214" spans="1:6" s="631" customFormat="1">
      <c r="A214" s="1277"/>
      <c r="B214" s="1273" t="s">
        <v>410</v>
      </c>
      <c r="C214" s="1278"/>
      <c r="D214" s="1278"/>
      <c r="E214" s="1279"/>
      <c r="F214" s="1280"/>
    </row>
    <row r="215" spans="1:6" s="631" customFormat="1" ht="55.2">
      <c r="A215" s="1284"/>
      <c r="B215" s="1282" t="s">
        <v>327</v>
      </c>
      <c r="C215" s="1287"/>
      <c r="D215" s="1281"/>
      <c r="E215" s="1283"/>
      <c r="F215" s="1280"/>
    </row>
    <row r="216" spans="1:6" s="631" customFormat="1">
      <c r="A216" s="1284">
        <f t="shared" ref="A216:A218" ca="1" si="61">IFERROR(IF(OFFSET(A216,-1,0,1,1)&gt;0,OFFSET(A216,-1,0,1,1)+0.001,ERROR.TYPE(0)),IFERROR(IF(OFFSET(A216,-2,0,1,1)&gt;0,OFFSET(A216,-2,0,1,1)+0.001,ERROR.TYPE(0)),IFERROR(IF(OFFSET(A216,-3,0,1,1)&gt;0,OFFSET(A216,-3,0,1,1)+0.001,ERROR.TYPE(0)),IFERROR(IF(OFFSET(A216,-4,0,1,1)&gt;0,OFFSET(A216,-4,0,1,1)+0.001,ERROR.TYPE(0)),IFERROR(IF(OFFSET(A216,-5,0,1,1)&gt;0,OFFSET(A216,-5,0,1,1)+0.001,ERROR.TYPE(0)),IFERROR(IF(OFFSET(A216,-6,0,1,1)&gt;0,OFFSET(A216,-6,0,1,1)+0.001,ERROR.TYPE(0)),IFERROR(IF(OFFSET(A216,-7,0,1,1)&gt;0,OFFSET(A216,-7,0,1,1)+0.001,ERROR.TYPE(0)),IFERROR(IF(OFFSET(A216,-8,0,1,1)&gt;0,OFFSET(A216,-8,0,1,1)+0.001,ERROR.TYPE(0)),IFERROR(IF(OFFSET(A216,-9,0,1,1)&gt;0,OFFSET(A216,-9,0,1,1)+0.001,ERROR.TYPE(0)),IFERROR(IF(OFFSET(A216,-10,0,1,1)&gt;0,OFFSET(A216,-10,0,1,1)+0.001,ERROR.TYPE(0)),ERROR.TYPE(0)))))))))))</f>
        <v>3.0219999999999976</v>
      </c>
      <c r="B216" s="1285" t="s">
        <v>411</v>
      </c>
      <c r="C216" s="1286">
        <v>7</v>
      </c>
      <c r="D216" s="1278" t="s">
        <v>329</v>
      </c>
      <c r="E216" s="1279"/>
      <c r="F216" s="1280">
        <f t="shared" ref="F216:F218" si="62">IFERROR($C216*E216,E216)</f>
        <v>0</v>
      </c>
    </row>
    <row r="217" spans="1:6" s="631" customFormat="1">
      <c r="A217" s="1284">
        <f t="shared" ca="1" si="61"/>
        <v>3.0229999999999975</v>
      </c>
      <c r="B217" s="1285" t="s">
        <v>412</v>
      </c>
      <c r="C217" s="1286">
        <v>2</v>
      </c>
      <c r="D217" s="1278" t="s">
        <v>329</v>
      </c>
      <c r="E217" s="1279"/>
      <c r="F217" s="1280">
        <f t="shared" si="62"/>
        <v>0</v>
      </c>
    </row>
    <row r="218" spans="1:6" s="631" customFormat="1">
      <c r="A218" s="1284">
        <f t="shared" ca="1" si="61"/>
        <v>3.0239999999999974</v>
      </c>
      <c r="B218" s="1285" t="s">
        <v>413</v>
      </c>
      <c r="C218" s="1286">
        <v>2</v>
      </c>
      <c r="D218" s="1278" t="s">
        <v>329</v>
      </c>
      <c r="E218" s="1279"/>
      <c r="F218" s="1280">
        <f t="shared" si="62"/>
        <v>0</v>
      </c>
    </row>
    <row r="219" spans="1:6" s="631" customFormat="1">
      <c r="A219" s="1277"/>
      <c r="B219" s="1273" t="s">
        <v>414</v>
      </c>
      <c r="C219" s="1278"/>
      <c r="D219" s="1278"/>
      <c r="E219" s="1279"/>
      <c r="F219" s="1280"/>
    </row>
    <row r="220" spans="1:6" s="631" customFormat="1" ht="55.2">
      <c r="A220" s="1284"/>
      <c r="B220" s="1282" t="s">
        <v>415</v>
      </c>
      <c r="C220" s="1306"/>
      <c r="D220" s="1307"/>
      <c r="E220" s="1308"/>
      <c r="F220" s="1280"/>
    </row>
    <row r="221" spans="1:6" s="631" customFormat="1">
      <c r="A221" s="1284">
        <f ca="1">IFERROR(IF(OFFSET(A221,-1,0)&gt;0,OFFSET(A221,-1,0)+0.001,ERROR.TYPE(0)),IFERROR(IF(OFFSET(A221,-2,0)&gt;0,OFFSET(A221,-2,0)+0.001,ERROR.TYPE(0)),IFERROR(IF(OFFSET(A221,-3,0)&gt;0,OFFSET(A221,-3,0)+0.001,ERROR.TYPE(0)),IFERROR(IF(OFFSET(A221,-4,0)&gt;0,OFFSET(A221,-4,0)+0.001,ERROR.TYPE(0)),IFERROR(IF(OFFSET(A221,-5,0)&gt;0,OFFSET(A221,-5,0)+0.001,ERROR.TYPE(0)),IFERROR(IF(OFFSET(A221,-6,0)&gt;0,OFFSET(A221,-6,0)+0.001,ERROR.TYPE(0)),IFERROR(IF(OFFSET(A221,-7,0)&gt;0,OFFSET(A221,-7,0)+0.001,ERROR.TYPE(0)),IFERROR(IF(OFFSET(A221,-8,0)&gt;0,OFFSET(A221,-8,0)+0.001,ERROR.TYPE(0)),IFERROR(IF(OFFSET(A221,-9,0)&gt;0,OFFSET(A221,-9,0)+0.001,ERROR.TYPE(0)),IFERROR(IF(OFFSET(A221,-10,0)&gt;0,OFFSET(A221,-10,0)+0.001,ERROR.TYPE(0)),ERROR.TYPE(0)))))))))))</f>
        <v>3.0249999999999972</v>
      </c>
      <c r="B221" s="1296" t="s">
        <v>3841</v>
      </c>
      <c r="C221" s="1286">
        <v>2</v>
      </c>
      <c r="D221" s="1278" t="s">
        <v>329</v>
      </c>
      <c r="E221" s="1279"/>
      <c r="F221" s="1280">
        <f t="shared" ref="F221:F224" si="63">IFERROR($C221*E221,E221)</f>
        <v>0</v>
      </c>
    </row>
    <row r="222" spans="1:6" s="631" customFormat="1">
      <c r="A222" s="1284">
        <f ca="1">IFERROR(IF(OFFSET(A222,-1,0)&gt;0,OFFSET(A222,-1,0)+0.001,ERROR.TYPE(0)),IFERROR(IF(OFFSET(A222,-2,0)&gt;0,OFFSET(A222,-2,0)+0.001,ERROR.TYPE(0)),IFERROR(IF(OFFSET(A222,-3,0)&gt;0,OFFSET(A222,-3,0)+0.001,ERROR.TYPE(0)),IFERROR(IF(OFFSET(A222,-4,0)&gt;0,OFFSET(A222,-4,0)+0.001,ERROR.TYPE(0)),IFERROR(IF(OFFSET(A222,-5,0)&gt;0,OFFSET(A222,-5,0)+0.001,ERROR.TYPE(0)),IFERROR(IF(OFFSET(A222,-6,0)&gt;0,OFFSET(A222,-6,0)+0.001,ERROR.TYPE(0)),IFERROR(IF(OFFSET(A222,-7,0)&gt;0,OFFSET(A222,-7,0)+0.001,ERROR.TYPE(0)),IFERROR(IF(OFFSET(A222,-8,0)&gt;0,OFFSET(A222,-8,0)+0.001,ERROR.TYPE(0)),IFERROR(IF(OFFSET(A222,-9,0)&gt;0,OFFSET(A222,-9,0)+0.001,ERROR.TYPE(0)),IFERROR(IF(OFFSET(A222,-10,0)&gt;0,OFFSET(A222,-10,0)+0.001,ERROR.TYPE(0)),ERROR.TYPE(0)))))))))))</f>
        <v>3.0259999999999971</v>
      </c>
      <c r="B222" s="1296" t="s">
        <v>3842</v>
      </c>
      <c r="C222" s="1286">
        <v>2</v>
      </c>
      <c r="D222" s="1278" t="s">
        <v>329</v>
      </c>
      <c r="E222" s="1279"/>
      <c r="F222" s="1280">
        <f t="shared" si="63"/>
        <v>0</v>
      </c>
    </row>
    <row r="223" spans="1:6" s="631" customFormat="1">
      <c r="A223" s="1284">
        <f ca="1">IFERROR(IF(OFFSET(A223,-1,0)&gt;0,OFFSET(A223,-1,0)+0.001,ERROR.TYPE(0)),IFERROR(IF(OFFSET(A223,-2,0)&gt;0,OFFSET(A223,-2,0)+0.001,ERROR.TYPE(0)),IFERROR(IF(OFFSET(A223,-3,0)&gt;0,OFFSET(A223,-3,0)+0.001,ERROR.TYPE(0)),IFERROR(IF(OFFSET(A223,-4,0)&gt;0,OFFSET(A223,-4,0)+0.001,ERROR.TYPE(0)),IFERROR(IF(OFFSET(A223,-5,0)&gt;0,OFFSET(A223,-5,0)+0.001,ERROR.TYPE(0)),IFERROR(IF(OFFSET(A223,-6,0)&gt;0,OFFSET(A223,-6,0)+0.001,ERROR.TYPE(0)),IFERROR(IF(OFFSET(A223,-7,0)&gt;0,OFFSET(A223,-7,0)+0.001,ERROR.TYPE(0)),IFERROR(IF(OFFSET(A223,-8,0)&gt;0,OFFSET(A223,-8,0)+0.001,ERROR.TYPE(0)),IFERROR(IF(OFFSET(A223,-9,0)&gt;0,OFFSET(A223,-9,0)+0.001,ERROR.TYPE(0)),IFERROR(IF(OFFSET(A223,-10,0)&gt;0,OFFSET(A223,-10,0)+0.001,ERROR.TYPE(0)),ERROR.TYPE(0)))))))))))</f>
        <v>3.026999999999997</v>
      </c>
      <c r="B223" s="1296" t="s">
        <v>3843</v>
      </c>
      <c r="C223" s="1286">
        <v>3</v>
      </c>
      <c r="D223" s="1278" t="s">
        <v>329</v>
      </c>
      <c r="E223" s="1279"/>
      <c r="F223" s="1280">
        <f t="shared" si="63"/>
        <v>0</v>
      </c>
    </row>
    <row r="224" spans="1:6" s="631" customFormat="1">
      <c r="A224" s="1284">
        <f ca="1">IFERROR(IF(OFFSET(A224,-1,0)&gt;0,OFFSET(A224,-1,0)+0.001,ERROR.TYPE(0)),IFERROR(IF(OFFSET(A224,-2,0)&gt;0,OFFSET(A224,-2,0)+0.001,ERROR.TYPE(0)),IFERROR(IF(OFFSET(A224,-3,0)&gt;0,OFFSET(A224,-3,0)+0.001,ERROR.TYPE(0)),IFERROR(IF(OFFSET(A224,-4,0)&gt;0,OFFSET(A224,-4,0)+0.001,ERROR.TYPE(0)),IFERROR(IF(OFFSET(A224,-5,0)&gt;0,OFFSET(A224,-5,0)+0.001,ERROR.TYPE(0)),IFERROR(IF(OFFSET(A224,-6,0)&gt;0,OFFSET(A224,-6,0)+0.001,ERROR.TYPE(0)),IFERROR(IF(OFFSET(A224,-7,0)&gt;0,OFFSET(A224,-7,0)+0.001,ERROR.TYPE(0)),IFERROR(IF(OFFSET(A224,-8,0)&gt;0,OFFSET(A224,-8,0)+0.001,ERROR.TYPE(0)),IFERROR(IF(OFFSET(A224,-9,0)&gt;0,OFFSET(A224,-9,0)+0.001,ERROR.TYPE(0)),IFERROR(IF(OFFSET(A224,-10,0)&gt;0,OFFSET(A224,-10,0)+0.001,ERROR.TYPE(0)),ERROR.TYPE(0)))))))))))</f>
        <v>3.0279999999999969</v>
      </c>
      <c r="B224" s="1296" t="s">
        <v>3844</v>
      </c>
      <c r="C224" s="1286">
        <v>2</v>
      </c>
      <c r="D224" s="1278" t="s">
        <v>329</v>
      </c>
      <c r="E224" s="1279"/>
      <c r="F224" s="1280">
        <f t="shared" si="63"/>
        <v>0</v>
      </c>
    </row>
    <row r="225" spans="1:6" s="631" customFormat="1" ht="27.6">
      <c r="A225" s="1284">
        <f ca="1">IFERROR(IF(OFFSET(A225,-1,0)&gt;0,OFFSET(A225,-1,0)+0.001,ERROR.TYPE(0)),IFERROR(IF(OFFSET(A225,-2,0)&gt;0,OFFSET(A225,-2,0)+0.001,ERROR.TYPE(0)),IFERROR(IF(OFFSET(A225,-3,0)&gt;0,OFFSET(A225,-3,0)+0.001,ERROR.TYPE(0)),IFERROR(IF(OFFSET(A225,-4,0)&gt;0,OFFSET(A225,-4,0)+0.001,ERROR.TYPE(0)),IFERROR(IF(OFFSET(A225,-5,0)&gt;0,OFFSET(A225,-5,0)+0.001,ERROR.TYPE(0)),IFERROR(IF(OFFSET(A225,-6,0)&gt;0,OFFSET(A225,-6,0)+0.001,ERROR.TYPE(0)),IFERROR(IF(OFFSET(A225,-7,0)&gt;0,OFFSET(A225,-7,0)+0.001,ERROR.TYPE(0)),IFERROR(IF(OFFSET(A225,-8,0)&gt;0,OFFSET(A225,-8,0)+0.001,ERROR.TYPE(0)),IFERROR(IF(OFFSET(A225,-9,0)&gt;0,OFFSET(A225,-9,0)+0.001,ERROR.TYPE(0)),IFERROR(IF(OFFSET(A225,-10,0)&gt;0,OFFSET(A225,-10,0)+0.001,ERROR.TYPE(0)),ERROR.TYPE(0)))))))))))</f>
        <v>3.0289999999999968</v>
      </c>
      <c r="B225" s="1296" t="s">
        <v>3845</v>
      </c>
      <c r="C225" s="1286">
        <v>1</v>
      </c>
      <c r="D225" s="1278" t="s">
        <v>329</v>
      </c>
      <c r="E225" s="1279"/>
      <c r="F225" s="1280">
        <f>IFERROR($C225*E225,E225)</f>
        <v>0</v>
      </c>
    </row>
    <row r="226" spans="1:6" s="631" customFormat="1">
      <c r="A226" s="1272"/>
      <c r="B226" s="1273" t="s">
        <v>416</v>
      </c>
      <c r="C226" s="1458" t="s">
        <v>305</v>
      </c>
      <c r="D226" s="1459"/>
      <c r="E226" s="1312"/>
      <c r="F226" s="1299">
        <f>SUM(F183:F225)</f>
        <v>0</v>
      </c>
    </row>
    <row r="227" spans="1:6" s="631" customFormat="1">
      <c r="A227" s="1313"/>
      <c r="B227" s="1301"/>
      <c r="C227" s="1314"/>
      <c r="D227" s="1315"/>
      <c r="E227" s="1316"/>
      <c r="F227" s="1317"/>
    </row>
    <row r="228" spans="1:6" s="631" customFormat="1">
      <c r="A228" s="1313"/>
      <c r="B228" s="1301"/>
      <c r="C228" s="1314"/>
      <c r="D228" s="1315"/>
      <c r="E228" s="1316"/>
      <c r="F228" s="1317"/>
    </row>
    <row r="229" spans="1:6" s="631" customFormat="1" ht="27.6">
      <c r="A229" s="1267" t="s">
        <v>143</v>
      </c>
      <c r="B229" s="1268" t="s">
        <v>198</v>
      </c>
      <c r="C229" s="1269" t="s">
        <v>199</v>
      </c>
      <c r="D229" s="1269" t="s">
        <v>200</v>
      </c>
      <c r="E229" s="1270" t="s">
        <v>294</v>
      </c>
      <c r="F229" s="1271" t="s">
        <v>295</v>
      </c>
    </row>
    <row r="230" spans="1:6" s="631" customFormat="1">
      <c r="A230" s="1284"/>
      <c r="B230" s="1273" t="s">
        <v>343</v>
      </c>
      <c r="C230" s="1290"/>
      <c r="D230" s="1290"/>
      <c r="E230" s="1275"/>
      <c r="F230" s="1280"/>
    </row>
    <row r="231" spans="1:6" s="631" customFormat="1">
      <c r="A231" s="1284"/>
      <c r="B231" s="1293" t="s">
        <v>408</v>
      </c>
      <c r="C231" s="1289"/>
      <c r="D231" s="1290"/>
      <c r="E231" s="1298"/>
      <c r="F231" s="1280"/>
    </row>
    <row r="232" spans="1:6" s="631" customFormat="1">
      <c r="A232" s="1284">
        <f t="shared" ref="A232:A240" ca="1" si="64">IFERROR(IF(OFFSET(A232,-1,0)&gt;0,OFFSET(A232,-1,0)+0.001,ERROR.TYPE(0)),IFERROR(IF(OFFSET(A232,-2,0)&gt;0,OFFSET(A232,-2,0)+0.001,ERROR.TYPE(0)),IFERROR(IF(OFFSET(A232,-3,0)&gt;0,OFFSET(A232,-3,0)+0.001,ERROR.TYPE(0)),IFERROR(IF(OFFSET(A232,-4,0)&gt;0,OFFSET(A232,-4,0)+0.001,ERROR.TYPE(0)),IFERROR(IF(OFFSET(A232,-5,0)&gt;0,OFFSET(A232,-5,0)+0.001,ERROR.TYPE(0)),IFERROR(IF(OFFSET(A232,-6,0)&gt;0,OFFSET(A232,-6,0)+0.001,ERROR.TYPE(0)),IFERROR(IF(OFFSET(A232,-7,0)&gt;0,OFFSET(A232,-7,0)+0.001,ERROR.TYPE(0)),IFERROR(IF(OFFSET(A232,-8,0)&gt;0,OFFSET(A232,-8,0)+0.001,ERROR.TYPE(0)),IFERROR(IF(OFFSET(A232,-9,0)&gt;0,OFFSET(A232,-9,0)+0.001,ERROR.TYPE(0)),IFERROR(IF(OFFSET(A232,-10,0)&gt;0,OFFSET(A232,-10,0)+0.001,ERROR.TYPE(0)),ERROR.TYPE(0)))))))))))</f>
        <v>3.0299999999999967</v>
      </c>
      <c r="B232" s="1296" t="s">
        <v>417</v>
      </c>
      <c r="C232" s="1286">
        <v>1</v>
      </c>
      <c r="D232" s="1278" t="s">
        <v>329</v>
      </c>
      <c r="E232" s="1279"/>
      <c r="F232" s="1280">
        <f t="shared" ref="F232:F240" si="65">IFERROR($C232*E232,E232)</f>
        <v>0</v>
      </c>
    </row>
    <row r="233" spans="1:6" s="631" customFormat="1">
      <c r="A233" s="1284">
        <f t="shared" ca="1" si="64"/>
        <v>3.0309999999999966</v>
      </c>
      <c r="B233" s="1296" t="s">
        <v>418</v>
      </c>
      <c r="C233" s="1286">
        <v>1</v>
      </c>
      <c r="D233" s="1278" t="s">
        <v>329</v>
      </c>
      <c r="E233" s="1279"/>
      <c r="F233" s="1280">
        <f t="shared" si="65"/>
        <v>0</v>
      </c>
    </row>
    <row r="234" spans="1:6" s="631" customFormat="1">
      <c r="A234" s="1284">
        <f t="shared" ca="1" si="64"/>
        <v>3.0319999999999965</v>
      </c>
      <c r="B234" s="1296" t="s">
        <v>419</v>
      </c>
      <c r="C234" s="1286">
        <v>1</v>
      </c>
      <c r="D234" s="1278" t="s">
        <v>329</v>
      </c>
      <c r="E234" s="1279"/>
      <c r="F234" s="1280">
        <f t="shared" si="65"/>
        <v>0</v>
      </c>
    </row>
    <row r="235" spans="1:6" s="631" customFormat="1">
      <c r="A235" s="1284">
        <f t="shared" ca="1" si="64"/>
        <v>3.0329999999999964</v>
      </c>
      <c r="B235" s="1296" t="s">
        <v>420</v>
      </c>
      <c r="C235" s="1286">
        <v>1</v>
      </c>
      <c r="D235" s="1278" t="s">
        <v>329</v>
      </c>
      <c r="E235" s="1279"/>
      <c r="F235" s="1280">
        <f t="shared" si="65"/>
        <v>0</v>
      </c>
    </row>
    <row r="236" spans="1:6" s="631" customFormat="1">
      <c r="A236" s="1284">
        <f t="shared" ca="1" si="64"/>
        <v>3.0339999999999963</v>
      </c>
      <c r="B236" s="1296" t="s">
        <v>421</v>
      </c>
      <c r="C236" s="1286">
        <v>1</v>
      </c>
      <c r="D236" s="1278" t="s">
        <v>329</v>
      </c>
      <c r="E236" s="1279"/>
      <c r="F236" s="1280">
        <f t="shared" si="65"/>
        <v>0</v>
      </c>
    </row>
    <row r="237" spans="1:6" s="631" customFormat="1">
      <c r="A237" s="1284">
        <f t="shared" ca="1" si="64"/>
        <v>3.0349999999999961</v>
      </c>
      <c r="B237" s="1296" t="s">
        <v>422</v>
      </c>
      <c r="C237" s="1286">
        <v>2</v>
      </c>
      <c r="D237" s="1278" t="s">
        <v>329</v>
      </c>
      <c r="E237" s="1279"/>
      <c r="F237" s="1280">
        <f t="shared" si="65"/>
        <v>0</v>
      </c>
    </row>
    <row r="238" spans="1:6" s="631" customFormat="1" ht="27.6">
      <c r="A238" s="1284">
        <f t="shared" ca="1" si="64"/>
        <v>3.035999999999996</v>
      </c>
      <c r="B238" s="1296" t="s">
        <v>423</v>
      </c>
      <c r="C238" s="1286">
        <v>1</v>
      </c>
      <c r="D238" s="1278" t="s">
        <v>329</v>
      </c>
      <c r="E238" s="1279"/>
      <c r="F238" s="1280">
        <f t="shared" si="65"/>
        <v>0</v>
      </c>
    </row>
    <row r="239" spans="1:6" s="631" customFormat="1" ht="27.6">
      <c r="A239" s="1284">
        <f t="shared" ca="1" si="64"/>
        <v>3.0369999999999959</v>
      </c>
      <c r="B239" s="1296" t="s">
        <v>424</v>
      </c>
      <c r="C239" s="1286">
        <v>2</v>
      </c>
      <c r="D239" s="1278" t="s">
        <v>329</v>
      </c>
      <c r="E239" s="1279"/>
      <c r="F239" s="1280">
        <f t="shared" si="65"/>
        <v>0</v>
      </c>
    </row>
    <row r="240" spans="1:6" s="631" customFormat="1">
      <c r="A240" s="1284">
        <f t="shared" ca="1" si="64"/>
        <v>3.0379999999999958</v>
      </c>
      <c r="B240" s="1296" t="s">
        <v>425</v>
      </c>
      <c r="C240" s="1286">
        <v>2</v>
      </c>
      <c r="D240" s="1278" t="s">
        <v>329</v>
      </c>
      <c r="E240" s="1279"/>
      <c r="F240" s="1280">
        <f t="shared" si="65"/>
        <v>0</v>
      </c>
    </row>
    <row r="241" spans="1:6" s="631" customFormat="1">
      <c r="A241" s="1284"/>
      <c r="B241" s="1273" t="s">
        <v>347</v>
      </c>
      <c r="C241" s="1290"/>
      <c r="D241" s="1290"/>
      <c r="E241" s="1275"/>
      <c r="F241" s="1280"/>
    </row>
    <row r="242" spans="1:6" s="631" customFormat="1">
      <c r="A242" s="1284"/>
      <c r="B242" s="1293" t="s">
        <v>408</v>
      </c>
      <c r="C242" s="1289"/>
      <c r="D242" s="1290"/>
      <c r="E242" s="1298"/>
      <c r="F242" s="1280"/>
    </row>
    <row r="243" spans="1:6" s="631" customFormat="1">
      <c r="A243" s="1284">
        <f t="shared" ref="A243:A252" ca="1" si="66">IFERROR(IF(OFFSET(A243,-1,0)&gt;0,OFFSET(A243,-1,0)+0.001,ERROR.TYPE(0)),IFERROR(IF(OFFSET(A243,-2,0)&gt;0,OFFSET(A243,-2,0)+0.001,ERROR.TYPE(0)),IFERROR(IF(OFFSET(A243,-3,0)&gt;0,OFFSET(A243,-3,0)+0.001,ERROR.TYPE(0)),IFERROR(IF(OFFSET(A243,-4,0)&gt;0,OFFSET(A243,-4,0)+0.001,ERROR.TYPE(0)),IFERROR(IF(OFFSET(A243,-5,0)&gt;0,OFFSET(A243,-5,0)+0.001,ERROR.TYPE(0)),IFERROR(IF(OFFSET(A243,-6,0)&gt;0,OFFSET(A243,-6,0)+0.001,ERROR.TYPE(0)),IFERROR(IF(OFFSET(A243,-7,0)&gt;0,OFFSET(A243,-7,0)+0.001,ERROR.TYPE(0)),IFERROR(IF(OFFSET(A243,-8,0)&gt;0,OFFSET(A243,-8,0)+0.001,ERROR.TYPE(0)),IFERROR(IF(OFFSET(A243,-9,0)&gt;0,OFFSET(A243,-9,0)+0.001,ERROR.TYPE(0)),IFERROR(IF(OFFSET(A243,-10,0)&gt;0,OFFSET(A243,-10,0)+0.001,ERROR.TYPE(0)),ERROR.TYPE(0)))))))))))</f>
        <v>3.0389999999999957</v>
      </c>
      <c r="B243" s="1296" t="s">
        <v>426</v>
      </c>
      <c r="C243" s="1286">
        <v>1</v>
      </c>
      <c r="D243" s="1278" t="s">
        <v>329</v>
      </c>
      <c r="E243" s="1279"/>
      <c r="F243" s="1280">
        <f t="shared" ref="F243:F252" si="67">IFERROR($C243*E243,E243)</f>
        <v>0</v>
      </c>
    </row>
    <row r="244" spans="1:6" s="631" customFormat="1">
      <c r="A244" s="1284">
        <f t="shared" ca="1" si="66"/>
        <v>3.0399999999999956</v>
      </c>
      <c r="B244" s="1296" t="s">
        <v>427</v>
      </c>
      <c r="C244" s="1286">
        <v>2</v>
      </c>
      <c r="D244" s="1278" t="s">
        <v>329</v>
      </c>
      <c r="E244" s="1279"/>
      <c r="F244" s="1280">
        <f t="shared" si="67"/>
        <v>0</v>
      </c>
    </row>
    <row r="245" spans="1:6" s="631" customFormat="1">
      <c r="A245" s="1284">
        <f t="shared" ca="1" si="66"/>
        <v>3.0409999999999955</v>
      </c>
      <c r="B245" s="1296" t="s">
        <v>417</v>
      </c>
      <c r="C245" s="1286">
        <v>3</v>
      </c>
      <c r="D245" s="1278" t="s">
        <v>329</v>
      </c>
      <c r="E245" s="1279"/>
      <c r="F245" s="1280">
        <f t="shared" si="67"/>
        <v>0</v>
      </c>
    </row>
    <row r="246" spans="1:6" s="631" customFormat="1">
      <c r="A246" s="1284">
        <f t="shared" ca="1" si="66"/>
        <v>3.0419999999999954</v>
      </c>
      <c r="B246" s="1296" t="s">
        <v>428</v>
      </c>
      <c r="C246" s="1286">
        <v>1</v>
      </c>
      <c r="D246" s="1278" t="s">
        <v>329</v>
      </c>
      <c r="E246" s="1279"/>
      <c r="F246" s="1280">
        <f t="shared" si="67"/>
        <v>0</v>
      </c>
    </row>
    <row r="247" spans="1:6" s="631" customFormat="1">
      <c r="A247" s="1284">
        <f t="shared" ca="1" si="66"/>
        <v>3.0429999999999953</v>
      </c>
      <c r="B247" s="1296" t="s">
        <v>429</v>
      </c>
      <c r="C247" s="1286">
        <v>2</v>
      </c>
      <c r="D247" s="1278" t="s">
        <v>329</v>
      </c>
      <c r="E247" s="1279"/>
      <c r="F247" s="1280">
        <f t="shared" si="67"/>
        <v>0</v>
      </c>
    </row>
    <row r="248" spans="1:6" s="631" customFormat="1">
      <c r="A248" s="1284">
        <f t="shared" ca="1" si="66"/>
        <v>3.0439999999999952</v>
      </c>
      <c r="B248" s="1296" t="s">
        <v>418</v>
      </c>
      <c r="C248" s="1286">
        <v>1</v>
      </c>
      <c r="D248" s="1278" t="s">
        <v>329</v>
      </c>
      <c r="E248" s="1279"/>
      <c r="F248" s="1280">
        <f t="shared" si="67"/>
        <v>0</v>
      </c>
    </row>
    <row r="249" spans="1:6" s="631" customFormat="1">
      <c r="A249" s="1284">
        <f t="shared" ca="1" si="66"/>
        <v>3.044999999999995</v>
      </c>
      <c r="B249" s="1296" t="s">
        <v>419</v>
      </c>
      <c r="C249" s="1286">
        <v>2</v>
      </c>
      <c r="D249" s="1278" t="s">
        <v>329</v>
      </c>
      <c r="E249" s="1279"/>
      <c r="F249" s="1280">
        <f t="shared" si="67"/>
        <v>0</v>
      </c>
    </row>
    <row r="250" spans="1:6" s="631" customFormat="1" ht="27.6">
      <c r="A250" s="1284">
        <f t="shared" ca="1" si="66"/>
        <v>3.0459999999999949</v>
      </c>
      <c r="B250" s="1296" t="s">
        <v>430</v>
      </c>
      <c r="C250" s="1286">
        <v>1</v>
      </c>
      <c r="D250" s="1278" t="s">
        <v>329</v>
      </c>
      <c r="E250" s="1279"/>
      <c r="F250" s="1280">
        <f t="shared" si="67"/>
        <v>0</v>
      </c>
    </row>
    <row r="251" spans="1:6" s="631" customFormat="1">
      <c r="A251" s="1284">
        <f t="shared" ca="1" si="66"/>
        <v>3.0469999999999948</v>
      </c>
      <c r="B251" s="1296" t="s">
        <v>431</v>
      </c>
      <c r="C251" s="1286">
        <v>2</v>
      </c>
      <c r="D251" s="1278" t="s">
        <v>329</v>
      </c>
      <c r="E251" s="1279"/>
      <c r="F251" s="1280">
        <f t="shared" si="67"/>
        <v>0</v>
      </c>
    </row>
    <row r="252" spans="1:6" s="631" customFormat="1">
      <c r="A252" s="1284">
        <f t="shared" ca="1" si="66"/>
        <v>3.0479999999999947</v>
      </c>
      <c r="B252" s="1296" t="s">
        <v>432</v>
      </c>
      <c r="C252" s="1286">
        <v>1</v>
      </c>
      <c r="D252" s="1278" t="s">
        <v>329</v>
      </c>
      <c r="E252" s="1279"/>
      <c r="F252" s="1280">
        <f t="shared" si="67"/>
        <v>0</v>
      </c>
    </row>
    <row r="253" spans="1:6" s="631" customFormat="1">
      <c r="A253" s="1284"/>
      <c r="B253" s="1273" t="s">
        <v>362</v>
      </c>
      <c r="C253" s="1290"/>
      <c r="D253" s="1290"/>
      <c r="E253" s="1275"/>
      <c r="F253" s="1280"/>
    </row>
    <row r="254" spans="1:6" s="631" customFormat="1">
      <c r="A254" s="1284"/>
      <c r="B254" s="1293" t="s">
        <v>408</v>
      </c>
      <c r="C254" s="1289"/>
      <c r="D254" s="1290"/>
      <c r="E254" s="1298"/>
      <c r="F254" s="1280"/>
    </row>
    <row r="255" spans="1:6" s="631" customFormat="1">
      <c r="A255" s="1284">
        <f t="shared" ref="A255:A258" ca="1" si="68">IFERROR(IF(OFFSET(A255,-1,0)&gt;0,OFFSET(A255,-1,0)+0.001,ERROR.TYPE(0)),IFERROR(IF(OFFSET(A255,-2,0)&gt;0,OFFSET(A255,-2,0)+0.001,ERROR.TYPE(0)),IFERROR(IF(OFFSET(A255,-3,0)&gt;0,OFFSET(A255,-3,0)+0.001,ERROR.TYPE(0)),IFERROR(IF(OFFSET(A255,-4,0)&gt;0,OFFSET(A255,-4,0)+0.001,ERROR.TYPE(0)),IFERROR(IF(OFFSET(A255,-5,0)&gt;0,OFFSET(A255,-5,0)+0.001,ERROR.TYPE(0)),IFERROR(IF(OFFSET(A255,-6,0)&gt;0,OFFSET(A255,-6,0)+0.001,ERROR.TYPE(0)),IFERROR(IF(OFFSET(A255,-7,0)&gt;0,OFFSET(A255,-7,0)+0.001,ERROR.TYPE(0)),IFERROR(IF(OFFSET(A255,-8,0)&gt;0,OFFSET(A255,-8,0)+0.001,ERROR.TYPE(0)),IFERROR(IF(OFFSET(A255,-9,0)&gt;0,OFFSET(A255,-9,0)+0.001,ERROR.TYPE(0)),IFERROR(IF(OFFSET(A255,-10,0)&gt;0,OFFSET(A255,-10,0)+0.001,ERROR.TYPE(0)),ERROR.TYPE(0)))))))))))</f>
        <v>3.0489999999999946</v>
      </c>
      <c r="B255" s="1296" t="s">
        <v>426</v>
      </c>
      <c r="C255" s="1286">
        <v>3</v>
      </c>
      <c r="D255" s="1278" t="s">
        <v>329</v>
      </c>
      <c r="E255" s="1279"/>
      <c r="F255" s="1280">
        <f t="shared" ref="F255:F258" si="69">IFERROR($C255*E255,E255)</f>
        <v>0</v>
      </c>
    </row>
    <row r="256" spans="1:6" s="631" customFormat="1">
      <c r="A256" s="1284">
        <f t="shared" ca="1" si="68"/>
        <v>3.0499999999999945</v>
      </c>
      <c r="B256" s="1296" t="s">
        <v>427</v>
      </c>
      <c r="C256" s="1286">
        <v>2</v>
      </c>
      <c r="D256" s="1278" t="s">
        <v>329</v>
      </c>
      <c r="E256" s="1279"/>
      <c r="F256" s="1280">
        <f t="shared" si="69"/>
        <v>0</v>
      </c>
    </row>
    <row r="257" spans="1:6" s="631" customFormat="1">
      <c r="A257" s="1284">
        <f t="shared" ca="1" si="68"/>
        <v>3.0509999999999944</v>
      </c>
      <c r="B257" s="1296" t="s">
        <v>433</v>
      </c>
      <c r="C257" s="1286">
        <v>1</v>
      </c>
      <c r="D257" s="1278" t="s">
        <v>329</v>
      </c>
      <c r="E257" s="1279"/>
      <c r="F257" s="1280">
        <f t="shared" si="69"/>
        <v>0</v>
      </c>
    </row>
    <row r="258" spans="1:6" s="631" customFormat="1">
      <c r="A258" s="1284">
        <f t="shared" ca="1" si="68"/>
        <v>3.0519999999999943</v>
      </c>
      <c r="B258" s="1296" t="s">
        <v>434</v>
      </c>
      <c r="C258" s="1286">
        <v>1</v>
      </c>
      <c r="D258" s="1278" t="s">
        <v>329</v>
      </c>
      <c r="E258" s="1279"/>
      <c r="F258" s="1280">
        <f t="shared" si="69"/>
        <v>0</v>
      </c>
    </row>
    <row r="259" spans="1:6" s="631" customFormat="1">
      <c r="A259" s="1272"/>
      <c r="B259" s="1273" t="s">
        <v>435</v>
      </c>
      <c r="C259" s="1458" t="s">
        <v>305</v>
      </c>
      <c r="D259" s="1459"/>
      <c r="E259" s="1312"/>
      <c r="F259" s="1299">
        <f>SUM(F230:F258)</f>
        <v>0</v>
      </c>
    </row>
    <row r="260" spans="1:6">
      <c r="A260" s="1313"/>
      <c r="B260" s="1301"/>
      <c r="C260" s="1314"/>
      <c r="D260" s="1315"/>
      <c r="E260" s="1316"/>
      <c r="F260" s="1317"/>
    </row>
    <row r="261" spans="1:6">
      <c r="A261" s="1313"/>
      <c r="B261" s="1301"/>
      <c r="C261" s="1314"/>
      <c r="D261" s="1315"/>
      <c r="E261" s="1316"/>
      <c r="F261" s="1317"/>
    </row>
    <row r="262" spans="1:6" s="631" customFormat="1" ht="27.6">
      <c r="A262" s="1267" t="s">
        <v>143</v>
      </c>
      <c r="B262" s="1268" t="s">
        <v>198</v>
      </c>
      <c r="C262" s="1269" t="s">
        <v>199</v>
      </c>
      <c r="D262" s="1269" t="s">
        <v>200</v>
      </c>
      <c r="E262" s="1270" t="s">
        <v>294</v>
      </c>
      <c r="F262" s="1271" t="s">
        <v>295</v>
      </c>
    </row>
    <row r="263" spans="1:6" s="631" customFormat="1">
      <c r="A263" s="1284"/>
      <c r="B263" s="1273" t="s">
        <v>368</v>
      </c>
      <c r="C263" s="1290"/>
      <c r="D263" s="1290"/>
      <c r="E263" s="1275"/>
      <c r="F263" s="1280"/>
    </row>
    <row r="264" spans="1:6" s="631" customFormat="1">
      <c r="A264" s="1284"/>
      <c r="B264" s="1293" t="s">
        <v>408</v>
      </c>
      <c r="C264" s="1289"/>
      <c r="D264" s="1290"/>
      <c r="E264" s="1298"/>
      <c r="F264" s="1280"/>
    </row>
    <row r="265" spans="1:6" s="631" customFormat="1">
      <c r="A265" s="1284">
        <f t="shared" ref="A265:A270" ca="1" si="70">IFERROR(IF(OFFSET(A265,-1,0)&gt;0,OFFSET(A265,-1,0)+0.001,ERROR.TYPE(0)),IFERROR(IF(OFFSET(A265,-2,0)&gt;0,OFFSET(A265,-2,0)+0.001,ERROR.TYPE(0)),IFERROR(IF(OFFSET(A265,-3,0)&gt;0,OFFSET(A265,-3,0)+0.001,ERROR.TYPE(0)),IFERROR(IF(OFFSET(A265,-4,0)&gt;0,OFFSET(A265,-4,0)+0.001,ERROR.TYPE(0)),IFERROR(IF(OFFSET(A265,-5,0)&gt;0,OFFSET(A265,-5,0)+0.001,ERROR.TYPE(0)),IFERROR(IF(OFFSET(A265,-6,0)&gt;0,OFFSET(A265,-6,0)+0.001,ERROR.TYPE(0)),IFERROR(IF(OFFSET(A265,-7,0)&gt;0,OFFSET(A265,-7,0)+0.001,ERROR.TYPE(0)),IFERROR(IF(OFFSET(A265,-8,0)&gt;0,OFFSET(A265,-8,0)+0.001,ERROR.TYPE(0)),IFERROR(IF(OFFSET(A265,-9,0)&gt;0,OFFSET(A265,-9,0)+0.001,ERROR.TYPE(0)),IFERROR(IF(OFFSET(A265,-10,0)&gt;0,OFFSET(A265,-10,0)+0.001,ERROR.TYPE(0)),ERROR.TYPE(0)))))))))))</f>
        <v>3.0529999999999942</v>
      </c>
      <c r="B265" s="1296" t="s">
        <v>426</v>
      </c>
      <c r="C265" s="1286">
        <v>1</v>
      </c>
      <c r="D265" s="1278" t="s">
        <v>329</v>
      </c>
      <c r="E265" s="1279"/>
      <c r="F265" s="1280">
        <f t="shared" ref="F265:F270" si="71">IFERROR($C265*E265,E265)</f>
        <v>0</v>
      </c>
    </row>
    <row r="266" spans="1:6" s="631" customFormat="1">
      <c r="A266" s="1284">
        <f t="shared" ca="1" si="70"/>
        <v>3.0539999999999941</v>
      </c>
      <c r="B266" s="1296" t="s">
        <v>436</v>
      </c>
      <c r="C266" s="1286">
        <v>2</v>
      </c>
      <c r="D266" s="1278" t="s">
        <v>329</v>
      </c>
      <c r="E266" s="1279"/>
      <c r="F266" s="1280">
        <f t="shared" si="71"/>
        <v>0</v>
      </c>
    </row>
    <row r="267" spans="1:6" s="631" customFormat="1">
      <c r="A267" s="1284">
        <f t="shared" ca="1" si="70"/>
        <v>3.0549999999999939</v>
      </c>
      <c r="B267" s="1296" t="s">
        <v>427</v>
      </c>
      <c r="C267" s="1286">
        <v>1</v>
      </c>
      <c r="D267" s="1278" t="s">
        <v>329</v>
      </c>
      <c r="E267" s="1279"/>
      <c r="F267" s="1280">
        <f t="shared" si="71"/>
        <v>0</v>
      </c>
    </row>
    <row r="268" spans="1:6" s="631" customFormat="1">
      <c r="A268" s="1284">
        <f t="shared" ca="1" si="70"/>
        <v>3.0559999999999938</v>
      </c>
      <c r="B268" s="1296" t="s">
        <v>437</v>
      </c>
      <c r="C268" s="1286">
        <v>1</v>
      </c>
      <c r="D268" s="1278" t="s">
        <v>329</v>
      </c>
      <c r="E268" s="1279"/>
      <c r="F268" s="1280">
        <f t="shared" si="71"/>
        <v>0</v>
      </c>
    </row>
    <row r="269" spans="1:6" s="631" customFormat="1">
      <c r="A269" s="1284">
        <f t="shared" ca="1" si="70"/>
        <v>3.0569999999999937</v>
      </c>
      <c r="B269" s="1296" t="s">
        <v>438</v>
      </c>
      <c r="C269" s="1286">
        <v>3</v>
      </c>
      <c r="D269" s="1278" t="s">
        <v>329</v>
      </c>
      <c r="E269" s="1279"/>
      <c r="F269" s="1280">
        <f t="shared" si="71"/>
        <v>0</v>
      </c>
    </row>
    <row r="270" spans="1:6" s="631" customFormat="1">
      <c r="A270" s="1284">
        <f t="shared" ca="1" si="70"/>
        <v>3.0579999999999936</v>
      </c>
      <c r="B270" s="1296" t="s">
        <v>439</v>
      </c>
      <c r="C270" s="1286">
        <v>2</v>
      </c>
      <c r="D270" s="1278" t="s">
        <v>329</v>
      </c>
      <c r="E270" s="1279"/>
      <c r="F270" s="1280">
        <f t="shared" si="71"/>
        <v>0</v>
      </c>
    </row>
    <row r="271" spans="1:6" s="631" customFormat="1">
      <c r="A271" s="1284"/>
      <c r="B271" s="1273" t="s">
        <v>371</v>
      </c>
      <c r="C271" s="1290"/>
      <c r="D271" s="1290"/>
      <c r="E271" s="1275"/>
      <c r="F271" s="1280"/>
    </row>
    <row r="272" spans="1:6" s="631" customFormat="1">
      <c r="A272" s="1284"/>
      <c r="B272" s="1293" t="s">
        <v>408</v>
      </c>
      <c r="C272" s="1289"/>
      <c r="D272" s="1290"/>
      <c r="E272" s="1298"/>
      <c r="F272" s="1280"/>
    </row>
    <row r="273" spans="1:6" s="631" customFormat="1">
      <c r="A273" s="1284">
        <f ca="1">IFERROR(IF(OFFSET(A273,-1,0)&gt;0,OFFSET(A273,-1,0)+0.001,ERROR.TYPE(0)),IFERROR(IF(OFFSET(A273,-2,0)&gt;0,OFFSET(A273,-2,0)+0.001,ERROR.TYPE(0)),IFERROR(IF(OFFSET(A273,-3,0)&gt;0,OFFSET(A273,-3,0)+0.001,ERROR.TYPE(0)),IFERROR(IF(OFFSET(A273,-4,0)&gt;0,OFFSET(A273,-4,0)+0.001,ERROR.TYPE(0)),IFERROR(IF(OFFSET(A273,-5,0)&gt;0,OFFSET(A273,-5,0)+0.001,ERROR.TYPE(0)),IFERROR(IF(OFFSET(A273,-6,0)&gt;0,OFFSET(A273,-6,0)+0.001,ERROR.TYPE(0)),IFERROR(IF(OFFSET(A273,-7,0)&gt;0,OFFSET(A273,-7,0)+0.001,ERROR.TYPE(0)),IFERROR(IF(OFFSET(A273,-8,0)&gt;0,OFFSET(A273,-8,0)+0.001,ERROR.TYPE(0)),IFERROR(IF(OFFSET(A273,-9,0)&gt;0,OFFSET(A273,-9,0)+0.001,ERROR.TYPE(0)),IFERROR(IF(OFFSET(A273,-10,0)&gt;0,OFFSET(A273,-10,0)+0.001,ERROR.TYPE(0)),ERROR.TYPE(0)))))))))))</f>
        <v>3.0589999999999935</v>
      </c>
      <c r="B273" s="1296" t="s">
        <v>426</v>
      </c>
      <c r="C273" s="1286">
        <v>1</v>
      </c>
      <c r="D273" s="1278" t="s">
        <v>329</v>
      </c>
      <c r="E273" s="1279"/>
      <c r="F273" s="1280">
        <f t="shared" ref="F273:F275" si="72">IFERROR($C273*E273,E273)</f>
        <v>0</v>
      </c>
    </row>
    <row r="274" spans="1:6" s="631" customFormat="1">
      <c r="A274" s="1284">
        <f ca="1">IFERROR(IF(OFFSET(A274,-1,0)&gt;0,OFFSET(A274,-1,0)+0.001,ERROR.TYPE(0)),IFERROR(IF(OFFSET(A274,-2,0)&gt;0,OFFSET(A274,-2,0)+0.001,ERROR.TYPE(0)),IFERROR(IF(OFFSET(A274,-3,0)&gt;0,OFFSET(A274,-3,0)+0.001,ERROR.TYPE(0)),IFERROR(IF(OFFSET(A274,-4,0)&gt;0,OFFSET(A274,-4,0)+0.001,ERROR.TYPE(0)),IFERROR(IF(OFFSET(A274,-5,0)&gt;0,OFFSET(A274,-5,0)+0.001,ERROR.TYPE(0)),IFERROR(IF(OFFSET(A274,-6,0)&gt;0,OFFSET(A274,-6,0)+0.001,ERROR.TYPE(0)),IFERROR(IF(OFFSET(A274,-7,0)&gt;0,OFFSET(A274,-7,0)+0.001,ERROR.TYPE(0)),IFERROR(IF(OFFSET(A274,-8,0)&gt;0,OFFSET(A274,-8,0)+0.001,ERROR.TYPE(0)),IFERROR(IF(OFFSET(A274,-9,0)&gt;0,OFFSET(A274,-9,0)+0.001,ERROR.TYPE(0)),IFERROR(IF(OFFSET(A274,-10,0)&gt;0,OFFSET(A274,-10,0)+0.001,ERROR.TYPE(0)),ERROR.TYPE(0)))))))))))</f>
        <v>3.0599999999999934</v>
      </c>
      <c r="B274" s="1296" t="s">
        <v>436</v>
      </c>
      <c r="C274" s="1286">
        <v>2</v>
      </c>
      <c r="D274" s="1278" t="s">
        <v>329</v>
      </c>
      <c r="E274" s="1279"/>
      <c r="F274" s="1280">
        <f t="shared" si="72"/>
        <v>0</v>
      </c>
    </row>
    <row r="275" spans="1:6" s="631" customFormat="1">
      <c r="A275" s="1284">
        <f ca="1">IFERROR(IF(OFFSET(A275,-1,0)&gt;0,OFFSET(A275,-1,0)+0.001,ERROR.TYPE(0)),IFERROR(IF(OFFSET(A275,-2,0)&gt;0,OFFSET(A275,-2,0)+0.001,ERROR.TYPE(0)),IFERROR(IF(OFFSET(A275,-3,0)&gt;0,OFFSET(A275,-3,0)+0.001,ERROR.TYPE(0)),IFERROR(IF(OFFSET(A275,-4,0)&gt;0,OFFSET(A275,-4,0)+0.001,ERROR.TYPE(0)),IFERROR(IF(OFFSET(A275,-5,0)&gt;0,OFFSET(A275,-5,0)+0.001,ERROR.TYPE(0)),IFERROR(IF(OFFSET(A275,-6,0)&gt;0,OFFSET(A275,-6,0)+0.001,ERROR.TYPE(0)),IFERROR(IF(OFFSET(A275,-7,0)&gt;0,OFFSET(A275,-7,0)+0.001,ERROR.TYPE(0)),IFERROR(IF(OFFSET(A275,-8,0)&gt;0,OFFSET(A275,-8,0)+0.001,ERROR.TYPE(0)),IFERROR(IF(OFFSET(A275,-9,0)&gt;0,OFFSET(A275,-9,0)+0.001,ERROR.TYPE(0)),IFERROR(IF(OFFSET(A275,-10,0)&gt;0,OFFSET(A275,-10,0)+0.001,ERROR.TYPE(0)),ERROR.TYPE(0)))))))))))</f>
        <v>3.0609999999999933</v>
      </c>
      <c r="B275" s="1296" t="s">
        <v>440</v>
      </c>
      <c r="C275" s="1286">
        <v>1</v>
      </c>
      <c r="D275" s="1278" t="s">
        <v>329</v>
      </c>
      <c r="E275" s="1279"/>
      <c r="F275" s="1280">
        <f t="shared" si="72"/>
        <v>0</v>
      </c>
    </row>
    <row r="276" spans="1:6" s="631" customFormat="1">
      <c r="A276" s="1284">
        <f ca="1">IFERROR(IF(OFFSET(A276,-1,0)&gt;0,OFFSET(A276,-1,0)+0.001,ERROR.TYPE(0)),IFERROR(IF(OFFSET(A276,-2,0)&gt;0,OFFSET(A276,-2,0)+0.001,ERROR.TYPE(0)),IFERROR(IF(OFFSET(A276,-3,0)&gt;0,OFFSET(A276,-3,0)+0.001,ERROR.TYPE(0)),IFERROR(IF(OFFSET(A276,-4,0)&gt;0,OFFSET(A276,-4,0)+0.001,ERROR.TYPE(0)),IFERROR(IF(OFFSET(A276,-5,0)&gt;0,OFFSET(A276,-5,0)+0.001,ERROR.TYPE(0)),IFERROR(IF(OFFSET(A276,-6,0)&gt;0,OFFSET(A276,-6,0)+0.001,ERROR.TYPE(0)),IFERROR(IF(OFFSET(A276,-7,0)&gt;0,OFFSET(A276,-7,0)+0.001,ERROR.TYPE(0)),IFERROR(IF(OFFSET(A276,-8,0)&gt;0,OFFSET(A276,-8,0)+0.001,ERROR.TYPE(0)),IFERROR(IF(OFFSET(A276,-9,0)&gt;0,OFFSET(A276,-9,0)+0.001,ERROR.TYPE(0)),IFERROR(IF(OFFSET(A276,-10,0)&gt;0,OFFSET(A276,-10,0)+0.001,ERROR.TYPE(0)),ERROR.TYPE(0)))))))))))</f>
        <v>3.0619999999999932</v>
      </c>
      <c r="B276" s="1296" t="s">
        <v>441</v>
      </c>
      <c r="C276" s="1286">
        <v>1</v>
      </c>
      <c r="D276" s="1278" t="s">
        <v>329</v>
      </c>
      <c r="E276" s="1279"/>
      <c r="F276" s="1280">
        <f>IFERROR($C276*E276,E276)</f>
        <v>0</v>
      </c>
    </row>
    <row r="277" spans="1:6" s="631" customFormat="1">
      <c r="A277" s="1284"/>
      <c r="B277" s="1273" t="s">
        <v>442</v>
      </c>
      <c r="C277" s="1290"/>
      <c r="D277" s="1290"/>
      <c r="E277" s="1275"/>
      <c r="F277" s="1280"/>
    </row>
    <row r="278" spans="1:6" s="631" customFormat="1">
      <c r="A278" s="1284"/>
      <c r="B278" s="1293" t="s">
        <v>408</v>
      </c>
      <c r="C278" s="1289"/>
      <c r="D278" s="1290"/>
      <c r="E278" s="1298"/>
      <c r="F278" s="1280"/>
    </row>
    <row r="279" spans="1:6" s="631" customFormat="1">
      <c r="A279" s="1284">
        <f ca="1">IFERROR(IF(OFFSET(A279,-1,0)&gt;0,OFFSET(A279,-1,0)+0.001,ERROR.TYPE(0)),IFERROR(IF(OFFSET(A279,-2,0)&gt;0,OFFSET(A279,-2,0)+0.001,ERROR.TYPE(0)),IFERROR(IF(OFFSET(A279,-3,0)&gt;0,OFFSET(A279,-3,0)+0.001,ERROR.TYPE(0)),IFERROR(IF(OFFSET(A279,-4,0)&gt;0,OFFSET(A279,-4,0)+0.001,ERROR.TYPE(0)),IFERROR(IF(OFFSET(A279,-5,0)&gt;0,OFFSET(A279,-5,0)+0.001,ERROR.TYPE(0)),IFERROR(IF(OFFSET(A279,-6,0)&gt;0,OFFSET(A279,-6,0)+0.001,ERROR.TYPE(0)),IFERROR(IF(OFFSET(A279,-7,0)&gt;0,OFFSET(A279,-7,0)+0.001,ERROR.TYPE(0)),IFERROR(IF(OFFSET(A279,-8,0)&gt;0,OFFSET(A279,-8,0)+0.001,ERROR.TYPE(0)),IFERROR(IF(OFFSET(A279,-9,0)&gt;0,OFFSET(A279,-9,0)+0.001,ERROR.TYPE(0)),IFERROR(IF(OFFSET(A279,-10,0)&gt;0,OFFSET(A279,-10,0)+0.001,ERROR.TYPE(0)),ERROR.TYPE(0)))))))))))</f>
        <v>3.0629999999999931</v>
      </c>
      <c r="B279" s="1296" t="s">
        <v>436</v>
      </c>
      <c r="C279" s="1286">
        <v>3</v>
      </c>
      <c r="D279" s="1278" t="s">
        <v>329</v>
      </c>
      <c r="E279" s="1279"/>
      <c r="F279" s="1280">
        <f t="shared" ref="F279:F280" si="73">IFERROR($C279*E279,E279)</f>
        <v>0</v>
      </c>
    </row>
    <row r="280" spans="1:6" s="631" customFormat="1">
      <c r="A280" s="1284">
        <f ca="1">IFERROR(IF(OFFSET(A280,-1,0)&gt;0,OFFSET(A280,-1,0)+0.001,ERROR.TYPE(0)),IFERROR(IF(OFFSET(A280,-2,0)&gt;0,OFFSET(A280,-2,0)+0.001,ERROR.TYPE(0)),IFERROR(IF(OFFSET(A280,-3,0)&gt;0,OFFSET(A280,-3,0)+0.001,ERROR.TYPE(0)),IFERROR(IF(OFFSET(A280,-4,0)&gt;0,OFFSET(A280,-4,0)+0.001,ERROR.TYPE(0)),IFERROR(IF(OFFSET(A280,-5,0)&gt;0,OFFSET(A280,-5,0)+0.001,ERROR.TYPE(0)),IFERROR(IF(OFFSET(A280,-6,0)&gt;0,OFFSET(A280,-6,0)+0.001,ERROR.TYPE(0)),IFERROR(IF(OFFSET(A280,-7,0)&gt;0,OFFSET(A280,-7,0)+0.001,ERROR.TYPE(0)),IFERROR(IF(OFFSET(A280,-8,0)&gt;0,OFFSET(A280,-8,0)+0.001,ERROR.TYPE(0)),IFERROR(IF(OFFSET(A280,-9,0)&gt;0,OFFSET(A280,-9,0)+0.001,ERROR.TYPE(0)),IFERROR(IF(OFFSET(A280,-10,0)&gt;0,OFFSET(A280,-10,0)+0.001,ERROR.TYPE(0)),ERROR.TYPE(0)))))))))))</f>
        <v>3.063999999999993</v>
      </c>
      <c r="B280" s="1296" t="s">
        <v>438</v>
      </c>
      <c r="C280" s="1286">
        <v>1</v>
      </c>
      <c r="D280" s="1278" t="s">
        <v>329</v>
      </c>
      <c r="E280" s="1279"/>
      <c r="F280" s="1280">
        <f t="shared" si="73"/>
        <v>0</v>
      </c>
    </row>
    <row r="281" spans="1:6" s="631" customFormat="1">
      <c r="A281" s="1284">
        <f ca="1">IFERROR(IF(OFFSET(A281,-1,0)&gt;0,OFFSET(A281,-1,0)+0.001,ERROR.TYPE(0)),IFERROR(IF(OFFSET(A281,-2,0)&gt;0,OFFSET(A281,-2,0)+0.001,ERROR.TYPE(0)),IFERROR(IF(OFFSET(A281,-3,0)&gt;0,OFFSET(A281,-3,0)+0.001,ERROR.TYPE(0)),IFERROR(IF(OFFSET(A281,-4,0)&gt;0,OFFSET(A281,-4,0)+0.001,ERROR.TYPE(0)),IFERROR(IF(OFFSET(A281,-5,0)&gt;0,OFFSET(A281,-5,0)+0.001,ERROR.TYPE(0)),IFERROR(IF(OFFSET(A281,-6,0)&gt;0,OFFSET(A281,-6,0)+0.001,ERROR.TYPE(0)),IFERROR(IF(OFFSET(A281,-7,0)&gt;0,OFFSET(A281,-7,0)+0.001,ERROR.TYPE(0)),IFERROR(IF(OFFSET(A281,-8,0)&gt;0,OFFSET(A281,-8,0)+0.001,ERROR.TYPE(0)),IFERROR(IF(OFFSET(A281,-9,0)&gt;0,OFFSET(A281,-9,0)+0.001,ERROR.TYPE(0)),IFERROR(IF(OFFSET(A281,-10,0)&gt;0,OFFSET(A281,-10,0)+0.001,ERROR.TYPE(0)),ERROR.TYPE(0)))))))))))</f>
        <v>3.0649999999999928</v>
      </c>
      <c r="B281" s="1296" t="s">
        <v>439</v>
      </c>
      <c r="C281" s="1286">
        <v>1</v>
      </c>
      <c r="D281" s="1278" t="s">
        <v>329</v>
      </c>
      <c r="E281" s="1279"/>
      <c r="F281" s="1280">
        <f>IFERROR($C281*E281,E281)</f>
        <v>0</v>
      </c>
    </row>
    <row r="282" spans="1:6" s="631" customFormat="1">
      <c r="A282" s="1284"/>
      <c r="B282" s="1273" t="s">
        <v>443</v>
      </c>
      <c r="C282" s="1290"/>
      <c r="D282" s="1290"/>
      <c r="E282" s="1275"/>
      <c r="F282" s="1280"/>
    </row>
    <row r="283" spans="1:6" s="631" customFormat="1" ht="69">
      <c r="A283" s="1284"/>
      <c r="B283" s="1282" t="s">
        <v>444</v>
      </c>
      <c r="C283" s="1290"/>
      <c r="D283" s="1290"/>
      <c r="E283" s="1279"/>
      <c r="F283" s="1280"/>
    </row>
    <row r="284" spans="1:6" s="631" customFormat="1">
      <c r="A284" s="1284">
        <f ca="1">IFERROR(IF(OFFSET(A284,-1,0)&gt;0,OFFSET(A284,-1,0)+0.001,ERROR.TYPE(0)),IFERROR(IF(OFFSET(A284,-2,0)&gt;0,OFFSET(A284,-2,0)+0.001,ERROR.TYPE(0)),IFERROR(IF(OFFSET(A284,-3,0)&gt;0,OFFSET(A284,-3,0)+0.001,ERROR.TYPE(0)),IFERROR(IF(OFFSET(A284,-4,0)&gt;0,OFFSET(A284,-4,0)+0.001,ERROR.TYPE(0)),IFERROR(IF(OFFSET(A284,-5,0)&gt;0,OFFSET(A284,-5,0)+0.001,ERROR.TYPE(0)),IFERROR(IF(OFFSET(A284,-6,0)&gt;0,OFFSET(A284,-6,0)+0.001,ERROR.TYPE(0)),IFERROR(IF(OFFSET(A284,-7,0)&gt;0,OFFSET(A284,-7,0)+0.001,ERROR.TYPE(0)),IFERROR(IF(OFFSET(A284,-8,0)&gt;0,OFFSET(A284,-8,0)+0.001,ERROR.TYPE(0)),IFERROR(IF(OFFSET(A284,-9,0)&gt;0,OFFSET(A284,-9,0)+0.001,ERROR.TYPE(0)),IFERROR(IF(OFFSET(A284,-10,0)&gt;0,OFFSET(A284,-10,0)+0.001,ERROR.TYPE(0)),ERROR.TYPE(0)))))))))))</f>
        <v>3.0659999999999927</v>
      </c>
      <c r="B284" s="1296" t="s">
        <v>445</v>
      </c>
      <c r="C284" s="1286">
        <v>95</v>
      </c>
      <c r="D284" s="1278" t="s">
        <v>320</v>
      </c>
      <c r="E284" s="1279"/>
      <c r="F284" s="1280">
        <f t="shared" ref="F284:F286" si="74">IFERROR($C284*E284,E284)</f>
        <v>0</v>
      </c>
    </row>
    <row r="285" spans="1:6" s="631" customFormat="1">
      <c r="A285" s="1284">
        <f ca="1">IFERROR(IF(OFFSET(A285,-1,0)&gt;0,OFFSET(A285,-1,0)+0.001,ERROR.TYPE(0)),IFERROR(IF(OFFSET(A285,-2,0)&gt;0,OFFSET(A285,-2,0)+0.001,ERROR.TYPE(0)),IFERROR(IF(OFFSET(A285,-3,0)&gt;0,OFFSET(A285,-3,0)+0.001,ERROR.TYPE(0)),IFERROR(IF(OFFSET(A285,-4,0)&gt;0,OFFSET(A285,-4,0)+0.001,ERROR.TYPE(0)),IFERROR(IF(OFFSET(A285,-5,0)&gt;0,OFFSET(A285,-5,0)+0.001,ERROR.TYPE(0)),IFERROR(IF(OFFSET(A285,-6,0)&gt;0,OFFSET(A285,-6,0)+0.001,ERROR.TYPE(0)),IFERROR(IF(OFFSET(A285,-7,0)&gt;0,OFFSET(A285,-7,0)+0.001,ERROR.TYPE(0)),IFERROR(IF(OFFSET(A285,-8,0)&gt;0,OFFSET(A285,-8,0)+0.001,ERROR.TYPE(0)),IFERROR(IF(OFFSET(A285,-9,0)&gt;0,OFFSET(A285,-9,0)+0.001,ERROR.TYPE(0)),IFERROR(IF(OFFSET(A285,-10,0)&gt;0,OFFSET(A285,-10,0)+0.001,ERROR.TYPE(0)),ERROR.TYPE(0)))))))))))</f>
        <v>3.0669999999999926</v>
      </c>
      <c r="B285" s="1296" t="s">
        <v>446</v>
      </c>
      <c r="C285" s="1286">
        <v>70</v>
      </c>
      <c r="D285" s="1278" t="s">
        <v>320</v>
      </c>
      <c r="E285" s="1279"/>
      <c r="F285" s="1280">
        <f t="shared" si="74"/>
        <v>0</v>
      </c>
    </row>
    <row r="286" spans="1:6" s="631" customFormat="1">
      <c r="A286" s="1284">
        <f ca="1">IFERROR(IF(OFFSET(A286,-1,0)&gt;0,OFFSET(A286,-1,0)+0.001,ERROR.TYPE(0)),IFERROR(IF(OFFSET(A286,-2,0)&gt;0,OFFSET(A286,-2,0)+0.001,ERROR.TYPE(0)),IFERROR(IF(OFFSET(A286,-3,0)&gt;0,OFFSET(A286,-3,0)+0.001,ERROR.TYPE(0)),IFERROR(IF(OFFSET(A286,-4,0)&gt;0,OFFSET(A286,-4,0)+0.001,ERROR.TYPE(0)),IFERROR(IF(OFFSET(A286,-5,0)&gt;0,OFFSET(A286,-5,0)+0.001,ERROR.TYPE(0)),IFERROR(IF(OFFSET(A286,-6,0)&gt;0,OFFSET(A286,-6,0)+0.001,ERROR.TYPE(0)),IFERROR(IF(OFFSET(A286,-7,0)&gt;0,OFFSET(A286,-7,0)+0.001,ERROR.TYPE(0)),IFERROR(IF(OFFSET(A286,-8,0)&gt;0,OFFSET(A286,-8,0)+0.001,ERROR.TYPE(0)),IFERROR(IF(OFFSET(A286,-9,0)&gt;0,OFFSET(A286,-9,0)+0.001,ERROR.TYPE(0)),IFERROR(IF(OFFSET(A286,-10,0)&gt;0,OFFSET(A286,-10,0)+0.001,ERROR.TYPE(0)),ERROR.TYPE(0)))))))))))</f>
        <v>3.0679999999999925</v>
      </c>
      <c r="B286" s="1296" t="s">
        <v>447</v>
      </c>
      <c r="C286" s="1286">
        <v>90</v>
      </c>
      <c r="D286" s="1278" t="s">
        <v>320</v>
      </c>
      <c r="E286" s="1279"/>
      <c r="F286" s="1280">
        <f t="shared" si="74"/>
        <v>0</v>
      </c>
    </row>
    <row r="287" spans="1:6" s="631" customFormat="1">
      <c r="A287" s="1277"/>
      <c r="B287" s="1273" t="s">
        <v>448</v>
      </c>
      <c r="C287" s="1278"/>
      <c r="D287" s="1278"/>
      <c r="E287" s="1279"/>
      <c r="F287" s="1280"/>
    </row>
    <row r="288" spans="1:6" s="631" customFormat="1">
      <c r="A288" s="1284"/>
      <c r="B288" s="1293" t="s">
        <v>408</v>
      </c>
      <c r="C288" s="1289"/>
      <c r="D288" s="1290"/>
      <c r="E288" s="1298"/>
      <c r="F288" s="1280"/>
    </row>
    <row r="289" spans="1:6" s="631" customFormat="1">
      <c r="A289" s="1319">
        <f ca="1">IFERROR(IF(OFFSET(A289,-1,0)&gt;0,OFFSET(A289,-1,0)+0.001,ERROR.TYPE(0)),IFERROR(IF(OFFSET(A289,-2,0)&gt;0,OFFSET(A289,-2,0)+0.001,ERROR.TYPE(0)),IFERROR(IF(OFFSET(A289,-3,0)&gt;0,OFFSET(A289,-3,0)+0.001,ERROR.TYPE(0)),IFERROR(IF(OFFSET(A289,-4,0)&gt;0,OFFSET(A289,-4,0)+0.001,ERROR.TYPE(0)),IFERROR(IF(OFFSET(A289,-5,0)&gt;0,OFFSET(A289,-5,0)+0.001,ERROR.TYPE(0)),IFERROR(IF(OFFSET(A289,-6,0)&gt;0,OFFSET(A289,-6,0)+0.001,ERROR.TYPE(0)),IFERROR(IF(OFFSET(A289,-7,0)&gt;0,OFFSET(A289,-7,0)+0.001,ERROR.TYPE(0)),IFERROR(IF(OFFSET(A289,-8,0)&gt;0,OFFSET(A289,-8,0)+0.001,ERROR.TYPE(0)),IFERROR(IF(OFFSET(A289,-9,0)&gt;0,OFFSET(A289,-9,0)+0.001,ERROR.TYPE(0)),IFERROR(IF(OFFSET(A289,-10,0)&gt;0,OFFSET(A289,-10,0)+0.001,ERROR.TYPE(0)),ERROR.TYPE(0)))))))))))</f>
        <v>3.0689999999999924</v>
      </c>
      <c r="B289" s="1296" t="s">
        <v>449</v>
      </c>
      <c r="C289" s="1320">
        <v>0</v>
      </c>
      <c r="D289" s="1278" t="s">
        <v>329</v>
      </c>
      <c r="E289" s="1279"/>
      <c r="F289" s="1321" t="s">
        <v>3797</v>
      </c>
    </row>
    <row r="290" spans="1:6" s="631" customFormat="1">
      <c r="A290" s="1319">
        <f t="shared" ref="A290:A291" ca="1" si="75">IFERROR(IF(OFFSET(A290,-1,0)&gt;0,OFFSET(A290,-1,0)+0.001,ERROR.TYPE(0)),IFERROR(IF(OFFSET(A290,-2,0)&gt;0,OFFSET(A290,-2,0)+0.001,ERROR.TYPE(0)),IFERROR(IF(OFFSET(A290,-3,0)&gt;0,OFFSET(A290,-3,0)+0.001,ERROR.TYPE(0)),IFERROR(IF(OFFSET(A290,-4,0)&gt;0,OFFSET(A290,-4,0)+0.001,ERROR.TYPE(0)),IFERROR(IF(OFFSET(A290,-5,0)&gt;0,OFFSET(A290,-5,0)+0.001,ERROR.TYPE(0)),IFERROR(IF(OFFSET(A290,-6,0)&gt;0,OFFSET(A290,-6,0)+0.001,ERROR.TYPE(0)),IFERROR(IF(OFFSET(A290,-7,0)&gt;0,OFFSET(A290,-7,0)+0.001,ERROR.TYPE(0)),IFERROR(IF(OFFSET(A290,-8,0)&gt;0,OFFSET(A290,-8,0)+0.001,ERROR.TYPE(0)),IFERROR(IF(OFFSET(A290,-9,0)&gt;0,OFFSET(A290,-9,0)+0.001,ERROR.TYPE(0)),IFERROR(IF(OFFSET(A290,-10,0)&gt;0,OFFSET(A290,-10,0)+0.001,ERROR.TYPE(0)),ERROR.TYPE(0)))))))))))</f>
        <v>3.0699999999999923</v>
      </c>
      <c r="B290" s="1296" t="s">
        <v>450</v>
      </c>
      <c r="C290" s="1320">
        <v>0</v>
      </c>
      <c r="D290" s="1278" t="s">
        <v>329</v>
      </c>
      <c r="E290" s="1279"/>
      <c r="F290" s="1321" t="s">
        <v>3797</v>
      </c>
    </row>
    <row r="291" spans="1:6" s="631" customFormat="1">
      <c r="A291" s="1319">
        <f t="shared" ca="1" si="75"/>
        <v>3.0709999999999922</v>
      </c>
      <c r="B291" s="1296" t="s">
        <v>451</v>
      </c>
      <c r="C291" s="1320">
        <v>0</v>
      </c>
      <c r="D291" s="1278" t="s">
        <v>329</v>
      </c>
      <c r="E291" s="1279"/>
      <c r="F291" s="1321" t="s">
        <v>3797</v>
      </c>
    </row>
    <row r="292" spans="1:6" s="631" customFormat="1">
      <c r="A292" s="1284"/>
      <c r="B292" s="1273" t="s">
        <v>343</v>
      </c>
      <c r="C292" s="1290"/>
      <c r="D292" s="1290"/>
      <c r="E292" s="1275"/>
      <c r="F292" s="1280"/>
    </row>
    <row r="293" spans="1:6" s="631" customFormat="1">
      <c r="A293" s="1284"/>
      <c r="B293" s="1293" t="s">
        <v>408</v>
      </c>
      <c r="C293" s="1289"/>
      <c r="D293" s="1290"/>
      <c r="E293" s="1298"/>
      <c r="F293" s="1280"/>
    </row>
    <row r="294" spans="1:6" s="631" customFormat="1">
      <c r="A294" s="1284">
        <f ca="1">IFERROR(IF(OFFSET(A294,-1,0)&gt;0,OFFSET(A294,-1,0)+0.001,ERROR.TYPE(0)),IFERROR(IF(OFFSET(A294,-2,0)&gt;0,OFFSET(A294,-2,0)+0.001,ERROR.TYPE(0)),IFERROR(IF(OFFSET(A294,-3,0)&gt;0,OFFSET(A294,-3,0)+0.001,ERROR.TYPE(0)),IFERROR(IF(OFFSET(A294,-4,0)&gt;0,OFFSET(A294,-4,0)+0.001,ERROR.TYPE(0)),IFERROR(IF(OFFSET(A294,-5,0)&gt;0,OFFSET(A294,-5,0)+0.001,ERROR.TYPE(0)),IFERROR(IF(OFFSET(A294,-6,0)&gt;0,OFFSET(A294,-6,0)+0.001,ERROR.TYPE(0)),IFERROR(IF(OFFSET(A294,-7,0)&gt;0,OFFSET(A294,-7,0)+0.001,ERROR.TYPE(0)),IFERROR(IF(OFFSET(A294,-8,0)&gt;0,OFFSET(A294,-8,0)+0.001,ERROR.TYPE(0)),IFERROR(IF(OFFSET(A294,-9,0)&gt;0,OFFSET(A294,-9,0)+0.001,ERROR.TYPE(0)),IFERROR(IF(OFFSET(A294,-10,0)&gt;0,OFFSET(A294,-10,0)+0.001,ERROR.TYPE(0)),ERROR.TYPE(0)))))))))))</f>
        <v>3.0719999999999921</v>
      </c>
      <c r="B294" s="1296" t="s">
        <v>452</v>
      </c>
      <c r="C294" s="1286">
        <v>27</v>
      </c>
      <c r="D294" s="1278" t="s">
        <v>329</v>
      </c>
      <c r="E294" s="1279"/>
      <c r="F294" s="1280">
        <f>IFERROR($C294*E294,E294)</f>
        <v>0</v>
      </c>
    </row>
    <row r="295" spans="1:6" s="631" customFormat="1">
      <c r="A295" s="1284">
        <f ca="1">IFERROR(IF(OFFSET(A295,-1,0)&gt;0,OFFSET(A295,-1,0)+0.001,ERROR.TYPE(0)),IFERROR(IF(OFFSET(A295,-2,0)&gt;0,OFFSET(A295,-2,0)+0.001,ERROR.TYPE(0)),IFERROR(IF(OFFSET(A295,-3,0)&gt;0,OFFSET(A295,-3,0)+0.001,ERROR.TYPE(0)),IFERROR(IF(OFFSET(A295,-4,0)&gt;0,OFFSET(A295,-4,0)+0.001,ERROR.TYPE(0)),IFERROR(IF(OFFSET(A295,-5,0)&gt;0,OFFSET(A295,-5,0)+0.001,ERROR.TYPE(0)),IFERROR(IF(OFFSET(A295,-6,0)&gt;0,OFFSET(A295,-6,0)+0.001,ERROR.TYPE(0)),IFERROR(IF(OFFSET(A295,-7,0)&gt;0,OFFSET(A295,-7,0)+0.001,ERROR.TYPE(0)),IFERROR(IF(OFFSET(A295,-8,0)&gt;0,OFFSET(A295,-8,0)+0.001,ERROR.TYPE(0)),IFERROR(IF(OFFSET(A295,-9,0)&gt;0,OFFSET(A295,-9,0)+0.001,ERROR.TYPE(0)),IFERROR(IF(OFFSET(A295,-10,0)&gt;0,OFFSET(A295,-10,0)+0.001,ERROR.TYPE(0)),ERROR.TYPE(0)))))))))))</f>
        <v>3.072999999999992</v>
      </c>
      <c r="B295" s="1296" t="s">
        <v>453</v>
      </c>
      <c r="C295" s="1286">
        <v>73</v>
      </c>
      <c r="D295" s="1278" t="s">
        <v>320</v>
      </c>
      <c r="E295" s="1279"/>
      <c r="F295" s="1280">
        <f>IFERROR($C295*E295,E295)</f>
        <v>0</v>
      </c>
    </row>
    <row r="296" spans="1:6" s="631" customFormat="1">
      <c r="A296" s="1284">
        <f ca="1">IFERROR(IF(OFFSET(A296,-1,0)&gt;0,OFFSET(A296,-1,0)+0.001,ERROR.TYPE(0)),IFERROR(IF(OFFSET(A296,-2,0)&gt;0,OFFSET(A296,-2,0)+0.001,ERROR.TYPE(0)),IFERROR(IF(OFFSET(A296,-3,0)&gt;0,OFFSET(A296,-3,0)+0.001,ERROR.TYPE(0)),IFERROR(IF(OFFSET(A296,-4,0)&gt;0,OFFSET(A296,-4,0)+0.001,ERROR.TYPE(0)),IFERROR(IF(OFFSET(A296,-5,0)&gt;0,OFFSET(A296,-5,0)+0.001,ERROR.TYPE(0)),IFERROR(IF(OFFSET(A296,-6,0)&gt;0,OFFSET(A296,-6,0)+0.001,ERROR.TYPE(0)),IFERROR(IF(OFFSET(A296,-7,0)&gt;0,OFFSET(A296,-7,0)+0.001,ERROR.TYPE(0)),IFERROR(IF(OFFSET(A296,-8,0)&gt;0,OFFSET(A296,-8,0)+0.001,ERROR.TYPE(0)),IFERROR(IF(OFFSET(A296,-9,0)&gt;0,OFFSET(A296,-9,0)+0.001,ERROR.TYPE(0)),IFERROR(IF(OFFSET(A296,-10,0)&gt;0,OFFSET(A296,-10,0)+0.001,ERROR.TYPE(0)),ERROR.TYPE(0)))))))))))</f>
        <v>3.0739999999999919</v>
      </c>
      <c r="B296" s="1296" t="s">
        <v>454</v>
      </c>
      <c r="C296" s="1286">
        <v>30</v>
      </c>
      <c r="D296" s="1278" t="s">
        <v>320</v>
      </c>
      <c r="E296" s="1279"/>
      <c r="F296" s="1280">
        <f>IFERROR($C296*E296,E296)</f>
        <v>0</v>
      </c>
    </row>
    <row r="297" spans="1:6" s="631" customFormat="1">
      <c r="A297" s="1284">
        <f ca="1">IFERROR(IF(OFFSET(A297,-1,0)&gt;0,OFFSET(A297,-1,0)+0.001,ERROR.TYPE(0)),IFERROR(IF(OFFSET(A297,-2,0)&gt;0,OFFSET(A297,-2,0)+0.001,ERROR.TYPE(0)),IFERROR(IF(OFFSET(A297,-3,0)&gt;0,OFFSET(A297,-3,0)+0.001,ERROR.TYPE(0)),IFERROR(IF(OFFSET(A297,-4,0)&gt;0,OFFSET(A297,-4,0)+0.001,ERROR.TYPE(0)),IFERROR(IF(OFFSET(A297,-5,0)&gt;0,OFFSET(A297,-5,0)+0.001,ERROR.TYPE(0)),IFERROR(IF(OFFSET(A297,-6,0)&gt;0,OFFSET(A297,-6,0)+0.001,ERROR.TYPE(0)),IFERROR(IF(OFFSET(A297,-7,0)&gt;0,OFFSET(A297,-7,0)+0.001,ERROR.TYPE(0)),IFERROR(IF(OFFSET(A297,-8,0)&gt;0,OFFSET(A297,-8,0)+0.001,ERROR.TYPE(0)),IFERROR(IF(OFFSET(A297,-9,0)&gt;0,OFFSET(A297,-9,0)+0.001,ERROR.TYPE(0)),IFERROR(IF(OFFSET(A297,-10,0)&gt;0,OFFSET(A297,-10,0)+0.001,ERROR.TYPE(0)),ERROR.TYPE(0)))))))))))</f>
        <v>3.0749999999999917</v>
      </c>
      <c r="B297" s="1296" t="s">
        <v>455</v>
      </c>
      <c r="C297" s="1286">
        <v>28</v>
      </c>
      <c r="D297" s="1278" t="s">
        <v>320</v>
      </c>
      <c r="E297" s="1279"/>
      <c r="F297" s="1280">
        <f>IFERROR($C297*E297,E297)</f>
        <v>0</v>
      </c>
    </row>
    <row r="298" spans="1:6" s="631" customFormat="1">
      <c r="A298" s="1284"/>
      <c r="B298" s="1273" t="s">
        <v>347</v>
      </c>
      <c r="C298" s="1290"/>
      <c r="D298" s="1290"/>
      <c r="E298" s="1275"/>
      <c r="F298" s="1280"/>
    </row>
    <row r="299" spans="1:6" s="631" customFormat="1">
      <c r="A299" s="1284"/>
      <c r="B299" s="1293" t="s">
        <v>408</v>
      </c>
      <c r="C299" s="1289"/>
      <c r="D299" s="1290"/>
      <c r="E299" s="1298"/>
      <c r="F299" s="1280"/>
    </row>
    <row r="300" spans="1:6" s="631" customFormat="1">
      <c r="A300" s="1284">
        <f ca="1">IFERROR(IF(OFFSET(A300,-1,0)&gt;0,OFFSET(A300,-1,0)+0.001,ERROR.TYPE(0)),IFERROR(IF(OFFSET(A300,-2,0)&gt;0,OFFSET(A300,-2,0)+0.001,ERROR.TYPE(0)),IFERROR(IF(OFFSET(A300,-3,0)&gt;0,OFFSET(A300,-3,0)+0.001,ERROR.TYPE(0)),IFERROR(IF(OFFSET(A300,-4,0)&gt;0,OFFSET(A300,-4,0)+0.001,ERROR.TYPE(0)),IFERROR(IF(OFFSET(A300,-5,0)&gt;0,OFFSET(A300,-5,0)+0.001,ERROR.TYPE(0)),IFERROR(IF(OFFSET(A300,-6,0)&gt;0,OFFSET(A300,-6,0)+0.001,ERROR.TYPE(0)),IFERROR(IF(OFFSET(A300,-7,0)&gt;0,OFFSET(A300,-7,0)+0.001,ERROR.TYPE(0)),IFERROR(IF(OFFSET(A300,-8,0)&gt;0,OFFSET(A300,-8,0)+0.001,ERROR.TYPE(0)),IFERROR(IF(OFFSET(A300,-9,0)&gt;0,OFFSET(A300,-9,0)+0.001,ERROR.TYPE(0)),IFERROR(IF(OFFSET(A300,-10,0)&gt;0,OFFSET(A300,-10,0)+0.001,ERROR.TYPE(0)),ERROR.TYPE(0)))))))))))</f>
        <v>3.0759999999999916</v>
      </c>
      <c r="B300" s="1296" t="s">
        <v>456</v>
      </c>
      <c r="C300" s="1286">
        <v>3</v>
      </c>
      <c r="D300" s="1278" t="s">
        <v>329</v>
      </c>
      <c r="E300" s="1279"/>
      <c r="F300" s="1280">
        <f>IFERROR($C300*E300,E300)</f>
        <v>0</v>
      </c>
    </row>
    <row r="301" spans="1:6" s="631" customFormat="1">
      <c r="A301" s="1284">
        <f t="shared" ref="A301:A303" ca="1" si="76">IFERROR(IF(OFFSET(A301,-1,0)&gt;0,OFFSET(A301,-1,0)+0.001,ERROR.TYPE(0)),IFERROR(IF(OFFSET(A301,-2,0)&gt;0,OFFSET(A301,-2,0)+0.001,ERROR.TYPE(0)),IFERROR(IF(OFFSET(A301,-3,0)&gt;0,OFFSET(A301,-3,0)+0.001,ERROR.TYPE(0)),IFERROR(IF(OFFSET(A301,-4,0)&gt;0,OFFSET(A301,-4,0)+0.001,ERROR.TYPE(0)),IFERROR(IF(OFFSET(A301,-5,0)&gt;0,OFFSET(A301,-5,0)+0.001,ERROR.TYPE(0)),IFERROR(IF(OFFSET(A301,-6,0)&gt;0,OFFSET(A301,-6,0)+0.001,ERROR.TYPE(0)),IFERROR(IF(OFFSET(A301,-7,0)&gt;0,OFFSET(A301,-7,0)+0.001,ERROR.TYPE(0)),IFERROR(IF(OFFSET(A301,-8,0)&gt;0,OFFSET(A301,-8,0)+0.001,ERROR.TYPE(0)),IFERROR(IF(OFFSET(A301,-9,0)&gt;0,OFFSET(A301,-9,0)+0.001,ERROR.TYPE(0)),IFERROR(IF(OFFSET(A301,-10,0)&gt;0,OFFSET(A301,-10,0)+0.001,ERROR.TYPE(0)),ERROR.TYPE(0)))))))))))</f>
        <v>3.0769999999999915</v>
      </c>
      <c r="B301" s="1296" t="s">
        <v>454</v>
      </c>
      <c r="C301" s="1286">
        <v>35</v>
      </c>
      <c r="D301" s="1278" t="s">
        <v>320</v>
      </c>
      <c r="E301" s="1279"/>
      <c r="F301" s="1280">
        <f>IFERROR($C301*E301,E301)</f>
        <v>0</v>
      </c>
    </row>
    <row r="302" spans="1:6" s="631" customFormat="1">
      <c r="A302" s="1284">
        <f t="shared" ca="1" si="76"/>
        <v>3.0779999999999914</v>
      </c>
      <c r="B302" s="1296" t="s">
        <v>457</v>
      </c>
      <c r="C302" s="1286">
        <v>56</v>
      </c>
      <c r="D302" s="1278" t="s">
        <v>320</v>
      </c>
      <c r="E302" s="1279"/>
      <c r="F302" s="1280">
        <f>IFERROR($C302*E302,E302)</f>
        <v>0</v>
      </c>
    </row>
    <row r="303" spans="1:6" s="631" customFormat="1">
      <c r="A303" s="1284">
        <f t="shared" ca="1" si="76"/>
        <v>3.0789999999999913</v>
      </c>
      <c r="B303" s="1296" t="s">
        <v>455</v>
      </c>
      <c r="C303" s="1286">
        <v>51</v>
      </c>
      <c r="D303" s="1278" t="s">
        <v>320</v>
      </c>
      <c r="E303" s="1279"/>
      <c r="F303" s="1280">
        <f>IFERROR($C303*E303,E303)</f>
        <v>0</v>
      </c>
    </row>
    <row r="304" spans="1:6" s="631" customFormat="1">
      <c r="A304" s="1284"/>
      <c r="B304" s="1288" t="s">
        <v>379</v>
      </c>
      <c r="C304" s="1289"/>
      <c r="D304" s="1290"/>
      <c r="E304" s="1291"/>
      <c r="F304" s="1280"/>
    </row>
    <row r="305" spans="1:6" s="631" customFormat="1" ht="41.4">
      <c r="A305" s="1284">
        <f t="shared" ref="A305:A308" ca="1" si="77">IFERROR(IF(OFFSET(A305,-1,0)&gt;0,OFFSET(A305,-1,0)+0.001,ERROR.TYPE(0)),IFERROR(IF(OFFSET(A305,-2,0)&gt;0,OFFSET(A305,-2,0)+0.001,ERROR.TYPE(0)),IFERROR(IF(OFFSET(A305,-3,0)&gt;0,OFFSET(A305,-3,0)+0.001,ERROR.TYPE(0)),IFERROR(IF(OFFSET(A305,-4,0)&gt;0,OFFSET(A305,-4,0)+0.001,ERROR.TYPE(0)),IFERROR(IF(OFFSET(A305,-5,0)&gt;0,OFFSET(A305,-5,0)+0.001,ERROR.TYPE(0)),IFERROR(IF(OFFSET(A305,-6,0)&gt;0,OFFSET(A305,-6,0)+0.001,ERROR.TYPE(0)),IFERROR(IF(OFFSET(A305,-7,0)&gt;0,OFFSET(A305,-7,0)+0.001,ERROR.TYPE(0)),IFERROR(IF(OFFSET(A305,-8,0)&gt;0,OFFSET(A305,-8,0)+0.001,ERROR.TYPE(0)),IFERROR(IF(OFFSET(A305,-9,0)&gt;0,OFFSET(A305,-9,0)+0.001,ERROR.TYPE(0)),IFERROR(IF(OFFSET(A305,-10,0)&gt;0,OFFSET(A305,-10,0)+0.001,ERROR.TYPE(0)),ERROR.TYPE(0)))))))))))</f>
        <v>3.0799999999999912</v>
      </c>
      <c r="B305" s="1285" t="s">
        <v>458</v>
      </c>
      <c r="C305" s="1286">
        <v>2</v>
      </c>
      <c r="D305" s="1278" t="s">
        <v>329</v>
      </c>
      <c r="E305" s="1279"/>
      <c r="F305" s="1280">
        <f t="shared" ref="F305:F308" si="78">IFERROR($C305*E305,E305)</f>
        <v>0</v>
      </c>
    </row>
    <row r="306" spans="1:6" s="631" customFormat="1" ht="41.4">
      <c r="A306" s="1284">
        <f t="shared" ca="1" si="77"/>
        <v>3.0809999999999911</v>
      </c>
      <c r="B306" s="1285" t="s">
        <v>459</v>
      </c>
      <c r="C306" s="1286">
        <v>1</v>
      </c>
      <c r="D306" s="1278" t="s">
        <v>329</v>
      </c>
      <c r="E306" s="1279"/>
      <c r="F306" s="1280">
        <f t="shared" si="78"/>
        <v>0</v>
      </c>
    </row>
    <row r="307" spans="1:6" s="631" customFormat="1" ht="27.6">
      <c r="A307" s="1284">
        <f t="shared" ca="1" si="77"/>
        <v>3.081999999999991</v>
      </c>
      <c r="B307" s="1285" t="s">
        <v>381</v>
      </c>
      <c r="C307" s="1286">
        <v>1</v>
      </c>
      <c r="D307" s="1278" t="s">
        <v>299</v>
      </c>
      <c r="E307" s="1279"/>
      <c r="F307" s="1280">
        <f t="shared" si="78"/>
        <v>0</v>
      </c>
    </row>
    <row r="308" spans="1:6" s="631" customFormat="1" ht="27.6">
      <c r="A308" s="1284">
        <f t="shared" ca="1" si="77"/>
        <v>3.0829999999999909</v>
      </c>
      <c r="B308" s="1310" t="s">
        <v>382</v>
      </c>
      <c r="C308" s="1290">
        <v>1</v>
      </c>
      <c r="D308" s="1311" t="s">
        <v>383</v>
      </c>
      <c r="E308" s="1279"/>
      <c r="F308" s="1280">
        <f t="shared" si="78"/>
        <v>0</v>
      </c>
    </row>
    <row r="309" spans="1:6" s="631" customFormat="1">
      <c r="A309" s="1292"/>
      <c r="B309" s="1273" t="s">
        <v>460</v>
      </c>
      <c r="C309" s="1458" t="s">
        <v>305</v>
      </c>
      <c r="D309" s="1459"/>
      <c r="E309" s="1275"/>
      <c r="F309" s="1299">
        <f>SUM(F264:F308)</f>
        <v>0</v>
      </c>
    </row>
    <row r="310" spans="1:6" s="631" customFormat="1">
      <c r="A310" s="1322"/>
      <c r="B310" s="1301"/>
      <c r="C310" s="1302"/>
      <c r="D310" s="1302"/>
      <c r="E310" s="1303"/>
      <c r="F310" s="1304"/>
    </row>
    <row r="311" spans="1:6" s="631" customFormat="1">
      <c r="A311" s="1323"/>
      <c r="B311" s="1273" t="s">
        <v>461</v>
      </c>
      <c r="C311" s="1458" t="s">
        <v>305</v>
      </c>
      <c r="D311" s="1459"/>
      <c r="E311" s="1275"/>
      <c r="F311" s="1299">
        <f>F309+F259+F226</f>
        <v>0</v>
      </c>
    </row>
    <row r="312" spans="1:6">
      <c r="A312" s="1313"/>
      <c r="B312" s="1301"/>
      <c r="C312" s="1314"/>
      <c r="D312" s="1315"/>
      <c r="E312" s="1316"/>
      <c r="F312" s="1317"/>
    </row>
    <row r="313" spans="1:6">
      <c r="A313" s="681"/>
      <c r="B313" s="624"/>
      <c r="C313" s="682"/>
      <c r="D313" s="683"/>
      <c r="E313" s="684"/>
      <c r="F313" s="1131"/>
    </row>
    <row r="314" spans="1:6" s="631" customFormat="1" ht="27.6">
      <c r="A314" s="634" t="s">
        <v>143</v>
      </c>
      <c r="B314" s="635" t="s">
        <v>198</v>
      </c>
      <c r="C314" s="636" t="s">
        <v>199</v>
      </c>
      <c r="D314" s="636" t="s">
        <v>200</v>
      </c>
      <c r="E314" s="637" t="s">
        <v>294</v>
      </c>
      <c r="F314" s="1122" t="s">
        <v>295</v>
      </c>
    </row>
    <row r="315" spans="1:6" s="631" customFormat="1">
      <c r="A315" s="638">
        <v>4</v>
      </c>
      <c r="B315" s="639" t="s">
        <v>462</v>
      </c>
      <c r="C315" s="640"/>
      <c r="D315" s="640"/>
      <c r="E315" s="641"/>
      <c r="F315" s="1123"/>
    </row>
    <row r="316" spans="1:6" s="631" customFormat="1">
      <c r="A316" s="643"/>
      <c r="B316" s="687" t="s">
        <v>463</v>
      </c>
      <c r="C316" s="646"/>
      <c r="D316" s="646"/>
      <c r="E316" s="649"/>
      <c r="F316" s="1125"/>
    </row>
    <row r="317" spans="1:6" s="631" customFormat="1" ht="41.4">
      <c r="A317" s="1240">
        <f t="shared" ref="A317:A347" ca="1" si="79">IFERROR(IF(OFFSET(A317,-1,0)&gt;0,OFFSET(A317,-1,0)+0.001,ERROR.TYPE(0)),IFERROR(IF(OFFSET(A317,-2,0)&gt;0,OFFSET(A317,-2,0)+0.001,ERROR.TYPE(0)),IFERROR(IF(OFFSET(A317,-3,0)&gt;0,OFFSET(A317,-3,0)+0.001,ERROR.TYPE(0)),IFERROR(IF(OFFSET(A317,-4,0)&gt;0,OFFSET(A317,-4,0)+0.001,ERROR.TYPE(0)),IFERROR(IF(OFFSET(A317,-5,0)&gt;0,OFFSET(A317,-5,0)+0.001,ERROR.TYPE(0)),IFERROR(IF(OFFSET(A317,-6,0)&gt;0,OFFSET(A317,-6,0)+0.001,ERROR.TYPE(0)),IFERROR(IF(OFFSET(A317,-7,0)&gt;0,OFFSET(A317,-7,0)+0.001,ERROR.TYPE(0)),IFERROR(IF(OFFSET(A317,-8,0)&gt;0,OFFSET(A317,-8,0)+0.001,ERROR.TYPE(0)),IFERROR(IF(OFFSET(A317,-9,0)&gt;0,OFFSET(A317,-9,0)+0.001,ERROR.TYPE(0)),IFERROR(IF(OFFSET(A317,-10,0)&gt;0,OFFSET(A317,-10,0)+0.001,ERROR.TYPE(0)),ERROR.TYPE(0)))))))))))</f>
        <v>4.0010000000000003</v>
      </c>
      <c r="B317" s="648" t="s">
        <v>464</v>
      </c>
      <c r="C317" s="1242">
        <v>1</v>
      </c>
      <c r="D317" s="646" t="s">
        <v>141</v>
      </c>
      <c r="E317" s="649">
        <f>Elec_Est!E138</f>
        <v>96011.57</v>
      </c>
      <c r="F317" s="1125">
        <f t="shared" ref="F317" si="80">IFERROR($C317*E317,E317)</f>
        <v>96011.57</v>
      </c>
    </row>
    <row r="318" spans="1:6" s="631" customFormat="1">
      <c r="A318" s="1240">
        <f t="shared" ca="1" si="79"/>
        <v>4.0020000000000007</v>
      </c>
      <c r="B318" s="648" t="s">
        <v>465</v>
      </c>
      <c r="C318" s="1242">
        <v>0</v>
      </c>
      <c r="D318" s="676" t="s">
        <v>320</v>
      </c>
      <c r="E318" s="649">
        <f>Elec_Est!E165</f>
        <v>0</v>
      </c>
      <c r="F318" s="1241" t="s">
        <v>3797</v>
      </c>
    </row>
    <row r="319" spans="1:6" s="1249" customFormat="1">
      <c r="A319" s="1243" t="s">
        <v>3798</v>
      </c>
      <c r="B319" s="1244" t="s">
        <v>3799</v>
      </c>
      <c r="C319" s="1245">
        <v>60</v>
      </c>
      <c r="D319" s="1246" t="s">
        <v>320</v>
      </c>
      <c r="E319" s="1247">
        <f>Elec_Est!E180</f>
        <v>264.92</v>
      </c>
      <c r="F319" s="1248">
        <f t="shared" ref="F319" si="81">IFERROR($C319*E319,E319)</f>
        <v>15895.2</v>
      </c>
    </row>
    <row r="320" spans="1:6" s="1250" customFormat="1" ht="27.6">
      <c r="A320" s="1240">
        <f t="shared" ca="1" si="79"/>
        <v>4.003000000000001</v>
      </c>
      <c r="B320" s="651" t="s">
        <v>466</v>
      </c>
      <c r="C320" s="1242">
        <v>0</v>
      </c>
      <c r="D320" s="646" t="s">
        <v>141</v>
      </c>
      <c r="E320" s="649">
        <f>Elec_Est!E195</f>
        <v>0</v>
      </c>
      <c r="F320" s="1241" t="s">
        <v>3797</v>
      </c>
    </row>
    <row r="321" spans="1:6" s="631" customFormat="1" ht="41.4">
      <c r="A321" s="1243">
        <f t="shared" ca="1" si="79"/>
        <v>4.0040000000000013</v>
      </c>
      <c r="B321" s="651" t="s">
        <v>3800</v>
      </c>
      <c r="C321" s="1251">
        <v>0</v>
      </c>
      <c r="D321" s="646" t="s">
        <v>141</v>
      </c>
      <c r="E321" s="649">
        <f>Elec_Est!E201</f>
        <v>0</v>
      </c>
      <c r="F321" s="1252" t="s">
        <v>3797</v>
      </c>
    </row>
    <row r="322" spans="1:6" s="1249" customFormat="1" ht="27.6">
      <c r="A322" s="1243" t="s">
        <v>3801</v>
      </c>
      <c r="B322" s="1253" t="s">
        <v>3802</v>
      </c>
      <c r="C322" s="1251">
        <v>1</v>
      </c>
      <c r="D322" s="1251" t="s">
        <v>141</v>
      </c>
      <c r="E322" s="1247">
        <f>Elec_Est!E209</f>
        <v>37091.949999999997</v>
      </c>
      <c r="F322" s="1248">
        <f t="shared" ref="F322" si="82">IFERROR($C322*E322,E322)</f>
        <v>37091.949999999997</v>
      </c>
    </row>
    <row r="323" spans="1:6" s="631" customFormat="1" ht="27.6">
      <c r="A323" s="1243">
        <f t="shared" ca="1" si="79"/>
        <v>4.0050000000000017</v>
      </c>
      <c r="B323" s="651" t="s">
        <v>467</v>
      </c>
      <c r="C323" s="1251">
        <v>0</v>
      </c>
      <c r="D323" s="646" t="s">
        <v>141</v>
      </c>
      <c r="E323" s="649">
        <f>Elec_Est!E217</f>
        <v>0</v>
      </c>
      <c r="F323" s="1252" t="s">
        <v>3797</v>
      </c>
    </row>
    <row r="324" spans="1:6" s="1249" customFormat="1" ht="27.6">
      <c r="A324" s="1243" t="s">
        <v>3803</v>
      </c>
      <c r="B324" s="1253" t="s">
        <v>3804</v>
      </c>
      <c r="C324" s="1251">
        <v>1</v>
      </c>
      <c r="D324" s="1251" t="s">
        <v>141</v>
      </c>
      <c r="E324" s="1247">
        <f>Elec_Est!E225</f>
        <v>20519.16</v>
      </c>
      <c r="F324" s="1248">
        <f t="shared" ref="F324:F347" si="83">IFERROR($C324*E324,E324)</f>
        <v>20519.16</v>
      </c>
    </row>
    <row r="325" spans="1:6" s="631" customFormat="1" ht="41.4">
      <c r="A325" s="643">
        <f t="shared" ca="1" si="79"/>
        <v>4.006000000000002</v>
      </c>
      <c r="B325" s="651" t="s">
        <v>468</v>
      </c>
      <c r="C325" s="646">
        <v>1</v>
      </c>
      <c r="D325" s="646" t="s">
        <v>141</v>
      </c>
      <c r="E325" s="649">
        <f>Elec_Est!E233</f>
        <v>131250.88</v>
      </c>
      <c r="F325" s="1125">
        <f t="shared" si="83"/>
        <v>131250.88</v>
      </c>
    </row>
    <row r="326" spans="1:6" s="1249" customFormat="1">
      <c r="A326" s="1243" t="s">
        <v>3805</v>
      </c>
      <c r="B326" s="1253" t="s">
        <v>3806</v>
      </c>
      <c r="C326" s="1251">
        <v>1</v>
      </c>
      <c r="D326" s="1251" t="s">
        <v>141</v>
      </c>
      <c r="E326" s="1247">
        <f>Elec_Est!E242</f>
        <v>1121.04</v>
      </c>
      <c r="F326" s="1248">
        <f t="shared" si="83"/>
        <v>1121.04</v>
      </c>
    </row>
    <row r="327" spans="1:6" s="631" customFormat="1" ht="27.6">
      <c r="A327" s="643">
        <f t="shared" ca="1" si="79"/>
        <v>4.0070000000000023</v>
      </c>
      <c r="B327" s="651" t="s">
        <v>469</v>
      </c>
      <c r="C327" s="646">
        <v>1</v>
      </c>
      <c r="D327" s="646" t="s">
        <v>141</v>
      </c>
      <c r="E327" s="649">
        <f>Elec_Est!E248</f>
        <v>1349.3</v>
      </c>
      <c r="F327" s="1125">
        <f t="shared" si="83"/>
        <v>1349.3</v>
      </c>
    </row>
    <row r="328" spans="1:6" s="631" customFormat="1" ht="27.6">
      <c r="A328" s="643">
        <f t="shared" ca="1" si="79"/>
        <v>4.0080000000000027</v>
      </c>
      <c r="B328" s="651" t="s">
        <v>470</v>
      </c>
      <c r="C328" s="646">
        <v>1</v>
      </c>
      <c r="D328" s="646" t="s">
        <v>141</v>
      </c>
      <c r="E328" s="649">
        <f>Elec_Est!E258</f>
        <v>6403.58</v>
      </c>
      <c r="F328" s="1125">
        <f t="shared" si="83"/>
        <v>6403.58</v>
      </c>
    </row>
    <row r="329" spans="1:6" s="631" customFormat="1" ht="27.6">
      <c r="A329" s="643">
        <f t="shared" ca="1" si="79"/>
        <v>4.009000000000003</v>
      </c>
      <c r="B329" s="651" t="s">
        <v>471</v>
      </c>
      <c r="C329" s="646">
        <v>1</v>
      </c>
      <c r="D329" s="646" t="s">
        <v>141</v>
      </c>
      <c r="E329" s="649">
        <f>Elec_Est!E268</f>
        <v>1374.32</v>
      </c>
      <c r="F329" s="1125">
        <f t="shared" si="83"/>
        <v>1374.32</v>
      </c>
    </row>
    <row r="330" spans="1:6" s="631" customFormat="1" ht="27.6">
      <c r="A330" s="643">
        <f t="shared" ca="1" si="79"/>
        <v>4.0100000000000033</v>
      </c>
      <c r="B330" s="651" t="s">
        <v>472</v>
      </c>
      <c r="C330" s="646">
        <v>1</v>
      </c>
      <c r="D330" s="646" t="s">
        <v>141</v>
      </c>
      <c r="E330" s="649">
        <f>Elec_Est!E278</f>
        <v>1874.09</v>
      </c>
      <c r="F330" s="1125">
        <f t="shared" si="83"/>
        <v>1874.09</v>
      </c>
    </row>
    <row r="331" spans="1:6" s="631" customFormat="1" ht="27.6">
      <c r="A331" s="643">
        <f t="shared" ca="1" si="79"/>
        <v>4.0110000000000037</v>
      </c>
      <c r="B331" s="651" t="s">
        <v>473</v>
      </c>
      <c r="C331" s="646">
        <v>1</v>
      </c>
      <c r="D331" s="646" t="s">
        <v>141</v>
      </c>
      <c r="E331" s="649">
        <f>Elec_Est!E288</f>
        <v>839.76</v>
      </c>
      <c r="F331" s="1125">
        <f t="shared" si="83"/>
        <v>839.76</v>
      </c>
    </row>
    <row r="332" spans="1:6" s="631" customFormat="1" ht="27.6">
      <c r="A332" s="643">
        <f t="shared" ca="1" si="79"/>
        <v>4.012000000000004</v>
      </c>
      <c r="B332" s="651" t="s">
        <v>474</v>
      </c>
      <c r="C332" s="646">
        <v>1</v>
      </c>
      <c r="D332" s="646" t="s">
        <v>141</v>
      </c>
      <c r="E332" s="649">
        <f>Elec_Est!E298</f>
        <v>6286.17</v>
      </c>
      <c r="F332" s="1125">
        <f t="shared" si="83"/>
        <v>6286.17</v>
      </c>
    </row>
    <row r="333" spans="1:6" s="631" customFormat="1" ht="27.6">
      <c r="A333" s="643">
        <f t="shared" ca="1" si="79"/>
        <v>4.0130000000000043</v>
      </c>
      <c r="B333" s="651" t="s">
        <v>475</v>
      </c>
      <c r="C333" s="646">
        <v>1</v>
      </c>
      <c r="D333" s="646" t="s">
        <v>141</v>
      </c>
      <c r="E333" s="649">
        <f>Elec_Est!E308</f>
        <v>1222.29</v>
      </c>
      <c r="F333" s="1125">
        <f t="shared" si="83"/>
        <v>1222.29</v>
      </c>
    </row>
    <row r="334" spans="1:6" s="631" customFormat="1" ht="27.6">
      <c r="A334" s="643">
        <f t="shared" ca="1" si="79"/>
        <v>4.0140000000000047</v>
      </c>
      <c r="B334" s="651" t="s">
        <v>476</v>
      </c>
      <c r="C334" s="646">
        <v>1</v>
      </c>
      <c r="D334" s="646" t="s">
        <v>141</v>
      </c>
      <c r="E334" s="649">
        <f>Elec_Est!E318</f>
        <v>3747.81</v>
      </c>
      <c r="F334" s="1125">
        <f t="shared" si="83"/>
        <v>3747.81</v>
      </c>
    </row>
    <row r="335" spans="1:6" s="631" customFormat="1" ht="27.6">
      <c r="A335" s="643">
        <f t="shared" ca="1" si="79"/>
        <v>4.015000000000005</v>
      </c>
      <c r="B335" s="651" t="s">
        <v>477</v>
      </c>
      <c r="C335" s="646">
        <v>1</v>
      </c>
      <c r="D335" s="646" t="s">
        <v>141</v>
      </c>
      <c r="E335" s="649">
        <f>Elec_Est!E328</f>
        <v>4950.9399999999996</v>
      </c>
      <c r="F335" s="1125">
        <f t="shared" si="83"/>
        <v>4950.9399999999996</v>
      </c>
    </row>
    <row r="336" spans="1:6" s="631" customFormat="1" ht="27.6">
      <c r="A336" s="643">
        <f t="shared" ca="1" si="79"/>
        <v>4.0160000000000053</v>
      </c>
      <c r="B336" s="651" t="s">
        <v>478</v>
      </c>
      <c r="C336" s="646">
        <v>1</v>
      </c>
      <c r="D336" s="646" t="s">
        <v>141</v>
      </c>
      <c r="E336" s="649">
        <f>Elec_Est!E338</f>
        <v>4855.05</v>
      </c>
      <c r="F336" s="1125">
        <f t="shared" si="83"/>
        <v>4855.05</v>
      </c>
    </row>
    <row r="337" spans="1:6" s="631" customFormat="1" ht="27.6">
      <c r="A337" s="643">
        <f t="shared" ca="1" si="79"/>
        <v>4.0170000000000057</v>
      </c>
      <c r="B337" s="651" t="s">
        <v>479</v>
      </c>
      <c r="C337" s="646">
        <v>1</v>
      </c>
      <c r="D337" s="646" t="s">
        <v>141</v>
      </c>
      <c r="E337" s="649">
        <f>Elec_Est!E348</f>
        <v>584.11</v>
      </c>
      <c r="F337" s="1125">
        <f t="shared" si="83"/>
        <v>584.11</v>
      </c>
    </row>
    <row r="338" spans="1:6" s="631" customFormat="1" ht="41.4">
      <c r="A338" s="643">
        <f t="shared" ca="1" si="79"/>
        <v>4.018000000000006</v>
      </c>
      <c r="B338" s="651" t="s">
        <v>480</v>
      </c>
      <c r="C338" s="646">
        <v>1</v>
      </c>
      <c r="D338" s="646" t="s">
        <v>141</v>
      </c>
      <c r="E338" s="649">
        <f>Elec_Est!E358</f>
        <v>1878.06</v>
      </c>
      <c r="F338" s="1125">
        <f t="shared" si="83"/>
        <v>1878.06</v>
      </c>
    </row>
    <row r="339" spans="1:6" s="631" customFormat="1" ht="41.4">
      <c r="A339" s="643">
        <f t="shared" ca="1" si="79"/>
        <v>4.0190000000000063</v>
      </c>
      <c r="B339" s="651" t="s">
        <v>481</v>
      </c>
      <c r="C339" s="646">
        <v>1</v>
      </c>
      <c r="D339" s="646" t="s">
        <v>141</v>
      </c>
      <c r="E339" s="649">
        <f>Elec_Est!E368</f>
        <v>4728.3999999999996</v>
      </c>
      <c r="F339" s="1125">
        <f t="shared" si="83"/>
        <v>4728.3999999999996</v>
      </c>
    </row>
    <row r="340" spans="1:6" s="631" customFormat="1" ht="41.4">
      <c r="A340" s="643">
        <f t="shared" ca="1" si="79"/>
        <v>4.0200000000000067</v>
      </c>
      <c r="B340" s="651" t="s">
        <v>482</v>
      </c>
      <c r="C340" s="646">
        <v>1</v>
      </c>
      <c r="D340" s="646" t="s">
        <v>141</v>
      </c>
      <c r="E340" s="649">
        <f>Elec_Est!E378</f>
        <v>3673.7</v>
      </c>
      <c r="F340" s="1125">
        <f t="shared" si="83"/>
        <v>3673.7</v>
      </c>
    </row>
    <row r="341" spans="1:6" s="631" customFormat="1" ht="27.6">
      <c r="A341" s="643">
        <f t="shared" ca="1" si="79"/>
        <v>4.021000000000007</v>
      </c>
      <c r="B341" s="651" t="s">
        <v>483</v>
      </c>
      <c r="C341" s="646">
        <v>1</v>
      </c>
      <c r="D341" s="646" t="s">
        <v>141</v>
      </c>
      <c r="E341" s="649">
        <f>Elec_Est!E388</f>
        <v>3958.64</v>
      </c>
      <c r="F341" s="1125">
        <f t="shared" si="83"/>
        <v>3958.64</v>
      </c>
    </row>
    <row r="342" spans="1:6" s="631" customFormat="1" ht="27.6">
      <c r="A342" s="643">
        <f t="shared" ca="1" si="79"/>
        <v>4.0220000000000073</v>
      </c>
      <c r="B342" s="651" t="s">
        <v>484</v>
      </c>
      <c r="C342" s="646">
        <v>1</v>
      </c>
      <c r="D342" s="646" t="s">
        <v>141</v>
      </c>
      <c r="E342" s="649">
        <f>Elec_Est!E398</f>
        <v>1278.3800000000001</v>
      </c>
      <c r="F342" s="1125">
        <f t="shared" si="83"/>
        <v>1278.3800000000001</v>
      </c>
    </row>
    <row r="343" spans="1:6" s="631" customFormat="1" ht="27.6">
      <c r="A343" s="643">
        <f t="shared" ca="1" si="79"/>
        <v>4.0230000000000077</v>
      </c>
      <c r="B343" s="651" t="s">
        <v>485</v>
      </c>
      <c r="C343" s="646">
        <v>1</v>
      </c>
      <c r="D343" s="646" t="s">
        <v>141</v>
      </c>
      <c r="E343" s="649">
        <f>Elec_Est!E408</f>
        <v>1195.5899999999999</v>
      </c>
      <c r="F343" s="1125">
        <f t="shared" si="83"/>
        <v>1195.5899999999999</v>
      </c>
    </row>
    <row r="344" spans="1:6" s="631" customFormat="1" ht="27.6">
      <c r="A344" s="643">
        <f t="shared" ca="1" si="79"/>
        <v>4.024000000000008</v>
      </c>
      <c r="B344" s="651" t="s">
        <v>486</v>
      </c>
      <c r="C344" s="646">
        <v>1</v>
      </c>
      <c r="D344" s="646" t="s">
        <v>141</v>
      </c>
      <c r="E344" s="649">
        <f>Elec_Est!E418</f>
        <v>1873.24</v>
      </c>
      <c r="F344" s="1125">
        <f t="shared" si="83"/>
        <v>1873.24</v>
      </c>
    </row>
    <row r="345" spans="1:6" s="631" customFormat="1" ht="41.4">
      <c r="A345" s="643">
        <f t="shared" ca="1" si="79"/>
        <v>4.0250000000000083</v>
      </c>
      <c r="B345" s="651" t="s">
        <v>487</v>
      </c>
      <c r="C345" s="646">
        <v>1</v>
      </c>
      <c r="D345" s="646" t="s">
        <v>141</v>
      </c>
      <c r="E345" s="649">
        <f>Elec_Est!E428</f>
        <v>5705.4</v>
      </c>
      <c r="F345" s="1125">
        <f t="shared" si="83"/>
        <v>5705.4</v>
      </c>
    </row>
    <row r="346" spans="1:6" s="631" customFormat="1" ht="27.6">
      <c r="A346" s="643">
        <f t="shared" ca="1" si="79"/>
        <v>4.0260000000000087</v>
      </c>
      <c r="B346" s="651" t="s">
        <v>488</v>
      </c>
      <c r="C346" s="646">
        <v>1</v>
      </c>
      <c r="D346" s="646" t="s">
        <v>141</v>
      </c>
      <c r="E346" s="649">
        <f>Elec_Est!E438</f>
        <v>1368.06</v>
      </c>
      <c r="F346" s="1125">
        <f t="shared" si="83"/>
        <v>1368.06</v>
      </c>
    </row>
    <row r="347" spans="1:6" s="631" customFormat="1" ht="41.4">
      <c r="A347" s="643">
        <f t="shared" ca="1" si="79"/>
        <v>4.027000000000009</v>
      </c>
      <c r="B347" s="651" t="s">
        <v>489</v>
      </c>
      <c r="C347" s="646">
        <v>1</v>
      </c>
      <c r="D347" s="646" t="s">
        <v>141</v>
      </c>
      <c r="E347" s="649">
        <f>Elec_Est!E448</f>
        <v>3325.52</v>
      </c>
      <c r="F347" s="1125">
        <f t="shared" si="83"/>
        <v>3325.52</v>
      </c>
    </row>
    <row r="348" spans="1:6" s="631" customFormat="1">
      <c r="A348" s="638"/>
      <c r="B348" s="639" t="s">
        <v>490</v>
      </c>
      <c r="C348" s="1456" t="s">
        <v>305</v>
      </c>
      <c r="D348" s="1457"/>
      <c r="E348" s="652"/>
      <c r="F348" s="1239">
        <f>SUM(F316:F347)</f>
        <v>364362.21000000008</v>
      </c>
    </row>
    <row r="349" spans="1:6" s="631" customFormat="1">
      <c r="A349" s="660"/>
      <c r="B349" s="629"/>
      <c r="C349" s="661"/>
      <c r="D349" s="654"/>
      <c r="E349" s="662"/>
      <c r="F349" s="1127"/>
    </row>
    <row r="350" spans="1:6" s="631" customFormat="1">
      <c r="A350" s="660"/>
      <c r="B350" s="629"/>
      <c r="C350" s="661"/>
      <c r="D350" s="654"/>
      <c r="E350" s="662"/>
      <c r="F350" s="1127"/>
    </row>
    <row r="351" spans="1:6" s="631" customFormat="1" ht="27.6">
      <c r="A351" s="634" t="s">
        <v>143</v>
      </c>
      <c r="B351" s="635" t="s">
        <v>198</v>
      </c>
      <c r="C351" s="636" t="s">
        <v>199</v>
      </c>
      <c r="D351" s="636" t="s">
        <v>200</v>
      </c>
      <c r="E351" s="637" t="s">
        <v>294</v>
      </c>
      <c r="F351" s="1122" t="s">
        <v>295</v>
      </c>
    </row>
    <row r="352" spans="1:6" s="631" customFormat="1">
      <c r="A352" s="643"/>
      <c r="B352" s="687" t="s">
        <v>463</v>
      </c>
      <c r="C352" s="646"/>
      <c r="D352" s="646"/>
      <c r="E352" s="649"/>
      <c r="F352" s="1125"/>
    </row>
    <row r="353" spans="1:6" s="631" customFormat="1" ht="55.2">
      <c r="A353" s="643">
        <f t="shared" ref="A353:A360" ca="1" si="84">IFERROR(IF(OFFSET(A353,-1,0)&gt;0,OFFSET(A353,-1,0)+0.001,ERROR.TYPE(0)),IFERROR(IF(OFFSET(A353,-2,0)&gt;0,OFFSET(A353,-2,0)+0.001,ERROR.TYPE(0)),IFERROR(IF(OFFSET(A353,-3,0)&gt;0,OFFSET(A353,-3,0)+0.001,ERROR.TYPE(0)),IFERROR(IF(OFFSET(A353,-4,0)&gt;0,OFFSET(A353,-4,0)+0.001,ERROR.TYPE(0)),IFERROR(IF(OFFSET(A353,-5,0)&gt;0,OFFSET(A353,-5,0)+0.001,ERROR.TYPE(0)),IFERROR(IF(OFFSET(A353,-6,0)&gt;0,OFFSET(A353,-6,0)+0.001,ERROR.TYPE(0)),IFERROR(IF(OFFSET(A353,-7,0)&gt;0,OFFSET(A353,-7,0)+0.001,ERROR.TYPE(0)),IFERROR(IF(OFFSET(A353,-8,0)&gt;0,OFFSET(A353,-8,0)+0.001,ERROR.TYPE(0)),IFERROR(IF(OFFSET(A353,-9,0)&gt;0,OFFSET(A353,-9,0)+0.001,ERROR.TYPE(0)),IFERROR(IF(OFFSET(A353,-10,0)&gt;0,OFFSET(A353,-10,0)+0.001,ERROR.TYPE(0)),ERROR.TYPE(0)))))))))))</f>
        <v>4.0280000000000094</v>
      </c>
      <c r="B353" s="648" t="s">
        <v>491</v>
      </c>
      <c r="C353" s="675">
        <v>1</v>
      </c>
      <c r="D353" s="676" t="s">
        <v>299</v>
      </c>
      <c r="E353" s="649">
        <f>Elec_Est!E468</f>
        <v>4516.43</v>
      </c>
      <c r="F353" s="1125">
        <f>IFERROR($C353*E353,E353)</f>
        <v>4516.43</v>
      </c>
    </row>
    <row r="354" spans="1:6" s="631" customFormat="1" ht="55.2">
      <c r="A354" s="643">
        <f t="shared" ca="1" si="84"/>
        <v>4.0290000000000097</v>
      </c>
      <c r="B354" s="648" t="s">
        <v>492</v>
      </c>
      <c r="C354" s="675">
        <v>1</v>
      </c>
      <c r="D354" s="676" t="s">
        <v>299</v>
      </c>
      <c r="E354" s="649">
        <f>Elec_Est!E496</f>
        <v>881.44</v>
      </c>
      <c r="F354" s="1125">
        <f>IFERROR($C354*E354,E354)</f>
        <v>881.44</v>
      </c>
    </row>
    <row r="355" spans="1:6" s="1249" customFormat="1">
      <c r="A355" s="1243" t="s">
        <v>3807</v>
      </c>
      <c r="B355" s="1244" t="s">
        <v>3808</v>
      </c>
      <c r="C355" s="1245">
        <v>1</v>
      </c>
      <c r="D355" s="1246" t="s">
        <v>141</v>
      </c>
      <c r="E355" s="1247">
        <f>Elec_Est!E517</f>
        <v>877.93</v>
      </c>
      <c r="F355" s="1248">
        <f>IFERROR($C355*E355,E355)</f>
        <v>877.93</v>
      </c>
    </row>
    <row r="356" spans="1:6" s="631" customFormat="1">
      <c r="A356" s="643">
        <f t="shared" ca="1" si="84"/>
        <v>4.03000000000001</v>
      </c>
      <c r="B356" s="651" t="s">
        <v>493</v>
      </c>
      <c r="C356" s="646">
        <v>1</v>
      </c>
      <c r="D356" s="646" t="s">
        <v>141</v>
      </c>
      <c r="E356" s="649">
        <f>Elec_Est!E526</f>
        <v>877.93</v>
      </c>
      <c r="F356" s="1125">
        <f t="shared" ref="F356:F358" si="85">IFERROR($C356*E356,E356)</f>
        <v>877.93</v>
      </c>
    </row>
    <row r="357" spans="1:6" s="631" customFormat="1">
      <c r="A357" s="643">
        <f t="shared" ca="1" si="84"/>
        <v>4.0310000000000104</v>
      </c>
      <c r="B357" s="651" t="s">
        <v>494</v>
      </c>
      <c r="C357" s="646">
        <v>2</v>
      </c>
      <c r="D357" s="646" t="s">
        <v>141</v>
      </c>
      <c r="E357" s="649">
        <f>Elec_Est!E535</f>
        <v>2289.7199999999998</v>
      </c>
      <c r="F357" s="1125">
        <f t="shared" si="85"/>
        <v>4579.4399999999996</v>
      </c>
    </row>
    <row r="358" spans="1:6" s="631" customFormat="1">
      <c r="A358" s="643">
        <f t="shared" ca="1" si="84"/>
        <v>4.0320000000000107</v>
      </c>
      <c r="B358" s="651" t="s">
        <v>495</v>
      </c>
      <c r="C358" s="646">
        <v>1</v>
      </c>
      <c r="D358" s="646" t="s">
        <v>141</v>
      </c>
      <c r="E358" s="649">
        <f>Elec_Est!E543</f>
        <v>2434.67</v>
      </c>
      <c r="F358" s="1125">
        <f t="shared" si="85"/>
        <v>2434.67</v>
      </c>
    </row>
    <row r="359" spans="1:6" s="631" customFormat="1">
      <c r="A359" s="1243">
        <f t="shared" ca="1" si="84"/>
        <v>4.033000000000011</v>
      </c>
      <c r="B359" s="651" t="s">
        <v>496</v>
      </c>
      <c r="C359" s="1251">
        <v>0</v>
      </c>
      <c r="D359" s="646" t="s">
        <v>141</v>
      </c>
      <c r="E359" s="649">
        <f>Elec_Est!E551</f>
        <v>0</v>
      </c>
      <c r="F359" s="1252" t="s">
        <v>3797</v>
      </c>
    </row>
    <row r="360" spans="1:6" s="631" customFormat="1">
      <c r="A360" s="1240">
        <f t="shared" ca="1" si="84"/>
        <v>4.0340000000000114</v>
      </c>
      <c r="B360" s="651" t="s">
        <v>497</v>
      </c>
      <c r="C360" s="1242">
        <v>5</v>
      </c>
      <c r="D360" s="646" t="s">
        <v>141</v>
      </c>
      <c r="E360" s="649">
        <f ca="1">Elec_Est!E559</f>
        <v>3197.74</v>
      </c>
      <c r="F360" s="1125">
        <f ca="1">IFERROR($C360*E360,E360)</f>
        <v>15988.699999999999</v>
      </c>
    </row>
    <row r="361" spans="1:6" s="631" customFormat="1" ht="27.6">
      <c r="A361" s="643"/>
      <c r="B361" s="687" t="s">
        <v>498</v>
      </c>
      <c r="C361" s="645"/>
      <c r="D361" s="646"/>
      <c r="E361" s="647"/>
      <c r="F361" s="1124"/>
    </row>
    <row r="362" spans="1:6" s="631" customFormat="1">
      <c r="A362" s="643"/>
      <c r="B362" s="688" t="s">
        <v>499</v>
      </c>
      <c r="C362" s="645"/>
      <c r="D362" s="646"/>
      <c r="E362" s="647"/>
      <c r="F362" s="1124"/>
    </row>
    <row r="363" spans="1:6" s="631" customFormat="1" ht="27.6">
      <c r="A363" s="643">
        <f t="shared" ref="A363" ca="1" si="86">IFERROR(IF(OFFSET(A363,-1,0)&gt;0,OFFSET(A363,-1,0)+0.001,ERROR.TYPE(0)),IFERROR(IF(OFFSET(A363,-2,0)&gt;0,OFFSET(A363,-2,0)+0.001,ERROR.TYPE(0)),IFERROR(IF(OFFSET(A363,-3,0)&gt;0,OFFSET(A363,-3,0)+0.001,ERROR.TYPE(0)),IFERROR(IF(OFFSET(A363,-4,0)&gt;0,OFFSET(A363,-4,0)+0.001,ERROR.TYPE(0)),IFERROR(IF(OFFSET(A363,-5,0)&gt;0,OFFSET(A363,-5,0)+0.001,ERROR.TYPE(0)),IFERROR(IF(OFFSET(A363,-6,0)&gt;0,OFFSET(A363,-6,0)+0.001,ERROR.TYPE(0)),IFERROR(IF(OFFSET(A363,-7,0)&gt;0,OFFSET(A363,-7,0)+0.001,ERROR.TYPE(0)),IFERROR(IF(OFFSET(A363,-8,0)&gt;0,OFFSET(A363,-8,0)+0.001,ERROR.TYPE(0)),IFERROR(IF(OFFSET(A363,-9,0)&gt;0,OFFSET(A363,-9,0)+0.001,ERROR.TYPE(0)),IFERROR(IF(OFFSET(A363,-10,0)&gt;0,OFFSET(A363,-10,0)+0.001,ERROR.TYPE(0)),ERROR.TYPE(0)))))))))))</f>
        <v>4.0350000000000117</v>
      </c>
      <c r="B363" s="651" t="s">
        <v>500</v>
      </c>
      <c r="C363" s="646">
        <v>25</v>
      </c>
      <c r="D363" s="646" t="s">
        <v>320</v>
      </c>
      <c r="E363" s="649">
        <f ca="1">Elec_Est!E609</f>
        <v>1473.3</v>
      </c>
      <c r="F363" s="1125">
        <f ca="1">IFERROR($C363*E363,E363)</f>
        <v>36832.5</v>
      </c>
    </row>
    <row r="364" spans="1:6" s="631" customFormat="1">
      <c r="A364" s="643"/>
      <c r="B364" s="688" t="s">
        <v>501</v>
      </c>
      <c r="C364" s="645"/>
      <c r="D364" s="646"/>
      <c r="E364" s="647"/>
      <c r="F364" s="1124"/>
    </row>
    <row r="365" spans="1:6" s="631" customFormat="1" ht="27.6">
      <c r="A365" s="1243">
        <f t="shared" ref="A365" ca="1" si="87">IFERROR(IF(OFFSET(A365,-1,0)&gt;0,OFFSET(A365,-1,0)+0.001,ERROR.TYPE(0)),IFERROR(IF(OFFSET(A365,-2,0)&gt;0,OFFSET(A365,-2,0)+0.001,ERROR.TYPE(0)),IFERROR(IF(OFFSET(A365,-3,0)&gt;0,OFFSET(A365,-3,0)+0.001,ERROR.TYPE(0)),IFERROR(IF(OFFSET(A365,-4,0)&gt;0,OFFSET(A365,-4,0)+0.001,ERROR.TYPE(0)),IFERROR(IF(OFFSET(A365,-5,0)&gt;0,OFFSET(A365,-5,0)+0.001,ERROR.TYPE(0)),IFERROR(IF(OFFSET(A365,-6,0)&gt;0,OFFSET(A365,-6,0)+0.001,ERROR.TYPE(0)),IFERROR(IF(OFFSET(A365,-7,0)&gt;0,OFFSET(A365,-7,0)+0.001,ERROR.TYPE(0)),IFERROR(IF(OFFSET(A365,-8,0)&gt;0,OFFSET(A365,-8,0)+0.001,ERROR.TYPE(0)),IFERROR(IF(OFFSET(A365,-9,0)&gt;0,OFFSET(A365,-9,0)+0.001,ERROR.TYPE(0)),IFERROR(IF(OFFSET(A365,-10,0)&gt;0,OFFSET(A365,-10,0)+0.001,ERROR.TYPE(0)),ERROR.TYPE(0)))))))))))</f>
        <v>4.036000000000012</v>
      </c>
      <c r="B365" s="651" t="s">
        <v>502</v>
      </c>
      <c r="C365" s="1251">
        <v>0</v>
      </c>
      <c r="D365" s="646" t="s">
        <v>320</v>
      </c>
      <c r="E365" s="649">
        <f ca="1">Elec_Est!E626</f>
        <v>0</v>
      </c>
      <c r="F365" s="1252" t="s">
        <v>3797</v>
      </c>
    </row>
    <row r="366" spans="1:6" s="1249" customFormat="1" ht="27.6">
      <c r="A366" s="1243" t="s">
        <v>3809</v>
      </c>
      <c r="B366" s="1253" t="s">
        <v>3810</v>
      </c>
      <c r="C366" s="1251">
        <v>15</v>
      </c>
      <c r="D366" s="1251" t="s">
        <v>320</v>
      </c>
      <c r="E366" s="1247">
        <f ca="1">Elec_Est!E635</f>
        <v>523.05999999999995</v>
      </c>
      <c r="F366" s="1248">
        <f ca="1">IFERROR($C366*E366,E366)</f>
        <v>7845.9</v>
      </c>
    </row>
    <row r="367" spans="1:6" s="631" customFormat="1">
      <c r="A367" s="643"/>
      <c r="B367" s="688" t="s">
        <v>503</v>
      </c>
      <c r="C367" s="645"/>
      <c r="D367" s="646"/>
      <c r="E367" s="647"/>
      <c r="F367" s="1124"/>
    </row>
    <row r="368" spans="1:6" s="631" customFormat="1" ht="27.6">
      <c r="A368" s="1243">
        <f t="shared" ref="A368" ca="1" si="88">IFERROR(IF(OFFSET(A368,-1,0)&gt;0,OFFSET(A368,-1,0)+0.001,ERROR.TYPE(0)),IFERROR(IF(OFFSET(A368,-2,0)&gt;0,OFFSET(A368,-2,0)+0.001,ERROR.TYPE(0)),IFERROR(IF(OFFSET(A368,-3,0)&gt;0,OFFSET(A368,-3,0)+0.001,ERROR.TYPE(0)),IFERROR(IF(OFFSET(A368,-4,0)&gt;0,OFFSET(A368,-4,0)+0.001,ERROR.TYPE(0)),IFERROR(IF(OFFSET(A368,-5,0)&gt;0,OFFSET(A368,-5,0)+0.001,ERROR.TYPE(0)),IFERROR(IF(OFFSET(A368,-6,0)&gt;0,OFFSET(A368,-6,0)+0.001,ERROR.TYPE(0)),IFERROR(IF(OFFSET(A368,-7,0)&gt;0,OFFSET(A368,-7,0)+0.001,ERROR.TYPE(0)),IFERROR(IF(OFFSET(A368,-8,0)&gt;0,OFFSET(A368,-8,0)+0.001,ERROR.TYPE(0)),IFERROR(IF(OFFSET(A368,-9,0)&gt;0,OFFSET(A368,-9,0)+0.001,ERROR.TYPE(0)),IFERROR(IF(OFFSET(A368,-10,0)&gt;0,OFFSET(A368,-10,0)+0.001,ERROR.TYPE(0)),ERROR.TYPE(0)))))))))))</f>
        <v>4.0370000000000124</v>
      </c>
      <c r="B368" s="651" t="s">
        <v>502</v>
      </c>
      <c r="C368" s="1251">
        <v>0</v>
      </c>
      <c r="D368" s="646" t="s">
        <v>320</v>
      </c>
      <c r="E368" s="649">
        <f ca="1">Elec_Est!E648</f>
        <v>0</v>
      </c>
      <c r="F368" s="1252" t="s">
        <v>3797</v>
      </c>
    </row>
    <row r="369" spans="1:6" s="631" customFormat="1">
      <c r="A369" s="643"/>
      <c r="B369" s="688" t="s">
        <v>504</v>
      </c>
      <c r="C369" s="645"/>
      <c r="D369" s="646"/>
      <c r="E369" s="647"/>
      <c r="F369" s="1124"/>
    </row>
    <row r="370" spans="1:6" s="631" customFormat="1" ht="27.6">
      <c r="A370" s="1243">
        <f t="shared" ref="A370:A375" ca="1" si="89">IFERROR(IF(OFFSET(A370,-1,0)&gt;0,OFFSET(A370,-1,0)+0.001,ERROR.TYPE(0)),IFERROR(IF(OFFSET(A370,-2,0)&gt;0,OFFSET(A370,-2,0)+0.001,ERROR.TYPE(0)),IFERROR(IF(OFFSET(A370,-3,0)&gt;0,OFFSET(A370,-3,0)+0.001,ERROR.TYPE(0)),IFERROR(IF(OFFSET(A370,-4,0)&gt;0,OFFSET(A370,-4,0)+0.001,ERROR.TYPE(0)),IFERROR(IF(OFFSET(A370,-5,0)&gt;0,OFFSET(A370,-5,0)+0.001,ERROR.TYPE(0)),IFERROR(IF(OFFSET(A370,-6,0)&gt;0,OFFSET(A370,-6,0)+0.001,ERROR.TYPE(0)),IFERROR(IF(OFFSET(A370,-7,0)&gt;0,OFFSET(A370,-7,0)+0.001,ERROR.TYPE(0)),IFERROR(IF(OFFSET(A370,-8,0)&gt;0,OFFSET(A370,-8,0)+0.001,ERROR.TYPE(0)),IFERROR(IF(OFFSET(A370,-9,0)&gt;0,OFFSET(A370,-9,0)+0.001,ERROR.TYPE(0)),IFERROR(IF(OFFSET(A370,-10,0)&gt;0,OFFSET(A370,-10,0)+0.001,ERROR.TYPE(0)),ERROR.TYPE(0)))))))))))</f>
        <v>4.0380000000000127</v>
      </c>
      <c r="B370" s="651" t="s">
        <v>505</v>
      </c>
      <c r="C370" s="1251">
        <v>0</v>
      </c>
      <c r="D370" s="646" t="s">
        <v>320</v>
      </c>
      <c r="E370" s="649">
        <f ca="1">Elec_Est!E661</f>
        <v>0</v>
      </c>
      <c r="F370" s="1252" t="s">
        <v>3797</v>
      </c>
    </row>
    <row r="371" spans="1:6" s="1249" customFormat="1" ht="27.6">
      <c r="A371" s="1243" t="s">
        <v>3811</v>
      </c>
      <c r="B371" s="1253" t="s">
        <v>3812</v>
      </c>
      <c r="C371" s="1251">
        <v>55</v>
      </c>
      <c r="D371" s="1251" t="s">
        <v>320</v>
      </c>
      <c r="E371" s="1247">
        <f ca="1">Elec_Est!E670</f>
        <v>246.96</v>
      </c>
      <c r="F371" s="1248">
        <f ca="1">IFERROR($C371*E371,E371)</f>
        <v>13582.800000000001</v>
      </c>
    </row>
    <row r="372" spans="1:6" s="631" customFormat="1" ht="27.6">
      <c r="A372" s="1243">
        <f t="shared" ca="1" si="89"/>
        <v>4.039000000000013</v>
      </c>
      <c r="B372" s="651" t="s">
        <v>506</v>
      </c>
      <c r="C372" s="1251">
        <v>0</v>
      </c>
      <c r="D372" s="646" t="s">
        <v>320</v>
      </c>
      <c r="E372" s="649">
        <f ca="1">Elec_Est!E677</f>
        <v>0</v>
      </c>
      <c r="F372" s="1252" t="s">
        <v>3797</v>
      </c>
    </row>
    <row r="373" spans="1:6" s="1249" customFormat="1" ht="27.6">
      <c r="A373" s="1243" t="s">
        <v>3813</v>
      </c>
      <c r="B373" s="1253" t="s">
        <v>3814</v>
      </c>
      <c r="C373" s="1251">
        <v>90</v>
      </c>
      <c r="D373" s="1251" t="s">
        <v>320</v>
      </c>
      <c r="E373" s="1247">
        <f ca="1">Elec_Est!E684</f>
        <v>55.61</v>
      </c>
      <c r="F373" s="1248">
        <f ca="1">IFERROR($C373*E373,E373)</f>
        <v>5004.8999999999996</v>
      </c>
    </row>
    <row r="374" spans="1:6" s="1249" customFormat="1" ht="27.6">
      <c r="A374" s="1243" t="s">
        <v>3815</v>
      </c>
      <c r="B374" s="1253" t="s">
        <v>3816</v>
      </c>
      <c r="C374" s="1251">
        <v>15</v>
      </c>
      <c r="D374" s="1251" t="s">
        <v>320</v>
      </c>
      <c r="E374" s="1247">
        <f ca="1">Elec_Est!E691</f>
        <v>35.24</v>
      </c>
      <c r="F374" s="1248">
        <f ca="1">IFERROR($C374*E374,E374)</f>
        <v>528.6</v>
      </c>
    </row>
    <row r="375" spans="1:6" s="631" customFormat="1" ht="27.6">
      <c r="A375" s="1243">
        <f t="shared" ca="1" si="89"/>
        <v>4.0400000000000134</v>
      </c>
      <c r="B375" s="651" t="s">
        <v>507</v>
      </c>
      <c r="C375" s="1251">
        <v>0</v>
      </c>
      <c r="D375" s="646" t="s">
        <v>320</v>
      </c>
      <c r="E375" s="649">
        <f ca="1">Elec_Est!E698</f>
        <v>0</v>
      </c>
      <c r="F375" s="1252" t="s">
        <v>3797</v>
      </c>
    </row>
    <row r="376" spans="1:6" s="1249" customFormat="1" ht="27.6">
      <c r="A376" s="1243" t="s">
        <v>3817</v>
      </c>
      <c r="B376" s="1253" t="s">
        <v>3818</v>
      </c>
      <c r="C376" s="1251">
        <v>90</v>
      </c>
      <c r="D376" s="1251" t="s">
        <v>320</v>
      </c>
      <c r="E376" s="1247">
        <f ca="1">Elec_Est!E711</f>
        <v>784.59</v>
      </c>
      <c r="F376" s="1248">
        <f ca="1">IFERROR($C376*E376,E376)</f>
        <v>70613.100000000006</v>
      </c>
    </row>
    <row r="377" spans="1:6" s="631" customFormat="1">
      <c r="A377" s="643"/>
      <c r="B377" s="688" t="s">
        <v>508</v>
      </c>
      <c r="C377" s="645"/>
      <c r="D377" s="646"/>
      <c r="E377" s="647"/>
      <c r="F377" s="1124"/>
    </row>
    <row r="378" spans="1:6" s="631" customFormat="1" ht="27.6">
      <c r="A378" s="1243">
        <f t="shared" ref="A378:A381" ca="1" si="90">IFERROR(IF(OFFSET(A378,-1,0)&gt;0,OFFSET(A378,-1,0)+0.001,ERROR.TYPE(0)),IFERROR(IF(OFFSET(A378,-2,0)&gt;0,OFFSET(A378,-2,0)+0.001,ERROR.TYPE(0)),IFERROR(IF(OFFSET(A378,-3,0)&gt;0,OFFSET(A378,-3,0)+0.001,ERROR.TYPE(0)),IFERROR(IF(OFFSET(A378,-4,0)&gt;0,OFFSET(A378,-4,0)+0.001,ERROR.TYPE(0)),IFERROR(IF(OFFSET(A378,-5,0)&gt;0,OFFSET(A378,-5,0)+0.001,ERROR.TYPE(0)),IFERROR(IF(OFFSET(A378,-6,0)&gt;0,OFFSET(A378,-6,0)+0.001,ERROR.TYPE(0)),IFERROR(IF(OFFSET(A378,-7,0)&gt;0,OFFSET(A378,-7,0)+0.001,ERROR.TYPE(0)),IFERROR(IF(OFFSET(A378,-8,0)&gt;0,OFFSET(A378,-8,0)+0.001,ERROR.TYPE(0)),IFERROR(IF(OFFSET(A378,-9,0)&gt;0,OFFSET(A378,-9,0)+0.001,ERROR.TYPE(0)),IFERROR(IF(OFFSET(A378,-10,0)&gt;0,OFFSET(A378,-10,0)+0.001,ERROR.TYPE(0)),ERROR.TYPE(0)))))))))))</f>
        <v>4.0410000000000137</v>
      </c>
      <c r="B378" s="651" t="s">
        <v>509</v>
      </c>
      <c r="C378" s="1251">
        <v>0</v>
      </c>
      <c r="D378" s="646" t="s">
        <v>320</v>
      </c>
      <c r="E378" s="649">
        <f ca="1">Elec_Est!E726</f>
        <v>0</v>
      </c>
      <c r="F378" s="1252" t="s">
        <v>3797</v>
      </c>
    </row>
    <row r="379" spans="1:6" s="631" customFormat="1" ht="27.6">
      <c r="A379" s="643">
        <f t="shared" ca="1" si="90"/>
        <v>4.042000000000014</v>
      </c>
      <c r="B379" s="651" t="s">
        <v>510</v>
      </c>
      <c r="C379" s="646">
        <v>20</v>
      </c>
      <c r="D379" s="646" t="s">
        <v>320</v>
      </c>
      <c r="E379" s="649">
        <f ca="1">Elec_Est!E735</f>
        <v>107.91</v>
      </c>
      <c r="F379" s="1125">
        <f t="shared" ref="F379:F381" ca="1" si="91">IFERROR($C379*E379,E379)</f>
        <v>2158.1999999999998</v>
      </c>
    </row>
    <row r="380" spans="1:6" s="631" customFormat="1" ht="27.6">
      <c r="A380" s="643">
        <f t="shared" ca="1" si="90"/>
        <v>4.0430000000000144</v>
      </c>
      <c r="B380" s="651" t="s">
        <v>511</v>
      </c>
      <c r="C380" s="646">
        <v>20</v>
      </c>
      <c r="D380" s="646" t="s">
        <v>320</v>
      </c>
      <c r="E380" s="649">
        <f ca="1">Elec_Est!E742</f>
        <v>35.24</v>
      </c>
      <c r="F380" s="1125">
        <f t="shared" ca="1" si="91"/>
        <v>704.80000000000007</v>
      </c>
    </row>
    <row r="381" spans="1:6" s="631" customFormat="1" ht="27.6">
      <c r="A381" s="643">
        <f t="shared" ca="1" si="90"/>
        <v>4.0440000000000147</v>
      </c>
      <c r="B381" s="651" t="s">
        <v>512</v>
      </c>
      <c r="C381" s="646">
        <v>20</v>
      </c>
      <c r="D381" s="646" t="s">
        <v>320</v>
      </c>
      <c r="E381" s="649">
        <f ca="1">Elec_Est!E749</f>
        <v>55.61</v>
      </c>
      <c r="F381" s="1125">
        <f t="shared" ca="1" si="91"/>
        <v>1112.2</v>
      </c>
    </row>
    <row r="382" spans="1:6" s="631" customFormat="1">
      <c r="A382" s="638"/>
      <c r="B382" s="639" t="s">
        <v>513</v>
      </c>
      <c r="C382" s="1456" t="s">
        <v>305</v>
      </c>
      <c r="D382" s="1457"/>
      <c r="E382" s="652"/>
      <c r="F382" s="1239">
        <f ca="1">SUM(F353:F381)</f>
        <v>168539.54000000004</v>
      </c>
    </row>
    <row r="383" spans="1:6" s="631" customFormat="1">
      <c r="A383" s="660"/>
      <c r="B383" s="629"/>
      <c r="C383" s="661"/>
      <c r="D383" s="654"/>
      <c r="E383" s="662"/>
      <c r="F383" s="1127"/>
    </row>
    <row r="384" spans="1:6" s="631" customFormat="1">
      <c r="A384" s="660"/>
      <c r="B384" s="629"/>
      <c r="C384" s="661"/>
      <c r="D384" s="654"/>
      <c r="E384" s="662"/>
      <c r="F384" s="1127"/>
    </row>
    <row r="385" spans="1:6" s="631" customFormat="1" ht="27.6">
      <c r="A385" s="634" t="s">
        <v>143</v>
      </c>
      <c r="B385" s="635" t="s">
        <v>198</v>
      </c>
      <c r="C385" s="636" t="s">
        <v>199</v>
      </c>
      <c r="D385" s="636" t="s">
        <v>200</v>
      </c>
      <c r="E385" s="637" t="s">
        <v>294</v>
      </c>
      <c r="F385" s="1122" t="s">
        <v>295</v>
      </c>
    </row>
    <row r="386" spans="1:6" s="631" customFormat="1" ht="27.6">
      <c r="A386" s="643"/>
      <c r="B386" s="687" t="s">
        <v>498</v>
      </c>
      <c r="C386" s="645"/>
      <c r="D386" s="646"/>
      <c r="E386" s="647"/>
      <c r="F386" s="1124"/>
    </row>
    <row r="387" spans="1:6" s="631" customFormat="1">
      <c r="A387" s="643"/>
      <c r="B387" s="688" t="s">
        <v>514</v>
      </c>
      <c r="C387" s="645"/>
      <c r="D387" s="646"/>
      <c r="E387" s="647"/>
      <c r="F387" s="1124"/>
    </row>
    <row r="388" spans="1:6" s="631" customFormat="1">
      <c r="A388" s="643">
        <f t="shared" ref="A388:A417" ca="1" si="92">IFERROR(IF(OFFSET(A388,-1,0)&gt;0,OFFSET(A388,-1,0)+0.001,ERROR.TYPE(0)),IFERROR(IF(OFFSET(A388,-2,0)&gt;0,OFFSET(A388,-2,0)+0.001,ERROR.TYPE(0)),IFERROR(IF(OFFSET(A388,-3,0)&gt;0,OFFSET(A388,-3,0)+0.001,ERROR.TYPE(0)),IFERROR(IF(OFFSET(A388,-4,0)&gt;0,OFFSET(A388,-4,0)+0.001,ERROR.TYPE(0)),IFERROR(IF(OFFSET(A388,-5,0)&gt;0,OFFSET(A388,-5,0)+0.001,ERROR.TYPE(0)),IFERROR(IF(OFFSET(A388,-6,0)&gt;0,OFFSET(A388,-6,0)+0.001,ERROR.TYPE(0)),IFERROR(IF(OFFSET(A388,-7,0)&gt;0,OFFSET(A388,-7,0)+0.001,ERROR.TYPE(0)),IFERROR(IF(OFFSET(A388,-8,0)&gt;0,OFFSET(A388,-8,0)+0.001,ERROR.TYPE(0)),IFERROR(IF(OFFSET(A388,-9,0)&gt;0,OFFSET(A388,-9,0)+0.001,ERROR.TYPE(0)),IFERROR(IF(OFFSET(A388,-10,0)&gt;0,OFFSET(A388,-10,0)+0.001,ERROR.TYPE(0)),ERROR.TYPE(0)))))))))))</f>
        <v>4.045000000000015</v>
      </c>
      <c r="B388" s="651" t="s">
        <v>515</v>
      </c>
      <c r="C388" s="646">
        <v>15</v>
      </c>
      <c r="D388" s="646" t="s">
        <v>320</v>
      </c>
      <c r="E388" s="649">
        <f ca="1">Elec_Est!E770</f>
        <v>108.02</v>
      </c>
      <c r="F388" s="1125">
        <f t="shared" ref="F388:F417" ca="1" si="93">IFERROR($C388*E388,E388)</f>
        <v>1620.3</v>
      </c>
    </row>
    <row r="389" spans="1:6" s="631" customFormat="1" ht="27.6">
      <c r="A389" s="643">
        <f t="shared" ca="1" si="92"/>
        <v>4.0460000000000154</v>
      </c>
      <c r="B389" s="651" t="s">
        <v>516</v>
      </c>
      <c r="C389" s="646">
        <v>20</v>
      </c>
      <c r="D389" s="646" t="s">
        <v>320</v>
      </c>
      <c r="E389" s="649">
        <f ca="1">Elec_Est!E777</f>
        <v>39.06</v>
      </c>
      <c r="F389" s="1125">
        <f t="shared" ca="1" si="93"/>
        <v>781.2</v>
      </c>
    </row>
    <row r="390" spans="1:6" s="631" customFormat="1">
      <c r="A390" s="643">
        <f t="shared" ca="1" si="92"/>
        <v>4.0470000000000157</v>
      </c>
      <c r="B390" s="651" t="s">
        <v>517</v>
      </c>
      <c r="C390" s="646">
        <v>25</v>
      </c>
      <c r="D390" s="646" t="s">
        <v>320</v>
      </c>
      <c r="E390" s="649">
        <f ca="1">Elec_Est!E784</f>
        <v>34.36</v>
      </c>
      <c r="F390" s="1125">
        <f t="shared" ca="1" si="93"/>
        <v>859</v>
      </c>
    </row>
    <row r="391" spans="1:6" s="631" customFormat="1" ht="27.6">
      <c r="A391" s="643">
        <f t="shared" ca="1" si="92"/>
        <v>4.048000000000016</v>
      </c>
      <c r="B391" s="651" t="s">
        <v>518</v>
      </c>
      <c r="C391" s="646">
        <v>155</v>
      </c>
      <c r="D391" s="646" t="s">
        <v>320</v>
      </c>
      <c r="E391" s="649">
        <f ca="1">Elec_Est!E791</f>
        <v>93.48</v>
      </c>
      <c r="F391" s="1125">
        <f t="shared" ca="1" si="93"/>
        <v>14489.400000000001</v>
      </c>
    </row>
    <row r="392" spans="1:6" s="631" customFormat="1">
      <c r="A392" s="643">
        <f t="shared" ca="1" si="92"/>
        <v>4.0490000000000164</v>
      </c>
      <c r="B392" s="651" t="s">
        <v>519</v>
      </c>
      <c r="C392" s="646">
        <v>120</v>
      </c>
      <c r="D392" s="646" t="s">
        <v>320</v>
      </c>
      <c r="E392" s="649">
        <f ca="1">Elec_Est!E798</f>
        <v>34.36</v>
      </c>
      <c r="F392" s="1125">
        <f t="shared" ca="1" si="93"/>
        <v>4123.2</v>
      </c>
    </row>
    <row r="393" spans="1:6" s="631" customFormat="1">
      <c r="A393" s="643">
        <f t="shared" ca="1" si="92"/>
        <v>4.0500000000000167</v>
      </c>
      <c r="B393" s="651" t="s">
        <v>520</v>
      </c>
      <c r="C393" s="646">
        <v>155</v>
      </c>
      <c r="D393" s="646" t="s">
        <v>320</v>
      </c>
      <c r="E393" s="649">
        <f ca="1">Elec_Est!E805</f>
        <v>119</v>
      </c>
      <c r="F393" s="1125">
        <f t="shared" ca="1" si="93"/>
        <v>18445</v>
      </c>
    </row>
    <row r="394" spans="1:6" s="631" customFormat="1" ht="27.6">
      <c r="A394" s="643">
        <f t="shared" ca="1" si="92"/>
        <v>4.051000000000017</v>
      </c>
      <c r="B394" s="651" t="s">
        <v>521</v>
      </c>
      <c r="C394" s="646">
        <v>55</v>
      </c>
      <c r="D394" s="646" t="s">
        <v>320</v>
      </c>
      <c r="E394" s="649">
        <f ca="1">Elec_Est!E812</f>
        <v>35.24</v>
      </c>
      <c r="F394" s="1125">
        <f t="shared" ca="1" si="93"/>
        <v>1938.2</v>
      </c>
    </row>
    <row r="395" spans="1:6" s="631" customFormat="1" ht="27.6">
      <c r="A395" s="643">
        <f t="shared" ca="1" si="92"/>
        <v>4.0520000000000174</v>
      </c>
      <c r="B395" s="651" t="s">
        <v>522</v>
      </c>
      <c r="C395" s="646">
        <v>130</v>
      </c>
      <c r="D395" s="646" t="s">
        <v>320</v>
      </c>
      <c r="E395" s="649">
        <f ca="1">Elec_Est!E819</f>
        <v>107.91</v>
      </c>
      <c r="F395" s="1125">
        <f t="shared" ca="1" si="93"/>
        <v>14028.3</v>
      </c>
    </row>
    <row r="396" spans="1:6" s="631" customFormat="1">
      <c r="A396" s="643">
        <f t="shared" ca="1" si="92"/>
        <v>4.0530000000000177</v>
      </c>
      <c r="B396" s="651" t="s">
        <v>523</v>
      </c>
      <c r="C396" s="646">
        <v>140</v>
      </c>
      <c r="D396" s="646" t="s">
        <v>320</v>
      </c>
      <c r="E396" s="649">
        <f ca="1">Elec_Est!E826</f>
        <v>148.19</v>
      </c>
      <c r="F396" s="1125">
        <f t="shared" ca="1" si="93"/>
        <v>20746.599999999999</v>
      </c>
    </row>
    <row r="397" spans="1:6" s="631" customFormat="1" ht="27.6">
      <c r="A397" s="643">
        <f t="shared" ca="1" si="92"/>
        <v>4.054000000000018</v>
      </c>
      <c r="B397" s="651" t="s">
        <v>524</v>
      </c>
      <c r="C397" s="646">
        <v>140</v>
      </c>
      <c r="D397" s="646" t="s">
        <v>320</v>
      </c>
      <c r="E397" s="649">
        <f ca="1">Elec_Est!E833</f>
        <v>35.24</v>
      </c>
      <c r="F397" s="1125">
        <f t="shared" ca="1" si="93"/>
        <v>4933.6000000000004</v>
      </c>
    </row>
    <row r="398" spans="1:6" s="631" customFormat="1" ht="27.6">
      <c r="A398" s="643">
        <f t="shared" ca="1" si="92"/>
        <v>4.0550000000000184</v>
      </c>
      <c r="B398" s="651" t="s">
        <v>525</v>
      </c>
      <c r="C398" s="646">
        <v>125</v>
      </c>
      <c r="D398" s="646" t="s">
        <v>320</v>
      </c>
      <c r="E398" s="649">
        <f ca="1">Elec_Est!E840</f>
        <v>75.069999999999993</v>
      </c>
      <c r="F398" s="1125">
        <f t="shared" ca="1" si="93"/>
        <v>9383.75</v>
      </c>
    </row>
    <row r="399" spans="1:6" s="631" customFormat="1" ht="27.6">
      <c r="A399" s="643">
        <f t="shared" ca="1" si="92"/>
        <v>4.0560000000000187</v>
      </c>
      <c r="B399" s="651" t="s">
        <v>526</v>
      </c>
      <c r="C399" s="646">
        <v>125</v>
      </c>
      <c r="D399" s="646" t="s">
        <v>320</v>
      </c>
      <c r="E399" s="649">
        <f ca="1">Elec_Est!E847</f>
        <v>75.069999999999993</v>
      </c>
      <c r="F399" s="1125">
        <f t="shared" ca="1" si="93"/>
        <v>9383.75</v>
      </c>
    </row>
    <row r="400" spans="1:6" s="631" customFormat="1">
      <c r="A400" s="643">
        <f t="shared" ca="1" si="92"/>
        <v>4.057000000000019</v>
      </c>
      <c r="B400" s="651" t="s">
        <v>527</v>
      </c>
      <c r="C400" s="646">
        <v>105</v>
      </c>
      <c r="D400" s="646" t="s">
        <v>320</v>
      </c>
      <c r="E400" s="649">
        <f ca="1">Elec_Est!E854</f>
        <v>148.19</v>
      </c>
      <c r="F400" s="1125">
        <f t="shared" ca="1" si="93"/>
        <v>15559.949999999999</v>
      </c>
    </row>
    <row r="401" spans="1:6" s="631" customFormat="1">
      <c r="A401" s="643">
        <f t="shared" ca="1" si="92"/>
        <v>4.0580000000000194</v>
      </c>
      <c r="B401" s="651" t="s">
        <v>528</v>
      </c>
      <c r="C401" s="646">
        <v>85</v>
      </c>
      <c r="D401" s="646" t="s">
        <v>320</v>
      </c>
      <c r="E401" s="649">
        <f ca="1">Elec_Est!E861</f>
        <v>148.19</v>
      </c>
      <c r="F401" s="1125">
        <f t="shared" ca="1" si="93"/>
        <v>12596.15</v>
      </c>
    </row>
    <row r="402" spans="1:6" s="631" customFormat="1">
      <c r="A402" s="643">
        <f t="shared" ca="1" si="92"/>
        <v>4.0590000000000197</v>
      </c>
      <c r="B402" s="651" t="s">
        <v>529</v>
      </c>
      <c r="C402" s="646">
        <v>105</v>
      </c>
      <c r="D402" s="646" t="s">
        <v>320</v>
      </c>
      <c r="E402" s="649">
        <f ca="1">Elec_Est!E868</f>
        <v>34.36</v>
      </c>
      <c r="F402" s="1125">
        <f t="shared" ca="1" si="93"/>
        <v>3607.7999999999997</v>
      </c>
    </row>
    <row r="403" spans="1:6" s="631" customFormat="1" ht="27.6">
      <c r="A403" s="643">
        <f t="shared" ca="1" si="92"/>
        <v>4.06000000000002</v>
      </c>
      <c r="B403" s="651" t="s">
        <v>530</v>
      </c>
      <c r="C403" s="646">
        <v>150</v>
      </c>
      <c r="D403" s="646" t="s">
        <v>320</v>
      </c>
      <c r="E403" s="649">
        <f ca="1">Elec_Est!E875</f>
        <v>39.06</v>
      </c>
      <c r="F403" s="1125">
        <f t="shared" ca="1" si="93"/>
        <v>5859</v>
      </c>
    </row>
    <row r="404" spans="1:6" s="631" customFormat="1">
      <c r="A404" s="643">
        <f t="shared" ca="1" si="92"/>
        <v>4.0610000000000204</v>
      </c>
      <c r="B404" s="651" t="s">
        <v>531</v>
      </c>
      <c r="C404" s="646">
        <v>60</v>
      </c>
      <c r="D404" s="646" t="s">
        <v>320</v>
      </c>
      <c r="E404" s="649">
        <f ca="1">Elec_Est!E882</f>
        <v>18.22</v>
      </c>
      <c r="F404" s="1125">
        <f t="shared" ca="1" si="93"/>
        <v>1093.1999999999998</v>
      </c>
    </row>
    <row r="405" spans="1:6" s="631" customFormat="1" ht="27.6">
      <c r="A405" s="643">
        <f t="shared" ca="1" si="92"/>
        <v>4.0620000000000207</v>
      </c>
      <c r="B405" s="651" t="s">
        <v>532</v>
      </c>
      <c r="C405" s="646">
        <v>60</v>
      </c>
      <c r="D405" s="646" t="s">
        <v>320</v>
      </c>
      <c r="E405" s="649">
        <f ca="1">Elec_Est!E889</f>
        <v>35.24</v>
      </c>
      <c r="F405" s="1125">
        <f t="shared" ca="1" si="93"/>
        <v>2114.4</v>
      </c>
    </row>
    <row r="406" spans="1:6" s="631" customFormat="1">
      <c r="A406" s="643">
        <f t="shared" ca="1" si="92"/>
        <v>4.063000000000021</v>
      </c>
      <c r="B406" s="651" t="s">
        <v>533</v>
      </c>
      <c r="C406" s="646">
        <v>85</v>
      </c>
      <c r="D406" s="646" t="s">
        <v>320</v>
      </c>
      <c r="E406" s="649">
        <f ca="1">Elec_Est!E896</f>
        <v>159.77000000000001</v>
      </c>
      <c r="F406" s="1125">
        <f t="shared" ca="1" si="93"/>
        <v>13580.45</v>
      </c>
    </row>
    <row r="407" spans="1:6" s="631" customFormat="1">
      <c r="A407" s="643">
        <f t="shared" ca="1" si="92"/>
        <v>4.0640000000000214</v>
      </c>
      <c r="B407" s="651" t="s">
        <v>534</v>
      </c>
      <c r="C407" s="646">
        <v>120</v>
      </c>
      <c r="D407" s="646" t="s">
        <v>320</v>
      </c>
      <c r="E407" s="649">
        <f ca="1">Elec_Est!E905</f>
        <v>18.22</v>
      </c>
      <c r="F407" s="1125">
        <f t="shared" ca="1" si="93"/>
        <v>2186.3999999999996</v>
      </c>
    </row>
    <row r="408" spans="1:6" s="631" customFormat="1">
      <c r="A408" s="643">
        <f t="shared" ca="1" si="92"/>
        <v>4.0650000000000217</v>
      </c>
      <c r="B408" s="651" t="s">
        <v>535</v>
      </c>
      <c r="C408" s="646">
        <v>120</v>
      </c>
      <c r="D408" s="646" t="s">
        <v>320</v>
      </c>
      <c r="E408" s="649">
        <f ca="1">Elec_Est!E912</f>
        <v>79.89</v>
      </c>
      <c r="F408" s="1125">
        <f t="shared" ca="1" si="93"/>
        <v>9586.7999999999993</v>
      </c>
    </row>
    <row r="409" spans="1:6" s="631" customFormat="1">
      <c r="A409" s="643">
        <f t="shared" ca="1" si="92"/>
        <v>4.066000000000022</v>
      </c>
      <c r="B409" s="651" t="s">
        <v>536</v>
      </c>
      <c r="C409" s="646">
        <v>85</v>
      </c>
      <c r="D409" s="646" t="s">
        <v>320</v>
      </c>
      <c r="E409" s="649">
        <f ca="1">Elec_Est!E919</f>
        <v>14.65</v>
      </c>
      <c r="F409" s="1125">
        <f t="shared" ca="1" si="93"/>
        <v>1245.25</v>
      </c>
    </row>
    <row r="410" spans="1:6" s="631" customFormat="1" ht="27.6">
      <c r="A410" s="643">
        <f t="shared" ca="1" si="92"/>
        <v>4.0670000000000224</v>
      </c>
      <c r="B410" s="651" t="s">
        <v>537</v>
      </c>
      <c r="C410" s="646">
        <v>125</v>
      </c>
      <c r="D410" s="646" t="s">
        <v>320</v>
      </c>
      <c r="E410" s="649">
        <f ca="1">Elec_Est!E926</f>
        <v>39.06</v>
      </c>
      <c r="F410" s="1125">
        <f ca="1">IFERROR($C410*E410,E410)</f>
        <v>4882.5</v>
      </c>
    </row>
    <row r="411" spans="1:6" s="631" customFormat="1" ht="27.6">
      <c r="A411" s="1243">
        <f t="shared" ca="1" si="92"/>
        <v>4.0680000000000227</v>
      </c>
      <c r="B411" s="651" t="s">
        <v>509</v>
      </c>
      <c r="C411" s="1251">
        <v>0</v>
      </c>
      <c r="D411" s="646" t="s">
        <v>320</v>
      </c>
      <c r="E411" s="649">
        <f ca="1">Elec_Est!E933</f>
        <v>0</v>
      </c>
      <c r="F411" s="1252" t="s">
        <v>3797</v>
      </c>
    </row>
    <row r="412" spans="1:6" s="1249" customFormat="1" ht="27.6">
      <c r="A412" s="1243" t="s">
        <v>3819</v>
      </c>
      <c r="B412" s="1253" t="s">
        <v>3820</v>
      </c>
      <c r="C412" s="1251">
        <v>150</v>
      </c>
      <c r="D412" s="1251" t="s">
        <v>320</v>
      </c>
      <c r="E412" s="1247">
        <f ca="1">Elec_Est!E942</f>
        <v>267.02999999999997</v>
      </c>
      <c r="F412" s="1248">
        <f t="shared" ca="1" si="93"/>
        <v>40054.499999999993</v>
      </c>
    </row>
    <row r="413" spans="1:6" s="631" customFormat="1" ht="27.6">
      <c r="A413" s="643">
        <f t="shared" ca="1" si="92"/>
        <v>4.069000000000023</v>
      </c>
      <c r="B413" s="651" t="s">
        <v>510</v>
      </c>
      <c r="C413" s="646">
        <v>130</v>
      </c>
      <c r="D413" s="646" t="s">
        <v>320</v>
      </c>
      <c r="E413" s="649">
        <f ca="1">Elec_Est!E951</f>
        <v>107.91</v>
      </c>
      <c r="F413" s="1125">
        <f t="shared" ca="1" si="93"/>
        <v>14028.3</v>
      </c>
    </row>
    <row r="414" spans="1:6" s="631" customFormat="1" ht="27.6">
      <c r="A414" s="643">
        <f t="shared" ca="1" si="92"/>
        <v>4.0700000000000234</v>
      </c>
      <c r="B414" s="651" t="s">
        <v>538</v>
      </c>
      <c r="C414" s="646">
        <v>20</v>
      </c>
      <c r="D414" s="646" t="s">
        <v>320</v>
      </c>
      <c r="E414" s="649">
        <f ca="1">Elec_Est!E958</f>
        <v>55.61</v>
      </c>
      <c r="F414" s="1125">
        <f ca="1">IFERROR($C414*E414,E414)</f>
        <v>1112.2</v>
      </c>
    </row>
    <row r="415" spans="1:6" s="631" customFormat="1" ht="27.6">
      <c r="A415" s="643">
        <f t="shared" ca="1" si="92"/>
        <v>4.0710000000000237</v>
      </c>
      <c r="B415" s="651" t="s">
        <v>539</v>
      </c>
      <c r="C415" s="646">
        <v>115</v>
      </c>
      <c r="D415" s="646" t="s">
        <v>320</v>
      </c>
      <c r="E415" s="649">
        <f ca="1">Elec_Est!E965</f>
        <v>75.069999999999993</v>
      </c>
      <c r="F415" s="1125">
        <f t="shared" ca="1" si="93"/>
        <v>8633.0499999999993</v>
      </c>
    </row>
    <row r="416" spans="1:6" s="1249" customFormat="1" ht="27.6">
      <c r="A416" s="1243" t="s">
        <v>3821</v>
      </c>
      <c r="B416" s="1253" t="s">
        <v>3822</v>
      </c>
      <c r="C416" s="1251">
        <v>85</v>
      </c>
      <c r="D416" s="1251" t="s">
        <v>320</v>
      </c>
      <c r="E416" s="1247">
        <f ca="1">Elec_Est!E972</f>
        <v>35.24</v>
      </c>
      <c r="F416" s="1248">
        <f t="shared" ca="1" si="93"/>
        <v>2995.4</v>
      </c>
    </row>
    <row r="417" spans="1:6" s="631" customFormat="1" ht="27.6">
      <c r="A417" s="643">
        <f t="shared" ca="1" si="92"/>
        <v>4.072000000000024</v>
      </c>
      <c r="B417" s="651" t="s">
        <v>540</v>
      </c>
      <c r="C417" s="646">
        <v>145</v>
      </c>
      <c r="D417" s="646" t="s">
        <v>320</v>
      </c>
      <c r="E417" s="649">
        <f ca="1">Elec_Est!E979</f>
        <v>133.51</v>
      </c>
      <c r="F417" s="1125">
        <f t="shared" ca="1" si="93"/>
        <v>19358.949999999997</v>
      </c>
    </row>
    <row r="418" spans="1:6" s="631" customFormat="1">
      <c r="A418" s="643"/>
      <c r="B418" s="687" t="s">
        <v>463</v>
      </c>
      <c r="C418" s="646"/>
      <c r="D418" s="646"/>
      <c r="E418" s="649"/>
      <c r="F418" s="1125"/>
    </row>
    <row r="419" spans="1:6" s="631" customFormat="1">
      <c r="A419" s="643">
        <f t="shared" ref="A419" ca="1" si="94">IFERROR(IF(OFFSET(A419,-1,0)&gt;0,OFFSET(A419,-1,0)+0.001,ERROR.TYPE(0)),IFERROR(IF(OFFSET(A419,-2,0)&gt;0,OFFSET(A419,-2,0)+0.001,ERROR.TYPE(0)),IFERROR(IF(OFFSET(A419,-3,0)&gt;0,OFFSET(A419,-3,0)+0.001,ERROR.TYPE(0)),IFERROR(IF(OFFSET(A419,-4,0)&gt;0,OFFSET(A419,-4,0)+0.001,ERROR.TYPE(0)),IFERROR(IF(OFFSET(A419,-5,0)&gt;0,OFFSET(A419,-5,0)+0.001,ERROR.TYPE(0)),IFERROR(IF(OFFSET(A419,-6,0)&gt;0,OFFSET(A419,-6,0)+0.001,ERROR.TYPE(0)),IFERROR(IF(OFFSET(A419,-7,0)&gt;0,OFFSET(A419,-7,0)+0.001,ERROR.TYPE(0)),IFERROR(IF(OFFSET(A419,-8,0)&gt;0,OFFSET(A419,-8,0)+0.001,ERROR.TYPE(0)),IFERROR(IF(OFFSET(A419,-9,0)&gt;0,OFFSET(A419,-9,0)+0.001,ERROR.TYPE(0)),IFERROR(IF(OFFSET(A419,-10,0)&gt;0,OFFSET(A419,-10,0)+0.001,ERROR.TYPE(0)),ERROR.TYPE(0)))))))))))</f>
        <v>4.0730000000000244</v>
      </c>
      <c r="B419" s="651" t="s">
        <v>541</v>
      </c>
      <c r="C419" s="646">
        <v>1</v>
      </c>
      <c r="D419" s="646" t="s">
        <v>141</v>
      </c>
      <c r="E419" s="649">
        <f ca="1">Elec_Est!E990</f>
        <v>104.97</v>
      </c>
      <c r="F419" s="1125">
        <f ca="1">IFERROR($C419*E419,E419)</f>
        <v>104.97</v>
      </c>
    </row>
    <row r="420" spans="1:6" s="631" customFormat="1" ht="27.6">
      <c r="A420" s="643"/>
      <c r="B420" s="687" t="s">
        <v>498</v>
      </c>
      <c r="C420" s="645"/>
      <c r="D420" s="646"/>
      <c r="E420" s="647"/>
      <c r="F420" s="1124"/>
    </row>
    <row r="421" spans="1:6" s="631" customFormat="1">
      <c r="A421" s="643"/>
      <c r="B421" s="688" t="s">
        <v>542</v>
      </c>
      <c r="C421" s="645"/>
      <c r="D421" s="646"/>
      <c r="E421" s="647"/>
      <c r="F421" s="1124"/>
    </row>
    <row r="422" spans="1:6" s="631" customFormat="1" ht="27.6">
      <c r="A422" s="1243">
        <f t="shared" ref="A422:A426" ca="1" si="95">IFERROR(IF(OFFSET(A422,-1,0)&gt;0,OFFSET(A422,-1,0)+0.001,ERROR.TYPE(0)),IFERROR(IF(OFFSET(A422,-2,0)&gt;0,OFFSET(A422,-2,0)+0.001,ERROR.TYPE(0)),IFERROR(IF(OFFSET(A422,-3,0)&gt;0,OFFSET(A422,-3,0)+0.001,ERROR.TYPE(0)),IFERROR(IF(OFFSET(A422,-4,0)&gt;0,OFFSET(A422,-4,0)+0.001,ERROR.TYPE(0)),IFERROR(IF(OFFSET(A422,-5,0)&gt;0,OFFSET(A422,-5,0)+0.001,ERROR.TYPE(0)),IFERROR(IF(OFFSET(A422,-6,0)&gt;0,OFFSET(A422,-6,0)+0.001,ERROR.TYPE(0)),IFERROR(IF(OFFSET(A422,-7,0)&gt;0,OFFSET(A422,-7,0)+0.001,ERROR.TYPE(0)),IFERROR(IF(OFFSET(A422,-8,0)&gt;0,OFFSET(A422,-8,0)+0.001,ERROR.TYPE(0)),IFERROR(IF(OFFSET(A422,-9,0)&gt;0,OFFSET(A422,-9,0)+0.001,ERROR.TYPE(0)),IFERROR(IF(OFFSET(A422,-10,0)&gt;0,OFFSET(A422,-10,0)+0.001,ERROR.TYPE(0)),ERROR.TYPE(0)))))))))))</f>
        <v>4.0740000000000247</v>
      </c>
      <c r="B422" s="651" t="s">
        <v>543</v>
      </c>
      <c r="C422" s="1251">
        <v>0</v>
      </c>
      <c r="D422" s="646" t="s">
        <v>320</v>
      </c>
      <c r="E422" s="649">
        <f ca="1">Elec_Est!E1005</f>
        <v>0</v>
      </c>
      <c r="F422" s="1252" t="s">
        <v>3797</v>
      </c>
    </row>
    <row r="423" spans="1:6" s="631" customFormat="1" ht="27.6">
      <c r="A423" s="643">
        <f t="shared" ca="1" si="95"/>
        <v>4.075000000000025</v>
      </c>
      <c r="B423" s="651" t="s">
        <v>544</v>
      </c>
      <c r="C423" s="646">
        <v>10</v>
      </c>
      <c r="D423" s="646" t="s">
        <v>320</v>
      </c>
      <c r="E423" s="649">
        <f ca="1">Elec_Est!E1014</f>
        <v>107.91</v>
      </c>
      <c r="F423" s="1125">
        <f t="shared" ref="F423:F427" ca="1" si="96">IFERROR($C423*E423,E423)</f>
        <v>1079.0999999999999</v>
      </c>
    </row>
    <row r="424" spans="1:6" s="631" customFormat="1" ht="27.6">
      <c r="A424" s="643">
        <f t="shared" ca="1" si="95"/>
        <v>4.0760000000000254</v>
      </c>
      <c r="B424" s="651" t="s">
        <v>545</v>
      </c>
      <c r="C424" s="646">
        <v>10</v>
      </c>
      <c r="D424" s="646" t="s">
        <v>320</v>
      </c>
      <c r="E424" s="649">
        <f ca="1">Elec_Est!E1021</f>
        <v>35.24</v>
      </c>
      <c r="F424" s="1125">
        <f t="shared" ca="1" si="96"/>
        <v>352.40000000000003</v>
      </c>
    </row>
    <row r="425" spans="1:6" s="631" customFormat="1" ht="27.6">
      <c r="A425" s="643">
        <f t="shared" ca="1" si="95"/>
        <v>4.0770000000000257</v>
      </c>
      <c r="B425" s="651" t="s">
        <v>546</v>
      </c>
      <c r="C425" s="646">
        <v>10</v>
      </c>
      <c r="D425" s="646" t="s">
        <v>320</v>
      </c>
      <c r="E425" s="649">
        <f ca="1">Elec_Est!E1028</f>
        <v>55.61</v>
      </c>
      <c r="F425" s="1125">
        <f t="shared" ca="1" si="96"/>
        <v>556.1</v>
      </c>
    </row>
    <row r="426" spans="1:6" s="631" customFormat="1" ht="27.6">
      <c r="A426" s="643">
        <f t="shared" ca="1" si="95"/>
        <v>4.078000000000026</v>
      </c>
      <c r="B426" s="651" t="s">
        <v>547</v>
      </c>
      <c r="C426" s="646">
        <v>10</v>
      </c>
      <c r="D426" s="646" t="s">
        <v>320</v>
      </c>
      <c r="E426" s="649">
        <f ca="1">Elec_Est!E1035</f>
        <v>55.61</v>
      </c>
      <c r="F426" s="1125">
        <f t="shared" ca="1" si="96"/>
        <v>556.1</v>
      </c>
    </row>
    <row r="427" spans="1:6" s="1249" customFormat="1" ht="27.6">
      <c r="A427" s="1243" t="s">
        <v>3823</v>
      </c>
      <c r="B427" s="1253" t="s">
        <v>3824</v>
      </c>
      <c r="C427" s="1251">
        <v>10</v>
      </c>
      <c r="D427" s="1251" t="s">
        <v>320</v>
      </c>
      <c r="E427" s="1247">
        <f ca="1">Elec_Est!E1042</f>
        <v>35.24</v>
      </c>
      <c r="F427" s="1248">
        <f t="shared" ca="1" si="96"/>
        <v>352.40000000000003</v>
      </c>
    </row>
    <row r="428" spans="1:6" s="631" customFormat="1">
      <c r="A428" s="643"/>
      <c r="B428" s="687" t="s">
        <v>463</v>
      </c>
      <c r="C428" s="646"/>
      <c r="D428" s="646"/>
      <c r="E428" s="649"/>
      <c r="F428" s="1125"/>
    </row>
    <row r="429" spans="1:6" s="631" customFormat="1">
      <c r="A429" s="643">
        <f t="shared" ref="A429:A431" ca="1" si="97">IFERROR(IF(OFFSET(A429,-1,0)&gt;0,OFFSET(A429,-1,0)+0.001,ERROR.TYPE(0)),IFERROR(IF(OFFSET(A429,-2,0)&gt;0,OFFSET(A429,-2,0)+0.001,ERROR.TYPE(0)),IFERROR(IF(OFFSET(A429,-3,0)&gt;0,OFFSET(A429,-3,0)+0.001,ERROR.TYPE(0)),IFERROR(IF(OFFSET(A429,-4,0)&gt;0,OFFSET(A429,-4,0)+0.001,ERROR.TYPE(0)),IFERROR(IF(OFFSET(A429,-5,0)&gt;0,OFFSET(A429,-5,0)+0.001,ERROR.TYPE(0)),IFERROR(IF(OFFSET(A429,-6,0)&gt;0,OFFSET(A429,-6,0)+0.001,ERROR.TYPE(0)),IFERROR(IF(OFFSET(A429,-7,0)&gt;0,OFFSET(A429,-7,0)+0.001,ERROR.TYPE(0)),IFERROR(IF(OFFSET(A429,-8,0)&gt;0,OFFSET(A429,-8,0)+0.001,ERROR.TYPE(0)),IFERROR(IF(OFFSET(A429,-9,0)&gt;0,OFFSET(A429,-9,0)+0.001,ERROR.TYPE(0)),IFERROR(IF(OFFSET(A429,-10,0)&gt;0,OFFSET(A429,-10,0)+0.001,ERROR.TYPE(0)),ERROR.TYPE(0)))))))))))</f>
        <v>4.0790000000000264</v>
      </c>
      <c r="B429" s="651" t="s">
        <v>548</v>
      </c>
      <c r="C429" s="646">
        <v>1</v>
      </c>
      <c r="D429" s="646" t="s">
        <v>141</v>
      </c>
      <c r="E429" s="649">
        <f ca="1">Elec_Est!E1053</f>
        <v>104.97</v>
      </c>
      <c r="F429" s="1125">
        <f ca="1">IFERROR($C429*E429,E429)</f>
        <v>104.97</v>
      </c>
    </row>
    <row r="430" spans="1:6" s="631" customFormat="1">
      <c r="A430" s="643">
        <f t="shared" ca="1" si="97"/>
        <v>4.0800000000000267</v>
      </c>
      <c r="B430" s="651" t="s">
        <v>549</v>
      </c>
      <c r="C430" s="646">
        <v>1</v>
      </c>
      <c r="D430" s="646" t="s">
        <v>141</v>
      </c>
      <c r="E430" s="649">
        <f>Elec_Est!E1060</f>
        <v>479.59</v>
      </c>
      <c r="F430" s="1125">
        <f>IFERROR($C430*E430,E430)</f>
        <v>479.59</v>
      </c>
    </row>
    <row r="431" spans="1:6" s="631" customFormat="1">
      <c r="A431" s="643">
        <f t="shared" ca="1" si="97"/>
        <v>4.0810000000000271</v>
      </c>
      <c r="B431" s="651" t="s">
        <v>550</v>
      </c>
      <c r="C431" s="646">
        <v>1</v>
      </c>
      <c r="D431" s="646" t="s">
        <v>141</v>
      </c>
      <c r="E431" s="649">
        <f>Elec_Est!E1068</f>
        <v>1607.31</v>
      </c>
      <c r="F431" s="1125">
        <f>IFERROR($C431*E431,E431)</f>
        <v>1607.31</v>
      </c>
    </row>
    <row r="432" spans="1:6" s="631" customFormat="1">
      <c r="A432" s="638"/>
      <c r="B432" s="639" t="s">
        <v>551</v>
      </c>
      <c r="C432" s="1456" t="s">
        <v>305</v>
      </c>
      <c r="D432" s="1457"/>
      <c r="E432" s="652"/>
      <c r="F432" s="1239">
        <f ca="1">SUM(F387:F431)</f>
        <v>264419.53999999998</v>
      </c>
    </row>
    <row r="433" spans="1:6" s="631" customFormat="1">
      <c r="A433" s="660"/>
      <c r="B433" s="629"/>
      <c r="C433" s="661"/>
      <c r="D433" s="654"/>
      <c r="E433" s="662"/>
      <c r="F433" s="1127"/>
    </row>
    <row r="434" spans="1:6" s="631" customFormat="1">
      <c r="A434" s="660"/>
      <c r="B434" s="629"/>
      <c r="C434" s="661"/>
      <c r="D434" s="654"/>
      <c r="E434" s="662"/>
      <c r="F434" s="1127"/>
    </row>
    <row r="435" spans="1:6" s="631" customFormat="1" ht="27.6">
      <c r="A435" s="634" t="s">
        <v>143</v>
      </c>
      <c r="B435" s="635" t="s">
        <v>198</v>
      </c>
      <c r="C435" s="636" t="s">
        <v>199</v>
      </c>
      <c r="D435" s="636" t="s">
        <v>200</v>
      </c>
      <c r="E435" s="637" t="s">
        <v>294</v>
      </c>
      <c r="F435" s="1122" t="s">
        <v>295</v>
      </c>
    </row>
    <row r="436" spans="1:6" s="631" customFormat="1" ht="27.6">
      <c r="A436" s="643"/>
      <c r="B436" s="687" t="s">
        <v>498</v>
      </c>
      <c r="C436" s="645"/>
      <c r="D436" s="646"/>
      <c r="E436" s="647"/>
      <c r="F436" s="1124"/>
    </row>
    <row r="437" spans="1:6" s="631" customFormat="1">
      <c r="A437" s="643"/>
      <c r="B437" s="688" t="s">
        <v>552</v>
      </c>
      <c r="C437" s="645"/>
      <c r="D437" s="646"/>
      <c r="E437" s="647"/>
      <c r="F437" s="1124"/>
    </row>
    <row r="438" spans="1:6" s="631" customFormat="1">
      <c r="A438" s="643">
        <f t="shared" ref="A438:A440" ca="1" si="98">IFERROR(IF(OFFSET(A438,-1,0)&gt;0,OFFSET(A438,-1,0)+0.001,ERROR.TYPE(0)),IFERROR(IF(OFFSET(A438,-2,0)&gt;0,OFFSET(A438,-2,0)+0.001,ERROR.TYPE(0)),IFERROR(IF(OFFSET(A438,-3,0)&gt;0,OFFSET(A438,-3,0)+0.001,ERROR.TYPE(0)),IFERROR(IF(OFFSET(A438,-4,0)&gt;0,OFFSET(A438,-4,0)+0.001,ERROR.TYPE(0)),IFERROR(IF(OFFSET(A438,-5,0)&gt;0,OFFSET(A438,-5,0)+0.001,ERROR.TYPE(0)),IFERROR(IF(OFFSET(A438,-6,0)&gt;0,OFFSET(A438,-6,0)+0.001,ERROR.TYPE(0)),IFERROR(IF(OFFSET(A438,-7,0)&gt;0,OFFSET(A438,-7,0)+0.001,ERROR.TYPE(0)),IFERROR(IF(OFFSET(A438,-8,0)&gt;0,OFFSET(A438,-8,0)+0.001,ERROR.TYPE(0)),IFERROR(IF(OFFSET(A438,-9,0)&gt;0,OFFSET(A438,-9,0)+0.001,ERROR.TYPE(0)),IFERROR(IF(OFFSET(A438,-10,0)&gt;0,OFFSET(A438,-10,0)+0.001,ERROR.TYPE(0)),ERROR.TYPE(0)))))))))))</f>
        <v>4.0820000000000274</v>
      </c>
      <c r="B438" s="651" t="s">
        <v>553</v>
      </c>
      <c r="C438" s="646">
        <v>30</v>
      </c>
      <c r="D438" s="646" t="s">
        <v>320</v>
      </c>
      <c r="E438" s="649">
        <f ca="1">Elec_Est!E1090</f>
        <v>5.63</v>
      </c>
      <c r="F438" s="1125">
        <f ca="1">IFERROR($C438*E438,E438)</f>
        <v>168.9</v>
      </c>
    </row>
    <row r="439" spans="1:6" s="631" customFormat="1">
      <c r="A439" s="643">
        <f t="shared" ca="1" si="98"/>
        <v>4.0830000000000277</v>
      </c>
      <c r="B439" s="651" t="s">
        <v>554</v>
      </c>
      <c r="C439" s="646">
        <v>45</v>
      </c>
      <c r="D439" s="646" t="s">
        <v>320</v>
      </c>
      <c r="E439" s="649">
        <f ca="1">Elec_Est!E1097</f>
        <v>5.63</v>
      </c>
      <c r="F439" s="1125">
        <f t="shared" ref="F439:F440" ca="1" si="99">IFERROR($C439*E439,E439)</f>
        <v>253.35</v>
      </c>
    </row>
    <row r="440" spans="1:6" s="631" customFormat="1">
      <c r="A440" s="643">
        <f t="shared" ca="1" si="98"/>
        <v>4.0840000000000281</v>
      </c>
      <c r="B440" s="651" t="s">
        <v>555</v>
      </c>
      <c r="C440" s="646">
        <v>40</v>
      </c>
      <c r="D440" s="646" t="s">
        <v>320</v>
      </c>
      <c r="E440" s="649">
        <f ca="1">Elec_Est!E1104</f>
        <v>5.63</v>
      </c>
      <c r="F440" s="1125">
        <f t="shared" ca="1" si="99"/>
        <v>225.2</v>
      </c>
    </row>
    <row r="441" spans="1:6" s="631" customFormat="1">
      <c r="A441" s="643"/>
      <c r="B441" s="687" t="s">
        <v>463</v>
      </c>
      <c r="C441" s="646"/>
      <c r="D441" s="646"/>
      <c r="E441" s="649"/>
      <c r="F441" s="1125"/>
    </row>
    <row r="442" spans="1:6" s="631" customFormat="1">
      <c r="A442" s="643">
        <f t="shared" ref="A442" ca="1" si="100">IFERROR(IF(OFFSET(A442,-1,0)&gt;0,OFFSET(A442,-1,0)+0.001,ERROR.TYPE(0)),IFERROR(IF(OFFSET(A442,-2,0)&gt;0,OFFSET(A442,-2,0)+0.001,ERROR.TYPE(0)),IFERROR(IF(OFFSET(A442,-3,0)&gt;0,OFFSET(A442,-3,0)+0.001,ERROR.TYPE(0)),IFERROR(IF(OFFSET(A442,-4,0)&gt;0,OFFSET(A442,-4,0)+0.001,ERROR.TYPE(0)),IFERROR(IF(OFFSET(A442,-5,0)&gt;0,OFFSET(A442,-5,0)+0.001,ERROR.TYPE(0)),IFERROR(IF(OFFSET(A442,-6,0)&gt;0,OFFSET(A442,-6,0)+0.001,ERROR.TYPE(0)),IFERROR(IF(OFFSET(A442,-7,0)&gt;0,OFFSET(A442,-7,0)+0.001,ERROR.TYPE(0)),IFERROR(IF(OFFSET(A442,-8,0)&gt;0,OFFSET(A442,-8,0)+0.001,ERROR.TYPE(0)),IFERROR(IF(OFFSET(A442,-9,0)&gt;0,OFFSET(A442,-9,0)+0.001,ERROR.TYPE(0)),IFERROR(IF(OFFSET(A442,-10,0)&gt;0,OFFSET(A442,-10,0)+0.001,ERROR.TYPE(0)),ERROR.TYPE(0)))))))))))</f>
        <v>4.0850000000000284</v>
      </c>
      <c r="B442" s="651" t="s">
        <v>556</v>
      </c>
      <c r="C442" s="646">
        <v>3</v>
      </c>
      <c r="D442" s="646" t="s">
        <v>141</v>
      </c>
      <c r="E442" s="649">
        <f ca="1">Elec_Est!E1115</f>
        <v>48.45</v>
      </c>
      <c r="F442" s="1125">
        <f ca="1">IFERROR($C442*E442,E442)</f>
        <v>145.35000000000002</v>
      </c>
    </row>
    <row r="443" spans="1:6" s="631" customFormat="1" ht="27.6">
      <c r="A443" s="643"/>
      <c r="B443" s="687" t="s">
        <v>498</v>
      </c>
      <c r="C443" s="645"/>
      <c r="D443" s="646"/>
      <c r="E443" s="647"/>
      <c r="F443" s="1124"/>
    </row>
    <row r="444" spans="1:6" s="631" customFormat="1">
      <c r="A444" s="643"/>
      <c r="B444" s="688" t="s">
        <v>557</v>
      </c>
      <c r="C444" s="645"/>
      <c r="D444" s="646"/>
      <c r="E444" s="647"/>
      <c r="F444" s="1124"/>
    </row>
    <row r="445" spans="1:6" s="631" customFormat="1" ht="27.6">
      <c r="A445" s="643">
        <f t="shared" ref="A445:A454" ca="1" si="101">IFERROR(IF(OFFSET(A445,-1,0)&gt;0,OFFSET(A445,-1,0)+0.001,ERROR.TYPE(0)),IFERROR(IF(OFFSET(A445,-2,0)&gt;0,OFFSET(A445,-2,0)+0.001,ERROR.TYPE(0)),IFERROR(IF(OFFSET(A445,-3,0)&gt;0,OFFSET(A445,-3,0)+0.001,ERROR.TYPE(0)),IFERROR(IF(OFFSET(A445,-4,0)&gt;0,OFFSET(A445,-4,0)+0.001,ERROR.TYPE(0)),IFERROR(IF(OFFSET(A445,-5,0)&gt;0,OFFSET(A445,-5,0)+0.001,ERROR.TYPE(0)),IFERROR(IF(OFFSET(A445,-6,0)&gt;0,OFFSET(A445,-6,0)+0.001,ERROR.TYPE(0)),IFERROR(IF(OFFSET(A445,-7,0)&gt;0,OFFSET(A445,-7,0)+0.001,ERROR.TYPE(0)),IFERROR(IF(OFFSET(A445,-8,0)&gt;0,OFFSET(A445,-8,0)+0.001,ERROR.TYPE(0)),IFERROR(IF(OFFSET(A445,-9,0)&gt;0,OFFSET(A445,-9,0)+0.001,ERROR.TYPE(0)),IFERROR(IF(OFFSET(A445,-10,0)&gt;0,OFFSET(A445,-10,0)+0.001,ERROR.TYPE(0)),ERROR.TYPE(0)))))))))))</f>
        <v>4.0860000000000287</v>
      </c>
      <c r="B445" s="651" t="s">
        <v>558</v>
      </c>
      <c r="C445" s="646">
        <v>40</v>
      </c>
      <c r="D445" s="646" t="s">
        <v>320</v>
      </c>
      <c r="E445" s="649">
        <f ca="1">Elec_Est!E1130</f>
        <v>15.95</v>
      </c>
      <c r="F445" s="1125">
        <f t="shared" ref="F445:F454" ca="1" si="102">IFERROR($C445*E445,E445)</f>
        <v>638</v>
      </c>
    </row>
    <row r="446" spans="1:6" s="631" customFormat="1" ht="27.6">
      <c r="A446" s="643">
        <f t="shared" ca="1" si="101"/>
        <v>4.0870000000000291</v>
      </c>
      <c r="B446" s="651" t="s">
        <v>559</v>
      </c>
      <c r="C446" s="646">
        <v>55</v>
      </c>
      <c r="D446" s="646" t="s">
        <v>320</v>
      </c>
      <c r="E446" s="649">
        <f ca="1">Elec_Est!E1137</f>
        <v>15.95</v>
      </c>
      <c r="F446" s="1125">
        <f t="shared" ca="1" si="102"/>
        <v>877.25</v>
      </c>
    </row>
    <row r="447" spans="1:6" s="631" customFormat="1" ht="27.6">
      <c r="A447" s="643">
        <f t="shared" ca="1" si="101"/>
        <v>4.0880000000000294</v>
      </c>
      <c r="B447" s="651" t="s">
        <v>560</v>
      </c>
      <c r="C447" s="646">
        <v>50</v>
      </c>
      <c r="D447" s="646" t="s">
        <v>320</v>
      </c>
      <c r="E447" s="649">
        <f ca="1">Elec_Est!E1144</f>
        <v>15.95</v>
      </c>
      <c r="F447" s="1125">
        <f t="shared" ca="1" si="102"/>
        <v>797.5</v>
      </c>
    </row>
    <row r="448" spans="1:6" s="631" customFormat="1" ht="27.6">
      <c r="A448" s="643">
        <f t="shared" ca="1" si="101"/>
        <v>4.0890000000000297</v>
      </c>
      <c r="B448" s="651" t="s">
        <v>561</v>
      </c>
      <c r="C448" s="646">
        <v>35</v>
      </c>
      <c r="D448" s="646" t="s">
        <v>320</v>
      </c>
      <c r="E448" s="649">
        <f ca="1">Elec_Est!E1151</f>
        <v>15.95</v>
      </c>
      <c r="F448" s="1125">
        <f t="shared" ca="1" si="102"/>
        <v>558.25</v>
      </c>
    </row>
    <row r="449" spans="1:6" s="631" customFormat="1" ht="27.6">
      <c r="A449" s="643">
        <f t="shared" ca="1" si="101"/>
        <v>4.0900000000000301</v>
      </c>
      <c r="B449" s="651" t="s">
        <v>562</v>
      </c>
      <c r="C449" s="646">
        <v>25</v>
      </c>
      <c r="D449" s="646" t="s">
        <v>320</v>
      </c>
      <c r="E449" s="649">
        <f ca="1">Elec_Est!E1158</f>
        <v>15.95</v>
      </c>
      <c r="F449" s="1125">
        <f t="shared" ca="1" si="102"/>
        <v>398.75</v>
      </c>
    </row>
    <row r="450" spans="1:6" s="631" customFormat="1" ht="27.6">
      <c r="A450" s="643">
        <f t="shared" ca="1" si="101"/>
        <v>4.0910000000000304</v>
      </c>
      <c r="B450" s="651" t="s">
        <v>563</v>
      </c>
      <c r="C450" s="646">
        <v>45</v>
      </c>
      <c r="D450" s="646" t="s">
        <v>320</v>
      </c>
      <c r="E450" s="649">
        <f ca="1">Elec_Est!E1165</f>
        <v>15.95</v>
      </c>
      <c r="F450" s="1125">
        <f t="shared" ca="1" si="102"/>
        <v>717.75</v>
      </c>
    </row>
    <row r="451" spans="1:6" s="631" customFormat="1" ht="27.6">
      <c r="A451" s="643">
        <f t="shared" ca="1" si="101"/>
        <v>4.0920000000000307</v>
      </c>
      <c r="B451" s="651" t="s">
        <v>564</v>
      </c>
      <c r="C451" s="646">
        <v>65</v>
      </c>
      <c r="D451" s="646" t="s">
        <v>320</v>
      </c>
      <c r="E451" s="649">
        <f ca="1">Elec_Est!E1172</f>
        <v>15.95</v>
      </c>
      <c r="F451" s="1125">
        <f t="shared" ca="1" si="102"/>
        <v>1036.75</v>
      </c>
    </row>
    <row r="452" spans="1:6" s="631" customFormat="1" ht="27.6">
      <c r="A452" s="643">
        <f t="shared" ca="1" si="101"/>
        <v>4.0930000000000311</v>
      </c>
      <c r="B452" s="651" t="s">
        <v>565</v>
      </c>
      <c r="C452" s="646">
        <v>40</v>
      </c>
      <c r="D452" s="646" t="s">
        <v>320</v>
      </c>
      <c r="E452" s="649">
        <f ca="1">Elec_Est!E1179</f>
        <v>35.24</v>
      </c>
      <c r="F452" s="1125">
        <f t="shared" ca="1" si="102"/>
        <v>1409.6000000000001</v>
      </c>
    </row>
    <row r="453" spans="1:6" s="631" customFormat="1" ht="27.6">
      <c r="A453" s="643">
        <f t="shared" ca="1" si="101"/>
        <v>4.0940000000000314</v>
      </c>
      <c r="B453" s="651" t="s">
        <v>566</v>
      </c>
      <c r="C453" s="646">
        <v>40</v>
      </c>
      <c r="D453" s="646" t="s">
        <v>320</v>
      </c>
      <c r="E453" s="649">
        <f ca="1">Elec_Est!E1186</f>
        <v>35.24</v>
      </c>
      <c r="F453" s="1125">
        <f t="shared" ca="1" si="102"/>
        <v>1409.6000000000001</v>
      </c>
    </row>
    <row r="454" spans="1:6" s="631" customFormat="1">
      <c r="A454" s="643">
        <f t="shared" ca="1" si="101"/>
        <v>4.0950000000000317</v>
      </c>
      <c r="B454" s="651" t="s">
        <v>567</v>
      </c>
      <c r="C454" s="646">
        <v>40</v>
      </c>
      <c r="D454" s="646" t="s">
        <v>320</v>
      </c>
      <c r="E454" s="649">
        <f ca="1">Elec_Est!E1193</f>
        <v>5.63</v>
      </c>
      <c r="F454" s="1125">
        <f t="shared" ca="1" si="102"/>
        <v>225.2</v>
      </c>
    </row>
    <row r="455" spans="1:6" s="631" customFormat="1">
      <c r="A455" s="643"/>
      <c r="B455" s="687" t="s">
        <v>463</v>
      </c>
      <c r="C455" s="646"/>
      <c r="D455" s="646"/>
      <c r="E455" s="649"/>
      <c r="F455" s="1125"/>
    </row>
    <row r="456" spans="1:6" s="631" customFormat="1">
      <c r="A456" s="643">
        <f t="shared" ref="A456:A458" ca="1" si="103">IFERROR(IF(OFFSET(A456,-1,0)&gt;0,OFFSET(A456,-1,0)+0.001,ERROR.TYPE(0)),IFERROR(IF(OFFSET(A456,-2,0)&gt;0,OFFSET(A456,-2,0)+0.001,ERROR.TYPE(0)),IFERROR(IF(OFFSET(A456,-3,0)&gt;0,OFFSET(A456,-3,0)+0.001,ERROR.TYPE(0)),IFERROR(IF(OFFSET(A456,-4,0)&gt;0,OFFSET(A456,-4,0)+0.001,ERROR.TYPE(0)),IFERROR(IF(OFFSET(A456,-5,0)&gt;0,OFFSET(A456,-5,0)+0.001,ERROR.TYPE(0)),IFERROR(IF(OFFSET(A456,-6,0)&gt;0,OFFSET(A456,-6,0)+0.001,ERROR.TYPE(0)),IFERROR(IF(OFFSET(A456,-7,0)&gt;0,OFFSET(A456,-7,0)+0.001,ERROR.TYPE(0)),IFERROR(IF(OFFSET(A456,-8,0)&gt;0,OFFSET(A456,-8,0)+0.001,ERROR.TYPE(0)),IFERROR(IF(OFFSET(A456,-9,0)&gt;0,OFFSET(A456,-9,0)+0.001,ERROR.TYPE(0)),IFERROR(IF(OFFSET(A456,-10,0)&gt;0,OFFSET(A456,-10,0)+0.001,ERROR.TYPE(0)),ERROR.TYPE(0)))))))))))</f>
        <v>4.0960000000000321</v>
      </c>
      <c r="B456" s="651" t="s">
        <v>568</v>
      </c>
      <c r="C456" s="646">
        <v>7</v>
      </c>
      <c r="D456" s="646" t="s">
        <v>141</v>
      </c>
      <c r="E456" s="649">
        <f>Elec_Est!E1204</f>
        <v>327.48</v>
      </c>
      <c r="F456" s="1125">
        <f>IFERROR($C456*E456,E456)</f>
        <v>2292.36</v>
      </c>
    </row>
    <row r="457" spans="1:6" s="631" customFormat="1">
      <c r="A457" s="643">
        <f t="shared" ca="1" si="103"/>
        <v>4.0970000000000324</v>
      </c>
      <c r="B457" s="651" t="s">
        <v>548</v>
      </c>
      <c r="C457" s="646">
        <v>2</v>
      </c>
      <c r="D457" s="646" t="s">
        <v>141</v>
      </c>
      <c r="E457" s="649">
        <f>Elec_Est!E1212</f>
        <v>496.61</v>
      </c>
      <c r="F457" s="1125">
        <f>IFERROR($C457*E457,E457)</f>
        <v>993.22</v>
      </c>
    </row>
    <row r="458" spans="1:6" s="631" customFormat="1">
      <c r="A458" s="643">
        <f t="shared" ca="1" si="103"/>
        <v>4.0980000000000327</v>
      </c>
      <c r="B458" s="651" t="s">
        <v>569</v>
      </c>
      <c r="C458" s="646">
        <v>1</v>
      </c>
      <c r="D458" s="646" t="s">
        <v>141</v>
      </c>
      <c r="E458" s="649">
        <f ca="1">Elec_Est!E1220</f>
        <v>48.45</v>
      </c>
      <c r="F458" s="1125">
        <f ca="1">IFERROR($C458*E458,E458)</f>
        <v>48.45</v>
      </c>
    </row>
    <row r="459" spans="1:6" s="631" customFormat="1" ht="27.6">
      <c r="A459" s="643"/>
      <c r="B459" s="687" t="s">
        <v>498</v>
      </c>
      <c r="C459" s="645"/>
      <c r="D459" s="646"/>
      <c r="E459" s="647"/>
      <c r="F459" s="1124"/>
    </row>
    <row r="460" spans="1:6" s="631" customFormat="1">
      <c r="A460" s="643"/>
      <c r="B460" s="688" t="s">
        <v>570</v>
      </c>
      <c r="C460" s="645"/>
      <c r="D460" s="646"/>
      <c r="E460" s="647"/>
      <c r="F460" s="1124"/>
    </row>
    <row r="461" spans="1:6" s="631" customFormat="1">
      <c r="A461" s="643">
        <f t="shared" ref="A461:A469" ca="1" si="104">IFERROR(IF(OFFSET(A461,-1,0)&gt;0,OFFSET(A461,-1,0)+0.001,ERROR.TYPE(0)),IFERROR(IF(OFFSET(A461,-2,0)&gt;0,OFFSET(A461,-2,0)+0.001,ERROR.TYPE(0)),IFERROR(IF(OFFSET(A461,-3,0)&gt;0,OFFSET(A461,-3,0)+0.001,ERROR.TYPE(0)),IFERROR(IF(OFFSET(A461,-4,0)&gt;0,OFFSET(A461,-4,0)+0.001,ERROR.TYPE(0)),IFERROR(IF(OFFSET(A461,-5,0)&gt;0,OFFSET(A461,-5,0)+0.001,ERROR.TYPE(0)),IFERROR(IF(OFFSET(A461,-6,0)&gt;0,OFFSET(A461,-6,0)+0.001,ERROR.TYPE(0)),IFERROR(IF(OFFSET(A461,-7,0)&gt;0,OFFSET(A461,-7,0)+0.001,ERROR.TYPE(0)),IFERROR(IF(OFFSET(A461,-8,0)&gt;0,OFFSET(A461,-8,0)+0.001,ERROR.TYPE(0)),IFERROR(IF(OFFSET(A461,-9,0)&gt;0,OFFSET(A461,-9,0)+0.001,ERROR.TYPE(0)),IFERROR(IF(OFFSET(A461,-10,0)&gt;0,OFFSET(A461,-10,0)+0.001,ERROR.TYPE(0)),ERROR.TYPE(0)))))))))))</f>
        <v>4.0990000000000331</v>
      </c>
      <c r="B461" s="651" t="s">
        <v>571</v>
      </c>
      <c r="C461" s="646">
        <v>40</v>
      </c>
      <c r="D461" s="646" t="s">
        <v>320</v>
      </c>
      <c r="E461" s="649">
        <f ca="1">Elec_Est!E1235</f>
        <v>9.9499999999999993</v>
      </c>
      <c r="F461" s="1125">
        <f ca="1">IFERROR($C461*E461,E461)</f>
        <v>398</v>
      </c>
    </row>
    <row r="462" spans="1:6" s="631" customFormat="1">
      <c r="A462" s="1240">
        <f t="shared" ca="1" si="104"/>
        <v>4.1000000000000334</v>
      </c>
      <c r="B462" s="651" t="s">
        <v>572</v>
      </c>
      <c r="C462" s="1242">
        <v>0</v>
      </c>
      <c r="D462" s="646" t="s">
        <v>320</v>
      </c>
      <c r="E462" s="649">
        <f ca="1">Elec_Est!E1242</f>
        <v>0</v>
      </c>
      <c r="F462" s="1241" t="s">
        <v>3797</v>
      </c>
    </row>
    <row r="463" spans="1:6" s="631" customFormat="1">
      <c r="A463" s="643">
        <f t="shared" ca="1" si="104"/>
        <v>4.1010000000000337</v>
      </c>
      <c r="B463" s="651" t="s">
        <v>573</v>
      </c>
      <c r="C463" s="646">
        <v>50</v>
      </c>
      <c r="D463" s="646" t="s">
        <v>320</v>
      </c>
      <c r="E463" s="649">
        <f ca="1">Elec_Est!E1249</f>
        <v>9.9499999999999993</v>
      </c>
      <c r="F463" s="1125">
        <f t="shared" ref="F463:F468" ca="1" si="105">IFERROR($C463*E463,E463)</f>
        <v>497.49999999999994</v>
      </c>
    </row>
    <row r="464" spans="1:6" s="631" customFormat="1">
      <c r="A464" s="643">
        <f t="shared" ca="1" si="104"/>
        <v>4.1020000000000341</v>
      </c>
      <c r="B464" s="651" t="s">
        <v>574</v>
      </c>
      <c r="C464" s="646">
        <v>55</v>
      </c>
      <c r="D464" s="646" t="s">
        <v>320</v>
      </c>
      <c r="E464" s="649">
        <f ca="1">Elec_Est!E1256</f>
        <v>9.9499999999999993</v>
      </c>
      <c r="F464" s="1125">
        <f t="shared" ca="1" si="105"/>
        <v>547.25</v>
      </c>
    </row>
    <row r="465" spans="1:6" s="631" customFormat="1">
      <c r="A465" s="1240">
        <f t="shared" ca="1" si="104"/>
        <v>4.1030000000000344</v>
      </c>
      <c r="B465" s="651" t="s">
        <v>575</v>
      </c>
      <c r="C465" s="1242">
        <v>0</v>
      </c>
      <c r="D465" s="646" t="s">
        <v>320</v>
      </c>
      <c r="E465" s="649">
        <f ca="1">Elec_Est!E1263</f>
        <v>0</v>
      </c>
      <c r="F465" s="1241" t="s">
        <v>3797</v>
      </c>
    </row>
    <row r="466" spans="1:6" s="631" customFormat="1">
      <c r="A466" s="643">
        <f t="shared" ca="1" si="104"/>
        <v>4.1040000000000347</v>
      </c>
      <c r="B466" s="651" t="s">
        <v>576</v>
      </c>
      <c r="C466" s="646">
        <v>20</v>
      </c>
      <c r="D466" s="646" t="s">
        <v>320</v>
      </c>
      <c r="E466" s="649">
        <f ca="1">Elec_Est!E1270</f>
        <v>9.9499999999999993</v>
      </c>
      <c r="F466" s="1125">
        <f t="shared" ca="1" si="105"/>
        <v>199</v>
      </c>
    </row>
    <row r="467" spans="1:6" s="631" customFormat="1">
      <c r="A467" s="1240">
        <f t="shared" ca="1" si="104"/>
        <v>4.1050000000000351</v>
      </c>
      <c r="B467" s="651" t="s">
        <v>577</v>
      </c>
      <c r="C467" s="1242">
        <v>0</v>
      </c>
      <c r="D467" s="646" t="s">
        <v>320</v>
      </c>
      <c r="E467" s="649">
        <f ca="1">Elec_Est!E1277</f>
        <v>0</v>
      </c>
      <c r="F467" s="1241" t="s">
        <v>3797</v>
      </c>
    </row>
    <row r="468" spans="1:6" s="631" customFormat="1">
      <c r="A468" s="643">
        <f t="shared" ca="1" si="104"/>
        <v>4.1060000000000354</v>
      </c>
      <c r="B468" s="651" t="s">
        <v>578</v>
      </c>
      <c r="C468" s="646">
        <v>50</v>
      </c>
      <c r="D468" s="646" t="s">
        <v>320</v>
      </c>
      <c r="E468" s="649">
        <f ca="1">Elec_Est!E1284</f>
        <v>9.9499999999999993</v>
      </c>
      <c r="F468" s="1125">
        <f t="shared" ca="1" si="105"/>
        <v>497.49999999999994</v>
      </c>
    </row>
    <row r="469" spans="1:6" s="631" customFormat="1">
      <c r="A469" s="1240">
        <f t="shared" ca="1" si="104"/>
        <v>4.1070000000000357</v>
      </c>
      <c r="B469" s="651" t="s">
        <v>579</v>
      </c>
      <c r="C469" s="1242">
        <v>0</v>
      </c>
      <c r="D469" s="646" t="s">
        <v>320</v>
      </c>
      <c r="E469" s="649">
        <f ca="1">Elec_Est!E1291</f>
        <v>0</v>
      </c>
      <c r="F469" s="1241" t="s">
        <v>3797</v>
      </c>
    </row>
    <row r="470" spans="1:6" s="631" customFormat="1">
      <c r="A470" s="643"/>
      <c r="B470" s="687" t="s">
        <v>463</v>
      </c>
      <c r="C470" s="646"/>
      <c r="D470" s="646"/>
      <c r="E470" s="649"/>
      <c r="F470" s="1125"/>
    </row>
    <row r="471" spans="1:6" s="631" customFormat="1">
      <c r="A471" s="1240">
        <f t="shared" ref="A471" ca="1" si="106">IFERROR(IF(OFFSET(A471,-1,0)&gt;0,OFFSET(A471,-1,0)+0.001,ERROR.TYPE(0)),IFERROR(IF(OFFSET(A471,-2,0)&gt;0,OFFSET(A471,-2,0)+0.001,ERROR.TYPE(0)),IFERROR(IF(OFFSET(A471,-3,0)&gt;0,OFFSET(A471,-3,0)+0.001,ERROR.TYPE(0)),IFERROR(IF(OFFSET(A471,-4,0)&gt;0,OFFSET(A471,-4,0)+0.001,ERROR.TYPE(0)),IFERROR(IF(OFFSET(A471,-5,0)&gt;0,OFFSET(A471,-5,0)+0.001,ERROR.TYPE(0)),IFERROR(IF(OFFSET(A471,-6,0)&gt;0,OFFSET(A471,-6,0)+0.001,ERROR.TYPE(0)),IFERROR(IF(OFFSET(A471,-7,0)&gt;0,OFFSET(A471,-7,0)+0.001,ERROR.TYPE(0)),IFERROR(IF(OFFSET(A471,-8,0)&gt;0,OFFSET(A471,-8,0)+0.001,ERROR.TYPE(0)),IFERROR(IF(OFFSET(A471,-9,0)&gt;0,OFFSET(A471,-9,0)+0.001,ERROR.TYPE(0)),IFERROR(IF(OFFSET(A471,-10,0)&gt;0,OFFSET(A471,-10,0)+0.001,ERROR.TYPE(0)),ERROR.TYPE(0)))))))))))</f>
        <v>4.1080000000000361</v>
      </c>
      <c r="B471" s="651" t="s">
        <v>541</v>
      </c>
      <c r="C471" s="1242">
        <v>5</v>
      </c>
      <c r="D471" s="646" t="s">
        <v>141</v>
      </c>
      <c r="E471" s="649">
        <f ca="1">Elec_Est!E1302</f>
        <v>104.97</v>
      </c>
      <c r="F471" s="1125">
        <f ca="1">IFERROR($C471*E471,E471)</f>
        <v>524.85</v>
      </c>
    </row>
    <row r="472" spans="1:6" s="631" customFormat="1" ht="27.6">
      <c r="A472" s="643"/>
      <c r="B472" s="687" t="s">
        <v>498</v>
      </c>
      <c r="C472" s="645"/>
      <c r="D472" s="646"/>
      <c r="E472" s="647"/>
      <c r="F472" s="1124"/>
    </row>
    <row r="473" spans="1:6" s="631" customFormat="1">
      <c r="A473" s="643"/>
      <c r="B473" s="688" t="s">
        <v>580</v>
      </c>
      <c r="C473" s="645"/>
      <c r="D473" s="646"/>
      <c r="E473" s="647"/>
      <c r="F473" s="1124"/>
    </row>
    <row r="474" spans="1:6" s="631" customFormat="1">
      <c r="A474" s="643">
        <f t="shared" ref="A474:A478" ca="1" si="107">IFERROR(IF(OFFSET(A474,-1,0)&gt;0,OFFSET(A474,-1,0)+0.001,ERROR.TYPE(0)),IFERROR(IF(OFFSET(A474,-2,0)&gt;0,OFFSET(A474,-2,0)+0.001,ERROR.TYPE(0)),IFERROR(IF(OFFSET(A474,-3,0)&gt;0,OFFSET(A474,-3,0)+0.001,ERROR.TYPE(0)),IFERROR(IF(OFFSET(A474,-4,0)&gt;0,OFFSET(A474,-4,0)+0.001,ERROR.TYPE(0)),IFERROR(IF(OFFSET(A474,-5,0)&gt;0,OFFSET(A474,-5,0)+0.001,ERROR.TYPE(0)),IFERROR(IF(OFFSET(A474,-6,0)&gt;0,OFFSET(A474,-6,0)+0.001,ERROR.TYPE(0)),IFERROR(IF(OFFSET(A474,-7,0)&gt;0,OFFSET(A474,-7,0)+0.001,ERROR.TYPE(0)),IFERROR(IF(OFFSET(A474,-8,0)&gt;0,OFFSET(A474,-8,0)+0.001,ERROR.TYPE(0)),IFERROR(IF(OFFSET(A474,-9,0)&gt;0,OFFSET(A474,-9,0)+0.001,ERROR.TYPE(0)),IFERROR(IF(OFFSET(A474,-10,0)&gt;0,OFFSET(A474,-10,0)+0.001,ERROR.TYPE(0)),ERROR.TYPE(0)))))))))))</f>
        <v>4.1090000000000364</v>
      </c>
      <c r="B474" s="651" t="s">
        <v>581</v>
      </c>
      <c r="C474" s="646">
        <v>35</v>
      </c>
      <c r="D474" s="646" t="s">
        <v>320</v>
      </c>
      <c r="E474" s="649">
        <f ca="1">Elec_Est!E1317</f>
        <v>5.93</v>
      </c>
      <c r="F474" s="1125">
        <f ca="1">IFERROR($C474*E474,E474)</f>
        <v>207.54999999999998</v>
      </c>
    </row>
    <row r="475" spans="1:6" s="631" customFormat="1">
      <c r="A475" s="643">
        <f t="shared" ca="1" si="107"/>
        <v>4.1100000000000367</v>
      </c>
      <c r="B475" s="651" t="s">
        <v>582</v>
      </c>
      <c r="C475" s="646">
        <v>35</v>
      </c>
      <c r="D475" s="646" t="s">
        <v>320</v>
      </c>
      <c r="E475" s="649">
        <f ca="1">Elec_Est!E1324</f>
        <v>5.93</v>
      </c>
      <c r="F475" s="1125">
        <f ca="1">IFERROR($C475*E475,E475)</f>
        <v>207.54999999999998</v>
      </c>
    </row>
    <row r="476" spans="1:6" s="631" customFormat="1">
      <c r="A476" s="643">
        <f t="shared" ca="1" si="107"/>
        <v>4.1110000000000371</v>
      </c>
      <c r="B476" s="651" t="s">
        <v>583</v>
      </c>
      <c r="C476" s="646">
        <v>35</v>
      </c>
      <c r="D476" s="646" t="s">
        <v>320</v>
      </c>
      <c r="E476" s="649">
        <f ca="1">Elec_Est!E1331</f>
        <v>5.93</v>
      </c>
      <c r="F476" s="1125">
        <f ca="1">IFERROR($C476*E476,E476)</f>
        <v>207.54999999999998</v>
      </c>
    </row>
    <row r="477" spans="1:6" s="631" customFormat="1">
      <c r="A477" s="643">
        <f t="shared" ca="1" si="107"/>
        <v>4.1120000000000374</v>
      </c>
      <c r="B477" s="651" t="s">
        <v>584</v>
      </c>
      <c r="C477" s="646">
        <v>40</v>
      </c>
      <c r="D477" s="646" t="s">
        <v>320</v>
      </c>
      <c r="E477" s="649">
        <f ca="1">Elec_Est!E1338</f>
        <v>5.93</v>
      </c>
      <c r="F477" s="1125">
        <f ca="1">IFERROR($C477*E477,E477)</f>
        <v>237.2</v>
      </c>
    </row>
    <row r="478" spans="1:6" s="631" customFormat="1">
      <c r="A478" s="643">
        <f t="shared" ca="1" si="107"/>
        <v>4.1130000000000377</v>
      </c>
      <c r="B478" s="651" t="s">
        <v>585</v>
      </c>
      <c r="C478" s="646">
        <v>45</v>
      </c>
      <c r="D478" s="646" t="s">
        <v>320</v>
      </c>
      <c r="E478" s="649">
        <f ca="1">Elec_Est!E1345</f>
        <v>5.93</v>
      </c>
      <c r="F478" s="1125">
        <f ca="1">IFERROR($C478*E478,E478)</f>
        <v>266.84999999999997</v>
      </c>
    </row>
    <row r="479" spans="1:6" s="631" customFormat="1">
      <c r="A479" s="643"/>
      <c r="B479" s="687" t="s">
        <v>463</v>
      </c>
      <c r="C479" s="646"/>
      <c r="D479" s="646"/>
      <c r="E479" s="649"/>
      <c r="F479" s="1125"/>
    </row>
    <row r="480" spans="1:6" s="631" customFormat="1">
      <c r="A480" s="643">
        <f t="shared" ref="A480:A481" ca="1" si="108">IFERROR(IF(OFFSET(A480,-1,0)&gt;0,OFFSET(A480,-1,0)+0.001,ERROR.TYPE(0)),IFERROR(IF(OFFSET(A480,-2,0)&gt;0,OFFSET(A480,-2,0)+0.001,ERROR.TYPE(0)),IFERROR(IF(OFFSET(A480,-3,0)&gt;0,OFFSET(A480,-3,0)+0.001,ERROR.TYPE(0)),IFERROR(IF(OFFSET(A480,-4,0)&gt;0,OFFSET(A480,-4,0)+0.001,ERROR.TYPE(0)),IFERROR(IF(OFFSET(A480,-5,0)&gt;0,OFFSET(A480,-5,0)+0.001,ERROR.TYPE(0)),IFERROR(IF(OFFSET(A480,-6,0)&gt;0,OFFSET(A480,-6,0)+0.001,ERROR.TYPE(0)),IFERROR(IF(OFFSET(A480,-7,0)&gt;0,OFFSET(A480,-7,0)+0.001,ERROR.TYPE(0)),IFERROR(IF(OFFSET(A480,-8,0)&gt;0,OFFSET(A480,-8,0)+0.001,ERROR.TYPE(0)),IFERROR(IF(OFFSET(A480,-9,0)&gt;0,OFFSET(A480,-9,0)+0.001,ERROR.TYPE(0)),IFERROR(IF(OFFSET(A480,-10,0)&gt;0,OFFSET(A480,-10,0)+0.001,ERROR.TYPE(0)),ERROR.TYPE(0)))))))))))</f>
        <v>4.1140000000000381</v>
      </c>
      <c r="B480" s="651" t="s">
        <v>568</v>
      </c>
      <c r="C480" s="646">
        <v>1</v>
      </c>
      <c r="D480" s="646" t="s">
        <v>141</v>
      </c>
      <c r="E480" s="649">
        <f ca="1">Elec_Est!E1356</f>
        <v>48.53</v>
      </c>
      <c r="F480" s="1125">
        <f ca="1">IFERROR($C480*E480,E480)</f>
        <v>48.53</v>
      </c>
    </row>
    <row r="481" spans="1:6" s="631" customFormat="1">
      <c r="A481" s="643">
        <f t="shared" ca="1" si="108"/>
        <v>4.1150000000000384</v>
      </c>
      <c r="B481" s="651" t="s">
        <v>586</v>
      </c>
      <c r="C481" s="646">
        <v>4</v>
      </c>
      <c r="D481" s="646" t="s">
        <v>141</v>
      </c>
      <c r="E481" s="649">
        <f ca="1">Elec_Est!E1363</f>
        <v>54.11</v>
      </c>
      <c r="F481" s="1125">
        <f ca="1">IFERROR($C481*E481,E481)</f>
        <v>216.44</v>
      </c>
    </row>
    <row r="482" spans="1:6" s="631" customFormat="1" ht="27.6">
      <c r="A482" s="643"/>
      <c r="B482" s="687" t="s">
        <v>498</v>
      </c>
      <c r="C482" s="645"/>
      <c r="D482" s="646"/>
      <c r="E482" s="647"/>
      <c r="F482" s="1124"/>
    </row>
    <row r="483" spans="1:6" s="631" customFormat="1">
      <c r="A483" s="643"/>
      <c r="B483" s="688" t="s">
        <v>587</v>
      </c>
      <c r="C483" s="645"/>
      <c r="D483" s="646"/>
      <c r="E483" s="647"/>
      <c r="F483" s="1124"/>
    </row>
    <row r="484" spans="1:6" s="631" customFormat="1">
      <c r="A484" s="643">
        <f t="shared" ref="A484:A490" ca="1" si="109">IFERROR(IF(OFFSET(A484,-1,0)&gt;0,OFFSET(A484,-1,0)+0.001,ERROR.TYPE(0)),IFERROR(IF(OFFSET(A484,-2,0)&gt;0,OFFSET(A484,-2,0)+0.001,ERROR.TYPE(0)),IFERROR(IF(OFFSET(A484,-3,0)&gt;0,OFFSET(A484,-3,0)+0.001,ERROR.TYPE(0)),IFERROR(IF(OFFSET(A484,-4,0)&gt;0,OFFSET(A484,-4,0)+0.001,ERROR.TYPE(0)),IFERROR(IF(OFFSET(A484,-5,0)&gt;0,OFFSET(A484,-5,0)+0.001,ERROR.TYPE(0)),IFERROR(IF(OFFSET(A484,-6,0)&gt;0,OFFSET(A484,-6,0)+0.001,ERROR.TYPE(0)),IFERROR(IF(OFFSET(A484,-7,0)&gt;0,OFFSET(A484,-7,0)+0.001,ERROR.TYPE(0)),IFERROR(IF(OFFSET(A484,-8,0)&gt;0,OFFSET(A484,-8,0)+0.001,ERROR.TYPE(0)),IFERROR(IF(OFFSET(A484,-9,0)&gt;0,OFFSET(A484,-9,0)+0.001,ERROR.TYPE(0)),IFERROR(IF(OFFSET(A484,-10,0)&gt;0,OFFSET(A484,-10,0)+0.001,ERROR.TYPE(0)),ERROR.TYPE(0)))))))))))</f>
        <v>4.1160000000000387</v>
      </c>
      <c r="B484" s="651" t="s">
        <v>588</v>
      </c>
      <c r="C484" s="646">
        <v>75</v>
      </c>
      <c r="D484" s="646" t="s">
        <v>320</v>
      </c>
      <c r="E484" s="649">
        <f ca="1">Elec_Est!E1378</f>
        <v>9.9499999999999993</v>
      </c>
      <c r="F484" s="1125">
        <f ca="1">IFERROR($C484*E484,E484)</f>
        <v>746.25</v>
      </c>
    </row>
    <row r="485" spans="1:6" s="631" customFormat="1">
      <c r="A485" s="643">
        <f t="shared" ca="1" si="109"/>
        <v>4.1170000000000391</v>
      </c>
      <c r="B485" s="651" t="s">
        <v>589</v>
      </c>
      <c r="C485" s="646">
        <v>35</v>
      </c>
      <c r="D485" s="646" t="s">
        <v>320</v>
      </c>
      <c r="E485" s="649">
        <f ca="1">Elec_Est!E1385</f>
        <v>8.18</v>
      </c>
      <c r="F485" s="1125">
        <f t="shared" ref="F485:F490" ca="1" si="110">IFERROR($C485*E485,E485)</f>
        <v>286.3</v>
      </c>
    </row>
    <row r="486" spans="1:6" s="631" customFormat="1">
      <c r="A486" s="643">
        <f t="shared" ca="1" si="109"/>
        <v>4.1180000000000394</v>
      </c>
      <c r="B486" s="651" t="s">
        <v>590</v>
      </c>
      <c r="C486" s="646">
        <v>35</v>
      </c>
      <c r="D486" s="646" t="s">
        <v>320</v>
      </c>
      <c r="E486" s="649">
        <f ca="1">Elec_Est!E1392</f>
        <v>8.18</v>
      </c>
      <c r="F486" s="1125">
        <f t="shared" ca="1" si="110"/>
        <v>286.3</v>
      </c>
    </row>
    <row r="487" spans="1:6" s="631" customFormat="1">
      <c r="A487" s="643">
        <f t="shared" ca="1" si="109"/>
        <v>4.1190000000000397</v>
      </c>
      <c r="B487" s="651" t="s">
        <v>591</v>
      </c>
      <c r="C487" s="646">
        <v>80</v>
      </c>
      <c r="D487" s="646" t="s">
        <v>320</v>
      </c>
      <c r="E487" s="649">
        <f ca="1">Elec_Est!E1399</f>
        <v>9.9499999999999993</v>
      </c>
      <c r="F487" s="1125">
        <f t="shared" ca="1" si="110"/>
        <v>796</v>
      </c>
    </row>
    <row r="488" spans="1:6" s="631" customFormat="1">
      <c r="A488" s="643">
        <f t="shared" ca="1" si="109"/>
        <v>4.1200000000000401</v>
      </c>
      <c r="B488" s="651" t="s">
        <v>592</v>
      </c>
      <c r="C488" s="646">
        <v>35</v>
      </c>
      <c r="D488" s="646" t="s">
        <v>320</v>
      </c>
      <c r="E488" s="649">
        <f ca="1">Elec_Est!E1406</f>
        <v>5.63</v>
      </c>
      <c r="F488" s="1125">
        <f t="shared" ca="1" si="110"/>
        <v>197.04999999999998</v>
      </c>
    </row>
    <row r="489" spans="1:6" s="631" customFormat="1">
      <c r="A489" s="643">
        <f t="shared" ca="1" si="109"/>
        <v>4.1210000000000404</v>
      </c>
      <c r="B489" s="651" t="s">
        <v>593</v>
      </c>
      <c r="C489" s="646">
        <v>35</v>
      </c>
      <c r="D489" s="646" t="s">
        <v>320</v>
      </c>
      <c r="E489" s="649">
        <f ca="1">Elec_Est!E1413</f>
        <v>5.63</v>
      </c>
      <c r="F489" s="1125">
        <f t="shared" ca="1" si="110"/>
        <v>197.04999999999998</v>
      </c>
    </row>
    <row r="490" spans="1:6" s="631" customFormat="1">
      <c r="A490" s="643">
        <f t="shared" ca="1" si="109"/>
        <v>4.1220000000000407</v>
      </c>
      <c r="B490" s="651" t="s">
        <v>594</v>
      </c>
      <c r="C490" s="646">
        <v>40</v>
      </c>
      <c r="D490" s="646" t="s">
        <v>320</v>
      </c>
      <c r="E490" s="649">
        <f ca="1">Elec_Est!E1420</f>
        <v>5.63</v>
      </c>
      <c r="F490" s="1125">
        <f t="shared" ca="1" si="110"/>
        <v>225.2</v>
      </c>
    </row>
    <row r="491" spans="1:6" s="631" customFormat="1">
      <c r="A491" s="643"/>
      <c r="B491" s="687" t="s">
        <v>463</v>
      </c>
      <c r="C491" s="646"/>
      <c r="D491" s="646"/>
      <c r="E491" s="649"/>
      <c r="F491" s="1125"/>
    </row>
    <row r="492" spans="1:6" s="631" customFormat="1">
      <c r="A492" s="643">
        <f t="shared" ref="A492:A494" ca="1" si="111">IFERROR(IF(OFFSET(A492,-1,0)&gt;0,OFFSET(A492,-1,0)+0.001,ERROR.TYPE(0)),IFERROR(IF(OFFSET(A492,-2,0)&gt;0,OFFSET(A492,-2,0)+0.001,ERROR.TYPE(0)),IFERROR(IF(OFFSET(A492,-3,0)&gt;0,OFFSET(A492,-3,0)+0.001,ERROR.TYPE(0)),IFERROR(IF(OFFSET(A492,-4,0)&gt;0,OFFSET(A492,-4,0)+0.001,ERROR.TYPE(0)),IFERROR(IF(OFFSET(A492,-5,0)&gt;0,OFFSET(A492,-5,0)+0.001,ERROR.TYPE(0)),IFERROR(IF(OFFSET(A492,-6,0)&gt;0,OFFSET(A492,-6,0)+0.001,ERROR.TYPE(0)),IFERROR(IF(OFFSET(A492,-7,0)&gt;0,OFFSET(A492,-7,0)+0.001,ERROR.TYPE(0)),IFERROR(IF(OFFSET(A492,-8,0)&gt;0,OFFSET(A492,-8,0)+0.001,ERROR.TYPE(0)),IFERROR(IF(OFFSET(A492,-9,0)&gt;0,OFFSET(A492,-9,0)+0.001,ERROR.TYPE(0)),IFERROR(IF(OFFSET(A492,-10,0)&gt;0,OFFSET(A492,-10,0)+0.001,ERROR.TYPE(0)),ERROR.TYPE(0)))))))))))</f>
        <v>4.1230000000000411</v>
      </c>
      <c r="B492" s="651" t="s">
        <v>595</v>
      </c>
      <c r="C492" s="646">
        <v>2</v>
      </c>
      <c r="D492" s="646" t="s">
        <v>141</v>
      </c>
      <c r="E492" s="649">
        <f ca="1">Elec_Est!E1431</f>
        <v>57.79</v>
      </c>
      <c r="F492" s="1125">
        <f ca="1">IFERROR($C492*E492,E492)</f>
        <v>115.58</v>
      </c>
    </row>
    <row r="493" spans="1:6" s="631" customFormat="1">
      <c r="A493" s="643">
        <f t="shared" ca="1" si="111"/>
        <v>4.1240000000000414</v>
      </c>
      <c r="B493" s="651" t="s">
        <v>596</v>
      </c>
      <c r="C493" s="646">
        <v>2</v>
      </c>
      <c r="D493" s="646" t="s">
        <v>141</v>
      </c>
      <c r="E493" s="649">
        <f ca="1">Elec_Est!E1438</f>
        <v>57.79</v>
      </c>
      <c r="F493" s="1125">
        <f ca="1">IFERROR($C493*E493,E493)</f>
        <v>115.58</v>
      </c>
    </row>
    <row r="494" spans="1:6" s="631" customFormat="1">
      <c r="A494" s="643">
        <f t="shared" ca="1" si="111"/>
        <v>4.1250000000000417</v>
      </c>
      <c r="B494" s="651" t="s">
        <v>556</v>
      </c>
      <c r="C494" s="646">
        <v>3</v>
      </c>
      <c r="D494" s="646" t="s">
        <v>141</v>
      </c>
      <c r="E494" s="649">
        <f ca="1">Elec_Est!E1445</f>
        <v>48.45</v>
      </c>
      <c r="F494" s="1125">
        <f ca="1">IFERROR($C494*E494,E494)</f>
        <v>145.35000000000002</v>
      </c>
    </row>
    <row r="495" spans="1:6" s="631" customFormat="1">
      <c r="A495" s="638"/>
      <c r="B495" s="639" t="s">
        <v>597</v>
      </c>
      <c r="C495" s="1456" t="s">
        <v>305</v>
      </c>
      <c r="D495" s="1457"/>
      <c r="E495" s="652"/>
      <c r="F495" s="1239">
        <f ca="1">SUM(F437:F494)</f>
        <v>19361.91</v>
      </c>
    </row>
    <row r="496" spans="1:6" s="631" customFormat="1">
      <c r="A496" s="660"/>
      <c r="B496" s="629"/>
      <c r="C496" s="661"/>
      <c r="D496" s="654"/>
      <c r="E496" s="662"/>
      <c r="F496" s="1127"/>
    </row>
    <row r="497" spans="1:6" s="631" customFormat="1">
      <c r="A497" s="660"/>
      <c r="B497" s="629"/>
      <c r="C497" s="661"/>
      <c r="D497" s="654"/>
      <c r="E497" s="662"/>
      <c r="F497" s="1127"/>
    </row>
    <row r="498" spans="1:6" s="631" customFormat="1" ht="27.6">
      <c r="A498" s="634" t="s">
        <v>143</v>
      </c>
      <c r="B498" s="635" t="s">
        <v>198</v>
      </c>
      <c r="C498" s="636" t="s">
        <v>199</v>
      </c>
      <c r="D498" s="636" t="s">
        <v>200</v>
      </c>
      <c r="E498" s="637" t="s">
        <v>294</v>
      </c>
      <c r="F498" s="1122" t="s">
        <v>295</v>
      </c>
    </row>
    <row r="499" spans="1:6" s="631" customFormat="1" ht="27.6">
      <c r="A499" s="643"/>
      <c r="B499" s="687" t="s">
        <v>498</v>
      </c>
      <c r="C499" s="645"/>
      <c r="D499" s="646"/>
      <c r="E499" s="647"/>
      <c r="F499" s="1124"/>
    </row>
    <row r="500" spans="1:6" s="631" customFormat="1">
      <c r="A500" s="643"/>
      <c r="B500" s="688" t="s">
        <v>598</v>
      </c>
      <c r="C500" s="645"/>
      <c r="D500" s="646"/>
      <c r="E500" s="647"/>
      <c r="F500" s="1124"/>
    </row>
    <row r="501" spans="1:6" s="631" customFormat="1" ht="27.6">
      <c r="A501" s="643">
        <f t="shared" ref="A501:A510" ca="1" si="112">IFERROR(IF(OFFSET(A501,-1,0)&gt;0,OFFSET(A501,-1,0)+0.001,ERROR.TYPE(0)),IFERROR(IF(OFFSET(A501,-2,0)&gt;0,OFFSET(A501,-2,0)+0.001,ERROR.TYPE(0)),IFERROR(IF(OFFSET(A501,-3,0)&gt;0,OFFSET(A501,-3,0)+0.001,ERROR.TYPE(0)),IFERROR(IF(OFFSET(A501,-4,0)&gt;0,OFFSET(A501,-4,0)+0.001,ERROR.TYPE(0)),IFERROR(IF(OFFSET(A501,-5,0)&gt;0,OFFSET(A501,-5,0)+0.001,ERROR.TYPE(0)),IFERROR(IF(OFFSET(A501,-6,0)&gt;0,OFFSET(A501,-6,0)+0.001,ERROR.TYPE(0)),IFERROR(IF(OFFSET(A501,-7,0)&gt;0,OFFSET(A501,-7,0)+0.001,ERROR.TYPE(0)),IFERROR(IF(OFFSET(A501,-8,0)&gt;0,OFFSET(A501,-8,0)+0.001,ERROR.TYPE(0)),IFERROR(IF(OFFSET(A501,-9,0)&gt;0,OFFSET(A501,-9,0)+0.001,ERROR.TYPE(0)),IFERROR(IF(OFFSET(A501,-10,0)&gt;0,OFFSET(A501,-10,0)+0.001,ERROR.TYPE(0)),ERROR.TYPE(0)))))))))))</f>
        <v>4.1260000000000421</v>
      </c>
      <c r="B501" s="651" t="s">
        <v>558</v>
      </c>
      <c r="C501" s="646">
        <v>25</v>
      </c>
      <c r="D501" s="646" t="s">
        <v>320</v>
      </c>
      <c r="E501" s="649">
        <f ca="1">Elec_Est!E1466</f>
        <v>15.95</v>
      </c>
      <c r="F501" s="1125">
        <f t="shared" ref="F501:F510" ca="1" si="113">IFERROR($C501*E501,E501)</f>
        <v>398.75</v>
      </c>
    </row>
    <row r="502" spans="1:6" s="631" customFormat="1" ht="27.6">
      <c r="A502" s="643">
        <f t="shared" ca="1" si="112"/>
        <v>4.1270000000000424</v>
      </c>
      <c r="B502" s="651" t="s">
        <v>559</v>
      </c>
      <c r="C502" s="646">
        <v>20</v>
      </c>
      <c r="D502" s="646" t="s">
        <v>320</v>
      </c>
      <c r="E502" s="649">
        <f ca="1">Elec_Est!E1473</f>
        <v>15.95</v>
      </c>
      <c r="F502" s="1125">
        <f t="shared" ca="1" si="113"/>
        <v>319</v>
      </c>
    </row>
    <row r="503" spans="1:6" s="631" customFormat="1" ht="27.6">
      <c r="A503" s="643">
        <f t="shared" ca="1" si="112"/>
        <v>4.1280000000000427</v>
      </c>
      <c r="B503" s="651" t="s">
        <v>560</v>
      </c>
      <c r="C503" s="646">
        <v>55</v>
      </c>
      <c r="D503" s="646" t="s">
        <v>320</v>
      </c>
      <c r="E503" s="649">
        <f ca="1">Elec_Est!E1480</f>
        <v>15.95</v>
      </c>
      <c r="F503" s="1125">
        <f t="shared" ca="1" si="113"/>
        <v>877.25</v>
      </c>
    </row>
    <row r="504" spans="1:6" s="631" customFormat="1" ht="27.6">
      <c r="A504" s="643">
        <f t="shared" ca="1" si="112"/>
        <v>4.1290000000000431</v>
      </c>
      <c r="B504" s="651" t="s">
        <v>561</v>
      </c>
      <c r="C504" s="646">
        <v>45</v>
      </c>
      <c r="D504" s="646" t="s">
        <v>320</v>
      </c>
      <c r="E504" s="649">
        <f ca="1">Elec_Est!E1487</f>
        <v>15.95</v>
      </c>
      <c r="F504" s="1125">
        <f t="shared" ca="1" si="113"/>
        <v>717.75</v>
      </c>
    </row>
    <row r="505" spans="1:6" s="631" customFormat="1" ht="27.6">
      <c r="A505" s="643">
        <f t="shared" ca="1" si="112"/>
        <v>4.1300000000000434</v>
      </c>
      <c r="B505" s="651" t="s">
        <v>562</v>
      </c>
      <c r="C505" s="646">
        <v>30</v>
      </c>
      <c r="D505" s="646" t="s">
        <v>320</v>
      </c>
      <c r="E505" s="649">
        <f ca="1">Elec_Est!E1494</f>
        <v>15.95</v>
      </c>
      <c r="F505" s="1125">
        <f t="shared" ca="1" si="113"/>
        <v>478.5</v>
      </c>
    </row>
    <row r="506" spans="1:6" s="631" customFormat="1" ht="27.6">
      <c r="A506" s="643">
        <f t="shared" ca="1" si="112"/>
        <v>4.1310000000000437</v>
      </c>
      <c r="B506" s="651" t="s">
        <v>563</v>
      </c>
      <c r="C506" s="646">
        <v>50</v>
      </c>
      <c r="D506" s="646" t="s">
        <v>320</v>
      </c>
      <c r="E506" s="649">
        <f ca="1">Elec_Est!E1501</f>
        <v>15.95</v>
      </c>
      <c r="F506" s="1125">
        <f t="shared" ca="1" si="113"/>
        <v>797.5</v>
      </c>
    </row>
    <row r="507" spans="1:6" s="631" customFormat="1" ht="27.6">
      <c r="A507" s="643">
        <f t="shared" ca="1" si="112"/>
        <v>4.1320000000000441</v>
      </c>
      <c r="B507" s="651" t="s">
        <v>564</v>
      </c>
      <c r="C507" s="646">
        <v>60</v>
      </c>
      <c r="D507" s="646" t="s">
        <v>320</v>
      </c>
      <c r="E507" s="649">
        <f ca="1">Elec_Est!E1508</f>
        <v>15.95</v>
      </c>
      <c r="F507" s="1125">
        <f t="shared" ca="1" si="113"/>
        <v>957</v>
      </c>
    </row>
    <row r="508" spans="1:6" s="631" customFormat="1" ht="27.6">
      <c r="A508" s="643">
        <f t="shared" ca="1" si="112"/>
        <v>4.1330000000000444</v>
      </c>
      <c r="B508" s="651" t="s">
        <v>599</v>
      </c>
      <c r="C508" s="646">
        <v>75</v>
      </c>
      <c r="D508" s="646" t="s">
        <v>320</v>
      </c>
      <c r="E508" s="649">
        <f ca="1">Elec_Est!E1515</f>
        <v>15.95</v>
      </c>
      <c r="F508" s="1125">
        <f t="shared" ca="1" si="113"/>
        <v>1196.25</v>
      </c>
    </row>
    <row r="509" spans="1:6" s="631" customFormat="1" ht="27.6">
      <c r="A509" s="643">
        <f t="shared" ca="1" si="112"/>
        <v>4.1340000000000447</v>
      </c>
      <c r="B509" s="651" t="s">
        <v>600</v>
      </c>
      <c r="C509" s="646">
        <v>50</v>
      </c>
      <c r="D509" s="646" t="s">
        <v>320</v>
      </c>
      <c r="E509" s="649">
        <f ca="1">Elec_Est!E1522</f>
        <v>35.24</v>
      </c>
      <c r="F509" s="1125">
        <f t="shared" ca="1" si="113"/>
        <v>1762</v>
      </c>
    </row>
    <row r="510" spans="1:6" s="631" customFormat="1" ht="27.6">
      <c r="A510" s="643">
        <f t="shared" ca="1" si="112"/>
        <v>4.1350000000000451</v>
      </c>
      <c r="B510" s="651" t="s">
        <v>601</v>
      </c>
      <c r="C510" s="646">
        <v>50</v>
      </c>
      <c r="D510" s="646" t="s">
        <v>320</v>
      </c>
      <c r="E510" s="649">
        <f ca="1">Elec_Est!E1529</f>
        <v>35.24</v>
      </c>
      <c r="F510" s="1125">
        <f t="shared" ca="1" si="113"/>
        <v>1762</v>
      </c>
    </row>
    <row r="511" spans="1:6" s="631" customFormat="1">
      <c r="A511" s="643"/>
      <c r="B511" s="687" t="s">
        <v>463</v>
      </c>
      <c r="C511" s="646"/>
      <c r="D511" s="646"/>
      <c r="E511" s="649"/>
      <c r="F511" s="1125"/>
    </row>
    <row r="512" spans="1:6" s="631" customFormat="1">
      <c r="A512" s="643">
        <f t="shared" ref="A512:A513" ca="1" si="114">IFERROR(IF(OFFSET(A512,-1,0)&gt;0,OFFSET(A512,-1,0)+0.001,ERROR.TYPE(0)),IFERROR(IF(OFFSET(A512,-2,0)&gt;0,OFFSET(A512,-2,0)+0.001,ERROR.TYPE(0)),IFERROR(IF(OFFSET(A512,-3,0)&gt;0,OFFSET(A512,-3,0)+0.001,ERROR.TYPE(0)),IFERROR(IF(OFFSET(A512,-4,0)&gt;0,OFFSET(A512,-4,0)+0.001,ERROR.TYPE(0)),IFERROR(IF(OFFSET(A512,-5,0)&gt;0,OFFSET(A512,-5,0)+0.001,ERROR.TYPE(0)),IFERROR(IF(OFFSET(A512,-6,0)&gt;0,OFFSET(A512,-6,0)+0.001,ERROR.TYPE(0)),IFERROR(IF(OFFSET(A512,-7,0)&gt;0,OFFSET(A512,-7,0)+0.001,ERROR.TYPE(0)),IFERROR(IF(OFFSET(A512,-8,0)&gt;0,OFFSET(A512,-8,0)+0.001,ERROR.TYPE(0)),IFERROR(IF(OFFSET(A512,-9,0)&gt;0,OFFSET(A512,-9,0)+0.001,ERROR.TYPE(0)),IFERROR(IF(OFFSET(A512,-10,0)&gt;0,OFFSET(A512,-10,0)+0.001,ERROR.TYPE(0)),ERROR.TYPE(0)))))))))))</f>
        <v>4.1360000000000454</v>
      </c>
      <c r="B512" s="651" t="s">
        <v>568</v>
      </c>
      <c r="C512" s="646">
        <v>8</v>
      </c>
      <c r="D512" s="646" t="s">
        <v>141</v>
      </c>
      <c r="E512" s="649">
        <f>Elec_Est!E1540</f>
        <v>327.48</v>
      </c>
      <c r="F512" s="1125">
        <f>IFERROR($C512*E512,E512)</f>
        <v>2619.84</v>
      </c>
    </row>
    <row r="513" spans="1:6" s="631" customFormat="1">
      <c r="A513" s="643">
        <f t="shared" ca="1" si="114"/>
        <v>4.1370000000000458</v>
      </c>
      <c r="B513" s="651" t="s">
        <v>548</v>
      </c>
      <c r="C513" s="646">
        <v>2</v>
      </c>
      <c r="D513" s="646" t="s">
        <v>141</v>
      </c>
      <c r="E513" s="649">
        <f>Elec_Est!E1548</f>
        <v>496.61</v>
      </c>
      <c r="F513" s="1125">
        <f>IFERROR($C513*E513,E513)</f>
        <v>993.22</v>
      </c>
    </row>
    <row r="514" spans="1:6" s="1249" customFormat="1" ht="27.6">
      <c r="A514" s="1243"/>
      <c r="B514" s="1253" t="s">
        <v>498</v>
      </c>
      <c r="C514" s="1251"/>
      <c r="D514" s="1251"/>
      <c r="E514" s="1247"/>
      <c r="F514" s="1248"/>
    </row>
    <row r="515" spans="1:6" s="1249" customFormat="1">
      <c r="A515" s="1243"/>
      <c r="B515" s="1254" t="s">
        <v>3825</v>
      </c>
      <c r="C515" s="1251"/>
      <c r="D515" s="1251"/>
      <c r="E515" s="1247"/>
      <c r="F515" s="1248"/>
    </row>
    <row r="516" spans="1:6" s="1249" customFormat="1">
      <c r="A516" s="1243" t="s">
        <v>3826</v>
      </c>
      <c r="B516" s="1253" t="s">
        <v>3827</v>
      </c>
      <c r="C516" s="1251">
        <v>20</v>
      </c>
      <c r="D516" s="1251" t="s">
        <v>141</v>
      </c>
      <c r="E516" s="1247">
        <f ca="1">Elec_Est!E1564</f>
        <v>8.18</v>
      </c>
      <c r="F516" s="1248">
        <f t="shared" ref="F516:F519" ca="1" si="115">IFERROR($C516*E516,E516)</f>
        <v>163.6</v>
      </c>
    </row>
    <row r="517" spans="1:6" s="1249" customFormat="1">
      <c r="A517" s="1243" t="s">
        <v>3828</v>
      </c>
      <c r="B517" s="1253" t="s">
        <v>3829</v>
      </c>
      <c r="C517" s="1251">
        <v>20</v>
      </c>
      <c r="D517" s="1251" t="s">
        <v>141</v>
      </c>
      <c r="E517" s="1247">
        <f ca="1">Elec_Est!E1571</f>
        <v>8.18</v>
      </c>
      <c r="F517" s="1248">
        <f t="shared" ca="1" si="115"/>
        <v>163.6</v>
      </c>
    </row>
    <row r="518" spans="1:6" s="1249" customFormat="1">
      <c r="A518" s="1243"/>
      <c r="B518" s="1255" t="s">
        <v>463</v>
      </c>
      <c r="C518" s="1251"/>
      <c r="D518" s="1251"/>
      <c r="E518" s="1247"/>
      <c r="F518" s="1248"/>
    </row>
    <row r="519" spans="1:6" s="1249" customFormat="1">
      <c r="A519" s="1243" t="s">
        <v>3830</v>
      </c>
      <c r="B519" s="1253" t="s">
        <v>595</v>
      </c>
      <c r="C519" s="1251">
        <v>2</v>
      </c>
      <c r="D519" s="1251" t="s">
        <v>141</v>
      </c>
      <c r="E519" s="1247">
        <f ca="1">Elec_Est!E1582</f>
        <v>57.79</v>
      </c>
      <c r="F519" s="1248">
        <f t="shared" ca="1" si="115"/>
        <v>115.58</v>
      </c>
    </row>
    <row r="520" spans="1:6" s="631" customFormat="1" ht="27.6">
      <c r="A520" s="643"/>
      <c r="B520" s="687" t="s">
        <v>498</v>
      </c>
      <c r="C520" s="645"/>
      <c r="D520" s="646"/>
      <c r="E520" s="647"/>
      <c r="F520" s="1124"/>
    </row>
    <row r="521" spans="1:6" s="631" customFormat="1">
      <c r="A521" s="643"/>
      <c r="B521" s="688" t="s">
        <v>602</v>
      </c>
      <c r="C521" s="645"/>
      <c r="D521" s="646"/>
      <c r="E521" s="647"/>
      <c r="F521" s="1124"/>
    </row>
    <row r="522" spans="1:6" s="631" customFormat="1">
      <c r="A522" s="643">
        <f t="shared" ref="A522:A523" ca="1" si="116">IFERROR(IF(OFFSET(A522,-1,0)&gt;0,OFFSET(A522,-1,0)+0.001,ERROR.TYPE(0)),IFERROR(IF(OFFSET(A522,-2,0)&gt;0,OFFSET(A522,-2,0)+0.001,ERROR.TYPE(0)),IFERROR(IF(OFFSET(A522,-3,0)&gt;0,OFFSET(A522,-3,0)+0.001,ERROR.TYPE(0)),IFERROR(IF(OFFSET(A522,-4,0)&gt;0,OFFSET(A522,-4,0)+0.001,ERROR.TYPE(0)),IFERROR(IF(OFFSET(A522,-5,0)&gt;0,OFFSET(A522,-5,0)+0.001,ERROR.TYPE(0)),IFERROR(IF(OFFSET(A522,-6,0)&gt;0,OFFSET(A522,-6,0)+0.001,ERROR.TYPE(0)),IFERROR(IF(OFFSET(A522,-7,0)&gt;0,OFFSET(A522,-7,0)+0.001,ERROR.TYPE(0)),IFERROR(IF(OFFSET(A522,-8,0)&gt;0,OFFSET(A522,-8,0)+0.001,ERROR.TYPE(0)),IFERROR(IF(OFFSET(A522,-9,0)&gt;0,OFFSET(A522,-9,0)+0.001,ERROR.TYPE(0)),IFERROR(IF(OFFSET(A522,-10,0)&gt;0,OFFSET(A522,-10,0)+0.001,ERROR.TYPE(0)),ERROR.TYPE(0)))))))))))</f>
        <v>4.1380000000000461</v>
      </c>
      <c r="B522" s="651" t="s">
        <v>603</v>
      </c>
      <c r="C522" s="646">
        <v>10</v>
      </c>
      <c r="D522" s="646" t="s">
        <v>320</v>
      </c>
      <c r="E522" s="649">
        <f ca="1">Elec_Est!E1596</f>
        <v>18.22</v>
      </c>
      <c r="F522" s="1125">
        <f ca="1">IFERROR($C522*E522,E522)</f>
        <v>182.2</v>
      </c>
    </row>
    <row r="523" spans="1:6" s="631" customFormat="1">
      <c r="A523" s="643">
        <f t="shared" ca="1" si="116"/>
        <v>4.1390000000000464</v>
      </c>
      <c r="B523" s="651" t="s">
        <v>604</v>
      </c>
      <c r="C523" s="646">
        <v>50</v>
      </c>
      <c r="D523" s="646" t="s">
        <v>320</v>
      </c>
      <c r="E523" s="649">
        <f ca="1">Elec_Est!E1603</f>
        <v>14.65</v>
      </c>
      <c r="F523" s="1125">
        <f t="shared" ref="F523" ca="1" si="117">IFERROR($C523*E523,E523)</f>
        <v>732.5</v>
      </c>
    </row>
    <row r="524" spans="1:6" s="631" customFormat="1">
      <c r="A524" s="643"/>
      <c r="B524" s="688" t="s">
        <v>605</v>
      </c>
      <c r="C524" s="645"/>
      <c r="D524" s="646"/>
      <c r="E524" s="647"/>
      <c r="F524" s="1124"/>
    </row>
    <row r="525" spans="1:6" s="631" customFormat="1">
      <c r="A525" s="643">
        <f t="shared" ref="A525:A527" ca="1" si="118">IFERROR(IF(OFFSET(A525,-1,0)&gt;0,OFFSET(A525,-1,0)+0.001,ERROR.TYPE(0)),IFERROR(IF(OFFSET(A525,-2,0)&gt;0,OFFSET(A525,-2,0)+0.001,ERROR.TYPE(0)),IFERROR(IF(OFFSET(A525,-3,0)&gt;0,OFFSET(A525,-3,0)+0.001,ERROR.TYPE(0)),IFERROR(IF(OFFSET(A525,-4,0)&gt;0,OFFSET(A525,-4,0)+0.001,ERROR.TYPE(0)),IFERROR(IF(OFFSET(A525,-5,0)&gt;0,OFFSET(A525,-5,0)+0.001,ERROR.TYPE(0)),IFERROR(IF(OFFSET(A525,-6,0)&gt;0,OFFSET(A525,-6,0)+0.001,ERROR.TYPE(0)),IFERROR(IF(OFFSET(A525,-7,0)&gt;0,OFFSET(A525,-7,0)+0.001,ERROR.TYPE(0)),IFERROR(IF(OFFSET(A525,-8,0)&gt;0,OFFSET(A525,-8,0)+0.001,ERROR.TYPE(0)),IFERROR(IF(OFFSET(A525,-9,0)&gt;0,OFFSET(A525,-9,0)+0.001,ERROR.TYPE(0)),IFERROR(IF(OFFSET(A525,-10,0)&gt;0,OFFSET(A525,-10,0)+0.001,ERROR.TYPE(0)),ERROR.TYPE(0)))))))))))</f>
        <v>4.1400000000000468</v>
      </c>
      <c r="B525" s="651" t="s">
        <v>606</v>
      </c>
      <c r="C525" s="646">
        <v>20</v>
      </c>
      <c r="D525" s="646" t="s">
        <v>320</v>
      </c>
      <c r="E525" s="649">
        <f ca="1">Elec_Est!E1614</f>
        <v>8.18</v>
      </c>
      <c r="F525" s="1125">
        <f ca="1">IFERROR($C525*E525,E525)</f>
        <v>163.6</v>
      </c>
    </row>
    <row r="526" spans="1:6" s="631" customFormat="1">
      <c r="A526" s="643">
        <f t="shared" ca="1" si="118"/>
        <v>4.1410000000000471</v>
      </c>
      <c r="B526" s="651" t="s">
        <v>607</v>
      </c>
      <c r="C526" s="646">
        <v>45</v>
      </c>
      <c r="D526" s="646" t="s">
        <v>320</v>
      </c>
      <c r="E526" s="649">
        <f ca="1">Elec_Est!E1621</f>
        <v>8.18</v>
      </c>
      <c r="F526" s="1125">
        <f ca="1">IFERROR($C526*E526,E526)</f>
        <v>368.09999999999997</v>
      </c>
    </row>
    <row r="527" spans="1:6" s="631" customFormat="1">
      <c r="A527" s="643">
        <f t="shared" ca="1" si="118"/>
        <v>4.1420000000000474</v>
      </c>
      <c r="B527" s="651" t="s">
        <v>608</v>
      </c>
      <c r="C527" s="646">
        <v>25</v>
      </c>
      <c r="D527" s="646" t="s">
        <v>320</v>
      </c>
      <c r="E527" s="649">
        <f ca="1">Elec_Est!E1628</f>
        <v>8.18</v>
      </c>
      <c r="F527" s="1125">
        <f ca="1">IFERROR($C527*E527,E527)</f>
        <v>204.5</v>
      </c>
    </row>
    <row r="528" spans="1:6" s="631" customFormat="1">
      <c r="A528" s="643"/>
      <c r="B528" s="687" t="s">
        <v>463</v>
      </c>
      <c r="C528" s="646"/>
      <c r="D528" s="646"/>
      <c r="E528" s="649"/>
      <c r="F528" s="1125"/>
    </row>
    <row r="529" spans="1:6" s="631" customFormat="1">
      <c r="A529" s="643">
        <f t="shared" ref="A529" ca="1" si="119">IFERROR(IF(OFFSET(A529,-1,0)&gt;0,OFFSET(A529,-1,0)+0.001,ERROR.TYPE(0)),IFERROR(IF(OFFSET(A529,-2,0)&gt;0,OFFSET(A529,-2,0)+0.001,ERROR.TYPE(0)),IFERROR(IF(OFFSET(A529,-3,0)&gt;0,OFFSET(A529,-3,0)+0.001,ERROR.TYPE(0)),IFERROR(IF(OFFSET(A529,-4,0)&gt;0,OFFSET(A529,-4,0)+0.001,ERROR.TYPE(0)),IFERROR(IF(OFFSET(A529,-5,0)&gt;0,OFFSET(A529,-5,0)+0.001,ERROR.TYPE(0)),IFERROR(IF(OFFSET(A529,-6,0)&gt;0,OFFSET(A529,-6,0)+0.001,ERROR.TYPE(0)),IFERROR(IF(OFFSET(A529,-7,0)&gt;0,OFFSET(A529,-7,0)+0.001,ERROR.TYPE(0)),IFERROR(IF(OFFSET(A529,-8,0)&gt;0,OFFSET(A529,-8,0)+0.001,ERROR.TYPE(0)),IFERROR(IF(OFFSET(A529,-9,0)&gt;0,OFFSET(A529,-9,0)+0.001,ERROR.TYPE(0)),IFERROR(IF(OFFSET(A529,-10,0)&gt;0,OFFSET(A529,-10,0)+0.001,ERROR.TYPE(0)),ERROR.TYPE(0)))))))))))</f>
        <v>4.1430000000000478</v>
      </c>
      <c r="B529" s="651" t="s">
        <v>595</v>
      </c>
      <c r="C529" s="646">
        <v>3</v>
      </c>
      <c r="D529" s="646" t="s">
        <v>141</v>
      </c>
      <c r="E529" s="649">
        <f ca="1">Elec_Est!E1639</f>
        <v>57.79</v>
      </c>
      <c r="F529" s="1125">
        <f ca="1">IFERROR($C529*E529,E529)</f>
        <v>173.37</v>
      </c>
    </row>
    <row r="530" spans="1:6" s="631" customFormat="1" ht="27.6">
      <c r="A530" s="643"/>
      <c r="B530" s="687" t="s">
        <v>498</v>
      </c>
      <c r="C530" s="645"/>
      <c r="D530" s="646"/>
      <c r="E530" s="647"/>
      <c r="F530" s="1124"/>
    </row>
    <row r="531" spans="1:6" s="631" customFormat="1">
      <c r="A531" s="643"/>
      <c r="B531" s="688" t="s">
        <v>609</v>
      </c>
      <c r="C531" s="645"/>
      <c r="D531" s="646"/>
      <c r="E531" s="647"/>
      <c r="F531" s="1124"/>
    </row>
    <row r="532" spans="1:6" s="631" customFormat="1">
      <c r="A532" s="1240">
        <f t="shared" ref="A532:A553" ca="1" si="120">IFERROR(IF(OFFSET(A532,-1,0)&gt;0,OFFSET(A532,-1,0)+0.001,ERROR.TYPE(0)),IFERROR(IF(OFFSET(A532,-2,0)&gt;0,OFFSET(A532,-2,0)+0.001,ERROR.TYPE(0)),IFERROR(IF(OFFSET(A532,-3,0)&gt;0,OFFSET(A532,-3,0)+0.001,ERROR.TYPE(0)),IFERROR(IF(OFFSET(A532,-4,0)&gt;0,OFFSET(A532,-4,0)+0.001,ERROR.TYPE(0)),IFERROR(IF(OFFSET(A532,-5,0)&gt;0,OFFSET(A532,-5,0)+0.001,ERROR.TYPE(0)),IFERROR(IF(OFFSET(A532,-6,0)&gt;0,OFFSET(A532,-6,0)+0.001,ERROR.TYPE(0)),IFERROR(IF(OFFSET(A532,-7,0)&gt;0,OFFSET(A532,-7,0)+0.001,ERROR.TYPE(0)),IFERROR(IF(OFFSET(A532,-8,0)&gt;0,OFFSET(A532,-8,0)+0.001,ERROR.TYPE(0)),IFERROR(IF(OFFSET(A532,-9,0)&gt;0,OFFSET(A532,-9,0)+0.001,ERROR.TYPE(0)),IFERROR(IF(OFFSET(A532,-10,0)&gt;0,OFFSET(A532,-10,0)+0.001,ERROR.TYPE(0)),ERROR.TYPE(0)))))))))))</f>
        <v>4.1440000000000481</v>
      </c>
      <c r="B532" s="651" t="s">
        <v>610</v>
      </c>
      <c r="C532" s="1242">
        <v>0</v>
      </c>
      <c r="D532" s="646" t="s">
        <v>320</v>
      </c>
      <c r="E532" s="649">
        <f ca="1">Elec_Est!E1654</f>
        <v>0</v>
      </c>
      <c r="F532" s="1241" t="s">
        <v>3797</v>
      </c>
    </row>
    <row r="533" spans="1:6" s="631" customFormat="1">
      <c r="A533" s="1240">
        <f t="shared" ca="1" si="120"/>
        <v>4.1450000000000484</v>
      </c>
      <c r="B533" s="651" t="s">
        <v>611</v>
      </c>
      <c r="C533" s="1242">
        <v>0</v>
      </c>
      <c r="D533" s="646" t="s">
        <v>320</v>
      </c>
      <c r="E533" s="649">
        <f ca="1">Elec_Est!E1661</f>
        <v>0</v>
      </c>
      <c r="F533" s="1241" t="s">
        <v>3797</v>
      </c>
    </row>
    <row r="534" spans="1:6" s="631" customFormat="1">
      <c r="A534" s="643">
        <f t="shared" ca="1" si="120"/>
        <v>4.1460000000000488</v>
      </c>
      <c r="B534" s="651" t="s">
        <v>612</v>
      </c>
      <c r="C534" s="646">
        <v>70</v>
      </c>
      <c r="D534" s="646" t="s">
        <v>320</v>
      </c>
      <c r="E534" s="649">
        <f ca="1">Elec_Est!E1668</f>
        <v>9.9499999999999993</v>
      </c>
      <c r="F534" s="1125">
        <f ca="1">IFERROR($C534*E534,E534)</f>
        <v>696.5</v>
      </c>
    </row>
    <row r="535" spans="1:6" s="631" customFormat="1">
      <c r="A535" s="1240">
        <f t="shared" ca="1" si="120"/>
        <v>4.1470000000000491</v>
      </c>
      <c r="B535" s="651" t="s">
        <v>613</v>
      </c>
      <c r="C535" s="1242">
        <v>0</v>
      </c>
      <c r="D535" s="646" t="s">
        <v>320</v>
      </c>
      <c r="E535" s="649">
        <f ca="1">Elec_Est!E1675</f>
        <v>0</v>
      </c>
      <c r="F535" s="1241" t="s">
        <v>3797</v>
      </c>
    </row>
    <row r="536" spans="1:6" s="631" customFormat="1">
      <c r="A536" s="643">
        <f t="shared" ca="1" si="120"/>
        <v>4.1480000000000494</v>
      </c>
      <c r="B536" s="651" t="s">
        <v>614</v>
      </c>
      <c r="C536" s="646">
        <v>60</v>
      </c>
      <c r="D536" s="646" t="s">
        <v>320</v>
      </c>
      <c r="E536" s="649">
        <f ca="1">Elec_Est!E1682</f>
        <v>9.9499999999999993</v>
      </c>
      <c r="F536" s="1125">
        <f t="shared" ref="F536:F543" ca="1" si="121">IFERROR($C536*E536,E536)</f>
        <v>597</v>
      </c>
    </row>
    <row r="537" spans="1:6" s="631" customFormat="1">
      <c r="A537" s="1240">
        <f t="shared" ca="1" si="120"/>
        <v>4.1490000000000498</v>
      </c>
      <c r="B537" s="651" t="s">
        <v>615</v>
      </c>
      <c r="C537" s="1242">
        <v>0</v>
      </c>
      <c r="D537" s="646" t="s">
        <v>320</v>
      </c>
      <c r="E537" s="649">
        <f ca="1">Elec_Est!E1689</f>
        <v>0</v>
      </c>
      <c r="F537" s="1241" t="s">
        <v>3797</v>
      </c>
    </row>
    <row r="538" spans="1:6" s="631" customFormat="1">
      <c r="A538" s="1240">
        <f t="shared" ca="1" si="120"/>
        <v>4.1500000000000501</v>
      </c>
      <c r="B538" s="651" t="s">
        <v>616</v>
      </c>
      <c r="C538" s="1242">
        <v>0</v>
      </c>
      <c r="D538" s="646" t="s">
        <v>320</v>
      </c>
      <c r="E538" s="649">
        <f ca="1">Elec_Est!E1696</f>
        <v>0</v>
      </c>
      <c r="F538" s="1241" t="s">
        <v>3797</v>
      </c>
    </row>
    <row r="539" spans="1:6" s="631" customFormat="1">
      <c r="A539" s="643">
        <f t="shared" ca="1" si="120"/>
        <v>4.1510000000000504</v>
      </c>
      <c r="B539" s="651" t="s">
        <v>617</v>
      </c>
      <c r="C539" s="646">
        <v>65</v>
      </c>
      <c r="D539" s="646" t="s">
        <v>320</v>
      </c>
      <c r="E539" s="649">
        <f ca="1">Elec_Est!E1703</f>
        <v>9.9499999999999993</v>
      </c>
      <c r="F539" s="1125">
        <f t="shared" ca="1" si="121"/>
        <v>646.75</v>
      </c>
    </row>
    <row r="540" spans="1:6" s="631" customFormat="1">
      <c r="A540" s="1240">
        <f t="shared" ca="1" si="120"/>
        <v>4.1520000000000508</v>
      </c>
      <c r="B540" s="651" t="s">
        <v>618</v>
      </c>
      <c r="C540" s="1242">
        <v>0</v>
      </c>
      <c r="D540" s="646" t="s">
        <v>320</v>
      </c>
      <c r="E540" s="649">
        <f ca="1">Elec_Est!E1710</f>
        <v>0</v>
      </c>
      <c r="F540" s="1241" t="s">
        <v>3797</v>
      </c>
    </row>
    <row r="541" spans="1:6" s="631" customFormat="1">
      <c r="A541" s="643">
        <f t="shared" ca="1" si="120"/>
        <v>4.1530000000000511</v>
      </c>
      <c r="B541" s="651" t="s">
        <v>619</v>
      </c>
      <c r="C541" s="646">
        <v>55</v>
      </c>
      <c r="D541" s="646" t="s">
        <v>320</v>
      </c>
      <c r="E541" s="649">
        <f ca="1">Elec_Est!E1717</f>
        <v>9.9499999999999993</v>
      </c>
      <c r="F541" s="1125">
        <f t="shared" ca="1" si="121"/>
        <v>547.25</v>
      </c>
    </row>
    <row r="542" spans="1:6" s="631" customFormat="1">
      <c r="A542" s="1240">
        <f t="shared" ca="1" si="120"/>
        <v>4.1540000000000514</v>
      </c>
      <c r="B542" s="651" t="s">
        <v>620</v>
      </c>
      <c r="C542" s="1242">
        <v>0</v>
      </c>
      <c r="D542" s="646" t="s">
        <v>320</v>
      </c>
      <c r="E542" s="649">
        <f ca="1">Elec_Est!E1724</f>
        <v>0</v>
      </c>
      <c r="F542" s="1241" t="s">
        <v>3797</v>
      </c>
    </row>
    <row r="543" spans="1:6" s="631" customFormat="1">
      <c r="A543" s="643">
        <f t="shared" ca="1" si="120"/>
        <v>4.1550000000000518</v>
      </c>
      <c r="B543" s="651" t="s">
        <v>621</v>
      </c>
      <c r="C543" s="646">
        <v>45</v>
      </c>
      <c r="D543" s="646" t="s">
        <v>320</v>
      </c>
      <c r="E543" s="649">
        <f ca="1">Elec_Est!E1731</f>
        <v>9.9499999999999993</v>
      </c>
      <c r="F543" s="1125">
        <f t="shared" ca="1" si="121"/>
        <v>447.74999999999994</v>
      </c>
    </row>
    <row r="544" spans="1:6" s="631" customFormat="1">
      <c r="A544" s="1240">
        <f t="shared" ca="1" si="120"/>
        <v>4.1560000000000521</v>
      </c>
      <c r="B544" s="651" t="s">
        <v>622</v>
      </c>
      <c r="C544" s="1242">
        <v>0</v>
      </c>
      <c r="D544" s="646" t="s">
        <v>320</v>
      </c>
      <c r="E544" s="649">
        <f ca="1">Elec_Est!E1738</f>
        <v>0</v>
      </c>
      <c r="F544" s="1241" t="s">
        <v>3797</v>
      </c>
    </row>
    <row r="545" spans="1:6" s="631" customFormat="1">
      <c r="A545" s="643">
        <f t="shared" ca="1" si="120"/>
        <v>4.1570000000000524</v>
      </c>
      <c r="B545" s="651" t="s">
        <v>623</v>
      </c>
      <c r="C545" s="646">
        <v>55</v>
      </c>
      <c r="D545" s="646" t="s">
        <v>320</v>
      </c>
      <c r="E545" s="649">
        <f ca="1">Elec_Est!E1745</f>
        <v>9.9499999999999993</v>
      </c>
      <c r="F545" s="1125">
        <f ca="1">IFERROR($C545*E545,E545)</f>
        <v>547.25</v>
      </c>
    </row>
    <row r="546" spans="1:6" s="631" customFormat="1">
      <c r="A546" s="1240">
        <f t="shared" ca="1" si="120"/>
        <v>4.1580000000000528</v>
      </c>
      <c r="B546" s="651" t="s">
        <v>624</v>
      </c>
      <c r="C546" s="1242">
        <v>0</v>
      </c>
      <c r="D546" s="646" t="s">
        <v>320</v>
      </c>
      <c r="E546" s="649">
        <f ca="1">Elec_Est!E1752</f>
        <v>0</v>
      </c>
      <c r="F546" s="1241" t="s">
        <v>3797</v>
      </c>
    </row>
    <row r="547" spans="1:6" s="631" customFormat="1">
      <c r="A547" s="643">
        <f t="shared" ca="1" si="120"/>
        <v>4.1590000000000531</v>
      </c>
      <c r="B547" s="651" t="s">
        <v>625</v>
      </c>
      <c r="C547" s="646">
        <v>50</v>
      </c>
      <c r="D547" s="646" t="s">
        <v>320</v>
      </c>
      <c r="E547" s="649">
        <f ca="1">Elec_Est!E1759</f>
        <v>9.9499999999999993</v>
      </c>
      <c r="F547" s="1125">
        <f t="shared" ref="F547:F552" ca="1" si="122">IFERROR($C547*E547,E547)</f>
        <v>497.49999999999994</v>
      </c>
    </row>
    <row r="548" spans="1:6" s="631" customFormat="1">
      <c r="A548" s="1240">
        <f t="shared" ca="1" si="120"/>
        <v>4.1600000000000534</v>
      </c>
      <c r="B548" s="651" t="s">
        <v>626</v>
      </c>
      <c r="C548" s="1242">
        <v>0</v>
      </c>
      <c r="D548" s="646" t="s">
        <v>320</v>
      </c>
      <c r="E548" s="649">
        <f ca="1">Elec_Est!E1766</f>
        <v>0</v>
      </c>
      <c r="F548" s="1241" t="s">
        <v>3797</v>
      </c>
    </row>
    <row r="549" spans="1:6" s="631" customFormat="1">
      <c r="A549" s="643">
        <f t="shared" ca="1" si="120"/>
        <v>4.1610000000000538</v>
      </c>
      <c r="B549" s="651" t="s">
        <v>627</v>
      </c>
      <c r="C549" s="646">
        <v>40</v>
      </c>
      <c r="D549" s="646" t="s">
        <v>320</v>
      </c>
      <c r="E549" s="649">
        <f ca="1">Elec_Est!E1773</f>
        <v>9.9499999999999993</v>
      </c>
      <c r="F549" s="1125">
        <f t="shared" ca="1" si="122"/>
        <v>398</v>
      </c>
    </row>
    <row r="550" spans="1:6" s="631" customFormat="1">
      <c r="A550" s="643">
        <f t="shared" ca="1" si="120"/>
        <v>4.1620000000000541</v>
      </c>
      <c r="B550" s="651" t="s">
        <v>628</v>
      </c>
      <c r="C550" s="646">
        <v>35</v>
      </c>
      <c r="D550" s="646" t="s">
        <v>320</v>
      </c>
      <c r="E550" s="649">
        <f ca="1">Elec_Est!E1780</f>
        <v>9.9499999999999993</v>
      </c>
      <c r="F550" s="1125">
        <f t="shared" ca="1" si="122"/>
        <v>348.25</v>
      </c>
    </row>
    <row r="551" spans="1:6" s="631" customFormat="1">
      <c r="A551" s="643">
        <f t="shared" ca="1" si="120"/>
        <v>4.1630000000000544</v>
      </c>
      <c r="B551" s="651" t="s">
        <v>629</v>
      </c>
      <c r="C551" s="646">
        <v>40</v>
      </c>
      <c r="D551" s="646" t="s">
        <v>320</v>
      </c>
      <c r="E551" s="649">
        <f ca="1">Elec_Est!E1787</f>
        <v>9.9499999999999993</v>
      </c>
      <c r="F551" s="1125">
        <f t="shared" ca="1" si="122"/>
        <v>398</v>
      </c>
    </row>
    <row r="552" spans="1:6" s="631" customFormat="1">
      <c r="A552" s="643">
        <f t="shared" ca="1" si="120"/>
        <v>4.1640000000000548</v>
      </c>
      <c r="B552" s="651" t="s">
        <v>630</v>
      </c>
      <c r="C552" s="646">
        <v>35</v>
      </c>
      <c r="D552" s="646" t="s">
        <v>320</v>
      </c>
      <c r="E552" s="649">
        <f ca="1">Elec_Est!E1794</f>
        <v>9.9499999999999993</v>
      </c>
      <c r="F552" s="1125">
        <f t="shared" ca="1" si="122"/>
        <v>348.25</v>
      </c>
    </row>
    <row r="553" spans="1:6" s="631" customFormat="1">
      <c r="A553" s="1240">
        <f t="shared" ca="1" si="120"/>
        <v>4.1650000000000551</v>
      </c>
      <c r="B553" s="651" t="s">
        <v>631</v>
      </c>
      <c r="C553" s="1242">
        <v>0</v>
      </c>
      <c r="D553" s="646" t="s">
        <v>320</v>
      </c>
      <c r="E553" s="649">
        <f ca="1">Elec_Est!E1801</f>
        <v>0</v>
      </c>
      <c r="F553" s="1241" t="s">
        <v>3797</v>
      </c>
    </row>
    <row r="554" spans="1:6" s="631" customFormat="1">
      <c r="A554" s="643"/>
      <c r="B554" s="687" t="s">
        <v>463</v>
      </c>
      <c r="C554" s="646"/>
      <c r="D554" s="646"/>
      <c r="E554" s="649"/>
      <c r="F554" s="1125"/>
    </row>
    <row r="555" spans="1:6" s="631" customFormat="1">
      <c r="A555" s="1240">
        <f t="shared" ref="A555" ca="1" si="123">IFERROR(IF(OFFSET(A555,-1,0)&gt;0,OFFSET(A555,-1,0)+0.001,ERROR.TYPE(0)),IFERROR(IF(OFFSET(A555,-2,0)&gt;0,OFFSET(A555,-2,0)+0.001,ERROR.TYPE(0)),IFERROR(IF(OFFSET(A555,-3,0)&gt;0,OFFSET(A555,-3,0)+0.001,ERROR.TYPE(0)),IFERROR(IF(OFFSET(A555,-4,0)&gt;0,OFFSET(A555,-4,0)+0.001,ERROR.TYPE(0)),IFERROR(IF(OFFSET(A555,-5,0)&gt;0,OFFSET(A555,-5,0)+0.001,ERROR.TYPE(0)),IFERROR(IF(OFFSET(A555,-6,0)&gt;0,OFFSET(A555,-6,0)+0.001,ERROR.TYPE(0)),IFERROR(IF(OFFSET(A555,-7,0)&gt;0,OFFSET(A555,-7,0)+0.001,ERROR.TYPE(0)),IFERROR(IF(OFFSET(A555,-8,0)&gt;0,OFFSET(A555,-8,0)+0.001,ERROR.TYPE(0)),IFERROR(IF(OFFSET(A555,-9,0)&gt;0,OFFSET(A555,-9,0)+0.001,ERROR.TYPE(0)),IFERROR(IF(OFFSET(A555,-10,0)&gt;0,OFFSET(A555,-10,0)+0.001,ERROR.TYPE(0)),ERROR.TYPE(0)))))))))))</f>
        <v>4.1660000000000554</v>
      </c>
      <c r="B555" s="651" t="s">
        <v>586</v>
      </c>
      <c r="C555" s="1242">
        <v>11</v>
      </c>
      <c r="D555" s="646" t="s">
        <v>141</v>
      </c>
      <c r="E555" s="649">
        <f ca="1">Elec_Est!E1812</f>
        <v>54.11</v>
      </c>
      <c r="F555" s="1125">
        <f ca="1">IFERROR($C555*E555,E555)</f>
        <v>595.21</v>
      </c>
    </row>
    <row r="556" spans="1:6" s="631" customFormat="1" ht="27.6">
      <c r="A556" s="643"/>
      <c r="B556" s="687" t="s">
        <v>498</v>
      </c>
      <c r="C556" s="645"/>
      <c r="D556" s="646"/>
      <c r="E556" s="647"/>
      <c r="F556" s="1124"/>
    </row>
    <row r="557" spans="1:6" s="631" customFormat="1">
      <c r="A557" s="643"/>
      <c r="B557" s="688" t="s">
        <v>632</v>
      </c>
      <c r="C557" s="645"/>
      <c r="D557" s="646"/>
      <c r="E557" s="647"/>
      <c r="F557" s="1124"/>
    </row>
    <row r="558" spans="1:6" s="631" customFormat="1">
      <c r="A558" s="643">
        <f t="shared" ref="A558" ca="1" si="124">IFERROR(IF(OFFSET(A558,-1,0)&gt;0,OFFSET(A558,-1,0)+0.001,ERROR.TYPE(0)),IFERROR(IF(OFFSET(A558,-2,0)&gt;0,OFFSET(A558,-2,0)+0.001,ERROR.TYPE(0)),IFERROR(IF(OFFSET(A558,-3,0)&gt;0,OFFSET(A558,-3,0)+0.001,ERROR.TYPE(0)),IFERROR(IF(OFFSET(A558,-4,0)&gt;0,OFFSET(A558,-4,0)+0.001,ERROR.TYPE(0)),IFERROR(IF(OFFSET(A558,-5,0)&gt;0,OFFSET(A558,-5,0)+0.001,ERROR.TYPE(0)),IFERROR(IF(OFFSET(A558,-6,0)&gt;0,OFFSET(A558,-6,0)+0.001,ERROR.TYPE(0)),IFERROR(IF(OFFSET(A558,-7,0)&gt;0,OFFSET(A558,-7,0)+0.001,ERROR.TYPE(0)),IFERROR(IF(OFFSET(A558,-8,0)&gt;0,OFFSET(A558,-8,0)+0.001,ERROR.TYPE(0)),IFERROR(IF(OFFSET(A558,-9,0)&gt;0,OFFSET(A558,-9,0)+0.001,ERROR.TYPE(0)),IFERROR(IF(OFFSET(A558,-10,0)&gt;0,OFFSET(A558,-10,0)+0.001,ERROR.TYPE(0)),ERROR.TYPE(0)))))))))))</f>
        <v>4.1670000000000558</v>
      </c>
      <c r="B558" s="651" t="s">
        <v>633</v>
      </c>
      <c r="C558" s="646">
        <v>20</v>
      </c>
      <c r="D558" s="646" t="s">
        <v>320</v>
      </c>
      <c r="E558" s="649">
        <f ca="1">Elec_Est!E1827</f>
        <v>8.18</v>
      </c>
      <c r="F558" s="1125">
        <f ca="1">IFERROR($C558*E558,E558)</f>
        <v>163.6</v>
      </c>
    </row>
    <row r="559" spans="1:6" s="631" customFormat="1">
      <c r="A559" s="643"/>
      <c r="B559" s="687" t="s">
        <v>463</v>
      </c>
      <c r="C559" s="646"/>
      <c r="D559" s="646"/>
      <c r="E559" s="649"/>
      <c r="F559" s="1125"/>
    </row>
    <row r="560" spans="1:6" s="631" customFormat="1">
      <c r="A560" s="643">
        <f t="shared" ref="A560" ca="1" si="125">IFERROR(IF(OFFSET(A560,-1,0)&gt;0,OFFSET(A560,-1,0)+0.001,ERROR.TYPE(0)),IFERROR(IF(OFFSET(A560,-2,0)&gt;0,OFFSET(A560,-2,0)+0.001,ERROR.TYPE(0)),IFERROR(IF(OFFSET(A560,-3,0)&gt;0,OFFSET(A560,-3,0)+0.001,ERROR.TYPE(0)),IFERROR(IF(OFFSET(A560,-4,0)&gt;0,OFFSET(A560,-4,0)+0.001,ERROR.TYPE(0)),IFERROR(IF(OFFSET(A560,-5,0)&gt;0,OFFSET(A560,-5,0)+0.001,ERROR.TYPE(0)),IFERROR(IF(OFFSET(A560,-6,0)&gt;0,OFFSET(A560,-6,0)+0.001,ERROR.TYPE(0)),IFERROR(IF(OFFSET(A560,-7,0)&gt;0,OFFSET(A560,-7,0)+0.001,ERROR.TYPE(0)),IFERROR(IF(OFFSET(A560,-8,0)&gt;0,OFFSET(A560,-8,0)+0.001,ERROR.TYPE(0)),IFERROR(IF(OFFSET(A560,-9,0)&gt;0,OFFSET(A560,-9,0)+0.001,ERROR.TYPE(0)),IFERROR(IF(OFFSET(A560,-10,0)&gt;0,OFFSET(A560,-10,0)+0.001,ERROR.TYPE(0)),ERROR.TYPE(0)))))))))))</f>
        <v>4.1680000000000561</v>
      </c>
      <c r="B560" s="651" t="s">
        <v>595</v>
      </c>
      <c r="C560" s="646">
        <v>1</v>
      </c>
      <c r="D560" s="646" t="s">
        <v>141</v>
      </c>
      <c r="E560" s="649">
        <f ca="1">Elec_Est!E1838</f>
        <v>57.79</v>
      </c>
      <c r="F560" s="1125">
        <f ca="1">IFERROR($C560*E560,E560)</f>
        <v>57.79</v>
      </c>
    </row>
    <row r="561" spans="1:6" s="631" customFormat="1">
      <c r="A561" s="638"/>
      <c r="B561" s="639" t="s">
        <v>634</v>
      </c>
      <c r="C561" s="1456" t="s">
        <v>305</v>
      </c>
      <c r="D561" s="1457"/>
      <c r="E561" s="652"/>
      <c r="F561" s="1239">
        <f ca="1">SUM(F500:F560)</f>
        <v>21435.21</v>
      </c>
    </row>
    <row r="562" spans="1:6" s="631" customFormat="1">
      <c r="A562" s="660"/>
      <c r="B562" s="629"/>
      <c r="C562" s="661"/>
      <c r="D562" s="654"/>
      <c r="E562" s="662"/>
      <c r="F562" s="1127"/>
    </row>
    <row r="563" spans="1:6" s="631" customFormat="1">
      <c r="A563" s="660"/>
      <c r="B563" s="629"/>
      <c r="C563" s="661"/>
      <c r="D563" s="654"/>
      <c r="E563" s="662"/>
      <c r="F563" s="1127"/>
    </row>
    <row r="564" spans="1:6" s="631" customFormat="1" ht="27.6">
      <c r="A564" s="634" t="s">
        <v>143</v>
      </c>
      <c r="B564" s="635" t="s">
        <v>198</v>
      </c>
      <c r="C564" s="636" t="s">
        <v>199</v>
      </c>
      <c r="D564" s="636" t="s">
        <v>200</v>
      </c>
      <c r="E564" s="637" t="s">
        <v>294</v>
      </c>
      <c r="F564" s="1122" t="s">
        <v>295</v>
      </c>
    </row>
    <row r="565" spans="1:6" s="631" customFormat="1" ht="27.6">
      <c r="A565" s="643"/>
      <c r="B565" s="687" t="s">
        <v>498</v>
      </c>
      <c r="C565" s="645"/>
      <c r="D565" s="646"/>
      <c r="E565" s="647"/>
      <c r="F565" s="1124"/>
    </row>
    <row r="566" spans="1:6" s="631" customFormat="1">
      <c r="A566" s="643"/>
      <c r="B566" s="688" t="s">
        <v>635</v>
      </c>
      <c r="C566" s="645"/>
      <c r="D566" s="646"/>
      <c r="E566" s="647"/>
      <c r="F566" s="1124"/>
    </row>
    <row r="567" spans="1:6" s="631" customFormat="1">
      <c r="A567" s="643">
        <f t="shared" ref="A567" ca="1" si="126">IFERROR(IF(OFFSET(A567,-1,0)&gt;0,OFFSET(A567,-1,0)+0.001,ERROR.TYPE(0)),IFERROR(IF(OFFSET(A567,-2,0)&gt;0,OFFSET(A567,-2,0)+0.001,ERROR.TYPE(0)),IFERROR(IF(OFFSET(A567,-3,0)&gt;0,OFFSET(A567,-3,0)+0.001,ERROR.TYPE(0)),IFERROR(IF(OFFSET(A567,-4,0)&gt;0,OFFSET(A567,-4,0)+0.001,ERROR.TYPE(0)),IFERROR(IF(OFFSET(A567,-5,0)&gt;0,OFFSET(A567,-5,0)+0.001,ERROR.TYPE(0)),IFERROR(IF(OFFSET(A567,-6,0)&gt;0,OFFSET(A567,-6,0)+0.001,ERROR.TYPE(0)),IFERROR(IF(OFFSET(A567,-7,0)&gt;0,OFFSET(A567,-7,0)+0.001,ERROR.TYPE(0)),IFERROR(IF(OFFSET(A567,-8,0)&gt;0,OFFSET(A567,-8,0)+0.001,ERROR.TYPE(0)),IFERROR(IF(OFFSET(A567,-9,0)&gt;0,OFFSET(A567,-9,0)+0.001,ERROR.TYPE(0)),IFERROR(IF(OFFSET(A567,-10,0)&gt;0,OFFSET(A567,-10,0)+0.001,ERROR.TYPE(0)),ERROR.TYPE(0)))))))))))</f>
        <v>4.1690000000000564</v>
      </c>
      <c r="B567" s="651" t="s">
        <v>636</v>
      </c>
      <c r="C567" s="646">
        <v>5</v>
      </c>
      <c r="D567" s="646" t="s">
        <v>320</v>
      </c>
      <c r="E567" s="649">
        <f ca="1">Elec_Est!E1859</f>
        <v>16.079999999999998</v>
      </c>
      <c r="F567" s="1125">
        <f ca="1">IFERROR($C567*E567,E567)</f>
        <v>80.399999999999991</v>
      </c>
    </row>
    <row r="568" spans="1:6" s="631" customFormat="1">
      <c r="A568" s="643"/>
      <c r="B568" s="688" t="s">
        <v>637</v>
      </c>
      <c r="C568" s="645"/>
      <c r="D568" s="646"/>
      <c r="E568" s="647"/>
      <c r="F568" s="1124"/>
    </row>
    <row r="569" spans="1:6" s="631" customFormat="1">
      <c r="A569" s="643">
        <f t="shared" ref="A569:A571" ca="1" si="127">IFERROR(IF(OFFSET(A569,-1,0)&gt;0,OFFSET(A569,-1,0)+0.001,ERROR.TYPE(0)),IFERROR(IF(OFFSET(A569,-2,0)&gt;0,OFFSET(A569,-2,0)+0.001,ERROR.TYPE(0)),IFERROR(IF(OFFSET(A569,-3,0)&gt;0,OFFSET(A569,-3,0)+0.001,ERROR.TYPE(0)),IFERROR(IF(OFFSET(A569,-4,0)&gt;0,OFFSET(A569,-4,0)+0.001,ERROR.TYPE(0)),IFERROR(IF(OFFSET(A569,-5,0)&gt;0,OFFSET(A569,-5,0)+0.001,ERROR.TYPE(0)),IFERROR(IF(OFFSET(A569,-6,0)&gt;0,OFFSET(A569,-6,0)+0.001,ERROR.TYPE(0)),IFERROR(IF(OFFSET(A569,-7,0)&gt;0,OFFSET(A569,-7,0)+0.001,ERROR.TYPE(0)),IFERROR(IF(OFFSET(A569,-8,0)&gt;0,OFFSET(A569,-8,0)+0.001,ERROR.TYPE(0)),IFERROR(IF(OFFSET(A569,-9,0)&gt;0,OFFSET(A569,-9,0)+0.001,ERROR.TYPE(0)),IFERROR(IF(OFFSET(A569,-10,0)&gt;0,OFFSET(A569,-10,0)+0.001,ERROR.TYPE(0)),ERROR.TYPE(0)))))))))))</f>
        <v>4.1700000000000568</v>
      </c>
      <c r="B569" s="651" t="s">
        <v>638</v>
      </c>
      <c r="C569" s="646">
        <v>40</v>
      </c>
      <c r="D569" s="646" t="s">
        <v>320</v>
      </c>
      <c r="E569" s="649">
        <f ca="1">Elec_Est!E1870</f>
        <v>5.63</v>
      </c>
      <c r="F569" s="1125">
        <f ca="1">IFERROR($C569*E569,E569)</f>
        <v>225.2</v>
      </c>
    </row>
    <row r="570" spans="1:6" s="631" customFormat="1">
      <c r="A570" s="643">
        <f t="shared" ca="1" si="127"/>
        <v>4.1710000000000571</v>
      </c>
      <c r="B570" s="651" t="s">
        <v>639</v>
      </c>
      <c r="C570" s="646">
        <v>15</v>
      </c>
      <c r="D570" s="646" t="s">
        <v>320</v>
      </c>
      <c r="E570" s="649">
        <f ca="1">Elec_Est!E1877</f>
        <v>5.63</v>
      </c>
      <c r="F570" s="1125">
        <f ca="1">IFERROR($C570*E570,E570)</f>
        <v>84.45</v>
      </c>
    </row>
    <row r="571" spans="1:6" s="631" customFormat="1">
      <c r="A571" s="643">
        <f t="shared" ca="1" si="127"/>
        <v>4.1720000000000574</v>
      </c>
      <c r="B571" s="651" t="s">
        <v>640</v>
      </c>
      <c r="C571" s="646">
        <v>50</v>
      </c>
      <c r="D571" s="646" t="s">
        <v>320</v>
      </c>
      <c r="E571" s="649">
        <f ca="1">Elec_Est!E1884</f>
        <v>5.63</v>
      </c>
      <c r="F571" s="1125">
        <f ca="1">IFERROR($C571*E571,E571)</f>
        <v>281.5</v>
      </c>
    </row>
    <row r="572" spans="1:6" s="631" customFormat="1">
      <c r="A572" s="643"/>
      <c r="B572" s="687" t="s">
        <v>463</v>
      </c>
      <c r="C572" s="646"/>
      <c r="D572" s="646"/>
      <c r="E572" s="649"/>
      <c r="F572" s="1125"/>
    </row>
    <row r="573" spans="1:6" s="631" customFormat="1">
      <c r="A573" s="643">
        <f t="shared" ref="A573" ca="1" si="128">IFERROR(IF(OFFSET(A573,-1,0)&gt;0,OFFSET(A573,-1,0)+0.001,ERROR.TYPE(0)),IFERROR(IF(OFFSET(A573,-2,0)&gt;0,OFFSET(A573,-2,0)+0.001,ERROR.TYPE(0)),IFERROR(IF(OFFSET(A573,-3,0)&gt;0,OFFSET(A573,-3,0)+0.001,ERROR.TYPE(0)),IFERROR(IF(OFFSET(A573,-4,0)&gt;0,OFFSET(A573,-4,0)+0.001,ERROR.TYPE(0)),IFERROR(IF(OFFSET(A573,-5,0)&gt;0,OFFSET(A573,-5,0)+0.001,ERROR.TYPE(0)),IFERROR(IF(OFFSET(A573,-6,0)&gt;0,OFFSET(A573,-6,0)+0.001,ERROR.TYPE(0)),IFERROR(IF(OFFSET(A573,-7,0)&gt;0,OFFSET(A573,-7,0)+0.001,ERROR.TYPE(0)),IFERROR(IF(OFFSET(A573,-8,0)&gt;0,OFFSET(A573,-8,0)+0.001,ERROR.TYPE(0)),IFERROR(IF(OFFSET(A573,-9,0)&gt;0,OFFSET(A573,-9,0)+0.001,ERROR.TYPE(0)),IFERROR(IF(OFFSET(A573,-10,0)&gt;0,OFFSET(A573,-10,0)+0.001,ERROR.TYPE(0)),ERROR.TYPE(0)))))))))))</f>
        <v>4.1730000000000578</v>
      </c>
      <c r="B573" s="651" t="s">
        <v>556</v>
      </c>
      <c r="C573" s="646">
        <v>3</v>
      </c>
      <c r="D573" s="646" t="s">
        <v>141</v>
      </c>
      <c r="E573" s="649">
        <f ca="1">Elec_Est!E1895</f>
        <v>48.45</v>
      </c>
      <c r="F573" s="1125">
        <f ca="1">IFERROR($C573*E573,E573)</f>
        <v>145.35000000000002</v>
      </c>
    </row>
    <row r="574" spans="1:6" s="631" customFormat="1" ht="27.6">
      <c r="A574" s="643"/>
      <c r="B574" s="687" t="s">
        <v>498</v>
      </c>
      <c r="C574" s="645"/>
      <c r="D574" s="646"/>
      <c r="E574" s="647"/>
      <c r="F574" s="1124"/>
    </row>
    <row r="575" spans="1:6" s="631" customFormat="1">
      <c r="A575" s="643"/>
      <c r="B575" s="688" t="s">
        <v>641</v>
      </c>
      <c r="C575" s="645"/>
      <c r="D575" s="646"/>
      <c r="E575" s="647"/>
      <c r="F575" s="1124"/>
    </row>
    <row r="576" spans="1:6" s="631" customFormat="1">
      <c r="A576" s="643">
        <f t="shared" ref="A576:A585" ca="1" si="129">IFERROR(IF(OFFSET(A576,-1,0)&gt;0,OFFSET(A576,-1,0)+0.001,ERROR.TYPE(0)),IFERROR(IF(OFFSET(A576,-2,0)&gt;0,OFFSET(A576,-2,0)+0.001,ERROR.TYPE(0)),IFERROR(IF(OFFSET(A576,-3,0)&gt;0,OFFSET(A576,-3,0)+0.001,ERROR.TYPE(0)),IFERROR(IF(OFFSET(A576,-4,0)&gt;0,OFFSET(A576,-4,0)+0.001,ERROR.TYPE(0)),IFERROR(IF(OFFSET(A576,-5,0)&gt;0,OFFSET(A576,-5,0)+0.001,ERROR.TYPE(0)),IFERROR(IF(OFFSET(A576,-6,0)&gt;0,OFFSET(A576,-6,0)+0.001,ERROR.TYPE(0)),IFERROR(IF(OFFSET(A576,-7,0)&gt;0,OFFSET(A576,-7,0)+0.001,ERROR.TYPE(0)),IFERROR(IF(OFFSET(A576,-8,0)&gt;0,OFFSET(A576,-8,0)+0.001,ERROR.TYPE(0)),IFERROR(IF(OFFSET(A576,-9,0)&gt;0,OFFSET(A576,-9,0)+0.001,ERROR.TYPE(0)),IFERROR(IF(OFFSET(A576,-10,0)&gt;0,OFFSET(A576,-10,0)+0.001,ERROR.TYPE(0)),ERROR.TYPE(0)))))))))))</f>
        <v>4.1740000000000581</v>
      </c>
      <c r="B576" s="651" t="s">
        <v>642</v>
      </c>
      <c r="C576" s="646">
        <v>25</v>
      </c>
      <c r="D576" s="646" t="s">
        <v>320</v>
      </c>
      <c r="E576" s="649">
        <f ca="1">Elec_Est!E1910</f>
        <v>5.93</v>
      </c>
      <c r="F576" s="1125">
        <f ca="1">IFERROR($C576*E576,E576)</f>
        <v>148.25</v>
      </c>
    </row>
    <row r="577" spans="1:6" s="631" customFormat="1">
      <c r="A577" s="643">
        <f t="shared" ca="1" si="129"/>
        <v>4.1750000000000584</v>
      </c>
      <c r="B577" s="651" t="s">
        <v>643</v>
      </c>
      <c r="C577" s="646">
        <v>25</v>
      </c>
      <c r="D577" s="646" t="s">
        <v>320</v>
      </c>
      <c r="E577" s="649">
        <f ca="1">Elec_Est!E1917</f>
        <v>5.93</v>
      </c>
      <c r="F577" s="1125">
        <f ca="1">IFERROR($C577*E577,E577)</f>
        <v>148.25</v>
      </c>
    </row>
    <row r="578" spans="1:6" s="631" customFormat="1">
      <c r="A578" s="643">
        <f t="shared" ca="1" si="129"/>
        <v>4.1760000000000588</v>
      </c>
      <c r="B578" s="651" t="s">
        <v>644</v>
      </c>
      <c r="C578" s="646">
        <v>30</v>
      </c>
      <c r="D578" s="646" t="s">
        <v>320</v>
      </c>
      <c r="E578" s="649">
        <f ca="1">Elec_Est!E1924</f>
        <v>5.93</v>
      </c>
      <c r="F578" s="1125">
        <f ca="1">IFERROR($C578*E578,E578)</f>
        <v>177.89999999999998</v>
      </c>
    </row>
    <row r="579" spans="1:6" s="631" customFormat="1">
      <c r="A579" s="643">
        <f t="shared" ca="1" si="129"/>
        <v>4.1770000000000591</v>
      </c>
      <c r="B579" s="651" t="s">
        <v>645</v>
      </c>
      <c r="C579" s="646">
        <v>35</v>
      </c>
      <c r="D579" s="646" t="s">
        <v>320</v>
      </c>
      <c r="E579" s="649">
        <f ca="1">Elec_Est!E1931</f>
        <v>5.93</v>
      </c>
      <c r="F579" s="1125">
        <f ca="1">IFERROR($C579*E579,E579)</f>
        <v>207.54999999999998</v>
      </c>
    </row>
    <row r="580" spans="1:6" s="631" customFormat="1">
      <c r="A580" s="643">
        <f t="shared" ca="1" si="129"/>
        <v>4.1780000000000594</v>
      </c>
      <c r="B580" s="651" t="s">
        <v>646</v>
      </c>
      <c r="C580" s="646">
        <v>30</v>
      </c>
      <c r="D580" s="646" t="s">
        <v>320</v>
      </c>
      <c r="E580" s="649">
        <f ca="1">Elec_Est!E1938</f>
        <v>9.9499999999999993</v>
      </c>
      <c r="F580" s="1125">
        <f t="shared" ref="F580:F585" ca="1" si="130">IFERROR($C580*E580,E580)</f>
        <v>298.5</v>
      </c>
    </row>
    <row r="581" spans="1:6" s="631" customFormat="1">
      <c r="A581" s="643">
        <f t="shared" ca="1" si="129"/>
        <v>4.1790000000000598</v>
      </c>
      <c r="B581" s="651" t="s">
        <v>647</v>
      </c>
      <c r="C581" s="646">
        <v>50</v>
      </c>
      <c r="D581" s="646" t="s">
        <v>320</v>
      </c>
      <c r="E581" s="649">
        <f ca="1">Elec_Est!E1945</f>
        <v>9.9499999999999993</v>
      </c>
      <c r="F581" s="1125">
        <f t="shared" ca="1" si="130"/>
        <v>497.49999999999994</v>
      </c>
    </row>
    <row r="582" spans="1:6" s="631" customFormat="1">
      <c r="A582" s="643">
        <f t="shared" ca="1" si="129"/>
        <v>4.1800000000000601</v>
      </c>
      <c r="B582" s="651" t="s">
        <v>648</v>
      </c>
      <c r="C582" s="646">
        <v>55</v>
      </c>
      <c r="D582" s="646" t="s">
        <v>320</v>
      </c>
      <c r="E582" s="649">
        <f ca="1">Elec_Est!E1952</f>
        <v>9.9499999999999993</v>
      </c>
      <c r="F582" s="1125">
        <f t="shared" ca="1" si="130"/>
        <v>547.25</v>
      </c>
    </row>
    <row r="583" spans="1:6" s="631" customFormat="1">
      <c r="A583" s="643">
        <f t="shared" ca="1" si="129"/>
        <v>4.1810000000000604</v>
      </c>
      <c r="B583" s="651" t="s">
        <v>649</v>
      </c>
      <c r="C583" s="646">
        <v>55</v>
      </c>
      <c r="D583" s="646" t="s">
        <v>320</v>
      </c>
      <c r="E583" s="649">
        <f ca="1">Elec_Est!E1959</f>
        <v>9.9499999999999993</v>
      </c>
      <c r="F583" s="1125">
        <f t="shared" ca="1" si="130"/>
        <v>547.25</v>
      </c>
    </row>
    <row r="584" spans="1:6" s="631" customFormat="1">
      <c r="A584" s="643">
        <f t="shared" ca="1" si="129"/>
        <v>4.1820000000000608</v>
      </c>
      <c r="B584" s="651" t="s">
        <v>650</v>
      </c>
      <c r="C584" s="646">
        <v>20</v>
      </c>
      <c r="D584" s="646" t="s">
        <v>320</v>
      </c>
      <c r="E584" s="649">
        <f ca="1">Elec_Est!E1966</f>
        <v>9.9499999999999993</v>
      </c>
      <c r="F584" s="1125">
        <f t="shared" ca="1" si="130"/>
        <v>199</v>
      </c>
    </row>
    <row r="585" spans="1:6" s="631" customFormat="1">
      <c r="A585" s="643">
        <f t="shared" ca="1" si="129"/>
        <v>4.1830000000000611</v>
      </c>
      <c r="B585" s="651" t="s">
        <v>651</v>
      </c>
      <c r="C585" s="646">
        <v>25</v>
      </c>
      <c r="D585" s="646" t="s">
        <v>320</v>
      </c>
      <c r="E585" s="649">
        <f ca="1">Elec_Est!E1973</f>
        <v>9.9499999999999993</v>
      </c>
      <c r="F585" s="1125">
        <f t="shared" ca="1" si="130"/>
        <v>248.74999999999997</v>
      </c>
    </row>
    <row r="586" spans="1:6" s="631" customFormat="1">
      <c r="A586" s="643"/>
      <c r="B586" s="687" t="s">
        <v>463</v>
      </c>
      <c r="C586" s="646"/>
      <c r="D586" s="646"/>
      <c r="E586" s="649"/>
      <c r="F586" s="1125"/>
    </row>
    <row r="587" spans="1:6" s="631" customFormat="1">
      <c r="A587" s="643">
        <f t="shared" ref="A587:A588" ca="1" si="131">IFERROR(IF(OFFSET(A587,-1,0)&gt;0,OFFSET(A587,-1,0)+0.001,ERROR.TYPE(0)),IFERROR(IF(OFFSET(A587,-2,0)&gt;0,OFFSET(A587,-2,0)+0.001,ERROR.TYPE(0)),IFERROR(IF(OFFSET(A587,-3,0)&gt;0,OFFSET(A587,-3,0)+0.001,ERROR.TYPE(0)),IFERROR(IF(OFFSET(A587,-4,0)&gt;0,OFFSET(A587,-4,0)+0.001,ERROR.TYPE(0)),IFERROR(IF(OFFSET(A587,-5,0)&gt;0,OFFSET(A587,-5,0)+0.001,ERROR.TYPE(0)),IFERROR(IF(OFFSET(A587,-6,0)&gt;0,OFFSET(A587,-6,0)+0.001,ERROR.TYPE(0)),IFERROR(IF(OFFSET(A587,-7,0)&gt;0,OFFSET(A587,-7,0)+0.001,ERROR.TYPE(0)),IFERROR(IF(OFFSET(A587,-8,0)&gt;0,OFFSET(A587,-8,0)+0.001,ERROR.TYPE(0)),IFERROR(IF(OFFSET(A587,-9,0)&gt;0,OFFSET(A587,-9,0)+0.001,ERROR.TYPE(0)),IFERROR(IF(OFFSET(A587,-10,0)&gt;0,OFFSET(A587,-10,0)+0.001,ERROR.TYPE(0)),ERROR.TYPE(0)))))))))))</f>
        <v>4.1840000000000614</v>
      </c>
      <c r="B587" s="651" t="s">
        <v>586</v>
      </c>
      <c r="C587" s="646">
        <v>8</v>
      </c>
      <c r="D587" s="646" t="s">
        <v>141</v>
      </c>
      <c r="E587" s="649">
        <f ca="1">Elec_Est!E1984</f>
        <v>54.11</v>
      </c>
      <c r="F587" s="1125">
        <f ca="1">IFERROR($C587*E587,E587)</f>
        <v>432.88</v>
      </c>
    </row>
    <row r="588" spans="1:6" s="631" customFormat="1">
      <c r="A588" s="643">
        <f t="shared" ca="1" si="131"/>
        <v>4.1850000000000618</v>
      </c>
      <c r="B588" s="651" t="s">
        <v>652</v>
      </c>
      <c r="C588" s="646">
        <v>6</v>
      </c>
      <c r="D588" s="646" t="s">
        <v>141</v>
      </c>
      <c r="E588" s="649">
        <f ca="1">Elec_Est!E1991</f>
        <v>55.35</v>
      </c>
      <c r="F588" s="1125">
        <f ca="1">IFERROR($C588*E588,E588)</f>
        <v>332.1</v>
      </c>
    </row>
    <row r="589" spans="1:6" s="631" customFormat="1" ht="27.6">
      <c r="A589" s="643"/>
      <c r="B589" s="687" t="s">
        <v>498</v>
      </c>
      <c r="C589" s="645"/>
      <c r="D589" s="646"/>
      <c r="E589" s="647"/>
      <c r="F589" s="1124"/>
    </row>
    <row r="590" spans="1:6" s="631" customFormat="1">
      <c r="A590" s="643"/>
      <c r="B590" s="688" t="s">
        <v>653</v>
      </c>
      <c r="C590" s="645"/>
      <c r="D590" s="646"/>
      <c r="E590" s="647"/>
      <c r="F590" s="1124"/>
    </row>
    <row r="591" spans="1:6" s="631" customFormat="1">
      <c r="A591" s="643">
        <f t="shared" ref="A591:A603" ca="1" si="132">IFERROR(IF(OFFSET(A591,-1,0)&gt;0,OFFSET(A591,-1,0)+0.001,ERROR.TYPE(0)),IFERROR(IF(OFFSET(A591,-2,0)&gt;0,OFFSET(A591,-2,0)+0.001,ERROR.TYPE(0)),IFERROR(IF(OFFSET(A591,-3,0)&gt;0,OFFSET(A591,-3,0)+0.001,ERROR.TYPE(0)),IFERROR(IF(OFFSET(A591,-4,0)&gt;0,OFFSET(A591,-4,0)+0.001,ERROR.TYPE(0)),IFERROR(IF(OFFSET(A591,-5,0)&gt;0,OFFSET(A591,-5,0)+0.001,ERROR.TYPE(0)),IFERROR(IF(OFFSET(A591,-6,0)&gt;0,OFFSET(A591,-6,0)+0.001,ERROR.TYPE(0)),IFERROR(IF(OFFSET(A591,-7,0)&gt;0,OFFSET(A591,-7,0)+0.001,ERROR.TYPE(0)),IFERROR(IF(OFFSET(A591,-8,0)&gt;0,OFFSET(A591,-8,0)+0.001,ERROR.TYPE(0)),IFERROR(IF(OFFSET(A591,-9,0)&gt;0,OFFSET(A591,-9,0)+0.001,ERROR.TYPE(0)),IFERROR(IF(OFFSET(A591,-10,0)&gt;0,OFFSET(A591,-10,0)+0.001,ERROR.TYPE(0)),ERROR.TYPE(0)))))))))))</f>
        <v>4.1860000000000621</v>
      </c>
      <c r="B591" s="651" t="s">
        <v>654</v>
      </c>
      <c r="C591" s="646">
        <v>25</v>
      </c>
      <c r="D591" s="646" t="s">
        <v>320</v>
      </c>
      <c r="E591" s="649">
        <f ca="1">Elec_Est!E2006</f>
        <v>9.9499999999999993</v>
      </c>
      <c r="F591" s="1125">
        <f ca="1">IFERROR($C591*E591,E591)</f>
        <v>248.74999999999997</v>
      </c>
    </row>
    <row r="592" spans="1:6" s="631" customFormat="1">
      <c r="A592" s="643">
        <f t="shared" ca="1" si="132"/>
        <v>4.1870000000000624</v>
      </c>
      <c r="B592" s="651" t="s">
        <v>655</v>
      </c>
      <c r="C592" s="646">
        <v>30</v>
      </c>
      <c r="D592" s="646" t="s">
        <v>320</v>
      </c>
      <c r="E592" s="649">
        <f ca="1">Elec_Est!E2013</f>
        <v>9.9499999999999993</v>
      </c>
      <c r="F592" s="1125">
        <f ca="1">IFERROR($C592*E592,E592)</f>
        <v>298.5</v>
      </c>
    </row>
    <row r="593" spans="1:6" s="631" customFormat="1">
      <c r="A593" s="643">
        <f t="shared" ca="1" si="132"/>
        <v>4.1880000000000628</v>
      </c>
      <c r="B593" s="651" t="s">
        <v>656</v>
      </c>
      <c r="C593" s="646">
        <v>30</v>
      </c>
      <c r="D593" s="646" t="s">
        <v>320</v>
      </c>
      <c r="E593" s="649">
        <f ca="1">Elec_Est!E2020</f>
        <v>9.9499999999999993</v>
      </c>
      <c r="F593" s="1125">
        <f ca="1">IFERROR($C593*E593,E593)</f>
        <v>298.5</v>
      </c>
    </row>
    <row r="594" spans="1:6" s="631" customFormat="1">
      <c r="A594" s="643">
        <f t="shared" ca="1" si="132"/>
        <v>4.1890000000000631</v>
      </c>
      <c r="B594" s="651" t="s">
        <v>657</v>
      </c>
      <c r="C594" s="646">
        <v>35</v>
      </c>
      <c r="D594" s="646" t="s">
        <v>320</v>
      </c>
      <c r="E594" s="649">
        <f ca="1">Elec_Est!E2027</f>
        <v>9.9499999999999993</v>
      </c>
      <c r="F594" s="1125">
        <f ca="1">IFERROR($C594*E594,E594)</f>
        <v>348.25</v>
      </c>
    </row>
    <row r="595" spans="1:6" s="631" customFormat="1">
      <c r="A595" s="643">
        <f t="shared" ca="1" si="132"/>
        <v>4.1900000000000635</v>
      </c>
      <c r="B595" s="651" t="s">
        <v>658</v>
      </c>
      <c r="C595" s="646">
        <v>35</v>
      </c>
      <c r="D595" s="646" t="s">
        <v>320</v>
      </c>
      <c r="E595" s="649">
        <f ca="1">Elec_Est!E2034</f>
        <v>9.9499999999999993</v>
      </c>
      <c r="F595" s="1125">
        <f t="shared" ref="F595:F603" ca="1" si="133">IFERROR($C595*E595,E595)</f>
        <v>348.25</v>
      </c>
    </row>
    <row r="596" spans="1:6" s="631" customFormat="1">
      <c r="A596" s="643">
        <f t="shared" ca="1" si="132"/>
        <v>4.1910000000000638</v>
      </c>
      <c r="B596" s="651" t="s">
        <v>659</v>
      </c>
      <c r="C596" s="646">
        <v>35</v>
      </c>
      <c r="D596" s="646" t="s">
        <v>320</v>
      </c>
      <c r="E596" s="649">
        <f ca="1">Elec_Est!E2041</f>
        <v>9.9499999999999993</v>
      </c>
      <c r="F596" s="1125">
        <f t="shared" ca="1" si="133"/>
        <v>348.25</v>
      </c>
    </row>
    <row r="597" spans="1:6" s="631" customFormat="1">
      <c r="A597" s="643">
        <f t="shared" ca="1" si="132"/>
        <v>4.1920000000000641</v>
      </c>
      <c r="B597" s="651" t="s">
        <v>660</v>
      </c>
      <c r="C597" s="646">
        <v>35</v>
      </c>
      <c r="D597" s="646" t="s">
        <v>320</v>
      </c>
      <c r="E597" s="649">
        <f ca="1">Elec_Est!E2048</f>
        <v>9.9499999999999993</v>
      </c>
      <c r="F597" s="1125">
        <f t="shared" ca="1" si="133"/>
        <v>348.25</v>
      </c>
    </row>
    <row r="598" spans="1:6" s="631" customFormat="1">
      <c r="A598" s="643">
        <f t="shared" ca="1" si="132"/>
        <v>4.1930000000000645</v>
      </c>
      <c r="B598" s="651" t="s">
        <v>661</v>
      </c>
      <c r="C598" s="646">
        <v>35</v>
      </c>
      <c r="D598" s="646" t="s">
        <v>320</v>
      </c>
      <c r="E598" s="649">
        <f ca="1">Elec_Est!E2055</f>
        <v>9.9499999999999993</v>
      </c>
      <c r="F598" s="1125">
        <f t="shared" ca="1" si="133"/>
        <v>348.25</v>
      </c>
    </row>
    <row r="599" spans="1:6" s="631" customFormat="1">
      <c r="A599" s="643">
        <f t="shared" ca="1" si="132"/>
        <v>4.1940000000000648</v>
      </c>
      <c r="B599" s="651" t="s">
        <v>662</v>
      </c>
      <c r="C599" s="646">
        <v>40</v>
      </c>
      <c r="D599" s="646" t="s">
        <v>320</v>
      </c>
      <c r="E599" s="649">
        <f ca="1">Elec_Est!E2062</f>
        <v>9.9499999999999993</v>
      </c>
      <c r="F599" s="1125">
        <f t="shared" ca="1" si="133"/>
        <v>398</v>
      </c>
    </row>
    <row r="600" spans="1:6" s="631" customFormat="1">
      <c r="A600" s="643">
        <f t="shared" ca="1" si="132"/>
        <v>4.1950000000000651</v>
      </c>
      <c r="B600" s="651" t="s">
        <v>663</v>
      </c>
      <c r="C600" s="646">
        <v>40</v>
      </c>
      <c r="D600" s="646" t="s">
        <v>320</v>
      </c>
      <c r="E600" s="649">
        <f ca="1">Elec_Est!E2069</f>
        <v>9.9499999999999993</v>
      </c>
      <c r="F600" s="1125">
        <f t="shared" ca="1" si="133"/>
        <v>398</v>
      </c>
    </row>
    <row r="601" spans="1:6" s="631" customFormat="1">
      <c r="A601" s="643">
        <f t="shared" ca="1" si="132"/>
        <v>4.1960000000000655</v>
      </c>
      <c r="B601" s="651" t="s">
        <v>664</v>
      </c>
      <c r="C601" s="646">
        <v>40</v>
      </c>
      <c r="D601" s="646" t="s">
        <v>320</v>
      </c>
      <c r="E601" s="649">
        <f ca="1">Elec_Est!E2076</f>
        <v>9.9499999999999993</v>
      </c>
      <c r="F601" s="1125">
        <f t="shared" ca="1" si="133"/>
        <v>398</v>
      </c>
    </row>
    <row r="602" spans="1:6" s="631" customFormat="1">
      <c r="A602" s="643">
        <f t="shared" ca="1" si="132"/>
        <v>4.1970000000000658</v>
      </c>
      <c r="B602" s="651" t="s">
        <v>665</v>
      </c>
      <c r="C602" s="646">
        <v>40</v>
      </c>
      <c r="D602" s="646" t="s">
        <v>320</v>
      </c>
      <c r="E602" s="649">
        <f ca="1">Elec_Est!E2083</f>
        <v>9.9499999999999993</v>
      </c>
      <c r="F602" s="1125">
        <f t="shared" ca="1" si="133"/>
        <v>398</v>
      </c>
    </row>
    <row r="603" spans="1:6" s="631" customFormat="1">
      <c r="A603" s="643">
        <f t="shared" ca="1" si="132"/>
        <v>4.1980000000000661</v>
      </c>
      <c r="B603" s="651" t="s">
        <v>666</v>
      </c>
      <c r="C603" s="646">
        <v>40</v>
      </c>
      <c r="D603" s="646" t="s">
        <v>320</v>
      </c>
      <c r="E603" s="649">
        <f ca="1">Elec_Est!E2090</f>
        <v>9.9499999999999993</v>
      </c>
      <c r="F603" s="1125">
        <f t="shared" ca="1" si="133"/>
        <v>398</v>
      </c>
    </row>
    <row r="604" spans="1:6" s="631" customFormat="1">
      <c r="A604" s="643"/>
      <c r="B604" s="687" t="s">
        <v>463</v>
      </c>
      <c r="C604" s="646"/>
      <c r="D604" s="646"/>
      <c r="E604" s="649"/>
      <c r="F604" s="1125"/>
    </row>
    <row r="605" spans="1:6" s="631" customFormat="1">
      <c r="A605" s="643">
        <f t="shared" ref="A605" ca="1" si="134">IFERROR(IF(OFFSET(A605,-1,0)&gt;0,OFFSET(A605,-1,0)+0.001,ERROR.TYPE(0)),IFERROR(IF(OFFSET(A605,-2,0)&gt;0,OFFSET(A605,-2,0)+0.001,ERROR.TYPE(0)),IFERROR(IF(OFFSET(A605,-3,0)&gt;0,OFFSET(A605,-3,0)+0.001,ERROR.TYPE(0)),IFERROR(IF(OFFSET(A605,-4,0)&gt;0,OFFSET(A605,-4,0)+0.001,ERROR.TYPE(0)),IFERROR(IF(OFFSET(A605,-5,0)&gt;0,OFFSET(A605,-5,0)+0.001,ERROR.TYPE(0)),IFERROR(IF(OFFSET(A605,-6,0)&gt;0,OFFSET(A605,-6,0)+0.001,ERROR.TYPE(0)),IFERROR(IF(OFFSET(A605,-7,0)&gt;0,OFFSET(A605,-7,0)+0.001,ERROR.TYPE(0)),IFERROR(IF(OFFSET(A605,-8,0)&gt;0,OFFSET(A605,-8,0)+0.001,ERROR.TYPE(0)),IFERROR(IF(OFFSET(A605,-9,0)&gt;0,OFFSET(A605,-9,0)+0.001,ERROR.TYPE(0)),IFERROR(IF(OFFSET(A605,-10,0)&gt;0,OFFSET(A605,-10,0)+0.001,ERROR.TYPE(0)),ERROR.TYPE(0)))))))))))</f>
        <v>4.1990000000000665</v>
      </c>
      <c r="B605" s="651" t="s">
        <v>652</v>
      </c>
      <c r="C605" s="646">
        <v>13</v>
      </c>
      <c r="D605" s="646" t="s">
        <v>141</v>
      </c>
      <c r="E605" s="649">
        <f ca="1">Elec_Est!E2101</f>
        <v>55.35</v>
      </c>
      <c r="F605" s="1125">
        <f ca="1">IFERROR($C605*E605,E605)</f>
        <v>719.55000000000007</v>
      </c>
    </row>
    <row r="606" spans="1:6" s="631" customFormat="1" ht="27.6">
      <c r="A606" s="643"/>
      <c r="B606" s="687" t="s">
        <v>498</v>
      </c>
      <c r="C606" s="645"/>
      <c r="D606" s="646"/>
      <c r="E606" s="647"/>
      <c r="F606" s="1124"/>
    </row>
    <row r="607" spans="1:6" s="631" customFormat="1">
      <c r="A607" s="643"/>
      <c r="B607" s="688" t="s">
        <v>667</v>
      </c>
      <c r="C607" s="645"/>
      <c r="D607" s="646"/>
      <c r="E607" s="647"/>
      <c r="F607" s="1124"/>
    </row>
    <row r="608" spans="1:6" s="631" customFormat="1">
      <c r="A608" s="643">
        <f t="shared" ref="A608:A615" ca="1" si="135">IFERROR(IF(OFFSET(A608,-1,0)&gt;0,OFFSET(A608,-1,0)+0.001,ERROR.TYPE(0)),IFERROR(IF(OFFSET(A608,-2,0)&gt;0,OFFSET(A608,-2,0)+0.001,ERROR.TYPE(0)),IFERROR(IF(OFFSET(A608,-3,0)&gt;0,OFFSET(A608,-3,0)+0.001,ERROR.TYPE(0)),IFERROR(IF(OFFSET(A608,-4,0)&gt;0,OFFSET(A608,-4,0)+0.001,ERROR.TYPE(0)),IFERROR(IF(OFFSET(A608,-5,0)&gt;0,OFFSET(A608,-5,0)+0.001,ERROR.TYPE(0)),IFERROR(IF(OFFSET(A608,-6,0)&gt;0,OFFSET(A608,-6,0)+0.001,ERROR.TYPE(0)),IFERROR(IF(OFFSET(A608,-7,0)&gt;0,OFFSET(A608,-7,0)+0.001,ERROR.TYPE(0)),IFERROR(IF(OFFSET(A608,-8,0)&gt;0,OFFSET(A608,-8,0)+0.001,ERROR.TYPE(0)),IFERROR(IF(OFFSET(A608,-9,0)&gt;0,OFFSET(A608,-9,0)+0.001,ERROR.TYPE(0)),IFERROR(IF(OFFSET(A608,-10,0)&gt;0,OFFSET(A608,-10,0)+0.001,ERROR.TYPE(0)),ERROR.TYPE(0)))))))))))</f>
        <v>4.2000000000000668</v>
      </c>
      <c r="B608" s="651" t="s">
        <v>668</v>
      </c>
      <c r="C608" s="646">
        <v>90</v>
      </c>
      <c r="D608" s="646" t="s">
        <v>320</v>
      </c>
      <c r="E608" s="649">
        <f ca="1">Elec_Est!E2116</f>
        <v>5.5</v>
      </c>
      <c r="F608" s="1125">
        <f ca="1">IFERROR($C608*E608,E608)</f>
        <v>495</v>
      </c>
    </row>
    <row r="609" spans="1:6" s="631" customFormat="1">
      <c r="A609" s="643">
        <f t="shared" ca="1" si="135"/>
        <v>4.2010000000000671</v>
      </c>
      <c r="B609" s="651" t="s">
        <v>669</v>
      </c>
      <c r="C609" s="646">
        <v>90</v>
      </c>
      <c r="D609" s="646" t="s">
        <v>320</v>
      </c>
      <c r="E609" s="649">
        <f ca="1">Elec_Est!E2123</f>
        <v>5.5</v>
      </c>
      <c r="F609" s="1125">
        <f ca="1">IFERROR($C609*E609,E609)</f>
        <v>495</v>
      </c>
    </row>
    <row r="610" spans="1:6" s="631" customFormat="1">
      <c r="A610" s="643">
        <f t="shared" ca="1" si="135"/>
        <v>4.2020000000000675</v>
      </c>
      <c r="B610" s="651" t="s">
        <v>670</v>
      </c>
      <c r="C610" s="646">
        <v>85</v>
      </c>
      <c r="D610" s="646" t="s">
        <v>320</v>
      </c>
      <c r="E610" s="649">
        <f ca="1">Elec_Est!E2130</f>
        <v>5.5</v>
      </c>
      <c r="F610" s="1125">
        <f ca="1">IFERROR($C610*E610,E610)</f>
        <v>467.5</v>
      </c>
    </row>
    <row r="611" spans="1:6" s="631" customFormat="1">
      <c r="A611" s="643">
        <f t="shared" ca="1" si="135"/>
        <v>4.2030000000000678</v>
      </c>
      <c r="B611" s="651" t="s">
        <v>671</v>
      </c>
      <c r="C611" s="646">
        <v>80</v>
      </c>
      <c r="D611" s="646" t="s">
        <v>320</v>
      </c>
      <c r="E611" s="649">
        <f ca="1">Elec_Est!E2137</f>
        <v>5.5</v>
      </c>
      <c r="F611" s="1125">
        <f ca="1">IFERROR($C611*E611,E611)</f>
        <v>440</v>
      </c>
    </row>
    <row r="612" spans="1:6" s="631" customFormat="1">
      <c r="A612" s="643">
        <f t="shared" ca="1" si="135"/>
        <v>4.2040000000000681</v>
      </c>
      <c r="B612" s="651" t="s">
        <v>672</v>
      </c>
      <c r="C612" s="646">
        <v>65</v>
      </c>
      <c r="D612" s="646" t="s">
        <v>320</v>
      </c>
      <c r="E612" s="649">
        <f ca="1">Elec_Est!E2144</f>
        <v>5.5</v>
      </c>
      <c r="F612" s="1125">
        <f t="shared" ref="F612:F615" ca="1" si="136">IFERROR($C612*E612,E612)</f>
        <v>357.5</v>
      </c>
    </row>
    <row r="613" spans="1:6" s="631" customFormat="1">
      <c r="A613" s="643">
        <f t="shared" ca="1" si="135"/>
        <v>4.2050000000000685</v>
      </c>
      <c r="B613" s="651" t="s">
        <v>673</v>
      </c>
      <c r="C613" s="646">
        <v>60</v>
      </c>
      <c r="D613" s="646" t="s">
        <v>320</v>
      </c>
      <c r="E613" s="649">
        <f ca="1">Elec_Est!E2151</f>
        <v>5.5</v>
      </c>
      <c r="F613" s="1125">
        <f t="shared" ca="1" si="136"/>
        <v>330</v>
      </c>
    </row>
    <row r="614" spans="1:6" s="631" customFormat="1">
      <c r="A614" s="643">
        <f t="shared" ca="1" si="135"/>
        <v>4.2060000000000688</v>
      </c>
      <c r="B614" s="651" t="s">
        <v>674</v>
      </c>
      <c r="C614" s="646">
        <v>85</v>
      </c>
      <c r="D614" s="646" t="s">
        <v>320</v>
      </c>
      <c r="E614" s="649">
        <f ca="1">Elec_Est!E2158</f>
        <v>9.9499999999999993</v>
      </c>
      <c r="F614" s="1125">
        <f t="shared" ca="1" si="136"/>
        <v>845.74999999999989</v>
      </c>
    </row>
    <row r="615" spans="1:6" s="631" customFormat="1">
      <c r="A615" s="643">
        <f t="shared" ca="1" si="135"/>
        <v>4.2070000000000691</v>
      </c>
      <c r="B615" s="651" t="s">
        <v>675</v>
      </c>
      <c r="C615" s="646">
        <v>5</v>
      </c>
      <c r="D615" s="646" t="s">
        <v>320</v>
      </c>
      <c r="E615" s="649">
        <f ca="1">Elec_Est!E2176</f>
        <v>14.65</v>
      </c>
      <c r="F615" s="1125">
        <f t="shared" ca="1" si="136"/>
        <v>73.25</v>
      </c>
    </row>
    <row r="616" spans="1:6" s="631" customFormat="1">
      <c r="A616" s="643"/>
      <c r="B616" s="687" t="s">
        <v>463</v>
      </c>
      <c r="C616" s="646"/>
      <c r="D616" s="646"/>
      <c r="E616" s="649"/>
      <c r="F616" s="1125"/>
    </row>
    <row r="617" spans="1:6" s="631" customFormat="1">
      <c r="A617" s="643">
        <f t="shared" ref="A617:A618" ca="1" si="137">IFERROR(IF(OFFSET(A617,-1,0)&gt;0,OFFSET(A617,-1,0)+0.001,ERROR.TYPE(0)),IFERROR(IF(OFFSET(A617,-2,0)&gt;0,OFFSET(A617,-2,0)+0.001,ERROR.TYPE(0)),IFERROR(IF(OFFSET(A617,-3,0)&gt;0,OFFSET(A617,-3,0)+0.001,ERROR.TYPE(0)),IFERROR(IF(OFFSET(A617,-4,0)&gt;0,OFFSET(A617,-4,0)+0.001,ERROR.TYPE(0)),IFERROR(IF(OFFSET(A617,-5,0)&gt;0,OFFSET(A617,-5,0)+0.001,ERROR.TYPE(0)),IFERROR(IF(OFFSET(A617,-6,0)&gt;0,OFFSET(A617,-6,0)+0.001,ERROR.TYPE(0)),IFERROR(IF(OFFSET(A617,-7,0)&gt;0,OFFSET(A617,-7,0)+0.001,ERROR.TYPE(0)),IFERROR(IF(OFFSET(A617,-8,0)&gt;0,OFFSET(A617,-8,0)+0.001,ERROR.TYPE(0)),IFERROR(IF(OFFSET(A617,-9,0)&gt;0,OFFSET(A617,-9,0)+0.001,ERROR.TYPE(0)),IFERROR(IF(OFFSET(A617,-10,0)&gt;0,OFFSET(A617,-10,0)+0.001,ERROR.TYPE(0)),ERROR.TYPE(0)))))))))))</f>
        <v>4.2080000000000695</v>
      </c>
      <c r="B617" s="651" t="s">
        <v>586</v>
      </c>
      <c r="C617" s="646">
        <v>6</v>
      </c>
      <c r="D617" s="646" t="s">
        <v>141</v>
      </c>
      <c r="E617" s="649">
        <f>Elec_Est!E2187</f>
        <v>837.07</v>
      </c>
      <c r="F617" s="1125">
        <f>IFERROR($C617*E617,E617)</f>
        <v>5022.42</v>
      </c>
    </row>
    <row r="618" spans="1:6" s="631" customFormat="1">
      <c r="A618" s="643">
        <f t="shared" ca="1" si="137"/>
        <v>4.2090000000000698</v>
      </c>
      <c r="B618" s="651" t="s">
        <v>652</v>
      </c>
      <c r="C618" s="646">
        <v>1</v>
      </c>
      <c r="D618" s="646" t="s">
        <v>141</v>
      </c>
      <c r="E618" s="649">
        <f>Elec_Est!E2197</f>
        <v>921.79</v>
      </c>
      <c r="F618" s="1125">
        <f>IFERROR($C618*E618,E618)</f>
        <v>921.79</v>
      </c>
    </row>
    <row r="619" spans="1:6" s="631" customFormat="1">
      <c r="A619" s="638"/>
      <c r="B619" s="639" t="s">
        <v>676</v>
      </c>
      <c r="C619" s="1456" t="s">
        <v>305</v>
      </c>
      <c r="D619" s="1457"/>
      <c r="E619" s="652"/>
      <c r="F619" s="1239">
        <f ca="1">SUM(F566:F618)</f>
        <v>19346.84</v>
      </c>
    </row>
    <row r="620" spans="1:6" s="631" customFormat="1">
      <c r="A620" s="660"/>
      <c r="B620" s="629"/>
      <c r="C620" s="661"/>
      <c r="D620" s="654"/>
      <c r="E620" s="662"/>
      <c r="F620" s="1127"/>
    </row>
    <row r="621" spans="1:6" s="631" customFormat="1">
      <c r="A621" s="660"/>
      <c r="B621" s="629"/>
      <c r="C621" s="661"/>
      <c r="D621" s="654"/>
      <c r="E621" s="662"/>
      <c r="F621" s="1127"/>
    </row>
    <row r="622" spans="1:6" s="631" customFormat="1" ht="27.6">
      <c r="A622" s="634" t="s">
        <v>143</v>
      </c>
      <c r="B622" s="635" t="s">
        <v>198</v>
      </c>
      <c r="C622" s="636" t="s">
        <v>199</v>
      </c>
      <c r="D622" s="636" t="s">
        <v>200</v>
      </c>
      <c r="E622" s="637" t="s">
        <v>294</v>
      </c>
      <c r="F622" s="1122" t="s">
        <v>295</v>
      </c>
    </row>
    <row r="623" spans="1:6" s="631" customFormat="1" ht="27.6">
      <c r="A623" s="643"/>
      <c r="B623" s="687" t="s">
        <v>498</v>
      </c>
      <c r="C623" s="645"/>
      <c r="D623" s="646"/>
      <c r="E623" s="647"/>
      <c r="F623" s="1124"/>
    </row>
    <row r="624" spans="1:6" s="631" customFormat="1">
      <c r="A624" s="643"/>
      <c r="B624" s="688" t="s">
        <v>677</v>
      </c>
      <c r="C624" s="645"/>
      <c r="D624" s="646"/>
      <c r="E624" s="647"/>
      <c r="F624" s="1124"/>
    </row>
    <row r="625" spans="1:6" s="631" customFormat="1">
      <c r="A625" s="643">
        <f t="shared" ref="A625:A631" ca="1" si="138">IFERROR(IF(OFFSET(A625,-1,0)&gt;0,OFFSET(A625,-1,0)+0.001,ERROR.TYPE(0)),IFERROR(IF(OFFSET(A625,-2,0)&gt;0,OFFSET(A625,-2,0)+0.001,ERROR.TYPE(0)),IFERROR(IF(OFFSET(A625,-3,0)&gt;0,OFFSET(A625,-3,0)+0.001,ERROR.TYPE(0)),IFERROR(IF(OFFSET(A625,-4,0)&gt;0,OFFSET(A625,-4,0)+0.001,ERROR.TYPE(0)),IFERROR(IF(OFFSET(A625,-5,0)&gt;0,OFFSET(A625,-5,0)+0.001,ERROR.TYPE(0)),IFERROR(IF(OFFSET(A625,-6,0)&gt;0,OFFSET(A625,-6,0)+0.001,ERROR.TYPE(0)),IFERROR(IF(OFFSET(A625,-7,0)&gt;0,OFFSET(A625,-7,0)+0.001,ERROR.TYPE(0)),IFERROR(IF(OFFSET(A625,-8,0)&gt;0,OFFSET(A625,-8,0)+0.001,ERROR.TYPE(0)),IFERROR(IF(OFFSET(A625,-9,0)&gt;0,OFFSET(A625,-9,0)+0.001,ERROR.TYPE(0)),IFERROR(IF(OFFSET(A625,-10,0)&gt;0,OFFSET(A625,-10,0)+0.001,ERROR.TYPE(0)),ERROR.TYPE(0)))))))))))</f>
        <v>4.2100000000000701</v>
      </c>
      <c r="B625" s="651" t="s">
        <v>668</v>
      </c>
      <c r="C625" s="646">
        <v>60</v>
      </c>
      <c r="D625" s="646" t="s">
        <v>320</v>
      </c>
      <c r="E625" s="649">
        <f ca="1">Elec_Est!E2220</f>
        <v>5.93</v>
      </c>
      <c r="F625" s="1125">
        <f ca="1">IFERROR($C625*E625,E625)</f>
        <v>355.79999999999995</v>
      </c>
    </row>
    <row r="626" spans="1:6" s="631" customFormat="1">
      <c r="A626" s="643">
        <f t="shared" ca="1" si="138"/>
        <v>4.2110000000000705</v>
      </c>
      <c r="B626" s="651" t="s">
        <v>669</v>
      </c>
      <c r="C626" s="646">
        <v>60</v>
      </c>
      <c r="D626" s="646" t="s">
        <v>320</v>
      </c>
      <c r="E626" s="649">
        <f ca="1">Elec_Est!E2227</f>
        <v>5.93</v>
      </c>
      <c r="F626" s="1125">
        <f ca="1">IFERROR($C626*E626,E626)</f>
        <v>355.79999999999995</v>
      </c>
    </row>
    <row r="627" spans="1:6" s="631" customFormat="1">
      <c r="A627" s="643">
        <f t="shared" ca="1" si="138"/>
        <v>4.2120000000000708</v>
      </c>
      <c r="B627" s="651" t="s">
        <v>670</v>
      </c>
      <c r="C627" s="646">
        <v>75</v>
      </c>
      <c r="D627" s="646" t="s">
        <v>320</v>
      </c>
      <c r="E627" s="649">
        <f ca="1">Elec_Est!E2234</f>
        <v>5.93</v>
      </c>
      <c r="F627" s="1125">
        <f ca="1">IFERROR($C627*E627,E627)</f>
        <v>444.75</v>
      </c>
    </row>
    <row r="628" spans="1:6" s="631" customFormat="1">
      <c r="A628" s="643">
        <f t="shared" ca="1" si="138"/>
        <v>4.2130000000000711</v>
      </c>
      <c r="B628" s="651" t="s">
        <v>671</v>
      </c>
      <c r="C628" s="646">
        <v>80</v>
      </c>
      <c r="D628" s="646" t="s">
        <v>320</v>
      </c>
      <c r="E628" s="649">
        <f ca="1">Elec_Est!E2241</f>
        <v>5.93</v>
      </c>
      <c r="F628" s="1125">
        <f ca="1">IFERROR($C628*E628,E628)</f>
        <v>474.4</v>
      </c>
    </row>
    <row r="629" spans="1:6" s="631" customFormat="1">
      <c r="A629" s="643">
        <f t="shared" ca="1" si="138"/>
        <v>4.2140000000000715</v>
      </c>
      <c r="B629" s="651" t="s">
        <v>672</v>
      </c>
      <c r="C629" s="646">
        <v>80</v>
      </c>
      <c r="D629" s="646" t="s">
        <v>320</v>
      </c>
      <c r="E629" s="649">
        <f ca="1">Elec_Est!E2248</f>
        <v>5.93</v>
      </c>
      <c r="F629" s="1125">
        <f t="shared" ref="F629:F631" ca="1" si="139">IFERROR($C629*E629,E629)</f>
        <v>474.4</v>
      </c>
    </row>
    <row r="630" spans="1:6" s="631" customFormat="1">
      <c r="A630" s="643">
        <f t="shared" ca="1" si="138"/>
        <v>4.2150000000000718</v>
      </c>
      <c r="B630" s="651" t="s">
        <v>673</v>
      </c>
      <c r="C630" s="646">
        <v>85</v>
      </c>
      <c r="D630" s="646" t="s">
        <v>320</v>
      </c>
      <c r="E630" s="649">
        <f ca="1">Elec_Est!E2255</f>
        <v>5.93</v>
      </c>
      <c r="F630" s="1125">
        <f t="shared" ca="1" si="139"/>
        <v>504.04999999999995</v>
      </c>
    </row>
    <row r="631" spans="1:6" s="631" customFormat="1">
      <c r="A631" s="643">
        <f t="shared" ca="1" si="138"/>
        <v>4.2160000000000721</v>
      </c>
      <c r="B631" s="651" t="s">
        <v>674</v>
      </c>
      <c r="C631" s="646">
        <v>45</v>
      </c>
      <c r="D631" s="646" t="s">
        <v>320</v>
      </c>
      <c r="E631" s="649">
        <f ca="1">Elec_Est!E2262</f>
        <v>9.9499999999999993</v>
      </c>
      <c r="F631" s="1125">
        <f t="shared" ca="1" si="139"/>
        <v>447.74999999999994</v>
      </c>
    </row>
    <row r="632" spans="1:6" s="631" customFormat="1">
      <c r="A632" s="643"/>
      <c r="B632" s="687" t="s">
        <v>463</v>
      </c>
      <c r="C632" s="646"/>
      <c r="D632" s="646"/>
      <c r="E632" s="649"/>
      <c r="F632" s="1125"/>
    </row>
    <row r="633" spans="1:6" s="631" customFormat="1">
      <c r="A633" s="643">
        <f t="shared" ref="A633:A634" ca="1" si="140">IFERROR(IF(OFFSET(A633,-1,0)&gt;0,OFFSET(A633,-1,0)+0.001,ERROR.TYPE(0)),IFERROR(IF(OFFSET(A633,-2,0)&gt;0,OFFSET(A633,-2,0)+0.001,ERROR.TYPE(0)),IFERROR(IF(OFFSET(A633,-3,0)&gt;0,OFFSET(A633,-3,0)+0.001,ERROR.TYPE(0)),IFERROR(IF(OFFSET(A633,-4,0)&gt;0,OFFSET(A633,-4,0)+0.001,ERROR.TYPE(0)),IFERROR(IF(OFFSET(A633,-5,0)&gt;0,OFFSET(A633,-5,0)+0.001,ERROR.TYPE(0)),IFERROR(IF(OFFSET(A633,-6,0)&gt;0,OFFSET(A633,-6,0)+0.001,ERROR.TYPE(0)),IFERROR(IF(OFFSET(A633,-7,0)&gt;0,OFFSET(A633,-7,0)+0.001,ERROR.TYPE(0)),IFERROR(IF(OFFSET(A633,-8,0)&gt;0,OFFSET(A633,-8,0)+0.001,ERROR.TYPE(0)),IFERROR(IF(OFFSET(A633,-9,0)&gt;0,OFFSET(A633,-9,0)+0.001,ERROR.TYPE(0)),IFERROR(IF(OFFSET(A633,-10,0)&gt;0,OFFSET(A633,-10,0)+0.001,ERROR.TYPE(0)),ERROR.TYPE(0)))))))))))</f>
        <v>4.2170000000000725</v>
      </c>
      <c r="B633" s="651" t="s">
        <v>586</v>
      </c>
      <c r="C633" s="646">
        <v>6</v>
      </c>
      <c r="D633" s="646" t="s">
        <v>141</v>
      </c>
      <c r="E633" s="649">
        <f ca="1">Elec_Est!E2273</f>
        <v>54.11</v>
      </c>
      <c r="F633" s="1125">
        <f ca="1">IFERROR($C633*E633,E633)</f>
        <v>324.65999999999997</v>
      </c>
    </row>
    <row r="634" spans="1:6" s="631" customFormat="1">
      <c r="A634" s="643">
        <f t="shared" ca="1" si="140"/>
        <v>4.2180000000000728</v>
      </c>
      <c r="B634" s="651" t="s">
        <v>652</v>
      </c>
      <c r="C634" s="646">
        <v>1</v>
      </c>
      <c r="D634" s="646" t="s">
        <v>141</v>
      </c>
      <c r="E634" s="649">
        <f ca="1">Elec_Est!E2280</f>
        <v>55.35</v>
      </c>
      <c r="F634" s="1125">
        <f ca="1">IFERROR($C634*E634,E634)</f>
        <v>55.35</v>
      </c>
    </row>
    <row r="635" spans="1:6" s="631" customFormat="1" ht="27.6">
      <c r="A635" s="643"/>
      <c r="B635" s="687" t="s">
        <v>498</v>
      </c>
      <c r="C635" s="645"/>
      <c r="D635" s="646"/>
      <c r="E635" s="647"/>
      <c r="F635" s="1124"/>
    </row>
    <row r="636" spans="1:6" s="631" customFormat="1">
      <c r="A636" s="643"/>
      <c r="B636" s="688" t="s">
        <v>678</v>
      </c>
      <c r="C636" s="645"/>
      <c r="D636" s="646"/>
      <c r="E636" s="647"/>
      <c r="F636" s="1124"/>
    </row>
    <row r="637" spans="1:6" s="631" customFormat="1" ht="27.6">
      <c r="A637" s="643">
        <f t="shared" ref="A637:A654" ca="1" si="141">IFERROR(IF(OFFSET(A637,-1,0)&gt;0,OFFSET(A637,-1,0)+0.001,ERROR.TYPE(0)),IFERROR(IF(OFFSET(A637,-2,0)&gt;0,OFFSET(A637,-2,0)+0.001,ERROR.TYPE(0)),IFERROR(IF(OFFSET(A637,-3,0)&gt;0,OFFSET(A637,-3,0)+0.001,ERROR.TYPE(0)),IFERROR(IF(OFFSET(A637,-4,0)&gt;0,OFFSET(A637,-4,0)+0.001,ERROR.TYPE(0)),IFERROR(IF(OFFSET(A637,-5,0)&gt;0,OFFSET(A637,-5,0)+0.001,ERROR.TYPE(0)),IFERROR(IF(OFFSET(A637,-6,0)&gt;0,OFFSET(A637,-6,0)+0.001,ERROR.TYPE(0)),IFERROR(IF(OFFSET(A637,-7,0)&gt;0,OFFSET(A637,-7,0)+0.001,ERROR.TYPE(0)),IFERROR(IF(OFFSET(A637,-8,0)&gt;0,OFFSET(A637,-8,0)+0.001,ERROR.TYPE(0)),IFERROR(IF(OFFSET(A637,-9,0)&gt;0,OFFSET(A637,-9,0)+0.001,ERROR.TYPE(0)),IFERROR(IF(OFFSET(A637,-10,0)&gt;0,OFFSET(A637,-10,0)+0.001,ERROR.TYPE(0)),ERROR.TYPE(0)))))))))))</f>
        <v>4.2190000000000731</v>
      </c>
      <c r="B637" s="651" t="s">
        <v>679</v>
      </c>
      <c r="C637" s="646">
        <v>60</v>
      </c>
      <c r="D637" s="646" t="s">
        <v>320</v>
      </c>
      <c r="E637" s="649">
        <f ca="1">Elec_Est!E2295</f>
        <v>16.309999999999999</v>
      </c>
      <c r="F637" s="1125">
        <f t="shared" ref="F637:F654" ca="1" si="142">IFERROR($C637*E637,E637)</f>
        <v>978.59999999999991</v>
      </c>
    </row>
    <row r="638" spans="1:6" s="631" customFormat="1" ht="27.6">
      <c r="A638" s="643">
        <f t="shared" ca="1" si="141"/>
        <v>4.2200000000000735</v>
      </c>
      <c r="B638" s="651" t="s">
        <v>680</v>
      </c>
      <c r="C638" s="646">
        <v>50</v>
      </c>
      <c r="D638" s="646" t="s">
        <v>320</v>
      </c>
      <c r="E638" s="649">
        <f ca="1">Elec_Est!E2302</f>
        <v>16.309999999999999</v>
      </c>
      <c r="F638" s="1125">
        <f t="shared" ca="1" si="142"/>
        <v>815.49999999999989</v>
      </c>
    </row>
    <row r="639" spans="1:6" s="631" customFormat="1" ht="27.6">
      <c r="A639" s="643">
        <f t="shared" ca="1" si="141"/>
        <v>4.2210000000000738</v>
      </c>
      <c r="B639" s="651" t="s">
        <v>681</v>
      </c>
      <c r="C639" s="646">
        <v>40</v>
      </c>
      <c r="D639" s="646" t="s">
        <v>320</v>
      </c>
      <c r="E639" s="649">
        <f ca="1">Elec_Est!E2309</f>
        <v>16.309999999999999</v>
      </c>
      <c r="F639" s="1125">
        <f t="shared" ca="1" si="142"/>
        <v>652.4</v>
      </c>
    </row>
    <row r="640" spans="1:6" s="631" customFormat="1" ht="27.6">
      <c r="A640" s="643">
        <f t="shared" ca="1" si="141"/>
        <v>4.2220000000000741</v>
      </c>
      <c r="B640" s="651" t="s">
        <v>682</v>
      </c>
      <c r="C640" s="646">
        <v>65</v>
      </c>
      <c r="D640" s="646" t="s">
        <v>320</v>
      </c>
      <c r="E640" s="649">
        <f ca="1">Elec_Est!E2316</f>
        <v>16.2</v>
      </c>
      <c r="F640" s="1125">
        <f t="shared" ca="1" si="142"/>
        <v>1053</v>
      </c>
    </row>
    <row r="641" spans="1:6" s="631" customFormat="1" ht="27.6">
      <c r="A641" s="643">
        <f t="shared" ca="1" si="141"/>
        <v>4.2230000000000745</v>
      </c>
      <c r="B641" s="651" t="s">
        <v>683</v>
      </c>
      <c r="C641" s="646">
        <v>55</v>
      </c>
      <c r="D641" s="646" t="s">
        <v>320</v>
      </c>
      <c r="E641" s="649">
        <f ca="1">Elec_Est!E2323</f>
        <v>16.2</v>
      </c>
      <c r="F641" s="1125">
        <f t="shared" ca="1" si="142"/>
        <v>891</v>
      </c>
    </row>
    <row r="642" spans="1:6" s="631" customFormat="1" ht="27.6">
      <c r="A642" s="643">
        <f t="shared" ca="1" si="141"/>
        <v>4.2240000000000748</v>
      </c>
      <c r="B642" s="651" t="s">
        <v>684</v>
      </c>
      <c r="C642" s="646">
        <v>45</v>
      </c>
      <c r="D642" s="646" t="s">
        <v>320</v>
      </c>
      <c r="E642" s="649">
        <f ca="1">Elec_Est!E2330</f>
        <v>16.2</v>
      </c>
      <c r="F642" s="1125">
        <f t="shared" ca="1" si="142"/>
        <v>729</v>
      </c>
    </row>
    <row r="643" spans="1:6" s="631" customFormat="1" ht="27.6">
      <c r="A643" s="643">
        <f t="shared" ca="1" si="141"/>
        <v>4.2250000000000751</v>
      </c>
      <c r="B643" s="651" t="s">
        <v>685</v>
      </c>
      <c r="C643" s="646">
        <v>65</v>
      </c>
      <c r="D643" s="646" t="s">
        <v>320</v>
      </c>
      <c r="E643" s="649">
        <f ca="1">Elec_Est!E2337</f>
        <v>16.2</v>
      </c>
      <c r="F643" s="1125">
        <f t="shared" ca="1" si="142"/>
        <v>1053</v>
      </c>
    </row>
    <row r="644" spans="1:6" s="631" customFormat="1" ht="27.6">
      <c r="A644" s="643">
        <f t="shared" ca="1" si="141"/>
        <v>4.2260000000000755</v>
      </c>
      <c r="B644" s="651" t="s">
        <v>686</v>
      </c>
      <c r="C644" s="646">
        <v>55</v>
      </c>
      <c r="D644" s="646" t="s">
        <v>320</v>
      </c>
      <c r="E644" s="649">
        <f ca="1">Elec_Est!E2344</f>
        <v>16.2</v>
      </c>
      <c r="F644" s="1125">
        <f t="shared" ca="1" si="142"/>
        <v>891</v>
      </c>
    </row>
    <row r="645" spans="1:6" s="631" customFormat="1" ht="27.6">
      <c r="A645" s="643">
        <f t="shared" ca="1" si="141"/>
        <v>4.2270000000000758</v>
      </c>
      <c r="B645" s="651" t="s">
        <v>687</v>
      </c>
      <c r="C645" s="646">
        <v>45</v>
      </c>
      <c r="D645" s="646" t="s">
        <v>320</v>
      </c>
      <c r="E645" s="649">
        <f ca="1">Elec_Est!E2351</f>
        <v>16.2</v>
      </c>
      <c r="F645" s="1125">
        <f t="shared" ca="1" si="142"/>
        <v>729</v>
      </c>
    </row>
    <row r="646" spans="1:6" s="631" customFormat="1" ht="27.6">
      <c r="A646" s="643">
        <f t="shared" ca="1" si="141"/>
        <v>4.2280000000000761</v>
      </c>
      <c r="B646" s="651" t="s">
        <v>688</v>
      </c>
      <c r="C646" s="646">
        <v>90</v>
      </c>
      <c r="D646" s="646" t="s">
        <v>320</v>
      </c>
      <c r="E646" s="649">
        <f ca="1">Elec_Est!E2358</f>
        <v>16.2</v>
      </c>
      <c r="F646" s="1125">
        <f t="shared" ca="1" si="142"/>
        <v>1458</v>
      </c>
    </row>
    <row r="647" spans="1:6" s="631" customFormat="1" ht="27.6">
      <c r="A647" s="643">
        <f t="shared" ca="1" si="141"/>
        <v>4.2290000000000765</v>
      </c>
      <c r="B647" s="651" t="s">
        <v>689</v>
      </c>
      <c r="C647" s="646">
        <v>80</v>
      </c>
      <c r="D647" s="646" t="s">
        <v>320</v>
      </c>
      <c r="E647" s="649">
        <f ca="1">Elec_Est!E2365</f>
        <v>16.2</v>
      </c>
      <c r="F647" s="1125">
        <f t="shared" ca="1" si="142"/>
        <v>1296</v>
      </c>
    </row>
    <row r="648" spans="1:6" s="631" customFormat="1" ht="27.6">
      <c r="A648" s="643">
        <f t="shared" ca="1" si="141"/>
        <v>4.2300000000000768</v>
      </c>
      <c r="B648" s="651" t="s">
        <v>690</v>
      </c>
      <c r="C648" s="646">
        <v>70</v>
      </c>
      <c r="D648" s="646" t="s">
        <v>320</v>
      </c>
      <c r="E648" s="649">
        <f ca="1">Elec_Est!E2372</f>
        <v>16.2</v>
      </c>
      <c r="F648" s="1125">
        <f t="shared" ca="1" si="142"/>
        <v>1134</v>
      </c>
    </row>
    <row r="649" spans="1:6" s="631" customFormat="1" ht="27.6">
      <c r="A649" s="643">
        <f t="shared" ca="1" si="141"/>
        <v>4.2310000000000771</v>
      </c>
      <c r="B649" s="651" t="s">
        <v>691</v>
      </c>
      <c r="C649" s="646">
        <v>85</v>
      </c>
      <c r="D649" s="646" t="s">
        <v>320</v>
      </c>
      <c r="E649" s="649">
        <f ca="1">Elec_Est!E2379</f>
        <v>16.2</v>
      </c>
      <c r="F649" s="1125">
        <f t="shared" ca="1" si="142"/>
        <v>1377</v>
      </c>
    </row>
    <row r="650" spans="1:6" s="631" customFormat="1" ht="27.6">
      <c r="A650" s="643">
        <f t="shared" ca="1" si="141"/>
        <v>4.2320000000000775</v>
      </c>
      <c r="B650" s="651" t="s">
        <v>692</v>
      </c>
      <c r="C650" s="646">
        <v>75</v>
      </c>
      <c r="D650" s="646" t="s">
        <v>320</v>
      </c>
      <c r="E650" s="649">
        <f ca="1">Elec_Est!E2386</f>
        <v>16.2</v>
      </c>
      <c r="F650" s="1125">
        <f t="shared" ca="1" si="142"/>
        <v>1215</v>
      </c>
    </row>
    <row r="651" spans="1:6" s="631" customFormat="1" ht="27.6">
      <c r="A651" s="643">
        <f t="shared" ca="1" si="141"/>
        <v>4.2330000000000778</v>
      </c>
      <c r="B651" s="651" t="s">
        <v>693</v>
      </c>
      <c r="C651" s="646">
        <v>65</v>
      </c>
      <c r="D651" s="646" t="s">
        <v>320</v>
      </c>
      <c r="E651" s="649">
        <f ca="1">Elec_Est!E2393</f>
        <v>16.2</v>
      </c>
      <c r="F651" s="1125">
        <f t="shared" ca="1" si="142"/>
        <v>1053</v>
      </c>
    </row>
    <row r="652" spans="1:6" s="631" customFormat="1" ht="27.6">
      <c r="A652" s="643">
        <f t="shared" ca="1" si="141"/>
        <v>4.2340000000000781</v>
      </c>
      <c r="B652" s="651" t="s">
        <v>694</v>
      </c>
      <c r="C652" s="646">
        <v>90</v>
      </c>
      <c r="D652" s="646" t="s">
        <v>320</v>
      </c>
      <c r="E652" s="649">
        <f ca="1">Elec_Est!E2400</f>
        <v>28.32</v>
      </c>
      <c r="F652" s="1125">
        <f t="shared" ca="1" si="142"/>
        <v>2548.8000000000002</v>
      </c>
    </row>
    <row r="653" spans="1:6" s="631" customFormat="1" ht="27.6">
      <c r="A653" s="643">
        <f t="shared" ca="1" si="141"/>
        <v>4.2350000000000785</v>
      </c>
      <c r="B653" s="651" t="s">
        <v>695</v>
      </c>
      <c r="C653" s="646">
        <v>80</v>
      </c>
      <c r="D653" s="646" t="s">
        <v>320</v>
      </c>
      <c r="E653" s="649">
        <f ca="1">Elec_Est!E2407</f>
        <v>28.32</v>
      </c>
      <c r="F653" s="1125">
        <f t="shared" ca="1" si="142"/>
        <v>2265.6</v>
      </c>
    </row>
    <row r="654" spans="1:6" s="631" customFormat="1" ht="27.6">
      <c r="A654" s="643">
        <f t="shared" ca="1" si="141"/>
        <v>4.2360000000000788</v>
      </c>
      <c r="B654" s="651" t="s">
        <v>696</v>
      </c>
      <c r="C654" s="646">
        <v>70</v>
      </c>
      <c r="D654" s="646" t="s">
        <v>320</v>
      </c>
      <c r="E654" s="649">
        <f ca="1">Elec_Est!E2414</f>
        <v>28.32</v>
      </c>
      <c r="F654" s="1125">
        <f t="shared" ca="1" si="142"/>
        <v>1982.4</v>
      </c>
    </row>
    <row r="655" spans="1:6" s="631" customFormat="1">
      <c r="A655" s="643"/>
      <c r="B655" s="687" t="s">
        <v>463</v>
      </c>
      <c r="C655" s="646"/>
      <c r="D655" s="646"/>
      <c r="E655" s="649"/>
      <c r="F655" s="1125"/>
    </row>
    <row r="656" spans="1:6" s="631" customFormat="1">
      <c r="A656" s="643">
        <f t="shared" ref="A656:A658" ca="1" si="143">IFERROR(IF(OFFSET(A656,-1,0)&gt;0,OFFSET(A656,-1,0)+0.001,ERROR.TYPE(0)),IFERROR(IF(OFFSET(A656,-2,0)&gt;0,OFFSET(A656,-2,0)+0.001,ERROR.TYPE(0)),IFERROR(IF(OFFSET(A656,-3,0)&gt;0,OFFSET(A656,-3,0)+0.001,ERROR.TYPE(0)),IFERROR(IF(OFFSET(A656,-4,0)&gt;0,OFFSET(A656,-4,0)+0.001,ERROR.TYPE(0)),IFERROR(IF(OFFSET(A656,-5,0)&gt;0,OFFSET(A656,-5,0)+0.001,ERROR.TYPE(0)),IFERROR(IF(OFFSET(A656,-6,0)&gt;0,OFFSET(A656,-6,0)+0.001,ERROR.TYPE(0)),IFERROR(IF(OFFSET(A656,-7,0)&gt;0,OFFSET(A656,-7,0)+0.001,ERROR.TYPE(0)),IFERROR(IF(OFFSET(A656,-8,0)&gt;0,OFFSET(A656,-8,0)+0.001,ERROR.TYPE(0)),IFERROR(IF(OFFSET(A656,-9,0)&gt;0,OFFSET(A656,-9,0)+0.001,ERROR.TYPE(0)),IFERROR(IF(OFFSET(A656,-10,0)&gt;0,OFFSET(A656,-10,0)+0.001,ERROR.TYPE(0)),ERROR.TYPE(0)))))))))))</f>
        <v>4.2370000000000791</v>
      </c>
      <c r="B656" s="651" t="s">
        <v>568</v>
      </c>
      <c r="C656" s="646">
        <v>12</v>
      </c>
      <c r="D656" s="646" t="s">
        <v>141</v>
      </c>
      <c r="E656" s="649">
        <f>Elec_Est!E2425</f>
        <v>328.95</v>
      </c>
      <c r="F656" s="1125">
        <f>IFERROR($C656*E656,E656)</f>
        <v>3947.3999999999996</v>
      </c>
    </row>
    <row r="657" spans="1:6" s="631" customFormat="1">
      <c r="A657" s="643">
        <f t="shared" ca="1" si="143"/>
        <v>4.2380000000000795</v>
      </c>
      <c r="B657" s="651" t="s">
        <v>697</v>
      </c>
      <c r="C657" s="646">
        <v>3</v>
      </c>
      <c r="D657" s="646" t="s">
        <v>141</v>
      </c>
      <c r="E657" s="649">
        <f>Elec_Est!E2434</f>
        <v>338.1</v>
      </c>
      <c r="F657" s="1125">
        <f>IFERROR($C657*E657,E657)</f>
        <v>1014.3000000000001</v>
      </c>
    </row>
    <row r="658" spans="1:6" s="631" customFormat="1">
      <c r="A658" s="643">
        <f t="shared" ca="1" si="143"/>
        <v>4.2390000000000798</v>
      </c>
      <c r="B658" s="651" t="s">
        <v>541</v>
      </c>
      <c r="C658" s="646">
        <v>3</v>
      </c>
      <c r="D658" s="646" t="s">
        <v>141</v>
      </c>
      <c r="E658" s="649">
        <f>Elec_Est!E2443</f>
        <v>514.91</v>
      </c>
      <c r="F658" s="1125">
        <f>IFERROR($C658*E658,E658)</f>
        <v>1544.73</v>
      </c>
    </row>
    <row r="659" spans="1:6" s="631" customFormat="1" ht="27.6">
      <c r="A659" s="643"/>
      <c r="B659" s="687" t="s">
        <v>498</v>
      </c>
      <c r="C659" s="645"/>
      <c r="D659" s="646"/>
      <c r="E659" s="647"/>
      <c r="F659" s="1124"/>
    </row>
    <row r="660" spans="1:6" s="631" customFormat="1">
      <c r="A660" s="643"/>
      <c r="B660" s="688" t="s">
        <v>698</v>
      </c>
      <c r="C660" s="645"/>
      <c r="D660" s="646"/>
      <c r="E660" s="647"/>
      <c r="F660" s="1124"/>
    </row>
    <row r="661" spans="1:6" s="631" customFormat="1">
      <c r="A661" s="643">
        <f t="shared" ref="A661:A662" ca="1" si="144">IFERROR(IF(OFFSET(A661,-1,0)&gt;0,OFFSET(A661,-1,0)+0.001,ERROR.TYPE(0)),IFERROR(IF(OFFSET(A661,-2,0)&gt;0,OFFSET(A661,-2,0)+0.001,ERROR.TYPE(0)),IFERROR(IF(OFFSET(A661,-3,0)&gt;0,OFFSET(A661,-3,0)+0.001,ERROR.TYPE(0)),IFERROR(IF(OFFSET(A661,-4,0)&gt;0,OFFSET(A661,-4,0)+0.001,ERROR.TYPE(0)),IFERROR(IF(OFFSET(A661,-5,0)&gt;0,OFFSET(A661,-5,0)+0.001,ERROR.TYPE(0)),IFERROR(IF(OFFSET(A661,-6,0)&gt;0,OFFSET(A661,-6,0)+0.001,ERROR.TYPE(0)),IFERROR(IF(OFFSET(A661,-7,0)&gt;0,OFFSET(A661,-7,0)+0.001,ERROR.TYPE(0)),IFERROR(IF(OFFSET(A661,-8,0)&gt;0,OFFSET(A661,-8,0)+0.001,ERROR.TYPE(0)),IFERROR(IF(OFFSET(A661,-9,0)&gt;0,OFFSET(A661,-9,0)+0.001,ERROR.TYPE(0)),IFERROR(IF(OFFSET(A661,-10,0)&gt;0,OFFSET(A661,-10,0)+0.001,ERROR.TYPE(0)),ERROR.TYPE(0)))))))))))</f>
        <v>4.2400000000000801</v>
      </c>
      <c r="B661" s="651" t="s">
        <v>699</v>
      </c>
      <c r="C661" s="646">
        <v>20</v>
      </c>
      <c r="D661" s="646" t="s">
        <v>320</v>
      </c>
      <c r="E661" s="649">
        <f ca="1">Elec_Est!E2461</f>
        <v>8.18</v>
      </c>
      <c r="F661" s="1125">
        <f ca="1">IFERROR($C661*E661,E661)</f>
        <v>163.6</v>
      </c>
    </row>
    <row r="662" spans="1:6" s="631" customFormat="1">
      <c r="A662" s="643">
        <f t="shared" ca="1" si="144"/>
        <v>4.2410000000000805</v>
      </c>
      <c r="B662" s="651" t="s">
        <v>700</v>
      </c>
      <c r="C662" s="646">
        <v>25</v>
      </c>
      <c r="D662" s="646" t="s">
        <v>320</v>
      </c>
      <c r="E662" s="649">
        <f ca="1">Elec_Est!E2468</f>
        <v>8.18</v>
      </c>
      <c r="F662" s="1125">
        <f t="shared" ref="F662" ca="1" si="145">IFERROR($C662*E662,E662)</f>
        <v>204.5</v>
      </c>
    </row>
    <row r="663" spans="1:6" s="631" customFormat="1">
      <c r="A663" s="643"/>
      <c r="B663" s="687" t="s">
        <v>463</v>
      </c>
      <c r="C663" s="646"/>
      <c r="D663" s="646"/>
      <c r="E663" s="649"/>
      <c r="F663" s="1125"/>
    </row>
    <row r="664" spans="1:6" s="631" customFormat="1">
      <c r="A664" s="643">
        <f t="shared" ref="A664" ca="1" si="146">IFERROR(IF(OFFSET(A664,-1,0)&gt;0,OFFSET(A664,-1,0)+0.001,ERROR.TYPE(0)),IFERROR(IF(OFFSET(A664,-2,0)&gt;0,OFFSET(A664,-2,0)+0.001,ERROR.TYPE(0)),IFERROR(IF(OFFSET(A664,-3,0)&gt;0,OFFSET(A664,-3,0)+0.001,ERROR.TYPE(0)),IFERROR(IF(OFFSET(A664,-4,0)&gt;0,OFFSET(A664,-4,0)+0.001,ERROR.TYPE(0)),IFERROR(IF(OFFSET(A664,-5,0)&gt;0,OFFSET(A664,-5,0)+0.001,ERROR.TYPE(0)),IFERROR(IF(OFFSET(A664,-6,0)&gt;0,OFFSET(A664,-6,0)+0.001,ERROR.TYPE(0)),IFERROR(IF(OFFSET(A664,-7,0)&gt;0,OFFSET(A664,-7,0)+0.001,ERROR.TYPE(0)),IFERROR(IF(OFFSET(A664,-8,0)&gt;0,OFFSET(A664,-8,0)+0.001,ERROR.TYPE(0)),IFERROR(IF(OFFSET(A664,-9,0)&gt;0,OFFSET(A664,-9,0)+0.001,ERROR.TYPE(0)),IFERROR(IF(OFFSET(A664,-10,0)&gt;0,OFFSET(A664,-10,0)+0.001,ERROR.TYPE(0)),ERROR.TYPE(0)))))))))))</f>
        <v>4.2420000000000808</v>
      </c>
      <c r="B664" s="651" t="s">
        <v>701</v>
      </c>
      <c r="C664" s="646">
        <v>2</v>
      </c>
      <c r="D664" s="646" t="s">
        <v>141</v>
      </c>
      <c r="E664" s="649">
        <f ca="1">Elec_Est!E2479</f>
        <v>57.79</v>
      </c>
      <c r="F664" s="1125">
        <f ca="1">IFERROR($C664*E664,E664)</f>
        <v>115.58</v>
      </c>
    </row>
    <row r="665" spans="1:6" s="631" customFormat="1">
      <c r="A665" s="638"/>
      <c r="B665" s="639" t="s">
        <v>702</v>
      </c>
      <c r="C665" s="1456" t="s">
        <v>305</v>
      </c>
      <c r="D665" s="1457"/>
      <c r="E665" s="652"/>
      <c r="F665" s="1239">
        <f ca="1">SUM(F623:F664)</f>
        <v>32549.369999999995</v>
      </c>
    </row>
    <row r="666" spans="1:6" s="631" customFormat="1">
      <c r="A666" s="660"/>
      <c r="B666" s="629"/>
      <c r="C666" s="661"/>
      <c r="D666" s="654"/>
      <c r="E666" s="662"/>
      <c r="F666" s="1127"/>
    </row>
    <row r="667" spans="1:6" s="631" customFormat="1">
      <c r="A667" s="660"/>
      <c r="B667" s="629"/>
      <c r="C667" s="661"/>
      <c r="D667" s="654"/>
      <c r="E667" s="662"/>
      <c r="F667" s="1127"/>
    </row>
    <row r="668" spans="1:6" s="631" customFormat="1" ht="27.6">
      <c r="A668" s="634" t="s">
        <v>143</v>
      </c>
      <c r="B668" s="635" t="s">
        <v>198</v>
      </c>
      <c r="C668" s="636" t="s">
        <v>199</v>
      </c>
      <c r="D668" s="636" t="s">
        <v>200</v>
      </c>
      <c r="E668" s="637" t="s">
        <v>294</v>
      </c>
      <c r="F668" s="1122" t="s">
        <v>295</v>
      </c>
    </row>
    <row r="669" spans="1:6" s="631" customFormat="1" ht="27.6">
      <c r="A669" s="643"/>
      <c r="B669" s="687" t="s">
        <v>498</v>
      </c>
      <c r="C669" s="645"/>
      <c r="D669" s="646"/>
      <c r="E669" s="647"/>
      <c r="F669" s="1124"/>
    </row>
    <row r="670" spans="1:6" s="631" customFormat="1">
      <c r="A670" s="643"/>
      <c r="B670" s="688" t="s">
        <v>703</v>
      </c>
      <c r="C670" s="645"/>
      <c r="D670" s="646"/>
      <c r="E670" s="647"/>
      <c r="F670" s="1124"/>
    </row>
    <row r="671" spans="1:6" s="631" customFormat="1">
      <c r="A671" s="643">
        <f t="shared" ref="A671:A674" ca="1" si="147">IFERROR(IF(OFFSET(A671,-1,0)&gt;0,OFFSET(A671,-1,0)+0.001,ERROR.TYPE(0)),IFERROR(IF(OFFSET(A671,-2,0)&gt;0,OFFSET(A671,-2,0)+0.001,ERROR.TYPE(0)),IFERROR(IF(OFFSET(A671,-3,0)&gt;0,OFFSET(A671,-3,0)+0.001,ERROR.TYPE(0)),IFERROR(IF(OFFSET(A671,-4,0)&gt;0,OFFSET(A671,-4,0)+0.001,ERROR.TYPE(0)),IFERROR(IF(OFFSET(A671,-5,0)&gt;0,OFFSET(A671,-5,0)+0.001,ERROR.TYPE(0)),IFERROR(IF(OFFSET(A671,-6,0)&gt;0,OFFSET(A671,-6,0)+0.001,ERROR.TYPE(0)),IFERROR(IF(OFFSET(A671,-7,0)&gt;0,OFFSET(A671,-7,0)+0.001,ERROR.TYPE(0)),IFERROR(IF(OFFSET(A671,-8,0)&gt;0,OFFSET(A671,-8,0)+0.001,ERROR.TYPE(0)),IFERROR(IF(OFFSET(A671,-9,0)&gt;0,OFFSET(A671,-9,0)+0.001,ERROR.TYPE(0)),IFERROR(IF(OFFSET(A671,-10,0)&gt;0,OFFSET(A671,-10,0)+0.001,ERROR.TYPE(0)),ERROR.TYPE(0)))))))))))</f>
        <v>4.2430000000000812</v>
      </c>
      <c r="B671" s="651" t="s">
        <v>704</v>
      </c>
      <c r="C671" s="646">
        <v>5</v>
      </c>
      <c r="D671" s="646" t="s">
        <v>320</v>
      </c>
      <c r="E671" s="649">
        <f ca="1">Elec_Est!E2500</f>
        <v>36.25</v>
      </c>
      <c r="F671" s="1125">
        <f ca="1">IFERROR($C671*E671,E671)</f>
        <v>181.25</v>
      </c>
    </row>
    <row r="672" spans="1:6" s="631" customFormat="1">
      <c r="A672" s="643">
        <f t="shared" ca="1" si="147"/>
        <v>4.2440000000000815</v>
      </c>
      <c r="B672" s="651" t="s">
        <v>705</v>
      </c>
      <c r="C672" s="646">
        <v>5</v>
      </c>
      <c r="D672" s="646" t="s">
        <v>320</v>
      </c>
      <c r="E672" s="649">
        <f ca="1">Elec_Est!E2507</f>
        <v>36.25</v>
      </c>
      <c r="F672" s="1125">
        <f t="shared" ref="F672" ca="1" si="148">IFERROR($C672*E672,E672)</f>
        <v>181.25</v>
      </c>
    </row>
    <row r="673" spans="1:6" s="631" customFormat="1">
      <c r="A673" s="643">
        <f t="shared" ca="1" si="147"/>
        <v>4.2450000000000818</v>
      </c>
      <c r="B673" s="651" t="s">
        <v>706</v>
      </c>
      <c r="C673" s="646">
        <v>10</v>
      </c>
      <c r="D673" s="646" t="s">
        <v>320</v>
      </c>
      <c r="E673" s="649">
        <f ca="1">Elec_Est!E2514</f>
        <v>34.36</v>
      </c>
      <c r="F673" s="1125">
        <f ca="1">IFERROR($C673*E673,E673)</f>
        <v>343.6</v>
      </c>
    </row>
    <row r="674" spans="1:6" s="631" customFormat="1">
      <c r="A674" s="643">
        <f t="shared" ca="1" si="147"/>
        <v>4.2460000000000822</v>
      </c>
      <c r="B674" s="651" t="s">
        <v>707</v>
      </c>
      <c r="C674" s="646">
        <v>10</v>
      </c>
      <c r="D674" s="646" t="s">
        <v>320</v>
      </c>
      <c r="E674" s="649">
        <f ca="1">Elec_Est!E2521</f>
        <v>34.36</v>
      </c>
      <c r="F674" s="1125">
        <f t="shared" ref="F674" ca="1" si="149">IFERROR($C674*E674,E674)</f>
        <v>343.6</v>
      </c>
    </row>
    <row r="675" spans="1:6" s="631" customFormat="1">
      <c r="A675" s="643"/>
      <c r="B675" s="688" t="s">
        <v>708</v>
      </c>
      <c r="C675" s="645"/>
      <c r="D675" s="646"/>
      <c r="E675" s="647"/>
      <c r="F675" s="1124"/>
    </row>
    <row r="676" spans="1:6" s="631" customFormat="1">
      <c r="A676" s="643">
        <f t="shared" ref="A676:A678" ca="1" si="150">IFERROR(IF(OFFSET(A676,-1,0)&gt;0,OFFSET(A676,-1,0)+0.001,ERROR.TYPE(0)),IFERROR(IF(OFFSET(A676,-2,0)&gt;0,OFFSET(A676,-2,0)+0.001,ERROR.TYPE(0)),IFERROR(IF(OFFSET(A676,-3,0)&gt;0,OFFSET(A676,-3,0)+0.001,ERROR.TYPE(0)),IFERROR(IF(OFFSET(A676,-4,0)&gt;0,OFFSET(A676,-4,0)+0.001,ERROR.TYPE(0)),IFERROR(IF(OFFSET(A676,-5,0)&gt;0,OFFSET(A676,-5,0)+0.001,ERROR.TYPE(0)),IFERROR(IF(OFFSET(A676,-6,0)&gt;0,OFFSET(A676,-6,0)+0.001,ERROR.TYPE(0)),IFERROR(IF(OFFSET(A676,-7,0)&gt;0,OFFSET(A676,-7,0)+0.001,ERROR.TYPE(0)),IFERROR(IF(OFFSET(A676,-8,0)&gt;0,OFFSET(A676,-8,0)+0.001,ERROR.TYPE(0)),IFERROR(IF(OFFSET(A676,-9,0)&gt;0,OFFSET(A676,-9,0)+0.001,ERROR.TYPE(0)),IFERROR(IF(OFFSET(A676,-10,0)&gt;0,OFFSET(A676,-10,0)+0.001,ERROR.TYPE(0)),ERROR.TYPE(0)))))))))))</f>
        <v>4.2470000000000825</v>
      </c>
      <c r="B676" s="651" t="s">
        <v>709</v>
      </c>
      <c r="C676" s="646">
        <v>10</v>
      </c>
      <c r="D676" s="646" t="s">
        <v>320</v>
      </c>
      <c r="E676" s="649">
        <f ca="1">Elec_Est!E2532</f>
        <v>34.36</v>
      </c>
      <c r="F676" s="1125">
        <f ca="1">IFERROR($C676*E676,E676)</f>
        <v>343.6</v>
      </c>
    </row>
    <row r="677" spans="1:6" s="631" customFormat="1">
      <c r="A677" s="643">
        <f t="shared" ca="1" si="150"/>
        <v>4.2480000000000828</v>
      </c>
      <c r="B677" s="651" t="s">
        <v>710</v>
      </c>
      <c r="C677" s="646">
        <v>5</v>
      </c>
      <c r="D677" s="646" t="s">
        <v>320</v>
      </c>
      <c r="E677" s="649">
        <f ca="1">Elec_Est!E2539</f>
        <v>34.36</v>
      </c>
      <c r="F677" s="1125">
        <f t="shared" ref="F677:F678" ca="1" si="151">IFERROR($C677*E677,E677)</f>
        <v>171.8</v>
      </c>
    </row>
    <row r="678" spans="1:6" s="631" customFormat="1">
      <c r="A678" s="643">
        <f t="shared" ca="1" si="150"/>
        <v>4.2490000000000832</v>
      </c>
      <c r="B678" s="651" t="s">
        <v>711</v>
      </c>
      <c r="C678" s="646">
        <v>5</v>
      </c>
      <c r="D678" s="646" t="s">
        <v>320</v>
      </c>
      <c r="E678" s="649">
        <f ca="1">Elec_Est!E2546</f>
        <v>34.36</v>
      </c>
      <c r="F678" s="1125">
        <f t="shared" ca="1" si="151"/>
        <v>171.8</v>
      </c>
    </row>
    <row r="679" spans="1:6" s="631" customFormat="1" ht="27.6">
      <c r="A679" s="643"/>
      <c r="B679" s="687" t="s">
        <v>498</v>
      </c>
      <c r="C679" s="645"/>
      <c r="D679" s="646"/>
      <c r="E679" s="647"/>
      <c r="F679" s="1124"/>
    </row>
    <row r="680" spans="1:6" s="631" customFormat="1">
      <c r="A680" s="643"/>
      <c r="B680" s="688" t="s">
        <v>712</v>
      </c>
      <c r="C680" s="645"/>
      <c r="D680" s="646"/>
      <c r="E680" s="647"/>
      <c r="F680" s="1124"/>
    </row>
    <row r="681" spans="1:6" s="631" customFormat="1">
      <c r="A681" s="643">
        <f t="shared" ref="A681" ca="1" si="152">IFERROR(IF(OFFSET(A681,-1,0)&gt;0,OFFSET(A681,-1,0)+0.001,ERROR.TYPE(0)),IFERROR(IF(OFFSET(A681,-2,0)&gt;0,OFFSET(A681,-2,0)+0.001,ERROR.TYPE(0)),IFERROR(IF(OFFSET(A681,-3,0)&gt;0,OFFSET(A681,-3,0)+0.001,ERROR.TYPE(0)),IFERROR(IF(OFFSET(A681,-4,0)&gt;0,OFFSET(A681,-4,0)+0.001,ERROR.TYPE(0)),IFERROR(IF(OFFSET(A681,-5,0)&gt;0,OFFSET(A681,-5,0)+0.001,ERROR.TYPE(0)),IFERROR(IF(OFFSET(A681,-6,0)&gt;0,OFFSET(A681,-6,0)+0.001,ERROR.TYPE(0)),IFERROR(IF(OFFSET(A681,-7,0)&gt;0,OFFSET(A681,-7,0)+0.001,ERROR.TYPE(0)),IFERROR(IF(OFFSET(A681,-8,0)&gt;0,OFFSET(A681,-8,0)+0.001,ERROR.TYPE(0)),IFERROR(IF(OFFSET(A681,-9,0)&gt;0,OFFSET(A681,-9,0)+0.001,ERROR.TYPE(0)),IFERROR(IF(OFFSET(A681,-10,0)&gt;0,OFFSET(A681,-10,0)+0.001,ERROR.TYPE(0)),ERROR.TYPE(0)))))))))))</f>
        <v>4.2500000000000835</v>
      </c>
      <c r="B681" s="651" t="s">
        <v>713</v>
      </c>
      <c r="C681" s="646">
        <v>5</v>
      </c>
      <c r="D681" s="646" t="s">
        <v>320</v>
      </c>
      <c r="E681" s="649">
        <f ca="1">Elec_Est!E2561</f>
        <v>11.7</v>
      </c>
      <c r="F681" s="1125">
        <f ca="1">IFERROR($C681*E681,E681)</f>
        <v>58.5</v>
      </c>
    </row>
    <row r="682" spans="1:6" s="631" customFormat="1">
      <c r="A682" s="643"/>
      <c r="B682" s="688" t="s">
        <v>714</v>
      </c>
      <c r="C682" s="645"/>
      <c r="D682" s="646"/>
      <c r="E682" s="647"/>
      <c r="F682" s="1124"/>
    </row>
    <row r="683" spans="1:6" s="631" customFormat="1">
      <c r="A683" s="643">
        <f t="shared" ref="A683" ca="1" si="153">IFERROR(IF(OFFSET(A683,-1,0)&gt;0,OFFSET(A683,-1,0)+0.001,ERROR.TYPE(0)),IFERROR(IF(OFFSET(A683,-2,0)&gt;0,OFFSET(A683,-2,0)+0.001,ERROR.TYPE(0)),IFERROR(IF(OFFSET(A683,-3,0)&gt;0,OFFSET(A683,-3,0)+0.001,ERROR.TYPE(0)),IFERROR(IF(OFFSET(A683,-4,0)&gt;0,OFFSET(A683,-4,0)+0.001,ERROR.TYPE(0)),IFERROR(IF(OFFSET(A683,-5,0)&gt;0,OFFSET(A683,-5,0)+0.001,ERROR.TYPE(0)),IFERROR(IF(OFFSET(A683,-6,0)&gt;0,OFFSET(A683,-6,0)+0.001,ERROR.TYPE(0)),IFERROR(IF(OFFSET(A683,-7,0)&gt;0,OFFSET(A683,-7,0)+0.001,ERROR.TYPE(0)),IFERROR(IF(OFFSET(A683,-8,0)&gt;0,OFFSET(A683,-8,0)+0.001,ERROR.TYPE(0)),IFERROR(IF(OFFSET(A683,-9,0)&gt;0,OFFSET(A683,-9,0)+0.001,ERROR.TYPE(0)),IFERROR(IF(OFFSET(A683,-10,0)&gt;0,OFFSET(A683,-10,0)+0.001,ERROR.TYPE(0)),ERROR.TYPE(0)))))))))))</f>
        <v>4.2510000000000838</v>
      </c>
      <c r="B683" s="651" t="s">
        <v>715</v>
      </c>
      <c r="C683" s="646">
        <v>30</v>
      </c>
      <c r="D683" s="646" t="s">
        <v>320</v>
      </c>
      <c r="E683" s="649">
        <f ca="1">Elec_Est!E2572</f>
        <v>5.63</v>
      </c>
      <c r="F683" s="1125">
        <f ca="1">IFERROR($C683*E683,E683)</f>
        <v>168.9</v>
      </c>
    </row>
    <row r="684" spans="1:6" s="631" customFormat="1">
      <c r="A684" s="643"/>
      <c r="B684" s="687" t="s">
        <v>463</v>
      </c>
      <c r="C684" s="646"/>
      <c r="D684" s="646"/>
      <c r="E684" s="649"/>
      <c r="F684" s="1125"/>
    </row>
    <row r="685" spans="1:6" s="631" customFormat="1">
      <c r="A685" s="643">
        <f t="shared" ref="A685" ca="1" si="154">IFERROR(IF(OFFSET(A685,-1,0)&gt;0,OFFSET(A685,-1,0)+0.001,ERROR.TYPE(0)),IFERROR(IF(OFFSET(A685,-2,0)&gt;0,OFFSET(A685,-2,0)+0.001,ERROR.TYPE(0)),IFERROR(IF(OFFSET(A685,-3,0)&gt;0,OFFSET(A685,-3,0)+0.001,ERROR.TYPE(0)),IFERROR(IF(OFFSET(A685,-4,0)&gt;0,OFFSET(A685,-4,0)+0.001,ERROR.TYPE(0)),IFERROR(IF(OFFSET(A685,-5,0)&gt;0,OFFSET(A685,-5,0)+0.001,ERROR.TYPE(0)),IFERROR(IF(OFFSET(A685,-6,0)&gt;0,OFFSET(A685,-6,0)+0.001,ERROR.TYPE(0)),IFERROR(IF(OFFSET(A685,-7,0)&gt;0,OFFSET(A685,-7,0)+0.001,ERROR.TYPE(0)),IFERROR(IF(OFFSET(A685,-8,0)&gt;0,OFFSET(A685,-8,0)+0.001,ERROR.TYPE(0)),IFERROR(IF(OFFSET(A685,-9,0)&gt;0,OFFSET(A685,-9,0)+0.001,ERROR.TYPE(0)),IFERROR(IF(OFFSET(A685,-10,0)&gt;0,OFFSET(A685,-10,0)+0.001,ERROR.TYPE(0)),ERROR.TYPE(0)))))))))))</f>
        <v>4.2520000000000842</v>
      </c>
      <c r="B685" s="651" t="s">
        <v>556</v>
      </c>
      <c r="C685" s="646">
        <v>1</v>
      </c>
      <c r="D685" s="646" t="s">
        <v>141</v>
      </c>
      <c r="E685" s="649">
        <f ca="1">Elec_Est!E2583</f>
        <v>48.45</v>
      </c>
      <c r="F685" s="1125">
        <f ca="1">IFERROR($C685*E685,E685)</f>
        <v>48.45</v>
      </c>
    </row>
    <row r="686" spans="1:6" s="631" customFormat="1" ht="27.6">
      <c r="A686" s="643"/>
      <c r="B686" s="687" t="s">
        <v>498</v>
      </c>
      <c r="C686" s="645"/>
      <c r="D686" s="646"/>
      <c r="E686" s="647"/>
      <c r="F686" s="1124"/>
    </row>
    <row r="687" spans="1:6" s="631" customFormat="1">
      <c r="A687" s="643"/>
      <c r="B687" s="688" t="s">
        <v>716</v>
      </c>
      <c r="C687" s="645"/>
      <c r="D687" s="646"/>
      <c r="E687" s="647"/>
      <c r="F687" s="1124"/>
    </row>
    <row r="688" spans="1:6" s="631" customFormat="1">
      <c r="A688" s="643">
        <f t="shared" ref="A688:A690" ca="1" si="155">IFERROR(IF(OFFSET(A688,-1,0)&gt;0,OFFSET(A688,-1,0)+0.001,ERROR.TYPE(0)),IFERROR(IF(OFFSET(A688,-2,0)&gt;0,OFFSET(A688,-2,0)+0.001,ERROR.TYPE(0)),IFERROR(IF(OFFSET(A688,-3,0)&gt;0,OFFSET(A688,-3,0)+0.001,ERROR.TYPE(0)),IFERROR(IF(OFFSET(A688,-4,0)&gt;0,OFFSET(A688,-4,0)+0.001,ERROR.TYPE(0)),IFERROR(IF(OFFSET(A688,-5,0)&gt;0,OFFSET(A688,-5,0)+0.001,ERROR.TYPE(0)),IFERROR(IF(OFFSET(A688,-6,0)&gt;0,OFFSET(A688,-6,0)+0.001,ERROR.TYPE(0)),IFERROR(IF(OFFSET(A688,-7,0)&gt;0,OFFSET(A688,-7,0)+0.001,ERROR.TYPE(0)),IFERROR(IF(OFFSET(A688,-8,0)&gt;0,OFFSET(A688,-8,0)+0.001,ERROR.TYPE(0)),IFERROR(IF(OFFSET(A688,-9,0)&gt;0,OFFSET(A688,-9,0)+0.001,ERROR.TYPE(0)),IFERROR(IF(OFFSET(A688,-10,0)&gt;0,OFFSET(A688,-10,0)+0.001,ERROR.TYPE(0)),ERROR.TYPE(0)))))))))))</f>
        <v>4.2530000000000845</v>
      </c>
      <c r="B688" s="651" t="s">
        <v>717</v>
      </c>
      <c r="C688" s="646">
        <v>25</v>
      </c>
      <c r="D688" s="646" t="s">
        <v>320</v>
      </c>
      <c r="E688" s="649">
        <f ca="1">Elec_Est!E2598</f>
        <v>9.9499999999999993</v>
      </c>
      <c r="F688" s="1125">
        <f ca="1">IFERROR($C688*E688,E688)</f>
        <v>248.74999999999997</v>
      </c>
    </row>
    <row r="689" spans="1:6" s="631" customFormat="1">
      <c r="A689" s="643">
        <f t="shared" ca="1" si="155"/>
        <v>4.2540000000000848</v>
      </c>
      <c r="B689" s="651" t="s">
        <v>718</v>
      </c>
      <c r="C689" s="646">
        <v>25</v>
      </c>
      <c r="D689" s="646" t="s">
        <v>320</v>
      </c>
      <c r="E689" s="649">
        <f ca="1">Elec_Est!E2605</f>
        <v>5.63</v>
      </c>
      <c r="F689" s="1125">
        <f ca="1">IFERROR($C689*E689,E689)</f>
        <v>140.75</v>
      </c>
    </row>
    <row r="690" spans="1:6" s="631" customFormat="1">
      <c r="A690" s="643">
        <f t="shared" ca="1" si="155"/>
        <v>4.2550000000000852</v>
      </c>
      <c r="B690" s="651" t="s">
        <v>719</v>
      </c>
      <c r="C690" s="646">
        <v>5</v>
      </c>
      <c r="D690" s="646" t="s">
        <v>320</v>
      </c>
      <c r="E690" s="649">
        <f ca="1">Elec_Est!E2612</f>
        <v>11.7</v>
      </c>
      <c r="F690" s="1125">
        <f ca="1">IFERROR($C690*E690,E690)</f>
        <v>58.5</v>
      </c>
    </row>
    <row r="691" spans="1:6" s="631" customFormat="1">
      <c r="A691" s="643"/>
      <c r="B691" s="687" t="s">
        <v>463</v>
      </c>
      <c r="C691" s="646"/>
      <c r="D691" s="646"/>
      <c r="E691" s="649"/>
      <c r="F691" s="1125"/>
    </row>
    <row r="692" spans="1:6" s="631" customFormat="1">
      <c r="A692" s="643">
        <f t="shared" ref="A692:A693" ca="1" si="156">IFERROR(IF(OFFSET(A692,-1,0)&gt;0,OFFSET(A692,-1,0)+0.001,ERROR.TYPE(0)),IFERROR(IF(OFFSET(A692,-2,0)&gt;0,OFFSET(A692,-2,0)+0.001,ERROR.TYPE(0)),IFERROR(IF(OFFSET(A692,-3,0)&gt;0,OFFSET(A692,-3,0)+0.001,ERROR.TYPE(0)),IFERROR(IF(OFFSET(A692,-4,0)&gt;0,OFFSET(A692,-4,0)+0.001,ERROR.TYPE(0)),IFERROR(IF(OFFSET(A692,-5,0)&gt;0,OFFSET(A692,-5,0)+0.001,ERROR.TYPE(0)),IFERROR(IF(OFFSET(A692,-6,0)&gt;0,OFFSET(A692,-6,0)+0.001,ERROR.TYPE(0)),IFERROR(IF(OFFSET(A692,-7,0)&gt;0,OFFSET(A692,-7,0)+0.001,ERROR.TYPE(0)),IFERROR(IF(OFFSET(A692,-8,0)&gt;0,OFFSET(A692,-8,0)+0.001,ERROR.TYPE(0)),IFERROR(IF(OFFSET(A692,-9,0)&gt;0,OFFSET(A692,-9,0)+0.001,ERROR.TYPE(0)),IFERROR(IF(OFFSET(A692,-10,0)&gt;0,OFFSET(A692,-10,0)+0.001,ERROR.TYPE(0)),ERROR.TYPE(0)))))))))))</f>
        <v>4.2560000000000855</v>
      </c>
      <c r="B692" s="651" t="s">
        <v>556</v>
      </c>
      <c r="C692" s="646">
        <v>1</v>
      </c>
      <c r="D692" s="646" t="s">
        <v>141</v>
      </c>
      <c r="E692" s="649">
        <f ca="1">Elec_Est!E2623</f>
        <v>48.45</v>
      </c>
      <c r="F692" s="1125">
        <f ca="1">IFERROR($C692*E692,E692)</f>
        <v>48.45</v>
      </c>
    </row>
    <row r="693" spans="1:6" s="631" customFormat="1">
      <c r="A693" s="643">
        <f t="shared" ca="1" si="156"/>
        <v>4.2570000000000858</v>
      </c>
      <c r="B693" s="651" t="s">
        <v>541</v>
      </c>
      <c r="C693" s="646">
        <v>1</v>
      </c>
      <c r="D693" s="646" t="s">
        <v>141</v>
      </c>
      <c r="E693" s="649">
        <f ca="1">Elec_Est!E2630</f>
        <v>104.97</v>
      </c>
      <c r="F693" s="1125">
        <f ca="1">IFERROR($C693*E693,E693)</f>
        <v>104.97</v>
      </c>
    </row>
    <row r="694" spans="1:6" s="631" customFormat="1" ht="27.6">
      <c r="A694" s="643"/>
      <c r="B694" s="687" t="s">
        <v>498</v>
      </c>
      <c r="C694" s="645"/>
      <c r="D694" s="646"/>
      <c r="E694" s="647"/>
      <c r="F694" s="1124"/>
    </row>
    <row r="695" spans="1:6" s="631" customFormat="1">
      <c r="A695" s="643"/>
      <c r="B695" s="688" t="s">
        <v>720</v>
      </c>
      <c r="C695" s="645"/>
      <c r="D695" s="646"/>
      <c r="E695" s="647"/>
      <c r="F695" s="1124"/>
    </row>
    <row r="696" spans="1:6" s="631" customFormat="1">
      <c r="A696" s="643">
        <f t="shared" ref="A696:A698" ca="1" si="157">IFERROR(IF(OFFSET(A696,-1,0)&gt;0,OFFSET(A696,-1,0)+0.001,ERROR.TYPE(0)),IFERROR(IF(OFFSET(A696,-2,0)&gt;0,OFFSET(A696,-2,0)+0.001,ERROR.TYPE(0)),IFERROR(IF(OFFSET(A696,-3,0)&gt;0,OFFSET(A696,-3,0)+0.001,ERROR.TYPE(0)),IFERROR(IF(OFFSET(A696,-4,0)&gt;0,OFFSET(A696,-4,0)+0.001,ERROR.TYPE(0)),IFERROR(IF(OFFSET(A696,-5,0)&gt;0,OFFSET(A696,-5,0)+0.001,ERROR.TYPE(0)),IFERROR(IF(OFFSET(A696,-6,0)&gt;0,OFFSET(A696,-6,0)+0.001,ERROR.TYPE(0)),IFERROR(IF(OFFSET(A696,-7,0)&gt;0,OFFSET(A696,-7,0)+0.001,ERROR.TYPE(0)),IFERROR(IF(OFFSET(A696,-8,0)&gt;0,OFFSET(A696,-8,0)+0.001,ERROR.TYPE(0)),IFERROR(IF(OFFSET(A696,-9,0)&gt;0,OFFSET(A696,-9,0)+0.001,ERROR.TYPE(0)),IFERROR(IF(OFFSET(A696,-10,0)&gt;0,OFFSET(A696,-10,0)+0.001,ERROR.TYPE(0)),ERROR.TYPE(0)))))))))))</f>
        <v>4.2580000000000862</v>
      </c>
      <c r="B696" s="651" t="s">
        <v>721</v>
      </c>
      <c r="C696" s="646">
        <v>25</v>
      </c>
      <c r="D696" s="646" t="s">
        <v>320</v>
      </c>
      <c r="E696" s="649">
        <f ca="1">Elec_Est!E2645</f>
        <v>5.63</v>
      </c>
      <c r="F696" s="1125">
        <f t="shared" ref="F696:F698" ca="1" si="158">IFERROR($C696*E696,E696)</f>
        <v>140.75</v>
      </c>
    </row>
    <row r="697" spans="1:6" s="631" customFormat="1">
      <c r="A697" s="643">
        <f t="shared" ca="1" si="157"/>
        <v>4.2590000000000865</v>
      </c>
      <c r="B697" s="651" t="s">
        <v>722</v>
      </c>
      <c r="C697" s="646">
        <v>30</v>
      </c>
      <c r="D697" s="646" t="s">
        <v>320</v>
      </c>
      <c r="E697" s="649">
        <f ca="1">Elec_Est!E2652</f>
        <v>5.63</v>
      </c>
      <c r="F697" s="1125">
        <f ca="1">IFERROR($C697*E697,E697)</f>
        <v>168.9</v>
      </c>
    </row>
    <row r="698" spans="1:6" s="631" customFormat="1">
      <c r="A698" s="643">
        <f t="shared" ca="1" si="157"/>
        <v>4.2600000000000868</v>
      </c>
      <c r="B698" s="651" t="s">
        <v>723</v>
      </c>
      <c r="C698" s="646">
        <v>25</v>
      </c>
      <c r="D698" s="646" t="s">
        <v>320</v>
      </c>
      <c r="E698" s="649">
        <f ca="1">Elec_Est!E2659</f>
        <v>5.63</v>
      </c>
      <c r="F698" s="1125">
        <f t="shared" ca="1" si="158"/>
        <v>140.75</v>
      </c>
    </row>
    <row r="699" spans="1:6" s="631" customFormat="1">
      <c r="A699" s="643"/>
      <c r="B699" s="687" t="s">
        <v>463</v>
      </c>
      <c r="C699" s="646"/>
      <c r="D699" s="646"/>
      <c r="E699" s="649"/>
      <c r="F699" s="1125"/>
    </row>
    <row r="700" spans="1:6" s="631" customFormat="1">
      <c r="A700" s="643">
        <f t="shared" ref="A700:A701" ca="1" si="159">IFERROR(IF(OFFSET(A700,-1,0)&gt;0,OFFSET(A700,-1,0)+0.001,ERROR.TYPE(0)),IFERROR(IF(OFFSET(A700,-2,0)&gt;0,OFFSET(A700,-2,0)+0.001,ERROR.TYPE(0)),IFERROR(IF(OFFSET(A700,-3,0)&gt;0,OFFSET(A700,-3,0)+0.001,ERROR.TYPE(0)),IFERROR(IF(OFFSET(A700,-4,0)&gt;0,OFFSET(A700,-4,0)+0.001,ERROR.TYPE(0)),IFERROR(IF(OFFSET(A700,-5,0)&gt;0,OFFSET(A700,-5,0)+0.001,ERROR.TYPE(0)),IFERROR(IF(OFFSET(A700,-6,0)&gt;0,OFFSET(A700,-6,0)+0.001,ERROR.TYPE(0)),IFERROR(IF(OFFSET(A700,-7,0)&gt;0,OFFSET(A700,-7,0)+0.001,ERROR.TYPE(0)),IFERROR(IF(OFFSET(A700,-8,0)&gt;0,OFFSET(A700,-8,0)+0.001,ERROR.TYPE(0)),IFERROR(IF(OFFSET(A700,-9,0)&gt;0,OFFSET(A700,-9,0)+0.001,ERROR.TYPE(0)),IFERROR(IF(OFFSET(A700,-10,0)&gt;0,OFFSET(A700,-10,0)+0.001,ERROR.TYPE(0)),ERROR.TYPE(0)))))))))))</f>
        <v>4.2610000000000872</v>
      </c>
      <c r="B700" s="651" t="s">
        <v>556</v>
      </c>
      <c r="C700" s="646">
        <v>2</v>
      </c>
      <c r="D700" s="646" t="s">
        <v>141</v>
      </c>
      <c r="E700" s="649">
        <f ca="1">Elec_Est!E2670</f>
        <v>48.45</v>
      </c>
      <c r="F700" s="1125">
        <f ca="1">IFERROR($C700*E700,E700)</f>
        <v>96.9</v>
      </c>
    </row>
    <row r="701" spans="1:6" s="631" customFormat="1">
      <c r="A701" s="643">
        <f t="shared" ca="1" si="159"/>
        <v>4.2620000000000875</v>
      </c>
      <c r="B701" s="651" t="s">
        <v>724</v>
      </c>
      <c r="C701" s="646">
        <v>1</v>
      </c>
      <c r="D701" s="646" t="s">
        <v>141</v>
      </c>
      <c r="E701" s="649">
        <f ca="1">Elec_Est!E2677</f>
        <v>195.54</v>
      </c>
      <c r="F701" s="1125">
        <f ca="1">IFERROR($C701*E701,E701)</f>
        <v>195.54</v>
      </c>
    </row>
    <row r="702" spans="1:6" s="631" customFormat="1" ht="27.6">
      <c r="A702" s="643"/>
      <c r="B702" s="687" t="s">
        <v>498</v>
      </c>
      <c r="C702" s="645"/>
      <c r="D702" s="646"/>
      <c r="E702" s="647"/>
      <c r="F702" s="1124"/>
    </row>
    <row r="703" spans="1:6" s="631" customFormat="1">
      <c r="A703" s="643"/>
      <c r="B703" s="688" t="s">
        <v>725</v>
      </c>
      <c r="C703" s="645"/>
      <c r="D703" s="646"/>
      <c r="E703" s="647"/>
      <c r="F703" s="1124"/>
    </row>
    <row r="704" spans="1:6" s="631" customFormat="1">
      <c r="A704" s="643">
        <f t="shared" ref="A704" ca="1" si="160">IFERROR(IF(OFFSET(A704,-1,0)&gt;0,OFFSET(A704,-1,0)+0.001,ERROR.TYPE(0)),IFERROR(IF(OFFSET(A704,-2,0)&gt;0,OFFSET(A704,-2,0)+0.001,ERROR.TYPE(0)),IFERROR(IF(OFFSET(A704,-3,0)&gt;0,OFFSET(A704,-3,0)+0.001,ERROR.TYPE(0)),IFERROR(IF(OFFSET(A704,-4,0)&gt;0,OFFSET(A704,-4,0)+0.001,ERROR.TYPE(0)),IFERROR(IF(OFFSET(A704,-5,0)&gt;0,OFFSET(A704,-5,0)+0.001,ERROR.TYPE(0)),IFERROR(IF(OFFSET(A704,-6,0)&gt;0,OFFSET(A704,-6,0)+0.001,ERROR.TYPE(0)),IFERROR(IF(OFFSET(A704,-7,0)&gt;0,OFFSET(A704,-7,0)+0.001,ERROR.TYPE(0)),IFERROR(IF(OFFSET(A704,-8,0)&gt;0,OFFSET(A704,-8,0)+0.001,ERROR.TYPE(0)),IFERROR(IF(OFFSET(A704,-9,0)&gt;0,OFFSET(A704,-9,0)+0.001,ERROR.TYPE(0)),IFERROR(IF(OFFSET(A704,-10,0)&gt;0,OFFSET(A704,-10,0)+0.001,ERROR.TYPE(0)),ERROR.TYPE(0)))))))))))</f>
        <v>4.2630000000000878</v>
      </c>
      <c r="B704" s="651" t="s">
        <v>726</v>
      </c>
      <c r="C704" s="646">
        <v>5</v>
      </c>
      <c r="D704" s="646" t="s">
        <v>320</v>
      </c>
      <c r="E704" s="649">
        <f ca="1">Elec_Est!E2693</f>
        <v>11.7</v>
      </c>
      <c r="F704" s="1125">
        <f ca="1">IFERROR($C704*E704,E704)</f>
        <v>58.5</v>
      </c>
    </row>
    <row r="705" spans="1:6" s="631" customFormat="1">
      <c r="A705" s="643"/>
      <c r="B705" s="688" t="s">
        <v>727</v>
      </c>
      <c r="C705" s="645"/>
      <c r="D705" s="646"/>
      <c r="E705" s="647"/>
      <c r="F705" s="1124"/>
    </row>
    <row r="706" spans="1:6" s="631" customFormat="1">
      <c r="A706" s="643">
        <f t="shared" ref="A706:A707" ca="1" si="161">IFERROR(IF(OFFSET(A706,-1,0)&gt;0,OFFSET(A706,-1,0)+0.001,ERROR.TYPE(0)),IFERROR(IF(OFFSET(A706,-2,0)&gt;0,OFFSET(A706,-2,0)+0.001,ERROR.TYPE(0)),IFERROR(IF(OFFSET(A706,-3,0)&gt;0,OFFSET(A706,-3,0)+0.001,ERROR.TYPE(0)),IFERROR(IF(OFFSET(A706,-4,0)&gt;0,OFFSET(A706,-4,0)+0.001,ERROR.TYPE(0)),IFERROR(IF(OFFSET(A706,-5,0)&gt;0,OFFSET(A706,-5,0)+0.001,ERROR.TYPE(0)),IFERROR(IF(OFFSET(A706,-6,0)&gt;0,OFFSET(A706,-6,0)+0.001,ERROR.TYPE(0)),IFERROR(IF(OFFSET(A706,-7,0)&gt;0,OFFSET(A706,-7,0)+0.001,ERROR.TYPE(0)),IFERROR(IF(OFFSET(A706,-8,0)&gt;0,OFFSET(A706,-8,0)+0.001,ERROR.TYPE(0)),IFERROR(IF(OFFSET(A706,-9,0)&gt;0,OFFSET(A706,-9,0)+0.001,ERROR.TYPE(0)),IFERROR(IF(OFFSET(A706,-10,0)&gt;0,OFFSET(A706,-10,0)+0.001,ERROR.TYPE(0)),ERROR.TYPE(0)))))))))))</f>
        <v>4.2640000000000882</v>
      </c>
      <c r="B706" s="651" t="s">
        <v>728</v>
      </c>
      <c r="C706" s="646">
        <v>35</v>
      </c>
      <c r="D706" s="646" t="s">
        <v>320</v>
      </c>
      <c r="E706" s="649">
        <f ca="1">Elec_Est!E2704</f>
        <v>5.63</v>
      </c>
      <c r="F706" s="1125">
        <f ca="1">IFERROR($C706*E706,E706)</f>
        <v>197.04999999999998</v>
      </c>
    </row>
    <row r="707" spans="1:6" s="631" customFormat="1">
      <c r="A707" s="643">
        <f t="shared" ca="1" si="161"/>
        <v>4.2650000000000885</v>
      </c>
      <c r="B707" s="651" t="s">
        <v>729</v>
      </c>
      <c r="C707" s="646">
        <v>60</v>
      </c>
      <c r="D707" s="646" t="s">
        <v>320</v>
      </c>
      <c r="E707" s="649">
        <f ca="1">Elec_Est!E2711</f>
        <v>5.63</v>
      </c>
      <c r="F707" s="1125">
        <f ca="1">IFERROR($C707*E707,E707)</f>
        <v>337.8</v>
      </c>
    </row>
    <row r="708" spans="1:6" s="631" customFormat="1">
      <c r="A708" s="643"/>
      <c r="B708" s="687" t="s">
        <v>463</v>
      </c>
      <c r="C708" s="646"/>
      <c r="D708" s="646"/>
      <c r="E708" s="649"/>
      <c r="F708" s="1125"/>
    </row>
    <row r="709" spans="1:6" s="631" customFormat="1">
      <c r="A709" s="643">
        <f t="shared" ref="A709" ca="1" si="162">IFERROR(IF(OFFSET(A709,-1,0)&gt;0,OFFSET(A709,-1,0)+0.001,ERROR.TYPE(0)),IFERROR(IF(OFFSET(A709,-2,0)&gt;0,OFFSET(A709,-2,0)+0.001,ERROR.TYPE(0)),IFERROR(IF(OFFSET(A709,-3,0)&gt;0,OFFSET(A709,-3,0)+0.001,ERROR.TYPE(0)),IFERROR(IF(OFFSET(A709,-4,0)&gt;0,OFFSET(A709,-4,0)+0.001,ERROR.TYPE(0)),IFERROR(IF(OFFSET(A709,-5,0)&gt;0,OFFSET(A709,-5,0)+0.001,ERROR.TYPE(0)),IFERROR(IF(OFFSET(A709,-6,0)&gt;0,OFFSET(A709,-6,0)+0.001,ERROR.TYPE(0)),IFERROR(IF(OFFSET(A709,-7,0)&gt;0,OFFSET(A709,-7,0)+0.001,ERROR.TYPE(0)),IFERROR(IF(OFFSET(A709,-8,0)&gt;0,OFFSET(A709,-8,0)+0.001,ERROR.TYPE(0)),IFERROR(IF(OFFSET(A709,-9,0)&gt;0,OFFSET(A709,-9,0)+0.001,ERROR.TYPE(0)),IFERROR(IF(OFFSET(A709,-10,0)&gt;0,OFFSET(A709,-10,0)+0.001,ERROR.TYPE(0)),ERROR.TYPE(0)))))))))))</f>
        <v>4.2660000000000888</v>
      </c>
      <c r="B709" s="651" t="s">
        <v>556</v>
      </c>
      <c r="C709" s="646">
        <v>2</v>
      </c>
      <c r="D709" s="646" t="s">
        <v>141</v>
      </c>
      <c r="E709" s="649">
        <f ca="1">Elec_Est!E2722</f>
        <v>48.45</v>
      </c>
      <c r="F709" s="1125">
        <f ca="1">IFERROR($C709*E709,E709)</f>
        <v>96.9</v>
      </c>
    </row>
    <row r="710" spans="1:6" s="631" customFormat="1">
      <c r="A710" s="638"/>
      <c r="B710" s="639" t="s">
        <v>730</v>
      </c>
      <c r="C710" s="1456" t="s">
        <v>305</v>
      </c>
      <c r="D710" s="1457"/>
      <c r="E710" s="652"/>
      <c r="F710" s="1239">
        <f ca="1">SUM(F669:F709)</f>
        <v>4047.26</v>
      </c>
    </row>
    <row r="711" spans="1:6" s="631" customFormat="1">
      <c r="A711" s="660"/>
      <c r="B711" s="629"/>
      <c r="C711" s="661"/>
      <c r="D711" s="654"/>
      <c r="E711" s="662"/>
      <c r="F711" s="1127"/>
    </row>
    <row r="712" spans="1:6" s="631" customFormat="1">
      <c r="A712" s="660"/>
      <c r="B712" s="629"/>
      <c r="C712" s="661"/>
      <c r="D712" s="654"/>
      <c r="E712" s="662"/>
      <c r="F712" s="1127"/>
    </row>
    <row r="713" spans="1:6" s="631" customFormat="1" ht="27.6">
      <c r="A713" s="634" t="s">
        <v>143</v>
      </c>
      <c r="B713" s="635" t="s">
        <v>198</v>
      </c>
      <c r="C713" s="636" t="s">
        <v>199</v>
      </c>
      <c r="D713" s="636" t="s">
        <v>200</v>
      </c>
      <c r="E713" s="637" t="s">
        <v>294</v>
      </c>
      <c r="F713" s="1122" t="s">
        <v>295</v>
      </c>
    </row>
    <row r="714" spans="1:6" s="631" customFormat="1" ht="27.6">
      <c r="A714" s="643"/>
      <c r="B714" s="687" t="s">
        <v>498</v>
      </c>
      <c r="C714" s="645"/>
      <c r="D714" s="646"/>
      <c r="E714" s="647"/>
      <c r="F714" s="1124"/>
    </row>
    <row r="715" spans="1:6" s="631" customFormat="1">
      <c r="A715" s="643"/>
      <c r="B715" s="688" t="s">
        <v>731</v>
      </c>
      <c r="C715" s="645"/>
      <c r="D715" s="646"/>
      <c r="E715" s="647"/>
      <c r="F715" s="1124"/>
    </row>
    <row r="716" spans="1:6" s="631" customFormat="1">
      <c r="A716" s="643">
        <f t="shared" ref="A716:A721" ca="1" si="163">IFERROR(IF(OFFSET(A716,-1,0)&gt;0,OFFSET(A716,-1,0)+0.001,ERROR.TYPE(0)),IFERROR(IF(OFFSET(A716,-2,0)&gt;0,OFFSET(A716,-2,0)+0.001,ERROR.TYPE(0)),IFERROR(IF(OFFSET(A716,-3,0)&gt;0,OFFSET(A716,-3,0)+0.001,ERROR.TYPE(0)),IFERROR(IF(OFFSET(A716,-4,0)&gt;0,OFFSET(A716,-4,0)+0.001,ERROR.TYPE(0)),IFERROR(IF(OFFSET(A716,-5,0)&gt;0,OFFSET(A716,-5,0)+0.001,ERROR.TYPE(0)),IFERROR(IF(OFFSET(A716,-6,0)&gt;0,OFFSET(A716,-6,0)+0.001,ERROR.TYPE(0)),IFERROR(IF(OFFSET(A716,-7,0)&gt;0,OFFSET(A716,-7,0)+0.001,ERROR.TYPE(0)),IFERROR(IF(OFFSET(A716,-8,0)&gt;0,OFFSET(A716,-8,0)+0.001,ERROR.TYPE(0)),IFERROR(IF(OFFSET(A716,-9,0)&gt;0,OFFSET(A716,-9,0)+0.001,ERROR.TYPE(0)),IFERROR(IF(OFFSET(A716,-10,0)&gt;0,OFFSET(A716,-10,0)+0.001,ERROR.TYPE(0)),ERROR.TYPE(0)))))))))))</f>
        <v>4.2670000000000892</v>
      </c>
      <c r="B716" s="651" t="s">
        <v>732</v>
      </c>
      <c r="C716" s="646">
        <v>5</v>
      </c>
      <c r="D716" s="646" t="s">
        <v>320</v>
      </c>
      <c r="E716" s="649">
        <f ca="1">Elec_Est!E2743</f>
        <v>36.25</v>
      </c>
      <c r="F716" s="1125">
        <f ca="1">IFERROR($C716*E716,E716)</f>
        <v>181.25</v>
      </c>
    </row>
    <row r="717" spans="1:6" s="631" customFormat="1">
      <c r="A717" s="643">
        <f t="shared" ca="1" si="163"/>
        <v>4.2680000000000895</v>
      </c>
      <c r="B717" s="651" t="s">
        <v>733</v>
      </c>
      <c r="C717" s="646">
        <v>5</v>
      </c>
      <c r="D717" s="646" t="s">
        <v>320</v>
      </c>
      <c r="E717" s="649">
        <f ca="1">Elec_Est!E2750</f>
        <v>36.25</v>
      </c>
      <c r="F717" s="1125">
        <f ca="1">IFERROR($C717*E717,E717)</f>
        <v>181.25</v>
      </c>
    </row>
    <row r="718" spans="1:6" s="631" customFormat="1">
      <c r="A718" s="643">
        <f t="shared" ca="1" si="163"/>
        <v>4.2690000000000898</v>
      </c>
      <c r="B718" s="651" t="s">
        <v>734</v>
      </c>
      <c r="C718" s="646">
        <v>10</v>
      </c>
      <c r="D718" s="646" t="s">
        <v>320</v>
      </c>
      <c r="E718" s="649">
        <f ca="1">Elec_Est!E2757</f>
        <v>36.25</v>
      </c>
      <c r="F718" s="1125">
        <f t="shared" ref="F718:F721" ca="1" si="164">IFERROR($C718*E718,E718)</f>
        <v>362.5</v>
      </c>
    </row>
    <row r="719" spans="1:6" s="631" customFormat="1">
      <c r="A719" s="643">
        <f t="shared" ca="1" si="163"/>
        <v>4.2700000000000902</v>
      </c>
      <c r="B719" s="651" t="s">
        <v>735</v>
      </c>
      <c r="C719" s="646">
        <v>10</v>
      </c>
      <c r="D719" s="646" t="s">
        <v>320</v>
      </c>
      <c r="E719" s="649">
        <f ca="1">Elec_Est!E2764</f>
        <v>36.25</v>
      </c>
      <c r="F719" s="1125">
        <f t="shared" ca="1" si="164"/>
        <v>362.5</v>
      </c>
    </row>
    <row r="720" spans="1:6" s="631" customFormat="1">
      <c r="A720" s="643">
        <f t="shared" ca="1" si="163"/>
        <v>4.2710000000000905</v>
      </c>
      <c r="B720" s="651" t="s">
        <v>736</v>
      </c>
      <c r="C720" s="646">
        <v>10</v>
      </c>
      <c r="D720" s="646" t="s">
        <v>320</v>
      </c>
      <c r="E720" s="649">
        <f ca="1">Elec_Est!E2771</f>
        <v>36.25</v>
      </c>
      <c r="F720" s="1125">
        <f t="shared" ca="1" si="164"/>
        <v>362.5</v>
      </c>
    </row>
    <row r="721" spans="1:6" s="631" customFormat="1">
      <c r="A721" s="643">
        <f t="shared" ca="1" si="163"/>
        <v>4.2720000000000908</v>
      </c>
      <c r="B721" s="651" t="s">
        <v>737</v>
      </c>
      <c r="C721" s="646">
        <v>10</v>
      </c>
      <c r="D721" s="646" t="s">
        <v>320</v>
      </c>
      <c r="E721" s="649">
        <f ca="1">Elec_Est!E2778</f>
        <v>36.25</v>
      </c>
      <c r="F721" s="1125">
        <f t="shared" ca="1" si="164"/>
        <v>362.5</v>
      </c>
    </row>
    <row r="722" spans="1:6" s="631" customFormat="1" ht="27.6">
      <c r="A722" s="643"/>
      <c r="B722" s="687" t="s">
        <v>498</v>
      </c>
      <c r="C722" s="645"/>
      <c r="D722" s="646"/>
      <c r="E722" s="647"/>
      <c r="F722" s="1124"/>
    </row>
    <row r="723" spans="1:6" s="631" customFormat="1">
      <c r="A723" s="643"/>
      <c r="B723" s="688" t="s">
        <v>738</v>
      </c>
      <c r="C723" s="645"/>
      <c r="D723" s="646"/>
      <c r="E723" s="647"/>
      <c r="F723" s="1124"/>
    </row>
    <row r="724" spans="1:6" s="631" customFormat="1">
      <c r="A724" s="643">
        <f t="shared" ref="A724" ca="1" si="165">IFERROR(IF(OFFSET(A724,-1,0)&gt;0,OFFSET(A724,-1,0)+0.001,ERROR.TYPE(0)),IFERROR(IF(OFFSET(A724,-2,0)&gt;0,OFFSET(A724,-2,0)+0.001,ERROR.TYPE(0)),IFERROR(IF(OFFSET(A724,-3,0)&gt;0,OFFSET(A724,-3,0)+0.001,ERROR.TYPE(0)),IFERROR(IF(OFFSET(A724,-4,0)&gt;0,OFFSET(A724,-4,0)+0.001,ERROR.TYPE(0)),IFERROR(IF(OFFSET(A724,-5,0)&gt;0,OFFSET(A724,-5,0)+0.001,ERROR.TYPE(0)),IFERROR(IF(OFFSET(A724,-6,0)&gt;0,OFFSET(A724,-6,0)+0.001,ERROR.TYPE(0)),IFERROR(IF(OFFSET(A724,-7,0)&gt;0,OFFSET(A724,-7,0)+0.001,ERROR.TYPE(0)),IFERROR(IF(OFFSET(A724,-8,0)&gt;0,OFFSET(A724,-8,0)+0.001,ERROR.TYPE(0)),IFERROR(IF(OFFSET(A724,-9,0)&gt;0,OFFSET(A724,-9,0)+0.001,ERROR.TYPE(0)),IFERROR(IF(OFFSET(A724,-10,0)&gt;0,OFFSET(A724,-10,0)+0.001,ERROR.TYPE(0)),ERROR.TYPE(0)))))))))))</f>
        <v>4.2730000000000912</v>
      </c>
      <c r="B724" s="651" t="s">
        <v>739</v>
      </c>
      <c r="C724" s="646">
        <v>5</v>
      </c>
      <c r="D724" s="646" t="s">
        <v>320</v>
      </c>
      <c r="E724" s="649">
        <f ca="1">Elec_Est!E2793</f>
        <v>11.7</v>
      </c>
      <c r="F724" s="1125">
        <f ca="1">IFERROR($C724*E724,E724)</f>
        <v>58.5</v>
      </c>
    </row>
    <row r="725" spans="1:6" s="631" customFormat="1">
      <c r="A725" s="643"/>
      <c r="B725" s="688" t="s">
        <v>740</v>
      </c>
      <c r="C725" s="645"/>
      <c r="D725" s="646"/>
      <c r="E725" s="647"/>
      <c r="F725" s="1124"/>
    </row>
    <row r="726" spans="1:6" s="631" customFormat="1">
      <c r="A726" s="643">
        <f t="shared" ref="A726:A728" ca="1" si="166">IFERROR(IF(OFFSET(A726,-1,0)&gt;0,OFFSET(A726,-1,0)+0.001,ERROR.TYPE(0)),IFERROR(IF(OFFSET(A726,-2,0)&gt;0,OFFSET(A726,-2,0)+0.001,ERROR.TYPE(0)),IFERROR(IF(OFFSET(A726,-3,0)&gt;0,OFFSET(A726,-3,0)+0.001,ERROR.TYPE(0)),IFERROR(IF(OFFSET(A726,-4,0)&gt;0,OFFSET(A726,-4,0)+0.001,ERROR.TYPE(0)),IFERROR(IF(OFFSET(A726,-5,0)&gt;0,OFFSET(A726,-5,0)+0.001,ERROR.TYPE(0)),IFERROR(IF(OFFSET(A726,-6,0)&gt;0,OFFSET(A726,-6,0)+0.001,ERROR.TYPE(0)),IFERROR(IF(OFFSET(A726,-7,0)&gt;0,OFFSET(A726,-7,0)+0.001,ERROR.TYPE(0)),IFERROR(IF(OFFSET(A726,-8,0)&gt;0,OFFSET(A726,-8,0)+0.001,ERROR.TYPE(0)),IFERROR(IF(OFFSET(A726,-9,0)&gt;0,OFFSET(A726,-9,0)+0.001,ERROR.TYPE(0)),IFERROR(IF(OFFSET(A726,-10,0)&gt;0,OFFSET(A726,-10,0)+0.001,ERROR.TYPE(0)),ERROR.TYPE(0)))))))))))</f>
        <v>4.2740000000000915</v>
      </c>
      <c r="B726" s="651" t="s">
        <v>741</v>
      </c>
      <c r="C726" s="646">
        <v>60</v>
      </c>
      <c r="D726" s="646" t="s">
        <v>320</v>
      </c>
      <c r="E726" s="649">
        <f ca="1">Elec_Est!E2804</f>
        <v>5.63</v>
      </c>
      <c r="F726" s="1125">
        <f ca="1">IFERROR($C726*E726,E726)</f>
        <v>337.8</v>
      </c>
    </row>
    <row r="727" spans="1:6" s="631" customFormat="1">
      <c r="A727" s="643">
        <f t="shared" ca="1" si="166"/>
        <v>4.2750000000000918</v>
      </c>
      <c r="B727" s="651" t="s">
        <v>742</v>
      </c>
      <c r="C727" s="646">
        <v>90</v>
      </c>
      <c r="D727" s="646" t="s">
        <v>320</v>
      </c>
      <c r="E727" s="649">
        <f ca="1">Elec_Est!E2811</f>
        <v>5.63</v>
      </c>
      <c r="F727" s="1125">
        <f ca="1">IFERROR($C727*E727,E727)</f>
        <v>506.7</v>
      </c>
    </row>
    <row r="728" spans="1:6" s="631" customFormat="1">
      <c r="A728" s="643">
        <f t="shared" ca="1" si="166"/>
        <v>4.2760000000000922</v>
      </c>
      <c r="B728" s="651" t="s">
        <v>743</v>
      </c>
      <c r="C728" s="646">
        <v>90</v>
      </c>
      <c r="D728" s="646" t="s">
        <v>320</v>
      </c>
      <c r="E728" s="649">
        <f ca="1">Elec_Est!E2818</f>
        <v>5.63</v>
      </c>
      <c r="F728" s="1125">
        <f ca="1">IFERROR($C728*E728,E728)</f>
        <v>506.7</v>
      </c>
    </row>
    <row r="729" spans="1:6" s="631" customFormat="1">
      <c r="A729" s="643"/>
      <c r="B729" s="687" t="s">
        <v>463</v>
      </c>
      <c r="C729" s="646"/>
      <c r="D729" s="646"/>
      <c r="E729" s="649"/>
      <c r="F729" s="1125"/>
    </row>
    <row r="730" spans="1:6" s="631" customFormat="1">
      <c r="A730" s="643">
        <f t="shared" ref="A730" ca="1" si="167">IFERROR(IF(OFFSET(A730,-1,0)&gt;0,OFFSET(A730,-1,0)+0.001,ERROR.TYPE(0)),IFERROR(IF(OFFSET(A730,-2,0)&gt;0,OFFSET(A730,-2,0)+0.001,ERROR.TYPE(0)),IFERROR(IF(OFFSET(A730,-3,0)&gt;0,OFFSET(A730,-3,0)+0.001,ERROR.TYPE(0)),IFERROR(IF(OFFSET(A730,-4,0)&gt;0,OFFSET(A730,-4,0)+0.001,ERROR.TYPE(0)),IFERROR(IF(OFFSET(A730,-5,0)&gt;0,OFFSET(A730,-5,0)+0.001,ERROR.TYPE(0)),IFERROR(IF(OFFSET(A730,-6,0)&gt;0,OFFSET(A730,-6,0)+0.001,ERROR.TYPE(0)),IFERROR(IF(OFFSET(A730,-7,0)&gt;0,OFFSET(A730,-7,0)+0.001,ERROR.TYPE(0)),IFERROR(IF(OFFSET(A730,-8,0)&gt;0,OFFSET(A730,-8,0)+0.001,ERROR.TYPE(0)),IFERROR(IF(OFFSET(A730,-9,0)&gt;0,OFFSET(A730,-9,0)+0.001,ERROR.TYPE(0)),IFERROR(IF(OFFSET(A730,-10,0)&gt;0,OFFSET(A730,-10,0)+0.001,ERROR.TYPE(0)),ERROR.TYPE(0)))))))))))</f>
        <v>4.2770000000000925</v>
      </c>
      <c r="B730" s="651" t="s">
        <v>556</v>
      </c>
      <c r="C730" s="646">
        <v>3</v>
      </c>
      <c r="D730" s="646" t="s">
        <v>141</v>
      </c>
      <c r="E730" s="649">
        <f ca="1">Elec_Est!E2829</f>
        <v>48.45</v>
      </c>
      <c r="F730" s="1125">
        <f ca="1">IFERROR($C730*E730,E730)</f>
        <v>145.35000000000002</v>
      </c>
    </row>
    <row r="731" spans="1:6" s="631" customFormat="1" ht="27.6">
      <c r="A731" s="643"/>
      <c r="B731" s="687" t="s">
        <v>498</v>
      </c>
      <c r="C731" s="645"/>
      <c r="D731" s="646"/>
      <c r="E731" s="647"/>
      <c r="F731" s="1124"/>
    </row>
    <row r="732" spans="1:6" s="631" customFormat="1">
      <c r="A732" s="643"/>
      <c r="B732" s="688" t="s">
        <v>744</v>
      </c>
      <c r="C732" s="645"/>
      <c r="D732" s="646"/>
      <c r="E732" s="647"/>
      <c r="F732" s="1124"/>
    </row>
    <row r="733" spans="1:6" s="631" customFormat="1">
      <c r="A733" s="643">
        <f t="shared" ref="A733:A739" ca="1" si="168">IFERROR(IF(OFFSET(A733,-1,0)&gt;0,OFFSET(A733,-1,0)+0.001,ERROR.TYPE(0)),IFERROR(IF(OFFSET(A733,-2,0)&gt;0,OFFSET(A733,-2,0)+0.001,ERROR.TYPE(0)),IFERROR(IF(OFFSET(A733,-3,0)&gt;0,OFFSET(A733,-3,0)+0.001,ERROR.TYPE(0)),IFERROR(IF(OFFSET(A733,-4,0)&gt;0,OFFSET(A733,-4,0)+0.001,ERROR.TYPE(0)),IFERROR(IF(OFFSET(A733,-5,0)&gt;0,OFFSET(A733,-5,0)+0.001,ERROR.TYPE(0)),IFERROR(IF(OFFSET(A733,-6,0)&gt;0,OFFSET(A733,-6,0)+0.001,ERROR.TYPE(0)),IFERROR(IF(OFFSET(A733,-7,0)&gt;0,OFFSET(A733,-7,0)+0.001,ERROR.TYPE(0)),IFERROR(IF(OFFSET(A733,-8,0)&gt;0,OFFSET(A733,-8,0)+0.001,ERROR.TYPE(0)),IFERROR(IF(OFFSET(A733,-9,0)&gt;0,OFFSET(A733,-9,0)+0.001,ERROR.TYPE(0)),IFERROR(IF(OFFSET(A733,-10,0)&gt;0,OFFSET(A733,-10,0)+0.001,ERROR.TYPE(0)),ERROR.TYPE(0)))))))))))</f>
        <v>4.2780000000000928</v>
      </c>
      <c r="B733" s="651" t="s">
        <v>745</v>
      </c>
      <c r="C733" s="646">
        <v>20</v>
      </c>
      <c r="D733" s="646" t="s">
        <v>320</v>
      </c>
      <c r="E733" s="649">
        <f ca="1">Elec_Est!E2844</f>
        <v>9.9499999999999993</v>
      </c>
      <c r="F733" s="1125">
        <f ca="1">IFERROR($C733*E733,E733)</f>
        <v>199</v>
      </c>
    </row>
    <row r="734" spans="1:6" s="631" customFormat="1">
      <c r="A734" s="643">
        <f t="shared" ca="1" si="168"/>
        <v>4.2790000000000932</v>
      </c>
      <c r="B734" s="651" t="s">
        <v>746</v>
      </c>
      <c r="C734" s="646">
        <v>20</v>
      </c>
      <c r="D734" s="646" t="s">
        <v>320</v>
      </c>
      <c r="E734" s="649">
        <f ca="1">Elec_Est!E2851</f>
        <v>9.9499999999999993</v>
      </c>
      <c r="F734" s="1125">
        <f t="shared" ref="F734:F739" ca="1" si="169">IFERROR($C734*E734,E734)</f>
        <v>199</v>
      </c>
    </row>
    <row r="735" spans="1:6" s="631" customFormat="1">
      <c r="A735" s="643">
        <f t="shared" ca="1" si="168"/>
        <v>4.2800000000000935</v>
      </c>
      <c r="B735" s="651" t="s">
        <v>747</v>
      </c>
      <c r="C735" s="646">
        <v>20</v>
      </c>
      <c r="D735" s="646" t="s">
        <v>320</v>
      </c>
      <c r="E735" s="649">
        <f ca="1">Elec_Est!E2858</f>
        <v>14.65</v>
      </c>
      <c r="F735" s="1125">
        <f t="shared" ca="1" si="169"/>
        <v>293</v>
      </c>
    </row>
    <row r="736" spans="1:6" s="631" customFormat="1">
      <c r="A736" s="643">
        <f t="shared" ca="1" si="168"/>
        <v>4.2810000000000938</v>
      </c>
      <c r="B736" s="651" t="s">
        <v>748</v>
      </c>
      <c r="C736" s="646">
        <v>20</v>
      </c>
      <c r="D736" s="646" t="s">
        <v>320</v>
      </c>
      <c r="E736" s="649">
        <f ca="1">Elec_Est!E2865</f>
        <v>14.65</v>
      </c>
      <c r="F736" s="1125">
        <f t="shared" ca="1" si="169"/>
        <v>293</v>
      </c>
    </row>
    <row r="737" spans="1:6" s="631" customFormat="1">
      <c r="A737" s="643">
        <f t="shared" ca="1" si="168"/>
        <v>4.2820000000000942</v>
      </c>
      <c r="B737" s="651" t="s">
        <v>749</v>
      </c>
      <c r="C737" s="646">
        <v>20</v>
      </c>
      <c r="D737" s="646" t="s">
        <v>320</v>
      </c>
      <c r="E737" s="649">
        <f ca="1">Elec_Est!E2872</f>
        <v>14.65</v>
      </c>
      <c r="F737" s="1125">
        <f t="shared" ca="1" si="169"/>
        <v>293</v>
      </c>
    </row>
    <row r="738" spans="1:6" s="631" customFormat="1">
      <c r="A738" s="643">
        <f t="shared" ca="1" si="168"/>
        <v>4.2830000000000945</v>
      </c>
      <c r="B738" s="651" t="s">
        <v>750</v>
      </c>
      <c r="C738" s="646">
        <v>15</v>
      </c>
      <c r="D738" s="646" t="s">
        <v>320</v>
      </c>
      <c r="E738" s="649">
        <f ca="1">Elec_Est!E2879</f>
        <v>8.18</v>
      </c>
      <c r="F738" s="1125">
        <f t="shared" ca="1" si="169"/>
        <v>122.69999999999999</v>
      </c>
    </row>
    <row r="739" spans="1:6" s="631" customFormat="1">
      <c r="A739" s="643">
        <f t="shared" ca="1" si="168"/>
        <v>4.2840000000000948</v>
      </c>
      <c r="B739" s="651" t="s">
        <v>718</v>
      </c>
      <c r="C739" s="646">
        <v>25</v>
      </c>
      <c r="D739" s="646" t="s">
        <v>320</v>
      </c>
      <c r="E739" s="649">
        <f ca="1">Elec_Est!E2886</f>
        <v>5.63</v>
      </c>
      <c r="F739" s="1125">
        <f t="shared" ca="1" si="169"/>
        <v>140.75</v>
      </c>
    </row>
    <row r="740" spans="1:6" s="631" customFormat="1">
      <c r="A740" s="643"/>
      <c r="B740" s="687" t="s">
        <v>463</v>
      </c>
      <c r="C740" s="646"/>
      <c r="D740" s="646"/>
      <c r="E740" s="649"/>
      <c r="F740" s="1125"/>
    </row>
    <row r="741" spans="1:6" s="631" customFormat="1">
      <c r="A741" s="643">
        <f t="shared" ref="A741:A744" ca="1" si="170">IFERROR(IF(OFFSET(A741,-1,0)&gt;0,OFFSET(A741,-1,0)+0.001,ERROR.TYPE(0)),IFERROR(IF(OFFSET(A741,-2,0)&gt;0,OFFSET(A741,-2,0)+0.001,ERROR.TYPE(0)),IFERROR(IF(OFFSET(A741,-3,0)&gt;0,OFFSET(A741,-3,0)+0.001,ERROR.TYPE(0)),IFERROR(IF(OFFSET(A741,-4,0)&gt;0,OFFSET(A741,-4,0)+0.001,ERROR.TYPE(0)),IFERROR(IF(OFFSET(A741,-5,0)&gt;0,OFFSET(A741,-5,0)+0.001,ERROR.TYPE(0)),IFERROR(IF(OFFSET(A741,-6,0)&gt;0,OFFSET(A741,-6,0)+0.001,ERROR.TYPE(0)),IFERROR(IF(OFFSET(A741,-7,0)&gt;0,OFFSET(A741,-7,0)+0.001,ERROR.TYPE(0)),IFERROR(IF(OFFSET(A741,-8,0)&gt;0,OFFSET(A741,-8,0)+0.001,ERROR.TYPE(0)),IFERROR(IF(OFFSET(A741,-9,0)&gt;0,OFFSET(A741,-9,0)+0.001,ERROR.TYPE(0)),IFERROR(IF(OFFSET(A741,-10,0)&gt;0,OFFSET(A741,-10,0)+0.001,ERROR.TYPE(0)),ERROR.TYPE(0)))))))))))</f>
        <v>4.2850000000000952</v>
      </c>
      <c r="B741" s="651" t="s">
        <v>595</v>
      </c>
      <c r="C741" s="646">
        <v>1</v>
      </c>
      <c r="D741" s="646" t="s">
        <v>141</v>
      </c>
      <c r="E741" s="649">
        <f ca="1">Elec_Est!E2897</f>
        <v>57.79</v>
      </c>
      <c r="F741" s="1125">
        <f ca="1">IFERROR($C741*E741,E741)</f>
        <v>57.79</v>
      </c>
    </row>
    <row r="742" spans="1:6" s="631" customFormat="1">
      <c r="A742" s="643">
        <f t="shared" ca="1" si="170"/>
        <v>4.2860000000000955</v>
      </c>
      <c r="B742" s="651" t="s">
        <v>596</v>
      </c>
      <c r="C742" s="646">
        <v>2</v>
      </c>
      <c r="D742" s="646" t="s">
        <v>141</v>
      </c>
      <c r="E742" s="649">
        <f ca="1">Elec_Est!E2904</f>
        <v>57.79</v>
      </c>
      <c r="F742" s="1125">
        <f ca="1">IFERROR($C742*E742,E742)</f>
        <v>115.58</v>
      </c>
    </row>
    <row r="743" spans="1:6" s="631" customFormat="1">
      <c r="A743" s="643">
        <f t="shared" ca="1" si="170"/>
        <v>4.2870000000000958</v>
      </c>
      <c r="B743" s="651" t="s">
        <v>541</v>
      </c>
      <c r="C743" s="646">
        <v>3</v>
      </c>
      <c r="D743" s="646" t="s">
        <v>141</v>
      </c>
      <c r="E743" s="649">
        <f ca="1">Elec_Est!E2911</f>
        <v>104.97</v>
      </c>
      <c r="F743" s="1125">
        <f ca="1">IFERROR($C743*E743,E743)</f>
        <v>314.90999999999997</v>
      </c>
    </row>
    <row r="744" spans="1:6" s="631" customFormat="1">
      <c r="A744" s="643">
        <f t="shared" ca="1" si="170"/>
        <v>4.2880000000000962</v>
      </c>
      <c r="B744" s="651" t="s">
        <v>556</v>
      </c>
      <c r="C744" s="646">
        <v>1</v>
      </c>
      <c r="D744" s="646" t="s">
        <v>141</v>
      </c>
      <c r="E744" s="649">
        <f ca="1">Elec_Est!E2918</f>
        <v>48.45</v>
      </c>
      <c r="F744" s="1125">
        <f ca="1">IFERROR($C744*E744,E744)</f>
        <v>48.45</v>
      </c>
    </row>
    <row r="745" spans="1:6" s="631" customFormat="1">
      <c r="A745" s="638"/>
      <c r="B745" s="639" t="s">
        <v>751</v>
      </c>
      <c r="C745" s="1456" t="s">
        <v>305</v>
      </c>
      <c r="D745" s="1457"/>
      <c r="E745" s="652"/>
      <c r="F745" s="1239">
        <f ca="1">SUM(F714:F744)</f>
        <v>5444.7299999999987</v>
      </c>
    </row>
    <row r="746" spans="1:6" s="631" customFormat="1">
      <c r="A746" s="660"/>
      <c r="B746" s="629"/>
      <c r="C746" s="661"/>
      <c r="D746" s="654"/>
      <c r="E746" s="662"/>
      <c r="F746" s="1127"/>
    </row>
    <row r="747" spans="1:6" s="631" customFormat="1">
      <c r="A747" s="660"/>
      <c r="B747" s="629"/>
      <c r="C747" s="661"/>
      <c r="D747" s="654"/>
      <c r="E747" s="662"/>
      <c r="F747" s="1127"/>
    </row>
    <row r="748" spans="1:6" s="631" customFormat="1" ht="27.6">
      <c r="A748" s="634" t="s">
        <v>143</v>
      </c>
      <c r="B748" s="635" t="s">
        <v>198</v>
      </c>
      <c r="C748" s="636" t="s">
        <v>199</v>
      </c>
      <c r="D748" s="636" t="s">
        <v>200</v>
      </c>
      <c r="E748" s="637" t="s">
        <v>294</v>
      </c>
      <c r="F748" s="1122" t="s">
        <v>295</v>
      </c>
    </row>
    <row r="749" spans="1:6" s="631" customFormat="1">
      <c r="A749" s="643"/>
      <c r="B749" s="639" t="s">
        <v>343</v>
      </c>
      <c r="C749" s="645"/>
      <c r="D749" s="646"/>
      <c r="E749" s="647"/>
      <c r="F749" s="1125"/>
    </row>
    <row r="750" spans="1:6" s="631" customFormat="1" ht="55.2">
      <c r="A750" s="643"/>
      <c r="B750" s="687" t="s">
        <v>752</v>
      </c>
      <c r="C750" s="645"/>
      <c r="D750" s="646"/>
      <c r="E750" s="647"/>
      <c r="F750" s="1125"/>
    </row>
    <row r="751" spans="1:6" s="631" customFormat="1">
      <c r="A751" s="643"/>
      <c r="B751" s="689" t="s">
        <v>753</v>
      </c>
      <c r="C751" s="645"/>
      <c r="D751" s="646"/>
      <c r="E751" s="647"/>
      <c r="F751" s="1125"/>
    </row>
    <row r="752" spans="1:6" s="631" customFormat="1">
      <c r="A752" s="643">
        <f t="shared" ref="A752:A779" ca="1" si="171">IFERROR(IF(OFFSET(A752,-1,0)&gt;0,OFFSET(A752,-1,0)+0.001,ERROR.TYPE(0)),IFERROR(IF(OFFSET(A752,-2,0)&gt;0,OFFSET(A752,-2,0)+0.001,ERROR.TYPE(0)),IFERROR(IF(OFFSET(A752,-3,0)&gt;0,OFFSET(A752,-3,0)+0.001,ERROR.TYPE(0)),IFERROR(IF(OFFSET(A752,-4,0)&gt;0,OFFSET(A752,-4,0)+0.001,ERROR.TYPE(0)),IFERROR(IF(OFFSET(A752,-5,0)&gt;0,OFFSET(A752,-5,0)+0.001,ERROR.TYPE(0)),IFERROR(IF(OFFSET(A752,-6,0)&gt;0,OFFSET(A752,-6,0)+0.001,ERROR.TYPE(0)),IFERROR(IF(OFFSET(A752,-7,0)&gt;0,OFFSET(A752,-7,0)+0.001,ERROR.TYPE(0)),IFERROR(IF(OFFSET(A752,-8,0)&gt;0,OFFSET(A752,-8,0)+0.001,ERROR.TYPE(0)),IFERROR(IF(OFFSET(A752,-9,0)&gt;0,OFFSET(A752,-9,0)+0.001,ERROR.TYPE(0)),IFERROR(IF(OFFSET(A752,-10,0)&gt;0,OFFSET(A752,-10,0)+0.001,ERROR.TYPE(0)),ERROR.TYPE(0)))))))))))</f>
        <v>4.2890000000000965</v>
      </c>
      <c r="B752" s="690" t="s">
        <v>754</v>
      </c>
      <c r="C752" s="646">
        <v>16</v>
      </c>
      <c r="D752" s="646" t="s">
        <v>141</v>
      </c>
      <c r="E752" s="649">
        <f ca="1">Elec_Est!E2943</f>
        <v>196.52</v>
      </c>
      <c r="F752" s="1125">
        <f t="shared" ref="F752:F779" ca="1" si="172">IFERROR($C752*E752,E752)</f>
        <v>3144.32</v>
      </c>
    </row>
    <row r="753" spans="1:6" s="631" customFormat="1">
      <c r="A753" s="643">
        <f t="shared" ca="1" si="171"/>
        <v>4.2900000000000968</v>
      </c>
      <c r="B753" s="690" t="s">
        <v>724</v>
      </c>
      <c r="C753" s="646">
        <v>5</v>
      </c>
      <c r="D753" s="646" t="s">
        <v>141</v>
      </c>
      <c r="E753" s="649">
        <f ca="1">Elec_Est!E2951</f>
        <v>195.54</v>
      </c>
      <c r="F753" s="1125">
        <f ca="1">IFERROR($C753*E753,E753)</f>
        <v>977.69999999999993</v>
      </c>
    </row>
    <row r="754" spans="1:6" s="631" customFormat="1">
      <c r="A754" s="643">
        <f t="shared" ca="1" si="171"/>
        <v>4.2910000000000972</v>
      </c>
      <c r="B754" s="690" t="s">
        <v>755</v>
      </c>
      <c r="C754" s="646">
        <v>6</v>
      </c>
      <c r="D754" s="646" t="s">
        <v>141</v>
      </c>
      <c r="E754" s="649">
        <f ca="1">Elec_Est!E2959</f>
        <v>759.48</v>
      </c>
      <c r="F754" s="1125">
        <f ca="1">IFERROR($C754*E754,E754)</f>
        <v>4556.88</v>
      </c>
    </row>
    <row r="755" spans="1:6" s="631" customFormat="1">
      <c r="A755" s="643">
        <f t="shared" ca="1" si="171"/>
        <v>4.2920000000000975</v>
      </c>
      <c r="B755" s="690" t="s">
        <v>756</v>
      </c>
      <c r="C755" s="646">
        <v>2</v>
      </c>
      <c r="D755" s="646" t="s">
        <v>141</v>
      </c>
      <c r="E755" s="649">
        <f ca="1">Elec_Est!E2967</f>
        <v>208.63</v>
      </c>
      <c r="F755" s="1125">
        <f t="shared" ca="1" si="172"/>
        <v>417.26</v>
      </c>
    </row>
    <row r="756" spans="1:6" s="631" customFormat="1">
      <c r="A756" s="643">
        <f t="shared" ca="1" si="171"/>
        <v>4.2930000000000978</v>
      </c>
      <c r="B756" s="690" t="s">
        <v>757</v>
      </c>
      <c r="C756" s="646">
        <v>3</v>
      </c>
      <c r="D756" s="646" t="s">
        <v>141</v>
      </c>
      <c r="E756" s="649">
        <f ca="1">Elec_Est!E2974</f>
        <v>208.63</v>
      </c>
      <c r="F756" s="1125">
        <f t="shared" ca="1" si="172"/>
        <v>625.89</v>
      </c>
    </row>
    <row r="757" spans="1:6" s="631" customFormat="1">
      <c r="A757" s="643">
        <f t="shared" ca="1" si="171"/>
        <v>4.2940000000000982</v>
      </c>
      <c r="B757" s="651" t="s">
        <v>758</v>
      </c>
      <c r="C757" s="646">
        <v>1</v>
      </c>
      <c r="D757" s="646" t="s">
        <v>141</v>
      </c>
      <c r="E757" s="649">
        <f ca="1">Elec_Est!E2981</f>
        <v>158.15</v>
      </c>
      <c r="F757" s="1125">
        <f t="shared" ca="1" si="172"/>
        <v>158.15</v>
      </c>
    </row>
    <row r="758" spans="1:6" s="631" customFormat="1">
      <c r="A758" s="643">
        <f t="shared" ca="1" si="171"/>
        <v>4.2950000000000985</v>
      </c>
      <c r="B758" s="651" t="s">
        <v>759</v>
      </c>
      <c r="C758" s="646">
        <v>1</v>
      </c>
      <c r="D758" s="646" t="s">
        <v>141</v>
      </c>
      <c r="E758" s="649">
        <f ca="1">Elec_Est!E2988</f>
        <v>237.23</v>
      </c>
      <c r="F758" s="1125">
        <f t="shared" ca="1" si="172"/>
        <v>237.23</v>
      </c>
    </row>
    <row r="759" spans="1:6" s="631" customFormat="1">
      <c r="A759" s="643">
        <f t="shared" ca="1" si="171"/>
        <v>4.2960000000000989</v>
      </c>
      <c r="B759" s="651" t="s">
        <v>760</v>
      </c>
      <c r="C759" s="646">
        <v>1</v>
      </c>
      <c r="D759" s="646" t="s">
        <v>141</v>
      </c>
      <c r="E759" s="649">
        <f ca="1">Elec_Est!E2995</f>
        <v>255</v>
      </c>
      <c r="F759" s="1125">
        <f t="shared" ca="1" si="172"/>
        <v>255</v>
      </c>
    </row>
    <row r="760" spans="1:6" s="631" customFormat="1">
      <c r="A760" s="643">
        <f t="shared" ca="1" si="171"/>
        <v>4.2970000000000992</v>
      </c>
      <c r="B760" s="651" t="s">
        <v>761</v>
      </c>
      <c r="C760" s="1251">
        <v>2</v>
      </c>
      <c r="D760" s="646" t="s">
        <v>141</v>
      </c>
      <c r="E760" s="649">
        <f ca="1">Elec_Est!E3003</f>
        <v>395.39</v>
      </c>
      <c r="F760" s="1125">
        <f t="shared" ca="1" si="172"/>
        <v>790.78</v>
      </c>
    </row>
    <row r="761" spans="1:6" s="631" customFormat="1">
      <c r="A761" s="643">
        <f t="shared" ca="1" si="171"/>
        <v>4.2980000000000995</v>
      </c>
      <c r="B761" s="651" t="s">
        <v>762</v>
      </c>
      <c r="C761" s="646">
        <v>1</v>
      </c>
      <c r="D761" s="646" t="s">
        <v>141</v>
      </c>
      <c r="E761" s="649">
        <f ca="1">Elec_Est!E3010</f>
        <v>474.46</v>
      </c>
      <c r="F761" s="1125">
        <f t="shared" ca="1" si="172"/>
        <v>474.46</v>
      </c>
    </row>
    <row r="762" spans="1:6" s="1249" customFormat="1">
      <c r="A762" s="1243" t="s">
        <v>3831</v>
      </c>
      <c r="B762" s="1253" t="s">
        <v>792</v>
      </c>
      <c r="C762" s="1251">
        <v>1</v>
      </c>
      <c r="D762" s="1251" t="s">
        <v>141</v>
      </c>
      <c r="E762" s="1247">
        <f ca="1">Elec_Est!E3017</f>
        <v>553.54</v>
      </c>
      <c r="F762" s="1248">
        <f t="shared" ca="1" si="172"/>
        <v>553.54</v>
      </c>
    </row>
    <row r="763" spans="1:6" s="631" customFormat="1">
      <c r="A763" s="643">
        <f t="shared" ca="1" si="171"/>
        <v>4.2990000000000999</v>
      </c>
      <c r="B763" s="651" t="s">
        <v>763</v>
      </c>
      <c r="C763" s="646">
        <v>1</v>
      </c>
      <c r="D763" s="646" t="s">
        <v>141</v>
      </c>
      <c r="E763" s="649">
        <f ca="1">Elec_Est!E3024</f>
        <v>632.62</v>
      </c>
      <c r="F763" s="1125">
        <f t="shared" ca="1" si="172"/>
        <v>632.62</v>
      </c>
    </row>
    <row r="764" spans="1:6" s="1249" customFormat="1">
      <c r="A764" s="1243" t="s">
        <v>3832</v>
      </c>
      <c r="B764" s="1253" t="s">
        <v>3833</v>
      </c>
      <c r="C764" s="1251">
        <v>1</v>
      </c>
      <c r="D764" s="1251" t="s">
        <v>141</v>
      </c>
      <c r="E764" s="1247">
        <f ca="1">Elec_Est!E3031</f>
        <v>711.7</v>
      </c>
      <c r="F764" s="1248">
        <f t="shared" ca="1" si="172"/>
        <v>711.7</v>
      </c>
    </row>
    <row r="765" spans="1:6" s="631" customFormat="1">
      <c r="A765" s="643">
        <f t="shared" ca="1" si="171"/>
        <v>4.3000000000001002</v>
      </c>
      <c r="B765" s="651" t="s">
        <v>764</v>
      </c>
      <c r="C765" s="646">
        <v>2</v>
      </c>
      <c r="D765" s="646" t="s">
        <v>141</v>
      </c>
      <c r="E765" s="649">
        <f ca="1">Elec_Est!E3038</f>
        <v>474.46</v>
      </c>
      <c r="F765" s="1125">
        <f t="shared" ca="1" si="172"/>
        <v>948.92</v>
      </c>
    </row>
    <row r="766" spans="1:6" s="631" customFormat="1">
      <c r="A766" s="1243">
        <f t="shared" ca="1" si="171"/>
        <v>4.3010000000001005</v>
      </c>
      <c r="B766" s="651" t="s">
        <v>765</v>
      </c>
      <c r="C766" s="1251">
        <v>0</v>
      </c>
      <c r="D766" s="646" t="s">
        <v>141</v>
      </c>
      <c r="E766" s="649">
        <f ca="1">Elec_Est!E3045</f>
        <v>0</v>
      </c>
      <c r="F766" s="1252" t="s">
        <v>3797</v>
      </c>
    </row>
    <row r="767" spans="1:6" s="631" customFormat="1">
      <c r="A767" s="643">
        <f t="shared" ca="1" si="171"/>
        <v>4.3020000000001009</v>
      </c>
      <c r="B767" s="651" t="s">
        <v>766</v>
      </c>
      <c r="C767" s="646">
        <v>1</v>
      </c>
      <c r="D767" s="646" t="s">
        <v>141</v>
      </c>
      <c r="E767" s="649">
        <f ca="1">Elec_Est!E3052</f>
        <v>316.31</v>
      </c>
      <c r="F767" s="1125">
        <f t="shared" ref="F767:F769" ca="1" si="173">IFERROR($C767*E767,E767)</f>
        <v>316.31</v>
      </c>
    </row>
    <row r="768" spans="1:6" s="631" customFormat="1">
      <c r="A768" s="643">
        <f t="shared" ca="1" si="171"/>
        <v>4.3030000000001012</v>
      </c>
      <c r="B768" s="651" t="s">
        <v>767</v>
      </c>
      <c r="C768" s="646">
        <v>1</v>
      </c>
      <c r="D768" s="646" t="s">
        <v>141</v>
      </c>
      <c r="E768" s="649">
        <f ca="1">Elec_Est!E3059</f>
        <v>948.93</v>
      </c>
      <c r="F768" s="1125">
        <f t="shared" ca="1" si="173"/>
        <v>948.93</v>
      </c>
    </row>
    <row r="769" spans="1:6" s="1249" customFormat="1">
      <c r="A769" s="1243" t="s">
        <v>3834</v>
      </c>
      <c r="B769" s="1253" t="s">
        <v>3835</v>
      </c>
      <c r="C769" s="1251">
        <v>1</v>
      </c>
      <c r="D769" s="1251" t="s">
        <v>141</v>
      </c>
      <c r="E769" s="1247">
        <f ca="1">Elec_Est!E3066</f>
        <v>1186.1600000000001</v>
      </c>
      <c r="F769" s="1248">
        <f t="shared" ca="1" si="173"/>
        <v>1186.1600000000001</v>
      </c>
    </row>
    <row r="770" spans="1:6" s="631" customFormat="1">
      <c r="A770" s="1243">
        <f t="shared" ca="1" si="171"/>
        <v>4.3040000000001015</v>
      </c>
      <c r="B770" s="651" t="s">
        <v>768</v>
      </c>
      <c r="C770" s="1251">
        <v>0</v>
      </c>
      <c r="D770" s="646" t="s">
        <v>141</v>
      </c>
      <c r="E770" s="649">
        <f ca="1">Elec_Est!E3073</f>
        <v>0</v>
      </c>
      <c r="F770" s="1252" t="s">
        <v>3797</v>
      </c>
    </row>
    <row r="771" spans="1:6" s="631" customFormat="1">
      <c r="A771" s="643">
        <f t="shared" ca="1" si="171"/>
        <v>4.3050000000001019</v>
      </c>
      <c r="B771" s="651" t="s">
        <v>769</v>
      </c>
      <c r="C771" s="646">
        <v>1</v>
      </c>
      <c r="D771" s="646" t="s">
        <v>141</v>
      </c>
      <c r="E771" s="649">
        <f ca="1">Elec_Est!E3080</f>
        <v>316.31</v>
      </c>
      <c r="F771" s="1125">
        <f t="shared" ref="F771" ca="1" si="174">IFERROR($C771*E771,E771)</f>
        <v>316.31</v>
      </c>
    </row>
    <row r="772" spans="1:6" s="631" customFormat="1">
      <c r="A772" s="643">
        <f t="shared" ca="1" si="171"/>
        <v>4.3060000000001022</v>
      </c>
      <c r="B772" s="651" t="s">
        <v>770</v>
      </c>
      <c r="C772" s="646">
        <v>4</v>
      </c>
      <c r="D772" s="646" t="s">
        <v>141</v>
      </c>
      <c r="E772" s="649">
        <f ca="1">Elec_Est!E3087</f>
        <v>316.31</v>
      </c>
      <c r="F772" s="1125">
        <f t="shared" ca="1" si="172"/>
        <v>1265.24</v>
      </c>
    </row>
    <row r="773" spans="1:6" s="631" customFormat="1">
      <c r="A773" s="643">
        <f t="shared" ca="1" si="171"/>
        <v>4.3070000000001025</v>
      </c>
      <c r="B773" s="651" t="s">
        <v>771</v>
      </c>
      <c r="C773" s="646">
        <v>1</v>
      </c>
      <c r="D773" s="646" t="s">
        <v>141</v>
      </c>
      <c r="E773" s="649">
        <f ca="1">Elec_Est!E3094</f>
        <v>474.46</v>
      </c>
      <c r="F773" s="1125">
        <f t="shared" ca="1" si="172"/>
        <v>474.46</v>
      </c>
    </row>
    <row r="774" spans="1:6" s="631" customFormat="1">
      <c r="A774" s="643">
        <f t="shared" ca="1" si="171"/>
        <v>4.3080000000001029</v>
      </c>
      <c r="B774" s="651" t="s">
        <v>772</v>
      </c>
      <c r="C774" s="646">
        <v>1</v>
      </c>
      <c r="D774" s="646" t="s">
        <v>141</v>
      </c>
      <c r="E774" s="649">
        <f ca="1">Elec_Est!E3101</f>
        <v>2609.5500000000002</v>
      </c>
      <c r="F774" s="1125">
        <f t="shared" ca="1" si="172"/>
        <v>2609.5500000000002</v>
      </c>
    </row>
    <row r="775" spans="1:6" s="631" customFormat="1">
      <c r="A775" s="643">
        <f t="shared" ca="1" si="171"/>
        <v>4.3090000000001032</v>
      </c>
      <c r="B775" s="651" t="s">
        <v>773</v>
      </c>
      <c r="C775" s="646">
        <v>1</v>
      </c>
      <c r="D775" s="646" t="s">
        <v>141</v>
      </c>
      <c r="E775" s="649">
        <f ca="1">Elec_Est!E3108</f>
        <v>237.23</v>
      </c>
      <c r="F775" s="1125">
        <f t="shared" ca="1" si="172"/>
        <v>237.23</v>
      </c>
    </row>
    <row r="776" spans="1:6" s="631" customFormat="1">
      <c r="A776" s="643">
        <f t="shared" ca="1" si="171"/>
        <v>4.3100000000001035</v>
      </c>
      <c r="B776" s="651" t="s">
        <v>774</v>
      </c>
      <c r="C776" s="646">
        <v>1</v>
      </c>
      <c r="D776" s="646" t="s">
        <v>141</v>
      </c>
      <c r="E776" s="649">
        <f ca="1">Elec_Est!E3115</f>
        <v>474.46</v>
      </c>
      <c r="F776" s="1125">
        <f t="shared" ca="1" si="172"/>
        <v>474.46</v>
      </c>
    </row>
    <row r="777" spans="1:6" s="631" customFormat="1">
      <c r="A777" s="643">
        <f t="shared" ca="1" si="171"/>
        <v>4.3110000000001039</v>
      </c>
      <c r="B777" s="651" t="s">
        <v>775</v>
      </c>
      <c r="C777" s="646">
        <v>1</v>
      </c>
      <c r="D777" s="646" t="s">
        <v>141</v>
      </c>
      <c r="E777" s="649">
        <f ca="1">Elec_Est!E3122</f>
        <v>474.46</v>
      </c>
      <c r="F777" s="1125">
        <f t="shared" ca="1" si="172"/>
        <v>474.46</v>
      </c>
    </row>
    <row r="778" spans="1:6" s="631" customFormat="1" ht="27.6">
      <c r="A778" s="1243">
        <f t="shared" ca="1" si="171"/>
        <v>4.3120000000001042</v>
      </c>
      <c r="B778" s="648" t="s">
        <v>776</v>
      </c>
      <c r="C778" s="1251">
        <v>38</v>
      </c>
      <c r="D778" s="646" t="s">
        <v>141</v>
      </c>
      <c r="E778" s="649" t="str">
        <f>Elec_Est!Q3129</f>
        <v>Included</v>
      </c>
      <c r="F778" s="1125" t="str">
        <f t="shared" si="172"/>
        <v>Included</v>
      </c>
    </row>
    <row r="779" spans="1:6" s="631" customFormat="1">
      <c r="A779" s="643">
        <f t="shared" ca="1" si="171"/>
        <v>4.3130000000001045</v>
      </c>
      <c r="B779" s="648" t="s">
        <v>777</v>
      </c>
      <c r="C779" s="646">
        <v>10</v>
      </c>
      <c r="D779" s="646" t="s">
        <v>141</v>
      </c>
      <c r="E779" s="649">
        <f ca="1">Elec_Est!E3135</f>
        <v>151.94</v>
      </c>
      <c r="F779" s="1125">
        <f t="shared" ca="1" si="172"/>
        <v>1519.4</v>
      </c>
    </row>
    <row r="780" spans="1:6" s="631" customFormat="1">
      <c r="A780" s="643"/>
      <c r="B780" s="687" t="s">
        <v>778</v>
      </c>
      <c r="C780" s="645"/>
      <c r="D780" s="646"/>
      <c r="E780" s="647"/>
      <c r="F780" s="1125"/>
    </row>
    <row r="781" spans="1:6" s="631" customFormat="1">
      <c r="A781" s="643">
        <f t="shared" ref="A781:A785" ca="1" si="175">IFERROR(IF(OFFSET(A781,-1,0)&gt;0,OFFSET(A781,-1,0)+0.001,ERROR.TYPE(0)),IFERROR(IF(OFFSET(A781,-2,0)&gt;0,OFFSET(A781,-2,0)+0.001,ERROR.TYPE(0)),IFERROR(IF(OFFSET(A781,-3,0)&gt;0,OFFSET(A781,-3,0)+0.001,ERROR.TYPE(0)),IFERROR(IF(OFFSET(A781,-4,0)&gt;0,OFFSET(A781,-4,0)+0.001,ERROR.TYPE(0)),IFERROR(IF(OFFSET(A781,-5,0)&gt;0,OFFSET(A781,-5,0)+0.001,ERROR.TYPE(0)),IFERROR(IF(OFFSET(A781,-6,0)&gt;0,OFFSET(A781,-6,0)+0.001,ERROR.TYPE(0)),IFERROR(IF(OFFSET(A781,-7,0)&gt;0,OFFSET(A781,-7,0)+0.001,ERROR.TYPE(0)),IFERROR(IF(OFFSET(A781,-8,0)&gt;0,OFFSET(A781,-8,0)+0.001,ERROR.TYPE(0)),IFERROR(IF(OFFSET(A781,-9,0)&gt;0,OFFSET(A781,-9,0)+0.001,ERROR.TYPE(0)),IFERROR(IF(OFFSET(A781,-10,0)&gt;0,OFFSET(A781,-10,0)+0.001,ERROR.TYPE(0)),ERROR.TYPE(0)))))))))))</f>
        <v>4.3140000000001049</v>
      </c>
      <c r="B781" s="690" t="s">
        <v>779</v>
      </c>
      <c r="C781" s="646">
        <v>2</v>
      </c>
      <c r="D781" s="646" t="s">
        <v>141</v>
      </c>
      <c r="E781" s="649">
        <f ca="1">Elec_Est!E3146</f>
        <v>48.45</v>
      </c>
      <c r="F781" s="1125">
        <f t="shared" ref="F781" ca="1" si="176">IFERROR($C781*E781,E781)</f>
        <v>96.9</v>
      </c>
    </row>
    <row r="782" spans="1:6" s="631" customFormat="1">
      <c r="A782" s="643">
        <f t="shared" ca="1" si="175"/>
        <v>4.3150000000001052</v>
      </c>
      <c r="B782" s="690" t="s">
        <v>780</v>
      </c>
      <c r="C782" s="646">
        <v>2</v>
      </c>
      <c r="D782" s="646" t="s">
        <v>141</v>
      </c>
      <c r="E782" s="649">
        <f ca="1">Elec_Est!E3153</f>
        <v>47.62</v>
      </c>
      <c r="F782" s="1125">
        <f ca="1">IFERROR($C782*E782,E782)</f>
        <v>95.24</v>
      </c>
    </row>
    <row r="783" spans="1:6" s="631" customFormat="1">
      <c r="A783" s="643">
        <f t="shared" ca="1" si="175"/>
        <v>4.3160000000001055</v>
      </c>
      <c r="B783" s="690" t="s">
        <v>781</v>
      </c>
      <c r="C783" s="646">
        <v>1</v>
      </c>
      <c r="D783" s="646" t="s">
        <v>141</v>
      </c>
      <c r="E783" s="649">
        <f ca="1">Elec_Est!E3160</f>
        <v>47.62</v>
      </c>
      <c r="F783" s="1125">
        <f ca="1">IFERROR($C783*E783,E783)</f>
        <v>47.62</v>
      </c>
    </row>
    <row r="784" spans="1:6" s="631" customFormat="1" ht="96.6">
      <c r="A784" s="643">
        <f t="shared" ca="1" si="175"/>
        <v>4.3170000000001059</v>
      </c>
      <c r="B784" s="690" t="s">
        <v>782</v>
      </c>
      <c r="C784" s="646">
        <v>1</v>
      </c>
      <c r="D784" s="646" t="s">
        <v>299</v>
      </c>
      <c r="E784" s="649">
        <f>Elec_Est!E3167</f>
        <v>2400.14</v>
      </c>
      <c r="F784" s="1125">
        <f t="shared" ref="F784" si="177">IFERROR($C784*E784,E784)</f>
        <v>2400.14</v>
      </c>
    </row>
    <row r="785" spans="1:6" s="631" customFormat="1">
      <c r="A785" s="643">
        <f t="shared" ca="1" si="175"/>
        <v>4.3180000000001062</v>
      </c>
      <c r="B785" s="690" t="s">
        <v>783</v>
      </c>
      <c r="C785" s="646">
        <v>21</v>
      </c>
      <c r="D785" s="646" t="s">
        <v>141</v>
      </c>
      <c r="E785" s="649">
        <f>Elec_Est!E3206</f>
        <v>30.09</v>
      </c>
      <c r="F785" s="1125">
        <f>IFERROR($C785*E785,E785)</f>
        <v>631.89</v>
      </c>
    </row>
    <row r="786" spans="1:6" ht="55.2">
      <c r="A786" s="691"/>
      <c r="B786" s="687" t="s">
        <v>752</v>
      </c>
      <c r="C786" s="692"/>
      <c r="D786" s="693"/>
      <c r="E786" s="694"/>
      <c r="F786" s="1256"/>
    </row>
    <row r="787" spans="1:6" s="631" customFormat="1">
      <c r="A787" s="643"/>
      <c r="B787" s="689" t="s">
        <v>784</v>
      </c>
      <c r="C787" s="645"/>
      <c r="D787" s="646"/>
      <c r="E787" s="647"/>
      <c r="F787" s="1125"/>
    </row>
    <row r="788" spans="1:6" s="631" customFormat="1">
      <c r="A788" s="643">
        <f t="shared" ref="A788" ca="1" si="178">IFERROR(IF(OFFSET(A788,-1,0)&gt;0,OFFSET(A788,-1,0)+0.001,ERROR.TYPE(0)),IFERROR(IF(OFFSET(A788,-2,0)&gt;0,OFFSET(A788,-2,0)+0.001,ERROR.TYPE(0)),IFERROR(IF(OFFSET(A788,-3,0)&gt;0,OFFSET(A788,-3,0)+0.001,ERROR.TYPE(0)),IFERROR(IF(OFFSET(A788,-4,0)&gt;0,OFFSET(A788,-4,0)+0.001,ERROR.TYPE(0)),IFERROR(IF(OFFSET(A788,-5,0)&gt;0,OFFSET(A788,-5,0)+0.001,ERROR.TYPE(0)),IFERROR(IF(OFFSET(A788,-6,0)&gt;0,OFFSET(A788,-6,0)+0.001,ERROR.TYPE(0)),IFERROR(IF(OFFSET(A788,-7,0)&gt;0,OFFSET(A788,-7,0)+0.001,ERROR.TYPE(0)),IFERROR(IF(OFFSET(A788,-8,0)&gt;0,OFFSET(A788,-8,0)+0.001,ERROR.TYPE(0)),IFERROR(IF(OFFSET(A788,-9,0)&gt;0,OFFSET(A788,-9,0)+0.001,ERROR.TYPE(0)),IFERROR(IF(OFFSET(A788,-10,0)&gt;0,OFFSET(A788,-10,0)+0.001,ERROR.TYPE(0)),ERROR.TYPE(0)))))))))))</f>
        <v>4.3190000000001065</v>
      </c>
      <c r="B788" s="690" t="s">
        <v>785</v>
      </c>
      <c r="C788" s="646">
        <v>10</v>
      </c>
      <c r="D788" s="646" t="s">
        <v>141</v>
      </c>
      <c r="E788" s="649">
        <f>Elec_Est!E3222</f>
        <v>432.03</v>
      </c>
      <c r="F788" s="1125">
        <f t="shared" ref="F788" si="179">IFERROR($C788*E788,E788)</f>
        <v>4320.2999999999993</v>
      </c>
    </row>
    <row r="789" spans="1:6" s="631" customFormat="1" ht="55.2">
      <c r="A789" s="643"/>
      <c r="B789" s="687" t="s">
        <v>752</v>
      </c>
      <c r="C789" s="645"/>
      <c r="D789" s="646"/>
      <c r="E789" s="647"/>
      <c r="F789" s="1125"/>
    </row>
    <row r="790" spans="1:6" s="631" customFormat="1">
      <c r="A790" s="643"/>
      <c r="B790" s="689" t="s">
        <v>786</v>
      </c>
      <c r="C790" s="645"/>
      <c r="D790" s="646"/>
      <c r="E790" s="647"/>
      <c r="F790" s="1125"/>
    </row>
    <row r="791" spans="1:6" s="631" customFormat="1">
      <c r="A791" s="643">
        <f t="shared" ref="A791" ca="1" si="180">IFERROR(IF(OFFSET(A791,-1,0)&gt;0,OFFSET(A791,-1,0)+0.001,ERROR.TYPE(0)),IFERROR(IF(OFFSET(A791,-2,0)&gt;0,OFFSET(A791,-2,0)+0.001,ERROR.TYPE(0)),IFERROR(IF(OFFSET(A791,-3,0)&gt;0,OFFSET(A791,-3,0)+0.001,ERROR.TYPE(0)),IFERROR(IF(OFFSET(A791,-4,0)&gt;0,OFFSET(A791,-4,0)+0.001,ERROR.TYPE(0)),IFERROR(IF(OFFSET(A791,-5,0)&gt;0,OFFSET(A791,-5,0)+0.001,ERROR.TYPE(0)),IFERROR(IF(OFFSET(A791,-6,0)&gt;0,OFFSET(A791,-6,0)+0.001,ERROR.TYPE(0)),IFERROR(IF(OFFSET(A791,-7,0)&gt;0,OFFSET(A791,-7,0)+0.001,ERROR.TYPE(0)),IFERROR(IF(OFFSET(A791,-8,0)&gt;0,OFFSET(A791,-8,0)+0.001,ERROR.TYPE(0)),IFERROR(IF(OFFSET(A791,-9,0)&gt;0,OFFSET(A791,-9,0)+0.001,ERROR.TYPE(0)),IFERROR(IF(OFFSET(A791,-10,0)&gt;0,OFFSET(A791,-10,0)+0.001,ERROR.TYPE(0)),ERROR.TYPE(0)))))))))))</f>
        <v>4.3200000000001069</v>
      </c>
      <c r="B791" s="690" t="s">
        <v>756</v>
      </c>
      <c r="C791" s="646">
        <v>2</v>
      </c>
      <c r="D791" s="646" t="s">
        <v>141</v>
      </c>
      <c r="E791" s="649">
        <f ca="1">Elec_Est!E3238</f>
        <v>208.63</v>
      </c>
      <c r="F791" s="1125">
        <f t="shared" ref="F791" ca="1" si="181">IFERROR($C791*E791,E791)</f>
        <v>417.26</v>
      </c>
    </row>
    <row r="792" spans="1:6" s="631" customFormat="1">
      <c r="A792" s="643"/>
      <c r="B792" s="687" t="s">
        <v>778</v>
      </c>
      <c r="C792" s="645"/>
      <c r="D792" s="646"/>
      <c r="E792" s="647"/>
      <c r="F792" s="1125"/>
    </row>
    <row r="793" spans="1:6" s="631" customFormat="1">
      <c r="A793" s="643">
        <f t="shared" ref="A793" ca="1" si="182">IFERROR(IF(OFFSET(A793,-1,0)&gt;0,OFFSET(A793,-1,0)+0.001,ERROR.TYPE(0)),IFERROR(IF(OFFSET(A793,-2,0)&gt;0,OFFSET(A793,-2,0)+0.001,ERROR.TYPE(0)),IFERROR(IF(OFFSET(A793,-3,0)&gt;0,OFFSET(A793,-3,0)+0.001,ERROR.TYPE(0)),IFERROR(IF(OFFSET(A793,-4,0)&gt;0,OFFSET(A793,-4,0)+0.001,ERROR.TYPE(0)),IFERROR(IF(OFFSET(A793,-5,0)&gt;0,OFFSET(A793,-5,0)+0.001,ERROR.TYPE(0)),IFERROR(IF(OFFSET(A793,-6,0)&gt;0,OFFSET(A793,-6,0)+0.001,ERROR.TYPE(0)),IFERROR(IF(OFFSET(A793,-7,0)&gt;0,OFFSET(A793,-7,0)+0.001,ERROR.TYPE(0)),IFERROR(IF(OFFSET(A793,-8,0)&gt;0,OFFSET(A793,-8,0)+0.001,ERROR.TYPE(0)),IFERROR(IF(OFFSET(A793,-9,0)&gt;0,OFFSET(A793,-9,0)+0.001,ERROR.TYPE(0)),IFERROR(IF(OFFSET(A793,-10,0)&gt;0,OFFSET(A793,-10,0)+0.001,ERROR.TYPE(0)),ERROR.TYPE(0)))))))))))</f>
        <v>4.3210000000001072</v>
      </c>
      <c r="B793" s="690" t="s">
        <v>779</v>
      </c>
      <c r="C793" s="646">
        <v>2</v>
      </c>
      <c r="D793" s="646" t="s">
        <v>141</v>
      </c>
      <c r="E793" s="649">
        <f ca="1">Elec_Est!E3249</f>
        <v>48.45</v>
      </c>
      <c r="F793" s="1125">
        <f t="shared" ref="F793" ca="1" si="183">IFERROR($C793*E793,E793)</f>
        <v>96.9</v>
      </c>
    </row>
    <row r="794" spans="1:6" ht="55.2">
      <c r="A794" s="691"/>
      <c r="B794" s="687" t="s">
        <v>752</v>
      </c>
      <c r="C794" s="692"/>
      <c r="D794" s="693"/>
      <c r="E794" s="694"/>
      <c r="F794" s="1256"/>
    </row>
    <row r="795" spans="1:6" s="631" customFormat="1">
      <c r="A795" s="643"/>
      <c r="B795" s="689" t="s">
        <v>787</v>
      </c>
      <c r="C795" s="645"/>
      <c r="D795" s="646"/>
      <c r="E795" s="647"/>
      <c r="F795" s="1125"/>
    </row>
    <row r="796" spans="1:6" s="631" customFormat="1">
      <c r="A796" s="643">
        <f t="shared" ref="A796" ca="1" si="184">IFERROR(IF(OFFSET(A796,-1,0)&gt;0,OFFSET(A796,-1,0)+0.001,ERROR.TYPE(0)),IFERROR(IF(OFFSET(A796,-2,0)&gt;0,OFFSET(A796,-2,0)+0.001,ERROR.TYPE(0)),IFERROR(IF(OFFSET(A796,-3,0)&gt;0,OFFSET(A796,-3,0)+0.001,ERROR.TYPE(0)),IFERROR(IF(OFFSET(A796,-4,0)&gt;0,OFFSET(A796,-4,0)+0.001,ERROR.TYPE(0)),IFERROR(IF(OFFSET(A796,-5,0)&gt;0,OFFSET(A796,-5,0)+0.001,ERROR.TYPE(0)),IFERROR(IF(OFFSET(A796,-6,0)&gt;0,OFFSET(A796,-6,0)+0.001,ERROR.TYPE(0)),IFERROR(IF(OFFSET(A796,-7,0)&gt;0,OFFSET(A796,-7,0)+0.001,ERROR.TYPE(0)),IFERROR(IF(OFFSET(A796,-8,0)&gt;0,OFFSET(A796,-8,0)+0.001,ERROR.TYPE(0)),IFERROR(IF(OFFSET(A796,-9,0)&gt;0,OFFSET(A796,-9,0)+0.001,ERROR.TYPE(0)),IFERROR(IF(OFFSET(A796,-10,0)&gt;0,OFFSET(A796,-10,0)+0.001,ERROR.TYPE(0)),ERROR.TYPE(0)))))))))))</f>
        <v>4.3220000000001075</v>
      </c>
      <c r="B796" s="690" t="s">
        <v>788</v>
      </c>
      <c r="C796" s="646">
        <v>2</v>
      </c>
      <c r="D796" s="646" t="s">
        <v>141</v>
      </c>
      <c r="E796" s="649">
        <f ca="1">Elec_Est!E3264</f>
        <v>196.52</v>
      </c>
      <c r="F796" s="1125">
        <f t="shared" ref="F796" ca="1" si="185">IFERROR($C796*E796,E796)</f>
        <v>393.04</v>
      </c>
    </row>
    <row r="797" spans="1:6" s="631" customFormat="1">
      <c r="A797" s="638"/>
      <c r="B797" s="639" t="s">
        <v>789</v>
      </c>
      <c r="C797" s="1456" t="s">
        <v>305</v>
      </c>
      <c r="D797" s="1457"/>
      <c r="E797" s="652"/>
      <c r="F797" s="1239">
        <f ca="1">SUM(F750:F796)</f>
        <v>32806.25</v>
      </c>
    </row>
    <row r="798" spans="1:6" s="631" customFormat="1">
      <c r="A798" s="660"/>
      <c r="B798" s="629"/>
      <c r="C798" s="661"/>
      <c r="D798" s="654"/>
      <c r="E798" s="662"/>
      <c r="F798" s="1127"/>
    </row>
    <row r="799" spans="1:6" s="631" customFormat="1">
      <c r="A799" s="660"/>
      <c r="B799" s="629"/>
      <c r="C799" s="661"/>
      <c r="D799" s="654"/>
      <c r="E799" s="662"/>
      <c r="F799" s="1127"/>
    </row>
    <row r="800" spans="1:6" s="631" customFormat="1" ht="27.6">
      <c r="A800" s="634" t="s">
        <v>143</v>
      </c>
      <c r="B800" s="635" t="s">
        <v>198</v>
      </c>
      <c r="C800" s="636" t="s">
        <v>199</v>
      </c>
      <c r="D800" s="636" t="s">
        <v>200</v>
      </c>
      <c r="E800" s="637" t="s">
        <v>294</v>
      </c>
      <c r="F800" s="1122" t="s">
        <v>295</v>
      </c>
    </row>
    <row r="801" spans="1:6" ht="55.2">
      <c r="A801" s="691"/>
      <c r="B801" s="687" t="s">
        <v>752</v>
      </c>
      <c r="C801" s="692"/>
      <c r="D801" s="693"/>
      <c r="E801" s="694"/>
      <c r="F801" s="1256"/>
    </row>
    <row r="802" spans="1:6" s="631" customFormat="1">
      <c r="A802" s="643"/>
      <c r="B802" s="689" t="s">
        <v>790</v>
      </c>
      <c r="C802" s="645"/>
      <c r="D802" s="646"/>
      <c r="E802" s="647"/>
      <c r="F802" s="1125"/>
    </row>
    <row r="803" spans="1:6" s="631" customFormat="1">
      <c r="A803" s="643">
        <f t="shared" ref="A803:A821" ca="1" si="186">IFERROR(IF(OFFSET(A803,-1,0)&gt;0,OFFSET(A803,-1,0)+0.001,ERROR.TYPE(0)),IFERROR(IF(OFFSET(A803,-2,0)&gt;0,OFFSET(A803,-2,0)+0.001,ERROR.TYPE(0)),IFERROR(IF(OFFSET(A803,-3,0)&gt;0,OFFSET(A803,-3,0)+0.001,ERROR.TYPE(0)),IFERROR(IF(OFFSET(A803,-4,0)&gt;0,OFFSET(A803,-4,0)+0.001,ERROR.TYPE(0)),IFERROR(IF(OFFSET(A803,-5,0)&gt;0,OFFSET(A803,-5,0)+0.001,ERROR.TYPE(0)),IFERROR(IF(OFFSET(A803,-6,0)&gt;0,OFFSET(A803,-6,0)+0.001,ERROR.TYPE(0)),IFERROR(IF(OFFSET(A803,-7,0)&gt;0,OFFSET(A803,-7,0)+0.001,ERROR.TYPE(0)),IFERROR(IF(OFFSET(A803,-8,0)&gt;0,OFFSET(A803,-8,0)+0.001,ERROR.TYPE(0)),IFERROR(IF(OFFSET(A803,-9,0)&gt;0,OFFSET(A803,-9,0)+0.001,ERROR.TYPE(0)),IFERROR(IF(OFFSET(A803,-10,0)&gt;0,OFFSET(A803,-10,0)+0.001,ERROR.TYPE(0)),ERROR.TYPE(0)))))))))))</f>
        <v>4.3230000000001079</v>
      </c>
      <c r="B803" s="690" t="s">
        <v>788</v>
      </c>
      <c r="C803" s="646">
        <v>11</v>
      </c>
      <c r="D803" s="646" t="s">
        <v>141</v>
      </c>
      <c r="E803" s="649">
        <f ca="1">Elec_Est!E3286</f>
        <v>196.52</v>
      </c>
      <c r="F803" s="1125">
        <f t="shared" ref="F803:F821" ca="1" si="187">IFERROR($C803*E803,E803)</f>
        <v>2161.7200000000003</v>
      </c>
    </row>
    <row r="804" spans="1:6" s="631" customFormat="1">
      <c r="A804" s="643">
        <f t="shared" ca="1" si="186"/>
        <v>4.3240000000001082</v>
      </c>
      <c r="B804" s="690" t="s">
        <v>756</v>
      </c>
      <c r="C804" s="646">
        <v>2</v>
      </c>
      <c r="D804" s="646" t="s">
        <v>141</v>
      </c>
      <c r="E804" s="649">
        <f ca="1">Elec_Est!E3294</f>
        <v>208.63</v>
      </c>
      <c r="F804" s="1125">
        <f t="shared" ca="1" si="187"/>
        <v>417.26</v>
      </c>
    </row>
    <row r="805" spans="1:6" s="631" customFormat="1">
      <c r="A805" s="643">
        <f t="shared" ca="1" si="186"/>
        <v>4.3250000000001085</v>
      </c>
      <c r="B805" s="690" t="s">
        <v>757</v>
      </c>
      <c r="C805" s="646">
        <v>2</v>
      </c>
      <c r="D805" s="646" t="s">
        <v>141</v>
      </c>
      <c r="E805" s="649">
        <f ca="1">Elec_Est!E3301</f>
        <v>208.63</v>
      </c>
      <c r="F805" s="1125">
        <f t="shared" ca="1" si="187"/>
        <v>417.26</v>
      </c>
    </row>
    <row r="806" spans="1:6" s="631" customFormat="1">
      <c r="A806" s="643">
        <f t="shared" ca="1" si="186"/>
        <v>4.3260000000001089</v>
      </c>
      <c r="B806" s="651" t="s">
        <v>758</v>
      </c>
      <c r="C806" s="646">
        <v>1</v>
      </c>
      <c r="D806" s="646" t="s">
        <v>141</v>
      </c>
      <c r="E806" s="649">
        <f ca="1">Elec_Est!E3308</f>
        <v>158.15</v>
      </c>
      <c r="F806" s="1125">
        <f t="shared" ca="1" si="187"/>
        <v>158.15</v>
      </c>
    </row>
    <row r="807" spans="1:6" s="631" customFormat="1">
      <c r="A807" s="643">
        <f t="shared" ca="1" si="186"/>
        <v>4.3270000000001092</v>
      </c>
      <c r="B807" s="651" t="s">
        <v>759</v>
      </c>
      <c r="C807" s="646">
        <v>1</v>
      </c>
      <c r="D807" s="646" t="s">
        <v>141</v>
      </c>
      <c r="E807" s="649">
        <f ca="1">Elec_Est!E3315</f>
        <v>237.23</v>
      </c>
      <c r="F807" s="1125">
        <f t="shared" ca="1" si="187"/>
        <v>237.23</v>
      </c>
    </row>
    <row r="808" spans="1:6" s="631" customFormat="1">
      <c r="A808" s="643">
        <f t="shared" ca="1" si="186"/>
        <v>4.3280000000001095</v>
      </c>
      <c r="B808" s="651" t="s">
        <v>791</v>
      </c>
      <c r="C808" s="646">
        <v>1</v>
      </c>
      <c r="D808" s="646" t="s">
        <v>141</v>
      </c>
      <c r="E808" s="649">
        <f ca="1">Elec_Est!E3322</f>
        <v>316.31</v>
      </c>
      <c r="F808" s="1125">
        <f t="shared" ca="1" si="187"/>
        <v>316.31</v>
      </c>
    </row>
    <row r="809" spans="1:6" s="631" customFormat="1">
      <c r="A809" s="643">
        <f t="shared" ca="1" si="186"/>
        <v>4.3290000000001099</v>
      </c>
      <c r="B809" s="651" t="s">
        <v>792</v>
      </c>
      <c r="C809" s="646">
        <v>1</v>
      </c>
      <c r="D809" s="646" t="s">
        <v>141</v>
      </c>
      <c r="E809" s="649">
        <f ca="1">Elec_Est!E3329</f>
        <v>553.54</v>
      </c>
      <c r="F809" s="1125">
        <f t="shared" ca="1" si="187"/>
        <v>553.54</v>
      </c>
    </row>
    <row r="810" spans="1:6" s="631" customFormat="1">
      <c r="A810" s="643">
        <f t="shared" ca="1" si="186"/>
        <v>4.3300000000001102</v>
      </c>
      <c r="B810" s="651" t="s">
        <v>793</v>
      </c>
      <c r="C810" s="646">
        <v>1</v>
      </c>
      <c r="D810" s="646" t="s">
        <v>141</v>
      </c>
      <c r="E810" s="649">
        <f ca="1">Elec_Est!E3336</f>
        <v>158.15</v>
      </c>
      <c r="F810" s="1125">
        <f t="shared" ca="1" si="187"/>
        <v>158.15</v>
      </c>
    </row>
    <row r="811" spans="1:6" s="631" customFormat="1">
      <c r="A811" s="643">
        <f t="shared" ca="1" si="186"/>
        <v>4.3310000000001105</v>
      </c>
      <c r="B811" s="651" t="s">
        <v>794</v>
      </c>
      <c r="C811" s="646">
        <v>2</v>
      </c>
      <c r="D811" s="646" t="s">
        <v>141</v>
      </c>
      <c r="E811" s="649">
        <f ca="1">Elec_Est!E3343</f>
        <v>316.31</v>
      </c>
      <c r="F811" s="1125">
        <f t="shared" ca="1" si="187"/>
        <v>632.62</v>
      </c>
    </row>
    <row r="812" spans="1:6" s="631" customFormat="1">
      <c r="A812" s="643">
        <f t="shared" ca="1" si="186"/>
        <v>4.3320000000001109</v>
      </c>
      <c r="B812" s="651" t="s">
        <v>795</v>
      </c>
      <c r="C812" s="646">
        <v>1</v>
      </c>
      <c r="D812" s="646" t="s">
        <v>141</v>
      </c>
      <c r="E812" s="649">
        <f ca="1">Elec_Est!E3350</f>
        <v>553.54</v>
      </c>
      <c r="F812" s="1125">
        <f t="shared" ca="1" si="187"/>
        <v>553.54</v>
      </c>
    </row>
    <row r="813" spans="1:6" s="631" customFormat="1">
      <c r="A813" s="643">
        <f t="shared" ca="1" si="186"/>
        <v>4.3330000000001112</v>
      </c>
      <c r="B813" s="651" t="s">
        <v>796</v>
      </c>
      <c r="C813" s="646">
        <v>2</v>
      </c>
      <c r="D813" s="646" t="s">
        <v>141</v>
      </c>
      <c r="E813" s="649">
        <f ca="1">Elec_Est!E3357</f>
        <v>869.85</v>
      </c>
      <c r="F813" s="1125">
        <f t="shared" ca="1" si="187"/>
        <v>1739.7</v>
      </c>
    </row>
    <row r="814" spans="1:6" s="631" customFormat="1">
      <c r="A814" s="643">
        <f t="shared" ca="1" si="186"/>
        <v>4.3340000000001115</v>
      </c>
      <c r="B814" s="651" t="s">
        <v>797</v>
      </c>
      <c r="C814" s="646">
        <v>1</v>
      </c>
      <c r="D814" s="646" t="s">
        <v>141</v>
      </c>
      <c r="E814" s="649">
        <f ca="1">Elec_Est!E3364</f>
        <v>948.93</v>
      </c>
      <c r="F814" s="1125">
        <f t="shared" ca="1" si="187"/>
        <v>948.93</v>
      </c>
    </row>
    <row r="815" spans="1:6" s="631" customFormat="1">
      <c r="A815" s="643">
        <f t="shared" ca="1" si="186"/>
        <v>4.3350000000001119</v>
      </c>
      <c r="B815" s="651" t="s">
        <v>798</v>
      </c>
      <c r="C815" s="646">
        <v>1</v>
      </c>
      <c r="D815" s="646" t="s">
        <v>141</v>
      </c>
      <c r="E815" s="649">
        <f ca="1">Elec_Est!E3371</f>
        <v>1423.39</v>
      </c>
      <c r="F815" s="1125">
        <f t="shared" ca="1" si="187"/>
        <v>1423.39</v>
      </c>
    </row>
    <row r="816" spans="1:6" s="631" customFormat="1">
      <c r="A816" s="643">
        <f t="shared" ca="1" si="186"/>
        <v>4.3360000000001122</v>
      </c>
      <c r="B816" s="651" t="s">
        <v>799</v>
      </c>
      <c r="C816" s="646">
        <v>1</v>
      </c>
      <c r="D816" s="646" t="s">
        <v>141</v>
      </c>
      <c r="E816" s="649">
        <f ca="1">Elec_Est!E3378</f>
        <v>1581.55</v>
      </c>
      <c r="F816" s="1125">
        <f t="shared" ca="1" si="187"/>
        <v>1581.55</v>
      </c>
    </row>
    <row r="817" spans="1:6" s="631" customFormat="1">
      <c r="A817" s="643">
        <f t="shared" ca="1" si="186"/>
        <v>4.3370000000001125</v>
      </c>
      <c r="B817" s="651" t="s">
        <v>800</v>
      </c>
      <c r="C817" s="646">
        <v>1</v>
      </c>
      <c r="D817" s="646" t="s">
        <v>141</v>
      </c>
      <c r="E817" s="649">
        <f ca="1">Elec_Est!E3385</f>
        <v>1660.63</v>
      </c>
      <c r="F817" s="1125">
        <f t="shared" ca="1" si="187"/>
        <v>1660.63</v>
      </c>
    </row>
    <row r="818" spans="1:6" s="631" customFormat="1">
      <c r="A818" s="643">
        <f t="shared" ca="1" si="186"/>
        <v>4.3380000000001129</v>
      </c>
      <c r="B818" s="651" t="s">
        <v>801</v>
      </c>
      <c r="C818" s="646">
        <v>1</v>
      </c>
      <c r="D818" s="646" t="s">
        <v>141</v>
      </c>
      <c r="E818" s="649">
        <f ca="1">Elec_Est!E3392</f>
        <v>1818.78</v>
      </c>
      <c r="F818" s="1125">
        <f t="shared" ca="1" si="187"/>
        <v>1818.78</v>
      </c>
    </row>
    <row r="819" spans="1:6" s="631" customFormat="1">
      <c r="A819" s="643">
        <f t="shared" ca="1" si="186"/>
        <v>4.3390000000001132</v>
      </c>
      <c r="B819" s="651" t="s">
        <v>802</v>
      </c>
      <c r="C819" s="646">
        <v>1</v>
      </c>
      <c r="D819" s="646" t="s">
        <v>141</v>
      </c>
      <c r="E819" s="649">
        <f ca="1">Elec_Est!E3399</f>
        <v>869.85</v>
      </c>
      <c r="F819" s="1125">
        <f t="shared" ca="1" si="187"/>
        <v>869.85</v>
      </c>
    </row>
    <row r="820" spans="1:6" s="631" customFormat="1" ht="27.6">
      <c r="A820" s="643">
        <f t="shared" ca="1" si="186"/>
        <v>4.3400000000001135</v>
      </c>
      <c r="B820" s="648" t="s">
        <v>776</v>
      </c>
      <c r="C820" s="646">
        <v>18</v>
      </c>
      <c r="D820" s="646" t="s">
        <v>141</v>
      </c>
      <c r="E820" s="649" t="str">
        <f>Elec_Est!Q3406</f>
        <v>Included</v>
      </c>
      <c r="F820" s="1125" t="str">
        <f t="shared" si="187"/>
        <v>Included</v>
      </c>
    </row>
    <row r="821" spans="1:6" s="631" customFormat="1">
      <c r="A821" s="643">
        <f t="shared" ca="1" si="186"/>
        <v>4.3410000000001139</v>
      </c>
      <c r="B821" s="648" t="s">
        <v>777</v>
      </c>
      <c r="C821" s="646">
        <v>8</v>
      </c>
      <c r="D821" s="646" t="s">
        <v>141</v>
      </c>
      <c r="E821" s="649">
        <f ca="1">Elec_Est!E3416</f>
        <v>151.94</v>
      </c>
      <c r="F821" s="1125">
        <f t="shared" ca="1" si="187"/>
        <v>1215.52</v>
      </c>
    </row>
    <row r="822" spans="1:6" s="631" customFormat="1">
      <c r="A822" s="643"/>
      <c r="B822" s="687" t="s">
        <v>778</v>
      </c>
      <c r="C822" s="645"/>
      <c r="D822" s="646"/>
      <c r="E822" s="647"/>
      <c r="F822" s="1125"/>
    </row>
    <row r="823" spans="1:6" s="631" customFormat="1">
      <c r="A823" s="643">
        <f t="shared" ref="A823:A825" ca="1" si="188">IFERROR(IF(OFFSET(A823,-1,0)&gt;0,OFFSET(A823,-1,0)+0.001,ERROR.TYPE(0)),IFERROR(IF(OFFSET(A823,-2,0)&gt;0,OFFSET(A823,-2,0)+0.001,ERROR.TYPE(0)),IFERROR(IF(OFFSET(A823,-3,0)&gt;0,OFFSET(A823,-3,0)+0.001,ERROR.TYPE(0)),IFERROR(IF(OFFSET(A823,-4,0)&gt;0,OFFSET(A823,-4,0)+0.001,ERROR.TYPE(0)),IFERROR(IF(OFFSET(A823,-5,0)&gt;0,OFFSET(A823,-5,0)+0.001,ERROR.TYPE(0)),IFERROR(IF(OFFSET(A823,-6,0)&gt;0,OFFSET(A823,-6,0)+0.001,ERROR.TYPE(0)),IFERROR(IF(OFFSET(A823,-7,0)&gt;0,OFFSET(A823,-7,0)+0.001,ERROR.TYPE(0)),IFERROR(IF(OFFSET(A823,-8,0)&gt;0,OFFSET(A823,-8,0)+0.001,ERROR.TYPE(0)),IFERROR(IF(OFFSET(A823,-9,0)&gt;0,OFFSET(A823,-9,0)+0.001,ERROR.TYPE(0)),IFERROR(IF(OFFSET(A823,-10,0)&gt;0,OFFSET(A823,-10,0)+0.001,ERROR.TYPE(0)),ERROR.TYPE(0)))))))))))</f>
        <v>4.3420000000001142</v>
      </c>
      <c r="B823" s="690" t="s">
        <v>779</v>
      </c>
      <c r="C823" s="646">
        <v>2</v>
      </c>
      <c r="D823" s="646" t="s">
        <v>141</v>
      </c>
      <c r="E823" s="649">
        <f ca="1">Elec_Est!E3427</f>
        <v>48.45</v>
      </c>
      <c r="F823" s="1125">
        <f t="shared" ref="F823" ca="1" si="189">IFERROR($C823*E823,E823)</f>
        <v>96.9</v>
      </c>
    </row>
    <row r="824" spans="1:6" s="631" customFormat="1">
      <c r="A824" s="643">
        <f t="shared" ca="1" si="188"/>
        <v>4.3430000000001145</v>
      </c>
      <c r="B824" s="690" t="s">
        <v>781</v>
      </c>
      <c r="C824" s="646">
        <v>2</v>
      </c>
      <c r="D824" s="646" t="s">
        <v>141</v>
      </c>
      <c r="E824" s="649">
        <f ca="1">Elec_Est!E3434</f>
        <v>47.62</v>
      </c>
      <c r="F824" s="1125">
        <f ca="1">IFERROR($C824*E824,E824)</f>
        <v>95.24</v>
      </c>
    </row>
    <row r="825" spans="1:6" s="631" customFormat="1">
      <c r="A825" s="643">
        <f t="shared" ca="1" si="188"/>
        <v>4.3440000000001149</v>
      </c>
      <c r="B825" s="690" t="s">
        <v>783</v>
      </c>
      <c r="C825" s="646">
        <v>34</v>
      </c>
      <c r="D825" s="646" t="s">
        <v>141</v>
      </c>
      <c r="E825" s="649">
        <f>Elec_Est!E3441</f>
        <v>30.09</v>
      </c>
      <c r="F825" s="1125">
        <f>IFERROR($C825*E825,E825)</f>
        <v>1023.06</v>
      </c>
    </row>
    <row r="826" spans="1:6" s="631" customFormat="1">
      <c r="A826" s="643"/>
      <c r="B826" s="639" t="s">
        <v>347</v>
      </c>
      <c r="C826" s="645"/>
      <c r="D826" s="646"/>
      <c r="E826" s="647"/>
      <c r="F826" s="1125"/>
    </row>
    <row r="827" spans="1:6" s="631" customFormat="1" ht="41.4">
      <c r="A827" s="643"/>
      <c r="B827" s="687" t="s">
        <v>803</v>
      </c>
      <c r="C827" s="645"/>
      <c r="D827" s="646"/>
      <c r="E827" s="647"/>
      <c r="F827" s="1125"/>
    </row>
    <row r="828" spans="1:6" s="631" customFormat="1">
      <c r="A828" s="643"/>
      <c r="B828" s="689" t="s">
        <v>804</v>
      </c>
      <c r="C828" s="645"/>
      <c r="D828" s="646"/>
      <c r="E828" s="647"/>
      <c r="F828" s="1125"/>
    </row>
    <row r="829" spans="1:6" s="631" customFormat="1">
      <c r="A829" s="643">
        <f t="shared" ref="A829:A845" ca="1" si="190">IFERROR(IF(OFFSET(A829,-1,0)&gt;0,OFFSET(A829,-1,0)+0.001,ERROR.TYPE(0)),IFERROR(IF(OFFSET(A829,-2,0)&gt;0,OFFSET(A829,-2,0)+0.001,ERROR.TYPE(0)),IFERROR(IF(OFFSET(A829,-3,0)&gt;0,OFFSET(A829,-3,0)+0.001,ERROR.TYPE(0)),IFERROR(IF(OFFSET(A829,-4,0)&gt;0,OFFSET(A829,-4,0)+0.001,ERROR.TYPE(0)),IFERROR(IF(OFFSET(A829,-5,0)&gt;0,OFFSET(A829,-5,0)+0.001,ERROR.TYPE(0)),IFERROR(IF(OFFSET(A829,-6,0)&gt;0,OFFSET(A829,-6,0)+0.001,ERROR.TYPE(0)),IFERROR(IF(OFFSET(A829,-7,0)&gt;0,OFFSET(A829,-7,0)+0.001,ERROR.TYPE(0)),IFERROR(IF(OFFSET(A829,-8,0)&gt;0,OFFSET(A829,-8,0)+0.001,ERROR.TYPE(0)),IFERROR(IF(OFFSET(A829,-9,0)&gt;0,OFFSET(A829,-9,0)+0.001,ERROR.TYPE(0)),IFERROR(IF(OFFSET(A829,-10,0)&gt;0,OFFSET(A829,-10,0)+0.001,ERROR.TYPE(0)),ERROR.TYPE(0)))))))))))</f>
        <v>4.3450000000001152</v>
      </c>
      <c r="B829" s="690" t="s">
        <v>805</v>
      </c>
      <c r="C829" s="646">
        <v>1</v>
      </c>
      <c r="D829" s="646" t="s">
        <v>141</v>
      </c>
      <c r="E829" s="649">
        <f ca="1">Elec_Est!E3461</f>
        <v>61.15</v>
      </c>
      <c r="F829" s="1125">
        <f ca="1">IFERROR($C829*E829,E829)</f>
        <v>61.15</v>
      </c>
    </row>
    <row r="830" spans="1:6" s="631" customFormat="1">
      <c r="A830" s="643">
        <f t="shared" ca="1" si="190"/>
        <v>4.3460000000001155</v>
      </c>
      <c r="B830" s="690" t="s">
        <v>788</v>
      </c>
      <c r="C830" s="646">
        <v>22</v>
      </c>
      <c r="D830" s="646" t="s">
        <v>141</v>
      </c>
      <c r="E830" s="649">
        <f ca="1">Elec_Est!E3469</f>
        <v>61.52</v>
      </c>
      <c r="F830" s="1125">
        <f ca="1">IFERROR($C830*E830,E830)</f>
        <v>1353.44</v>
      </c>
    </row>
    <row r="831" spans="1:6" s="631" customFormat="1">
      <c r="A831" s="643">
        <f t="shared" ca="1" si="190"/>
        <v>4.3470000000001159</v>
      </c>
      <c r="B831" s="690" t="s">
        <v>724</v>
      </c>
      <c r="C831" s="646">
        <v>10</v>
      </c>
      <c r="D831" s="646" t="s">
        <v>141</v>
      </c>
      <c r="E831" s="649">
        <f ca="1">Elec_Est!E3477</f>
        <v>64.84</v>
      </c>
      <c r="F831" s="1125">
        <f ca="1">IFERROR($C831*E831,E831)</f>
        <v>648.40000000000009</v>
      </c>
    </row>
    <row r="832" spans="1:6" s="631" customFormat="1">
      <c r="A832" s="643">
        <f ca="1">IFERROR(IF(OFFSET(A832,-1,0)&gt;0,OFFSET(A832,-1,0)+0.001,ERROR.TYPE(0)),IFERROR(IF(OFFSET(A832,-2,0)&gt;0,OFFSET(A832,-2,0)+0.001,ERROR.TYPE(0)),IFERROR(IF(OFFSET(A832,-3,0)&gt;0,OFFSET(A832,-3,0)+0.001,ERROR.TYPE(0)),IFERROR(IF(OFFSET(A832,-4,0)&gt;0,OFFSET(A832,-4,0)+0.001,ERROR.TYPE(0)),IFERROR(IF(OFFSET(A832,-5,0)&gt;0,OFFSET(A832,-5,0)+0.001,ERROR.TYPE(0)),IFERROR(IF(OFFSET(A832,-6,0)&gt;0,OFFSET(A832,-6,0)+0.001,ERROR.TYPE(0)),IFERROR(IF(OFFSET(A832,-7,0)&gt;0,OFFSET(A832,-7,0)+0.001,ERROR.TYPE(0)),IFERROR(IF(OFFSET(A832,-8,0)&gt;0,OFFSET(A832,-8,0)+0.001,ERROR.TYPE(0)),IFERROR(IF(OFFSET(A832,-9,0)&gt;0,OFFSET(A832,-9,0)+0.001,ERROR.TYPE(0)),IFERROR(IF(OFFSET(A832,-10,0)&gt;0,OFFSET(A832,-10,0)+0.001,ERROR.TYPE(0)),ERROR.TYPE(0)))))))))))</f>
        <v>4.3480000000001162</v>
      </c>
      <c r="B832" s="651" t="s">
        <v>806</v>
      </c>
      <c r="C832" s="646">
        <v>3</v>
      </c>
      <c r="D832" s="646" t="s">
        <v>141</v>
      </c>
      <c r="E832" s="649">
        <f ca="1">Elec_Est!E3485</f>
        <v>190.4</v>
      </c>
      <c r="F832" s="1125">
        <f ca="1">IFERROR($C832*E832,E832)</f>
        <v>571.20000000000005</v>
      </c>
    </row>
    <row r="833" spans="1:6" s="631" customFormat="1">
      <c r="A833" s="643">
        <f t="shared" ca="1" si="190"/>
        <v>4.3490000000001166</v>
      </c>
      <c r="B833" s="690" t="s">
        <v>807</v>
      </c>
      <c r="C833" s="646">
        <v>1</v>
      </c>
      <c r="D833" s="646" t="s">
        <v>141</v>
      </c>
      <c r="E833" s="649">
        <f ca="1">Elec_Est!E3493</f>
        <v>63.24</v>
      </c>
      <c r="F833" s="1125">
        <f ca="1">IFERROR($C833*E833,E833)</f>
        <v>63.24</v>
      </c>
    </row>
    <row r="834" spans="1:6" s="631" customFormat="1">
      <c r="A834" s="643">
        <f t="shared" ca="1" si="190"/>
        <v>4.3500000000001169</v>
      </c>
      <c r="B834" s="651" t="s">
        <v>758</v>
      </c>
      <c r="C834" s="646">
        <v>2</v>
      </c>
      <c r="D834" s="646" t="s">
        <v>141</v>
      </c>
      <c r="E834" s="649">
        <f ca="1">Elec_Est!E3501</f>
        <v>68.06</v>
      </c>
      <c r="F834" s="1125">
        <f t="shared" ref="F834:F845" ca="1" si="191">IFERROR($C834*E834,E834)</f>
        <v>136.12</v>
      </c>
    </row>
    <row r="835" spans="1:6" s="631" customFormat="1">
      <c r="A835" s="643">
        <f t="shared" ca="1" si="190"/>
        <v>4.3510000000001172</v>
      </c>
      <c r="B835" s="651" t="s">
        <v>759</v>
      </c>
      <c r="C835" s="646">
        <v>2</v>
      </c>
      <c r="D835" s="646" t="s">
        <v>141</v>
      </c>
      <c r="E835" s="649">
        <f ca="1">Elec_Est!E3508</f>
        <v>102.1</v>
      </c>
      <c r="F835" s="1125">
        <f t="shared" ca="1" si="191"/>
        <v>204.2</v>
      </c>
    </row>
    <row r="836" spans="1:6" s="631" customFormat="1">
      <c r="A836" s="643">
        <f t="shared" ca="1" si="190"/>
        <v>4.3520000000001176</v>
      </c>
      <c r="B836" s="651" t="s">
        <v>791</v>
      </c>
      <c r="C836" s="646">
        <v>3</v>
      </c>
      <c r="D836" s="646" t="s">
        <v>141</v>
      </c>
      <c r="E836" s="649">
        <f ca="1">Elec_Est!E3515</f>
        <v>136.13</v>
      </c>
      <c r="F836" s="1125">
        <f t="shared" ca="1" si="191"/>
        <v>408.39</v>
      </c>
    </row>
    <row r="837" spans="1:6" s="631" customFormat="1">
      <c r="A837" s="643">
        <f t="shared" ca="1" si="190"/>
        <v>4.3530000000001179</v>
      </c>
      <c r="B837" s="651" t="s">
        <v>761</v>
      </c>
      <c r="C837" s="646">
        <v>2</v>
      </c>
      <c r="D837" s="646" t="s">
        <v>141</v>
      </c>
      <c r="E837" s="649">
        <f ca="1">Elec_Est!E3522</f>
        <v>170.16</v>
      </c>
      <c r="F837" s="1125">
        <f t="shared" ca="1" si="191"/>
        <v>340.32</v>
      </c>
    </row>
    <row r="838" spans="1:6" s="631" customFormat="1">
      <c r="A838" s="643">
        <f t="shared" ca="1" si="190"/>
        <v>4.3540000000001182</v>
      </c>
      <c r="B838" s="651" t="s">
        <v>762</v>
      </c>
      <c r="C838" s="646">
        <v>1</v>
      </c>
      <c r="D838" s="646" t="s">
        <v>141</v>
      </c>
      <c r="E838" s="649">
        <f ca="1">Elec_Est!E3529</f>
        <v>204.19</v>
      </c>
      <c r="F838" s="1125">
        <f t="shared" ca="1" si="191"/>
        <v>204.19</v>
      </c>
    </row>
    <row r="839" spans="1:6" s="631" customFormat="1">
      <c r="A839" s="643">
        <f t="shared" ca="1" si="190"/>
        <v>4.3550000000001186</v>
      </c>
      <c r="B839" s="651" t="s">
        <v>808</v>
      </c>
      <c r="C839" s="646">
        <v>1</v>
      </c>
      <c r="D839" s="646" t="s">
        <v>141</v>
      </c>
      <c r="E839" s="649">
        <f ca="1">Elec_Est!E3536</f>
        <v>204.19</v>
      </c>
      <c r="F839" s="1125">
        <f t="shared" ca="1" si="191"/>
        <v>204.19</v>
      </c>
    </row>
    <row r="840" spans="1:6" s="631" customFormat="1">
      <c r="A840" s="643">
        <f t="shared" ca="1" si="190"/>
        <v>4.3560000000001189</v>
      </c>
      <c r="B840" s="651" t="s">
        <v>793</v>
      </c>
      <c r="C840" s="646">
        <v>2</v>
      </c>
      <c r="D840" s="646" t="s">
        <v>141</v>
      </c>
      <c r="E840" s="649">
        <f ca="1">Elec_Est!E3543</f>
        <v>68.06</v>
      </c>
      <c r="F840" s="1125">
        <f t="shared" ca="1" si="191"/>
        <v>136.12</v>
      </c>
    </row>
    <row r="841" spans="1:6" s="631" customFormat="1">
      <c r="A841" s="643">
        <f t="shared" ca="1" si="190"/>
        <v>4.3570000000001192</v>
      </c>
      <c r="B841" s="651" t="s">
        <v>794</v>
      </c>
      <c r="C841" s="646">
        <v>3</v>
      </c>
      <c r="D841" s="646" t="s">
        <v>141</v>
      </c>
      <c r="E841" s="649">
        <f ca="1">Elec_Est!E3550</f>
        <v>102.1</v>
      </c>
      <c r="F841" s="1125">
        <f t="shared" ca="1" si="191"/>
        <v>306.29999999999995</v>
      </c>
    </row>
    <row r="842" spans="1:6" s="631" customFormat="1">
      <c r="A842" s="643">
        <f t="shared" ca="1" si="190"/>
        <v>4.3580000000001196</v>
      </c>
      <c r="B842" s="651" t="s">
        <v>809</v>
      </c>
      <c r="C842" s="646">
        <v>1</v>
      </c>
      <c r="D842" s="646" t="s">
        <v>141</v>
      </c>
      <c r="E842" s="649">
        <f ca="1">Elec_Est!E3557</f>
        <v>170.16</v>
      </c>
      <c r="F842" s="1125">
        <f t="shared" ca="1" si="191"/>
        <v>170.16</v>
      </c>
    </row>
    <row r="843" spans="1:6" s="631" customFormat="1">
      <c r="A843" s="643">
        <f t="shared" ca="1" si="190"/>
        <v>4.3590000000001199</v>
      </c>
      <c r="B843" s="651" t="s">
        <v>810</v>
      </c>
      <c r="C843" s="646">
        <v>1</v>
      </c>
      <c r="D843" s="646" t="s">
        <v>141</v>
      </c>
      <c r="E843" s="649">
        <f ca="1">Elec_Est!E3564</f>
        <v>442.42</v>
      </c>
      <c r="F843" s="1125">
        <f t="shared" ca="1" si="191"/>
        <v>442.42</v>
      </c>
    </row>
    <row r="844" spans="1:6" s="631" customFormat="1" ht="27.6">
      <c r="A844" s="643">
        <f t="shared" ca="1" si="190"/>
        <v>4.3600000000001202</v>
      </c>
      <c r="B844" s="648" t="s">
        <v>776</v>
      </c>
      <c r="C844" s="646">
        <v>21</v>
      </c>
      <c r="D844" s="646" t="s">
        <v>141</v>
      </c>
      <c r="E844" s="649" t="str">
        <f>Elec_Est!Q3571</f>
        <v>Included</v>
      </c>
      <c r="F844" s="1125" t="str">
        <f t="shared" si="191"/>
        <v>Included</v>
      </c>
    </row>
    <row r="845" spans="1:6" s="631" customFormat="1">
      <c r="A845" s="643">
        <f t="shared" ca="1" si="190"/>
        <v>4.3610000000001206</v>
      </c>
      <c r="B845" s="648" t="s">
        <v>777</v>
      </c>
      <c r="C845" s="646">
        <v>7</v>
      </c>
      <c r="D845" s="646" t="s">
        <v>141</v>
      </c>
      <c r="E845" s="649">
        <f ca="1">Elec_Est!E3581</f>
        <v>46.93</v>
      </c>
      <c r="F845" s="1125">
        <f t="shared" ca="1" si="191"/>
        <v>328.51</v>
      </c>
    </row>
    <row r="846" spans="1:6" s="631" customFormat="1">
      <c r="A846" s="643"/>
      <c r="B846" s="687" t="s">
        <v>778</v>
      </c>
      <c r="C846" s="645"/>
      <c r="D846" s="646"/>
      <c r="E846" s="647"/>
      <c r="F846" s="1125"/>
    </row>
    <row r="847" spans="1:6" s="631" customFormat="1">
      <c r="A847" s="643">
        <f t="shared" ref="A847:A849" ca="1" si="192">IFERROR(IF(OFFSET(A847,-1,0)&gt;0,OFFSET(A847,-1,0)+0.001,ERROR.TYPE(0)),IFERROR(IF(OFFSET(A847,-2,0)&gt;0,OFFSET(A847,-2,0)+0.001,ERROR.TYPE(0)),IFERROR(IF(OFFSET(A847,-3,0)&gt;0,OFFSET(A847,-3,0)+0.001,ERROR.TYPE(0)),IFERROR(IF(OFFSET(A847,-4,0)&gt;0,OFFSET(A847,-4,0)+0.001,ERROR.TYPE(0)),IFERROR(IF(OFFSET(A847,-5,0)&gt;0,OFFSET(A847,-5,0)+0.001,ERROR.TYPE(0)),IFERROR(IF(OFFSET(A847,-6,0)&gt;0,OFFSET(A847,-6,0)+0.001,ERROR.TYPE(0)),IFERROR(IF(OFFSET(A847,-7,0)&gt;0,OFFSET(A847,-7,0)+0.001,ERROR.TYPE(0)),IFERROR(IF(OFFSET(A847,-8,0)&gt;0,OFFSET(A847,-8,0)+0.001,ERROR.TYPE(0)),IFERROR(IF(OFFSET(A847,-9,0)&gt;0,OFFSET(A847,-9,0)+0.001,ERROR.TYPE(0)),IFERROR(IF(OFFSET(A847,-10,0)&gt;0,OFFSET(A847,-10,0)+0.001,ERROR.TYPE(0)),ERROR.TYPE(0)))))))))))</f>
        <v>4.3620000000001209</v>
      </c>
      <c r="B847" s="690" t="s">
        <v>811</v>
      </c>
      <c r="C847" s="646">
        <v>1</v>
      </c>
      <c r="D847" s="646" t="s">
        <v>141</v>
      </c>
      <c r="E847" s="649">
        <f>Elec_Est!E3592</f>
        <v>142.9</v>
      </c>
      <c r="F847" s="1125">
        <f>IFERROR($C847*E847,E847)</f>
        <v>142.9</v>
      </c>
    </row>
    <row r="848" spans="1:6" s="631" customFormat="1">
      <c r="A848" s="643">
        <f t="shared" ca="1" si="192"/>
        <v>4.3630000000001212</v>
      </c>
      <c r="B848" s="690" t="s">
        <v>783</v>
      </c>
      <c r="C848" s="646">
        <v>11</v>
      </c>
      <c r="D848" s="646" t="s">
        <v>141</v>
      </c>
      <c r="E848" s="649">
        <f>Elec_Est!E3600</f>
        <v>20.64</v>
      </c>
      <c r="F848" s="1125">
        <f>IFERROR($C848*E848,E848)</f>
        <v>227.04000000000002</v>
      </c>
    </row>
    <row r="849" spans="1:6" s="631" customFormat="1" ht="55.2">
      <c r="A849" s="643">
        <f t="shared" ca="1" si="192"/>
        <v>4.3640000000001216</v>
      </c>
      <c r="B849" s="695" t="s">
        <v>812</v>
      </c>
      <c r="C849" s="646">
        <v>1</v>
      </c>
      <c r="D849" s="646" t="s">
        <v>141</v>
      </c>
      <c r="E849" s="649">
        <f>Elec_Est!E3608</f>
        <v>267.02999999999997</v>
      </c>
      <c r="F849" s="1125">
        <f>IFERROR($C849*E849,E849)</f>
        <v>267.02999999999997</v>
      </c>
    </row>
    <row r="850" spans="1:6" s="631" customFormat="1">
      <c r="A850" s="638"/>
      <c r="B850" s="639" t="s">
        <v>813</v>
      </c>
      <c r="C850" s="1456" t="s">
        <v>305</v>
      </c>
      <c r="D850" s="1457"/>
      <c r="E850" s="652"/>
      <c r="F850" s="1239">
        <f ca="1">SUM(F801:F849)</f>
        <v>24294.65</v>
      </c>
    </row>
    <row r="851" spans="1:6" s="631" customFormat="1">
      <c r="A851" s="660"/>
      <c r="B851" s="629"/>
      <c r="C851" s="661"/>
      <c r="D851" s="654"/>
      <c r="E851" s="662"/>
      <c r="F851" s="1127"/>
    </row>
    <row r="852" spans="1:6" s="631" customFormat="1">
      <c r="A852" s="660"/>
      <c r="B852" s="629"/>
      <c r="C852" s="661"/>
      <c r="D852" s="654"/>
      <c r="E852" s="662"/>
      <c r="F852" s="1127"/>
    </row>
    <row r="853" spans="1:6" s="631" customFormat="1" ht="27.6">
      <c r="A853" s="634" t="s">
        <v>143</v>
      </c>
      <c r="B853" s="635" t="s">
        <v>198</v>
      </c>
      <c r="C853" s="636" t="s">
        <v>199</v>
      </c>
      <c r="D853" s="636" t="s">
        <v>200</v>
      </c>
      <c r="E853" s="637" t="s">
        <v>294</v>
      </c>
      <c r="F853" s="1122" t="s">
        <v>295</v>
      </c>
    </row>
    <row r="854" spans="1:6" s="631" customFormat="1" ht="55.2">
      <c r="A854" s="643"/>
      <c r="B854" s="687" t="s">
        <v>752</v>
      </c>
      <c r="C854" s="645"/>
      <c r="D854" s="646"/>
      <c r="E854" s="647"/>
      <c r="F854" s="1125"/>
    </row>
    <row r="855" spans="1:6" s="631" customFormat="1">
      <c r="A855" s="643"/>
      <c r="B855" s="689" t="s">
        <v>814</v>
      </c>
      <c r="C855" s="645"/>
      <c r="D855" s="646"/>
      <c r="E855" s="647"/>
      <c r="F855" s="1125"/>
    </row>
    <row r="856" spans="1:6" s="631" customFormat="1">
      <c r="A856" s="643">
        <f t="shared" ref="A856:A866" ca="1" si="193">IFERROR(IF(OFFSET(A856,-1,0)&gt;0,OFFSET(A856,-1,0)+0.001,ERROR.TYPE(0)),IFERROR(IF(OFFSET(A856,-2,0)&gt;0,OFFSET(A856,-2,0)+0.001,ERROR.TYPE(0)),IFERROR(IF(OFFSET(A856,-3,0)&gt;0,OFFSET(A856,-3,0)+0.001,ERROR.TYPE(0)),IFERROR(IF(OFFSET(A856,-4,0)&gt;0,OFFSET(A856,-4,0)+0.001,ERROR.TYPE(0)),IFERROR(IF(OFFSET(A856,-5,0)&gt;0,OFFSET(A856,-5,0)+0.001,ERROR.TYPE(0)),IFERROR(IF(OFFSET(A856,-6,0)&gt;0,OFFSET(A856,-6,0)+0.001,ERROR.TYPE(0)),IFERROR(IF(OFFSET(A856,-7,0)&gt;0,OFFSET(A856,-7,0)+0.001,ERROR.TYPE(0)),IFERROR(IF(OFFSET(A856,-8,0)&gt;0,OFFSET(A856,-8,0)+0.001,ERROR.TYPE(0)),IFERROR(IF(OFFSET(A856,-9,0)&gt;0,OFFSET(A856,-9,0)+0.001,ERROR.TYPE(0)),IFERROR(IF(OFFSET(A856,-10,0)&gt;0,OFFSET(A856,-10,0)+0.001,ERROR.TYPE(0)),ERROR.TYPE(0)))))))))))</f>
        <v>4.3650000000001219</v>
      </c>
      <c r="B856" s="690" t="s">
        <v>754</v>
      </c>
      <c r="C856" s="646">
        <v>4</v>
      </c>
      <c r="D856" s="646" t="s">
        <v>141</v>
      </c>
      <c r="E856" s="649">
        <f ca="1">Elec_Est!E3630</f>
        <v>196.52</v>
      </c>
      <c r="F856" s="1125">
        <f t="shared" ref="F856" ca="1" si="194">IFERROR($C856*E856,E856)</f>
        <v>786.08</v>
      </c>
    </row>
    <row r="857" spans="1:6" s="631" customFormat="1">
      <c r="A857" s="643">
        <f t="shared" ca="1" si="193"/>
        <v>4.3660000000001222</v>
      </c>
      <c r="B857" s="690" t="s">
        <v>755</v>
      </c>
      <c r="C857" s="646">
        <v>2</v>
      </c>
      <c r="D857" s="646" t="s">
        <v>141</v>
      </c>
      <c r="E857" s="649">
        <f ca="1">Elec_Est!E3638</f>
        <v>759.48</v>
      </c>
      <c r="F857" s="1125">
        <f ca="1">IFERROR($C857*E857,E857)</f>
        <v>1518.96</v>
      </c>
    </row>
    <row r="858" spans="1:6" s="631" customFormat="1">
      <c r="A858" s="643">
        <f t="shared" ca="1" si="193"/>
        <v>4.3670000000001226</v>
      </c>
      <c r="B858" s="690" t="s">
        <v>815</v>
      </c>
      <c r="C858" s="646">
        <v>1</v>
      </c>
      <c r="D858" s="646" t="s">
        <v>141</v>
      </c>
      <c r="E858" s="649">
        <f ca="1">Elec_Est!E3646</f>
        <v>757.77</v>
      </c>
      <c r="F858" s="1125">
        <f ca="1">IFERROR($C858*E858,E858)</f>
        <v>757.77</v>
      </c>
    </row>
    <row r="859" spans="1:6" s="631" customFormat="1">
      <c r="A859" s="643">
        <f t="shared" ca="1" si="193"/>
        <v>4.3680000000001229</v>
      </c>
      <c r="B859" s="690" t="s">
        <v>756</v>
      </c>
      <c r="C859" s="646">
        <v>1</v>
      </c>
      <c r="D859" s="646" t="s">
        <v>141</v>
      </c>
      <c r="E859" s="649">
        <f ca="1">Elec_Est!E3654</f>
        <v>208.63</v>
      </c>
      <c r="F859" s="1125">
        <f t="shared" ref="F859:F866" ca="1" si="195">IFERROR($C859*E859,E859)</f>
        <v>208.63</v>
      </c>
    </row>
    <row r="860" spans="1:6" s="631" customFormat="1">
      <c r="A860" s="643">
        <f t="shared" ca="1" si="193"/>
        <v>4.3690000000001232</v>
      </c>
      <c r="B860" s="690" t="s">
        <v>757</v>
      </c>
      <c r="C860" s="646">
        <v>6</v>
      </c>
      <c r="D860" s="646" t="s">
        <v>141</v>
      </c>
      <c r="E860" s="649">
        <f ca="1">Elec_Est!E3661</f>
        <v>208.63</v>
      </c>
      <c r="F860" s="1125">
        <f t="shared" ca="1" si="195"/>
        <v>1251.78</v>
      </c>
    </row>
    <row r="861" spans="1:6" s="631" customFormat="1">
      <c r="A861" s="643">
        <f t="shared" ca="1" si="193"/>
        <v>4.3700000000001236</v>
      </c>
      <c r="B861" s="651" t="s">
        <v>792</v>
      </c>
      <c r="C861" s="646">
        <v>2</v>
      </c>
      <c r="D861" s="646" t="s">
        <v>141</v>
      </c>
      <c r="E861" s="649">
        <f ca="1">Elec_Est!E3668</f>
        <v>553.54</v>
      </c>
      <c r="F861" s="1125">
        <f t="shared" ca="1" si="195"/>
        <v>1107.08</v>
      </c>
    </row>
    <row r="862" spans="1:6" s="631" customFormat="1">
      <c r="A862" s="643">
        <f t="shared" ca="1" si="193"/>
        <v>4.3710000000001239</v>
      </c>
      <c r="B862" s="651" t="s">
        <v>816</v>
      </c>
      <c r="C862" s="646">
        <v>2</v>
      </c>
      <c r="D862" s="646" t="s">
        <v>141</v>
      </c>
      <c r="E862" s="649">
        <f ca="1">Elec_Est!E3675</f>
        <v>1573.71</v>
      </c>
      <c r="F862" s="1125">
        <f t="shared" ca="1" si="195"/>
        <v>3147.42</v>
      </c>
    </row>
    <row r="863" spans="1:6" s="631" customFormat="1">
      <c r="A863" s="643">
        <f t="shared" ca="1" si="193"/>
        <v>4.3720000000001242</v>
      </c>
      <c r="B863" s="651" t="s">
        <v>817</v>
      </c>
      <c r="C863" s="646">
        <v>1</v>
      </c>
      <c r="D863" s="646" t="s">
        <v>141</v>
      </c>
      <c r="E863" s="649">
        <f ca="1">Elec_Est!E3682</f>
        <v>474.46</v>
      </c>
      <c r="F863" s="1125">
        <f t="shared" ca="1" si="195"/>
        <v>474.46</v>
      </c>
    </row>
    <row r="864" spans="1:6" s="631" customFormat="1">
      <c r="A864" s="643">
        <f t="shared" ca="1" si="193"/>
        <v>4.3730000000001246</v>
      </c>
      <c r="B864" s="651" t="s">
        <v>818</v>
      </c>
      <c r="C864" s="646">
        <v>1</v>
      </c>
      <c r="D864" s="646" t="s">
        <v>141</v>
      </c>
      <c r="E864" s="649">
        <f ca="1">Elec_Est!E3689</f>
        <v>553.54</v>
      </c>
      <c r="F864" s="1125">
        <f t="shared" ca="1" si="195"/>
        <v>553.54</v>
      </c>
    </row>
    <row r="865" spans="1:6" s="631" customFormat="1">
      <c r="A865" s="643">
        <f t="shared" ca="1" si="193"/>
        <v>4.3740000000001249</v>
      </c>
      <c r="B865" s="651" t="s">
        <v>819</v>
      </c>
      <c r="C865" s="646">
        <v>2</v>
      </c>
      <c r="D865" s="646" t="s">
        <v>141</v>
      </c>
      <c r="E865" s="649">
        <f ca="1">Elec_Est!E3696</f>
        <v>899.26</v>
      </c>
      <c r="F865" s="1125">
        <f t="shared" ca="1" si="195"/>
        <v>1798.52</v>
      </c>
    </row>
    <row r="866" spans="1:6" s="631" customFormat="1" ht="27.6">
      <c r="A866" s="643">
        <f t="shared" ca="1" si="193"/>
        <v>4.3750000000001252</v>
      </c>
      <c r="B866" s="648" t="s">
        <v>776</v>
      </c>
      <c r="C866" s="646">
        <v>8</v>
      </c>
      <c r="D866" s="646" t="s">
        <v>141</v>
      </c>
      <c r="E866" s="649" t="str">
        <f>Elec_Est!Q3703</f>
        <v>included</v>
      </c>
      <c r="F866" s="1125" t="str">
        <f t="shared" si="195"/>
        <v>included</v>
      </c>
    </row>
    <row r="867" spans="1:6" s="631" customFormat="1">
      <c r="A867" s="643"/>
      <c r="B867" s="687" t="s">
        <v>778</v>
      </c>
      <c r="C867" s="645"/>
      <c r="D867" s="646"/>
      <c r="E867" s="647"/>
      <c r="F867" s="1125"/>
    </row>
    <row r="868" spans="1:6" s="631" customFormat="1">
      <c r="A868" s="643">
        <f t="shared" ref="A868:A870" ca="1" si="196">IFERROR(IF(OFFSET(A868,-1,0)&gt;0,OFFSET(A868,-1,0)+0.001,ERROR.TYPE(0)),IFERROR(IF(OFFSET(A868,-2,0)&gt;0,OFFSET(A868,-2,0)+0.001,ERROR.TYPE(0)),IFERROR(IF(OFFSET(A868,-3,0)&gt;0,OFFSET(A868,-3,0)+0.001,ERROR.TYPE(0)),IFERROR(IF(OFFSET(A868,-4,0)&gt;0,OFFSET(A868,-4,0)+0.001,ERROR.TYPE(0)),IFERROR(IF(OFFSET(A868,-5,0)&gt;0,OFFSET(A868,-5,0)+0.001,ERROR.TYPE(0)),IFERROR(IF(OFFSET(A868,-6,0)&gt;0,OFFSET(A868,-6,0)+0.001,ERROR.TYPE(0)),IFERROR(IF(OFFSET(A868,-7,0)&gt;0,OFFSET(A868,-7,0)+0.001,ERROR.TYPE(0)),IFERROR(IF(OFFSET(A868,-8,0)&gt;0,OFFSET(A868,-8,0)+0.001,ERROR.TYPE(0)),IFERROR(IF(OFFSET(A868,-9,0)&gt;0,OFFSET(A868,-9,0)+0.001,ERROR.TYPE(0)),IFERROR(IF(OFFSET(A868,-10,0)&gt;0,OFFSET(A868,-10,0)+0.001,ERROR.TYPE(0)),ERROR.TYPE(0)))))))))))</f>
        <v>4.3760000000001256</v>
      </c>
      <c r="B868" s="690" t="s">
        <v>779</v>
      </c>
      <c r="C868" s="646">
        <v>1</v>
      </c>
      <c r="D868" s="646" t="s">
        <v>141</v>
      </c>
      <c r="E868" s="649">
        <f ca="1">Elec_Est!E3713</f>
        <v>48.45</v>
      </c>
      <c r="F868" s="1125">
        <f t="shared" ref="F868" ca="1" si="197">IFERROR($C868*E868,E868)</f>
        <v>48.45</v>
      </c>
    </row>
    <row r="869" spans="1:6" s="631" customFormat="1">
      <c r="A869" s="643">
        <f t="shared" ca="1" si="196"/>
        <v>4.3770000000001259</v>
      </c>
      <c r="B869" s="690" t="s">
        <v>781</v>
      </c>
      <c r="C869" s="646">
        <v>6</v>
      </c>
      <c r="D869" s="646" t="s">
        <v>141</v>
      </c>
      <c r="E869" s="649">
        <f ca="1">Elec_Est!E3720</f>
        <v>47.62</v>
      </c>
      <c r="F869" s="1125">
        <f ca="1">IFERROR($C869*E869,E869)</f>
        <v>285.71999999999997</v>
      </c>
    </row>
    <row r="870" spans="1:6" s="631" customFormat="1">
      <c r="A870" s="643">
        <f t="shared" ca="1" si="196"/>
        <v>4.3780000000001262</v>
      </c>
      <c r="B870" s="690" t="s">
        <v>820</v>
      </c>
      <c r="C870" s="646">
        <v>2</v>
      </c>
      <c r="D870" s="646" t="s">
        <v>141</v>
      </c>
      <c r="E870" s="649">
        <f>Elec_Est!E3727</f>
        <v>110.9</v>
      </c>
      <c r="F870" s="1125">
        <f>IFERROR($C870*E870,E870)</f>
        <v>221.8</v>
      </c>
    </row>
    <row r="871" spans="1:6" s="631" customFormat="1" ht="55.2">
      <c r="A871" s="643"/>
      <c r="B871" s="687" t="s">
        <v>752</v>
      </c>
      <c r="C871" s="645"/>
      <c r="D871" s="646"/>
      <c r="E871" s="647"/>
      <c r="F871" s="1125"/>
    </row>
    <row r="872" spans="1:6" s="631" customFormat="1">
      <c r="A872" s="643"/>
      <c r="B872" s="689" t="s">
        <v>821</v>
      </c>
      <c r="C872" s="645"/>
      <c r="D872" s="646"/>
      <c r="E872" s="647"/>
      <c r="F872" s="1125"/>
    </row>
    <row r="873" spans="1:6" s="631" customFormat="1">
      <c r="A873" s="643">
        <f t="shared" ref="A873:A881" ca="1" si="198">IFERROR(IF(OFFSET(A873,-1,0)&gt;0,OFFSET(A873,-1,0)+0.001,ERROR.TYPE(0)),IFERROR(IF(OFFSET(A873,-2,0)&gt;0,OFFSET(A873,-2,0)+0.001,ERROR.TYPE(0)),IFERROR(IF(OFFSET(A873,-3,0)&gt;0,OFFSET(A873,-3,0)+0.001,ERROR.TYPE(0)),IFERROR(IF(OFFSET(A873,-4,0)&gt;0,OFFSET(A873,-4,0)+0.001,ERROR.TYPE(0)),IFERROR(IF(OFFSET(A873,-5,0)&gt;0,OFFSET(A873,-5,0)+0.001,ERROR.TYPE(0)),IFERROR(IF(OFFSET(A873,-6,0)&gt;0,OFFSET(A873,-6,0)+0.001,ERROR.TYPE(0)),IFERROR(IF(OFFSET(A873,-7,0)&gt;0,OFFSET(A873,-7,0)+0.001,ERROR.TYPE(0)),IFERROR(IF(OFFSET(A873,-8,0)&gt;0,OFFSET(A873,-8,0)+0.001,ERROR.TYPE(0)),IFERROR(IF(OFFSET(A873,-9,0)&gt;0,OFFSET(A873,-9,0)+0.001,ERROR.TYPE(0)),IFERROR(IF(OFFSET(A873,-10,0)&gt;0,OFFSET(A873,-10,0)+0.001,ERROR.TYPE(0)),ERROR.TYPE(0)))))))))))</f>
        <v>4.3790000000001266</v>
      </c>
      <c r="B873" s="690" t="s">
        <v>754</v>
      </c>
      <c r="C873" s="646">
        <v>2</v>
      </c>
      <c r="D873" s="646" t="s">
        <v>141</v>
      </c>
      <c r="E873" s="649">
        <f ca="1">Elec_Est!E3744</f>
        <v>196.52</v>
      </c>
      <c r="F873" s="1125">
        <f t="shared" ref="F873" ca="1" si="199">IFERROR($C873*E873,E873)</f>
        <v>393.04</v>
      </c>
    </row>
    <row r="874" spans="1:6" s="631" customFormat="1">
      <c r="A874" s="643">
        <f t="shared" ca="1" si="198"/>
        <v>4.3800000000001269</v>
      </c>
      <c r="B874" s="690" t="s">
        <v>724</v>
      </c>
      <c r="C874" s="646">
        <v>1</v>
      </c>
      <c r="D874" s="646" t="s">
        <v>141</v>
      </c>
      <c r="E874" s="649">
        <f ca="1">Elec_Est!E3752</f>
        <v>195.54</v>
      </c>
      <c r="F874" s="1125">
        <f ca="1">IFERROR($C874*E874,E874)</f>
        <v>195.54</v>
      </c>
    </row>
    <row r="875" spans="1:6" s="631" customFormat="1">
      <c r="A875" s="643">
        <f t="shared" ca="1" si="198"/>
        <v>4.3810000000001272</v>
      </c>
      <c r="B875" s="690" t="s">
        <v>755</v>
      </c>
      <c r="C875" s="646">
        <v>1</v>
      </c>
      <c r="D875" s="646" t="s">
        <v>141</v>
      </c>
      <c r="E875" s="649">
        <f ca="1">Elec_Est!E3760</f>
        <v>759.48</v>
      </c>
      <c r="F875" s="1125">
        <f ca="1">IFERROR($C875*E875,E875)</f>
        <v>759.48</v>
      </c>
    </row>
    <row r="876" spans="1:6" s="631" customFormat="1">
      <c r="A876" s="643">
        <f t="shared" ca="1" si="198"/>
        <v>4.3820000000001276</v>
      </c>
      <c r="B876" s="690" t="s">
        <v>756</v>
      </c>
      <c r="C876" s="646">
        <v>1</v>
      </c>
      <c r="D876" s="646" t="s">
        <v>141</v>
      </c>
      <c r="E876" s="649">
        <f ca="1">Elec_Est!E3768</f>
        <v>208.63</v>
      </c>
      <c r="F876" s="1125">
        <f t="shared" ref="F876:F881" ca="1" si="200">IFERROR($C876*E876,E876)</f>
        <v>208.63</v>
      </c>
    </row>
    <row r="877" spans="1:6" s="631" customFormat="1">
      <c r="A877" s="643">
        <f t="shared" ca="1" si="198"/>
        <v>4.3830000000001279</v>
      </c>
      <c r="B877" s="651" t="s">
        <v>758</v>
      </c>
      <c r="C877" s="646">
        <v>1</v>
      </c>
      <c r="D877" s="646" t="s">
        <v>141</v>
      </c>
      <c r="E877" s="649">
        <f ca="1">Elec_Est!E3775</f>
        <v>158.15</v>
      </c>
      <c r="F877" s="1125">
        <f t="shared" ca="1" si="200"/>
        <v>158.15</v>
      </c>
    </row>
    <row r="878" spans="1:6" s="631" customFormat="1">
      <c r="A878" s="643">
        <f t="shared" ca="1" si="198"/>
        <v>4.3840000000001282</v>
      </c>
      <c r="B878" s="651" t="s">
        <v>762</v>
      </c>
      <c r="C878" s="646">
        <v>2</v>
      </c>
      <c r="D878" s="646" t="s">
        <v>141</v>
      </c>
      <c r="E878" s="649">
        <f ca="1">Elec_Est!E3782</f>
        <v>474.46</v>
      </c>
      <c r="F878" s="1125">
        <f t="shared" ca="1" si="200"/>
        <v>948.92</v>
      </c>
    </row>
    <row r="879" spans="1:6" s="631" customFormat="1">
      <c r="A879" s="643">
        <f t="shared" ca="1" si="198"/>
        <v>4.3850000000001286</v>
      </c>
      <c r="B879" s="651" t="s">
        <v>794</v>
      </c>
      <c r="C879" s="646">
        <v>1</v>
      </c>
      <c r="D879" s="646" t="s">
        <v>141</v>
      </c>
      <c r="E879" s="649">
        <f ca="1">Elec_Est!E3789</f>
        <v>237.23</v>
      </c>
      <c r="F879" s="1125">
        <f t="shared" ca="1" si="200"/>
        <v>237.23</v>
      </c>
    </row>
    <row r="880" spans="1:6" s="631" customFormat="1" ht="27.6">
      <c r="A880" s="643">
        <f t="shared" ca="1" si="198"/>
        <v>4.3860000000001289</v>
      </c>
      <c r="B880" s="648" t="s">
        <v>776</v>
      </c>
      <c r="C880" s="646">
        <v>6</v>
      </c>
      <c r="D880" s="646" t="s">
        <v>141</v>
      </c>
      <c r="E880" s="649" t="str">
        <f>Elec_Est!Q3796</f>
        <v>Included</v>
      </c>
      <c r="F880" s="1125" t="str">
        <f t="shared" si="200"/>
        <v>Included</v>
      </c>
    </row>
    <row r="881" spans="1:6" s="631" customFormat="1">
      <c r="A881" s="643">
        <f t="shared" ca="1" si="198"/>
        <v>4.3870000000001292</v>
      </c>
      <c r="B881" s="648" t="s">
        <v>777</v>
      </c>
      <c r="C881" s="646">
        <v>3</v>
      </c>
      <c r="D881" s="646" t="s">
        <v>141</v>
      </c>
      <c r="E881" s="649">
        <f ca="1">Elec_Est!E3802</f>
        <v>151.94</v>
      </c>
      <c r="F881" s="1125">
        <f t="shared" ca="1" si="200"/>
        <v>455.82</v>
      </c>
    </row>
    <row r="882" spans="1:6" s="631" customFormat="1">
      <c r="A882" s="643"/>
      <c r="B882" s="687" t="s">
        <v>778</v>
      </c>
      <c r="C882" s="645"/>
      <c r="D882" s="646"/>
      <c r="E882" s="647"/>
      <c r="F882" s="1125"/>
    </row>
    <row r="883" spans="1:6" s="631" customFormat="1">
      <c r="A883" s="643">
        <f t="shared" ref="A883:A885" ca="1" si="201">IFERROR(IF(OFFSET(A883,-1,0)&gt;0,OFFSET(A883,-1,0)+0.001,ERROR.TYPE(0)),IFERROR(IF(OFFSET(A883,-2,0)&gt;0,OFFSET(A883,-2,0)+0.001,ERROR.TYPE(0)),IFERROR(IF(OFFSET(A883,-3,0)&gt;0,OFFSET(A883,-3,0)+0.001,ERROR.TYPE(0)),IFERROR(IF(OFFSET(A883,-4,0)&gt;0,OFFSET(A883,-4,0)+0.001,ERROR.TYPE(0)),IFERROR(IF(OFFSET(A883,-5,0)&gt;0,OFFSET(A883,-5,0)+0.001,ERROR.TYPE(0)),IFERROR(IF(OFFSET(A883,-6,0)&gt;0,OFFSET(A883,-6,0)+0.001,ERROR.TYPE(0)),IFERROR(IF(OFFSET(A883,-7,0)&gt;0,OFFSET(A883,-7,0)+0.001,ERROR.TYPE(0)),IFERROR(IF(OFFSET(A883,-8,0)&gt;0,OFFSET(A883,-8,0)+0.001,ERROR.TYPE(0)),IFERROR(IF(OFFSET(A883,-9,0)&gt;0,OFFSET(A883,-9,0)+0.001,ERROR.TYPE(0)),IFERROR(IF(OFFSET(A883,-10,0)&gt;0,OFFSET(A883,-10,0)+0.001,ERROR.TYPE(0)),ERROR.TYPE(0)))))))))))</f>
        <v>4.3880000000001296</v>
      </c>
      <c r="B883" s="690" t="s">
        <v>779</v>
      </c>
      <c r="C883" s="646">
        <v>1</v>
      </c>
      <c r="D883" s="646" t="s">
        <v>141</v>
      </c>
      <c r="E883" s="649">
        <f ca="1">Elec_Est!E3813</f>
        <v>48.45</v>
      </c>
      <c r="F883" s="1125">
        <f t="shared" ref="F883" ca="1" si="202">IFERROR($C883*E883,E883)</f>
        <v>48.45</v>
      </c>
    </row>
    <row r="884" spans="1:6" s="696" customFormat="1" ht="96.6">
      <c r="A884" s="643">
        <f t="shared" ca="1" si="201"/>
        <v>4.3890000000001299</v>
      </c>
      <c r="B884" s="690" t="s">
        <v>822</v>
      </c>
      <c r="C884" s="646">
        <v>1</v>
      </c>
      <c r="D884" s="646" t="s">
        <v>299</v>
      </c>
      <c r="E884" s="649">
        <f>Elec_Est!E3820</f>
        <v>1116.0999999999999</v>
      </c>
      <c r="F884" s="1125">
        <f>IFERROR($C884*E884,E884)</f>
        <v>1116.0999999999999</v>
      </c>
    </row>
    <row r="885" spans="1:6" s="631" customFormat="1">
      <c r="A885" s="643">
        <f t="shared" ca="1" si="201"/>
        <v>4.3900000000001302</v>
      </c>
      <c r="B885" s="690" t="s">
        <v>783</v>
      </c>
      <c r="C885" s="646">
        <v>1</v>
      </c>
      <c r="D885" s="646" t="s">
        <v>141</v>
      </c>
      <c r="E885" s="649">
        <f>Elec_Est!E3859</f>
        <v>30.09</v>
      </c>
      <c r="F885" s="1125">
        <f>IFERROR($C885*E885,E885)</f>
        <v>30.09</v>
      </c>
    </row>
    <row r="886" spans="1:6" ht="55.2">
      <c r="A886" s="691"/>
      <c r="B886" s="687" t="s">
        <v>752</v>
      </c>
      <c r="C886" s="692"/>
      <c r="D886" s="693"/>
      <c r="E886" s="694"/>
      <c r="F886" s="1256"/>
    </row>
    <row r="887" spans="1:6" s="631" customFormat="1">
      <c r="A887" s="643"/>
      <c r="B887" s="689" t="s">
        <v>823</v>
      </c>
      <c r="C887" s="645"/>
      <c r="D887" s="646"/>
      <c r="E887" s="647"/>
      <c r="F887" s="1125"/>
    </row>
    <row r="888" spans="1:6" s="631" customFormat="1">
      <c r="A888" s="643">
        <f t="shared" ref="A888:A892" ca="1" si="203">IFERROR(IF(OFFSET(A888,-1,0)&gt;0,OFFSET(A888,-1,0)+0.001,ERROR.TYPE(0)),IFERROR(IF(OFFSET(A888,-2,0)&gt;0,OFFSET(A888,-2,0)+0.001,ERROR.TYPE(0)),IFERROR(IF(OFFSET(A888,-3,0)&gt;0,OFFSET(A888,-3,0)+0.001,ERROR.TYPE(0)),IFERROR(IF(OFFSET(A888,-4,0)&gt;0,OFFSET(A888,-4,0)+0.001,ERROR.TYPE(0)),IFERROR(IF(OFFSET(A888,-5,0)&gt;0,OFFSET(A888,-5,0)+0.001,ERROR.TYPE(0)),IFERROR(IF(OFFSET(A888,-6,0)&gt;0,OFFSET(A888,-6,0)+0.001,ERROR.TYPE(0)),IFERROR(IF(OFFSET(A888,-7,0)&gt;0,OFFSET(A888,-7,0)+0.001,ERROR.TYPE(0)),IFERROR(IF(OFFSET(A888,-8,0)&gt;0,OFFSET(A888,-8,0)+0.001,ERROR.TYPE(0)),IFERROR(IF(OFFSET(A888,-9,0)&gt;0,OFFSET(A888,-9,0)+0.001,ERROR.TYPE(0)),IFERROR(IF(OFFSET(A888,-10,0)&gt;0,OFFSET(A888,-10,0)+0.001,ERROR.TYPE(0)),ERROR.TYPE(0)))))))))))</f>
        <v>4.3910000000001306</v>
      </c>
      <c r="B888" s="690" t="s">
        <v>757</v>
      </c>
      <c r="C888" s="646">
        <v>4</v>
      </c>
      <c r="D888" s="646" t="s">
        <v>141</v>
      </c>
      <c r="E888" s="649">
        <f ca="1">Elec_Est!E3875</f>
        <v>208.63</v>
      </c>
      <c r="F888" s="1125">
        <f t="shared" ref="F888:F892" ca="1" si="204">IFERROR($C888*E888,E888)</f>
        <v>834.52</v>
      </c>
    </row>
    <row r="889" spans="1:6" s="631" customFormat="1">
      <c r="A889" s="643">
        <f t="shared" ca="1" si="203"/>
        <v>4.3920000000001309</v>
      </c>
      <c r="B889" s="651" t="s">
        <v>824</v>
      </c>
      <c r="C889" s="646">
        <v>3</v>
      </c>
      <c r="D889" s="646" t="s">
        <v>141</v>
      </c>
      <c r="E889" s="649">
        <f ca="1">Elec_Est!E3882</f>
        <v>692.22</v>
      </c>
      <c r="F889" s="1125">
        <f t="shared" ca="1" si="204"/>
        <v>2076.66</v>
      </c>
    </row>
    <row r="890" spans="1:6" s="631" customFormat="1">
      <c r="A890" s="643">
        <f t="shared" ca="1" si="203"/>
        <v>4.3930000000001312</v>
      </c>
      <c r="B890" s="651" t="s">
        <v>825</v>
      </c>
      <c r="C890" s="646">
        <v>1</v>
      </c>
      <c r="D890" s="646" t="s">
        <v>141</v>
      </c>
      <c r="E890" s="649">
        <f ca="1">Elec_Est!E3890</f>
        <v>729.47</v>
      </c>
      <c r="F890" s="1125">
        <f t="shared" ca="1" si="204"/>
        <v>729.47</v>
      </c>
    </row>
    <row r="891" spans="1:6" s="631" customFormat="1">
      <c r="A891" s="643">
        <f t="shared" ca="1" si="203"/>
        <v>4.3940000000001316</v>
      </c>
      <c r="B891" s="648" t="s">
        <v>777</v>
      </c>
      <c r="C891" s="646">
        <v>1</v>
      </c>
      <c r="D891" s="646" t="s">
        <v>141</v>
      </c>
      <c r="E891" s="649">
        <f ca="1">Elec_Est!E3898</f>
        <v>151.94</v>
      </c>
      <c r="F891" s="1125">
        <f t="shared" ca="1" si="204"/>
        <v>151.94</v>
      </c>
    </row>
    <row r="892" spans="1:6" s="631" customFormat="1">
      <c r="A892" s="643">
        <f t="shared" ca="1" si="203"/>
        <v>4.3950000000001319</v>
      </c>
      <c r="B892" s="648" t="s">
        <v>826</v>
      </c>
      <c r="C892" s="646">
        <v>1</v>
      </c>
      <c r="D892" s="646" t="s">
        <v>141</v>
      </c>
      <c r="E892" s="649">
        <f ca="1">Elec_Est!E3905</f>
        <v>151.94</v>
      </c>
      <c r="F892" s="1125">
        <f t="shared" ca="1" si="204"/>
        <v>151.94</v>
      </c>
    </row>
    <row r="893" spans="1:6" s="631" customFormat="1">
      <c r="A893" s="643"/>
      <c r="B893" s="687" t="s">
        <v>778</v>
      </c>
      <c r="C893" s="645"/>
      <c r="D893" s="646"/>
      <c r="E893" s="647"/>
      <c r="F893" s="1125"/>
    </row>
    <row r="894" spans="1:6" s="631" customFormat="1">
      <c r="A894" s="643">
        <f t="shared" ref="A894" ca="1" si="205">IFERROR(IF(OFFSET(A894,-1,0)&gt;0,OFFSET(A894,-1,0)+0.001,ERROR.TYPE(0)),IFERROR(IF(OFFSET(A894,-2,0)&gt;0,OFFSET(A894,-2,0)+0.001,ERROR.TYPE(0)),IFERROR(IF(OFFSET(A894,-3,0)&gt;0,OFFSET(A894,-3,0)+0.001,ERROR.TYPE(0)),IFERROR(IF(OFFSET(A894,-4,0)&gt;0,OFFSET(A894,-4,0)+0.001,ERROR.TYPE(0)),IFERROR(IF(OFFSET(A894,-5,0)&gt;0,OFFSET(A894,-5,0)+0.001,ERROR.TYPE(0)),IFERROR(IF(OFFSET(A894,-6,0)&gt;0,OFFSET(A894,-6,0)+0.001,ERROR.TYPE(0)),IFERROR(IF(OFFSET(A894,-7,0)&gt;0,OFFSET(A894,-7,0)+0.001,ERROR.TYPE(0)),IFERROR(IF(OFFSET(A894,-8,0)&gt;0,OFFSET(A894,-8,0)+0.001,ERROR.TYPE(0)),IFERROR(IF(OFFSET(A894,-9,0)&gt;0,OFFSET(A894,-9,0)+0.001,ERROR.TYPE(0)),IFERROR(IF(OFFSET(A894,-10,0)&gt;0,OFFSET(A894,-10,0)+0.001,ERROR.TYPE(0)),ERROR.TYPE(0)))))))))))</f>
        <v>4.3960000000001322</v>
      </c>
      <c r="B894" s="690" t="s">
        <v>781</v>
      </c>
      <c r="C894" s="646">
        <v>4</v>
      </c>
      <c r="D894" s="646" t="s">
        <v>141</v>
      </c>
      <c r="E894" s="649">
        <f ca="1">Elec_Est!E3916</f>
        <v>47.62</v>
      </c>
      <c r="F894" s="1125">
        <f ca="1">IFERROR($C894*E894,E894)</f>
        <v>190.48</v>
      </c>
    </row>
    <row r="895" spans="1:6" s="631" customFormat="1">
      <c r="A895" s="638"/>
      <c r="B895" s="639" t="s">
        <v>827</v>
      </c>
      <c r="C895" s="1456" t="s">
        <v>305</v>
      </c>
      <c r="D895" s="1457"/>
      <c r="E895" s="652"/>
      <c r="F895" s="1239">
        <f ca="1">SUM(F854:F894)</f>
        <v>20846.669999999998</v>
      </c>
    </row>
    <row r="896" spans="1:6" s="631" customFormat="1">
      <c r="A896" s="660"/>
      <c r="B896" s="629"/>
      <c r="C896" s="661"/>
      <c r="D896" s="654"/>
      <c r="E896" s="662"/>
      <c r="F896" s="1127"/>
    </row>
    <row r="897" spans="1:6" s="631" customFormat="1">
      <c r="A897" s="660"/>
      <c r="B897" s="629"/>
      <c r="C897" s="661"/>
      <c r="D897" s="654"/>
      <c r="E897" s="662"/>
      <c r="F897" s="1127"/>
    </row>
    <row r="898" spans="1:6" s="631" customFormat="1" ht="27.6">
      <c r="A898" s="634" t="s">
        <v>143</v>
      </c>
      <c r="B898" s="635" t="s">
        <v>198</v>
      </c>
      <c r="C898" s="636" t="s">
        <v>199</v>
      </c>
      <c r="D898" s="636" t="s">
        <v>200</v>
      </c>
      <c r="E898" s="637" t="s">
        <v>294</v>
      </c>
      <c r="F898" s="1122" t="s">
        <v>295</v>
      </c>
    </row>
    <row r="899" spans="1:6" s="631" customFormat="1" ht="55.2">
      <c r="A899" s="643"/>
      <c r="B899" s="687" t="s">
        <v>752</v>
      </c>
      <c r="C899" s="645"/>
      <c r="D899" s="646"/>
      <c r="E899" s="647"/>
      <c r="F899" s="1125"/>
    </row>
    <row r="900" spans="1:6" s="631" customFormat="1">
      <c r="A900" s="643"/>
      <c r="B900" s="689" t="s">
        <v>828</v>
      </c>
      <c r="C900" s="645"/>
      <c r="D900" s="646"/>
      <c r="E900" s="647"/>
      <c r="F900" s="1125"/>
    </row>
    <row r="901" spans="1:6" s="631" customFormat="1">
      <c r="A901" s="643">
        <f t="shared" ref="A901:A913" ca="1" si="206">IFERROR(IF(OFFSET(A901,-1,0)&gt;0,OFFSET(A901,-1,0)+0.001,ERROR.TYPE(0)),IFERROR(IF(OFFSET(A901,-2,0)&gt;0,OFFSET(A901,-2,0)+0.001,ERROR.TYPE(0)),IFERROR(IF(OFFSET(A901,-3,0)&gt;0,OFFSET(A901,-3,0)+0.001,ERROR.TYPE(0)),IFERROR(IF(OFFSET(A901,-4,0)&gt;0,OFFSET(A901,-4,0)+0.001,ERROR.TYPE(0)),IFERROR(IF(OFFSET(A901,-5,0)&gt;0,OFFSET(A901,-5,0)+0.001,ERROR.TYPE(0)),IFERROR(IF(OFFSET(A901,-6,0)&gt;0,OFFSET(A901,-6,0)+0.001,ERROR.TYPE(0)),IFERROR(IF(OFFSET(A901,-7,0)&gt;0,OFFSET(A901,-7,0)+0.001,ERROR.TYPE(0)),IFERROR(IF(OFFSET(A901,-8,0)&gt;0,OFFSET(A901,-8,0)+0.001,ERROR.TYPE(0)),IFERROR(IF(OFFSET(A901,-9,0)&gt;0,OFFSET(A901,-9,0)+0.001,ERROR.TYPE(0)),IFERROR(IF(OFFSET(A901,-10,0)&gt;0,OFFSET(A901,-10,0)+0.001,ERROR.TYPE(0)),ERROR.TYPE(0)))))))))))</f>
        <v>4.3970000000001326</v>
      </c>
      <c r="B901" s="690" t="s">
        <v>754</v>
      </c>
      <c r="C901" s="646">
        <v>4</v>
      </c>
      <c r="D901" s="646" t="s">
        <v>141</v>
      </c>
      <c r="E901" s="649">
        <f ca="1">Elec_Est!E3937</f>
        <v>196.52</v>
      </c>
      <c r="F901" s="1125">
        <f t="shared" ref="F901" ca="1" si="207">IFERROR($C901*E901,E901)</f>
        <v>786.08</v>
      </c>
    </row>
    <row r="902" spans="1:6" s="631" customFormat="1">
      <c r="A902" s="643">
        <f t="shared" ca="1" si="206"/>
        <v>4.3980000000001329</v>
      </c>
      <c r="B902" s="690" t="s">
        <v>755</v>
      </c>
      <c r="C902" s="646">
        <v>2</v>
      </c>
      <c r="D902" s="646" t="s">
        <v>141</v>
      </c>
      <c r="E902" s="649">
        <f ca="1">Elec_Est!E3945</f>
        <v>759.48</v>
      </c>
      <c r="F902" s="1125">
        <f ca="1">IFERROR($C902*E902,E902)</f>
        <v>1518.96</v>
      </c>
    </row>
    <row r="903" spans="1:6" s="631" customFormat="1">
      <c r="A903" s="643">
        <f t="shared" ca="1" si="206"/>
        <v>4.3990000000001332</v>
      </c>
      <c r="B903" s="690" t="s">
        <v>757</v>
      </c>
      <c r="C903" s="646">
        <v>9</v>
      </c>
      <c r="D903" s="646" t="s">
        <v>141</v>
      </c>
      <c r="E903" s="649">
        <f ca="1">Elec_Est!E3953</f>
        <v>208.63</v>
      </c>
      <c r="F903" s="1125">
        <f t="shared" ref="F903:F913" ca="1" si="208">IFERROR($C903*E903,E903)</f>
        <v>1877.67</v>
      </c>
    </row>
    <row r="904" spans="1:6" s="631" customFormat="1">
      <c r="A904" s="643">
        <f t="shared" ca="1" si="206"/>
        <v>4.4000000000001336</v>
      </c>
      <c r="B904" s="651" t="s">
        <v>758</v>
      </c>
      <c r="C904" s="646">
        <v>1</v>
      </c>
      <c r="D904" s="646" t="s">
        <v>141</v>
      </c>
      <c r="E904" s="649">
        <f ca="1">Elec_Est!E3960</f>
        <v>220.46</v>
      </c>
      <c r="F904" s="1125">
        <f t="shared" ca="1" si="208"/>
        <v>220.46</v>
      </c>
    </row>
    <row r="905" spans="1:6" s="631" customFormat="1">
      <c r="A905" s="643">
        <f t="shared" ca="1" si="206"/>
        <v>4.4010000000001339</v>
      </c>
      <c r="B905" s="651" t="s">
        <v>829</v>
      </c>
      <c r="C905" s="646">
        <v>1</v>
      </c>
      <c r="D905" s="646" t="s">
        <v>141</v>
      </c>
      <c r="E905" s="649">
        <f ca="1">Elec_Est!E3969</f>
        <v>692.22</v>
      </c>
      <c r="F905" s="1125">
        <f t="shared" ca="1" si="208"/>
        <v>692.22</v>
      </c>
    </row>
    <row r="906" spans="1:6" s="631" customFormat="1">
      <c r="A906" s="643">
        <f t="shared" ca="1" si="206"/>
        <v>4.4020000000001342</v>
      </c>
      <c r="B906" s="651" t="s">
        <v>830</v>
      </c>
      <c r="C906" s="646">
        <v>3</v>
      </c>
      <c r="D906" s="646" t="s">
        <v>141</v>
      </c>
      <c r="E906" s="649">
        <f ca="1">Elec_Est!E3977</f>
        <v>656.36</v>
      </c>
      <c r="F906" s="1125">
        <f t="shared" ca="1" si="208"/>
        <v>1969.08</v>
      </c>
    </row>
    <row r="907" spans="1:6" s="631" customFormat="1">
      <c r="A907" s="643">
        <f t="shared" ca="1" si="206"/>
        <v>4.4030000000001346</v>
      </c>
      <c r="B907" s="651" t="s">
        <v>831</v>
      </c>
      <c r="C907" s="646">
        <v>1</v>
      </c>
      <c r="D907" s="646" t="s">
        <v>141</v>
      </c>
      <c r="E907" s="649">
        <f ca="1">Elec_Est!E3986</f>
        <v>946.97</v>
      </c>
      <c r="F907" s="1125">
        <f t="shared" ca="1" si="208"/>
        <v>946.97</v>
      </c>
    </row>
    <row r="908" spans="1:6" s="631" customFormat="1">
      <c r="A908" s="643">
        <f t="shared" ca="1" si="206"/>
        <v>4.4040000000001349</v>
      </c>
      <c r="B908" s="651" t="s">
        <v>832</v>
      </c>
      <c r="C908" s="646">
        <v>1</v>
      </c>
      <c r="D908" s="646" t="s">
        <v>141</v>
      </c>
      <c r="E908" s="649">
        <f ca="1">Elec_Est!E3995</f>
        <v>1237.57</v>
      </c>
      <c r="F908" s="1125">
        <f t="shared" ca="1" si="208"/>
        <v>1237.57</v>
      </c>
    </row>
    <row r="909" spans="1:6" s="631" customFormat="1">
      <c r="A909" s="643">
        <f t="shared" ca="1" si="206"/>
        <v>4.4050000000001353</v>
      </c>
      <c r="B909" s="651" t="s">
        <v>833</v>
      </c>
      <c r="C909" s="646">
        <v>1</v>
      </c>
      <c r="D909" s="646" t="s">
        <v>141</v>
      </c>
      <c r="E909" s="649">
        <f ca="1">Elec_Est!E4004</f>
        <v>1673.47</v>
      </c>
      <c r="F909" s="1125">
        <f t="shared" ca="1" si="208"/>
        <v>1673.47</v>
      </c>
    </row>
    <row r="910" spans="1:6" s="631" customFormat="1">
      <c r="A910" s="643">
        <f t="shared" ca="1" si="206"/>
        <v>4.4060000000001356</v>
      </c>
      <c r="B910" s="651" t="s">
        <v>834</v>
      </c>
      <c r="C910" s="646">
        <v>2</v>
      </c>
      <c r="D910" s="646" t="s">
        <v>141</v>
      </c>
      <c r="E910" s="649">
        <f ca="1">Elec_Est!E4013</f>
        <v>1818.77</v>
      </c>
      <c r="F910" s="1125">
        <f t="shared" ca="1" si="208"/>
        <v>3637.54</v>
      </c>
    </row>
    <row r="911" spans="1:6" s="631" customFormat="1">
      <c r="A911" s="643">
        <f t="shared" ca="1" si="206"/>
        <v>4.4070000000001359</v>
      </c>
      <c r="B911" s="651" t="s">
        <v>835</v>
      </c>
      <c r="C911" s="646">
        <v>1</v>
      </c>
      <c r="D911" s="646" t="s">
        <v>141</v>
      </c>
      <c r="E911" s="649">
        <f ca="1">Elec_Est!E4022</f>
        <v>2109.37</v>
      </c>
      <c r="F911" s="1125">
        <f t="shared" ca="1" si="208"/>
        <v>2109.37</v>
      </c>
    </row>
    <row r="912" spans="1:6" s="631" customFormat="1">
      <c r="A912" s="643">
        <f t="shared" ca="1" si="206"/>
        <v>4.4080000000001363</v>
      </c>
      <c r="B912" s="651" t="s">
        <v>836</v>
      </c>
      <c r="C912" s="646">
        <v>4</v>
      </c>
      <c r="D912" s="646" t="s">
        <v>141</v>
      </c>
      <c r="E912" s="649">
        <f ca="1">Elec_Est!E4031</f>
        <v>2399.9699999999998</v>
      </c>
      <c r="F912" s="1125">
        <f t="shared" ca="1" si="208"/>
        <v>9599.8799999999992</v>
      </c>
    </row>
    <row r="913" spans="1:6" s="631" customFormat="1">
      <c r="A913" s="643">
        <f t="shared" ca="1" si="206"/>
        <v>4.4090000000001366</v>
      </c>
      <c r="B913" s="648" t="s">
        <v>777</v>
      </c>
      <c r="C913" s="646">
        <v>41</v>
      </c>
      <c r="D913" s="646" t="s">
        <v>141</v>
      </c>
      <c r="E913" s="649">
        <f ca="1">Elec_Est!E4040</f>
        <v>151.94</v>
      </c>
      <c r="F913" s="1125">
        <f t="shared" ca="1" si="208"/>
        <v>6229.54</v>
      </c>
    </row>
    <row r="914" spans="1:6" s="631" customFormat="1">
      <c r="A914" s="643"/>
      <c r="B914" s="687" t="s">
        <v>778</v>
      </c>
      <c r="C914" s="645"/>
      <c r="D914" s="646"/>
      <c r="E914" s="647"/>
      <c r="F914" s="1125"/>
    </row>
    <row r="915" spans="1:6" s="631" customFormat="1">
      <c r="A915" s="643">
        <f t="shared" ref="A915:A918" ca="1" si="209">IFERROR(IF(OFFSET(A915,-1,0)&gt;0,OFFSET(A915,-1,0)+0.001,ERROR.TYPE(0)),IFERROR(IF(OFFSET(A915,-2,0)&gt;0,OFFSET(A915,-2,0)+0.001,ERROR.TYPE(0)),IFERROR(IF(OFFSET(A915,-3,0)&gt;0,OFFSET(A915,-3,0)+0.001,ERROR.TYPE(0)),IFERROR(IF(OFFSET(A915,-4,0)&gt;0,OFFSET(A915,-4,0)+0.001,ERROR.TYPE(0)),IFERROR(IF(OFFSET(A915,-5,0)&gt;0,OFFSET(A915,-5,0)+0.001,ERROR.TYPE(0)),IFERROR(IF(OFFSET(A915,-6,0)&gt;0,OFFSET(A915,-6,0)+0.001,ERROR.TYPE(0)),IFERROR(IF(OFFSET(A915,-7,0)&gt;0,OFFSET(A915,-7,0)+0.001,ERROR.TYPE(0)),IFERROR(IF(OFFSET(A915,-8,0)&gt;0,OFFSET(A915,-8,0)+0.001,ERROR.TYPE(0)),IFERROR(IF(OFFSET(A915,-9,0)&gt;0,OFFSET(A915,-9,0)+0.001,ERROR.TYPE(0)),IFERROR(IF(OFFSET(A915,-10,0)&gt;0,OFFSET(A915,-10,0)+0.001,ERROR.TYPE(0)),ERROR.TYPE(0)))))))))))</f>
        <v>4.4100000000001369</v>
      </c>
      <c r="B915" s="690" t="s">
        <v>780</v>
      </c>
      <c r="C915" s="646">
        <v>2</v>
      </c>
      <c r="D915" s="646" t="s">
        <v>141</v>
      </c>
      <c r="E915" s="649">
        <f ca="1">Elec_Est!E4051</f>
        <v>47.62</v>
      </c>
      <c r="F915" s="1125">
        <f t="shared" ref="F915:F918" ca="1" si="210">IFERROR($C915*E915,E915)</f>
        <v>95.24</v>
      </c>
    </row>
    <row r="916" spans="1:6" s="631" customFormat="1">
      <c r="A916" s="643">
        <f t="shared" ca="1" si="209"/>
        <v>4.4110000000001373</v>
      </c>
      <c r="B916" s="690" t="s">
        <v>781</v>
      </c>
      <c r="C916" s="646">
        <v>6</v>
      </c>
      <c r="D916" s="646" t="s">
        <v>141</v>
      </c>
      <c r="E916" s="649">
        <f ca="1">Elec_Est!E4058</f>
        <v>47.62</v>
      </c>
      <c r="F916" s="1125">
        <f t="shared" ca="1" si="210"/>
        <v>285.71999999999997</v>
      </c>
    </row>
    <row r="917" spans="1:6" s="631" customFormat="1">
      <c r="A917" s="643">
        <f t="shared" ca="1" si="209"/>
        <v>4.4120000000001376</v>
      </c>
      <c r="B917" s="690" t="s">
        <v>779</v>
      </c>
      <c r="C917" s="646">
        <v>1</v>
      </c>
      <c r="D917" s="646" t="s">
        <v>141</v>
      </c>
      <c r="E917" s="649">
        <f ca="1">Elec_Est!E4065</f>
        <v>48.45</v>
      </c>
      <c r="F917" s="1125">
        <f t="shared" ca="1" si="210"/>
        <v>48.45</v>
      </c>
    </row>
    <row r="918" spans="1:6" s="631" customFormat="1">
      <c r="A918" s="643">
        <f t="shared" ca="1" si="209"/>
        <v>4.4130000000001379</v>
      </c>
      <c r="B918" s="690" t="s">
        <v>837</v>
      </c>
      <c r="C918" s="646">
        <v>1</v>
      </c>
      <c r="D918" s="646" t="s">
        <v>141</v>
      </c>
      <c r="E918" s="649">
        <f>Elec_Est!E4072</f>
        <v>350.59</v>
      </c>
      <c r="F918" s="1125">
        <f t="shared" si="210"/>
        <v>350.59</v>
      </c>
    </row>
    <row r="919" spans="1:6" ht="55.2">
      <c r="A919" s="691"/>
      <c r="B919" s="687" t="s">
        <v>752</v>
      </c>
      <c r="C919" s="692"/>
      <c r="D919" s="693"/>
      <c r="E919" s="694"/>
      <c r="F919" s="1256"/>
    </row>
    <row r="920" spans="1:6" s="631" customFormat="1">
      <c r="A920" s="643"/>
      <c r="B920" s="689" t="s">
        <v>838</v>
      </c>
      <c r="C920" s="645"/>
      <c r="D920" s="646"/>
      <c r="E920" s="647"/>
      <c r="F920" s="1125"/>
    </row>
    <row r="921" spans="1:6" s="631" customFormat="1">
      <c r="A921" s="643">
        <f t="shared" ref="A921:A927" ca="1" si="211">IFERROR(IF(OFFSET(A921,-1,0)&gt;0,OFFSET(A921,-1,0)+0.001,ERROR.TYPE(0)),IFERROR(IF(OFFSET(A921,-2,0)&gt;0,OFFSET(A921,-2,0)+0.001,ERROR.TYPE(0)),IFERROR(IF(OFFSET(A921,-3,0)&gt;0,OFFSET(A921,-3,0)+0.001,ERROR.TYPE(0)),IFERROR(IF(OFFSET(A921,-4,0)&gt;0,OFFSET(A921,-4,0)+0.001,ERROR.TYPE(0)),IFERROR(IF(OFFSET(A921,-5,0)&gt;0,OFFSET(A921,-5,0)+0.001,ERROR.TYPE(0)),IFERROR(IF(OFFSET(A921,-6,0)&gt;0,OFFSET(A921,-6,0)+0.001,ERROR.TYPE(0)),IFERROR(IF(OFFSET(A921,-7,0)&gt;0,OFFSET(A921,-7,0)+0.001,ERROR.TYPE(0)),IFERROR(IF(OFFSET(A921,-8,0)&gt;0,OFFSET(A921,-8,0)+0.001,ERROR.TYPE(0)),IFERROR(IF(OFFSET(A921,-9,0)&gt;0,OFFSET(A921,-9,0)+0.001,ERROR.TYPE(0)),IFERROR(IF(OFFSET(A921,-10,0)&gt;0,OFFSET(A921,-10,0)+0.001,ERROR.TYPE(0)),ERROR.TYPE(0)))))))))))</f>
        <v>4.4140000000001383</v>
      </c>
      <c r="B921" s="690" t="s">
        <v>724</v>
      </c>
      <c r="C921" s="646">
        <v>11</v>
      </c>
      <c r="D921" s="646" t="s">
        <v>141</v>
      </c>
      <c r="E921" s="649">
        <f ca="1">Elec_Est!E4090</f>
        <v>195.54</v>
      </c>
      <c r="F921" s="1125">
        <f t="shared" ref="F921:F924" ca="1" si="212">IFERROR($C921*E921,E921)</f>
        <v>2150.94</v>
      </c>
    </row>
    <row r="922" spans="1:6" s="631" customFormat="1">
      <c r="A922" s="643">
        <f t="shared" ca="1" si="211"/>
        <v>4.4150000000001386</v>
      </c>
      <c r="B922" s="690" t="s">
        <v>755</v>
      </c>
      <c r="C922" s="646">
        <v>1</v>
      </c>
      <c r="D922" s="646" t="s">
        <v>141</v>
      </c>
      <c r="E922" s="649">
        <f ca="1">Elec_Est!E4098</f>
        <v>759.48</v>
      </c>
      <c r="F922" s="1125">
        <f t="shared" ca="1" si="212"/>
        <v>759.48</v>
      </c>
    </row>
    <row r="923" spans="1:6" s="631" customFormat="1">
      <c r="A923" s="643">
        <f t="shared" ca="1" si="211"/>
        <v>4.4160000000001389</v>
      </c>
      <c r="B923" s="690" t="s">
        <v>839</v>
      </c>
      <c r="C923" s="646">
        <v>1</v>
      </c>
      <c r="D923" s="646" t="s">
        <v>141</v>
      </c>
      <c r="E923" s="649">
        <f ca="1">Elec_Est!E4106</f>
        <v>757.77</v>
      </c>
      <c r="F923" s="1125">
        <f t="shared" ca="1" si="212"/>
        <v>757.77</v>
      </c>
    </row>
    <row r="924" spans="1:6" s="631" customFormat="1">
      <c r="A924" s="643">
        <f t="shared" ca="1" si="211"/>
        <v>4.4170000000001393</v>
      </c>
      <c r="B924" s="690" t="s">
        <v>757</v>
      </c>
      <c r="C924" s="646">
        <v>1</v>
      </c>
      <c r="D924" s="646" t="s">
        <v>141</v>
      </c>
      <c r="E924" s="649">
        <f ca="1">Elec_Est!E4114</f>
        <v>208.63</v>
      </c>
      <c r="F924" s="1125">
        <f t="shared" ca="1" si="212"/>
        <v>208.63</v>
      </c>
    </row>
    <row r="925" spans="1:6" s="631" customFormat="1">
      <c r="A925" s="643">
        <f t="shared" ca="1" si="211"/>
        <v>4.4180000000001396</v>
      </c>
      <c r="B925" s="651" t="s">
        <v>793</v>
      </c>
      <c r="C925" s="646">
        <v>1</v>
      </c>
      <c r="D925" s="646" t="s">
        <v>141</v>
      </c>
      <c r="E925" s="649">
        <f ca="1">Elec_Est!E4121</f>
        <v>158.15</v>
      </c>
      <c r="F925" s="1125">
        <f ca="1">IFERROR($C925*E925,E925)</f>
        <v>158.15</v>
      </c>
    </row>
    <row r="926" spans="1:6" s="631" customFormat="1" ht="27.6">
      <c r="A926" s="643">
        <f t="shared" ca="1" si="211"/>
        <v>4.4190000000001399</v>
      </c>
      <c r="B926" s="648" t="s">
        <v>776</v>
      </c>
      <c r="C926" s="646">
        <v>1</v>
      </c>
      <c r="D926" s="646" t="s">
        <v>141</v>
      </c>
      <c r="E926" s="649" t="str">
        <f>Elec_Est!Q4128</f>
        <v>Included</v>
      </c>
      <c r="F926" s="1125" t="str">
        <f>IFERROR($C926*E926,E926)</f>
        <v>Included</v>
      </c>
    </row>
    <row r="927" spans="1:6" s="631" customFormat="1">
      <c r="A927" s="643">
        <f t="shared" ca="1" si="211"/>
        <v>4.4200000000001403</v>
      </c>
      <c r="B927" s="648" t="s">
        <v>777</v>
      </c>
      <c r="C927" s="646">
        <v>1</v>
      </c>
      <c r="D927" s="646" t="s">
        <v>141</v>
      </c>
      <c r="E927" s="649">
        <f ca="1">Elec_Est!E4134</f>
        <v>151.94</v>
      </c>
      <c r="F927" s="1125">
        <f ca="1">IFERROR($C927*E927,E927)</f>
        <v>151.94</v>
      </c>
    </row>
    <row r="928" spans="1:6" s="631" customFormat="1">
      <c r="A928" s="643"/>
      <c r="B928" s="687" t="s">
        <v>778</v>
      </c>
      <c r="C928" s="645"/>
      <c r="D928" s="646"/>
      <c r="E928" s="647"/>
      <c r="F928" s="1125"/>
    </row>
    <row r="929" spans="1:6" s="631" customFormat="1">
      <c r="A929" s="643">
        <f t="shared" ref="A929:A930" ca="1" si="213">IFERROR(IF(OFFSET(A929,-1,0)&gt;0,OFFSET(A929,-1,0)+0.001,ERROR.TYPE(0)),IFERROR(IF(OFFSET(A929,-2,0)&gt;0,OFFSET(A929,-2,0)+0.001,ERROR.TYPE(0)),IFERROR(IF(OFFSET(A929,-3,0)&gt;0,OFFSET(A929,-3,0)+0.001,ERROR.TYPE(0)),IFERROR(IF(OFFSET(A929,-4,0)&gt;0,OFFSET(A929,-4,0)+0.001,ERROR.TYPE(0)),IFERROR(IF(OFFSET(A929,-5,0)&gt;0,OFFSET(A929,-5,0)+0.001,ERROR.TYPE(0)),IFERROR(IF(OFFSET(A929,-6,0)&gt;0,OFFSET(A929,-6,0)+0.001,ERROR.TYPE(0)),IFERROR(IF(OFFSET(A929,-7,0)&gt;0,OFFSET(A929,-7,0)+0.001,ERROR.TYPE(0)),IFERROR(IF(OFFSET(A929,-8,0)&gt;0,OFFSET(A929,-8,0)+0.001,ERROR.TYPE(0)),IFERROR(IF(OFFSET(A929,-9,0)&gt;0,OFFSET(A929,-9,0)+0.001,ERROR.TYPE(0)),IFERROR(IF(OFFSET(A929,-10,0)&gt;0,OFFSET(A929,-10,0)+0.001,ERROR.TYPE(0)),ERROR.TYPE(0)))))))))))</f>
        <v>4.4210000000001406</v>
      </c>
      <c r="B929" s="690" t="s">
        <v>781</v>
      </c>
      <c r="C929" s="646">
        <v>1</v>
      </c>
      <c r="D929" s="646" t="s">
        <v>141</v>
      </c>
      <c r="E929" s="649">
        <f ca="1">Elec_Est!E4145</f>
        <v>47.62</v>
      </c>
      <c r="F929" s="1125">
        <f ca="1">IFERROR($C929*E929,E929)</f>
        <v>47.62</v>
      </c>
    </row>
    <row r="930" spans="1:6" s="631" customFormat="1">
      <c r="A930" s="643">
        <f t="shared" ca="1" si="213"/>
        <v>4.4220000000001409</v>
      </c>
      <c r="B930" s="690" t="s">
        <v>783</v>
      </c>
      <c r="C930" s="646">
        <v>1</v>
      </c>
      <c r="D930" s="646" t="s">
        <v>141</v>
      </c>
      <c r="E930" s="649">
        <f>Elec_Est!E4152</f>
        <v>30.09</v>
      </c>
      <c r="F930" s="1125">
        <f>IFERROR($C930*E930,E930)</f>
        <v>30.09</v>
      </c>
    </row>
    <row r="931" spans="1:6" ht="55.2">
      <c r="A931" s="691"/>
      <c r="B931" s="687" t="s">
        <v>840</v>
      </c>
      <c r="C931" s="692"/>
      <c r="D931" s="693"/>
      <c r="E931" s="694"/>
      <c r="F931" s="1256"/>
    </row>
    <row r="932" spans="1:6" s="631" customFormat="1">
      <c r="A932" s="643"/>
      <c r="B932" s="689" t="s">
        <v>838</v>
      </c>
      <c r="C932" s="645"/>
      <c r="D932" s="646"/>
      <c r="E932" s="647"/>
      <c r="F932" s="1125"/>
    </row>
    <row r="933" spans="1:6" s="631" customFormat="1">
      <c r="A933" s="643">
        <f t="shared" ref="A933:A934" ca="1" si="214">IFERROR(IF(OFFSET(A933,-1,0)&gt;0,OFFSET(A933,-1,0)+0.001,ERROR.TYPE(0)),IFERROR(IF(OFFSET(A933,-2,0)&gt;0,OFFSET(A933,-2,0)+0.001,ERROR.TYPE(0)),IFERROR(IF(OFFSET(A933,-3,0)&gt;0,OFFSET(A933,-3,0)+0.001,ERROR.TYPE(0)),IFERROR(IF(OFFSET(A933,-4,0)&gt;0,OFFSET(A933,-4,0)+0.001,ERROR.TYPE(0)),IFERROR(IF(OFFSET(A933,-5,0)&gt;0,OFFSET(A933,-5,0)+0.001,ERROR.TYPE(0)),IFERROR(IF(OFFSET(A933,-6,0)&gt;0,OFFSET(A933,-6,0)+0.001,ERROR.TYPE(0)),IFERROR(IF(OFFSET(A933,-7,0)&gt;0,OFFSET(A933,-7,0)+0.001,ERROR.TYPE(0)),IFERROR(IF(OFFSET(A933,-8,0)&gt;0,OFFSET(A933,-8,0)+0.001,ERROR.TYPE(0)),IFERROR(IF(OFFSET(A933,-9,0)&gt;0,OFFSET(A933,-9,0)+0.001,ERROR.TYPE(0)),IFERROR(IF(OFFSET(A933,-10,0)&gt;0,OFFSET(A933,-10,0)+0.001,ERROR.TYPE(0)),ERROR.TYPE(0)))))))))))</f>
        <v>4.4230000000001413</v>
      </c>
      <c r="B933" s="690" t="s">
        <v>756</v>
      </c>
      <c r="C933" s="646">
        <v>5</v>
      </c>
      <c r="D933" s="646" t="s">
        <v>141</v>
      </c>
      <c r="E933" s="649">
        <f ca="1">Elec_Est!E4168</f>
        <v>883.93</v>
      </c>
      <c r="F933" s="1125">
        <f t="shared" ref="F933:F934" ca="1" si="215">IFERROR($C933*E933,E933)</f>
        <v>4419.6499999999996</v>
      </c>
    </row>
    <row r="934" spans="1:6" s="631" customFormat="1">
      <c r="A934" s="643">
        <f t="shared" ca="1" si="214"/>
        <v>4.4240000000001416</v>
      </c>
      <c r="B934" s="690" t="s">
        <v>757</v>
      </c>
      <c r="C934" s="646">
        <v>7</v>
      </c>
      <c r="D934" s="646" t="s">
        <v>141</v>
      </c>
      <c r="E934" s="649">
        <f ca="1">Elec_Est!E4175</f>
        <v>883.93</v>
      </c>
      <c r="F934" s="1125">
        <f t="shared" ca="1" si="215"/>
        <v>6187.5099999999993</v>
      </c>
    </row>
    <row r="935" spans="1:6" s="631" customFormat="1">
      <c r="A935" s="643"/>
      <c r="B935" s="687" t="s">
        <v>778</v>
      </c>
      <c r="C935" s="645"/>
      <c r="D935" s="646"/>
      <c r="E935" s="647"/>
      <c r="F935" s="1125"/>
    </row>
    <row r="936" spans="1:6" s="631" customFormat="1">
      <c r="A936" s="643">
        <f t="shared" ref="A936:A937" ca="1" si="216">IFERROR(IF(OFFSET(A936,-1,0)&gt;0,OFFSET(A936,-1,0)+0.001,ERROR.TYPE(0)),IFERROR(IF(OFFSET(A936,-2,0)&gt;0,OFFSET(A936,-2,0)+0.001,ERROR.TYPE(0)),IFERROR(IF(OFFSET(A936,-3,0)&gt;0,OFFSET(A936,-3,0)+0.001,ERROR.TYPE(0)),IFERROR(IF(OFFSET(A936,-4,0)&gt;0,OFFSET(A936,-4,0)+0.001,ERROR.TYPE(0)),IFERROR(IF(OFFSET(A936,-5,0)&gt;0,OFFSET(A936,-5,0)+0.001,ERROR.TYPE(0)),IFERROR(IF(OFFSET(A936,-6,0)&gt;0,OFFSET(A936,-6,0)+0.001,ERROR.TYPE(0)),IFERROR(IF(OFFSET(A936,-7,0)&gt;0,OFFSET(A936,-7,0)+0.001,ERROR.TYPE(0)),IFERROR(IF(OFFSET(A936,-8,0)&gt;0,OFFSET(A936,-8,0)+0.001,ERROR.TYPE(0)),IFERROR(IF(OFFSET(A936,-9,0)&gt;0,OFFSET(A936,-9,0)+0.001,ERROR.TYPE(0)),IFERROR(IF(OFFSET(A936,-10,0)&gt;0,OFFSET(A936,-10,0)+0.001,ERROR.TYPE(0)),ERROR.TYPE(0)))))))))))</f>
        <v>4.4250000000001419</v>
      </c>
      <c r="B936" s="690" t="s">
        <v>779</v>
      </c>
      <c r="C936" s="646">
        <v>5</v>
      </c>
      <c r="D936" s="646" t="s">
        <v>141</v>
      </c>
      <c r="E936" s="649">
        <f ca="1">Elec_Est!E4186</f>
        <v>48.45</v>
      </c>
      <c r="F936" s="1125">
        <f t="shared" ref="F936" ca="1" si="217">IFERROR($C936*E936,E936)</f>
        <v>242.25</v>
      </c>
    </row>
    <row r="937" spans="1:6" s="631" customFormat="1">
      <c r="A937" s="643">
        <f t="shared" ca="1" si="216"/>
        <v>4.4260000000001423</v>
      </c>
      <c r="B937" s="690" t="s">
        <v>781</v>
      </c>
      <c r="C937" s="646">
        <v>7</v>
      </c>
      <c r="D937" s="646" t="s">
        <v>141</v>
      </c>
      <c r="E937" s="649">
        <f>Elec_Est!E4193</f>
        <v>803.62</v>
      </c>
      <c r="F937" s="1125">
        <f>IFERROR($C937*E937,E937)</f>
        <v>5625.34</v>
      </c>
    </row>
    <row r="938" spans="1:6" s="631" customFormat="1">
      <c r="A938" s="638"/>
      <c r="B938" s="639" t="s">
        <v>841</v>
      </c>
      <c r="C938" s="1456" t="s">
        <v>305</v>
      </c>
      <c r="D938" s="1457"/>
      <c r="E938" s="652"/>
      <c r="F938" s="1239">
        <f ca="1">SUM(F900:F937)</f>
        <v>54018.179999999993</v>
      </c>
    </row>
    <row r="939" spans="1:6" s="631" customFormat="1">
      <c r="A939" s="660"/>
      <c r="B939" s="629"/>
      <c r="C939" s="661"/>
      <c r="D939" s="654"/>
      <c r="E939" s="662"/>
      <c r="F939" s="1127"/>
    </row>
    <row r="940" spans="1:6" s="631" customFormat="1">
      <c r="A940" s="660"/>
      <c r="B940" s="629"/>
      <c r="C940" s="661"/>
      <c r="D940" s="654"/>
      <c r="E940" s="662"/>
      <c r="F940" s="1127"/>
    </row>
    <row r="941" spans="1:6" s="631" customFormat="1" ht="27.6">
      <c r="A941" s="634" t="s">
        <v>143</v>
      </c>
      <c r="B941" s="635" t="s">
        <v>198</v>
      </c>
      <c r="C941" s="636" t="s">
        <v>199</v>
      </c>
      <c r="D941" s="636" t="s">
        <v>200</v>
      </c>
      <c r="E941" s="637" t="s">
        <v>294</v>
      </c>
      <c r="F941" s="1122" t="s">
        <v>295</v>
      </c>
    </row>
    <row r="942" spans="1:6" s="631" customFormat="1">
      <c r="A942" s="643"/>
      <c r="B942" s="639" t="s">
        <v>362</v>
      </c>
      <c r="C942" s="645"/>
      <c r="D942" s="646"/>
      <c r="E942" s="647"/>
      <c r="F942" s="1125"/>
    </row>
    <row r="943" spans="1:6" ht="41.4">
      <c r="A943" s="691"/>
      <c r="B943" s="687" t="s">
        <v>803</v>
      </c>
      <c r="C943" s="692"/>
      <c r="D943" s="693"/>
      <c r="E943" s="694"/>
      <c r="F943" s="1256"/>
    </row>
    <row r="944" spans="1:6" s="631" customFormat="1">
      <c r="A944" s="643"/>
      <c r="B944" s="689" t="s">
        <v>842</v>
      </c>
      <c r="C944" s="645"/>
      <c r="D944" s="646"/>
      <c r="E944" s="647"/>
      <c r="F944" s="1125"/>
    </row>
    <row r="945" spans="1:6" s="631" customFormat="1">
      <c r="A945" s="643">
        <f t="shared" ref="A945:A960" ca="1" si="218">IFERROR(IF(OFFSET(A945,-1,0)&gt;0,OFFSET(A945,-1,0)+0.001,ERROR.TYPE(0)),IFERROR(IF(OFFSET(A945,-2,0)&gt;0,OFFSET(A945,-2,0)+0.001,ERROR.TYPE(0)),IFERROR(IF(OFFSET(A945,-3,0)&gt;0,OFFSET(A945,-3,0)+0.001,ERROR.TYPE(0)),IFERROR(IF(OFFSET(A945,-4,0)&gt;0,OFFSET(A945,-4,0)+0.001,ERROR.TYPE(0)),IFERROR(IF(OFFSET(A945,-5,0)&gt;0,OFFSET(A945,-5,0)+0.001,ERROR.TYPE(0)),IFERROR(IF(OFFSET(A945,-6,0)&gt;0,OFFSET(A945,-6,0)+0.001,ERROR.TYPE(0)),IFERROR(IF(OFFSET(A945,-7,0)&gt;0,OFFSET(A945,-7,0)+0.001,ERROR.TYPE(0)),IFERROR(IF(OFFSET(A945,-8,0)&gt;0,OFFSET(A945,-8,0)+0.001,ERROR.TYPE(0)),IFERROR(IF(OFFSET(A945,-9,0)&gt;0,OFFSET(A945,-9,0)+0.001,ERROR.TYPE(0)),IFERROR(IF(OFFSET(A945,-10,0)&gt;0,OFFSET(A945,-10,0)+0.001,ERROR.TYPE(0)),ERROR.TYPE(0)))))))))))</f>
        <v>4.4270000000001426</v>
      </c>
      <c r="B945" s="690" t="s">
        <v>805</v>
      </c>
      <c r="C945" s="646">
        <v>1</v>
      </c>
      <c r="D945" s="646" t="s">
        <v>141</v>
      </c>
      <c r="E945" s="649">
        <f ca="1">Elec_Est!E4220</f>
        <v>61.15</v>
      </c>
      <c r="F945" s="1125">
        <f ca="1">IFERROR($C945*E945,E945)</f>
        <v>61.15</v>
      </c>
    </row>
    <row r="946" spans="1:6" s="631" customFormat="1">
      <c r="A946" s="643">
        <f t="shared" ca="1" si="218"/>
        <v>4.4280000000001429</v>
      </c>
      <c r="B946" s="690" t="s">
        <v>843</v>
      </c>
      <c r="C946" s="646">
        <v>1</v>
      </c>
      <c r="D946" s="646" t="s">
        <v>141</v>
      </c>
      <c r="E946" s="649">
        <f ca="1">Elec_Est!E4228</f>
        <v>75.63</v>
      </c>
      <c r="F946" s="1125">
        <f ca="1">IFERROR($C946*E946,E946)</f>
        <v>75.63</v>
      </c>
    </row>
    <row r="947" spans="1:6" s="631" customFormat="1">
      <c r="A947" s="643">
        <f t="shared" ca="1" si="218"/>
        <v>4.4290000000001433</v>
      </c>
      <c r="B947" s="690" t="s">
        <v>788</v>
      </c>
      <c r="C947" s="646">
        <v>38</v>
      </c>
      <c r="D947" s="646" t="s">
        <v>141</v>
      </c>
      <c r="E947" s="649">
        <f ca="1">Elec_Est!E4236</f>
        <v>61.52</v>
      </c>
      <c r="F947" s="1125">
        <f ca="1">IFERROR($C947*E947,E947)</f>
        <v>2337.7600000000002</v>
      </c>
    </row>
    <row r="948" spans="1:6" s="631" customFormat="1">
      <c r="A948" s="643">
        <f t="shared" ca="1" si="218"/>
        <v>4.4300000000001436</v>
      </c>
      <c r="B948" s="690" t="s">
        <v>724</v>
      </c>
      <c r="C948" s="646">
        <v>19</v>
      </c>
      <c r="D948" s="646" t="s">
        <v>141</v>
      </c>
      <c r="E948" s="649">
        <f ca="1">Elec_Est!E4244</f>
        <v>64.84</v>
      </c>
      <c r="F948" s="1125">
        <f ca="1">IFERROR($C948*E948,E948)</f>
        <v>1231.96</v>
      </c>
    </row>
    <row r="949" spans="1:6" s="631" customFormat="1">
      <c r="A949" s="643">
        <f t="shared" ca="1" si="218"/>
        <v>4.4310000000001439</v>
      </c>
      <c r="B949" s="690" t="s">
        <v>807</v>
      </c>
      <c r="C949" s="646">
        <v>1</v>
      </c>
      <c r="D949" s="646" t="s">
        <v>141</v>
      </c>
      <c r="E949" s="649">
        <f ca="1">Elec_Est!E4252</f>
        <v>63.24</v>
      </c>
      <c r="F949" s="1125">
        <f ca="1">IFERROR($C949*E949,E949)</f>
        <v>63.24</v>
      </c>
    </row>
    <row r="950" spans="1:6" s="631" customFormat="1">
      <c r="A950" s="643">
        <f t="shared" ca="1" si="218"/>
        <v>4.4320000000001443</v>
      </c>
      <c r="B950" s="690" t="s">
        <v>757</v>
      </c>
      <c r="C950" s="646">
        <v>2</v>
      </c>
      <c r="D950" s="646" t="s">
        <v>141</v>
      </c>
      <c r="E950" s="649">
        <f ca="1">Elec_Est!E4260</f>
        <v>208.63</v>
      </c>
      <c r="F950" s="1125">
        <f t="shared" ref="F950:F960" ca="1" si="219">IFERROR($C950*E950,E950)</f>
        <v>417.26</v>
      </c>
    </row>
    <row r="951" spans="1:6" s="631" customFormat="1">
      <c r="A951" s="643">
        <f t="shared" ca="1" si="218"/>
        <v>4.4330000000001446</v>
      </c>
      <c r="B951" s="651" t="s">
        <v>758</v>
      </c>
      <c r="C951" s="646">
        <v>3</v>
      </c>
      <c r="D951" s="646" t="s">
        <v>141</v>
      </c>
      <c r="E951" s="649">
        <f ca="1">Elec_Est!E4267</f>
        <v>68.06</v>
      </c>
      <c r="F951" s="1125">
        <f t="shared" ca="1" si="219"/>
        <v>204.18</v>
      </c>
    </row>
    <row r="952" spans="1:6" s="631" customFormat="1">
      <c r="A952" s="643">
        <f t="shared" ca="1" si="218"/>
        <v>4.4340000000001449</v>
      </c>
      <c r="B952" s="651" t="s">
        <v>791</v>
      </c>
      <c r="C952" s="646">
        <v>2</v>
      </c>
      <c r="D952" s="646" t="s">
        <v>141</v>
      </c>
      <c r="E952" s="649">
        <f ca="1">Elec_Est!E4274</f>
        <v>136.13</v>
      </c>
      <c r="F952" s="1125">
        <f t="shared" ca="1" si="219"/>
        <v>272.26</v>
      </c>
    </row>
    <row r="953" spans="1:6" s="631" customFormat="1">
      <c r="A953" s="643">
        <f t="shared" ca="1" si="218"/>
        <v>4.4350000000001453</v>
      </c>
      <c r="B953" s="651" t="s">
        <v>761</v>
      </c>
      <c r="C953" s="646">
        <v>3</v>
      </c>
      <c r="D953" s="646" t="s">
        <v>141</v>
      </c>
      <c r="E953" s="649">
        <f ca="1">Elec_Est!E4281</f>
        <v>170.16</v>
      </c>
      <c r="F953" s="1125">
        <f t="shared" ca="1" si="219"/>
        <v>510.48</v>
      </c>
    </row>
    <row r="954" spans="1:6" s="631" customFormat="1">
      <c r="A954" s="643">
        <f t="shared" ca="1" si="218"/>
        <v>4.4360000000001456</v>
      </c>
      <c r="B954" s="651" t="s">
        <v>762</v>
      </c>
      <c r="C954" s="646">
        <v>2</v>
      </c>
      <c r="D954" s="646" t="s">
        <v>141</v>
      </c>
      <c r="E954" s="649">
        <f ca="1">Elec_Est!E4288</f>
        <v>204.19</v>
      </c>
      <c r="F954" s="1125">
        <f t="shared" ca="1" si="219"/>
        <v>408.38</v>
      </c>
    </row>
    <row r="955" spans="1:6" s="631" customFormat="1">
      <c r="A955" s="643">
        <f t="shared" ca="1" si="218"/>
        <v>4.4370000000001459</v>
      </c>
      <c r="B955" s="651" t="s">
        <v>844</v>
      </c>
      <c r="C955" s="646">
        <v>1</v>
      </c>
      <c r="D955" s="646" t="s">
        <v>141</v>
      </c>
      <c r="E955" s="649">
        <f ca="1">Elec_Est!E4295</f>
        <v>68.06</v>
      </c>
      <c r="F955" s="1125">
        <f t="shared" ca="1" si="219"/>
        <v>68.06</v>
      </c>
    </row>
    <row r="956" spans="1:6" s="631" customFormat="1">
      <c r="A956" s="643">
        <f t="shared" ca="1" si="218"/>
        <v>4.4380000000001463</v>
      </c>
      <c r="B956" s="651" t="s">
        <v>793</v>
      </c>
      <c r="C956" s="646">
        <v>1</v>
      </c>
      <c r="D956" s="646" t="s">
        <v>141</v>
      </c>
      <c r="E956" s="649">
        <f ca="1">Elec_Est!E4302</f>
        <v>68.06</v>
      </c>
      <c r="F956" s="1125">
        <f t="shared" ca="1" si="219"/>
        <v>68.06</v>
      </c>
    </row>
    <row r="957" spans="1:6" s="631" customFormat="1">
      <c r="A957" s="643">
        <f t="shared" ca="1" si="218"/>
        <v>4.4390000000001466</v>
      </c>
      <c r="B957" s="651" t="s">
        <v>794</v>
      </c>
      <c r="C957" s="646">
        <v>3</v>
      </c>
      <c r="D957" s="646" t="s">
        <v>141</v>
      </c>
      <c r="E957" s="649">
        <f ca="1">Elec_Est!E4309</f>
        <v>102.1</v>
      </c>
      <c r="F957" s="1125">
        <f t="shared" ca="1" si="219"/>
        <v>306.29999999999995</v>
      </c>
    </row>
    <row r="958" spans="1:6" s="631" customFormat="1">
      <c r="A958" s="643">
        <f t="shared" ca="1" si="218"/>
        <v>4.4400000000001469</v>
      </c>
      <c r="B958" s="651" t="s">
        <v>770</v>
      </c>
      <c r="C958" s="646">
        <v>1</v>
      </c>
      <c r="D958" s="646" t="s">
        <v>141</v>
      </c>
      <c r="E958" s="649">
        <f ca="1">Elec_Est!E4316</f>
        <v>136.13</v>
      </c>
      <c r="F958" s="1125">
        <f t="shared" ca="1" si="219"/>
        <v>136.13</v>
      </c>
    </row>
    <row r="959" spans="1:6" s="631" customFormat="1" ht="27.6">
      <c r="A959" s="643">
        <f t="shared" ca="1" si="218"/>
        <v>4.4410000000001473</v>
      </c>
      <c r="B959" s="648" t="s">
        <v>776</v>
      </c>
      <c r="C959" s="646">
        <v>13</v>
      </c>
      <c r="D959" s="646" t="s">
        <v>141</v>
      </c>
      <c r="E959" s="649" t="str">
        <f>Elec_Est!Q4323</f>
        <v>Included</v>
      </c>
      <c r="F959" s="1125" t="str">
        <f t="shared" si="219"/>
        <v>Included</v>
      </c>
    </row>
    <row r="960" spans="1:6" s="631" customFormat="1">
      <c r="A960" s="643">
        <f t="shared" ca="1" si="218"/>
        <v>4.4420000000001476</v>
      </c>
      <c r="B960" s="648" t="s">
        <v>777</v>
      </c>
      <c r="C960" s="646">
        <v>2</v>
      </c>
      <c r="D960" s="646" t="s">
        <v>141</v>
      </c>
      <c r="E960" s="649">
        <f ca="1">Elec_Est!E4329</f>
        <v>46.93</v>
      </c>
      <c r="F960" s="1125">
        <f t="shared" ca="1" si="219"/>
        <v>93.86</v>
      </c>
    </row>
    <row r="961" spans="1:6" s="631" customFormat="1">
      <c r="A961" s="643"/>
      <c r="B961" s="687" t="s">
        <v>778</v>
      </c>
      <c r="C961" s="645"/>
      <c r="D961" s="646"/>
      <c r="E961" s="647"/>
      <c r="F961" s="1125"/>
    </row>
    <row r="962" spans="1:6" s="631" customFormat="1">
      <c r="A962" s="643">
        <f t="shared" ref="A962:A964" ca="1" si="220">IFERROR(IF(OFFSET(A962,-1,0)&gt;0,OFFSET(A962,-1,0)+0.001,ERROR.TYPE(0)),IFERROR(IF(OFFSET(A962,-2,0)&gt;0,OFFSET(A962,-2,0)+0.001,ERROR.TYPE(0)),IFERROR(IF(OFFSET(A962,-3,0)&gt;0,OFFSET(A962,-3,0)+0.001,ERROR.TYPE(0)),IFERROR(IF(OFFSET(A962,-4,0)&gt;0,OFFSET(A962,-4,0)+0.001,ERROR.TYPE(0)),IFERROR(IF(OFFSET(A962,-5,0)&gt;0,OFFSET(A962,-5,0)+0.001,ERROR.TYPE(0)),IFERROR(IF(OFFSET(A962,-6,0)&gt;0,OFFSET(A962,-6,0)+0.001,ERROR.TYPE(0)),IFERROR(IF(OFFSET(A962,-7,0)&gt;0,OFFSET(A962,-7,0)+0.001,ERROR.TYPE(0)),IFERROR(IF(OFFSET(A962,-8,0)&gt;0,OFFSET(A962,-8,0)+0.001,ERROR.TYPE(0)),IFERROR(IF(OFFSET(A962,-9,0)&gt;0,OFFSET(A962,-9,0)+0.001,ERROR.TYPE(0)),IFERROR(IF(OFFSET(A962,-10,0)&gt;0,OFFSET(A962,-10,0)+0.001,ERROR.TYPE(0)),ERROR.TYPE(0)))))))))))</f>
        <v>4.4430000000001479</v>
      </c>
      <c r="B962" s="690" t="s">
        <v>845</v>
      </c>
      <c r="C962" s="646">
        <v>6</v>
      </c>
      <c r="D962" s="646" t="s">
        <v>141</v>
      </c>
      <c r="E962" s="649">
        <f>Elec_Est!E4340</f>
        <v>142.9</v>
      </c>
      <c r="F962" s="1125">
        <f>IFERROR($C962*E962,E962)</f>
        <v>857.40000000000009</v>
      </c>
    </row>
    <row r="963" spans="1:6" s="631" customFormat="1">
      <c r="A963" s="643">
        <f t="shared" ca="1" si="220"/>
        <v>4.4440000000001483</v>
      </c>
      <c r="B963" s="690" t="s">
        <v>780</v>
      </c>
      <c r="C963" s="646">
        <v>2</v>
      </c>
      <c r="D963" s="646" t="s">
        <v>141</v>
      </c>
      <c r="E963" s="649">
        <f ca="1">Elec_Est!E4348</f>
        <v>47.62</v>
      </c>
      <c r="F963" s="1125">
        <f ca="1">IFERROR($C963*E963,E963)</f>
        <v>95.24</v>
      </c>
    </row>
    <row r="964" spans="1:6" s="631" customFormat="1">
      <c r="A964" s="643">
        <f t="shared" ca="1" si="220"/>
        <v>4.4450000000001486</v>
      </c>
      <c r="B964" s="690" t="s">
        <v>783</v>
      </c>
      <c r="C964" s="646">
        <v>6</v>
      </c>
      <c r="D964" s="646" t="s">
        <v>141</v>
      </c>
      <c r="E964" s="649">
        <f>Elec_Est!E4355</f>
        <v>20.64</v>
      </c>
      <c r="F964" s="1125">
        <f>IFERROR($C964*E964,E964)</f>
        <v>123.84</v>
      </c>
    </row>
    <row r="965" spans="1:6" s="631" customFormat="1" ht="41.4">
      <c r="A965" s="643"/>
      <c r="B965" s="687" t="s">
        <v>803</v>
      </c>
      <c r="C965" s="645"/>
      <c r="D965" s="646"/>
      <c r="E965" s="647"/>
      <c r="F965" s="1125"/>
    </row>
    <row r="966" spans="1:6" s="631" customFormat="1">
      <c r="A966" s="643"/>
      <c r="B966" s="689" t="s">
        <v>846</v>
      </c>
      <c r="C966" s="645"/>
      <c r="D966" s="646"/>
      <c r="E966" s="647"/>
      <c r="F966" s="1125"/>
    </row>
    <row r="967" spans="1:6" s="631" customFormat="1">
      <c r="A967" s="643">
        <f t="shared" ref="A967:A982" ca="1" si="221">IFERROR(IF(OFFSET(A967,-1,0)&gt;0,OFFSET(A967,-1,0)+0.001,ERROR.TYPE(0)),IFERROR(IF(OFFSET(A967,-2,0)&gt;0,OFFSET(A967,-2,0)+0.001,ERROR.TYPE(0)),IFERROR(IF(OFFSET(A967,-3,0)&gt;0,OFFSET(A967,-3,0)+0.001,ERROR.TYPE(0)),IFERROR(IF(OFFSET(A967,-4,0)&gt;0,OFFSET(A967,-4,0)+0.001,ERROR.TYPE(0)),IFERROR(IF(OFFSET(A967,-5,0)&gt;0,OFFSET(A967,-5,0)+0.001,ERROR.TYPE(0)),IFERROR(IF(OFFSET(A967,-6,0)&gt;0,OFFSET(A967,-6,0)+0.001,ERROR.TYPE(0)),IFERROR(IF(OFFSET(A967,-7,0)&gt;0,OFFSET(A967,-7,0)+0.001,ERROR.TYPE(0)),IFERROR(IF(OFFSET(A967,-8,0)&gt;0,OFFSET(A967,-8,0)+0.001,ERROR.TYPE(0)),IFERROR(IF(OFFSET(A967,-9,0)&gt;0,OFFSET(A967,-9,0)+0.001,ERROR.TYPE(0)),IFERROR(IF(OFFSET(A967,-10,0)&gt;0,OFFSET(A967,-10,0)+0.001,ERROR.TYPE(0)),ERROR.TYPE(0)))))))))))</f>
        <v>4.4460000000001489</v>
      </c>
      <c r="B967" s="690" t="s">
        <v>843</v>
      </c>
      <c r="C967" s="646">
        <v>1</v>
      </c>
      <c r="D967" s="646" t="s">
        <v>141</v>
      </c>
      <c r="E967" s="649">
        <f ca="1">Elec_Est!E4371</f>
        <v>75.63</v>
      </c>
      <c r="F967" s="1125">
        <f ca="1">IFERROR($C967*E967,E967)</f>
        <v>75.63</v>
      </c>
    </row>
    <row r="968" spans="1:6" s="631" customFormat="1">
      <c r="A968" s="643">
        <f t="shared" ca="1" si="221"/>
        <v>4.4470000000001493</v>
      </c>
      <c r="B968" s="690" t="s">
        <v>788</v>
      </c>
      <c r="C968" s="646">
        <v>15</v>
      </c>
      <c r="D968" s="646" t="s">
        <v>141</v>
      </c>
      <c r="E968" s="649">
        <f ca="1">Elec_Est!E4379</f>
        <v>61.52</v>
      </c>
      <c r="F968" s="1125">
        <f ca="1">IFERROR($C968*E968,E968)</f>
        <v>922.80000000000007</v>
      </c>
    </row>
    <row r="969" spans="1:6" s="631" customFormat="1">
      <c r="A969" s="643">
        <f t="shared" ca="1" si="221"/>
        <v>4.4480000000001496</v>
      </c>
      <c r="B969" s="690" t="s">
        <v>724</v>
      </c>
      <c r="C969" s="646">
        <v>8</v>
      </c>
      <c r="D969" s="646" t="s">
        <v>141</v>
      </c>
      <c r="E969" s="649">
        <f ca="1">Elec_Est!E4387</f>
        <v>64.84</v>
      </c>
      <c r="F969" s="1125">
        <f ca="1">IFERROR($C969*E969,E969)</f>
        <v>518.72</v>
      </c>
    </row>
    <row r="970" spans="1:6" s="631" customFormat="1">
      <c r="A970" s="643">
        <f t="shared" ca="1" si="221"/>
        <v>4.4490000000001499</v>
      </c>
      <c r="B970" s="690" t="s">
        <v>755</v>
      </c>
      <c r="C970" s="646">
        <v>1</v>
      </c>
      <c r="D970" s="646" t="s">
        <v>141</v>
      </c>
      <c r="E970" s="649">
        <f ca="1">Elec_Est!E4395</f>
        <v>189.03</v>
      </c>
      <c r="F970" s="1125">
        <f ca="1">IFERROR($C970*E970,E970)</f>
        <v>189.03</v>
      </c>
    </row>
    <row r="971" spans="1:6" s="631" customFormat="1">
      <c r="A971" s="643">
        <f t="shared" ca="1" si="221"/>
        <v>4.4500000000001503</v>
      </c>
      <c r="B971" s="690" t="s">
        <v>807</v>
      </c>
      <c r="C971" s="646">
        <v>2</v>
      </c>
      <c r="D971" s="646" t="s">
        <v>141</v>
      </c>
      <c r="E971" s="649">
        <f ca="1">Elec_Est!E4403</f>
        <v>63.24</v>
      </c>
      <c r="F971" s="1125">
        <f ca="1">IFERROR($C971*E971,E971)</f>
        <v>126.48</v>
      </c>
    </row>
    <row r="972" spans="1:6" s="631" customFormat="1">
      <c r="A972" s="643">
        <f t="shared" ca="1" si="221"/>
        <v>4.4510000000001506</v>
      </c>
      <c r="B972" s="690" t="s">
        <v>757</v>
      </c>
      <c r="C972" s="646">
        <v>2</v>
      </c>
      <c r="D972" s="646" t="s">
        <v>141</v>
      </c>
      <c r="E972" s="649">
        <f ca="1">Elec_Est!E4411</f>
        <v>208.63</v>
      </c>
      <c r="F972" s="1125">
        <f t="shared" ref="F972:F982" ca="1" si="222">IFERROR($C972*E972,E972)</f>
        <v>417.26</v>
      </c>
    </row>
    <row r="973" spans="1:6" s="631" customFormat="1">
      <c r="A973" s="643">
        <f t="shared" ca="1" si="221"/>
        <v>4.4520000000001509</v>
      </c>
      <c r="B973" s="651" t="s">
        <v>758</v>
      </c>
      <c r="C973" s="646">
        <v>2</v>
      </c>
      <c r="D973" s="646" t="s">
        <v>141</v>
      </c>
      <c r="E973" s="649">
        <f ca="1">Elec_Est!E4418</f>
        <v>68.06</v>
      </c>
      <c r="F973" s="1125">
        <f t="shared" ca="1" si="222"/>
        <v>136.12</v>
      </c>
    </row>
    <row r="974" spans="1:6" s="631" customFormat="1">
      <c r="A974" s="643">
        <f t="shared" ca="1" si="221"/>
        <v>4.4530000000001513</v>
      </c>
      <c r="B974" s="651" t="s">
        <v>759</v>
      </c>
      <c r="C974" s="646">
        <v>2</v>
      </c>
      <c r="D974" s="646" t="s">
        <v>141</v>
      </c>
      <c r="E974" s="649">
        <f ca="1">Elec_Est!E4425</f>
        <v>102.1</v>
      </c>
      <c r="F974" s="1125">
        <f t="shared" ca="1" si="222"/>
        <v>204.2</v>
      </c>
    </row>
    <row r="975" spans="1:6" s="631" customFormat="1">
      <c r="A975" s="643">
        <f t="shared" ca="1" si="221"/>
        <v>4.4540000000001516</v>
      </c>
      <c r="B975" s="651" t="s">
        <v>791</v>
      </c>
      <c r="C975" s="646">
        <v>3</v>
      </c>
      <c r="D975" s="646" t="s">
        <v>141</v>
      </c>
      <c r="E975" s="649">
        <f ca="1">Elec_Est!E4432</f>
        <v>136.13</v>
      </c>
      <c r="F975" s="1125">
        <f t="shared" ca="1" si="222"/>
        <v>408.39</v>
      </c>
    </row>
    <row r="976" spans="1:6" s="631" customFormat="1">
      <c r="A976" s="643">
        <f t="shared" ca="1" si="221"/>
        <v>4.4550000000001519</v>
      </c>
      <c r="B976" s="651" t="s">
        <v>761</v>
      </c>
      <c r="C976" s="646">
        <v>2</v>
      </c>
      <c r="D976" s="646" t="s">
        <v>141</v>
      </c>
      <c r="E976" s="649">
        <f ca="1">Elec_Est!E4439</f>
        <v>170.16</v>
      </c>
      <c r="F976" s="1125">
        <f t="shared" ca="1" si="222"/>
        <v>340.32</v>
      </c>
    </row>
    <row r="977" spans="1:6" s="631" customFormat="1">
      <c r="A977" s="643">
        <f t="shared" ca="1" si="221"/>
        <v>4.4560000000001523</v>
      </c>
      <c r="B977" s="651" t="s">
        <v>762</v>
      </c>
      <c r="C977" s="646">
        <v>1</v>
      </c>
      <c r="D977" s="646" t="s">
        <v>141</v>
      </c>
      <c r="E977" s="649">
        <f ca="1">Elec_Est!E4446</f>
        <v>204.19</v>
      </c>
      <c r="F977" s="1125">
        <f t="shared" ca="1" si="222"/>
        <v>204.19</v>
      </c>
    </row>
    <row r="978" spans="1:6" s="631" customFormat="1">
      <c r="A978" s="643">
        <f t="shared" ca="1" si="221"/>
        <v>4.4570000000001526</v>
      </c>
      <c r="B978" s="651" t="s">
        <v>793</v>
      </c>
      <c r="C978" s="646">
        <v>6</v>
      </c>
      <c r="D978" s="646" t="s">
        <v>141</v>
      </c>
      <c r="E978" s="649">
        <f ca="1">Elec_Est!E4453</f>
        <v>68.06</v>
      </c>
      <c r="F978" s="1125">
        <f t="shared" ca="1" si="222"/>
        <v>408.36</v>
      </c>
    </row>
    <row r="979" spans="1:6" s="631" customFormat="1">
      <c r="A979" s="643">
        <f t="shared" ca="1" si="221"/>
        <v>4.458000000000153</v>
      </c>
      <c r="B979" s="651" t="s">
        <v>769</v>
      </c>
      <c r="C979" s="646">
        <v>3</v>
      </c>
      <c r="D979" s="646" t="s">
        <v>141</v>
      </c>
      <c r="E979" s="649">
        <f ca="1">Elec_Est!E4460</f>
        <v>136.13</v>
      </c>
      <c r="F979" s="1125">
        <f t="shared" ca="1" si="222"/>
        <v>408.39</v>
      </c>
    </row>
    <row r="980" spans="1:6" s="631" customFormat="1">
      <c r="A980" s="643">
        <f t="shared" ca="1" si="221"/>
        <v>4.4590000000001533</v>
      </c>
      <c r="B980" s="651" t="s">
        <v>847</v>
      </c>
      <c r="C980" s="646">
        <v>1</v>
      </c>
      <c r="D980" s="646" t="s">
        <v>141</v>
      </c>
      <c r="E980" s="649">
        <f ca="1">Elec_Est!E4467</f>
        <v>238.22</v>
      </c>
      <c r="F980" s="1125">
        <f t="shared" ca="1" si="222"/>
        <v>238.22</v>
      </c>
    </row>
    <row r="981" spans="1:6" s="631" customFormat="1" ht="27.6">
      <c r="A981" s="643">
        <f t="shared" ca="1" si="221"/>
        <v>4.4600000000001536</v>
      </c>
      <c r="B981" s="648" t="s">
        <v>776</v>
      </c>
      <c r="C981" s="646">
        <v>12</v>
      </c>
      <c r="D981" s="646" t="s">
        <v>141</v>
      </c>
      <c r="E981" s="649" t="str">
        <f>Elec_Est!Q4474</f>
        <v>Included</v>
      </c>
      <c r="F981" s="1125" t="str">
        <f t="shared" si="222"/>
        <v>Included</v>
      </c>
    </row>
    <row r="982" spans="1:6" s="631" customFormat="1">
      <c r="A982" s="643">
        <f t="shared" ca="1" si="221"/>
        <v>4.461000000000154</v>
      </c>
      <c r="B982" s="648" t="s">
        <v>777</v>
      </c>
      <c r="C982" s="646">
        <v>2</v>
      </c>
      <c r="D982" s="646" t="s">
        <v>141</v>
      </c>
      <c r="E982" s="649">
        <f ca="1">Elec_Est!E4480</f>
        <v>46.93</v>
      </c>
      <c r="F982" s="1125">
        <f t="shared" ca="1" si="222"/>
        <v>93.86</v>
      </c>
    </row>
    <row r="983" spans="1:6" s="631" customFormat="1">
      <c r="A983" s="643"/>
      <c r="B983" s="687" t="s">
        <v>778</v>
      </c>
      <c r="C983" s="645"/>
      <c r="D983" s="646"/>
      <c r="E983" s="647"/>
      <c r="F983" s="1125"/>
    </row>
    <row r="984" spans="1:6" s="631" customFormat="1">
      <c r="A984" s="643">
        <f t="shared" ref="A984:A987" ca="1" si="223">IFERROR(IF(OFFSET(A984,-1,0)&gt;0,OFFSET(A984,-1,0)+0.001,ERROR.TYPE(0)),IFERROR(IF(OFFSET(A984,-2,0)&gt;0,OFFSET(A984,-2,0)+0.001,ERROR.TYPE(0)),IFERROR(IF(OFFSET(A984,-3,0)&gt;0,OFFSET(A984,-3,0)+0.001,ERROR.TYPE(0)),IFERROR(IF(OFFSET(A984,-4,0)&gt;0,OFFSET(A984,-4,0)+0.001,ERROR.TYPE(0)),IFERROR(IF(OFFSET(A984,-5,0)&gt;0,OFFSET(A984,-5,0)+0.001,ERROR.TYPE(0)),IFERROR(IF(OFFSET(A984,-6,0)&gt;0,OFFSET(A984,-6,0)+0.001,ERROR.TYPE(0)),IFERROR(IF(OFFSET(A984,-7,0)&gt;0,OFFSET(A984,-7,0)+0.001,ERROR.TYPE(0)),IFERROR(IF(OFFSET(A984,-8,0)&gt;0,OFFSET(A984,-8,0)+0.001,ERROR.TYPE(0)),IFERROR(IF(OFFSET(A984,-9,0)&gt;0,OFFSET(A984,-9,0)+0.001,ERROR.TYPE(0)),IFERROR(IF(OFFSET(A984,-10,0)&gt;0,OFFSET(A984,-10,0)+0.001,ERROR.TYPE(0)),ERROR.TYPE(0)))))))))))</f>
        <v>4.4620000000001543</v>
      </c>
      <c r="B984" s="690" t="s">
        <v>780</v>
      </c>
      <c r="C984" s="646">
        <v>2</v>
      </c>
      <c r="D984" s="646" t="s">
        <v>141</v>
      </c>
      <c r="E984" s="649">
        <f ca="1">Elec_Est!E4491</f>
        <v>47.62</v>
      </c>
      <c r="F984" s="1125">
        <f ca="1">IFERROR($C984*E984,E984)</f>
        <v>95.24</v>
      </c>
    </row>
    <row r="985" spans="1:6" s="631" customFormat="1">
      <c r="A985" s="643">
        <f t="shared" ca="1" si="223"/>
        <v>4.4630000000001546</v>
      </c>
      <c r="B985" s="690" t="s">
        <v>783</v>
      </c>
      <c r="C985" s="646">
        <v>9</v>
      </c>
      <c r="D985" s="646" t="s">
        <v>141</v>
      </c>
      <c r="E985" s="649">
        <f>Elec_Est!E4498</f>
        <v>20.64</v>
      </c>
      <c r="F985" s="1125">
        <f>IFERROR($C985*E985,E985)</f>
        <v>185.76</v>
      </c>
    </row>
    <row r="986" spans="1:6" s="631" customFormat="1">
      <c r="A986" s="643">
        <f t="shared" ca="1" si="223"/>
        <v>4.464000000000155</v>
      </c>
      <c r="B986" s="690" t="s">
        <v>820</v>
      </c>
      <c r="C986" s="646">
        <v>1</v>
      </c>
      <c r="D986" s="646" t="s">
        <v>141</v>
      </c>
      <c r="E986" s="649">
        <f>Elec_Est!E4506</f>
        <v>110.9</v>
      </c>
      <c r="F986" s="1125">
        <f>IFERROR($C986*E986,E986)</f>
        <v>110.9</v>
      </c>
    </row>
    <row r="987" spans="1:6" s="631" customFormat="1" ht="55.2">
      <c r="A987" s="643">
        <f t="shared" ca="1" si="223"/>
        <v>4.4650000000001553</v>
      </c>
      <c r="B987" s="695" t="s">
        <v>812</v>
      </c>
      <c r="C987" s="646">
        <v>1</v>
      </c>
      <c r="D987" s="646" t="s">
        <v>141</v>
      </c>
      <c r="E987" s="649">
        <f>Elec_Est!E4515</f>
        <v>267.02999999999997</v>
      </c>
      <c r="F987" s="1125">
        <f>IFERROR($C987*E987,E987)</f>
        <v>267.02999999999997</v>
      </c>
    </row>
    <row r="988" spans="1:6" s="631" customFormat="1">
      <c r="A988" s="638"/>
      <c r="B988" s="639" t="s">
        <v>848</v>
      </c>
      <c r="C988" s="1456" t="s">
        <v>305</v>
      </c>
      <c r="D988" s="1457"/>
      <c r="E988" s="652"/>
      <c r="F988" s="1239">
        <f ca="1">SUM(F944:F987)</f>
        <v>12682.090000000002</v>
      </c>
    </row>
    <row r="989" spans="1:6" s="631" customFormat="1">
      <c r="A989" s="660"/>
      <c r="B989" s="629"/>
      <c r="C989" s="661"/>
      <c r="D989" s="654"/>
      <c r="E989" s="662"/>
      <c r="F989" s="1127"/>
    </row>
    <row r="990" spans="1:6" s="631" customFormat="1">
      <c r="A990" s="660"/>
      <c r="B990" s="629"/>
      <c r="C990" s="661"/>
      <c r="D990" s="654"/>
      <c r="E990" s="662"/>
      <c r="F990" s="1127"/>
    </row>
    <row r="991" spans="1:6" s="631" customFormat="1" ht="27.6">
      <c r="A991" s="634" t="s">
        <v>143</v>
      </c>
      <c r="B991" s="635" t="s">
        <v>198</v>
      </c>
      <c r="C991" s="636" t="s">
        <v>199</v>
      </c>
      <c r="D991" s="636" t="s">
        <v>200</v>
      </c>
      <c r="E991" s="637" t="s">
        <v>294</v>
      </c>
      <c r="F991" s="1122" t="s">
        <v>295</v>
      </c>
    </row>
    <row r="992" spans="1:6" s="631" customFormat="1">
      <c r="A992" s="643"/>
      <c r="B992" s="639" t="s">
        <v>368</v>
      </c>
      <c r="C992" s="645"/>
      <c r="D992" s="646"/>
      <c r="E992" s="647"/>
      <c r="F992" s="1125"/>
    </row>
    <row r="993" spans="1:6" s="631" customFormat="1" ht="41.4">
      <c r="A993" s="643"/>
      <c r="B993" s="687" t="s">
        <v>803</v>
      </c>
      <c r="C993" s="645"/>
      <c r="D993" s="646"/>
      <c r="E993" s="647"/>
      <c r="F993" s="1125"/>
    </row>
    <row r="994" spans="1:6" s="631" customFormat="1">
      <c r="A994" s="643"/>
      <c r="B994" s="689" t="s">
        <v>849</v>
      </c>
      <c r="C994" s="645"/>
      <c r="D994" s="646"/>
      <c r="E994" s="647"/>
      <c r="F994" s="1125"/>
    </row>
    <row r="995" spans="1:6" s="631" customFormat="1">
      <c r="A995" s="643">
        <f t="shared" ref="A995:A1012" ca="1" si="224">IFERROR(IF(OFFSET(A995,-1,0)&gt;0,OFFSET(A995,-1,0)+0.001,ERROR.TYPE(0)),IFERROR(IF(OFFSET(A995,-2,0)&gt;0,OFFSET(A995,-2,0)+0.001,ERROR.TYPE(0)),IFERROR(IF(OFFSET(A995,-3,0)&gt;0,OFFSET(A995,-3,0)+0.001,ERROR.TYPE(0)),IFERROR(IF(OFFSET(A995,-4,0)&gt;0,OFFSET(A995,-4,0)+0.001,ERROR.TYPE(0)),IFERROR(IF(OFFSET(A995,-5,0)&gt;0,OFFSET(A995,-5,0)+0.001,ERROR.TYPE(0)),IFERROR(IF(OFFSET(A995,-6,0)&gt;0,OFFSET(A995,-6,0)+0.001,ERROR.TYPE(0)),IFERROR(IF(OFFSET(A995,-7,0)&gt;0,OFFSET(A995,-7,0)+0.001,ERROR.TYPE(0)),IFERROR(IF(OFFSET(A995,-8,0)&gt;0,OFFSET(A995,-8,0)+0.001,ERROR.TYPE(0)),IFERROR(IF(OFFSET(A995,-9,0)&gt;0,OFFSET(A995,-9,0)+0.001,ERROR.TYPE(0)),IFERROR(IF(OFFSET(A995,-10,0)&gt;0,OFFSET(A995,-10,0)+0.001,ERROR.TYPE(0)),ERROR.TYPE(0)))))))))))</f>
        <v>4.4660000000001556</v>
      </c>
      <c r="B995" s="690" t="s">
        <v>843</v>
      </c>
      <c r="C995" s="646">
        <v>1</v>
      </c>
      <c r="D995" s="646" t="s">
        <v>141</v>
      </c>
      <c r="E995" s="649">
        <f ca="1">Elec_Est!E4541</f>
        <v>75.63</v>
      </c>
      <c r="F995" s="1125">
        <f ca="1">IFERROR($C995*E995,E995)</f>
        <v>75.63</v>
      </c>
    </row>
    <row r="996" spans="1:6" s="631" customFormat="1">
      <c r="A996" s="643">
        <f t="shared" ca="1" si="224"/>
        <v>4.467000000000156</v>
      </c>
      <c r="B996" s="690" t="s">
        <v>788</v>
      </c>
      <c r="C996" s="646">
        <v>88</v>
      </c>
      <c r="D996" s="646" t="s">
        <v>141</v>
      </c>
      <c r="E996" s="649">
        <f ca="1">Elec_Est!E4549</f>
        <v>61.52</v>
      </c>
      <c r="F996" s="1125">
        <f t="shared" ref="F996:F1010" ca="1" si="225">IFERROR($C996*E996,E996)</f>
        <v>5413.76</v>
      </c>
    </row>
    <row r="997" spans="1:6" s="631" customFormat="1">
      <c r="A997" s="643">
        <f t="shared" ca="1" si="224"/>
        <v>4.4680000000001563</v>
      </c>
      <c r="B997" s="690" t="s">
        <v>724</v>
      </c>
      <c r="C997" s="646">
        <v>31</v>
      </c>
      <c r="D997" s="646" t="s">
        <v>141</v>
      </c>
      <c r="E997" s="649">
        <f ca="1">Elec_Est!E4557</f>
        <v>64.84</v>
      </c>
      <c r="F997" s="1125">
        <f t="shared" ca="1" si="225"/>
        <v>2010.0400000000002</v>
      </c>
    </row>
    <row r="998" spans="1:6" s="631" customFormat="1">
      <c r="A998" s="643">
        <f t="shared" ca="1" si="224"/>
        <v>4.4690000000001566</v>
      </c>
      <c r="B998" s="690" t="s">
        <v>755</v>
      </c>
      <c r="C998" s="646">
        <v>1</v>
      </c>
      <c r="D998" s="646" t="s">
        <v>141</v>
      </c>
      <c r="E998" s="649">
        <f ca="1">Elec_Est!E4565</f>
        <v>189.03</v>
      </c>
      <c r="F998" s="1125">
        <f t="shared" ca="1" si="225"/>
        <v>189.03</v>
      </c>
    </row>
    <row r="999" spans="1:6" s="631" customFormat="1">
      <c r="A999" s="643">
        <f t="shared" ca="1" si="224"/>
        <v>4.470000000000157</v>
      </c>
      <c r="B999" s="690" t="s">
        <v>807</v>
      </c>
      <c r="C999" s="646">
        <v>1</v>
      </c>
      <c r="D999" s="646" t="s">
        <v>141</v>
      </c>
      <c r="E999" s="649">
        <f ca="1">Elec_Est!E4573</f>
        <v>63.24</v>
      </c>
      <c r="F999" s="1125">
        <f t="shared" ca="1" si="225"/>
        <v>63.24</v>
      </c>
    </row>
    <row r="1000" spans="1:6" s="631" customFormat="1">
      <c r="A1000" s="643">
        <f t="shared" ca="1" si="224"/>
        <v>4.4710000000001573</v>
      </c>
      <c r="B1000" s="690" t="s">
        <v>757</v>
      </c>
      <c r="C1000" s="646">
        <v>5</v>
      </c>
      <c r="D1000" s="646" t="s">
        <v>141</v>
      </c>
      <c r="E1000" s="649">
        <f ca="1">Elec_Est!E4581</f>
        <v>208.63</v>
      </c>
      <c r="F1000" s="1125">
        <f t="shared" ca="1" si="225"/>
        <v>1043.1500000000001</v>
      </c>
    </row>
    <row r="1001" spans="1:6" s="631" customFormat="1">
      <c r="A1001" s="643">
        <f t="shared" ca="1" si="224"/>
        <v>4.4720000000001576</v>
      </c>
      <c r="B1001" s="651" t="s">
        <v>759</v>
      </c>
      <c r="C1001" s="646">
        <v>7</v>
      </c>
      <c r="D1001" s="646" t="s">
        <v>141</v>
      </c>
      <c r="E1001" s="649">
        <f ca="1">Elec_Est!E4588</f>
        <v>102.1</v>
      </c>
      <c r="F1001" s="1125">
        <f t="shared" ca="1" si="225"/>
        <v>714.69999999999993</v>
      </c>
    </row>
    <row r="1002" spans="1:6" s="631" customFormat="1">
      <c r="A1002" s="643">
        <f t="shared" ca="1" si="224"/>
        <v>4.473000000000158</v>
      </c>
      <c r="B1002" s="651" t="s">
        <v>791</v>
      </c>
      <c r="C1002" s="646">
        <v>7</v>
      </c>
      <c r="D1002" s="646" t="s">
        <v>141</v>
      </c>
      <c r="E1002" s="649">
        <f ca="1">Elec_Est!E4595</f>
        <v>136.13</v>
      </c>
      <c r="F1002" s="1125">
        <f t="shared" ca="1" si="225"/>
        <v>952.91</v>
      </c>
    </row>
    <row r="1003" spans="1:6" s="631" customFormat="1">
      <c r="A1003" s="643">
        <f t="shared" ca="1" si="224"/>
        <v>4.4740000000001583</v>
      </c>
      <c r="B1003" s="651" t="s">
        <v>761</v>
      </c>
      <c r="C1003" s="646">
        <v>10</v>
      </c>
      <c r="D1003" s="646" t="s">
        <v>141</v>
      </c>
      <c r="E1003" s="649">
        <f ca="1">Elec_Est!E4602</f>
        <v>170.16</v>
      </c>
      <c r="F1003" s="1125">
        <f t="shared" ca="1" si="225"/>
        <v>1701.6</v>
      </c>
    </row>
    <row r="1004" spans="1:6" s="631" customFormat="1">
      <c r="A1004" s="643">
        <f t="shared" ca="1" si="224"/>
        <v>4.4750000000001586</v>
      </c>
      <c r="B1004" s="651" t="s">
        <v>762</v>
      </c>
      <c r="C1004" s="646">
        <v>1</v>
      </c>
      <c r="D1004" s="646" t="s">
        <v>141</v>
      </c>
      <c r="E1004" s="649">
        <f ca="1">Elec_Est!E4609</f>
        <v>204.19</v>
      </c>
      <c r="F1004" s="1125">
        <f t="shared" ca="1" si="225"/>
        <v>204.19</v>
      </c>
    </row>
    <row r="1005" spans="1:6" s="631" customFormat="1">
      <c r="A1005" s="643">
        <f t="shared" ca="1" si="224"/>
        <v>4.476000000000159</v>
      </c>
      <c r="B1005" s="651" t="s">
        <v>817</v>
      </c>
      <c r="C1005" s="646">
        <v>2</v>
      </c>
      <c r="D1005" s="646" t="s">
        <v>141</v>
      </c>
      <c r="E1005" s="649">
        <f ca="1">Elec_Est!E4616</f>
        <v>474.46</v>
      </c>
      <c r="F1005" s="1125">
        <f t="shared" ca="1" si="225"/>
        <v>948.92</v>
      </c>
    </row>
    <row r="1006" spans="1:6" s="631" customFormat="1">
      <c r="A1006" s="643">
        <f t="shared" ca="1" si="224"/>
        <v>4.4770000000001593</v>
      </c>
      <c r="B1006" s="651" t="s">
        <v>793</v>
      </c>
      <c r="C1006" s="646">
        <v>4</v>
      </c>
      <c r="D1006" s="646" t="s">
        <v>141</v>
      </c>
      <c r="E1006" s="649">
        <f ca="1">Elec_Est!E4623</f>
        <v>158.15</v>
      </c>
      <c r="F1006" s="1125">
        <f t="shared" ca="1" si="225"/>
        <v>632.6</v>
      </c>
    </row>
    <row r="1007" spans="1:6" s="631" customFormat="1">
      <c r="A1007" s="643">
        <f t="shared" ca="1" si="224"/>
        <v>4.4780000000001596</v>
      </c>
      <c r="B1007" s="651" t="s">
        <v>794</v>
      </c>
      <c r="C1007" s="646">
        <v>2</v>
      </c>
      <c r="D1007" s="646" t="s">
        <v>141</v>
      </c>
      <c r="E1007" s="649">
        <f ca="1">Elec_Est!E4630</f>
        <v>237.23</v>
      </c>
      <c r="F1007" s="1125">
        <f t="shared" ca="1" si="225"/>
        <v>474.46</v>
      </c>
    </row>
    <row r="1008" spans="1:6" s="631" customFormat="1">
      <c r="A1008" s="643">
        <f t="shared" ca="1" si="224"/>
        <v>4.47900000000016</v>
      </c>
      <c r="B1008" s="651" t="s">
        <v>850</v>
      </c>
      <c r="C1008" s="646">
        <v>1</v>
      </c>
      <c r="D1008" s="646" t="s">
        <v>141</v>
      </c>
      <c r="E1008" s="649">
        <f ca="1">Elec_Est!E4637</f>
        <v>869.85</v>
      </c>
      <c r="F1008" s="1125">
        <f t="shared" ca="1" si="225"/>
        <v>869.85</v>
      </c>
    </row>
    <row r="1009" spans="1:6" s="631" customFormat="1">
      <c r="A1009" s="643">
        <f t="shared" ca="1" si="224"/>
        <v>4.4800000000001603</v>
      </c>
      <c r="B1009" s="651" t="s">
        <v>851</v>
      </c>
      <c r="C1009" s="646">
        <v>1</v>
      </c>
      <c r="D1009" s="646" t="s">
        <v>141</v>
      </c>
      <c r="E1009" s="649">
        <f ca="1">Elec_Est!E4644</f>
        <v>238.22</v>
      </c>
      <c r="F1009" s="1125">
        <f t="shared" ca="1" si="225"/>
        <v>238.22</v>
      </c>
    </row>
    <row r="1010" spans="1:6" s="631" customFormat="1">
      <c r="A1010" s="643">
        <f t="shared" ca="1" si="224"/>
        <v>4.4810000000001606</v>
      </c>
      <c r="B1010" s="651" t="s">
        <v>852</v>
      </c>
      <c r="C1010" s="646">
        <v>1</v>
      </c>
      <c r="D1010" s="646" t="s">
        <v>141</v>
      </c>
      <c r="E1010" s="649">
        <f ca="1">Elec_Est!E4651</f>
        <v>272.26</v>
      </c>
      <c r="F1010" s="1125">
        <f t="shared" ca="1" si="225"/>
        <v>272.26</v>
      </c>
    </row>
    <row r="1011" spans="1:6" s="631" customFormat="1" ht="27.6">
      <c r="A1011" s="643">
        <f t="shared" ca="1" si="224"/>
        <v>4.482000000000161</v>
      </c>
      <c r="B1011" s="648" t="s">
        <v>776</v>
      </c>
      <c r="C1011" s="646">
        <v>43</v>
      </c>
      <c r="D1011" s="646" t="s">
        <v>141</v>
      </c>
      <c r="E1011" s="649" t="str">
        <f>Elec_Est!Q4658</f>
        <v>Included</v>
      </c>
      <c r="F1011" s="1125"/>
    </row>
    <row r="1012" spans="1:6" s="631" customFormat="1">
      <c r="A1012" s="643">
        <f t="shared" ca="1" si="224"/>
        <v>4.4830000000001613</v>
      </c>
      <c r="B1012" s="648" t="s">
        <v>777</v>
      </c>
      <c r="C1012" s="646">
        <v>5</v>
      </c>
      <c r="D1012" s="646" t="s">
        <v>141</v>
      </c>
      <c r="E1012" s="649">
        <f ca="1">Elec_Est!E4664</f>
        <v>46.93</v>
      </c>
      <c r="F1012" s="1125">
        <f t="shared" ref="F1012" ca="1" si="226">IFERROR($C1012*E1012,E1012)</f>
        <v>234.65</v>
      </c>
    </row>
    <row r="1013" spans="1:6" s="631" customFormat="1">
      <c r="A1013" s="643"/>
      <c r="B1013" s="687" t="s">
        <v>778</v>
      </c>
      <c r="C1013" s="645"/>
      <c r="D1013" s="646"/>
      <c r="E1013" s="647"/>
      <c r="F1013" s="1125"/>
    </row>
    <row r="1014" spans="1:6" s="631" customFormat="1">
      <c r="A1014" s="643">
        <f t="shared" ref="A1014:A1017" ca="1" si="227">IFERROR(IF(OFFSET(A1014,-1,0)&gt;0,OFFSET(A1014,-1,0)+0.001,ERROR.TYPE(0)),IFERROR(IF(OFFSET(A1014,-2,0)&gt;0,OFFSET(A1014,-2,0)+0.001,ERROR.TYPE(0)),IFERROR(IF(OFFSET(A1014,-3,0)&gt;0,OFFSET(A1014,-3,0)+0.001,ERROR.TYPE(0)),IFERROR(IF(OFFSET(A1014,-4,0)&gt;0,OFFSET(A1014,-4,0)+0.001,ERROR.TYPE(0)),IFERROR(IF(OFFSET(A1014,-5,0)&gt;0,OFFSET(A1014,-5,0)+0.001,ERROR.TYPE(0)),IFERROR(IF(OFFSET(A1014,-6,0)&gt;0,OFFSET(A1014,-6,0)+0.001,ERROR.TYPE(0)),IFERROR(IF(OFFSET(A1014,-7,0)&gt;0,OFFSET(A1014,-7,0)+0.001,ERROR.TYPE(0)),IFERROR(IF(OFFSET(A1014,-8,0)&gt;0,OFFSET(A1014,-8,0)+0.001,ERROR.TYPE(0)),IFERROR(IF(OFFSET(A1014,-9,0)&gt;0,OFFSET(A1014,-9,0)+0.001,ERROR.TYPE(0)),IFERROR(IF(OFFSET(A1014,-10,0)&gt;0,OFFSET(A1014,-10,0)+0.001,ERROR.TYPE(0)),ERROR.TYPE(0)))))))))))</f>
        <v>4.4840000000001616</v>
      </c>
      <c r="B1014" s="690" t="s">
        <v>845</v>
      </c>
      <c r="C1014" s="646">
        <v>7</v>
      </c>
      <c r="D1014" s="646" t="s">
        <v>141</v>
      </c>
      <c r="E1014" s="649">
        <f>Elec_Est!E4675</f>
        <v>142.9</v>
      </c>
      <c r="F1014" s="1125">
        <f>IFERROR($C1014*E1014,E1014)</f>
        <v>1000.3000000000001</v>
      </c>
    </row>
    <row r="1015" spans="1:6" s="631" customFormat="1">
      <c r="A1015" s="643">
        <f t="shared" ca="1" si="227"/>
        <v>4.485000000000162</v>
      </c>
      <c r="B1015" s="690" t="s">
        <v>853</v>
      </c>
      <c r="C1015" s="646">
        <v>2</v>
      </c>
      <c r="D1015" s="646" t="s">
        <v>141</v>
      </c>
      <c r="E1015" s="649">
        <f>Elec_Est!E4683</f>
        <v>142.9</v>
      </c>
      <c r="F1015" s="1125">
        <f>IFERROR($C1015*E1015,E1015)</f>
        <v>285.8</v>
      </c>
    </row>
    <row r="1016" spans="1:6" s="631" customFormat="1">
      <c r="A1016" s="643">
        <f t="shared" ca="1" si="227"/>
        <v>4.4860000000001623</v>
      </c>
      <c r="B1016" s="690" t="s">
        <v>780</v>
      </c>
      <c r="C1016" s="646">
        <v>5</v>
      </c>
      <c r="D1016" s="646" t="s">
        <v>141</v>
      </c>
      <c r="E1016" s="649">
        <f ca="1">Elec_Est!E4691</f>
        <v>47.62</v>
      </c>
      <c r="F1016" s="1125">
        <f ca="1">IFERROR($C1016*E1016,E1016)</f>
        <v>238.1</v>
      </c>
    </row>
    <row r="1017" spans="1:6" s="631" customFormat="1">
      <c r="A1017" s="643">
        <f t="shared" ca="1" si="227"/>
        <v>4.4870000000001626</v>
      </c>
      <c r="B1017" s="690" t="s">
        <v>783</v>
      </c>
      <c r="C1017" s="646">
        <v>11</v>
      </c>
      <c r="D1017" s="646" t="s">
        <v>141</v>
      </c>
      <c r="E1017" s="649">
        <f>Elec_Est!E4698</f>
        <v>20.64</v>
      </c>
      <c r="F1017" s="1125">
        <f>IFERROR($C1017*E1017,E1017)</f>
        <v>227.04000000000002</v>
      </c>
    </row>
    <row r="1018" spans="1:6" s="631" customFormat="1" ht="41.4">
      <c r="A1018" s="643"/>
      <c r="B1018" s="687" t="s">
        <v>803</v>
      </c>
      <c r="C1018" s="645"/>
      <c r="D1018" s="646"/>
      <c r="E1018" s="647"/>
      <c r="F1018" s="1125"/>
    </row>
    <row r="1019" spans="1:6" s="631" customFormat="1">
      <c r="A1019" s="643"/>
      <c r="B1019" s="689" t="s">
        <v>854</v>
      </c>
      <c r="C1019" s="645"/>
      <c r="D1019" s="646"/>
      <c r="E1019" s="647"/>
      <c r="F1019" s="1125"/>
    </row>
    <row r="1020" spans="1:6" s="631" customFormat="1">
      <c r="A1020" s="643">
        <f t="shared" ref="A1020" ca="1" si="228">IFERROR(IF(OFFSET(A1020,-1,0)&gt;0,OFFSET(A1020,-1,0)+0.001,ERROR.TYPE(0)),IFERROR(IF(OFFSET(A1020,-2,0)&gt;0,OFFSET(A1020,-2,0)+0.001,ERROR.TYPE(0)),IFERROR(IF(OFFSET(A1020,-3,0)&gt;0,OFFSET(A1020,-3,0)+0.001,ERROR.TYPE(0)),IFERROR(IF(OFFSET(A1020,-4,0)&gt;0,OFFSET(A1020,-4,0)+0.001,ERROR.TYPE(0)),IFERROR(IF(OFFSET(A1020,-5,0)&gt;0,OFFSET(A1020,-5,0)+0.001,ERROR.TYPE(0)),IFERROR(IF(OFFSET(A1020,-6,0)&gt;0,OFFSET(A1020,-6,0)+0.001,ERROR.TYPE(0)),IFERROR(IF(OFFSET(A1020,-7,0)&gt;0,OFFSET(A1020,-7,0)+0.001,ERROR.TYPE(0)),IFERROR(IF(OFFSET(A1020,-8,0)&gt;0,OFFSET(A1020,-8,0)+0.001,ERROR.TYPE(0)),IFERROR(IF(OFFSET(A1020,-9,0)&gt;0,OFFSET(A1020,-9,0)+0.001,ERROR.TYPE(0)),IFERROR(IF(OFFSET(A1020,-10,0)&gt;0,OFFSET(A1020,-10,0)+0.001,ERROR.TYPE(0)),ERROR.TYPE(0)))))))))))</f>
        <v>4.488000000000163</v>
      </c>
      <c r="B1020" s="690" t="s">
        <v>757</v>
      </c>
      <c r="C1020" s="646">
        <v>2</v>
      </c>
      <c r="D1020" s="646" t="s">
        <v>141</v>
      </c>
      <c r="E1020" s="649">
        <f ca="1">Elec_Est!E4714</f>
        <v>208.63</v>
      </c>
      <c r="F1020" s="1125">
        <f t="shared" ref="F1020" ca="1" si="229">IFERROR($C1020*E1020,E1020)</f>
        <v>417.26</v>
      </c>
    </row>
    <row r="1021" spans="1:6" s="631" customFormat="1">
      <c r="A1021" s="643"/>
      <c r="B1021" s="687" t="s">
        <v>778</v>
      </c>
      <c r="C1021" s="645"/>
      <c r="D1021" s="646"/>
      <c r="E1021" s="647"/>
      <c r="F1021" s="1125"/>
    </row>
    <row r="1022" spans="1:6" s="631" customFormat="1">
      <c r="A1022" s="643">
        <f t="shared" ref="A1022" ca="1" si="230">IFERROR(IF(OFFSET(A1022,-1,0)&gt;0,OFFSET(A1022,-1,0)+0.001,ERROR.TYPE(0)),IFERROR(IF(OFFSET(A1022,-2,0)&gt;0,OFFSET(A1022,-2,0)+0.001,ERROR.TYPE(0)),IFERROR(IF(OFFSET(A1022,-3,0)&gt;0,OFFSET(A1022,-3,0)+0.001,ERROR.TYPE(0)),IFERROR(IF(OFFSET(A1022,-4,0)&gt;0,OFFSET(A1022,-4,0)+0.001,ERROR.TYPE(0)),IFERROR(IF(OFFSET(A1022,-5,0)&gt;0,OFFSET(A1022,-5,0)+0.001,ERROR.TYPE(0)),IFERROR(IF(OFFSET(A1022,-6,0)&gt;0,OFFSET(A1022,-6,0)+0.001,ERROR.TYPE(0)),IFERROR(IF(OFFSET(A1022,-7,0)&gt;0,OFFSET(A1022,-7,0)+0.001,ERROR.TYPE(0)),IFERROR(IF(OFFSET(A1022,-8,0)&gt;0,OFFSET(A1022,-8,0)+0.001,ERROR.TYPE(0)),IFERROR(IF(OFFSET(A1022,-9,0)&gt;0,OFFSET(A1022,-9,0)+0.001,ERROR.TYPE(0)),IFERROR(IF(OFFSET(A1022,-10,0)&gt;0,OFFSET(A1022,-10,0)+0.001,ERROR.TYPE(0)),ERROR.TYPE(0)))))))))))</f>
        <v>4.4890000000001633</v>
      </c>
      <c r="B1022" s="690" t="s">
        <v>780</v>
      </c>
      <c r="C1022" s="646">
        <v>2</v>
      </c>
      <c r="D1022" s="646" t="s">
        <v>141</v>
      </c>
      <c r="E1022" s="649">
        <f ca="1">Elec_Est!E4725</f>
        <v>47.62</v>
      </c>
      <c r="F1022" s="1125">
        <f ca="1">IFERROR($C1022*E1022,E1022)</f>
        <v>95.24</v>
      </c>
    </row>
    <row r="1023" spans="1:6" s="631" customFormat="1">
      <c r="A1023" s="638"/>
      <c r="B1023" s="639" t="s">
        <v>855</v>
      </c>
      <c r="C1023" s="1456" t="s">
        <v>305</v>
      </c>
      <c r="D1023" s="1457"/>
      <c r="E1023" s="652"/>
      <c r="F1023" s="1239">
        <f ca="1">SUM(F994:F1022)</f>
        <v>18302.95</v>
      </c>
    </row>
    <row r="1024" spans="1:6" s="631" customFormat="1">
      <c r="A1024" s="660"/>
      <c r="B1024" s="629"/>
      <c r="C1024" s="661"/>
      <c r="D1024" s="654"/>
      <c r="E1024" s="662"/>
      <c r="F1024" s="1127"/>
    </row>
    <row r="1025" spans="1:6" s="631" customFormat="1">
      <c r="A1025" s="660"/>
      <c r="B1025" s="629"/>
      <c r="C1025" s="661"/>
      <c r="D1025" s="654"/>
      <c r="E1025" s="662"/>
      <c r="F1025" s="1127"/>
    </row>
    <row r="1026" spans="1:6" s="631" customFormat="1" ht="27.6">
      <c r="A1026" s="634" t="s">
        <v>143</v>
      </c>
      <c r="B1026" s="635" t="s">
        <v>198</v>
      </c>
      <c r="C1026" s="636" t="s">
        <v>199</v>
      </c>
      <c r="D1026" s="636" t="s">
        <v>200</v>
      </c>
      <c r="E1026" s="637" t="s">
        <v>294</v>
      </c>
      <c r="F1026" s="1122" t="s">
        <v>295</v>
      </c>
    </row>
    <row r="1027" spans="1:6" s="631" customFormat="1">
      <c r="A1027" s="643"/>
      <c r="B1027" s="639" t="s">
        <v>371</v>
      </c>
      <c r="C1027" s="645"/>
      <c r="D1027" s="646"/>
      <c r="E1027" s="647"/>
      <c r="F1027" s="1125"/>
    </row>
    <row r="1028" spans="1:6" s="631" customFormat="1" ht="41.4">
      <c r="A1028" s="643"/>
      <c r="B1028" s="687" t="s">
        <v>803</v>
      </c>
      <c r="C1028" s="645"/>
      <c r="D1028" s="646"/>
      <c r="E1028" s="647"/>
      <c r="F1028" s="1125"/>
    </row>
    <row r="1029" spans="1:6" s="631" customFormat="1">
      <c r="A1029" s="643"/>
      <c r="B1029" s="689" t="s">
        <v>856</v>
      </c>
      <c r="C1029" s="645"/>
      <c r="D1029" s="646"/>
      <c r="E1029" s="647"/>
      <c r="F1029" s="1125"/>
    </row>
    <row r="1030" spans="1:6" s="631" customFormat="1">
      <c r="A1030" s="643">
        <f t="shared" ref="A1030:A1045" ca="1" si="231">IFERROR(IF(OFFSET(A1030,-1,0)&gt;0,OFFSET(A1030,-1,0)+0.001,ERROR.TYPE(0)),IFERROR(IF(OFFSET(A1030,-2,0)&gt;0,OFFSET(A1030,-2,0)+0.001,ERROR.TYPE(0)),IFERROR(IF(OFFSET(A1030,-3,0)&gt;0,OFFSET(A1030,-3,0)+0.001,ERROR.TYPE(0)),IFERROR(IF(OFFSET(A1030,-4,0)&gt;0,OFFSET(A1030,-4,0)+0.001,ERROR.TYPE(0)),IFERROR(IF(OFFSET(A1030,-5,0)&gt;0,OFFSET(A1030,-5,0)+0.001,ERROR.TYPE(0)),IFERROR(IF(OFFSET(A1030,-6,0)&gt;0,OFFSET(A1030,-6,0)+0.001,ERROR.TYPE(0)),IFERROR(IF(OFFSET(A1030,-7,0)&gt;0,OFFSET(A1030,-7,0)+0.001,ERROR.TYPE(0)),IFERROR(IF(OFFSET(A1030,-8,0)&gt;0,OFFSET(A1030,-8,0)+0.001,ERROR.TYPE(0)),IFERROR(IF(OFFSET(A1030,-9,0)&gt;0,OFFSET(A1030,-9,0)+0.001,ERROR.TYPE(0)),IFERROR(IF(OFFSET(A1030,-10,0)&gt;0,OFFSET(A1030,-10,0)+0.001,ERROR.TYPE(0)),ERROR.TYPE(0)))))))))))</f>
        <v>4.4900000000001636</v>
      </c>
      <c r="B1030" s="690" t="s">
        <v>843</v>
      </c>
      <c r="C1030" s="646">
        <v>1</v>
      </c>
      <c r="D1030" s="646" t="s">
        <v>141</v>
      </c>
      <c r="E1030" s="649">
        <f ca="1">Elec_Est!E4750</f>
        <v>75.63</v>
      </c>
      <c r="F1030" s="1125">
        <f ca="1">IFERROR($C1030*E1030,E1030)</f>
        <v>75.63</v>
      </c>
    </row>
    <row r="1031" spans="1:6" s="631" customFormat="1">
      <c r="A1031" s="643">
        <f t="shared" ca="1" si="231"/>
        <v>4.491000000000164</v>
      </c>
      <c r="B1031" s="690" t="s">
        <v>788</v>
      </c>
      <c r="C1031" s="646">
        <v>51</v>
      </c>
      <c r="D1031" s="646" t="s">
        <v>141</v>
      </c>
      <c r="E1031" s="649">
        <f ca="1">Elec_Est!E4758</f>
        <v>61.52</v>
      </c>
      <c r="F1031" s="1125">
        <f ca="1">IFERROR($C1031*E1031,E1031)</f>
        <v>3137.52</v>
      </c>
    </row>
    <row r="1032" spans="1:6" s="631" customFormat="1">
      <c r="A1032" s="643">
        <f t="shared" ca="1" si="231"/>
        <v>4.4920000000001643</v>
      </c>
      <c r="B1032" s="690" t="s">
        <v>724</v>
      </c>
      <c r="C1032" s="646">
        <v>21</v>
      </c>
      <c r="D1032" s="646" t="s">
        <v>141</v>
      </c>
      <c r="E1032" s="649">
        <f ca="1">Elec_Est!E4766</f>
        <v>64.84</v>
      </c>
      <c r="F1032" s="1125">
        <f ca="1">IFERROR($C1032*E1032,E1032)</f>
        <v>1361.64</v>
      </c>
    </row>
    <row r="1033" spans="1:6" s="631" customFormat="1">
      <c r="A1033" s="643">
        <f t="shared" ca="1" si="231"/>
        <v>4.4930000000001646</v>
      </c>
      <c r="B1033" s="690" t="s">
        <v>807</v>
      </c>
      <c r="C1033" s="646">
        <v>1</v>
      </c>
      <c r="D1033" s="646" t="s">
        <v>141</v>
      </c>
      <c r="E1033" s="649">
        <f ca="1">Elec_Est!E4774</f>
        <v>63.24</v>
      </c>
      <c r="F1033" s="1125">
        <f ca="1">IFERROR($C1033*E1033,E1033)</f>
        <v>63.24</v>
      </c>
    </row>
    <row r="1034" spans="1:6" s="631" customFormat="1">
      <c r="A1034" s="643">
        <f t="shared" ca="1" si="231"/>
        <v>4.494000000000165</v>
      </c>
      <c r="B1034" s="690" t="s">
        <v>757</v>
      </c>
      <c r="C1034" s="646">
        <v>1</v>
      </c>
      <c r="D1034" s="646" t="s">
        <v>141</v>
      </c>
      <c r="E1034" s="649">
        <f ca="1">Elec_Est!E4782</f>
        <v>208.63</v>
      </c>
      <c r="F1034" s="1125">
        <f t="shared" ref="F1034:F1045" ca="1" si="232">IFERROR($C1034*E1034,E1034)</f>
        <v>208.63</v>
      </c>
    </row>
    <row r="1035" spans="1:6" s="631" customFormat="1">
      <c r="A1035" s="643">
        <f t="shared" ca="1" si="231"/>
        <v>4.4950000000001653</v>
      </c>
      <c r="B1035" s="651" t="s">
        <v>758</v>
      </c>
      <c r="C1035" s="646">
        <v>1</v>
      </c>
      <c r="D1035" s="646" t="s">
        <v>141</v>
      </c>
      <c r="E1035" s="649">
        <f ca="1">Elec_Est!E4789</f>
        <v>68.06</v>
      </c>
      <c r="F1035" s="1125">
        <f t="shared" ca="1" si="232"/>
        <v>68.06</v>
      </c>
    </row>
    <row r="1036" spans="1:6" s="631" customFormat="1">
      <c r="A1036" s="643">
        <f t="shared" ca="1" si="231"/>
        <v>4.4960000000001656</v>
      </c>
      <c r="B1036" s="651" t="s">
        <v>759</v>
      </c>
      <c r="C1036" s="646">
        <v>3</v>
      </c>
      <c r="D1036" s="646" t="s">
        <v>141</v>
      </c>
      <c r="E1036" s="649">
        <f ca="1">Elec_Est!E4796</f>
        <v>68.06</v>
      </c>
      <c r="F1036" s="1125">
        <f t="shared" ca="1" si="232"/>
        <v>204.18</v>
      </c>
    </row>
    <row r="1037" spans="1:6" s="631" customFormat="1">
      <c r="A1037" s="643">
        <f t="shared" ca="1" si="231"/>
        <v>4.497000000000166</v>
      </c>
      <c r="B1037" s="651" t="s">
        <v>791</v>
      </c>
      <c r="C1037" s="646">
        <v>6</v>
      </c>
      <c r="D1037" s="646" t="s">
        <v>141</v>
      </c>
      <c r="E1037" s="649">
        <f ca="1">Elec_Est!E4803</f>
        <v>136.13</v>
      </c>
      <c r="F1037" s="1125">
        <f t="shared" ca="1" si="232"/>
        <v>816.78</v>
      </c>
    </row>
    <row r="1038" spans="1:6" s="631" customFormat="1">
      <c r="A1038" s="643">
        <f t="shared" ca="1" si="231"/>
        <v>4.4980000000001663</v>
      </c>
      <c r="B1038" s="651" t="s">
        <v>761</v>
      </c>
      <c r="C1038" s="646">
        <v>9</v>
      </c>
      <c r="D1038" s="646" t="s">
        <v>141</v>
      </c>
      <c r="E1038" s="649">
        <f ca="1">Elec_Est!E4810</f>
        <v>170.16</v>
      </c>
      <c r="F1038" s="1125">
        <f t="shared" ca="1" si="232"/>
        <v>1531.44</v>
      </c>
    </row>
    <row r="1039" spans="1:6" s="631" customFormat="1">
      <c r="A1039" s="643">
        <f t="shared" ca="1" si="231"/>
        <v>4.4990000000001666</v>
      </c>
      <c r="B1039" s="651" t="s">
        <v>793</v>
      </c>
      <c r="C1039" s="646">
        <v>5</v>
      </c>
      <c r="D1039" s="646" t="s">
        <v>141</v>
      </c>
      <c r="E1039" s="649">
        <f ca="1">Elec_Est!E4817</f>
        <v>68.06</v>
      </c>
      <c r="F1039" s="1125">
        <f t="shared" ca="1" si="232"/>
        <v>340.3</v>
      </c>
    </row>
    <row r="1040" spans="1:6" s="631" customFormat="1">
      <c r="A1040" s="643">
        <f t="shared" ca="1" si="231"/>
        <v>4.500000000000167</v>
      </c>
      <c r="B1040" s="651" t="s">
        <v>794</v>
      </c>
      <c r="C1040" s="646">
        <v>1</v>
      </c>
      <c r="D1040" s="646" t="s">
        <v>141</v>
      </c>
      <c r="E1040" s="649">
        <f ca="1">Elec_Est!E4824</f>
        <v>102.1</v>
      </c>
      <c r="F1040" s="1125">
        <f t="shared" ca="1" si="232"/>
        <v>102.1</v>
      </c>
    </row>
    <row r="1041" spans="1:6" s="631" customFormat="1">
      <c r="A1041" s="643">
        <f t="shared" ca="1" si="231"/>
        <v>4.5010000000001673</v>
      </c>
      <c r="B1041" s="651" t="s">
        <v>857</v>
      </c>
      <c r="C1041" s="646">
        <v>1</v>
      </c>
      <c r="D1041" s="646" t="s">
        <v>141</v>
      </c>
      <c r="E1041" s="649">
        <f ca="1">Elec_Est!E4831</f>
        <v>476.45</v>
      </c>
      <c r="F1041" s="1125">
        <f t="shared" ca="1" si="232"/>
        <v>476.45</v>
      </c>
    </row>
    <row r="1042" spans="1:6" s="631" customFormat="1">
      <c r="A1042" s="643">
        <f t="shared" ca="1" si="231"/>
        <v>4.5020000000001676</v>
      </c>
      <c r="B1042" s="651" t="s">
        <v>851</v>
      </c>
      <c r="C1042" s="646">
        <v>1</v>
      </c>
      <c r="D1042" s="646" t="s">
        <v>141</v>
      </c>
      <c r="E1042" s="649">
        <f ca="1">Elec_Est!E4838</f>
        <v>238.22</v>
      </c>
      <c r="F1042" s="1125">
        <f t="shared" ca="1" si="232"/>
        <v>238.22</v>
      </c>
    </row>
    <row r="1043" spans="1:6" s="631" customFormat="1">
      <c r="A1043" s="643">
        <f t="shared" ca="1" si="231"/>
        <v>4.503000000000168</v>
      </c>
      <c r="B1043" s="651" t="s">
        <v>858</v>
      </c>
      <c r="C1043" s="646">
        <v>1</v>
      </c>
      <c r="D1043" s="646" t="s">
        <v>141</v>
      </c>
      <c r="E1043" s="649">
        <f ca="1">Elec_Est!E4845</f>
        <v>2023.34</v>
      </c>
      <c r="F1043" s="1125">
        <f t="shared" ca="1" si="232"/>
        <v>2023.34</v>
      </c>
    </row>
    <row r="1044" spans="1:6" s="631" customFormat="1" ht="27.6">
      <c r="A1044" s="643">
        <f t="shared" ca="1" si="231"/>
        <v>4.5040000000001683</v>
      </c>
      <c r="B1044" s="648" t="s">
        <v>776</v>
      </c>
      <c r="C1044" s="646">
        <v>28</v>
      </c>
      <c r="D1044" s="646" t="s">
        <v>141</v>
      </c>
      <c r="E1044" s="649" t="str">
        <f>Elec_Est!Q4852</f>
        <v>Included</v>
      </c>
      <c r="F1044" s="1125" t="str">
        <f t="shared" si="232"/>
        <v>Included</v>
      </c>
    </row>
    <row r="1045" spans="1:6" s="631" customFormat="1">
      <c r="A1045" s="643">
        <f t="shared" ca="1" si="231"/>
        <v>4.5050000000001686</v>
      </c>
      <c r="B1045" s="648" t="s">
        <v>777</v>
      </c>
      <c r="C1045" s="646">
        <v>6</v>
      </c>
      <c r="D1045" s="646" t="s">
        <v>141</v>
      </c>
      <c r="E1045" s="649">
        <f ca="1">Elec_Est!E4858</f>
        <v>46.93</v>
      </c>
      <c r="F1045" s="1125">
        <f t="shared" ca="1" si="232"/>
        <v>281.58</v>
      </c>
    </row>
    <row r="1046" spans="1:6" s="631" customFormat="1">
      <c r="A1046" s="643"/>
      <c r="B1046" s="687" t="s">
        <v>778</v>
      </c>
      <c r="C1046" s="645"/>
      <c r="D1046" s="646"/>
      <c r="E1046" s="647"/>
      <c r="F1046" s="1125"/>
    </row>
    <row r="1047" spans="1:6" s="631" customFormat="1">
      <c r="A1047" s="643">
        <f t="shared" ref="A1047:A1052" ca="1" si="233">IFERROR(IF(OFFSET(A1047,-1,0)&gt;0,OFFSET(A1047,-1,0)+0.001,ERROR.TYPE(0)),IFERROR(IF(OFFSET(A1047,-2,0)&gt;0,OFFSET(A1047,-2,0)+0.001,ERROR.TYPE(0)),IFERROR(IF(OFFSET(A1047,-3,0)&gt;0,OFFSET(A1047,-3,0)+0.001,ERROR.TYPE(0)),IFERROR(IF(OFFSET(A1047,-4,0)&gt;0,OFFSET(A1047,-4,0)+0.001,ERROR.TYPE(0)),IFERROR(IF(OFFSET(A1047,-5,0)&gt;0,OFFSET(A1047,-5,0)+0.001,ERROR.TYPE(0)),IFERROR(IF(OFFSET(A1047,-6,0)&gt;0,OFFSET(A1047,-6,0)+0.001,ERROR.TYPE(0)),IFERROR(IF(OFFSET(A1047,-7,0)&gt;0,OFFSET(A1047,-7,0)+0.001,ERROR.TYPE(0)),IFERROR(IF(OFFSET(A1047,-8,0)&gt;0,OFFSET(A1047,-8,0)+0.001,ERROR.TYPE(0)),IFERROR(IF(OFFSET(A1047,-9,0)&gt;0,OFFSET(A1047,-9,0)+0.001,ERROR.TYPE(0)),IFERROR(IF(OFFSET(A1047,-10,0)&gt;0,OFFSET(A1047,-10,0)+0.001,ERROR.TYPE(0)),ERROR.TYPE(0)))))))))))</f>
        <v>4.506000000000169</v>
      </c>
      <c r="B1047" s="690" t="s">
        <v>811</v>
      </c>
      <c r="C1047" s="646">
        <v>2</v>
      </c>
      <c r="D1047" s="646" t="s">
        <v>141</v>
      </c>
      <c r="E1047" s="649">
        <f>Elec_Est!E4869</f>
        <v>142.9</v>
      </c>
      <c r="F1047" s="1125">
        <f t="shared" ref="F1047:F1052" si="234">IFERROR($C1047*E1047,E1047)</f>
        <v>285.8</v>
      </c>
    </row>
    <row r="1048" spans="1:6" s="631" customFormat="1">
      <c r="A1048" s="643">
        <f t="shared" ca="1" si="233"/>
        <v>4.5070000000001693</v>
      </c>
      <c r="B1048" s="690" t="s">
        <v>853</v>
      </c>
      <c r="C1048" s="646">
        <v>5</v>
      </c>
      <c r="D1048" s="646" t="s">
        <v>141</v>
      </c>
      <c r="E1048" s="649">
        <f>Elec_Est!E4877</f>
        <v>142.9</v>
      </c>
      <c r="F1048" s="1125">
        <f t="shared" si="234"/>
        <v>714.5</v>
      </c>
    </row>
    <row r="1049" spans="1:6" s="631" customFormat="1">
      <c r="A1049" s="643">
        <f t="shared" ca="1" si="233"/>
        <v>4.5080000000001696</v>
      </c>
      <c r="B1049" s="690" t="s">
        <v>780</v>
      </c>
      <c r="C1049" s="646">
        <v>1</v>
      </c>
      <c r="D1049" s="646" t="s">
        <v>141</v>
      </c>
      <c r="E1049" s="649">
        <f ca="1">Elec_Est!E4885</f>
        <v>47.62</v>
      </c>
      <c r="F1049" s="1125">
        <f t="shared" ca="1" si="234"/>
        <v>47.62</v>
      </c>
    </row>
    <row r="1050" spans="1:6" s="631" customFormat="1">
      <c r="A1050" s="643">
        <f t="shared" ca="1" si="233"/>
        <v>4.50900000000017</v>
      </c>
      <c r="B1050" s="690" t="s">
        <v>783</v>
      </c>
      <c r="C1050" s="646">
        <v>11</v>
      </c>
      <c r="D1050" s="646" t="s">
        <v>141</v>
      </c>
      <c r="E1050" s="649">
        <f>Elec_Est!E4892</f>
        <v>20.64</v>
      </c>
      <c r="F1050" s="1125">
        <f t="shared" si="234"/>
        <v>227.04000000000002</v>
      </c>
    </row>
    <row r="1051" spans="1:6" s="631" customFormat="1">
      <c r="A1051" s="643">
        <f t="shared" ca="1" si="233"/>
        <v>4.5100000000001703</v>
      </c>
      <c r="B1051" s="690" t="s">
        <v>820</v>
      </c>
      <c r="C1051" s="646">
        <v>1</v>
      </c>
      <c r="D1051" s="646" t="s">
        <v>141</v>
      </c>
      <c r="E1051" s="649">
        <f>Elec_Est!E4900</f>
        <v>110.9</v>
      </c>
      <c r="F1051" s="1125">
        <f t="shared" si="234"/>
        <v>110.9</v>
      </c>
    </row>
    <row r="1052" spans="1:6" s="631" customFormat="1" ht="55.2">
      <c r="A1052" s="643">
        <f t="shared" ca="1" si="233"/>
        <v>4.5110000000001707</v>
      </c>
      <c r="B1052" s="695" t="s">
        <v>812</v>
      </c>
      <c r="C1052" s="646">
        <v>2</v>
      </c>
      <c r="D1052" s="646" t="s">
        <v>141</v>
      </c>
      <c r="E1052" s="649">
        <f>Elec_Est!E4909</f>
        <v>267.02999999999997</v>
      </c>
      <c r="F1052" s="1125">
        <f t="shared" si="234"/>
        <v>534.05999999999995</v>
      </c>
    </row>
    <row r="1053" spans="1:6" s="631" customFormat="1">
      <c r="A1053" s="643"/>
      <c r="B1053" s="639" t="s">
        <v>442</v>
      </c>
      <c r="C1053" s="645"/>
      <c r="D1053" s="646"/>
      <c r="E1053" s="647"/>
      <c r="F1053" s="1125"/>
    </row>
    <row r="1054" spans="1:6" s="631" customFormat="1" ht="41.4">
      <c r="A1054" s="643"/>
      <c r="B1054" s="687" t="s">
        <v>803</v>
      </c>
      <c r="C1054" s="645"/>
      <c r="D1054" s="646"/>
      <c r="E1054" s="647"/>
      <c r="F1054" s="1125"/>
    </row>
    <row r="1055" spans="1:6" s="631" customFormat="1">
      <c r="A1055" s="643"/>
      <c r="B1055" s="689" t="s">
        <v>859</v>
      </c>
      <c r="C1055" s="645"/>
      <c r="D1055" s="646"/>
      <c r="E1055" s="647"/>
      <c r="F1055" s="1125"/>
    </row>
    <row r="1056" spans="1:6" s="631" customFormat="1">
      <c r="A1056" s="643">
        <f t="shared" ref="A1056" ca="1" si="235">IFERROR(IF(OFFSET(A1056,-1,0)&gt;0,OFFSET(A1056,-1,0)+0.001,ERROR.TYPE(0)),IFERROR(IF(OFFSET(A1056,-2,0)&gt;0,OFFSET(A1056,-2,0)+0.001,ERROR.TYPE(0)),IFERROR(IF(OFFSET(A1056,-3,0)&gt;0,OFFSET(A1056,-3,0)+0.001,ERROR.TYPE(0)),IFERROR(IF(OFFSET(A1056,-4,0)&gt;0,OFFSET(A1056,-4,0)+0.001,ERROR.TYPE(0)),IFERROR(IF(OFFSET(A1056,-5,0)&gt;0,OFFSET(A1056,-5,0)+0.001,ERROR.TYPE(0)),IFERROR(IF(OFFSET(A1056,-6,0)&gt;0,OFFSET(A1056,-6,0)+0.001,ERROR.TYPE(0)),IFERROR(IF(OFFSET(A1056,-7,0)&gt;0,OFFSET(A1056,-7,0)+0.001,ERROR.TYPE(0)),IFERROR(IF(OFFSET(A1056,-8,0)&gt;0,OFFSET(A1056,-8,0)+0.001,ERROR.TYPE(0)),IFERROR(IF(OFFSET(A1056,-9,0)&gt;0,OFFSET(A1056,-9,0)+0.001,ERROR.TYPE(0)),IFERROR(IF(OFFSET(A1056,-10,0)&gt;0,OFFSET(A1056,-10,0)+0.001,ERROR.TYPE(0)),ERROR.TYPE(0)))))))))))</f>
        <v>4.512000000000171</v>
      </c>
      <c r="B1056" s="651" t="s">
        <v>860</v>
      </c>
      <c r="C1056" s="646">
        <v>1</v>
      </c>
      <c r="D1056" s="646" t="s">
        <v>141</v>
      </c>
      <c r="E1056" s="649">
        <f ca="1">Elec_Est!E4929</f>
        <v>596.32000000000005</v>
      </c>
      <c r="F1056" s="1125">
        <f t="shared" ref="F1056" ca="1" si="236">IFERROR($C1056*E1056,E1056)</f>
        <v>596.32000000000005</v>
      </c>
    </row>
    <row r="1057" spans="1:6" s="631" customFormat="1">
      <c r="A1057" s="643"/>
      <c r="B1057" s="668" t="s">
        <v>379</v>
      </c>
      <c r="C1057" s="669"/>
      <c r="D1057" s="646"/>
      <c r="E1057" s="670"/>
      <c r="F1057" s="1125"/>
    </row>
    <row r="1058" spans="1:6" s="631" customFormat="1">
      <c r="A1058" s="643">
        <f t="shared" ref="A1058:A1061" ca="1" si="237">IFERROR(IF(OFFSET(A1058,-1,0)&gt;0,OFFSET(A1058,-1,0)+0.001,ERROR.TYPE(0)),IFERROR(IF(OFFSET(A1058,-2,0)&gt;0,OFFSET(A1058,-2,0)+0.001,ERROR.TYPE(0)),IFERROR(IF(OFFSET(A1058,-3,0)&gt;0,OFFSET(A1058,-3,0)+0.001,ERROR.TYPE(0)),IFERROR(IF(OFFSET(A1058,-4,0)&gt;0,OFFSET(A1058,-4,0)+0.001,ERROR.TYPE(0)),IFERROR(IF(OFFSET(A1058,-5,0)&gt;0,OFFSET(A1058,-5,0)+0.001,ERROR.TYPE(0)),IFERROR(IF(OFFSET(A1058,-6,0)&gt;0,OFFSET(A1058,-6,0)+0.001,ERROR.TYPE(0)),IFERROR(IF(OFFSET(A1058,-7,0)&gt;0,OFFSET(A1058,-7,0)+0.001,ERROR.TYPE(0)),IFERROR(IF(OFFSET(A1058,-8,0)&gt;0,OFFSET(A1058,-8,0)+0.001,ERROR.TYPE(0)),IFERROR(IF(OFFSET(A1058,-9,0)&gt;0,OFFSET(A1058,-9,0)+0.001,ERROR.TYPE(0)),IFERROR(IF(OFFSET(A1058,-10,0)&gt;0,OFFSET(A1058,-10,0)+0.001,ERROR.TYPE(0)),ERROR.TYPE(0)))))))))))</f>
        <v>4.5130000000001713</v>
      </c>
      <c r="B1058" s="657" t="s">
        <v>861</v>
      </c>
      <c r="C1058" s="646">
        <v>1</v>
      </c>
      <c r="D1058" s="646" t="s">
        <v>299</v>
      </c>
      <c r="E1058" s="697">
        <f>Elec_Est!E4941</f>
        <v>0</v>
      </c>
      <c r="F1058" s="1125">
        <f t="shared" ref="F1058" si="238">IFERROR(C1058*E1058,E1058)</f>
        <v>0</v>
      </c>
    </row>
    <row r="1059" spans="1:6" s="631" customFormat="1" ht="27.6">
      <c r="A1059" s="643">
        <f t="shared" ca="1" si="237"/>
        <v>4.5140000000001717</v>
      </c>
      <c r="B1059" s="651" t="s">
        <v>862</v>
      </c>
      <c r="C1059" s="646">
        <v>1</v>
      </c>
      <c r="D1059" s="646" t="s">
        <v>863</v>
      </c>
      <c r="E1059" s="649">
        <f>Elec_Est!E4947</f>
        <v>4828.54</v>
      </c>
      <c r="F1059" s="1125">
        <f>IFERROR($C1059*E1059,E1059)</f>
        <v>4828.54</v>
      </c>
    </row>
    <row r="1060" spans="1:6" s="631" customFormat="1" ht="27.6">
      <c r="A1060" s="643">
        <f t="shared" ca="1" si="237"/>
        <v>4.515000000000172</v>
      </c>
      <c r="B1060" s="651" t="s">
        <v>381</v>
      </c>
      <c r="C1060" s="667">
        <v>1</v>
      </c>
      <c r="D1060" s="665" t="s">
        <v>299</v>
      </c>
      <c r="E1060" s="649">
        <f>Elec_Est!E4975</f>
        <v>8855.61</v>
      </c>
      <c r="F1060" s="1125">
        <f t="shared" ref="F1060:F1061" si="239">IFERROR($C1060*E1060,E1060)</f>
        <v>8855.61</v>
      </c>
    </row>
    <row r="1061" spans="1:6" s="631" customFormat="1" ht="27.6">
      <c r="A1061" s="643">
        <f t="shared" ca="1" si="237"/>
        <v>4.5160000000001723</v>
      </c>
      <c r="B1061" s="679" t="s">
        <v>382</v>
      </c>
      <c r="C1061" s="646">
        <v>1</v>
      </c>
      <c r="D1061" s="680" t="s">
        <v>383</v>
      </c>
      <c r="E1061" s="649">
        <f>Elec_Est!E4985</f>
        <v>1314.28</v>
      </c>
      <c r="F1061" s="1125">
        <f t="shared" si="239"/>
        <v>1314.28</v>
      </c>
    </row>
    <row r="1062" spans="1:6" s="631" customFormat="1">
      <c r="A1062" s="638"/>
      <c r="B1062" s="639" t="s">
        <v>864</v>
      </c>
      <c r="C1062" s="1456" t="s">
        <v>305</v>
      </c>
      <c r="D1062" s="1457"/>
      <c r="E1062" s="652"/>
      <c r="F1062" s="1123">
        <f ca="1">SUM(F1029:F1061)</f>
        <v>28443.78</v>
      </c>
    </row>
    <row r="1063" spans="1:6" s="631" customFormat="1">
      <c r="A1063" s="660"/>
      <c r="B1063" s="629"/>
      <c r="C1063" s="661"/>
      <c r="D1063" s="654"/>
      <c r="E1063" s="662"/>
      <c r="F1063" s="1127"/>
    </row>
    <row r="1064" spans="1:6" s="631" customFormat="1">
      <c r="A1064" s="638"/>
      <c r="B1064" s="639" t="s">
        <v>865</v>
      </c>
      <c r="C1064" s="1456" t="s">
        <v>305</v>
      </c>
      <c r="D1064" s="1457"/>
      <c r="E1064" s="659"/>
      <c r="F1064" s="1123">
        <f ca="1">F1062+F1023+F988+F938+F895+F850+F797+F745+F710+F665+F619+F561+F495+F432+F382+F348</f>
        <v>1090901.1800000002</v>
      </c>
    </row>
    <row r="1065" spans="1:6" s="631" customFormat="1">
      <c r="A1065" s="660"/>
      <c r="B1065" s="629"/>
      <c r="C1065" s="661"/>
      <c r="D1065" s="654"/>
      <c r="E1065" s="662"/>
      <c r="F1065" s="1127"/>
    </row>
    <row r="1066" spans="1:6">
      <c r="A1066" s="698"/>
      <c r="B1066" s="699"/>
      <c r="C1066" s="700"/>
      <c r="D1066" s="700"/>
      <c r="E1066" s="701"/>
      <c r="F1066" s="1257"/>
    </row>
    <row r="1067" spans="1:6" s="631" customFormat="1" ht="27.6">
      <c r="A1067" s="634" t="s">
        <v>143</v>
      </c>
      <c r="B1067" s="635" t="s">
        <v>198</v>
      </c>
      <c r="C1067" s="636" t="s">
        <v>199</v>
      </c>
      <c r="D1067" s="636" t="s">
        <v>200</v>
      </c>
      <c r="E1067" s="637" t="s">
        <v>294</v>
      </c>
      <c r="F1067" s="1122" t="s">
        <v>295</v>
      </c>
    </row>
    <row r="1068" spans="1:6" s="631" customFormat="1">
      <c r="A1068" s="638">
        <v>5</v>
      </c>
      <c r="B1068" s="702" t="s">
        <v>866</v>
      </c>
      <c r="C1068" s="646"/>
      <c r="D1068" s="646"/>
      <c r="E1068" s="649"/>
      <c r="F1068" s="1125"/>
    </row>
    <row r="1069" spans="1:6" s="631" customFormat="1">
      <c r="A1069" s="643"/>
      <c r="B1069" s="687" t="s">
        <v>867</v>
      </c>
      <c r="C1069" s="645"/>
      <c r="D1069" s="646"/>
      <c r="E1069" s="647"/>
      <c r="F1069" s="1125"/>
    </row>
    <row r="1070" spans="1:6" s="631" customFormat="1">
      <c r="A1070" s="643"/>
      <c r="B1070" s="689" t="s">
        <v>343</v>
      </c>
      <c r="C1070" s="646"/>
      <c r="D1070" s="680"/>
      <c r="E1070" s="665"/>
      <c r="F1070" s="1125"/>
    </row>
    <row r="1071" spans="1:6" s="631" customFormat="1" ht="27.6">
      <c r="A1071" s="671">
        <f t="shared" ref="A1071:A1094" ca="1" si="240">IFERROR(IF(OFFSET(A1071,-1,0,1,1)&gt;0,OFFSET(A1071,-1,0,1,1)+0.001,ERROR.TYPE(0)),IFERROR(IF(OFFSET(A1071,-2,0,1,1)&gt;0,OFFSET(A1071,-2,0,1,1)+0.001,ERROR.TYPE(0)),IFERROR(IF(OFFSET(A1071,-3,0,1,1)&gt;0,OFFSET(A1071,-3,0,1,1)+0.001,ERROR.TYPE(0)),IFERROR(IF(OFFSET(A1071,-4,0,1,1)&gt;0,OFFSET(A1071,-4,0,1,1)+0.001,ERROR.TYPE(0)),IFERROR(IF(OFFSET(A1071,-5,0,1,1)&gt;0,OFFSET(A1071,-5,0,1,1)+0.001,ERROR.TYPE(0)),IFERROR(IF(OFFSET(A1071,-6,0,1,1)&gt;0,OFFSET(A1071,-6,0,1,1)+0.001,ERROR.TYPE(0)),IFERROR(IF(OFFSET(A1071,-7,0,1,1)&gt;0,OFFSET(A1071,-7,0,1,1)+0.001,ERROR.TYPE(0)),IFERROR(IF(OFFSET(A1071,-8,0,1,1)&gt;0,OFFSET(A1071,-8,0,1,1)+0.001,ERROR.TYPE(0)),IFERROR(IF(OFFSET(A1071,-9,0,1,1)&gt;0,OFFSET(A1071,-9,0,1,1)+0.001,ERROR.TYPE(0)),IFERROR(IF(OFFSET(A1071,-10,0,1,1)&gt;0,OFFSET(A1071,-10,0,1,1)+0.001,ERROR.TYPE(0)),ERROR.TYPE(0)))))))))))</f>
        <v>5.0010000000000003</v>
      </c>
      <c r="B1071" s="651" t="s">
        <v>868</v>
      </c>
      <c r="C1071" s="646">
        <v>12</v>
      </c>
      <c r="D1071" s="646" t="s">
        <v>329</v>
      </c>
      <c r="E1071" s="649">
        <f>Elec_Est!E5017</f>
        <v>43.84</v>
      </c>
      <c r="F1071" s="1125">
        <f t="shared" ref="F1071:F1078" si="241">IFERROR($C1071*E1071,E1071)</f>
        <v>526.08000000000004</v>
      </c>
    </row>
    <row r="1072" spans="1:6" s="631" customFormat="1">
      <c r="A1072" s="1258">
        <f t="shared" ca="1" si="240"/>
        <v>5.0020000000000007</v>
      </c>
      <c r="B1072" s="651" t="s">
        <v>869</v>
      </c>
      <c r="C1072" s="1251">
        <v>17</v>
      </c>
      <c r="D1072" s="646" t="s">
        <v>329</v>
      </c>
      <c r="E1072" s="649">
        <f>Elec_Est!E5023</f>
        <v>29.95</v>
      </c>
      <c r="F1072" s="1125">
        <f t="shared" si="241"/>
        <v>509.15</v>
      </c>
    </row>
    <row r="1073" spans="1:6" s="631" customFormat="1" ht="27.6">
      <c r="A1073" s="1258">
        <f t="shared" ca="1" si="240"/>
        <v>5.003000000000001</v>
      </c>
      <c r="B1073" s="651" t="s">
        <v>870</v>
      </c>
      <c r="C1073" s="1251">
        <v>6</v>
      </c>
      <c r="D1073" s="646" t="s">
        <v>329</v>
      </c>
      <c r="E1073" s="649">
        <f>Elec_Est!E5029</f>
        <v>49.45</v>
      </c>
      <c r="F1073" s="1125">
        <f t="shared" si="241"/>
        <v>296.70000000000005</v>
      </c>
    </row>
    <row r="1074" spans="1:6" s="631" customFormat="1">
      <c r="A1074" s="1258">
        <f t="shared" ca="1" si="240"/>
        <v>5.0040000000000013</v>
      </c>
      <c r="B1074" s="651" t="s">
        <v>871</v>
      </c>
      <c r="C1074" s="1251">
        <v>25</v>
      </c>
      <c r="D1074" s="646" t="s">
        <v>329</v>
      </c>
      <c r="E1074" s="649">
        <f>Elec_Est!E5035</f>
        <v>40.14</v>
      </c>
      <c r="F1074" s="1125">
        <f t="shared" si="241"/>
        <v>1003.5</v>
      </c>
    </row>
    <row r="1075" spans="1:6" s="631" customFormat="1" ht="27.6">
      <c r="A1075" s="1258">
        <f t="shared" ca="1" si="240"/>
        <v>5.0050000000000017</v>
      </c>
      <c r="B1075" s="651" t="s">
        <v>872</v>
      </c>
      <c r="C1075" s="1251">
        <v>9</v>
      </c>
      <c r="D1075" s="646" t="s">
        <v>329</v>
      </c>
      <c r="E1075" s="649">
        <f>Elec_Est!E5041</f>
        <v>67.38</v>
      </c>
      <c r="F1075" s="1125">
        <f t="shared" si="241"/>
        <v>606.41999999999996</v>
      </c>
    </row>
    <row r="1076" spans="1:6" s="631" customFormat="1">
      <c r="A1076" s="671">
        <f t="shared" ca="1" si="240"/>
        <v>5.006000000000002</v>
      </c>
      <c r="B1076" s="651" t="s">
        <v>873</v>
      </c>
      <c r="C1076" s="646">
        <v>97</v>
      </c>
      <c r="D1076" s="646" t="s">
        <v>329</v>
      </c>
      <c r="E1076" s="649">
        <f>Elec_Est!E5047</f>
        <v>40.14</v>
      </c>
      <c r="F1076" s="1125">
        <f t="shared" si="241"/>
        <v>3893.58</v>
      </c>
    </row>
    <row r="1077" spans="1:6" s="631" customFormat="1" ht="27.6">
      <c r="A1077" s="671">
        <f t="shared" ca="1" si="240"/>
        <v>5.0070000000000023</v>
      </c>
      <c r="B1077" s="651" t="s">
        <v>874</v>
      </c>
      <c r="C1077" s="646">
        <v>14</v>
      </c>
      <c r="D1077" s="646" t="s">
        <v>329</v>
      </c>
      <c r="E1077" s="649">
        <f>Elec_Est!E5053</f>
        <v>67.38</v>
      </c>
      <c r="F1077" s="1125">
        <f t="shared" si="241"/>
        <v>943.31999999999994</v>
      </c>
    </row>
    <row r="1078" spans="1:6" s="631" customFormat="1" ht="27.6">
      <c r="A1078" s="1258">
        <f t="shared" ca="1" si="240"/>
        <v>5.0080000000000027</v>
      </c>
      <c r="B1078" s="651" t="s">
        <v>875</v>
      </c>
      <c r="C1078" s="1251">
        <v>31</v>
      </c>
      <c r="D1078" s="646" t="s">
        <v>329</v>
      </c>
      <c r="E1078" s="649">
        <f>Elec_Est!E5059</f>
        <v>51.46</v>
      </c>
      <c r="F1078" s="1125">
        <f t="shared" si="241"/>
        <v>1595.26</v>
      </c>
    </row>
    <row r="1079" spans="1:6" s="631" customFormat="1">
      <c r="A1079" s="643"/>
      <c r="B1079" s="689" t="s">
        <v>347</v>
      </c>
      <c r="C1079" s="646"/>
      <c r="D1079" s="680"/>
      <c r="E1079" s="665"/>
      <c r="F1079" s="1125"/>
    </row>
    <row r="1080" spans="1:6" s="631" customFormat="1" ht="27.6">
      <c r="A1080" s="671">
        <f t="shared" ca="1" si="240"/>
        <v>5.009000000000003</v>
      </c>
      <c r="B1080" s="651" t="s">
        <v>868</v>
      </c>
      <c r="C1080" s="646">
        <v>21</v>
      </c>
      <c r="D1080" s="646" t="s">
        <v>329</v>
      </c>
      <c r="E1080" s="649">
        <f>Elec_Est!E5069</f>
        <v>43.84</v>
      </c>
      <c r="F1080" s="1125">
        <f t="shared" ref="F1080:F1087" si="242">IFERROR($C1080*E1080,E1080)</f>
        <v>920.6400000000001</v>
      </c>
    </row>
    <row r="1081" spans="1:6" s="631" customFormat="1" ht="27.6">
      <c r="A1081" s="671">
        <f t="shared" ca="1" si="240"/>
        <v>5.0100000000000033</v>
      </c>
      <c r="B1081" s="651" t="s">
        <v>876</v>
      </c>
      <c r="C1081" s="646">
        <v>1</v>
      </c>
      <c r="D1081" s="646" t="s">
        <v>329</v>
      </c>
      <c r="E1081" s="649">
        <f>Elec_Est!E5075</f>
        <v>24.63</v>
      </c>
      <c r="F1081" s="1125">
        <f t="shared" si="242"/>
        <v>24.63</v>
      </c>
    </row>
    <row r="1082" spans="1:6" s="631" customFormat="1">
      <c r="A1082" s="671">
        <f t="shared" ca="1" si="240"/>
        <v>5.0110000000000037</v>
      </c>
      <c r="B1082" s="651" t="s">
        <v>871</v>
      </c>
      <c r="C1082" s="646">
        <v>19</v>
      </c>
      <c r="D1082" s="646" t="s">
        <v>329</v>
      </c>
      <c r="E1082" s="649">
        <f>Elec_Est!E5081</f>
        <v>40.14</v>
      </c>
      <c r="F1082" s="1125">
        <f t="shared" si="242"/>
        <v>762.66</v>
      </c>
    </row>
    <row r="1083" spans="1:6" s="631" customFormat="1" ht="27.6">
      <c r="A1083" s="671">
        <f t="shared" ca="1" si="240"/>
        <v>5.012000000000004</v>
      </c>
      <c r="B1083" s="651" t="s">
        <v>872</v>
      </c>
      <c r="C1083" s="646">
        <v>13</v>
      </c>
      <c r="D1083" s="646" t="s">
        <v>329</v>
      </c>
      <c r="E1083" s="649">
        <f>Elec_Est!E5087</f>
        <v>67.38</v>
      </c>
      <c r="F1083" s="1125">
        <f t="shared" si="242"/>
        <v>875.93999999999994</v>
      </c>
    </row>
    <row r="1084" spans="1:6" s="631" customFormat="1">
      <c r="A1084" s="671">
        <f t="shared" ca="1" si="240"/>
        <v>5.0130000000000043</v>
      </c>
      <c r="B1084" s="651" t="s">
        <v>877</v>
      </c>
      <c r="C1084" s="646">
        <v>20</v>
      </c>
      <c r="D1084" s="646" t="s">
        <v>329</v>
      </c>
      <c r="E1084" s="649">
        <f>Elec_Est!E5093</f>
        <v>47.97</v>
      </c>
      <c r="F1084" s="1125">
        <f t="shared" si="242"/>
        <v>959.4</v>
      </c>
    </row>
    <row r="1085" spans="1:6" s="631" customFormat="1" ht="27.6">
      <c r="A1085" s="671">
        <f t="shared" ca="1" si="240"/>
        <v>5.0140000000000047</v>
      </c>
      <c r="B1085" s="651" t="s">
        <v>878</v>
      </c>
      <c r="C1085" s="646">
        <v>108</v>
      </c>
      <c r="D1085" s="646" t="s">
        <v>329</v>
      </c>
      <c r="E1085" s="649">
        <f>Elec_Est!E5099</f>
        <v>281.23</v>
      </c>
      <c r="F1085" s="1125">
        <f t="shared" si="242"/>
        <v>30372.840000000004</v>
      </c>
    </row>
    <row r="1086" spans="1:6" s="631" customFormat="1">
      <c r="A1086" s="671">
        <f t="shared" ca="1" si="240"/>
        <v>5.015000000000005</v>
      </c>
      <c r="B1086" s="651" t="s">
        <v>879</v>
      </c>
      <c r="C1086" s="646">
        <v>40</v>
      </c>
      <c r="D1086" s="646" t="s">
        <v>329</v>
      </c>
      <c r="E1086" s="649">
        <f>Elec_Est!E5105</f>
        <v>133.79</v>
      </c>
      <c r="F1086" s="1125">
        <f t="shared" si="242"/>
        <v>5351.5999999999995</v>
      </c>
    </row>
    <row r="1087" spans="1:6" s="631" customFormat="1">
      <c r="A1087" s="671">
        <f t="shared" ca="1" si="240"/>
        <v>5.0160000000000053</v>
      </c>
      <c r="B1087" s="651" t="s">
        <v>880</v>
      </c>
      <c r="C1087" s="646">
        <v>35</v>
      </c>
      <c r="D1087" s="646" t="s">
        <v>329</v>
      </c>
      <c r="E1087" s="1055">
        <f>Elec_Est!E5111</f>
        <v>186.48</v>
      </c>
      <c r="F1087" s="1125">
        <f t="shared" si="242"/>
        <v>6526.7999999999993</v>
      </c>
    </row>
    <row r="1088" spans="1:6" s="631" customFormat="1">
      <c r="A1088" s="643"/>
      <c r="B1088" s="689" t="s">
        <v>362</v>
      </c>
      <c r="C1088" s="646"/>
      <c r="D1088" s="680"/>
      <c r="E1088" s="665"/>
      <c r="F1088" s="1125"/>
    </row>
    <row r="1089" spans="1:6" s="631" customFormat="1" ht="27.6">
      <c r="A1089" s="671">
        <f t="shared" ca="1" si="240"/>
        <v>5.0170000000000057</v>
      </c>
      <c r="B1089" s="651" t="s">
        <v>868</v>
      </c>
      <c r="C1089" s="646">
        <v>4</v>
      </c>
      <c r="D1089" s="646" t="s">
        <v>329</v>
      </c>
      <c r="E1089" s="649">
        <f>Elec_Est!E5121</f>
        <v>43.84</v>
      </c>
      <c r="F1089" s="1125">
        <f t="shared" ref="F1089" si="243">IFERROR($C1089*E1089,E1089)</f>
        <v>175.36</v>
      </c>
    </row>
    <row r="1090" spans="1:6" s="631" customFormat="1">
      <c r="A1090" s="643"/>
      <c r="B1090" s="689" t="s">
        <v>368</v>
      </c>
      <c r="C1090" s="646"/>
      <c r="D1090" s="680"/>
      <c r="E1090" s="665"/>
      <c r="F1090" s="1125"/>
    </row>
    <row r="1091" spans="1:6" s="631" customFormat="1" ht="27.6">
      <c r="A1091" s="671">
        <f t="shared" ca="1" si="240"/>
        <v>5.018000000000006</v>
      </c>
      <c r="B1091" s="651" t="s">
        <v>868</v>
      </c>
      <c r="C1091" s="646">
        <v>7</v>
      </c>
      <c r="D1091" s="646" t="s">
        <v>329</v>
      </c>
      <c r="E1091" s="649">
        <f>Elec_Est!E5131</f>
        <v>43.84</v>
      </c>
      <c r="F1091" s="1125">
        <f t="shared" ref="F1091:F1092" si="244">IFERROR($C1091*E1091,E1091)</f>
        <v>306.88</v>
      </c>
    </row>
    <row r="1092" spans="1:6" s="631" customFormat="1">
      <c r="A1092" s="671">
        <f t="shared" ca="1" si="240"/>
        <v>5.0190000000000063</v>
      </c>
      <c r="B1092" s="651" t="s">
        <v>879</v>
      </c>
      <c r="C1092" s="646">
        <v>3</v>
      </c>
      <c r="D1092" s="646" t="s">
        <v>329</v>
      </c>
      <c r="E1092" s="649">
        <f>Elec_Est!E5137</f>
        <v>133.79</v>
      </c>
      <c r="F1092" s="1125">
        <f t="shared" si="244"/>
        <v>401.37</v>
      </c>
    </row>
    <row r="1093" spans="1:6" s="631" customFormat="1">
      <c r="A1093" s="643"/>
      <c r="B1093" s="689" t="s">
        <v>371</v>
      </c>
      <c r="C1093" s="646"/>
      <c r="D1093" s="680"/>
      <c r="E1093" s="665"/>
      <c r="F1093" s="1125"/>
    </row>
    <row r="1094" spans="1:6" s="631" customFormat="1" ht="27.6">
      <c r="A1094" s="671">
        <f t="shared" ca="1" si="240"/>
        <v>5.0200000000000067</v>
      </c>
      <c r="B1094" s="651" t="s">
        <v>868</v>
      </c>
      <c r="C1094" s="646">
        <v>7</v>
      </c>
      <c r="D1094" s="646" t="s">
        <v>329</v>
      </c>
      <c r="E1094" s="649">
        <f>Elec_Est!E5147</f>
        <v>43.84</v>
      </c>
      <c r="F1094" s="1125">
        <f t="shared" ref="F1094" si="245">IFERROR($C1094*E1094,E1094)</f>
        <v>306.88</v>
      </c>
    </row>
    <row r="1095" spans="1:6" s="631" customFormat="1">
      <c r="A1095" s="638"/>
      <c r="B1095" s="639" t="s">
        <v>881</v>
      </c>
      <c r="C1095" s="1456" t="s">
        <v>305</v>
      </c>
      <c r="D1095" s="1457"/>
      <c r="E1095" s="652"/>
      <c r="F1095" s="1123">
        <f>SUM(F1070:F1094)</f>
        <v>56359.01</v>
      </c>
    </row>
    <row r="1096" spans="1:6" s="631" customFormat="1">
      <c r="A1096" s="703"/>
      <c r="B1096" s="632"/>
      <c r="C1096" s="628"/>
      <c r="D1096" s="628"/>
      <c r="E1096" s="633"/>
      <c r="F1096" s="630"/>
    </row>
    <row r="1097" spans="1:6" s="631" customFormat="1">
      <c r="A1097" s="638"/>
      <c r="B1097" s="639" t="s">
        <v>882</v>
      </c>
      <c r="C1097" s="1456" t="s">
        <v>305</v>
      </c>
      <c r="D1097" s="1457"/>
      <c r="E1097" s="659"/>
      <c r="F1097" s="1123">
        <f>F1095</f>
        <v>56359.01</v>
      </c>
    </row>
    <row r="1098" spans="1:6">
      <c r="A1098" s="698"/>
      <c r="B1098" s="699"/>
      <c r="C1098" s="700"/>
      <c r="D1098" s="700"/>
      <c r="E1098" s="701"/>
      <c r="F1098" s="1257"/>
    </row>
    <row r="1099" spans="1:6">
      <c r="A1099" s="698"/>
      <c r="B1099" s="699"/>
      <c r="C1099" s="700"/>
      <c r="D1099" s="700"/>
      <c r="E1099" s="701"/>
      <c r="F1099" s="1257"/>
    </row>
    <row r="1100" spans="1:6" s="631" customFormat="1" ht="27.6">
      <c r="A1100" s="634" t="s">
        <v>143</v>
      </c>
      <c r="B1100" s="635" t="s">
        <v>198</v>
      </c>
      <c r="C1100" s="636" t="s">
        <v>199</v>
      </c>
      <c r="D1100" s="636" t="s">
        <v>200</v>
      </c>
      <c r="E1100" s="637" t="s">
        <v>294</v>
      </c>
      <c r="F1100" s="1122" t="s">
        <v>295</v>
      </c>
    </row>
    <row r="1101" spans="1:6" s="631" customFormat="1">
      <c r="A1101" s="638">
        <v>6</v>
      </c>
      <c r="B1101" s="702" t="s">
        <v>883</v>
      </c>
      <c r="C1101" s="646"/>
      <c r="D1101" s="646"/>
      <c r="E1101" s="649"/>
      <c r="F1101" s="1125"/>
    </row>
    <row r="1102" spans="1:6" s="631" customFormat="1">
      <c r="A1102" s="643"/>
      <c r="B1102" s="687" t="s">
        <v>884</v>
      </c>
      <c r="C1102" s="645"/>
      <c r="D1102" s="646"/>
      <c r="E1102" s="647"/>
      <c r="F1102" s="1125"/>
    </row>
    <row r="1103" spans="1:6" s="631" customFormat="1">
      <c r="A1103" s="643"/>
      <c r="B1103" s="689" t="s">
        <v>343</v>
      </c>
      <c r="C1103" s="646"/>
      <c r="D1103" s="680"/>
      <c r="E1103" s="665"/>
      <c r="F1103" s="1125"/>
    </row>
    <row r="1104" spans="1:6" s="631" customFormat="1">
      <c r="A1104" s="671">
        <f t="shared" ref="A1104:A1159" ca="1" si="246">IFERROR(IF(OFFSET(A1104,-1,0,1,1)&gt;0,OFFSET(A1104,-1,0,1,1)+0.001,ERROR.TYPE(0)),IFERROR(IF(OFFSET(A1104,-2,0,1,1)&gt;0,OFFSET(A1104,-2,0,1,1)+0.001,ERROR.TYPE(0)),IFERROR(IF(OFFSET(A1104,-3,0,1,1)&gt;0,OFFSET(A1104,-3,0,1,1)+0.001,ERROR.TYPE(0)),IFERROR(IF(OFFSET(A1104,-4,0,1,1)&gt;0,OFFSET(A1104,-4,0,1,1)+0.001,ERROR.TYPE(0)),IFERROR(IF(OFFSET(A1104,-5,0,1,1)&gt;0,OFFSET(A1104,-5,0,1,1)+0.001,ERROR.TYPE(0)),IFERROR(IF(OFFSET(A1104,-6,0,1,1)&gt;0,OFFSET(A1104,-6,0,1,1)+0.001,ERROR.TYPE(0)),IFERROR(IF(OFFSET(A1104,-7,0,1,1)&gt;0,OFFSET(A1104,-7,0,1,1)+0.001,ERROR.TYPE(0)),IFERROR(IF(OFFSET(A1104,-8,0,1,1)&gt;0,OFFSET(A1104,-8,0,1,1)+0.001,ERROR.TYPE(0)),IFERROR(IF(OFFSET(A1104,-9,0,1,1)&gt;0,OFFSET(A1104,-9,0,1,1)+0.001,ERROR.TYPE(0)),IFERROR(IF(OFFSET(A1104,-10,0,1,1)&gt;0,OFFSET(A1104,-10,0,1,1)+0.001,ERROR.TYPE(0)),ERROR.TYPE(0)))))))))))</f>
        <v>6.0010000000000003</v>
      </c>
      <c r="B1104" s="651" t="s">
        <v>885</v>
      </c>
      <c r="C1104" s="646">
        <v>17</v>
      </c>
      <c r="D1104" s="646" t="s">
        <v>329</v>
      </c>
      <c r="E1104" s="649">
        <f ca="1">Elec_Est!E5177</f>
        <v>17.34</v>
      </c>
      <c r="F1104" s="1125">
        <f t="shared" ref="F1104:F1115" ca="1" si="247">IFERROR($C1104*E1104,E1104)</f>
        <v>294.77999999999997</v>
      </c>
    </row>
    <row r="1105" spans="1:6" s="631" customFormat="1">
      <c r="A1105" s="671">
        <f t="shared" ca="1" si="246"/>
        <v>6.0020000000000007</v>
      </c>
      <c r="B1105" s="651" t="s">
        <v>886</v>
      </c>
      <c r="C1105" s="646">
        <v>15</v>
      </c>
      <c r="D1105" s="646" t="s">
        <v>329</v>
      </c>
      <c r="E1105" s="649">
        <f ca="1">Elec_Est!E5184</f>
        <v>17.84</v>
      </c>
      <c r="F1105" s="1125">
        <f t="shared" ca="1" si="247"/>
        <v>267.60000000000002</v>
      </c>
    </row>
    <row r="1106" spans="1:6" s="631" customFormat="1">
      <c r="A1106" s="671">
        <f t="shared" ca="1" si="246"/>
        <v>6.003000000000001</v>
      </c>
      <c r="B1106" s="651" t="s">
        <v>887</v>
      </c>
      <c r="C1106" s="646">
        <v>2</v>
      </c>
      <c r="D1106" s="646" t="s">
        <v>329</v>
      </c>
      <c r="E1106" s="649">
        <f ca="1">Elec_Est!E5191</f>
        <v>17.84</v>
      </c>
      <c r="F1106" s="1125">
        <f t="shared" ca="1" si="247"/>
        <v>35.68</v>
      </c>
    </row>
    <row r="1107" spans="1:6" s="631" customFormat="1">
      <c r="A1107" s="671">
        <f t="shared" ca="1" si="246"/>
        <v>6.0040000000000013</v>
      </c>
      <c r="B1107" s="651" t="s">
        <v>888</v>
      </c>
      <c r="C1107" s="646">
        <v>12</v>
      </c>
      <c r="D1107" s="646" t="s">
        <v>329</v>
      </c>
      <c r="E1107" s="649">
        <f ca="1">Elec_Est!E5198</f>
        <v>17.34</v>
      </c>
      <c r="F1107" s="1125">
        <f t="shared" ca="1" si="247"/>
        <v>208.07999999999998</v>
      </c>
    </row>
    <row r="1108" spans="1:6" s="631" customFormat="1">
      <c r="A1108" s="671">
        <f t="shared" ca="1" si="246"/>
        <v>6.0050000000000017</v>
      </c>
      <c r="B1108" s="651" t="s">
        <v>889</v>
      </c>
      <c r="C1108" s="646">
        <v>2</v>
      </c>
      <c r="D1108" s="646" t="s">
        <v>329</v>
      </c>
      <c r="E1108" s="649">
        <f ca="1">Elec_Est!E5205</f>
        <v>17.84</v>
      </c>
      <c r="F1108" s="1125">
        <f t="shared" ca="1" si="247"/>
        <v>35.68</v>
      </c>
    </row>
    <row r="1109" spans="1:6" s="631" customFormat="1">
      <c r="A1109" s="1258">
        <f t="shared" ca="1" si="246"/>
        <v>6.006000000000002</v>
      </c>
      <c r="B1109" s="651" t="s">
        <v>890</v>
      </c>
      <c r="C1109" s="1251">
        <v>17</v>
      </c>
      <c r="D1109" s="646" t="s">
        <v>329</v>
      </c>
      <c r="E1109" s="649">
        <f ca="1">Elec_Est!E5212</f>
        <v>19.91</v>
      </c>
      <c r="F1109" s="1125">
        <f t="shared" ca="1" si="247"/>
        <v>338.47</v>
      </c>
    </row>
    <row r="1110" spans="1:6" s="631" customFormat="1">
      <c r="A1110" s="1258">
        <f t="shared" ca="1" si="246"/>
        <v>6.0070000000000023</v>
      </c>
      <c r="B1110" s="651" t="s">
        <v>891</v>
      </c>
      <c r="C1110" s="1251">
        <v>6</v>
      </c>
      <c r="D1110" s="646" t="s">
        <v>329</v>
      </c>
      <c r="E1110" s="649">
        <f ca="1">Elec_Est!E5219</f>
        <v>19.91</v>
      </c>
      <c r="F1110" s="1125">
        <f t="shared" ca="1" si="247"/>
        <v>119.46000000000001</v>
      </c>
    </row>
    <row r="1111" spans="1:6" s="631" customFormat="1">
      <c r="A1111" s="1258">
        <f t="shared" ca="1" si="246"/>
        <v>6.0080000000000027</v>
      </c>
      <c r="B1111" s="651" t="s">
        <v>892</v>
      </c>
      <c r="C1111" s="1251">
        <v>25</v>
      </c>
      <c r="D1111" s="646" t="s">
        <v>329</v>
      </c>
      <c r="E1111" s="649">
        <f ca="1">Elec_Est!E5226</f>
        <v>19.91</v>
      </c>
      <c r="F1111" s="1125">
        <f t="shared" ca="1" si="247"/>
        <v>497.75</v>
      </c>
    </row>
    <row r="1112" spans="1:6" s="631" customFormat="1">
      <c r="A1112" s="1258">
        <f t="shared" ca="1" si="246"/>
        <v>6.009000000000003</v>
      </c>
      <c r="B1112" s="651" t="s">
        <v>893</v>
      </c>
      <c r="C1112" s="1251">
        <v>9</v>
      </c>
      <c r="D1112" s="646" t="s">
        <v>329</v>
      </c>
      <c r="E1112" s="649">
        <f ca="1">Elec_Est!E5233</f>
        <v>19.91</v>
      </c>
      <c r="F1112" s="1125">
        <f t="shared" ca="1" si="247"/>
        <v>179.19</v>
      </c>
    </row>
    <row r="1113" spans="1:6" s="631" customFormat="1">
      <c r="A1113" s="671">
        <f t="shared" ca="1" si="246"/>
        <v>6.0100000000000033</v>
      </c>
      <c r="B1113" s="651" t="s">
        <v>894</v>
      </c>
      <c r="C1113" s="646">
        <v>97</v>
      </c>
      <c r="D1113" s="646" t="s">
        <v>329</v>
      </c>
      <c r="E1113" s="649">
        <f ca="1">Elec_Est!E5240</f>
        <v>19.39</v>
      </c>
      <c r="F1113" s="1125">
        <f t="shared" ca="1" si="247"/>
        <v>1880.8300000000002</v>
      </c>
    </row>
    <row r="1114" spans="1:6" s="631" customFormat="1" ht="27.6">
      <c r="A1114" s="671">
        <f t="shared" ca="1" si="246"/>
        <v>6.0110000000000037</v>
      </c>
      <c r="B1114" s="651" t="s">
        <v>895</v>
      </c>
      <c r="C1114" s="646">
        <v>14</v>
      </c>
      <c r="D1114" s="646" t="s">
        <v>329</v>
      </c>
      <c r="E1114" s="649">
        <f ca="1">Elec_Est!E5247</f>
        <v>19.91</v>
      </c>
      <c r="F1114" s="1125">
        <f t="shared" ca="1" si="247"/>
        <v>278.74</v>
      </c>
    </row>
    <row r="1115" spans="1:6" s="631" customFormat="1" ht="27.6">
      <c r="A1115" s="1258">
        <f t="shared" ca="1" si="246"/>
        <v>6.012000000000004</v>
      </c>
      <c r="B1115" s="651" t="s">
        <v>896</v>
      </c>
      <c r="C1115" s="1251">
        <v>31</v>
      </c>
      <c r="D1115" s="646" t="s">
        <v>329</v>
      </c>
      <c r="E1115" s="649">
        <f ca="1">Elec_Est!E5254</f>
        <v>19.91</v>
      </c>
      <c r="F1115" s="1125">
        <f t="shared" ca="1" si="247"/>
        <v>617.21</v>
      </c>
    </row>
    <row r="1116" spans="1:6" s="631" customFormat="1">
      <c r="A1116" s="643"/>
      <c r="B1116" s="689" t="s">
        <v>347</v>
      </c>
      <c r="C1116" s="646"/>
      <c r="D1116" s="680"/>
      <c r="E1116" s="665"/>
      <c r="F1116" s="1125"/>
    </row>
    <row r="1117" spans="1:6" s="631" customFormat="1">
      <c r="A1117" s="671">
        <f t="shared" ca="1" si="246"/>
        <v>6.0130000000000043</v>
      </c>
      <c r="B1117" s="651" t="s">
        <v>897</v>
      </c>
      <c r="C1117" s="646">
        <v>13</v>
      </c>
      <c r="D1117" s="646" t="s">
        <v>329</v>
      </c>
      <c r="E1117" s="649">
        <f ca="1">Elec_Est!E5265</f>
        <v>17.25</v>
      </c>
      <c r="F1117" s="1125">
        <f t="shared" ref="F1117:F1131" ca="1" si="248">IFERROR($C1117*E1117,E1117)</f>
        <v>224.25</v>
      </c>
    </row>
    <row r="1118" spans="1:6" s="631" customFormat="1">
      <c r="A1118" s="671">
        <f t="shared" ca="1" si="246"/>
        <v>6.0140000000000047</v>
      </c>
      <c r="B1118" s="651" t="s">
        <v>898</v>
      </c>
      <c r="C1118" s="646">
        <v>5</v>
      </c>
      <c r="D1118" s="646" t="s">
        <v>329</v>
      </c>
      <c r="E1118" s="649">
        <f ca="1">Elec_Est!E5272</f>
        <v>17.739999999999998</v>
      </c>
      <c r="F1118" s="1125">
        <f t="shared" ca="1" si="248"/>
        <v>88.699999999999989</v>
      </c>
    </row>
    <row r="1119" spans="1:6" s="631" customFormat="1">
      <c r="A1119" s="671">
        <f t="shared" ca="1" si="246"/>
        <v>6.015000000000005</v>
      </c>
      <c r="B1119" s="651" t="s">
        <v>885</v>
      </c>
      <c r="C1119" s="646">
        <v>22</v>
      </c>
      <c r="D1119" s="646" t="s">
        <v>329</v>
      </c>
      <c r="E1119" s="649">
        <f ca="1">Elec_Est!E5279</f>
        <v>17.34</v>
      </c>
      <c r="F1119" s="1125">
        <f t="shared" ca="1" si="248"/>
        <v>381.48</v>
      </c>
    </row>
    <row r="1120" spans="1:6" s="631" customFormat="1">
      <c r="A1120" s="671">
        <f t="shared" ca="1" si="246"/>
        <v>6.0160000000000053</v>
      </c>
      <c r="B1120" s="651" t="s">
        <v>886</v>
      </c>
      <c r="C1120" s="646">
        <v>17</v>
      </c>
      <c r="D1120" s="646" t="s">
        <v>329</v>
      </c>
      <c r="E1120" s="649">
        <f ca="1">Elec_Est!E5286</f>
        <v>17.84</v>
      </c>
      <c r="F1120" s="1125">
        <f t="shared" ca="1" si="248"/>
        <v>303.27999999999997</v>
      </c>
    </row>
    <row r="1121" spans="1:6" s="631" customFormat="1">
      <c r="A1121" s="671">
        <f t="shared" ca="1" si="246"/>
        <v>6.0170000000000057</v>
      </c>
      <c r="B1121" s="651" t="s">
        <v>887</v>
      </c>
      <c r="C1121" s="646">
        <v>1</v>
      </c>
      <c r="D1121" s="646" t="s">
        <v>329</v>
      </c>
      <c r="E1121" s="649">
        <f ca="1">Elec_Est!E5293</f>
        <v>17.84</v>
      </c>
      <c r="F1121" s="1125">
        <f t="shared" ca="1" si="248"/>
        <v>17.84</v>
      </c>
    </row>
    <row r="1122" spans="1:6" s="631" customFormat="1">
      <c r="A1122" s="671">
        <f t="shared" ca="1" si="246"/>
        <v>6.018000000000006</v>
      </c>
      <c r="B1122" s="651" t="s">
        <v>899</v>
      </c>
      <c r="C1122" s="646">
        <v>18</v>
      </c>
      <c r="D1122" s="646" t="s">
        <v>329</v>
      </c>
      <c r="E1122" s="649">
        <f ca="1">Elec_Est!E5300</f>
        <v>17.34</v>
      </c>
      <c r="F1122" s="1125">
        <f t="shared" ca="1" si="248"/>
        <v>312.12</v>
      </c>
    </row>
    <row r="1123" spans="1:6" s="631" customFormat="1">
      <c r="A1123" s="671">
        <f t="shared" ca="1" si="246"/>
        <v>6.0190000000000063</v>
      </c>
      <c r="B1123" s="651" t="s">
        <v>888</v>
      </c>
      <c r="C1123" s="646">
        <v>21</v>
      </c>
      <c r="D1123" s="646" t="s">
        <v>329</v>
      </c>
      <c r="E1123" s="649">
        <f ca="1">Elec_Est!E5307</f>
        <v>17.34</v>
      </c>
      <c r="F1123" s="1125">
        <f t="shared" ca="1" si="248"/>
        <v>364.14</v>
      </c>
    </row>
    <row r="1124" spans="1:6" s="631" customFormat="1">
      <c r="A1124" s="671">
        <f t="shared" ca="1" si="246"/>
        <v>6.0200000000000067</v>
      </c>
      <c r="B1124" s="651" t="s">
        <v>900</v>
      </c>
      <c r="C1124" s="646">
        <v>1</v>
      </c>
      <c r="D1124" s="646" t="s">
        <v>329</v>
      </c>
      <c r="E1124" s="649">
        <f ca="1">Elec_Est!E5314</f>
        <v>17.34</v>
      </c>
      <c r="F1124" s="1125">
        <f t="shared" ca="1" si="248"/>
        <v>17.34</v>
      </c>
    </row>
    <row r="1125" spans="1:6" s="631" customFormat="1">
      <c r="A1125" s="671">
        <f t="shared" ca="1" si="246"/>
        <v>6.021000000000007</v>
      </c>
      <c r="B1125" s="651" t="s">
        <v>889</v>
      </c>
      <c r="C1125" s="646">
        <v>4</v>
      </c>
      <c r="D1125" s="646" t="s">
        <v>329</v>
      </c>
      <c r="E1125" s="649">
        <f ca="1">Elec_Est!E5321</f>
        <v>17.84</v>
      </c>
      <c r="F1125" s="1125">
        <f t="shared" ca="1" si="248"/>
        <v>71.36</v>
      </c>
    </row>
    <row r="1126" spans="1:6" s="631" customFormat="1">
      <c r="A1126" s="671">
        <f t="shared" ca="1" si="246"/>
        <v>6.0220000000000073</v>
      </c>
      <c r="B1126" s="651" t="s">
        <v>892</v>
      </c>
      <c r="C1126" s="646">
        <v>19</v>
      </c>
      <c r="D1126" s="646" t="s">
        <v>329</v>
      </c>
      <c r="E1126" s="649">
        <f ca="1">Elec_Est!E5328</f>
        <v>19.91</v>
      </c>
      <c r="F1126" s="1125">
        <f t="shared" ca="1" si="248"/>
        <v>378.29</v>
      </c>
    </row>
    <row r="1127" spans="1:6" s="631" customFormat="1">
      <c r="A1127" s="671">
        <f t="shared" ca="1" si="246"/>
        <v>6.0230000000000077</v>
      </c>
      <c r="B1127" s="651" t="s">
        <v>893</v>
      </c>
      <c r="C1127" s="646">
        <v>13</v>
      </c>
      <c r="D1127" s="646" t="s">
        <v>329</v>
      </c>
      <c r="E1127" s="649">
        <f ca="1">Elec_Est!E5335</f>
        <v>19.91</v>
      </c>
      <c r="F1127" s="1125">
        <f t="shared" ca="1" si="248"/>
        <v>258.83</v>
      </c>
    </row>
    <row r="1128" spans="1:6" s="631" customFormat="1">
      <c r="A1128" s="671">
        <f t="shared" ca="1" si="246"/>
        <v>6.024000000000008</v>
      </c>
      <c r="B1128" s="651" t="s">
        <v>901</v>
      </c>
      <c r="C1128" s="646">
        <v>20</v>
      </c>
      <c r="D1128" s="646" t="s">
        <v>329</v>
      </c>
      <c r="E1128" s="649">
        <f ca="1">Elec_Est!E5342</f>
        <v>21.41</v>
      </c>
      <c r="F1128" s="1125">
        <f t="shared" ca="1" si="248"/>
        <v>428.2</v>
      </c>
    </row>
    <row r="1129" spans="1:6" s="631" customFormat="1">
      <c r="A1129" s="671">
        <f t="shared" ca="1" si="246"/>
        <v>6.0250000000000083</v>
      </c>
      <c r="B1129" s="651" t="s">
        <v>902</v>
      </c>
      <c r="C1129" s="646">
        <v>108</v>
      </c>
      <c r="D1129" s="646" t="s">
        <v>329</v>
      </c>
      <c r="E1129" s="649">
        <f ca="1">Elec_Est!E5349</f>
        <v>34.28</v>
      </c>
      <c r="F1129" s="1125">
        <f t="shared" ca="1" si="248"/>
        <v>3702.2400000000002</v>
      </c>
    </row>
    <row r="1130" spans="1:6" s="631" customFormat="1">
      <c r="A1130" s="671">
        <f t="shared" ca="1" si="246"/>
        <v>6.0260000000000087</v>
      </c>
      <c r="B1130" s="651" t="s">
        <v>903</v>
      </c>
      <c r="C1130" s="646">
        <v>40</v>
      </c>
      <c r="D1130" s="646" t="s">
        <v>329</v>
      </c>
      <c r="E1130" s="649">
        <f ca="1">Elec_Est!E5356</f>
        <v>22.17</v>
      </c>
      <c r="F1130" s="1125">
        <f t="shared" ca="1" si="248"/>
        <v>886.80000000000007</v>
      </c>
    </row>
    <row r="1131" spans="1:6" s="631" customFormat="1">
      <c r="A1131" s="671">
        <f t="shared" ca="1" si="246"/>
        <v>6.027000000000009</v>
      </c>
      <c r="B1131" s="651" t="s">
        <v>904</v>
      </c>
      <c r="C1131" s="646">
        <v>35</v>
      </c>
      <c r="D1131" s="646" t="s">
        <v>329</v>
      </c>
      <c r="E1131" s="649">
        <f ca="1">Elec_Est!E5363</f>
        <v>33.07</v>
      </c>
      <c r="F1131" s="1125">
        <f t="shared" ca="1" si="248"/>
        <v>1157.45</v>
      </c>
    </row>
    <row r="1132" spans="1:6" s="631" customFormat="1">
      <c r="A1132" s="643"/>
      <c r="B1132" s="689" t="s">
        <v>362</v>
      </c>
      <c r="C1132" s="646"/>
      <c r="D1132" s="680"/>
      <c r="E1132" s="665"/>
      <c r="F1132" s="1125"/>
    </row>
    <row r="1133" spans="1:6" s="631" customFormat="1">
      <c r="A1133" s="671">
        <f t="shared" ca="1" si="246"/>
        <v>6.0280000000000094</v>
      </c>
      <c r="B1133" s="651" t="s">
        <v>897</v>
      </c>
      <c r="C1133" s="646">
        <v>8</v>
      </c>
      <c r="D1133" s="646" t="s">
        <v>329</v>
      </c>
      <c r="E1133" s="649">
        <f ca="1">Elec_Est!E5374</f>
        <v>17.25</v>
      </c>
      <c r="F1133" s="1125">
        <f t="shared" ref="F1133:F1139" ca="1" si="249">IFERROR($C1133*E1133,E1133)</f>
        <v>138</v>
      </c>
    </row>
    <row r="1134" spans="1:6" s="631" customFormat="1">
      <c r="A1134" s="671">
        <f t="shared" ca="1" si="246"/>
        <v>6.0290000000000097</v>
      </c>
      <c r="B1134" s="651" t="s">
        <v>898</v>
      </c>
      <c r="C1134" s="646">
        <v>4</v>
      </c>
      <c r="D1134" s="646" t="s">
        <v>329</v>
      </c>
      <c r="E1134" s="649">
        <f ca="1">Elec_Est!E5381</f>
        <v>17.739999999999998</v>
      </c>
      <c r="F1134" s="1125">
        <f t="shared" ca="1" si="249"/>
        <v>70.959999999999994</v>
      </c>
    </row>
    <row r="1135" spans="1:6" s="631" customFormat="1">
      <c r="A1135" s="671">
        <f t="shared" ca="1" si="246"/>
        <v>6.03000000000001</v>
      </c>
      <c r="B1135" s="651" t="s">
        <v>885</v>
      </c>
      <c r="C1135" s="646">
        <v>32</v>
      </c>
      <c r="D1135" s="646" t="s">
        <v>329</v>
      </c>
      <c r="E1135" s="649">
        <f ca="1">Elec_Est!E5388</f>
        <v>17.34</v>
      </c>
      <c r="F1135" s="1125">
        <f t="shared" ca="1" si="249"/>
        <v>554.88</v>
      </c>
    </row>
    <row r="1136" spans="1:6" s="631" customFormat="1">
      <c r="A1136" s="671">
        <f t="shared" ca="1" si="246"/>
        <v>6.0310000000000104</v>
      </c>
      <c r="B1136" s="651" t="s">
        <v>886</v>
      </c>
      <c r="C1136" s="646">
        <v>16</v>
      </c>
      <c r="D1136" s="646" t="s">
        <v>329</v>
      </c>
      <c r="E1136" s="649">
        <f ca="1">Elec_Est!E5395</f>
        <v>17.84</v>
      </c>
      <c r="F1136" s="1125">
        <f t="shared" ca="1" si="249"/>
        <v>285.44</v>
      </c>
    </row>
    <row r="1137" spans="1:6" s="631" customFormat="1">
      <c r="A1137" s="671">
        <f t="shared" ca="1" si="246"/>
        <v>6.0320000000000107</v>
      </c>
      <c r="B1137" s="651" t="s">
        <v>887</v>
      </c>
      <c r="C1137" s="646">
        <v>1</v>
      </c>
      <c r="D1137" s="646" t="s">
        <v>329</v>
      </c>
      <c r="E1137" s="649">
        <f ca="1">Elec_Est!E5402</f>
        <v>17.84</v>
      </c>
      <c r="F1137" s="1125">
        <f t="shared" ca="1" si="249"/>
        <v>17.84</v>
      </c>
    </row>
    <row r="1138" spans="1:6" s="631" customFormat="1">
      <c r="A1138" s="671">
        <f t="shared" ca="1" si="246"/>
        <v>6.033000000000011</v>
      </c>
      <c r="B1138" s="651" t="s">
        <v>888</v>
      </c>
      <c r="C1138" s="646">
        <v>4</v>
      </c>
      <c r="D1138" s="646" t="s">
        <v>329</v>
      </c>
      <c r="E1138" s="649">
        <f ca="1">Elec_Est!E5409</f>
        <v>17.34</v>
      </c>
      <c r="F1138" s="1125">
        <f t="shared" ca="1" si="249"/>
        <v>69.36</v>
      </c>
    </row>
    <row r="1139" spans="1:6" s="631" customFormat="1">
      <c r="A1139" s="671">
        <f t="shared" ca="1" si="246"/>
        <v>6.0340000000000114</v>
      </c>
      <c r="B1139" s="651" t="s">
        <v>889</v>
      </c>
      <c r="C1139" s="646">
        <v>2</v>
      </c>
      <c r="D1139" s="646" t="s">
        <v>329</v>
      </c>
      <c r="E1139" s="649">
        <f ca="1">Elec_Est!E5416</f>
        <v>17.84</v>
      </c>
      <c r="F1139" s="1125">
        <f t="shared" ca="1" si="249"/>
        <v>35.68</v>
      </c>
    </row>
    <row r="1140" spans="1:6" s="631" customFormat="1">
      <c r="A1140" s="643"/>
      <c r="B1140" s="689" t="s">
        <v>368</v>
      </c>
      <c r="C1140" s="646"/>
      <c r="D1140" s="680"/>
      <c r="E1140" s="665"/>
      <c r="F1140" s="1125"/>
    </row>
    <row r="1141" spans="1:6" s="631" customFormat="1">
      <c r="A1141" s="671">
        <f t="shared" ca="1" si="246"/>
        <v>6.0350000000000117</v>
      </c>
      <c r="B1141" s="651" t="s">
        <v>897</v>
      </c>
      <c r="C1141" s="646">
        <v>11</v>
      </c>
      <c r="D1141" s="646" t="s">
        <v>329</v>
      </c>
      <c r="E1141" s="649">
        <f ca="1">Elec_Est!E5427</f>
        <v>17.25</v>
      </c>
      <c r="F1141" s="1125">
        <f t="shared" ref="F1141:F1150" ca="1" si="250">IFERROR($C1141*E1141,E1141)</f>
        <v>189.75</v>
      </c>
    </row>
    <row r="1142" spans="1:6" s="631" customFormat="1">
      <c r="A1142" s="671">
        <f t="shared" ca="1" si="246"/>
        <v>6.036000000000012</v>
      </c>
      <c r="B1142" s="651" t="s">
        <v>898</v>
      </c>
      <c r="C1142" s="646">
        <v>5</v>
      </c>
      <c r="D1142" s="646" t="s">
        <v>329</v>
      </c>
      <c r="E1142" s="649">
        <f ca="1">Elec_Est!E5434</f>
        <v>17.739999999999998</v>
      </c>
      <c r="F1142" s="1125">
        <f t="shared" ca="1" si="250"/>
        <v>88.699999999999989</v>
      </c>
    </row>
    <row r="1143" spans="1:6" s="631" customFormat="1">
      <c r="A1143" s="671">
        <f t="shared" ca="1" si="246"/>
        <v>6.0370000000000124</v>
      </c>
      <c r="B1143" s="651" t="s">
        <v>885</v>
      </c>
      <c r="C1143" s="646">
        <v>71</v>
      </c>
      <c r="D1143" s="646" t="s">
        <v>329</v>
      </c>
      <c r="E1143" s="649">
        <f ca="1">Elec_Est!E5441</f>
        <v>17.34</v>
      </c>
      <c r="F1143" s="1125">
        <f t="shared" ca="1" si="250"/>
        <v>1231.1400000000001</v>
      </c>
    </row>
    <row r="1144" spans="1:6" s="631" customFormat="1">
      <c r="A1144" s="671">
        <f t="shared" ca="1" si="246"/>
        <v>6.0380000000000127</v>
      </c>
      <c r="B1144" s="651" t="s">
        <v>886</v>
      </c>
      <c r="C1144" s="646">
        <v>37</v>
      </c>
      <c r="D1144" s="646" t="s">
        <v>329</v>
      </c>
      <c r="E1144" s="649">
        <f ca="1">Elec_Est!E5448</f>
        <v>17.84</v>
      </c>
      <c r="F1144" s="1125">
        <f t="shared" ca="1" si="250"/>
        <v>660.08</v>
      </c>
    </row>
    <row r="1145" spans="1:6" s="631" customFormat="1">
      <c r="A1145" s="671">
        <f t="shared" ca="1" si="246"/>
        <v>6.039000000000013</v>
      </c>
      <c r="B1145" s="651" t="s">
        <v>887</v>
      </c>
      <c r="C1145" s="646">
        <v>1</v>
      </c>
      <c r="D1145" s="646" t="s">
        <v>329</v>
      </c>
      <c r="E1145" s="649">
        <f ca="1">Elec_Est!E5455</f>
        <v>17.84</v>
      </c>
      <c r="F1145" s="1125">
        <f t="shared" ca="1" si="250"/>
        <v>17.84</v>
      </c>
    </row>
    <row r="1146" spans="1:6" s="631" customFormat="1">
      <c r="A1146" s="671">
        <f t="shared" ca="1" si="246"/>
        <v>6.0400000000000134</v>
      </c>
      <c r="B1146" s="651" t="s">
        <v>899</v>
      </c>
      <c r="C1146" s="646">
        <v>7</v>
      </c>
      <c r="D1146" s="646" t="s">
        <v>329</v>
      </c>
      <c r="E1146" s="649">
        <f ca="1">Elec_Est!E5462</f>
        <v>17.34</v>
      </c>
      <c r="F1146" s="1125">
        <f t="shared" ca="1" si="250"/>
        <v>121.38</v>
      </c>
    </row>
    <row r="1147" spans="1:6" s="631" customFormat="1">
      <c r="A1147" s="671">
        <f t="shared" ca="1" si="246"/>
        <v>6.0410000000000137</v>
      </c>
      <c r="B1147" s="651" t="s">
        <v>888</v>
      </c>
      <c r="C1147" s="646">
        <v>7</v>
      </c>
      <c r="D1147" s="646" t="s">
        <v>329</v>
      </c>
      <c r="E1147" s="649">
        <f ca="1">Elec_Est!E5469</f>
        <v>17.34</v>
      </c>
      <c r="F1147" s="1125">
        <f t="shared" ca="1" si="250"/>
        <v>121.38</v>
      </c>
    </row>
    <row r="1148" spans="1:6" s="631" customFormat="1">
      <c r="A1148" s="671">
        <f t="shared" ca="1" si="246"/>
        <v>6.042000000000014</v>
      </c>
      <c r="B1148" s="651" t="s">
        <v>905</v>
      </c>
      <c r="C1148" s="646">
        <v>2</v>
      </c>
      <c r="D1148" s="646" t="s">
        <v>329</v>
      </c>
      <c r="E1148" s="649">
        <f ca="1">Elec_Est!E5476</f>
        <v>17.34</v>
      </c>
      <c r="F1148" s="1125">
        <f t="shared" ca="1" si="250"/>
        <v>34.68</v>
      </c>
    </row>
    <row r="1149" spans="1:6" s="631" customFormat="1">
      <c r="A1149" s="671">
        <f t="shared" ca="1" si="246"/>
        <v>6.0430000000000144</v>
      </c>
      <c r="B1149" s="651" t="s">
        <v>889</v>
      </c>
      <c r="C1149" s="646">
        <v>2</v>
      </c>
      <c r="D1149" s="646" t="s">
        <v>329</v>
      </c>
      <c r="E1149" s="649">
        <f ca="1">Elec_Est!E5483</f>
        <v>17.84</v>
      </c>
      <c r="F1149" s="1125">
        <f t="shared" ca="1" si="250"/>
        <v>35.68</v>
      </c>
    </row>
    <row r="1150" spans="1:6" s="631" customFormat="1">
      <c r="A1150" s="671">
        <f t="shared" ca="1" si="246"/>
        <v>6.0440000000000147</v>
      </c>
      <c r="B1150" s="651" t="s">
        <v>903</v>
      </c>
      <c r="C1150" s="646">
        <v>3</v>
      </c>
      <c r="D1150" s="646" t="s">
        <v>329</v>
      </c>
      <c r="E1150" s="649">
        <f ca="1">Elec_Est!E5490</f>
        <v>22.17</v>
      </c>
      <c r="F1150" s="1125">
        <f t="shared" ca="1" si="250"/>
        <v>66.510000000000005</v>
      </c>
    </row>
    <row r="1151" spans="1:6" s="631" customFormat="1">
      <c r="A1151" s="643"/>
      <c r="B1151" s="689" t="s">
        <v>371</v>
      </c>
      <c r="C1151" s="646"/>
      <c r="D1151" s="680"/>
      <c r="E1151" s="665"/>
      <c r="F1151" s="1125"/>
    </row>
    <row r="1152" spans="1:6" s="631" customFormat="1">
      <c r="A1152" s="671">
        <f t="shared" ca="1" si="246"/>
        <v>6.045000000000015</v>
      </c>
      <c r="B1152" s="651" t="s">
        <v>897</v>
      </c>
      <c r="C1152" s="646">
        <v>28</v>
      </c>
      <c r="D1152" s="646" t="s">
        <v>329</v>
      </c>
      <c r="E1152" s="649">
        <f ca="1">Elec_Est!E5501</f>
        <v>17.25</v>
      </c>
      <c r="F1152" s="1125">
        <f t="shared" ref="F1152:F1159" ca="1" si="251">IFERROR($C1152*E1152,E1152)</f>
        <v>483</v>
      </c>
    </row>
    <row r="1153" spans="1:6" s="631" customFormat="1">
      <c r="A1153" s="671">
        <f t="shared" ca="1" si="246"/>
        <v>6.0460000000000154</v>
      </c>
      <c r="B1153" s="651" t="s">
        <v>898</v>
      </c>
      <c r="C1153" s="646">
        <v>11</v>
      </c>
      <c r="D1153" s="646" t="s">
        <v>329</v>
      </c>
      <c r="E1153" s="649">
        <f ca="1">Elec_Est!E5508</f>
        <v>17.739999999999998</v>
      </c>
      <c r="F1153" s="1125">
        <f t="shared" ca="1" si="251"/>
        <v>195.14</v>
      </c>
    </row>
    <row r="1154" spans="1:6" s="631" customFormat="1">
      <c r="A1154" s="671">
        <f t="shared" ca="1" si="246"/>
        <v>6.0470000000000157</v>
      </c>
      <c r="B1154" s="651" t="s">
        <v>885</v>
      </c>
      <c r="C1154" s="646">
        <v>27</v>
      </c>
      <c r="D1154" s="646" t="s">
        <v>329</v>
      </c>
      <c r="E1154" s="649">
        <f ca="1">Elec_Est!E5515</f>
        <v>17.34</v>
      </c>
      <c r="F1154" s="1125">
        <f t="shared" ca="1" si="251"/>
        <v>468.18</v>
      </c>
    </row>
    <row r="1155" spans="1:6" s="631" customFormat="1">
      <c r="A1155" s="671">
        <f t="shared" ca="1" si="246"/>
        <v>6.048000000000016</v>
      </c>
      <c r="B1155" s="651" t="s">
        <v>886</v>
      </c>
      <c r="C1155" s="646">
        <v>18</v>
      </c>
      <c r="D1155" s="646" t="s">
        <v>329</v>
      </c>
      <c r="E1155" s="649">
        <f ca="1">Elec_Est!E5522</f>
        <v>17.84</v>
      </c>
      <c r="F1155" s="1125">
        <f t="shared" ca="1" si="251"/>
        <v>321.12</v>
      </c>
    </row>
    <row r="1156" spans="1:6" s="631" customFormat="1">
      <c r="A1156" s="671">
        <f t="shared" ca="1" si="246"/>
        <v>6.0490000000000164</v>
      </c>
      <c r="B1156" s="651" t="s">
        <v>887</v>
      </c>
      <c r="C1156" s="646">
        <v>1</v>
      </c>
      <c r="D1156" s="646" t="s">
        <v>329</v>
      </c>
      <c r="E1156" s="649">
        <f ca="1">Elec_Est!E5529</f>
        <v>17.84</v>
      </c>
      <c r="F1156" s="1125">
        <f t="shared" ca="1" si="251"/>
        <v>17.84</v>
      </c>
    </row>
    <row r="1157" spans="1:6" s="631" customFormat="1">
      <c r="A1157" s="671">
        <f t="shared" ca="1" si="246"/>
        <v>6.0500000000000167</v>
      </c>
      <c r="B1157" s="651" t="s">
        <v>899</v>
      </c>
      <c r="C1157" s="646">
        <v>9</v>
      </c>
      <c r="D1157" s="646" t="s">
        <v>329</v>
      </c>
      <c r="E1157" s="649">
        <f ca="1">Elec_Est!E5536</f>
        <v>17.34</v>
      </c>
      <c r="F1157" s="1125">
        <f t="shared" ca="1" si="251"/>
        <v>156.06</v>
      </c>
    </row>
    <row r="1158" spans="1:6" s="631" customFormat="1">
      <c r="A1158" s="671">
        <f t="shared" ca="1" si="246"/>
        <v>6.051000000000017</v>
      </c>
      <c r="B1158" s="651" t="s">
        <v>888</v>
      </c>
      <c r="C1158" s="646">
        <v>7</v>
      </c>
      <c r="D1158" s="646" t="s">
        <v>329</v>
      </c>
      <c r="E1158" s="649">
        <f ca="1">Elec_Est!E5543</f>
        <v>17.34</v>
      </c>
      <c r="F1158" s="1125">
        <f t="shared" ca="1" si="251"/>
        <v>121.38</v>
      </c>
    </row>
    <row r="1159" spans="1:6" s="631" customFormat="1">
      <c r="A1159" s="671">
        <f t="shared" ca="1" si="246"/>
        <v>6.0520000000000174</v>
      </c>
      <c r="B1159" s="651" t="s">
        <v>889</v>
      </c>
      <c r="C1159" s="646">
        <v>2</v>
      </c>
      <c r="D1159" s="646" t="s">
        <v>329</v>
      </c>
      <c r="E1159" s="649">
        <f ca="1">Elec_Est!E5550</f>
        <v>17.84</v>
      </c>
      <c r="F1159" s="1125">
        <f t="shared" ca="1" si="251"/>
        <v>35.68</v>
      </c>
    </row>
    <row r="1160" spans="1:6" s="631" customFormat="1">
      <c r="A1160" s="643"/>
      <c r="B1160" s="689" t="s">
        <v>442</v>
      </c>
      <c r="C1160" s="646"/>
      <c r="D1160" s="680"/>
      <c r="E1160" s="665"/>
      <c r="F1160" s="1125"/>
    </row>
    <row r="1161" spans="1:6" s="631" customFormat="1">
      <c r="A1161" s="671">
        <f t="shared" ref="A1161" ca="1" si="252">IFERROR(IF(OFFSET(A1161,-1,0,1,1)&gt;0,OFFSET(A1161,-1,0,1,1)+0.001,ERROR.TYPE(0)),IFERROR(IF(OFFSET(A1161,-2,0,1,1)&gt;0,OFFSET(A1161,-2,0,1,1)+0.001,ERROR.TYPE(0)),IFERROR(IF(OFFSET(A1161,-3,0,1,1)&gt;0,OFFSET(A1161,-3,0,1,1)+0.001,ERROR.TYPE(0)),IFERROR(IF(OFFSET(A1161,-4,0,1,1)&gt;0,OFFSET(A1161,-4,0,1,1)+0.001,ERROR.TYPE(0)),IFERROR(IF(OFFSET(A1161,-5,0,1,1)&gt;0,OFFSET(A1161,-5,0,1,1)+0.001,ERROR.TYPE(0)),IFERROR(IF(OFFSET(A1161,-6,0,1,1)&gt;0,OFFSET(A1161,-6,0,1,1)+0.001,ERROR.TYPE(0)),IFERROR(IF(OFFSET(A1161,-7,0,1,1)&gt;0,OFFSET(A1161,-7,0,1,1)+0.001,ERROR.TYPE(0)),IFERROR(IF(OFFSET(A1161,-8,0,1,1)&gt;0,OFFSET(A1161,-8,0,1,1)+0.001,ERROR.TYPE(0)),IFERROR(IF(OFFSET(A1161,-9,0,1,1)&gt;0,OFFSET(A1161,-9,0,1,1)+0.001,ERROR.TYPE(0)),IFERROR(IF(OFFSET(A1161,-10,0,1,1)&gt;0,OFFSET(A1161,-10,0,1,1)+0.001,ERROR.TYPE(0)),ERROR.TYPE(0)))))))))))</f>
        <v>6.0530000000000177</v>
      </c>
      <c r="B1161" s="651" t="s">
        <v>899</v>
      </c>
      <c r="C1161" s="646">
        <v>16</v>
      </c>
      <c r="D1161" s="646" t="s">
        <v>329</v>
      </c>
      <c r="E1161" s="649">
        <f ca="1">Elec_Est!E5561</f>
        <v>17.34</v>
      </c>
      <c r="F1161" s="1125">
        <f t="shared" ref="F1161" ca="1" si="253">IFERROR($C1161*E1161,E1161)</f>
        <v>277.44</v>
      </c>
    </row>
    <row r="1162" spans="1:6" s="631" customFormat="1">
      <c r="A1162" s="638"/>
      <c r="B1162" s="639" t="s">
        <v>906</v>
      </c>
      <c r="C1162" s="1456" t="s">
        <v>305</v>
      </c>
      <c r="D1162" s="1457"/>
      <c r="E1162" s="652"/>
      <c r="F1162" s="1123">
        <f ca="1">SUM(F1103:F1161)</f>
        <v>19160.93</v>
      </c>
    </row>
    <row r="1163" spans="1:6" s="631" customFormat="1">
      <c r="A1163" s="703"/>
      <c r="B1163" s="632"/>
      <c r="C1163" s="628"/>
      <c r="D1163" s="628"/>
      <c r="E1163" s="633"/>
      <c r="F1163" s="630"/>
    </row>
    <row r="1164" spans="1:6" s="631" customFormat="1">
      <c r="A1164" s="638"/>
      <c r="B1164" s="639" t="s">
        <v>907</v>
      </c>
      <c r="C1164" s="1456" t="s">
        <v>305</v>
      </c>
      <c r="D1164" s="1457"/>
      <c r="E1164" s="659"/>
      <c r="F1164" s="1123">
        <f ca="1">F1162</f>
        <v>19160.93</v>
      </c>
    </row>
    <row r="1165" spans="1:6">
      <c r="A1165" s="698"/>
      <c r="B1165" s="699"/>
      <c r="C1165" s="700"/>
      <c r="D1165" s="700"/>
      <c r="E1165" s="701"/>
      <c r="F1165" s="1257"/>
    </row>
    <row r="1166" spans="1:6">
      <c r="A1166" s="681"/>
      <c r="B1166" s="624"/>
      <c r="C1166" s="682"/>
      <c r="D1166" s="683"/>
      <c r="E1166" s="684"/>
      <c r="F1166" s="1131"/>
    </row>
    <row r="1167" spans="1:6" s="631" customFormat="1" ht="27.6">
      <c r="A1167" s="634" t="s">
        <v>143</v>
      </c>
      <c r="B1167" s="635" t="s">
        <v>198</v>
      </c>
      <c r="C1167" s="636" t="s">
        <v>199</v>
      </c>
      <c r="D1167" s="636" t="s">
        <v>200</v>
      </c>
      <c r="E1167" s="637" t="s">
        <v>294</v>
      </c>
      <c r="F1167" s="1122" t="s">
        <v>295</v>
      </c>
    </row>
    <row r="1168" spans="1:6" s="631" customFormat="1">
      <c r="A1168" s="638">
        <v>7</v>
      </c>
      <c r="B1168" s="639" t="s">
        <v>908</v>
      </c>
      <c r="C1168" s="640"/>
      <c r="D1168" s="640"/>
      <c r="E1168" s="641"/>
      <c r="F1168" s="1123"/>
    </row>
    <row r="1169" spans="1:6" s="631" customFormat="1" ht="27.6">
      <c r="A1169" s="643"/>
      <c r="B1169" s="644" t="s">
        <v>909</v>
      </c>
      <c r="C1169" s="646"/>
      <c r="D1169" s="646"/>
      <c r="E1169" s="649"/>
      <c r="F1169" s="649"/>
    </row>
    <row r="1170" spans="1:6" s="631" customFormat="1">
      <c r="A1170" s="643"/>
      <c r="B1170" s="639" t="s">
        <v>343</v>
      </c>
      <c r="C1170" s="646"/>
      <c r="D1170" s="646"/>
      <c r="E1170" s="649"/>
      <c r="F1170" s="649"/>
    </row>
    <row r="1171" spans="1:6" s="631" customFormat="1">
      <c r="A1171" s="671"/>
      <c r="B1171" s="689" t="s">
        <v>910</v>
      </c>
      <c r="C1171" s="646"/>
      <c r="D1171" s="646"/>
      <c r="E1171" s="1129"/>
      <c r="F1171" s="1125"/>
    </row>
    <row r="1172" spans="1:6" s="631" customFormat="1">
      <c r="A1172" s="671">
        <f t="shared" ref="A1172:A1253" ca="1" si="254">IFERROR(IF(OFFSET(A1172,-1,0)&gt;0,OFFSET(A1172,-1,0)+0.001,ERROR.TYPE(0)),IFERROR(IF(OFFSET(A1172,-2,0)&gt;0,OFFSET(A1172,-2,0)+0.001,ERROR.TYPE(0)),IFERROR(IF(OFFSET(A1172,-3,0)&gt;0,OFFSET(A1172,-3,0)+0.001,ERROR.TYPE(0)),IFERROR(IF(OFFSET(A1172,-4,0)&gt;0,OFFSET(A1172,-4,0)+0.001,ERROR.TYPE(0)),IFERROR(IF(OFFSET(A1172,-5,0)&gt;0,OFFSET(A1172,-5,0)+0.001,ERROR.TYPE(0)),IFERROR(IF(OFFSET(A1172,-6,0)&gt;0,OFFSET(A1172,-6,0)+0.001,ERROR.TYPE(0)),IFERROR(IF(OFFSET(A1172,-7,0)&gt;0,OFFSET(A1172,-7,0)+0.001,ERROR.TYPE(0)),IFERROR(IF(OFFSET(A1172,-8,0)&gt;0,OFFSET(A1172,-8,0)+0.001,ERROR.TYPE(0)),IFERROR(IF(OFFSET(A1172,-9,0)&gt;0,OFFSET(A1172,-9,0)+0.001,ERROR.TYPE(0)),IFERROR(IF(OFFSET(A1172,-10,0)&gt;0,OFFSET(A1172,-10,0)+0.001,ERROR.TYPE(0)),ERROR.TYPE(0)))))))))))</f>
        <v>7.0010000000000003</v>
      </c>
      <c r="B1172" s="651" t="s">
        <v>911</v>
      </c>
      <c r="C1172" s="646">
        <v>20</v>
      </c>
      <c r="D1172" s="646" t="s">
        <v>320</v>
      </c>
      <c r="E1172" s="649">
        <f ca="1">Elec_Est!E5596</f>
        <v>15.48</v>
      </c>
      <c r="F1172" s="1125">
        <f t="shared" ref="F1172:F1174" ca="1" si="255">IFERROR($C1172*E1172,E1172)</f>
        <v>309.60000000000002</v>
      </c>
    </row>
    <row r="1173" spans="1:6" s="631" customFormat="1">
      <c r="A1173" s="671">
        <f t="shared" ca="1" si="254"/>
        <v>7.0020000000000007</v>
      </c>
      <c r="B1173" s="651" t="s">
        <v>912</v>
      </c>
      <c r="C1173" s="646">
        <v>30</v>
      </c>
      <c r="D1173" s="646" t="s">
        <v>320</v>
      </c>
      <c r="E1173" s="649">
        <f ca="1">Elec_Est!E5605</f>
        <v>11.25</v>
      </c>
      <c r="F1173" s="1125">
        <f t="shared" ca="1" si="255"/>
        <v>337.5</v>
      </c>
    </row>
    <row r="1174" spans="1:6" s="631" customFormat="1">
      <c r="A1174" s="671">
        <f t="shared" ca="1" si="254"/>
        <v>7.003000000000001</v>
      </c>
      <c r="B1174" s="651" t="s">
        <v>913</v>
      </c>
      <c r="C1174" s="646">
        <v>20</v>
      </c>
      <c r="D1174" s="646" t="s">
        <v>320</v>
      </c>
      <c r="E1174" s="649">
        <f ca="1">Elec_Est!E5614</f>
        <v>21.6</v>
      </c>
      <c r="F1174" s="1125">
        <f t="shared" ca="1" si="255"/>
        <v>432</v>
      </c>
    </row>
    <row r="1175" spans="1:6" s="631" customFormat="1">
      <c r="A1175" s="671">
        <f ca="1">IFERROR(IF(OFFSET(A1175,-1,0)&gt;0,OFFSET(A1175,-1,0)+0.001,ERROR.TYPE(0)),IFERROR(IF(OFFSET(A1175,-2,0)&gt;0,OFFSET(A1175,-2,0)+0.001,ERROR.TYPE(0)),IFERROR(IF(OFFSET(A1175,-3,0)&gt;0,OFFSET(A1175,-3,0)+0.001,ERROR.TYPE(0)),IFERROR(IF(OFFSET(A1175,-4,0)&gt;0,OFFSET(A1175,-4,0)+0.001,ERROR.TYPE(0)),IFERROR(IF(OFFSET(A1175,-5,0)&gt;0,OFFSET(A1175,-5,0)+0.001,ERROR.TYPE(0)),IFERROR(IF(OFFSET(A1175,-6,0)&gt;0,OFFSET(A1175,-6,0)+0.001,ERROR.TYPE(0)),IFERROR(IF(OFFSET(A1175,-7,0)&gt;0,OFFSET(A1175,-7,0)+0.001,ERROR.TYPE(0)),IFERROR(IF(OFFSET(A1175,-8,0)&gt;0,OFFSET(A1175,-8,0)+0.001,ERROR.TYPE(0)),IFERROR(IF(OFFSET(A1175,-9,0)&gt;0,OFFSET(A1175,-9,0)+0.001,ERROR.TYPE(0)),IFERROR(IF(OFFSET(A1175,-10,0)&gt;0,OFFSET(A1175,-10,0)+0.001,ERROR.TYPE(0)),ERROR.TYPE(0)))))))))))</f>
        <v>7.0040000000000013</v>
      </c>
      <c r="B1175" s="651" t="s">
        <v>914</v>
      </c>
      <c r="C1175" s="646">
        <v>30</v>
      </c>
      <c r="D1175" s="646" t="s">
        <v>320</v>
      </c>
      <c r="E1175" s="649">
        <f ca="1">Elec_Est!E5623</f>
        <v>26.03</v>
      </c>
      <c r="F1175" s="1125">
        <f ca="1">IFERROR($C1175*E1175,E1175)</f>
        <v>780.90000000000009</v>
      </c>
    </row>
    <row r="1176" spans="1:6" s="631" customFormat="1">
      <c r="A1176" s="671">
        <f t="shared" ca="1" si="254"/>
        <v>7.0050000000000017</v>
      </c>
      <c r="B1176" s="651" t="s">
        <v>915</v>
      </c>
      <c r="C1176" s="646">
        <v>90</v>
      </c>
      <c r="D1176" s="646" t="s">
        <v>320</v>
      </c>
      <c r="E1176" s="649">
        <f ca="1">Elec_Est!E5632</f>
        <v>26.03</v>
      </c>
      <c r="F1176" s="1125">
        <f t="shared" ref="F1176:F1178" ca="1" si="256">IFERROR($C1176*E1176,E1176)</f>
        <v>2342.7000000000003</v>
      </c>
    </row>
    <row r="1177" spans="1:6" s="631" customFormat="1">
      <c r="A1177" s="671">
        <f t="shared" ca="1" si="254"/>
        <v>7.006000000000002</v>
      </c>
      <c r="B1177" s="651" t="s">
        <v>916</v>
      </c>
      <c r="C1177" s="646">
        <v>90</v>
      </c>
      <c r="D1177" s="646" t="s">
        <v>320</v>
      </c>
      <c r="E1177" s="649">
        <f ca="1">Elec_Est!E5641</f>
        <v>50.49</v>
      </c>
      <c r="F1177" s="1125">
        <f t="shared" ca="1" si="256"/>
        <v>4544.1000000000004</v>
      </c>
    </row>
    <row r="1178" spans="1:6" s="631" customFormat="1">
      <c r="A1178" s="671">
        <f t="shared" ca="1" si="254"/>
        <v>7.0070000000000023</v>
      </c>
      <c r="B1178" s="651" t="s">
        <v>917</v>
      </c>
      <c r="C1178" s="646">
        <v>230</v>
      </c>
      <c r="D1178" s="646" t="s">
        <v>320</v>
      </c>
      <c r="E1178" s="649">
        <f ca="1">Elec_Est!E5650</f>
        <v>55.26</v>
      </c>
      <c r="F1178" s="1125">
        <f t="shared" ca="1" si="256"/>
        <v>12709.8</v>
      </c>
    </row>
    <row r="1179" spans="1:6" s="631" customFormat="1">
      <c r="A1179" s="671"/>
      <c r="B1179" s="689" t="s">
        <v>918</v>
      </c>
      <c r="C1179" s="646"/>
      <c r="D1179" s="646"/>
      <c r="E1179" s="649"/>
      <c r="F1179" s="1125"/>
    </row>
    <row r="1180" spans="1:6" s="631" customFormat="1">
      <c r="A1180" s="1258">
        <f t="shared" ca="1" si="254"/>
        <v>7.0080000000000027</v>
      </c>
      <c r="B1180" s="651" t="s">
        <v>912</v>
      </c>
      <c r="C1180" s="1251">
        <v>60</v>
      </c>
      <c r="D1180" s="646" t="s">
        <v>320</v>
      </c>
      <c r="E1180" s="649">
        <f ca="1">Elec_Est!E5663</f>
        <v>16.87</v>
      </c>
      <c r="F1180" s="1125">
        <f t="shared" ref="F1180:F1183" ca="1" si="257">IFERROR($C1180*E1180,E1180)</f>
        <v>1012.2</v>
      </c>
    </row>
    <row r="1181" spans="1:6" s="631" customFormat="1">
      <c r="A1181" s="1258">
        <f t="shared" ca="1" si="254"/>
        <v>7.009000000000003</v>
      </c>
      <c r="B1181" s="651" t="s">
        <v>913</v>
      </c>
      <c r="C1181" s="1251">
        <v>10</v>
      </c>
      <c r="D1181" s="646" t="s">
        <v>320</v>
      </c>
      <c r="E1181" s="649">
        <f ca="1">Elec_Est!E5672</f>
        <v>21.6</v>
      </c>
      <c r="F1181" s="1125">
        <f t="shared" ca="1" si="257"/>
        <v>216</v>
      </c>
    </row>
    <row r="1182" spans="1:6" s="631" customFormat="1">
      <c r="A1182" s="671">
        <f t="shared" ca="1" si="254"/>
        <v>7.0100000000000033</v>
      </c>
      <c r="B1182" s="651" t="s">
        <v>915</v>
      </c>
      <c r="C1182" s="646">
        <v>15</v>
      </c>
      <c r="D1182" s="646" t="s">
        <v>320</v>
      </c>
      <c r="E1182" s="649">
        <f ca="1">Elec_Est!E5681</f>
        <v>26.03</v>
      </c>
      <c r="F1182" s="1125">
        <f t="shared" ca="1" si="257"/>
        <v>390.45000000000005</v>
      </c>
    </row>
    <row r="1183" spans="1:6" s="631" customFormat="1">
      <c r="A1183" s="1258">
        <f t="shared" ca="1" si="254"/>
        <v>7.0110000000000037</v>
      </c>
      <c r="B1183" s="651" t="s">
        <v>917</v>
      </c>
      <c r="C1183" s="1251">
        <v>90</v>
      </c>
      <c r="D1183" s="646" t="s">
        <v>320</v>
      </c>
      <c r="E1183" s="649">
        <f ca="1">Elec_Est!E5690</f>
        <v>55.26</v>
      </c>
      <c r="F1183" s="1125">
        <f t="shared" ca="1" si="257"/>
        <v>4973.3999999999996</v>
      </c>
    </row>
    <row r="1184" spans="1:6" s="631" customFormat="1">
      <c r="A1184" s="671"/>
      <c r="B1184" s="689" t="s">
        <v>919</v>
      </c>
      <c r="C1184" s="646"/>
      <c r="D1184" s="646"/>
      <c r="E1184" s="649"/>
      <c r="F1184" s="1125"/>
    </row>
    <row r="1185" spans="1:6" s="631" customFormat="1">
      <c r="A1185" s="671">
        <f t="shared" ref="A1185:A1194" ca="1" si="258">IFERROR(IF(OFFSET(A1185,-1,0)&gt;0,OFFSET(A1185,-1,0)+0.001,ERROR.TYPE(0)),IFERROR(IF(OFFSET(A1185,-2,0)&gt;0,OFFSET(A1185,-2,0)+0.001,ERROR.TYPE(0)),IFERROR(IF(OFFSET(A1185,-3,0)&gt;0,OFFSET(A1185,-3,0)+0.001,ERROR.TYPE(0)),IFERROR(IF(OFFSET(A1185,-4,0)&gt;0,OFFSET(A1185,-4,0)+0.001,ERROR.TYPE(0)),IFERROR(IF(OFFSET(A1185,-5,0)&gt;0,OFFSET(A1185,-5,0)+0.001,ERROR.TYPE(0)),IFERROR(IF(OFFSET(A1185,-6,0)&gt;0,OFFSET(A1185,-6,0)+0.001,ERROR.TYPE(0)),IFERROR(IF(OFFSET(A1185,-7,0)&gt;0,OFFSET(A1185,-7,0)+0.001,ERROR.TYPE(0)),IFERROR(IF(OFFSET(A1185,-8,0)&gt;0,OFFSET(A1185,-8,0)+0.001,ERROR.TYPE(0)),IFERROR(IF(OFFSET(A1185,-9,0)&gt;0,OFFSET(A1185,-9,0)+0.001,ERROR.TYPE(0)),IFERROR(IF(OFFSET(A1185,-10,0)&gt;0,OFFSET(A1185,-10,0)+0.001,ERROR.TYPE(0)),ERROR.TYPE(0)))))))))))</f>
        <v>7.012000000000004</v>
      </c>
      <c r="B1185" s="651" t="s">
        <v>920</v>
      </c>
      <c r="C1185" s="646">
        <v>5</v>
      </c>
      <c r="D1185" s="646" t="s">
        <v>320</v>
      </c>
      <c r="E1185" s="649">
        <f ca="1">Elec_Est!E5703</f>
        <v>22.31</v>
      </c>
      <c r="F1185" s="1125">
        <f ca="1">IFERROR($C1185*E1185,E1185)</f>
        <v>111.55</v>
      </c>
    </row>
    <row r="1186" spans="1:6" s="631" customFormat="1">
      <c r="A1186" s="671">
        <f t="shared" ca="1" si="258"/>
        <v>7.0130000000000043</v>
      </c>
      <c r="B1186" s="651" t="s">
        <v>921</v>
      </c>
      <c r="C1186" s="646">
        <v>145</v>
      </c>
      <c r="D1186" s="646" t="s">
        <v>320</v>
      </c>
      <c r="E1186" s="649">
        <f ca="1">Elec_Est!E5712</f>
        <v>24.32</v>
      </c>
      <c r="F1186" s="1125">
        <f ca="1">IFERROR($C1186*E1186,E1186)</f>
        <v>3526.4</v>
      </c>
    </row>
    <row r="1187" spans="1:6" s="631" customFormat="1">
      <c r="A1187" s="671">
        <f t="shared" ca="1" si="258"/>
        <v>7.0140000000000047</v>
      </c>
      <c r="B1187" s="651" t="s">
        <v>922</v>
      </c>
      <c r="C1187" s="646">
        <v>60</v>
      </c>
      <c r="D1187" s="646" t="s">
        <v>320</v>
      </c>
      <c r="E1187" s="649">
        <f ca="1">Elec_Est!E5721</f>
        <v>26.93</v>
      </c>
      <c r="F1187" s="1125">
        <f ca="1">IFERROR($C1187*E1187,E1187)</f>
        <v>1615.8</v>
      </c>
    </row>
    <row r="1188" spans="1:6" s="631" customFormat="1">
      <c r="A1188" s="671"/>
      <c r="B1188" s="689" t="s">
        <v>923</v>
      </c>
      <c r="C1188" s="646"/>
      <c r="D1188" s="646"/>
      <c r="E1188" s="649"/>
      <c r="F1188" s="1125"/>
    </row>
    <row r="1189" spans="1:6" s="631" customFormat="1">
      <c r="A1189" s="671">
        <f t="shared" ca="1" si="258"/>
        <v>7.015000000000005</v>
      </c>
      <c r="B1189" s="651" t="s">
        <v>920</v>
      </c>
      <c r="C1189" s="646">
        <v>200</v>
      </c>
      <c r="D1189" s="646" t="s">
        <v>320</v>
      </c>
      <c r="E1189" s="649">
        <f ca="1">Elec_Est!E5734</f>
        <v>22.31</v>
      </c>
      <c r="F1189" s="1125">
        <f ca="1">IFERROR($C1189*E1189,E1189)</f>
        <v>4462</v>
      </c>
    </row>
    <row r="1190" spans="1:6" s="631" customFormat="1">
      <c r="A1190" s="671">
        <f t="shared" ca="1" si="258"/>
        <v>7.0160000000000053</v>
      </c>
      <c r="B1190" s="651" t="s">
        <v>921</v>
      </c>
      <c r="C1190" s="646">
        <v>10</v>
      </c>
      <c r="D1190" s="646" t="s">
        <v>320</v>
      </c>
      <c r="E1190" s="649">
        <f ca="1">Elec_Est!E5743</f>
        <v>24.32</v>
      </c>
      <c r="F1190" s="1125">
        <f t="shared" ref="F1190" ca="1" si="259">IFERROR($C1190*E1190,E1190)</f>
        <v>243.2</v>
      </c>
    </row>
    <row r="1191" spans="1:6" s="631" customFormat="1">
      <c r="A1191" s="671"/>
      <c r="B1191" s="689" t="s">
        <v>924</v>
      </c>
      <c r="C1191" s="646"/>
      <c r="D1191" s="646"/>
      <c r="E1191" s="649"/>
      <c r="F1191" s="1125"/>
    </row>
    <row r="1192" spans="1:6" s="631" customFormat="1">
      <c r="A1192" s="671">
        <f t="shared" ca="1" si="258"/>
        <v>7.0170000000000057</v>
      </c>
      <c r="B1192" s="651" t="s">
        <v>920</v>
      </c>
      <c r="C1192" s="646">
        <v>65</v>
      </c>
      <c r="D1192" s="646" t="s">
        <v>320</v>
      </c>
      <c r="E1192" s="649">
        <f ca="1">Elec_Est!E5756</f>
        <v>22.31</v>
      </c>
      <c r="F1192" s="1125">
        <f ca="1">IFERROR($C1192*E1192,E1192)</f>
        <v>1450.1499999999999</v>
      </c>
    </row>
    <row r="1193" spans="1:6" s="631" customFormat="1">
      <c r="A1193" s="671">
        <f t="shared" ca="1" si="258"/>
        <v>7.018000000000006</v>
      </c>
      <c r="B1193" s="651" t="s">
        <v>921</v>
      </c>
      <c r="C1193" s="646">
        <v>100</v>
      </c>
      <c r="D1193" s="646" t="s">
        <v>320</v>
      </c>
      <c r="E1193" s="649">
        <f ca="1">Elec_Est!E5765</f>
        <v>24.32</v>
      </c>
      <c r="F1193" s="1125">
        <f t="shared" ref="F1193" ca="1" si="260">IFERROR($C1193*E1193,E1193)</f>
        <v>2432</v>
      </c>
    </row>
    <row r="1194" spans="1:6" s="631" customFormat="1">
      <c r="A1194" s="671">
        <f t="shared" ca="1" si="258"/>
        <v>7.0190000000000063</v>
      </c>
      <c r="B1194" s="651" t="s">
        <v>925</v>
      </c>
      <c r="C1194" s="646">
        <v>20</v>
      </c>
      <c r="D1194" s="646" t="s">
        <v>320</v>
      </c>
      <c r="E1194" s="649">
        <f ca="1">Elec_Est!E5774</f>
        <v>34.15</v>
      </c>
      <c r="F1194" s="1125">
        <f ca="1">IFERROR($C1194*E1194,E1194)</f>
        <v>683</v>
      </c>
    </row>
    <row r="1195" spans="1:6" s="631" customFormat="1">
      <c r="A1195" s="643"/>
      <c r="B1195" s="639" t="s">
        <v>347</v>
      </c>
      <c r="C1195" s="646"/>
      <c r="D1195" s="646"/>
      <c r="E1195" s="649"/>
      <c r="F1195" s="649"/>
    </row>
    <row r="1196" spans="1:6" s="631" customFormat="1">
      <c r="A1196" s="671"/>
      <c r="B1196" s="689" t="s">
        <v>910</v>
      </c>
      <c r="C1196" s="646"/>
      <c r="D1196" s="646"/>
      <c r="E1196" s="649"/>
      <c r="F1196" s="1125"/>
    </row>
    <row r="1197" spans="1:6" s="631" customFormat="1">
      <c r="A1197" s="671">
        <f t="shared" ca="1" si="254"/>
        <v>7.0200000000000067</v>
      </c>
      <c r="B1197" s="651" t="s">
        <v>912</v>
      </c>
      <c r="C1197" s="646">
        <v>20</v>
      </c>
      <c r="D1197" s="646" t="s">
        <v>320</v>
      </c>
      <c r="E1197" s="649">
        <f ca="1">Elec_Est!E5791</f>
        <v>16.87</v>
      </c>
      <c r="F1197" s="1125">
        <f t="shared" ref="F1197:F1199" ca="1" si="261">IFERROR($C1197*E1197,E1197)</f>
        <v>337.40000000000003</v>
      </c>
    </row>
    <row r="1198" spans="1:6" s="631" customFormat="1">
      <c r="A1198" s="671">
        <f t="shared" ca="1" si="254"/>
        <v>7.021000000000007</v>
      </c>
      <c r="B1198" s="651" t="s">
        <v>913</v>
      </c>
      <c r="C1198" s="646">
        <v>40</v>
      </c>
      <c r="D1198" s="646" t="s">
        <v>320</v>
      </c>
      <c r="E1198" s="649">
        <f ca="1">Elec_Est!E5800</f>
        <v>21.6</v>
      </c>
      <c r="F1198" s="1125">
        <f t="shared" ca="1" si="261"/>
        <v>864</v>
      </c>
    </row>
    <row r="1199" spans="1:6" s="631" customFormat="1">
      <c r="A1199" s="671">
        <f t="shared" ca="1" si="254"/>
        <v>7.0220000000000073</v>
      </c>
      <c r="B1199" s="651" t="s">
        <v>915</v>
      </c>
      <c r="C1199" s="646">
        <v>35</v>
      </c>
      <c r="D1199" s="646" t="s">
        <v>320</v>
      </c>
      <c r="E1199" s="649">
        <f ca="1">Elec_Est!E5809</f>
        <v>26.03</v>
      </c>
      <c r="F1199" s="1125">
        <f t="shared" ca="1" si="261"/>
        <v>911.05000000000007</v>
      </c>
    </row>
    <row r="1200" spans="1:6" s="631" customFormat="1">
      <c r="A1200" s="671"/>
      <c r="B1200" s="689" t="s">
        <v>918</v>
      </c>
      <c r="C1200" s="646"/>
      <c r="D1200" s="646"/>
      <c r="E1200" s="649"/>
      <c r="F1200" s="1125"/>
    </row>
    <row r="1201" spans="1:6" s="631" customFormat="1">
      <c r="A1201" s="1258">
        <f t="shared" ca="1" si="254"/>
        <v>7.0230000000000077</v>
      </c>
      <c r="B1201" s="651" t="s">
        <v>913</v>
      </c>
      <c r="C1201" s="1251">
        <v>0</v>
      </c>
      <c r="D1201" s="646" t="s">
        <v>320</v>
      </c>
      <c r="E1201" s="649">
        <f ca="1">Elec_Est!E5822</f>
        <v>0</v>
      </c>
      <c r="F1201" s="1252" t="s">
        <v>3797</v>
      </c>
    </row>
    <row r="1202" spans="1:6" s="631" customFormat="1">
      <c r="A1202" s="1258">
        <f t="shared" ca="1" si="254"/>
        <v>7.024000000000008</v>
      </c>
      <c r="B1202" s="651" t="s">
        <v>917</v>
      </c>
      <c r="C1202" s="1251">
        <v>0</v>
      </c>
      <c r="D1202" s="646" t="s">
        <v>320</v>
      </c>
      <c r="E1202" s="649">
        <f ca="1">Elec_Est!E5831</f>
        <v>0</v>
      </c>
      <c r="F1202" s="1252" t="s">
        <v>3797</v>
      </c>
    </row>
    <row r="1203" spans="1:6" s="631" customFormat="1">
      <c r="A1203" s="671"/>
      <c r="B1203" s="689" t="s">
        <v>919</v>
      </c>
      <c r="C1203" s="646"/>
      <c r="D1203" s="646"/>
      <c r="E1203" s="649"/>
      <c r="F1203" s="1125"/>
    </row>
    <row r="1204" spans="1:6" s="631" customFormat="1">
      <c r="A1204" s="671">
        <f t="shared" ref="A1204:A1210" ca="1" si="262">IFERROR(IF(OFFSET(A1204,-1,0)&gt;0,OFFSET(A1204,-1,0)+0.001,ERROR.TYPE(0)),IFERROR(IF(OFFSET(A1204,-2,0)&gt;0,OFFSET(A1204,-2,0)+0.001,ERROR.TYPE(0)),IFERROR(IF(OFFSET(A1204,-3,0)&gt;0,OFFSET(A1204,-3,0)+0.001,ERROR.TYPE(0)),IFERROR(IF(OFFSET(A1204,-4,0)&gt;0,OFFSET(A1204,-4,0)+0.001,ERROR.TYPE(0)),IFERROR(IF(OFFSET(A1204,-5,0)&gt;0,OFFSET(A1204,-5,0)+0.001,ERROR.TYPE(0)),IFERROR(IF(OFFSET(A1204,-6,0)&gt;0,OFFSET(A1204,-6,0)+0.001,ERROR.TYPE(0)),IFERROR(IF(OFFSET(A1204,-7,0)&gt;0,OFFSET(A1204,-7,0)+0.001,ERROR.TYPE(0)),IFERROR(IF(OFFSET(A1204,-8,0)&gt;0,OFFSET(A1204,-8,0)+0.001,ERROR.TYPE(0)),IFERROR(IF(OFFSET(A1204,-9,0)&gt;0,OFFSET(A1204,-9,0)+0.001,ERROR.TYPE(0)),IFERROR(IF(OFFSET(A1204,-10,0)&gt;0,OFFSET(A1204,-10,0)+0.001,ERROR.TYPE(0)),ERROR.TYPE(0)))))))))))</f>
        <v>7.0250000000000083</v>
      </c>
      <c r="B1204" s="651" t="s">
        <v>921</v>
      </c>
      <c r="C1204" s="646">
        <v>20</v>
      </c>
      <c r="D1204" s="646" t="s">
        <v>320</v>
      </c>
      <c r="E1204" s="649">
        <f ca="1">Elec_Est!E5844</f>
        <v>24.32</v>
      </c>
      <c r="F1204" s="1125">
        <f ca="1">IFERROR($C1204*E1204,E1204)</f>
        <v>486.4</v>
      </c>
    </row>
    <row r="1205" spans="1:6" s="631" customFormat="1">
      <c r="A1205" s="671"/>
      <c r="B1205" s="689" t="s">
        <v>923</v>
      </c>
      <c r="C1205" s="646"/>
      <c r="D1205" s="646"/>
      <c r="E1205" s="649"/>
      <c r="F1205" s="1125"/>
    </row>
    <row r="1206" spans="1:6" s="631" customFormat="1">
      <c r="A1206" s="671">
        <f t="shared" ca="1" si="262"/>
        <v>7.0260000000000087</v>
      </c>
      <c r="B1206" s="651" t="s">
        <v>921</v>
      </c>
      <c r="C1206" s="646">
        <v>25</v>
      </c>
      <c r="D1206" s="646" t="s">
        <v>320</v>
      </c>
      <c r="E1206" s="649">
        <f ca="1">Elec_Est!E5857</f>
        <v>24.32</v>
      </c>
      <c r="F1206" s="1125">
        <f t="shared" ref="F1206" ca="1" si="263">IFERROR($C1206*E1206,E1206)</f>
        <v>608</v>
      </c>
    </row>
    <row r="1207" spans="1:6" s="631" customFormat="1">
      <c r="A1207" s="671"/>
      <c r="B1207" s="689" t="s">
        <v>924</v>
      </c>
      <c r="C1207" s="646"/>
      <c r="D1207" s="646"/>
      <c r="E1207" s="649"/>
      <c r="F1207" s="1125"/>
    </row>
    <row r="1208" spans="1:6" s="631" customFormat="1">
      <c r="A1208" s="671">
        <f t="shared" ca="1" si="262"/>
        <v>7.027000000000009</v>
      </c>
      <c r="B1208" s="651" t="s">
        <v>921</v>
      </c>
      <c r="C1208" s="646">
        <v>25</v>
      </c>
      <c r="D1208" s="646" t="s">
        <v>320</v>
      </c>
      <c r="E1208" s="649">
        <f ca="1">Elec_Est!E5870</f>
        <v>24.32</v>
      </c>
      <c r="F1208" s="1125">
        <f t="shared" ref="F1208" ca="1" si="264">IFERROR($C1208*E1208,E1208)</f>
        <v>608</v>
      </c>
    </row>
    <row r="1209" spans="1:6" s="631" customFormat="1">
      <c r="A1209" s="671"/>
      <c r="B1209" s="689" t="s">
        <v>926</v>
      </c>
      <c r="C1209" s="646"/>
      <c r="D1209" s="646"/>
      <c r="E1209" s="649"/>
      <c r="F1209" s="1125"/>
    </row>
    <row r="1210" spans="1:6" s="631" customFormat="1">
      <c r="A1210" s="671">
        <f t="shared" ca="1" si="262"/>
        <v>7.0280000000000094</v>
      </c>
      <c r="B1210" s="651" t="s">
        <v>927</v>
      </c>
      <c r="C1210" s="646">
        <v>300</v>
      </c>
      <c r="D1210" s="646" t="s">
        <v>320</v>
      </c>
      <c r="E1210" s="649">
        <f>Elec_Est!E5883</f>
        <v>9.74</v>
      </c>
      <c r="F1210" s="1125">
        <f t="shared" ref="F1210" si="265">IFERROR($C1210*E1210,E1210)</f>
        <v>2922</v>
      </c>
    </row>
    <row r="1211" spans="1:6" s="631" customFormat="1">
      <c r="A1211" s="643"/>
      <c r="B1211" s="639" t="s">
        <v>362</v>
      </c>
      <c r="C1211" s="646"/>
      <c r="D1211" s="646"/>
      <c r="E1211" s="649"/>
      <c r="F1211" s="649"/>
    </row>
    <row r="1212" spans="1:6" s="631" customFormat="1">
      <c r="A1212" s="671"/>
      <c r="B1212" s="689" t="s">
        <v>910</v>
      </c>
      <c r="C1212" s="646"/>
      <c r="D1212" s="646"/>
      <c r="E1212" s="649"/>
      <c r="F1212" s="1125"/>
    </row>
    <row r="1213" spans="1:6" s="631" customFormat="1">
      <c r="A1213" s="671">
        <f t="shared" ca="1" si="254"/>
        <v>7.0290000000000097</v>
      </c>
      <c r="B1213" s="651" t="s">
        <v>912</v>
      </c>
      <c r="C1213" s="646">
        <v>25</v>
      </c>
      <c r="D1213" s="646" t="s">
        <v>320</v>
      </c>
      <c r="E1213" s="649">
        <f ca="1">Elec_Est!E5901</f>
        <v>16.87</v>
      </c>
      <c r="F1213" s="1125">
        <f t="shared" ref="F1213" ca="1" si="266">IFERROR($C1213*E1213,E1213)</f>
        <v>421.75</v>
      </c>
    </row>
    <row r="1214" spans="1:6" s="631" customFormat="1">
      <c r="A1214" s="671"/>
      <c r="B1214" s="689" t="s">
        <v>928</v>
      </c>
      <c r="C1214" s="646"/>
      <c r="D1214" s="646"/>
      <c r="E1214" s="649"/>
      <c r="F1214" s="1125"/>
    </row>
    <row r="1215" spans="1:6" s="631" customFormat="1">
      <c r="A1215" s="671">
        <f t="shared" ca="1" si="254"/>
        <v>7.03000000000001</v>
      </c>
      <c r="B1215" s="651" t="s">
        <v>912</v>
      </c>
      <c r="C1215" s="646">
        <v>20</v>
      </c>
      <c r="D1215" s="646" t="s">
        <v>320</v>
      </c>
      <c r="E1215" s="649">
        <f ca="1">Elec_Est!E5914</f>
        <v>16.87</v>
      </c>
      <c r="F1215" s="1125">
        <f t="shared" ref="F1215" ca="1" si="267">IFERROR($C1215*E1215,E1215)</f>
        <v>337.40000000000003</v>
      </c>
    </row>
    <row r="1216" spans="1:6" s="631" customFormat="1">
      <c r="A1216" s="671"/>
      <c r="B1216" s="689" t="s">
        <v>919</v>
      </c>
      <c r="C1216" s="646"/>
      <c r="D1216" s="646"/>
      <c r="E1216" s="649"/>
      <c r="F1216" s="1125"/>
    </row>
    <row r="1217" spans="1:6" s="631" customFormat="1">
      <c r="A1217" s="671">
        <f t="shared" ref="A1217:A1227" ca="1" si="268">IFERROR(IF(OFFSET(A1217,-1,0)&gt;0,OFFSET(A1217,-1,0)+0.001,ERROR.TYPE(0)),IFERROR(IF(OFFSET(A1217,-2,0)&gt;0,OFFSET(A1217,-2,0)+0.001,ERROR.TYPE(0)),IFERROR(IF(OFFSET(A1217,-3,0)&gt;0,OFFSET(A1217,-3,0)+0.001,ERROR.TYPE(0)),IFERROR(IF(OFFSET(A1217,-4,0)&gt;0,OFFSET(A1217,-4,0)+0.001,ERROR.TYPE(0)),IFERROR(IF(OFFSET(A1217,-5,0)&gt;0,OFFSET(A1217,-5,0)+0.001,ERROR.TYPE(0)),IFERROR(IF(OFFSET(A1217,-6,0)&gt;0,OFFSET(A1217,-6,0)+0.001,ERROR.TYPE(0)),IFERROR(IF(OFFSET(A1217,-7,0)&gt;0,OFFSET(A1217,-7,0)+0.001,ERROR.TYPE(0)),IFERROR(IF(OFFSET(A1217,-8,0)&gt;0,OFFSET(A1217,-8,0)+0.001,ERROR.TYPE(0)),IFERROR(IF(OFFSET(A1217,-9,0)&gt;0,OFFSET(A1217,-9,0)+0.001,ERROR.TYPE(0)),IFERROR(IF(OFFSET(A1217,-10,0)&gt;0,OFFSET(A1217,-10,0)+0.001,ERROR.TYPE(0)),ERROR.TYPE(0)))))))))))</f>
        <v>7.0310000000000104</v>
      </c>
      <c r="B1217" s="651" t="s">
        <v>920</v>
      </c>
      <c r="C1217" s="646">
        <v>10</v>
      </c>
      <c r="D1217" s="646" t="s">
        <v>320</v>
      </c>
      <c r="E1217" s="649">
        <f ca="1">Elec_Est!E5927</f>
        <v>22.31</v>
      </c>
      <c r="F1217" s="1125">
        <f ca="1">IFERROR($C1217*E1217,E1217)</f>
        <v>223.1</v>
      </c>
    </row>
    <row r="1218" spans="1:6" s="631" customFormat="1">
      <c r="A1218" s="671">
        <f t="shared" ca="1" si="268"/>
        <v>7.0320000000000107</v>
      </c>
      <c r="B1218" s="651" t="s">
        <v>921</v>
      </c>
      <c r="C1218" s="646">
        <v>20</v>
      </c>
      <c r="D1218" s="646" t="s">
        <v>320</v>
      </c>
      <c r="E1218" s="649">
        <f ca="1">Elec_Est!E5936</f>
        <v>24.32</v>
      </c>
      <c r="F1218" s="1125">
        <f ca="1">IFERROR($C1218*E1218,E1218)</f>
        <v>486.4</v>
      </c>
    </row>
    <row r="1219" spans="1:6" s="631" customFormat="1">
      <c r="A1219" s="671">
        <f t="shared" ca="1" si="268"/>
        <v>7.033000000000011</v>
      </c>
      <c r="B1219" s="651" t="s">
        <v>922</v>
      </c>
      <c r="C1219" s="646">
        <v>10</v>
      </c>
      <c r="D1219" s="646" t="s">
        <v>320</v>
      </c>
      <c r="E1219" s="649">
        <f ca="1">Elec_Est!E5945</f>
        <v>26.93</v>
      </c>
      <c r="F1219" s="1125">
        <f ca="1">IFERROR($C1219*E1219,E1219)</f>
        <v>269.3</v>
      </c>
    </row>
    <row r="1220" spans="1:6" s="631" customFormat="1">
      <c r="A1220" s="671"/>
      <c r="B1220" s="689" t="s">
        <v>923</v>
      </c>
      <c r="C1220" s="646"/>
      <c r="D1220" s="646"/>
      <c r="E1220" s="649"/>
      <c r="F1220" s="1125"/>
    </row>
    <row r="1221" spans="1:6" s="631" customFormat="1">
      <c r="A1221" s="671">
        <f t="shared" ca="1" si="268"/>
        <v>7.0340000000000114</v>
      </c>
      <c r="B1221" s="651" t="s">
        <v>921</v>
      </c>
      <c r="C1221" s="646">
        <v>10</v>
      </c>
      <c r="D1221" s="646" t="s">
        <v>320</v>
      </c>
      <c r="E1221" s="649">
        <f ca="1">Elec_Est!E5958</f>
        <v>24.32</v>
      </c>
      <c r="F1221" s="1125">
        <f ca="1">IFERROR($C1221*E1221,E1221)</f>
        <v>243.2</v>
      </c>
    </row>
    <row r="1222" spans="1:6" s="631" customFormat="1">
      <c r="A1222" s="671">
        <f t="shared" ca="1" si="268"/>
        <v>7.0350000000000117</v>
      </c>
      <c r="B1222" s="651" t="s">
        <v>929</v>
      </c>
      <c r="C1222" s="646">
        <v>5</v>
      </c>
      <c r="D1222" s="646" t="s">
        <v>320</v>
      </c>
      <c r="E1222" s="649">
        <f ca="1">Elec_Est!E5967</f>
        <v>34.15</v>
      </c>
      <c r="F1222" s="1125">
        <f t="shared" ref="F1222:F1224" ca="1" si="269">IFERROR($C1222*E1222,E1222)</f>
        <v>170.75</v>
      </c>
    </row>
    <row r="1223" spans="1:6" s="631" customFormat="1">
      <c r="A1223" s="671">
        <f t="shared" ca="1" si="268"/>
        <v>7.036000000000012</v>
      </c>
      <c r="B1223" s="651" t="s">
        <v>925</v>
      </c>
      <c r="C1223" s="646">
        <v>10</v>
      </c>
      <c r="D1223" s="646" t="s">
        <v>320</v>
      </c>
      <c r="E1223" s="649">
        <f ca="1">Elec_Est!E5976</f>
        <v>34.15</v>
      </c>
      <c r="F1223" s="1125">
        <f t="shared" ca="1" si="269"/>
        <v>341.5</v>
      </c>
    </row>
    <row r="1224" spans="1:6" s="631" customFormat="1">
      <c r="A1224" s="671">
        <f t="shared" ca="1" si="268"/>
        <v>7.0370000000000124</v>
      </c>
      <c r="B1224" s="651" t="s">
        <v>930</v>
      </c>
      <c r="C1224" s="646">
        <v>10</v>
      </c>
      <c r="D1224" s="646" t="s">
        <v>320</v>
      </c>
      <c r="E1224" s="649">
        <f ca="1">Elec_Est!E5985</f>
        <v>45.94</v>
      </c>
      <c r="F1224" s="1125">
        <f t="shared" ca="1" si="269"/>
        <v>459.4</v>
      </c>
    </row>
    <row r="1225" spans="1:6" s="631" customFormat="1">
      <c r="A1225" s="671"/>
      <c r="B1225" s="689" t="s">
        <v>924</v>
      </c>
      <c r="C1225" s="646"/>
      <c r="D1225" s="646"/>
      <c r="E1225" s="649"/>
      <c r="F1225" s="1125"/>
    </row>
    <row r="1226" spans="1:6" s="631" customFormat="1">
      <c r="A1226" s="671">
        <f t="shared" ca="1" si="268"/>
        <v>7.0380000000000127</v>
      </c>
      <c r="B1226" s="651" t="s">
        <v>920</v>
      </c>
      <c r="C1226" s="646">
        <v>15</v>
      </c>
      <c r="D1226" s="646" t="s">
        <v>320</v>
      </c>
      <c r="E1226" s="649">
        <f ca="1">Elec_Est!E5998</f>
        <v>22.31</v>
      </c>
      <c r="F1226" s="1125">
        <f ca="1">IFERROR($C1226*E1226,E1226)</f>
        <v>334.65</v>
      </c>
    </row>
    <row r="1227" spans="1:6" s="631" customFormat="1">
      <c r="A1227" s="671">
        <f t="shared" ca="1" si="268"/>
        <v>7.039000000000013</v>
      </c>
      <c r="B1227" s="651" t="s">
        <v>921</v>
      </c>
      <c r="C1227" s="646">
        <v>20</v>
      </c>
      <c r="D1227" s="646" t="s">
        <v>320</v>
      </c>
      <c r="E1227" s="649">
        <f ca="1">Elec_Est!E6007</f>
        <v>24.32</v>
      </c>
      <c r="F1227" s="1125">
        <f t="shared" ref="F1227" ca="1" si="270">IFERROR($C1227*E1227,E1227)</f>
        <v>486.4</v>
      </c>
    </row>
    <row r="1228" spans="1:6" s="631" customFormat="1">
      <c r="A1228" s="638"/>
      <c r="B1228" s="639" t="s">
        <v>931</v>
      </c>
      <c r="C1228" s="1456" t="s">
        <v>305</v>
      </c>
      <c r="D1228" s="1457"/>
      <c r="E1228" s="652"/>
      <c r="F1228" s="1123">
        <f ca="1">SUM(F1170:F1227)</f>
        <v>53083.450000000012</v>
      </c>
    </row>
    <row r="1229" spans="1:6" s="631" customFormat="1">
      <c r="A1229" s="660"/>
      <c r="B1229" s="629"/>
      <c r="C1229" s="661"/>
      <c r="D1229" s="661"/>
      <c r="E1229" s="662"/>
      <c r="F1229" s="1127"/>
    </row>
    <row r="1230" spans="1:6" s="631" customFormat="1">
      <c r="A1230" s="660"/>
      <c r="B1230" s="629"/>
      <c r="C1230" s="661"/>
      <c r="D1230" s="654"/>
      <c r="E1230" s="662"/>
      <c r="F1230" s="1127"/>
    </row>
    <row r="1231" spans="1:6" s="631" customFormat="1" ht="27.6">
      <c r="A1231" s="634" t="s">
        <v>143</v>
      </c>
      <c r="B1231" s="635" t="s">
        <v>198</v>
      </c>
      <c r="C1231" s="636" t="s">
        <v>199</v>
      </c>
      <c r="D1231" s="636" t="s">
        <v>200</v>
      </c>
      <c r="E1231" s="637" t="s">
        <v>294</v>
      </c>
      <c r="F1231" s="1122" t="s">
        <v>295</v>
      </c>
    </row>
    <row r="1232" spans="1:6" s="631" customFormat="1">
      <c r="A1232" s="643"/>
      <c r="B1232" s="639" t="s">
        <v>368</v>
      </c>
      <c r="C1232" s="646"/>
      <c r="D1232" s="646"/>
      <c r="E1232" s="649"/>
      <c r="F1232" s="704"/>
    </row>
    <row r="1233" spans="1:6" s="631" customFormat="1">
      <c r="A1233" s="671"/>
      <c r="B1233" s="689" t="s">
        <v>910</v>
      </c>
      <c r="C1233" s="646"/>
      <c r="D1233" s="646"/>
      <c r="E1233" s="1129"/>
      <c r="F1233" s="1125"/>
    </row>
    <row r="1234" spans="1:6" s="631" customFormat="1">
      <c r="A1234" s="1258">
        <f t="shared" ca="1" si="254"/>
        <v>7.0400000000000134</v>
      </c>
      <c r="B1234" s="651" t="s">
        <v>912</v>
      </c>
      <c r="C1234" s="1251">
        <v>145</v>
      </c>
      <c r="D1234" s="646" t="s">
        <v>320</v>
      </c>
      <c r="E1234" s="1185">
        <f ca="1">Elec_Est!E6030</f>
        <v>47.93</v>
      </c>
      <c r="F1234" s="1125">
        <f t="shared" ref="F1234:F1236" ca="1" si="271">IFERROR($C1234*E1234,E1234)</f>
        <v>6949.85</v>
      </c>
    </row>
    <row r="1235" spans="1:6" s="631" customFormat="1">
      <c r="A1235" s="671">
        <f t="shared" ca="1" si="254"/>
        <v>7.0410000000000137</v>
      </c>
      <c r="B1235" s="651" t="s">
        <v>915</v>
      </c>
      <c r="C1235" s="646">
        <v>70</v>
      </c>
      <c r="D1235" s="646" t="s">
        <v>320</v>
      </c>
      <c r="E1235" s="1185">
        <f ca="1">Elec_Est!E6041</f>
        <v>79.150000000000006</v>
      </c>
      <c r="F1235" s="1125">
        <f t="shared" ca="1" si="271"/>
        <v>5540.5</v>
      </c>
    </row>
    <row r="1236" spans="1:6" s="631" customFormat="1">
      <c r="A1236" s="671">
        <f t="shared" ca="1" si="254"/>
        <v>7.042000000000014</v>
      </c>
      <c r="B1236" s="651" t="s">
        <v>917</v>
      </c>
      <c r="C1236" s="646">
        <v>70</v>
      </c>
      <c r="D1236" s="646" t="s">
        <v>320</v>
      </c>
      <c r="E1236" s="1185">
        <f ca="1">Elec_Est!E6052</f>
        <v>104.06</v>
      </c>
      <c r="F1236" s="1125">
        <f t="shared" ca="1" si="271"/>
        <v>7284.2</v>
      </c>
    </row>
    <row r="1237" spans="1:6" s="631" customFormat="1">
      <c r="A1237" s="671"/>
      <c r="B1237" s="689" t="s">
        <v>928</v>
      </c>
      <c r="C1237" s="646"/>
      <c r="D1237" s="646"/>
      <c r="E1237" s="1185"/>
      <c r="F1237" s="1125"/>
    </row>
    <row r="1238" spans="1:6" s="631" customFormat="1">
      <c r="A1238" s="671">
        <f t="shared" ca="1" si="254"/>
        <v>7.0430000000000144</v>
      </c>
      <c r="B1238" s="651" t="s">
        <v>912</v>
      </c>
      <c r="C1238" s="646">
        <v>25</v>
      </c>
      <c r="D1238" s="646" t="s">
        <v>320</v>
      </c>
      <c r="E1238" s="1185">
        <f ca="1">Elec_Est!E6067</f>
        <v>16.87</v>
      </c>
      <c r="F1238" s="1125">
        <f t="shared" ref="F1238" ca="1" si="272">IFERROR($C1238*E1238,E1238)</f>
        <v>421.75</v>
      </c>
    </row>
    <row r="1239" spans="1:6" s="631" customFormat="1">
      <c r="A1239" s="671"/>
      <c r="B1239" s="689" t="s">
        <v>919</v>
      </c>
      <c r="C1239" s="646"/>
      <c r="D1239" s="646"/>
      <c r="E1239" s="1185"/>
      <c r="F1239" s="1125"/>
    </row>
    <row r="1240" spans="1:6" s="631" customFormat="1">
      <c r="A1240" s="671">
        <f t="shared" ref="A1240:A1249" ca="1" si="273">IFERROR(IF(OFFSET(A1240,-1,0)&gt;0,OFFSET(A1240,-1,0)+0.001,ERROR.TYPE(0)),IFERROR(IF(OFFSET(A1240,-2,0)&gt;0,OFFSET(A1240,-2,0)+0.001,ERROR.TYPE(0)),IFERROR(IF(OFFSET(A1240,-3,0)&gt;0,OFFSET(A1240,-3,0)+0.001,ERROR.TYPE(0)),IFERROR(IF(OFFSET(A1240,-4,0)&gt;0,OFFSET(A1240,-4,0)+0.001,ERROR.TYPE(0)),IFERROR(IF(OFFSET(A1240,-5,0)&gt;0,OFFSET(A1240,-5,0)+0.001,ERROR.TYPE(0)),IFERROR(IF(OFFSET(A1240,-6,0)&gt;0,OFFSET(A1240,-6,0)+0.001,ERROR.TYPE(0)),IFERROR(IF(OFFSET(A1240,-7,0)&gt;0,OFFSET(A1240,-7,0)+0.001,ERROR.TYPE(0)),IFERROR(IF(OFFSET(A1240,-8,0)&gt;0,OFFSET(A1240,-8,0)+0.001,ERROR.TYPE(0)),IFERROR(IF(OFFSET(A1240,-9,0)&gt;0,OFFSET(A1240,-9,0)+0.001,ERROR.TYPE(0)),IFERROR(IF(OFFSET(A1240,-10,0)&gt;0,OFFSET(A1240,-10,0)+0.001,ERROR.TYPE(0)),ERROR.TYPE(0)))))))))))</f>
        <v>7.0440000000000147</v>
      </c>
      <c r="B1240" s="651" t="s">
        <v>921</v>
      </c>
      <c r="C1240" s="646">
        <v>175</v>
      </c>
      <c r="D1240" s="646" t="s">
        <v>320</v>
      </c>
      <c r="E1240" s="1185">
        <f ca="1">Elec_Est!E6080</f>
        <v>55.38</v>
      </c>
      <c r="F1240" s="1125">
        <f ca="1">IFERROR($C1240*E1240,E1240)</f>
        <v>9691.5</v>
      </c>
    </row>
    <row r="1241" spans="1:6" s="631" customFormat="1">
      <c r="A1241" s="671">
        <f t="shared" ca="1" si="273"/>
        <v>7.045000000000015</v>
      </c>
      <c r="B1241" s="651" t="s">
        <v>922</v>
      </c>
      <c r="C1241" s="646">
        <v>10</v>
      </c>
      <c r="D1241" s="646" t="s">
        <v>320</v>
      </c>
      <c r="E1241" s="1185">
        <f ca="1">Elec_Est!E6091</f>
        <v>26.93</v>
      </c>
      <c r="F1241" s="1125">
        <f ca="1">IFERROR($C1241*E1241,E1241)</f>
        <v>269.3</v>
      </c>
    </row>
    <row r="1242" spans="1:6" s="631" customFormat="1">
      <c r="A1242" s="671">
        <f t="shared" ca="1" si="273"/>
        <v>7.0460000000000154</v>
      </c>
      <c r="B1242" s="651" t="s">
        <v>929</v>
      </c>
      <c r="C1242" s="646">
        <v>15</v>
      </c>
      <c r="D1242" s="646" t="s">
        <v>320</v>
      </c>
      <c r="E1242" s="1185">
        <f ca="1">Elec_Est!E6100</f>
        <v>34.15</v>
      </c>
      <c r="F1242" s="1125">
        <f ca="1">IFERROR($C1242*E1242,E1242)</f>
        <v>512.25</v>
      </c>
    </row>
    <row r="1243" spans="1:6" s="631" customFormat="1">
      <c r="A1243" s="671"/>
      <c r="B1243" s="689" t="s">
        <v>923</v>
      </c>
      <c r="C1243" s="646"/>
      <c r="D1243" s="646"/>
      <c r="E1243" s="1185"/>
      <c r="F1243" s="1125"/>
    </row>
    <row r="1244" spans="1:6" s="631" customFormat="1">
      <c r="A1244" s="671">
        <f t="shared" ca="1" si="273"/>
        <v>7.0470000000000157</v>
      </c>
      <c r="B1244" s="651" t="s">
        <v>921</v>
      </c>
      <c r="C1244" s="646">
        <v>135</v>
      </c>
      <c r="D1244" s="646" t="s">
        <v>320</v>
      </c>
      <c r="E1244" s="1185">
        <f ca="1">Elec_Est!E6113</f>
        <v>55.38</v>
      </c>
      <c r="F1244" s="1125">
        <f t="shared" ref="F1244:F1247" ca="1" si="274">IFERROR($C1244*E1244,E1244)</f>
        <v>7476.3</v>
      </c>
    </row>
    <row r="1245" spans="1:6" s="631" customFormat="1">
      <c r="A1245" s="671">
        <f t="shared" ca="1" si="273"/>
        <v>7.048000000000016</v>
      </c>
      <c r="B1245" s="651" t="s">
        <v>922</v>
      </c>
      <c r="C1245" s="646">
        <v>10</v>
      </c>
      <c r="D1245" s="646" t="s">
        <v>320</v>
      </c>
      <c r="E1245" s="1185">
        <f ca="1">Elec_Est!E6124</f>
        <v>26.93</v>
      </c>
      <c r="F1245" s="1125">
        <f t="shared" ca="1" si="274"/>
        <v>269.3</v>
      </c>
    </row>
    <row r="1246" spans="1:6" s="631" customFormat="1">
      <c r="A1246" s="671">
        <f t="shared" ca="1" si="273"/>
        <v>7.0490000000000164</v>
      </c>
      <c r="B1246" s="651" t="s">
        <v>932</v>
      </c>
      <c r="C1246" s="646">
        <v>45</v>
      </c>
      <c r="D1246" s="646" t="s">
        <v>320</v>
      </c>
      <c r="E1246" s="1185">
        <f ca="1">Elec_Est!E6133</f>
        <v>42.51</v>
      </c>
      <c r="F1246" s="1125">
        <f t="shared" ca="1" si="274"/>
        <v>1912.9499999999998</v>
      </c>
    </row>
    <row r="1247" spans="1:6" s="631" customFormat="1">
      <c r="A1247" s="671">
        <f t="shared" ca="1" si="273"/>
        <v>7.0500000000000167</v>
      </c>
      <c r="B1247" s="651" t="s">
        <v>933</v>
      </c>
      <c r="C1247" s="646">
        <v>10</v>
      </c>
      <c r="D1247" s="646" t="s">
        <v>320</v>
      </c>
      <c r="E1247" s="1185">
        <f ca="1">Elec_Est!E6142</f>
        <v>85.95</v>
      </c>
      <c r="F1247" s="1125">
        <f t="shared" ca="1" si="274"/>
        <v>859.5</v>
      </c>
    </row>
    <row r="1248" spans="1:6" s="631" customFormat="1">
      <c r="A1248" s="671"/>
      <c r="B1248" s="689" t="s">
        <v>924</v>
      </c>
      <c r="C1248" s="646"/>
      <c r="D1248" s="646"/>
      <c r="E1248" s="1185"/>
      <c r="F1248" s="1125"/>
    </row>
    <row r="1249" spans="1:6" s="631" customFormat="1">
      <c r="A1249" s="671">
        <f t="shared" ca="1" si="273"/>
        <v>7.051000000000017</v>
      </c>
      <c r="B1249" s="651" t="s">
        <v>921</v>
      </c>
      <c r="C1249" s="646">
        <v>180</v>
      </c>
      <c r="D1249" s="646" t="s">
        <v>320</v>
      </c>
      <c r="E1249" s="1185">
        <f ca="1">Elec_Est!E6155</f>
        <v>55.38</v>
      </c>
      <c r="F1249" s="1125">
        <f t="shared" ref="F1249" ca="1" si="275">IFERROR($C1249*E1249,E1249)</f>
        <v>9968.4</v>
      </c>
    </row>
    <row r="1250" spans="1:6" s="631" customFormat="1">
      <c r="A1250" s="643"/>
      <c r="B1250" s="639" t="s">
        <v>934</v>
      </c>
      <c r="C1250" s="646"/>
      <c r="D1250" s="646"/>
      <c r="E1250" s="649"/>
      <c r="F1250" s="649"/>
    </row>
    <row r="1251" spans="1:6" s="631" customFormat="1">
      <c r="A1251" s="671"/>
      <c r="B1251" s="689" t="s">
        <v>910</v>
      </c>
      <c r="C1251" s="646"/>
      <c r="D1251" s="646"/>
      <c r="E1251" s="649"/>
      <c r="F1251" s="1125"/>
    </row>
    <row r="1252" spans="1:6" s="631" customFormat="1">
      <c r="A1252" s="671">
        <f t="shared" ca="1" si="254"/>
        <v>7.0520000000000174</v>
      </c>
      <c r="B1252" s="651" t="s">
        <v>912</v>
      </c>
      <c r="C1252" s="646">
        <v>10</v>
      </c>
      <c r="D1252" s="646" t="s">
        <v>320</v>
      </c>
      <c r="E1252" s="649">
        <f ca="1">Elec_Est!E6174</f>
        <v>16.87</v>
      </c>
      <c r="F1252" s="1125">
        <f t="shared" ref="F1252:F1253" ca="1" si="276">IFERROR($C1252*E1252,E1252)</f>
        <v>168.70000000000002</v>
      </c>
    </row>
    <row r="1253" spans="1:6" s="631" customFormat="1">
      <c r="A1253" s="671">
        <f t="shared" ca="1" si="254"/>
        <v>7.0530000000000177</v>
      </c>
      <c r="B1253" s="651" t="s">
        <v>917</v>
      </c>
      <c r="C1253" s="646">
        <v>5</v>
      </c>
      <c r="D1253" s="646" t="s">
        <v>320</v>
      </c>
      <c r="E1253" s="649">
        <f ca="1">Elec_Est!E6183</f>
        <v>55.26</v>
      </c>
      <c r="F1253" s="1125">
        <f t="shared" ca="1" si="276"/>
        <v>276.3</v>
      </c>
    </row>
    <row r="1254" spans="1:6" s="631" customFormat="1">
      <c r="A1254" s="671"/>
      <c r="B1254" s="689" t="s">
        <v>935</v>
      </c>
      <c r="C1254" s="646"/>
      <c r="D1254" s="646"/>
      <c r="E1254" s="649"/>
      <c r="F1254" s="1125"/>
    </row>
    <row r="1255" spans="1:6" s="631" customFormat="1">
      <c r="A1255" s="671">
        <f t="shared" ref="A1255:A1256" ca="1" si="277">IFERROR(IF(OFFSET(A1255,-1,0)&gt;0,OFFSET(A1255,-1,0)+0.001,ERROR.TYPE(0)),IFERROR(IF(OFFSET(A1255,-2,0)&gt;0,OFFSET(A1255,-2,0)+0.001,ERROR.TYPE(0)),IFERROR(IF(OFFSET(A1255,-3,0)&gt;0,OFFSET(A1255,-3,0)+0.001,ERROR.TYPE(0)),IFERROR(IF(OFFSET(A1255,-4,0)&gt;0,OFFSET(A1255,-4,0)+0.001,ERROR.TYPE(0)),IFERROR(IF(OFFSET(A1255,-5,0)&gt;0,OFFSET(A1255,-5,0)+0.001,ERROR.TYPE(0)),IFERROR(IF(OFFSET(A1255,-6,0)&gt;0,OFFSET(A1255,-6,0)+0.001,ERROR.TYPE(0)),IFERROR(IF(OFFSET(A1255,-7,0)&gt;0,OFFSET(A1255,-7,0)+0.001,ERROR.TYPE(0)),IFERROR(IF(OFFSET(A1255,-8,0)&gt;0,OFFSET(A1255,-8,0)+0.001,ERROR.TYPE(0)),IFERROR(IF(OFFSET(A1255,-9,0)&gt;0,OFFSET(A1255,-9,0)+0.001,ERROR.TYPE(0)),IFERROR(IF(OFFSET(A1255,-10,0)&gt;0,OFFSET(A1255,-10,0)+0.001,ERROR.TYPE(0)),ERROR.TYPE(0)))))))))))</f>
        <v>7.054000000000018</v>
      </c>
      <c r="B1255" s="651" t="s">
        <v>912</v>
      </c>
      <c r="C1255" s="646">
        <v>10</v>
      </c>
      <c r="D1255" s="646" t="s">
        <v>320</v>
      </c>
      <c r="E1255" s="649">
        <f>Elec_Est!E6196</f>
        <v>7.99</v>
      </c>
      <c r="F1255" s="1125">
        <f t="shared" ref="F1255:F1256" si="278">IFERROR($C1255*E1255,E1255)</f>
        <v>79.900000000000006</v>
      </c>
    </row>
    <row r="1256" spans="1:6" s="631" customFormat="1">
      <c r="A1256" s="671">
        <f t="shared" ca="1" si="277"/>
        <v>7.0550000000000184</v>
      </c>
      <c r="B1256" s="651" t="s">
        <v>917</v>
      </c>
      <c r="C1256" s="646">
        <v>5</v>
      </c>
      <c r="D1256" s="646" t="s">
        <v>320</v>
      </c>
      <c r="E1256" s="649">
        <f>Elec_Est!E6203</f>
        <v>19.829999999999998</v>
      </c>
      <c r="F1256" s="1125">
        <f t="shared" si="278"/>
        <v>99.149999999999991</v>
      </c>
    </row>
    <row r="1257" spans="1:6" s="631" customFormat="1">
      <c r="A1257" s="671"/>
      <c r="B1257" s="689" t="s">
        <v>919</v>
      </c>
      <c r="C1257" s="646"/>
      <c r="D1257" s="646"/>
      <c r="E1257" s="649"/>
      <c r="F1257" s="1125"/>
    </row>
    <row r="1258" spans="1:6" s="631" customFormat="1">
      <c r="A1258" s="671">
        <f t="shared" ref="A1258:A1262" ca="1" si="279">IFERROR(IF(OFFSET(A1258,-1,0)&gt;0,OFFSET(A1258,-1,0)+0.001,ERROR.TYPE(0)),IFERROR(IF(OFFSET(A1258,-2,0)&gt;0,OFFSET(A1258,-2,0)+0.001,ERROR.TYPE(0)),IFERROR(IF(OFFSET(A1258,-3,0)&gt;0,OFFSET(A1258,-3,0)+0.001,ERROR.TYPE(0)),IFERROR(IF(OFFSET(A1258,-4,0)&gt;0,OFFSET(A1258,-4,0)+0.001,ERROR.TYPE(0)),IFERROR(IF(OFFSET(A1258,-5,0)&gt;0,OFFSET(A1258,-5,0)+0.001,ERROR.TYPE(0)),IFERROR(IF(OFFSET(A1258,-6,0)&gt;0,OFFSET(A1258,-6,0)+0.001,ERROR.TYPE(0)),IFERROR(IF(OFFSET(A1258,-7,0)&gt;0,OFFSET(A1258,-7,0)+0.001,ERROR.TYPE(0)),IFERROR(IF(OFFSET(A1258,-8,0)&gt;0,OFFSET(A1258,-8,0)+0.001,ERROR.TYPE(0)),IFERROR(IF(OFFSET(A1258,-9,0)&gt;0,OFFSET(A1258,-9,0)+0.001,ERROR.TYPE(0)),IFERROR(IF(OFFSET(A1258,-10,0)&gt;0,OFFSET(A1258,-10,0)+0.001,ERROR.TYPE(0)),ERROR.TYPE(0)))))))))))</f>
        <v>7.0560000000000187</v>
      </c>
      <c r="B1258" s="651" t="s">
        <v>921</v>
      </c>
      <c r="C1258" s="646">
        <v>10</v>
      </c>
      <c r="D1258" s="646" t="s">
        <v>320</v>
      </c>
      <c r="E1258" s="649">
        <f ca="1">Elec_Est!E6214</f>
        <v>24.32</v>
      </c>
      <c r="F1258" s="1125">
        <f ca="1">IFERROR($C1258*E1258,E1258)</f>
        <v>243.2</v>
      </c>
    </row>
    <row r="1259" spans="1:6" s="631" customFormat="1">
      <c r="A1259" s="671"/>
      <c r="B1259" s="689" t="s">
        <v>923</v>
      </c>
      <c r="C1259" s="646"/>
      <c r="D1259" s="646"/>
      <c r="E1259" s="649"/>
      <c r="F1259" s="1125"/>
    </row>
    <row r="1260" spans="1:6" s="631" customFormat="1">
      <c r="A1260" s="671">
        <f t="shared" ca="1" si="279"/>
        <v>7.057000000000019</v>
      </c>
      <c r="B1260" s="651" t="s">
        <v>921</v>
      </c>
      <c r="C1260" s="646">
        <v>10</v>
      </c>
      <c r="D1260" s="646" t="s">
        <v>320</v>
      </c>
      <c r="E1260" s="649">
        <f ca="1">Elec_Est!E6227</f>
        <v>24.32</v>
      </c>
      <c r="F1260" s="1125">
        <f t="shared" ref="F1260" ca="1" si="280">IFERROR($C1260*E1260,E1260)</f>
        <v>243.2</v>
      </c>
    </row>
    <row r="1261" spans="1:6" s="631" customFormat="1">
      <c r="A1261" s="671"/>
      <c r="B1261" s="689" t="s">
        <v>924</v>
      </c>
      <c r="C1261" s="646"/>
      <c r="D1261" s="646"/>
      <c r="E1261" s="649"/>
      <c r="F1261" s="1125"/>
    </row>
    <row r="1262" spans="1:6" s="631" customFormat="1">
      <c r="A1262" s="671">
        <f t="shared" ca="1" si="279"/>
        <v>7.0580000000000194</v>
      </c>
      <c r="B1262" s="651" t="s">
        <v>921</v>
      </c>
      <c r="C1262" s="646">
        <v>10</v>
      </c>
      <c r="D1262" s="646" t="s">
        <v>320</v>
      </c>
      <c r="E1262" s="649">
        <f ca="1">Elec_Est!E6240</f>
        <v>24.32</v>
      </c>
      <c r="F1262" s="1125">
        <f t="shared" ref="F1262" ca="1" si="281">IFERROR($C1262*E1262,E1262)</f>
        <v>243.2</v>
      </c>
    </row>
    <row r="1263" spans="1:6" s="631" customFormat="1" ht="27.6">
      <c r="A1263" s="643"/>
      <c r="B1263" s="644" t="s">
        <v>909</v>
      </c>
      <c r="C1263" s="646"/>
      <c r="D1263" s="646"/>
      <c r="E1263" s="649"/>
      <c r="F1263" s="649"/>
    </row>
    <row r="1264" spans="1:6" s="631" customFormat="1">
      <c r="A1264" s="643"/>
      <c r="B1264" s="639" t="s">
        <v>371</v>
      </c>
      <c r="C1264" s="646"/>
      <c r="D1264" s="646"/>
      <c r="E1264" s="649"/>
      <c r="F1264" s="649"/>
    </row>
    <row r="1265" spans="1:6" s="631" customFormat="1">
      <c r="A1265" s="671"/>
      <c r="B1265" s="689" t="s">
        <v>910</v>
      </c>
      <c r="C1265" s="646"/>
      <c r="D1265" s="646"/>
      <c r="E1265" s="649"/>
      <c r="F1265" s="1125"/>
    </row>
    <row r="1266" spans="1:6" s="631" customFormat="1">
      <c r="A1266" s="671">
        <f ca="1">IFERROR(IF(OFFSET(A1266,-1,0)&gt;0,OFFSET(A1266,-1,0)+0.001,ERROR.TYPE(0)),IFERROR(IF(OFFSET(A1266,-2,0)&gt;0,OFFSET(A1266,-2,0)+0.001,ERROR.TYPE(0)),IFERROR(IF(OFFSET(A1266,-3,0)&gt;0,OFFSET(A1266,-3,0)+0.001,ERROR.TYPE(0)),IFERROR(IF(OFFSET(A1266,-4,0)&gt;0,OFFSET(A1266,-4,0)+0.001,ERROR.TYPE(0)),IFERROR(IF(OFFSET(A1266,-5,0)&gt;0,OFFSET(A1266,-5,0)+0.001,ERROR.TYPE(0)),IFERROR(IF(OFFSET(A1266,-6,0)&gt;0,OFFSET(A1266,-6,0)+0.001,ERROR.TYPE(0)),IFERROR(IF(OFFSET(A1266,-7,0)&gt;0,OFFSET(A1266,-7,0)+0.001,ERROR.TYPE(0)),IFERROR(IF(OFFSET(A1266,-8,0)&gt;0,OFFSET(A1266,-8,0)+0.001,ERROR.TYPE(0)),IFERROR(IF(OFFSET(A1266,-9,0)&gt;0,OFFSET(A1266,-9,0)+0.001,ERROR.TYPE(0)),IFERROR(IF(OFFSET(A1266,-10,0)&gt;0,OFFSET(A1266,-10,0)+0.001,ERROR.TYPE(0)),ERROR.TYPE(0)))))))))))</f>
        <v>7.0590000000000197</v>
      </c>
      <c r="B1266" s="651" t="s">
        <v>912</v>
      </c>
      <c r="C1266" s="646">
        <v>55</v>
      </c>
      <c r="D1266" s="646" t="s">
        <v>320</v>
      </c>
      <c r="E1266" s="649">
        <f ca="1">Elec_Est!E6262</f>
        <v>16.87</v>
      </c>
      <c r="F1266" s="1125">
        <f ca="1">IFERROR($C1266*E1266,E1266)</f>
        <v>927.85</v>
      </c>
    </row>
    <row r="1267" spans="1:6" s="631" customFormat="1">
      <c r="A1267" s="671"/>
      <c r="B1267" s="689" t="s">
        <v>919</v>
      </c>
      <c r="C1267" s="646"/>
      <c r="D1267" s="646"/>
      <c r="E1267" s="649"/>
      <c r="F1267" s="1125"/>
    </row>
    <row r="1268" spans="1:6" s="631" customFormat="1">
      <c r="A1268" s="671">
        <f t="shared" ref="A1268:A1274" ca="1" si="282">IFERROR(IF(OFFSET(A1268,-1,0)&gt;0,OFFSET(A1268,-1,0)+0.001,ERROR.TYPE(0)),IFERROR(IF(OFFSET(A1268,-2,0)&gt;0,OFFSET(A1268,-2,0)+0.001,ERROR.TYPE(0)),IFERROR(IF(OFFSET(A1268,-3,0)&gt;0,OFFSET(A1268,-3,0)+0.001,ERROR.TYPE(0)),IFERROR(IF(OFFSET(A1268,-4,0)&gt;0,OFFSET(A1268,-4,0)+0.001,ERROR.TYPE(0)),IFERROR(IF(OFFSET(A1268,-5,0)&gt;0,OFFSET(A1268,-5,0)+0.001,ERROR.TYPE(0)),IFERROR(IF(OFFSET(A1268,-6,0)&gt;0,OFFSET(A1268,-6,0)+0.001,ERROR.TYPE(0)),IFERROR(IF(OFFSET(A1268,-7,0)&gt;0,OFFSET(A1268,-7,0)+0.001,ERROR.TYPE(0)),IFERROR(IF(OFFSET(A1268,-8,0)&gt;0,OFFSET(A1268,-8,0)+0.001,ERROR.TYPE(0)),IFERROR(IF(OFFSET(A1268,-9,0)&gt;0,OFFSET(A1268,-9,0)+0.001,ERROR.TYPE(0)),IFERROR(IF(OFFSET(A1268,-10,0)&gt;0,OFFSET(A1268,-10,0)+0.001,ERROR.TYPE(0)),ERROR.TYPE(0)))))))))))</f>
        <v>7.06000000000002</v>
      </c>
      <c r="B1268" s="651" t="s">
        <v>920</v>
      </c>
      <c r="C1268" s="646">
        <v>10</v>
      </c>
      <c r="D1268" s="646" t="s">
        <v>320</v>
      </c>
      <c r="E1268" s="649">
        <f ca="1">Elec_Est!E6275</f>
        <v>22.31</v>
      </c>
      <c r="F1268" s="1125">
        <f ca="1">IFERROR($C1268*E1268,E1268)</f>
        <v>223.1</v>
      </c>
    </row>
    <row r="1269" spans="1:6" s="631" customFormat="1">
      <c r="A1269" s="671">
        <f t="shared" ca="1" si="282"/>
        <v>7.0610000000000204</v>
      </c>
      <c r="B1269" s="651" t="s">
        <v>921</v>
      </c>
      <c r="C1269" s="646">
        <v>25</v>
      </c>
      <c r="D1269" s="646" t="s">
        <v>320</v>
      </c>
      <c r="E1269" s="649">
        <f ca="1">Elec_Est!E6284</f>
        <v>24.32</v>
      </c>
      <c r="F1269" s="1125">
        <f ca="1">IFERROR($C1269*E1269,E1269)</f>
        <v>608</v>
      </c>
    </row>
    <row r="1270" spans="1:6" s="631" customFormat="1">
      <c r="A1270" s="671">
        <f t="shared" ca="1" si="282"/>
        <v>7.0620000000000207</v>
      </c>
      <c r="B1270" s="651" t="s">
        <v>922</v>
      </c>
      <c r="C1270" s="646">
        <v>25</v>
      </c>
      <c r="D1270" s="646" t="s">
        <v>320</v>
      </c>
      <c r="E1270" s="649">
        <f ca="1">Elec_Est!E6293</f>
        <v>26.93</v>
      </c>
      <c r="F1270" s="1125">
        <f ca="1">IFERROR($C1270*E1270,E1270)</f>
        <v>673.25</v>
      </c>
    </row>
    <row r="1271" spans="1:6" s="631" customFormat="1">
      <c r="A1271" s="671"/>
      <c r="B1271" s="689" t="s">
        <v>923</v>
      </c>
      <c r="C1271" s="646"/>
      <c r="D1271" s="646"/>
      <c r="E1271" s="649"/>
      <c r="F1271" s="1125"/>
    </row>
    <row r="1272" spans="1:6" s="631" customFormat="1">
      <c r="A1272" s="671">
        <f t="shared" ca="1" si="282"/>
        <v>7.063000000000021</v>
      </c>
      <c r="B1272" s="651" t="s">
        <v>925</v>
      </c>
      <c r="C1272" s="646">
        <v>55</v>
      </c>
      <c r="D1272" s="646" t="s">
        <v>320</v>
      </c>
      <c r="E1272" s="649">
        <f ca="1">Elec_Est!E6306</f>
        <v>34.15</v>
      </c>
      <c r="F1272" s="1125">
        <f ca="1">IFERROR($C1272*E1272,E1272)</f>
        <v>1878.25</v>
      </c>
    </row>
    <row r="1273" spans="1:6" s="631" customFormat="1">
      <c r="A1273" s="671"/>
      <c r="B1273" s="689" t="s">
        <v>924</v>
      </c>
      <c r="C1273" s="646"/>
      <c r="D1273" s="646"/>
      <c r="E1273" s="649"/>
      <c r="F1273" s="1125"/>
    </row>
    <row r="1274" spans="1:6" s="631" customFormat="1">
      <c r="A1274" s="671">
        <f t="shared" ca="1" si="282"/>
        <v>7.0640000000000214</v>
      </c>
      <c r="B1274" s="651" t="s">
        <v>921</v>
      </c>
      <c r="C1274" s="646">
        <v>50</v>
      </c>
      <c r="D1274" s="646" t="s">
        <v>320</v>
      </c>
      <c r="E1274" s="649">
        <f ca="1">Elec_Est!E6319</f>
        <v>24.32</v>
      </c>
      <c r="F1274" s="1125">
        <f ca="1">IFERROR($C1274*E1274,E1274)</f>
        <v>1216</v>
      </c>
    </row>
    <row r="1275" spans="1:6" s="631" customFormat="1">
      <c r="A1275" s="643"/>
      <c r="B1275" s="639" t="s">
        <v>936</v>
      </c>
      <c r="C1275" s="646"/>
      <c r="D1275" s="646"/>
      <c r="E1275" s="649"/>
      <c r="F1275" s="649"/>
    </row>
    <row r="1276" spans="1:6" s="631" customFormat="1">
      <c r="A1276" s="671"/>
      <c r="B1276" s="689" t="s">
        <v>910</v>
      </c>
      <c r="C1276" s="646"/>
      <c r="D1276" s="646"/>
      <c r="E1276" s="649"/>
      <c r="F1276" s="1125"/>
    </row>
    <row r="1277" spans="1:6" s="631" customFormat="1">
      <c r="A1277" s="671">
        <f ca="1">IFERROR(IF(OFFSET(A1277,-1,0)&gt;0,OFFSET(A1277,-1,0)+0.001,ERROR.TYPE(0)),IFERROR(IF(OFFSET(A1277,-2,0)&gt;0,OFFSET(A1277,-2,0)+0.001,ERROR.TYPE(0)),IFERROR(IF(OFFSET(A1277,-3,0)&gt;0,OFFSET(A1277,-3,0)+0.001,ERROR.TYPE(0)),IFERROR(IF(OFFSET(A1277,-4,0)&gt;0,OFFSET(A1277,-4,0)+0.001,ERROR.TYPE(0)),IFERROR(IF(OFFSET(A1277,-5,0)&gt;0,OFFSET(A1277,-5,0)+0.001,ERROR.TYPE(0)),IFERROR(IF(OFFSET(A1277,-6,0)&gt;0,OFFSET(A1277,-6,0)+0.001,ERROR.TYPE(0)),IFERROR(IF(OFFSET(A1277,-7,0)&gt;0,OFFSET(A1277,-7,0)+0.001,ERROR.TYPE(0)),IFERROR(IF(OFFSET(A1277,-8,0)&gt;0,OFFSET(A1277,-8,0)+0.001,ERROR.TYPE(0)),IFERROR(IF(OFFSET(A1277,-9,0)&gt;0,OFFSET(A1277,-9,0)+0.001,ERROR.TYPE(0)),IFERROR(IF(OFFSET(A1277,-10,0)&gt;0,OFFSET(A1277,-10,0)+0.001,ERROR.TYPE(0)),ERROR.TYPE(0)))))))))))</f>
        <v>7.0650000000000217</v>
      </c>
      <c r="B1277" s="651" t="s">
        <v>911</v>
      </c>
      <c r="C1277" s="646">
        <v>20</v>
      </c>
      <c r="D1277" s="646" t="s">
        <v>320</v>
      </c>
      <c r="E1277" s="649">
        <f ca="1">Elec_Est!E6336</f>
        <v>15.48</v>
      </c>
      <c r="F1277" s="1125">
        <f ca="1">IFERROR($C1277*E1277,E1277)</f>
        <v>309.60000000000002</v>
      </c>
    </row>
    <row r="1278" spans="1:6" s="631" customFormat="1">
      <c r="A1278" s="671">
        <f ca="1">IFERROR(IF(OFFSET(A1278,-1,0)&gt;0,OFFSET(A1278,-1,0)+0.001,ERROR.TYPE(0)),IFERROR(IF(OFFSET(A1278,-2,0)&gt;0,OFFSET(A1278,-2,0)+0.001,ERROR.TYPE(0)),IFERROR(IF(OFFSET(A1278,-3,0)&gt;0,OFFSET(A1278,-3,0)+0.001,ERROR.TYPE(0)),IFERROR(IF(OFFSET(A1278,-4,0)&gt;0,OFFSET(A1278,-4,0)+0.001,ERROR.TYPE(0)),IFERROR(IF(OFFSET(A1278,-5,0)&gt;0,OFFSET(A1278,-5,0)+0.001,ERROR.TYPE(0)),IFERROR(IF(OFFSET(A1278,-6,0)&gt;0,OFFSET(A1278,-6,0)+0.001,ERROR.TYPE(0)),IFERROR(IF(OFFSET(A1278,-7,0)&gt;0,OFFSET(A1278,-7,0)+0.001,ERROR.TYPE(0)),IFERROR(IF(OFFSET(A1278,-8,0)&gt;0,OFFSET(A1278,-8,0)+0.001,ERROR.TYPE(0)),IFERROR(IF(OFFSET(A1278,-9,0)&gt;0,OFFSET(A1278,-9,0)+0.001,ERROR.TYPE(0)),IFERROR(IF(OFFSET(A1278,-10,0)&gt;0,OFFSET(A1278,-10,0)+0.001,ERROR.TYPE(0)),ERROR.TYPE(0)))))))))))</f>
        <v>7.066000000000022</v>
      </c>
      <c r="B1278" s="651" t="s">
        <v>912</v>
      </c>
      <c r="C1278" s="646">
        <v>10</v>
      </c>
      <c r="D1278" s="646" t="s">
        <v>320</v>
      </c>
      <c r="E1278" s="649">
        <f ca="1">Elec_Est!E6345</f>
        <v>16.87</v>
      </c>
      <c r="F1278" s="1125">
        <f ca="1">IFERROR($C1278*E1278,E1278)</f>
        <v>168.70000000000002</v>
      </c>
    </row>
    <row r="1279" spans="1:6" s="631" customFormat="1">
      <c r="A1279" s="671">
        <f ca="1">IFERROR(IF(OFFSET(A1279,-1,0)&gt;0,OFFSET(A1279,-1,0)+0.001,ERROR.TYPE(0)),IFERROR(IF(OFFSET(A1279,-2,0)&gt;0,OFFSET(A1279,-2,0)+0.001,ERROR.TYPE(0)),IFERROR(IF(OFFSET(A1279,-3,0)&gt;0,OFFSET(A1279,-3,0)+0.001,ERROR.TYPE(0)),IFERROR(IF(OFFSET(A1279,-4,0)&gt;0,OFFSET(A1279,-4,0)+0.001,ERROR.TYPE(0)),IFERROR(IF(OFFSET(A1279,-5,0)&gt;0,OFFSET(A1279,-5,0)+0.001,ERROR.TYPE(0)),IFERROR(IF(OFFSET(A1279,-6,0)&gt;0,OFFSET(A1279,-6,0)+0.001,ERROR.TYPE(0)),IFERROR(IF(OFFSET(A1279,-7,0)&gt;0,OFFSET(A1279,-7,0)+0.001,ERROR.TYPE(0)),IFERROR(IF(OFFSET(A1279,-8,0)&gt;0,OFFSET(A1279,-8,0)+0.001,ERROR.TYPE(0)),IFERROR(IF(OFFSET(A1279,-9,0)&gt;0,OFFSET(A1279,-9,0)+0.001,ERROR.TYPE(0)),IFERROR(IF(OFFSET(A1279,-10,0)&gt;0,OFFSET(A1279,-10,0)+0.001,ERROR.TYPE(0)),ERROR.TYPE(0)))))))))))</f>
        <v>7.0670000000000224</v>
      </c>
      <c r="B1279" s="651" t="s">
        <v>913</v>
      </c>
      <c r="C1279" s="646">
        <v>25</v>
      </c>
      <c r="D1279" s="646" t="s">
        <v>320</v>
      </c>
      <c r="E1279" s="649">
        <f ca="1">Elec_Est!E6354</f>
        <v>21.6</v>
      </c>
      <c r="F1279" s="1125">
        <f ca="1">IFERROR($C1279*E1279,E1279)</f>
        <v>540</v>
      </c>
    </row>
    <row r="1280" spans="1:6" s="631" customFormat="1">
      <c r="A1280" s="671">
        <f ca="1">IFERROR(IF(OFFSET(A1280,-1,0)&gt;0,OFFSET(A1280,-1,0)+0.001,ERROR.TYPE(0)),IFERROR(IF(OFFSET(A1280,-2,0)&gt;0,OFFSET(A1280,-2,0)+0.001,ERROR.TYPE(0)),IFERROR(IF(OFFSET(A1280,-3,0)&gt;0,OFFSET(A1280,-3,0)+0.001,ERROR.TYPE(0)),IFERROR(IF(OFFSET(A1280,-4,0)&gt;0,OFFSET(A1280,-4,0)+0.001,ERROR.TYPE(0)),IFERROR(IF(OFFSET(A1280,-5,0)&gt;0,OFFSET(A1280,-5,0)+0.001,ERROR.TYPE(0)),IFERROR(IF(OFFSET(A1280,-6,0)&gt;0,OFFSET(A1280,-6,0)+0.001,ERROR.TYPE(0)),IFERROR(IF(OFFSET(A1280,-7,0)&gt;0,OFFSET(A1280,-7,0)+0.001,ERROR.TYPE(0)),IFERROR(IF(OFFSET(A1280,-8,0)&gt;0,OFFSET(A1280,-8,0)+0.001,ERROR.TYPE(0)),IFERROR(IF(OFFSET(A1280,-9,0)&gt;0,OFFSET(A1280,-9,0)+0.001,ERROR.TYPE(0)),IFERROR(IF(OFFSET(A1280,-10,0)&gt;0,OFFSET(A1280,-10,0)+0.001,ERROR.TYPE(0)),ERROR.TYPE(0)))))))))))</f>
        <v>7.0680000000000227</v>
      </c>
      <c r="B1280" s="651" t="s">
        <v>914</v>
      </c>
      <c r="C1280" s="646">
        <v>30</v>
      </c>
      <c r="D1280" s="646" t="s">
        <v>320</v>
      </c>
      <c r="E1280" s="649">
        <f ca="1">Elec_Est!E6363</f>
        <v>26.03</v>
      </c>
      <c r="F1280" s="1125">
        <f ca="1">IFERROR($C1280*E1280,E1280)</f>
        <v>780.90000000000009</v>
      </c>
    </row>
    <row r="1281" spans="1:6" s="631" customFormat="1">
      <c r="A1281" s="671"/>
      <c r="B1281" s="689" t="s">
        <v>935</v>
      </c>
      <c r="C1281" s="646"/>
      <c r="D1281" s="646"/>
      <c r="E1281" s="649"/>
      <c r="F1281" s="1125"/>
    </row>
    <row r="1282" spans="1:6" s="631" customFormat="1">
      <c r="A1282" s="671">
        <f t="shared" ref="A1282:A1285" ca="1" si="283">IFERROR(IF(OFFSET(A1282,-1,0)&gt;0,OFFSET(A1282,-1,0)+0.001,ERROR.TYPE(0)),IFERROR(IF(OFFSET(A1282,-2,0)&gt;0,OFFSET(A1282,-2,0)+0.001,ERROR.TYPE(0)),IFERROR(IF(OFFSET(A1282,-3,0)&gt;0,OFFSET(A1282,-3,0)+0.001,ERROR.TYPE(0)),IFERROR(IF(OFFSET(A1282,-4,0)&gt;0,OFFSET(A1282,-4,0)+0.001,ERROR.TYPE(0)),IFERROR(IF(OFFSET(A1282,-5,0)&gt;0,OFFSET(A1282,-5,0)+0.001,ERROR.TYPE(0)),IFERROR(IF(OFFSET(A1282,-6,0)&gt;0,OFFSET(A1282,-6,0)+0.001,ERROR.TYPE(0)),IFERROR(IF(OFFSET(A1282,-7,0)&gt;0,OFFSET(A1282,-7,0)+0.001,ERROR.TYPE(0)),IFERROR(IF(OFFSET(A1282,-8,0)&gt;0,OFFSET(A1282,-8,0)+0.001,ERROR.TYPE(0)),IFERROR(IF(OFFSET(A1282,-9,0)&gt;0,OFFSET(A1282,-9,0)+0.001,ERROR.TYPE(0)),IFERROR(IF(OFFSET(A1282,-10,0)&gt;0,OFFSET(A1282,-10,0)+0.001,ERROR.TYPE(0)),ERROR.TYPE(0)))))))))))</f>
        <v>7.069000000000023</v>
      </c>
      <c r="B1282" s="651" t="s">
        <v>911</v>
      </c>
      <c r="C1282" s="646">
        <v>20</v>
      </c>
      <c r="D1282" s="646" t="s">
        <v>320</v>
      </c>
      <c r="E1282" s="649">
        <f>Elec_Est!E6376</f>
        <v>6.61</v>
      </c>
      <c r="F1282" s="1125">
        <f t="shared" ref="F1282:F1285" si="284">IFERROR($C1282*E1282,E1282)</f>
        <v>132.20000000000002</v>
      </c>
    </row>
    <row r="1283" spans="1:6" s="631" customFormat="1">
      <c r="A1283" s="671">
        <f t="shared" ca="1" si="283"/>
        <v>7.0700000000000234</v>
      </c>
      <c r="B1283" s="651" t="s">
        <v>912</v>
      </c>
      <c r="C1283" s="646">
        <v>10</v>
      </c>
      <c r="D1283" s="646" t="s">
        <v>320</v>
      </c>
      <c r="E1283" s="649">
        <f>Elec_Est!E6383</f>
        <v>7.99</v>
      </c>
      <c r="F1283" s="1125">
        <f t="shared" si="284"/>
        <v>79.900000000000006</v>
      </c>
    </row>
    <row r="1284" spans="1:6" s="631" customFormat="1">
      <c r="A1284" s="671">
        <f t="shared" ca="1" si="283"/>
        <v>7.0710000000000237</v>
      </c>
      <c r="B1284" s="651" t="s">
        <v>913</v>
      </c>
      <c r="C1284" s="646">
        <v>25</v>
      </c>
      <c r="D1284" s="646" t="s">
        <v>320</v>
      </c>
      <c r="E1284" s="649">
        <f>Elec_Est!E6390</f>
        <v>11.97</v>
      </c>
      <c r="F1284" s="1125">
        <f t="shared" si="284"/>
        <v>299.25</v>
      </c>
    </row>
    <row r="1285" spans="1:6" s="631" customFormat="1">
      <c r="A1285" s="671">
        <f t="shared" ca="1" si="283"/>
        <v>7.072000000000024</v>
      </c>
      <c r="B1285" s="651" t="s">
        <v>914</v>
      </c>
      <c r="C1285" s="646">
        <v>30</v>
      </c>
      <c r="D1285" s="646" t="s">
        <v>320</v>
      </c>
      <c r="E1285" s="649">
        <f>Elec_Est!E6397</f>
        <v>16.79</v>
      </c>
      <c r="F1285" s="1125">
        <f t="shared" si="284"/>
        <v>503.7</v>
      </c>
    </row>
    <row r="1286" spans="1:6" s="631" customFormat="1">
      <c r="A1286" s="638"/>
      <c r="B1286" s="639" t="s">
        <v>937</v>
      </c>
      <c r="C1286" s="1456" t="s">
        <v>305</v>
      </c>
      <c r="D1286" s="1457"/>
      <c r="E1286" s="652"/>
      <c r="F1286" s="1123">
        <f ca="1">SUM(F1233:F1285)</f>
        <v>60850.149999999987</v>
      </c>
    </row>
    <row r="1287" spans="1:6" s="631" customFormat="1">
      <c r="A1287" s="660"/>
      <c r="B1287" s="629"/>
      <c r="C1287" s="661"/>
      <c r="D1287" s="661"/>
      <c r="E1287" s="662"/>
      <c r="F1287" s="1127"/>
    </row>
    <row r="1288" spans="1:6" s="631" customFormat="1">
      <c r="A1288" s="660"/>
      <c r="B1288" s="629"/>
      <c r="C1288" s="661"/>
      <c r="D1288" s="654"/>
      <c r="E1288" s="662"/>
      <c r="F1288" s="1127"/>
    </row>
    <row r="1289" spans="1:6" s="631" customFormat="1" ht="27.6">
      <c r="A1289" s="634" t="s">
        <v>143</v>
      </c>
      <c r="B1289" s="635" t="s">
        <v>198</v>
      </c>
      <c r="C1289" s="636" t="s">
        <v>199</v>
      </c>
      <c r="D1289" s="636" t="s">
        <v>200</v>
      </c>
      <c r="E1289" s="637" t="s">
        <v>294</v>
      </c>
      <c r="F1289" s="1122" t="s">
        <v>295</v>
      </c>
    </row>
    <row r="1290" spans="1:6" s="631" customFormat="1">
      <c r="A1290" s="671"/>
      <c r="B1290" s="639" t="s">
        <v>938</v>
      </c>
      <c r="C1290" s="646"/>
      <c r="D1290" s="646"/>
      <c r="E1290" s="1129"/>
      <c r="F1290" s="1125"/>
    </row>
    <row r="1291" spans="1:6" s="631" customFormat="1">
      <c r="A1291" s="671"/>
      <c r="B1291" s="689" t="s">
        <v>910</v>
      </c>
      <c r="C1291" s="646"/>
      <c r="D1291" s="646"/>
      <c r="E1291" s="1129"/>
      <c r="F1291" s="1125"/>
    </row>
    <row r="1292" spans="1:6" s="631" customFormat="1">
      <c r="A1292" s="671">
        <f t="shared" ref="A1292:A1296" ca="1" si="285">IFERROR(IF(OFFSET(A1292,-1,0)&gt;0,OFFSET(A1292,-1,0)+0.001,ERROR.TYPE(0)),IFERROR(IF(OFFSET(A1292,-2,0)&gt;0,OFFSET(A1292,-2,0)+0.001,ERROR.TYPE(0)),IFERROR(IF(OFFSET(A1292,-3,0)&gt;0,OFFSET(A1292,-3,0)+0.001,ERROR.TYPE(0)),IFERROR(IF(OFFSET(A1292,-4,0)&gt;0,OFFSET(A1292,-4,0)+0.001,ERROR.TYPE(0)),IFERROR(IF(OFFSET(A1292,-5,0)&gt;0,OFFSET(A1292,-5,0)+0.001,ERROR.TYPE(0)),IFERROR(IF(OFFSET(A1292,-6,0)&gt;0,OFFSET(A1292,-6,0)+0.001,ERROR.TYPE(0)),IFERROR(IF(OFFSET(A1292,-7,0)&gt;0,OFFSET(A1292,-7,0)+0.001,ERROR.TYPE(0)),IFERROR(IF(OFFSET(A1292,-8,0)&gt;0,OFFSET(A1292,-8,0)+0.001,ERROR.TYPE(0)),IFERROR(IF(OFFSET(A1292,-9,0)&gt;0,OFFSET(A1292,-9,0)+0.001,ERROR.TYPE(0)),IFERROR(IF(OFFSET(A1292,-10,0)&gt;0,OFFSET(A1292,-10,0)+0.001,ERROR.TYPE(0)),ERROR.TYPE(0)))))))))))</f>
        <v>7.0730000000000244</v>
      </c>
      <c r="B1292" s="651" t="s">
        <v>912</v>
      </c>
      <c r="C1292" s="646">
        <v>30</v>
      </c>
      <c r="D1292" s="646" t="s">
        <v>320</v>
      </c>
      <c r="E1292" s="649">
        <f ca="1">Elec_Est!E6418</f>
        <v>16.87</v>
      </c>
      <c r="F1292" s="1125">
        <f t="shared" ref="F1292:F1296" ca="1" si="286">IFERROR($C1292*E1292,E1292)</f>
        <v>506.1</v>
      </c>
    </row>
    <row r="1293" spans="1:6" s="631" customFormat="1">
      <c r="A1293" s="671">
        <f t="shared" ca="1" si="285"/>
        <v>7.0740000000000247</v>
      </c>
      <c r="B1293" s="651" t="s">
        <v>913</v>
      </c>
      <c r="C1293" s="646">
        <v>10</v>
      </c>
      <c r="D1293" s="646" t="s">
        <v>320</v>
      </c>
      <c r="E1293" s="649">
        <f ca="1">Elec_Est!E6427</f>
        <v>21.6</v>
      </c>
      <c r="F1293" s="1125">
        <f t="shared" ca="1" si="286"/>
        <v>216</v>
      </c>
    </row>
    <row r="1294" spans="1:6" s="631" customFormat="1">
      <c r="A1294" s="671">
        <f t="shared" ca="1" si="285"/>
        <v>7.075000000000025</v>
      </c>
      <c r="B1294" s="651" t="s">
        <v>914</v>
      </c>
      <c r="C1294" s="646">
        <v>20</v>
      </c>
      <c r="D1294" s="646" t="s">
        <v>320</v>
      </c>
      <c r="E1294" s="649">
        <f ca="1">Elec_Est!E6436</f>
        <v>26.03</v>
      </c>
      <c r="F1294" s="1125">
        <f t="shared" ca="1" si="286"/>
        <v>520.6</v>
      </c>
    </row>
    <row r="1295" spans="1:6" s="631" customFormat="1">
      <c r="A1295" s="671">
        <f t="shared" ca="1" si="285"/>
        <v>7.0760000000000254</v>
      </c>
      <c r="B1295" s="651" t="s">
        <v>915</v>
      </c>
      <c r="C1295" s="646">
        <v>10</v>
      </c>
      <c r="D1295" s="646" t="s">
        <v>320</v>
      </c>
      <c r="E1295" s="649">
        <f ca="1">Elec_Est!E6445</f>
        <v>26.03</v>
      </c>
      <c r="F1295" s="1125">
        <f t="shared" ca="1" si="286"/>
        <v>260.3</v>
      </c>
    </row>
    <row r="1296" spans="1:6" s="631" customFormat="1">
      <c r="A1296" s="671">
        <f t="shared" ca="1" si="285"/>
        <v>7.0770000000000257</v>
      </c>
      <c r="B1296" s="651" t="s">
        <v>917</v>
      </c>
      <c r="C1296" s="646">
        <v>40</v>
      </c>
      <c r="D1296" s="646" t="s">
        <v>320</v>
      </c>
      <c r="E1296" s="649">
        <f ca="1">Elec_Est!E6454</f>
        <v>55.26</v>
      </c>
      <c r="F1296" s="1125">
        <f t="shared" ca="1" si="286"/>
        <v>2210.4</v>
      </c>
    </row>
    <row r="1297" spans="1:6" s="631" customFormat="1">
      <c r="A1297" s="671"/>
      <c r="B1297" s="689" t="s">
        <v>928</v>
      </c>
      <c r="C1297" s="646"/>
      <c r="D1297" s="646"/>
      <c r="E1297" s="649"/>
      <c r="F1297" s="1125"/>
    </row>
    <row r="1298" spans="1:6" s="631" customFormat="1">
      <c r="A1298" s="671">
        <f t="shared" ref="A1298:A1301" ca="1" si="287">IFERROR(IF(OFFSET(A1298,-1,0)&gt;0,OFFSET(A1298,-1,0)+0.001,ERROR.TYPE(0)),IFERROR(IF(OFFSET(A1298,-2,0)&gt;0,OFFSET(A1298,-2,0)+0.001,ERROR.TYPE(0)),IFERROR(IF(OFFSET(A1298,-3,0)&gt;0,OFFSET(A1298,-3,0)+0.001,ERROR.TYPE(0)),IFERROR(IF(OFFSET(A1298,-4,0)&gt;0,OFFSET(A1298,-4,0)+0.001,ERROR.TYPE(0)),IFERROR(IF(OFFSET(A1298,-5,0)&gt;0,OFFSET(A1298,-5,0)+0.001,ERROR.TYPE(0)),IFERROR(IF(OFFSET(A1298,-6,0)&gt;0,OFFSET(A1298,-6,0)+0.001,ERROR.TYPE(0)),IFERROR(IF(OFFSET(A1298,-7,0)&gt;0,OFFSET(A1298,-7,0)+0.001,ERROR.TYPE(0)),IFERROR(IF(OFFSET(A1298,-8,0)&gt;0,OFFSET(A1298,-8,0)+0.001,ERROR.TYPE(0)),IFERROR(IF(OFFSET(A1298,-9,0)&gt;0,OFFSET(A1298,-9,0)+0.001,ERROR.TYPE(0)),IFERROR(IF(OFFSET(A1298,-10,0)&gt;0,OFFSET(A1298,-10,0)+0.001,ERROR.TYPE(0)),ERROR.TYPE(0)))))))))))</f>
        <v>7.078000000000026</v>
      </c>
      <c r="B1298" s="651" t="s">
        <v>912</v>
      </c>
      <c r="C1298" s="646">
        <v>5</v>
      </c>
      <c r="D1298" s="646" t="s">
        <v>320</v>
      </c>
      <c r="E1298" s="649">
        <f ca="1">Elec_Est!E6467</f>
        <v>16.87</v>
      </c>
      <c r="F1298" s="1125">
        <f t="shared" ref="F1298" ca="1" si="288">IFERROR($C1298*E1298,E1298)</f>
        <v>84.350000000000009</v>
      </c>
    </row>
    <row r="1299" spans="1:6" s="631" customFormat="1">
      <c r="A1299" s="671"/>
      <c r="B1299" s="689" t="s">
        <v>918</v>
      </c>
      <c r="C1299" s="646"/>
      <c r="D1299" s="646"/>
      <c r="E1299" s="649"/>
      <c r="F1299" s="1125"/>
    </row>
    <row r="1300" spans="1:6" s="631" customFormat="1">
      <c r="A1300" s="1258">
        <f t="shared" ca="1" si="287"/>
        <v>7.0790000000000264</v>
      </c>
      <c r="B1300" s="651" t="s">
        <v>913</v>
      </c>
      <c r="C1300" s="1251">
        <v>0</v>
      </c>
      <c r="D1300" s="646" t="s">
        <v>320</v>
      </c>
      <c r="E1300" s="649">
        <f ca="1">Elec_Est!E6480</f>
        <v>0</v>
      </c>
      <c r="F1300" s="1252" t="s">
        <v>3797</v>
      </c>
    </row>
    <row r="1301" spans="1:6" s="631" customFormat="1">
      <c r="A1301" s="1258">
        <f t="shared" ca="1" si="287"/>
        <v>7.0800000000000267</v>
      </c>
      <c r="B1301" s="651" t="s">
        <v>917</v>
      </c>
      <c r="C1301" s="1251">
        <v>0</v>
      </c>
      <c r="D1301" s="646" t="s">
        <v>320</v>
      </c>
      <c r="E1301" s="649">
        <f ca="1">Elec_Est!E6489</f>
        <v>0</v>
      </c>
      <c r="F1301" s="1252" t="s">
        <v>3797</v>
      </c>
    </row>
    <row r="1302" spans="1:6" s="631" customFormat="1">
      <c r="A1302" s="671"/>
      <c r="B1302" s="689" t="s">
        <v>935</v>
      </c>
      <c r="C1302" s="646"/>
      <c r="D1302" s="646"/>
      <c r="E1302" s="649"/>
      <c r="F1302" s="1125"/>
    </row>
    <row r="1303" spans="1:6" s="631" customFormat="1">
      <c r="A1303" s="671">
        <f t="shared" ref="A1303:A1307" ca="1" si="289">IFERROR(IF(OFFSET(A1303,-1,0)&gt;0,OFFSET(A1303,-1,0)+0.001,ERROR.TYPE(0)),IFERROR(IF(OFFSET(A1303,-2,0)&gt;0,OFFSET(A1303,-2,0)+0.001,ERROR.TYPE(0)),IFERROR(IF(OFFSET(A1303,-3,0)&gt;0,OFFSET(A1303,-3,0)+0.001,ERROR.TYPE(0)),IFERROR(IF(OFFSET(A1303,-4,0)&gt;0,OFFSET(A1303,-4,0)+0.001,ERROR.TYPE(0)),IFERROR(IF(OFFSET(A1303,-5,0)&gt;0,OFFSET(A1303,-5,0)+0.001,ERROR.TYPE(0)),IFERROR(IF(OFFSET(A1303,-6,0)&gt;0,OFFSET(A1303,-6,0)+0.001,ERROR.TYPE(0)),IFERROR(IF(OFFSET(A1303,-7,0)&gt;0,OFFSET(A1303,-7,0)+0.001,ERROR.TYPE(0)),IFERROR(IF(OFFSET(A1303,-8,0)&gt;0,OFFSET(A1303,-8,0)+0.001,ERROR.TYPE(0)),IFERROR(IF(OFFSET(A1303,-9,0)&gt;0,OFFSET(A1303,-9,0)+0.001,ERROR.TYPE(0)),IFERROR(IF(OFFSET(A1303,-10,0)&gt;0,OFFSET(A1303,-10,0)+0.001,ERROR.TYPE(0)),ERROR.TYPE(0)))))))))))</f>
        <v>7.0810000000000271</v>
      </c>
      <c r="B1303" s="651" t="s">
        <v>912</v>
      </c>
      <c r="C1303" s="646">
        <v>35</v>
      </c>
      <c r="D1303" s="646" t="s">
        <v>320</v>
      </c>
      <c r="E1303" s="649">
        <f>Elec_Est!E6502</f>
        <v>7.99</v>
      </c>
      <c r="F1303" s="1125">
        <f t="shared" ref="F1303:F1307" si="290">IFERROR($C1303*E1303,E1303)</f>
        <v>279.65000000000003</v>
      </c>
    </row>
    <row r="1304" spans="1:6" s="631" customFormat="1">
      <c r="A1304" s="671">
        <f t="shared" ca="1" si="289"/>
        <v>7.0820000000000274</v>
      </c>
      <c r="B1304" s="651" t="s">
        <v>913</v>
      </c>
      <c r="C1304" s="646">
        <v>20</v>
      </c>
      <c r="D1304" s="646" t="s">
        <v>320</v>
      </c>
      <c r="E1304" s="649">
        <f>Elec_Est!E6509</f>
        <v>11.97</v>
      </c>
      <c r="F1304" s="1125">
        <f t="shared" si="290"/>
        <v>239.4</v>
      </c>
    </row>
    <row r="1305" spans="1:6" s="631" customFormat="1">
      <c r="A1305" s="671">
        <f t="shared" ca="1" si="289"/>
        <v>7.0830000000000277</v>
      </c>
      <c r="B1305" s="651" t="s">
        <v>914</v>
      </c>
      <c r="C1305" s="646">
        <v>20</v>
      </c>
      <c r="D1305" s="646" t="s">
        <v>320</v>
      </c>
      <c r="E1305" s="649">
        <f>Elec_Est!E6516</f>
        <v>16.79</v>
      </c>
      <c r="F1305" s="1125">
        <f t="shared" si="290"/>
        <v>335.79999999999995</v>
      </c>
    </row>
    <row r="1306" spans="1:6" s="631" customFormat="1">
      <c r="A1306" s="671">
        <f t="shared" ca="1" si="289"/>
        <v>7.0840000000000281</v>
      </c>
      <c r="B1306" s="651" t="s">
        <v>915</v>
      </c>
      <c r="C1306" s="646">
        <v>10</v>
      </c>
      <c r="D1306" s="646" t="s">
        <v>320</v>
      </c>
      <c r="E1306" s="649">
        <f>Elec_Est!E6523</f>
        <v>16.79</v>
      </c>
      <c r="F1306" s="1125">
        <f t="shared" si="290"/>
        <v>167.89999999999998</v>
      </c>
    </row>
    <row r="1307" spans="1:6" s="631" customFormat="1">
      <c r="A1307" s="671">
        <f t="shared" ca="1" si="289"/>
        <v>7.0850000000000284</v>
      </c>
      <c r="B1307" s="651" t="s">
        <v>917</v>
      </c>
      <c r="C1307" s="646">
        <v>50</v>
      </c>
      <c r="D1307" s="646" t="s">
        <v>320</v>
      </c>
      <c r="E1307" s="649">
        <f>Elec_Est!E6530</f>
        <v>19.829999999999998</v>
      </c>
      <c r="F1307" s="1125">
        <f t="shared" si="290"/>
        <v>991.49999999999989</v>
      </c>
    </row>
    <row r="1308" spans="1:6" s="631" customFormat="1">
      <c r="A1308" s="671"/>
      <c r="B1308" s="689" t="s">
        <v>919</v>
      </c>
      <c r="C1308" s="646"/>
      <c r="D1308" s="646"/>
      <c r="E1308" s="649"/>
      <c r="F1308" s="1125"/>
    </row>
    <row r="1309" spans="1:6" s="631" customFormat="1">
      <c r="A1309" s="671">
        <f t="shared" ref="A1309:A1316" ca="1" si="291">IFERROR(IF(OFFSET(A1309,-1,0)&gt;0,OFFSET(A1309,-1,0)+0.001,ERROR.TYPE(0)),IFERROR(IF(OFFSET(A1309,-2,0)&gt;0,OFFSET(A1309,-2,0)+0.001,ERROR.TYPE(0)),IFERROR(IF(OFFSET(A1309,-3,0)&gt;0,OFFSET(A1309,-3,0)+0.001,ERROR.TYPE(0)),IFERROR(IF(OFFSET(A1309,-4,0)&gt;0,OFFSET(A1309,-4,0)+0.001,ERROR.TYPE(0)),IFERROR(IF(OFFSET(A1309,-5,0)&gt;0,OFFSET(A1309,-5,0)+0.001,ERROR.TYPE(0)),IFERROR(IF(OFFSET(A1309,-6,0)&gt;0,OFFSET(A1309,-6,0)+0.001,ERROR.TYPE(0)),IFERROR(IF(OFFSET(A1309,-7,0)&gt;0,OFFSET(A1309,-7,0)+0.001,ERROR.TYPE(0)),IFERROR(IF(OFFSET(A1309,-8,0)&gt;0,OFFSET(A1309,-8,0)+0.001,ERROR.TYPE(0)),IFERROR(IF(OFFSET(A1309,-9,0)&gt;0,OFFSET(A1309,-9,0)+0.001,ERROR.TYPE(0)),IFERROR(IF(OFFSET(A1309,-10,0)&gt;0,OFFSET(A1309,-10,0)+0.001,ERROR.TYPE(0)),ERROR.TYPE(0)))))))))))</f>
        <v>7.0860000000000287</v>
      </c>
      <c r="B1309" s="651" t="s">
        <v>920</v>
      </c>
      <c r="C1309" s="646">
        <v>20</v>
      </c>
      <c r="D1309" s="646" t="s">
        <v>320</v>
      </c>
      <c r="E1309" s="649">
        <f ca="1">Elec_Est!E6541</f>
        <v>22.31</v>
      </c>
      <c r="F1309" s="1125">
        <f ca="1">IFERROR($C1309*E1309,E1309)</f>
        <v>446.2</v>
      </c>
    </row>
    <row r="1310" spans="1:6" s="631" customFormat="1">
      <c r="A1310" s="671">
        <f t="shared" ca="1" si="291"/>
        <v>7.0870000000000291</v>
      </c>
      <c r="B1310" s="651" t="s">
        <v>921</v>
      </c>
      <c r="C1310" s="646">
        <v>10</v>
      </c>
      <c r="D1310" s="646" t="s">
        <v>320</v>
      </c>
      <c r="E1310" s="649">
        <f ca="1">Elec_Est!E6550</f>
        <v>24.32</v>
      </c>
      <c r="F1310" s="1125">
        <f ca="1">IFERROR($C1310*E1310,E1310)</f>
        <v>243.2</v>
      </c>
    </row>
    <row r="1311" spans="1:6" s="631" customFormat="1">
      <c r="A1311" s="671"/>
      <c r="B1311" s="689" t="s">
        <v>923</v>
      </c>
      <c r="C1311" s="646"/>
      <c r="D1311" s="646"/>
      <c r="E1311" s="649"/>
      <c r="F1311" s="1125"/>
    </row>
    <row r="1312" spans="1:6" s="631" customFormat="1">
      <c r="A1312" s="671">
        <f t="shared" ca="1" si="291"/>
        <v>7.0880000000000294</v>
      </c>
      <c r="B1312" s="651" t="s">
        <v>920</v>
      </c>
      <c r="C1312" s="646">
        <v>10</v>
      </c>
      <c r="D1312" s="646" t="s">
        <v>320</v>
      </c>
      <c r="E1312" s="649">
        <f ca="1">Elec_Est!E6563</f>
        <v>22.31</v>
      </c>
      <c r="F1312" s="1125">
        <f ca="1">IFERROR($C1312*E1312,E1312)</f>
        <v>223.1</v>
      </c>
    </row>
    <row r="1313" spans="1:6" s="631" customFormat="1">
      <c r="A1313" s="671">
        <f t="shared" ca="1" si="291"/>
        <v>7.0890000000000297</v>
      </c>
      <c r="B1313" s="651" t="s">
        <v>921</v>
      </c>
      <c r="C1313" s="646">
        <v>40</v>
      </c>
      <c r="D1313" s="646" t="s">
        <v>320</v>
      </c>
      <c r="E1313" s="649">
        <f ca="1">Elec_Est!E6572</f>
        <v>24.32</v>
      </c>
      <c r="F1313" s="1125">
        <f ca="1">IFERROR($C1313*E1313,E1313)</f>
        <v>972.8</v>
      </c>
    </row>
    <row r="1314" spans="1:6" s="631" customFormat="1">
      <c r="A1314" s="671"/>
      <c r="B1314" s="689" t="s">
        <v>924</v>
      </c>
      <c r="C1314" s="646"/>
      <c r="D1314" s="646"/>
      <c r="E1314" s="649"/>
      <c r="F1314" s="1125"/>
    </row>
    <row r="1315" spans="1:6" s="631" customFormat="1">
      <c r="A1315" s="671">
        <f t="shared" ca="1" si="291"/>
        <v>7.0900000000000301</v>
      </c>
      <c r="B1315" s="651" t="s">
        <v>920</v>
      </c>
      <c r="C1315" s="646">
        <v>20</v>
      </c>
      <c r="D1315" s="646" t="s">
        <v>320</v>
      </c>
      <c r="E1315" s="649">
        <f ca="1">Elec_Est!E6585</f>
        <v>22.31</v>
      </c>
      <c r="F1315" s="1125">
        <f ca="1">IFERROR($C1315*E1315,E1315)</f>
        <v>446.2</v>
      </c>
    </row>
    <row r="1316" spans="1:6" s="631" customFormat="1">
      <c r="A1316" s="671">
        <f t="shared" ca="1" si="291"/>
        <v>7.0910000000000304</v>
      </c>
      <c r="B1316" s="651" t="s">
        <v>921</v>
      </c>
      <c r="C1316" s="646">
        <v>20</v>
      </c>
      <c r="D1316" s="646" t="s">
        <v>320</v>
      </c>
      <c r="E1316" s="649">
        <f ca="1">Elec_Est!E6594</f>
        <v>24.32</v>
      </c>
      <c r="F1316" s="1125">
        <f ca="1">IFERROR($C1316*E1316,E1316)</f>
        <v>486.4</v>
      </c>
    </row>
    <row r="1317" spans="1:6" s="631" customFormat="1">
      <c r="A1317" s="671"/>
      <c r="B1317" s="689" t="s">
        <v>379</v>
      </c>
      <c r="C1317" s="646"/>
      <c r="D1317" s="646"/>
      <c r="E1317" s="649"/>
      <c r="F1317" s="1125"/>
    </row>
    <row r="1318" spans="1:6" s="631" customFormat="1">
      <c r="A1318" s="671">
        <f t="shared" ref="A1318:A1320" ca="1" si="292">IFERROR(IF(OFFSET(A1318,-1,0,1,1)&gt;0,OFFSET(A1318,-1,0,1,1)+0.001,ERROR.TYPE(0)),IFERROR(IF(OFFSET(A1318,-2,0,1,1)&gt;0,OFFSET(A1318,-2,0,1,1)+0.001,ERROR.TYPE(0)),IFERROR(IF(OFFSET(A1318,-3,0,1,1)&gt;0,OFFSET(A1318,-3,0,1,1)+0.001,ERROR.TYPE(0)),IFERROR(IF(OFFSET(A1318,-4,0,1,1)&gt;0,OFFSET(A1318,-4,0,1,1)+0.001,ERROR.TYPE(0)),IFERROR(IF(OFFSET(A1318,-5,0,1,1)&gt;0,OFFSET(A1318,-5,0,1,1)+0.001,ERROR.TYPE(0)),IFERROR(IF(OFFSET(A1318,-6,0,1,1)&gt;0,OFFSET(A1318,-6,0,1,1)+0.001,ERROR.TYPE(0)),IFERROR(IF(OFFSET(A1318,-7,0,1,1)&gt;0,OFFSET(A1318,-7,0,1,1)+0.001,ERROR.TYPE(0)),IFERROR(IF(OFFSET(A1318,-8,0,1,1)&gt;0,OFFSET(A1318,-8,0,1,1)+0.001,ERROR.TYPE(0)),IFERROR(IF(OFFSET(A1318,-9,0,1,1)&gt;0,OFFSET(A1318,-9,0,1,1)+0.001,ERROR.TYPE(0)),IFERROR(IF(OFFSET(A1318,-10,0,1,1)&gt;0,OFFSET(A1318,-10,0,1,1)+0.001,ERROR.TYPE(0)),ERROR.TYPE(0)))))))))))</f>
        <v>7.0920000000000307</v>
      </c>
      <c r="B1318" s="657" t="s">
        <v>939</v>
      </c>
      <c r="C1318" s="646">
        <v>1</v>
      </c>
      <c r="D1318" s="646" t="s">
        <v>299</v>
      </c>
      <c r="E1318" s="649" t="str">
        <f>Elec_Est!Q6607</f>
        <v>Included</v>
      </c>
      <c r="F1318" s="1125" t="str">
        <f t="shared" ref="F1318:F1320" si="293">IFERROR(C1318*E1318,E1318)</f>
        <v>Included</v>
      </c>
    </row>
    <row r="1319" spans="1:6" s="631" customFormat="1" ht="27.6">
      <c r="A1319" s="671">
        <f t="shared" ca="1" si="292"/>
        <v>7.0930000000000311</v>
      </c>
      <c r="B1319" s="657" t="s">
        <v>940</v>
      </c>
      <c r="C1319" s="646">
        <v>1</v>
      </c>
      <c r="D1319" s="646" t="s">
        <v>299</v>
      </c>
      <c r="E1319" s="649" t="str">
        <f>Elec_Est!Q6613</f>
        <v>Included</v>
      </c>
      <c r="F1319" s="1125" t="str">
        <f t="shared" si="293"/>
        <v>Included</v>
      </c>
    </row>
    <row r="1320" spans="1:6" s="631" customFormat="1" ht="27.6">
      <c r="A1320" s="671">
        <f t="shared" ca="1" si="292"/>
        <v>7.0940000000000314</v>
      </c>
      <c r="B1320" s="705" t="s">
        <v>941</v>
      </c>
      <c r="C1320" s="646">
        <v>1</v>
      </c>
      <c r="D1320" s="646" t="s">
        <v>383</v>
      </c>
      <c r="E1320" s="649">
        <f>Elec_Est!E6619</f>
        <v>210.16</v>
      </c>
      <c r="F1320" s="1125">
        <f t="shared" si="293"/>
        <v>210.16</v>
      </c>
    </row>
    <row r="1321" spans="1:6" s="631" customFormat="1">
      <c r="A1321" s="638"/>
      <c r="B1321" s="639" t="s">
        <v>942</v>
      </c>
      <c r="C1321" s="1456" t="s">
        <v>305</v>
      </c>
      <c r="D1321" s="1457"/>
      <c r="E1321" s="652"/>
      <c r="F1321" s="1123">
        <f ca="1">SUM(F1291:F1320)</f>
        <v>8840.06</v>
      </c>
    </row>
    <row r="1322" spans="1:6" s="631" customFormat="1">
      <c r="A1322" s="660"/>
      <c r="B1322" s="629"/>
      <c r="C1322" s="661"/>
      <c r="D1322" s="654"/>
      <c r="E1322" s="662"/>
      <c r="F1322" s="1127"/>
    </row>
    <row r="1323" spans="1:6" s="631" customFormat="1">
      <c r="A1323" s="638"/>
      <c r="B1323" s="639" t="s">
        <v>943</v>
      </c>
      <c r="C1323" s="1456" t="s">
        <v>305</v>
      </c>
      <c r="D1323" s="1457"/>
      <c r="E1323" s="659"/>
      <c r="F1323" s="1123">
        <f ca="1">F1321+F1286+F1228</f>
        <v>122773.66</v>
      </c>
    </row>
    <row r="1324" spans="1:6">
      <c r="A1324" s="681"/>
      <c r="B1324" s="624"/>
      <c r="C1324" s="682"/>
      <c r="D1324" s="683"/>
      <c r="E1324" s="684"/>
      <c r="F1324" s="1131"/>
    </row>
    <row r="1325" spans="1:6">
      <c r="A1325" s="681"/>
      <c r="B1325" s="624"/>
      <c r="C1325" s="682"/>
      <c r="D1325" s="683"/>
      <c r="E1325" s="684"/>
      <c r="F1325" s="1131"/>
    </row>
    <row r="1326" spans="1:6" s="631" customFormat="1" ht="27.6">
      <c r="A1326" s="634" t="s">
        <v>143</v>
      </c>
      <c r="B1326" s="635" t="s">
        <v>198</v>
      </c>
      <c r="C1326" s="636" t="s">
        <v>199</v>
      </c>
      <c r="D1326" s="636" t="s">
        <v>200</v>
      </c>
      <c r="E1326" s="637" t="s">
        <v>294</v>
      </c>
      <c r="F1326" s="1122" t="s">
        <v>295</v>
      </c>
    </row>
    <row r="1327" spans="1:6" s="631" customFormat="1">
      <c r="A1327" s="638">
        <v>8</v>
      </c>
      <c r="B1327" s="639" t="s">
        <v>944</v>
      </c>
      <c r="C1327" s="640"/>
      <c r="D1327" s="640"/>
      <c r="E1327" s="641"/>
      <c r="F1327" s="1123"/>
    </row>
    <row r="1328" spans="1:6" s="631" customFormat="1">
      <c r="A1328" s="638"/>
      <c r="B1328" s="639" t="s">
        <v>945</v>
      </c>
      <c r="C1328" s="640"/>
      <c r="D1328" s="640"/>
      <c r="E1328" s="641"/>
      <c r="F1328" s="1123"/>
    </row>
    <row r="1329" spans="1:6" s="631" customFormat="1" ht="55.2">
      <c r="A1329" s="706"/>
      <c r="B1329" s="707" t="s">
        <v>946</v>
      </c>
      <c r="C1329" s="708"/>
      <c r="D1329" s="708"/>
      <c r="E1329" s="649"/>
      <c r="F1329" s="1125"/>
    </row>
    <row r="1330" spans="1:6" s="631" customFormat="1">
      <c r="A1330" s="1259">
        <f t="shared" ref="A1330" ca="1" si="294">IFERROR(IF(OFFSET(A1330,-1,0,1,1)&gt;0,OFFSET(A1330,-1,0,1,1)+0.001,ERROR.TYPE(0)),IFERROR(IF(OFFSET(A1330,-2,0,1,1)&gt;0,OFFSET(A1330,-2,0,1,1)+0.001,ERROR.TYPE(0)),IFERROR(IF(OFFSET(A1330,-3,0,1,1)&gt;0,OFFSET(A1330,-3,0,1,1)+0.001,ERROR.TYPE(0)),IFERROR(IF(OFFSET(A1330,-4,0,1,1)&gt;0,OFFSET(A1330,-4,0,1,1)+0.001,ERROR.TYPE(0)),IFERROR(IF(OFFSET(A1330,-5,0,1,1)&gt;0,OFFSET(A1330,-5,0,1,1)+0.001,ERROR.TYPE(0)),IFERROR(IF(OFFSET(A1330,-6,0,1,1)&gt;0,OFFSET(A1330,-6,0,1,1)+0.001,ERROR.TYPE(0)),IFERROR(IF(OFFSET(A1330,-7,0,1,1)&gt;0,OFFSET(A1330,-7,0,1,1)+0.001,ERROR.TYPE(0)),IFERROR(IF(OFFSET(A1330,-8,0,1,1)&gt;0,OFFSET(A1330,-8,0,1,1)+0.001,ERROR.TYPE(0)),IFERROR(IF(OFFSET(A1330,-9,0,1,1)&gt;0,OFFSET(A1330,-9,0,1,1)+0.001,ERROR.TYPE(0)),IFERROR(IF(OFFSET(A1330,-10,0,1,1)&gt;0,OFFSET(A1330,-10,0,1,1)+0.001,ERROR.TYPE(0)),ERROR.TYPE(0)))))))))))</f>
        <v>8.0009999999999994</v>
      </c>
      <c r="B1330" s="651" t="s">
        <v>947</v>
      </c>
      <c r="C1330" s="1242">
        <v>61</v>
      </c>
      <c r="D1330" s="646" t="s">
        <v>329</v>
      </c>
      <c r="E1330" s="649">
        <f ca="1">Elec_Est!E6655</f>
        <v>70.3</v>
      </c>
      <c r="F1330" s="1125">
        <f t="shared" ref="F1330" ca="1" si="295">IFERROR($C1330*E1330,E1330)</f>
        <v>4288.3</v>
      </c>
    </row>
    <row r="1331" spans="1:6" s="631" customFormat="1" ht="55.2">
      <c r="A1331" s="709"/>
      <c r="B1331" s="707" t="s">
        <v>948</v>
      </c>
      <c r="C1331" s="708"/>
      <c r="D1331" s="708"/>
      <c r="E1331" s="710"/>
      <c r="F1331" s="1125"/>
    </row>
    <row r="1332" spans="1:6" s="631" customFormat="1">
      <c r="A1332" s="1259">
        <f t="shared" ref="A1332:A1340" ca="1" si="296">IFERROR(IF(OFFSET(A1332,-1,0,1,1)&gt;0,OFFSET(A1332,-1,0,1,1)+0.001,ERROR.TYPE(0)),IFERROR(IF(OFFSET(A1332,-2,0,1,1)&gt;0,OFFSET(A1332,-2,0,1,1)+0.001,ERROR.TYPE(0)),IFERROR(IF(OFFSET(A1332,-3,0,1,1)&gt;0,OFFSET(A1332,-3,0,1,1)+0.001,ERROR.TYPE(0)),IFERROR(IF(OFFSET(A1332,-4,0,1,1)&gt;0,OFFSET(A1332,-4,0,1,1)+0.001,ERROR.TYPE(0)),IFERROR(IF(OFFSET(A1332,-5,0,1,1)&gt;0,OFFSET(A1332,-5,0,1,1)+0.001,ERROR.TYPE(0)),IFERROR(IF(OFFSET(A1332,-6,0,1,1)&gt;0,OFFSET(A1332,-6,0,1,1)+0.001,ERROR.TYPE(0)),IFERROR(IF(OFFSET(A1332,-7,0,1,1)&gt;0,OFFSET(A1332,-7,0,1,1)+0.001,ERROR.TYPE(0)),IFERROR(IF(OFFSET(A1332,-8,0,1,1)&gt;0,OFFSET(A1332,-8,0,1,1)+0.001,ERROR.TYPE(0)),IFERROR(IF(OFFSET(A1332,-9,0,1,1)&gt;0,OFFSET(A1332,-9,0,1,1)+0.001,ERROR.TYPE(0)),IFERROR(IF(OFFSET(A1332,-10,0,1,1)&gt;0,OFFSET(A1332,-10,0,1,1)+0.001,ERROR.TYPE(0)),ERROR.TYPE(0)))))))))))</f>
        <v>8.0019999999999989</v>
      </c>
      <c r="B1332" s="651" t="s">
        <v>949</v>
      </c>
      <c r="C1332" s="1242">
        <v>51</v>
      </c>
      <c r="D1332" s="646" t="s">
        <v>329</v>
      </c>
      <c r="E1332" s="649">
        <f>Elec_Est!E6671</f>
        <v>64</v>
      </c>
      <c r="F1332" s="1125">
        <f t="shared" ref="F1332:F1335" si="297">IFERROR($C1332*E1332,E1332)</f>
        <v>3264</v>
      </c>
    </row>
    <row r="1333" spans="1:6" s="631" customFormat="1">
      <c r="A1333" s="671">
        <f t="shared" ca="1" si="296"/>
        <v>8.0029999999999983</v>
      </c>
      <c r="B1333" s="651" t="s">
        <v>950</v>
      </c>
      <c r="C1333" s="646">
        <v>7</v>
      </c>
      <c r="D1333" s="646" t="s">
        <v>329</v>
      </c>
      <c r="E1333" s="649">
        <f>Elec_Est!E6677</f>
        <v>64</v>
      </c>
      <c r="F1333" s="1125">
        <f t="shared" si="297"/>
        <v>448</v>
      </c>
    </row>
    <row r="1334" spans="1:6" s="631" customFormat="1">
      <c r="A1334" s="671">
        <f t="shared" ca="1" si="296"/>
        <v>8.0039999999999978</v>
      </c>
      <c r="B1334" s="651" t="s">
        <v>951</v>
      </c>
      <c r="C1334" s="646">
        <v>1</v>
      </c>
      <c r="D1334" s="646" t="s">
        <v>329</v>
      </c>
      <c r="E1334" s="649">
        <f>Elec_Est!E6683</f>
        <v>64</v>
      </c>
      <c r="F1334" s="1125">
        <f t="shared" si="297"/>
        <v>64</v>
      </c>
    </row>
    <row r="1335" spans="1:6" s="631" customFormat="1">
      <c r="A1335" s="671">
        <f t="shared" ca="1" si="296"/>
        <v>8.0049999999999972</v>
      </c>
      <c r="B1335" s="651" t="s">
        <v>952</v>
      </c>
      <c r="C1335" s="646">
        <v>2</v>
      </c>
      <c r="D1335" s="646" t="s">
        <v>329</v>
      </c>
      <c r="E1335" s="649">
        <f>Elec_Est!E6689</f>
        <v>64</v>
      </c>
      <c r="F1335" s="1125">
        <f t="shared" si="297"/>
        <v>128</v>
      </c>
    </row>
    <row r="1336" spans="1:6" s="631" customFormat="1">
      <c r="A1336" s="709"/>
      <c r="B1336" s="711" t="s">
        <v>953</v>
      </c>
      <c r="C1336" s="708"/>
      <c r="D1336" s="708"/>
      <c r="E1336" s="710"/>
      <c r="F1336" s="1125"/>
    </row>
    <row r="1337" spans="1:6" s="631" customFormat="1">
      <c r="A1337" s="1259">
        <f t="shared" ref="A1337:A1338" ca="1" si="298">IFERROR(IF(OFFSET(A1337,-1,0,1,1)&gt;0,OFFSET(A1337,-1,0,1,1)+0.001,ERROR.TYPE(0)),IFERROR(IF(OFFSET(A1337,-2,0,1,1)&gt;0,OFFSET(A1337,-2,0,1,1)+0.001,ERROR.TYPE(0)),IFERROR(IF(OFFSET(A1337,-3,0,1,1)&gt;0,OFFSET(A1337,-3,0,1,1)+0.001,ERROR.TYPE(0)),IFERROR(IF(OFFSET(A1337,-4,0,1,1)&gt;0,OFFSET(A1337,-4,0,1,1)+0.001,ERROR.TYPE(0)),IFERROR(IF(OFFSET(A1337,-5,0,1,1)&gt;0,OFFSET(A1337,-5,0,1,1)+0.001,ERROR.TYPE(0)),IFERROR(IF(OFFSET(A1337,-6,0,1,1)&gt;0,OFFSET(A1337,-6,0,1,1)+0.001,ERROR.TYPE(0)),IFERROR(IF(OFFSET(A1337,-7,0,1,1)&gt;0,OFFSET(A1337,-7,0,1,1)+0.001,ERROR.TYPE(0)),IFERROR(IF(OFFSET(A1337,-8,0,1,1)&gt;0,OFFSET(A1337,-8,0,1,1)+0.001,ERROR.TYPE(0)),IFERROR(IF(OFFSET(A1337,-9,0,1,1)&gt;0,OFFSET(A1337,-9,0,1,1)+0.001,ERROR.TYPE(0)),IFERROR(IF(OFFSET(A1337,-10,0,1,1)&gt;0,OFFSET(A1337,-10,0,1,1)+0.001,ERROR.TYPE(0)),ERROR.TYPE(0)))))))))))</f>
        <v>8.0059999999999967</v>
      </c>
      <c r="B1337" s="678" t="s">
        <v>954</v>
      </c>
      <c r="C1337" s="1242">
        <v>58</v>
      </c>
      <c r="D1337" s="646" t="s">
        <v>329</v>
      </c>
      <c r="E1337" s="649">
        <f>Elec_Est!E6699</f>
        <v>15.75</v>
      </c>
      <c r="F1337" s="1125">
        <f t="shared" ref="F1337" si="299">IFERROR($C1337*E1337,E1337)</f>
        <v>913.5</v>
      </c>
    </row>
    <row r="1338" spans="1:6" s="631" customFormat="1">
      <c r="A1338" s="671">
        <f t="shared" ca="1" si="298"/>
        <v>8.0069999999999961</v>
      </c>
      <c r="B1338" s="678" t="s">
        <v>955</v>
      </c>
      <c r="C1338" s="646">
        <v>3</v>
      </c>
      <c r="D1338" s="646" t="s">
        <v>329</v>
      </c>
      <c r="E1338" s="649">
        <f>Elec_Est!E6705</f>
        <v>20.32</v>
      </c>
      <c r="F1338" s="1125">
        <f t="shared" ref="F1338:F1340" si="300">IFERROR(C1338*E1338,E1338)</f>
        <v>60.96</v>
      </c>
    </row>
    <row r="1339" spans="1:6" s="631" customFormat="1">
      <c r="A1339" s="1259">
        <f t="shared" ca="1" si="296"/>
        <v>8.0079999999999956</v>
      </c>
      <c r="B1339" s="651" t="s">
        <v>956</v>
      </c>
      <c r="C1339" s="1242">
        <v>64</v>
      </c>
      <c r="D1339" s="646" t="s">
        <v>957</v>
      </c>
      <c r="E1339" s="649">
        <f>Elec_Est!E6711</f>
        <v>9.14</v>
      </c>
      <c r="F1339" s="1125">
        <f t="shared" si="300"/>
        <v>584.96</v>
      </c>
    </row>
    <row r="1340" spans="1:6" s="631" customFormat="1">
      <c r="A1340" s="1259">
        <f t="shared" ca="1" si="296"/>
        <v>8.008999999999995</v>
      </c>
      <c r="B1340" s="651" t="s">
        <v>958</v>
      </c>
      <c r="C1340" s="1242">
        <v>64</v>
      </c>
      <c r="D1340" s="646" t="s">
        <v>957</v>
      </c>
      <c r="E1340" s="649">
        <f>Elec_Est!E6717</f>
        <v>3.05</v>
      </c>
      <c r="F1340" s="1125">
        <f t="shared" si="300"/>
        <v>195.2</v>
      </c>
    </row>
    <row r="1341" spans="1:6" s="631" customFormat="1">
      <c r="A1341" s="638"/>
      <c r="B1341" s="639" t="s">
        <v>959</v>
      </c>
      <c r="C1341" s="640"/>
      <c r="D1341" s="640"/>
      <c r="E1341" s="641"/>
      <c r="F1341" s="1123"/>
    </row>
    <row r="1342" spans="1:6" s="631" customFormat="1" ht="55.2">
      <c r="A1342" s="706"/>
      <c r="B1342" s="707" t="s">
        <v>946</v>
      </c>
      <c r="C1342" s="708"/>
      <c r="D1342" s="708"/>
      <c r="E1342" s="649"/>
      <c r="F1342" s="1125"/>
    </row>
    <row r="1343" spans="1:6" s="631" customFormat="1">
      <c r="A1343" s="671">
        <f t="shared" ref="A1343" ca="1" si="301">IFERROR(IF(OFFSET(A1343,-1,0,1,1)&gt;0,OFFSET(A1343,-1,0,1,1)+0.001,ERROR.TYPE(0)),IFERROR(IF(OFFSET(A1343,-2,0,1,1)&gt;0,OFFSET(A1343,-2,0,1,1)+0.001,ERROR.TYPE(0)),IFERROR(IF(OFFSET(A1343,-3,0,1,1)&gt;0,OFFSET(A1343,-3,0,1,1)+0.001,ERROR.TYPE(0)),IFERROR(IF(OFFSET(A1343,-4,0,1,1)&gt;0,OFFSET(A1343,-4,0,1,1)+0.001,ERROR.TYPE(0)),IFERROR(IF(OFFSET(A1343,-5,0,1,1)&gt;0,OFFSET(A1343,-5,0,1,1)+0.001,ERROR.TYPE(0)),IFERROR(IF(OFFSET(A1343,-6,0,1,1)&gt;0,OFFSET(A1343,-6,0,1,1)+0.001,ERROR.TYPE(0)),IFERROR(IF(OFFSET(A1343,-7,0,1,1)&gt;0,OFFSET(A1343,-7,0,1,1)+0.001,ERROR.TYPE(0)),IFERROR(IF(OFFSET(A1343,-8,0,1,1)&gt;0,OFFSET(A1343,-8,0,1,1)+0.001,ERROR.TYPE(0)),IFERROR(IF(OFFSET(A1343,-9,0,1,1)&gt;0,OFFSET(A1343,-9,0,1,1)+0.001,ERROR.TYPE(0)),IFERROR(IF(OFFSET(A1343,-10,0,1,1)&gt;0,OFFSET(A1343,-10,0,1,1)+0.001,ERROR.TYPE(0)),ERROR.TYPE(0)))))))))))</f>
        <v>8.0099999999999945</v>
      </c>
      <c r="B1343" s="651" t="s">
        <v>947</v>
      </c>
      <c r="C1343" s="646">
        <v>2</v>
      </c>
      <c r="D1343" s="646" t="s">
        <v>329</v>
      </c>
      <c r="E1343" s="649">
        <f ca="1">Elec_Est!E6731</f>
        <v>122.87</v>
      </c>
      <c r="F1343" s="1125">
        <f t="shared" ref="F1343" ca="1" si="302">IFERROR($C1343*E1343,E1343)</f>
        <v>245.74</v>
      </c>
    </row>
    <row r="1344" spans="1:6" s="631" customFormat="1" ht="55.2">
      <c r="A1344" s="709"/>
      <c r="B1344" s="707" t="s">
        <v>948</v>
      </c>
      <c r="C1344" s="708"/>
      <c r="D1344" s="708"/>
      <c r="E1344" s="710"/>
      <c r="F1344" s="1125"/>
    </row>
    <row r="1345" spans="1:6" s="631" customFormat="1">
      <c r="A1345" s="671">
        <f t="shared" ref="A1345:A1349" ca="1" si="303">IFERROR(IF(OFFSET(A1345,-1,0,1,1)&gt;0,OFFSET(A1345,-1,0,1,1)+0.001,ERROR.TYPE(0)),IFERROR(IF(OFFSET(A1345,-2,0,1,1)&gt;0,OFFSET(A1345,-2,0,1,1)+0.001,ERROR.TYPE(0)),IFERROR(IF(OFFSET(A1345,-3,0,1,1)&gt;0,OFFSET(A1345,-3,0,1,1)+0.001,ERROR.TYPE(0)),IFERROR(IF(OFFSET(A1345,-4,0,1,1)&gt;0,OFFSET(A1345,-4,0,1,1)+0.001,ERROR.TYPE(0)),IFERROR(IF(OFFSET(A1345,-5,0,1,1)&gt;0,OFFSET(A1345,-5,0,1,1)+0.001,ERROR.TYPE(0)),IFERROR(IF(OFFSET(A1345,-6,0,1,1)&gt;0,OFFSET(A1345,-6,0,1,1)+0.001,ERROR.TYPE(0)),IFERROR(IF(OFFSET(A1345,-7,0,1,1)&gt;0,OFFSET(A1345,-7,0,1,1)+0.001,ERROR.TYPE(0)),IFERROR(IF(OFFSET(A1345,-8,0,1,1)&gt;0,OFFSET(A1345,-8,0,1,1)+0.001,ERROR.TYPE(0)),IFERROR(IF(OFFSET(A1345,-9,0,1,1)&gt;0,OFFSET(A1345,-9,0,1,1)+0.001,ERROR.TYPE(0)),IFERROR(IF(OFFSET(A1345,-10,0,1,1)&gt;0,OFFSET(A1345,-10,0,1,1)+0.001,ERROR.TYPE(0)),ERROR.TYPE(0)))))))))))</f>
        <v>8.0109999999999939</v>
      </c>
      <c r="B1345" s="651" t="s">
        <v>952</v>
      </c>
      <c r="C1345" s="646">
        <v>2</v>
      </c>
      <c r="D1345" s="646" t="s">
        <v>329</v>
      </c>
      <c r="E1345" s="649">
        <f>Elec_Est!E6742</f>
        <v>64</v>
      </c>
      <c r="F1345" s="1125">
        <f t="shared" ref="F1345" si="304">IFERROR($C1345*E1345,E1345)</f>
        <v>128</v>
      </c>
    </row>
    <row r="1346" spans="1:6" s="631" customFormat="1">
      <c r="A1346" s="671">
        <f t="shared" ca="1" si="303"/>
        <v>8.0119999999999933</v>
      </c>
      <c r="B1346" s="651" t="s">
        <v>956</v>
      </c>
      <c r="C1346" s="646">
        <v>4</v>
      </c>
      <c r="D1346" s="646" t="s">
        <v>957</v>
      </c>
      <c r="E1346" s="649">
        <f>Elec_Est!E6748</f>
        <v>9.14</v>
      </c>
      <c r="F1346" s="1125">
        <f t="shared" ref="F1346:F1347" si="305">IFERROR(C1346*E1346,E1346)</f>
        <v>36.56</v>
      </c>
    </row>
    <row r="1347" spans="1:6" s="631" customFormat="1">
      <c r="A1347" s="671">
        <f t="shared" ca="1" si="303"/>
        <v>8.0129999999999928</v>
      </c>
      <c r="B1347" s="651" t="s">
        <v>958</v>
      </c>
      <c r="C1347" s="646">
        <v>4</v>
      </c>
      <c r="D1347" s="646" t="s">
        <v>957</v>
      </c>
      <c r="E1347" s="649">
        <f>Elec_Est!E6754</f>
        <v>3.05</v>
      </c>
      <c r="F1347" s="1125">
        <f t="shared" si="305"/>
        <v>12.2</v>
      </c>
    </row>
    <row r="1348" spans="1:6" s="631" customFormat="1">
      <c r="A1348" s="709"/>
      <c r="B1348" s="711" t="s">
        <v>953</v>
      </c>
      <c r="C1348" s="708"/>
      <c r="D1348" s="708"/>
      <c r="E1348" s="649"/>
      <c r="F1348" s="1125"/>
    </row>
    <row r="1349" spans="1:6" s="631" customFormat="1">
      <c r="A1349" s="671">
        <f t="shared" ca="1" si="303"/>
        <v>8.0139999999999922</v>
      </c>
      <c r="B1349" s="678" t="s">
        <v>955</v>
      </c>
      <c r="C1349" s="646">
        <v>2</v>
      </c>
      <c r="D1349" s="646" t="s">
        <v>329</v>
      </c>
      <c r="E1349" s="649">
        <f>Elec_Est!E6764</f>
        <v>20.32</v>
      </c>
      <c r="F1349" s="1125">
        <f t="shared" ref="F1349" si="306">IFERROR(C1349*E1349,E1349)</f>
        <v>40.64</v>
      </c>
    </row>
    <row r="1350" spans="1:6" s="631" customFormat="1">
      <c r="A1350" s="638"/>
      <c r="B1350" s="639" t="s">
        <v>960</v>
      </c>
      <c r="C1350" s="640"/>
      <c r="D1350" s="640"/>
      <c r="E1350" s="649"/>
      <c r="F1350" s="1123"/>
    </row>
    <row r="1351" spans="1:6" s="631" customFormat="1" ht="27.6">
      <c r="A1351" s="671">
        <f ca="1">IFERROR(IF(OFFSET(A1351,-1,0,1,1)&gt;0,OFFSET(A1351,-1,0,1,1)+0.001,ERROR.TYPE(0)),IFERROR(IF(OFFSET(A1351,-2,0,1,1)&gt;0,OFFSET(A1351,-2,0,1,1)+0.001,ERROR.TYPE(0)),IFERROR(IF(OFFSET(A1351,-3,0,1,1)&gt;0,OFFSET(A1351,-3,0,1,1)+0.001,ERROR.TYPE(0)),IFERROR(IF(OFFSET(A1351,-4,0,1,1)&gt;0,OFFSET(A1351,-4,0,1,1)+0.001,ERROR.TYPE(0)),IFERROR(IF(OFFSET(A1351,-5,0,1,1)&gt;0,OFFSET(A1351,-5,0,1,1)+0.001,ERROR.TYPE(0)),IFERROR(IF(OFFSET(A1351,-6,0,1,1)&gt;0,OFFSET(A1351,-6,0,1,1)+0.001,ERROR.TYPE(0)),IFERROR(IF(OFFSET(A1351,-7,0,1,1)&gt;0,OFFSET(A1351,-7,0,1,1)+0.001,ERROR.TYPE(0)),IFERROR(IF(OFFSET(A1351,-8,0,1,1)&gt;0,OFFSET(A1351,-8,0,1,1)+0.001,ERROR.TYPE(0)),IFERROR(IF(OFFSET(A1351,-9,0,1,1)&gt;0,OFFSET(A1351,-9,0,1,1)+0.001,ERROR.TYPE(0)),IFERROR(IF(OFFSET(A1351,-10,0,1,1)&gt;0,OFFSET(A1351,-10,0,1,1)+0.001,ERROR.TYPE(0)),ERROR.TYPE(0)))))))))))</f>
        <v>8.0149999999999917</v>
      </c>
      <c r="B1351" s="678" t="s">
        <v>961</v>
      </c>
      <c r="C1351" s="646">
        <v>1</v>
      </c>
      <c r="D1351" s="646" t="s">
        <v>329</v>
      </c>
      <c r="E1351" s="649">
        <f>Elec_Est!E6774</f>
        <v>198.09</v>
      </c>
      <c r="F1351" s="1125">
        <f>IFERROR(C1351*E1351,E1351)</f>
        <v>198.09</v>
      </c>
    </row>
    <row r="1352" spans="1:6" s="631" customFormat="1">
      <c r="A1352" s="1259">
        <f ca="1">IFERROR(IF(OFFSET(A1352,-1,0,1,1)&gt;0,OFFSET(A1352,-1,0,1,1)+0.001,ERROR.TYPE(0)),IFERROR(IF(OFFSET(A1352,-2,0,1,1)&gt;0,OFFSET(A1352,-2,0,1,1)+0.001,ERROR.TYPE(0)),IFERROR(IF(OFFSET(A1352,-3,0,1,1)&gt;0,OFFSET(A1352,-3,0,1,1)+0.001,ERROR.TYPE(0)),IFERROR(IF(OFFSET(A1352,-4,0,1,1)&gt;0,OFFSET(A1352,-4,0,1,1)+0.001,ERROR.TYPE(0)),IFERROR(IF(OFFSET(A1352,-5,0,1,1)&gt;0,OFFSET(A1352,-5,0,1,1)+0.001,ERROR.TYPE(0)),IFERROR(IF(OFFSET(A1352,-6,0,1,1)&gt;0,OFFSET(A1352,-6,0,1,1)+0.001,ERROR.TYPE(0)),IFERROR(IF(OFFSET(A1352,-7,0,1,1)&gt;0,OFFSET(A1352,-7,0,1,1)+0.001,ERROR.TYPE(0)),IFERROR(IF(OFFSET(A1352,-8,0,1,1)&gt;0,OFFSET(A1352,-8,0,1,1)+0.001,ERROR.TYPE(0)),IFERROR(IF(OFFSET(A1352,-9,0,1,1)&gt;0,OFFSET(A1352,-9,0,1,1)+0.001,ERROR.TYPE(0)),IFERROR(IF(OFFSET(A1352,-10,0,1,1)&gt;0,OFFSET(A1352,-10,0,1,1)+0.001,ERROR.TYPE(0)),ERROR.TYPE(0)))))))))))</f>
        <v>8.0159999999999911</v>
      </c>
      <c r="B1352" s="648" t="s">
        <v>962</v>
      </c>
      <c r="C1352" s="1242">
        <v>3</v>
      </c>
      <c r="D1352" s="646" t="s">
        <v>329</v>
      </c>
      <c r="E1352" s="649">
        <f>Elec_Est!E6780</f>
        <v>91.43</v>
      </c>
      <c r="F1352" s="1125">
        <f>IFERROR(C1352*E1352,E1352)</f>
        <v>274.29000000000002</v>
      </c>
    </row>
    <row r="1353" spans="1:6" s="631" customFormat="1">
      <c r="A1353" s="671">
        <f t="shared" ref="A1353:A1355" ca="1" si="307">IFERROR(IF(OFFSET(A1353,-1,0,1,1)&gt;0,OFFSET(A1353,-1,0,1,1)+0.001,ERROR.TYPE(0)),IFERROR(IF(OFFSET(A1353,-2,0,1,1)&gt;0,OFFSET(A1353,-2,0,1,1)+0.001,ERROR.TYPE(0)),IFERROR(IF(OFFSET(A1353,-3,0,1,1)&gt;0,OFFSET(A1353,-3,0,1,1)+0.001,ERROR.TYPE(0)),IFERROR(IF(OFFSET(A1353,-4,0,1,1)&gt;0,OFFSET(A1353,-4,0,1,1)+0.001,ERROR.TYPE(0)),IFERROR(IF(OFFSET(A1353,-5,0,1,1)&gt;0,OFFSET(A1353,-5,0,1,1)+0.001,ERROR.TYPE(0)),IFERROR(IF(OFFSET(A1353,-6,0,1,1)&gt;0,OFFSET(A1353,-6,0,1,1)+0.001,ERROR.TYPE(0)),IFERROR(IF(OFFSET(A1353,-7,0,1,1)&gt;0,OFFSET(A1353,-7,0,1,1)+0.001,ERROR.TYPE(0)),IFERROR(IF(OFFSET(A1353,-8,0,1,1)&gt;0,OFFSET(A1353,-8,0,1,1)+0.001,ERROR.TYPE(0)),IFERROR(IF(OFFSET(A1353,-9,0,1,1)&gt;0,OFFSET(A1353,-9,0,1,1)+0.001,ERROR.TYPE(0)),IFERROR(IF(OFFSET(A1353,-10,0,1,1)&gt;0,OFFSET(A1353,-10,0,1,1)+0.001,ERROR.TYPE(0)),ERROR.TYPE(0)))))))))))</f>
        <v>8.0169999999999906</v>
      </c>
      <c r="B1353" s="651" t="s">
        <v>963</v>
      </c>
      <c r="C1353" s="646">
        <v>4</v>
      </c>
      <c r="D1353" s="646" t="s">
        <v>329</v>
      </c>
      <c r="E1353" s="649">
        <f>Elec_Est!E6786</f>
        <v>15.24</v>
      </c>
      <c r="F1353" s="1125">
        <f t="shared" ref="F1353:F1355" si="308">IFERROR(C1353*E1353,E1353)</f>
        <v>60.96</v>
      </c>
    </row>
    <row r="1354" spans="1:6" s="631" customFormat="1">
      <c r="A1354" s="671">
        <f t="shared" ca="1" si="307"/>
        <v>8.01799999999999</v>
      </c>
      <c r="B1354" s="651" t="s">
        <v>964</v>
      </c>
      <c r="C1354" s="646">
        <v>4</v>
      </c>
      <c r="D1354" s="646" t="s">
        <v>329</v>
      </c>
      <c r="E1354" s="1186" t="str">
        <f>Elec_Est!Q6792</f>
        <v>Refer to covering letter</v>
      </c>
      <c r="F1354" s="1125" t="str">
        <f t="shared" si="308"/>
        <v>Refer to covering letter</v>
      </c>
    </row>
    <row r="1355" spans="1:6" s="631" customFormat="1">
      <c r="A1355" s="671">
        <f t="shared" ca="1" si="307"/>
        <v>8.0189999999999895</v>
      </c>
      <c r="B1355" s="651" t="s">
        <v>965</v>
      </c>
      <c r="C1355" s="646">
        <v>1</v>
      </c>
      <c r="D1355" s="646" t="s">
        <v>329</v>
      </c>
      <c r="E1355" s="710">
        <f>Elec_Est!E6798</f>
        <v>45.71</v>
      </c>
      <c r="F1355" s="1125">
        <f t="shared" si="308"/>
        <v>45.71</v>
      </c>
    </row>
    <row r="1356" spans="1:6" s="631" customFormat="1">
      <c r="A1356" s="638"/>
      <c r="B1356" s="639" t="s">
        <v>966</v>
      </c>
      <c r="C1356" s="1456" t="s">
        <v>305</v>
      </c>
      <c r="D1356" s="1457"/>
      <c r="E1356" s="652"/>
      <c r="F1356" s="1123">
        <f ca="1">SUM(F1329:F1355)</f>
        <v>10989.109999999997</v>
      </c>
    </row>
    <row r="1357" spans="1:6" s="631" customFormat="1">
      <c r="A1357" s="660"/>
      <c r="B1357" s="629"/>
      <c r="C1357" s="661"/>
      <c r="D1357" s="661"/>
      <c r="E1357" s="662"/>
      <c r="F1357" s="1127"/>
    </row>
    <row r="1358" spans="1:6" s="631" customFormat="1">
      <c r="A1358" s="660"/>
      <c r="B1358" s="629"/>
      <c r="C1358" s="661"/>
      <c r="D1358" s="654"/>
      <c r="E1358" s="662"/>
      <c r="F1358" s="1127"/>
    </row>
    <row r="1359" spans="1:6" s="631" customFormat="1" ht="27.6">
      <c r="A1359" s="634" t="s">
        <v>143</v>
      </c>
      <c r="B1359" s="635" t="s">
        <v>198</v>
      </c>
      <c r="C1359" s="636" t="s">
        <v>199</v>
      </c>
      <c r="D1359" s="636" t="s">
        <v>200</v>
      </c>
      <c r="E1359" s="637" t="s">
        <v>294</v>
      </c>
      <c r="F1359" s="1122" t="s">
        <v>295</v>
      </c>
    </row>
    <row r="1360" spans="1:6" s="631" customFormat="1">
      <c r="A1360" s="638"/>
      <c r="B1360" s="639" t="s">
        <v>967</v>
      </c>
      <c r="C1360" s="640"/>
      <c r="D1360" s="640"/>
      <c r="E1360" s="641"/>
      <c r="F1360" s="1123"/>
    </row>
    <row r="1361" spans="1:6" s="631" customFormat="1" ht="69">
      <c r="A1361" s="706"/>
      <c r="B1361" s="707" t="s">
        <v>968</v>
      </c>
      <c r="C1361" s="708"/>
      <c r="D1361" s="708"/>
      <c r="E1361" s="649"/>
      <c r="F1361" s="1125"/>
    </row>
    <row r="1362" spans="1:6" s="631" customFormat="1">
      <c r="A1362" s="671">
        <f t="shared" ref="A1362" ca="1" si="309">IFERROR(IF(OFFSET(A1362,-1,0,1,1)&gt;0,OFFSET(A1362,-1,0,1,1)+0.001,ERROR.TYPE(0)),IFERROR(IF(OFFSET(A1362,-2,0,1,1)&gt;0,OFFSET(A1362,-2,0,1,1)+0.001,ERROR.TYPE(0)),IFERROR(IF(OFFSET(A1362,-3,0,1,1)&gt;0,OFFSET(A1362,-3,0,1,1)+0.001,ERROR.TYPE(0)),IFERROR(IF(OFFSET(A1362,-4,0,1,1)&gt;0,OFFSET(A1362,-4,0,1,1)+0.001,ERROR.TYPE(0)),IFERROR(IF(OFFSET(A1362,-5,0,1,1)&gt;0,OFFSET(A1362,-5,0,1,1)+0.001,ERROR.TYPE(0)),IFERROR(IF(OFFSET(A1362,-6,0,1,1)&gt;0,OFFSET(A1362,-6,0,1,1)+0.001,ERROR.TYPE(0)),IFERROR(IF(OFFSET(A1362,-7,0,1,1)&gt;0,OFFSET(A1362,-7,0,1,1)+0.001,ERROR.TYPE(0)),IFERROR(IF(OFFSET(A1362,-8,0,1,1)&gt;0,OFFSET(A1362,-8,0,1,1)+0.001,ERROR.TYPE(0)),IFERROR(IF(OFFSET(A1362,-9,0,1,1)&gt;0,OFFSET(A1362,-9,0,1,1)+0.001,ERROR.TYPE(0)),IFERROR(IF(OFFSET(A1362,-10,0,1,1)&gt;0,OFFSET(A1362,-10,0,1,1)+0.001,ERROR.TYPE(0)),ERROR.TYPE(0)))))))))))</f>
        <v>8.0199999999999889</v>
      </c>
      <c r="B1362" s="651" t="s">
        <v>947</v>
      </c>
      <c r="C1362" s="646">
        <v>28</v>
      </c>
      <c r="D1362" s="646" t="s">
        <v>329</v>
      </c>
      <c r="E1362" s="649">
        <f ca="1">Elec_Est!E6818</f>
        <v>47.94</v>
      </c>
      <c r="F1362" s="1125">
        <f t="shared" ref="F1362" ca="1" si="310">IFERROR($C1362*E1362,E1362)</f>
        <v>1342.32</v>
      </c>
    </row>
    <row r="1363" spans="1:6" s="631" customFormat="1" ht="55.2">
      <c r="A1363" s="709"/>
      <c r="B1363" s="707" t="s">
        <v>969</v>
      </c>
      <c r="C1363" s="708"/>
      <c r="D1363" s="708"/>
      <c r="E1363" s="710"/>
      <c r="F1363" s="1125"/>
    </row>
    <row r="1364" spans="1:6" s="631" customFormat="1">
      <c r="A1364" s="671">
        <f t="shared" ref="A1364:A1379" ca="1" si="311">IFERROR(IF(OFFSET(A1364,-1,0,1,1)&gt;0,OFFSET(A1364,-1,0,1,1)+0.001,ERROR.TYPE(0)),IFERROR(IF(OFFSET(A1364,-2,0,1,1)&gt;0,OFFSET(A1364,-2,0,1,1)+0.001,ERROR.TYPE(0)),IFERROR(IF(OFFSET(A1364,-3,0,1,1)&gt;0,OFFSET(A1364,-3,0,1,1)+0.001,ERROR.TYPE(0)),IFERROR(IF(OFFSET(A1364,-4,0,1,1)&gt;0,OFFSET(A1364,-4,0,1,1)+0.001,ERROR.TYPE(0)),IFERROR(IF(OFFSET(A1364,-5,0,1,1)&gt;0,OFFSET(A1364,-5,0,1,1)+0.001,ERROR.TYPE(0)),IFERROR(IF(OFFSET(A1364,-6,0,1,1)&gt;0,OFFSET(A1364,-6,0,1,1)+0.001,ERROR.TYPE(0)),IFERROR(IF(OFFSET(A1364,-7,0,1,1)&gt;0,OFFSET(A1364,-7,0,1,1)+0.001,ERROR.TYPE(0)),IFERROR(IF(OFFSET(A1364,-8,0,1,1)&gt;0,OFFSET(A1364,-8,0,1,1)+0.001,ERROR.TYPE(0)),IFERROR(IF(OFFSET(A1364,-9,0,1,1)&gt;0,OFFSET(A1364,-9,0,1,1)+0.001,ERROR.TYPE(0)),IFERROR(IF(OFFSET(A1364,-10,0,1,1)&gt;0,OFFSET(A1364,-10,0,1,1)+0.001,ERROR.TYPE(0)),ERROR.TYPE(0)))))))))))</f>
        <v>8.0209999999999884</v>
      </c>
      <c r="B1364" s="651" t="s">
        <v>949</v>
      </c>
      <c r="C1364" s="646">
        <v>6</v>
      </c>
      <c r="D1364" s="646" t="s">
        <v>329</v>
      </c>
      <c r="E1364" s="649">
        <f>Elec_Est!E6829</f>
        <v>64</v>
      </c>
      <c r="F1364" s="1125">
        <f t="shared" ref="F1364:F1372" si="312">IFERROR($C1364*E1364,E1364)</f>
        <v>384</v>
      </c>
    </row>
    <row r="1365" spans="1:6" s="631" customFormat="1">
      <c r="A1365" s="671">
        <f t="shared" ca="1" si="311"/>
        <v>8.0219999999999878</v>
      </c>
      <c r="B1365" s="651" t="s">
        <v>950</v>
      </c>
      <c r="C1365" s="646">
        <v>2</v>
      </c>
      <c r="D1365" s="646" t="s">
        <v>329</v>
      </c>
      <c r="E1365" s="649">
        <f>Elec_Est!E6835</f>
        <v>64</v>
      </c>
      <c r="F1365" s="1125">
        <f t="shared" si="312"/>
        <v>128</v>
      </c>
    </row>
    <row r="1366" spans="1:6" s="631" customFormat="1">
      <c r="A1366" s="671">
        <f t="shared" ca="1" si="311"/>
        <v>8.0229999999999873</v>
      </c>
      <c r="B1366" s="651" t="s">
        <v>970</v>
      </c>
      <c r="C1366" s="646">
        <v>1</v>
      </c>
      <c r="D1366" s="646" t="s">
        <v>329</v>
      </c>
      <c r="E1366" s="649">
        <f>Elec_Est!E6841</f>
        <v>64</v>
      </c>
      <c r="F1366" s="1125">
        <f t="shared" si="312"/>
        <v>64</v>
      </c>
    </row>
    <row r="1367" spans="1:6" s="631" customFormat="1">
      <c r="A1367" s="671">
        <f t="shared" ca="1" si="311"/>
        <v>8.0239999999999867</v>
      </c>
      <c r="B1367" s="651" t="s">
        <v>971</v>
      </c>
      <c r="C1367" s="646">
        <v>2</v>
      </c>
      <c r="D1367" s="646" t="s">
        <v>329</v>
      </c>
      <c r="E1367" s="649">
        <f>Elec_Est!E6847</f>
        <v>64</v>
      </c>
      <c r="F1367" s="1125">
        <f t="shared" si="312"/>
        <v>128</v>
      </c>
    </row>
    <row r="1368" spans="1:6" s="631" customFormat="1">
      <c r="A1368" s="671">
        <f t="shared" ca="1" si="311"/>
        <v>8.0249999999999861</v>
      </c>
      <c r="B1368" s="651" t="s">
        <v>972</v>
      </c>
      <c r="C1368" s="646">
        <v>2</v>
      </c>
      <c r="D1368" s="646" t="s">
        <v>329</v>
      </c>
      <c r="E1368" s="649">
        <f>Elec_Est!E6853</f>
        <v>64</v>
      </c>
      <c r="F1368" s="1125">
        <f t="shared" si="312"/>
        <v>128</v>
      </c>
    </row>
    <row r="1369" spans="1:6" s="631" customFormat="1">
      <c r="A1369" s="671">
        <f t="shared" ca="1" si="311"/>
        <v>8.0259999999999856</v>
      </c>
      <c r="B1369" s="651" t="s">
        <v>951</v>
      </c>
      <c r="C1369" s="646">
        <v>2</v>
      </c>
      <c r="D1369" s="646" t="s">
        <v>329</v>
      </c>
      <c r="E1369" s="649">
        <f>Elec_Est!E6859</f>
        <v>64</v>
      </c>
      <c r="F1369" s="1125">
        <f t="shared" si="312"/>
        <v>128</v>
      </c>
    </row>
    <row r="1370" spans="1:6" s="631" customFormat="1">
      <c r="A1370" s="671">
        <f t="shared" ca="1" si="311"/>
        <v>8.026999999999985</v>
      </c>
      <c r="B1370" s="651" t="s">
        <v>973</v>
      </c>
      <c r="C1370" s="646">
        <v>1</v>
      </c>
      <c r="D1370" s="646" t="s">
        <v>329</v>
      </c>
      <c r="E1370" s="649">
        <f>Elec_Est!E6865</f>
        <v>64</v>
      </c>
      <c r="F1370" s="1125">
        <f t="shared" si="312"/>
        <v>64</v>
      </c>
    </row>
    <row r="1371" spans="1:6" s="631" customFormat="1">
      <c r="A1371" s="671">
        <f t="shared" ca="1" si="311"/>
        <v>8.0279999999999845</v>
      </c>
      <c r="B1371" s="651" t="s">
        <v>974</v>
      </c>
      <c r="C1371" s="646">
        <v>1</v>
      </c>
      <c r="D1371" s="646" t="s">
        <v>329</v>
      </c>
      <c r="E1371" s="649">
        <f>Elec_Est!E6871</f>
        <v>64</v>
      </c>
      <c r="F1371" s="1125">
        <f t="shared" si="312"/>
        <v>64</v>
      </c>
    </row>
    <row r="1372" spans="1:6" s="631" customFormat="1">
      <c r="A1372" s="671">
        <f t="shared" ca="1" si="311"/>
        <v>8.0289999999999839</v>
      </c>
      <c r="B1372" s="651" t="s">
        <v>975</v>
      </c>
      <c r="C1372" s="646">
        <v>5</v>
      </c>
      <c r="D1372" s="646" t="s">
        <v>329</v>
      </c>
      <c r="E1372" s="649">
        <f>Elec_Est!E6877</f>
        <v>64</v>
      </c>
      <c r="F1372" s="1125">
        <f t="shared" si="312"/>
        <v>320</v>
      </c>
    </row>
    <row r="1373" spans="1:6" s="631" customFormat="1">
      <c r="A1373" s="709"/>
      <c r="B1373" s="711" t="s">
        <v>976</v>
      </c>
      <c r="C1373" s="708"/>
      <c r="D1373" s="708"/>
      <c r="E1373" s="649"/>
      <c r="F1373" s="1125"/>
    </row>
    <row r="1374" spans="1:6" s="631" customFormat="1">
      <c r="A1374" s="671">
        <f t="shared" ref="A1374:A1377" ca="1" si="313">IFERROR(IF(OFFSET(A1374,-1,0,1,1)&gt;0,OFFSET(A1374,-1,0,1,1)+0.001,ERROR.TYPE(0)),IFERROR(IF(OFFSET(A1374,-2,0,1,1)&gt;0,OFFSET(A1374,-2,0,1,1)+0.001,ERROR.TYPE(0)),IFERROR(IF(OFFSET(A1374,-3,0,1,1)&gt;0,OFFSET(A1374,-3,0,1,1)+0.001,ERROR.TYPE(0)),IFERROR(IF(OFFSET(A1374,-4,0,1,1)&gt;0,OFFSET(A1374,-4,0,1,1)+0.001,ERROR.TYPE(0)),IFERROR(IF(OFFSET(A1374,-5,0,1,1)&gt;0,OFFSET(A1374,-5,0,1,1)+0.001,ERROR.TYPE(0)),IFERROR(IF(OFFSET(A1374,-6,0,1,1)&gt;0,OFFSET(A1374,-6,0,1,1)+0.001,ERROR.TYPE(0)),IFERROR(IF(OFFSET(A1374,-7,0,1,1)&gt;0,OFFSET(A1374,-7,0,1,1)+0.001,ERROR.TYPE(0)),IFERROR(IF(OFFSET(A1374,-8,0,1,1)&gt;0,OFFSET(A1374,-8,0,1,1)+0.001,ERROR.TYPE(0)),IFERROR(IF(OFFSET(A1374,-9,0,1,1)&gt;0,OFFSET(A1374,-9,0,1,1)+0.001,ERROR.TYPE(0)),IFERROR(IF(OFFSET(A1374,-10,0,1,1)&gt;0,OFFSET(A1374,-10,0,1,1)+0.001,ERROR.TYPE(0)),ERROR.TYPE(0)))))))))))</f>
        <v>8.0299999999999834</v>
      </c>
      <c r="B1374" s="678" t="s">
        <v>954</v>
      </c>
      <c r="C1374" s="646">
        <v>13</v>
      </c>
      <c r="D1374" s="646" t="s">
        <v>329</v>
      </c>
      <c r="E1374" s="649">
        <f>Elec_Est!E6887</f>
        <v>5.08</v>
      </c>
      <c r="F1374" s="1125">
        <f t="shared" ref="F1374" si="314">IFERROR($C1374*E1374,E1374)</f>
        <v>66.040000000000006</v>
      </c>
    </row>
    <row r="1375" spans="1:6" s="631" customFormat="1">
      <c r="A1375" s="671">
        <f t="shared" ca="1" si="313"/>
        <v>8.0309999999999828</v>
      </c>
      <c r="B1375" s="678" t="s">
        <v>955</v>
      </c>
      <c r="C1375" s="646">
        <v>3</v>
      </c>
      <c r="D1375" s="646" t="s">
        <v>329</v>
      </c>
      <c r="E1375" s="649">
        <f>Elec_Est!E6893</f>
        <v>8.6300000000000008</v>
      </c>
      <c r="F1375" s="1125">
        <f t="shared" ref="F1375:F1379" si="315">IFERROR(C1375*E1375,E1375)</f>
        <v>25.89</v>
      </c>
    </row>
    <row r="1376" spans="1:6" s="631" customFormat="1">
      <c r="A1376" s="671">
        <f t="shared" ca="1" si="313"/>
        <v>8.0319999999999823</v>
      </c>
      <c r="B1376" s="678" t="s">
        <v>977</v>
      </c>
      <c r="C1376" s="646">
        <v>1</v>
      </c>
      <c r="D1376" s="646" t="s">
        <v>329</v>
      </c>
      <c r="E1376" s="649">
        <f>Elec_Est!E6899</f>
        <v>12.7</v>
      </c>
      <c r="F1376" s="1125">
        <f t="shared" si="315"/>
        <v>12.7</v>
      </c>
    </row>
    <row r="1377" spans="1:6" s="631" customFormat="1">
      <c r="A1377" s="671">
        <f t="shared" ca="1" si="313"/>
        <v>8.0329999999999817</v>
      </c>
      <c r="B1377" s="678" t="s">
        <v>978</v>
      </c>
      <c r="C1377" s="646">
        <v>5</v>
      </c>
      <c r="D1377" s="646" t="s">
        <v>329</v>
      </c>
      <c r="E1377" s="649">
        <f>Elec_Est!E6905</f>
        <v>16.25</v>
      </c>
      <c r="F1377" s="1125">
        <f t="shared" si="315"/>
        <v>81.25</v>
      </c>
    </row>
    <row r="1378" spans="1:6" s="631" customFormat="1">
      <c r="A1378" s="671">
        <f t="shared" ca="1" si="311"/>
        <v>8.0339999999999812</v>
      </c>
      <c r="B1378" s="651" t="s">
        <v>956</v>
      </c>
      <c r="C1378" s="646">
        <v>42</v>
      </c>
      <c r="D1378" s="646" t="s">
        <v>957</v>
      </c>
      <c r="E1378" s="649">
        <f>Elec_Est!E6911</f>
        <v>9.14</v>
      </c>
      <c r="F1378" s="1125">
        <f t="shared" si="315"/>
        <v>383.88</v>
      </c>
    </row>
    <row r="1379" spans="1:6" s="631" customFormat="1">
      <c r="A1379" s="671">
        <f t="shared" ca="1" si="311"/>
        <v>8.0349999999999806</v>
      </c>
      <c r="B1379" s="651" t="s">
        <v>958</v>
      </c>
      <c r="C1379" s="646">
        <v>42</v>
      </c>
      <c r="D1379" s="646" t="s">
        <v>957</v>
      </c>
      <c r="E1379" s="649">
        <f>Elec_Est!E6917</f>
        <v>3.05</v>
      </c>
      <c r="F1379" s="1125">
        <f t="shared" si="315"/>
        <v>128.1</v>
      </c>
    </row>
    <row r="1380" spans="1:6" s="631" customFormat="1">
      <c r="A1380" s="638"/>
      <c r="B1380" s="639" t="s">
        <v>979</v>
      </c>
      <c r="C1380" s="640"/>
      <c r="D1380" s="640"/>
      <c r="E1380" s="641"/>
      <c r="F1380" s="1123"/>
    </row>
    <row r="1381" spans="1:6" s="631" customFormat="1" ht="69">
      <c r="A1381" s="706"/>
      <c r="B1381" s="707" t="s">
        <v>968</v>
      </c>
      <c r="C1381" s="708"/>
      <c r="D1381" s="708"/>
      <c r="E1381" s="649"/>
      <c r="F1381" s="1125"/>
    </row>
    <row r="1382" spans="1:6" s="631" customFormat="1">
      <c r="A1382" s="671">
        <f t="shared" ref="A1382" ca="1" si="316">IFERROR(IF(OFFSET(A1382,-1,0,1,1)&gt;0,OFFSET(A1382,-1,0,1,1)+0.001,ERROR.TYPE(0)),IFERROR(IF(OFFSET(A1382,-2,0,1,1)&gt;0,OFFSET(A1382,-2,0,1,1)+0.001,ERROR.TYPE(0)),IFERROR(IF(OFFSET(A1382,-3,0,1,1)&gt;0,OFFSET(A1382,-3,0,1,1)+0.001,ERROR.TYPE(0)),IFERROR(IF(OFFSET(A1382,-4,0,1,1)&gt;0,OFFSET(A1382,-4,0,1,1)+0.001,ERROR.TYPE(0)),IFERROR(IF(OFFSET(A1382,-5,0,1,1)&gt;0,OFFSET(A1382,-5,0,1,1)+0.001,ERROR.TYPE(0)),IFERROR(IF(OFFSET(A1382,-6,0,1,1)&gt;0,OFFSET(A1382,-6,0,1,1)+0.001,ERROR.TYPE(0)),IFERROR(IF(OFFSET(A1382,-7,0,1,1)&gt;0,OFFSET(A1382,-7,0,1,1)+0.001,ERROR.TYPE(0)),IFERROR(IF(OFFSET(A1382,-8,0,1,1)&gt;0,OFFSET(A1382,-8,0,1,1)+0.001,ERROR.TYPE(0)),IFERROR(IF(OFFSET(A1382,-9,0,1,1)&gt;0,OFFSET(A1382,-9,0,1,1)+0.001,ERROR.TYPE(0)),IFERROR(IF(OFFSET(A1382,-10,0,1,1)&gt;0,OFFSET(A1382,-10,0,1,1)+0.001,ERROR.TYPE(0)),ERROR.TYPE(0)))))))))))</f>
        <v>8.03599999999998</v>
      </c>
      <c r="B1382" s="651" t="s">
        <v>947</v>
      </c>
      <c r="C1382" s="646">
        <v>37</v>
      </c>
      <c r="D1382" s="646" t="s">
        <v>329</v>
      </c>
      <c r="E1382" s="649">
        <f ca="1">Elec_Est!E6931</f>
        <v>47.94</v>
      </c>
      <c r="F1382" s="1125">
        <f t="shared" ref="F1382" ca="1" si="317">IFERROR($C1382*E1382,E1382)</f>
        <v>1773.78</v>
      </c>
    </row>
    <row r="1383" spans="1:6" s="631" customFormat="1" ht="55.2">
      <c r="A1383" s="709"/>
      <c r="B1383" s="707" t="s">
        <v>969</v>
      </c>
      <c r="C1383" s="708"/>
      <c r="D1383" s="708"/>
      <c r="E1383" s="710"/>
      <c r="F1383" s="1125"/>
    </row>
    <row r="1384" spans="1:6" s="631" customFormat="1">
      <c r="A1384" s="671">
        <f t="shared" ref="A1384:A1393" ca="1" si="318">IFERROR(IF(OFFSET(A1384,-1,0,1,1)&gt;0,OFFSET(A1384,-1,0,1,1)+0.001,ERROR.TYPE(0)),IFERROR(IF(OFFSET(A1384,-2,0,1,1)&gt;0,OFFSET(A1384,-2,0,1,1)+0.001,ERROR.TYPE(0)),IFERROR(IF(OFFSET(A1384,-3,0,1,1)&gt;0,OFFSET(A1384,-3,0,1,1)+0.001,ERROR.TYPE(0)),IFERROR(IF(OFFSET(A1384,-4,0,1,1)&gt;0,OFFSET(A1384,-4,0,1,1)+0.001,ERROR.TYPE(0)),IFERROR(IF(OFFSET(A1384,-5,0,1,1)&gt;0,OFFSET(A1384,-5,0,1,1)+0.001,ERROR.TYPE(0)),IFERROR(IF(OFFSET(A1384,-6,0,1,1)&gt;0,OFFSET(A1384,-6,0,1,1)+0.001,ERROR.TYPE(0)),IFERROR(IF(OFFSET(A1384,-7,0,1,1)&gt;0,OFFSET(A1384,-7,0,1,1)+0.001,ERROR.TYPE(0)),IFERROR(IF(OFFSET(A1384,-8,0,1,1)&gt;0,OFFSET(A1384,-8,0,1,1)+0.001,ERROR.TYPE(0)),IFERROR(IF(OFFSET(A1384,-9,0,1,1)&gt;0,OFFSET(A1384,-9,0,1,1)+0.001,ERROR.TYPE(0)),IFERROR(IF(OFFSET(A1384,-10,0,1,1)&gt;0,OFFSET(A1384,-10,0,1,1)+0.001,ERROR.TYPE(0)),ERROR.TYPE(0)))))))))))</f>
        <v>8.0369999999999795</v>
      </c>
      <c r="B1384" s="651" t="s">
        <v>949</v>
      </c>
      <c r="C1384" s="646">
        <v>4</v>
      </c>
      <c r="D1384" s="646" t="s">
        <v>329</v>
      </c>
      <c r="E1384" s="649">
        <f>Elec_Est!E6942</f>
        <v>64</v>
      </c>
      <c r="F1384" s="1125">
        <f t="shared" ref="F1384:F1388" si="319">IFERROR($C1384*E1384,E1384)</f>
        <v>256</v>
      </c>
    </row>
    <row r="1385" spans="1:6" s="631" customFormat="1">
      <c r="A1385" s="671">
        <f t="shared" ca="1" si="318"/>
        <v>8.0379999999999789</v>
      </c>
      <c r="B1385" s="651" t="s">
        <v>950</v>
      </c>
      <c r="C1385" s="646">
        <v>2</v>
      </c>
      <c r="D1385" s="646" t="s">
        <v>329</v>
      </c>
      <c r="E1385" s="649">
        <f>Elec_Est!E6948</f>
        <v>64</v>
      </c>
      <c r="F1385" s="1125">
        <f t="shared" si="319"/>
        <v>128</v>
      </c>
    </row>
    <row r="1386" spans="1:6" s="631" customFormat="1">
      <c r="A1386" s="671">
        <f t="shared" ca="1" si="318"/>
        <v>8.0389999999999784</v>
      </c>
      <c r="B1386" s="651" t="s">
        <v>970</v>
      </c>
      <c r="C1386" s="646">
        <v>4</v>
      </c>
      <c r="D1386" s="646" t="s">
        <v>329</v>
      </c>
      <c r="E1386" s="649">
        <f>Elec_Est!E6954</f>
        <v>64</v>
      </c>
      <c r="F1386" s="1125">
        <f t="shared" si="319"/>
        <v>256</v>
      </c>
    </row>
    <row r="1387" spans="1:6" s="631" customFormat="1">
      <c r="A1387" s="671">
        <f t="shared" ca="1" si="318"/>
        <v>8.0399999999999778</v>
      </c>
      <c r="B1387" s="651" t="s">
        <v>972</v>
      </c>
      <c r="C1387" s="646">
        <v>1</v>
      </c>
      <c r="D1387" s="646" t="s">
        <v>329</v>
      </c>
      <c r="E1387" s="649">
        <f>Elec_Est!E6960</f>
        <v>64</v>
      </c>
      <c r="F1387" s="1125">
        <f t="shared" si="319"/>
        <v>64</v>
      </c>
    </row>
    <row r="1388" spans="1:6" s="631" customFormat="1">
      <c r="A1388" s="671">
        <f t="shared" ca="1" si="318"/>
        <v>8.0409999999999773</v>
      </c>
      <c r="B1388" s="651" t="s">
        <v>975</v>
      </c>
      <c r="C1388" s="646">
        <v>13</v>
      </c>
      <c r="D1388" s="646" t="s">
        <v>329</v>
      </c>
      <c r="E1388" s="649">
        <f>Elec_Est!E6966</f>
        <v>64</v>
      </c>
      <c r="F1388" s="1125">
        <f t="shared" si="319"/>
        <v>832</v>
      </c>
    </row>
    <row r="1389" spans="1:6" s="631" customFormat="1">
      <c r="A1389" s="709"/>
      <c r="B1389" s="711" t="s">
        <v>976</v>
      </c>
      <c r="C1389" s="708"/>
      <c r="D1389" s="708"/>
      <c r="E1389" s="649"/>
      <c r="F1389" s="1125"/>
    </row>
    <row r="1390" spans="1:6" s="631" customFormat="1">
      <c r="A1390" s="671">
        <f t="shared" ref="A1390:A1391" ca="1" si="320">IFERROR(IF(OFFSET(A1390,-1,0,1,1)&gt;0,OFFSET(A1390,-1,0,1,1)+0.001,ERROR.TYPE(0)),IFERROR(IF(OFFSET(A1390,-2,0,1,1)&gt;0,OFFSET(A1390,-2,0,1,1)+0.001,ERROR.TYPE(0)),IFERROR(IF(OFFSET(A1390,-3,0,1,1)&gt;0,OFFSET(A1390,-3,0,1,1)+0.001,ERROR.TYPE(0)),IFERROR(IF(OFFSET(A1390,-4,0,1,1)&gt;0,OFFSET(A1390,-4,0,1,1)+0.001,ERROR.TYPE(0)),IFERROR(IF(OFFSET(A1390,-5,0,1,1)&gt;0,OFFSET(A1390,-5,0,1,1)+0.001,ERROR.TYPE(0)),IFERROR(IF(OFFSET(A1390,-6,0,1,1)&gt;0,OFFSET(A1390,-6,0,1,1)+0.001,ERROR.TYPE(0)),IFERROR(IF(OFFSET(A1390,-7,0,1,1)&gt;0,OFFSET(A1390,-7,0,1,1)+0.001,ERROR.TYPE(0)),IFERROR(IF(OFFSET(A1390,-8,0,1,1)&gt;0,OFFSET(A1390,-8,0,1,1)+0.001,ERROR.TYPE(0)),IFERROR(IF(OFFSET(A1390,-9,0,1,1)&gt;0,OFFSET(A1390,-9,0,1,1)+0.001,ERROR.TYPE(0)),IFERROR(IF(OFFSET(A1390,-10,0,1,1)&gt;0,OFFSET(A1390,-10,0,1,1)+0.001,ERROR.TYPE(0)),ERROR.TYPE(0)))))))))))</f>
        <v>8.0419999999999767</v>
      </c>
      <c r="B1390" s="678" t="s">
        <v>954</v>
      </c>
      <c r="C1390" s="646">
        <v>11</v>
      </c>
      <c r="D1390" s="646" t="s">
        <v>329</v>
      </c>
      <c r="E1390" s="649">
        <f>Elec_Est!E6976</f>
        <v>5.08</v>
      </c>
      <c r="F1390" s="1125">
        <f t="shared" ref="F1390" si="321">IFERROR($C1390*E1390,E1390)</f>
        <v>55.88</v>
      </c>
    </row>
    <row r="1391" spans="1:6" s="631" customFormat="1">
      <c r="A1391" s="671">
        <f t="shared" ca="1" si="320"/>
        <v>8.0429999999999762</v>
      </c>
      <c r="B1391" s="678" t="s">
        <v>978</v>
      </c>
      <c r="C1391" s="646">
        <v>13</v>
      </c>
      <c r="D1391" s="646" t="s">
        <v>329</v>
      </c>
      <c r="E1391" s="649">
        <f>Elec_Est!E6982</f>
        <v>16.25</v>
      </c>
      <c r="F1391" s="1125">
        <f t="shared" ref="F1391:F1393" si="322">IFERROR(C1391*E1391,E1391)</f>
        <v>211.25</v>
      </c>
    </row>
    <row r="1392" spans="1:6" s="631" customFormat="1">
      <c r="A1392" s="671">
        <f t="shared" ca="1" si="318"/>
        <v>8.0439999999999756</v>
      </c>
      <c r="B1392" s="651" t="s">
        <v>956</v>
      </c>
      <c r="C1392" s="646">
        <v>63</v>
      </c>
      <c r="D1392" s="646" t="s">
        <v>957</v>
      </c>
      <c r="E1392" s="649">
        <f>Elec_Est!E6988</f>
        <v>9.14</v>
      </c>
      <c r="F1392" s="1125">
        <f t="shared" si="322"/>
        <v>575.82000000000005</v>
      </c>
    </row>
    <row r="1393" spans="1:6" s="631" customFormat="1">
      <c r="A1393" s="671">
        <f t="shared" ca="1" si="318"/>
        <v>8.0449999999999751</v>
      </c>
      <c r="B1393" s="651" t="s">
        <v>958</v>
      </c>
      <c r="C1393" s="646">
        <v>63</v>
      </c>
      <c r="D1393" s="646" t="s">
        <v>957</v>
      </c>
      <c r="E1393" s="649">
        <f>Elec_Est!E6994</f>
        <v>3.05</v>
      </c>
      <c r="F1393" s="1125">
        <f t="shared" si="322"/>
        <v>192.14999999999998</v>
      </c>
    </row>
    <row r="1394" spans="1:6" s="631" customFormat="1">
      <c r="A1394" s="638"/>
      <c r="B1394" s="639" t="s">
        <v>980</v>
      </c>
      <c r="C1394" s="640"/>
      <c r="D1394" s="640"/>
      <c r="E1394" s="649"/>
      <c r="F1394" s="1123"/>
    </row>
    <row r="1395" spans="1:6" s="631" customFormat="1">
      <c r="A1395" s="671">
        <f ca="1">IFERROR(IF(OFFSET(A1395,-1,0,1,1)&gt;0,OFFSET(A1395,-1,0,1,1)+0.001,ERROR.TYPE(0)),IFERROR(IF(OFFSET(A1395,-2,0,1,1)&gt;0,OFFSET(A1395,-2,0,1,1)+0.001,ERROR.TYPE(0)),IFERROR(IF(OFFSET(A1395,-3,0,1,1)&gt;0,OFFSET(A1395,-3,0,1,1)+0.001,ERROR.TYPE(0)),IFERROR(IF(OFFSET(A1395,-4,0,1,1)&gt;0,OFFSET(A1395,-4,0,1,1)+0.001,ERROR.TYPE(0)),IFERROR(IF(OFFSET(A1395,-5,0,1,1)&gt;0,OFFSET(A1395,-5,0,1,1)+0.001,ERROR.TYPE(0)),IFERROR(IF(OFFSET(A1395,-6,0,1,1)&gt;0,OFFSET(A1395,-6,0,1,1)+0.001,ERROR.TYPE(0)),IFERROR(IF(OFFSET(A1395,-7,0,1,1)&gt;0,OFFSET(A1395,-7,0,1,1)+0.001,ERROR.TYPE(0)),IFERROR(IF(OFFSET(A1395,-8,0,1,1)&gt;0,OFFSET(A1395,-8,0,1,1)+0.001,ERROR.TYPE(0)),IFERROR(IF(OFFSET(A1395,-9,0,1,1)&gt;0,OFFSET(A1395,-9,0,1,1)+0.001,ERROR.TYPE(0)),IFERROR(IF(OFFSET(A1395,-10,0,1,1)&gt;0,OFFSET(A1395,-10,0,1,1)+0.001,ERROR.TYPE(0)),ERROR.TYPE(0)))))))))))</f>
        <v>8.0459999999999745</v>
      </c>
      <c r="B1395" s="678" t="s">
        <v>981</v>
      </c>
      <c r="C1395" s="646">
        <v>1</v>
      </c>
      <c r="D1395" s="646" t="s">
        <v>329</v>
      </c>
      <c r="E1395" s="649">
        <f>Elec_Est!E7004</f>
        <v>909.19</v>
      </c>
      <c r="F1395" s="1125">
        <f>IFERROR(C1395*E1395,E1395)</f>
        <v>909.19</v>
      </c>
    </row>
    <row r="1396" spans="1:6" s="631" customFormat="1">
      <c r="A1396" s="671">
        <f ca="1">IFERROR(IF(OFFSET(A1396,-1,0,1,1)&gt;0,OFFSET(A1396,-1,0,1,1)+0.001,ERROR.TYPE(0)),IFERROR(IF(OFFSET(A1396,-2,0,1,1)&gt;0,OFFSET(A1396,-2,0,1,1)+0.001,ERROR.TYPE(0)),IFERROR(IF(OFFSET(A1396,-3,0,1,1)&gt;0,OFFSET(A1396,-3,0,1,1)+0.001,ERROR.TYPE(0)),IFERROR(IF(OFFSET(A1396,-4,0,1,1)&gt;0,OFFSET(A1396,-4,0,1,1)+0.001,ERROR.TYPE(0)),IFERROR(IF(OFFSET(A1396,-5,0,1,1)&gt;0,OFFSET(A1396,-5,0,1,1)+0.001,ERROR.TYPE(0)),IFERROR(IF(OFFSET(A1396,-6,0,1,1)&gt;0,OFFSET(A1396,-6,0,1,1)+0.001,ERROR.TYPE(0)),IFERROR(IF(OFFSET(A1396,-7,0,1,1)&gt;0,OFFSET(A1396,-7,0,1,1)+0.001,ERROR.TYPE(0)),IFERROR(IF(OFFSET(A1396,-8,0,1,1)&gt;0,OFFSET(A1396,-8,0,1,1)+0.001,ERROR.TYPE(0)),IFERROR(IF(OFFSET(A1396,-9,0,1,1)&gt;0,OFFSET(A1396,-9,0,1,1)+0.001,ERROR.TYPE(0)),IFERROR(IF(OFFSET(A1396,-10,0,1,1)&gt;0,OFFSET(A1396,-10,0,1,1)+0.001,ERROR.TYPE(0)),ERROR.TYPE(0)))))))))))</f>
        <v>8.046999999999974</v>
      </c>
      <c r="B1396" s="648" t="s">
        <v>962</v>
      </c>
      <c r="C1396" s="646">
        <v>5</v>
      </c>
      <c r="D1396" s="646" t="s">
        <v>329</v>
      </c>
      <c r="E1396" s="649">
        <f>Elec_Est!E7010</f>
        <v>91.43</v>
      </c>
      <c r="F1396" s="1125">
        <f>IFERROR(C1396*E1396,E1396)</f>
        <v>457.15000000000003</v>
      </c>
    </row>
    <row r="1397" spans="1:6" s="631" customFormat="1">
      <c r="A1397" s="671">
        <f t="shared" ref="A1397:A1399" ca="1" si="323">IFERROR(IF(OFFSET(A1397,-1,0,1,1)&gt;0,OFFSET(A1397,-1,0,1,1)+0.001,ERROR.TYPE(0)),IFERROR(IF(OFFSET(A1397,-2,0,1,1)&gt;0,OFFSET(A1397,-2,0,1,1)+0.001,ERROR.TYPE(0)),IFERROR(IF(OFFSET(A1397,-3,0,1,1)&gt;0,OFFSET(A1397,-3,0,1,1)+0.001,ERROR.TYPE(0)),IFERROR(IF(OFFSET(A1397,-4,0,1,1)&gt;0,OFFSET(A1397,-4,0,1,1)+0.001,ERROR.TYPE(0)),IFERROR(IF(OFFSET(A1397,-5,0,1,1)&gt;0,OFFSET(A1397,-5,0,1,1)+0.001,ERROR.TYPE(0)),IFERROR(IF(OFFSET(A1397,-6,0,1,1)&gt;0,OFFSET(A1397,-6,0,1,1)+0.001,ERROR.TYPE(0)),IFERROR(IF(OFFSET(A1397,-7,0,1,1)&gt;0,OFFSET(A1397,-7,0,1,1)+0.001,ERROR.TYPE(0)),IFERROR(IF(OFFSET(A1397,-8,0,1,1)&gt;0,OFFSET(A1397,-8,0,1,1)+0.001,ERROR.TYPE(0)),IFERROR(IF(OFFSET(A1397,-9,0,1,1)&gt;0,OFFSET(A1397,-9,0,1,1)+0.001,ERROR.TYPE(0)),IFERROR(IF(OFFSET(A1397,-10,0,1,1)&gt;0,OFFSET(A1397,-10,0,1,1)+0.001,ERROR.TYPE(0)),ERROR.TYPE(0)))))))))))</f>
        <v>8.0479999999999734</v>
      </c>
      <c r="B1397" s="651" t="s">
        <v>963</v>
      </c>
      <c r="C1397" s="646">
        <v>5</v>
      </c>
      <c r="D1397" s="646" t="s">
        <v>329</v>
      </c>
      <c r="E1397" s="649">
        <f>Elec_Est!E7016</f>
        <v>15.24</v>
      </c>
      <c r="F1397" s="1125">
        <f t="shared" ref="F1397:F1399" si="324">IFERROR(C1397*E1397,E1397)</f>
        <v>76.2</v>
      </c>
    </row>
    <row r="1398" spans="1:6" s="631" customFormat="1">
      <c r="A1398" s="671">
        <f t="shared" ca="1" si="323"/>
        <v>8.0489999999999728</v>
      </c>
      <c r="B1398" s="651" t="s">
        <v>964</v>
      </c>
      <c r="C1398" s="646">
        <v>4</v>
      </c>
      <c r="D1398" s="646" t="s">
        <v>329</v>
      </c>
      <c r="E1398" s="649">
        <f>Elec_Est!E7022</f>
        <v>40.630000000000003</v>
      </c>
      <c r="F1398" s="1125">
        <f t="shared" si="324"/>
        <v>162.52000000000001</v>
      </c>
    </row>
    <row r="1399" spans="1:6" s="631" customFormat="1">
      <c r="A1399" s="671">
        <f t="shared" ca="1" si="323"/>
        <v>8.0499999999999723</v>
      </c>
      <c r="B1399" s="651" t="s">
        <v>965</v>
      </c>
      <c r="C1399" s="646">
        <v>1</v>
      </c>
      <c r="D1399" s="646" t="s">
        <v>329</v>
      </c>
      <c r="E1399" s="649">
        <f>Elec_Est!E7028</f>
        <v>45.71</v>
      </c>
      <c r="F1399" s="1125">
        <f t="shared" si="324"/>
        <v>45.71</v>
      </c>
    </row>
    <row r="1400" spans="1:6" s="631" customFormat="1">
      <c r="A1400" s="638"/>
      <c r="B1400" s="639" t="s">
        <v>982</v>
      </c>
      <c r="C1400" s="1456" t="s">
        <v>305</v>
      </c>
      <c r="D1400" s="1457"/>
      <c r="E1400" s="652"/>
      <c r="F1400" s="1123">
        <f ca="1">SUM(F1362:F1399)</f>
        <v>9443.8299999999981</v>
      </c>
    </row>
    <row r="1401" spans="1:6">
      <c r="A1401" s="681"/>
      <c r="B1401" s="624"/>
      <c r="C1401" s="682"/>
      <c r="D1401" s="682"/>
      <c r="E1401" s="684"/>
      <c r="F1401" s="1131"/>
    </row>
    <row r="1402" spans="1:6">
      <c r="A1402" s="681"/>
      <c r="B1402" s="624"/>
      <c r="C1402" s="682"/>
      <c r="D1402" s="683"/>
      <c r="E1402" s="684"/>
      <c r="F1402" s="1131"/>
    </row>
    <row r="1403" spans="1:6" s="631" customFormat="1" ht="27.6">
      <c r="A1403" s="634" t="s">
        <v>143</v>
      </c>
      <c r="B1403" s="635" t="s">
        <v>198</v>
      </c>
      <c r="C1403" s="636" t="s">
        <v>199</v>
      </c>
      <c r="D1403" s="636" t="s">
        <v>200</v>
      </c>
      <c r="E1403" s="637" t="s">
        <v>294</v>
      </c>
      <c r="F1403" s="1122" t="s">
        <v>295</v>
      </c>
    </row>
    <row r="1404" spans="1:6" s="631" customFormat="1">
      <c r="A1404" s="638"/>
      <c r="B1404" s="639" t="s">
        <v>983</v>
      </c>
      <c r="C1404" s="640"/>
      <c r="D1404" s="640"/>
      <c r="E1404" s="641"/>
      <c r="F1404" s="1123"/>
    </row>
    <row r="1405" spans="1:6" s="631" customFormat="1" ht="69">
      <c r="A1405" s="706"/>
      <c r="B1405" s="707" t="s">
        <v>984</v>
      </c>
      <c r="C1405" s="708"/>
      <c r="D1405" s="708"/>
      <c r="E1405" s="649"/>
      <c r="F1405" s="1125"/>
    </row>
    <row r="1406" spans="1:6" s="631" customFormat="1">
      <c r="A1406" s="671">
        <f t="shared" ref="A1406:A1408" ca="1" si="325">IFERROR(IF(OFFSET(A1406,-1,0,1,1)&gt;0,OFFSET(A1406,-1,0,1,1)+0.001,ERROR.TYPE(0)),IFERROR(IF(OFFSET(A1406,-2,0,1,1)&gt;0,OFFSET(A1406,-2,0,1,1)+0.001,ERROR.TYPE(0)),IFERROR(IF(OFFSET(A1406,-3,0,1,1)&gt;0,OFFSET(A1406,-3,0,1,1)+0.001,ERROR.TYPE(0)),IFERROR(IF(OFFSET(A1406,-4,0,1,1)&gt;0,OFFSET(A1406,-4,0,1,1)+0.001,ERROR.TYPE(0)),IFERROR(IF(OFFSET(A1406,-5,0,1,1)&gt;0,OFFSET(A1406,-5,0,1,1)+0.001,ERROR.TYPE(0)),IFERROR(IF(OFFSET(A1406,-6,0,1,1)&gt;0,OFFSET(A1406,-6,0,1,1)+0.001,ERROR.TYPE(0)),IFERROR(IF(OFFSET(A1406,-7,0,1,1)&gt;0,OFFSET(A1406,-7,0,1,1)+0.001,ERROR.TYPE(0)),IFERROR(IF(OFFSET(A1406,-8,0,1,1)&gt;0,OFFSET(A1406,-8,0,1,1)+0.001,ERROR.TYPE(0)),IFERROR(IF(OFFSET(A1406,-9,0,1,1)&gt;0,OFFSET(A1406,-9,0,1,1)+0.001,ERROR.TYPE(0)),IFERROR(IF(OFFSET(A1406,-10,0,1,1)&gt;0,OFFSET(A1406,-10,0,1,1)+0.001,ERROR.TYPE(0)),ERROR.TYPE(0)))))))))))</f>
        <v>8.0509999999999717</v>
      </c>
      <c r="B1406" s="651" t="s">
        <v>947</v>
      </c>
      <c r="C1406" s="646">
        <v>59</v>
      </c>
      <c r="D1406" s="646" t="s">
        <v>329</v>
      </c>
      <c r="E1406" s="649">
        <f ca="1">Elec_Est!E7048</f>
        <v>179.49</v>
      </c>
      <c r="F1406" s="1125">
        <f t="shared" ref="F1406" ca="1" si="326">IFERROR($C1406*E1406,E1406)</f>
        <v>10589.91</v>
      </c>
    </row>
    <row r="1407" spans="1:6" s="631" customFormat="1" ht="69">
      <c r="A1407" s="706"/>
      <c r="B1407" s="707" t="s">
        <v>985</v>
      </c>
      <c r="C1407" s="708"/>
      <c r="D1407" s="708"/>
      <c r="E1407" s="649"/>
      <c r="F1407" s="1125"/>
    </row>
    <row r="1408" spans="1:6" s="631" customFormat="1">
      <c r="A1408" s="1258">
        <f t="shared" ca="1" si="325"/>
        <v>8.0519999999999712</v>
      </c>
      <c r="B1408" s="651" t="s">
        <v>947</v>
      </c>
      <c r="C1408" s="1251">
        <v>21</v>
      </c>
      <c r="D1408" s="646" t="s">
        <v>329</v>
      </c>
      <c r="E1408" s="649">
        <f>Elec_Est!E7070</f>
        <v>887.44</v>
      </c>
      <c r="F1408" s="1125">
        <f t="shared" ref="F1408" si="327">IFERROR($C1408*E1408,E1408)</f>
        <v>18636.240000000002</v>
      </c>
    </row>
    <row r="1409" spans="1:6" s="631" customFormat="1" ht="55.2">
      <c r="A1409" s="709"/>
      <c r="B1409" s="707" t="s">
        <v>986</v>
      </c>
      <c r="C1409" s="708"/>
      <c r="D1409" s="708"/>
      <c r="E1409" s="710"/>
      <c r="F1409" s="1125"/>
    </row>
    <row r="1410" spans="1:6" s="631" customFormat="1">
      <c r="A1410" s="1258">
        <f t="shared" ref="A1410:A1420" ca="1" si="328">IFERROR(IF(OFFSET(A1410,-1,0,1,1)&gt;0,OFFSET(A1410,-1,0,1,1)+0.001,ERROR.TYPE(0)),IFERROR(IF(OFFSET(A1410,-2,0,1,1)&gt;0,OFFSET(A1410,-2,0,1,1)+0.001,ERROR.TYPE(0)),IFERROR(IF(OFFSET(A1410,-3,0,1,1)&gt;0,OFFSET(A1410,-3,0,1,1)+0.001,ERROR.TYPE(0)),IFERROR(IF(OFFSET(A1410,-4,0,1,1)&gt;0,OFFSET(A1410,-4,0,1,1)+0.001,ERROR.TYPE(0)),IFERROR(IF(OFFSET(A1410,-5,0,1,1)&gt;0,OFFSET(A1410,-5,0,1,1)+0.001,ERROR.TYPE(0)),IFERROR(IF(OFFSET(A1410,-6,0,1,1)&gt;0,OFFSET(A1410,-6,0,1,1)+0.001,ERROR.TYPE(0)),IFERROR(IF(OFFSET(A1410,-7,0,1,1)&gt;0,OFFSET(A1410,-7,0,1,1)+0.001,ERROR.TYPE(0)),IFERROR(IF(OFFSET(A1410,-8,0,1,1)&gt;0,OFFSET(A1410,-8,0,1,1)+0.001,ERROR.TYPE(0)),IFERROR(IF(OFFSET(A1410,-9,0,1,1)&gt;0,OFFSET(A1410,-9,0,1,1)+0.001,ERROR.TYPE(0)),IFERROR(IF(OFFSET(A1410,-10,0,1,1)&gt;0,OFFSET(A1410,-10,0,1,1)+0.001,ERROR.TYPE(0)),ERROR.TYPE(0)))))))))))</f>
        <v>8.0529999999999706</v>
      </c>
      <c r="B1410" s="651" t="s">
        <v>949</v>
      </c>
      <c r="C1410" s="1251">
        <v>59</v>
      </c>
      <c r="D1410" s="646" t="s">
        <v>329</v>
      </c>
      <c r="E1410" s="649">
        <f>Elec_Est!E7090</f>
        <v>64</v>
      </c>
      <c r="F1410" s="1125">
        <f t="shared" ref="F1410:F1414" si="329">IFERROR($C1410*E1410,E1410)</f>
        <v>3776</v>
      </c>
    </row>
    <row r="1411" spans="1:6" s="631" customFormat="1">
      <c r="A1411" s="671">
        <f t="shared" ca="1" si="328"/>
        <v>8.0539999999999701</v>
      </c>
      <c r="B1411" s="651" t="s">
        <v>950</v>
      </c>
      <c r="C1411" s="646">
        <v>8</v>
      </c>
      <c r="D1411" s="646" t="s">
        <v>329</v>
      </c>
      <c r="E1411" s="649">
        <f>Elec_Est!E7096</f>
        <v>64</v>
      </c>
      <c r="F1411" s="1125">
        <f t="shared" si="329"/>
        <v>512</v>
      </c>
    </row>
    <row r="1412" spans="1:6" s="631" customFormat="1">
      <c r="A1412" s="671">
        <f t="shared" ca="1" si="328"/>
        <v>8.0549999999999695</v>
      </c>
      <c r="B1412" s="651" t="s">
        <v>951</v>
      </c>
      <c r="C1412" s="646">
        <v>5</v>
      </c>
      <c r="D1412" s="646" t="s">
        <v>329</v>
      </c>
      <c r="E1412" s="649">
        <f>Elec_Est!E7102</f>
        <v>64</v>
      </c>
      <c r="F1412" s="1125">
        <f t="shared" si="329"/>
        <v>320</v>
      </c>
    </row>
    <row r="1413" spans="1:6" s="631" customFormat="1">
      <c r="A1413" s="671">
        <f t="shared" ca="1" si="328"/>
        <v>8.055999999999969</v>
      </c>
      <c r="B1413" s="651" t="s">
        <v>973</v>
      </c>
      <c r="C1413" s="646">
        <v>6</v>
      </c>
      <c r="D1413" s="646" t="s">
        <v>329</v>
      </c>
      <c r="E1413" s="649">
        <f>Elec_Est!E7108</f>
        <v>64</v>
      </c>
      <c r="F1413" s="1125">
        <f t="shared" si="329"/>
        <v>384</v>
      </c>
    </row>
    <row r="1414" spans="1:6" s="631" customFormat="1">
      <c r="A1414" s="671">
        <f t="shared" ca="1" si="328"/>
        <v>8.0569999999999684</v>
      </c>
      <c r="B1414" s="651" t="s">
        <v>974</v>
      </c>
      <c r="C1414" s="646">
        <v>1</v>
      </c>
      <c r="D1414" s="646" t="s">
        <v>329</v>
      </c>
      <c r="E1414" s="649">
        <f>Elec_Est!E7114</f>
        <v>64</v>
      </c>
      <c r="F1414" s="1125">
        <f t="shared" si="329"/>
        <v>64</v>
      </c>
    </row>
    <row r="1415" spans="1:6" s="631" customFormat="1">
      <c r="A1415" s="709"/>
      <c r="B1415" s="711" t="s">
        <v>953</v>
      </c>
      <c r="C1415" s="708"/>
      <c r="D1415" s="708"/>
      <c r="E1415" s="649"/>
      <c r="F1415" s="1125"/>
    </row>
    <row r="1416" spans="1:6" s="631" customFormat="1">
      <c r="A1416" s="1258">
        <f t="shared" ref="A1416:A1418" ca="1" si="330">IFERROR(IF(OFFSET(A1416,-1,0,1,1)&gt;0,OFFSET(A1416,-1,0,1,1)+0.001,ERROR.TYPE(0)),IFERROR(IF(OFFSET(A1416,-2,0,1,1)&gt;0,OFFSET(A1416,-2,0,1,1)+0.001,ERROR.TYPE(0)),IFERROR(IF(OFFSET(A1416,-3,0,1,1)&gt;0,OFFSET(A1416,-3,0,1,1)+0.001,ERROR.TYPE(0)),IFERROR(IF(OFFSET(A1416,-4,0,1,1)&gt;0,OFFSET(A1416,-4,0,1,1)+0.001,ERROR.TYPE(0)),IFERROR(IF(OFFSET(A1416,-5,0,1,1)&gt;0,OFFSET(A1416,-5,0,1,1)+0.001,ERROR.TYPE(0)),IFERROR(IF(OFFSET(A1416,-6,0,1,1)&gt;0,OFFSET(A1416,-6,0,1,1)+0.001,ERROR.TYPE(0)),IFERROR(IF(OFFSET(A1416,-7,0,1,1)&gt;0,OFFSET(A1416,-7,0,1,1)+0.001,ERROR.TYPE(0)),IFERROR(IF(OFFSET(A1416,-8,0,1,1)&gt;0,OFFSET(A1416,-8,0,1,1)+0.001,ERROR.TYPE(0)),IFERROR(IF(OFFSET(A1416,-9,0,1,1)&gt;0,OFFSET(A1416,-9,0,1,1)+0.001,ERROR.TYPE(0)),IFERROR(IF(OFFSET(A1416,-10,0,1,1)&gt;0,OFFSET(A1416,-10,0,1,1)+0.001,ERROR.TYPE(0)),ERROR.TYPE(0)))))))))))</f>
        <v>8.0579999999999679</v>
      </c>
      <c r="B1416" s="678" t="s">
        <v>954</v>
      </c>
      <c r="C1416" s="1251">
        <v>67</v>
      </c>
      <c r="D1416" s="646" t="s">
        <v>329</v>
      </c>
      <c r="E1416" s="649">
        <f>Elec_Est!E7124</f>
        <v>35.380000000000003</v>
      </c>
      <c r="F1416" s="1125">
        <f t="shared" ref="F1416" si="331">IFERROR($C1416*E1416,E1416)</f>
        <v>2370.46</v>
      </c>
    </row>
    <row r="1417" spans="1:6" s="631" customFormat="1">
      <c r="A1417" s="671">
        <f t="shared" ca="1" si="330"/>
        <v>8.0589999999999673</v>
      </c>
      <c r="B1417" s="678" t="s">
        <v>955</v>
      </c>
      <c r="C1417" s="646">
        <v>11</v>
      </c>
      <c r="D1417" s="646" t="s">
        <v>329</v>
      </c>
      <c r="E1417" s="649">
        <f>Elec_Est!E7138</f>
        <v>21.34</v>
      </c>
      <c r="F1417" s="1125">
        <f t="shared" ref="F1417:F1420" si="332">IFERROR(C1417*E1417,E1417)</f>
        <v>234.74</v>
      </c>
    </row>
    <row r="1418" spans="1:6" s="631" customFormat="1">
      <c r="A1418" s="671">
        <f t="shared" ca="1" si="330"/>
        <v>8.0599999999999667</v>
      </c>
      <c r="B1418" s="678" t="s">
        <v>977</v>
      </c>
      <c r="C1418" s="646">
        <v>1</v>
      </c>
      <c r="D1418" s="646" t="s">
        <v>329</v>
      </c>
      <c r="E1418" s="649">
        <f>Elec_Est!E7152</f>
        <v>33.520000000000003</v>
      </c>
      <c r="F1418" s="1125">
        <f t="shared" si="332"/>
        <v>33.520000000000003</v>
      </c>
    </row>
    <row r="1419" spans="1:6" s="631" customFormat="1">
      <c r="A1419" s="1258">
        <f t="shared" ca="1" si="328"/>
        <v>8.0609999999999662</v>
      </c>
      <c r="B1419" s="651" t="s">
        <v>956</v>
      </c>
      <c r="C1419" s="1251">
        <v>92</v>
      </c>
      <c r="D1419" s="646" t="s">
        <v>957</v>
      </c>
      <c r="E1419" s="649">
        <f>Elec_Est!E7158</f>
        <v>9.14</v>
      </c>
      <c r="F1419" s="1125">
        <f t="shared" si="332"/>
        <v>840.88000000000011</v>
      </c>
    </row>
    <row r="1420" spans="1:6" s="631" customFormat="1">
      <c r="A1420" s="1258">
        <f t="shared" ca="1" si="328"/>
        <v>8.0619999999999656</v>
      </c>
      <c r="B1420" s="651" t="s">
        <v>958</v>
      </c>
      <c r="C1420" s="1251">
        <v>92</v>
      </c>
      <c r="D1420" s="646" t="s">
        <v>957</v>
      </c>
      <c r="E1420" s="649">
        <f>Elec_Est!E7164</f>
        <v>3.05</v>
      </c>
      <c r="F1420" s="1125">
        <f t="shared" si="332"/>
        <v>280.59999999999997</v>
      </c>
    </row>
    <row r="1421" spans="1:6" s="631" customFormat="1">
      <c r="A1421" s="638"/>
      <c r="B1421" s="639" t="s">
        <v>987</v>
      </c>
      <c r="C1421" s="640"/>
      <c r="D1421" s="640"/>
      <c r="E1421" s="649"/>
      <c r="F1421" s="1123"/>
    </row>
    <row r="1422" spans="1:6" s="631" customFormat="1">
      <c r="A1422" s="1258">
        <f ca="1">IFERROR(IF(OFFSET(A1422,-1,0,1,1)&gt;0,OFFSET(A1422,-1,0,1,1)+0.001,ERROR.TYPE(0)),IFERROR(IF(OFFSET(A1422,-2,0,1,1)&gt;0,OFFSET(A1422,-2,0,1,1)+0.001,ERROR.TYPE(0)),IFERROR(IF(OFFSET(A1422,-3,0,1,1)&gt;0,OFFSET(A1422,-3,0,1,1)+0.001,ERROR.TYPE(0)),IFERROR(IF(OFFSET(A1422,-4,0,1,1)&gt;0,OFFSET(A1422,-4,0,1,1)+0.001,ERROR.TYPE(0)),IFERROR(IF(OFFSET(A1422,-5,0,1,1)&gt;0,OFFSET(A1422,-5,0,1,1)+0.001,ERROR.TYPE(0)),IFERROR(IF(OFFSET(A1422,-6,0,1,1)&gt;0,OFFSET(A1422,-6,0,1,1)+0.001,ERROR.TYPE(0)),IFERROR(IF(OFFSET(A1422,-7,0,1,1)&gt;0,OFFSET(A1422,-7,0,1,1)+0.001,ERROR.TYPE(0)),IFERROR(IF(OFFSET(A1422,-8,0,1,1)&gt;0,OFFSET(A1422,-8,0,1,1)+0.001,ERROR.TYPE(0)),IFERROR(IF(OFFSET(A1422,-9,0,1,1)&gt;0,OFFSET(A1422,-9,0,1,1)+0.001,ERROR.TYPE(0)),IFERROR(IF(OFFSET(A1422,-10,0,1,1)&gt;0,OFFSET(A1422,-10,0,1,1)+0.001,ERROR.TYPE(0)),ERROR.TYPE(0)))))))))))</f>
        <v>8.0629999999999651</v>
      </c>
      <c r="B1422" s="678" t="s">
        <v>988</v>
      </c>
      <c r="C1422" s="1251">
        <v>0</v>
      </c>
      <c r="D1422" s="646" t="s">
        <v>329</v>
      </c>
      <c r="E1422" s="649">
        <f>Elec_Est!E7174</f>
        <v>0</v>
      </c>
      <c r="F1422" s="1252" t="s">
        <v>3797</v>
      </c>
    </row>
    <row r="1423" spans="1:6" s="1249" customFormat="1" ht="27.6">
      <c r="A1423" s="1258" t="s">
        <v>3836</v>
      </c>
      <c r="B1423" s="1260" t="s">
        <v>3837</v>
      </c>
      <c r="C1423" s="1251">
        <v>1</v>
      </c>
      <c r="D1423" s="1251" t="s">
        <v>329</v>
      </c>
      <c r="E1423" s="1384">
        <f>Elec_Est!E7180</f>
        <v>401.26</v>
      </c>
      <c r="F1423" s="1248">
        <f>IFERROR(C1423*E1423,E1424)</f>
        <v>401.26</v>
      </c>
    </row>
    <row r="1424" spans="1:6" s="631" customFormat="1">
      <c r="A1424" s="671">
        <f ca="1">IFERROR(IF(OFFSET(A1424,-1,0,1,1)&gt;0,OFFSET(A1424,-1,0,1,1)+0.001,ERROR.TYPE(0)),IFERROR(IF(OFFSET(A1424,-2,0,1,1)&gt;0,OFFSET(A1424,-2,0,1,1)+0.001,ERROR.TYPE(0)),IFERROR(IF(OFFSET(A1424,-3,0,1,1)&gt;0,OFFSET(A1424,-3,0,1,1)+0.001,ERROR.TYPE(0)),IFERROR(IF(OFFSET(A1424,-4,0,1,1)&gt;0,OFFSET(A1424,-4,0,1,1)+0.001,ERROR.TYPE(0)),IFERROR(IF(OFFSET(A1424,-5,0,1,1)&gt;0,OFFSET(A1424,-5,0,1,1)+0.001,ERROR.TYPE(0)),IFERROR(IF(OFFSET(A1424,-6,0,1,1)&gt;0,OFFSET(A1424,-6,0,1,1)+0.001,ERROR.TYPE(0)),IFERROR(IF(OFFSET(A1424,-7,0,1,1)&gt;0,OFFSET(A1424,-7,0,1,1)+0.001,ERROR.TYPE(0)),IFERROR(IF(OFFSET(A1424,-8,0,1,1)&gt;0,OFFSET(A1424,-8,0,1,1)+0.001,ERROR.TYPE(0)),IFERROR(IF(OFFSET(A1424,-9,0,1,1)&gt;0,OFFSET(A1424,-9,0,1,1)+0.001,ERROR.TYPE(0)),IFERROR(IF(OFFSET(A1424,-10,0,1,1)&gt;0,OFFSET(A1424,-10,0,1,1)+0.001,ERROR.TYPE(0)),ERROR.TYPE(0)))))))))))</f>
        <v>8.0639999999999645</v>
      </c>
      <c r="B1424" s="648" t="s">
        <v>962</v>
      </c>
      <c r="C1424" s="646">
        <v>4</v>
      </c>
      <c r="D1424" s="646" t="s">
        <v>329</v>
      </c>
      <c r="E1424" s="649">
        <f>Elec_Est!E7186</f>
        <v>91.43</v>
      </c>
      <c r="F1424" s="1125">
        <f>IFERROR(C1424*E1424,E1424)</f>
        <v>365.72</v>
      </c>
    </row>
    <row r="1425" spans="1:6" s="631" customFormat="1">
      <c r="A1425" s="671">
        <f t="shared" ref="A1425:A1427" ca="1" si="333">IFERROR(IF(OFFSET(A1425,-1,0,1,1)&gt;0,OFFSET(A1425,-1,0,1,1)+0.001,ERROR.TYPE(0)),IFERROR(IF(OFFSET(A1425,-2,0,1,1)&gt;0,OFFSET(A1425,-2,0,1,1)+0.001,ERROR.TYPE(0)),IFERROR(IF(OFFSET(A1425,-3,0,1,1)&gt;0,OFFSET(A1425,-3,0,1,1)+0.001,ERROR.TYPE(0)),IFERROR(IF(OFFSET(A1425,-4,0,1,1)&gt;0,OFFSET(A1425,-4,0,1,1)+0.001,ERROR.TYPE(0)),IFERROR(IF(OFFSET(A1425,-5,0,1,1)&gt;0,OFFSET(A1425,-5,0,1,1)+0.001,ERROR.TYPE(0)),IFERROR(IF(OFFSET(A1425,-6,0,1,1)&gt;0,OFFSET(A1425,-6,0,1,1)+0.001,ERROR.TYPE(0)),IFERROR(IF(OFFSET(A1425,-7,0,1,1)&gt;0,OFFSET(A1425,-7,0,1,1)+0.001,ERROR.TYPE(0)),IFERROR(IF(OFFSET(A1425,-8,0,1,1)&gt;0,OFFSET(A1425,-8,0,1,1)+0.001,ERROR.TYPE(0)),IFERROR(IF(OFFSET(A1425,-9,0,1,1)&gt;0,OFFSET(A1425,-9,0,1,1)+0.001,ERROR.TYPE(0)),IFERROR(IF(OFFSET(A1425,-10,0,1,1)&gt;0,OFFSET(A1425,-10,0,1,1)+0.001,ERROR.TYPE(0)),ERROR.TYPE(0)))))))))))</f>
        <v>8.064999999999964</v>
      </c>
      <c r="B1425" s="651" t="s">
        <v>963</v>
      </c>
      <c r="C1425" s="646">
        <v>4</v>
      </c>
      <c r="D1425" s="646" t="s">
        <v>329</v>
      </c>
      <c r="E1425" s="649">
        <f>Elec_Est!E7192</f>
        <v>15.24</v>
      </c>
      <c r="F1425" s="1125">
        <f t="shared" ref="F1425:F1427" si="334">IFERROR(C1425*E1425,E1425)</f>
        <v>60.96</v>
      </c>
    </row>
    <row r="1426" spans="1:6" s="631" customFormat="1">
      <c r="A1426" s="671">
        <f t="shared" ca="1" si="333"/>
        <v>8.0659999999999634</v>
      </c>
      <c r="B1426" s="651" t="s">
        <v>964</v>
      </c>
      <c r="C1426" s="646">
        <v>4</v>
      </c>
      <c r="D1426" s="646" t="s">
        <v>329</v>
      </c>
      <c r="E1426" s="1186" t="str">
        <f>Elec_Est!Q7198</f>
        <v>Refer to covering letter</v>
      </c>
      <c r="F1426" s="1125"/>
    </row>
    <row r="1427" spans="1:6" s="631" customFormat="1">
      <c r="A1427" s="671">
        <f t="shared" ca="1" si="333"/>
        <v>8.0669999999999629</v>
      </c>
      <c r="B1427" s="651" t="s">
        <v>965</v>
      </c>
      <c r="C1427" s="646">
        <v>1</v>
      </c>
      <c r="D1427" s="646" t="s">
        <v>329</v>
      </c>
      <c r="E1427" s="649">
        <f>Elec_Est!E7204</f>
        <v>45.71</v>
      </c>
      <c r="F1427" s="1125">
        <f t="shared" si="334"/>
        <v>45.71</v>
      </c>
    </row>
    <row r="1428" spans="1:6" s="631" customFormat="1">
      <c r="A1428" s="638"/>
      <c r="B1428" s="639" t="s">
        <v>989</v>
      </c>
      <c r="C1428" s="1456" t="s">
        <v>305</v>
      </c>
      <c r="D1428" s="1457"/>
      <c r="E1428" s="652"/>
      <c r="F1428" s="1123">
        <f ca="1">SUM(F1405:F1427)</f>
        <v>38915.999999999993</v>
      </c>
    </row>
    <row r="1429" spans="1:6">
      <c r="A1429" s="681"/>
      <c r="B1429" s="624"/>
      <c r="C1429" s="682"/>
      <c r="D1429" s="682"/>
      <c r="E1429" s="684"/>
      <c r="F1429" s="1131"/>
    </row>
    <row r="1430" spans="1:6">
      <c r="A1430" s="681"/>
      <c r="B1430" s="624"/>
      <c r="C1430" s="682"/>
      <c r="D1430" s="683"/>
      <c r="E1430" s="684"/>
      <c r="F1430" s="1131"/>
    </row>
    <row r="1431" spans="1:6" s="631" customFormat="1" ht="27.6">
      <c r="A1431" s="634" t="s">
        <v>143</v>
      </c>
      <c r="B1431" s="635" t="s">
        <v>198</v>
      </c>
      <c r="C1431" s="636" t="s">
        <v>199</v>
      </c>
      <c r="D1431" s="636" t="s">
        <v>200</v>
      </c>
      <c r="E1431" s="637" t="s">
        <v>294</v>
      </c>
      <c r="F1431" s="1122" t="s">
        <v>295</v>
      </c>
    </row>
    <row r="1432" spans="1:6" s="631" customFormat="1">
      <c r="A1432" s="638"/>
      <c r="B1432" s="639" t="s">
        <v>990</v>
      </c>
      <c r="C1432" s="640"/>
      <c r="D1432" s="640"/>
      <c r="E1432" s="641"/>
      <c r="F1432" s="1123"/>
    </row>
    <row r="1433" spans="1:6" s="631" customFormat="1" ht="69">
      <c r="A1433" s="706"/>
      <c r="B1433" s="707" t="s">
        <v>991</v>
      </c>
      <c r="C1433" s="708"/>
      <c r="D1433" s="708"/>
      <c r="E1433" s="649"/>
      <c r="F1433" s="1125"/>
    </row>
    <row r="1434" spans="1:6" s="631" customFormat="1">
      <c r="A1434" s="671">
        <f t="shared" ref="A1434" ca="1" si="335">IFERROR(IF(OFFSET(A1434,-1,0,1,1)&gt;0,OFFSET(A1434,-1,0,1,1)+0.001,ERROR.TYPE(0)),IFERROR(IF(OFFSET(A1434,-2,0,1,1)&gt;0,OFFSET(A1434,-2,0,1,1)+0.001,ERROR.TYPE(0)),IFERROR(IF(OFFSET(A1434,-3,0,1,1)&gt;0,OFFSET(A1434,-3,0,1,1)+0.001,ERROR.TYPE(0)),IFERROR(IF(OFFSET(A1434,-4,0,1,1)&gt;0,OFFSET(A1434,-4,0,1,1)+0.001,ERROR.TYPE(0)),IFERROR(IF(OFFSET(A1434,-5,0,1,1)&gt;0,OFFSET(A1434,-5,0,1,1)+0.001,ERROR.TYPE(0)),IFERROR(IF(OFFSET(A1434,-6,0,1,1)&gt;0,OFFSET(A1434,-6,0,1,1)+0.001,ERROR.TYPE(0)),IFERROR(IF(OFFSET(A1434,-7,0,1,1)&gt;0,OFFSET(A1434,-7,0,1,1)+0.001,ERROR.TYPE(0)),IFERROR(IF(OFFSET(A1434,-8,0,1,1)&gt;0,OFFSET(A1434,-8,0,1,1)+0.001,ERROR.TYPE(0)),IFERROR(IF(OFFSET(A1434,-9,0,1,1)&gt;0,OFFSET(A1434,-9,0,1,1)+0.001,ERROR.TYPE(0)),IFERROR(IF(OFFSET(A1434,-10,0,1,1)&gt;0,OFFSET(A1434,-10,0,1,1)+0.001,ERROR.TYPE(0)),ERROR.TYPE(0)))))))))))</f>
        <v>8.0679999999999623</v>
      </c>
      <c r="B1434" s="651" t="s">
        <v>947</v>
      </c>
      <c r="C1434" s="646">
        <v>13</v>
      </c>
      <c r="D1434" s="646" t="s">
        <v>329</v>
      </c>
      <c r="E1434" s="649">
        <f ca="1">Elec_Est!E7224</f>
        <v>47.94</v>
      </c>
      <c r="F1434" s="1125">
        <f t="shared" ref="F1434" ca="1" si="336">IFERROR($C1434*E1434,E1434)</f>
        <v>623.22</v>
      </c>
    </row>
    <row r="1435" spans="1:6" s="631" customFormat="1" ht="55.2">
      <c r="A1435" s="709"/>
      <c r="B1435" s="707" t="s">
        <v>992</v>
      </c>
      <c r="C1435" s="708"/>
      <c r="D1435" s="708"/>
      <c r="E1435" s="710"/>
      <c r="F1435" s="1125"/>
    </row>
    <row r="1436" spans="1:6" s="631" customFormat="1">
      <c r="A1436" s="671">
        <f t="shared" ref="A1436:A1445" ca="1" si="337">IFERROR(IF(OFFSET(A1436,-1,0,1,1)&gt;0,OFFSET(A1436,-1,0,1,1)+0.001,ERROR.TYPE(0)),IFERROR(IF(OFFSET(A1436,-2,0,1,1)&gt;0,OFFSET(A1436,-2,0,1,1)+0.001,ERROR.TYPE(0)),IFERROR(IF(OFFSET(A1436,-3,0,1,1)&gt;0,OFFSET(A1436,-3,0,1,1)+0.001,ERROR.TYPE(0)),IFERROR(IF(OFFSET(A1436,-4,0,1,1)&gt;0,OFFSET(A1436,-4,0,1,1)+0.001,ERROR.TYPE(0)),IFERROR(IF(OFFSET(A1436,-5,0,1,1)&gt;0,OFFSET(A1436,-5,0,1,1)+0.001,ERROR.TYPE(0)),IFERROR(IF(OFFSET(A1436,-6,0,1,1)&gt;0,OFFSET(A1436,-6,0,1,1)+0.001,ERROR.TYPE(0)),IFERROR(IF(OFFSET(A1436,-7,0,1,1)&gt;0,OFFSET(A1436,-7,0,1,1)+0.001,ERROR.TYPE(0)),IFERROR(IF(OFFSET(A1436,-8,0,1,1)&gt;0,OFFSET(A1436,-8,0,1,1)+0.001,ERROR.TYPE(0)),IFERROR(IF(OFFSET(A1436,-9,0,1,1)&gt;0,OFFSET(A1436,-9,0,1,1)+0.001,ERROR.TYPE(0)),IFERROR(IF(OFFSET(A1436,-10,0,1,1)&gt;0,OFFSET(A1436,-10,0,1,1)+0.001,ERROR.TYPE(0)),ERROR.TYPE(0)))))))))))</f>
        <v>8.0689999999999618</v>
      </c>
      <c r="B1436" s="651" t="s">
        <v>949</v>
      </c>
      <c r="C1436" s="646">
        <v>2</v>
      </c>
      <c r="D1436" s="646" t="s">
        <v>329</v>
      </c>
      <c r="E1436" s="649">
        <f>Elec_Est!E7235</f>
        <v>64</v>
      </c>
      <c r="F1436" s="1125">
        <f t="shared" ref="F1436:F1440" si="338">IFERROR($C1436*E1436,E1436)</f>
        <v>128</v>
      </c>
    </row>
    <row r="1437" spans="1:6" s="631" customFormat="1">
      <c r="A1437" s="671">
        <f t="shared" ca="1" si="337"/>
        <v>8.0699999999999612</v>
      </c>
      <c r="B1437" s="651" t="s">
        <v>950</v>
      </c>
      <c r="C1437" s="646">
        <v>1</v>
      </c>
      <c r="D1437" s="646" t="s">
        <v>329</v>
      </c>
      <c r="E1437" s="649">
        <f>Elec_Est!E7241</f>
        <v>64</v>
      </c>
      <c r="F1437" s="1125">
        <f t="shared" si="338"/>
        <v>64</v>
      </c>
    </row>
    <row r="1438" spans="1:6" s="631" customFormat="1">
      <c r="A1438" s="671">
        <f t="shared" ca="1" si="337"/>
        <v>8.0709999999999607</v>
      </c>
      <c r="B1438" s="651" t="s">
        <v>970</v>
      </c>
      <c r="C1438" s="646">
        <v>1</v>
      </c>
      <c r="D1438" s="646" t="s">
        <v>329</v>
      </c>
      <c r="E1438" s="649">
        <f>Elec_Est!E7247</f>
        <v>64</v>
      </c>
      <c r="F1438" s="1125">
        <f t="shared" si="338"/>
        <v>64</v>
      </c>
    </row>
    <row r="1439" spans="1:6" s="631" customFormat="1">
      <c r="A1439" s="671">
        <f t="shared" ca="1" si="337"/>
        <v>8.0719999999999601</v>
      </c>
      <c r="B1439" s="651" t="s">
        <v>971</v>
      </c>
      <c r="C1439" s="646">
        <v>1</v>
      </c>
      <c r="D1439" s="646" t="s">
        <v>329</v>
      </c>
      <c r="E1439" s="649">
        <f>Elec_Est!E7253</f>
        <v>64</v>
      </c>
      <c r="F1439" s="1125">
        <f t="shared" si="338"/>
        <v>64</v>
      </c>
    </row>
    <row r="1440" spans="1:6" s="631" customFormat="1">
      <c r="A1440" s="671">
        <f t="shared" ca="1" si="337"/>
        <v>8.0729999999999595</v>
      </c>
      <c r="B1440" s="651" t="s">
        <v>975</v>
      </c>
      <c r="C1440" s="646">
        <v>4</v>
      </c>
      <c r="D1440" s="646" t="s">
        <v>329</v>
      </c>
      <c r="E1440" s="649">
        <f>Elec_Est!E7259</f>
        <v>64</v>
      </c>
      <c r="F1440" s="1125">
        <f t="shared" si="338"/>
        <v>256</v>
      </c>
    </row>
    <row r="1441" spans="1:6" s="631" customFormat="1">
      <c r="A1441" s="709"/>
      <c r="B1441" s="711" t="s">
        <v>976</v>
      </c>
      <c r="C1441" s="708"/>
      <c r="D1441" s="708"/>
      <c r="E1441" s="649"/>
      <c r="F1441" s="1125"/>
    </row>
    <row r="1442" spans="1:6" s="631" customFormat="1">
      <c r="A1442" s="671">
        <f t="shared" ref="A1442:A1443" ca="1" si="339">IFERROR(IF(OFFSET(A1442,-1,0,1,1)&gt;0,OFFSET(A1442,-1,0,1,1)+0.001,ERROR.TYPE(0)),IFERROR(IF(OFFSET(A1442,-2,0,1,1)&gt;0,OFFSET(A1442,-2,0,1,1)+0.001,ERROR.TYPE(0)),IFERROR(IF(OFFSET(A1442,-3,0,1,1)&gt;0,OFFSET(A1442,-3,0,1,1)+0.001,ERROR.TYPE(0)),IFERROR(IF(OFFSET(A1442,-4,0,1,1)&gt;0,OFFSET(A1442,-4,0,1,1)+0.001,ERROR.TYPE(0)),IFERROR(IF(OFFSET(A1442,-5,0,1,1)&gt;0,OFFSET(A1442,-5,0,1,1)+0.001,ERROR.TYPE(0)),IFERROR(IF(OFFSET(A1442,-6,0,1,1)&gt;0,OFFSET(A1442,-6,0,1,1)+0.001,ERROR.TYPE(0)),IFERROR(IF(OFFSET(A1442,-7,0,1,1)&gt;0,OFFSET(A1442,-7,0,1,1)+0.001,ERROR.TYPE(0)),IFERROR(IF(OFFSET(A1442,-8,0,1,1)&gt;0,OFFSET(A1442,-8,0,1,1)+0.001,ERROR.TYPE(0)),IFERROR(IF(OFFSET(A1442,-9,0,1,1)&gt;0,OFFSET(A1442,-9,0,1,1)+0.001,ERROR.TYPE(0)),IFERROR(IF(OFFSET(A1442,-10,0,1,1)&gt;0,OFFSET(A1442,-10,0,1,1)+0.001,ERROR.TYPE(0)),ERROR.TYPE(0)))))))))))</f>
        <v>8.073999999999959</v>
      </c>
      <c r="B1442" s="678" t="s">
        <v>954</v>
      </c>
      <c r="C1442" s="646">
        <v>5</v>
      </c>
      <c r="D1442" s="646" t="s">
        <v>329</v>
      </c>
      <c r="E1442" s="649">
        <f>Elec_Est!E7269</f>
        <v>5.08</v>
      </c>
      <c r="F1442" s="1125">
        <f t="shared" ref="F1442" si="340">IFERROR($C1442*E1442,E1442)</f>
        <v>25.4</v>
      </c>
    </row>
    <row r="1443" spans="1:6" s="631" customFormat="1">
      <c r="A1443" s="671">
        <f t="shared" ca="1" si="339"/>
        <v>8.0749999999999584</v>
      </c>
      <c r="B1443" s="678" t="s">
        <v>978</v>
      </c>
      <c r="C1443" s="646">
        <v>4</v>
      </c>
      <c r="D1443" s="646" t="s">
        <v>329</v>
      </c>
      <c r="E1443" s="649">
        <f>Elec_Est!E7275</f>
        <v>16.25</v>
      </c>
      <c r="F1443" s="1125">
        <f t="shared" ref="F1443:F1445" si="341">IFERROR(C1443*E1443,E1443)</f>
        <v>65</v>
      </c>
    </row>
    <row r="1444" spans="1:6" s="631" customFormat="1">
      <c r="A1444" s="671">
        <f t="shared" ca="1" si="337"/>
        <v>8.0759999999999579</v>
      </c>
      <c r="B1444" s="651" t="s">
        <v>956</v>
      </c>
      <c r="C1444" s="646">
        <v>21</v>
      </c>
      <c r="D1444" s="646" t="s">
        <v>957</v>
      </c>
      <c r="E1444" s="649">
        <f>Elec_Est!E7281</f>
        <v>9.14</v>
      </c>
      <c r="F1444" s="1125">
        <f t="shared" si="341"/>
        <v>191.94</v>
      </c>
    </row>
    <row r="1445" spans="1:6" s="631" customFormat="1">
      <c r="A1445" s="671">
        <f t="shared" ca="1" si="337"/>
        <v>8.0769999999999573</v>
      </c>
      <c r="B1445" s="651" t="s">
        <v>958</v>
      </c>
      <c r="C1445" s="646">
        <v>21</v>
      </c>
      <c r="D1445" s="646" t="s">
        <v>957</v>
      </c>
      <c r="E1445" s="649">
        <f>Elec_Est!E7287</f>
        <v>3.05</v>
      </c>
      <c r="F1445" s="1125">
        <f t="shared" si="341"/>
        <v>64.05</v>
      </c>
    </row>
    <row r="1446" spans="1:6" s="631" customFormat="1">
      <c r="A1446" s="638"/>
      <c r="B1446" s="639" t="s">
        <v>993</v>
      </c>
      <c r="C1446" s="640"/>
      <c r="D1446" s="640"/>
      <c r="E1446" s="641"/>
      <c r="F1446" s="1123"/>
    </row>
    <row r="1447" spans="1:6" s="631" customFormat="1" ht="69">
      <c r="A1447" s="706"/>
      <c r="B1447" s="707" t="s">
        <v>991</v>
      </c>
      <c r="C1447" s="708"/>
      <c r="D1447" s="708"/>
      <c r="E1447" s="649"/>
      <c r="F1447" s="1125"/>
    </row>
    <row r="1448" spans="1:6" s="631" customFormat="1">
      <c r="A1448" s="671">
        <f t="shared" ref="A1448" ca="1" si="342">IFERROR(IF(OFFSET(A1448,-1,0,1,1)&gt;0,OFFSET(A1448,-1,0,1,1)+0.001,ERROR.TYPE(0)),IFERROR(IF(OFFSET(A1448,-2,0,1,1)&gt;0,OFFSET(A1448,-2,0,1,1)+0.001,ERROR.TYPE(0)),IFERROR(IF(OFFSET(A1448,-3,0,1,1)&gt;0,OFFSET(A1448,-3,0,1,1)+0.001,ERROR.TYPE(0)),IFERROR(IF(OFFSET(A1448,-4,0,1,1)&gt;0,OFFSET(A1448,-4,0,1,1)+0.001,ERROR.TYPE(0)),IFERROR(IF(OFFSET(A1448,-5,0,1,1)&gt;0,OFFSET(A1448,-5,0,1,1)+0.001,ERROR.TYPE(0)),IFERROR(IF(OFFSET(A1448,-6,0,1,1)&gt;0,OFFSET(A1448,-6,0,1,1)+0.001,ERROR.TYPE(0)),IFERROR(IF(OFFSET(A1448,-7,0,1,1)&gt;0,OFFSET(A1448,-7,0,1,1)+0.001,ERROR.TYPE(0)),IFERROR(IF(OFFSET(A1448,-8,0,1,1)&gt;0,OFFSET(A1448,-8,0,1,1)+0.001,ERROR.TYPE(0)),IFERROR(IF(OFFSET(A1448,-9,0,1,1)&gt;0,OFFSET(A1448,-9,0,1,1)+0.001,ERROR.TYPE(0)),IFERROR(IF(OFFSET(A1448,-10,0,1,1)&gt;0,OFFSET(A1448,-10,0,1,1)+0.001,ERROR.TYPE(0)),ERROR.TYPE(0)))))))))))</f>
        <v>8.0779999999999568</v>
      </c>
      <c r="B1448" s="651" t="s">
        <v>947</v>
      </c>
      <c r="C1448" s="646">
        <v>1</v>
      </c>
      <c r="D1448" s="646" t="s">
        <v>329</v>
      </c>
      <c r="E1448" s="649">
        <f ca="1">Elec_Est!E7301</f>
        <v>47.94</v>
      </c>
      <c r="F1448" s="1125">
        <f t="shared" ref="F1448" ca="1" si="343">IFERROR($C1448*E1448,E1448)</f>
        <v>47.94</v>
      </c>
    </row>
    <row r="1449" spans="1:6" s="631" customFormat="1" ht="55.2">
      <c r="A1449" s="709"/>
      <c r="B1449" s="707" t="s">
        <v>992</v>
      </c>
      <c r="C1449" s="708"/>
      <c r="D1449" s="708"/>
      <c r="E1449" s="710"/>
      <c r="F1449" s="1125"/>
    </row>
    <row r="1450" spans="1:6" s="631" customFormat="1">
      <c r="A1450" s="671">
        <f t="shared" ref="A1450:A1454" ca="1" si="344">IFERROR(IF(OFFSET(A1450,-1,0,1,1)&gt;0,OFFSET(A1450,-1,0,1,1)+0.001,ERROR.TYPE(0)),IFERROR(IF(OFFSET(A1450,-2,0,1,1)&gt;0,OFFSET(A1450,-2,0,1,1)+0.001,ERROR.TYPE(0)),IFERROR(IF(OFFSET(A1450,-3,0,1,1)&gt;0,OFFSET(A1450,-3,0,1,1)+0.001,ERROR.TYPE(0)),IFERROR(IF(OFFSET(A1450,-4,0,1,1)&gt;0,OFFSET(A1450,-4,0,1,1)+0.001,ERROR.TYPE(0)),IFERROR(IF(OFFSET(A1450,-5,0,1,1)&gt;0,OFFSET(A1450,-5,0,1,1)+0.001,ERROR.TYPE(0)),IFERROR(IF(OFFSET(A1450,-6,0,1,1)&gt;0,OFFSET(A1450,-6,0,1,1)+0.001,ERROR.TYPE(0)),IFERROR(IF(OFFSET(A1450,-7,0,1,1)&gt;0,OFFSET(A1450,-7,0,1,1)+0.001,ERROR.TYPE(0)),IFERROR(IF(OFFSET(A1450,-8,0,1,1)&gt;0,OFFSET(A1450,-8,0,1,1)+0.001,ERROR.TYPE(0)),IFERROR(IF(OFFSET(A1450,-9,0,1,1)&gt;0,OFFSET(A1450,-9,0,1,1)+0.001,ERROR.TYPE(0)),IFERROR(IF(OFFSET(A1450,-10,0,1,1)&gt;0,OFFSET(A1450,-10,0,1,1)+0.001,ERROR.TYPE(0)),ERROR.TYPE(0)))))))))))</f>
        <v>8.0789999999999562</v>
      </c>
      <c r="B1450" s="651" t="s">
        <v>949</v>
      </c>
      <c r="C1450" s="646">
        <v>1</v>
      </c>
      <c r="D1450" s="646" t="s">
        <v>329</v>
      </c>
      <c r="E1450" s="649">
        <f>Elec_Est!E7312</f>
        <v>64</v>
      </c>
      <c r="F1450" s="1125">
        <f t="shared" ref="F1450" si="345">IFERROR($C1450*E1450,E1450)</f>
        <v>64</v>
      </c>
    </row>
    <row r="1451" spans="1:6" s="631" customFormat="1">
      <c r="A1451" s="709"/>
      <c r="B1451" s="711" t="s">
        <v>976</v>
      </c>
      <c r="C1451" s="708"/>
      <c r="D1451" s="708"/>
      <c r="E1451" s="710"/>
      <c r="F1451" s="1125"/>
    </row>
    <row r="1452" spans="1:6" s="631" customFormat="1">
      <c r="A1452" s="671">
        <f t="shared" ref="A1452" ca="1" si="346">IFERROR(IF(OFFSET(A1452,-1,0,1,1)&gt;0,OFFSET(A1452,-1,0,1,1)+0.001,ERROR.TYPE(0)),IFERROR(IF(OFFSET(A1452,-2,0,1,1)&gt;0,OFFSET(A1452,-2,0,1,1)+0.001,ERROR.TYPE(0)),IFERROR(IF(OFFSET(A1452,-3,0,1,1)&gt;0,OFFSET(A1452,-3,0,1,1)+0.001,ERROR.TYPE(0)),IFERROR(IF(OFFSET(A1452,-4,0,1,1)&gt;0,OFFSET(A1452,-4,0,1,1)+0.001,ERROR.TYPE(0)),IFERROR(IF(OFFSET(A1452,-5,0,1,1)&gt;0,OFFSET(A1452,-5,0,1,1)+0.001,ERROR.TYPE(0)),IFERROR(IF(OFFSET(A1452,-6,0,1,1)&gt;0,OFFSET(A1452,-6,0,1,1)+0.001,ERROR.TYPE(0)),IFERROR(IF(OFFSET(A1452,-7,0,1,1)&gt;0,OFFSET(A1452,-7,0,1,1)+0.001,ERROR.TYPE(0)),IFERROR(IF(OFFSET(A1452,-8,0,1,1)&gt;0,OFFSET(A1452,-8,0,1,1)+0.001,ERROR.TYPE(0)),IFERROR(IF(OFFSET(A1452,-9,0,1,1)&gt;0,OFFSET(A1452,-9,0,1,1)+0.001,ERROR.TYPE(0)),IFERROR(IF(OFFSET(A1452,-10,0,1,1)&gt;0,OFFSET(A1452,-10,0,1,1)+0.001,ERROR.TYPE(0)),ERROR.TYPE(0)))))))))))</f>
        <v>8.0799999999999557</v>
      </c>
      <c r="B1452" s="678" t="s">
        <v>954</v>
      </c>
      <c r="C1452" s="646">
        <v>1</v>
      </c>
      <c r="D1452" s="646" t="s">
        <v>329</v>
      </c>
      <c r="E1452" s="649">
        <f>Elec_Est!E7322</f>
        <v>5.08</v>
      </c>
      <c r="F1452" s="1125">
        <f t="shared" ref="F1452" si="347">IFERROR($C1452*E1452,E1452)</f>
        <v>5.08</v>
      </c>
    </row>
    <row r="1453" spans="1:6" s="631" customFormat="1">
      <c r="A1453" s="671">
        <f t="shared" ca="1" si="344"/>
        <v>8.0809999999999551</v>
      </c>
      <c r="B1453" s="651" t="s">
        <v>956</v>
      </c>
      <c r="C1453" s="646">
        <v>1</v>
      </c>
      <c r="D1453" s="646" t="s">
        <v>957</v>
      </c>
      <c r="E1453" s="649">
        <f>Elec_Est!E7328</f>
        <v>9.14</v>
      </c>
      <c r="F1453" s="1125">
        <f t="shared" ref="F1453:F1454" si="348">IFERROR(C1453*E1453,E1453)</f>
        <v>9.14</v>
      </c>
    </row>
    <row r="1454" spans="1:6" s="631" customFormat="1">
      <c r="A1454" s="671">
        <f t="shared" ca="1" si="344"/>
        <v>8.0819999999999546</v>
      </c>
      <c r="B1454" s="651" t="s">
        <v>958</v>
      </c>
      <c r="C1454" s="646">
        <v>1</v>
      </c>
      <c r="D1454" s="646" t="s">
        <v>957</v>
      </c>
      <c r="E1454" s="649">
        <f>Elec_Est!E7334</f>
        <v>3.05</v>
      </c>
      <c r="F1454" s="1125">
        <f t="shared" si="348"/>
        <v>3.05</v>
      </c>
    </row>
    <row r="1455" spans="1:6" s="631" customFormat="1">
      <c r="A1455" s="638"/>
      <c r="B1455" s="639" t="s">
        <v>994</v>
      </c>
      <c r="C1455" s="640"/>
      <c r="D1455" s="640"/>
      <c r="E1455" s="649"/>
      <c r="F1455" s="1123"/>
    </row>
    <row r="1456" spans="1:6" s="631" customFormat="1">
      <c r="A1456" s="671">
        <f ca="1">IFERROR(IF(OFFSET(A1456,-1,0,1,1)&gt;0,OFFSET(A1456,-1,0,1,1)+0.001,ERROR.TYPE(0)),IFERROR(IF(OFFSET(A1456,-2,0,1,1)&gt;0,OFFSET(A1456,-2,0,1,1)+0.001,ERROR.TYPE(0)),IFERROR(IF(OFFSET(A1456,-3,0,1,1)&gt;0,OFFSET(A1456,-3,0,1,1)+0.001,ERROR.TYPE(0)),IFERROR(IF(OFFSET(A1456,-4,0,1,1)&gt;0,OFFSET(A1456,-4,0,1,1)+0.001,ERROR.TYPE(0)),IFERROR(IF(OFFSET(A1456,-5,0,1,1)&gt;0,OFFSET(A1456,-5,0,1,1)+0.001,ERROR.TYPE(0)),IFERROR(IF(OFFSET(A1456,-6,0,1,1)&gt;0,OFFSET(A1456,-6,0,1,1)+0.001,ERROR.TYPE(0)),IFERROR(IF(OFFSET(A1456,-7,0,1,1)&gt;0,OFFSET(A1456,-7,0,1,1)+0.001,ERROR.TYPE(0)),IFERROR(IF(OFFSET(A1456,-8,0,1,1)&gt;0,OFFSET(A1456,-8,0,1,1)+0.001,ERROR.TYPE(0)),IFERROR(IF(OFFSET(A1456,-9,0,1,1)&gt;0,OFFSET(A1456,-9,0,1,1)+0.001,ERROR.TYPE(0)),IFERROR(IF(OFFSET(A1456,-10,0,1,1)&gt;0,OFFSET(A1456,-10,0,1,1)+0.001,ERROR.TYPE(0)),ERROR.TYPE(0)))))))))))</f>
        <v>8.082999999999954</v>
      </c>
      <c r="B1456" s="678" t="s">
        <v>981</v>
      </c>
      <c r="C1456" s="646">
        <v>1</v>
      </c>
      <c r="D1456" s="646" t="s">
        <v>329</v>
      </c>
      <c r="E1456" s="649">
        <f>Elec_Est!E7344</f>
        <v>909.19</v>
      </c>
      <c r="F1456" s="1125">
        <f>IFERROR(C1456*E1456,E1456)</f>
        <v>909.19</v>
      </c>
    </row>
    <row r="1457" spans="1:6" s="631" customFormat="1">
      <c r="A1457" s="671">
        <f ca="1">IFERROR(IF(OFFSET(A1457,-1,0,1,1)&gt;0,OFFSET(A1457,-1,0,1,1)+0.001,ERROR.TYPE(0)),IFERROR(IF(OFFSET(A1457,-2,0,1,1)&gt;0,OFFSET(A1457,-2,0,1,1)+0.001,ERROR.TYPE(0)),IFERROR(IF(OFFSET(A1457,-3,0,1,1)&gt;0,OFFSET(A1457,-3,0,1,1)+0.001,ERROR.TYPE(0)),IFERROR(IF(OFFSET(A1457,-4,0,1,1)&gt;0,OFFSET(A1457,-4,0,1,1)+0.001,ERROR.TYPE(0)),IFERROR(IF(OFFSET(A1457,-5,0,1,1)&gt;0,OFFSET(A1457,-5,0,1,1)+0.001,ERROR.TYPE(0)),IFERROR(IF(OFFSET(A1457,-6,0,1,1)&gt;0,OFFSET(A1457,-6,0,1,1)+0.001,ERROR.TYPE(0)),IFERROR(IF(OFFSET(A1457,-7,0,1,1)&gt;0,OFFSET(A1457,-7,0,1,1)+0.001,ERROR.TYPE(0)),IFERROR(IF(OFFSET(A1457,-8,0,1,1)&gt;0,OFFSET(A1457,-8,0,1,1)+0.001,ERROR.TYPE(0)),IFERROR(IF(OFFSET(A1457,-9,0,1,1)&gt;0,OFFSET(A1457,-9,0,1,1)+0.001,ERROR.TYPE(0)),IFERROR(IF(OFFSET(A1457,-10,0,1,1)&gt;0,OFFSET(A1457,-10,0,1,1)+0.001,ERROR.TYPE(0)),ERROR.TYPE(0)))))))))))</f>
        <v>8.0839999999999534</v>
      </c>
      <c r="B1457" s="648" t="s">
        <v>962</v>
      </c>
      <c r="C1457" s="646">
        <v>1</v>
      </c>
      <c r="D1457" s="646" t="s">
        <v>329</v>
      </c>
      <c r="E1457" s="649">
        <f>Elec_Est!E7350</f>
        <v>91.43</v>
      </c>
      <c r="F1457" s="1125">
        <f>IFERROR(C1457*E1457,E1457)</f>
        <v>91.43</v>
      </c>
    </row>
    <row r="1458" spans="1:6" s="631" customFormat="1">
      <c r="A1458" s="671">
        <f t="shared" ref="A1458:A1460" ca="1" si="349">IFERROR(IF(OFFSET(A1458,-1,0,1,1)&gt;0,OFFSET(A1458,-1,0,1,1)+0.001,ERROR.TYPE(0)),IFERROR(IF(OFFSET(A1458,-2,0,1,1)&gt;0,OFFSET(A1458,-2,0,1,1)+0.001,ERROR.TYPE(0)),IFERROR(IF(OFFSET(A1458,-3,0,1,1)&gt;0,OFFSET(A1458,-3,0,1,1)+0.001,ERROR.TYPE(0)),IFERROR(IF(OFFSET(A1458,-4,0,1,1)&gt;0,OFFSET(A1458,-4,0,1,1)+0.001,ERROR.TYPE(0)),IFERROR(IF(OFFSET(A1458,-5,0,1,1)&gt;0,OFFSET(A1458,-5,0,1,1)+0.001,ERROR.TYPE(0)),IFERROR(IF(OFFSET(A1458,-6,0,1,1)&gt;0,OFFSET(A1458,-6,0,1,1)+0.001,ERROR.TYPE(0)),IFERROR(IF(OFFSET(A1458,-7,0,1,1)&gt;0,OFFSET(A1458,-7,0,1,1)+0.001,ERROR.TYPE(0)),IFERROR(IF(OFFSET(A1458,-8,0,1,1)&gt;0,OFFSET(A1458,-8,0,1,1)+0.001,ERROR.TYPE(0)),IFERROR(IF(OFFSET(A1458,-9,0,1,1)&gt;0,OFFSET(A1458,-9,0,1,1)+0.001,ERROR.TYPE(0)),IFERROR(IF(OFFSET(A1458,-10,0,1,1)&gt;0,OFFSET(A1458,-10,0,1,1)+0.001,ERROR.TYPE(0)),ERROR.TYPE(0)))))))))))</f>
        <v>8.0849999999999529</v>
      </c>
      <c r="B1458" s="651" t="s">
        <v>963</v>
      </c>
      <c r="C1458" s="646">
        <v>2</v>
      </c>
      <c r="D1458" s="646" t="s">
        <v>329</v>
      </c>
      <c r="E1458" s="649">
        <f>Elec_Est!E7356</f>
        <v>15.24</v>
      </c>
      <c r="F1458" s="1125">
        <f t="shared" ref="F1458:F1460" si="350">IFERROR(C1458*E1458,E1458)</f>
        <v>30.48</v>
      </c>
    </row>
    <row r="1459" spans="1:6" s="631" customFormat="1">
      <c r="A1459" s="671">
        <f t="shared" ca="1" si="349"/>
        <v>8.0859999999999523</v>
      </c>
      <c r="B1459" s="651" t="s">
        <v>964</v>
      </c>
      <c r="C1459" s="646">
        <v>4</v>
      </c>
      <c r="D1459" s="646" t="s">
        <v>329</v>
      </c>
      <c r="E1459" s="649">
        <f>Elec_Est!E7362</f>
        <v>40.630000000000003</v>
      </c>
      <c r="F1459" s="1125">
        <f t="shared" si="350"/>
        <v>162.52000000000001</v>
      </c>
    </row>
    <row r="1460" spans="1:6" s="631" customFormat="1">
      <c r="A1460" s="671">
        <f t="shared" ca="1" si="349"/>
        <v>8.0869999999999518</v>
      </c>
      <c r="B1460" s="651" t="s">
        <v>965</v>
      </c>
      <c r="C1460" s="646">
        <v>1</v>
      </c>
      <c r="D1460" s="646" t="s">
        <v>329</v>
      </c>
      <c r="E1460" s="649">
        <f>Elec_Est!E7368</f>
        <v>45.71</v>
      </c>
      <c r="F1460" s="1125">
        <f t="shared" si="350"/>
        <v>45.71</v>
      </c>
    </row>
    <row r="1461" spans="1:6" s="631" customFormat="1">
      <c r="A1461" s="638"/>
      <c r="B1461" s="639" t="s">
        <v>995</v>
      </c>
      <c r="C1461" s="1456" t="s">
        <v>305</v>
      </c>
      <c r="D1461" s="1457"/>
      <c r="E1461" s="652"/>
      <c r="F1461" s="1123">
        <f ca="1">SUM(F1433:F1460)</f>
        <v>2914.15</v>
      </c>
    </row>
    <row r="1462" spans="1:6" s="631" customFormat="1">
      <c r="A1462" s="660"/>
      <c r="B1462" s="629"/>
      <c r="C1462" s="661"/>
      <c r="D1462" s="661"/>
      <c r="E1462" s="662"/>
      <c r="F1462" s="1127"/>
    </row>
    <row r="1463" spans="1:6" s="631" customFormat="1">
      <c r="A1463" s="660"/>
      <c r="B1463" s="629"/>
      <c r="C1463" s="661"/>
      <c r="D1463" s="654"/>
      <c r="E1463" s="662"/>
      <c r="F1463" s="1127"/>
    </row>
    <row r="1464" spans="1:6" s="631" customFormat="1" ht="27.6">
      <c r="A1464" s="634" t="s">
        <v>143</v>
      </c>
      <c r="B1464" s="635" t="s">
        <v>198</v>
      </c>
      <c r="C1464" s="636" t="s">
        <v>199</v>
      </c>
      <c r="D1464" s="636" t="s">
        <v>200</v>
      </c>
      <c r="E1464" s="637" t="s">
        <v>294</v>
      </c>
      <c r="F1464" s="1122" t="s">
        <v>295</v>
      </c>
    </row>
    <row r="1465" spans="1:6" s="631" customFormat="1">
      <c r="A1465" s="638"/>
      <c r="B1465" s="639" t="s">
        <v>996</v>
      </c>
      <c r="C1465" s="640"/>
      <c r="D1465" s="640"/>
      <c r="E1465" s="641"/>
      <c r="F1465" s="1123"/>
    </row>
    <row r="1466" spans="1:6" s="631" customFormat="1" ht="69">
      <c r="A1466" s="706"/>
      <c r="B1466" s="707" t="s">
        <v>997</v>
      </c>
      <c r="C1466" s="708"/>
      <c r="D1466" s="708"/>
      <c r="E1466" s="649"/>
      <c r="F1466" s="1125"/>
    </row>
    <row r="1467" spans="1:6" s="631" customFormat="1">
      <c r="A1467" s="671">
        <f t="shared" ref="A1467" ca="1" si="351">IFERROR(IF(OFFSET(A1467,-1,0,1,1)&gt;0,OFFSET(A1467,-1,0,1,1)+0.001,ERROR.TYPE(0)),IFERROR(IF(OFFSET(A1467,-2,0,1,1)&gt;0,OFFSET(A1467,-2,0,1,1)+0.001,ERROR.TYPE(0)),IFERROR(IF(OFFSET(A1467,-3,0,1,1)&gt;0,OFFSET(A1467,-3,0,1,1)+0.001,ERROR.TYPE(0)),IFERROR(IF(OFFSET(A1467,-4,0,1,1)&gt;0,OFFSET(A1467,-4,0,1,1)+0.001,ERROR.TYPE(0)),IFERROR(IF(OFFSET(A1467,-5,0,1,1)&gt;0,OFFSET(A1467,-5,0,1,1)+0.001,ERROR.TYPE(0)),IFERROR(IF(OFFSET(A1467,-6,0,1,1)&gt;0,OFFSET(A1467,-6,0,1,1)+0.001,ERROR.TYPE(0)),IFERROR(IF(OFFSET(A1467,-7,0,1,1)&gt;0,OFFSET(A1467,-7,0,1,1)+0.001,ERROR.TYPE(0)),IFERROR(IF(OFFSET(A1467,-8,0,1,1)&gt;0,OFFSET(A1467,-8,0,1,1)+0.001,ERROR.TYPE(0)),IFERROR(IF(OFFSET(A1467,-9,0,1,1)&gt;0,OFFSET(A1467,-9,0,1,1)+0.001,ERROR.TYPE(0)),IFERROR(IF(OFFSET(A1467,-10,0,1,1)&gt;0,OFFSET(A1467,-10,0,1,1)+0.001,ERROR.TYPE(0)),ERROR.TYPE(0)))))))))))</f>
        <v>8.0879999999999512</v>
      </c>
      <c r="B1467" s="651" t="s">
        <v>947</v>
      </c>
      <c r="C1467" s="646">
        <v>81</v>
      </c>
      <c r="D1467" s="646" t="s">
        <v>329</v>
      </c>
      <c r="E1467" s="649">
        <f ca="1">Elec_Est!E7388</f>
        <v>47.94</v>
      </c>
      <c r="F1467" s="1125">
        <f t="shared" ref="F1467" ca="1" si="352">IFERROR($C1467*E1467,E1467)</f>
        <v>3883.14</v>
      </c>
    </row>
    <row r="1468" spans="1:6" s="631" customFormat="1" ht="55.2">
      <c r="A1468" s="709"/>
      <c r="B1468" s="707" t="s">
        <v>998</v>
      </c>
      <c r="C1468" s="708"/>
      <c r="D1468" s="708"/>
      <c r="E1468" s="710"/>
      <c r="F1468" s="1125"/>
    </row>
    <row r="1469" spans="1:6" s="631" customFormat="1">
      <c r="A1469" s="671">
        <f t="shared" ref="A1469:A1479" ca="1" si="353">IFERROR(IF(OFFSET(A1469,-1,0,1,1)&gt;0,OFFSET(A1469,-1,0,1,1)+0.001,ERROR.TYPE(0)),IFERROR(IF(OFFSET(A1469,-2,0,1,1)&gt;0,OFFSET(A1469,-2,0,1,1)+0.001,ERROR.TYPE(0)),IFERROR(IF(OFFSET(A1469,-3,0,1,1)&gt;0,OFFSET(A1469,-3,0,1,1)+0.001,ERROR.TYPE(0)),IFERROR(IF(OFFSET(A1469,-4,0,1,1)&gt;0,OFFSET(A1469,-4,0,1,1)+0.001,ERROR.TYPE(0)),IFERROR(IF(OFFSET(A1469,-5,0,1,1)&gt;0,OFFSET(A1469,-5,0,1,1)+0.001,ERROR.TYPE(0)),IFERROR(IF(OFFSET(A1469,-6,0,1,1)&gt;0,OFFSET(A1469,-6,0,1,1)+0.001,ERROR.TYPE(0)),IFERROR(IF(OFFSET(A1469,-7,0,1,1)&gt;0,OFFSET(A1469,-7,0,1,1)+0.001,ERROR.TYPE(0)),IFERROR(IF(OFFSET(A1469,-8,0,1,1)&gt;0,OFFSET(A1469,-8,0,1,1)+0.001,ERROR.TYPE(0)),IFERROR(IF(OFFSET(A1469,-9,0,1,1)&gt;0,OFFSET(A1469,-9,0,1,1)+0.001,ERROR.TYPE(0)),IFERROR(IF(OFFSET(A1469,-10,0,1,1)&gt;0,OFFSET(A1469,-10,0,1,1)+0.001,ERROR.TYPE(0)),ERROR.TYPE(0)))))))))))</f>
        <v>8.0889999999999507</v>
      </c>
      <c r="B1469" s="651" t="s">
        <v>949</v>
      </c>
      <c r="C1469" s="646">
        <v>8</v>
      </c>
      <c r="D1469" s="646" t="s">
        <v>329</v>
      </c>
      <c r="E1469" s="649">
        <f>Elec_Est!E7399</f>
        <v>64</v>
      </c>
      <c r="F1469" s="1125">
        <f t="shared" ref="F1469:F1473" si="354">IFERROR($C1469*E1469,E1469)</f>
        <v>512</v>
      </c>
    </row>
    <row r="1470" spans="1:6" s="631" customFormat="1">
      <c r="A1470" s="671">
        <f t="shared" ca="1" si="353"/>
        <v>8.0899999999999501</v>
      </c>
      <c r="B1470" s="651" t="s">
        <v>950</v>
      </c>
      <c r="C1470" s="646">
        <v>4</v>
      </c>
      <c r="D1470" s="646" t="s">
        <v>329</v>
      </c>
      <c r="E1470" s="649">
        <f>Elec_Est!E7405</f>
        <v>64</v>
      </c>
      <c r="F1470" s="1125">
        <f t="shared" si="354"/>
        <v>256</v>
      </c>
    </row>
    <row r="1471" spans="1:6" s="631" customFormat="1">
      <c r="A1471" s="671">
        <f t="shared" ca="1" si="353"/>
        <v>8.0909999999999496</v>
      </c>
      <c r="B1471" s="651" t="s">
        <v>970</v>
      </c>
      <c r="C1471" s="646">
        <v>3</v>
      </c>
      <c r="D1471" s="646" t="s">
        <v>329</v>
      </c>
      <c r="E1471" s="649">
        <f>Elec_Est!E7411</f>
        <v>64</v>
      </c>
      <c r="F1471" s="1125">
        <f t="shared" si="354"/>
        <v>192</v>
      </c>
    </row>
    <row r="1472" spans="1:6" s="631" customFormat="1">
      <c r="A1472" s="671">
        <f t="shared" ca="1" si="353"/>
        <v>8.091999999999949</v>
      </c>
      <c r="B1472" s="651" t="s">
        <v>973</v>
      </c>
      <c r="C1472" s="646">
        <v>4</v>
      </c>
      <c r="D1472" s="646" t="s">
        <v>329</v>
      </c>
      <c r="E1472" s="649">
        <f>Elec_Est!E7417</f>
        <v>64</v>
      </c>
      <c r="F1472" s="1125">
        <f t="shared" si="354"/>
        <v>256</v>
      </c>
    </row>
    <row r="1473" spans="1:6" s="631" customFormat="1">
      <c r="A1473" s="671">
        <f t="shared" ca="1" si="353"/>
        <v>8.0929999999999485</v>
      </c>
      <c r="B1473" s="651" t="s">
        <v>975</v>
      </c>
      <c r="C1473" s="646">
        <v>31</v>
      </c>
      <c r="D1473" s="646" t="s">
        <v>329</v>
      </c>
      <c r="E1473" s="649">
        <f>Elec_Est!E7423</f>
        <v>64</v>
      </c>
      <c r="F1473" s="1125">
        <f t="shared" si="354"/>
        <v>1984</v>
      </c>
    </row>
    <row r="1474" spans="1:6" s="631" customFormat="1">
      <c r="A1474" s="709"/>
      <c r="B1474" s="711" t="s">
        <v>976</v>
      </c>
      <c r="C1474" s="708"/>
      <c r="D1474" s="708"/>
      <c r="E1474" s="649"/>
      <c r="F1474" s="1125"/>
    </row>
    <row r="1475" spans="1:6" s="631" customFormat="1">
      <c r="A1475" s="671">
        <f t="shared" ref="A1475:A1477" ca="1" si="355">IFERROR(IF(OFFSET(A1475,-1,0,1,1)&gt;0,OFFSET(A1475,-1,0,1,1)+0.001,ERROR.TYPE(0)),IFERROR(IF(OFFSET(A1475,-2,0,1,1)&gt;0,OFFSET(A1475,-2,0,1,1)+0.001,ERROR.TYPE(0)),IFERROR(IF(OFFSET(A1475,-3,0,1,1)&gt;0,OFFSET(A1475,-3,0,1,1)+0.001,ERROR.TYPE(0)),IFERROR(IF(OFFSET(A1475,-4,0,1,1)&gt;0,OFFSET(A1475,-4,0,1,1)+0.001,ERROR.TYPE(0)),IFERROR(IF(OFFSET(A1475,-5,0,1,1)&gt;0,OFFSET(A1475,-5,0,1,1)+0.001,ERROR.TYPE(0)),IFERROR(IF(OFFSET(A1475,-6,0,1,1)&gt;0,OFFSET(A1475,-6,0,1,1)+0.001,ERROR.TYPE(0)),IFERROR(IF(OFFSET(A1475,-7,0,1,1)&gt;0,OFFSET(A1475,-7,0,1,1)+0.001,ERROR.TYPE(0)),IFERROR(IF(OFFSET(A1475,-8,0,1,1)&gt;0,OFFSET(A1475,-8,0,1,1)+0.001,ERROR.TYPE(0)),IFERROR(IF(OFFSET(A1475,-9,0,1,1)&gt;0,OFFSET(A1475,-9,0,1,1)+0.001,ERROR.TYPE(0)),IFERROR(IF(OFFSET(A1475,-10,0,1,1)&gt;0,OFFSET(A1475,-10,0,1,1)+0.001,ERROR.TYPE(0)),ERROR.TYPE(0)))))))))))</f>
        <v>8.0939999999999479</v>
      </c>
      <c r="B1475" s="678" t="s">
        <v>954</v>
      </c>
      <c r="C1475" s="646">
        <v>15</v>
      </c>
      <c r="D1475" s="646" t="s">
        <v>329</v>
      </c>
      <c r="E1475" s="649">
        <f>Elec_Est!E7433</f>
        <v>5.08</v>
      </c>
      <c r="F1475" s="1125">
        <f t="shared" ref="F1475" si="356">IFERROR($C1475*E1475,E1475)</f>
        <v>76.2</v>
      </c>
    </row>
    <row r="1476" spans="1:6" s="631" customFormat="1">
      <c r="A1476" s="671">
        <f t="shared" ca="1" si="355"/>
        <v>8.0949999999999473</v>
      </c>
      <c r="B1476" s="678" t="s">
        <v>955</v>
      </c>
      <c r="C1476" s="646">
        <v>4</v>
      </c>
      <c r="D1476" s="646" t="s">
        <v>329</v>
      </c>
      <c r="E1476" s="649">
        <f>Elec_Est!E7439</f>
        <v>8.6300000000000008</v>
      </c>
      <c r="F1476" s="1125">
        <f t="shared" ref="F1476:F1479" si="357">IFERROR(C1476*E1476,E1476)</f>
        <v>34.520000000000003</v>
      </c>
    </row>
    <row r="1477" spans="1:6" s="631" customFormat="1">
      <c r="A1477" s="671">
        <f t="shared" ca="1" si="355"/>
        <v>8.0959999999999468</v>
      </c>
      <c r="B1477" s="678" t="s">
        <v>978</v>
      </c>
      <c r="C1477" s="646">
        <v>31</v>
      </c>
      <c r="D1477" s="646" t="s">
        <v>329</v>
      </c>
      <c r="E1477" s="649">
        <f>Elec_Est!E7445</f>
        <v>16.25</v>
      </c>
      <c r="F1477" s="1125">
        <f t="shared" si="357"/>
        <v>503.75</v>
      </c>
    </row>
    <row r="1478" spans="1:6" s="631" customFormat="1">
      <c r="A1478" s="671">
        <f t="shared" ca="1" si="353"/>
        <v>8.0969999999999462</v>
      </c>
      <c r="B1478" s="651" t="s">
        <v>956</v>
      </c>
      <c r="C1478" s="646">
        <v>147</v>
      </c>
      <c r="D1478" s="646" t="s">
        <v>957</v>
      </c>
      <c r="E1478" s="649">
        <f>Elec_Est!E7451</f>
        <v>9.14</v>
      </c>
      <c r="F1478" s="1125">
        <f t="shared" si="357"/>
        <v>1343.5800000000002</v>
      </c>
    </row>
    <row r="1479" spans="1:6" s="631" customFormat="1">
      <c r="A1479" s="671">
        <f t="shared" ca="1" si="353"/>
        <v>8.0979999999999457</v>
      </c>
      <c r="B1479" s="651" t="s">
        <v>958</v>
      </c>
      <c r="C1479" s="646">
        <v>147</v>
      </c>
      <c r="D1479" s="646" t="s">
        <v>957</v>
      </c>
      <c r="E1479" s="649">
        <f>Elec_Est!E7457</f>
        <v>3.05</v>
      </c>
      <c r="F1479" s="1125">
        <f t="shared" si="357"/>
        <v>448.34999999999997</v>
      </c>
    </row>
    <row r="1480" spans="1:6" s="631" customFormat="1">
      <c r="A1480" s="638"/>
      <c r="B1480" s="639" t="s">
        <v>999</v>
      </c>
      <c r="C1480" s="640"/>
      <c r="D1480" s="640"/>
      <c r="E1480" s="649"/>
      <c r="F1480" s="1123"/>
    </row>
    <row r="1481" spans="1:6" s="631" customFormat="1">
      <c r="A1481" s="671">
        <f ca="1">IFERROR(IF(OFFSET(A1481,-1,0,1,1)&gt;0,OFFSET(A1481,-1,0,1,1)+0.001,ERROR.TYPE(0)),IFERROR(IF(OFFSET(A1481,-2,0,1,1)&gt;0,OFFSET(A1481,-2,0,1,1)+0.001,ERROR.TYPE(0)),IFERROR(IF(OFFSET(A1481,-3,0,1,1)&gt;0,OFFSET(A1481,-3,0,1,1)+0.001,ERROR.TYPE(0)),IFERROR(IF(OFFSET(A1481,-4,0,1,1)&gt;0,OFFSET(A1481,-4,0,1,1)+0.001,ERROR.TYPE(0)),IFERROR(IF(OFFSET(A1481,-5,0,1,1)&gt;0,OFFSET(A1481,-5,0,1,1)+0.001,ERROR.TYPE(0)),IFERROR(IF(OFFSET(A1481,-6,0,1,1)&gt;0,OFFSET(A1481,-6,0,1,1)+0.001,ERROR.TYPE(0)),IFERROR(IF(OFFSET(A1481,-7,0,1,1)&gt;0,OFFSET(A1481,-7,0,1,1)+0.001,ERROR.TYPE(0)),IFERROR(IF(OFFSET(A1481,-8,0,1,1)&gt;0,OFFSET(A1481,-8,0,1,1)+0.001,ERROR.TYPE(0)),IFERROR(IF(OFFSET(A1481,-9,0,1,1)&gt;0,OFFSET(A1481,-9,0,1,1)+0.001,ERROR.TYPE(0)),IFERROR(IF(OFFSET(A1481,-10,0,1,1)&gt;0,OFFSET(A1481,-10,0,1,1)+0.001,ERROR.TYPE(0)),ERROR.TYPE(0)))))))))))</f>
        <v>8.0989999999999451</v>
      </c>
      <c r="B1481" s="678" t="s">
        <v>981</v>
      </c>
      <c r="C1481" s="646">
        <v>1</v>
      </c>
      <c r="D1481" s="646" t="s">
        <v>329</v>
      </c>
      <c r="E1481" s="649">
        <f>Elec_Est!E7467</f>
        <v>959.7</v>
      </c>
      <c r="F1481" s="1125">
        <f>IFERROR(C1481*E1481,E1481)</f>
        <v>959.7</v>
      </c>
    </row>
    <row r="1482" spans="1:6" s="631" customFormat="1">
      <c r="A1482" s="671">
        <f ca="1">IFERROR(IF(OFFSET(A1482,-1,0,1,1)&gt;0,OFFSET(A1482,-1,0,1,1)+0.001,ERROR.TYPE(0)),IFERROR(IF(OFFSET(A1482,-2,0,1,1)&gt;0,OFFSET(A1482,-2,0,1,1)+0.001,ERROR.TYPE(0)),IFERROR(IF(OFFSET(A1482,-3,0,1,1)&gt;0,OFFSET(A1482,-3,0,1,1)+0.001,ERROR.TYPE(0)),IFERROR(IF(OFFSET(A1482,-4,0,1,1)&gt;0,OFFSET(A1482,-4,0,1,1)+0.001,ERROR.TYPE(0)),IFERROR(IF(OFFSET(A1482,-5,0,1,1)&gt;0,OFFSET(A1482,-5,0,1,1)+0.001,ERROR.TYPE(0)),IFERROR(IF(OFFSET(A1482,-6,0,1,1)&gt;0,OFFSET(A1482,-6,0,1,1)+0.001,ERROR.TYPE(0)),IFERROR(IF(OFFSET(A1482,-7,0,1,1)&gt;0,OFFSET(A1482,-7,0,1,1)+0.001,ERROR.TYPE(0)),IFERROR(IF(OFFSET(A1482,-8,0,1,1)&gt;0,OFFSET(A1482,-8,0,1,1)+0.001,ERROR.TYPE(0)),IFERROR(IF(OFFSET(A1482,-9,0,1,1)&gt;0,OFFSET(A1482,-9,0,1,1)+0.001,ERROR.TYPE(0)),IFERROR(IF(OFFSET(A1482,-10,0,1,1)&gt;0,OFFSET(A1482,-10,0,1,1)+0.001,ERROR.TYPE(0)),ERROR.TYPE(0)))))))))))</f>
        <v>8.0999999999999446</v>
      </c>
      <c r="B1482" s="648" t="s">
        <v>962</v>
      </c>
      <c r="C1482" s="646">
        <v>7</v>
      </c>
      <c r="D1482" s="646" t="s">
        <v>329</v>
      </c>
      <c r="E1482" s="649">
        <f>Elec_Est!E7473</f>
        <v>96.51</v>
      </c>
      <c r="F1482" s="1125">
        <f>IFERROR(C1482*E1482,E1482)</f>
        <v>675.57</v>
      </c>
    </row>
    <row r="1483" spans="1:6" s="631" customFormat="1">
      <c r="A1483" s="671">
        <f t="shared" ref="A1483:A1485" ca="1" si="358">IFERROR(IF(OFFSET(A1483,-1,0,1,1)&gt;0,OFFSET(A1483,-1,0,1,1)+0.001,ERROR.TYPE(0)),IFERROR(IF(OFFSET(A1483,-2,0,1,1)&gt;0,OFFSET(A1483,-2,0,1,1)+0.001,ERROR.TYPE(0)),IFERROR(IF(OFFSET(A1483,-3,0,1,1)&gt;0,OFFSET(A1483,-3,0,1,1)+0.001,ERROR.TYPE(0)),IFERROR(IF(OFFSET(A1483,-4,0,1,1)&gt;0,OFFSET(A1483,-4,0,1,1)+0.001,ERROR.TYPE(0)),IFERROR(IF(OFFSET(A1483,-5,0,1,1)&gt;0,OFFSET(A1483,-5,0,1,1)+0.001,ERROR.TYPE(0)),IFERROR(IF(OFFSET(A1483,-6,0,1,1)&gt;0,OFFSET(A1483,-6,0,1,1)+0.001,ERROR.TYPE(0)),IFERROR(IF(OFFSET(A1483,-7,0,1,1)&gt;0,OFFSET(A1483,-7,0,1,1)+0.001,ERROR.TYPE(0)),IFERROR(IF(OFFSET(A1483,-8,0,1,1)&gt;0,OFFSET(A1483,-8,0,1,1)+0.001,ERROR.TYPE(0)),IFERROR(IF(OFFSET(A1483,-9,0,1,1)&gt;0,OFFSET(A1483,-9,0,1,1)+0.001,ERROR.TYPE(0)),IFERROR(IF(OFFSET(A1483,-10,0,1,1)&gt;0,OFFSET(A1483,-10,0,1,1)+0.001,ERROR.TYPE(0)),ERROR.TYPE(0)))))))))))</f>
        <v>8.100999999999944</v>
      </c>
      <c r="B1483" s="651" t="s">
        <v>963</v>
      </c>
      <c r="C1483" s="646">
        <v>7</v>
      </c>
      <c r="D1483" s="646" t="s">
        <v>329</v>
      </c>
      <c r="E1483" s="649">
        <f>Elec_Est!E7479</f>
        <v>16.079999999999998</v>
      </c>
      <c r="F1483" s="1125">
        <f t="shared" ref="F1483:F1485" si="359">IFERROR(C1483*E1483,E1483)</f>
        <v>112.55999999999999</v>
      </c>
    </row>
    <row r="1484" spans="1:6" s="631" customFormat="1">
      <c r="A1484" s="671">
        <f t="shared" ca="1" si="358"/>
        <v>8.1019999999999435</v>
      </c>
      <c r="B1484" s="651" t="s">
        <v>964</v>
      </c>
      <c r="C1484" s="646">
        <v>4</v>
      </c>
      <c r="D1484" s="646" t="s">
        <v>329</v>
      </c>
      <c r="E1484" s="649">
        <f>Elec_Est!E7485</f>
        <v>42.89</v>
      </c>
      <c r="F1484" s="1125">
        <f t="shared" si="359"/>
        <v>171.56</v>
      </c>
    </row>
    <row r="1485" spans="1:6" s="631" customFormat="1">
      <c r="A1485" s="671">
        <f t="shared" ca="1" si="358"/>
        <v>8.1029999999999429</v>
      </c>
      <c r="B1485" s="651" t="s">
        <v>965</v>
      </c>
      <c r="C1485" s="646">
        <v>1</v>
      </c>
      <c r="D1485" s="646" t="s">
        <v>329</v>
      </c>
      <c r="E1485" s="649">
        <f>Elec_Est!E7491</f>
        <v>48.25</v>
      </c>
      <c r="F1485" s="1125">
        <f t="shared" si="359"/>
        <v>48.25</v>
      </c>
    </row>
    <row r="1486" spans="1:6" s="631" customFormat="1">
      <c r="A1486" s="638"/>
      <c r="B1486" s="639" t="s">
        <v>1000</v>
      </c>
      <c r="C1486" s="640"/>
      <c r="D1486" s="640"/>
      <c r="E1486" s="641"/>
      <c r="F1486" s="1123"/>
    </row>
    <row r="1487" spans="1:6" s="631" customFormat="1" ht="69">
      <c r="A1487" s="706"/>
      <c r="B1487" s="707" t="s">
        <v>1001</v>
      </c>
      <c r="C1487" s="708"/>
      <c r="D1487" s="708"/>
      <c r="E1487" s="649"/>
      <c r="F1487" s="1125"/>
    </row>
    <row r="1488" spans="1:6" s="631" customFormat="1">
      <c r="A1488" s="671">
        <f t="shared" ref="A1488" ca="1" si="360">IFERROR(IF(OFFSET(A1488,-1,0,1,1)&gt;0,OFFSET(A1488,-1,0,1,1)+0.001,ERROR.TYPE(0)),IFERROR(IF(OFFSET(A1488,-2,0,1,1)&gt;0,OFFSET(A1488,-2,0,1,1)+0.001,ERROR.TYPE(0)),IFERROR(IF(OFFSET(A1488,-3,0,1,1)&gt;0,OFFSET(A1488,-3,0,1,1)+0.001,ERROR.TYPE(0)),IFERROR(IF(OFFSET(A1488,-4,0,1,1)&gt;0,OFFSET(A1488,-4,0,1,1)+0.001,ERROR.TYPE(0)),IFERROR(IF(OFFSET(A1488,-5,0,1,1)&gt;0,OFFSET(A1488,-5,0,1,1)+0.001,ERROR.TYPE(0)),IFERROR(IF(OFFSET(A1488,-6,0,1,1)&gt;0,OFFSET(A1488,-6,0,1,1)+0.001,ERROR.TYPE(0)),IFERROR(IF(OFFSET(A1488,-7,0,1,1)&gt;0,OFFSET(A1488,-7,0,1,1)+0.001,ERROR.TYPE(0)),IFERROR(IF(OFFSET(A1488,-8,0,1,1)&gt;0,OFFSET(A1488,-8,0,1,1)+0.001,ERROR.TYPE(0)),IFERROR(IF(OFFSET(A1488,-9,0,1,1)&gt;0,OFFSET(A1488,-9,0,1,1)+0.001,ERROR.TYPE(0)),IFERROR(IF(OFFSET(A1488,-10,0,1,1)&gt;0,OFFSET(A1488,-10,0,1,1)+0.001,ERROR.TYPE(0)),ERROR.TYPE(0)))))))))))</f>
        <v>8.1039999999999424</v>
      </c>
      <c r="B1488" s="651" t="s">
        <v>947</v>
      </c>
      <c r="C1488" s="646">
        <v>32</v>
      </c>
      <c r="D1488" s="646" t="s">
        <v>329</v>
      </c>
      <c r="E1488" s="649">
        <f ca="1">Elec_Est!E7505</f>
        <v>47.94</v>
      </c>
      <c r="F1488" s="1125">
        <f t="shared" ref="F1488" ca="1" si="361">IFERROR($C1488*E1488,E1488)</f>
        <v>1534.08</v>
      </c>
    </row>
    <row r="1489" spans="1:6" s="631" customFormat="1" ht="55.2">
      <c r="A1489" s="709"/>
      <c r="B1489" s="707" t="s">
        <v>1002</v>
      </c>
      <c r="C1489" s="708"/>
      <c r="D1489" s="708"/>
      <c r="E1489" s="649"/>
      <c r="F1489" s="1125"/>
    </row>
    <row r="1490" spans="1:6" s="631" customFormat="1">
      <c r="A1490" s="671">
        <f t="shared" ref="A1490:A1501" ca="1" si="362">IFERROR(IF(OFFSET(A1490,-1,0,1,1)&gt;0,OFFSET(A1490,-1,0,1,1)+0.001,ERROR.TYPE(0)),IFERROR(IF(OFFSET(A1490,-2,0,1,1)&gt;0,OFFSET(A1490,-2,0,1,1)+0.001,ERROR.TYPE(0)),IFERROR(IF(OFFSET(A1490,-3,0,1,1)&gt;0,OFFSET(A1490,-3,0,1,1)+0.001,ERROR.TYPE(0)),IFERROR(IF(OFFSET(A1490,-4,0,1,1)&gt;0,OFFSET(A1490,-4,0,1,1)+0.001,ERROR.TYPE(0)),IFERROR(IF(OFFSET(A1490,-5,0,1,1)&gt;0,OFFSET(A1490,-5,0,1,1)+0.001,ERROR.TYPE(0)),IFERROR(IF(OFFSET(A1490,-6,0,1,1)&gt;0,OFFSET(A1490,-6,0,1,1)+0.001,ERROR.TYPE(0)),IFERROR(IF(OFFSET(A1490,-7,0,1,1)&gt;0,OFFSET(A1490,-7,0,1,1)+0.001,ERROR.TYPE(0)),IFERROR(IF(OFFSET(A1490,-8,0,1,1)&gt;0,OFFSET(A1490,-8,0,1,1)+0.001,ERROR.TYPE(0)),IFERROR(IF(OFFSET(A1490,-9,0,1,1)&gt;0,OFFSET(A1490,-9,0,1,1)+0.001,ERROR.TYPE(0)),IFERROR(IF(OFFSET(A1490,-10,0,1,1)&gt;0,OFFSET(A1490,-10,0,1,1)+0.001,ERROR.TYPE(0)),ERROR.TYPE(0)))))))))))</f>
        <v>8.1049999999999418</v>
      </c>
      <c r="B1490" s="651" t="s">
        <v>949</v>
      </c>
      <c r="C1490" s="646">
        <v>5</v>
      </c>
      <c r="D1490" s="646" t="s">
        <v>329</v>
      </c>
      <c r="E1490" s="649">
        <f>Elec_Est!E7516</f>
        <v>64</v>
      </c>
      <c r="F1490" s="1125">
        <f t="shared" ref="F1490:F1495" si="363">IFERROR($C1490*E1490,E1490)</f>
        <v>320</v>
      </c>
    </row>
    <row r="1491" spans="1:6" s="631" customFormat="1">
      <c r="A1491" s="671">
        <f t="shared" ca="1" si="362"/>
        <v>8.1059999999999413</v>
      </c>
      <c r="B1491" s="651" t="s">
        <v>950</v>
      </c>
      <c r="C1491" s="646">
        <v>3</v>
      </c>
      <c r="D1491" s="646" t="s">
        <v>329</v>
      </c>
      <c r="E1491" s="649">
        <f>Elec_Est!E7522</f>
        <v>64</v>
      </c>
      <c r="F1491" s="1125">
        <f t="shared" si="363"/>
        <v>192</v>
      </c>
    </row>
    <row r="1492" spans="1:6" s="631" customFormat="1">
      <c r="A1492" s="671">
        <f t="shared" ca="1" si="362"/>
        <v>8.1069999999999407</v>
      </c>
      <c r="B1492" s="651" t="s">
        <v>970</v>
      </c>
      <c r="C1492" s="646">
        <v>1</v>
      </c>
      <c r="D1492" s="646" t="s">
        <v>329</v>
      </c>
      <c r="E1492" s="649">
        <f>Elec_Est!E7528</f>
        <v>64</v>
      </c>
      <c r="F1492" s="1125">
        <f t="shared" si="363"/>
        <v>64</v>
      </c>
    </row>
    <row r="1493" spans="1:6" s="631" customFormat="1">
      <c r="A1493" s="671">
        <f t="shared" ca="1" si="362"/>
        <v>8.1079999999999401</v>
      </c>
      <c r="B1493" s="651" t="s">
        <v>972</v>
      </c>
      <c r="C1493" s="646">
        <v>2</v>
      </c>
      <c r="D1493" s="646" t="s">
        <v>329</v>
      </c>
      <c r="E1493" s="649">
        <f>Elec_Est!E7534</f>
        <v>64</v>
      </c>
      <c r="F1493" s="1125">
        <f t="shared" si="363"/>
        <v>128</v>
      </c>
    </row>
    <row r="1494" spans="1:6" s="631" customFormat="1">
      <c r="A1494" s="671">
        <f t="shared" ca="1" si="362"/>
        <v>8.1089999999999396</v>
      </c>
      <c r="B1494" s="651" t="s">
        <v>973</v>
      </c>
      <c r="C1494" s="646">
        <v>7</v>
      </c>
      <c r="D1494" s="646" t="s">
        <v>329</v>
      </c>
      <c r="E1494" s="649">
        <f>Elec_Est!E7540</f>
        <v>64</v>
      </c>
      <c r="F1494" s="1125">
        <f t="shared" si="363"/>
        <v>448</v>
      </c>
    </row>
    <row r="1495" spans="1:6" s="631" customFormat="1">
      <c r="A1495" s="671">
        <f t="shared" ca="1" si="362"/>
        <v>8.109999999999939</v>
      </c>
      <c r="B1495" s="651" t="s">
        <v>975</v>
      </c>
      <c r="C1495" s="646">
        <v>7</v>
      </c>
      <c r="D1495" s="646" t="s">
        <v>329</v>
      </c>
      <c r="E1495" s="649">
        <f>Elec_Est!E7546</f>
        <v>64</v>
      </c>
      <c r="F1495" s="1125">
        <f t="shared" si="363"/>
        <v>448</v>
      </c>
    </row>
    <row r="1496" spans="1:6" s="631" customFormat="1">
      <c r="A1496" s="709"/>
      <c r="B1496" s="711" t="s">
        <v>976</v>
      </c>
      <c r="C1496" s="708"/>
      <c r="D1496" s="708"/>
      <c r="E1496" s="649"/>
      <c r="F1496" s="1125"/>
    </row>
    <row r="1497" spans="1:6" s="631" customFormat="1">
      <c r="A1497" s="671">
        <f t="shared" ref="A1497:A1499" ca="1" si="364">IFERROR(IF(OFFSET(A1497,-1,0,1,1)&gt;0,OFFSET(A1497,-1,0,1,1)+0.001,ERROR.TYPE(0)),IFERROR(IF(OFFSET(A1497,-2,0,1,1)&gt;0,OFFSET(A1497,-2,0,1,1)+0.001,ERROR.TYPE(0)),IFERROR(IF(OFFSET(A1497,-3,0,1,1)&gt;0,OFFSET(A1497,-3,0,1,1)+0.001,ERROR.TYPE(0)),IFERROR(IF(OFFSET(A1497,-4,0,1,1)&gt;0,OFFSET(A1497,-4,0,1,1)+0.001,ERROR.TYPE(0)),IFERROR(IF(OFFSET(A1497,-5,0,1,1)&gt;0,OFFSET(A1497,-5,0,1,1)+0.001,ERROR.TYPE(0)),IFERROR(IF(OFFSET(A1497,-6,0,1,1)&gt;0,OFFSET(A1497,-6,0,1,1)+0.001,ERROR.TYPE(0)),IFERROR(IF(OFFSET(A1497,-7,0,1,1)&gt;0,OFFSET(A1497,-7,0,1,1)+0.001,ERROR.TYPE(0)),IFERROR(IF(OFFSET(A1497,-8,0,1,1)&gt;0,OFFSET(A1497,-8,0,1,1)+0.001,ERROR.TYPE(0)),IFERROR(IF(OFFSET(A1497,-9,0,1,1)&gt;0,OFFSET(A1497,-9,0,1,1)+0.001,ERROR.TYPE(0)),IFERROR(IF(OFFSET(A1497,-10,0,1,1)&gt;0,OFFSET(A1497,-10,0,1,1)+0.001,ERROR.TYPE(0)),ERROR.TYPE(0)))))))))))</f>
        <v>8.1109999999999385</v>
      </c>
      <c r="B1497" s="678" t="s">
        <v>954</v>
      </c>
      <c r="C1497" s="646">
        <v>11</v>
      </c>
      <c r="D1497" s="646" t="s">
        <v>329</v>
      </c>
      <c r="E1497" s="649">
        <f>Elec_Est!E7556</f>
        <v>5.08</v>
      </c>
      <c r="F1497" s="1125">
        <f t="shared" ref="F1497" si="365">IFERROR($C1497*E1497,E1497)</f>
        <v>55.88</v>
      </c>
    </row>
    <row r="1498" spans="1:6" s="631" customFormat="1">
      <c r="A1498" s="671">
        <f t="shared" ca="1" si="364"/>
        <v>8.1119999999999379</v>
      </c>
      <c r="B1498" s="678" t="s">
        <v>955</v>
      </c>
      <c r="C1498" s="646">
        <v>7</v>
      </c>
      <c r="D1498" s="646" t="s">
        <v>329</v>
      </c>
      <c r="E1498" s="649">
        <f>Elec_Est!E7562</f>
        <v>8.6300000000000008</v>
      </c>
      <c r="F1498" s="1125">
        <f t="shared" ref="F1498:F1501" si="366">IFERROR(C1498*E1498,E1498)</f>
        <v>60.410000000000004</v>
      </c>
    </row>
    <row r="1499" spans="1:6" s="631" customFormat="1">
      <c r="A1499" s="671">
        <f t="shared" ca="1" si="364"/>
        <v>8.1129999999999374</v>
      </c>
      <c r="B1499" s="678" t="s">
        <v>978</v>
      </c>
      <c r="C1499" s="646">
        <v>7</v>
      </c>
      <c r="D1499" s="646" t="s">
        <v>329</v>
      </c>
      <c r="E1499" s="649">
        <f>Elec_Est!E7568</f>
        <v>16.25</v>
      </c>
      <c r="F1499" s="1125">
        <f t="shared" si="366"/>
        <v>113.75</v>
      </c>
    </row>
    <row r="1500" spans="1:6" s="631" customFormat="1">
      <c r="A1500" s="671">
        <f t="shared" ca="1" si="362"/>
        <v>8.1139999999999368</v>
      </c>
      <c r="B1500" s="651" t="s">
        <v>956</v>
      </c>
      <c r="C1500" s="646">
        <v>53</v>
      </c>
      <c r="D1500" s="646" t="s">
        <v>957</v>
      </c>
      <c r="E1500" s="649">
        <f>Elec_Est!E7574</f>
        <v>9.14</v>
      </c>
      <c r="F1500" s="1125">
        <f t="shared" si="366"/>
        <v>484.42</v>
      </c>
    </row>
    <row r="1501" spans="1:6" s="631" customFormat="1">
      <c r="A1501" s="671">
        <f t="shared" ca="1" si="362"/>
        <v>8.1149999999999363</v>
      </c>
      <c r="B1501" s="651" t="s">
        <v>958</v>
      </c>
      <c r="C1501" s="646">
        <v>53</v>
      </c>
      <c r="D1501" s="646" t="s">
        <v>957</v>
      </c>
      <c r="E1501" s="649">
        <f>Elec_Est!E7580</f>
        <v>3.05</v>
      </c>
      <c r="F1501" s="1125">
        <f t="shared" si="366"/>
        <v>161.64999999999998</v>
      </c>
    </row>
    <row r="1502" spans="1:6" s="631" customFormat="1">
      <c r="A1502" s="638"/>
      <c r="B1502" s="639" t="s">
        <v>1003</v>
      </c>
      <c r="C1502" s="640"/>
      <c r="D1502" s="640"/>
      <c r="E1502" s="649"/>
      <c r="F1502" s="1123"/>
    </row>
    <row r="1503" spans="1:6" s="631" customFormat="1" ht="27.6">
      <c r="A1503" s="671">
        <f ca="1">IFERROR(IF(OFFSET(A1503,-1,0,1,1)&gt;0,OFFSET(A1503,-1,0,1,1)+0.001,ERROR.TYPE(0)),IFERROR(IF(OFFSET(A1503,-2,0,1,1)&gt;0,OFFSET(A1503,-2,0,1,1)+0.001,ERROR.TYPE(0)),IFERROR(IF(OFFSET(A1503,-3,0,1,1)&gt;0,OFFSET(A1503,-3,0,1,1)+0.001,ERROR.TYPE(0)),IFERROR(IF(OFFSET(A1503,-4,0,1,1)&gt;0,OFFSET(A1503,-4,0,1,1)+0.001,ERROR.TYPE(0)),IFERROR(IF(OFFSET(A1503,-5,0,1,1)&gt;0,OFFSET(A1503,-5,0,1,1)+0.001,ERROR.TYPE(0)),IFERROR(IF(OFFSET(A1503,-6,0,1,1)&gt;0,OFFSET(A1503,-6,0,1,1)+0.001,ERROR.TYPE(0)),IFERROR(IF(OFFSET(A1503,-7,0,1,1)&gt;0,OFFSET(A1503,-7,0,1,1)+0.001,ERROR.TYPE(0)),IFERROR(IF(OFFSET(A1503,-8,0,1,1)&gt;0,OFFSET(A1503,-8,0,1,1)+0.001,ERROR.TYPE(0)),IFERROR(IF(OFFSET(A1503,-9,0,1,1)&gt;0,OFFSET(A1503,-9,0,1,1)+0.001,ERROR.TYPE(0)),IFERROR(IF(OFFSET(A1503,-10,0,1,1)&gt;0,OFFSET(A1503,-10,0,1,1)+0.001,ERROR.TYPE(0)),ERROR.TYPE(0)))))))))))</f>
        <v>8.1159999999999357</v>
      </c>
      <c r="B1503" s="678" t="s">
        <v>961</v>
      </c>
      <c r="C1503" s="646">
        <v>1</v>
      </c>
      <c r="D1503" s="646" t="s">
        <v>329</v>
      </c>
      <c r="E1503" s="649">
        <f>Elec_Est!E7590</f>
        <v>198.09</v>
      </c>
      <c r="F1503" s="1125">
        <f>IFERROR(C1503*E1503,E1503)</f>
        <v>198.09</v>
      </c>
    </row>
    <row r="1504" spans="1:6" s="631" customFormat="1">
      <c r="A1504" s="671">
        <f ca="1">IFERROR(IF(OFFSET(A1504,-1,0,1,1)&gt;0,OFFSET(A1504,-1,0,1,1)+0.001,ERROR.TYPE(0)),IFERROR(IF(OFFSET(A1504,-2,0,1,1)&gt;0,OFFSET(A1504,-2,0,1,1)+0.001,ERROR.TYPE(0)),IFERROR(IF(OFFSET(A1504,-3,0,1,1)&gt;0,OFFSET(A1504,-3,0,1,1)+0.001,ERROR.TYPE(0)),IFERROR(IF(OFFSET(A1504,-4,0,1,1)&gt;0,OFFSET(A1504,-4,0,1,1)+0.001,ERROR.TYPE(0)),IFERROR(IF(OFFSET(A1504,-5,0,1,1)&gt;0,OFFSET(A1504,-5,0,1,1)+0.001,ERROR.TYPE(0)),IFERROR(IF(OFFSET(A1504,-6,0,1,1)&gt;0,OFFSET(A1504,-6,0,1,1)+0.001,ERROR.TYPE(0)),IFERROR(IF(OFFSET(A1504,-7,0,1,1)&gt;0,OFFSET(A1504,-7,0,1,1)+0.001,ERROR.TYPE(0)),IFERROR(IF(OFFSET(A1504,-8,0,1,1)&gt;0,OFFSET(A1504,-8,0,1,1)+0.001,ERROR.TYPE(0)),IFERROR(IF(OFFSET(A1504,-9,0,1,1)&gt;0,OFFSET(A1504,-9,0,1,1)+0.001,ERROR.TYPE(0)),IFERROR(IF(OFFSET(A1504,-10,0,1,1)&gt;0,OFFSET(A1504,-10,0,1,1)+0.001,ERROR.TYPE(0)),ERROR.TYPE(0)))))))))))</f>
        <v>8.1169999999999352</v>
      </c>
      <c r="B1504" s="648" t="s">
        <v>962</v>
      </c>
      <c r="C1504" s="646">
        <v>3</v>
      </c>
      <c r="D1504" s="646" t="s">
        <v>329</v>
      </c>
      <c r="E1504" s="649">
        <f>Elec_Est!E7596</f>
        <v>91.43</v>
      </c>
      <c r="F1504" s="1125">
        <f>IFERROR(C1504*E1504,E1504)</f>
        <v>274.29000000000002</v>
      </c>
    </row>
    <row r="1505" spans="1:6" s="631" customFormat="1">
      <c r="A1505" s="671">
        <f t="shared" ref="A1505:A1507" ca="1" si="367">IFERROR(IF(OFFSET(A1505,-1,0,1,1)&gt;0,OFFSET(A1505,-1,0,1,1)+0.001,ERROR.TYPE(0)),IFERROR(IF(OFFSET(A1505,-2,0,1,1)&gt;0,OFFSET(A1505,-2,0,1,1)+0.001,ERROR.TYPE(0)),IFERROR(IF(OFFSET(A1505,-3,0,1,1)&gt;0,OFFSET(A1505,-3,0,1,1)+0.001,ERROR.TYPE(0)),IFERROR(IF(OFFSET(A1505,-4,0,1,1)&gt;0,OFFSET(A1505,-4,0,1,1)+0.001,ERROR.TYPE(0)),IFERROR(IF(OFFSET(A1505,-5,0,1,1)&gt;0,OFFSET(A1505,-5,0,1,1)+0.001,ERROR.TYPE(0)),IFERROR(IF(OFFSET(A1505,-6,0,1,1)&gt;0,OFFSET(A1505,-6,0,1,1)+0.001,ERROR.TYPE(0)),IFERROR(IF(OFFSET(A1505,-7,0,1,1)&gt;0,OFFSET(A1505,-7,0,1,1)+0.001,ERROR.TYPE(0)),IFERROR(IF(OFFSET(A1505,-8,0,1,1)&gt;0,OFFSET(A1505,-8,0,1,1)+0.001,ERROR.TYPE(0)),IFERROR(IF(OFFSET(A1505,-9,0,1,1)&gt;0,OFFSET(A1505,-9,0,1,1)+0.001,ERROR.TYPE(0)),IFERROR(IF(OFFSET(A1505,-10,0,1,1)&gt;0,OFFSET(A1505,-10,0,1,1)+0.001,ERROR.TYPE(0)),ERROR.TYPE(0)))))))))))</f>
        <v>8.1179999999999346</v>
      </c>
      <c r="B1505" s="651" t="s">
        <v>963</v>
      </c>
      <c r="C1505" s="646">
        <v>3</v>
      </c>
      <c r="D1505" s="646" t="s">
        <v>329</v>
      </c>
      <c r="E1505" s="649">
        <f>Elec_Est!E7602</f>
        <v>15.24</v>
      </c>
      <c r="F1505" s="1125">
        <f t="shared" ref="F1505:F1507" si="368">IFERROR(C1505*E1505,E1505)</f>
        <v>45.72</v>
      </c>
    </row>
    <row r="1506" spans="1:6" s="631" customFormat="1">
      <c r="A1506" s="671">
        <f t="shared" ca="1" si="367"/>
        <v>8.118999999999934</v>
      </c>
      <c r="B1506" s="651" t="s">
        <v>964</v>
      </c>
      <c r="C1506" s="646">
        <v>4</v>
      </c>
      <c r="D1506" s="646" t="s">
        <v>329</v>
      </c>
      <c r="E1506" s="1186" t="str">
        <f>Elec_Est!Q7608</f>
        <v>Refer to covering letter</v>
      </c>
      <c r="F1506" s="1125" t="str">
        <f t="shared" si="368"/>
        <v>Refer to covering letter</v>
      </c>
    </row>
    <row r="1507" spans="1:6" s="631" customFormat="1">
      <c r="A1507" s="671">
        <f t="shared" ca="1" si="367"/>
        <v>8.1199999999999335</v>
      </c>
      <c r="B1507" s="651" t="s">
        <v>965</v>
      </c>
      <c r="C1507" s="646">
        <v>1</v>
      </c>
      <c r="D1507" s="646" t="s">
        <v>329</v>
      </c>
      <c r="E1507" s="649">
        <f>Elec_Est!E7614</f>
        <v>45.71</v>
      </c>
      <c r="F1507" s="1125">
        <f t="shared" si="368"/>
        <v>45.71</v>
      </c>
    </row>
    <row r="1508" spans="1:6" s="631" customFormat="1">
      <c r="A1508" s="638"/>
      <c r="B1508" s="639" t="s">
        <v>1004</v>
      </c>
      <c r="C1508" s="1456" t="s">
        <v>305</v>
      </c>
      <c r="D1508" s="1457"/>
      <c r="E1508" s="652"/>
      <c r="F1508" s="1123">
        <f ca="1">SUM(F1466:F1507)</f>
        <v>16031.179999999998</v>
      </c>
    </row>
    <row r="1509" spans="1:6" s="631" customFormat="1">
      <c r="A1509" s="660"/>
      <c r="B1509" s="629"/>
      <c r="C1509" s="661"/>
      <c r="D1509" s="661"/>
      <c r="E1509" s="662"/>
      <c r="F1509" s="1127"/>
    </row>
    <row r="1510" spans="1:6" s="631" customFormat="1">
      <c r="A1510" s="660"/>
      <c r="B1510" s="629"/>
      <c r="C1510" s="661"/>
      <c r="D1510" s="654"/>
      <c r="E1510" s="662"/>
      <c r="F1510" s="1127"/>
    </row>
    <row r="1511" spans="1:6" s="631" customFormat="1" ht="27.6">
      <c r="A1511" s="634" t="s">
        <v>143</v>
      </c>
      <c r="B1511" s="635" t="s">
        <v>198</v>
      </c>
      <c r="C1511" s="636" t="s">
        <v>199</v>
      </c>
      <c r="D1511" s="636" t="s">
        <v>200</v>
      </c>
      <c r="E1511" s="637" t="s">
        <v>294</v>
      </c>
      <c r="F1511" s="1122" t="s">
        <v>295</v>
      </c>
    </row>
    <row r="1512" spans="1:6" s="631" customFormat="1">
      <c r="A1512" s="638"/>
      <c r="B1512" s="639" t="s">
        <v>1005</v>
      </c>
      <c r="C1512" s="640"/>
      <c r="D1512" s="640"/>
      <c r="E1512" s="641"/>
      <c r="F1512" s="1123"/>
    </row>
    <row r="1513" spans="1:6" s="631" customFormat="1" ht="27.6">
      <c r="A1513" s="671">
        <f t="shared" ref="A1513:A1521" ca="1" si="369">IFERROR(IF(OFFSET(A1513,-1,0,1,1)&gt;0,OFFSET(A1513,-1,0,1,1)+0.001,ERROR.TYPE(0)),IFERROR(IF(OFFSET(A1513,-2,0,1,1)&gt;0,OFFSET(A1513,-2,0,1,1)+0.001,ERROR.TYPE(0)),IFERROR(IF(OFFSET(A1513,-3,0,1,1)&gt;0,OFFSET(A1513,-3,0,1,1)+0.001,ERROR.TYPE(0)),IFERROR(IF(OFFSET(A1513,-4,0,1,1)&gt;0,OFFSET(A1513,-4,0,1,1)+0.001,ERROR.TYPE(0)),IFERROR(IF(OFFSET(A1513,-5,0,1,1)&gt;0,OFFSET(A1513,-5,0,1,1)+0.001,ERROR.TYPE(0)),IFERROR(IF(OFFSET(A1513,-6,0,1,1)&gt;0,OFFSET(A1513,-6,0,1,1)+0.001,ERROR.TYPE(0)),IFERROR(IF(OFFSET(A1513,-7,0,1,1)&gt;0,OFFSET(A1513,-7,0,1,1)+0.001,ERROR.TYPE(0)),IFERROR(IF(OFFSET(A1513,-8,0,1,1)&gt;0,OFFSET(A1513,-8,0,1,1)+0.001,ERROR.TYPE(0)),IFERROR(IF(OFFSET(A1513,-9,0,1,1)&gt;0,OFFSET(A1513,-9,0,1,1)+0.001,ERROR.TYPE(0)),IFERROR(IF(OFFSET(A1513,-10,0,1,1)&gt;0,OFFSET(A1513,-10,0,1,1)+0.001,ERROR.TYPE(0)),ERROR.TYPE(0)))))))))))</f>
        <v>8.1209999999999329</v>
      </c>
      <c r="B1513" s="678" t="s">
        <v>1006</v>
      </c>
      <c r="C1513" s="646">
        <v>135</v>
      </c>
      <c r="D1513" s="646" t="s">
        <v>320</v>
      </c>
      <c r="E1513" s="649">
        <f>Elec_Est!E7630</f>
        <v>4.0599999999999996</v>
      </c>
      <c r="F1513" s="1125">
        <f t="shared" ref="F1513:F1518" si="370">IFERROR($C1513*E1513,E1513)</f>
        <v>548.09999999999991</v>
      </c>
    </row>
    <row r="1514" spans="1:6" s="631" customFormat="1" ht="27.6">
      <c r="A1514" s="671">
        <f t="shared" ca="1" si="369"/>
        <v>8.1219999999999324</v>
      </c>
      <c r="B1514" s="678" t="s">
        <v>1007</v>
      </c>
      <c r="C1514" s="646">
        <v>275</v>
      </c>
      <c r="D1514" s="646" t="s">
        <v>320</v>
      </c>
      <c r="E1514" s="649">
        <f>Elec_Est!E7636</f>
        <v>4.0599999999999996</v>
      </c>
      <c r="F1514" s="1125">
        <f t="shared" si="370"/>
        <v>1116.5</v>
      </c>
    </row>
    <row r="1515" spans="1:6" s="631" customFormat="1" ht="41.4">
      <c r="A1515" s="671">
        <f t="shared" ca="1" si="369"/>
        <v>8.1229999999999318</v>
      </c>
      <c r="B1515" s="678" t="s">
        <v>1008</v>
      </c>
      <c r="C1515" s="646">
        <v>200</v>
      </c>
      <c r="D1515" s="646" t="s">
        <v>320</v>
      </c>
      <c r="E1515" s="649">
        <f>Elec_Est!E7642</f>
        <v>4.0599999999999996</v>
      </c>
      <c r="F1515" s="1125">
        <f t="shared" si="370"/>
        <v>811.99999999999989</v>
      </c>
    </row>
    <row r="1516" spans="1:6" s="631" customFormat="1" ht="27.6">
      <c r="A1516" s="671">
        <f t="shared" ca="1" si="369"/>
        <v>8.1239999999999313</v>
      </c>
      <c r="B1516" s="678" t="s">
        <v>1009</v>
      </c>
      <c r="C1516" s="646">
        <v>45</v>
      </c>
      <c r="D1516" s="646" t="s">
        <v>320</v>
      </c>
      <c r="E1516" s="649">
        <f>Elec_Est!E7648</f>
        <v>4.0599999999999996</v>
      </c>
      <c r="F1516" s="1125">
        <f t="shared" si="370"/>
        <v>182.7</v>
      </c>
    </row>
    <row r="1517" spans="1:6" s="631" customFormat="1" ht="27.6">
      <c r="A1517" s="671">
        <f t="shared" ca="1" si="369"/>
        <v>8.1249999999999307</v>
      </c>
      <c r="B1517" s="678" t="s">
        <v>1010</v>
      </c>
      <c r="C1517" s="646">
        <v>55</v>
      </c>
      <c r="D1517" s="646" t="s">
        <v>320</v>
      </c>
      <c r="E1517" s="649">
        <f>Elec_Est!E7654</f>
        <v>4.0599999999999996</v>
      </c>
      <c r="F1517" s="1125">
        <f t="shared" si="370"/>
        <v>223.29999999999998</v>
      </c>
    </row>
    <row r="1518" spans="1:6" s="631" customFormat="1" ht="41.4">
      <c r="A1518" s="671">
        <f t="shared" ca="1" si="369"/>
        <v>8.1259999999999302</v>
      </c>
      <c r="B1518" s="678" t="s">
        <v>1011</v>
      </c>
      <c r="C1518" s="646">
        <v>95</v>
      </c>
      <c r="D1518" s="646" t="s">
        <v>320</v>
      </c>
      <c r="E1518" s="649">
        <f>Elec_Est!E7660</f>
        <v>4.0599999999999996</v>
      </c>
      <c r="F1518" s="1125">
        <f t="shared" si="370"/>
        <v>385.7</v>
      </c>
    </row>
    <row r="1519" spans="1:6" s="631" customFormat="1">
      <c r="A1519" s="671">
        <f t="shared" ca="1" si="369"/>
        <v>8.1269999999999296</v>
      </c>
      <c r="B1519" s="648" t="s">
        <v>1012</v>
      </c>
      <c r="C1519" s="646">
        <v>6</v>
      </c>
      <c r="D1519" s="646" t="s">
        <v>957</v>
      </c>
      <c r="E1519" s="649">
        <f>Elec_Est!E7666</f>
        <v>170.66</v>
      </c>
      <c r="F1519" s="1125">
        <f t="shared" ref="F1519:F1521" si="371">IFERROR(C1519*E1519,E1519)</f>
        <v>1023.96</v>
      </c>
    </row>
    <row r="1520" spans="1:6" s="631" customFormat="1">
      <c r="A1520" s="671">
        <f t="shared" ca="1" si="369"/>
        <v>8.1279999999999291</v>
      </c>
      <c r="B1520" s="678" t="s">
        <v>1013</v>
      </c>
      <c r="C1520" s="646">
        <v>6</v>
      </c>
      <c r="D1520" s="646" t="s">
        <v>957</v>
      </c>
      <c r="E1520" s="649">
        <f>Elec_Est!E7672</f>
        <v>65.010000000000005</v>
      </c>
      <c r="F1520" s="1125">
        <f t="shared" si="371"/>
        <v>390.06000000000006</v>
      </c>
    </row>
    <row r="1521" spans="1:6" s="631" customFormat="1" ht="27.6">
      <c r="A1521" s="671">
        <f t="shared" ca="1" si="369"/>
        <v>8.1289999999999285</v>
      </c>
      <c r="B1521" s="648" t="s">
        <v>1014</v>
      </c>
      <c r="C1521" s="646">
        <v>6</v>
      </c>
      <c r="D1521" s="646" t="s">
        <v>329</v>
      </c>
      <c r="E1521" s="649">
        <f>Elec_Est!E7678</f>
        <v>55.87</v>
      </c>
      <c r="F1521" s="1125">
        <f t="shared" si="371"/>
        <v>335.21999999999997</v>
      </c>
    </row>
    <row r="1522" spans="1:6" s="631" customFormat="1">
      <c r="A1522" s="643"/>
      <c r="B1522" s="668" t="s">
        <v>379</v>
      </c>
      <c r="C1522" s="669"/>
      <c r="D1522" s="646"/>
      <c r="E1522" s="670"/>
      <c r="F1522" s="1125"/>
    </row>
    <row r="1523" spans="1:6" s="631" customFormat="1">
      <c r="A1523" s="671">
        <f ca="1">IFERROR(IF(OFFSET(A1523,-1,0,1,1)&gt;0,OFFSET(A1523,-1,0,1,1)+0.001,ERROR.TYPE(0)),IFERROR(IF(OFFSET(A1523,-2,0,1,1)&gt;0,OFFSET(A1523,-2,0,1,1)+0.001,ERROR.TYPE(0)),IFERROR(IF(OFFSET(A1523,-3,0,1,1)&gt;0,OFFSET(A1523,-3,0,1,1)+0.001,ERROR.TYPE(0)),IFERROR(IF(OFFSET(A1523,-4,0,1,1)&gt;0,OFFSET(A1523,-4,0,1,1)+0.001,ERROR.TYPE(0)),IFERROR(IF(OFFSET(A1523,-5,0,1,1)&gt;0,OFFSET(A1523,-5,0,1,1)+0.001,ERROR.TYPE(0)),IFERROR(IF(OFFSET(A1523,-6,0,1,1)&gt;0,OFFSET(A1523,-6,0,1,1)+0.001,ERROR.TYPE(0)),IFERROR(IF(OFFSET(A1523,-7,0,1,1)&gt;0,OFFSET(A1523,-7,0,1,1)+0.001,ERROR.TYPE(0)),IFERROR(IF(OFFSET(A1523,-8,0,1,1)&gt;0,OFFSET(A1523,-8,0,1,1)+0.001,ERROR.TYPE(0)),IFERROR(IF(OFFSET(A1523,-9,0,1,1)&gt;0,OFFSET(A1523,-9,0,1,1)+0.001,ERROR.TYPE(0)),IFERROR(IF(OFFSET(A1523,-10,0,1,1)&gt;0,OFFSET(A1523,-10,0,1,1)+0.001,ERROR.TYPE(0)),ERROR.TYPE(0)))))))))))</f>
        <v>8.129999999999928</v>
      </c>
      <c r="B1523" s="651" t="s">
        <v>1015</v>
      </c>
      <c r="C1523" s="646">
        <v>1</v>
      </c>
      <c r="D1523" s="646" t="s">
        <v>329</v>
      </c>
      <c r="E1523" s="649">
        <f>Elec_Est!E7688</f>
        <v>1.98</v>
      </c>
      <c r="F1523" s="1125" t="s">
        <v>1016</v>
      </c>
    </row>
    <row r="1524" spans="1:6" s="631" customFormat="1">
      <c r="A1524" s="671">
        <f ca="1">IFERROR(IF(OFFSET(A1524,-1,0,1,1)&gt;0,OFFSET(A1524,-1,0,1,1)+0.001,ERROR.TYPE(0)),IFERROR(IF(OFFSET(A1524,-2,0,1,1)&gt;0,OFFSET(A1524,-2,0,1,1)+0.001,ERROR.TYPE(0)),IFERROR(IF(OFFSET(A1524,-3,0,1,1)&gt;0,OFFSET(A1524,-3,0,1,1)+0.001,ERROR.TYPE(0)),IFERROR(IF(OFFSET(A1524,-4,0,1,1)&gt;0,OFFSET(A1524,-4,0,1,1)+0.001,ERROR.TYPE(0)),IFERROR(IF(OFFSET(A1524,-5,0,1,1)&gt;0,OFFSET(A1524,-5,0,1,1)+0.001,ERROR.TYPE(0)),IFERROR(IF(OFFSET(A1524,-6,0,1,1)&gt;0,OFFSET(A1524,-6,0,1,1)+0.001,ERROR.TYPE(0)),IFERROR(IF(OFFSET(A1524,-7,0,1,1)&gt;0,OFFSET(A1524,-7,0,1,1)+0.001,ERROR.TYPE(0)),IFERROR(IF(OFFSET(A1524,-8,0,1,1)&gt;0,OFFSET(A1524,-8,0,1,1)+0.001,ERROR.TYPE(0)),IFERROR(IF(OFFSET(A1524,-9,0,1,1)&gt;0,OFFSET(A1524,-9,0,1,1)+0.001,ERROR.TYPE(0)),IFERROR(IF(OFFSET(A1524,-10,0,1,1)&gt;0,OFFSET(A1524,-10,0,1,1)+0.001,ERROR.TYPE(0)),ERROR.TYPE(0)))))))))))</f>
        <v>8.1309999999999274</v>
      </c>
      <c r="B1524" s="651" t="s">
        <v>1017</v>
      </c>
      <c r="C1524" s="646">
        <v>1</v>
      </c>
      <c r="D1524" s="646" t="s">
        <v>329</v>
      </c>
      <c r="E1524" s="649">
        <f>Elec_Est!E7694</f>
        <v>2.54</v>
      </c>
      <c r="F1524" s="1125" t="s">
        <v>1016</v>
      </c>
    </row>
    <row r="1525" spans="1:6" s="631" customFormat="1">
      <c r="A1525" s="671">
        <f t="shared" ref="A1525:A1528" ca="1" si="372">IFERROR(IF(OFFSET(A1525,-1,0,1,1)&gt;0,OFFSET(A1525,-1,0,1,1)+0.001,ERROR.TYPE(0)),IFERROR(IF(OFFSET(A1525,-2,0,1,1)&gt;0,OFFSET(A1525,-2,0,1,1)+0.001,ERROR.TYPE(0)),IFERROR(IF(OFFSET(A1525,-3,0,1,1)&gt;0,OFFSET(A1525,-3,0,1,1)+0.001,ERROR.TYPE(0)),IFERROR(IF(OFFSET(A1525,-4,0,1,1)&gt;0,OFFSET(A1525,-4,0,1,1)+0.001,ERROR.TYPE(0)),IFERROR(IF(OFFSET(A1525,-5,0,1,1)&gt;0,OFFSET(A1525,-5,0,1,1)+0.001,ERROR.TYPE(0)),IFERROR(IF(OFFSET(A1525,-6,0,1,1)&gt;0,OFFSET(A1525,-6,0,1,1)+0.001,ERROR.TYPE(0)),IFERROR(IF(OFFSET(A1525,-7,0,1,1)&gt;0,OFFSET(A1525,-7,0,1,1)+0.001,ERROR.TYPE(0)),IFERROR(IF(OFFSET(A1525,-8,0,1,1)&gt;0,OFFSET(A1525,-8,0,1,1)+0.001,ERROR.TYPE(0)),IFERROR(IF(OFFSET(A1525,-9,0,1,1)&gt;0,OFFSET(A1525,-9,0,1,1)+0.001,ERROR.TYPE(0)),IFERROR(IF(OFFSET(A1525,-10,0,1,1)&gt;0,OFFSET(A1525,-10,0,1,1)+0.001,ERROR.TYPE(0)),ERROR.TYPE(0)))))))))))</f>
        <v>8.1319999999999268</v>
      </c>
      <c r="B1525" s="657" t="s">
        <v>1018</v>
      </c>
      <c r="C1525" s="646">
        <v>1</v>
      </c>
      <c r="D1525" s="646" t="s">
        <v>299</v>
      </c>
      <c r="E1525" s="697" t="str">
        <f>Elec_Est!Q7700</f>
        <v>Included</v>
      </c>
      <c r="F1525" s="1125"/>
    </row>
    <row r="1526" spans="1:6" s="631" customFormat="1" ht="27.6">
      <c r="A1526" s="671">
        <f t="shared" ca="1" si="372"/>
        <v>8.1329999999999263</v>
      </c>
      <c r="B1526" s="657" t="s">
        <v>1019</v>
      </c>
      <c r="C1526" s="646">
        <v>1</v>
      </c>
      <c r="D1526" s="646" t="s">
        <v>299</v>
      </c>
      <c r="E1526" s="697" t="str">
        <f>Elec_Est!Q7706</f>
        <v>Refer to covering letter</v>
      </c>
      <c r="F1526" s="1125"/>
    </row>
    <row r="1527" spans="1:6" s="631" customFormat="1" ht="27.6">
      <c r="A1527" s="671">
        <f ca="1">IFERROR(IF(OFFSET(A1527,-1,0,1,1)&gt;0,OFFSET(A1527,-1,0,1,1)+0.001,ERROR.TYPE(0)),IFERROR(IF(OFFSET(A1527,-2,0,1,1)&gt;0,OFFSET(A1527,-2,0,1,1)+0.001,ERROR.TYPE(0)),IFERROR(IF(OFFSET(A1527,-3,0,1,1)&gt;0,OFFSET(A1527,-3,0,1,1)+0.001,ERROR.TYPE(0)),IFERROR(IF(OFFSET(A1527,-4,0,1,1)&gt;0,OFFSET(A1527,-4,0,1,1)+0.001,ERROR.TYPE(0)),IFERROR(IF(OFFSET(A1527,-5,0,1,1)&gt;0,OFFSET(A1527,-5,0,1,1)+0.001,ERROR.TYPE(0)),IFERROR(IF(OFFSET(A1527,-6,0,1,1)&gt;0,OFFSET(A1527,-6,0,1,1)+0.001,ERROR.TYPE(0)),IFERROR(IF(OFFSET(A1527,-7,0,1,1)&gt;0,OFFSET(A1527,-7,0,1,1)+0.001,ERROR.TYPE(0)),IFERROR(IF(OFFSET(A1527,-8,0,1,1)&gt;0,OFFSET(A1527,-8,0,1,1)+0.001,ERROR.TYPE(0)),IFERROR(IF(OFFSET(A1527,-9,0,1,1)&gt;0,OFFSET(A1527,-9,0,1,1)+0.001,ERROR.TYPE(0)),IFERROR(IF(OFFSET(A1527,-10,0,1,1)&gt;0,OFFSET(A1527,-10,0,1,1)+0.001,ERROR.TYPE(0)),ERROR.TYPE(0)))))))))))</f>
        <v>8.1339999999999257</v>
      </c>
      <c r="B1527" s="651" t="s">
        <v>381</v>
      </c>
      <c r="C1527" s="667">
        <v>1</v>
      </c>
      <c r="D1527" s="665" t="s">
        <v>299</v>
      </c>
      <c r="E1527" s="649">
        <f>Elec_Est!E7712</f>
        <v>507.93</v>
      </c>
      <c r="F1527" s="1125">
        <f t="shared" ref="F1527:F1528" si="373">IFERROR(C1527*E1527,E1527)</f>
        <v>507.93</v>
      </c>
    </row>
    <row r="1528" spans="1:6" s="631" customFormat="1" ht="27.6">
      <c r="A1528" s="671">
        <f t="shared" ca="1" si="372"/>
        <v>8.1349999999999252</v>
      </c>
      <c r="B1528" s="657" t="s">
        <v>382</v>
      </c>
      <c r="C1528" s="646">
        <v>2</v>
      </c>
      <c r="D1528" s="646" t="s">
        <v>1020</v>
      </c>
      <c r="E1528" s="649">
        <f>Elec_Est!E7718</f>
        <v>174.92</v>
      </c>
      <c r="F1528" s="1125">
        <f t="shared" si="373"/>
        <v>349.84</v>
      </c>
    </row>
    <row r="1529" spans="1:6" s="631" customFormat="1">
      <c r="A1529" s="638"/>
      <c r="B1529" s="639" t="s">
        <v>1021</v>
      </c>
      <c r="C1529" s="1456" t="s">
        <v>305</v>
      </c>
      <c r="D1529" s="1457"/>
      <c r="E1529" s="652"/>
      <c r="F1529" s="1123">
        <f>SUM(F1513:F1528)</f>
        <v>5875.3100000000013</v>
      </c>
    </row>
    <row r="1530" spans="1:6" s="631" customFormat="1">
      <c r="A1530" s="660"/>
      <c r="B1530" s="629"/>
      <c r="C1530" s="661"/>
      <c r="D1530" s="654"/>
      <c r="E1530" s="662"/>
      <c r="F1530" s="1127"/>
    </row>
    <row r="1531" spans="1:6" s="631" customFormat="1">
      <c r="A1531" s="638"/>
      <c r="B1531" s="639" t="s">
        <v>1022</v>
      </c>
      <c r="C1531" s="1456" t="s">
        <v>305</v>
      </c>
      <c r="D1531" s="1457"/>
      <c r="E1531" s="659"/>
      <c r="F1531" s="1123">
        <f ca="1">F1529+F1508+F1461+F1428+F1400+F1356</f>
        <v>84169.579999999987</v>
      </c>
    </row>
    <row r="1532" spans="1:6">
      <c r="A1532" s="681"/>
      <c r="B1532" s="624"/>
      <c r="C1532" s="682"/>
      <c r="D1532" s="683"/>
      <c r="E1532" s="684"/>
      <c r="F1532" s="1131"/>
    </row>
    <row r="1533" spans="1:6" s="712" customFormat="1">
      <c r="D1533" s="627"/>
    </row>
    <row r="1534" spans="1:6" s="713" customFormat="1" ht="27.6">
      <c r="A1534" s="634" t="s">
        <v>143</v>
      </c>
      <c r="B1534" s="635" t="s">
        <v>198</v>
      </c>
      <c r="C1534" s="636" t="s">
        <v>199</v>
      </c>
      <c r="D1534" s="636" t="s">
        <v>200</v>
      </c>
      <c r="E1534" s="637" t="s">
        <v>294</v>
      </c>
      <c r="F1534" s="1122" t="s">
        <v>1023</v>
      </c>
    </row>
    <row r="1535" spans="1:6" s="713" customFormat="1">
      <c r="A1535" s="638">
        <v>8</v>
      </c>
      <c r="B1535" s="714" t="s">
        <v>1024</v>
      </c>
      <c r="C1535" s="640"/>
      <c r="D1535" s="640"/>
      <c r="E1535" s="641"/>
      <c r="F1535" s="1128"/>
    </row>
    <row r="1536" spans="1:6" s="713" customFormat="1" ht="41.4">
      <c r="A1536" s="671">
        <f t="shared" ref="A1536:A1545" ca="1" si="374">IFERROR(IF(OFFSET(A1536,-1,0)&gt;0,OFFSET(A1536,-1,0)+0.001,ERROR.TYPE(0)),IFERROR(IF(OFFSET(A1536,-2,0)&gt;0,OFFSET(A1536,-2,0)+0.001,ERROR.TYPE(0)),IFERROR(IF(OFFSET(A1536,-3,0)&gt;0,OFFSET(A1536,-3,0)+0.001,ERROR.TYPE(0)),IFERROR(IF(OFFSET(A1536,-4,0)&gt;0,OFFSET(A1536,-4,0)+0.001,ERROR.TYPE(0)),IFERROR(IF(OFFSET(A1536,-5,0)&gt;0,OFFSET(A1536,-5,0)+0.001,ERROR.TYPE(0)),IFERROR(IF(OFFSET(A1536,-6,0)&gt;0,OFFSET(A1536,-6,0)+0.001,ERROR.TYPE(0)),IFERROR(IF(OFFSET(A1536,-7,0)&gt;0,OFFSET(A1536,-7,0)+0.001,ERROR.TYPE(0)),IFERROR(IF(OFFSET(A1536,-8,0)&gt;0,OFFSET(A1536,-8,0)+0.001,ERROR.TYPE(0)),IFERROR(IF(OFFSET(A1536,-9,0)&gt;0,OFFSET(A1536,-9,0)+0.001,ERROR.TYPE(0)),IFERROR(IF(OFFSET(A1536,-10,0)&gt;0,OFFSET(A1536,-10,0)+0.001,ERROR.TYPE(0)),ERROR.TYPE(0)))))))))))</f>
        <v>8.0009999999999994</v>
      </c>
      <c r="B1536" s="705" t="s">
        <v>1025</v>
      </c>
      <c r="C1536" s="646">
        <v>1050</v>
      </c>
      <c r="D1536" s="646" t="s">
        <v>320</v>
      </c>
      <c r="E1536" s="649">
        <f>Elec_Est!E7742</f>
        <v>20.07</v>
      </c>
      <c r="F1536" s="1130">
        <f t="shared" ref="F1536:F1545" si="375">IFERROR($C1536*E1536,E1536)</f>
        <v>21073.5</v>
      </c>
    </row>
    <row r="1537" spans="1:6" s="713" customFormat="1" ht="41.4">
      <c r="A1537" s="671">
        <f t="shared" ca="1" si="374"/>
        <v>8.0019999999999989</v>
      </c>
      <c r="B1537" s="705" t="s">
        <v>1026</v>
      </c>
      <c r="C1537" s="646">
        <v>650</v>
      </c>
      <c r="D1537" s="646" t="s">
        <v>320</v>
      </c>
      <c r="E1537" s="649">
        <f>Elec_Est!E7748</f>
        <v>25.66</v>
      </c>
      <c r="F1537" s="1130">
        <f t="shared" si="375"/>
        <v>16679</v>
      </c>
    </row>
    <row r="1538" spans="1:6" s="713" customFormat="1" ht="41.4">
      <c r="A1538" s="671">
        <f t="shared" ca="1" si="374"/>
        <v>8.0029999999999983</v>
      </c>
      <c r="B1538" s="705" t="s">
        <v>1027</v>
      </c>
      <c r="C1538" s="646">
        <v>4</v>
      </c>
      <c r="D1538" s="646" t="s">
        <v>329</v>
      </c>
      <c r="E1538" s="649">
        <f>Elec_Est!E7765</f>
        <v>260.17</v>
      </c>
      <c r="F1538" s="1130">
        <f t="shared" si="375"/>
        <v>1040.68</v>
      </c>
    </row>
    <row r="1539" spans="1:6" s="713" customFormat="1" ht="27.6">
      <c r="A1539" s="671">
        <f t="shared" ca="1" si="374"/>
        <v>8.0039999999999978</v>
      </c>
      <c r="B1539" s="705" t="s">
        <v>1028</v>
      </c>
      <c r="C1539" s="646">
        <v>24</v>
      </c>
      <c r="D1539" s="646" t="s">
        <v>329</v>
      </c>
      <c r="E1539" s="649">
        <f>Elec_Est!E7771</f>
        <v>386.11</v>
      </c>
      <c r="F1539" s="1130">
        <f t="shared" si="375"/>
        <v>9266.64</v>
      </c>
    </row>
    <row r="1540" spans="1:6" s="713" customFormat="1" ht="27.6">
      <c r="A1540" s="671">
        <f t="shared" ca="1" si="374"/>
        <v>8.0049999999999972</v>
      </c>
      <c r="B1540" s="705" t="s">
        <v>1029</v>
      </c>
      <c r="C1540" s="646">
        <v>26</v>
      </c>
      <c r="D1540" s="646" t="s">
        <v>329</v>
      </c>
      <c r="E1540" s="649">
        <f>Elec_Est!E7777</f>
        <v>41.48</v>
      </c>
      <c r="F1540" s="1130">
        <f t="shared" si="375"/>
        <v>1078.48</v>
      </c>
    </row>
    <row r="1541" spans="1:6" s="713" customFormat="1">
      <c r="A1541" s="671">
        <f t="shared" ca="1" si="374"/>
        <v>8.0059999999999967</v>
      </c>
      <c r="B1541" s="705" t="s">
        <v>1030</v>
      </c>
      <c r="C1541" s="646">
        <v>1</v>
      </c>
      <c r="D1541" s="646" t="s">
        <v>299</v>
      </c>
      <c r="E1541" s="649">
        <f>Elec_Est!E7783</f>
        <v>829.62</v>
      </c>
      <c r="F1541" s="1130">
        <f t="shared" si="375"/>
        <v>829.62</v>
      </c>
    </row>
    <row r="1542" spans="1:6" s="713" customFormat="1" ht="27.6">
      <c r="A1542" s="671">
        <f t="shared" ca="1" si="374"/>
        <v>8.0069999999999961</v>
      </c>
      <c r="B1542" s="705" t="s">
        <v>1031</v>
      </c>
      <c r="C1542" s="646">
        <v>1</v>
      </c>
      <c r="D1542" s="646" t="s">
        <v>299</v>
      </c>
      <c r="E1542" s="649">
        <f>Elec_Est!E7789</f>
        <v>829.62</v>
      </c>
      <c r="F1542" s="1130">
        <f t="shared" si="375"/>
        <v>829.62</v>
      </c>
    </row>
    <row r="1543" spans="1:6" s="713" customFormat="1">
      <c r="A1543" s="671">
        <f t="shared" ca="1" si="374"/>
        <v>8.0079999999999956</v>
      </c>
      <c r="B1543" s="705" t="s">
        <v>1032</v>
      </c>
      <c r="C1543" s="646">
        <v>1</v>
      </c>
      <c r="D1543" s="646" t="s">
        <v>299</v>
      </c>
      <c r="E1543" s="649">
        <f>Elec_Est!E7795</f>
        <v>829.62</v>
      </c>
      <c r="F1543" s="1130">
        <f t="shared" si="375"/>
        <v>829.62</v>
      </c>
    </row>
    <row r="1544" spans="1:6" s="713" customFormat="1" ht="27.6">
      <c r="A1544" s="671">
        <f t="shared" ca="1" si="374"/>
        <v>8.008999999999995</v>
      </c>
      <c r="B1544" s="648" t="s">
        <v>1033</v>
      </c>
      <c r="C1544" s="646">
        <v>1</v>
      </c>
      <c r="D1544" s="646" t="s">
        <v>299</v>
      </c>
      <c r="E1544" s="649">
        <f>Elec_Est!E7801</f>
        <v>414.81</v>
      </c>
      <c r="F1544" s="1130">
        <f t="shared" si="375"/>
        <v>414.81</v>
      </c>
    </row>
    <row r="1545" spans="1:6" s="713" customFormat="1" ht="27.6">
      <c r="A1545" s="671">
        <f t="shared" ca="1" si="374"/>
        <v>8.0099999999999945</v>
      </c>
      <c r="B1545" s="705" t="s">
        <v>1034</v>
      </c>
      <c r="C1545" s="646">
        <v>1</v>
      </c>
      <c r="D1545" s="646" t="s">
        <v>299</v>
      </c>
      <c r="E1545" s="649">
        <f>Elec_Est!E7807</f>
        <v>1128.73</v>
      </c>
      <c r="F1545" s="1130">
        <f t="shared" si="375"/>
        <v>1128.73</v>
      </c>
    </row>
    <row r="1546" spans="1:6" s="713" customFormat="1">
      <c r="A1546" s="671"/>
      <c r="B1546" s="715" t="s">
        <v>379</v>
      </c>
      <c r="C1546" s="646"/>
      <c r="D1546" s="646"/>
      <c r="E1546" s="649"/>
      <c r="F1546" s="650"/>
    </row>
    <row r="1547" spans="1:6" s="713" customFormat="1" ht="27.6">
      <c r="A1547" s="671">
        <f ca="1">IFERROR(IF(OFFSET(A1547,-1,0)&gt;0,OFFSET(A1547,-1,0)+0.001,ERROR.TYPE(0)),IFERROR(IF(OFFSET(A1547,-2,0)&gt;0,OFFSET(A1547,-2,0)+0.001,ERROR.TYPE(0)),IFERROR(IF(OFFSET(A1547,-3,0)&gt;0,OFFSET(A1547,-3,0)+0.001,ERROR.TYPE(0)),IFERROR(IF(OFFSET(A1547,-4,0)&gt;0,OFFSET(A1547,-4,0)+0.001,ERROR.TYPE(0)),IFERROR(IF(OFFSET(A1547,-5,0)&gt;0,OFFSET(A1547,-5,0)+0.001,ERROR.TYPE(0)),IFERROR(IF(OFFSET(A1547,-6,0)&gt;0,OFFSET(A1547,-6,0)+0.001,ERROR.TYPE(0)),IFERROR(IF(OFFSET(A1547,-7,0)&gt;0,OFFSET(A1547,-7,0)+0.001,ERROR.TYPE(0)),IFERROR(IF(OFFSET(A1547,-8,0)&gt;0,OFFSET(A1547,-8,0)+0.001,ERROR.TYPE(0)),IFERROR(IF(OFFSET(A1547,-9,0)&gt;0,OFFSET(A1547,-9,0)+0.001,ERROR.TYPE(0)),IFERROR(IF(OFFSET(A1547,-10,0)&gt;0,OFFSET(A1547,-10,0)+0.001,ERROR.TYPE(0)),ERROR.TYPE(0)))))))))))</f>
        <v>8.0109999999999939</v>
      </c>
      <c r="B1547" s="651" t="s">
        <v>381</v>
      </c>
      <c r="C1547" s="646">
        <v>1</v>
      </c>
      <c r="D1547" s="646" t="s">
        <v>299</v>
      </c>
      <c r="E1547" s="649">
        <f>Elec_Est!E7817</f>
        <v>846.55</v>
      </c>
      <c r="F1547" s="1130">
        <f>IFERROR($C1547*E1547,E1547)</f>
        <v>846.55</v>
      </c>
    </row>
    <row r="1548" spans="1:6" s="713" customFormat="1" ht="27.6">
      <c r="A1548" s="671">
        <f ca="1">IFERROR(IF(OFFSET(A1548,-1,0)&gt;0,OFFSET(A1548,-1,0)+0.001,ERROR.TYPE(0)),IFERROR(IF(OFFSET(A1548,-2,0)&gt;0,OFFSET(A1548,-2,0)+0.001,ERROR.TYPE(0)),IFERROR(IF(OFFSET(A1548,-3,0)&gt;0,OFFSET(A1548,-3,0)+0.001,ERROR.TYPE(0)),IFERROR(IF(OFFSET(A1548,-4,0)&gt;0,OFFSET(A1548,-4,0)+0.001,ERROR.TYPE(0)),IFERROR(IF(OFFSET(A1548,-5,0)&gt;0,OFFSET(A1548,-5,0)+0.001,ERROR.TYPE(0)),IFERROR(IF(OFFSET(A1548,-6,0)&gt;0,OFFSET(A1548,-6,0)+0.001,ERROR.TYPE(0)),IFERROR(IF(OFFSET(A1548,-7,0)&gt;0,OFFSET(A1548,-7,0)+0.001,ERROR.TYPE(0)),IFERROR(IF(OFFSET(A1548,-8,0)&gt;0,OFFSET(A1548,-8,0)+0.001,ERROR.TYPE(0)),IFERROR(IF(OFFSET(A1548,-9,0)&gt;0,OFFSET(A1548,-9,0)+0.001,ERROR.TYPE(0)),IFERROR(IF(OFFSET(A1548,-10,0)&gt;0,OFFSET(A1548,-10,0)+0.001,ERROR.TYPE(0)),ERROR.TYPE(0)))))))))))</f>
        <v>8.0119999999999933</v>
      </c>
      <c r="B1548" s="648" t="s">
        <v>382</v>
      </c>
      <c r="C1548" s="646">
        <v>1</v>
      </c>
      <c r="D1548" s="646" t="s">
        <v>383</v>
      </c>
      <c r="E1548" s="649">
        <f>Elec_Est!E7823</f>
        <v>97.58</v>
      </c>
      <c r="F1548" s="1130">
        <f>IFERROR($C1548*E1548,E1548)</f>
        <v>97.58</v>
      </c>
    </row>
    <row r="1549" spans="1:6" s="713" customFormat="1">
      <c r="A1549" s="638"/>
      <c r="B1549" s="639" t="s">
        <v>1035</v>
      </c>
      <c r="C1549" s="1463" t="s">
        <v>305</v>
      </c>
      <c r="D1549" s="1464"/>
      <c r="E1549" s="716"/>
      <c r="F1549" s="642">
        <f>SUM(F1536:F1548)</f>
        <v>54114.830000000016</v>
      </c>
    </row>
    <row r="1550" spans="1:6" s="713" customFormat="1">
      <c r="A1550" s="660"/>
      <c r="B1550" s="629"/>
      <c r="C1550" s="661"/>
      <c r="D1550" s="654"/>
      <c r="E1550" s="662"/>
      <c r="F1550" s="717"/>
    </row>
    <row r="1551" spans="1:6" s="713" customFormat="1">
      <c r="A1551" s="638"/>
      <c r="B1551" s="718" t="s">
        <v>1036</v>
      </c>
      <c r="C1551" s="1463" t="s">
        <v>305</v>
      </c>
      <c r="D1551" s="1464"/>
      <c r="E1551" s="716"/>
      <c r="F1551" s="642">
        <f>F1549</f>
        <v>54114.830000000016</v>
      </c>
    </row>
    <row r="1552" spans="1:6" s="712" customFormat="1">
      <c r="A1552" s="719"/>
      <c r="B1552" s="720"/>
      <c r="C1552" s="682"/>
      <c r="D1552" s="683"/>
      <c r="E1552" s="674"/>
      <c r="F1552" s="685"/>
    </row>
    <row r="1553" spans="1:6" s="713" customFormat="1">
      <c r="D1553" s="631"/>
    </row>
    <row r="1554" spans="1:6" s="713" customFormat="1" ht="27.6">
      <c r="A1554" s="634" t="s">
        <v>143</v>
      </c>
      <c r="B1554" s="635" t="s">
        <v>198</v>
      </c>
      <c r="C1554" s="636" t="s">
        <v>199</v>
      </c>
      <c r="D1554" s="636" t="s">
        <v>200</v>
      </c>
      <c r="E1554" s="637" t="s">
        <v>294</v>
      </c>
      <c r="F1554" s="1122" t="s">
        <v>1023</v>
      </c>
    </row>
    <row r="1555" spans="1:6" s="713" customFormat="1">
      <c r="A1555" s="638">
        <v>9</v>
      </c>
      <c r="B1555" s="714" t="s">
        <v>1037</v>
      </c>
      <c r="C1555" s="640"/>
      <c r="D1555" s="640"/>
      <c r="E1555" s="641"/>
      <c r="F1555" s="1128"/>
    </row>
    <row r="1556" spans="1:6" s="713" customFormat="1" ht="69">
      <c r="A1556" s="671">
        <f t="shared" ref="A1556:A1557" ca="1" si="376">IFERROR(IF(OFFSET(A1556,-1,0)&gt;0,OFFSET(A1556,-1,0)+0.001,ERROR.TYPE(0)),IFERROR(IF(OFFSET(A1556,-2,0)&gt;0,OFFSET(A1556,-2,0)+0.001,ERROR.TYPE(0)),IFERROR(IF(OFFSET(A1556,-3,0)&gt;0,OFFSET(A1556,-3,0)+0.001,ERROR.TYPE(0)),IFERROR(IF(OFFSET(A1556,-4,0)&gt;0,OFFSET(A1556,-4,0)+0.001,ERROR.TYPE(0)),IFERROR(IF(OFFSET(A1556,-5,0)&gt;0,OFFSET(A1556,-5,0)+0.001,ERROR.TYPE(0)),IFERROR(IF(OFFSET(A1556,-6,0)&gt;0,OFFSET(A1556,-6,0)+0.001,ERROR.TYPE(0)),IFERROR(IF(OFFSET(A1556,-7,0)&gt;0,OFFSET(A1556,-7,0)+0.001,ERROR.TYPE(0)),IFERROR(IF(OFFSET(A1556,-8,0)&gt;0,OFFSET(A1556,-8,0)+0.001,ERROR.TYPE(0)),IFERROR(IF(OFFSET(A1556,-9,0)&gt;0,OFFSET(A1556,-9,0)+0.001,ERROR.TYPE(0)),IFERROR(IF(OFFSET(A1556,-10,0)&gt;0,OFFSET(A1556,-10,0)+0.001,ERROR.TYPE(0)),ERROR.TYPE(0)))))))))))</f>
        <v>9.0009999999999994</v>
      </c>
      <c r="B1556" s="657" t="s">
        <v>1038</v>
      </c>
      <c r="C1556" s="680">
        <v>1</v>
      </c>
      <c r="D1556" s="680" t="s">
        <v>299</v>
      </c>
      <c r="E1556" s="649">
        <f>Elec_Est!E7847</f>
        <v>1907</v>
      </c>
      <c r="F1556" s="649">
        <f>IFERROR($C1556*E1556,E1556)</f>
        <v>1907</v>
      </c>
    </row>
    <row r="1557" spans="1:6" s="713" customFormat="1" ht="27.6">
      <c r="A1557" s="671">
        <f t="shared" ca="1" si="376"/>
        <v>9.0019999999999989</v>
      </c>
      <c r="B1557" s="657" t="s">
        <v>1039</v>
      </c>
      <c r="C1557" s="680">
        <v>1</v>
      </c>
      <c r="D1557" s="680" t="s">
        <v>299</v>
      </c>
      <c r="E1557" s="649" t="str">
        <f>Elec_Est!Q7863</f>
        <v>Mechanical item</v>
      </c>
      <c r="F1557" s="649"/>
    </row>
    <row r="1558" spans="1:6" s="713" customFormat="1">
      <c r="A1558" s="671"/>
      <c r="B1558" s="715" t="s">
        <v>379</v>
      </c>
      <c r="C1558" s="646"/>
      <c r="D1558" s="646"/>
      <c r="E1558" s="649"/>
      <c r="F1558" s="650"/>
    </row>
    <row r="1559" spans="1:6" s="713" customFormat="1" ht="27.6">
      <c r="A1559" s="671">
        <f ca="1">IFERROR(IF(OFFSET(A1559,-1,0)&gt;0,OFFSET(A1559,-1,0)+0.001,ERROR.TYPE(0)),IFERROR(IF(OFFSET(A1559,-2,0)&gt;0,OFFSET(A1559,-2,0)+0.001,ERROR.TYPE(0)),IFERROR(IF(OFFSET(A1559,-3,0)&gt;0,OFFSET(A1559,-3,0)+0.001,ERROR.TYPE(0)),IFERROR(IF(OFFSET(A1559,-4,0)&gt;0,OFFSET(A1559,-4,0)+0.001,ERROR.TYPE(0)),IFERROR(IF(OFFSET(A1559,-5,0)&gt;0,OFFSET(A1559,-5,0)+0.001,ERROR.TYPE(0)),IFERROR(IF(OFFSET(A1559,-6,0)&gt;0,OFFSET(A1559,-6,0)+0.001,ERROR.TYPE(0)),IFERROR(IF(OFFSET(A1559,-7,0)&gt;0,OFFSET(A1559,-7,0)+0.001,ERROR.TYPE(0)),IFERROR(IF(OFFSET(A1559,-8,0)&gt;0,OFFSET(A1559,-8,0)+0.001,ERROR.TYPE(0)),IFERROR(IF(OFFSET(A1559,-9,0)&gt;0,OFFSET(A1559,-9,0)+0.001,ERROR.TYPE(0)),IFERROR(IF(OFFSET(A1559,-10,0)&gt;0,OFFSET(A1559,-10,0)+0.001,ERROR.TYPE(0)),ERROR.TYPE(0)))))))))))</f>
        <v>9.0029999999999983</v>
      </c>
      <c r="B1559" s="648" t="s">
        <v>382</v>
      </c>
      <c r="C1559" s="646">
        <v>1</v>
      </c>
      <c r="D1559" s="646" t="s">
        <v>383</v>
      </c>
      <c r="E1559" s="697">
        <f>Elec_Est!E7873</f>
        <v>307.08999999999997</v>
      </c>
      <c r="F1559" s="1130">
        <f>IFERROR($C1559*E1559,E1559)</f>
        <v>307.08999999999997</v>
      </c>
    </row>
    <row r="1560" spans="1:6" s="713" customFormat="1">
      <c r="A1560" s="638"/>
      <c r="B1560" s="639" t="s">
        <v>1040</v>
      </c>
      <c r="C1560" s="1463" t="s">
        <v>305</v>
      </c>
      <c r="D1560" s="1464"/>
      <c r="E1560" s="716"/>
      <c r="F1560" s="642">
        <f>SUM(F1556:F1559)</f>
        <v>2214.09</v>
      </c>
    </row>
    <row r="1561" spans="1:6" s="713" customFormat="1">
      <c r="A1561" s="660"/>
      <c r="B1561" s="629"/>
      <c r="C1561" s="661"/>
      <c r="D1561" s="654"/>
      <c r="E1561" s="662"/>
      <c r="F1561" s="717"/>
    </row>
    <row r="1562" spans="1:6" s="713" customFormat="1">
      <c r="A1562" s="638"/>
      <c r="B1562" s="718" t="s">
        <v>1041</v>
      </c>
      <c r="C1562" s="1463" t="s">
        <v>305</v>
      </c>
      <c r="D1562" s="1464"/>
      <c r="E1562" s="716"/>
      <c r="F1562" s="642">
        <f>F1560</f>
        <v>2214.09</v>
      </c>
    </row>
    <row r="1563" spans="1:6" s="713" customFormat="1">
      <c r="A1563" s="721"/>
      <c r="B1563" s="722"/>
      <c r="C1563" s="661"/>
      <c r="D1563" s="654"/>
      <c r="E1563" s="686"/>
      <c r="F1563" s="663"/>
    </row>
    <row r="1564" spans="1:6" s="631" customFormat="1">
      <c r="A1564" s="723"/>
      <c r="B1564" s="724"/>
      <c r="C1564" s="725"/>
      <c r="D1564" s="725"/>
      <c r="E1564" s="726"/>
      <c r="F1564" s="1261"/>
    </row>
    <row r="1565" spans="1:6" s="631" customFormat="1" ht="27.6">
      <c r="A1565" s="634" t="s">
        <v>143</v>
      </c>
      <c r="B1565" s="635" t="s">
        <v>198</v>
      </c>
      <c r="C1565" s="636" t="s">
        <v>199</v>
      </c>
      <c r="D1565" s="636" t="s">
        <v>200</v>
      </c>
      <c r="E1565" s="637" t="s">
        <v>294</v>
      </c>
      <c r="F1565" s="1122" t="s">
        <v>295</v>
      </c>
    </row>
    <row r="1566" spans="1:6" s="631" customFormat="1">
      <c r="A1566" s="638">
        <v>10</v>
      </c>
      <c r="B1566" s="702" t="s">
        <v>1042</v>
      </c>
      <c r="C1566" s="646"/>
      <c r="D1566" s="646"/>
      <c r="E1566" s="649"/>
      <c r="F1566" s="1125"/>
    </row>
    <row r="1567" spans="1:6" s="631" customFormat="1">
      <c r="A1567" s="643"/>
      <c r="B1567" s="1132" t="s">
        <v>1043</v>
      </c>
      <c r="C1567" s="676"/>
      <c r="D1567" s="676"/>
      <c r="E1567" s="677"/>
      <c r="F1567" s="1125"/>
    </row>
    <row r="1568" spans="1:6" s="631" customFormat="1">
      <c r="A1568" s="643">
        <f t="shared" ref="A1568:A1602" ca="1" si="377">IFERROR(IF(OFFSET(A1568,-1,0)&gt;0,OFFSET(A1568,-1,0)+0.001,ERROR.TYPE(0)),IFERROR(IF(OFFSET(A1568,-2,0)&gt;0,OFFSET(A1568,-2,0)+0.001,ERROR.TYPE(0)),IFERROR(IF(OFFSET(A1568,-3,0)&gt;0,OFFSET(A1568,-3,0)+0.001,ERROR.TYPE(0)),IFERROR(IF(OFFSET(A1568,-4,0)&gt;0,OFFSET(A1568,-4,0)+0.001,ERROR.TYPE(0)),IFERROR(IF(OFFSET(A1568,-5,0)&gt;0,OFFSET(A1568,-5,0)+0.001,ERROR.TYPE(0)),IFERROR(IF(OFFSET(A1568,-6,0)&gt;0,OFFSET(A1568,-6,0)+0.001,ERROR.TYPE(0)),IFERROR(IF(OFFSET(A1568,-7,0)&gt;0,OFFSET(A1568,-7,0)+0.001,ERROR.TYPE(0)),IFERROR(IF(OFFSET(A1568,-8,0)&gt;0,OFFSET(A1568,-8,0)+0.001,ERROR.TYPE(0)),IFERROR(IF(OFFSET(A1568,-9,0)&gt;0,OFFSET(A1568,-9,0)+0.001,ERROR.TYPE(0)),IFERROR(IF(OFFSET(A1568,-10,0)&gt;0,OFFSET(A1568,-10,0)+0.001,ERROR.TYPE(0)),ERROR.TYPE(0)))))))))))</f>
        <v>10.000999999999999</v>
      </c>
      <c r="B1568" s="651" t="s">
        <v>1044</v>
      </c>
      <c r="C1568" s="646">
        <v>1</v>
      </c>
      <c r="D1568" s="680" t="s">
        <v>1045</v>
      </c>
      <c r="E1568" s="649">
        <f>Elec_Est!E7897</f>
        <v>0</v>
      </c>
      <c r="F1568" s="1125" t="s">
        <v>1016</v>
      </c>
    </row>
    <row r="1569" spans="1:6" s="631" customFormat="1">
      <c r="A1569" s="643">
        <f t="shared" ca="1" si="377"/>
        <v>10.001999999999999</v>
      </c>
      <c r="B1569" s="651" t="s">
        <v>1046</v>
      </c>
      <c r="C1569" s="646">
        <v>1</v>
      </c>
      <c r="D1569" s="680" t="s">
        <v>1045</v>
      </c>
      <c r="E1569" s="649">
        <f>Elec_Est!E7906</f>
        <v>0</v>
      </c>
      <c r="F1569" s="1125" t="s">
        <v>1016</v>
      </c>
    </row>
    <row r="1570" spans="1:6" s="631" customFormat="1">
      <c r="A1570" s="643">
        <f t="shared" ca="1" si="377"/>
        <v>10.002999999999998</v>
      </c>
      <c r="B1570" s="651" t="s">
        <v>1047</v>
      </c>
      <c r="C1570" s="646">
        <v>1</v>
      </c>
      <c r="D1570" s="680" t="s">
        <v>1045</v>
      </c>
      <c r="E1570" s="649">
        <f>Elec_Est!E7916</f>
        <v>0</v>
      </c>
      <c r="F1570" s="1125" t="s">
        <v>1016</v>
      </c>
    </row>
    <row r="1571" spans="1:6" s="631" customFormat="1">
      <c r="A1571" s="643">
        <f t="shared" ca="1" si="377"/>
        <v>10.003999999999998</v>
      </c>
      <c r="B1571" s="651" t="s">
        <v>1048</v>
      </c>
      <c r="C1571" s="646">
        <v>1</v>
      </c>
      <c r="D1571" s="680" t="s">
        <v>1045</v>
      </c>
      <c r="E1571" s="649">
        <f>Elec_Est!E7926</f>
        <v>0</v>
      </c>
      <c r="F1571" s="1125" t="s">
        <v>1016</v>
      </c>
    </row>
    <row r="1572" spans="1:6" s="631" customFormat="1">
      <c r="A1572" s="643">
        <f t="shared" ca="1" si="377"/>
        <v>10.004999999999997</v>
      </c>
      <c r="B1572" s="651" t="s">
        <v>1049</v>
      </c>
      <c r="C1572" s="647">
        <v>1</v>
      </c>
      <c r="D1572" s="680" t="s">
        <v>1045</v>
      </c>
      <c r="E1572" s="649">
        <f>Elec_Est!E7936</f>
        <v>0</v>
      </c>
      <c r="F1572" s="1125" t="s">
        <v>1016</v>
      </c>
    </row>
    <row r="1573" spans="1:6" s="631" customFormat="1">
      <c r="A1573" s="643"/>
      <c r="B1573" s="1133" t="s">
        <v>1050</v>
      </c>
      <c r="C1573" s="727"/>
      <c r="D1573" s="727"/>
      <c r="E1573" s="649"/>
      <c r="F1573" s="1125"/>
    </row>
    <row r="1574" spans="1:6" s="631" customFormat="1">
      <c r="A1574" s="643">
        <f t="shared" ca="1" si="377"/>
        <v>10.005999999999997</v>
      </c>
      <c r="B1574" s="651" t="s">
        <v>1044</v>
      </c>
      <c r="C1574" s="646">
        <v>1</v>
      </c>
      <c r="D1574" s="680" t="s">
        <v>1045</v>
      </c>
      <c r="E1574" s="649">
        <f>Elec_Est!E7950</f>
        <v>0</v>
      </c>
      <c r="F1574" s="1125" t="s">
        <v>1016</v>
      </c>
    </row>
    <row r="1575" spans="1:6" s="631" customFormat="1">
      <c r="A1575" s="643">
        <f t="shared" ca="1" si="377"/>
        <v>10.006999999999996</v>
      </c>
      <c r="B1575" s="651" t="s">
        <v>1046</v>
      </c>
      <c r="C1575" s="646">
        <v>1</v>
      </c>
      <c r="D1575" s="680" t="s">
        <v>1045</v>
      </c>
      <c r="E1575" s="649">
        <f>Elec_Est!E7960</f>
        <v>0</v>
      </c>
      <c r="F1575" s="1125" t="s">
        <v>1016</v>
      </c>
    </row>
    <row r="1576" spans="1:6" s="631" customFormat="1">
      <c r="A1576" s="643">
        <f t="shared" ca="1" si="377"/>
        <v>10.007999999999996</v>
      </c>
      <c r="B1576" s="651" t="s">
        <v>1047</v>
      </c>
      <c r="C1576" s="646">
        <v>1</v>
      </c>
      <c r="D1576" s="680" t="s">
        <v>1045</v>
      </c>
      <c r="E1576" s="649">
        <f>Elec_Est!E7970</f>
        <v>0</v>
      </c>
      <c r="F1576" s="1125" t="s">
        <v>1016</v>
      </c>
    </row>
    <row r="1577" spans="1:6" s="631" customFormat="1">
      <c r="A1577" s="643">
        <f t="shared" ca="1" si="377"/>
        <v>10.008999999999995</v>
      </c>
      <c r="B1577" s="651" t="s">
        <v>1048</v>
      </c>
      <c r="C1577" s="646">
        <v>1</v>
      </c>
      <c r="D1577" s="680" t="s">
        <v>1045</v>
      </c>
      <c r="E1577" s="649">
        <f>Elec_Est!E7980</f>
        <v>0</v>
      </c>
      <c r="F1577" s="1125" t="s">
        <v>1016</v>
      </c>
    </row>
    <row r="1578" spans="1:6" s="631" customFormat="1">
      <c r="A1578" s="643">
        <f t="shared" ca="1" si="377"/>
        <v>10.009999999999994</v>
      </c>
      <c r="B1578" s="651" t="s">
        <v>1049</v>
      </c>
      <c r="C1578" s="647">
        <v>1</v>
      </c>
      <c r="D1578" s="680" t="s">
        <v>1045</v>
      </c>
      <c r="E1578" s="649">
        <f>Elec_Est!E7990</f>
        <v>0</v>
      </c>
      <c r="F1578" s="1125" t="s">
        <v>1016</v>
      </c>
    </row>
    <row r="1579" spans="1:6" s="631" customFormat="1">
      <c r="A1579" s="643">
        <f t="shared" ca="1" si="377"/>
        <v>10.010999999999994</v>
      </c>
      <c r="B1579" s="728"/>
      <c r="C1579" s="647"/>
      <c r="D1579" s="729"/>
      <c r="E1579" s="649"/>
      <c r="F1579" s="1125">
        <f t="shared" ref="F1579:F1602" si="378">IFERROR($C1579*E1579,E1579)</f>
        <v>0</v>
      </c>
    </row>
    <row r="1580" spans="1:6" s="631" customFormat="1">
      <c r="A1580" s="643">
        <f t="shared" ca="1" si="377"/>
        <v>10.011999999999993</v>
      </c>
      <c r="B1580" s="728"/>
      <c r="C1580" s="647"/>
      <c r="D1580" s="729"/>
      <c r="E1580" s="649"/>
      <c r="F1580" s="1125">
        <f t="shared" si="378"/>
        <v>0</v>
      </c>
    </row>
    <row r="1581" spans="1:6" s="631" customFormat="1">
      <c r="A1581" s="643">
        <f t="shared" ca="1" si="377"/>
        <v>10.012999999999993</v>
      </c>
      <c r="B1581" s="728"/>
      <c r="C1581" s="647"/>
      <c r="D1581" s="729"/>
      <c r="E1581" s="649"/>
      <c r="F1581" s="1125">
        <f t="shared" si="378"/>
        <v>0</v>
      </c>
    </row>
    <row r="1582" spans="1:6" s="631" customFormat="1">
      <c r="A1582" s="643">
        <f t="shared" ca="1" si="377"/>
        <v>10.013999999999992</v>
      </c>
      <c r="B1582" s="730"/>
      <c r="C1582" s="647"/>
      <c r="D1582" s="729"/>
      <c r="E1582" s="649"/>
      <c r="F1582" s="1125">
        <f t="shared" si="378"/>
        <v>0</v>
      </c>
    </row>
    <row r="1583" spans="1:6" s="631" customFormat="1">
      <c r="A1583" s="643">
        <f t="shared" ca="1" si="377"/>
        <v>10.014999999999992</v>
      </c>
      <c r="B1583" s="730"/>
      <c r="C1583" s="647"/>
      <c r="D1583" s="729"/>
      <c r="E1583" s="649"/>
      <c r="F1583" s="1125">
        <f t="shared" si="378"/>
        <v>0</v>
      </c>
    </row>
    <row r="1584" spans="1:6" s="631" customFormat="1">
      <c r="A1584" s="643">
        <f t="shared" ca="1" si="377"/>
        <v>10.015999999999991</v>
      </c>
      <c r="B1584" s="730"/>
      <c r="C1584" s="647"/>
      <c r="D1584" s="729"/>
      <c r="E1584" s="649"/>
      <c r="F1584" s="1125">
        <f t="shared" si="378"/>
        <v>0</v>
      </c>
    </row>
    <row r="1585" spans="1:6" s="631" customFormat="1">
      <c r="A1585" s="643">
        <f t="shared" ca="1" si="377"/>
        <v>10.016999999999991</v>
      </c>
      <c r="B1585" s="728"/>
      <c r="C1585" s="647"/>
      <c r="D1585" s="729"/>
      <c r="E1585" s="649"/>
      <c r="F1585" s="1125">
        <f t="shared" si="378"/>
        <v>0</v>
      </c>
    </row>
    <row r="1586" spans="1:6" s="631" customFormat="1">
      <c r="A1586" s="643">
        <f t="shared" ca="1" si="377"/>
        <v>10.01799999999999</v>
      </c>
      <c r="B1586" s="728"/>
      <c r="C1586" s="647"/>
      <c r="D1586" s="729"/>
      <c r="E1586" s="649"/>
      <c r="F1586" s="1125">
        <f t="shared" si="378"/>
        <v>0</v>
      </c>
    </row>
    <row r="1587" spans="1:6" s="631" customFormat="1">
      <c r="A1587" s="643">
        <f t="shared" ca="1" si="377"/>
        <v>10.018999999999989</v>
      </c>
      <c r="B1587" s="728"/>
      <c r="C1587" s="647"/>
      <c r="D1587" s="729"/>
      <c r="E1587" s="649"/>
      <c r="F1587" s="1125">
        <f t="shared" si="378"/>
        <v>0</v>
      </c>
    </row>
    <row r="1588" spans="1:6" s="631" customFormat="1">
      <c r="A1588" s="643">
        <f t="shared" ca="1" si="377"/>
        <v>10.019999999999989</v>
      </c>
      <c r="B1588" s="730"/>
      <c r="C1588" s="647"/>
      <c r="D1588" s="729"/>
      <c r="E1588" s="649"/>
      <c r="F1588" s="1125">
        <f t="shared" si="378"/>
        <v>0</v>
      </c>
    </row>
    <row r="1589" spans="1:6" s="631" customFormat="1">
      <c r="A1589" s="643">
        <f t="shared" ca="1" si="377"/>
        <v>10.020999999999988</v>
      </c>
      <c r="B1589" s="730"/>
      <c r="C1589" s="647"/>
      <c r="D1589" s="729"/>
      <c r="E1589" s="649"/>
      <c r="F1589" s="1125">
        <f t="shared" si="378"/>
        <v>0</v>
      </c>
    </row>
    <row r="1590" spans="1:6" s="631" customFormat="1">
      <c r="A1590" s="643">
        <f t="shared" ca="1" si="377"/>
        <v>10.021999999999988</v>
      </c>
      <c r="B1590" s="730"/>
      <c r="C1590" s="647"/>
      <c r="D1590" s="729"/>
      <c r="E1590" s="649"/>
      <c r="F1590" s="1125">
        <f t="shared" si="378"/>
        <v>0</v>
      </c>
    </row>
    <row r="1591" spans="1:6" s="631" customFormat="1">
      <c r="A1591" s="643">
        <f t="shared" ca="1" si="377"/>
        <v>10.022999999999987</v>
      </c>
      <c r="B1591" s="728"/>
      <c r="C1591" s="647"/>
      <c r="D1591" s="729"/>
      <c r="E1591" s="649"/>
      <c r="F1591" s="1125">
        <f t="shared" si="378"/>
        <v>0</v>
      </c>
    </row>
    <row r="1592" spans="1:6" s="631" customFormat="1">
      <c r="A1592" s="643">
        <f t="shared" ca="1" si="377"/>
        <v>10.023999999999987</v>
      </c>
      <c r="B1592" s="728"/>
      <c r="C1592" s="647"/>
      <c r="D1592" s="729"/>
      <c r="E1592" s="649"/>
      <c r="F1592" s="1125">
        <f t="shared" si="378"/>
        <v>0</v>
      </c>
    </row>
    <row r="1593" spans="1:6" s="631" customFormat="1">
      <c r="A1593" s="643">
        <f t="shared" ca="1" si="377"/>
        <v>10.024999999999986</v>
      </c>
      <c r="B1593" s="728"/>
      <c r="C1593" s="647"/>
      <c r="D1593" s="729"/>
      <c r="E1593" s="649"/>
      <c r="F1593" s="1125">
        <f t="shared" si="378"/>
        <v>0</v>
      </c>
    </row>
    <row r="1594" spans="1:6" s="631" customFormat="1">
      <c r="A1594" s="643">
        <f t="shared" ca="1" si="377"/>
        <v>10.025999999999986</v>
      </c>
      <c r="B1594" s="730"/>
      <c r="C1594" s="647"/>
      <c r="D1594" s="729"/>
      <c r="E1594" s="649"/>
      <c r="F1594" s="1125">
        <f t="shared" si="378"/>
        <v>0</v>
      </c>
    </row>
    <row r="1595" spans="1:6" s="631" customFormat="1">
      <c r="A1595" s="643">
        <f t="shared" ca="1" si="377"/>
        <v>10.026999999999985</v>
      </c>
      <c r="B1595" s="730"/>
      <c r="C1595" s="647"/>
      <c r="D1595" s="729"/>
      <c r="E1595" s="649"/>
      <c r="F1595" s="1125">
        <f t="shared" si="378"/>
        <v>0</v>
      </c>
    </row>
    <row r="1596" spans="1:6" s="631" customFormat="1">
      <c r="A1596" s="643">
        <f t="shared" ca="1" si="377"/>
        <v>10.027999999999984</v>
      </c>
      <c r="B1596" s="730"/>
      <c r="C1596" s="647"/>
      <c r="D1596" s="729"/>
      <c r="E1596" s="649"/>
      <c r="F1596" s="1125">
        <f t="shared" si="378"/>
        <v>0</v>
      </c>
    </row>
    <row r="1597" spans="1:6" s="631" customFormat="1">
      <c r="A1597" s="643">
        <f t="shared" ca="1" si="377"/>
        <v>10.028999999999984</v>
      </c>
      <c r="B1597" s="728"/>
      <c r="C1597" s="647"/>
      <c r="D1597" s="729"/>
      <c r="E1597" s="649"/>
      <c r="F1597" s="1125">
        <f t="shared" si="378"/>
        <v>0</v>
      </c>
    </row>
    <row r="1598" spans="1:6" s="631" customFormat="1">
      <c r="A1598" s="643">
        <f t="shared" ca="1" si="377"/>
        <v>10.029999999999983</v>
      </c>
      <c r="B1598" s="728"/>
      <c r="C1598" s="647"/>
      <c r="D1598" s="729"/>
      <c r="E1598" s="649"/>
      <c r="F1598" s="1125">
        <f t="shared" si="378"/>
        <v>0</v>
      </c>
    </row>
    <row r="1599" spans="1:6" s="631" customFormat="1">
      <c r="A1599" s="643">
        <f t="shared" ca="1" si="377"/>
        <v>10.030999999999983</v>
      </c>
      <c r="B1599" s="728"/>
      <c r="C1599" s="647"/>
      <c r="D1599" s="729"/>
      <c r="E1599" s="649"/>
      <c r="F1599" s="1125">
        <f t="shared" si="378"/>
        <v>0</v>
      </c>
    </row>
    <row r="1600" spans="1:6" s="631" customFormat="1">
      <c r="A1600" s="643">
        <f t="shared" ca="1" si="377"/>
        <v>10.031999999999982</v>
      </c>
      <c r="B1600" s="730"/>
      <c r="C1600" s="647"/>
      <c r="D1600" s="729"/>
      <c r="E1600" s="649"/>
      <c r="F1600" s="1125">
        <f t="shared" si="378"/>
        <v>0</v>
      </c>
    </row>
    <row r="1601" spans="1:7" s="631" customFormat="1">
      <c r="A1601" s="643">
        <f t="shared" ca="1" si="377"/>
        <v>10.032999999999982</v>
      </c>
      <c r="B1601" s="730"/>
      <c r="C1601" s="647"/>
      <c r="D1601" s="729"/>
      <c r="E1601" s="649"/>
      <c r="F1601" s="1125">
        <f t="shared" si="378"/>
        <v>0</v>
      </c>
    </row>
    <row r="1602" spans="1:7" s="631" customFormat="1">
      <c r="A1602" s="643">
        <f t="shared" ca="1" si="377"/>
        <v>10.033999999999981</v>
      </c>
      <c r="B1602" s="730"/>
      <c r="C1602" s="647"/>
      <c r="D1602" s="729"/>
      <c r="E1602" s="649"/>
      <c r="F1602" s="1125">
        <f t="shared" si="378"/>
        <v>0</v>
      </c>
    </row>
    <row r="1603" spans="1:7" s="631" customFormat="1">
      <c r="A1603" s="638"/>
      <c r="B1603" s="639" t="s">
        <v>1051</v>
      </c>
      <c r="C1603" s="1456" t="s">
        <v>305</v>
      </c>
      <c r="D1603" s="1457"/>
      <c r="E1603" s="652"/>
      <c r="F1603" s="1123">
        <f>SUM(F1567:F1602)</f>
        <v>0</v>
      </c>
    </row>
    <row r="1604" spans="1:7" s="631" customFormat="1">
      <c r="A1604" s="703"/>
      <c r="B1604" s="632"/>
      <c r="C1604" s="628"/>
      <c r="D1604" s="628"/>
      <c r="E1604" s="633"/>
      <c r="F1604" s="630"/>
    </row>
    <row r="1605" spans="1:7" s="631" customFormat="1">
      <c r="A1605" s="638"/>
      <c r="B1605" s="639" t="s">
        <v>1052</v>
      </c>
      <c r="C1605" s="1456" t="s">
        <v>305</v>
      </c>
      <c r="D1605" s="1457"/>
      <c r="E1605" s="659"/>
      <c r="F1605" s="1123">
        <f>F1603</f>
        <v>0</v>
      </c>
    </row>
    <row r="1606" spans="1:7" s="631" customFormat="1">
      <c r="A1606" s="703"/>
      <c r="B1606" s="632"/>
      <c r="C1606" s="628"/>
      <c r="D1606" s="628"/>
      <c r="E1606" s="633"/>
      <c r="F1606" s="630"/>
    </row>
    <row r="1607" spans="1:7" s="631" customFormat="1">
      <c r="A1607" s="703"/>
      <c r="B1607" s="632"/>
      <c r="C1607" s="628"/>
      <c r="D1607" s="628"/>
      <c r="E1607" s="633"/>
      <c r="F1607" s="630"/>
    </row>
    <row r="1608" spans="1:7" s="631" customFormat="1">
      <c r="A1608" s="731"/>
      <c r="B1608" s="732" t="s">
        <v>1053</v>
      </c>
      <c r="C1608" s="733"/>
      <c r="D1608" s="734"/>
      <c r="E1608" s="735" t="s">
        <v>1054</v>
      </c>
      <c r="F1608" s="1134" t="s">
        <v>180</v>
      </c>
    </row>
    <row r="1609" spans="1:7" s="631" customFormat="1">
      <c r="A1609" s="703"/>
      <c r="B1609" s="629"/>
      <c r="C1609" s="661"/>
      <c r="D1609" s="661"/>
      <c r="E1609" s="662"/>
      <c r="F1609" s="736"/>
    </row>
    <row r="1610" spans="1:7" s="631" customFormat="1" ht="27.6">
      <c r="A1610" s="737"/>
      <c r="B1610" s="639"/>
      <c r="C1610" s="738"/>
      <c r="D1610" s="739"/>
      <c r="E1610" s="664" t="s">
        <v>1055</v>
      </c>
      <c r="F1610" s="664" t="s">
        <v>1055</v>
      </c>
    </row>
    <row r="1611" spans="1:7" s="631" customFormat="1">
      <c r="A1611" s="740"/>
      <c r="B1611" s="651" t="s">
        <v>304</v>
      </c>
      <c r="C1611" s="741"/>
      <c r="D1611" s="739"/>
      <c r="E1611" s="1130">
        <f>F12</f>
        <v>6831.99</v>
      </c>
      <c r="F1611" s="1123"/>
    </row>
    <row r="1612" spans="1:7" s="631" customFormat="1">
      <c r="A1612" s="742"/>
      <c r="B1612" s="651" t="s">
        <v>314</v>
      </c>
      <c r="C1612" s="741"/>
      <c r="D1612" s="739"/>
      <c r="E1612" s="1130">
        <f>F24</f>
        <v>4320.24</v>
      </c>
      <c r="F1612" s="1123"/>
    </row>
    <row r="1613" spans="1:7" s="631" customFormat="1">
      <c r="A1613" s="638">
        <v>1</v>
      </c>
      <c r="B1613" s="639" t="s">
        <v>315</v>
      </c>
      <c r="C1613" s="741"/>
      <c r="D1613" s="739"/>
      <c r="E1613" s="1130"/>
      <c r="F1613" s="1123">
        <f>SUM(E1611:E1612)</f>
        <v>11152.23</v>
      </c>
      <c r="G1613" s="1382">
        <f>F1613-Elec_Est!F125</f>
        <v>0</v>
      </c>
    </row>
    <row r="1614" spans="1:7" s="631" customFormat="1">
      <c r="A1614" s="740"/>
      <c r="B1614" s="651" t="s">
        <v>361</v>
      </c>
      <c r="C1614" s="741"/>
      <c r="D1614" s="739"/>
      <c r="E1614" s="1130">
        <f>F81</f>
        <v>0</v>
      </c>
      <c r="F1614" s="1123"/>
    </row>
    <row r="1615" spans="1:7" s="631" customFormat="1">
      <c r="A1615" s="742"/>
      <c r="B1615" s="651" t="s">
        <v>370</v>
      </c>
      <c r="C1615" s="741"/>
      <c r="D1615" s="739"/>
      <c r="E1615" s="1130">
        <f>F136</f>
        <v>0</v>
      </c>
      <c r="F1615" s="1123"/>
    </row>
    <row r="1616" spans="1:7" s="631" customFormat="1">
      <c r="A1616" s="742"/>
      <c r="B1616" s="651" t="s">
        <v>384</v>
      </c>
      <c r="C1616" s="741"/>
      <c r="D1616" s="739"/>
      <c r="E1616" s="1130">
        <f>F176</f>
        <v>0</v>
      </c>
      <c r="F1616" s="1123"/>
    </row>
    <row r="1617" spans="1:7" s="631" customFormat="1">
      <c r="A1617" s="638">
        <v>2</v>
      </c>
      <c r="B1617" s="639" t="s">
        <v>385</v>
      </c>
      <c r="C1617" s="741"/>
      <c r="D1617" s="739"/>
      <c r="E1617" s="1130"/>
      <c r="F1617" s="1123">
        <f>SUM(E1614:E1616)</f>
        <v>0</v>
      </c>
    </row>
    <row r="1618" spans="1:7" s="631" customFormat="1">
      <c r="A1618" s="742"/>
      <c r="B1618" s="651" t="s">
        <v>416</v>
      </c>
      <c r="C1618" s="741"/>
      <c r="D1618" s="739"/>
      <c r="E1618" s="1130">
        <f>F226</f>
        <v>0</v>
      </c>
      <c r="F1618" s="1123"/>
    </row>
    <row r="1619" spans="1:7" s="631" customFormat="1">
      <c r="A1619" s="742"/>
      <c r="B1619" s="651" t="s">
        <v>435</v>
      </c>
      <c r="C1619" s="741"/>
      <c r="D1619" s="739"/>
      <c r="E1619" s="1130">
        <f>F259</f>
        <v>0</v>
      </c>
      <c r="F1619" s="1123"/>
    </row>
    <row r="1620" spans="1:7" s="631" customFormat="1">
      <c r="A1620" s="742"/>
      <c r="B1620" s="651" t="s">
        <v>460</v>
      </c>
      <c r="C1620" s="741"/>
      <c r="D1620" s="739"/>
      <c r="E1620" s="1130">
        <f>F309</f>
        <v>0</v>
      </c>
      <c r="F1620" s="1123"/>
    </row>
    <row r="1621" spans="1:7" s="631" customFormat="1">
      <c r="A1621" s="638">
        <v>3</v>
      </c>
      <c r="B1621" s="639" t="s">
        <v>1056</v>
      </c>
      <c r="C1621" s="741"/>
      <c r="D1621" s="739"/>
      <c r="E1621" s="1130"/>
      <c r="F1621" s="1123">
        <f>SUM(E1618:E1620)</f>
        <v>0</v>
      </c>
    </row>
    <row r="1622" spans="1:7" s="631" customFormat="1">
      <c r="A1622" s="742"/>
      <c r="B1622" s="651" t="s">
        <v>490</v>
      </c>
      <c r="C1622" s="741"/>
      <c r="D1622" s="739"/>
      <c r="E1622" s="1130">
        <f>F348</f>
        <v>364362.21000000008</v>
      </c>
      <c r="F1622" s="1123"/>
      <c r="G1622" s="1382">
        <f>E1622-Elec_Est!F459</f>
        <v>0</v>
      </c>
    </row>
    <row r="1623" spans="1:7" s="631" customFormat="1">
      <c r="A1623" s="742"/>
      <c r="B1623" s="651" t="s">
        <v>513</v>
      </c>
      <c r="C1623" s="741"/>
      <c r="D1623" s="739"/>
      <c r="E1623" s="1130">
        <f ca="1">F382</f>
        <v>168539.54000000004</v>
      </c>
      <c r="F1623" s="1123"/>
      <c r="G1623" s="1382">
        <f ca="1">E1623-Elec_Est!F757</f>
        <v>0</v>
      </c>
    </row>
    <row r="1624" spans="1:7" s="631" customFormat="1">
      <c r="A1624" s="742"/>
      <c r="B1624" s="651" t="s">
        <v>551</v>
      </c>
      <c r="C1624" s="741"/>
      <c r="D1624" s="739"/>
      <c r="E1624" s="1130">
        <f ca="1">F432</f>
        <v>264419.53999999998</v>
      </c>
      <c r="F1624" s="1123"/>
      <c r="G1624" s="1382">
        <f ca="1">E1624-Elec_Est!F1077</f>
        <v>0</v>
      </c>
    </row>
    <row r="1625" spans="1:7" s="631" customFormat="1">
      <c r="A1625" s="742"/>
      <c r="B1625" s="651" t="s">
        <v>597</v>
      </c>
      <c r="C1625" s="741"/>
      <c r="D1625" s="739"/>
      <c r="E1625" s="1130">
        <f ca="1">F495</f>
        <v>19361.91</v>
      </c>
      <c r="F1625" s="1123"/>
      <c r="G1625" s="1382">
        <f ca="1">E1625-Elec_Est!F1453</f>
        <v>0</v>
      </c>
    </row>
    <row r="1626" spans="1:7" s="631" customFormat="1">
      <c r="A1626" s="742"/>
      <c r="B1626" s="651" t="s">
        <v>634</v>
      </c>
      <c r="C1626" s="741"/>
      <c r="D1626" s="739"/>
      <c r="E1626" s="1130">
        <f ca="1">F561</f>
        <v>21435.21</v>
      </c>
      <c r="F1626" s="1123"/>
      <c r="G1626" s="1382">
        <f ca="1">E1626-Elec_Est!F1846</f>
        <v>0</v>
      </c>
    </row>
    <row r="1627" spans="1:7" s="631" customFormat="1">
      <c r="A1627" s="742"/>
      <c r="B1627" s="651" t="s">
        <v>676</v>
      </c>
      <c r="C1627" s="741"/>
      <c r="D1627" s="739"/>
      <c r="E1627" s="1130">
        <f ca="1">F619</f>
        <v>19346.84</v>
      </c>
      <c r="F1627" s="1123"/>
      <c r="G1627" s="1382">
        <f ca="1">E1627-Elec_Est!F2207</f>
        <v>0</v>
      </c>
    </row>
    <row r="1628" spans="1:7" s="631" customFormat="1">
      <c r="A1628" s="742"/>
      <c r="B1628" s="651" t="s">
        <v>702</v>
      </c>
      <c r="C1628" s="741"/>
      <c r="D1628" s="739"/>
      <c r="E1628" s="1130">
        <f ca="1">F665</f>
        <v>32549.369999999995</v>
      </c>
      <c r="F1628" s="1123"/>
    </row>
    <row r="1629" spans="1:7" s="631" customFormat="1">
      <c r="A1629" s="742"/>
      <c r="B1629" s="651" t="s">
        <v>730</v>
      </c>
      <c r="C1629" s="741"/>
      <c r="D1629" s="739"/>
      <c r="E1629" s="1130">
        <f ca="1">F710</f>
        <v>4047.26</v>
      </c>
      <c r="F1629" s="1123"/>
      <c r="G1629" s="1382">
        <f ca="1">E1629-Elec_Est!F2730</f>
        <v>0</v>
      </c>
    </row>
    <row r="1630" spans="1:7" s="631" customFormat="1">
      <c r="A1630" s="742"/>
      <c r="B1630" s="651" t="s">
        <v>751</v>
      </c>
      <c r="C1630" s="741"/>
      <c r="D1630" s="739"/>
      <c r="E1630" s="1130">
        <f ca="1">F745</f>
        <v>5444.7299999999987</v>
      </c>
      <c r="F1630" s="1123"/>
      <c r="G1630" s="1382">
        <f ca="1">E1630-Elec_Est!F2926</f>
        <v>0</v>
      </c>
    </row>
    <row r="1631" spans="1:7" s="631" customFormat="1">
      <c r="A1631" s="742"/>
      <c r="B1631" s="651" t="s">
        <v>789</v>
      </c>
      <c r="C1631" s="741"/>
      <c r="D1631" s="739"/>
      <c r="E1631" s="1130">
        <f ca="1">F797</f>
        <v>32806.25</v>
      </c>
      <c r="F1631" s="1123"/>
      <c r="G1631" s="1382">
        <f ca="1">E1631-Elec_Est!F3273</f>
        <v>0</v>
      </c>
    </row>
    <row r="1632" spans="1:7" s="631" customFormat="1">
      <c r="A1632" s="742"/>
      <c r="B1632" s="651" t="s">
        <v>813</v>
      </c>
      <c r="C1632" s="741"/>
      <c r="D1632" s="739"/>
      <c r="E1632" s="1130">
        <f ca="1">F850</f>
        <v>24294.65</v>
      </c>
      <c r="F1632" s="1123"/>
      <c r="G1632" s="1382">
        <f ca="1">E1632-Elec_Est!F3617</f>
        <v>0</v>
      </c>
    </row>
    <row r="1633" spans="1:7" s="631" customFormat="1">
      <c r="A1633" s="742"/>
      <c r="B1633" s="651" t="s">
        <v>827</v>
      </c>
      <c r="C1633" s="741"/>
      <c r="D1633" s="739"/>
      <c r="E1633" s="1130">
        <f ca="1">F895</f>
        <v>20846.669999999998</v>
      </c>
      <c r="F1633" s="1123"/>
      <c r="G1633" s="1382">
        <f ca="1">E1633-Elec_Est!F3924</f>
        <v>0</v>
      </c>
    </row>
    <row r="1634" spans="1:7" s="631" customFormat="1">
      <c r="A1634" s="742"/>
      <c r="B1634" s="651" t="s">
        <v>841</v>
      </c>
      <c r="C1634" s="741"/>
      <c r="D1634" s="739"/>
      <c r="E1634" s="1130">
        <f ca="1">F938</f>
        <v>54018.179999999993</v>
      </c>
      <c r="F1634" s="1123"/>
      <c r="G1634" s="1382">
        <f ca="1">E1634-Elec_Est!F4203</f>
        <v>0</v>
      </c>
    </row>
    <row r="1635" spans="1:7" s="631" customFormat="1">
      <c r="A1635" s="742"/>
      <c r="B1635" s="651" t="s">
        <v>848</v>
      </c>
      <c r="C1635" s="741"/>
      <c r="D1635" s="739"/>
      <c r="E1635" s="1130">
        <f ca="1">F988</f>
        <v>12682.090000000002</v>
      </c>
      <c r="F1635" s="1123"/>
      <c r="G1635" s="1382">
        <f ca="1">E1635-Elec_Est!F4524</f>
        <v>0</v>
      </c>
    </row>
    <row r="1636" spans="1:7" s="631" customFormat="1">
      <c r="A1636" s="742"/>
      <c r="B1636" s="651" t="s">
        <v>855</v>
      </c>
      <c r="C1636" s="741"/>
      <c r="D1636" s="739"/>
      <c r="E1636" s="1130">
        <f ca="1">F1023</f>
        <v>18302.95</v>
      </c>
      <c r="F1636" s="1123"/>
      <c r="G1636" s="1382">
        <f ca="1">E1636-Elec_Est!F4733</f>
        <v>0</v>
      </c>
    </row>
    <row r="1637" spans="1:7" s="631" customFormat="1">
      <c r="A1637" s="742"/>
      <c r="B1637" s="651" t="s">
        <v>864</v>
      </c>
      <c r="C1637" s="741"/>
      <c r="D1637" s="739"/>
      <c r="E1637" s="1130">
        <f ca="1">F1062</f>
        <v>28443.78</v>
      </c>
      <c r="F1637" s="1123"/>
      <c r="G1637" s="1382">
        <f ca="1">E1637-Elec_Est!F4994</f>
        <v>0</v>
      </c>
    </row>
    <row r="1638" spans="1:7" s="631" customFormat="1">
      <c r="A1638" s="638">
        <v>4</v>
      </c>
      <c r="B1638" s="639" t="s">
        <v>865</v>
      </c>
      <c r="C1638" s="741"/>
      <c r="D1638" s="739"/>
      <c r="E1638" s="1130"/>
      <c r="F1638" s="1123">
        <f ca="1">SUM(E1622:E1637)</f>
        <v>1090901.1800000002</v>
      </c>
    </row>
    <row r="1639" spans="1:7" s="631" customFormat="1">
      <c r="A1639" s="742"/>
      <c r="B1639" s="651" t="s">
        <v>881</v>
      </c>
      <c r="C1639" s="741"/>
      <c r="D1639" s="739"/>
      <c r="E1639" s="1130">
        <f>F1095</f>
        <v>56359.01</v>
      </c>
      <c r="F1639" s="1123"/>
    </row>
    <row r="1640" spans="1:7" s="631" customFormat="1">
      <c r="A1640" s="638">
        <v>5</v>
      </c>
      <c r="B1640" s="639" t="s">
        <v>882</v>
      </c>
      <c r="C1640" s="741"/>
      <c r="D1640" s="739"/>
      <c r="E1640" s="1130"/>
      <c r="F1640" s="1123">
        <f>E1639</f>
        <v>56359.01</v>
      </c>
      <c r="G1640" s="1382">
        <f>F1640-Elec_Est!F5160</f>
        <v>0</v>
      </c>
    </row>
    <row r="1641" spans="1:7" s="631" customFormat="1">
      <c r="A1641" s="742"/>
      <c r="B1641" s="651" t="s">
        <v>906</v>
      </c>
      <c r="C1641" s="741"/>
      <c r="D1641" s="739"/>
      <c r="E1641" s="1130">
        <f ca="1">F1162</f>
        <v>19160.93</v>
      </c>
      <c r="F1641" s="1123"/>
    </row>
    <row r="1642" spans="1:7" s="631" customFormat="1">
      <c r="A1642" s="638">
        <v>6</v>
      </c>
      <c r="B1642" s="639" t="s">
        <v>907</v>
      </c>
      <c r="C1642" s="741"/>
      <c r="D1642" s="739"/>
      <c r="E1642" s="1130"/>
      <c r="F1642" s="1123">
        <f ca="1">E1641</f>
        <v>19160.93</v>
      </c>
      <c r="G1642" s="1383">
        <f ca="1">F1642-Elec_Est!F5575</f>
        <v>0</v>
      </c>
    </row>
    <row r="1643" spans="1:7" s="631" customFormat="1">
      <c r="A1643" s="742"/>
      <c r="B1643" s="651" t="s">
        <v>931</v>
      </c>
      <c r="C1643" s="741"/>
      <c r="D1643" s="739"/>
      <c r="E1643" s="1130">
        <f ca="1">F1228</f>
        <v>53083.450000000012</v>
      </c>
      <c r="F1643" s="1123"/>
    </row>
    <row r="1644" spans="1:7" s="631" customFormat="1">
      <c r="A1644" s="742"/>
      <c r="B1644" s="651" t="s">
        <v>937</v>
      </c>
      <c r="C1644" s="741"/>
      <c r="D1644" s="739"/>
      <c r="E1644" s="1130">
        <f ca="1">F1286</f>
        <v>60850.149999999987</v>
      </c>
      <c r="F1644" s="1123"/>
    </row>
    <row r="1645" spans="1:7" s="631" customFormat="1">
      <c r="A1645" s="742"/>
      <c r="B1645" s="651" t="s">
        <v>942</v>
      </c>
      <c r="C1645" s="741"/>
      <c r="D1645" s="739"/>
      <c r="E1645" s="1130">
        <f ca="1">F1321</f>
        <v>8840.06</v>
      </c>
      <c r="F1645" s="1123"/>
    </row>
    <row r="1646" spans="1:7" s="631" customFormat="1">
      <c r="A1646" s="638">
        <v>7</v>
      </c>
      <c r="B1646" s="639" t="s">
        <v>943</v>
      </c>
      <c r="C1646" s="741"/>
      <c r="D1646" s="739"/>
      <c r="E1646" s="1130"/>
      <c r="F1646" s="1123">
        <f ca="1">SUM(E1643:E1645)</f>
        <v>122773.66</v>
      </c>
      <c r="G1646" s="1382">
        <f ca="1">F1646-Elec_Est!F6634</f>
        <v>0</v>
      </c>
    </row>
    <row r="1647" spans="1:7" s="631" customFormat="1">
      <c r="A1647" s="742"/>
      <c r="B1647" s="651" t="s">
        <v>966</v>
      </c>
      <c r="C1647" s="741"/>
      <c r="D1647" s="739"/>
      <c r="E1647" s="1130">
        <f ca="1">F1356</f>
        <v>10989.109999999997</v>
      </c>
      <c r="F1647" s="1123"/>
      <c r="G1647" s="1382">
        <f ca="1">E1647-Elec_Est!F6805</f>
        <v>0</v>
      </c>
    </row>
    <row r="1648" spans="1:7" s="631" customFormat="1">
      <c r="A1648" s="742"/>
      <c r="B1648" s="651" t="s">
        <v>982</v>
      </c>
      <c r="C1648" s="741"/>
      <c r="D1648" s="739"/>
      <c r="E1648" s="1130">
        <f ca="1">F1400</f>
        <v>9443.8299999999981</v>
      </c>
      <c r="F1648" s="1123"/>
      <c r="G1648" s="1382">
        <f ca="1">E1648-Elec_Est!F7035</f>
        <v>0</v>
      </c>
    </row>
    <row r="1649" spans="1:7" s="631" customFormat="1">
      <c r="A1649" s="742"/>
      <c r="B1649" s="651" t="s">
        <v>989</v>
      </c>
      <c r="C1649" s="741"/>
      <c r="D1649" s="739"/>
      <c r="E1649" s="1130">
        <f ca="1">F1428</f>
        <v>38915.999999999993</v>
      </c>
      <c r="F1649" s="1123"/>
      <c r="G1649" s="1382">
        <f ca="1">E1649-Elec_Est!F7211</f>
        <v>0</v>
      </c>
    </row>
    <row r="1650" spans="1:7" s="631" customFormat="1">
      <c r="A1650" s="742"/>
      <c r="B1650" s="651" t="s">
        <v>995</v>
      </c>
      <c r="C1650" s="741"/>
      <c r="D1650" s="739"/>
      <c r="E1650" s="1130">
        <f ca="1">F1461</f>
        <v>2914.15</v>
      </c>
      <c r="F1650" s="1123"/>
      <c r="G1650" s="1382">
        <f ca="1">E1650-Elec_Est!F7375</f>
        <v>0</v>
      </c>
    </row>
    <row r="1651" spans="1:7" s="631" customFormat="1">
      <c r="A1651" s="742"/>
      <c r="B1651" s="651" t="s">
        <v>1004</v>
      </c>
      <c r="C1651" s="741"/>
      <c r="D1651" s="739"/>
      <c r="E1651" s="1130">
        <f ca="1">F1508</f>
        <v>16031.179999999998</v>
      </c>
      <c r="F1651" s="1123"/>
      <c r="G1651" s="1382">
        <f ca="1">E1651-Elec_Est!F7621</f>
        <v>0</v>
      </c>
    </row>
    <row r="1652" spans="1:7" s="631" customFormat="1">
      <c r="A1652" s="742"/>
      <c r="B1652" s="651" t="s">
        <v>1021</v>
      </c>
      <c r="C1652" s="741"/>
      <c r="D1652" s="739"/>
      <c r="E1652" s="1130">
        <f>F1529</f>
        <v>5875.3100000000013</v>
      </c>
      <c r="F1652" s="1123"/>
      <c r="G1652" s="1382">
        <f>E1652-Elec_Est!F7727</f>
        <v>0</v>
      </c>
    </row>
    <row r="1653" spans="1:7" s="631" customFormat="1">
      <c r="A1653" s="638">
        <v>8</v>
      </c>
      <c r="B1653" s="639" t="s">
        <v>1022</v>
      </c>
      <c r="C1653" s="741"/>
      <c r="D1653" s="739"/>
      <c r="E1653" s="1130"/>
      <c r="F1653" s="1123">
        <f ca="1">SUM(E1647:E1652)</f>
        <v>84169.579999999987</v>
      </c>
      <c r="G1653" s="1383">
        <f ca="1">F1653-Elec_Est!F7733</f>
        <v>0</v>
      </c>
    </row>
    <row r="1654" spans="1:7" s="631" customFormat="1">
      <c r="A1654" s="742"/>
      <c r="B1654" s="651" t="s">
        <v>1035</v>
      </c>
      <c r="C1654" s="741"/>
      <c r="D1654" s="739"/>
      <c r="E1654" s="1130">
        <f>F1549</f>
        <v>54114.830000000016</v>
      </c>
      <c r="F1654" s="1123"/>
    </row>
    <row r="1655" spans="1:7" s="631" customFormat="1">
      <c r="A1655" s="638">
        <v>9</v>
      </c>
      <c r="B1655" s="639" t="s">
        <v>1036</v>
      </c>
      <c r="C1655" s="741"/>
      <c r="D1655" s="739"/>
      <c r="E1655" s="1130"/>
      <c r="F1655" s="1123">
        <f>E1654</f>
        <v>54114.830000000016</v>
      </c>
      <c r="G1655" s="1382">
        <f>F1655-Elec_Est!F7838</f>
        <v>0</v>
      </c>
    </row>
    <row r="1656" spans="1:7" s="631" customFormat="1">
      <c r="A1656" s="742"/>
      <c r="B1656" s="651" t="s">
        <v>1040</v>
      </c>
      <c r="C1656" s="741"/>
      <c r="D1656" s="739"/>
      <c r="E1656" s="1130">
        <f>F1560</f>
        <v>2214.09</v>
      </c>
      <c r="F1656" s="1123"/>
    </row>
    <row r="1657" spans="1:7" s="631" customFormat="1">
      <c r="A1657" s="638">
        <v>10</v>
      </c>
      <c r="B1657" s="639" t="s">
        <v>1041</v>
      </c>
      <c r="C1657" s="741"/>
      <c r="D1657" s="739"/>
      <c r="E1657" s="1130"/>
      <c r="F1657" s="1123">
        <f>E1656</f>
        <v>2214.09</v>
      </c>
      <c r="G1657" s="1382">
        <f>F1657-Elec_Est!F7888</f>
        <v>0</v>
      </c>
    </row>
    <row r="1658" spans="1:7" s="631" customFormat="1">
      <c r="A1658" s="742"/>
      <c r="B1658" s="651" t="s">
        <v>1051</v>
      </c>
      <c r="C1658" s="741"/>
      <c r="D1658" s="739"/>
      <c r="E1658" s="1130">
        <f>F1603</f>
        <v>0</v>
      </c>
      <c r="F1658" s="1123"/>
    </row>
    <row r="1659" spans="1:7" s="631" customFormat="1">
      <c r="A1659" s="638">
        <v>11</v>
      </c>
      <c r="B1659" s="639" t="s">
        <v>1052</v>
      </c>
      <c r="C1659" s="741"/>
      <c r="D1659" s="739"/>
      <c r="E1659" s="1130"/>
      <c r="F1659" s="1123">
        <f>E1658</f>
        <v>0</v>
      </c>
    </row>
    <row r="1660" spans="1:7" s="631" customFormat="1" ht="14.4" thickBot="1">
      <c r="A1660" s="703"/>
      <c r="B1660" s="629"/>
      <c r="C1660" s="628"/>
      <c r="D1660" s="628"/>
      <c r="E1660" s="1262"/>
      <c r="F1660" s="1127"/>
    </row>
    <row r="1661" spans="1:7" s="631" customFormat="1" ht="14.4" thickBot="1">
      <c r="A1661" s="1136"/>
      <c r="B1661" s="743" t="s">
        <v>1057</v>
      </c>
      <c r="C1661" s="1460" t="s">
        <v>305</v>
      </c>
      <c r="D1661" s="1461"/>
      <c r="E1661" s="1137"/>
      <c r="F1661" s="1138">
        <f ca="1">IF(SUM(F1611:F1658)=0,0,SUM(F1611:F1659))</f>
        <v>1440845.5100000002</v>
      </c>
    </row>
    <row r="1662" spans="1:7" s="631" customFormat="1">
      <c r="A1662" s="703"/>
      <c r="B1662" s="629"/>
      <c r="C1662" s="628"/>
      <c r="D1662" s="628"/>
      <c r="E1662" s="1262"/>
      <c r="F1662" s="1127"/>
    </row>
    <row r="1663" spans="1:7" ht="14.4">
      <c r="E1663" s="1490"/>
      <c r="F1663" s="1491"/>
    </row>
  </sheetData>
  <sheetProtection formatCells="0"/>
  <mergeCells count="51">
    <mergeCell ref="C176:D176"/>
    <mergeCell ref="C12:D12"/>
    <mergeCell ref="C24:D24"/>
    <mergeCell ref="C26:D26"/>
    <mergeCell ref="C81:D81"/>
    <mergeCell ref="C136:D136"/>
    <mergeCell ref="C665:D665"/>
    <mergeCell ref="C178:D178"/>
    <mergeCell ref="C226:D226"/>
    <mergeCell ref="C259:D259"/>
    <mergeCell ref="C309:D309"/>
    <mergeCell ref="C311:D311"/>
    <mergeCell ref="C348:D348"/>
    <mergeCell ref="C382:D382"/>
    <mergeCell ref="C432:D432"/>
    <mergeCell ref="C495:D495"/>
    <mergeCell ref="C561:D561"/>
    <mergeCell ref="C619:D619"/>
    <mergeCell ref="C1097:D1097"/>
    <mergeCell ref="C710:D710"/>
    <mergeCell ref="C745:D745"/>
    <mergeCell ref="C797:D797"/>
    <mergeCell ref="C850:D850"/>
    <mergeCell ref="C895:D895"/>
    <mergeCell ref="C938:D938"/>
    <mergeCell ref="C988:D988"/>
    <mergeCell ref="C1023:D1023"/>
    <mergeCell ref="C1062:D1062"/>
    <mergeCell ref="C1064:D1064"/>
    <mergeCell ref="C1095:D1095"/>
    <mergeCell ref="C1529:D1529"/>
    <mergeCell ref="C1162:D1162"/>
    <mergeCell ref="C1164:D1164"/>
    <mergeCell ref="C1228:D1228"/>
    <mergeCell ref="C1286:D1286"/>
    <mergeCell ref="C1321:D1321"/>
    <mergeCell ref="C1323:D1323"/>
    <mergeCell ref="C1356:D1356"/>
    <mergeCell ref="C1400:D1400"/>
    <mergeCell ref="C1428:D1428"/>
    <mergeCell ref="C1461:D1461"/>
    <mergeCell ref="C1508:D1508"/>
    <mergeCell ref="C1605:D1605"/>
    <mergeCell ref="C1661:D1661"/>
    <mergeCell ref="E1663:F1663"/>
    <mergeCell ref="C1531:D1531"/>
    <mergeCell ref="C1549:D1549"/>
    <mergeCell ref="C1551:D1551"/>
    <mergeCell ref="C1560:D1560"/>
    <mergeCell ref="C1562:D1562"/>
    <mergeCell ref="C1603:D1603"/>
  </mergeCells>
  <printOptions horizontalCentered="1"/>
  <pageMargins left="0.70866141732283472" right="0.70866141732283472" top="0.74803149606299213" bottom="0.55118110236220474" header="0.31496062992125984" footer="0.31496062992125984"/>
  <pageSetup paperSize="9" scale="46" orientation="portrait" horizontalDpi="300" verticalDpi="300" r:id="rId1"/>
  <headerFooter>
    <oddHeader>&amp;LQuintano Foods Ltd&amp;RMEP BoQ</oddHeader>
    <oddFooter>&amp;LCAMILLERI &amp;&amp; CUSCHIERI Consulting Engineers&amp;R&amp;P</oddFooter>
  </headerFooter>
  <rowBreaks count="38" manualBreakCount="38">
    <brk id="13" max="16383" man="1"/>
    <brk id="27" max="16383" man="1"/>
    <brk id="82" max="16383" man="1"/>
    <brk id="137" max="16383" man="1"/>
    <brk id="179" max="16383" man="1"/>
    <brk id="227" max="16383" man="1"/>
    <brk id="260" max="16383" man="1"/>
    <brk id="312" max="16383" man="1"/>
    <brk id="349" max="16383" man="1"/>
    <brk id="383" max="16383" man="1"/>
    <brk id="433" max="16383" man="1"/>
    <brk id="496" max="16383" man="1"/>
    <brk id="562" max="16383" man="1"/>
    <brk id="620" max="16383" man="1"/>
    <brk id="666" max="16383" man="1"/>
    <brk id="711" max="16383" man="1"/>
    <brk id="746" max="16383" man="1"/>
    <brk id="798" max="16383" man="1"/>
    <brk id="851" max="16383" man="1"/>
    <brk id="896" max="16383" man="1"/>
    <brk id="939" max="16383" man="1"/>
    <brk id="989" max="16383" man="1"/>
    <brk id="1024" max="16383" man="1"/>
    <brk id="1065" max="16383" man="1"/>
    <brk id="1098" max="16383" man="1"/>
    <brk id="1165" max="16383" man="1"/>
    <brk id="1229" max="16383" man="1"/>
    <brk id="1287" max="16383" man="1"/>
    <brk id="1324" max="16383" man="1"/>
    <brk id="1357" max="16383" man="1"/>
    <brk id="1401" max="16383" man="1"/>
    <brk id="1429" max="16383" man="1"/>
    <brk id="1462" max="16383" man="1"/>
    <brk id="1509" max="16383" man="1"/>
    <brk id="1532" max="16383" man="1"/>
    <brk id="1552" max="16383" man="1"/>
    <brk id="1563" max="16383" man="1"/>
    <brk id="160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0ECA-A494-4D2D-816F-4F7DC9313627}">
  <dimension ref="A1:F153"/>
  <sheetViews>
    <sheetView topLeftCell="A131" workbookViewId="0">
      <selection activeCell="F164" sqref="F164"/>
    </sheetView>
  </sheetViews>
  <sheetFormatPr defaultColWidth="9.33203125" defaultRowHeight="13.8"/>
  <cols>
    <col min="1" max="1" width="9.33203125" style="883" customWidth="1"/>
    <col min="2" max="2" width="60.6640625" style="627" customWidth="1"/>
    <col min="3" max="4" width="9.44140625" style="623" customWidth="1"/>
    <col min="5" max="5" width="12.6640625" style="625" customWidth="1"/>
    <col min="6" max="6" width="15.109375" style="626" customWidth="1"/>
    <col min="7" max="16384" width="9.33203125" style="627"/>
  </cols>
  <sheetData>
    <row r="1" spans="1:6">
      <c r="A1" s="673"/>
      <c r="B1" s="860"/>
    </row>
    <row r="2" spans="1:6" s="631" customFormat="1" ht="14.4">
      <c r="A2" s="703"/>
      <c r="B2" s="861" t="s">
        <v>3439</v>
      </c>
      <c r="C2" s="628"/>
      <c r="D2" s="628"/>
      <c r="E2" s="1238"/>
      <c r="F2" s="1347"/>
    </row>
    <row r="3" spans="1:6" s="631" customFormat="1">
      <c r="A3" s="628"/>
      <c r="B3" s="632"/>
      <c r="C3" s="628"/>
      <c r="D3" s="628"/>
      <c r="E3" s="633"/>
      <c r="F3" s="630"/>
    </row>
    <row r="4" spans="1:6" s="631" customFormat="1" ht="27.6">
      <c r="A4" s="634" t="s">
        <v>143</v>
      </c>
      <c r="B4" s="635" t="s">
        <v>198</v>
      </c>
      <c r="C4" s="636" t="s">
        <v>199</v>
      </c>
      <c r="D4" s="636" t="s">
        <v>200</v>
      </c>
      <c r="E4" s="637" t="s">
        <v>294</v>
      </c>
      <c r="F4" s="1122" t="s">
        <v>295</v>
      </c>
    </row>
    <row r="5" spans="1:6" s="631" customFormat="1">
      <c r="A5" s="638">
        <v>1</v>
      </c>
      <c r="B5" s="639" t="s">
        <v>296</v>
      </c>
      <c r="C5" s="640"/>
      <c r="D5" s="640"/>
      <c r="E5" s="641"/>
      <c r="F5" s="1123"/>
    </row>
    <row r="6" spans="1:6" s="631" customFormat="1" ht="27.6">
      <c r="A6" s="643"/>
      <c r="B6" s="644" t="s">
        <v>297</v>
      </c>
      <c r="C6" s="645"/>
      <c r="D6" s="646"/>
      <c r="E6" s="647"/>
      <c r="F6" s="1124"/>
    </row>
    <row r="7" spans="1:6" s="631" customFormat="1" ht="69">
      <c r="A7" s="643">
        <f ca="1">IFERROR(IF(OFFSET(A7,-1,0)&gt;0,OFFSET(A7,-1,0)+0.001,ERROR.TYPE(0)),IFERROR(IF(OFFSET(A7,-2,0)&gt;0,OFFSET(A7,-2,0)+0.001,ERROR.TYPE(0)),IFERROR(IF(OFFSET(A7,-3,0)&gt;0,OFFSET(A7,-3,0)+0.001,ERROR.TYPE(0)),IFERROR(IF(OFFSET(A7,-4,0)&gt;0,OFFSET(A7,-4,0)+0.001,ERROR.TYPE(0)),IFERROR(IF(OFFSET(A7,-5,0)&gt;0,OFFSET(A7,-5,0)+0.001,ERROR.TYPE(0)),IFERROR(IF(OFFSET(A7,-6,0)&gt;0,OFFSET(A7,-6,0)+0.001,ERROR.TYPE(0)),IFERROR(IF(OFFSET(A7,-7,0)&gt;0,OFFSET(A7,-7,0)+0.001,ERROR.TYPE(0)),IFERROR(IF(OFFSET(A7,-8,0)&gt;0,OFFSET(A7,-8,0)+0.001,ERROR.TYPE(0)),IFERROR(IF(OFFSET(A7,-9,0)&gt;0,OFFSET(A7,-9,0)+0.001,ERROR.TYPE(0)),IFERROR(IF(OFFSET(A7,-10,0)&gt;0,OFFSET(A7,-10,0)+0.001,ERROR.TYPE(0)),ERROR.TYPE(0)))))))))))</f>
        <v>1.0009999999999999</v>
      </c>
      <c r="B7" s="648" t="s">
        <v>298</v>
      </c>
      <c r="C7" s="646">
        <v>1</v>
      </c>
      <c r="D7" s="646" t="s">
        <v>299</v>
      </c>
      <c r="E7" s="649"/>
      <c r="F7" s="1130">
        <f t="shared" ref="F7:F11" si="0">IFERROR($C7*E7,E7)</f>
        <v>0</v>
      </c>
    </row>
    <row r="8" spans="1:6" s="631" customFormat="1" ht="262.2">
      <c r="A8" s="643">
        <f t="shared" ref="A8:A11" ca="1" si="1">IFERROR(IF(OFFSET(A8,-1,0)&gt;0,OFFSET(A8,-1,0)+0.001,ERROR.TYPE(0)),IFERROR(IF(OFFSET(A8,-2,0)&gt;0,OFFSET(A8,-2,0)+0.001,ERROR.TYPE(0)),IFERROR(IF(OFFSET(A8,-3,0)&gt;0,OFFSET(A8,-3,0)+0.001,ERROR.TYPE(0)),IFERROR(IF(OFFSET(A8,-4,0)&gt;0,OFFSET(A8,-4,0)+0.001,ERROR.TYPE(0)),IFERROR(IF(OFFSET(A8,-5,0)&gt;0,OFFSET(A8,-5,0)+0.001,ERROR.TYPE(0)),IFERROR(IF(OFFSET(A8,-6,0)&gt;0,OFFSET(A8,-6,0)+0.001,ERROR.TYPE(0)),IFERROR(IF(OFFSET(A8,-7,0)&gt;0,OFFSET(A8,-7,0)+0.001,ERROR.TYPE(0)),IFERROR(IF(OFFSET(A8,-8,0)&gt;0,OFFSET(A8,-8,0)+0.001,ERROR.TYPE(0)),IFERROR(IF(OFFSET(A8,-9,0)&gt;0,OFFSET(A8,-9,0)+0.001,ERROR.TYPE(0)),IFERROR(IF(OFFSET(A8,-10,0)&gt;0,OFFSET(A8,-10,0)+0.001,ERROR.TYPE(0)),ERROR.TYPE(0)))))))))))</f>
        <v>1.0019999999999998</v>
      </c>
      <c r="B8" s="651" t="s">
        <v>300</v>
      </c>
      <c r="C8" s="646">
        <v>1</v>
      </c>
      <c r="D8" s="646" t="s">
        <v>299</v>
      </c>
      <c r="E8" s="649"/>
      <c r="F8" s="1130">
        <f t="shared" si="0"/>
        <v>0</v>
      </c>
    </row>
    <row r="9" spans="1:6" s="631" customFormat="1" ht="82.8">
      <c r="A9" s="643">
        <f t="shared" ca="1" si="1"/>
        <v>1.0029999999999997</v>
      </c>
      <c r="B9" s="648" t="s">
        <v>301</v>
      </c>
      <c r="C9" s="646">
        <v>1</v>
      </c>
      <c r="D9" s="646" t="s">
        <v>299</v>
      </c>
      <c r="E9" s="649"/>
      <c r="F9" s="1130">
        <f t="shared" si="0"/>
        <v>0</v>
      </c>
    </row>
    <row r="10" spans="1:6" s="631" customFormat="1" ht="82.8">
      <c r="A10" s="643">
        <f t="shared" ca="1" si="1"/>
        <v>1.0039999999999996</v>
      </c>
      <c r="B10" s="648" t="s">
        <v>302</v>
      </c>
      <c r="C10" s="646">
        <v>1</v>
      </c>
      <c r="D10" s="646" t="s">
        <v>299</v>
      </c>
      <c r="E10" s="649"/>
      <c r="F10" s="1130">
        <f t="shared" si="0"/>
        <v>0</v>
      </c>
    </row>
    <row r="11" spans="1:6" s="631" customFormat="1" ht="55.2">
      <c r="A11" s="643">
        <f t="shared" ca="1" si="1"/>
        <v>1.0049999999999994</v>
      </c>
      <c r="B11" s="648" t="s">
        <v>303</v>
      </c>
      <c r="C11" s="646">
        <v>1</v>
      </c>
      <c r="D11" s="646" t="s">
        <v>299</v>
      </c>
      <c r="E11" s="649"/>
      <c r="F11" s="1130">
        <f t="shared" si="0"/>
        <v>0</v>
      </c>
    </row>
    <row r="12" spans="1:6" s="631" customFormat="1">
      <c r="A12" s="638"/>
      <c r="B12" s="639" t="s">
        <v>304</v>
      </c>
      <c r="C12" s="1456" t="s">
        <v>305</v>
      </c>
      <c r="D12" s="1457"/>
      <c r="E12" s="652"/>
      <c r="F12" s="1123">
        <f>SUM(F7:F11)</f>
        <v>0</v>
      </c>
    </row>
    <row r="13" spans="1:6" s="631" customFormat="1">
      <c r="A13" s="653"/>
      <c r="B13" s="632"/>
      <c r="C13" s="654"/>
      <c r="D13" s="654"/>
      <c r="E13" s="655"/>
      <c r="F13" s="1126"/>
    </row>
    <row r="14" spans="1:6" s="631" customFormat="1">
      <c r="A14" s="653"/>
      <c r="B14" s="632"/>
      <c r="C14" s="654"/>
      <c r="D14" s="654"/>
      <c r="E14" s="655"/>
      <c r="F14" s="1126"/>
    </row>
    <row r="15" spans="1:6" s="631" customFormat="1" ht="27.6">
      <c r="A15" s="634" t="s">
        <v>143</v>
      </c>
      <c r="B15" s="635" t="s">
        <v>198</v>
      </c>
      <c r="C15" s="636" t="s">
        <v>199</v>
      </c>
      <c r="D15" s="636" t="s">
        <v>200</v>
      </c>
      <c r="E15" s="637" t="s">
        <v>294</v>
      </c>
      <c r="F15" s="1122" t="s">
        <v>295</v>
      </c>
    </row>
    <row r="16" spans="1:6" s="631" customFormat="1" ht="82.8">
      <c r="A16" s="643">
        <f t="shared" ref="A16:A23" ca="1" si="2">IFERROR(IF(OFFSET(A16,-1,0)&gt;0,OFFSET(A16,-1,0)+0.001,ERROR.TYPE(0)),IFERROR(IF(OFFSET(A16,-2,0)&gt;0,OFFSET(A16,-2,0)+0.001,ERROR.TYPE(0)),IFERROR(IF(OFFSET(A16,-3,0)&gt;0,OFFSET(A16,-3,0)+0.001,ERROR.TYPE(0)),IFERROR(IF(OFFSET(A16,-4,0)&gt;0,OFFSET(A16,-4,0)+0.001,ERROR.TYPE(0)),IFERROR(IF(OFFSET(A16,-5,0)&gt;0,OFFSET(A16,-5,0)+0.001,ERROR.TYPE(0)),IFERROR(IF(OFFSET(A16,-6,0)&gt;0,OFFSET(A16,-6,0)+0.001,ERROR.TYPE(0)),IFERROR(IF(OFFSET(A16,-7,0)&gt;0,OFFSET(A16,-7,0)+0.001,ERROR.TYPE(0)),IFERROR(IF(OFFSET(A16,-8,0)&gt;0,OFFSET(A16,-8,0)+0.001,ERROR.TYPE(0)),IFERROR(IF(OFFSET(A16,-9,0)&gt;0,OFFSET(A16,-9,0)+0.001,ERROR.TYPE(0)),IFERROR(IF(OFFSET(A16,-10,0)&gt;0,OFFSET(A16,-10,0)+0.001,ERROR.TYPE(0)),ERROR.TYPE(0)))))))))))</f>
        <v>1.0059999999999993</v>
      </c>
      <c r="B16" s="648" t="s">
        <v>306</v>
      </c>
      <c r="C16" s="646">
        <v>1</v>
      </c>
      <c r="D16" s="646" t="s">
        <v>299</v>
      </c>
      <c r="E16" s="649"/>
      <c r="F16" s="1130">
        <f t="shared" ref="F16:F23" si="3">IFERROR($C16*E16,E16)</f>
        <v>0</v>
      </c>
    </row>
    <row r="17" spans="1:6" s="631" customFormat="1" ht="57.6" customHeight="1">
      <c r="A17" s="643">
        <f t="shared" ca="1" si="2"/>
        <v>1.0069999999999992</v>
      </c>
      <c r="B17" s="648" t="s">
        <v>307</v>
      </c>
      <c r="C17" s="646">
        <v>1</v>
      </c>
      <c r="D17" s="646" t="s">
        <v>299</v>
      </c>
      <c r="E17" s="649"/>
      <c r="F17" s="1130">
        <f t="shared" si="3"/>
        <v>0</v>
      </c>
    </row>
    <row r="18" spans="1:6" s="631" customFormat="1" ht="55.2">
      <c r="A18" s="643">
        <f t="shared" ca="1" si="2"/>
        <v>1.0079999999999991</v>
      </c>
      <c r="B18" s="648" t="s">
        <v>308</v>
      </c>
      <c r="C18" s="646">
        <v>1</v>
      </c>
      <c r="D18" s="646" t="s">
        <v>299</v>
      </c>
      <c r="E18" s="649"/>
      <c r="F18" s="1130">
        <f t="shared" si="3"/>
        <v>0</v>
      </c>
    </row>
    <row r="19" spans="1:6" s="631" customFormat="1" ht="108.6" customHeight="1">
      <c r="A19" s="643">
        <f t="shared" ca="1" si="2"/>
        <v>1.008999999999999</v>
      </c>
      <c r="B19" s="648" t="s">
        <v>309</v>
      </c>
      <c r="C19" s="646">
        <v>1</v>
      </c>
      <c r="D19" s="646" t="s">
        <v>299</v>
      </c>
      <c r="E19" s="649"/>
      <c r="F19" s="1130">
        <f t="shared" si="3"/>
        <v>0</v>
      </c>
    </row>
    <row r="20" spans="1:6" s="631" customFormat="1" ht="55.2">
      <c r="A20" s="643">
        <f t="shared" ca="1" si="2"/>
        <v>1.0099999999999989</v>
      </c>
      <c r="B20" s="656" t="s">
        <v>310</v>
      </c>
      <c r="C20" s="646">
        <v>1</v>
      </c>
      <c r="D20" s="646" t="s">
        <v>299</v>
      </c>
      <c r="E20" s="649"/>
      <c r="F20" s="1130">
        <f t="shared" si="3"/>
        <v>0</v>
      </c>
    </row>
    <row r="21" spans="1:6" s="658" customFormat="1" ht="27.6">
      <c r="A21" s="643">
        <f t="shared" ca="1" si="2"/>
        <v>1.0109999999999988</v>
      </c>
      <c r="B21" s="657" t="s">
        <v>311</v>
      </c>
      <c r="C21" s="646">
        <v>1</v>
      </c>
      <c r="D21" s="646" t="s">
        <v>299</v>
      </c>
      <c r="E21" s="649"/>
      <c r="F21" s="1130">
        <f t="shared" si="3"/>
        <v>0</v>
      </c>
    </row>
    <row r="22" spans="1:6" s="631" customFormat="1" ht="41.4">
      <c r="A22" s="643">
        <f t="shared" ca="1" si="2"/>
        <v>1.0119999999999987</v>
      </c>
      <c r="B22" s="656" t="s">
        <v>312</v>
      </c>
      <c r="C22" s="646">
        <v>1</v>
      </c>
      <c r="D22" s="646" t="s">
        <v>299</v>
      </c>
      <c r="E22" s="649"/>
      <c r="F22" s="1130">
        <f t="shared" si="3"/>
        <v>0</v>
      </c>
    </row>
    <row r="23" spans="1:6" s="631" customFormat="1" ht="41.4">
      <c r="A23" s="643">
        <f t="shared" ca="1" si="2"/>
        <v>1.0129999999999986</v>
      </c>
      <c r="B23" s="656" t="s">
        <v>313</v>
      </c>
      <c r="C23" s="646">
        <v>1</v>
      </c>
      <c r="D23" s="646" t="s">
        <v>299</v>
      </c>
      <c r="E23" s="649"/>
      <c r="F23" s="1130">
        <f t="shared" si="3"/>
        <v>0</v>
      </c>
    </row>
    <row r="24" spans="1:6" s="631" customFormat="1" ht="14.85" customHeight="1">
      <c r="A24" s="638"/>
      <c r="B24" s="639" t="s">
        <v>314</v>
      </c>
      <c r="C24" s="1456" t="s">
        <v>305</v>
      </c>
      <c r="D24" s="1457"/>
      <c r="E24" s="652"/>
      <c r="F24" s="1123">
        <f>SUM(F16:F23)</f>
        <v>0</v>
      </c>
    </row>
    <row r="25" spans="1:6" s="631" customFormat="1">
      <c r="A25" s="653"/>
      <c r="B25" s="632"/>
      <c r="C25" s="654"/>
      <c r="D25" s="654"/>
      <c r="E25" s="655"/>
      <c r="F25" s="1126"/>
    </row>
    <row r="26" spans="1:6" s="631" customFormat="1" ht="14.85" customHeight="1">
      <c r="A26" s="638"/>
      <c r="B26" s="639" t="s">
        <v>315</v>
      </c>
      <c r="C26" s="1456" t="s">
        <v>305</v>
      </c>
      <c r="D26" s="1457"/>
      <c r="E26" s="659"/>
      <c r="F26" s="1123">
        <f>F24+F12</f>
        <v>0</v>
      </c>
    </row>
    <row r="27" spans="1:6" s="631" customFormat="1" ht="14.85" customHeight="1">
      <c r="A27" s="660"/>
      <c r="B27" s="629"/>
      <c r="C27" s="661"/>
      <c r="D27" s="654"/>
      <c r="E27" s="662"/>
      <c r="F27" s="1127"/>
    </row>
    <row r="28" spans="1:6">
      <c r="A28" s="673"/>
    </row>
    <row r="29" spans="1:6" s="713" customFormat="1" ht="27.6">
      <c r="A29" s="634" t="s">
        <v>143</v>
      </c>
      <c r="B29" s="635" t="s">
        <v>198</v>
      </c>
      <c r="C29" s="636" t="s">
        <v>199</v>
      </c>
      <c r="D29" s="636" t="s">
        <v>200</v>
      </c>
      <c r="E29" s="637" t="s">
        <v>294</v>
      </c>
      <c r="F29" s="1122" t="s">
        <v>1023</v>
      </c>
    </row>
    <row r="30" spans="1:6" s="713" customFormat="1">
      <c r="A30" s="638">
        <v>2</v>
      </c>
      <c r="B30" s="714" t="s">
        <v>3440</v>
      </c>
      <c r="C30" s="640"/>
      <c r="D30" s="640"/>
      <c r="E30" s="641"/>
      <c r="F30" s="1128"/>
    </row>
    <row r="31" spans="1:6" s="713" customFormat="1" ht="55.2">
      <c r="A31" s="671"/>
      <c r="B31" s="871" t="s">
        <v>3441</v>
      </c>
      <c r="C31" s="680"/>
      <c r="D31" s="680"/>
      <c r="E31" s="1129"/>
      <c r="F31" s="1130"/>
    </row>
    <row r="32" spans="1:6" s="713" customFormat="1">
      <c r="A32" s="671">
        <f t="shared" ref="A32:A92" ca="1" si="4">IFERROR(IF(OFFSET(A32,-1,0)&gt;0,OFFSET(A32,-1,0)+0.001,ERROR.TYPE(0)),IFERROR(IF(OFFSET(A32,-2,0)&gt;0,OFFSET(A32,-2,0)+0.001,ERROR.TYPE(0)),IFERROR(IF(OFFSET(A32,-3,0)&gt;0,OFFSET(A32,-3,0)+0.001,ERROR.TYPE(0)),IFERROR(IF(OFFSET(A32,-4,0)&gt;0,OFFSET(A32,-4,0)+0.001,ERROR.TYPE(0)),IFERROR(IF(OFFSET(A32,-5,0)&gt;0,OFFSET(A32,-5,0)+0.001,ERROR.TYPE(0)),IFERROR(IF(OFFSET(A32,-6,0)&gt;0,OFFSET(A32,-6,0)+0.001,ERROR.TYPE(0)),IFERROR(IF(OFFSET(A32,-7,0)&gt;0,OFFSET(A32,-7,0)+0.001,ERROR.TYPE(0)),IFERROR(IF(OFFSET(A32,-8,0)&gt;0,OFFSET(A32,-8,0)+0.001,ERROR.TYPE(0)),IFERROR(IF(OFFSET(A32,-9,0)&gt;0,OFFSET(A32,-9,0)+0.001,ERROR.TYPE(0)),IFERROR(IF(OFFSET(A32,-10,0)&gt;0,OFFSET(A32,-10,0)+0.001,ERROR.TYPE(0)),ERROR.TYPE(0)))))))))))</f>
        <v>2.0009999999999999</v>
      </c>
      <c r="B32" s="648" t="s">
        <v>3442</v>
      </c>
      <c r="C32" s="680">
        <v>5</v>
      </c>
      <c r="D32" s="680" t="s">
        <v>141</v>
      </c>
      <c r="E32" s="1129">
        <f>Fire_Stopping_Est!E23</f>
        <v>57.02</v>
      </c>
      <c r="F32" s="1130">
        <f t="shared" ref="F32:F92" si="5">IFERROR($C32*E32,E32)</f>
        <v>285.10000000000002</v>
      </c>
    </row>
    <row r="33" spans="1:6" s="713" customFormat="1">
      <c r="A33" s="671">
        <f t="shared" ca="1" si="4"/>
        <v>2.0019999999999998</v>
      </c>
      <c r="B33" s="648" t="s">
        <v>932</v>
      </c>
      <c r="C33" s="680">
        <v>5</v>
      </c>
      <c r="D33" s="680" t="s">
        <v>141</v>
      </c>
      <c r="E33" s="1129">
        <f>Fire_Stopping_Est!E29</f>
        <v>55.75</v>
      </c>
      <c r="F33" s="1130">
        <f t="shared" si="5"/>
        <v>278.75</v>
      </c>
    </row>
    <row r="34" spans="1:6" s="713" customFormat="1">
      <c r="A34" s="671">
        <f ca="1">IFERROR(IF(OFFSET(A34,-1,0)&gt;0,OFFSET(A34,-1,0)+0.001,ERROR.TYPE(0)),IFERROR(IF(OFFSET(A34,-2,0)&gt;0,OFFSET(A34,-2,0)+0.001,ERROR.TYPE(0)),IFERROR(IF(OFFSET(A34,-3,0)&gt;0,OFFSET(A34,-3,0)+0.001,ERROR.TYPE(0)),IFERROR(IF(OFFSET(A34,-4,0)&gt;0,OFFSET(A34,-4,0)+0.001,ERROR.TYPE(0)),IFERROR(IF(OFFSET(A34,-5,0)&gt;0,OFFSET(A34,-5,0)+0.001,ERROR.TYPE(0)),IFERROR(IF(OFFSET(A34,-6,0)&gt;0,OFFSET(A34,-6,0)+0.001,ERROR.TYPE(0)),IFERROR(IF(OFFSET(A34,-7,0)&gt;0,OFFSET(A34,-7,0)+0.001,ERROR.TYPE(0)),IFERROR(IF(OFFSET(A34,-8,0)&gt;0,OFFSET(A34,-8,0)+0.001,ERROR.TYPE(0)),IFERROR(IF(OFFSET(A34,-9,0)&gt;0,OFFSET(A34,-9,0)+0.001,ERROR.TYPE(0)),IFERROR(IF(OFFSET(A34,-10,0)&gt;0,OFFSET(A34,-10,0)+0.001,ERROR.TYPE(0)),ERROR.TYPE(0)))))))))))</f>
        <v>2.0029999999999997</v>
      </c>
      <c r="B34" s="648" t="s">
        <v>3443</v>
      </c>
      <c r="C34" s="680">
        <v>5</v>
      </c>
      <c r="D34" s="680" t="s">
        <v>141</v>
      </c>
      <c r="E34" s="1129">
        <f>Fire_Stopping_Est!E35</f>
        <v>65.87</v>
      </c>
      <c r="F34" s="1130">
        <f t="shared" si="5"/>
        <v>329.35</v>
      </c>
    </row>
    <row r="35" spans="1:6" s="713" customFormat="1">
      <c r="A35" s="671">
        <f t="shared" ca="1" si="4"/>
        <v>2.0039999999999996</v>
      </c>
      <c r="B35" s="648" t="s">
        <v>3444</v>
      </c>
      <c r="C35" s="680">
        <v>5</v>
      </c>
      <c r="D35" s="680" t="s">
        <v>141</v>
      </c>
      <c r="E35" s="1129">
        <f>Fire_Stopping_Est!E41</f>
        <v>60.8</v>
      </c>
      <c r="F35" s="1130">
        <f t="shared" si="5"/>
        <v>304</v>
      </c>
    </row>
    <row r="36" spans="1:6" s="713" customFormat="1">
      <c r="A36" s="671">
        <f ca="1">IFERROR(IF(OFFSET(A36,-1,0)&gt;0,OFFSET(A36,-1,0)+0.001,ERROR.TYPE(0)),IFERROR(IF(OFFSET(A36,-2,0)&gt;0,OFFSET(A36,-2,0)+0.001,ERROR.TYPE(0)),IFERROR(IF(OFFSET(A36,-3,0)&gt;0,OFFSET(A36,-3,0)+0.001,ERROR.TYPE(0)),IFERROR(IF(OFFSET(A36,-4,0)&gt;0,OFFSET(A36,-4,0)+0.001,ERROR.TYPE(0)),IFERROR(IF(OFFSET(A36,-5,0)&gt;0,OFFSET(A36,-5,0)+0.001,ERROR.TYPE(0)),IFERROR(IF(OFFSET(A36,-6,0)&gt;0,OFFSET(A36,-6,0)+0.001,ERROR.TYPE(0)),IFERROR(IF(OFFSET(A36,-7,0)&gt;0,OFFSET(A36,-7,0)+0.001,ERROR.TYPE(0)),IFERROR(IF(OFFSET(A36,-8,0)&gt;0,OFFSET(A36,-8,0)+0.001,ERROR.TYPE(0)),IFERROR(IF(OFFSET(A36,-9,0)&gt;0,OFFSET(A36,-9,0)+0.001,ERROR.TYPE(0)),IFERROR(IF(OFFSET(A36,-10,0)&gt;0,OFFSET(A36,-10,0)+0.001,ERROR.TYPE(0)),ERROR.TYPE(0)))))))))))</f>
        <v>2.0049999999999994</v>
      </c>
      <c r="B36" s="648" t="s">
        <v>3445</v>
      </c>
      <c r="C36" s="680">
        <v>5</v>
      </c>
      <c r="D36" s="680" t="s">
        <v>141</v>
      </c>
      <c r="E36" s="1129">
        <f>Fire_Stopping_Est!E47</f>
        <v>75.97</v>
      </c>
      <c r="F36" s="1130">
        <f t="shared" si="5"/>
        <v>379.85</v>
      </c>
    </row>
    <row r="37" spans="1:6" s="713" customFormat="1">
      <c r="A37" s="671">
        <f t="shared" ca="1" si="4"/>
        <v>2.0059999999999993</v>
      </c>
      <c r="B37" s="648" t="s">
        <v>3446</v>
      </c>
      <c r="C37" s="680">
        <v>5</v>
      </c>
      <c r="D37" s="680" t="s">
        <v>141</v>
      </c>
      <c r="E37" s="1129">
        <f>Fire_Stopping_Est!E53</f>
        <v>91.13</v>
      </c>
      <c r="F37" s="1130">
        <f t="shared" si="5"/>
        <v>455.65</v>
      </c>
    </row>
    <row r="38" spans="1:6" s="713" customFormat="1">
      <c r="A38" s="671">
        <f ca="1">IFERROR(IF(OFFSET(A38,-1,0)&gt;0,OFFSET(A38,-1,0)+0.001,ERROR.TYPE(0)),IFERROR(IF(OFFSET(A38,-2,0)&gt;0,OFFSET(A38,-2,0)+0.001,ERROR.TYPE(0)),IFERROR(IF(OFFSET(A38,-3,0)&gt;0,OFFSET(A38,-3,0)+0.001,ERROR.TYPE(0)),IFERROR(IF(OFFSET(A38,-4,0)&gt;0,OFFSET(A38,-4,0)+0.001,ERROR.TYPE(0)),IFERROR(IF(OFFSET(A38,-5,0)&gt;0,OFFSET(A38,-5,0)+0.001,ERROR.TYPE(0)),IFERROR(IF(OFFSET(A38,-6,0)&gt;0,OFFSET(A38,-6,0)+0.001,ERROR.TYPE(0)),IFERROR(IF(OFFSET(A38,-7,0)&gt;0,OFFSET(A38,-7,0)+0.001,ERROR.TYPE(0)),IFERROR(IF(OFFSET(A38,-8,0)&gt;0,OFFSET(A38,-8,0)+0.001,ERROR.TYPE(0)),IFERROR(IF(OFFSET(A38,-9,0)&gt;0,OFFSET(A38,-9,0)+0.001,ERROR.TYPE(0)),IFERROR(IF(OFFSET(A38,-10,0)&gt;0,OFFSET(A38,-10,0)+0.001,ERROR.TYPE(0)),ERROR.TYPE(0)))))))))))</f>
        <v>2.0069999999999992</v>
      </c>
      <c r="B38" s="648" t="s">
        <v>933</v>
      </c>
      <c r="C38" s="680">
        <v>5</v>
      </c>
      <c r="D38" s="680" t="s">
        <v>141</v>
      </c>
      <c r="E38" s="1129">
        <f>Fire_Stopping_Est!E59</f>
        <v>65.87</v>
      </c>
      <c r="F38" s="1130">
        <f t="shared" si="5"/>
        <v>329.35</v>
      </c>
    </row>
    <row r="39" spans="1:6" s="713" customFormat="1">
      <c r="A39" s="671">
        <f t="shared" ca="1" si="4"/>
        <v>2.0079999999999991</v>
      </c>
      <c r="B39" s="648" t="s">
        <v>3447</v>
      </c>
      <c r="C39" s="680">
        <v>5</v>
      </c>
      <c r="D39" s="680" t="s">
        <v>141</v>
      </c>
      <c r="E39" s="1129">
        <f>Fire_Stopping_Est!E65</f>
        <v>86.08</v>
      </c>
      <c r="F39" s="1130">
        <f t="shared" si="5"/>
        <v>430.4</v>
      </c>
    </row>
    <row r="40" spans="1:6" s="713" customFormat="1">
      <c r="A40" s="671">
        <f ca="1">IFERROR(IF(OFFSET(A40,-1,0)&gt;0,OFFSET(A40,-1,0)+0.001,ERROR.TYPE(0)),IFERROR(IF(OFFSET(A40,-2,0)&gt;0,OFFSET(A40,-2,0)+0.001,ERROR.TYPE(0)),IFERROR(IF(OFFSET(A40,-3,0)&gt;0,OFFSET(A40,-3,0)+0.001,ERROR.TYPE(0)),IFERROR(IF(OFFSET(A40,-4,0)&gt;0,OFFSET(A40,-4,0)+0.001,ERROR.TYPE(0)),IFERROR(IF(OFFSET(A40,-5,0)&gt;0,OFFSET(A40,-5,0)+0.001,ERROR.TYPE(0)),IFERROR(IF(OFFSET(A40,-6,0)&gt;0,OFFSET(A40,-6,0)+0.001,ERROR.TYPE(0)),IFERROR(IF(OFFSET(A40,-7,0)&gt;0,OFFSET(A40,-7,0)+0.001,ERROR.TYPE(0)),IFERROR(IF(OFFSET(A40,-8,0)&gt;0,OFFSET(A40,-8,0)+0.001,ERROR.TYPE(0)),IFERROR(IF(OFFSET(A40,-9,0)&gt;0,OFFSET(A40,-9,0)+0.001,ERROR.TYPE(0)),IFERROR(IF(OFFSET(A40,-10,0)&gt;0,OFFSET(A40,-10,0)+0.001,ERROR.TYPE(0)),ERROR.TYPE(0)))))))))))</f>
        <v>2.008999999999999</v>
      </c>
      <c r="B40" s="648" t="s">
        <v>3448</v>
      </c>
      <c r="C40" s="680">
        <v>5</v>
      </c>
      <c r="D40" s="680" t="s">
        <v>141</v>
      </c>
      <c r="E40" s="1129">
        <f>Fire_Stopping_Est!E71</f>
        <v>106.3</v>
      </c>
      <c r="F40" s="1130">
        <f t="shared" si="5"/>
        <v>531.5</v>
      </c>
    </row>
    <row r="41" spans="1:6" s="713" customFormat="1">
      <c r="A41" s="671">
        <f t="shared" ca="1" si="4"/>
        <v>2.0099999999999989</v>
      </c>
      <c r="B41" s="648" t="s">
        <v>3449</v>
      </c>
      <c r="C41" s="680">
        <v>5</v>
      </c>
      <c r="D41" s="680" t="s">
        <v>141</v>
      </c>
      <c r="E41" s="1129">
        <f>Fire_Stopping_Est!E77</f>
        <v>126.51</v>
      </c>
      <c r="F41" s="1130">
        <f t="shared" si="5"/>
        <v>632.55000000000007</v>
      </c>
    </row>
    <row r="42" spans="1:6" s="713" customFormat="1">
      <c r="A42" s="671">
        <f ca="1">IFERROR(IF(OFFSET(A42,-1,0)&gt;0,OFFSET(A42,-1,0)+0.001,ERROR.TYPE(0)),IFERROR(IF(OFFSET(A42,-2,0)&gt;0,OFFSET(A42,-2,0)+0.001,ERROR.TYPE(0)),IFERROR(IF(OFFSET(A42,-3,0)&gt;0,OFFSET(A42,-3,0)+0.001,ERROR.TYPE(0)),IFERROR(IF(OFFSET(A42,-4,0)&gt;0,OFFSET(A42,-4,0)+0.001,ERROR.TYPE(0)),IFERROR(IF(OFFSET(A42,-5,0)&gt;0,OFFSET(A42,-5,0)+0.001,ERROR.TYPE(0)),IFERROR(IF(OFFSET(A42,-6,0)&gt;0,OFFSET(A42,-6,0)+0.001,ERROR.TYPE(0)),IFERROR(IF(OFFSET(A42,-7,0)&gt;0,OFFSET(A42,-7,0)+0.001,ERROR.TYPE(0)),IFERROR(IF(OFFSET(A42,-8,0)&gt;0,OFFSET(A42,-8,0)+0.001,ERROR.TYPE(0)),IFERROR(IF(OFFSET(A42,-9,0)&gt;0,OFFSET(A42,-9,0)+0.001,ERROR.TYPE(0)),IFERROR(IF(OFFSET(A42,-10,0)&gt;0,OFFSET(A42,-10,0)+0.001,ERROR.TYPE(0)),ERROR.TYPE(0)))))))))))</f>
        <v>2.0109999999999988</v>
      </c>
      <c r="B42" s="648" t="s">
        <v>3450</v>
      </c>
      <c r="C42" s="680">
        <v>5</v>
      </c>
      <c r="D42" s="680" t="s">
        <v>141</v>
      </c>
      <c r="E42" s="1129">
        <f>Fire_Stopping_Est!E83</f>
        <v>70.92</v>
      </c>
      <c r="F42" s="1130">
        <f t="shared" si="5"/>
        <v>354.6</v>
      </c>
    </row>
    <row r="43" spans="1:6" s="713" customFormat="1">
      <c r="A43" s="671">
        <f ca="1">IFERROR(IF(OFFSET(A43,-1,0)&gt;0,OFFSET(A43,-1,0)+0.001,ERROR.TYPE(0)),IFERROR(IF(OFFSET(A43,-2,0)&gt;0,OFFSET(A43,-2,0)+0.001,ERROR.TYPE(0)),IFERROR(IF(OFFSET(A43,-3,0)&gt;0,OFFSET(A43,-3,0)+0.001,ERROR.TYPE(0)),IFERROR(IF(OFFSET(A43,-4,0)&gt;0,OFFSET(A43,-4,0)+0.001,ERROR.TYPE(0)),IFERROR(IF(OFFSET(A43,-5,0)&gt;0,OFFSET(A43,-5,0)+0.001,ERROR.TYPE(0)),IFERROR(IF(OFFSET(A43,-6,0)&gt;0,OFFSET(A43,-6,0)+0.001,ERROR.TYPE(0)),IFERROR(IF(OFFSET(A43,-7,0)&gt;0,OFFSET(A43,-7,0)+0.001,ERROR.TYPE(0)),IFERROR(IF(OFFSET(A43,-8,0)&gt;0,OFFSET(A43,-8,0)+0.001,ERROR.TYPE(0)),IFERROR(IF(OFFSET(A43,-9,0)&gt;0,OFFSET(A43,-9,0)+0.001,ERROR.TYPE(0)),IFERROR(IF(OFFSET(A43,-10,0)&gt;0,OFFSET(A43,-10,0)+0.001,ERROR.TYPE(0)),ERROR.TYPE(0)))))))))))</f>
        <v>2.0119999999999987</v>
      </c>
      <c r="B43" s="648" t="s">
        <v>3451</v>
      </c>
      <c r="C43" s="680">
        <v>5</v>
      </c>
      <c r="D43" s="680" t="s">
        <v>141</v>
      </c>
      <c r="E43" s="1129">
        <f>Fire_Stopping_Est!E89</f>
        <v>96.18</v>
      </c>
      <c r="F43" s="1130">
        <f t="shared" si="5"/>
        <v>480.90000000000003</v>
      </c>
    </row>
    <row r="44" spans="1:6" s="713" customFormat="1">
      <c r="A44" s="671">
        <f ca="1">IFERROR(IF(OFFSET(A44,-1,0)&gt;0,OFFSET(A44,-1,0)+0.001,ERROR.TYPE(0)),IFERROR(IF(OFFSET(A44,-2,0)&gt;0,OFFSET(A44,-2,0)+0.001,ERROR.TYPE(0)),IFERROR(IF(OFFSET(A44,-3,0)&gt;0,OFFSET(A44,-3,0)+0.001,ERROR.TYPE(0)),IFERROR(IF(OFFSET(A44,-4,0)&gt;0,OFFSET(A44,-4,0)+0.001,ERROR.TYPE(0)),IFERROR(IF(OFFSET(A44,-5,0)&gt;0,OFFSET(A44,-5,0)+0.001,ERROR.TYPE(0)),IFERROR(IF(OFFSET(A44,-6,0)&gt;0,OFFSET(A44,-6,0)+0.001,ERROR.TYPE(0)),IFERROR(IF(OFFSET(A44,-7,0)&gt;0,OFFSET(A44,-7,0)+0.001,ERROR.TYPE(0)),IFERROR(IF(OFFSET(A44,-8,0)&gt;0,OFFSET(A44,-8,0)+0.001,ERROR.TYPE(0)),IFERROR(IF(OFFSET(A44,-9,0)&gt;0,OFFSET(A44,-9,0)+0.001,ERROR.TYPE(0)),IFERROR(IF(OFFSET(A44,-10,0)&gt;0,OFFSET(A44,-10,0)+0.001,ERROR.TYPE(0)),ERROR.TYPE(0)))))))))))</f>
        <v>2.0129999999999986</v>
      </c>
      <c r="B44" s="648" t="s">
        <v>3452</v>
      </c>
      <c r="C44" s="680">
        <v>5</v>
      </c>
      <c r="D44" s="680" t="s">
        <v>141</v>
      </c>
      <c r="E44" s="1129">
        <f>Fire_Stopping_Est!E95</f>
        <v>121.46</v>
      </c>
      <c r="F44" s="1130">
        <f t="shared" si="5"/>
        <v>607.29999999999995</v>
      </c>
    </row>
    <row r="45" spans="1:6" s="713" customFormat="1">
      <c r="A45" s="671">
        <f ca="1">IFERROR(IF(OFFSET(A45,-1,0)&gt;0,OFFSET(A45,-1,0)+0.001,ERROR.TYPE(0)),IFERROR(IF(OFFSET(A45,-2,0)&gt;0,OFFSET(A45,-2,0)+0.001,ERROR.TYPE(0)),IFERROR(IF(OFFSET(A45,-3,0)&gt;0,OFFSET(A45,-3,0)+0.001,ERROR.TYPE(0)),IFERROR(IF(OFFSET(A45,-4,0)&gt;0,OFFSET(A45,-4,0)+0.001,ERROR.TYPE(0)),IFERROR(IF(OFFSET(A45,-5,0)&gt;0,OFFSET(A45,-5,0)+0.001,ERROR.TYPE(0)),IFERROR(IF(OFFSET(A45,-6,0)&gt;0,OFFSET(A45,-6,0)+0.001,ERROR.TYPE(0)),IFERROR(IF(OFFSET(A45,-7,0)&gt;0,OFFSET(A45,-7,0)+0.001,ERROR.TYPE(0)),IFERROR(IF(OFFSET(A45,-8,0)&gt;0,OFFSET(A45,-8,0)+0.001,ERROR.TYPE(0)),IFERROR(IF(OFFSET(A45,-9,0)&gt;0,OFFSET(A45,-9,0)+0.001,ERROR.TYPE(0)),IFERROR(IF(OFFSET(A45,-10,0)&gt;0,OFFSET(A45,-10,0)+0.001,ERROR.TYPE(0)),ERROR.TYPE(0)))))))))))</f>
        <v>2.0139999999999985</v>
      </c>
      <c r="B45" s="648" t="s">
        <v>3453</v>
      </c>
      <c r="C45" s="680">
        <v>5</v>
      </c>
      <c r="D45" s="680" t="s">
        <v>141</v>
      </c>
      <c r="E45" s="1129">
        <f>Fire_Stopping_Est!E101</f>
        <v>146.72999999999999</v>
      </c>
      <c r="F45" s="1130">
        <f t="shared" si="5"/>
        <v>733.65</v>
      </c>
    </row>
    <row r="46" spans="1:6" s="713" customFormat="1">
      <c r="A46" s="671">
        <f t="shared" ca="1" si="4"/>
        <v>2.0149999999999983</v>
      </c>
      <c r="B46" s="648" t="s">
        <v>3454</v>
      </c>
      <c r="C46" s="680">
        <v>5</v>
      </c>
      <c r="D46" s="680" t="s">
        <v>141</v>
      </c>
      <c r="E46" s="1129">
        <f>Fire_Stopping_Est!E107</f>
        <v>171.99</v>
      </c>
      <c r="F46" s="1130">
        <f t="shared" si="5"/>
        <v>859.95</v>
      </c>
    </row>
    <row r="47" spans="1:6" s="713" customFormat="1">
      <c r="A47" s="671">
        <f ca="1">IFERROR(IF(OFFSET(A47,-1,0)&gt;0,OFFSET(A47,-1,0)+0.001,ERROR.TYPE(0)),IFERROR(IF(OFFSET(A47,-2,0)&gt;0,OFFSET(A47,-2,0)+0.001,ERROR.TYPE(0)),IFERROR(IF(OFFSET(A47,-3,0)&gt;0,OFFSET(A47,-3,0)+0.001,ERROR.TYPE(0)),IFERROR(IF(OFFSET(A47,-4,0)&gt;0,OFFSET(A47,-4,0)+0.001,ERROR.TYPE(0)),IFERROR(IF(OFFSET(A47,-5,0)&gt;0,OFFSET(A47,-5,0)+0.001,ERROR.TYPE(0)),IFERROR(IF(OFFSET(A47,-6,0)&gt;0,OFFSET(A47,-6,0)+0.001,ERROR.TYPE(0)),IFERROR(IF(OFFSET(A47,-7,0)&gt;0,OFFSET(A47,-7,0)+0.001,ERROR.TYPE(0)),IFERROR(IF(OFFSET(A47,-8,0)&gt;0,OFFSET(A47,-8,0)+0.001,ERROR.TYPE(0)),IFERROR(IF(OFFSET(A47,-9,0)&gt;0,OFFSET(A47,-9,0)+0.001,ERROR.TYPE(0)),IFERROR(IF(OFFSET(A47,-10,0)&gt;0,OFFSET(A47,-10,0)+0.001,ERROR.TYPE(0)),ERROR.TYPE(0)))))))))))</f>
        <v>2.0159999999999982</v>
      </c>
      <c r="B47" s="648" t="s">
        <v>3455</v>
      </c>
      <c r="C47" s="680">
        <v>5</v>
      </c>
      <c r="D47" s="680" t="s">
        <v>141</v>
      </c>
      <c r="E47" s="1129">
        <f>Fire_Stopping_Est!E113</f>
        <v>91.19</v>
      </c>
      <c r="F47" s="1130">
        <f t="shared" si="5"/>
        <v>455.95</v>
      </c>
    </row>
    <row r="48" spans="1:6" s="713" customFormat="1">
      <c r="A48" s="671">
        <f ca="1">IFERROR(IF(OFFSET(A48,-1,0)&gt;0,OFFSET(A48,-1,0)+0.001,ERROR.TYPE(0)),IFERROR(IF(OFFSET(A48,-2,0)&gt;0,OFFSET(A48,-2,0)+0.001,ERROR.TYPE(0)),IFERROR(IF(OFFSET(A48,-3,0)&gt;0,OFFSET(A48,-3,0)+0.001,ERROR.TYPE(0)),IFERROR(IF(OFFSET(A48,-4,0)&gt;0,OFFSET(A48,-4,0)+0.001,ERROR.TYPE(0)),IFERROR(IF(OFFSET(A48,-5,0)&gt;0,OFFSET(A48,-5,0)+0.001,ERROR.TYPE(0)),IFERROR(IF(OFFSET(A48,-6,0)&gt;0,OFFSET(A48,-6,0)+0.001,ERROR.TYPE(0)),IFERROR(IF(OFFSET(A48,-7,0)&gt;0,OFFSET(A48,-7,0)+0.001,ERROR.TYPE(0)),IFERROR(IF(OFFSET(A48,-8,0)&gt;0,OFFSET(A48,-8,0)+0.001,ERROR.TYPE(0)),IFERROR(IF(OFFSET(A48,-9,0)&gt;0,OFFSET(A48,-9,0)+0.001,ERROR.TYPE(0)),IFERROR(IF(OFFSET(A48,-10,0)&gt;0,OFFSET(A48,-10,0)+0.001,ERROR.TYPE(0)),ERROR.TYPE(0)))))))))))</f>
        <v>2.0169999999999981</v>
      </c>
      <c r="B48" s="648" t="s">
        <v>3456</v>
      </c>
      <c r="C48" s="680">
        <v>5</v>
      </c>
      <c r="D48" s="680" t="s">
        <v>141</v>
      </c>
      <c r="E48" s="1129">
        <f>Fire_Stopping_Est!E119</f>
        <v>121.52</v>
      </c>
      <c r="F48" s="1130">
        <f t="shared" si="5"/>
        <v>607.6</v>
      </c>
    </row>
    <row r="49" spans="1:6" s="713" customFormat="1">
      <c r="A49" s="671">
        <f ca="1">IFERROR(IF(OFFSET(A49,-1,0)&gt;0,OFFSET(A49,-1,0)+0.001,ERROR.TYPE(0)),IFERROR(IF(OFFSET(A49,-2,0)&gt;0,OFFSET(A49,-2,0)+0.001,ERROR.TYPE(0)),IFERROR(IF(OFFSET(A49,-3,0)&gt;0,OFFSET(A49,-3,0)+0.001,ERROR.TYPE(0)),IFERROR(IF(OFFSET(A49,-4,0)&gt;0,OFFSET(A49,-4,0)+0.001,ERROR.TYPE(0)),IFERROR(IF(OFFSET(A49,-5,0)&gt;0,OFFSET(A49,-5,0)+0.001,ERROR.TYPE(0)),IFERROR(IF(OFFSET(A49,-6,0)&gt;0,OFFSET(A49,-6,0)+0.001,ERROR.TYPE(0)),IFERROR(IF(OFFSET(A49,-7,0)&gt;0,OFFSET(A49,-7,0)+0.001,ERROR.TYPE(0)),IFERROR(IF(OFFSET(A49,-8,0)&gt;0,OFFSET(A49,-8,0)+0.001,ERROR.TYPE(0)),IFERROR(IF(OFFSET(A49,-9,0)&gt;0,OFFSET(A49,-9,0)+0.001,ERROR.TYPE(0)),IFERROR(IF(OFFSET(A49,-10,0)&gt;0,OFFSET(A49,-10,0)+0.001,ERROR.TYPE(0)),ERROR.TYPE(0)))))))))))</f>
        <v>2.017999999999998</v>
      </c>
      <c r="B49" s="648" t="s">
        <v>3457</v>
      </c>
      <c r="C49" s="680">
        <v>5</v>
      </c>
      <c r="D49" s="680" t="s">
        <v>141</v>
      </c>
      <c r="E49" s="1129">
        <f>Fire_Stopping_Est!E125</f>
        <v>151.83000000000001</v>
      </c>
      <c r="F49" s="1130">
        <f t="shared" si="5"/>
        <v>759.15000000000009</v>
      </c>
    </row>
    <row r="50" spans="1:6" s="713" customFormat="1">
      <c r="A50" s="671">
        <f ca="1">IFERROR(IF(OFFSET(A50,-1,0)&gt;0,OFFSET(A50,-1,0)+0.001,ERROR.TYPE(0)),IFERROR(IF(OFFSET(A50,-2,0)&gt;0,OFFSET(A50,-2,0)+0.001,ERROR.TYPE(0)),IFERROR(IF(OFFSET(A50,-3,0)&gt;0,OFFSET(A50,-3,0)+0.001,ERROR.TYPE(0)),IFERROR(IF(OFFSET(A50,-4,0)&gt;0,OFFSET(A50,-4,0)+0.001,ERROR.TYPE(0)),IFERROR(IF(OFFSET(A50,-5,0)&gt;0,OFFSET(A50,-5,0)+0.001,ERROR.TYPE(0)),IFERROR(IF(OFFSET(A50,-6,0)&gt;0,OFFSET(A50,-6,0)+0.001,ERROR.TYPE(0)),IFERROR(IF(OFFSET(A50,-7,0)&gt;0,OFFSET(A50,-7,0)+0.001,ERROR.TYPE(0)),IFERROR(IF(OFFSET(A50,-8,0)&gt;0,OFFSET(A50,-8,0)+0.001,ERROR.TYPE(0)),IFERROR(IF(OFFSET(A50,-9,0)&gt;0,OFFSET(A50,-9,0)+0.001,ERROR.TYPE(0)),IFERROR(IF(OFFSET(A50,-10,0)&gt;0,OFFSET(A50,-10,0)+0.001,ERROR.TYPE(0)),ERROR.TYPE(0)))))))))))</f>
        <v>2.0189999999999979</v>
      </c>
      <c r="B50" s="648" t="s">
        <v>3458</v>
      </c>
      <c r="C50" s="680">
        <v>5</v>
      </c>
      <c r="D50" s="680" t="s">
        <v>141</v>
      </c>
      <c r="E50" s="1129">
        <f>Fire_Stopping_Est!E131</f>
        <v>182.16</v>
      </c>
      <c r="F50" s="1130">
        <f t="shared" si="5"/>
        <v>910.8</v>
      </c>
    </row>
    <row r="51" spans="1:6" s="713" customFormat="1">
      <c r="A51" s="671">
        <f t="shared" ca="1" si="4"/>
        <v>2.0199999999999978</v>
      </c>
      <c r="B51" s="648" t="s">
        <v>3459</v>
      </c>
      <c r="C51" s="680">
        <v>5</v>
      </c>
      <c r="D51" s="680" t="s">
        <v>141</v>
      </c>
      <c r="E51" s="1129">
        <f>Fire_Stopping_Est!E137</f>
        <v>212.48</v>
      </c>
      <c r="F51" s="1130">
        <f t="shared" si="5"/>
        <v>1062.3999999999999</v>
      </c>
    </row>
    <row r="52" spans="1:6" s="713" customFormat="1">
      <c r="A52" s="671">
        <f t="shared" ca="1" si="4"/>
        <v>2.0209999999999977</v>
      </c>
      <c r="B52" s="648" t="s">
        <v>3460</v>
      </c>
      <c r="C52" s="680">
        <v>5</v>
      </c>
      <c r="D52" s="680" t="s">
        <v>141</v>
      </c>
      <c r="E52" s="1129">
        <f>Fire_Stopping_Est!E143</f>
        <v>242.81</v>
      </c>
      <c r="F52" s="1130">
        <f t="shared" si="5"/>
        <v>1214.05</v>
      </c>
    </row>
    <row r="53" spans="1:6" s="713" customFormat="1">
      <c r="A53" s="671">
        <f t="shared" ca="1" si="4"/>
        <v>2.0219999999999976</v>
      </c>
      <c r="B53" s="648" t="s">
        <v>3461</v>
      </c>
      <c r="C53" s="680">
        <v>5</v>
      </c>
      <c r="D53" s="680" t="s">
        <v>141</v>
      </c>
      <c r="E53" s="1129">
        <f>Fire_Stopping_Est!E149</f>
        <v>96.24</v>
      </c>
      <c r="F53" s="1130">
        <f t="shared" si="5"/>
        <v>481.2</v>
      </c>
    </row>
    <row r="54" spans="1:6" s="713" customFormat="1">
      <c r="A54" s="671">
        <f t="shared" ca="1" si="4"/>
        <v>2.0229999999999975</v>
      </c>
      <c r="B54" s="648" t="s">
        <v>3462</v>
      </c>
      <c r="C54" s="680">
        <v>5</v>
      </c>
      <c r="D54" s="680" t="s">
        <v>141</v>
      </c>
      <c r="E54" s="1129">
        <f>Fire_Stopping_Est!E155</f>
        <v>131.62</v>
      </c>
      <c r="F54" s="1130">
        <f t="shared" si="5"/>
        <v>658.1</v>
      </c>
    </row>
    <row r="55" spans="1:6" s="713" customFormat="1">
      <c r="A55" s="671">
        <f t="shared" ca="1" si="4"/>
        <v>2.0239999999999974</v>
      </c>
      <c r="B55" s="648" t="s">
        <v>3463</v>
      </c>
      <c r="C55" s="680">
        <v>5</v>
      </c>
      <c r="D55" s="680" t="s">
        <v>141</v>
      </c>
      <c r="E55" s="1129">
        <f>Fire_Stopping_Est!E161</f>
        <v>205.6</v>
      </c>
      <c r="F55" s="1130">
        <f t="shared" si="5"/>
        <v>1028</v>
      </c>
    </row>
    <row r="56" spans="1:6" s="713" customFormat="1">
      <c r="A56" s="671">
        <f t="shared" ca="1" si="4"/>
        <v>2.0249999999999972</v>
      </c>
      <c r="B56" s="648" t="s">
        <v>3464</v>
      </c>
      <c r="C56" s="680">
        <v>5</v>
      </c>
      <c r="D56" s="680" t="s">
        <v>141</v>
      </c>
      <c r="E56" s="1129">
        <f>Fire_Stopping_Est!E167</f>
        <v>253.84</v>
      </c>
      <c r="F56" s="1130">
        <f t="shared" si="5"/>
        <v>1269.2</v>
      </c>
    </row>
    <row r="57" spans="1:6" s="713" customFormat="1">
      <c r="A57" s="671">
        <f t="shared" ca="1" si="4"/>
        <v>2.0259999999999971</v>
      </c>
      <c r="B57" s="648" t="s">
        <v>3465</v>
      </c>
      <c r="C57" s="680">
        <v>5</v>
      </c>
      <c r="D57" s="680" t="s">
        <v>141</v>
      </c>
      <c r="E57" s="1129">
        <f>Fire_Stopping_Est!E173</f>
        <v>302.06</v>
      </c>
      <c r="F57" s="1130">
        <f t="shared" si="5"/>
        <v>1510.3</v>
      </c>
    </row>
    <row r="58" spans="1:6" s="713" customFormat="1">
      <c r="A58" s="671">
        <f t="shared" ca="1" si="4"/>
        <v>2.026999999999997</v>
      </c>
      <c r="B58" s="648" t="s">
        <v>3466</v>
      </c>
      <c r="C58" s="680">
        <v>5</v>
      </c>
      <c r="D58" s="680" t="s">
        <v>141</v>
      </c>
      <c r="E58" s="1129">
        <f>Fire_Stopping_Est!E179</f>
        <v>273.12</v>
      </c>
      <c r="F58" s="1130">
        <f t="shared" si="5"/>
        <v>1365.6</v>
      </c>
    </row>
    <row r="59" spans="1:6" s="713" customFormat="1">
      <c r="A59" s="671">
        <f t="shared" ca="1" si="4"/>
        <v>2.0279999999999969</v>
      </c>
      <c r="B59" s="648" t="s">
        <v>3467</v>
      </c>
      <c r="C59" s="680">
        <v>5</v>
      </c>
      <c r="D59" s="680" t="s">
        <v>141</v>
      </c>
      <c r="E59" s="1129">
        <f>Fire_Stopping_Est!E185</f>
        <v>141.72999999999999</v>
      </c>
      <c r="F59" s="1130">
        <f t="shared" si="5"/>
        <v>708.65</v>
      </c>
    </row>
    <row r="60" spans="1:6" s="713" customFormat="1">
      <c r="A60" s="671">
        <f t="shared" ca="1" si="4"/>
        <v>2.0289999999999968</v>
      </c>
      <c r="B60" s="648" t="s">
        <v>3468</v>
      </c>
      <c r="C60" s="680">
        <v>5</v>
      </c>
      <c r="D60" s="680" t="s">
        <v>141</v>
      </c>
      <c r="E60" s="1129">
        <f>Fire_Stopping_Est!E191</f>
        <v>182.16</v>
      </c>
      <c r="F60" s="1130">
        <f t="shared" si="5"/>
        <v>910.8</v>
      </c>
    </row>
    <row r="61" spans="1:6" s="713" customFormat="1">
      <c r="A61" s="671">
        <f t="shared" ca="1" si="4"/>
        <v>2.0299999999999967</v>
      </c>
      <c r="B61" s="648" t="s">
        <v>3469</v>
      </c>
      <c r="C61" s="680">
        <v>5</v>
      </c>
      <c r="D61" s="680" t="s">
        <v>141</v>
      </c>
      <c r="E61" s="1129">
        <f>Fire_Stopping_Est!E197</f>
        <v>222.59</v>
      </c>
      <c r="F61" s="1130">
        <f t="shared" si="5"/>
        <v>1112.95</v>
      </c>
    </row>
    <row r="62" spans="1:6" s="713" customFormat="1">
      <c r="A62" s="671">
        <f t="shared" ca="1" si="4"/>
        <v>2.0309999999999966</v>
      </c>
      <c r="B62" s="648" t="s">
        <v>3470</v>
      </c>
      <c r="C62" s="680">
        <v>5</v>
      </c>
      <c r="D62" s="680" t="s">
        <v>141</v>
      </c>
      <c r="E62" s="1129">
        <f>Fire_Stopping_Est!E203</f>
        <v>263.02</v>
      </c>
      <c r="F62" s="1130">
        <f t="shared" si="5"/>
        <v>1315.1</v>
      </c>
    </row>
    <row r="63" spans="1:6" s="713" customFormat="1">
      <c r="A63" s="671">
        <f t="shared" ca="1" si="4"/>
        <v>2.0319999999999965</v>
      </c>
      <c r="B63" s="648" t="s">
        <v>3471</v>
      </c>
      <c r="C63" s="680">
        <v>5</v>
      </c>
      <c r="D63" s="680" t="s">
        <v>141</v>
      </c>
      <c r="E63" s="1129">
        <f>Fire_Stopping_Est!E209</f>
        <v>167.05</v>
      </c>
      <c r="F63" s="1130">
        <f t="shared" si="5"/>
        <v>835.25</v>
      </c>
    </row>
    <row r="64" spans="1:6" s="713" customFormat="1">
      <c r="A64" s="671">
        <f t="shared" ca="1" si="4"/>
        <v>2.0329999999999964</v>
      </c>
      <c r="B64" s="648" t="s">
        <v>3472</v>
      </c>
      <c r="C64" s="680">
        <v>5</v>
      </c>
      <c r="D64" s="680" t="s">
        <v>141</v>
      </c>
      <c r="E64" s="1129">
        <f>Fire_Stopping_Est!E215</f>
        <v>212.53</v>
      </c>
      <c r="F64" s="1130">
        <f t="shared" si="5"/>
        <v>1062.6500000000001</v>
      </c>
    </row>
    <row r="65" spans="1:6" s="713" customFormat="1">
      <c r="A65" s="671">
        <f t="shared" ca="1" si="4"/>
        <v>2.0339999999999963</v>
      </c>
      <c r="B65" s="648" t="s">
        <v>3473</v>
      </c>
      <c r="C65" s="680">
        <v>5</v>
      </c>
      <c r="D65" s="680" t="s">
        <v>141</v>
      </c>
      <c r="E65" s="1129">
        <f>Fire_Stopping_Est!E221</f>
        <v>258.02999999999997</v>
      </c>
      <c r="F65" s="1130">
        <f t="shared" si="5"/>
        <v>1290.1499999999999</v>
      </c>
    </row>
    <row r="66" spans="1:6" s="713" customFormat="1">
      <c r="A66" s="671">
        <f t="shared" ca="1" si="4"/>
        <v>2.0349999999999961</v>
      </c>
      <c r="B66" s="648" t="s">
        <v>3474</v>
      </c>
      <c r="C66" s="680">
        <v>5</v>
      </c>
      <c r="D66" s="680" t="s">
        <v>141</v>
      </c>
      <c r="E66" s="1129">
        <f>Fire_Stopping_Est!E227</f>
        <v>303.51</v>
      </c>
      <c r="F66" s="1130">
        <f t="shared" si="5"/>
        <v>1517.55</v>
      </c>
    </row>
    <row r="67" spans="1:6" s="713" customFormat="1">
      <c r="A67" s="671">
        <f t="shared" ca="1" si="4"/>
        <v>2.035999999999996</v>
      </c>
      <c r="B67" s="648" t="s">
        <v>3475</v>
      </c>
      <c r="C67" s="680">
        <v>5</v>
      </c>
      <c r="D67" s="680" t="s">
        <v>141</v>
      </c>
      <c r="E67" s="1129">
        <f>Fire_Stopping_Est!E233</f>
        <v>177.16</v>
      </c>
      <c r="F67" s="1130">
        <f t="shared" si="5"/>
        <v>885.8</v>
      </c>
    </row>
    <row r="68" spans="1:6" s="713" customFormat="1">
      <c r="A68" s="671">
        <f t="shared" ca="1" si="4"/>
        <v>2.0369999999999959</v>
      </c>
      <c r="B68" s="648" t="s">
        <v>3476</v>
      </c>
      <c r="C68" s="680">
        <v>5</v>
      </c>
      <c r="D68" s="680" t="s">
        <v>141</v>
      </c>
      <c r="E68" s="1129">
        <f>Fire_Stopping_Est!E239</f>
        <v>227.7</v>
      </c>
      <c r="F68" s="1130">
        <f t="shared" si="5"/>
        <v>1138.5</v>
      </c>
    </row>
    <row r="69" spans="1:6" s="713" customFormat="1" ht="15" customHeight="1">
      <c r="A69" s="671">
        <f ca="1">IFERROR(IF(OFFSET(A69,-1,0)&gt;0,OFFSET(A69,-1,0)+0.001,ERROR.TYPE(0)),IFERROR(IF(OFFSET(A69,-2,0)&gt;0,OFFSET(A69,-2,0)+0.001,ERROR.TYPE(0)),IFERROR(IF(OFFSET(A69,-3,0)&gt;0,OFFSET(A69,-3,0)+0.001,ERROR.TYPE(0)),IFERROR(IF(OFFSET(A69,-4,0)&gt;0,OFFSET(A69,-4,0)+0.001,ERROR.TYPE(0)),IFERROR(IF(OFFSET(A69,-5,0)&gt;0,OFFSET(A69,-5,0)+0.001,ERROR.TYPE(0)),IFERROR(IF(OFFSET(A69,-6,0)&gt;0,OFFSET(A69,-6,0)+0.001,ERROR.TYPE(0)),IFERROR(IF(OFFSET(A69,-7,0)&gt;0,OFFSET(A69,-7,0)+0.001,ERROR.TYPE(0)),IFERROR(IF(OFFSET(A69,-8,0)&gt;0,OFFSET(A69,-8,0)+0.001,ERROR.TYPE(0)),IFERROR(IF(OFFSET(A69,-9,0)&gt;0,OFFSET(A69,-9,0)+0.001,ERROR.TYPE(0)),IFERROR(IF(OFFSET(A69,-10,0)&gt;0,OFFSET(A69,-10,0)+0.001,ERROR.TYPE(0)),ERROR.TYPE(0)))))))))))</f>
        <v>2.0379999999999958</v>
      </c>
      <c r="B69" s="648" t="s">
        <v>3477</v>
      </c>
      <c r="C69" s="680">
        <v>5</v>
      </c>
      <c r="D69" s="680" t="s">
        <v>141</v>
      </c>
      <c r="E69" s="1129">
        <f>Fire_Stopping_Est!E245</f>
        <v>278.23</v>
      </c>
      <c r="F69" s="1130">
        <f t="shared" si="5"/>
        <v>1391.15</v>
      </c>
    </row>
    <row r="70" spans="1:6" s="713" customFormat="1" ht="15" customHeight="1">
      <c r="A70" s="671">
        <f ca="1">IFERROR(IF(OFFSET(A70,-1,0)&gt;0,OFFSET(A70,-1,0)+0.001,ERROR.TYPE(0)),IFERROR(IF(OFFSET(A70,-2,0)&gt;0,OFFSET(A70,-2,0)+0.001,ERROR.TYPE(0)),IFERROR(IF(OFFSET(A70,-3,0)&gt;0,OFFSET(A70,-3,0)+0.001,ERROR.TYPE(0)),IFERROR(IF(OFFSET(A70,-4,0)&gt;0,OFFSET(A70,-4,0)+0.001,ERROR.TYPE(0)),IFERROR(IF(OFFSET(A70,-5,0)&gt;0,OFFSET(A70,-5,0)+0.001,ERROR.TYPE(0)),IFERROR(IF(OFFSET(A70,-6,0)&gt;0,OFFSET(A70,-6,0)+0.001,ERROR.TYPE(0)),IFERROR(IF(OFFSET(A70,-7,0)&gt;0,OFFSET(A70,-7,0)+0.001,ERROR.TYPE(0)),IFERROR(IF(OFFSET(A70,-8,0)&gt;0,OFFSET(A70,-8,0)+0.001,ERROR.TYPE(0)),IFERROR(IF(OFFSET(A70,-9,0)&gt;0,OFFSET(A70,-9,0)+0.001,ERROR.TYPE(0)),IFERROR(IF(OFFSET(A70,-10,0)&gt;0,OFFSET(A70,-10,0)+0.001,ERROR.TYPE(0)),ERROR.TYPE(0)))))))))))</f>
        <v>2.0389999999999957</v>
      </c>
      <c r="B70" s="648" t="s">
        <v>3478</v>
      </c>
      <c r="C70" s="680">
        <v>5</v>
      </c>
      <c r="D70" s="680" t="s">
        <v>141</v>
      </c>
      <c r="E70" s="1129">
        <f>Fire_Stopping_Est!E251</f>
        <v>328.77</v>
      </c>
      <c r="F70" s="1130">
        <f t="shared" si="5"/>
        <v>1643.85</v>
      </c>
    </row>
    <row r="71" spans="1:6" s="713" customFormat="1">
      <c r="A71" s="671">
        <f ca="1">IFERROR(IF(OFFSET(A71,-1,0)&gt;0,OFFSET(A71,-1,0)+0.001,ERROR.TYPE(0)),IFERROR(IF(OFFSET(A71,-2,0)&gt;0,OFFSET(A71,-2,0)+0.001,ERROR.TYPE(0)),IFERROR(IF(OFFSET(A71,-3,0)&gt;0,OFFSET(A71,-3,0)+0.001,ERROR.TYPE(0)),IFERROR(IF(OFFSET(A71,-4,0)&gt;0,OFFSET(A71,-4,0)+0.001,ERROR.TYPE(0)),IFERROR(IF(OFFSET(A71,-5,0)&gt;0,OFFSET(A71,-5,0)+0.001,ERROR.TYPE(0)),IFERROR(IF(OFFSET(A71,-6,0)&gt;0,OFFSET(A71,-6,0)+0.001,ERROR.TYPE(0)),IFERROR(IF(OFFSET(A71,-7,0)&gt;0,OFFSET(A71,-7,0)+0.001,ERROR.TYPE(0)),IFERROR(IF(OFFSET(A71,-8,0)&gt;0,OFFSET(A71,-8,0)+0.001,ERROR.TYPE(0)),IFERROR(IF(OFFSET(A71,-9,0)&gt;0,OFFSET(A71,-9,0)+0.001,ERROR.TYPE(0)),IFERROR(IF(OFFSET(A71,-10,0)&gt;0,OFFSET(A71,-10,0)+0.001,ERROR.TYPE(0)),ERROR.TYPE(0)))))))))))</f>
        <v>2.0399999999999956</v>
      </c>
      <c r="B71" s="648" t="s">
        <v>3479</v>
      </c>
      <c r="C71" s="680">
        <v>5</v>
      </c>
      <c r="D71" s="680" t="s">
        <v>141</v>
      </c>
      <c r="E71" s="1129">
        <f>Fire_Stopping_Est!E257</f>
        <v>202.48</v>
      </c>
      <c r="F71" s="1130">
        <f t="shared" si="5"/>
        <v>1012.4</v>
      </c>
    </row>
    <row r="72" spans="1:6" s="713" customFormat="1">
      <c r="A72" s="671">
        <f t="shared" ca="1" si="4"/>
        <v>2.0409999999999955</v>
      </c>
      <c r="B72" s="648" t="s">
        <v>3480</v>
      </c>
      <c r="C72" s="680">
        <v>5</v>
      </c>
      <c r="D72" s="680" t="s">
        <v>141</v>
      </c>
      <c r="E72" s="1129">
        <f>Fire_Stopping_Est!E263</f>
        <v>258.07</v>
      </c>
      <c r="F72" s="1130">
        <f t="shared" si="5"/>
        <v>1290.3499999999999</v>
      </c>
    </row>
    <row r="73" spans="1:6" s="713" customFormat="1">
      <c r="A73" s="671">
        <f ca="1">IFERROR(IF(OFFSET(A73,-1,0)&gt;0,OFFSET(A73,-1,0)+0.001,ERROR.TYPE(0)),IFERROR(IF(OFFSET(A73,-2,0)&gt;0,OFFSET(A73,-2,0)+0.001,ERROR.TYPE(0)),IFERROR(IF(OFFSET(A73,-3,0)&gt;0,OFFSET(A73,-3,0)+0.001,ERROR.TYPE(0)),IFERROR(IF(OFFSET(A73,-4,0)&gt;0,OFFSET(A73,-4,0)+0.001,ERROR.TYPE(0)),IFERROR(IF(OFFSET(A73,-5,0)&gt;0,OFFSET(A73,-5,0)+0.001,ERROR.TYPE(0)),IFERROR(IF(OFFSET(A73,-6,0)&gt;0,OFFSET(A73,-6,0)+0.001,ERROR.TYPE(0)),IFERROR(IF(OFFSET(A73,-7,0)&gt;0,OFFSET(A73,-7,0)+0.001,ERROR.TYPE(0)),IFERROR(IF(OFFSET(A73,-8,0)&gt;0,OFFSET(A73,-8,0)+0.001,ERROR.TYPE(0)),IFERROR(IF(OFFSET(A73,-9,0)&gt;0,OFFSET(A73,-9,0)+0.001,ERROR.TYPE(0)),IFERROR(IF(OFFSET(A73,-10,0)&gt;0,OFFSET(A73,-10,0)+0.001,ERROR.TYPE(0)),ERROR.TYPE(0)))))))))))</f>
        <v>2.0419999999999954</v>
      </c>
      <c r="B73" s="648" t="s">
        <v>3481</v>
      </c>
      <c r="C73" s="680">
        <v>5</v>
      </c>
      <c r="D73" s="680" t="s">
        <v>141</v>
      </c>
      <c r="E73" s="1129">
        <f>Fire_Stopping_Est!E269</f>
        <v>313.67</v>
      </c>
      <c r="F73" s="1130">
        <f t="shared" si="5"/>
        <v>1568.3500000000001</v>
      </c>
    </row>
    <row r="74" spans="1:6" s="713" customFormat="1">
      <c r="A74" s="671">
        <f ca="1">IFERROR(IF(OFFSET(A74,-1,0)&gt;0,OFFSET(A74,-1,0)+0.001,ERROR.TYPE(0)),IFERROR(IF(OFFSET(A74,-2,0)&gt;0,OFFSET(A74,-2,0)+0.001,ERROR.TYPE(0)),IFERROR(IF(OFFSET(A74,-3,0)&gt;0,OFFSET(A74,-3,0)+0.001,ERROR.TYPE(0)),IFERROR(IF(OFFSET(A74,-4,0)&gt;0,OFFSET(A74,-4,0)+0.001,ERROR.TYPE(0)),IFERROR(IF(OFFSET(A74,-5,0)&gt;0,OFFSET(A74,-5,0)+0.001,ERROR.TYPE(0)),IFERROR(IF(OFFSET(A74,-6,0)&gt;0,OFFSET(A74,-6,0)+0.001,ERROR.TYPE(0)),IFERROR(IF(OFFSET(A74,-7,0)&gt;0,OFFSET(A74,-7,0)+0.001,ERROR.TYPE(0)),IFERROR(IF(OFFSET(A74,-8,0)&gt;0,OFFSET(A74,-8,0)+0.001,ERROR.TYPE(0)),IFERROR(IF(OFFSET(A74,-9,0)&gt;0,OFFSET(A74,-9,0)+0.001,ERROR.TYPE(0)),IFERROR(IF(OFFSET(A74,-10,0)&gt;0,OFFSET(A74,-10,0)+0.001,ERROR.TYPE(0)),ERROR.TYPE(0)))))))))))</f>
        <v>2.0429999999999953</v>
      </c>
      <c r="B74" s="648" t="s">
        <v>3482</v>
      </c>
      <c r="C74" s="680">
        <v>5</v>
      </c>
      <c r="D74" s="680" t="s">
        <v>141</v>
      </c>
      <c r="E74" s="1129">
        <f>Fire_Stopping_Est!E275</f>
        <v>369.26</v>
      </c>
      <c r="F74" s="1130">
        <f t="shared" si="5"/>
        <v>1846.3</v>
      </c>
    </row>
    <row r="75" spans="1:6" s="713" customFormat="1">
      <c r="A75" s="671">
        <f t="shared" ca="1" si="4"/>
        <v>2.0439999999999952</v>
      </c>
      <c r="B75" s="648" t="s">
        <v>3483</v>
      </c>
      <c r="C75" s="680">
        <v>5</v>
      </c>
      <c r="D75" s="680" t="s">
        <v>141</v>
      </c>
      <c r="E75" s="1129">
        <f>Fire_Stopping_Est!E281</f>
        <v>243.02</v>
      </c>
      <c r="F75" s="1130">
        <f t="shared" si="5"/>
        <v>1215.1000000000001</v>
      </c>
    </row>
    <row r="76" spans="1:6" s="713" customFormat="1">
      <c r="A76" s="671">
        <f t="shared" ca="1" si="4"/>
        <v>2.044999999999995</v>
      </c>
      <c r="B76" s="648" t="s">
        <v>3484</v>
      </c>
      <c r="C76" s="680">
        <v>5</v>
      </c>
      <c r="D76" s="680" t="s">
        <v>141</v>
      </c>
      <c r="E76" s="1129">
        <f>Fire_Stopping_Est!E287</f>
        <v>303.67</v>
      </c>
      <c r="F76" s="1130">
        <f t="shared" si="5"/>
        <v>1518.3500000000001</v>
      </c>
    </row>
    <row r="77" spans="1:6" s="713" customFormat="1">
      <c r="A77" s="671">
        <f t="shared" ca="1" si="4"/>
        <v>2.0459999999999949</v>
      </c>
      <c r="B77" s="648" t="s">
        <v>3485</v>
      </c>
      <c r="C77" s="680">
        <v>5</v>
      </c>
      <c r="D77" s="680" t="s">
        <v>141</v>
      </c>
      <c r="E77" s="1129">
        <f>Fire_Stopping_Est!E293</f>
        <v>364.31</v>
      </c>
      <c r="F77" s="1130">
        <f t="shared" si="5"/>
        <v>1821.55</v>
      </c>
    </row>
    <row r="78" spans="1:6" s="713" customFormat="1">
      <c r="A78" s="671">
        <f t="shared" ca="1" si="4"/>
        <v>2.0469999999999948</v>
      </c>
      <c r="B78" s="648" t="s">
        <v>3486</v>
      </c>
      <c r="C78" s="680">
        <v>5</v>
      </c>
      <c r="D78" s="680" t="s">
        <v>141</v>
      </c>
      <c r="E78" s="1129">
        <f>Fire_Stopping_Est!E299</f>
        <v>253.12</v>
      </c>
      <c r="F78" s="1130">
        <f t="shared" si="5"/>
        <v>1265.5999999999999</v>
      </c>
    </row>
    <row r="79" spans="1:6" s="713" customFormat="1">
      <c r="A79" s="671">
        <f t="shared" ca="1" si="4"/>
        <v>2.0479999999999947</v>
      </c>
      <c r="B79" s="648" t="s">
        <v>3487</v>
      </c>
      <c r="C79" s="680">
        <v>5</v>
      </c>
      <c r="D79" s="680" t="s">
        <v>141</v>
      </c>
      <c r="E79" s="1129">
        <f>Fire_Stopping_Est!E305</f>
        <v>318.83</v>
      </c>
      <c r="F79" s="1130">
        <f t="shared" si="5"/>
        <v>1594.1499999999999</v>
      </c>
    </row>
    <row r="80" spans="1:6" s="713" customFormat="1">
      <c r="A80" s="671">
        <f t="shared" ca="1" si="4"/>
        <v>2.0489999999999946</v>
      </c>
      <c r="B80" s="648" t="s">
        <v>3488</v>
      </c>
      <c r="C80" s="680">
        <v>5</v>
      </c>
      <c r="D80" s="680" t="s">
        <v>141</v>
      </c>
      <c r="E80" s="1129">
        <f>Fire_Stopping_Est!E311</f>
        <v>384.54</v>
      </c>
      <c r="F80" s="1130">
        <f t="shared" si="5"/>
        <v>1922.7</v>
      </c>
    </row>
    <row r="81" spans="1:6" s="713" customFormat="1">
      <c r="A81" s="671">
        <f t="shared" ca="1" si="4"/>
        <v>2.0499999999999945</v>
      </c>
      <c r="B81" s="648" t="s">
        <v>3489</v>
      </c>
      <c r="C81" s="680">
        <v>5</v>
      </c>
      <c r="D81" s="680" t="s">
        <v>141</v>
      </c>
      <c r="E81" s="1129">
        <f>Fire_Stopping_Est!E317</f>
        <v>263.24</v>
      </c>
      <c r="F81" s="1130">
        <f t="shared" si="5"/>
        <v>1316.2</v>
      </c>
    </row>
    <row r="82" spans="1:6" s="713" customFormat="1">
      <c r="A82" s="671">
        <f t="shared" ca="1" si="4"/>
        <v>2.0509999999999944</v>
      </c>
      <c r="B82" s="648" t="s">
        <v>3490</v>
      </c>
      <c r="C82" s="680">
        <v>5</v>
      </c>
      <c r="D82" s="680" t="s">
        <v>141</v>
      </c>
      <c r="E82" s="1129">
        <f>Fire_Stopping_Est!E323</f>
        <v>333.99</v>
      </c>
      <c r="F82" s="1130">
        <f t="shared" si="5"/>
        <v>1669.95</v>
      </c>
    </row>
    <row r="83" spans="1:6" s="713" customFormat="1">
      <c r="A83" s="671">
        <f t="shared" ca="1" si="4"/>
        <v>2.0519999999999943</v>
      </c>
      <c r="B83" s="648" t="s">
        <v>3491</v>
      </c>
      <c r="C83" s="680">
        <v>5</v>
      </c>
      <c r="D83" s="680" t="s">
        <v>141</v>
      </c>
      <c r="E83" s="1129">
        <f>Fire_Stopping_Est!E329</f>
        <v>404.74</v>
      </c>
      <c r="F83" s="1130">
        <f t="shared" si="5"/>
        <v>2023.7</v>
      </c>
    </row>
    <row r="84" spans="1:6" s="713" customFormat="1">
      <c r="A84" s="671">
        <f t="shared" ca="1" si="4"/>
        <v>2.0529999999999942</v>
      </c>
      <c r="B84" s="648" t="s">
        <v>3492</v>
      </c>
      <c r="C84" s="680">
        <v>5</v>
      </c>
      <c r="D84" s="680" t="s">
        <v>141</v>
      </c>
      <c r="E84" s="1129">
        <f>Fire_Stopping_Est!E335</f>
        <v>273.35000000000002</v>
      </c>
      <c r="F84" s="1130">
        <f t="shared" si="5"/>
        <v>1366.75</v>
      </c>
    </row>
    <row r="85" spans="1:6" s="713" customFormat="1">
      <c r="A85" s="671">
        <f t="shared" ca="1" si="4"/>
        <v>2.0539999999999941</v>
      </c>
      <c r="B85" s="648" t="s">
        <v>3493</v>
      </c>
      <c r="C85" s="680">
        <v>5</v>
      </c>
      <c r="D85" s="680" t="s">
        <v>141</v>
      </c>
      <c r="E85" s="1129">
        <f>Fire_Stopping_Est!E341</f>
        <v>349.16</v>
      </c>
      <c r="F85" s="1130">
        <f t="shared" si="5"/>
        <v>1745.8000000000002</v>
      </c>
    </row>
    <row r="86" spans="1:6" s="713" customFormat="1">
      <c r="A86" s="671">
        <f t="shared" ca="1" si="4"/>
        <v>2.0549999999999939</v>
      </c>
      <c r="B86" s="648" t="s">
        <v>3494</v>
      </c>
      <c r="C86" s="680">
        <v>5</v>
      </c>
      <c r="D86" s="680" t="s">
        <v>141</v>
      </c>
      <c r="E86" s="1129">
        <f>Fire_Stopping_Est!E347</f>
        <v>0</v>
      </c>
      <c r="F86" s="1130">
        <f t="shared" si="5"/>
        <v>0</v>
      </c>
    </row>
    <row r="87" spans="1:6" s="713" customFormat="1">
      <c r="A87" s="671">
        <f t="shared" ca="1" si="4"/>
        <v>2.0559999999999938</v>
      </c>
      <c r="B87" s="648" t="s">
        <v>3495</v>
      </c>
      <c r="C87" s="680">
        <v>5</v>
      </c>
      <c r="D87" s="680" t="s">
        <v>141</v>
      </c>
      <c r="E87" s="1129">
        <f>Fire_Stopping_Est!E353</f>
        <v>0</v>
      </c>
      <c r="F87" s="1130">
        <f t="shared" si="5"/>
        <v>0</v>
      </c>
    </row>
    <row r="88" spans="1:6" s="713" customFormat="1">
      <c r="A88" s="671">
        <f t="shared" ca="1" si="4"/>
        <v>2.0569999999999937</v>
      </c>
      <c r="B88" s="648" t="s">
        <v>3496</v>
      </c>
      <c r="C88" s="680">
        <v>5</v>
      </c>
      <c r="D88" s="680" t="s">
        <v>141</v>
      </c>
      <c r="E88" s="1129">
        <f>Fire_Stopping_Est!E359</f>
        <v>0</v>
      </c>
      <c r="F88" s="1130">
        <f t="shared" si="5"/>
        <v>0</v>
      </c>
    </row>
    <row r="89" spans="1:6" s="713" customFormat="1">
      <c r="A89" s="671">
        <f t="shared" ca="1" si="4"/>
        <v>2.0579999999999936</v>
      </c>
      <c r="B89" s="648" t="s">
        <v>3497</v>
      </c>
      <c r="C89" s="680">
        <v>5</v>
      </c>
      <c r="D89" s="680" t="s">
        <v>141</v>
      </c>
      <c r="E89" s="1129">
        <f>Fire_Stopping_Est!E365</f>
        <v>0</v>
      </c>
      <c r="F89" s="1130">
        <f t="shared" si="5"/>
        <v>0</v>
      </c>
    </row>
    <row r="90" spans="1:6" s="713" customFormat="1">
      <c r="A90" s="671">
        <f t="shared" ca="1" si="4"/>
        <v>2.0589999999999935</v>
      </c>
      <c r="B90" s="648" t="s">
        <v>3498</v>
      </c>
      <c r="C90" s="680">
        <v>5</v>
      </c>
      <c r="D90" s="680" t="s">
        <v>141</v>
      </c>
      <c r="E90" s="1129">
        <f>Fire_Stopping_Est!E371</f>
        <v>0</v>
      </c>
      <c r="F90" s="1130">
        <f t="shared" si="5"/>
        <v>0</v>
      </c>
    </row>
    <row r="91" spans="1:6" s="713" customFormat="1" ht="248.4" customHeight="1">
      <c r="A91" s="671">
        <f t="shared" ca="1" si="4"/>
        <v>2.0599999999999934</v>
      </c>
      <c r="B91" s="657" t="s">
        <v>3499</v>
      </c>
      <c r="C91" s="680">
        <v>1</v>
      </c>
      <c r="D91" s="680" t="s">
        <v>299</v>
      </c>
      <c r="E91" s="1129" t="str">
        <f>Fire_Stopping_Est!Q377</f>
        <v>Included with fire barriers above</v>
      </c>
      <c r="F91" s="1130"/>
    </row>
    <row r="92" spans="1:6" s="713" customFormat="1" ht="27.6">
      <c r="A92" s="671">
        <f t="shared" ca="1" si="4"/>
        <v>2.0609999999999933</v>
      </c>
      <c r="B92" s="657" t="s">
        <v>3500</v>
      </c>
      <c r="C92" s="680">
        <v>1</v>
      </c>
      <c r="D92" s="680" t="s">
        <v>299</v>
      </c>
      <c r="E92" s="1129" t="str">
        <f>Fire_Stopping_Est!Q383</f>
        <v>Refer to covering letter</v>
      </c>
      <c r="F92" s="1130" t="str">
        <f t="shared" si="5"/>
        <v>Refer to covering letter</v>
      </c>
    </row>
    <row r="93" spans="1:6" s="631" customFormat="1" ht="15" customHeight="1">
      <c r="A93" s="867"/>
      <c r="B93" s="639" t="s">
        <v>361</v>
      </c>
      <c r="C93" s="1456" t="s">
        <v>305</v>
      </c>
      <c r="D93" s="1457"/>
      <c r="E93" s="652"/>
      <c r="F93" s="1123">
        <f>SUM(F31:F92)</f>
        <v>55304.899999999994</v>
      </c>
    </row>
    <row r="94" spans="1:6" s="631" customFormat="1">
      <c r="A94" s="868"/>
      <c r="B94" s="666"/>
      <c r="C94" s="654"/>
      <c r="D94" s="654"/>
      <c r="E94" s="655"/>
      <c r="F94" s="1126"/>
    </row>
    <row r="95" spans="1:6" s="713" customFormat="1">
      <c r="A95" s="638"/>
      <c r="B95" s="718" t="s">
        <v>3501</v>
      </c>
      <c r="C95" s="1463" t="s">
        <v>305</v>
      </c>
      <c r="D95" s="1464"/>
      <c r="E95" s="716"/>
      <c r="F95" s="642">
        <f>F93</f>
        <v>55304.899999999994</v>
      </c>
    </row>
    <row r="96" spans="1:6">
      <c r="A96" s="874"/>
      <c r="B96" s="624"/>
      <c r="C96" s="682"/>
      <c r="D96" s="682"/>
      <c r="E96" s="684"/>
      <c r="F96" s="1131"/>
    </row>
    <row r="97" spans="1:6" s="631" customFormat="1">
      <c r="A97" s="862"/>
      <c r="C97" s="628"/>
      <c r="D97" s="628"/>
      <c r="E97" s="633"/>
      <c r="F97" s="630"/>
    </row>
    <row r="98" spans="1:6" s="631" customFormat="1" ht="27.6">
      <c r="A98" s="634" t="s">
        <v>143</v>
      </c>
      <c r="B98" s="635" t="s">
        <v>198</v>
      </c>
      <c r="C98" s="636" t="s">
        <v>199</v>
      </c>
      <c r="D98" s="636" t="s">
        <v>200</v>
      </c>
      <c r="E98" s="637" t="s">
        <v>294</v>
      </c>
      <c r="F98" s="1122" t="s">
        <v>295</v>
      </c>
    </row>
    <row r="99" spans="1:6" s="631" customFormat="1">
      <c r="A99" s="638">
        <v>3</v>
      </c>
      <c r="B99" s="863" t="s">
        <v>1042</v>
      </c>
      <c r="C99" s="646"/>
      <c r="D99" s="646"/>
      <c r="E99" s="649"/>
      <c r="F99" s="1125"/>
    </row>
    <row r="100" spans="1:6" s="631" customFormat="1">
      <c r="A100" s="643"/>
      <c r="B100" s="1132" t="s">
        <v>1043</v>
      </c>
      <c r="C100" s="676"/>
      <c r="D100" s="676"/>
      <c r="E100" s="677"/>
      <c r="F100" s="1125"/>
    </row>
    <row r="101" spans="1:6" s="631" customFormat="1">
      <c r="A101" s="643">
        <f t="shared" ref="A101:A135" ca="1" si="6">IFERROR(IF(OFFSET(A101,-1,0)&gt;0,OFFSET(A101,-1,0)+0.001,ERROR.TYPE(0)),IFERROR(IF(OFFSET(A101,-2,0)&gt;0,OFFSET(A101,-2,0)+0.001,ERROR.TYPE(0)),IFERROR(IF(OFFSET(A101,-3,0)&gt;0,OFFSET(A101,-3,0)+0.001,ERROR.TYPE(0)),IFERROR(IF(OFFSET(A101,-4,0)&gt;0,OFFSET(A101,-4,0)+0.001,ERROR.TYPE(0)),IFERROR(IF(OFFSET(A101,-5,0)&gt;0,OFFSET(A101,-5,0)+0.001,ERROR.TYPE(0)),IFERROR(IF(OFFSET(A101,-6,0)&gt;0,OFFSET(A101,-6,0)+0.001,ERROR.TYPE(0)),IFERROR(IF(OFFSET(A101,-7,0)&gt;0,OFFSET(A101,-7,0)+0.001,ERROR.TYPE(0)),IFERROR(IF(OFFSET(A101,-8,0)&gt;0,OFFSET(A101,-8,0)+0.001,ERROR.TYPE(0)),IFERROR(IF(OFFSET(A101,-9,0)&gt;0,OFFSET(A101,-9,0)+0.001,ERROR.TYPE(0)),IFERROR(IF(OFFSET(A101,-10,0)&gt;0,OFFSET(A101,-10,0)+0.001,ERROR.TYPE(0)),ERROR.TYPE(0)))))))))))</f>
        <v>3.0009999999999999</v>
      </c>
      <c r="B101" s="651" t="s">
        <v>1044</v>
      </c>
      <c r="C101" s="646">
        <v>1</v>
      </c>
      <c r="D101" s="680" t="s">
        <v>1045</v>
      </c>
      <c r="E101" s="649"/>
      <c r="F101" s="1125" t="s">
        <v>1016</v>
      </c>
    </row>
    <row r="102" spans="1:6" s="631" customFormat="1">
      <c r="A102" s="643">
        <f t="shared" ca="1" si="6"/>
        <v>3.0019999999999998</v>
      </c>
      <c r="B102" s="651" t="s">
        <v>1046</v>
      </c>
      <c r="C102" s="646">
        <v>1</v>
      </c>
      <c r="D102" s="680" t="s">
        <v>1045</v>
      </c>
      <c r="E102" s="649"/>
      <c r="F102" s="1125" t="s">
        <v>1016</v>
      </c>
    </row>
    <row r="103" spans="1:6" s="631" customFormat="1">
      <c r="A103" s="643">
        <f t="shared" ca="1" si="6"/>
        <v>3.0029999999999997</v>
      </c>
      <c r="B103" s="651" t="s">
        <v>1047</v>
      </c>
      <c r="C103" s="646">
        <v>1</v>
      </c>
      <c r="D103" s="680" t="s">
        <v>1045</v>
      </c>
      <c r="E103" s="649"/>
      <c r="F103" s="1125" t="s">
        <v>1016</v>
      </c>
    </row>
    <row r="104" spans="1:6" s="631" customFormat="1">
      <c r="A104" s="643">
        <f t="shared" ca="1" si="6"/>
        <v>3.0039999999999996</v>
      </c>
      <c r="B104" s="651" t="s">
        <v>1048</v>
      </c>
      <c r="C104" s="646">
        <v>1</v>
      </c>
      <c r="D104" s="680" t="s">
        <v>1045</v>
      </c>
      <c r="E104" s="649"/>
      <c r="F104" s="1125" t="s">
        <v>1016</v>
      </c>
    </row>
    <row r="105" spans="1:6" s="631" customFormat="1">
      <c r="A105" s="643">
        <f t="shared" ca="1" si="6"/>
        <v>3.0049999999999994</v>
      </c>
      <c r="B105" s="651" t="s">
        <v>1049</v>
      </c>
      <c r="C105" s="647">
        <v>1</v>
      </c>
      <c r="D105" s="680" t="s">
        <v>1045</v>
      </c>
      <c r="E105" s="649"/>
      <c r="F105" s="1125" t="s">
        <v>1016</v>
      </c>
    </row>
    <row r="106" spans="1:6" s="631" customFormat="1">
      <c r="A106" s="643"/>
      <c r="B106" s="1133" t="s">
        <v>1050</v>
      </c>
      <c r="C106" s="727"/>
      <c r="D106" s="727"/>
      <c r="E106" s="649"/>
      <c r="F106" s="1125"/>
    </row>
    <row r="107" spans="1:6" s="631" customFormat="1">
      <c r="A107" s="643">
        <f t="shared" ca="1" si="6"/>
        <v>3.0059999999999993</v>
      </c>
      <c r="B107" s="651" t="s">
        <v>1044</v>
      </c>
      <c r="C107" s="646">
        <v>1</v>
      </c>
      <c r="D107" s="680" t="s">
        <v>1045</v>
      </c>
      <c r="E107" s="649"/>
      <c r="F107" s="1125" t="s">
        <v>1016</v>
      </c>
    </row>
    <row r="108" spans="1:6" s="631" customFormat="1">
      <c r="A108" s="643">
        <f t="shared" ca="1" si="6"/>
        <v>3.0069999999999992</v>
      </c>
      <c r="B108" s="651" t="s">
        <v>1046</v>
      </c>
      <c r="C108" s="646">
        <v>1</v>
      </c>
      <c r="D108" s="680" t="s">
        <v>1045</v>
      </c>
      <c r="E108" s="649"/>
      <c r="F108" s="1125" t="s">
        <v>1016</v>
      </c>
    </row>
    <row r="109" spans="1:6" s="631" customFormat="1">
      <c r="A109" s="643">
        <f t="shared" ca="1" si="6"/>
        <v>3.0079999999999991</v>
      </c>
      <c r="B109" s="651" t="s">
        <v>1047</v>
      </c>
      <c r="C109" s="646">
        <v>1</v>
      </c>
      <c r="D109" s="680" t="s">
        <v>1045</v>
      </c>
      <c r="E109" s="649"/>
      <c r="F109" s="1125" t="s">
        <v>1016</v>
      </c>
    </row>
    <row r="110" spans="1:6" s="631" customFormat="1">
      <c r="A110" s="643">
        <f t="shared" ca="1" si="6"/>
        <v>3.008999999999999</v>
      </c>
      <c r="B110" s="651" t="s">
        <v>1048</v>
      </c>
      <c r="C110" s="646">
        <v>1</v>
      </c>
      <c r="D110" s="680" t="s">
        <v>1045</v>
      </c>
      <c r="E110" s="649"/>
      <c r="F110" s="1125" t="s">
        <v>1016</v>
      </c>
    </row>
    <row r="111" spans="1:6" s="631" customFormat="1">
      <c r="A111" s="643">
        <f t="shared" ca="1" si="6"/>
        <v>3.0099999999999989</v>
      </c>
      <c r="B111" s="651" t="s">
        <v>1049</v>
      </c>
      <c r="C111" s="647">
        <v>1</v>
      </c>
      <c r="D111" s="680" t="s">
        <v>1045</v>
      </c>
      <c r="E111" s="649"/>
      <c r="F111" s="1125" t="s">
        <v>1016</v>
      </c>
    </row>
    <row r="112" spans="1:6" s="631" customFormat="1">
      <c r="A112" s="643">
        <f t="shared" ca="1" si="6"/>
        <v>3.0109999999999988</v>
      </c>
      <c r="B112" s="728"/>
      <c r="C112" s="647"/>
      <c r="D112" s="729"/>
      <c r="E112" s="649"/>
      <c r="F112" s="1125">
        <f t="shared" ref="F112:F135" si="7">IFERROR($C112*E112,E112)</f>
        <v>0</v>
      </c>
    </row>
    <row r="113" spans="1:6" s="631" customFormat="1">
      <c r="A113" s="643">
        <f t="shared" ca="1" si="6"/>
        <v>3.0119999999999987</v>
      </c>
      <c r="B113" s="728"/>
      <c r="C113" s="647"/>
      <c r="D113" s="729"/>
      <c r="E113" s="649"/>
      <c r="F113" s="1125">
        <f t="shared" si="7"/>
        <v>0</v>
      </c>
    </row>
    <row r="114" spans="1:6" s="631" customFormat="1">
      <c r="A114" s="643">
        <f t="shared" ca="1" si="6"/>
        <v>3.0129999999999986</v>
      </c>
      <c r="B114" s="728"/>
      <c r="C114" s="647"/>
      <c r="D114" s="729"/>
      <c r="E114" s="649"/>
      <c r="F114" s="1125">
        <f t="shared" si="7"/>
        <v>0</v>
      </c>
    </row>
    <row r="115" spans="1:6" s="631" customFormat="1">
      <c r="A115" s="643">
        <f t="shared" ca="1" si="6"/>
        <v>3.0139999999999985</v>
      </c>
      <c r="B115" s="880"/>
      <c r="C115" s="647"/>
      <c r="D115" s="729"/>
      <c r="E115" s="649"/>
      <c r="F115" s="1125">
        <f t="shared" si="7"/>
        <v>0</v>
      </c>
    </row>
    <row r="116" spans="1:6" s="631" customFormat="1">
      <c r="A116" s="643">
        <f t="shared" ca="1" si="6"/>
        <v>3.0149999999999983</v>
      </c>
      <c r="B116" s="880"/>
      <c r="C116" s="647"/>
      <c r="D116" s="729"/>
      <c r="E116" s="649"/>
      <c r="F116" s="1125">
        <f t="shared" si="7"/>
        <v>0</v>
      </c>
    </row>
    <row r="117" spans="1:6" s="631" customFormat="1">
      <c r="A117" s="643">
        <f t="shared" ca="1" si="6"/>
        <v>3.0159999999999982</v>
      </c>
      <c r="B117" s="880"/>
      <c r="C117" s="647"/>
      <c r="D117" s="729"/>
      <c r="E117" s="649"/>
      <c r="F117" s="1125">
        <f t="shared" si="7"/>
        <v>0</v>
      </c>
    </row>
    <row r="118" spans="1:6" s="631" customFormat="1">
      <c r="A118" s="643">
        <f t="shared" ca="1" si="6"/>
        <v>3.0169999999999981</v>
      </c>
      <c r="B118" s="728"/>
      <c r="C118" s="647"/>
      <c r="D118" s="729"/>
      <c r="E118" s="649"/>
      <c r="F118" s="1125">
        <f t="shared" si="7"/>
        <v>0</v>
      </c>
    </row>
    <row r="119" spans="1:6" s="631" customFormat="1">
      <c r="A119" s="643">
        <f t="shared" ca="1" si="6"/>
        <v>3.017999999999998</v>
      </c>
      <c r="B119" s="728"/>
      <c r="C119" s="647"/>
      <c r="D119" s="729"/>
      <c r="E119" s="649"/>
      <c r="F119" s="1125">
        <f t="shared" si="7"/>
        <v>0</v>
      </c>
    </row>
    <row r="120" spans="1:6" s="631" customFormat="1">
      <c r="A120" s="643">
        <f t="shared" ca="1" si="6"/>
        <v>3.0189999999999979</v>
      </c>
      <c r="B120" s="728"/>
      <c r="C120" s="647"/>
      <c r="D120" s="729"/>
      <c r="E120" s="649"/>
      <c r="F120" s="1125">
        <f t="shared" si="7"/>
        <v>0</v>
      </c>
    </row>
    <row r="121" spans="1:6" s="631" customFormat="1">
      <c r="A121" s="643">
        <f t="shared" ca="1" si="6"/>
        <v>3.0199999999999978</v>
      </c>
      <c r="B121" s="880"/>
      <c r="C121" s="647"/>
      <c r="D121" s="729"/>
      <c r="E121" s="649"/>
      <c r="F121" s="1125">
        <f t="shared" si="7"/>
        <v>0</v>
      </c>
    </row>
    <row r="122" spans="1:6" s="631" customFormat="1">
      <c r="A122" s="643">
        <f t="shared" ca="1" si="6"/>
        <v>3.0209999999999977</v>
      </c>
      <c r="B122" s="880"/>
      <c r="C122" s="647"/>
      <c r="D122" s="729"/>
      <c r="E122" s="649"/>
      <c r="F122" s="1125">
        <f t="shared" si="7"/>
        <v>0</v>
      </c>
    </row>
    <row r="123" spans="1:6" s="631" customFormat="1">
      <c r="A123" s="643">
        <f t="shared" ca="1" si="6"/>
        <v>3.0219999999999976</v>
      </c>
      <c r="B123" s="880"/>
      <c r="C123" s="647"/>
      <c r="D123" s="729"/>
      <c r="E123" s="649"/>
      <c r="F123" s="1125">
        <f t="shared" si="7"/>
        <v>0</v>
      </c>
    </row>
    <row r="124" spans="1:6" s="631" customFormat="1">
      <c r="A124" s="643">
        <f t="shared" ca="1" si="6"/>
        <v>3.0229999999999975</v>
      </c>
      <c r="B124" s="728"/>
      <c r="C124" s="647"/>
      <c r="D124" s="729"/>
      <c r="E124" s="649"/>
      <c r="F124" s="1125">
        <f t="shared" si="7"/>
        <v>0</v>
      </c>
    </row>
    <row r="125" spans="1:6" s="631" customFormat="1">
      <c r="A125" s="643">
        <f t="shared" ca="1" si="6"/>
        <v>3.0239999999999974</v>
      </c>
      <c r="B125" s="728"/>
      <c r="C125" s="647"/>
      <c r="D125" s="729"/>
      <c r="E125" s="649"/>
      <c r="F125" s="1125">
        <f t="shared" si="7"/>
        <v>0</v>
      </c>
    </row>
    <row r="126" spans="1:6" s="631" customFormat="1">
      <c r="A126" s="643">
        <f t="shared" ca="1" si="6"/>
        <v>3.0249999999999972</v>
      </c>
      <c r="B126" s="728"/>
      <c r="C126" s="647"/>
      <c r="D126" s="729"/>
      <c r="E126" s="649"/>
      <c r="F126" s="1125">
        <f t="shared" si="7"/>
        <v>0</v>
      </c>
    </row>
    <row r="127" spans="1:6" s="631" customFormat="1">
      <c r="A127" s="643">
        <f t="shared" ca="1" si="6"/>
        <v>3.0259999999999971</v>
      </c>
      <c r="B127" s="880"/>
      <c r="C127" s="647"/>
      <c r="D127" s="729"/>
      <c r="E127" s="649"/>
      <c r="F127" s="1125">
        <f t="shared" si="7"/>
        <v>0</v>
      </c>
    </row>
    <row r="128" spans="1:6" s="631" customFormat="1">
      <c r="A128" s="643">
        <f t="shared" ca="1" si="6"/>
        <v>3.026999999999997</v>
      </c>
      <c r="B128" s="880"/>
      <c r="C128" s="647"/>
      <c r="D128" s="729"/>
      <c r="E128" s="649"/>
      <c r="F128" s="1125">
        <f t="shared" si="7"/>
        <v>0</v>
      </c>
    </row>
    <row r="129" spans="1:6" s="631" customFormat="1">
      <c r="A129" s="643">
        <f t="shared" ca="1" si="6"/>
        <v>3.0279999999999969</v>
      </c>
      <c r="B129" s="880"/>
      <c r="C129" s="647"/>
      <c r="D129" s="729"/>
      <c r="E129" s="649"/>
      <c r="F129" s="1125">
        <f t="shared" si="7"/>
        <v>0</v>
      </c>
    </row>
    <row r="130" spans="1:6" s="631" customFormat="1">
      <c r="A130" s="643">
        <f t="shared" ca="1" si="6"/>
        <v>3.0289999999999968</v>
      </c>
      <c r="B130" s="728"/>
      <c r="C130" s="647"/>
      <c r="D130" s="729"/>
      <c r="E130" s="649"/>
      <c r="F130" s="1125">
        <f t="shared" si="7"/>
        <v>0</v>
      </c>
    </row>
    <row r="131" spans="1:6" s="631" customFormat="1">
      <c r="A131" s="643">
        <f t="shared" ca="1" si="6"/>
        <v>3.0299999999999967</v>
      </c>
      <c r="B131" s="728"/>
      <c r="C131" s="647"/>
      <c r="D131" s="729"/>
      <c r="E131" s="649"/>
      <c r="F131" s="1125">
        <f t="shared" si="7"/>
        <v>0</v>
      </c>
    </row>
    <row r="132" spans="1:6" s="631" customFormat="1">
      <c r="A132" s="643">
        <f t="shared" ca="1" si="6"/>
        <v>3.0309999999999966</v>
      </c>
      <c r="B132" s="728"/>
      <c r="C132" s="647"/>
      <c r="D132" s="729"/>
      <c r="E132" s="649"/>
      <c r="F132" s="1125">
        <f t="shared" si="7"/>
        <v>0</v>
      </c>
    </row>
    <row r="133" spans="1:6" s="631" customFormat="1">
      <c r="A133" s="643">
        <f t="shared" ca="1" si="6"/>
        <v>3.0319999999999965</v>
      </c>
      <c r="B133" s="880"/>
      <c r="C133" s="647"/>
      <c r="D133" s="729"/>
      <c r="E133" s="649"/>
      <c r="F133" s="1125">
        <f t="shared" si="7"/>
        <v>0</v>
      </c>
    </row>
    <row r="134" spans="1:6" s="631" customFormat="1">
      <c r="A134" s="643">
        <f t="shared" ca="1" si="6"/>
        <v>3.0329999999999964</v>
      </c>
      <c r="B134" s="880"/>
      <c r="C134" s="647"/>
      <c r="D134" s="729"/>
      <c r="E134" s="649"/>
      <c r="F134" s="1125">
        <f t="shared" si="7"/>
        <v>0</v>
      </c>
    </row>
    <row r="135" spans="1:6" s="631" customFormat="1">
      <c r="A135" s="643">
        <f t="shared" ca="1" si="6"/>
        <v>3.0339999999999963</v>
      </c>
      <c r="B135" s="880"/>
      <c r="C135" s="647"/>
      <c r="D135" s="729"/>
      <c r="E135" s="649"/>
      <c r="F135" s="1125">
        <f t="shared" si="7"/>
        <v>0</v>
      </c>
    </row>
    <row r="136" spans="1:6" s="631" customFormat="1" ht="15" customHeight="1">
      <c r="A136" s="867"/>
      <c r="B136" s="639" t="s">
        <v>370</v>
      </c>
      <c r="C136" s="1456" t="s">
        <v>305</v>
      </c>
      <c r="D136" s="1457"/>
      <c r="E136" s="652"/>
      <c r="F136" s="1123">
        <f>SUM(F100:F135)</f>
        <v>0</v>
      </c>
    </row>
    <row r="137" spans="1:6" s="631" customFormat="1">
      <c r="A137" s="862"/>
      <c r="C137" s="628"/>
      <c r="D137" s="628"/>
      <c r="E137" s="633"/>
      <c r="F137" s="630"/>
    </row>
    <row r="138" spans="1:6" s="631" customFormat="1" ht="15" customHeight="1">
      <c r="A138" s="867"/>
      <c r="B138" s="639" t="s">
        <v>1052</v>
      </c>
      <c r="C138" s="1456" t="s">
        <v>305</v>
      </c>
      <c r="D138" s="1457"/>
      <c r="E138" s="659"/>
      <c r="F138" s="1123">
        <f>F136</f>
        <v>0</v>
      </c>
    </row>
    <row r="139" spans="1:6" s="631" customFormat="1">
      <c r="A139" s="862"/>
      <c r="C139" s="628"/>
      <c r="D139" s="628"/>
      <c r="E139" s="633"/>
      <c r="F139" s="630"/>
    </row>
    <row r="140" spans="1:6" s="631" customFormat="1">
      <c r="A140" s="862"/>
      <c r="C140" s="628"/>
      <c r="D140" s="628"/>
      <c r="E140" s="633"/>
      <c r="F140" s="630"/>
    </row>
    <row r="141" spans="1:6" s="631" customFormat="1">
      <c r="A141" s="731"/>
      <c r="B141" s="732" t="s">
        <v>1053</v>
      </c>
      <c r="C141" s="733"/>
      <c r="D141" s="734"/>
      <c r="E141" s="735" t="s">
        <v>1054</v>
      </c>
      <c r="F141" s="1134" t="s">
        <v>180</v>
      </c>
    </row>
    <row r="142" spans="1:6" s="631" customFormat="1">
      <c r="A142" s="703"/>
      <c r="B142" s="629"/>
      <c r="C142" s="661"/>
      <c r="D142" s="661"/>
      <c r="E142" s="662"/>
      <c r="F142" s="736"/>
    </row>
    <row r="143" spans="1:6" s="631" customFormat="1" ht="27.6">
      <c r="A143" s="737"/>
      <c r="B143" s="639"/>
      <c r="C143" s="738"/>
      <c r="D143" s="739"/>
      <c r="E143" s="664" t="s">
        <v>1055</v>
      </c>
      <c r="F143" s="664" t="s">
        <v>1055</v>
      </c>
    </row>
    <row r="144" spans="1:6" s="631" customFormat="1">
      <c r="A144" s="740"/>
      <c r="B144" s="651" t="s">
        <v>304</v>
      </c>
      <c r="C144" s="741"/>
      <c r="D144" s="739"/>
      <c r="E144" s="1130">
        <f>F12</f>
        <v>0</v>
      </c>
      <c r="F144" s="1123"/>
    </row>
    <row r="145" spans="1:6" s="631" customFormat="1">
      <c r="A145" s="742"/>
      <c r="B145" s="651" t="s">
        <v>314</v>
      </c>
      <c r="C145" s="741"/>
      <c r="D145" s="739"/>
      <c r="E145" s="1130">
        <f>F24</f>
        <v>0</v>
      </c>
      <c r="F145" s="1123"/>
    </row>
    <row r="146" spans="1:6" s="631" customFormat="1">
      <c r="A146" s="638">
        <v>1</v>
      </c>
      <c r="B146" s="639" t="s">
        <v>315</v>
      </c>
      <c r="C146" s="741"/>
      <c r="D146" s="739"/>
      <c r="E146" s="1130"/>
      <c r="F146" s="1123">
        <f>SUM(E144:E145)</f>
        <v>0</v>
      </c>
    </row>
    <row r="147" spans="1:6" s="631" customFormat="1">
      <c r="A147" s="881"/>
      <c r="B147" s="648" t="s">
        <v>361</v>
      </c>
      <c r="C147" s="741"/>
      <c r="D147" s="739"/>
      <c r="E147" s="1130">
        <f>F93</f>
        <v>55304.899999999994</v>
      </c>
      <c r="F147" s="1123"/>
    </row>
    <row r="148" spans="1:6" s="631" customFormat="1">
      <c r="A148" s="638">
        <v>2</v>
      </c>
      <c r="B148" s="639" t="s">
        <v>3501</v>
      </c>
      <c r="C148" s="741"/>
      <c r="D148" s="739"/>
      <c r="E148" s="1130"/>
      <c r="F148" s="1123">
        <f>SUM(E147:E147)</f>
        <v>55304.899999999994</v>
      </c>
    </row>
    <row r="149" spans="1:6" s="631" customFormat="1">
      <c r="A149" s="862"/>
      <c r="B149" s="648" t="s">
        <v>370</v>
      </c>
      <c r="C149" s="741"/>
      <c r="D149" s="739"/>
      <c r="E149" s="1130">
        <f>F136</f>
        <v>0</v>
      </c>
      <c r="F149" s="1123"/>
    </row>
    <row r="150" spans="1:6" s="631" customFormat="1">
      <c r="A150" s="638">
        <v>3</v>
      </c>
      <c r="B150" s="714" t="s">
        <v>1052</v>
      </c>
      <c r="C150" s="741"/>
      <c r="D150" s="739"/>
      <c r="E150" s="1130"/>
      <c r="F150" s="1123">
        <f>E149</f>
        <v>0</v>
      </c>
    </row>
    <row r="151" spans="1:6" s="631" customFormat="1" ht="14.4" thickBot="1">
      <c r="A151" s="862"/>
      <c r="B151" s="721"/>
      <c r="C151" s="628"/>
      <c r="D151" s="628"/>
      <c r="E151" s="1135"/>
      <c r="F151" s="1127"/>
    </row>
    <row r="152" spans="1:6" s="631" customFormat="1" ht="23.85" customHeight="1" thickBot="1">
      <c r="A152" s="1136"/>
      <c r="B152" s="743" t="s">
        <v>3502</v>
      </c>
      <c r="C152" s="1460" t="s">
        <v>305</v>
      </c>
      <c r="D152" s="1461"/>
      <c r="E152" s="1137"/>
      <c r="F152" s="1138">
        <f>IF(SUM(F144:F149)=0,0,SUM(F144:F150))</f>
        <v>55304.899999999994</v>
      </c>
    </row>
    <row r="153" spans="1:6" s="631" customFormat="1">
      <c r="A153" s="862"/>
      <c r="C153" s="628"/>
      <c r="D153" s="628"/>
      <c r="E153" s="633"/>
      <c r="F153" s="630"/>
    </row>
  </sheetData>
  <sheetProtection formatCells="0"/>
  <mergeCells count="8">
    <mergeCell ref="C138:D138"/>
    <mergeCell ref="C152:D152"/>
    <mergeCell ref="C12:D12"/>
    <mergeCell ref="C24:D24"/>
    <mergeCell ref="C26:D26"/>
    <mergeCell ref="C93:D93"/>
    <mergeCell ref="C95:D95"/>
    <mergeCell ref="C136:D136"/>
  </mergeCells>
  <printOptions horizontalCentered="1"/>
  <pageMargins left="0.70866141732283472" right="0.70866141732283472" top="0.74803149606299213" bottom="0.55118110236220474" header="0.31496062992125984" footer="0.31496062992125984"/>
  <pageSetup paperSize="9" scale="70" orientation="portrait" horizontalDpi="300" verticalDpi="300" r:id="rId1"/>
  <headerFooter>
    <oddHeader>&amp;LQuintano Foods Ltd&amp;RFire Stopping BoQ</oddHeader>
    <oddFooter>&amp;LCAMILLERI &amp;&amp; CUSCHIERI Consulting Engineers&amp;R&amp;P</oddFooter>
  </headerFooter>
  <rowBreaks count="4" manualBreakCount="4">
    <brk id="13" max="16383" man="1"/>
    <brk id="27" max="16383" man="1"/>
    <brk id="96" max="12" man="1"/>
    <brk id="13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4CE6-62EE-496B-94FD-33F0475B3D17}">
  <sheetPr>
    <pageSetUpPr fitToPage="1"/>
  </sheetPr>
  <dimension ref="A1:F54"/>
  <sheetViews>
    <sheetView view="pageBreakPreview" topLeftCell="A13" zoomScale="115" zoomScaleNormal="85" zoomScaleSheetLayoutView="115" workbookViewId="0">
      <selection activeCell="F37" sqref="F37"/>
    </sheetView>
  </sheetViews>
  <sheetFormatPr defaultColWidth="9.33203125" defaultRowHeight="13.8"/>
  <cols>
    <col min="1" max="1" width="63.33203125" style="627" customWidth="1"/>
    <col min="2" max="3" width="9.44140625" style="627" customWidth="1"/>
    <col min="4" max="4" width="12.6640625" style="627" customWidth="1"/>
    <col min="5" max="6" width="12.6640625" style="626" customWidth="1"/>
    <col min="7" max="16384" width="9.33203125" style="627"/>
  </cols>
  <sheetData>
    <row r="1" spans="1:6" ht="14.4">
      <c r="A1" s="1390"/>
      <c r="B1" s="626"/>
      <c r="C1" s="626"/>
      <c r="D1" s="1238"/>
      <c r="E1" s="1347"/>
      <c r="F1" s="1347"/>
    </row>
    <row r="2" spans="1:6" s="1394" customFormat="1" ht="27.6">
      <c r="A2" s="1391" t="s">
        <v>4080</v>
      </c>
      <c r="B2" s="1392"/>
      <c r="C2" s="1393"/>
      <c r="D2" s="735" t="s">
        <v>1054</v>
      </c>
      <c r="E2" s="1134" t="s">
        <v>180</v>
      </c>
      <c r="F2" s="1134" t="s">
        <v>4120</v>
      </c>
    </row>
    <row r="3" spans="1:6" s="631" customFormat="1">
      <c r="A3" s="1395"/>
      <c r="B3" s="1396"/>
      <c r="C3" s="1396"/>
      <c r="D3" s="1397"/>
      <c r="E3" s="1398"/>
      <c r="F3" s="1398"/>
    </row>
    <row r="4" spans="1:6" s="631" customFormat="1" ht="27.6">
      <c r="A4" s="1399"/>
      <c r="B4" s="1400"/>
      <c r="C4" s="1400"/>
      <c r="D4" s="664" t="s">
        <v>1055</v>
      </c>
      <c r="E4" s="664" t="s">
        <v>1055</v>
      </c>
      <c r="F4" s="664"/>
    </row>
    <row r="5" spans="1:6" s="631" customFormat="1">
      <c r="A5" s="1399"/>
      <c r="B5" s="1400"/>
      <c r="C5" s="1400"/>
      <c r="D5" s="664"/>
      <c r="E5" s="664"/>
      <c r="F5" s="664"/>
    </row>
    <row r="6" spans="1:6" s="631" customFormat="1">
      <c r="A6" s="1401" t="s">
        <v>4081</v>
      </c>
      <c r="B6" s="1402"/>
      <c r="C6" s="1402"/>
      <c r="D6" s="1403"/>
      <c r="E6" s="1123"/>
      <c r="F6" s="1123"/>
    </row>
    <row r="7" spans="1:6" s="631" customFormat="1">
      <c r="A7" s="1404" t="s">
        <v>4082</v>
      </c>
      <c r="B7" s="1402"/>
      <c r="C7" s="1402"/>
      <c r="D7" s="1124">
        <f>MEP_BOQ!F1613</f>
        <v>11152.23</v>
      </c>
      <c r="E7" s="1123"/>
      <c r="F7" s="1123">
        <f>D7</f>
        <v>11152.23</v>
      </c>
    </row>
    <row r="8" spans="1:6" s="631" customFormat="1">
      <c r="A8" s="1404" t="s">
        <v>4083</v>
      </c>
      <c r="B8" s="1402"/>
      <c r="C8" s="1402"/>
      <c r="D8" s="1124"/>
      <c r="E8" s="1123"/>
      <c r="F8" s="1123">
        <v>98533.2</v>
      </c>
    </row>
    <row r="9" spans="1:6" s="631" customFormat="1">
      <c r="A9" s="1404" t="s">
        <v>4084</v>
      </c>
      <c r="B9" s="1402"/>
      <c r="C9" s="1402"/>
      <c r="D9" s="1124"/>
      <c r="E9" s="1123"/>
      <c r="F9" s="1123">
        <v>276756.11</v>
      </c>
    </row>
    <row r="10" spans="1:6" s="631" customFormat="1">
      <c r="A10" s="1404" t="s">
        <v>4085</v>
      </c>
      <c r="B10" s="1402"/>
      <c r="C10" s="1402"/>
      <c r="D10" s="1124">
        <f ca="1">MEP_BOQ!F1638</f>
        <v>1090901.1800000002</v>
      </c>
      <c r="E10" s="1123"/>
      <c r="F10" s="1123">
        <f ca="1">D10</f>
        <v>1090901.1800000002</v>
      </c>
    </row>
    <row r="11" spans="1:6" s="631" customFormat="1">
      <c r="A11" s="1404" t="s">
        <v>4086</v>
      </c>
      <c r="B11" s="1402"/>
      <c r="C11" s="1402"/>
      <c r="D11" s="1124">
        <f>MEP_BOQ!F1640</f>
        <v>56359.01</v>
      </c>
      <c r="E11" s="1123"/>
      <c r="F11" s="1123">
        <f t="shared" ref="F11:F15" si="0">D11</f>
        <v>56359.01</v>
      </c>
    </row>
    <row r="12" spans="1:6" s="631" customFormat="1">
      <c r="A12" s="1404" t="s">
        <v>4087</v>
      </c>
      <c r="B12" s="1402"/>
      <c r="C12" s="1402"/>
      <c r="D12" s="1124">
        <f ca="1">MEP_BOQ!F1642</f>
        <v>19160.93</v>
      </c>
      <c r="E12" s="1123"/>
      <c r="F12" s="1123">
        <f t="shared" ca="1" si="0"/>
        <v>19160.93</v>
      </c>
    </row>
    <row r="13" spans="1:6" s="631" customFormat="1">
      <c r="A13" s="1404" t="s">
        <v>4088</v>
      </c>
      <c r="B13" s="1402"/>
      <c r="C13" s="1402"/>
      <c r="D13" s="1124">
        <f ca="1">MEP_BOQ!F1646</f>
        <v>122773.66</v>
      </c>
      <c r="E13" s="1123"/>
      <c r="F13" s="1123">
        <f t="shared" ca="1" si="0"/>
        <v>122773.66</v>
      </c>
    </row>
    <row r="14" spans="1:6" s="631" customFormat="1" ht="13.35" customHeight="1">
      <c r="A14" s="1404" t="s">
        <v>4089</v>
      </c>
      <c r="B14" s="1402"/>
      <c r="C14" s="1402"/>
      <c r="D14" s="1124">
        <f ca="1">MEP_BOQ!F1653</f>
        <v>84169.579999999987</v>
      </c>
      <c r="E14" s="1123"/>
      <c r="F14" s="1123">
        <f t="shared" ca="1" si="0"/>
        <v>84169.579999999987</v>
      </c>
    </row>
    <row r="15" spans="1:6" s="631" customFormat="1">
      <c r="A15" s="1404" t="s">
        <v>4090</v>
      </c>
      <c r="B15" s="1402"/>
      <c r="C15" s="1402"/>
      <c r="D15" s="1124">
        <f>MEP_BOQ!F1655</f>
        <v>54114.830000000016</v>
      </c>
      <c r="E15" s="1123"/>
      <c r="F15" s="1123">
        <f t="shared" si="0"/>
        <v>54114.830000000016</v>
      </c>
    </row>
    <row r="16" spans="1:6" s="631" customFormat="1">
      <c r="A16" s="1404" t="s">
        <v>4091</v>
      </c>
      <c r="B16" s="1402"/>
      <c r="C16" s="1402"/>
      <c r="D16" s="1124">
        <f>MEP_BOQ!F1657</f>
        <v>2214.09</v>
      </c>
      <c r="E16" s="1123"/>
      <c r="F16" s="1123">
        <f>3224.24+D16</f>
        <v>5438.33</v>
      </c>
    </row>
    <row r="17" spans="1:6" s="631" customFormat="1">
      <c r="A17" s="1404" t="s">
        <v>4092</v>
      </c>
      <c r="B17" s="1402"/>
      <c r="C17" s="1402"/>
      <c r="D17" s="1124">
        <f>MEP_BOQ!F1659</f>
        <v>0</v>
      </c>
      <c r="E17" s="1123"/>
      <c r="F17" s="1123"/>
    </row>
    <row r="18" spans="1:6" s="631" customFormat="1">
      <c r="A18" s="1401" t="s">
        <v>4093</v>
      </c>
      <c r="B18" s="1402"/>
      <c r="C18" s="1402"/>
      <c r="D18" s="1124"/>
      <c r="E18" s="1405">
        <f ca="1">IF(SUM(D7:D16)=0,0,SUM(D7:D17))</f>
        <v>1440845.5100000002</v>
      </c>
      <c r="F18" s="1405">
        <f ca="1">SUM(F7:F17)</f>
        <v>1819359.0600000003</v>
      </c>
    </row>
    <row r="19" spans="1:6" s="631" customFormat="1">
      <c r="A19" s="1401"/>
      <c r="B19" s="1402"/>
      <c r="C19" s="1402"/>
      <c r="D19" s="1124"/>
      <c r="E19" s="1123"/>
      <c r="F19" s="1123"/>
    </row>
    <row r="20" spans="1:6" s="631" customFormat="1">
      <c r="A20" s="1401" t="s">
        <v>4094</v>
      </c>
      <c r="B20" s="1402"/>
      <c r="C20" s="1402"/>
      <c r="D20" s="1403"/>
      <c r="E20" s="1123"/>
      <c r="F20" s="1123"/>
    </row>
    <row r="21" spans="1:6" s="631" customFormat="1">
      <c r="A21" s="1404" t="s">
        <v>4082</v>
      </c>
      <c r="B21" s="1402"/>
      <c r="C21" s="1402"/>
      <c r="D21" s="1124"/>
      <c r="E21" s="1123"/>
      <c r="F21" s="1123">
        <v>6383.91</v>
      </c>
    </row>
    <row r="22" spans="1:6" s="631" customFormat="1">
      <c r="A22" s="1404" t="s">
        <v>4095</v>
      </c>
      <c r="B22" s="1402"/>
      <c r="C22" s="1402"/>
      <c r="D22" s="1124"/>
      <c r="E22" s="1123"/>
      <c r="F22" s="1123">
        <v>372331.05</v>
      </c>
    </row>
    <row r="23" spans="1:6" s="631" customFormat="1">
      <c r="A23" s="1404" t="s">
        <v>4096</v>
      </c>
      <c r="B23" s="1402"/>
      <c r="C23" s="1402"/>
      <c r="D23" s="1124"/>
      <c r="E23" s="1123"/>
      <c r="F23" s="1123">
        <v>140487.22</v>
      </c>
    </row>
    <row r="24" spans="1:6" s="631" customFormat="1">
      <c r="A24" s="1404" t="s">
        <v>4091</v>
      </c>
      <c r="B24" s="1402"/>
      <c r="C24" s="1402"/>
      <c r="D24" s="1124"/>
      <c r="E24" s="1123"/>
      <c r="F24" s="1123">
        <v>3301.81</v>
      </c>
    </row>
    <row r="25" spans="1:6" s="631" customFormat="1">
      <c r="A25" s="1404" t="s">
        <v>4092</v>
      </c>
      <c r="B25" s="1402"/>
      <c r="C25" s="1402"/>
      <c r="D25" s="1124"/>
      <c r="E25" s="1123"/>
      <c r="F25" s="1123"/>
    </row>
    <row r="26" spans="1:6" s="631" customFormat="1">
      <c r="A26" s="1401" t="s">
        <v>4097</v>
      </c>
      <c r="B26" s="1402"/>
      <c r="C26" s="1402"/>
      <c r="D26" s="1124"/>
      <c r="E26" s="1405">
        <f>IF(SUM(D21:D24)=0,0,SUM(D21:D25))</f>
        <v>0</v>
      </c>
      <c r="F26" s="1405">
        <f>SUM(F21:F25)</f>
        <v>522503.98999999993</v>
      </c>
    </row>
    <row r="27" spans="1:6" s="631" customFormat="1">
      <c r="A27" s="1401"/>
      <c r="B27" s="1402"/>
      <c r="C27" s="1402"/>
      <c r="D27" s="1124"/>
      <c r="E27" s="1123"/>
      <c r="F27" s="1123"/>
    </row>
    <row r="28" spans="1:6" s="631" customFormat="1">
      <c r="A28" s="1401" t="s">
        <v>4098</v>
      </c>
      <c r="B28" s="1402"/>
      <c r="C28" s="1402"/>
      <c r="D28" s="1403"/>
      <c r="E28" s="1123"/>
      <c r="F28" s="1123"/>
    </row>
    <row r="29" spans="1:6" s="631" customFormat="1">
      <c r="A29" s="1404" t="s">
        <v>4082</v>
      </c>
      <c r="B29" s="1402"/>
      <c r="C29" s="1402"/>
      <c r="D29" s="1124">
        <f>ELV_Fire_Security_BOQ!F1074</f>
        <v>0</v>
      </c>
      <c r="E29" s="1123"/>
      <c r="F29" s="1123"/>
    </row>
    <row r="30" spans="1:6" s="631" customFormat="1">
      <c r="A30" s="1404" t="s">
        <v>4099</v>
      </c>
      <c r="B30" s="1402"/>
      <c r="C30" s="1402"/>
      <c r="D30" s="1124">
        <f ca="1">ELV_Fire_Security_BOQ!F1083</f>
        <v>90522.44</v>
      </c>
      <c r="E30" s="1123"/>
      <c r="F30" s="1123">
        <f ca="1">D30</f>
        <v>90522.44</v>
      </c>
    </row>
    <row r="31" spans="1:6" s="631" customFormat="1">
      <c r="A31" s="1404" t="s">
        <v>4100</v>
      </c>
      <c r="B31" s="1402"/>
      <c r="C31" s="1402"/>
      <c r="D31" s="1124">
        <f>ELV_Fire_Security_BOQ!F1086</f>
        <v>0</v>
      </c>
      <c r="E31" s="1123"/>
      <c r="F31" s="1123">
        <v>180348.21</v>
      </c>
    </row>
    <row r="32" spans="1:6" s="631" customFormat="1">
      <c r="A32" s="1404" t="s">
        <v>4101</v>
      </c>
      <c r="B32" s="1402"/>
      <c r="C32" s="1402"/>
      <c r="D32" s="1124">
        <f>ELV_Fire_Security_BOQ!F1092</f>
        <v>0</v>
      </c>
      <c r="E32" s="1123"/>
      <c r="F32" s="1123">
        <v>156038.84</v>
      </c>
    </row>
    <row r="33" spans="1:6" s="631" customFormat="1">
      <c r="A33" s="1404" t="s">
        <v>4102</v>
      </c>
      <c r="B33" s="1402"/>
      <c r="C33" s="1402"/>
      <c r="D33" s="1124">
        <f>ELV_Fire_Security_BOQ!F1094</f>
        <v>26373.719999999998</v>
      </c>
      <c r="E33" s="1123"/>
      <c r="F33" s="1123">
        <f t="shared" ref="F33:F37" si="1">D33</f>
        <v>26373.719999999998</v>
      </c>
    </row>
    <row r="34" spans="1:6" s="631" customFormat="1">
      <c r="A34" s="1404" t="s">
        <v>4103</v>
      </c>
      <c r="B34" s="1402"/>
      <c r="C34" s="1402"/>
      <c r="D34" s="1124">
        <f ca="1">ELV_Fire_Security_BOQ!F1097</f>
        <v>10313.07</v>
      </c>
      <c r="E34" s="1123"/>
      <c r="F34" s="1123">
        <f t="shared" ca="1" si="1"/>
        <v>10313.07</v>
      </c>
    </row>
    <row r="35" spans="1:6" s="631" customFormat="1">
      <c r="A35" s="1404" t="s">
        <v>4104</v>
      </c>
      <c r="B35" s="1402"/>
      <c r="C35" s="1402"/>
      <c r="D35" s="1124">
        <f>ELV_Fire_Security_BOQ!F1099</f>
        <v>3480.4500000000003</v>
      </c>
      <c r="E35" s="1123"/>
      <c r="F35" s="1123">
        <f t="shared" si="1"/>
        <v>3480.4500000000003</v>
      </c>
    </row>
    <row r="36" spans="1:6" s="631" customFormat="1">
      <c r="A36" s="1404" t="s">
        <v>4105</v>
      </c>
      <c r="B36" s="1402"/>
      <c r="C36" s="1402"/>
      <c r="D36" s="1124">
        <f>ELV_Fire_Security_BOQ!F1102</f>
        <v>5836.0099999999984</v>
      </c>
      <c r="E36" s="1123"/>
      <c r="F36" s="1123">
        <f t="shared" si="1"/>
        <v>5836.0099999999984</v>
      </c>
    </row>
    <row r="37" spans="1:6" s="631" customFormat="1">
      <c r="A37" s="1404" t="s">
        <v>4106</v>
      </c>
      <c r="B37" s="1402"/>
      <c r="C37" s="1402"/>
      <c r="D37" s="1124">
        <f ca="1">ELV_Fire_Security_BOQ!F1105</f>
        <v>3292.2100000000009</v>
      </c>
      <c r="E37" s="1123"/>
      <c r="F37" s="1123">
        <f t="shared" ca="1" si="1"/>
        <v>3292.2100000000009</v>
      </c>
    </row>
    <row r="38" spans="1:6" s="631" customFormat="1">
      <c r="A38" s="1404" t="s">
        <v>4107</v>
      </c>
      <c r="B38" s="1402"/>
      <c r="C38" s="1402"/>
      <c r="D38" s="1124">
        <f>ELV_Fire_Security_BOQ!F1109</f>
        <v>0</v>
      </c>
      <c r="E38" s="1123"/>
      <c r="F38" s="1123">
        <v>559802.57999999996</v>
      </c>
    </row>
    <row r="39" spans="1:6" s="631" customFormat="1">
      <c r="A39" s="1404" t="s">
        <v>4091</v>
      </c>
      <c r="B39" s="1402"/>
      <c r="C39" s="1402"/>
      <c r="D39" s="1124">
        <f>ELV_Fire_Security_BOQ!F1111</f>
        <v>953.5</v>
      </c>
      <c r="E39" s="1123"/>
      <c r="F39" s="1123">
        <f>1329.4+D39</f>
        <v>2282.9</v>
      </c>
    </row>
    <row r="40" spans="1:6" s="631" customFormat="1">
      <c r="A40" s="1404" t="s">
        <v>4092</v>
      </c>
      <c r="B40" s="1402"/>
      <c r="C40" s="1402"/>
      <c r="D40" s="1124">
        <f>ELV_Fire_Security_BOQ!F1113</f>
        <v>0</v>
      </c>
      <c r="E40" s="1123"/>
      <c r="F40" s="1123"/>
    </row>
    <row r="41" spans="1:6" s="631" customFormat="1">
      <c r="A41" s="1401" t="s">
        <v>2266</v>
      </c>
      <c r="B41" s="1402"/>
      <c r="C41" s="1402"/>
      <c r="D41" s="1124"/>
      <c r="E41" s="1405">
        <f ca="1">IF(SUM(D29:D39)=0,0,SUM(D29:D40))</f>
        <v>140771.4</v>
      </c>
      <c r="F41" s="1405">
        <f ca="1">SUM(F29:F40)</f>
        <v>1038290.43</v>
      </c>
    </row>
    <row r="42" spans="1:6">
      <c r="A42" s="673"/>
      <c r="B42" s="624"/>
      <c r="C42" s="623"/>
      <c r="D42" s="623"/>
      <c r="E42" s="1406"/>
      <c r="F42" s="1406"/>
    </row>
    <row r="43" spans="1:6" s="631" customFormat="1">
      <c r="A43" s="1401" t="s">
        <v>4108</v>
      </c>
      <c r="B43" s="1402"/>
      <c r="C43" s="1402"/>
      <c r="D43" s="1403"/>
      <c r="E43" s="1123"/>
      <c r="F43" s="1123"/>
    </row>
    <row r="44" spans="1:6" s="631" customFormat="1">
      <c r="A44" s="1404" t="s">
        <v>4082</v>
      </c>
      <c r="B44" s="1402"/>
      <c r="C44" s="1402"/>
      <c r="D44" s="1124"/>
      <c r="E44" s="1123"/>
      <c r="F44" s="1123"/>
    </row>
    <row r="45" spans="1:6" s="631" customFormat="1">
      <c r="A45" s="1404" t="s">
        <v>4109</v>
      </c>
      <c r="B45" s="1402"/>
      <c r="C45" s="1402"/>
      <c r="D45" s="1124">
        <f>Fire_Stopping_BOQ!F95</f>
        <v>55304.899999999994</v>
      </c>
      <c r="E45" s="1123"/>
      <c r="F45" s="1123">
        <f>11543.7+D45</f>
        <v>66848.599999999991</v>
      </c>
    </row>
    <row r="46" spans="1:6" s="631" customFormat="1">
      <c r="A46" s="1404" t="s">
        <v>4092</v>
      </c>
      <c r="B46" s="1402"/>
      <c r="C46" s="1402"/>
      <c r="D46" s="1124"/>
      <c r="E46" s="1123"/>
      <c r="F46" s="1123"/>
    </row>
    <row r="47" spans="1:6" s="631" customFormat="1">
      <c r="A47" s="1401" t="s">
        <v>3502</v>
      </c>
      <c r="B47" s="1402"/>
      <c r="C47" s="1402"/>
      <c r="D47" s="1124"/>
      <c r="E47" s="1405">
        <f>IF(SUM(D44:D45)=0,0,SUM(D44:D46))</f>
        <v>55304.899999999994</v>
      </c>
      <c r="F47" s="1405">
        <f>SUM(F44:F46)</f>
        <v>66848.599999999991</v>
      </c>
    </row>
    <row r="48" spans="1:6" s="631" customFormat="1">
      <c r="A48" s="1401"/>
      <c r="B48" s="1402"/>
      <c r="C48" s="1402"/>
      <c r="D48" s="1124"/>
      <c r="E48" s="1239"/>
      <c r="F48" s="1239"/>
    </row>
    <row r="49" spans="1:6" s="631" customFormat="1" ht="14.4" thickBot="1">
      <c r="A49" s="1401"/>
      <c r="B49" s="1407"/>
      <c r="C49" s="1407"/>
      <c r="D49" s="1408"/>
      <c r="E49" s="1409"/>
      <c r="F49" s="1409"/>
    </row>
    <row r="50" spans="1:6" s="1394" customFormat="1" ht="14.4" thickBot="1">
      <c r="A50" s="1410" t="s">
        <v>4110</v>
      </c>
      <c r="B50" s="1494" t="s">
        <v>4111</v>
      </c>
      <c r="C50" s="1495"/>
      <c r="D50" s="1411"/>
      <c r="E50" s="1138">
        <f ca="1">SUM(E6:E49)</f>
        <v>1636921.81</v>
      </c>
      <c r="F50" s="1138">
        <f ca="1">F47+F41+F26+F18</f>
        <v>3447002.08</v>
      </c>
    </row>
    <row r="52" spans="1:6">
      <c r="A52" s="627" t="s">
        <v>4135</v>
      </c>
      <c r="B52" s="1436">
        <f>ML_Sum!Q23</f>
        <v>9.6951899999999994E-2</v>
      </c>
      <c r="E52" s="1348">
        <f ca="1">ML_Sum!F35-ML_Sum!E35</f>
        <v>158702.67963093892</v>
      </c>
      <c r="F52" s="1348">
        <f ca="1">F50*0.05</f>
        <v>172350.10400000002</v>
      </c>
    </row>
    <row r="53" spans="1:6" ht="14.4" thickBot="1"/>
    <row r="54" spans="1:6" s="1394" customFormat="1" ht="14.4" thickBot="1">
      <c r="A54" s="1410" t="s">
        <v>4136</v>
      </c>
      <c r="B54" s="1494" t="s">
        <v>4111</v>
      </c>
      <c r="C54" s="1495"/>
      <c r="D54" s="1411"/>
      <c r="E54" s="1138">
        <f ca="1">E50-E52</f>
        <v>1478219.1303690611</v>
      </c>
      <c r="F54" s="1138">
        <f ca="1">F50-F52</f>
        <v>3274651.9760000003</v>
      </c>
    </row>
  </sheetData>
  <sheetProtection formatCells="0"/>
  <mergeCells count="2">
    <mergeCell ref="B50:C50"/>
    <mergeCell ref="B54:C54"/>
  </mergeCells>
  <printOptions horizontalCentered="1"/>
  <pageMargins left="0.70866141732283472" right="0.70866141732283472" top="0.74803149606299213" bottom="0.55118110236220474" header="0.31496062992125984" footer="0.31496062992125984"/>
  <pageSetup paperSize="9" scale="74" orientation="portrait" r:id="rId1"/>
  <headerFooter>
    <oddHeader>&amp;LQuintano Foods Ltd&amp;RSummary Pages</oddHeader>
    <oddFooter>&amp;LCAMILLERI &amp;&amp; CUSCHIERI Consulting Engineers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67"/>
  <sheetViews>
    <sheetView workbookViewId="0"/>
  </sheetViews>
  <sheetFormatPr defaultRowHeight="13.2"/>
  <cols>
    <col min="1" max="1" width="8.33203125" style="550" customWidth="1"/>
    <col min="2" max="2" width="35.5546875" style="551" customWidth="1"/>
    <col min="3" max="3" width="6.33203125" style="587" customWidth="1"/>
    <col min="4" max="6" width="6.33203125" style="549" customWidth="1"/>
    <col min="7" max="7" width="6.44140625" style="549" customWidth="1"/>
    <col min="8" max="8" width="9" style="552" customWidth="1"/>
    <col min="9" max="9" width="8.6640625" style="553" customWidth="1"/>
    <col min="10" max="10" width="9" style="552" customWidth="1"/>
    <col min="11" max="11" width="8.6640625" style="553" customWidth="1"/>
    <col min="12" max="19" width="9.109375" style="535" customWidth="1"/>
    <col min="20" max="256" width="9.109375" style="535"/>
    <col min="257" max="257" width="8.33203125" style="535" customWidth="1"/>
    <col min="258" max="258" width="35.5546875" style="535" customWidth="1"/>
    <col min="259" max="262" width="6.33203125" style="535" customWidth="1"/>
    <col min="263" max="263" width="6.44140625" style="535" customWidth="1"/>
    <col min="264" max="264" width="9" style="535" customWidth="1"/>
    <col min="265" max="265" width="8.6640625" style="535" customWidth="1"/>
    <col min="266" max="275" width="0" style="535" hidden="1" customWidth="1"/>
    <col min="276" max="512" width="9.109375" style="535"/>
    <col min="513" max="513" width="8.33203125" style="535" customWidth="1"/>
    <col min="514" max="514" width="35.5546875" style="535" customWidth="1"/>
    <col min="515" max="518" width="6.33203125" style="535" customWidth="1"/>
    <col min="519" max="519" width="6.44140625" style="535" customWidth="1"/>
    <col min="520" max="520" width="9" style="535" customWidth="1"/>
    <col min="521" max="521" width="8.6640625" style="535" customWidth="1"/>
    <col min="522" max="531" width="0" style="535" hidden="1" customWidth="1"/>
    <col min="532" max="768" width="9.109375" style="535"/>
    <col min="769" max="769" width="8.33203125" style="535" customWidth="1"/>
    <col min="770" max="770" width="35.5546875" style="535" customWidth="1"/>
    <col min="771" max="774" width="6.33203125" style="535" customWidth="1"/>
    <col min="775" max="775" width="6.44140625" style="535" customWidth="1"/>
    <col min="776" max="776" width="9" style="535" customWidth="1"/>
    <col min="777" max="777" width="8.6640625" style="535" customWidth="1"/>
    <col min="778" max="787" width="0" style="535" hidden="1" customWidth="1"/>
    <col min="788" max="1024" width="9.109375" style="535"/>
    <col min="1025" max="1025" width="8.33203125" style="535" customWidth="1"/>
    <col min="1026" max="1026" width="35.5546875" style="535" customWidth="1"/>
    <col min="1027" max="1030" width="6.33203125" style="535" customWidth="1"/>
    <col min="1031" max="1031" width="6.44140625" style="535" customWidth="1"/>
    <col min="1032" max="1032" width="9" style="535" customWidth="1"/>
    <col min="1033" max="1033" width="8.6640625" style="535" customWidth="1"/>
    <col min="1034" max="1043" width="0" style="535" hidden="1" customWidth="1"/>
    <col min="1044" max="1280" width="9.109375" style="535"/>
    <col min="1281" max="1281" width="8.33203125" style="535" customWidth="1"/>
    <col min="1282" max="1282" width="35.5546875" style="535" customWidth="1"/>
    <col min="1283" max="1286" width="6.33203125" style="535" customWidth="1"/>
    <col min="1287" max="1287" width="6.44140625" style="535" customWidth="1"/>
    <col min="1288" max="1288" width="9" style="535" customWidth="1"/>
    <col min="1289" max="1289" width="8.6640625" style="535" customWidth="1"/>
    <col min="1290" max="1299" width="0" style="535" hidden="1" customWidth="1"/>
    <col min="1300" max="1536" width="9.109375" style="535"/>
    <col min="1537" max="1537" width="8.33203125" style="535" customWidth="1"/>
    <col min="1538" max="1538" width="35.5546875" style="535" customWidth="1"/>
    <col min="1539" max="1542" width="6.33203125" style="535" customWidth="1"/>
    <col min="1543" max="1543" width="6.44140625" style="535" customWidth="1"/>
    <col min="1544" max="1544" width="9" style="535" customWidth="1"/>
    <col min="1545" max="1545" width="8.6640625" style="535" customWidth="1"/>
    <col min="1546" max="1555" width="0" style="535" hidden="1" customWidth="1"/>
    <col min="1556" max="1792" width="9.109375" style="535"/>
    <col min="1793" max="1793" width="8.33203125" style="535" customWidth="1"/>
    <col min="1794" max="1794" width="35.5546875" style="535" customWidth="1"/>
    <col min="1795" max="1798" width="6.33203125" style="535" customWidth="1"/>
    <col min="1799" max="1799" width="6.44140625" style="535" customWidth="1"/>
    <col min="1800" max="1800" width="9" style="535" customWidth="1"/>
    <col min="1801" max="1801" width="8.6640625" style="535" customWidth="1"/>
    <col min="1802" max="1811" width="0" style="535" hidden="1" customWidth="1"/>
    <col min="1812" max="2048" width="9.109375" style="535"/>
    <col min="2049" max="2049" width="8.33203125" style="535" customWidth="1"/>
    <col min="2050" max="2050" width="35.5546875" style="535" customWidth="1"/>
    <col min="2051" max="2054" width="6.33203125" style="535" customWidth="1"/>
    <col min="2055" max="2055" width="6.44140625" style="535" customWidth="1"/>
    <col min="2056" max="2056" width="9" style="535" customWidth="1"/>
    <col min="2057" max="2057" width="8.6640625" style="535" customWidth="1"/>
    <col min="2058" max="2067" width="0" style="535" hidden="1" customWidth="1"/>
    <col min="2068" max="2304" width="9.109375" style="535"/>
    <col min="2305" max="2305" width="8.33203125" style="535" customWidth="1"/>
    <col min="2306" max="2306" width="35.5546875" style="535" customWidth="1"/>
    <col min="2307" max="2310" width="6.33203125" style="535" customWidth="1"/>
    <col min="2311" max="2311" width="6.44140625" style="535" customWidth="1"/>
    <col min="2312" max="2312" width="9" style="535" customWidth="1"/>
    <col min="2313" max="2313" width="8.6640625" style="535" customWidth="1"/>
    <col min="2314" max="2323" width="0" style="535" hidden="1" customWidth="1"/>
    <col min="2324" max="2560" width="9.109375" style="535"/>
    <col min="2561" max="2561" width="8.33203125" style="535" customWidth="1"/>
    <col min="2562" max="2562" width="35.5546875" style="535" customWidth="1"/>
    <col min="2563" max="2566" width="6.33203125" style="535" customWidth="1"/>
    <col min="2567" max="2567" width="6.44140625" style="535" customWidth="1"/>
    <col min="2568" max="2568" width="9" style="535" customWidth="1"/>
    <col min="2569" max="2569" width="8.6640625" style="535" customWidth="1"/>
    <col min="2570" max="2579" width="0" style="535" hidden="1" customWidth="1"/>
    <col min="2580" max="2816" width="9.109375" style="535"/>
    <col min="2817" max="2817" width="8.33203125" style="535" customWidth="1"/>
    <col min="2818" max="2818" width="35.5546875" style="535" customWidth="1"/>
    <col min="2819" max="2822" width="6.33203125" style="535" customWidth="1"/>
    <col min="2823" max="2823" width="6.44140625" style="535" customWidth="1"/>
    <col min="2824" max="2824" width="9" style="535" customWidth="1"/>
    <col min="2825" max="2825" width="8.6640625" style="535" customWidth="1"/>
    <col min="2826" max="2835" width="0" style="535" hidden="1" customWidth="1"/>
    <col min="2836" max="3072" width="9.109375" style="535"/>
    <col min="3073" max="3073" width="8.33203125" style="535" customWidth="1"/>
    <col min="3074" max="3074" width="35.5546875" style="535" customWidth="1"/>
    <col min="3075" max="3078" width="6.33203125" style="535" customWidth="1"/>
    <col min="3079" max="3079" width="6.44140625" style="535" customWidth="1"/>
    <col min="3080" max="3080" width="9" style="535" customWidth="1"/>
    <col min="3081" max="3081" width="8.6640625" style="535" customWidth="1"/>
    <col min="3082" max="3091" width="0" style="535" hidden="1" customWidth="1"/>
    <col min="3092" max="3328" width="9.109375" style="535"/>
    <col min="3329" max="3329" width="8.33203125" style="535" customWidth="1"/>
    <col min="3330" max="3330" width="35.5546875" style="535" customWidth="1"/>
    <col min="3331" max="3334" width="6.33203125" style="535" customWidth="1"/>
    <col min="3335" max="3335" width="6.44140625" style="535" customWidth="1"/>
    <col min="3336" max="3336" width="9" style="535" customWidth="1"/>
    <col min="3337" max="3337" width="8.6640625" style="535" customWidth="1"/>
    <col min="3338" max="3347" width="0" style="535" hidden="1" customWidth="1"/>
    <col min="3348" max="3584" width="9.109375" style="535"/>
    <col min="3585" max="3585" width="8.33203125" style="535" customWidth="1"/>
    <col min="3586" max="3586" width="35.5546875" style="535" customWidth="1"/>
    <col min="3587" max="3590" width="6.33203125" style="535" customWidth="1"/>
    <col min="3591" max="3591" width="6.44140625" style="535" customWidth="1"/>
    <col min="3592" max="3592" width="9" style="535" customWidth="1"/>
    <col min="3593" max="3593" width="8.6640625" style="535" customWidth="1"/>
    <col min="3594" max="3603" width="0" style="535" hidden="1" customWidth="1"/>
    <col min="3604" max="3840" width="9.109375" style="535"/>
    <col min="3841" max="3841" width="8.33203125" style="535" customWidth="1"/>
    <col min="3842" max="3842" width="35.5546875" style="535" customWidth="1"/>
    <col min="3843" max="3846" width="6.33203125" style="535" customWidth="1"/>
    <col min="3847" max="3847" width="6.44140625" style="535" customWidth="1"/>
    <col min="3848" max="3848" width="9" style="535" customWidth="1"/>
    <col min="3849" max="3849" width="8.6640625" style="535" customWidth="1"/>
    <col min="3850" max="3859" width="0" style="535" hidden="1" customWidth="1"/>
    <col min="3860" max="4096" width="9.109375" style="535"/>
    <col min="4097" max="4097" width="8.33203125" style="535" customWidth="1"/>
    <col min="4098" max="4098" width="35.5546875" style="535" customWidth="1"/>
    <col min="4099" max="4102" width="6.33203125" style="535" customWidth="1"/>
    <col min="4103" max="4103" width="6.44140625" style="535" customWidth="1"/>
    <col min="4104" max="4104" width="9" style="535" customWidth="1"/>
    <col min="4105" max="4105" width="8.6640625" style="535" customWidth="1"/>
    <col min="4106" max="4115" width="0" style="535" hidden="1" customWidth="1"/>
    <col min="4116" max="4352" width="9.109375" style="535"/>
    <col min="4353" max="4353" width="8.33203125" style="535" customWidth="1"/>
    <col min="4354" max="4354" width="35.5546875" style="535" customWidth="1"/>
    <col min="4355" max="4358" width="6.33203125" style="535" customWidth="1"/>
    <col min="4359" max="4359" width="6.44140625" style="535" customWidth="1"/>
    <col min="4360" max="4360" width="9" style="535" customWidth="1"/>
    <col min="4361" max="4361" width="8.6640625" style="535" customWidth="1"/>
    <col min="4362" max="4371" width="0" style="535" hidden="1" customWidth="1"/>
    <col min="4372" max="4608" width="9.109375" style="535"/>
    <col min="4609" max="4609" width="8.33203125" style="535" customWidth="1"/>
    <col min="4610" max="4610" width="35.5546875" style="535" customWidth="1"/>
    <col min="4611" max="4614" width="6.33203125" style="535" customWidth="1"/>
    <col min="4615" max="4615" width="6.44140625" style="535" customWidth="1"/>
    <col min="4616" max="4616" width="9" style="535" customWidth="1"/>
    <col min="4617" max="4617" width="8.6640625" style="535" customWidth="1"/>
    <col min="4618" max="4627" width="0" style="535" hidden="1" customWidth="1"/>
    <col min="4628" max="4864" width="9.109375" style="535"/>
    <col min="4865" max="4865" width="8.33203125" style="535" customWidth="1"/>
    <col min="4866" max="4866" width="35.5546875" style="535" customWidth="1"/>
    <col min="4867" max="4870" width="6.33203125" style="535" customWidth="1"/>
    <col min="4871" max="4871" width="6.44140625" style="535" customWidth="1"/>
    <col min="4872" max="4872" width="9" style="535" customWidth="1"/>
    <col min="4873" max="4873" width="8.6640625" style="535" customWidth="1"/>
    <col min="4874" max="4883" width="0" style="535" hidden="1" customWidth="1"/>
    <col min="4884" max="5120" width="9.109375" style="535"/>
    <col min="5121" max="5121" width="8.33203125" style="535" customWidth="1"/>
    <col min="5122" max="5122" width="35.5546875" style="535" customWidth="1"/>
    <col min="5123" max="5126" width="6.33203125" style="535" customWidth="1"/>
    <col min="5127" max="5127" width="6.44140625" style="535" customWidth="1"/>
    <col min="5128" max="5128" width="9" style="535" customWidth="1"/>
    <col min="5129" max="5129" width="8.6640625" style="535" customWidth="1"/>
    <col min="5130" max="5139" width="0" style="535" hidden="1" customWidth="1"/>
    <col min="5140" max="5376" width="9.109375" style="535"/>
    <col min="5377" max="5377" width="8.33203125" style="535" customWidth="1"/>
    <col min="5378" max="5378" width="35.5546875" style="535" customWidth="1"/>
    <col min="5379" max="5382" width="6.33203125" style="535" customWidth="1"/>
    <col min="5383" max="5383" width="6.44140625" style="535" customWidth="1"/>
    <col min="5384" max="5384" width="9" style="535" customWidth="1"/>
    <col min="5385" max="5385" width="8.6640625" style="535" customWidth="1"/>
    <col min="5386" max="5395" width="0" style="535" hidden="1" customWidth="1"/>
    <col min="5396" max="5632" width="9.109375" style="535"/>
    <col min="5633" max="5633" width="8.33203125" style="535" customWidth="1"/>
    <col min="5634" max="5634" width="35.5546875" style="535" customWidth="1"/>
    <col min="5635" max="5638" width="6.33203125" style="535" customWidth="1"/>
    <col min="5639" max="5639" width="6.44140625" style="535" customWidth="1"/>
    <col min="5640" max="5640" width="9" style="535" customWidth="1"/>
    <col min="5641" max="5641" width="8.6640625" style="535" customWidth="1"/>
    <col min="5642" max="5651" width="0" style="535" hidden="1" customWidth="1"/>
    <col min="5652" max="5888" width="9.109375" style="535"/>
    <col min="5889" max="5889" width="8.33203125" style="535" customWidth="1"/>
    <col min="5890" max="5890" width="35.5546875" style="535" customWidth="1"/>
    <col min="5891" max="5894" width="6.33203125" style="535" customWidth="1"/>
    <col min="5895" max="5895" width="6.44140625" style="535" customWidth="1"/>
    <col min="5896" max="5896" width="9" style="535" customWidth="1"/>
    <col min="5897" max="5897" width="8.6640625" style="535" customWidth="1"/>
    <col min="5898" max="5907" width="0" style="535" hidden="1" customWidth="1"/>
    <col min="5908" max="6144" width="9.109375" style="535"/>
    <col min="6145" max="6145" width="8.33203125" style="535" customWidth="1"/>
    <col min="6146" max="6146" width="35.5546875" style="535" customWidth="1"/>
    <col min="6147" max="6150" width="6.33203125" style="535" customWidth="1"/>
    <col min="6151" max="6151" width="6.44140625" style="535" customWidth="1"/>
    <col min="6152" max="6152" width="9" style="535" customWidth="1"/>
    <col min="6153" max="6153" width="8.6640625" style="535" customWidth="1"/>
    <col min="6154" max="6163" width="0" style="535" hidden="1" customWidth="1"/>
    <col min="6164" max="6400" width="9.109375" style="535"/>
    <col min="6401" max="6401" width="8.33203125" style="535" customWidth="1"/>
    <col min="6402" max="6402" width="35.5546875" style="535" customWidth="1"/>
    <col min="6403" max="6406" width="6.33203125" style="535" customWidth="1"/>
    <col min="6407" max="6407" width="6.44140625" style="535" customWidth="1"/>
    <col min="6408" max="6408" width="9" style="535" customWidth="1"/>
    <col min="6409" max="6409" width="8.6640625" style="535" customWidth="1"/>
    <col min="6410" max="6419" width="0" style="535" hidden="1" customWidth="1"/>
    <col min="6420" max="6656" width="9.109375" style="535"/>
    <col min="6657" max="6657" width="8.33203125" style="535" customWidth="1"/>
    <col min="6658" max="6658" width="35.5546875" style="535" customWidth="1"/>
    <col min="6659" max="6662" width="6.33203125" style="535" customWidth="1"/>
    <col min="6663" max="6663" width="6.44140625" style="535" customWidth="1"/>
    <col min="6664" max="6664" width="9" style="535" customWidth="1"/>
    <col min="6665" max="6665" width="8.6640625" style="535" customWidth="1"/>
    <col min="6666" max="6675" width="0" style="535" hidden="1" customWidth="1"/>
    <col min="6676" max="6912" width="9.109375" style="535"/>
    <col min="6913" max="6913" width="8.33203125" style="535" customWidth="1"/>
    <col min="6914" max="6914" width="35.5546875" style="535" customWidth="1"/>
    <col min="6915" max="6918" width="6.33203125" style="535" customWidth="1"/>
    <col min="6919" max="6919" width="6.44140625" style="535" customWidth="1"/>
    <col min="6920" max="6920" width="9" style="535" customWidth="1"/>
    <col min="6921" max="6921" width="8.6640625" style="535" customWidth="1"/>
    <col min="6922" max="6931" width="0" style="535" hidden="1" customWidth="1"/>
    <col min="6932" max="7168" width="9.109375" style="535"/>
    <col min="7169" max="7169" width="8.33203125" style="535" customWidth="1"/>
    <col min="7170" max="7170" width="35.5546875" style="535" customWidth="1"/>
    <col min="7171" max="7174" width="6.33203125" style="535" customWidth="1"/>
    <col min="7175" max="7175" width="6.44140625" style="535" customWidth="1"/>
    <col min="7176" max="7176" width="9" style="535" customWidth="1"/>
    <col min="7177" max="7177" width="8.6640625" style="535" customWidth="1"/>
    <col min="7178" max="7187" width="0" style="535" hidden="1" customWidth="1"/>
    <col min="7188" max="7424" width="9.109375" style="535"/>
    <col min="7425" max="7425" width="8.33203125" style="535" customWidth="1"/>
    <col min="7426" max="7426" width="35.5546875" style="535" customWidth="1"/>
    <col min="7427" max="7430" width="6.33203125" style="535" customWidth="1"/>
    <col min="7431" max="7431" width="6.44140625" style="535" customWidth="1"/>
    <col min="7432" max="7432" width="9" style="535" customWidth="1"/>
    <col min="7433" max="7433" width="8.6640625" style="535" customWidth="1"/>
    <col min="7434" max="7443" width="0" style="535" hidden="1" customWidth="1"/>
    <col min="7444" max="7680" width="9.109375" style="535"/>
    <col min="7681" max="7681" width="8.33203125" style="535" customWidth="1"/>
    <col min="7682" max="7682" width="35.5546875" style="535" customWidth="1"/>
    <col min="7683" max="7686" width="6.33203125" style="535" customWidth="1"/>
    <col min="7687" max="7687" width="6.44140625" style="535" customWidth="1"/>
    <col min="7688" max="7688" width="9" style="535" customWidth="1"/>
    <col min="7689" max="7689" width="8.6640625" style="535" customWidth="1"/>
    <col min="7690" max="7699" width="0" style="535" hidden="1" customWidth="1"/>
    <col min="7700" max="7936" width="9.109375" style="535"/>
    <col min="7937" max="7937" width="8.33203125" style="535" customWidth="1"/>
    <col min="7938" max="7938" width="35.5546875" style="535" customWidth="1"/>
    <col min="7939" max="7942" width="6.33203125" style="535" customWidth="1"/>
    <col min="7943" max="7943" width="6.44140625" style="535" customWidth="1"/>
    <col min="7944" max="7944" width="9" style="535" customWidth="1"/>
    <col min="7945" max="7945" width="8.6640625" style="535" customWidth="1"/>
    <col min="7946" max="7955" width="0" style="535" hidden="1" customWidth="1"/>
    <col min="7956" max="8192" width="9.109375" style="535"/>
    <col min="8193" max="8193" width="8.33203125" style="535" customWidth="1"/>
    <col min="8194" max="8194" width="35.5546875" style="535" customWidth="1"/>
    <col min="8195" max="8198" width="6.33203125" style="535" customWidth="1"/>
    <col min="8199" max="8199" width="6.44140625" style="535" customWidth="1"/>
    <col min="8200" max="8200" width="9" style="535" customWidth="1"/>
    <col min="8201" max="8201" width="8.6640625" style="535" customWidth="1"/>
    <col min="8202" max="8211" width="0" style="535" hidden="1" customWidth="1"/>
    <col min="8212" max="8448" width="9.109375" style="535"/>
    <col min="8449" max="8449" width="8.33203125" style="535" customWidth="1"/>
    <col min="8450" max="8450" width="35.5546875" style="535" customWidth="1"/>
    <col min="8451" max="8454" width="6.33203125" style="535" customWidth="1"/>
    <col min="8455" max="8455" width="6.44140625" style="535" customWidth="1"/>
    <col min="8456" max="8456" width="9" style="535" customWidth="1"/>
    <col min="8457" max="8457" width="8.6640625" style="535" customWidth="1"/>
    <col min="8458" max="8467" width="0" style="535" hidden="1" customWidth="1"/>
    <col min="8468" max="8704" width="9.109375" style="535"/>
    <col min="8705" max="8705" width="8.33203125" style="535" customWidth="1"/>
    <col min="8706" max="8706" width="35.5546875" style="535" customWidth="1"/>
    <col min="8707" max="8710" width="6.33203125" style="535" customWidth="1"/>
    <col min="8711" max="8711" width="6.44140625" style="535" customWidth="1"/>
    <col min="8712" max="8712" width="9" style="535" customWidth="1"/>
    <col min="8713" max="8713" width="8.6640625" style="535" customWidth="1"/>
    <col min="8714" max="8723" width="0" style="535" hidden="1" customWidth="1"/>
    <col min="8724" max="8960" width="9.109375" style="535"/>
    <col min="8961" max="8961" width="8.33203125" style="535" customWidth="1"/>
    <col min="8962" max="8962" width="35.5546875" style="535" customWidth="1"/>
    <col min="8963" max="8966" width="6.33203125" style="535" customWidth="1"/>
    <col min="8967" max="8967" width="6.44140625" style="535" customWidth="1"/>
    <col min="8968" max="8968" width="9" style="535" customWidth="1"/>
    <col min="8969" max="8969" width="8.6640625" style="535" customWidth="1"/>
    <col min="8970" max="8979" width="0" style="535" hidden="1" customWidth="1"/>
    <col min="8980" max="9216" width="9.109375" style="535"/>
    <col min="9217" max="9217" width="8.33203125" style="535" customWidth="1"/>
    <col min="9218" max="9218" width="35.5546875" style="535" customWidth="1"/>
    <col min="9219" max="9222" width="6.33203125" style="535" customWidth="1"/>
    <col min="9223" max="9223" width="6.44140625" style="535" customWidth="1"/>
    <col min="9224" max="9224" width="9" style="535" customWidth="1"/>
    <col min="9225" max="9225" width="8.6640625" style="535" customWidth="1"/>
    <col min="9226" max="9235" width="0" style="535" hidden="1" customWidth="1"/>
    <col min="9236" max="9472" width="9.109375" style="535"/>
    <col min="9473" max="9473" width="8.33203125" style="535" customWidth="1"/>
    <col min="9474" max="9474" width="35.5546875" style="535" customWidth="1"/>
    <col min="9475" max="9478" width="6.33203125" style="535" customWidth="1"/>
    <col min="9479" max="9479" width="6.44140625" style="535" customWidth="1"/>
    <col min="9480" max="9480" width="9" style="535" customWidth="1"/>
    <col min="9481" max="9481" width="8.6640625" style="535" customWidth="1"/>
    <col min="9482" max="9491" width="0" style="535" hidden="1" customWidth="1"/>
    <col min="9492" max="9728" width="9.109375" style="535"/>
    <col min="9729" max="9729" width="8.33203125" style="535" customWidth="1"/>
    <col min="9730" max="9730" width="35.5546875" style="535" customWidth="1"/>
    <col min="9731" max="9734" width="6.33203125" style="535" customWidth="1"/>
    <col min="9735" max="9735" width="6.44140625" style="535" customWidth="1"/>
    <col min="9736" max="9736" width="9" style="535" customWidth="1"/>
    <col min="9737" max="9737" width="8.6640625" style="535" customWidth="1"/>
    <col min="9738" max="9747" width="0" style="535" hidden="1" customWidth="1"/>
    <col min="9748" max="9984" width="9.109375" style="535"/>
    <col min="9985" max="9985" width="8.33203125" style="535" customWidth="1"/>
    <col min="9986" max="9986" width="35.5546875" style="535" customWidth="1"/>
    <col min="9987" max="9990" width="6.33203125" style="535" customWidth="1"/>
    <col min="9991" max="9991" width="6.44140625" style="535" customWidth="1"/>
    <col min="9992" max="9992" width="9" style="535" customWidth="1"/>
    <col min="9993" max="9993" width="8.6640625" style="535" customWidth="1"/>
    <col min="9994" max="10003" width="0" style="535" hidden="1" customWidth="1"/>
    <col min="10004" max="10240" width="9.109375" style="535"/>
    <col min="10241" max="10241" width="8.33203125" style="535" customWidth="1"/>
    <col min="10242" max="10242" width="35.5546875" style="535" customWidth="1"/>
    <col min="10243" max="10246" width="6.33203125" style="535" customWidth="1"/>
    <col min="10247" max="10247" width="6.44140625" style="535" customWidth="1"/>
    <col min="10248" max="10248" width="9" style="535" customWidth="1"/>
    <col min="10249" max="10249" width="8.6640625" style="535" customWidth="1"/>
    <col min="10250" max="10259" width="0" style="535" hidden="1" customWidth="1"/>
    <col min="10260" max="10496" width="9.109375" style="535"/>
    <col min="10497" max="10497" width="8.33203125" style="535" customWidth="1"/>
    <col min="10498" max="10498" width="35.5546875" style="535" customWidth="1"/>
    <col min="10499" max="10502" width="6.33203125" style="535" customWidth="1"/>
    <col min="10503" max="10503" width="6.44140625" style="535" customWidth="1"/>
    <col min="10504" max="10504" width="9" style="535" customWidth="1"/>
    <col min="10505" max="10505" width="8.6640625" style="535" customWidth="1"/>
    <col min="10506" max="10515" width="0" style="535" hidden="1" customWidth="1"/>
    <col min="10516" max="10752" width="9.109375" style="535"/>
    <col min="10753" max="10753" width="8.33203125" style="535" customWidth="1"/>
    <col min="10754" max="10754" width="35.5546875" style="535" customWidth="1"/>
    <col min="10755" max="10758" width="6.33203125" style="535" customWidth="1"/>
    <col min="10759" max="10759" width="6.44140625" style="535" customWidth="1"/>
    <col min="10760" max="10760" width="9" style="535" customWidth="1"/>
    <col min="10761" max="10761" width="8.6640625" style="535" customWidth="1"/>
    <col min="10762" max="10771" width="0" style="535" hidden="1" customWidth="1"/>
    <col min="10772" max="11008" width="9.109375" style="535"/>
    <col min="11009" max="11009" width="8.33203125" style="535" customWidth="1"/>
    <col min="11010" max="11010" width="35.5546875" style="535" customWidth="1"/>
    <col min="11011" max="11014" width="6.33203125" style="535" customWidth="1"/>
    <col min="11015" max="11015" width="6.44140625" style="535" customWidth="1"/>
    <col min="11016" max="11016" width="9" style="535" customWidth="1"/>
    <col min="11017" max="11017" width="8.6640625" style="535" customWidth="1"/>
    <col min="11018" max="11027" width="0" style="535" hidden="1" customWidth="1"/>
    <col min="11028" max="11264" width="9.109375" style="535"/>
    <col min="11265" max="11265" width="8.33203125" style="535" customWidth="1"/>
    <col min="11266" max="11266" width="35.5546875" style="535" customWidth="1"/>
    <col min="11267" max="11270" width="6.33203125" style="535" customWidth="1"/>
    <col min="11271" max="11271" width="6.44140625" style="535" customWidth="1"/>
    <col min="11272" max="11272" width="9" style="535" customWidth="1"/>
    <col min="11273" max="11273" width="8.6640625" style="535" customWidth="1"/>
    <col min="11274" max="11283" width="0" style="535" hidden="1" customWidth="1"/>
    <col min="11284" max="11520" width="9.109375" style="535"/>
    <col min="11521" max="11521" width="8.33203125" style="535" customWidth="1"/>
    <col min="11522" max="11522" width="35.5546875" style="535" customWidth="1"/>
    <col min="11523" max="11526" width="6.33203125" style="535" customWidth="1"/>
    <col min="11527" max="11527" width="6.44140625" style="535" customWidth="1"/>
    <col min="11528" max="11528" width="9" style="535" customWidth="1"/>
    <col min="11529" max="11529" width="8.6640625" style="535" customWidth="1"/>
    <col min="11530" max="11539" width="0" style="535" hidden="1" customWidth="1"/>
    <col min="11540" max="11776" width="9.109375" style="535"/>
    <col min="11777" max="11777" width="8.33203125" style="535" customWidth="1"/>
    <col min="11778" max="11778" width="35.5546875" style="535" customWidth="1"/>
    <col min="11779" max="11782" width="6.33203125" style="535" customWidth="1"/>
    <col min="11783" max="11783" width="6.44140625" style="535" customWidth="1"/>
    <col min="11784" max="11784" width="9" style="535" customWidth="1"/>
    <col min="11785" max="11785" width="8.6640625" style="535" customWidth="1"/>
    <col min="11786" max="11795" width="0" style="535" hidden="1" customWidth="1"/>
    <col min="11796" max="12032" width="9.109375" style="535"/>
    <col min="12033" max="12033" width="8.33203125" style="535" customWidth="1"/>
    <col min="12034" max="12034" width="35.5546875" style="535" customWidth="1"/>
    <col min="12035" max="12038" width="6.33203125" style="535" customWidth="1"/>
    <col min="12039" max="12039" width="6.44140625" style="535" customWidth="1"/>
    <col min="12040" max="12040" width="9" style="535" customWidth="1"/>
    <col min="12041" max="12041" width="8.6640625" style="535" customWidth="1"/>
    <col min="12042" max="12051" width="0" style="535" hidden="1" customWidth="1"/>
    <col min="12052" max="12288" width="9.109375" style="535"/>
    <col min="12289" max="12289" width="8.33203125" style="535" customWidth="1"/>
    <col min="12290" max="12290" width="35.5546875" style="535" customWidth="1"/>
    <col min="12291" max="12294" width="6.33203125" style="535" customWidth="1"/>
    <col min="12295" max="12295" width="6.44140625" style="535" customWidth="1"/>
    <col min="12296" max="12296" width="9" style="535" customWidth="1"/>
    <col min="12297" max="12297" width="8.6640625" style="535" customWidth="1"/>
    <col min="12298" max="12307" width="0" style="535" hidden="1" customWidth="1"/>
    <col min="12308" max="12544" width="9.109375" style="535"/>
    <col min="12545" max="12545" width="8.33203125" style="535" customWidth="1"/>
    <col min="12546" max="12546" width="35.5546875" style="535" customWidth="1"/>
    <col min="12547" max="12550" width="6.33203125" style="535" customWidth="1"/>
    <col min="12551" max="12551" width="6.44140625" style="535" customWidth="1"/>
    <col min="12552" max="12552" width="9" style="535" customWidth="1"/>
    <col min="12553" max="12553" width="8.6640625" style="535" customWidth="1"/>
    <col min="12554" max="12563" width="0" style="535" hidden="1" customWidth="1"/>
    <col min="12564" max="12800" width="9.109375" style="535"/>
    <col min="12801" max="12801" width="8.33203125" style="535" customWidth="1"/>
    <col min="12802" max="12802" width="35.5546875" style="535" customWidth="1"/>
    <col min="12803" max="12806" width="6.33203125" style="535" customWidth="1"/>
    <col min="12807" max="12807" width="6.44140625" style="535" customWidth="1"/>
    <col min="12808" max="12808" width="9" style="535" customWidth="1"/>
    <col min="12809" max="12809" width="8.6640625" style="535" customWidth="1"/>
    <col min="12810" max="12819" width="0" style="535" hidden="1" customWidth="1"/>
    <col min="12820" max="13056" width="9.109375" style="535"/>
    <col min="13057" max="13057" width="8.33203125" style="535" customWidth="1"/>
    <col min="13058" max="13058" width="35.5546875" style="535" customWidth="1"/>
    <col min="13059" max="13062" width="6.33203125" style="535" customWidth="1"/>
    <col min="13063" max="13063" width="6.44140625" style="535" customWidth="1"/>
    <col min="13064" max="13064" width="9" style="535" customWidth="1"/>
    <col min="13065" max="13065" width="8.6640625" style="535" customWidth="1"/>
    <col min="13066" max="13075" width="0" style="535" hidden="1" customWidth="1"/>
    <col min="13076" max="13312" width="9.109375" style="535"/>
    <col min="13313" max="13313" width="8.33203125" style="535" customWidth="1"/>
    <col min="13314" max="13314" width="35.5546875" style="535" customWidth="1"/>
    <col min="13315" max="13318" width="6.33203125" style="535" customWidth="1"/>
    <col min="13319" max="13319" width="6.44140625" style="535" customWidth="1"/>
    <col min="13320" max="13320" width="9" style="535" customWidth="1"/>
    <col min="13321" max="13321" width="8.6640625" style="535" customWidth="1"/>
    <col min="13322" max="13331" width="0" style="535" hidden="1" customWidth="1"/>
    <col min="13332" max="13568" width="9.109375" style="535"/>
    <col min="13569" max="13569" width="8.33203125" style="535" customWidth="1"/>
    <col min="13570" max="13570" width="35.5546875" style="535" customWidth="1"/>
    <col min="13571" max="13574" width="6.33203125" style="535" customWidth="1"/>
    <col min="13575" max="13575" width="6.44140625" style="535" customWidth="1"/>
    <col min="13576" max="13576" width="9" style="535" customWidth="1"/>
    <col min="13577" max="13577" width="8.6640625" style="535" customWidth="1"/>
    <col min="13578" max="13587" width="0" style="535" hidden="1" customWidth="1"/>
    <col min="13588" max="13824" width="9.109375" style="535"/>
    <col min="13825" max="13825" width="8.33203125" style="535" customWidth="1"/>
    <col min="13826" max="13826" width="35.5546875" style="535" customWidth="1"/>
    <col min="13827" max="13830" width="6.33203125" style="535" customWidth="1"/>
    <col min="13831" max="13831" width="6.44140625" style="535" customWidth="1"/>
    <col min="13832" max="13832" width="9" style="535" customWidth="1"/>
    <col min="13833" max="13833" width="8.6640625" style="535" customWidth="1"/>
    <col min="13834" max="13843" width="0" style="535" hidden="1" customWidth="1"/>
    <col min="13844" max="14080" width="9.109375" style="535"/>
    <col min="14081" max="14081" width="8.33203125" style="535" customWidth="1"/>
    <col min="14082" max="14082" width="35.5546875" style="535" customWidth="1"/>
    <col min="14083" max="14086" width="6.33203125" style="535" customWidth="1"/>
    <col min="14087" max="14087" width="6.44140625" style="535" customWidth="1"/>
    <col min="14088" max="14088" width="9" style="535" customWidth="1"/>
    <col min="14089" max="14089" width="8.6640625" style="535" customWidth="1"/>
    <col min="14090" max="14099" width="0" style="535" hidden="1" customWidth="1"/>
    <col min="14100" max="14336" width="9.109375" style="535"/>
    <col min="14337" max="14337" width="8.33203125" style="535" customWidth="1"/>
    <col min="14338" max="14338" width="35.5546875" style="535" customWidth="1"/>
    <col min="14339" max="14342" width="6.33203125" style="535" customWidth="1"/>
    <col min="14343" max="14343" width="6.44140625" style="535" customWidth="1"/>
    <col min="14344" max="14344" width="9" style="535" customWidth="1"/>
    <col min="14345" max="14345" width="8.6640625" style="535" customWidth="1"/>
    <col min="14346" max="14355" width="0" style="535" hidden="1" customWidth="1"/>
    <col min="14356" max="14592" width="9.109375" style="535"/>
    <col min="14593" max="14593" width="8.33203125" style="535" customWidth="1"/>
    <col min="14594" max="14594" width="35.5546875" style="535" customWidth="1"/>
    <col min="14595" max="14598" width="6.33203125" style="535" customWidth="1"/>
    <col min="14599" max="14599" width="6.44140625" style="535" customWidth="1"/>
    <col min="14600" max="14600" width="9" style="535" customWidth="1"/>
    <col min="14601" max="14601" width="8.6640625" style="535" customWidth="1"/>
    <col min="14602" max="14611" width="0" style="535" hidden="1" customWidth="1"/>
    <col min="14612" max="14848" width="9.109375" style="535"/>
    <col min="14849" max="14849" width="8.33203125" style="535" customWidth="1"/>
    <col min="14850" max="14850" width="35.5546875" style="535" customWidth="1"/>
    <col min="14851" max="14854" width="6.33203125" style="535" customWidth="1"/>
    <col min="14855" max="14855" width="6.44140625" style="535" customWidth="1"/>
    <col min="14856" max="14856" width="9" style="535" customWidth="1"/>
    <col min="14857" max="14857" width="8.6640625" style="535" customWidth="1"/>
    <col min="14858" max="14867" width="0" style="535" hidden="1" customWidth="1"/>
    <col min="14868" max="15104" width="9.109375" style="535"/>
    <col min="15105" max="15105" width="8.33203125" style="535" customWidth="1"/>
    <col min="15106" max="15106" width="35.5546875" style="535" customWidth="1"/>
    <col min="15107" max="15110" width="6.33203125" style="535" customWidth="1"/>
    <col min="15111" max="15111" width="6.44140625" style="535" customWidth="1"/>
    <col min="15112" max="15112" width="9" style="535" customWidth="1"/>
    <col min="15113" max="15113" width="8.6640625" style="535" customWidth="1"/>
    <col min="15114" max="15123" width="0" style="535" hidden="1" customWidth="1"/>
    <col min="15124" max="15360" width="9.109375" style="535"/>
    <col min="15361" max="15361" width="8.33203125" style="535" customWidth="1"/>
    <col min="15362" max="15362" width="35.5546875" style="535" customWidth="1"/>
    <col min="15363" max="15366" width="6.33203125" style="535" customWidth="1"/>
    <col min="15367" max="15367" width="6.44140625" style="535" customWidth="1"/>
    <col min="15368" max="15368" width="9" style="535" customWidth="1"/>
    <col min="15369" max="15369" width="8.6640625" style="535" customWidth="1"/>
    <col min="15370" max="15379" width="0" style="535" hidden="1" customWidth="1"/>
    <col min="15380" max="15616" width="9.109375" style="535"/>
    <col min="15617" max="15617" width="8.33203125" style="535" customWidth="1"/>
    <col min="15618" max="15618" width="35.5546875" style="535" customWidth="1"/>
    <col min="15619" max="15622" width="6.33203125" style="535" customWidth="1"/>
    <col min="15623" max="15623" width="6.44140625" style="535" customWidth="1"/>
    <col min="15624" max="15624" width="9" style="535" customWidth="1"/>
    <col min="15625" max="15625" width="8.6640625" style="535" customWidth="1"/>
    <col min="15626" max="15635" width="0" style="535" hidden="1" customWidth="1"/>
    <col min="15636" max="15872" width="9.109375" style="535"/>
    <col min="15873" max="15873" width="8.33203125" style="535" customWidth="1"/>
    <col min="15874" max="15874" width="35.5546875" style="535" customWidth="1"/>
    <col min="15875" max="15878" width="6.33203125" style="535" customWidth="1"/>
    <col min="15879" max="15879" width="6.44140625" style="535" customWidth="1"/>
    <col min="15880" max="15880" width="9" style="535" customWidth="1"/>
    <col min="15881" max="15881" width="8.6640625" style="535" customWidth="1"/>
    <col min="15882" max="15891" width="0" style="535" hidden="1" customWidth="1"/>
    <col min="15892" max="16128" width="9.109375" style="535"/>
    <col min="16129" max="16129" width="8.33203125" style="535" customWidth="1"/>
    <col min="16130" max="16130" width="35.5546875" style="535" customWidth="1"/>
    <col min="16131" max="16134" width="6.33203125" style="535" customWidth="1"/>
    <col min="16135" max="16135" width="6.44140625" style="535" customWidth="1"/>
    <col min="16136" max="16136" width="9" style="535" customWidth="1"/>
    <col min="16137" max="16137" width="8.6640625" style="535" customWidth="1"/>
    <col min="16138" max="16147" width="0" style="535" hidden="1" customWidth="1"/>
    <col min="16148" max="16384" width="9.109375" style="535"/>
  </cols>
  <sheetData>
    <row r="1" spans="1:23" ht="16.5" customHeight="1">
      <c r="A1" s="533" t="s">
        <v>143</v>
      </c>
      <c r="B1" s="554" t="s">
        <v>198</v>
      </c>
      <c r="C1" s="1496" t="s">
        <v>199</v>
      </c>
      <c r="D1" s="1497"/>
      <c r="E1" s="1497"/>
      <c r="F1" s="1498"/>
      <c r="G1" s="555" t="s">
        <v>200</v>
      </c>
      <c r="H1" s="534" t="s">
        <v>201</v>
      </c>
      <c r="I1" s="534" t="s">
        <v>156</v>
      </c>
      <c r="J1" s="590" t="s">
        <v>286</v>
      </c>
      <c r="K1" s="590" t="s">
        <v>288</v>
      </c>
    </row>
    <row r="2" spans="1:23" s="537" customFormat="1">
      <c r="A2" s="556"/>
      <c r="B2" s="557"/>
      <c r="C2" s="558" t="s">
        <v>186</v>
      </c>
      <c r="D2" s="559" t="s">
        <v>182</v>
      </c>
      <c r="E2" s="559" t="s">
        <v>187</v>
      </c>
      <c r="F2" s="560" t="s">
        <v>188</v>
      </c>
      <c r="G2" s="561"/>
      <c r="H2" s="536" t="s">
        <v>247</v>
      </c>
      <c r="I2" s="536" t="s">
        <v>247</v>
      </c>
      <c r="J2" s="591" t="s">
        <v>287</v>
      </c>
      <c r="K2" s="591" t="s">
        <v>287</v>
      </c>
    </row>
    <row r="3" spans="1:23" s="537" customFormat="1">
      <c r="A3" s="538"/>
      <c r="B3" s="562"/>
      <c r="C3" s="563"/>
      <c r="D3" s="539"/>
      <c r="E3" s="539"/>
      <c r="F3" s="564"/>
      <c r="G3" s="565"/>
      <c r="H3" s="540"/>
      <c r="I3" s="540"/>
      <c r="J3" s="540"/>
      <c r="K3" s="540"/>
      <c r="U3" s="541"/>
      <c r="W3" s="541"/>
    </row>
    <row r="4" spans="1:23" s="541" customFormat="1">
      <c r="A4" s="538"/>
      <c r="B4" s="566"/>
      <c r="C4" s="563"/>
      <c r="D4" s="539"/>
      <c r="E4" s="539"/>
      <c r="F4" s="564"/>
      <c r="G4" s="565"/>
      <c r="H4" s="540"/>
      <c r="I4" s="540"/>
      <c r="J4" s="540"/>
      <c r="K4" s="540"/>
    </row>
    <row r="5" spans="1:23" s="541" customFormat="1">
      <c r="A5" s="538"/>
      <c r="B5" s="567"/>
      <c r="C5" s="568"/>
      <c r="D5" s="569"/>
      <c r="E5" s="569"/>
      <c r="F5" s="570"/>
      <c r="G5" s="565"/>
      <c r="H5" s="540"/>
      <c r="I5" s="540"/>
      <c r="J5" s="540"/>
      <c r="K5" s="540"/>
    </row>
    <row r="6" spans="1:23" s="541" customFormat="1">
      <c r="A6" s="538"/>
      <c r="B6" s="566"/>
      <c r="C6" s="563"/>
      <c r="D6" s="539"/>
      <c r="E6" s="539"/>
      <c r="F6" s="564"/>
      <c r="G6" s="565"/>
      <c r="H6" s="540"/>
      <c r="I6" s="540"/>
      <c r="J6" s="540"/>
      <c r="K6" s="540"/>
    </row>
    <row r="7" spans="1:23" s="541" customFormat="1">
      <c r="A7" s="538"/>
      <c r="B7" s="571"/>
      <c r="C7" s="572"/>
      <c r="D7" s="542"/>
      <c r="E7" s="542"/>
      <c r="F7" s="573"/>
      <c r="G7" s="574"/>
      <c r="H7" s="540"/>
      <c r="I7" s="540"/>
      <c r="J7" s="540"/>
      <c r="K7" s="540"/>
    </row>
    <row r="8" spans="1:23" s="541" customFormat="1">
      <c r="A8" s="538"/>
      <c r="B8" s="566"/>
      <c r="C8" s="563"/>
      <c r="D8" s="539"/>
      <c r="E8" s="539"/>
      <c r="F8" s="564"/>
      <c r="G8" s="565"/>
      <c r="H8" s="540"/>
      <c r="I8" s="540"/>
      <c r="J8" s="540"/>
      <c r="K8" s="540"/>
    </row>
    <row r="9" spans="1:23" s="541" customFormat="1">
      <c r="A9" s="538"/>
      <c r="B9" s="571"/>
      <c r="C9" s="572"/>
      <c r="D9" s="542"/>
      <c r="E9" s="542"/>
      <c r="F9" s="573"/>
      <c r="G9" s="574"/>
      <c r="H9" s="540"/>
      <c r="I9" s="540"/>
      <c r="J9" s="540"/>
      <c r="K9" s="540"/>
    </row>
    <row r="10" spans="1:23" s="541" customFormat="1">
      <c r="A10" s="538"/>
      <c r="B10" s="571"/>
      <c r="C10" s="563"/>
      <c r="D10" s="539"/>
      <c r="E10" s="539"/>
      <c r="F10" s="564"/>
      <c r="G10" s="565"/>
      <c r="H10" s="540"/>
      <c r="I10" s="540"/>
      <c r="J10" s="540"/>
      <c r="K10" s="540"/>
    </row>
    <row r="11" spans="1:23" s="543" customFormat="1" ht="22.65" customHeight="1">
      <c r="A11" s="532"/>
      <c r="B11" s="575"/>
      <c r="C11" s="572"/>
      <c r="D11" s="542"/>
      <c r="E11" s="542"/>
      <c r="F11" s="573"/>
      <c r="G11" s="574"/>
      <c r="H11" s="540"/>
      <c r="I11" s="540"/>
      <c r="J11" s="540"/>
      <c r="K11" s="540"/>
    </row>
    <row r="12" spans="1:23" s="541" customFormat="1">
      <c r="A12" s="538"/>
      <c r="B12" s="566"/>
      <c r="C12" s="563"/>
      <c r="D12" s="539"/>
      <c r="E12" s="539"/>
      <c r="F12" s="564"/>
      <c r="G12" s="565"/>
      <c r="H12" s="540"/>
      <c r="I12" s="540"/>
      <c r="J12" s="540"/>
      <c r="K12" s="540"/>
    </row>
    <row r="13" spans="1:23" s="541" customFormat="1">
      <c r="A13" s="538"/>
      <c r="B13" s="566"/>
      <c r="C13" s="572"/>
      <c r="D13" s="542"/>
      <c r="E13" s="542"/>
      <c r="F13" s="573"/>
      <c r="G13" s="574"/>
      <c r="H13" s="540"/>
      <c r="I13" s="540"/>
      <c r="J13" s="540"/>
      <c r="K13" s="540"/>
    </row>
    <row r="14" spans="1:23" s="541" customFormat="1">
      <c r="A14" s="538"/>
      <c r="B14" s="562"/>
      <c r="C14" s="563"/>
      <c r="D14" s="539"/>
      <c r="E14" s="539"/>
      <c r="F14" s="564"/>
      <c r="G14" s="565"/>
      <c r="H14" s="540"/>
      <c r="I14" s="540"/>
      <c r="J14" s="540"/>
      <c r="K14" s="540"/>
    </row>
    <row r="15" spans="1:23" s="543" customFormat="1">
      <c r="A15" s="538"/>
      <c r="B15" s="566"/>
      <c r="C15" s="572"/>
      <c r="D15" s="542"/>
      <c r="E15" s="542"/>
      <c r="F15" s="573"/>
      <c r="G15" s="574"/>
      <c r="H15" s="540"/>
      <c r="I15" s="540"/>
      <c r="J15" s="540"/>
      <c r="K15" s="540"/>
    </row>
    <row r="16" spans="1:23" s="543" customFormat="1">
      <c r="A16" s="538"/>
      <c r="B16" s="562"/>
      <c r="C16" s="563"/>
      <c r="D16" s="539"/>
      <c r="E16" s="539"/>
      <c r="F16" s="564"/>
      <c r="G16" s="565"/>
      <c r="H16" s="540"/>
      <c r="I16" s="540"/>
      <c r="J16" s="540"/>
      <c r="K16" s="540"/>
    </row>
    <row r="17" spans="1:11" s="543" customFormat="1">
      <c r="A17" s="538"/>
      <c r="B17" s="566"/>
      <c r="C17" s="572"/>
      <c r="D17" s="542"/>
      <c r="E17" s="542"/>
      <c r="F17" s="573"/>
      <c r="G17" s="574"/>
      <c r="H17" s="540"/>
      <c r="I17" s="540"/>
      <c r="J17" s="540"/>
      <c r="K17" s="540"/>
    </row>
    <row r="18" spans="1:11" s="543" customFormat="1">
      <c r="A18" s="538"/>
      <c r="B18" s="562"/>
      <c r="C18" s="563"/>
      <c r="D18" s="539"/>
      <c r="E18" s="539"/>
      <c r="F18" s="564"/>
      <c r="G18" s="565"/>
      <c r="H18" s="540"/>
      <c r="I18" s="540"/>
      <c r="J18" s="540"/>
      <c r="K18" s="540"/>
    </row>
    <row r="19" spans="1:11" s="543" customFormat="1">
      <c r="A19" s="538"/>
      <c r="B19" s="566"/>
      <c r="C19" s="572"/>
      <c r="D19" s="542"/>
      <c r="E19" s="542"/>
      <c r="F19" s="573"/>
      <c r="G19" s="574"/>
      <c r="H19" s="540"/>
      <c r="I19" s="540"/>
      <c r="J19" s="540"/>
      <c r="K19" s="540"/>
    </row>
    <row r="20" spans="1:11" s="543" customFormat="1">
      <c r="A20" s="538"/>
      <c r="B20" s="562"/>
      <c r="C20" s="563"/>
      <c r="D20" s="539"/>
      <c r="E20" s="539"/>
      <c r="F20" s="564"/>
      <c r="G20" s="565"/>
      <c r="H20" s="540"/>
      <c r="I20" s="540"/>
      <c r="J20" s="540"/>
      <c r="K20" s="540"/>
    </row>
    <row r="21" spans="1:11" s="543" customFormat="1">
      <c r="A21" s="538"/>
      <c r="B21" s="566"/>
      <c r="C21" s="572"/>
      <c r="D21" s="542"/>
      <c r="E21" s="542"/>
      <c r="F21" s="573"/>
      <c r="G21" s="574"/>
      <c r="H21" s="540"/>
      <c r="I21" s="540"/>
      <c r="J21" s="540"/>
      <c r="K21" s="540"/>
    </row>
    <row r="22" spans="1:11" s="543" customFormat="1">
      <c r="A22" s="538"/>
      <c r="B22" s="562"/>
      <c r="C22" s="563"/>
      <c r="D22" s="539"/>
      <c r="E22" s="539"/>
      <c r="F22" s="564"/>
      <c r="G22" s="565"/>
      <c r="H22" s="540"/>
      <c r="I22" s="540"/>
      <c r="J22" s="540"/>
      <c r="K22" s="540"/>
    </row>
    <row r="23" spans="1:11" s="543" customFormat="1">
      <c r="A23" s="538"/>
      <c r="B23" s="566"/>
      <c r="C23" s="572"/>
      <c r="D23" s="542"/>
      <c r="E23" s="542"/>
      <c r="F23" s="573"/>
      <c r="G23" s="574"/>
      <c r="H23" s="540"/>
      <c r="I23" s="540"/>
      <c r="J23" s="540"/>
      <c r="K23" s="540"/>
    </row>
    <row r="24" spans="1:11" s="543" customFormat="1">
      <c r="A24" s="538"/>
      <c r="B24" s="562"/>
      <c r="C24" s="563"/>
      <c r="D24" s="539"/>
      <c r="E24" s="539"/>
      <c r="F24" s="564"/>
      <c r="G24" s="565"/>
      <c r="H24" s="540"/>
      <c r="I24" s="540"/>
      <c r="J24" s="540"/>
      <c r="K24" s="540"/>
    </row>
    <row r="25" spans="1:11" s="543" customFormat="1">
      <c r="A25" s="538"/>
      <c r="B25" s="571"/>
      <c r="C25" s="572"/>
      <c r="D25" s="542"/>
      <c r="E25" s="542"/>
      <c r="F25" s="573"/>
      <c r="G25" s="574"/>
      <c r="H25" s="540"/>
      <c r="I25" s="540"/>
      <c r="J25" s="540"/>
      <c r="K25" s="540"/>
    </row>
    <row r="26" spans="1:11" s="543" customFormat="1" ht="22.65" customHeight="1">
      <c r="A26" s="532"/>
      <c r="B26" s="576"/>
      <c r="C26" s="563"/>
      <c r="D26" s="539"/>
      <c r="E26" s="539"/>
      <c r="F26" s="564"/>
      <c r="G26" s="565"/>
      <c r="H26" s="540"/>
      <c r="I26" s="540"/>
      <c r="J26" s="540"/>
      <c r="K26" s="540"/>
    </row>
    <row r="27" spans="1:11" s="543" customFormat="1">
      <c r="A27" s="538"/>
      <c r="B27" s="571"/>
      <c r="C27" s="572"/>
      <c r="D27" s="542"/>
      <c r="E27" s="542"/>
      <c r="F27" s="573"/>
      <c r="G27" s="574"/>
      <c r="H27" s="540"/>
      <c r="I27" s="540"/>
      <c r="J27" s="540"/>
      <c r="K27" s="540"/>
    </row>
    <row r="28" spans="1:11" s="543" customFormat="1">
      <c r="A28" s="538"/>
      <c r="B28" s="562"/>
      <c r="C28" s="563"/>
      <c r="D28" s="539"/>
      <c r="E28" s="539"/>
      <c r="F28" s="564"/>
      <c r="G28" s="565"/>
      <c r="H28" s="540"/>
      <c r="I28" s="540"/>
      <c r="J28" s="540"/>
      <c r="K28" s="540"/>
    </row>
    <row r="29" spans="1:11" s="543" customFormat="1" ht="22.65" customHeight="1">
      <c r="A29" s="532"/>
      <c r="B29" s="575"/>
      <c r="C29" s="572"/>
      <c r="D29" s="542"/>
      <c r="E29" s="542"/>
      <c r="F29" s="573"/>
      <c r="G29" s="574"/>
      <c r="H29" s="540"/>
      <c r="I29" s="540"/>
      <c r="J29" s="540"/>
      <c r="K29" s="540"/>
    </row>
    <row r="30" spans="1:11" s="543" customFormat="1">
      <c r="A30" s="538"/>
      <c r="B30" s="562"/>
      <c r="C30" s="563"/>
      <c r="D30" s="539"/>
      <c r="E30" s="539"/>
      <c r="F30" s="564"/>
      <c r="G30" s="565"/>
      <c r="H30" s="540"/>
      <c r="I30" s="540"/>
      <c r="J30" s="540"/>
      <c r="K30" s="540"/>
    </row>
    <row r="31" spans="1:11" s="543" customFormat="1">
      <c r="A31" s="538"/>
      <c r="B31" s="566"/>
      <c r="C31" s="572"/>
      <c r="D31" s="542"/>
      <c r="E31" s="542"/>
      <c r="F31" s="573"/>
      <c r="G31" s="574"/>
      <c r="H31" s="540"/>
      <c r="I31" s="540"/>
      <c r="J31" s="540"/>
      <c r="K31" s="540"/>
    </row>
    <row r="32" spans="1:11" s="543" customFormat="1">
      <c r="A32" s="538"/>
      <c r="B32" s="566"/>
      <c r="C32" s="572"/>
      <c r="D32" s="542"/>
      <c r="E32" s="542"/>
      <c r="F32" s="573"/>
      <c r="G32" s="574"/>
      <c r="H32" s="540"/>
      <c r="I32" s="540"/>
      <c r="J32" s="540"/>
      <c r="K32" s="540"/>
    </row>
    <row r="33" spans="1:11" s="543" customFormat="1">
      <c r="A33" s="538"/>
      <c r="B33" s="566"/>
      <c r="C33" s="572"/>
      <c r="D33" s="542"/>
      <c r="E33" s="542"/>
      <c r="F33" s="573"/>
      <c r="G33" s="574"/>
      <c r="H33" s="540"/>
      <c r="I33" s="540"/>
      <c r="J33" s="540"/>
      <c r="K33" s="540"/>
    </row>
    <row r="34" spans="1:11" s="543" customFormat="1">
      <c r="A34" s="538"/>
      <c r="B34" s="566"/>
      <c r="C34" s="572"/>
      <c r="D34" s="542"/>
      <c r="E34" s="542"/>
      <c r="F34" s="573"/>
      <c r="G34" s="574"/>
      <c r="H34" s="540"/>
      <c r="I34" s="540"/>
      <c r="J34" s="540"/>
      <c r="K34" s="540"/>
    </row>
    <row r="35" spans="1:11" s="543" customFormat="1">
      <c r="A35" s="538"/>
      <c r="B35" s="566"/>
      <c r="C35" s="572"/>
      <c r="D35" s="542"/>
      <c r="E35" s="542"/>
      <c r="F35" s="573"/>
      <c r="G35" s="574"/>
      <c r="H35" s="540"/>
      <c r="I35" s="540"/>
      <c r="J35" s="540"/>
      <c r="K35" s="540"/>
    </row>
    <row r="36" spans="1:11" s="543" customFormat="1">
      <c r="A36" s="538"/>
      <c r="B36" s="566"/>
      <c r="C36" s="572"/>
      <c r="D36" s="542"/>
      <c r="E36" s="542"/>
      <c r="F36" s="573"/>
      <c r="G36" s="574"/>
      <c r="H36" s="540"/>
      <c r="I36" s="540"/>
      <c r="J36" s="540"/>
      <c r="K36" s="540"/>
    </row>
    <row r="37" spans="1:11" s="543" customFormat="1">
      <c r="A37" s="538"/>
      <c r="B37" s="566"/>
      <c r="C37" s="572"/>
      <c r="D37" s="542"/>
      <c r="E37" s="542"/>
      <c r="F37" s="573"/>
      <c r="G37" s="574"/>
      <c r="H37" s="540"/>
      <c r="I37" s="540"/>
      <c r="J37" s="540"/>
      <c r="K37" s="540"/>
    </row>
    <row r="38" spans="1:11" s="543" customFormat="1">
      <c r="A38" s="538"/>
      <c r="B38" s="566"/>
      <c r="C38" s="572"/>
      <c r="D38" s="542"/>
      <c r="E38" s="542"/>
      <c r="F38" s="573"/>
      <c r="G38" s="574"/>
      <c r="H38" s="540"/>
      <c r="I38" s="540"/>
      <c r="J38" s="540"/>
      <c r="K38" s="540"/>
    </row>
    <row r="39" spans="1:11" s="543" customFormat="1">
      <c r="A39" s="538"/>
      <c r="B39" s="566"/>
      <c r="C39" s="572"/>
      <c r="D39" s="542"/>
      <c r="E39" s="542"/>
      <c r="F39" s="573"/>
      <c r="G39" s="574"/>
      <c r="H39" s="540"/>
      <c r="I39" s="540"/>
      <c r="J39" s="540"/>
      <c r="K39" s="540"/>
    </row>
    <row r="40" spans="1:11" s="543" customFormat="1">
      <c r="A40" s="538"/>
      <c r="B40" s="566"/>
      <c r="C40" s="572"/>
      <c r="D40" s="542"/>
      <c r="E40" s="542"/>
      <c r="F40" s="573"/>
      <c r="G40" s="574"/>
      <c r="H40" s="540"/>
      <c r="I40" s="540"/>
      <c r="J40" s="540"/>
      <c r="K40" s="540"/>
    </row>
    <row r="41" spans="1:11" s="543" customFormat="1">
      <c r="A41" s="538"/>
      <c r="B41" s="566"/>
      <c r="C41" s="572"/>
      <c r="D41" s="542"/>
      <c r="E41" s="542"/>
      <c r="F41" s="573"/>
      <c r="G41" s="574"/>
      <c r="H41" s="540"/>
      <c r="I41" s="540"/>
      <c r="J41" s="540"/>
      <c r="K41" s="540"/>
    </row>
    <row r="42" spans="1:11" s="543" customFormat="1">
      <c r="A42" s="538"/>
      <c r="B42" s="566"/>
      <c r="C42" s="572"/>
      <c r="D42" s="542"/>
      <c r="E42" s="542"/>
      <c r="F42" s="573"/>
      <c r="G42" s="574"/>
      <c r="H42" s="540"/>
      <c r="I42" s="540"/>
      <c r="J42" s="540"/>
      <c r="K42" s="540"/>
    </row>
    <row r="43" spans="1:11" s="543" customFormat="1">
      <c r="A43" s="538"/>
      <c r="B43" s="566"/>
      <c r="C43" s="572"/>
      <c r="D43" s="542"/>
      <c r="E43" s="542"/>
      <c r="F43" s="573"/>
      <c r="G43" s="574"/>
      <c r="H43" s="540"/>
      <c r="I43" s="540"/>
      <c r="J43" s="540"/>
      <c r="K43" s="540"/>
    </row>
    <row r="44" spans="1:11" s="543" customFormat="1">
      <c r="A44" s="538"/>
      <c r="B44" s="566"/>
      <c r="C44" s="572"/>
      <c r="D44" s="542"/>
      <c r="E44" s="542"/>
      <c r="F44" s="573"/>
      <c r="G44" s="574"/>
      <c r="H44" s="540"/>
      <c r="I44" s="540"/>
      <c r="J44" s="540"/>
      <c r="K44" s="540"/>
    </row>
    <row r="45" spans="1:11" s="543" customFormat="1">
      <c r="A45" s="538"/>
      <c r="B45" s="566"/>
      <c r="C45" s="572"/>
      <c r="D45" s="542"/>
      <c r="E45" s="542"/>
      <c r="F45" s="573"/>
      <c r="G45" s="574"/>
      <c r="H45" s="540"/>
      <c r="I45" s="540"/>
      <c r="J45" s="540"/>
      <c r="K45" s="540"/>
    </row>
    <row r="46" spans="1:11" s="543" customFormat="1">
      <c r="A46" s="538"/>
      <c r="B46" s="562"/>
      <c r="C46" s="563"/>
      <c r="D46" s="539"/>
      <c r="E46" s="539"/>
      <c r="F46" s="564"/>
      <c r="G46" s="565"/>
      <c r="H46" s="540"/>
      <c r="I46" s="540"/>
      <c r="J46" s="540"/>
      <c r="K46" s="540"/>
    </row>
    <row r="47" spans="1:11" s="543" customFormat="1">
      <c r="A47" s="538"/>
      <c r="B47" s="566"/>
      <c r="C47" s="572"/>
      <c r="D47" s="542"/>
      <c r="E47" s="542"/>
      <c r="F47" s="573"/>
      <c r="G47" s="574"/>
      <c r="H47" s="540"/>
      <c r="I47" s="540"/>
      <c r="J47" s="540"/>
      <c r="K47" s="540"/>
    </row>
    <row r="48" spans="1:11" s="543" customFormat="1">
      <c r="A48" s="538"/>
      <c r="B48" s="562"/>
      <c r="C48" s="563"/>
      <c r="D48" s="539"/>
      <c r="E48" s="539"/>
      <c r="F48" s="564"/>
      <c r="G48" s="565"/>
      <c r="H48" s="540"/>
      <c r="I48" s="540"/>
      <c r="J48" s="540"/>
      <c r="K48" s="540"/>
    </row>
    <row r="49" spans="1:23" s="543" customFormat="1">
      <c r="A49" s="538"/>
      <c r="B49" s="566"/>
      <c r="C49" s="572"/>
      <c r="D49" s="542"/>
      <c r="E49" s="542"/>
      <c r="F49" s="573"/>
      <c r="G49" s="574"/>
      <c r="H49" s="540"/>
      <c r="I49" s="540"/>
      <c r="J49" s="540"/>
      <c r="K49" s="540"/>
    </row>
    <row r="50" spans="1:23" s="543" customFormat="1">
      <c r="A50" s="538"/>
      <c r="B50" s="566"/>
      <c r="C50" s="572"/>
      <c r="D50" s="542"/>
      <c r="E50" s="542"/>
      <c r="F50" s="573"/>
      <c r="G50" s="574"/>
      <c r="H50" s="540"/>
      <c r="I50" s="540"/>
      <c r="J50" s="540"/>
      <c r="K50" s="540"/>
    </row>
    <row r="51" spans="1:23" s="543" customFormat="1">
      <c r="A51" s="538"/>
      <c r="B51" s="562"/>
      <c r="C51" s="563"/>
      <c r="D51" s="539"/>
      <c r="E51" s="539"/>
      <c r="F51" s="564"/>
      <c r="G51" s="565"/>
      <c r="H51" s="540"/>
      <c r="I51" s="540"/>
      <c r="J51" s="540"/>
      <c r="K51" s="540"/>
      <c r="U51" s="535"/>
      <c r="W51" s="535"/>
    </row>
    <row r="52" spans="1:23" s="543" customFormat="1">
      <c r="A52" s="538"/>
      <c r="B52" s="562"/>
      <c r="C52" s="563"/>
      <c r="D52" s="539"/>
      <c r="E52" s="539"/>
      <c r="F52" s="564"/>
      <c r="G52" s="565"/>
      <c r="H52" s="540"/>
      <c r="I52" s="540"/>
      <c r="J52" s="540"/>
      <c r="K52" s="540"/>
      <c r="U52" s="535"/>
      <c r="W52" s="535"/>
    </row>
    <row r="53" spans="1:23">
      <c r="A53" s="544"/>
      <c r="B53" s="577"/>
      <c r="C53" s="578"/>
      <c r="D53" s="545"/>
      <c r="E53" s="545"/>
      <c r="F53" s="579"/>
      <c r="G53" s="580"/>
      <c r="H53" s="546"/>
      <c r="I53" s="546"/>
      <c r="J53" s="546"/>
      <c r="K53" s="546"/>
    </row>
    <row r="54" spans="1:23">
      <c r="A54" s="547" t="s">
        <v>148</v>
      </c>
      <c r="B54" s="581"/>
      <c r="C54" s="582"/>
      <c r="D54" s="583"/>
      <c r="E54" s="583"/>
      <c r="F54" s="584" t="s">
        <v>246</v>
      </c>
      <c r="G54" s="585"/>
      <c r="H54" s="586" t="s">
        <v>219</v>
      </c>
      <c r="I54" s="548">
        <f>SUM(I3:I53)</f>
        <v>0</v>
      </c>
      <c r="J54" s="586"/>
      <c r="K54" s="548">
        <f>SUM(K3:K53)</f>
        <v>0</v>
      </c>
    </row>
    <row r="55" spans="1:23" ht="16.5" customHeight="1">
      <c r="A55" s="533" t="s">
        <v>143</v>
      </c>
      <c r="B55" s="554" t="s">
        <v>198</v>
      </c>
      <c r="C55" s="1496" t="s">
        <v>199</v>
      </c>
      <c r="D55" s="1497"/>
      <c r="E55" s="1497"/>
      <c r="F55" s="1498"/>
      <c r="G55" s="555" t="s">
        <v>200</v>
      </c>
      <c r="H55" s="534" t="s">
        <v>201</v>
      </c>
      <c r="I55" s="534" t="s">
        <v>156</v>
      </c>
      <c r="J55" s="590" t="s">
        <v>286</v>
      </c>
      <c r="K55" s="590" t="s">
        <v>288</v>
      </c>
    </row>
    <row r="56" spans="1:23" s="537" customFormat="1">
      <c r="A56" s="278"/>
      <c r="B56" s="557"/>
      <c r="C56" s="558" t="s">
        <v>186</v>
      </c>
      <c r="D56" s="559" t="s">
        <v>182</v>
      </c>
      <c r="E56" s="559" t="s">
        <v>187</v>
      </c>
      <c r="F56" s="560" t="s">
        <v>188</v>
      </c>
      <c r="G56" s="561"/>
      <c r="H56" s="536" t="s">
        <v>247</v>
      </c>
      <c r="I56" s="536" t="s">
        <v>247</v>
      </c>
      <c r="J56" s="591" t="s">
        <v>287</v>
      </c>
      <c r="K56" s="591" t="s">
        <v>287</v>
      </c>
    </row>
    <row r="57" spans="1:23" s="537" customFormat="1">
      <c r="A57" s="538"/>
      <c r="B57" s="562"/>
      <c r="C57" s="563"/>
      <c r="D57" s="539"/>
      <c r="E57" s="539"/>
      <c r="F57" s="564"/>
      <c r="G57" s="565"/>
      <c r="H57" s="540"/>
      <c r="I57" s="540"/>
      <c r="J57" s="540"/>
      <c r="K57" s="540"/>
      <c r="U57" s="541"/>
      <c r="W57" s="541"/>
    </row>
    <row r="58" spans="1:23" s="541" customFormat="1">
      <c r="A58" s="538"/>
      <c r="B58" s="562"/>
      <c r="C58" s="563"/>
      <c r="D58" s="539"/>
      <c r="E58" s="539"/>
      <c r="F58" s="564"/>
      <c r="G58" s="565"/>
      <c r="H58" s="540"/>
      <c r="I58" s="540"/>
      <c r="J58" s="540"/>
      <c r="K58" s="540"/>
    </row>
    <row r="59" spans="1:23" s="541" customFormat="1">
      <c r="A59" s="538"/>
      <c r="B59" s="567"/>
      <c r="C59" s="568"/>
      <c r="D59" s="569"/>
      <c r="E59" s="569"/>
      <c r="F59" s="570"/>
      <c r="G59" s="565"/>
      <c r="H59" s="540"/>
      <c r="I59" s="540"/>
      <c r="J59" s="540"/>
      <c r="K59" s="540"/>
    </row>
    <row r="60" spans="1:23" s="541" customFormat="1">
      <c r="A60" s="538"/>
      <c r="B60" s="562"/>
      <c r="C60" s="563"/>
      <c r="D60" s="539"/>
      <c r="E60" s="539"/>
      <c r="F60" s="564"/>
      <c r="G60" s="565"/>
      <c r="H60" s="540"/>
      <c r="I60" s="540"/>
      <c r="J60" s="540"/>
      <c r="K60" s="540"/>
    </row>
    <row r="61" spans="1:23" s="541" customFormat="1">
      <c r="A61" s="538"/>
      <c r="B61" s="571"/>
      <c r="C61" s="572"/>
      <c r="D61" s="542"/>
      <c r="E61" s="542"/>
      <c r="F61" s="573"/>
      <c r="G61" s="574"/>
      <c r="H61" s="540"/>
      <c r="I61" s="540"/>
      <c r="J61" s="540"/>
      <c r="K61" s="540"/>
    </row>
    <row r="62" spans="1:23" s="541" customFormat="1">
      <c r="A62" s="538"/>
      <c r="B62" s="562"/>
      <c r="C62" s="563"/>
      <c r="D62" s="539"/>
      <c r="E62" s="539"/>
      <c r="F62" s="564"/>
      <c r="G62" s="565"/>
      <c r="H62" s="540"/>
      <c r="I62" s="540"/>
      <c r="J62" s="540"/>
      <c r="K62" s="540"/>
    </row>
    <row r="63" spans="1:23" s="541" customFormat="1">
      <c r="A63" s="538"/>
      <c r="B63" s="571"/>
      <c r="C63" s="572"/>
      <c r="D63" s="542"/>
      <c r="E63" s="542"/>
      <c r="F63" s="573"/>
      <c r="G63" s="574"/>
      <c r="H63" s="540"/>
      <c r="I63" s="540"/>
      <c r="J63" s="540"/>
      <c r="K63" s="540"/>
    </row>
    <row r="64" spans="1:23" s="541" customFormat="1">
      <c r="A64" s="538"/>
      <c r="B64" s="562"/>
      <c r="C64" s="563"/>
      <c r="D64" s="539"/>
      <c r="E64" s="539"/>
      <c r="F64" s="564"/>
      <c r="G64" s="565"/>
      <c r="H64" s="540"/>
      <c r="I64" s="540"/>
      <c r="J64" s="540"/>
      <c r="K64" s="540"/>
    </row>
    <row r="65" spans="1:11" s="543" customFormat="1">
      <c r="A65" s="538"/>
      <c r="B65" s="571"/>
      <c r="C65" s="572"/>
      <c r="D65" s="542"/>
      <c r="E65" s="542"/>
      <c r="F65" s="573"/>
      <c r="G65" s="574"/>
      <c r="H65" s="540"/>
      <c r="I65" s="540"/>
      <c r="J65" s="540"/>
      <c r="K65" s="540"/>
    </row>
    <row r="66" spans="1:11" s="541" customFormat="1">
      <c r="A66" s="538"/>
      <c r="B66" s="562"/>
      <c r="C66" s="563"/>
      <c r="D66" s="539"/>
      <c r="E66" s="539"/>
      <c r="F66" s="564"/>
      <c r="G66" s="565"/>
      <c r="H66" s="540"/>
      <c r="I66" s="540"/>
      <c r="J66" s="540"/>
      <c r="K66" s="540"/>
    </row>
    <row r="67" spans="1:11" s="541" customFormat="1">
      <c r="A67" s="538"/>
      <c r="B67" s="571"/>
      <c r="C67" s="572"/>
      <c r="D67" s="542"/>
      <c r="E67" s="542"/>
      <c r="F67" s="573"/>
      <c r="G67" s="574"/>
      <c r="H67" s="540"/>
      <c r="I67" s="540"/>
      <c r="J67" s="540"/>
      <c r="K67" s="540"/>
    </row>
    <row r="68" spans="1:11" s="541" customFormat="1">
      <c r="A68" s="538"/>
      <c r="B68" s="562"/>
      <c r="C68" s="563"/>
      <c r="D68" s="539"/>
      <c r="E68" s="539"/>
      <c r="F68" s="564"/>
      <c r="G68" s="565"/>
      <c r="H68" s="540"/>
      <c r="I68" s="540"/>
      <c r="J68" s="540"/>
      <c r="K68" s="540"/>
    </row>
    <row r="69" spans="1:11" s="543" customFormat="1">
      <c r="A69" s="538"/>
      <c r="B69" s="571"/>
      <c r="C69" s="572"/>
      <c r="D69" s="542"/>
      <c r="E69" s="542"/>
      <c r="F69" s="573"/>
      <c r="G69" s="574"/>
      <c r="H69" s="540"/>
      <c r="I69" s="540"/>
      <c r="J69" s="540"/>
      <c r="K69" s="540"/>
    </row>
    <row r="70" spans="1:11" s="543" customFormat="1">
      <c r="A70" s="538"/>
      <c r="B70" s="562"/>
      <c r="C70" s="563"/>
      <c r="D70" s="539"/>
      <c r="E70" s="539"/>
      <c r="F70" s="564"/>
      <c r="G70" s="565"/>
      <c r="H70" s="540"/>
      <c r="I70" s="540"/>
      <c r="J70" s="540"/>
      <c r="K70" s="540"/>
    </row>
    <row r="71" spans="1:11" s="543" customFormat="1">
      <c r="A71" s="538"/>
      <c r="B71" s="571"/>
      <c r="C71" s="572"/>
      <c r="D71" s="542"/>
      <c r="E71" s="542"/>
      <c r="F71" s="573"/>
      <c r="G71" s="574"/>
      <c r="H71" s="540"/>
      <c r="I71" s="540"/>
      <c r="J71" s="540"/>
      <c r="K71" s="540"/>
    </row>
    <row r="72" spans="1:11" s="543" customFormat="1">
      <c r="A72" s="538"/>
      <c r="B72" s="562"/>
      <c r="C72" s="563"/>
      <c r="D72" s="539"/>
      <c r="E72" s="539"/>
      <c r="F72" s="564"/>
      <c r="G72" s="565"/>
      <c r="H72" s="540"/>
      <c r="I72" s="540"/>
      <c r="J72" s="540"/>
      <c r="K72" s="540"/>
    </row>
    <row r="73" spans="1:11" s="543" customFormat="1">
      <c r="A73" s="538"/>
      <c r="B73" s="571"/>
      <c r="C73" s="572"/>
      <c r="D73" s="542"/>
      <c r="E73" s="542"/>
      <c r="F73" s="573"/>
      <c r="G73" s="574"/>
      <c r="H73" s="540"/>
      <c r="I73" s="540"/>
      <c r="J73" s="540"/>
      <c r="K73" s="540"/>
    </row>
    <row r="74" spans="1:11" s="543" customFormat="1">
      <c r="A74" s="538"/>
      <c r="B74" s="562"/>
      <c r="C74" s="563"/>
      <c r="D74" s="539"/>
      <c r="E74" s="539"/>
      <c r="F74" s="564"/>
      <c r="G74" s="565"/>
      <c r="H74" s="540"/>
      <c r="I74" s="540"/>
      <c r="J74" s="540"/>
      <c r="K74" s="540"/>
    </row>
    <row r="75" spans="1:11" s="543" customFormat="1">
      <c r="A75" s="538"/>
      <c r="B75" s="571"/>
      <c r="C75" s="572"/>
      <c r="D75" s="542"/>
      <c r="E75" s="542"/>
      <c r="F75" s="573"/>
      <c r="G75" s="574"/>
      <c r="H75" s="540"/>
      <c r="I75" s="540"/>
      <c r="J75" s="540"/>
      <c r="K75" s="540"/>
    </row>
    <row r="76" spans="1:11" s="543" customFormat="1">
      <c r="A76" s="538"/>
      <c r="B76" s="562"/>
      <c r="C76" s="563"/>
      <c r="D76" s="539"/>
      <c r="E76" s="539"/>
      <c r="F76" s="564"/>
      <c r="G76" s="565"/>
      <c r="H76" s="540"/>
      <c r="I76" s="540"/>
      <c r="J76" s="540"/>
      <c r="K76" s="540"/>
    </row>
    <row r="77" spans="1:11" s="543" customFormat="1">
      <c r="A77" s="538"/>
      <c r="B77" s="571"/>
      <c r="C77" s="572"/>
      <c r="D77" s="542"/>
      <c r="E77" s="542"/>
      <c r="F77" s="573"/>
      <c r="G77" s="574"/>
      <c r="H77" s="540"/>
      <c r="I77" s="540"/>
      <c r="J77" s="540"/>
      <c r="K77" s="540"/>
    </row>
    <row r="78" spans="1:11" s="543" customFormat="1">
      <c r="A78" s="538"/>
      <c r="B78" s="562"/>
      <c r="C78" s="563"/>
      <c r="D78" s="539"/>
      <c r="E78" s="539"/>
      <c r="F78" s="564"/>
      <c r="G78" s="565"/>
      <c r="H78" s="540"/>
      <c r="I78" s="540"/>
      <c r="J78" s="540"/>
      <c r="K78" s="540"/>
    </row>
    <row r="79" spans="1:11" s="543" customFormat="1">
      <c r="A79" s="538"/>
      <c r="B79" s="571"/>
      <c r="C79" s="572"/>
      <c r="D79" s="542"/>
      <c r="E79" s="542"/>
      <c r="F79" s="573"/>
      <c r="G79" s="574"/>
      <c r="H79" s="540"/>
      <c r="I79" s="540"/>
      <c r="J79" s="540"/>
      <c r="K79" s="540"/>
    </row>
    <row r="80" spans="1:11" s="543" customFormat="1">
      <c r="A80" s="538"/>
      <c r="B80" s="562"/>
      <c r="C80" s="563"/>
      <c r="D80" s="539"/>
      <c r="E80" s="539"/>
      <c r="F80" s="564"/>
      <c r="G80" s="565"/>
      <c r="H80" s="540"/>
      <c r="I80" s="540"/>
      <c r="J80" s="540"/>
      <c r="K80" s="540"/>
    </row>
    <row r="81" spans="1:11" s="543" customFormat="1">
      <c r="A81" s="538"/>
      <c r="B81" s="571"/>
      <c r="C81" s="572"/>
      <c r="D81" s="542"/>
      <c r="E81" s="542"/>
      <c r="F81" s="573"/>
      <c r="G81" s="574"/>
      <c r="H81" s="540"/>
      <c r="I81" s="540"/>
      <c r="J81" s="540"/>
      <c r="K81" s="540"/>
    </row>
    <row r="82" spans="1:11" s="543" customFormat="1">
      <c r="A82" s="538"/>
      <c r="B82" s="562"/>
      <c r="C82" s="563"/>
      <c r="D82" s="539"/>
      <c r="E82" s="539"/>
      <c r="F82" s="564"/>
      <c r="G82" s="565"/>
      <c r="H82" s="540"/>
      <c r="I82" s="540"/>
      <c r="J82" s="540"/>
      <c r="K82" s="540"/>
    </row>
    <row r="83" spans="1:11" s="543" customFormat="1">
      <c r="A83" s="538"/>
      <c r="B83" s="562"/>
      <c r="C83" s="563"/>
      <c r="D83" s="539"/>
      <c r="E83" s="539"/>
      <c r="F83" s="564"/>
      <c r="G83" s="565"/>
      <c r="H83" s="540"/>
      <c r="I83" s="540"/>
      <c r="J83" s="540"/>
      <c r="K83" s="540"/>
    </row>
    <row r="84" spans="1:11" s="543" customFormat="1">
      <c r="A84" s="538"/>
      <c r="B84" s="562"/>
      <c r="C84" s="563"/>
      <c r="D84" s="539"/>
      <c r="E84" s="539"/>
      <c r="F84" s="564"/>
      <c r="G84" s="565"/>
      <c r="H84" s="540"/>
      <c r="I84" s="540"/>
      <c r="J84" s="540"/>
      <c r="K84" s="540"/>
    </row>
    <row r="85" spans="1:11" s="543" customFormat="1">
      <c r="A85" s="538"/>
      <c r="B85" s="562"/>
      <c r="C85" s="563"/>
      <c r="D85" s="539"/>
      <c r="E85" s="539"/>
      <c r="F85" s="564"/>
      <c r="G85" s="565"/>
      <c r="H85" s="540"/>
      <c r="I85" s="540"/>
      <c r="J85" s="540"/>
      <c r="K85" s="540"/>
    </row>
    <row r="86" spans="1:11" s="543" customFormat="1">
      <c r="A86" s="538"/>
      <c r="B86" s="562"/>
      <c r="C86" s="563"/>
      <c r="D86" s="539"/>
      <c r="E86" s="539"/>
      <c r="F86" s="564"/>
      <c r="G86" s="565"/>
      <c r="H86" s="540"/>
      <c r="I86" s="540"/>
      <c r="J86" s="540"/>
      <c r="K86" s="540"/>
    </row>
    <row r="87" spans="1:11" s="543" customFormat="1">
      <c r="A87" s="538"/>
      <c r="B87" s="562"/>
      <c r="C87" s="563"/>
      <c r="D87" s="539"/>
      <c r="E87" s="539"/>
      <c r="F87" s="564"/>
      <c r="G87" s="565"/>
      <c r="H87" s="540"/>
      <c r="I87" s="540"/>
      <c r="J87" s="540"/>
      <c r="K87" s="540"/>
    </row>
    <row r="88" spans="1:11" s="543" customFormat="1">
      <c r="A88" s="538"/>
      <c r="B88" s="562"/>
      <c r="C88" s="563"/>
      <c r="D88" s="539"/>
      <c r="E88" s="539"/>
      <c r="F88" s="564"/>
      <c r="G88" s="565"/>
      <c r="H88" s="540"/>
      <c r="I88" s="540"/>
      <c r="J88" s="540"/>
      <c r="K88" s="540"/>
    </row>
    <row r="89" spans="1:11" s="543" customFormat="1">
      <c r="A89" s="538"/>
      <c r="B89" s="562"/>
      <c r="C89" s="563"/>
      <c r="D89" s="539"/>
      <c r="E89" s="539"/>
      <c r="F89" s="564"/>
      <c r="G89" s="565"/>
      <c r="H89" s="540"/>
      <c r="I89" s="540"/>
      <c r="J89" s="540"/>
      <c r="K89" s="540"/>
    </row>
    <row r="90" spans="1:11" s="543" customFormat="1">
      <c r="A90" s="538"/>
      <c r="B90" s="562"/>
      <c r="C90" s="563"/>
      <c r="D90" s="539"/>
      <c r="E90" s="539"/>
      <c r="F90" s="564"/>
      <c r="G90" s="565"/>
      <c r="H90" s="540"/>
      <c r="I90" s="540"/>
      <c r="J90" s="540"/>
      <c r="K90" s="540"/>
    </row>
    <row r="91" spans="1:11" s="543" customFormat="1">
      <c r="A91" s="538"/>
      <c r="B91" s="562"/>
      <c r="C91" s="563"/>
      <c r="D91" s="539"/>
      <c r="E91" s="539"/>
      <c r="F91" s="564"/>
      <c r="G91" s="565"/>
      <c r="H91" s="540"/>
      <c r="I91" s="540"/>
      <c r="J91" s="540"/>
      <c r="K91" s="540"/>
    </row>
    <row r="92" spans="1:11" s="543" customFormat="1">
      <c r="A92" s="538"/>
      <c r="B92" s="562"/>
      <c r="C92" s="563"/>
      <c r="D92" s="539"/>
      <c r="E92" s="539"/>
      <c r="F92" s="564"/>
      <c r="G92" s="565"/>
      <c r="H92" s="540"/>
      <c r="I92" s="540"/>
      <c r="J92" s="540"/>
      <c r="K92" s="540"/>
    </row>
    <row r="93" spans="1:11" s="543" customFormat="1">
      <c r="A93" s="538"/>
      <c r="B93" s="562"/>
      <c r="C93" s="563"/>
      <c r="D93" s="539"/>
      <c r="E93" s="539"/>
      <c r="F93" s="564"/>
      <c r="G93" s="565"/>
      <c r="H93" s="540"/>
      <c r="I93" s="540"/>
      <c r="J93" s="540"/>
      <c r="K93" s="540"/>
    </row>
    <row r="94" spans="1:11" s="543" customFormat="1">
      <c r="A94" s="538"/>
      <c r="B94" s="562"/>
      <c r="C94" s="563"/>
      <c r="D94" s="539"/>
      <c r="E94" s="539"/>
      <c r="F94" s="564"/>
      <c r="G94" s="565"/>
      <c r="H94" s="540"/>
      <c r="I94" s="540"/>
      <c r="J94" s="540"/>
      <c r="K94" s="540"/>
    </row>
    <row r="95" spans="1:11" s="543" customFormat="1">
      <c r="A95" s="538"/>
      <c r="B95" s="571"/>
      <c r="C95" s="572"/>
      <c r="D95" s="542"/>
      <c r="E95" s="542"/>
      <c r="F95" s="573"/>
      <c r="G95" s="574"/>
      <c r="H95" s="540"/>
      <c r="I95" s="540"/>
      <c r="J95" s="540"/>
      <c r="K95" s="540"/>
    </row>
    <row r="96" spans="1:11" s="543" customFormat="1">
      <c r="A96" s="538"/>
      <c r="B96" s="562"/>
      <c r="C96" s="563"/>
      <c r="D96" s="539"/>
      <c r="E96" s="539"/>
      <c r="F96" s="564"/>
      <c r="G96" s="565"/>
      <c r="H96" s="540"/>
      <c r="I96" s="540"/>
      <c r="J96" s="540"/>
      <c r="K96" s="540"/>
    </row>
    <row r="97" spans="1:11" s="543" customFormat="1">
      <c r="A97" s="538"/>
      <c r="B97" s="571"/>
      <c r="C97" s="572"/>
      <c r="D97" s="542"/>
      <c r="E97" s="542"/>
      <c r="F97" s="573"/>
      <c r="G97" s="574"/>
      <c r="H97" s="540"/>
      <c r="I97" s="540"/>
      <c r="J97" s="540"/>
      <c r="K97" s="540"/>
    </row>
    <row r="98" spans="1:11" s="543" customFormat="1">
      <c r="A98" s="538"/>
      <c r="B98" s="562"/>
      <c r="C98" s="563"/>
      <c r="D98" s="539"/>
      <c r="E98" s="539"/>
      <c r="F98" s="564"/>
      <c r="G98" s="565"/>
      <c r="H98" s="540"/>
      <c r="I98" s="540"/>
      <c r="J98" s="540"/>
      <c r="K98" s="540"/>
    </row>
    <row r="99" spans="1:11" s="543" customFormat="1">
      <c r="A99" s="538"/>
      <c r="B99" s="571"/>
      <c r="C99" s="572"/>
      <c r="D99" s="542"/>
      <c r="E99" s="542"/>
      <c r="F99" s="573"/>
      <c r="G99" s="574"/>
      <c r="H99" s="540"/>
      <c r="I99" s="540"/>
      <c r="J99" s="540"/>
      <c r="K99" s="540"/>
    </row>
    <row r="100" spans="1:11" s="543" customFormat="1">
      <c r="A100" s="538"/>
      <c r="B100" s="562"/>
      <c r="C100" s="563"/>
      <c r="D100" s="539"/>
      <c r="E100" s="539"/>
      <c r="F100" s="564"/>
      <c r="G100" s="565"/>
      <c r="H100" s="540"/>
      <c r="I100" s="540"/>
      <c r="J100" s="540"/>
      <c r="K100" s="540"/>
    </row>
    <row r="101" spans="1:11" s="543" customFormat="1">
      <c r="A101" s="538"/>
      <c r="B101" s="571"/>
      <c r="C101" s="572"/>
      <c r="D101" s="542"/>
      <c r="E101" s="542"/>
      <c r="F101" s="573"/>
      <c r="G101" s="574"/>
      <c r="H101" s="540"/>
      <c r="I101" s="540"/>
      <c r="J101" s="540"/>
      <c r="K101" s="540"/>
    </row>
    <row r="102" spans="1:11" s="543" customFormat="1">
      <c r="A102" s="538"/>
      <c r="B102" s="562"/>
      <c r="C102" s="563"/>
      <c r="D102" s="539"/>
      <c r="E102" s="539"/>
      <c r="F102" s="564"/>
      <c r="G102" s="565"/>
      <c r="H102" s="540"/>
      <c r="I102" s="540"/>
      <c r="J102" s="540"/>
      <c r="K102" s="540"/>
    </row>
    <row r="103" spans="1:11" s="543" customFormat="1">
      <c r="A103" s="538"/>
      <c r="B103" s="562"/>
      <c r="C103" s="563"/>
      <c r="D103" s="539"/>
      <c r="E103" s="539"/>
      <c r="F103" s="564"/>
      <c r="G103" s="565"/>
      <c r="H103" s="540"/>
      <c r="I103" s="540"/>
      <c r="J103" s="540"/>
      <c r="K103" s="540"/>
    </row>
    <row r="104" spans="1:11" s="543" customFormat="1">
      <c r="A104" s="538"/>
      <c r="B104" s="571"/>
      <c r="C104" s="572"/>
      <c r="D104" s="542"/>
      <c r="E104" s="542"/>
      <c r="F104" s="573"/>
      <c r="G104" s="574"/>
      <c r="H104" s="540"/>
      <c r="I104" s="540"/>
      <c r="J104" s="540"/>
      <c r="K104" s="540"/>
    </row>
    <row r="105" spans="1:11" s="543" customFormat="1">
      <c r="A105" s="538"/>
      <c r="B105" s="562"/>
      <c r="C105" s="563"/>
      <c r="D105" s="539"/>
      <c r="E105" s="539"/>
      <c r="F105" s="564"/>
      <c r="G105" s="565"/>
      <c r="H105" s="540"/>
      <c r="I105" s="540"/>
      <c r="J105" s="540"/>
      <c r="K105" s="540"/>
    </row>
    <row r="106" spans="1:11" s="543" customFormat="1">
      <c r="A106" s="538"/>
      <c r="B106" s="562"/>
      <c r="C106" s="563"/>
      <c r="D106" s="539"/>
      <c r="E106" s="539"/>
      <c r="F106" s="564"/>
      <c r="G106" s="565"/>
      <c r="H106" s="540"/>
      <c r="I106" s="540"/>
      <c r="J106" s="540"/>
      <c r="K106" s="540"/>
    </row>
    <row r="107" spans="1:11" s="543" customFormat="1">
      <c r="A107" s="538"/>
      <c r="B107" s="562"/>
      <c r="C107" s="563"/>
      <c r="D107" s="539"/>
      <c r="E107" s="539"/>
      <c r="F107" s="564"/>
      <c r="G107" s="565"/>
      <c r="H107" s="540"/>
      <c r="I107" s="540"/>
      <c r="J107" s="540"/>
      <c r="K107" s="540"/>
    </row>
    <row r="108" spans="1:11" s="543" customFormat="1">
      <c r="A108" s="538"/>
      <c r="B108" s="562"/>
      <c r="C108" s="563"/>
      <c r="D108" s="539"/>
      <c r="E108" s="539"/>
      <c r="F108" s="564"/>
      <c r="G108" s="565"/>
      <c r="H108" s="540"/>
      <c r="I108" s="540"/>
      <c r="J108" s="540"/>
      <c r="K108" s="540"/>
    </row>
    <row r="109" spans="1:11" s="543" customFormat="1">
      <c r="A109" s="538"/>
      <c r="B109" s="562"/>
      <c r="C109" s="563"/>
      <c r="D109" s="539"/>
      <c r="E109" s="539"/>
      <c r="F109" s="564"/>
      <c r="G109" s="565"/>
      <c r="H109" s="540"/>
      <c r="I109" s="540"/>
      <c r="J109" s="540"/>
      <c r="K109" s="540"/>
    </row>
    <row r="110" spans="1:11">
      <c r="A110" s="544"/>
      <c r="B110" s="577"/>
      <c r="C110" s="578"/>
      <c r="D110" s="545"/>
      <c r="E110" s="545"/>
      <c r="F110" s="579"/>
      <c r="G110" s="580"/>
      <c r="H110" s="546"/>
      <c r="I110" s="546"/>
      <c r="J110" s="546"/>
      <c r="K110" s="546"/>
    </row>
    <row r="111" spans="1:11">
      <c r="A111" s="547" t="s">
        <v>148</v>
      </c>
      <c r="B111" s="581"/>
      <c r="C111" s="582"/>
      <c r="D111" s="583"/>
      <c r="E111" s="583"/>
      <c r="F111" s="584" t="s">
        <v>246</v>
      </c>
      <c r="G111" s="585"/>
      <c r="H111" s="586" t="s">
        <v>219</v>
      </c>
      <c r="I111" s="548">
        <f>SUM(I57:I110)</f>
        <v>0</v>
      </c>
      <c r="J111" s="586"/>
      <c r="K111" s="548">
        <f>SUM(K57:K110)</f>
        <v>0</v>
      </c>
    </row>
    <row r="112" spans="1:11" ht="16.5" customHeight="1">
      <c r="A112" s="533" t="s">
        <v>143</v>
      </c>
      <c r="B112" s="554" t="s">
        <v>198</v>
      </c>
      <c r="C112" s="1496" t="s">
        <v>199</v>
      </c>
      <c r="D112" s="1497"/>
      <c r="E112" s="1497"/>
      <c r="F112" s="1498"/>
      <c r="G112" s="555" t="s">
        <v>200</v>
      </c>
      <c r="H112" s="534" t="s">
        <v>201</v>
      </c>
      <c r="I112" s="534" t="s">
        <v>156</v>
      </c>
      <c r="J112" s="590" t="s">
        <v>286</v>
      </c>
      <c r="K112" s="590" t="s">
        <v>288</v>
      </c>
    </row>
    <row r="113" spans="1:23" s="537" customFormat="1">
      <c r="A113" s="278"/>
      <c r="B113" s="557"/>
      <c r="C113" s="558" t="s">
        <v>186</v>
      </c>
      <c r="D113" s="559" t="s">
        <v>182</v>
      </c>
      <c r="E113" s="559" t="s">
        <v>187</v>
      </c>
      <c r="F113" s="560" t="s">
        <v>188</v>
      </c>
      <c r="G113" s="561"/>
      <c r="H113" s="536" t="s">
        <v>247</v>
      </c>
      <c r="I113" s="536" t="s">
        <v>247</v>
      </c>
      <c r="J113" s="591" t="s">
        <v>287</v>
      </c>
      <c r="K113" s="591" t="s">
        <v>287</v>
      </c>
    </row>
    <row r="114" spans="1:23" s="537" customFormat="1">
      <c r="A114" s="538"/>
      <c r="B114" s="562"/>
      <c r="C114" s="563"/>
      <c r="D114" s="539"/>
      <c r="E114" s="539"/>
      <c r="F114" s="564"/>
      <c r="G114" s="565"/>
      <c r="H114" s="540"/>
      <c r="I114" s="540"/>
      <c r="J114" s="540"/>
      <c r="K114" s="540"/>
      <c r="U114" s="541"/>
      <c r="W114" s="541"/>
    </row>
    <row r="115" spans="1:23" s="541" customFormat="1">
      <c r="A115" s="538"/>
      <c r="B115" s="562"/>
      <c r="C115" s="563"/>
      <c r="D115" s="539"/>
      <c r="E115" s="539"/>
      <c r="F115" s="564"/>
      <c r="G115" s="565"/>
      <c r="H115" s="540"/>
      <c r="I115" s="540"/>
      <c r="J115" s="540"/>
      <c r="K115" s="540"/>
    </row>
    <row r="116" spans="1:23" s="541" customFormat="1">
      <c r="A116" s="538"/>
      <c r="B116" s="567"/>
      <c r="C116" s="568"/>
      <c r="D116" s="569"/>
      <c r="E116" s="569"/>
      <c r="F116" s="570"/>
      <c r="G116" s="565"/>
      <c r="H116" s="540"/>
      <c r="I116" s="540"/>
      <c r="J116" s="540"/>
      <c r="K116" s="540"/>
    </row>
    <row r="117" spans="1:23" s="541" customFormat="1">
      <c r="A117" s="538"/>
      <c r="B117" s="562"/>
      <c r="C117" s="563"/>
      <c r="D117" s="539"/>
      <c r="E117" s="539"/>
      <c r="F117" s="564"/>
      <c r="G117" s="565"/>
      <c r="H117" s="540"/>
      <c r="I117" s="540"/>
      <c r="J117" s="540"/>
      <c r="K117" s="540"/>
    </row>
    <row r="118" spans="1:23" s="541" customFormat="1">
      <c r="A118" s="538"/>
      <c r="B118" s="571"/>
      <c r="C118" s="572"/>
      <c r="D118" s="542"/>
      <c r="E118" s="542"/>
      <c r="F118" s="573"/>
      <c r="G118" s="574"/>
      <c r="H118" s="540"/>
      <c r="I118" s="540"/>
      <c r="J118" s="540"/>
      <c r="K118" s="540"/>
    </row>
    <row r="119" spans="1:23" s="541" customFormat="1">
      <c r="A119" s="538"/>
      <c r="B119" s="562"/>
      <c r="C119" s="563"/>
      <c r="D119" s="539"/>
      <c r="E119" s="539"/>
      <c r="F119" s="564"/>
      <c r="G119" s="565"/>
      <c r="H119" s="540"/>
      <c r="I119" s="540"/>
      <c r="J119" s="540"/>
      <c r="K119" s="540"/>
    </row>
    <row r="120" spans="1:23" s="541" customFormat="1">
      <c r="A120" s="538"/>
      <c r="B120" s="571"/>
      <c r="C120" s="572"/>
      <c r="D120" s="542"/>
      <c r="E120" s="542"/>
      <c r="F120" s="573"/>
      <c r="G120" s="574"/>
      <c r="H120" s="540"/>
      <c r="I120" s="540"/>
      <c r="J120" s="540"/>
      <c r="K120" s="540"/>
    </row>
    <row r="121" spans="1:23" s="541" customFormat="1">
      <c r="A121" s="538"/>
      <c r="B121" s="562"/>
      <c r="C121" s="563"/>
      <c r="D121" s="539"/>
      <c r="E121" s="539"/>
      <c r="F121" s="564"/>
      <c r="G121" s="565"/>
      <c r="H121" s="540"/>
      <c r="I121" s="540"/>
      <c r="J121" s="540"/>
      <c r="K121" s="540"/>
    </row>
    <row r="122" spans="1:23" s="543" customFormat="1">
      <c r="A122" s="538"/>
      <c r="B122" s="571"/>
      <c r="C122" s="572"/>
      <c r="D122" s="542"/>
      <c r="E122" s="542"/>
      <c r="F122" s="573"/>
      <c r="G122" s="574"/>
      <c r="H122" s="540"/>
      <c r="I122" s="540"/>
      <c r="J122" s="540"/>
      <c r="K122" s="540"/>
    </row>
    <row r="123" spans="1:23" s="541" customFormat="1">
      <c r="A123" s="538"/>
      <c r="B123" s="562"/>
      <c r="C123" s="563"/>
      <c r="D123" s="539"/>
      <c r="E123" s="539"/>
      <c r="F123" s="564"/>
      <c r="G123" s="565"/>
      <c r="H123" s="540"/>
      <c r="I123" s="540"/>
      <c r="J123" s="540"/>
      <c r="K123" s="540"/>
    </row>
    <row r="124" spans="1:23" s="541" customFormat="1">
      <c r="A124" s="538"/>
      <c r="B124" s="571"/>
      <c r="C124" s="572"/>
      <c r="D124" s="542"/>
      <c r="E124" s="542"/>
      <c r="F124" s="573"/>
      <c r="G124" s="574"/>
      <c r="H124" s="540"/>
      <c r="I124" s="540"/>
      <c r="J124" s="540"/>
      <c r="K124" s="540"/>
    </row>
    <row r="125" spans="1:23" s="541" customFormat="1">
      <c r="A125" s="538"/>
      <c r="B125" s="562"/>
      <c r="C125" s="563"/>
      <c r="D125" s="539"/>
      <c r="E125" s="539"/>
      <c r="F125" s="564"/>
      <c r="G125" s="565"/>
      <c r="H125" s="540"/>
      <c r="I125" s="540"/>
      <c r="J125" s="540"/>
      <c r="K125" s="540"/>
    </row>
    <row r="126" spans="1:23" s="543" customFormat="1">
      <c r="A126" s="538"/>
      <c r="B126" s="571"/>
      <c r="C126" s="572"/>
      <c r="D126" s="542"/>
      <c r="E126" s="542"/>
      <c r="F126" s="573"/>
      <c r="G126" s="574"/>
      <c r="H126" s="540"/>
      <c r="I126" s="540"/>
      <c r="J126" s="540"/>
      <c r="K126" s="540"/>
    </row>
    <row r="127" spans="1:23" s="543" customFormat="1">
      <c r="A127" s="538"/>
      <c r="B127" s="562"/>
      <c r="C127" s="563"/>
      <c r="D127" s="539"/>
      <c r="E127" s="539"/>
      <c r="F127" s="564"/>
      <c r="G127" s="565"/>
      <c r="H127" s="540"/>
      <c r="I127" s="540"/>
      <c r="J127" s="540"/>
      <c r="K127" s="540"/>
    </row>
    <row r="128" spans="1:23" s="543" customFormat="1">
      <c r="A128" s="538"/>
      <c r="B128" s="571"/>
      <c r="C128" s="572"/>
      <c r="D128" s="542"/>
      <c r="E128" s="542"/>
      <c r="F128" s="573"/>
      <c r="G128" s="574"/>
      <c r="H128" s="540"/>
      <c r="I128" s="540"/>
      <c r="J128" s="540"/>
      <c r="K128" s="540"/>
    </row>
    <row r="129" spans="1:11" s="543" customFormat="1">
      <c r="A129" s="538"/>
      <c r="B129" s="562"/>
      <c r="C129" s="563"/>
      <c r="D129" s="539"/>
      <c r="E129" s="539"/>
      <c r="F129" s="564"/>
      <c r="G129" s="565"/>
      <c r="H129" s="540"/>
      <c r="I129" s="540"/>
      <c r="J129" s="540"/>
      <c r="K129" s="540"/>
    </row>
    <row r="130" spans="1:11" s="543" customFormat="1">
      <c r="A130" s="538"/>
      <c r="B130" s="571"/>
      <c r="C130" s="572"/>
      <c r="D130" s="542"/>
      <c r="E130" s="542"/>
      <c r="F130" s="573"/>
      <c r="G130" s="574"/>
      <c r="H130" s="540"/>
      <c r="I130" s="540"/>
      <c r="J130" s="540"/>
      <c r="K130" s="540"/>
    </row>
    <row r="131" spans="1:11" s="543" customFormat="1">
      <c r="A131" s="538"/>
      <c r="B131" s="562"/>
      <c r="C131" s="563"/>
      <c r="D131" s="539"/>
      <c r="E131" s="539"/>
      <c r="F131" s="564"/>
      <c r="G131" s="565"/>
      <c r="H131" s="540"/>
      <c r="I131" s="540"/>
      <c r="J131" s="540"/>
      <c r="K131" s="540"/>
    </row>
    <row r="132" spans="1:11" s="543" customFormat="1">
      <c r="A132" s="538"/>
      <c r="B132" s="571"/>
      <c r="C132" s="572"/>
      <c r="D132" s="542"/>
      <c r="E132" s="542"/>
      <c r="F132" s="573"/>
      <c r="G132" s="574"/>
      <c r="H132" s="540"/>
      <c r="I132" s="540"/>
      <c r="J132" s="540"/>
      <c r="K132" s="540"/>
    </row>
    <row r="133" spans="1:11" s="543" customFormat="1">
      <c r="A133" s="538"/>
      <c r="B133" s="562"/>
      <c r="C133" s="563"/>
      <c r="D133" s="539"/>
      <c r="E133" s="539"/>
      <c r="F133" s="564"/>
      <c r="G133" s="565"/>
      <c r="H133" s="540"/>
      <c r="I133" s="540"/>
      <c r="J133" s="540"/>
      <c r="K133" s="540"/>
    </row>
    <row r="134" spans="1:11" s="543" customFormat="1">
      <c r="A134" s="538"/>
      <c r="B134" s="571"/>
      <c r="C134" s="572"/>
      <c r="D134" s="542"/>
      <c r="E134" s="542"/>
      <c r="F134" s="573"/>
      <c r="G134" s="574"/>
      <c r="H134" s="540"/>
      <c r="I134" s="540"/>
      <c r="J134" s="540"/>
      <c r="K134" s="540"/>
    </row>
    <row r="135" spans="1:11" s="543" customFormat="1">
      <c r="A135" s="538"/>
      <c r="B135" s="562"/>
      <c r="C135" s="563"/>
      <c r="D135" s="539"/>
      <c r="E135" s="539"/>
      <c r="F135" s="564"/>
      <c r="G135" s="565"/>
      <c r="H135" s="540"/>
      <c r="I135" s="540"/>
      <c r="J135" s="540"/>
      <c r="K135" s="540"/>
    </row>
    <row r="136" spans="1:11" s="543" customFormat="1">
      <c r="A136" s="538"/>
      <c r="B136" s="571"/>
      <c r="C136" s="572"/>
      <c r="D136" s="542"/>
      <c r="E136" s="542"/>
      <c r="F136" s="573"/>
      <c r="G136" s="574"/>
      <c r="H136" s="540"/>
      <c r="I136" s="540"/>
      <c r="J136" s="540"/>
      <c r="K136" s="540"/>
    </row>
    <row r="137" spans="1:11" s="543" customFormat="1">
      <c r="A137" s="538"/>
      <c r="B137" s="562"/>
      <c r="C137" s="563"/>
      <c r="D137" s="539"/>
      <c r="E137" s="539"/>
      <c r="F137" s="564"/>
      <c r="G137" s="565"/>
      <c r="H137" s="540"/>
      <c r="I137" s="540"/>
      <c r="J137" s="540"/>
      <c r="K137" s="540"/>
    </row>
    <row r="138" spans="1:11" s="543" customFormat="1">
      <c r="A138" s="538"/>
      <c r="B138" s="571"/>
      <c r="C138" s="572"/>
      <c r="D138" s="542"/>
      <c r="E138" s="542"/>
      <c r="F138" s="573"/>
      <c r="G138" s="574"/>
      <c r="H138" s="540"/>
      <c r="I138" s="540"/>
      <c r="J138" s="540"/>
      <c r="K138" s="540"/>
    </row>
    <row r="139" spans="1:11" s="543" customFormat="1">
      <c r="A139" s="538"/>
      <c r="B139" s="562"/>
      <c r="C139" s="563"/>
      <c r="D139" s="539"/>
      <c r="E139" s="539"/>
      <c r="F139" s="564"/>
      <c r="G139" s="565"/>
      <c r="H139" s="540"/>
      <c r="I139" s="540"/>
      <c r="J139" s="540"/>
      <c r="K139" s="540"/>
    </row>
    <row r="140" spans="1:11" s="543" customFormat="1">
      <c r="A140" s="538"/>
      <c r="B140" s="562"/>
      <c r="C140" s="563"/>
      <c r="D140" s="539"/>
      <c r="E140" s="539"/>
      <c r="F140" s="564"/>
      <c r="G140" s="565"/>
      <c r="H140" s="540"/>
      <c r="I140" s="540"/>
      <c r="J140" s="540"/>
      <c r="K140" s="540"/>
    </row>
    <row r="141" spans="1:11" s="543" customFormat="1">
      <c r="A141" s="538"/>
      <c r="B141" s="562"/>
      <c r="C141" s="563"/>
      <c r="D141" s="539"/>
      <c r="E141" s="539"/>
      <c r="F141" s="564"/>
      <c r="G141" s="565"/>
      <c r="H141" s="540"/>
      <c r="I141" s="540"/>
      <c r="J141" s="540"/>
      <c r="K141" s="540"/>
    </row>
    <row r="142" spans="1:11" s="543" customFormat="1">
      <c r="A142" s="538"/>
      <c r="B142" s="562"/>
      <c r="C142" s="563"/>
      <c r="D142" s="539"/>
      <c r="E142" s="539"/>
      <c r="F142" s="564"/>
      <c r="G142" s="565"/>
      <c r="H142" s="540"/>
      <c r="I142" s="540"/>
      <c r="J142" s="540"/>
      <c r="K142" s="540"/>
    </row>
    <row r="143" spans="1:11" s="543" customFormat="1">
      <c r="A143" s="538"/>
      <c r="B143" s="562"/>
      <c r="C143" s="563"/>
      <c r="D143" s="539"/>
      <c r="E143" s="539"/>
      <c r="F143" s="564"/>
      <c r="G143" s="565"/>
      <c r="H143" s="540"/>
      <c r="I143" s="540"/>
      <c r="J143" s="540"/>
      <c r="K143" s="540"/>
    </row>
    <row r="144" spans="1:11" s="543" customFormat="1">
      <c r="A144" s="538"/>
      <c r="B144" s="562"/>
      <c r="C144" s="563"/>
      <c r="D144" s="539"/>
      <c r="E144" s="539"/>
      <c r="F144" s="564"/>
      <c r="G144" s="565"/>
      <c r="H144" s="540"/>
      <c r="I144" s="540"/>
      <c r="J144" s="540"/>
      <c r="K144" s="540"/>
    </row>
    <row r="145" spans="1:11" s="543" customFormat="1">
      <c r="A145" s="538"/>
      <c r="B145" s="562"/>
      <c r="C145" s="563"/>
      <c r="D145" s="539"/>
      <c r="E145" s="539"/>
      <c r="F145" s="564"/>
      <c r="G145" s="565"/>
      <c r="H145" s="540"/>
      <c r="I145" s="540"/>
      <c r="J145" s="540"/>
      <c r="K145" s="540"/>
    </row>
    <row r="146" spans="1:11" s="543" customFormat="1">
      <c r="A146" s="538"/>
      <c r="B146" s="562"/>
      <c r="C146" s="563"/>
      <c r="D146" s="539"/>
      <c r="E146" s="539"/>
      <c r="F146" s="564"/>
      <c r="G146" s="565"/>
      <c r="H146" s="540"/>
      <c r="I146" s="540"/>
      <c r="J146" s="540"/>
      <c r="K146" s="540"/>
    </row>
    <row r="147" spans="1:11" s="543" customFormat="1">
      <c r="A147" s="538"/>
      <c r="B147" s="562"/>
      <c r="C147" s="563"/>
      <c r="D147" s="539"/>
      <c r="E147" s="539"/>
      <c r="F147" s="564"/>
      <c r="G147" s="565"/>
      <c r="H147" s="540"/>
      <c r="I147" s="540"/>
      <c r="J147" s="540"/>
      <c r="K147" s="540"/>
    </row>
    <row r="148" spans="1:11" s="543" customFormat="1">
      <c r="A148" s="538"/>
      <c r="B148" s="562"/>
      <c r="C148" s="563"/>
      <c r="D148" s="539"/>
      <c r="E148" s="539"/>
      <c r="F148" s="564"/>
      <c r="G148" s="565"/>
      <c r="H148" s="540"/>
      <c r="I148" s="540"/>
      <c r="J148" s="540"/>
      <c r="K148" s="540"/>
    </row>
    <row r="149" spans="1:11" s="543" customFormat="1">
      <c r="A149" s="538"/>
      <c r="B149" s="562"/>
      <c r="C149" s="563"/>
      <c r="D149" s="539"/>
      <c r="E149" s="539"/>
      <c r="F149" s="564"/>
      <c r="G149" s="565"/>
      <c r="H149" s="540"/>
      <c r="I149" s="540"/>
      <c r="J149" s="540"/>
      <c r="K149" s="540"/>
    </row>
    <row r="150" spans="1:11" s="543" customFormat="1">
      <c r="A150" s="538"/>
      <c r="B150" s="562"/>
      <c r="C150" s="563"/>
      <c r="D150" s="539"/>
      <c r="E150" s="539"/>
      <c r="F150" s="564"/>
      <c r="G150" s="565"/>
      <c r="H150" s="540"/>
      <c r="I150" s="540"/>
      <c r="J150" s="540"/>
      <c r="K150" s="540"/>
    </row>
    <row r="151" spans="1:11" s="543" customFormat="1">
      <c r="A151" s="538"/>
      <c r="B151" s="562"/>
      <c r="C151" s="563"/>
      <c r="D151" s="539"/>
      <c r="E151" s="539"/>
      <c r="F151" s="564"/>
      <c r="G151" s="565"/>
      <c r="H151" s="540"/>
      <c r="I151" s="540"/>
      <c r="J151" s="540"/>
      <c r="K151" s="540"/>
    </row>
    <row r="152" spans="1:11" s="543" customFormat="1">
      <c r="A152" s="538"/>
      <c r="B152" s="571"/>
      <c r="C152" s="572"/>
      <c r="D152" s="542"/>
      <c r="E152" s="542"/>
      <c r="F152" s="573"/>
      <c r="G152" s="574"/>
      <c r="H152" s="540"/>
      <c r="I152" s="540"/>
      <c r="J152" s="540"/>
      <c r="K152" s="540"/>
    </row>
    <row r="153" spans="1:11" s="543" customFormat="1">
      <c r="A153" s="538"/>
      <c r="B153" s="562"/>
      <c r="C153" s="563"/>
      <c r="D153" s="539"/>
      <c r="E153" s="539"/>
      <c r="F153" s="564"/>
      <c r="G153" s="565"/>
      <c r="H153" s="540"/>
      <c r="I153" s="540"/>
      <c r="J153" s="540"/>
      <c r="K153" s="540"/>
    </row>
    <row r="154" spans="1:11" s="543" customFormat="1">
      <c r="A154" s="538"/>
      <c r="B154" s="571"/>
      <c r="C154" s="572"/>
      <c r="D154" s="542"/>
      <c r="E154" s="542"/>
      <c r="F154" s="573"/>
      <c r="G154" s="574"/>
      <c r="H154" s="540"/>
      <c r="I154" s="540"/>
      <c r="J154" s="540"/>
      <c r="K154" s="540"/>
    </row>
    <row r="155" spans="1:11" s="543" customFormat="1">
      <c r="A155" s="538"/>
      <c r="B155" s="562"/>
      <c r="C155" s="563"/>
      <c r="D155" s="539"/>
      <c r="E155" s="539"/>
      <c r="F155" s="564"/>
      <c r="G155" s="565"/>
      <c r="H155" s="540"/>
      <c r="I155" s="540"/>
      <c r="J155" s="540"/>
      <c r="K155" s="540"/>
    </row>
    <row r="156" spans="1:11" s="543" customFormat="1">
      <c r="A156" s="538"/>
      <c r="B156" s="562"/>
      <c r="C156" s="563"/>
      <c r="D156" s="539"/>
      <c r="E156" s="539"/>
      <c r="F156" s="564"/>
      <c r="G156" s="565"/>
      <c r="H156" s="540"/>
      <c r="I156" s="540"/>
      <c r="J156" s="540"/>
      <c r="K156" s="540"/>
    </row>
    <row r="157" spans="1:11" s="543" customFormat="1">
      <c r="A157" s="538"/>
      <c r="B157" s="571"/>
      <c r="C157" s="572"/>
      <c r="D157" s="542"/>
      <c r="E157" s="542"/>
      <c r="F157" s="573"/>
      <c r="G157" s="574"/>
      <c r="H157" s="540"/>
      <c r="I157" s="540"/>
      <c r="J157" s="540"/>
      <c r="K157" s="540"/>
    </row>
    <row r="158" spans="1:11" s="543" customFormat="1">
      <c r="A158" s="538"/>
      <c r="B158" s="562"/>
      <c r="C158" s="563"/>
      <c r="D158" s="539"/>
      <c r="E158" s="539"/>
      <c r="F158" s="564"/>
      <c r="G158" s="565"/>
      <c r="H158" s="540"/>
      <c r="I158" s="540"/>
      <c r="J158" s="540"/>
      <c r="K158" s="540"/>
    </row>
    <row r="159" spans="1:11" s="543" customFormat="1">
      <c r="A159" s="538"/>
      <c r="B159" s="571"/>
      <c r="C159" s="572"/>
      <c r="D159" s="542"/>
      <c r="E159" s="542"/>
      <c r="F159" s="573"/>
      <c r="G159" s="574"/>
      <c r="H159" s="540"/>
      <c r="I159" s="540"/>
      <c r="J159" s="540"/>
      <c r="K159" s="540"/>
    </row>
    <row r="160" spans="1:11" s="543" customFormat="1">
      <c r="A160" s="538"/>
      <c r="B160" s="562"/>
      <c r="C160" s="563"/>
      <c r="D160" s="539"/>
      <c r="E160" s="539"/>
      <c r="F160" s="564"/>
      <c r="G160" s="565"/>
      <c r="H160" s="540"/>
      <c r="I160" s="540"/>
      <c r="J160" s="540"/>
      <c r="K160" s="540"/>
    </row>
    <row r="161" spans="1:23" s="543" customFormat="1">
      <c r="A161" s="538"/>
      <c r="B161" s="571"/>
      <c r="C161" s="572"/>
      <c r="D161" s="542"/>
      <c r="E161" s="542"/>
      <c r="F161" s="573"/>
      <c r="G161" s="574"/>
      <c r="H161" s="540"/>
      <c r="I161" s="540"/>
      <c r="J161" s="540"/>
      <c r="K161" s="540"/>
    </row>
    <row r="162" spans="1:23" s="543" customFormat="1">
      <c r="A162" s="538"/>
      <c r="B162" s="562"/>
      <c r="C162" s="563"/>
      <c r="D162" s="539"/>
      <c r="E162" s="539"/>
      <c r="F162" s="564"/>
      <c r="G162" s="565"/>
      <c r="H162" s="540"/>
      <c r="I162" s="540"/>
      <c r="J162" s="540"/>
      <c r="K162" s="540"/>
    </row>
    <row r="163" spans="1:23" s="543" customFormat="1">
      <c r="A163" s="538"/>
      <c r="B163" s="562"/>
      <c r="C163" s="563"/>
      <c r="D163" s="539"/>
      <c r="E163" s="539"/>
      <c r="F163" s="564"/>
      <c r="G163" s="565"/>
      <c r="H163" s="540"/>
      <c r="I163" s="540"/>
      <c r="J163" s="540"/>
      <c r="K163" s="540"/>
    </row>
    <row r="164" spans="1:23" s="543" customFormat="1">
      <c r="A164" s="538"/>
      <c r="B164" s="562"/>
      <c r="C164" s="563"/>
      <c r="D164" s="539"/>
      <c r="E164" s="539"/>
      <c r="F164" s="564"/>
      <c r="G164" s="565"/>
      <c r="H164" s="540"/>
      <c r="I164" s="540"/>
      <c r="J164" s="540"/>
      <c r="K164" s="540"/>
    </row>
    <row r="165" spans="1:23" s="543" customFormat="1">
      <c r="A165" s="538"/>
      <c r="B165" s="562"/>
      <c r="C165" s="563"/>
      <c r="D165" s="539"/>
      <c r="E165" s="539"/>
      <c r="F165" s="564"/>
      <c r="G165" s="565"/>
      <c r="H165" s="540"/>
      <c r="I165" s="540"/>
      <c r="J165" s="540"/>
      <c r="K165" s="540"/>
    </row>
    <row r="166" spans="1:23" s="543" customFormat="1">
      <c r="A166" s="538"/>
      <c r="B166" s="562"/>
      <c r="C166" s="563"/>
      <c r="D166" s="539"/>
      <c r="E166" s="539"/>
      <c r="F166" s="564"/>
      <c r="G166" s="565"/>
      <c r="H166" s="540"/>
      <c r="I166" s="540"/>
      <c r="J166" s="540"/>
      <c r="K166" s="540"/>
      <c r="U166" s="535"/>
      <c r="W166" s="535"/>
    </row>
    <row r="167" spans="1:23">
      <c r="A167" s="544"/>
      <c r="B167" s="577"/>
      <c r="C167" s="578"/>
      <c r="D167" s="545"/>
      <c r="E167" s="545"/>
      <c r="F167" s="579"/>
      <c r="G167" s="580"/>
      <c r="H167" s="546"/>
      <c r="I167" s="546"/>
      <c r="J167" s="546"/>
      <c r="K167" s="546"/>
    </row>
    <row r="168" spans="1:23">
      <c r="A168" s="547" t="s">
        <v>148</v>
      </c>
      <c r="B168" s="581"/>
      <c r="C168" s="582"/>
      <c r="D168" s="583"/>
      <c r="E168" s="583"/>
      <c r="F168" s="584" t="s">
        <v>246</v>
      </c>
      <c r="G168" s="585"/>
      <c r="H168" s="586" t="s">
        <v>219</v>
      </c>
      <c r="I168" s="548">
        <f>SUM(I114:I167)</f>
        <v>0</v>
      </c>
      <c r="J168" s="586"/>
      <c r="K168" s="548">
        <f>SUM(K114:K167)</f>
        <v>0</v>
      </c>
    </row>
    <row r="169" spans="1:23" ht="16.5" customHeight="1">
      <c r="A169" s="533" t="s">
        <v>143</v>
      </c>
      <c r="B169" s="554" t="s">
        <v>198</v>
      </c>
      <c r="C169" s="1496" t="s">
        <v>199</v>
      </c>
      <c r="D169" s="1497"/>
      <c r="E169" s="1497"/>
      <c r="F169" s="1498"/>
      <c r="G169" s="555" t="s">
        <v>200</v>
      </c>
      <c r="H169" s="534" t="s">
        <v>201</v>
      </c>
      <c r="I169" s="534" t="s">
        <v>156</v>
      </c>
      <c r="J169" s="590" t="s">
        <v>286</v>
      </c>
      <c r="K169" s="590" t="s">
        <v>288</v>
      </c>
    </row>
    <row r="170" spans="1:23" s="537" customFormat="1">
      <c r="A170" s="278"/>
      <c r="B170" s="557"/>
      <c r="C170" s="558" t="s">
        <v>186</v>
      </c>
      <c r="D170" s="559" t="s">
        <v>182</v>
      </c>
      <c r="E170" s="559" t="s">
        <v>187</v>
      </c>
      <c r="F170" s="560" t="s">
        <v>188</v>
      </c>
      <c r="G170" s="561"/>
      <c r="H170" s="536" t="s">
        <v>247</v>
      </c>
      <c r="I170" s="536" t="s">
        <v>247</v>
      </c>
      <c r="J170" s="591" t="s">
        <v>287</v>
      </c>
      <c r="K170" s="591" t="s">
        <v>287</v>
      </c>
    </row>
    <row r="171" spans="1:23" s="537" customFormat="1">
      <c r="A171" s="538"/>
      <c r="B171" s="562"/>
      <c r="C171" s="563"/>
      <c r="D171" s="539"/>
      <c r="E171" s="539"/>
      <c r="F171" s="564"/>
      <c r="G171" s="565"/>
      <c r="H171" s="540"/>
      <c r="I171" s="540"/>
      <c r="J171" s="540"/>
      <c r="K171" s="540"/>
      <c r="U171" s="541"/>
      <c r="W171" s="541"/>
    </row>
    <row r="172" spans="1:23" s="541" customFormat="1">
      <c r="A172" s="538"/>
      <c r="B172" s="562"/>
      <c r="C172" s="563"/>
      <c r="D172" s="539"/>
      <c r="E172" s="539"/>
      <c r="F172" s="564"/>
      <c r="G172" s="565"/>
      <c r="H172" s="540"/>
      <c r="I172" s="540"/>
      <c r="J172" s="540"/>
      <c r="K172" s="540"/>
    </row>
    <row r="173" spans="1:23" s="541" customFormat="1">
      <c r="A173" s="538"/>
      <c r="B173" s="567"/>
      <c r="C173" s="568"/>
      <c r="D173" s="569"/>
      <c r="E173" s="569"/>
      <c r="F173" s="570"/>
      <c r="G173" s="565"/>
      <c r="H173" s="540"/>
      <c r="I173" s="540"/>
      <c r="J173" s="540"/>
      <c r="K173" s="540"/>
    </row>
    <row r="174" spans="1:23" s="541" customFormat="1">
      <c r="A174" s="538"/>
      <c r="B174" s="562"/>
      <c r="C174" s="563"/>
      <c r="D174" s="539"/>
      <c r="E174" s="539"/>
      <c r="F174" s="564"/>
      <c r="G174" s="565"/>
      <c r="H174" s="540"/>
      <c r="I174" s="540"/>
      <c r="J174" s="540"/>
      <c r="K174" s="540"/>
    </row>
    <row r="175" spans="1:23" s="541" customFormat="1">
      <c r="A175" s="538"/>
      <c r="B175" s="571"/>
      <c r="C175" s="572"/>
      <c r="D175" s="542"/>
      <c r="E175" s="542"/>
      <c r="F175" s="573"/>
      <c r="G175" s="574"/>
      <c r="H175" s="540"/>
      <c r="I175" s="540"/>
      <c r="J175" s="540"/>
      <c r="K175" s="540"/>
    </row>
    <row r="176" spans="1:23" s="541" customFormat="1">
      <c r="A176" s="538"/>
      <c r="B176" s="562"/>
      <c r="C176" s="563"/>
      <c r="D176" s="539"/>
      <c r="E176" s="539"/>
      <c r="F176" s="564"/>
      <c r="G176" s="565"/>
      <c r="H176" s="540"/>
      <c r="I176" s="540"/>
      <c r="J176" s="540"/>
      <c r="K176" s="540"/>
    </row>
    <row r="177" spans="1:11" s="541" customFormat="1">
      <c r="A177" s="538"/>
      <c r="B177" s="571"/>
      <c r="C177" s="572"/>
      <c r="D177" s="542"/>
      <c r="E177" s="542"/>
      <c r="F177" s="573"/>
      <c r="G177" s="574"/>
      <c r="H177" s="540"/>
      <c r="I177" s="540"/>
      <c r="J177" s="540"/>
      <c r="K177" s="540"/>
    </row>
    <row r="178" spans="1:11" s="541" customFormat="1">
      <c r="A178" s="538"/>
      <c r="B178" s="562"/>
      <c r="C178" s="563"/>
      <c r="D178" s="539"/>
      <c r="E178" s="539"/>
      <c r="F178" s="564"/>
      <c r="G178" s="565"/>
      <c r="H178" s="540"/>
      <c r="I178" s="540"/>
      <c r="J178" s="540"/>
      <c r="K178" s="540"/>
    </row>
    <row r="179" spans="1:11" s="543" customFormat="1">
      <c r="A179" s="538"/>
      <c r="B179" s="571"/>
      <c r="C179" s="572"/>
      <c r="D179" s="542"/>
      <c r="E179" s="542"/>
      <c r="F179" s="573"/>
      <c r="G179" s="574"/>
      <c r="H179" s="540"/>
      <c r="I179" s="540"/>
      <c r="J179" s="540"/>
      <c r="K179" s="540"/>
    </row>
    <row r="180" spans="1:11" s="541" customFormat="1">
      <c r="A180" s="538"/>
      <c r="B180" s="562"/>
      <c r="C180" s="563"/>
      <c r="D180" s="539"/>
      <c r="E180" s="539"/>
      <c r="F180" s="564"/>
      <c r="G180" s="565"/>
      <c r="H180" s="540"/>
      <c r="I180" s="540"/>
      <c r="J180" s="540"/>
      <c r="K180" s="540"/>
    </row>
    <row r="181" spans="1:11" s="541" customFormat="1">
      <c r="A181" s="538"/>
      <c r="B181" s="571"/>
      <c r="C181" s="572"/>
      <c r="D181" s="542"/>
      <c r="E181" s="542"/>
      <c r="F181" s="573"/>
      <c r="G181" s="574"/>
      <c r="H181" s="540"/>
      <c r="I181" s="540"/>
      <c r="J181" s="540"/>
      <c r="K181" s="540"/>
    </row>
    <row r="182" spans="1:11" s="541" customFormat="1">
      <c r="A182" s="538"/>
      <c r="B182" s="562"/>
      <c r="C182" s="563"/>
      <c r="D182" s="539"/>
      <c r="E182" s="539"/>
      <c r="F182" s="564"/>
      <c r="G182" s="565"/>
      <c r="H182" s="540"/>
      <c r="I182" s="540"/>
      <c r="J182" s="540"/>
      <c r="K182" s="540"/>
    </row>
    <row r="183" spans="1:11" s="543" customFormat="1">
      <c r="A183" s="538"/>
      <c r="B183" s="571"/>
      <c r="C183" s="572"/>
      <c r="D183" s="542"/>
      <c r="E183" s="542"/>
      <c r="F183" s="573"/>
      <c r="G183" s="574"/>
      <c r="H183" s="540"/>
      <c r="I183" s="540"/>
      <c r="J183" s="540"/>
      <c r="K183" s="540"/>
    </row>
    <row r="184" spans="1:11" s="543" customFormat="1">
      <c r="A184" s="538"/>
      <c r="B184" s="562"/>
      <c r="C184" s="563"/>
      <c r="D184" s="539"/>
      <c r="E184" s="539"/>
      <c r="F184" s="564"/>
      <c r="G184" s="565"/>
      <c r="H184" s="540"/>
      <c r="I184" s="540"/>
      <c r="J184" s="540"/>
      <c r="K184" s="540"/>
    </row>
    <row r="185" spans="1:11" s="543" customFormat="1">
      <c r="A185" s="538"/>
      <c r="B185" s="571"/>
      <c r="C185" s="572"/>
      <c r="D185" s="542"/>
      <c r="E185" s="542"/>
      <c r="F185" s="573"/>
      <c r="G185" s="574"/>
      <c r="H185" s="540"/>
      <c r="I185" s="540"/>
      <c r="J185" s="540"/>
      <c r="K185" s="540"/>
    </row>
    <row r="186" spans="1:11" s="543" customFormat="1">
      <c r="A186" s="538"/>
      <c r="B186" s="562"/>
      <c r="C186" s="563"/>
      <c r="D186" s="539"/>
      <c r="E186" s="539"/>
      <c r="F186" s="564"/>
      <c r="G186" s="565"/>
      <c r="H186" s="540"/>
      <c r="I186" s="540"/>
      <c r="J186" s="540"/>
      <c r="K186" s="540"/>
    </row>
    <row r="187" spans="1:11" s="543" customFormat="1">
      <c r="A187" s="538"/>
      <c r="B187" s="571"/>
      <c r="C187" s="572"/>
      <c r="D187" s="542"/>
      <c r="E187" s="542"/>
      <c r="F187" s="573"/>
      <c r="G187" s="574"/>
      <c r="H187" s="540"/>
      <c r="I187" s="540"/>
      <c r="J187" s="540"/>
      <c r="K187" s="540"/>
    </row>
    <row r="188" spans="1:11" s="543" customFormat="1">
      <c r="A188" s="538"/>
      <c r="B188" s="562"/>
      <c r="C188" s="563"/>
      <c r="D188" s="539"/>
      <c r="E188" s="539"/>
      <c r="F188" s="564"/>
      <c r="G188" s="565"/>
      <c r="H188" s="540"/>
      <c r="I188" s="540"/>
      <c r="J188" s="540"/>
      <c r="K188" s="540"/>
    </row>
    <row r="189" spans="1:11" s="543" customFormat="1">
      <c r="A189" s="538"/>
      <c r="B189" s="571"/>
      <c r="C189" s="572"/>
      <c r="D189" s="542"/>
      <c r="E189" s="542"/>
      <c r="F189" s="573"/>
      <c r="G189" s="574"/>
      <c r="H189" s="540"/>
      <c r="I189" s="540"/>
      <c r="J189" s="540"/>
      <c r="K189" s="540"/>
    </row>
    <row r="190" spans="1:11" s="543" customFormat="1">
      <c r="A190" s="538"/>
      <c r="B190" s="562"/>
      <c r="C190" s="563"/>
      <c r="D190" s="539"/>
      <c r="E190" s="539"/>
      <c r="F190" s="564"/>
      <c r="G190" s="565"/>
      <c r="H190" s="540"/>
      <c r="I190" s="540"/>
      <c r="J190" s="540"/>
      <c r="K190" s="540"/>
    </row>
    <row r="191" spans="1:11" s="543" customFormat="1">
      <c r="A191" s="538"/>
      <c r="B191" s="571"/>
      <c r="C191" s="572"/>
      <c r="D191" s="542"/>
      <c r="E191" s="542"/>
      <c r="F191" s="573"/>
      <c r="G191" s="574"/>
      <c r="H191" s="540"/>
      <c r="I191" s="540"/>
      <c r="J191" s="540"/>
      <c r="K191" s="540"/>
    </row>
    <row r="192" spans="1:11" s="543" customFormat="1">
      <c r="A192" s="538"/>
      <c r="B192" s="562"/>
      <c r="C192" s="563"/>
      <c r="D192" s="539"/>
      <c r="E192" s="539"/>
      <c r="F192" s="564"/>
      <c r="G192" s="565"/>
      <c r="H192" s="540"/>
      <c r="I192" s="540"/>
      <c r="J192" s="540"/>
      <c r="K192" s="540"/>
    </row>
    <row r="193" spans="1:11" s="543" customFormat="1">
      <c r="A193" s="538"/>
      <c r="B193" s="571"/>
      <c r="C193" s="572"/>
      <c r="D193" s="542"/>
      <c r="E193" s="542"/>
      <c r="F193" s="573"/>
      <c r="G193" s="574"/>
      <c r="H193" s="540"/>
      <c r="I193" s="540"/>
      <c r="J193" s="540"/>
      <c r="K193" s="540"/>
    </row>
    <row r="194" spans="1:11" s="543" customFormat="1">
      <c r="A194" s="538"/>
      <c r="B194" s="562"/>
      <c r="C194" s="563"/>
      <c r="D194" s="539"/>
      <c r="E194" s="539"/>
      <c r="F194" s="564"/>
      <c r="G194" s="565"/>
      <c r="H194" s="540"/>
      <c r="I194" s="540"/>
      <c r="J194" s="540"/>
      <c r="K194" s="540"/>
    </row>
    <row r="195" spans="1:11" s="543" customFormat="1">
      <c r="A195" s="538"/>
      <c r="B195" s="571"/>
      <c r="C195" s="572"/>
      <c r="D195" s="542"/>
      <c r="E195" s="542"/>
      <c r="F195" s="573"/>
      <c r="G195" s="574"/>
      <c r="H195" s="540"/>
      <c r="I195" s="540"/>
      <c r="J195" s="540"/>
      <c r="K195" s="540"/>
    </row>
    <row r="196" spans="1:11" s="543" customFormat="1">
      <c r="A196" s="538"/>
      <c r="B196" s="562"/>
      <c r="C196" s="563"/>
      <c r="D196" s="539"/>
      <c r="E196" s="539"/>
      <c r="F196" s="564"/>
      <c r="G196" s="565"/>
      <c r="H196" s="540"/>
      <c r="I196" s="540"/>
      <c r="J196" s="540"/>
      <c r="K196" s="540"/>
    </row>
    <row r="197" spans="1:11" s="543" customFormat="1">
      <c r="A197" s="538"/>
      <c r="B197" s="562"/>
      <c r="C197" s="563"/>
      <c r="D197" s="539"/>
      <c r="E197" s="539"/>
      <c r="F197" s="564"/>
      <c r="G197" s="565"/>
      <c r="H197" s="540"/>
      <c r="I197" s="540"/>
      <c r="J197" s="540"/>
      <c r="K197" s="540"/>
    </row>
    <row r="198" spans="1:11" s="543" customFormat="1">
      <c r="A198" s="538"/>
      <c r="B198" s="562"/>
      <c r="C198" s="563"/>
      <c r="D198" s="539"/>
      <c r="E198" s="539"/>
      <c r="F198" s="564"/>
      <c r="G198" s="565"/>
      <c r="H198" s="540"/>
      <c r="I198" s="540"/>
      <c r="J198" s="540"/>
      <c r="K198" s="540"/>
    </row>
    <row r="199" spans="1:11" s="543" customFormat="1">
      <c r="A199" s="538"/>
      <c r="B199" s="562"/>
      <c r="C199" s="563"/>
      <c r="D199" s="539"/>
      <c r="E199" s="539"/>
      <c r="F199" s="564"/>
      <c r="G199" s="565"/>
      <c r="H199" s="540"/>
      <c r="I199" s="540"/>
      <c r="J199" s="540"/>
      <c r="K199" s="540"/>
    </row>
    <row r="200" spans="1:11" s="543" customFormat="1">
      <c r="A200" s="538"/>
      <c r="B200" s="562"/>
      <c r="C200" s="563"/>
      <c r="D200" s="539"/>
      <c r="E200" s="539"/>
      <c r="F200" s="564"/>
      <c r="G200" s="565"/>
      <c r="H200" s="540"/>
      <c r="I200" s="540"/>
      <c r="J200" s="540"/>
      <c r="K200" s="540"/>
    </row>
    <row r="201" spans="1:11" s="543" customFormat="1">
      <c r="A201" s="538"/>
      <c r="B201" s="562"/>
      <c r="C201" s="563"/>
      <c r="D201" s="539"/>
      <c r="E201" s="539"/>
      <c r="F201" s="564"/>
      <c r="G201" s="565"/>
      <c r="H201" s="540"/>
      <c r="I201" s="540"/>
      <c r="J201" s="540"/>
      <c r="K201" s="540"/>
    </row>
    <row r="202" spans="1:11" s="543" customFormat="1">
      <c r="A202" s="538"/>
      <c r="B202" s="562"/>
      <c r="C202" s="563"/>
      <c r="D202" s="539"/>
      <c r="E202" s="539"/>
      <c r="F202" s="564"/>
      <c r="G202" s="565"/>
      <c r="H202" s="540"/>
      <c r="I202" s="540"/>
      <c r="J202" s="540"/>
      <c r="K202" s="540"/>
    </row>
    <row r="203" spans="1:11" s="543" customFormat="1">
      <c r="A203" s="538"/>
      <c r="B203" s="562"/>
      <c r="C203" s="563"/>
      <c r="D203" s="539"/>
      <c r="E203" s="539"/>
      <c r="F203" s="564"/>
      <c r="G203" s="565"/>
      <c r="H203" s="540"/>
      <c r="I203" s="540"/>
      <c r="J203" s="540"/>
      <c r="K203" s="540"/>
    </row>
    <row r="204" spans="1:11" s="543" customFormat="1">
      <c r="A204" s="538"/>
      <c r="B204" s="562"/>
      <c r="C204" s="563"/>
      <c r="D204" s="539"/>
      <c r="E204" s="539"/>
      <c r="F204" s="564"/>
      <c r="G204" s="565"/>
      <c r="H204" s="540"/>
      <c r="I204" s="540"/>
      <c r="J204" s="540"/>
      <c r="K204" s="540"/>
    </row>
    <row r="205" spans="1:11" s="543" customFormat="1">
      <c r="A205" s="538"/>
      <c r="B205" s="562"/>
      <c r="C205" s="563"/>
      <c r="D205" s="539"/>
      <c r="E205" s="539"/>
      <c r="F205" s="564"/>
      <c r="G205" s="565"/>
      <c r="H205" s="540"/>
      <c r="I205" s="540"/>
      <c r="J205" s="540"/>
      <c r="K205" s="540"/>
    </row>
    <row r="206" spans="1:11" s="543" customFormat="1">
      <c r="A206" s="538"/>
      <c r="B206" s="562"/>
      <c r="C206" s="563"/>
      <c r="D206" s="539"/>
      <c r="E206" s="539"/>
      <c r="F206" s="564"/>
      <c r="G206" s="565"/>
      <c r="H206" s="540"/>
      <c r="I206" s="540"/>
      <c r="J206" s="540"/>
      <c r="K206" s="540"/>
    </row>
    <row r="207" spans="1:11" s="543" customFormat="1">
      <c r="A207" s="538"/>
      <c r="B207" s="562"/>
      <c r="C207" s="563"/>
      <c r="D207" s="539"/>
      <c r="E207" s="539"/>
      <c r="F207" s="564"/>
      <c r="G207" s="565"/>
      <c r="H207" s="540"/>
      <c r="I207" s="540"/>
      <c r="J207" s="540"/>
      <c r="K207" s="540"/>
    </row>
    <row r="208" spans="1:11" s="543" customFormat="1">
      <c r="A208" s="538"/>
      <c r="B208" s="562"/>
      <c r="C208" s="563"/>
      <c r="D208" s="539"/>
      <c r="E208" s="539"/>
      <c r="F208" s="564"/>
      <c r="G208" s="565"/>
      <c r="H208" s="540"/>
      <c r="I208" s="540"/>
      <c r="J208" s="540"/>
      <c r="K208" s="540"/>
    </row>
    <row r="209" spans="1:23" s="543" customFormat="1">
      <c r="A209" s="538"/>
      <c r="B209" s="562"/>
      <c r="C209" s="563"/>
      <c r="D209" s="539"/>
      <c r="E209" s="539"/>
      <c r="F209" s="564"/>
      <c r="G209" s="565"/>
      <c r="H209" s="540"/>
      <c r="I209" s="540"/>
      <c r="J209" s="540"/>
      <c r="K209" s="540"/>
    </row>
    <row r="210" spans="1:23" s="543" customFormat="1">
      <c r="A210" s="538"/>
      <c r="B210" s="571"/>
      <c r="C210" s="572"/>
      <c r="D210" s="542"/>
      <c r="E210" s="542"/>
      <c r="F210" s="573"/>
      <c r="G210" s="574"/>
      <c r="H210" s="540"/>
      <c r="I210" s="540"/>
      <c r="J210" s="540"/>
      <c r="K210" s="540"/>
    </row>
    <row r="211" spans="1:23" s="543" customFormat="1">
      <c r="A211" s="538"/>
      <c r="B211" s="562"/>
      <c r="C211" s="563"/>
      <c r="D211" s="539"/>
      <c r="E211" s="539"/>
      <c r="F211" s="564"/>
      <c r="G211" s="565"/>
      <c r="H211" s="540"/>
      <c r="I211" s="540"/>
      <c r="J211" s="540"/>
      <c r="K211" s="540"/>
    </row>
    <row r="212" spans="1:23" s="543" customFormat="1">
      <c r="A212" s="538"/>
      <c r="B212" s="571"/>
      <c r="C212" s="572"/>
      <c r="D212" s="542"/>
      <c r="E212" s="542"/>
      <c r="F212" s="573"/>
      <c r="G212" s="574"/>
      <c r="H212" s="540"/>
      <c r="I212" s="540"/>
      <c r="J212" s="540"/>
      <c r="K212" s="540"/>
    </row>
    <row r="213" spans="1:23" s="543" customFormat="1">
      <c r="A213" s="538"/>
      <c r="B213" s="562"/>
      <c r="C213" s="563"/>
      <c r="D213" s="539"/>
      <c r="E213" s="539"/>
      <c r="F213" s="564"/>
      <c r="G213" s="565"/>
      <c r="H213" s="540"/>
      <c r="I213" s="540"/>
      <c r="J213" s="540"/>
      <c r="K213" s="540"/>
    </row>
    <row r="214" spans="1:23" s="543" customFormat="1">
      <c r="A214" s="538"/>
      <c r="B214" s="571"/>
      <c r="C214" s="572"/>
      <c r="D214" s="542"/>
      <c r="E214" s="542"/>
      <c r="F214" s="573"/>
      <c r="G214" s="574"/>
      <c r="H214" s="540"/>
      <c r="I214" s="540"/>
      <c r="J214" s="540"/>
      <c r="K214" s="540"/>
    </row>
    <row r="215" spans="1:23" s="543" customFormat="1">
      <c r="A215" s="538"/>
      <c r="B215" s="562"/>
      <c r="C215" s="563"/>
      <c r="D215" s="539"/>
      <c r="E215" s="539"/>
      <c r="F215" s="564"/>
      <c r="G215" s="565"/>
      <c r="H215" s="540"/>
      <c r="I215" s="540"/>
      <c r="J215" s="540"/>
      <c r="K215" s="540"/>
    </row>
    <row r="216" spans="1:23" s="543" customFormat="1">
      <c r="A216" s="538"/>
      <c r="B216" s="571"/>
      <c r="C216" s="572"/>
      <c r="D216" s="542"/>
      <c r="E216" s="542"/>
      <c r="F216" s="573"/>
      <c r="G216" s="574"/>
      <c r="H216" s="540"/>
      <c r="I216" s="540"/>
      <c r="J216" s="540"/>
      <c r="K216" s="540"/>
    </row>
    <row r="217" spans="1:23" s="543" customFormat="1">
      <c r="A217" s="538"/>
      <c r="B217" s="562"/>
      <c r="C217" s="563"/>
      <c r="D217" s="539"/>
      <c r="E217" s="539"/>
      <c r="F217" s="564"/>
      <c r="G217" s="565"/>
      <c r="H217" s="540"/>
      <c r="I217" s="540"/>
      <c r="J217" s="540"/>
      <c r="K217" s="540"/>
    </row>
    <row r="218" spans="1:23" s="543" customFormat="1">
      <c r="A218" s="538"/>
      <c r="B218" s="571"/>
      <c r="C218" s="572"/>
      <c r="D218" s="542"/>
      <c r="E218" s="542"/>
      <c r="F218" s="573"/>
      <c r="G218" s="574"/>
      <c r="H218" s="540"/>
      <c r="I218" s="540"/>
      <c r="J218" s="540"/>
      <c r="K218" s="540"/>
    </row>
    <row r="219" spans="1:23" s="543" customFormat="1">
      <c r="A219" s="538"/>
      <c r="B219" s="562"/>
      <c r="C219" s="563"/>
      <c r="D219" s="539"/>
      <c r="E219" s="539"/>
      <c r="F219" s="564"/>
      <c r="G219" s="565"/>
      <c r="H219" s="540"/>
      <c r="I219" s="540"/>
      <c r="J219" s="540"/>
      <c r="K219" s="540"/>
    </row>
    <row r="220" spans="1:23" s="543" customFormat="1">
      <c r="A220" s="538"/>
      <c r="B220" s="562"/>
      <c r="C220" s="563"/>
      <c r="D220" s="539"/>
      <c r="E220" s="539"/>
      <c r="F220" s="564"/>
      <c r="G220" s="565"/>
      <c r="H220" s="540"/>
      <c r="I220" s="540"/>
      <c r="J220" s="540"/>
      <c r="K220" s="540"/>
      <c r="U220" s="535"/>
      <c r="W220" s="535"/>
    </row>
    <row r="221" spans="1:23" s="543" customFormat="1">
      <c r="A221" s="538"/>
      <c r="B221" s="562"/>
      <c r="C221" s="563"/>
      <c r="D221" s="539"/>
      <c r="E221" s="539"/>
      <c r="F221" s="564"/>
      <c r="G221" s="565"/>
      <c r="H221" s="540"/>
      <c r="I221" s="540"/>
      <c r="J221" s="540"/>
      <c r="K221" s="540"/>
      <c r="U221" s="535"/>
      <c r="W221" s="535"/>
    </row>
    <row r="222" spans="1:23" s="543" customFormat="1">
      <c r="A222" s="538"/>
      <c r="B222" s="562"/>
      <c r="C222" s="563"/>
      <c r="D222" s="539"/>
      <c r="E222" s="539"/>
      <c r="F222" s="564"/>
      <c r="G222" s="565"/>
      <c r="H222" s="540"/>
      <c r="I222" s="540"/>
      <c r="J222" s="540"/>
      <c r="K222" s="540"/>
      <c r="U222" s="535"/>
      <c r="W222" s="535"/>
    </row>
    <row r="223" spans="1:23" s="543" customFormat="1">
      <c r="A223" s="538"/>
      <c r="B223" s="562"/>
      <c r="C223" s="563"/>
      <c r="D223" s="539"/>
      <c r="E223" s="539"/>
      <c r="F223" s="564"/>
      <c r="G223" s="565"/>
      <c r="H223" s="540"/>
      <c r="I223" s="540"/>
      <c r="J223" s="540"/>
      <c r="K223" s="540"/>
      <c r="U223" s="535"/>
      <c r="W223" s="535"/>
    </row>
    <row r="224" spans="1:23">
      <c r="A224" s="544"/>
      <c r="B224" s="577"/>
      <c r="C224" s="578"/>
      <c r="D224" s="545"/>
      <c r="E224" s="545"/>
      <c r="F224" s="579"/>
      <c r="G224" s="580"/>
      <c r="H224" s="546"/>
      <c r="I224" s="546"/>
      <c r="J224" s="546"/>
      <c r="K224" s="546"/>
    </row>
    <row r="225" spans="1:23">
      <c r="A225" s="547" t="s">
        <v>148</v>
      </c>
      <c r="B225" s="581"/>
      <c r="C225" s="582"/>
      <c r="D225" s="583"/>
      <c r="E225" s="583"/>
      <c r="F225" s="584" t="s">
        <v>246</v>
      </c>
      <c r="G225" s="585"/>
      <c r="H225" s="586" t="s">
        <v>219</v>
      </c>
      <c r="I225" s="548">
        <f>SUM(I171:I224)</f>
        <v>0</v>
      </c>
      <c r="J225" s="586"/>
      <c r="K225" s="548">
        <f>SUM(K171:K224)</f>
        <v>0</v>
      </c>
    </row>
    <row r="226" spans="1:23">
      <c r="A226" s="533" t="s">
        <v>143</v>
      </c>
      <c r="B226" s="554" t="s">
        <v>198</v>
      </c>
      <c r="C226" s="1496" t="s">
        <v>199</v>
      </c>
      <c r="D226" s="1497"/>
      <c r="E226" s="1497"/>
      <c r="F226" s="1498"/>
      <c r="G226" s="555" t="s">
        <v>200</v>
      </c>
      <c r="H226" s="534" t="s">
        <v>201</v>
      </c>
      <c r="I226" s="534" t="s">
        <v>156</v>
      </c>
      <c r="J226" s="590" t="s">
        <v>286</v>
      </c>
      <c r="K226" s="590" t="s">
        <v>288</v>
      </c>
    </row>
    <row r="227" spans="1:23">
      <c r="A227" s="278"/>
      <c r="B227" s="557"/>
      <c r="C227" s="558" t="s">
        <v>186</v>
      </c>
      <c r="D227" s="559" t="s">
        <v>182</v>
      </c>
      <c r="E227" s="559" t="s">
        <v>187</v>
      </c>
      <c r="F227" s="560" t="s">
        <v>188</v>
      </c>
      <c r="G227" s="561"/>
      <c r="H227" s="536" t="s">
        <v>247</v>
      </c>
      <c r="I227" s="536" t="s">
        <v>247</v>
      </c>
      <c r="J227" s="591" t="s">
        <v>287</v>
      </c>
      <c r="K227" s="591" t="s">
        <v>287</v>
      </c>
    </row>
    <row r="228" spans="1:23">
      <c r="A228" s="538"/>
      <c r="B228" s="562"/>
      <c r="C228" s="563"/>
      <c r="D228" s="539"/>
      <c r="E228" s="539"/>
      <c r="F228" s="564"/>
      <c r="G228" s="565"/>
      <c r="H228" s="540"/>
      <c r="I228" s="540"/>
      <c r="J228" s="540"/>
      <c r="K228" s="540"/>
    </row>
    <row r="229" spans="1:23">
      <c r="A229" s="538"/>
      <c r="B229" s="562"/>
      <c r="C229" s="563"/>
      <c r="D229" s="539"/>
      <c r="E229" s="539"/>
      <c r="F229" s="564"/>
      <c r="G229" s="565"/>
      <c r="H229" s="540"/>
      <c r="I229" s="540"/>
      <c r="J229" s="540"/>
      <c r="K229" s="540"/>
    </row>
    <row r="230" spans="1:23">
      <c r="A230" s="538"/>
      <c r="B230" s="567"/>
      <c r="C230" s="568"/>
      <c r="D230" s="569"/>
      <c r="E230" s="569"/>
      <c r="F230" s="570"/>
      <c r="G230" s="565"/>
      <c r="H230" s="540"/>
      <c r="I230" s="540"/>
      <c r="J230" s="540"/>
      <c r="K230" s="540"/>
    </row>
    <row r="231" spans="1:23" s="543" customFormat="1">
      <c r="A231" s="538"/>
      <c r="B231" s="562"/>
      <c r="C231" s="563"/>
      <c r="D231" s="539"/>
      <c r="E231" s="539"/>
      <c r="F231" s="564"/>
      <c r="G231" s="565"/>
      <c r="H231" s="540"/>
      <c r="I231" s="540"/>
      <c r="J231" s="540"/>
      <c r="K231" s="540"/>
    </row>
    <row r="232" spans="1:23" s="543" customFormat="1">
      <c r="A232" s="538"/>
      <c r="B232" s="571"/>
      <c r="C232" s="572"/>
      <c r="D232" s="542"/>
      <c r="E232" s="542"/>
      <c r="F232" s="573"/>
      <c r="G232" s="574"/>
      <c r="H232" s="540"/>
      <c r="I232" s="540"/>
      <c r="J232" s="540"/>
      <c r="K232" s="540"/>
    </row>
    <row r="233" spans="1:23" s="543" customFormat="1">
      <c r="A233" s="538"/>
      <c r="B233" s="562"/>
      <c r="C233" s="563"/>
      <c r="D233" s="539"/>
      <c r="E233" s="539"/>
      <c r="F233" s="564"/>
      <c r="G233" s="565"/>
      <c r="H233" s="540"/>
      <c r="I233" s="540"/>
      <c r="J233" s="540"/>
      <c r="K233" s="540"/>
    </row>
    <row r="234" spans="1:23" s="543" customFormat="1">
      <c r="A234" s="538"/>
      <c r="B234" s="571"/>
      <c r="C234" s="572"/>
      <c r="D234" s="542"/>
      <c r="E234" s="542"/>
      <c r="F234" s="573"/>
      <c r="G234" s="574"/>
      <c r="H234" s="540"/>
      <c r="I234" s="540"/>
      <c r="J234" s="540"/>
      <c r="K234" s="540"/>
    </row>
    <row r="235" spans="1:23" s="543" customFormat="1">
      <c r="A235" s="538"/>
      <c r="B235" s="562"/>
      <c r="C235" s="563"/>
      <c r="D235" s="539"/>
      <c r="E235" s="539"/>
      <c r="F235" s="564"/>
      <c r="G235" s="565"/>
      <c r="H235" s="540"/>
      <c r="I235" s="540"/>
      <c r="J235" s="540"/>
      <c r="K235" s="540"/>
    </row>
    <row r="236" spans="1:23" s="543" customFormat="1">
      <c r="A236" s="538"/>
      <c r="B236" s="571"/>
      <c r="C236" s="572"/>
      <c r="D236" s="542"/>
      <c r="E236" s="542"/>
      <c r="F236" s="573"/>
      <c r="G236" s="574"/>
      <c r="H236" s="540"/>
      <c r="I236" s="540"/>
      <c r="J236" s="540"/>
      <c r="K236" s="540"/>
      <c r="U236" s="535"/>
      <c r="W236" s="535"/>
    </row>
    <row r="237" spans="1:23" s="543" customFormat="1">
      <c r="A237" s="538"/>
      <c r="B237" s="562"/>
      <c r="C237" s="563"/>
      <c r="D237" s="539"/>
      <c r="E237" s="539"/>
      <c r="F237" s="564"/>
      <c r="G237" s="565"/>
      <c r="H237" s="540"/>
      <c r="I237" s="540"/>
      <c r="J237" s="540"/>
      <c r="K237" s="540"/>
      <c r="U237" s="535"/>
      <c r="W237" s="535"/>
    </row>
    <row r="238" spans="1:23" s="543" customFormat="1">
      <c r="A238" s="538"/>
      <c r="B238" s="571"/>
      <c r="C238" s="572"/>
      <c r="D238" s="542"/>
      <c r="E238" s="542"/>
      <c r="F238" s="573"/>
      <c r="G238" s="574"/>
      <c r="H238" s="540"/>
      <c r="I238" s="540"/>
      <c r="J238" s="540"/>
      <c r="K238" s="540"/>
      <c r="U238" s="535"/>
      <c r="W238" s="535"/>
    </row>
    <row r="239" spans="1:23" s="543" customFormat="1">
      <c r="A239" s="538"/>
      <c r="B239" s="562"/>
      <c r="C239" s="563"/>
      <c r="D239" s="539"/>
      <c r="E239" s="539"/>
      <c r="F239" s="564"/>
      <c r="G239" s="565"/>
      <c r="H239" s="540"/>
      <c r="I239" s="540"/>
      <c r="J239" s="540"/>
      <c r="K239" s="540"/>
      <c r="U239" s="535"/>
      <c r="W239" s="535"/>
    </row>
    <row r="240" spans="1:23">
      <c r="A240" s="538"/>
      <c r="B240" s="571"/>
      <c r="C240" s="572"/>
      <c r="D240" s="542"/>
      <c r="E240" s="542"/>
      <c r="F240" s="573"/>
      <c r="G240" s="574"/>
      <c r="H240" s="540"/>
      <c r="I240" s="540"/>
      <c r="J240" s="540"/>
      <c r="K240" s="540"/>
    </row>
    <row r="241" spans="1:11">
      <c r="A241" s="538"/>
      <c r="B241" s="562"/>
      <c r="C241" s="563"/>
      <c r="D241" s="539"/>
      <c r="E241" s="539"/>
      <c r="F241" s="564"/>
      <c r="G241" s="565"/>
      <c r="H241" s="540"/>
      <c r="I241" s="540"/>
      <c r="J241" s="540"/>
      <c r="K241" s="540"/>
    </row>
    <row r="242" spans="1:11">
      <c r="A242" s="538"/>
      <c r="B242" s="571"/>
      <c r="C242" s="572"/>
      <c r="D242" s="542"/>
      <c r="E242" s="542"/>
      <c r="F242" s="573"/>
      <c r="G242" s="574"/>
      <c r="H242" s="540"/>
      <c r="I242" s="540"/>
      <c r="J242" s="540"/>
      <c r="K242" s="540"/>
    </row>
    <row r="243" spans="1:11">
      <c r="A243" s="538"/>
      <c r="B243" s="562"/>
      <c r="C243" s="563"/>
      <c r="D243" s="539"/>
      <c r="E243" s="539"/>
      <c r="F243" s="564"/>
      <c r="G243" s="565"/>
      <c r="H243" s="540"/>
      <c r="I243" s="540"/>
      <c r="J243" s="540"/>
      <c r="K243" s="540"/>
    </row>
    <row r="244" spans="1:11">
      <c r="A244" s="538"/>
      <c r="B244" s="571"/>
      <c r="C244" s="572"/>
      <c r="D244" s="542"/>
      <c r="E244" s="542"/>
      <c r="F244" s="573"/>
      <c r="G244" s="574"/>
      <c r="H244" s="540"/>
      <c r="I244" s="540"/>
      <c r="J244" s="540"/>
      <c r="K244" s="540"/>
    </row>
    <row r="245" spans="1:11">
      <c r="A245" s="538"/>
      <c r="B245" s="562"/>
      <c r="C245" s="563"/>
      <c r="D245" s="539"/>
      <c r="E245" s="539"/>
      <c r="F245" s="564"/>
      <c r="G245" s="565"/>
      <c r="H245" s="540"/>
      <c r="I245" s="540"/>
      <c r="J245" s="540"/>
      <c r="K245" s="540"/>
    </row>
    <row r="246" spans="1:11">
      <c r="A246" s="538"/>
      <c r="B246" s="571"/>
      <c r="C246" s="572"/>
      <c r="D246" s="542"/>
      <c r="E246" s="542"/>
      <c r="F246" s="573"/>
      <c r="G246" s="574"/>
      <c r="H246" s="540"/>
      <c r="I246" s="540"/>
      <c r="J246" s="540"/>
      <c r="K246" s="540"/>
    </row>
    <row r="247" spans="1:11">
      <c r="A247" s="538"/>
      <c r="B247" s="562"/>
      <c r="C247" s="563"/>
      <c r="D247" s="539"/>
      <c r="E247" s="539"/>
      <c r="F247" s="564"/>
      <c r="G247" s="565"/>
      <c r="H247" s="540"/>
      <c r="I247" s="540"/>
      <c r="J247" s="540"/>
      <c r="K247" s="540"/>
    </row>
    <row r="248" spans="1:11">
      <c r="A248" s="538"/>
      <c r="B248" s="571"/>
      <c r="C248" s="572"/>
      <c r="D248" s="542"/>
      <c r="E248" s="542"/>
      <c r="F248" s="573"/>
      <c r="G248" s="574"/>
      <c r="H248" s="540"/>
      <c r="I248" s="540"/>
      <c r="J248" s="540"/>
      <c r="K248" s="540"/>
    </row>
    <row r="249" spans="1:11">
      <c r="A249" s="538"/>
      <c r="B249" s="562"/>
      <c r="C249" s="563"/>
      <c r="D249" s="539"/>
      <c r="E249" s="539"/>
      <c r="F249" s="564"/>
      <c r="G249" s="565"/>
      <c r="H249" s="540"/>
      <c r="I249" s="540"/>
      <c r="J249" s="540"/>
      <c r="K249" s="540"/>
    </row>
    <row r="250" spans="1:11">
      <c r="A250" s="538"/>
      <c r="B250" s="571"/>
      <c r="C250" s="572"/>
      <c r="D250" s="542"/>
      <c r="E250" s="542"/>
      <c r="F250" s="573"/>
      <c r="G250" s="574"/>
      <c r="H250" s="540"/>
      <c r="I250" s="540"/>
      <c r="J250" s="540"/>
      <c r="K250" s="540"/>
    </row>
    <row r="251" spans="1:11">
      <c r="A251" s="538"/>
      <c r="B251" s="562"/>
      <c r="C251" s="563"/>
      <c r="D251" s="539"/>
      <c r="E251" s="539"/>
      <c r="F251" s="564"/>
      <c r="G251" s="565"/>
      <c r="H251" s="540"/>
      <c r="I251" s="540"/>
      <c r="J251" s="540"/>
      <c r="K251" s="540"/>
    </row>
    <row r="252" spans="1:11">
      <c r="A252" s="538"/>
      <c r="B252" s="571"/>
      <c r="C252" s="572"/>
      <c r="D252" s="542"/>
      <c r="E252" s="542"/>
      <c r="F252" s="573"/>
      <c r="G252" s="574"/>
      <c r="H252" s="540"/>
      <c r="I252" s="540"/>
      <c r="J252" s="540"/>
      <c r="K252" s="540"/>
    </row>
    <row r="253" spans="1:11">
      <c r="A253" s="538"/>
      <c r="B253" s="562"/>
      <c r="C253" s="563"/>
      <c r="D253" s="539"/>
      <c r="E253" s="539"/>
      <c r="F253" s="564"/>
      <c r="G253" s="565"/>
      <c r="H253" s="540"/>
      <c r="I253" s="540"/>
      <c r="J253" s="540"/>
      <c r="K253" s="540"/>
    </row>
    <row r="254" spans="1:11">
      <c r="A254" s="538"/>
      <c r="B254" s="562"/>
      <c r="C254" s="563"/>
      <c r="D254" s="539"/>
      <c r="E254" s="539"/>
      <c r="F254" s="564"/>
      <c r="G254" s="565"/>
      <c r="H254" s="540"/>
      <c r="I254" s="540"/>
      <c r="J254" s="540"/>
      <c r="K254" s="540"/>
    </row>
    <row r="255" spans="1:11">
      <c r="A255" s="538"/>
      <c r="B255" s="562"/>
      <c r="C255" s="563"/>
      <c r="D255" s="539"/>
      <c r="E255" s="539"/>
      <c r="F255" s="564"/>
      <c r="G255" s="565"/>
      <c r="H255" s="540"/>
      <c r="I255" s="540"/>
      <c r="J255" s="540"/>
      <c r="K255" s="540"/>
    </row>
    <row r="256" spans="1:11">
      <c r="A256" s="538"/>
      <c r="B256" s="562"/>
      <c r="C256" s="563"/>
      <c r="D256" s="539"/>
      <c r="E256" s="539"/>
      <c r="F256" s="564"/>
      <c r="G256" s="565"/>
      <c r="H256" s="540"/>
      <c r="I256" s="540"/>
      <c r="J256" s="540"/>
      <c r="K256" s="540"/>
    </row>
    <row r="257" spans="1:11">
      <c r="A257" s="538"/>
      <c r="B257" s="562"/>
      <c r="C257" s="563"/>
      <c r="D257" s="539"/>
      <c r="E257" s="539"/>
      <c r="F257" s="564"/>
      <c r="G257" s="565"/>
      <c r="H257" s="540"/>
      <c r="I257" s="540"/>
      <c r="J257" s="540"/>
      <c r="K257" s="540"/>
    </row>
    <row r="258" spans="1:11">
      <c r="A258" s="538"/>
      <c r="B258" s="562"/>
      <c r="C258" s="563"/>
      <c r="D258" s="539"/>
      <c r="E258" s="539"/>
      <c r="F258" s="564"/>
      <c r="G258" s="565"/>
      <c r="H258" s="540"/>
      <c r="I258" s="540"/>
      <c r="J258" s="540"/>
      <c r="K258" s="540"/>
    </row>
    <row r="259" spans="1:11">
      <c r="A259" s="538"/>
      <c r="B259" s="562"/>
      <c r="C259" s="563"/>
      <c r="D259" s="539"/>
      <c r="E259" s="539"/>
      <c r="F259" s="564"/>
      <c r="G259" s="565"/>
      <c r="H259" s="540"/>
      <c r="I259" s="540"/>
      <c r="J259" s="540"/>
      <c r="K259" s="540"/>
    </row>
    <row r="260" spans="1:11">
      <c r="A260" s="538"/>
      <c r="B260" s="562"/>
      <c r="C260" s="563"/>
      <c r="D260" s="539"/>
      <c r="E260" s="539"/>
      <c r="F260" s="564"/>
      <c r="G260" s="565"/>
      <c r="H260" s="540"/>
      <c r="I260" s="540"/>
      <c r="J260" s="540"/>
      <c r="K260" s="540"/>
    </row>
    <row r="261" spans="1:11">
      <c r="A261" s="538"/>
      <c r="B261" s="562"/>
      <c r="C261" s="563"/>
      <c r="D261" s="539"/>
      <c r="E261" s="539"/>
      <c r="F261" s="564"/>
      <c r="G261" s="565"/>
      <c r="H261" s="540"/>
      <c r="I261" s="540"/>
      <c r="J261" s="540"/>
      <c r="K261" s="540"/>
    </row>
    <row r="262" spans="1:11">
      <c r="A262" s="538"/>
      <c r="B262" s="562"/>
      <c r="C262" s="563"/>
      <c r="D262" s="539"/>
      <c r="E262" s="539"/>
      <c r="F262" s="564"/>
      <c r="G262" s="565"/>
      <c r="H262" s="540"/>
      <c r="I262" s="540"/>
      <c r="J262" s="540"/>
      <c r="K262" s="540"/>
    </row>
    <row r="263" spans="1:11">
      <c r="A263" s="538"/>
      <c r="B263" s="562"/>
      <c r="C263" s="563"/>
      <c r="D263" s="539"/>
      <c r="E263" s="539"/>
      <c r="F263" s="564"/>
      <c r="G263" s="565"/>
      <c r="H263" s="540"/>
      <c r="I263" s="540"/>
      <c r="J263" s="540"/>
      <c r="K263" s="540"/>
    </row>
    <row r="264" spans="1:11">
      <c r="A264" s="538"/>
      <c r="B264" s="562"/>
      <c r="C264" s="563"/>
      <c r="D264" s="539"/>
      <c r="E264" s="539"/>
      <c r="F264" s="564"/>
      <c r="G264" s="565"/>
      <c r="H264" s="540"/>
      <c r="I264" s="540"/>
      <c r="J264" s="540"/>
      <c r="K264" s="540"/>
    </row>
    <row r="265" spans="1:11">
      <c r="A265" s="538"/>
      <c r="B265" s="562"/>
      <c r="C265" s="563"/>
      <c r="D265" s="539"/>
      <c r="E265" s="539"/>
      <c r="F265" s="564"/>
      <c r="G265" s="565"/>
      <c r="H265" s="540"/>
      <c r="I265" s="540"/>
      <c r="J265" s="540"/>
      <c r="K265" s="540"/>
    </row>
    <row r="266" spans="1:11">
      <c r="A266" s="538"/>
      <c r="B266" s="562"/>
      <c r="C266" s="563"/>
      <c r="D266" s="539"/>
      <c r="E266" s="539"/>
      <c r="F266" s="564"/>
      <c r="G266" s="565"/>
      <c r="H266" s="540"/>
      <c r="I266" s="540"/>
      <c r="J266" s="540"/>
      <c r="K266" s="540"/>
    </row>
    <row r="267" spans="1:11">
      <c r="A267" s="538"/>
      <c r="B267" s="571"/>
      <c r="C267" s="572"/>
      <c r="D267" s="542"/>
      <c r="E267" s="542"/>
      <c r="F267" s="573"/>
      <c r="G267" s="574"/>
      <c r="H267" s="540"/>
      <c r="I267" s="540"/>
      <c r="J267" s="540"/>
      <c r="K267" s="540"/>
    </row>
    <row r="268" spans="1:11">
      <c r="A268" s="538"/>
      <c r="B268" s="562"/>
      <c r="C268" s="563"/>
      <c r="D268" s="539"/>
      <c r="E268" s="539"/>
      <c r="F268" s="564"/>
      <c r="G268" s="565"/>
      <c r="H268" s="540"/>
      <c r="I268" s="540"/>
      <c r="J268" s="540"/>
      <c r="K268" s="540"/>
    </row>
    <row r="269" spans="1:11">
      <c r="A269" s="538"/>
      <c r="B269" s="571"/>
      <c r="C269" s="572"/>
      <c r="D269" s="542"/>
      <c r="E269" s="542"/>
      <c r="F269" s="573"/>
      <c r="G269" s="574"/>
      <c r="H269" s="540"/>
      <c r="I269" s="540"/>
      <c r="J269" s="540"/>
      <c r="K269" s="540"/>
    </row>
    <row r="270" spans="1:11">
      <c r="A270" s="538"/>
      <c r="B270" s="562"/>
      <c r="C270" s="563"/>
      <c r="D270" s="539"/>
      <c r="E270" s="539"/>
      <c r="F270" s="564"/>
      <c r="G270" s="565"/>
      <c r="H270" s="540"/>
      <c r="I270" s="540"/>
      <c r="J270" s="540"/>
      <c r="K270" s="540"/>
    </row>
    <row r="271" spans="1:11">
      <c r="A271" s="538"/>
      <c r="B271" s="571"/>
      <c r="C271" s="572"/>
      <c r="D271" s="542"/>
      <c r="E271" s="542"/>
      <c r="F271" s="573"/>
      <c r="G271" s="574"/>
      <c r="H271" s="540"/>
      <c r="I271" s="540"/>
      <c r="J271" s="540"/>
      <c r="K271" s="540"/>
    </row>
    <row r="272" spans="1:11">
      <c r="A272" s="538"/>
      <c r="B272" s="562"/>
      <c r="C272" s="563"/>
      <c r="D272" s="539"/>
      <c r="E272" s="539"/>
      <c r="F272" s="564"/>
      <c r="G272" s="565"/>
      <c r="H272" s="540"/>
      <c r="I272" s="540"/>
      <c r="J272" s="540"/>
      <c r="K272" s="540"/>
    </row>
    <row r="273" spans="1:11">
      <c r="A273" s="538"/>
      <c r="B273" s="571"/>
      <c r="C273" s="572"/>
      <c r="D273" s="542"/>
      <c r="E273" s="542"/>
      <c r="F273" s="573"/>
      <c r="G273" s="574"/>
      <c r="H273" s="540"/>
      <c r="I273" s="540"/>
      <c r="J273" s="540"/>
      <c r="K273" s="540"/>
    </row>
    <row r="274" spans="1:11">
      <c r="A274" s="538"/>
      <c r="B274" s="562"/>
      <c r="C274" s="563"/>
      <c r="D274" s="539"/>
      <c r="E274" s="539"/>
      <c r="F274" s="564"/>
      <c r="G274" s="565"/>
      <c r="H274" s="540"/>
      <c r="I274" s="540"/>
      <c r="J274" s="540"/>
      <c r="K274" s="540"/>
    </row>
    <row r="275" spans="1:11">
      <c r="A275" s="538"/>
      <c r="B275" s="571"/>
      <c r="C275" s="572"/>
      <c r="D275" s="542"/>
      <c r="E275" s="542"/>
      <c r="F275" s="573"/>
      <c r="G275" s="574"/>
      <c r="H275" s="540"/>
      <c r="I275" s="540"/>
      <c r="J275" s="540"/>
      <c r="K275" s="540"/>
    </row>
    <row r="276" spans="1:11">
      <c r="A276" s="538"/>
      <c r="B276" s="562"/>
      <c r="C276" s="563"/>
      <c r="D276" s="539"/>
      <c r="E276" s="539"/>
      <c r="F276" s="564"/>
      <c r="G276" s="565"/>
      <c r="H276" s="540"/>
      <c r="I276" s="540"/>
      <c r="J276" s="540"/>
      <c r="K276" s="540"/>
    </row>
    <row r="277" spans="1:11">
      <c r="A277" s="538"/>
      <c r="B277" s="562"/>
      <c r="C277" s="563"/>
      <c r="D277" s="539"/>
      <c r="E277" s="539"/>
      <c r="F277" s="564"/>
      <c r="G277" s="565"/>
      <c r="H277" s="540"/>
      <c r="I277" s="540"/>
      <c r="J277" s="540"/>
      <c r="K277" s="540"/>
    </row>
    <row r="278" spans="1:11">
      <c r="A278" s="538"/>
      <c r="B278" s="562"/>
      <c r="C278" s="563"/>
      <c r="D278" s="539"/>
      <c r="E278" s="539"/>
      <c r="F278" s="564"/>
      <c r="G278" s="565"/>
      <c r="H278" s="540"/>
      <c r="I278" s="540"/>
      <c r="J278" s="540"/>
      <c r="K278" s="540"/>
    </row>
    <row r="279" spans="1:11">
      <c r="A279" s="538"/>
      <c r="B279" s="562"/>
      <c r="C279" s="563"/>
      <c r="D279" s="539"/>
      <c r="E279" s="539"/>
      <c r="F279" s="564"/>
      <c r="G279" s="565"/>
      <c r="H279" s="540"/>
      <c r="I279" s="540"/>
      <c r="J279" s="540"/>
      <c r="K279" s="540"/>
    </row>
    <row r="280" spans="1:11">
      <c r="A280" s="538"/>
      <c r="B280" s="562"/>
      <c r="C280" s="563"/>
      <c r="D280" s="539"/>
      <c r="E280" s="539"/>
      <c r="F280" s="564"/>
      <c r="G280" s="565"/>
      <c r="H280" s="540"/>
      <c r="I280" s="540"/>
      <c r="J280" s="540"/>
      <c r="K280" s="540"/>
    </row>
    <row r="281" spans="1:11">
      <c r="A281" s="544"/>
      <c r="B281" s="577"/>
      <c r="C281" s="578"/>
      <c r="D281" s="545"/>
      <c r="E281" s="545"/>
      <c r="F281" s="579"/>
      <c r="G281" s="580"/>
      <c r="H281" s="546"/>
      <c r="I281" s="546"/>
      <c r="J281" s="546"/>
      <c r="K281" s="546"/>
    </row>
    <row r="282" spans="1:11">
      <c r="A282" s="547" t="s">
        <v>148</v>
      </c>
      <c r="B282" s="581"/>
      <c r="C282" s="582"/>
      <c r="D282" s="583"/>
      <c r="E282" s="583"/>
      <c r="F282" s="584" t="s">
        <v>246</v>
      </c>
      <c r="G282" s="585"/>
      <c r="H282" s="586" t="s">
        <v>219</v>
      </c>
      <c r="I282" s="548">
        <f>SUM(I228:I281)</f>
        <v>0</v>
      </c>
      <c r="J282" s="586"/>
      <c r="K282" s="548">
        <f>SUM(K228:K281)</f>
        <v>0</v>
      </c>
    </row>
    <row r="283" spans="1:11">
      <c r="A283" s="533" t="s">
        <v>143</v>
      </c>
      <c r="B283" s="554" t="s">
        <v>198</v>
      </c>
      <c r="C283" s="1496" t="s">
        <v>199</v>
      </c>
      <c r="D283" s="1497"/>
      <c r="E283" s="1497"/>
      <c r="F283" s="1498"/>
      <c r="G283" s="555" t="s">
        <v>200</v>
      </c>
      <c r="H283" s="534" t="s">
        <v>201</v>
      </c>
      <c r="I283" s="534" t="s">
        <v>156</v>
      </c>
      <c r="J283" s="590" t="s">
        <v>286</v>
      </c>
      <c r="K283" s="590" t="s">
        <v>288</v>
      </c>
    </row>
    <row r="284" spans="1:11">
      <c r="A284" s="278"/>
      <c r="B284" s="557"/>
      <c r="C284" s="558" t="s">
        <v>186</v>
      </c>
      <c r="D284" s="559" t="s">
        <v>182</v>
      </c>
      <c r="E284" s="559" t="s">
        <v>187</v>
      </c>
      <c r="F284" s="560" t="s">
        <v>188</v>
      </c>
      <c r="G284" s="561"/>
      <c r="H284" s="536" t="s">
        <v>247</v>
      </c>
      <c r="I284" s="536" t="s">
        <v>247</v>
      </c>
      <c r="J284" s="591" t="s">
        <v>287</v>
      </c>
      <c r="K284" s="591" t="s">
        <v>287</v>
      </c>
    </row>
    <row r="285" spans="1:11">
      <c r="A285" s="538"/>
      <c r="B285" s="562"/>
      <c r="C285" s="563"/>
      <c r="D285" s="539"/>
      <c r="E285" s="539"/>
      <c r="F285" s="564"/>
      <c r="G285" s="565"/>
      <c r="H285" s="540"/>
      <c r="I285" s="540"/>
      <c r="J285" s="540"/>
      <c r="K285" s="540"/>
    </row>
    <row r="286" spans="1:11">
      <c r="A286" s="538"/>
      <c r="B286" s="562"/>
      <c r="C286" s="563"/>
      <c r="D286" s="539"/>
      <c r="E286" s="539"/>
      <c r="F286" s="564"/>
      <c r="G286" s="565"/>
      <c r="H286" s="540"/>
      <c r="I286" s="540"/>
      <c r="J286" s="540"/>
      <c r="K286" s="540"/>
    </row>
    <row r="287" spans="1:11">
      <c r="A287" s="538"/>
      <c r="B287" s="567"/>
      <c r="C287" s="568"/>
      <c r="D287" s="569"/>
      <c r="E287" s="569"/>
      <c r="F287" s="570"/>
      <c r="G287" s="565"/>
      <c r="H287" s="540"/>
      <c r="I287" s="540"/>
      <c r="J287" s="540"/>
      <c r="K287" s="540"/>
    </row>
    <row r="288" spans="1:11">
      <c r="A288" s="538"/>
      <c r="B288" s="562"/>
      <c r="C288" s="563"/>
      <c r="D288" s="539"/>
      <c r="E288" s="539"/>
      <c r="F288" s="564"/>
      <c r="G288" s="565"/>
      <c r="H288" s="540"/>
      <c r="I288" s="540"/>
      <c r="J288" s="540"/>
      <c r="K288" s="540"/>
    </row>
    <row r="289" spans="1:11">
      <c r="A289" s="538"/>
      <c r="B289" s="571"/>
      <c r="C289" s="572"/>
      <c r="D289" s="542"/>
      <c r="E289" s="542"/>
      <c r="F289" s="573"/>
      <c r="G289" s="574"/>
      <c r="H289" s="540"/>
      <c r="I289" s="540"/>
      <c r="J289" s="540"/>
      <c r="K289" s="540"/>
    </row>
    <row r="290" spans="1:11">
      <c r="A290" s="538"/>
      <c r="B290" s="562"/>
      <c r="C290" s="563"/>
      <c r="D290" s="539"/>
      <c r="E290" s="539"/>
      <c r="F290" s="564"/>
      <c r="G290" s="565"/>
      <c r="H290" s="540"/>
      <c r="I290" s="540"/>
      <c r="J290" s="540"/>
      <c r="K290" s="540"/>
    </row>
    <row r="291" spans="1:11">
      <c r="A291" s="538"/>
      <c r="B291" s="571"/>
      <c r="C291" s="572"/>
      <c r="D291" s="542"/>
      <c r="E291" s="542"/>
      <c r="F291" s="573"/>
      <c r="G291" s="574"/>
      <c r="H291" s="540"/>
      <c r="I291" s="540"/>
      <c r="J291" s="540"/>
      <c r="K291" s="540"/>
    </row>
    <row r="292" spans="1:11">
      <c r="A292" s="538"/>
      <c r="B292" s="562"/>
      <c r="C292" s="563"/>
      <c r="D292" s="539"/>
      <c r="E292" s="539"/>
      <c r="F292" s="564"/>
      <c r="G292" s="565"/>
      <c r="H292" s="540"/>
      <c r="I292" s="540"/>
      <c r="J292" s="540"/>
      <c r="K292" s="540"/>
    </row>
    <row r="293" spans="1:11">
      <c r="A293" s="538"/>
      <c r="B293" s="571"/>
      <c r="C293" s="572"/>
      <c r="D293" s="542"/>
      <c r="E293" s="542"/>
      <c r="F293" s="573"/>
      <c r="G293" s="574"/>
      <c r="H293" s="540"/>
      <c r="I293" s="540"/>
      <c r="J293" s="540"/>
      <c r="K293" s="540"/>
    </row>
    <row r="294" spans="1:11">
      <c r="A294" s="538"/>
      <c r="B294" s="562"/>
      <c r="C294" s="563"/>
      <c r="D294" s="539"/>
      <c r="E294" s="539"/>
      <c r="F294" s="564"/>
      <c r="G294" s="565"/>
      <c r="H294" s="540"/>
      <c r="I294" s="540"/>
      <c r="J294" s="540"/>
      <c r="K294" s="540"/>
    </row>
    <row r="295" spans="1:11">
      <c r="A295" s="538"/>
      <c r="B295" s="571"/>
      <c r="C295" s="572"/>
      <c r="D295" s="542"/>
      <c r="E295" s="542"/>
      <c r="F295" s="573"/>
      <c r="G295" s="574"/>
      <c r="H295" s="540"/>
      <c r="I295" s="540"/>
      <c r="J295" s="540"/>
      <c r="K295" s="540"/>
    </row>
    <row r="296" spans="1:11">
      <c r="A296" s="538"/>
      <c r="B296" s="562"/>
      <c r="C296" s="563"/>
      <c r="D296" s="539"/>
      <c r="E296" s="539"/>
      <c r="F296" s="564"/>
      <c r="G296" s="565"/>
      <c r="H296" s="540"/>
      <c r="I296" s="540"/>
      <c r="J296" s="540"/>
      <c r="K296" s="540"/>
    </row>
    <row r="297" spans="1:11">
      <c r="A297" s="538"/>
      <c r="B297" s="571"/>
      <c r="C297" s="572"/>
      <c r="D297" s="542"/>
      <c r="E297" s="542"/>
      <c r="F297" s="573"/>
      <c r="G297" s="574"/>
      <c r="H297" s="540"/>
      <c r="I297" s="540"/>
      <c r="J297" s="540"/>
      <c r="K297" s="540"/>
    </row>
    <row r="298" spans="1:11">
      <c r="A298" s="538"/>
      <c r="B298" s="562"/>
      <c r="C298" s="563"/>
      <c r="D298" s="539"/>
      <c r="E298" s="539"/>
      <c r="F298" s="564"/>
      <c r="G298" s="565"/>
      <c r="H298" s="540"/>
      <c r="I298" s="540"/>
      <c r="J298" s="540"/>
      <c r="K298" s="540"/>
    </row>
    <row r="299" spans="1:11">
      <c r="A299" s="538"/>
      <c r="B299" s="571"/>
      <c r="C299" s="572"/>
      <c r="D299" s="542"/>
      <c r="E299" s="542"/>
      <c r="F299" s="573"/>
      <c r="G299" s="574"/>
      <c r="H299" s="540"/>
      <c r="I299" s="540"/>
      <c r="J299" s="540"/>
      <c r="K299" s="540"/>
    </row>
    <row r="300" spans="1:11">
      <c r="A300" s="538"/>
      <c r="B300" s="562"/>
      <c r="C300" s="563"/>
      <c r="D300" s="539"/>
      <c r="E300" s="539"/>
      <c r="F300" s="564"/>
      <c r="G300" s="565"/>
      <c r="H300" s="540"/>
      <c r="I300" s="540"/>
      <c r="J300" s="540"/>
      <c r="K300" s="540"/>
    </row>
    <row r="301" spans="1:11">
      <c r="A301" s="538"/>
      <c r="B301" s="571"/>
      <c r="C301" s="572"/>
      <c r="D301" s="542"/>
      <c r="E301" s="542"/>
      <c r="F301" s="573"/>
      <c r="G301" s="574"/>
      <c r="H301" s="540"/>
      <c r="I301" s="540"/>
      <c r="J301" s="540"/>
      <c r="K301" s="540"/>
    </row>
    <row r="302" spans="1:11">
      <c r="A302" s="538"/>
      <c r="B302" s="562"/>
      <c r="C302" s="563"/>
      <c r="D302" s="539"/>
      <c r="E302" s="539"/>
      <c r="F302" s="564"/>
      <c r="G302" s="565"/>
      <c r="H302" s="540"/>
      <c r="I302" s="540"/>
      <c r="J302" s="540"/>
      <c r="K302" s="540"/>
    </row>
    <row r="303" spans="1:11">
      <c r="A303" s="538"/>
      <c r="B303" s="571"/>
      <c r="C303" s="572"/>
      <c r="D303" s="542"/>
      <c r="E303" s="542"/>
      <c r="F303" s="573"/>
      <c r="G303" s="574"/>
      <c r="H303" s="540"/>
      <c r="I303" s="540"/>
      <c r="J303" s="540"/>
      <c r="K303" s="540"/>
    </row>
    <row r="304" spans="1:11">
      <c r="A304" s="538"/>
      <c r="B304" s="562"/>
      <c r="C304" s="563"/>
      <c r="D304" s="539"/>
      <c r="E304" s="539"/>
      <c r="F304" s="564"/>
      <c r="G304" s="565"/>
      <c r="H304" s="540"/>
      <c r="I304" s="540"/>
      <c r="J304" s="540"/>
      <c r="K304" s="540"/>
    </row>
    <row r="305" spans="1:11">
      <c r="A305" s="538"/>
      <c r="B305" s="571"/>
      <c r="C305" s="572"/>
      <c r="D305" s="542"/>
      <c r="E305" s="542"/>
      <c r="F305" s="573"/>
      <c r="G305" s="574"/>
      <c r="H305" s="540"/>
      <c r="I305" s="540"/>
      <c r="J305" s="540"/>
      <c r="K305" s="540"/>
    </row>
    <row r="306" spans="1:11">
      <c r="A306" s="538"/>
      <c r="B306" s="562"/>
      <c r="C306" s="563"/>
      <c r="D306" s="539"/>
      <c r="E306" s="539"/>
      <c r="F306" s="564"/>
      <c r="G306" s="565"/>
      <c r="H306" s="540"/>
      <c r="I306" s="540"/>
      <c r="J306" s="540"/>
      <c r="K306" s="540"/>
    </row>
    <row r="307" spans="1:11">
      <c r="A307" s="538"/>
      <c r="B307" s="562"/>
      <c r="C307" s="563"/>
      <c r="D307" s="539"/>
      <c r="E307" s="539"/>
      <c r="F307" s="564"/>
      <c r="G307" s="565"/>
      <c r="H307" s="540"/>
      <c r="I307" s="540"/>
      <c r="J307" s="540"/>
      <c r="K307" s="540"/>
    </row>
    <row r="308" spans="1:11">
      <c r="A308" s="538"/>
      <c r="B308" s="562"/>
      <c r="C308" s="563"/>
      <c r="D308" s="539"/>
      <c r="E308" s="539"/>
      <c r="F308" s="564"/>
      <c r="G308" s="565"/>
      <c r="H308" s="540"/>
      <c r="I308" s="540"/>
      <c r="J308" s="540"/>
      <c r="K308" s="540"/>
    </row>
    <row r="309" spans="1:11">
      <c r="A309" s="538"/>
      <c r="B309" s="562"/>
      <c r="C309" s="563"/>
      <c r="D309" s="539"/>
      <c r="E309" s="539"/>
      <c r="F309" s="564"/>
      <c r="G309" s="565"/>
      <c r="H309" s="540"/>
      <c r="I309" s="540"/>
      <c r="J309" s="540"/>
      <c r="K309" s="540"/>
    </row>
    <row r="310" spans="1:11">
      <c r="A310" s="538"/>
      <c r="B310" s="562"/>
      <c r="C310" s="563"/>
      <c r="D310" s="539"/>
      <c r="E310" s="539"/>
      <c r="F310" s="564"/>
      <c r="G310" s="565"/>
      <c r="H310" s="540"/>
      <c r="I310" s="540"/>
      <c r="J310" s="540"/>
      <c r="K310" s="540"/>
    </row>
    <row r="311" spans="1:11">
      <c r="A311" s="538"/>
      <c r="B311" s="562"/>
      <c r="C311" s="563"/>
      <c r="D311" s="539"/>
      <c r="E311" s="539"/>
      <c r="F311" s="564"/>
      <c r="G311" s="565"/>
      <c r="H311" s="540"/>
      <c r="I311" s="540"/>
      <c r="J311" s="540"/>
      <c r="K311" s="540"/>
    </row>
    <row r="312" spans="1:11">
      <c r="A312" s="538"/>
      <c r="B312" s="562"/>
      <c r="C312" s="563"/>
      <c r="D312" s="539"/>
      <c r="E312" s="539"/>
      <c r="F312" s="564"/>
      <c r="G312" s="565"/>
      <c r="H312" s="540"/>
      <c r="I312" s="540"/>
      <c r="J312" s="540"/>
      <c r="K312" s="540"/>
    </row>
    <row r="313" spans="1:11">
      <c r="A313" s="538"/>
      <c r="B313" s="562"/>
      <c r="C313" s="563"/>
      <c r="D313" s="539"/>
      <c r="E313" s="539"/>
      <c r="F313" s="564"/>
      <c r="G313" s="565"/>
      <c r="H313" s="540"/>
      <c r="I313" s="540"/>
      <c r="J313" s="540"/>
      <c r="K313" s="540"/>
    </row>
    <row r="314" spans="1:11">
      <c r="A314" s="538"/>
      <c r="B314" s="562"/>
      <c r="C314" s="563"/>
      <c r="D314" s="539"/>
      <c r="E314" s="539"/>
      <c r="F314" s="564"/>
      <c r="G314" s="565"/>
      <c r="H314" s="540"/>
      <c r="I314" s="540"/>
      <c r="J314" s="540"/>
      <c r="K314" s="540"/>
    </row>
    <row r="315" spans="1:11">
      <c r="A315" s="538"/>
      <c r="B315" s="562"/>
      <c r="C315" s="563"/>
      <c r="D315" s="539"/>
      <c r="E315" s="539"/>
      <c r="F315" s="564"/>
      <c r="G315" s="565"/>
      <c r="H315" s="540"/>
      <c r="I315" s="540"/>
      <c r="J315" s="540"/>
      <c r="K315" s="540"/>
    </row>
    <row r="316" spans="1:11">
      <c r="A316" s="538"/>
      <c r="B316" s="562"/>
      <c r="C316" s="563"/>
      <c r="D316" s="539"/>
      <c r="E316" s="539"/>
      <c r="F316" s="564"/>
      <c r="G316" s="565"/>
      <c r="H316" s="540"/>
      <c r="I316" s="540"/>
      <c r="J316" s="540"/>
      <c r="K316" s="540"/>
    </row>
    <row r="317" spans="1:11">
      <c r="A317" s="538"/>
      <c r="B317" s="562"/>
      <c r="C317" s="563"/>
      <c r="D317" s="539"/>
      <c r="E317" s="539"/>
      <c r="F317" s="564"/>
      <c r="G317" s="565"/>
      <c r="H317" s="540"/>
      <c r="I317" s="540"/>
      <c r="J317" s="540"/>
      <c r="K317" s="540"/>
    </row>
    <row r="318" spans="1:11">
      <c r="A318" s="538"/>
      <c r="B318" s="562"/>
      <c r="C318" s="563"/>
      <c r="D318" s="539"/>
      <c r="E318" s="539"/>
      <c r="F318" s="564"/>
      <c r="G318" s="565"/>
      <c r="H318" s="540"/>
      <c r="I318" s="540"/>
      <c r="J318" s="540"/>
      <c r="K318" s="540"/>
    </row>
    <row r="319" spans="1:11">
      <c r="A319" s="538"/>
      <c r="B319" s="562"/>
      <c r="C319" s="563"/>
      <c r="D319" s="539"/>
      <c r="E319" s="539"/>
      <c r="F319" s="564"/>
      <c r="G319" s="565"/>
      <c r="H319" s="540"/>
      <c r="I319" s="540"/>
      <c r="J319" s="540"/>
      <c r="K319" s="540"/>
    </row>
    <row r="320" spans="1:11">
      <c r="A320" s="538"/>
      <c r="B320" s="571"/>
      <c r="C320" s="572"/>
      <c r="D320" s="542"/>
      <c r="E320" s="542"/>
      <c r="F320" s="573"/>
      <c r="G320" s="574"/>
      <c r="H320" s="540"/>
      <c r="I320" s="540"/>
      <c r="J320" s="540"/>
      <c r="K320" s="540"/>
    </row>
    <row r="321" spans="1:11">
      <c r="A321" s="538"/>
      <c r="B321" s="562"/>
      <c r="C321" s="563"/>
      <c r="D321" s="539"/>
      <c r="E321" s="539"/>
      <c r="F321" s="564"/>
      <c r="G321" s="565"/>
      <c r="H321" s="540"/>
      <c r="I321" s="540"/>
      <c r="J321" s="540"/>
      <c r="K321" s="540"/>
    </row>
    <row r="322" spans="1:11">
      <c r="A322" s="538"/>
      <c r="B322" s="571"/>
      <c r="C322" s="572"/>
      <c r="D322" s="542"/>
      <c r="E322" s="542"/>
      <c r="F322" s="573"/>
      <c r="G322" s="574"/>
      <c r="H322" s="540"/>
      <c r="I322" s="540"/>
      <c r="J322" s="540"/>
      <c r="K322" s="540"/>
    </row>
    <row r="323" spans="1:11">
      <c r="A323" s="538"/>
      <c r="B323" s="562"/>
      <c r="C323" s="563"/>
      <c r="D323" s="539"/>
      <c r="E323" s="539"/>
      <c r="F323" s="564"/>
      <c r="G323" s="565"/>
      <c r="H323" s="540"/>
      <c r="I323" s="540"/>
      <c r="J323" s="540"/>
      <c r="K323" s="540"/>
    </row>
    <row r="324" spans="1:11">
      <c r="A324" s="538"/>
      <c r="B324" s="571"/>
      <c r="C324" s="572"/>
      <c r="D324" s="542"/>
      <c r="E324" s="542"/>
      <c r="F324" s="573"/>
      <c r="G324" s="574"/>
      <c r="H324" s="540"/>
      <c r="I324" s="540"/>
      <c r="J324" s="540"/>
      <c r="K324" s="540"/>
    </row>
    <row r="325" spans="1:11">
      <c r="A325" s="538"/>
      <c r="B325" s="562"/>
      <c r="C325" s="563"/>
      <c r="D325" s="539"/>
      <c r="E325" s="539"/>
      <c r="F325" s="564"/>
      <c r="G325" s="565"/>
      <c r="H325" s="540"/>
      <c r="I325" s="540"/>
      <c r="J325" s="540"/>
      <c r="K325" s="540"/>
    </row>
    <row r="326" spans="1:11">
      <c r="A326" s="538"/>
      <c r="B326" s="571"/>
      <c r="C326" s="572"/>
      <c r="D326" s="542"/>
      <c r="E326" s="542"/>
      <c r="F326" s="573"/>
      <c r="G326" s="574"/>
      <c r="H326" s="540"/>
      <c r="I326" s="540"/>
      <c r="J326" s="540"/>
      <c r="K326" s="540"/>
    </row>
    <row r="327" spans="1:11">
      <c r="A327" s="538"/>
      <c r="B327" s="562"/>
      <c r="C327" s="563"/>
      <c r="D327" s="539"/>
      <c r="E327" s="539"/>
      <c r="F327" s="564"/>
      <c r="G327" s="565"/>
      <c r="H327" s="540"/>
      <c r="I327" s="540"/>
      <c r="J327" s="540"/>
      <c r="K327" s="540"/>
    </row>
    <row r="328" spans="1:11">
      <c r="A328" s="538"/>
      <c r="B328" s="571"/>
      <c r="C328" s="572"/>
      <c r="D328" s="542"/>
      <c r="E328" s="542"/>
      <c r="F328" s="573"/>
      <c r="G328" s="574"/>
      <c r="H328" s="540"/>
      <c r="I328" s="540"/>
      <c r="J328" s="540"/>
      <c r="K328" s="540"/>
    </row>
    <row r="329" spans="1:11">
      <c r="A329" s="538"/>
      <c r="B329" s="562"/>
      <c r="C329" s="563"/>
      <c r="D329" s="539"/>
      <c r="E329" s="539"/>
      <c r="F329" s="564"/>
      <c r="G329" s="565"/>
      <c r="H329" s="540"/>
      <c r="I329" s="540"/>
      <c r="J329" s="540"/>
      <c r="K329" s="540"/>
    </row>
    <row r="330" spans="1:11">
      <c r="A330" s="538"/>
      <c r="B330" s="571"/>
      <c r="C330" s="572"/>
      <c r="D330" s="542"/>
      <c r="E330" s="542"/>
      <c r="F330" s="573"/>
      <c r="G330" s="574"/>
      <c r="H330" s="540"/>
      <c r="I330" s="540"/>
      <c r="J330" s="540"/>
      <c r="K330" s="540"/>
    </row>
    <row r="331" spans="1:11">
      <c r="A331" s="538"/>
      <c r="B331" s="562"/>
      <c r="C331" s="563"/>
      <c r="D331" s="539"/>
      <c r="E331" s="539"/>
      <c r="F331" s="564"/>
      <c r="G331" s="565"/>
      <c r="H331" s="540"/>
      <c r="I331" s="540"/>
      <c r="J331" s="540"/>
      <c r="K331" s="540"/>
    </row>
    <row r="332" spans="1:11">
      <c r="A332" s="538"/>
      <c r="B332" s="571"/>
      <c r="C332" s="572"/>
      <c r="D332" s="542"/>
      <c r="E332" s="542"/>
      <c r="F332" s="573"/>
      <c r="G332" s="574"/>
      <c r="H332" s="540"/>
      <c r="I332" s="540"/>
      <c r="J332" s="540"/>
      <c r="K332" s="540"/>
    </row>
    <row r="333" spans="1:11">
      <c r="A333" s="538"/>
      <c r="B333" s="562"/>
      <c r="C333" s="563"/>
      <c r="D333" s="539"/>
      <c r="E333" s="539"/>
      <c r="F333" s="564"/>
      <c r="G333" s="565"/>
      <c r="H333" s="540"/>
      <c r="I333" s="540"/>
      <c r="J333" s="540"/>
      <c r="K333" s="540"/>
    </row>
    <row r="334" spans="1:11">
      <c r="A334" s="538"/>
      <c r="B334" s="562"/>
      <c r="C334" s="563"/>
      <c r="D334" s="539"/>
      <c r="E334" s="539"/>
      <c r="F334" s="564"/>
      <c r="G334" s="565"/>
      <c r="H334" s="540"/>
      <c r="I334" s="540"/>
      <c r="J334" s="540"/>
      <c r="K334" s="540"/>
    </row>
    <row r="335" spans="1:11">
      <c r="A335" s="538"/>
      <c r="B335" s="562"/>
      <c r="C335" s="563"/>
      <c r="D335" s="539"/>
      <c r="E335" s="539"/>
      <c r="F335" s="564"/>
      <c r="G335" s="565"/>
      <c r="H335" s="540"/>
      <c r="I335" s="540"/>
      <c r="J335" s="540"/>
      <c r="K335" s="540"/>
    </row>
    <row r="336" spans="1:11">
      <c r="A336" s="538"/>
      <c r="B336" s="562"/>
      <c r="C336" s="563"/>
      <c r="D336" s="539"/>
      <c r="E336" s="539"/>
      <c r="F336" s="564"/>
      <c r="G336" s="565"/>
      <c r="H336" s="540"/>
      <c r="I336" s="540"/>
      <c r="J336" s="540"/>
      <c r="K336" s="540"/>
    </row>
    <row r="337" spans="1:11">
      <c r="A337" s="538"/>
      <c r="B337" s="562"/>
      <c r="C337" s="563"/>
      <c r="D337" s="539"/>
      <c r="E337" s="539"/>
      <c r="F337" s="564"/>
      <c r="G337" s="565"/>
      <c r="H337" s="540"/>
      <c r="I337" s="540"/>
      <c r="J337" s="540"/>
      <c r="K337" s="540"/>
    </row>
    <row r="338" spans="1:11">
      <c r="A338" s="544"/>
      <c r="B338" s="577"/>
      <c r="C338" s="578"/>
      <c r="D338" s="545"/>
      <c r="E338" s="545"/>
      <c r="F338" s="579"/>
      <c r="G338" s="580"/>
      <c r="H338" s="546"/>
      <c r="I338" s="546"/>
      <c r="J338" s="546"/>
      <c r="K338" s="546"/>
    </row>
    <row r="339" spans="1:11">
      <c r="A339" s="547" t="s">
        <v>148</v>
      </c>
      <c r="B339" s="581"/>
      <c r="C339" s="582"/>
      <c r="D339" s="583"/>
      <c r="E339" s="583"/>
      <c r="F339" s="584" t="s">
        <v>246</v>
      </c>
      <c r="G339" s="585"/>
      <c r="H339" s="586" t="s">
        <v>219</v>
      </c>
      <c r="I339" s="548">
        <f>SUM(I285:I338)</f>
        <v>0</v>
      </c>
      <c r="J339" s="586"/>
      <c r="K339" s="548">
        <f>SUM(K285:K338)</f>
        <v>0</v>
      </c>
    </row>
    <row r="340" spans="1:11">
      <c r="A340" s="533" t="s">
        <v>143</v>
      </c>
      <c r="B340" s="554" t="s">
        <v>198</v>
      </c>
      <c r="C340" s="1496" t="s">
        <v>199</v>
      </c>
      <c r="D340" s="1497"/>
      <c r="E340" s="1497"/>
      <c r="F340" s="1498"/>
      <c r="G340" s="555" t="s">
        <v>200</v>
      </c>
      <c r="H340" s="534" t="s">
        <v>201</v>
      </c>
      <c r="I340" s="534" t="s">
        <v>156</v>
      </c>
      <c r="J340" s="590" t="s">
        <v>286</v>
      </c>
      <c r="K340" s="590" t="s">
        <v>288</v>
      </c>
    </row>
    <row r="341" spans="1:11">
      <c r="A341" s="278"/>
      <c r="B341" s="557"/>
      <c r="C341" s="558" t="s">
        <v>186</v>
      </c>
      <c r="D341" s="559" t="s">
        <v>182</v>
      </c>
      <c r="E341" s="559" t="s">
        <v>187</v>
      </c>
      <c r="F341" s="560" t="s">
        <v>188</v>
      </c>
      <c r="G341" s="561"/>
      <c r="H341" s="536" t="s">
        <v>247</v>
      </c>
      <c r="I341" s="536" t="s">
        <v>247</v>
      </c>
      <c r="J341" s="591" t="s">
        <v>287</v>
      </c>
      <c r="K341" s="591" t="s">
        <v>287</v>
      </c>
    </row>
    <row r="342" spans="1:11">
      <c r="A342" s="538"/>
      <c r="B342" s="562"/>
      <c r="C342" s="563"/>
      <c r="D342" s="539"/>
      <c r="E342" s="539"/>
      <c r="F342" s="564"/>
      <c r="G342" s="565"/>
      <c r="H342" s="540"/>
      <c r="I342" s="540"/>
      <c r="J342" s="540"/>
      <c r="K342" s="540"/>
    </row>
    <row r="343" spans="1:11">
      <c r="A343" s="538"/>
      <c r="B343" s="562"/>
      <c r="C343" s="563"/>
      <c r="D343" s="539"/>
      <c r="E343" s="539"/>
      <c r="F343" s="564"/>
      <c r="G343" s="565"/>
      <c r="H343" s="540"/>
      <c r="I343" s="540"/>
      <c r="J343" s="540"/>
      <c r="K343" s="540"/>
    </row>
    <row r="344" spans="1:11">
      <c r="A344" s="538"/>
      <c r="B344" s="567"/>
      <c r="C344" s="568"/>
      <c r="D344" s="569"/>
      <c r="E344" s="569"/>
      <c r="F344" s="570"/>
      <c r="G344" s="565"/>
      <c r="H344" s="540"/>
      <c r="I344" s="540"/>
      <c r="J344" s="540"/>
      <c r="K344" s="540"/>
    </row>
    <row r="345" spans="1:11">
      <c r="A345" s="538"/>
      <c r="B345" s="562"/>
      <c r="C345" s="563"/>
      <c r="D345" s="539"/>
      <c r="E345" s="539"/>
      <c r="F345" s="564"/>
      <c r="G345" s="565"/>
      <c r="H345" s="540"/>
      <c r="I345" s="540"/>
      <c r="J345" s="540"/>
      <c r="K345" s="540"/>
    </row>
    <row r="346" spans="1:11">
      <c r="A346" s="538"/>
      <c r="B346" s="571"/>
      <c r="C346" s="572"/>
      <c r="D346" s="542"/>
      <c r="E346" s="542"/>
      <c r="F346" s="573"/>
      <c r="G346" s="574"/>
      <c r="H346" s="540"/>
      <c r="I346" s="540"/>
      <c r="J346" s="540"/>
      <c r="K346" s="540"/>
    </row>
    <row r="347" spans="1:11">
      <c r="A347" s="538"/>
      <c r="B347" s="562"/>
      <c r="C347" s="563"/>
      <c r="D347" s="539"/>
      <c r="E347" s="539"/>
      <c r="F347" s="564"/>
      <c r="G347" s="565"/>
      <c r="H347" s="540"/>
      <c r="I347" s="540"/>
      <c r="J347" s="540"/>
      <c r="K347" s="540"/>
    </row>
    <row r="348" spans="1:11">
      <c r="A348" s="538"/>
      <c r="B348" s="571"/>
      <c r="C348" s="572"/>
      <c r="D348" s="542"/>
      <c r="E348" s="542"/>
      <c r="F348" s="573"/>
      <c r="G348" s="574"/>
      <c r="H348" s="540"/>
      <c r="I348" s="540"/>
      <c r="J348" s="540"/>
      <c r="K348" s="540"/>
    </row>
    <row r="349" spans="1:11">
      <c r="A349" s="538"/>
      <c r="B349" s="562"/>
      <c r="C349" s="563"/>
      <c r="D349" s="539"/>
      <c r="E349" s="539"/>
      <c r="F349" s="564"/>
      <c r="G349" s="565"/>
      <c r="H349" s="540"/>
      <c r="I349" s="540"/>
      <c r="J349" s="540"/>
      <c r="K349" s="540"/>
    </row>
    <row r="350" spans="1:11">
      <c r="A350" s="538"/>
      <c r="B350" s="571"/>
      <c r="C350" s="572"/>
      <c r="D350" s="542"/>
      <c r="E350" s="542"/>
      <c r="F350" s="573"/>
      <c r="G350" s="574"/>
      <c r="H350" s="540"/>
      <c r="I350" s="540"/>
      <c r="J350" s="540"/>
      <c r="K350" s="540"/>
    </row>
    <row r="351" spans="1:11">
      <c r="A351" s="538"/>
      <c r="B351" s="562"/>
      <c r="C351" s="563"/>
      <c r="D351" s="539"/>
      <c r="E351" s="539"/>
      <c r="F351" s="564"/>
      <c r="G351" s="565"/>
      <c r="H351" s="540"/>
      <c r="I351" s="540"/>
      <c r="J351" s="540"/>
      <c r="K351" s="540"/>
    </row>
    <row r="352" spans="1:11">
      <c r="A352" s="538"/>
      <c r="B352" s="571"/>
      <c r="C352" s="572"/>
      <c r="D352" s="542"/>
      <c r="E352" s="542"/>
      <c r="F352" s="573"/>
      <c r="G352" s="574"/>
      <c r="H352" s="540"/>
      <c r="I352" s="540"/>
      <c r="J352" s="540"/>
      <c r="K352" s="540"/>
    </row>
    <row r="353" spans="1:11">
      <c r="A353" s="538"/>
      <c r="B353" s="562"/>
      <c r="C353" s="563"/>
      <c r="D353" s="539"/>
      <c r="E353" s="539"/>
      <c r="F353" s="564"/>
      <c r="G353" s="565"/>
      <c r="H353" s="540"/>
      <c r="I353" s="540"/>
      <c r="J353" s="540"/>
      <c r="K353" s="540"/>
    </row>
    <row r="354" spans="1:11">
      <c r="A354" s="538"/>
      <c r="B354" s="571"/>
      <c r="C354" s="572"/>
      <c r="D354" s="542"/>
      <c r="E354" s="542"/>
      <c r="F354" s="573"/>
      <c r="G354" s="574"/>
      <c r="H354" s="540"/>
      <c r="I354" s="540"/>
      <c r="J354" s="540"/>
      <c r="K354" s="540"/>
    </row>
    <row r="355" spans="1:11">
      <c r="A355" s="538"/>
      <c r="B355" s="562"/>
      <c r="C355" s="563"/>
      <c r="D355" s="539"/>
      <c r="E355" s="539"/>
      <c r="F355" s="564"/>
      <c r="G355" s="565"/>
      <c r="H355" s="540"/>
      <c r="I355" s="540"/>
      <c r="J355" s="540"/>
      <c r="K355" s="540"/>
    </row>
    <row r="356" spans="1:11">
      <c r="A356" s="538"/>
      <c r="B356" s="571"/>
      <c r="C356" s="572"/>
      <c r="D356" s="542"/>
      <c r="E356" s="542"/>
      <c r="F356" s="573"/>
      <c r="G356" s="574"/>
      <c r="H356" s="540"/>
      <c r="I356" s="540"/>
      <c r="J356" s="540"/>
      <c r="K356" s="540"/>
    </row>
    <row r="357" spans="1:11">
      <c r="A357" s="538"/>
      <c r="B357" s="562"/>
      <c r="C357" s="563"/>
      <c r="D357" s="539"/>
      <c r="E357" s="539"/>
      <c r="F357" s="564"/>
      <c r="G357" s="565"/>
      <c r="H357" s="540"/>
      <c r="I357" s="540"/>
      <c r="J357" s="540"/>
      <c r="K357" s="540"/>
    </row>
    <row r="358" spans="1:11">
      <c r="A358" s="538"/>
      <c r="B358" s="571"/>
      <c r="C358" s="572"/>
      <c r="D358" s="542"/>
      <c r="E358" s="542"/>
      <c r="F358" s="573"/>
      <c r="G358" s="574"/>
      <c r="H358" s="540"/>
      <c r="I358" s="540"/>
      <c r="J358" s="540"/>
      <c r="K358" s="540"/>
    </row>
    <row r="359" spans="1:11">
      <c r="A359" s="538"/>
      <c r="B359" s="562"/>
      <c r="C359" s="563"/>
      <c r="D359" s="539"/>
      <c r="E359" s="539"/>
      <c r="F359" s="564"/>
      <c r="G359" s="565"/>
      <c r="H359" s="540"/>
      <c r="I359" s="540"/>
      <c r="J359" s="540"/>
      <c r="K359" s="540"/>
    </row>
    <row r="360" spans="1:11">
      <c r="A360" s="538"/>
      <c r="B360" s="571"/>
      <c r="C360" s="572"/>
      <c r="D360" s="542"/>
      <c r="E360" s="542"/>
      <c r="F360" s="573"/>
      <c r="G360" s="574"/>
      <c r="H360" s="540"/>
      <c r="I360" s="540"/>
      <c r="J360" s="540"/>
      <c r="K360" s="540"/>
    </row>
    <row r="361" spans="1:11">
      <c r="A361" s="538"/>
      <c r="B361" s="562"/>
      <c r="C361" s="563"/>
      <c r="D361" s="539"/>
      <c r="E361" s="539"/>
      <c r="F361" s="564"/>
      <c r="G361" s="565"/>
      <c r="H361" s="540"/>
      <c r="I361" s="540"/>
      <c r="J361" s="540"/>
      <c r="K361" s="540"/>
    </row>
    <row r="362" spans="1:11">
      <c r="A362" s="538"/>
      <c r="B362" s="571"/>
      <c r="C362" s="572"/>
      <c r="D362" s="542"/>
      <c r="E362" s="542"/>
      <c r="F362" s="573"/>
      <c r="G362" s="574"/>
      <c r="H362" s="540"/>
      <c r="I362" s="540"/>
      <c r="J362" s="540"/>
      <c r="K362" s="540"/>
    </row>
    <row r="363" spans="1:11">
      <c r="A363" s="538"/>
      <c r="B363" s="562"/>
      <c r="C363" s="563"/>
      <c r="D363" s="539"/>
      <c r="E363" s="539"/>
      <c r="F363" s="564"/>
      <c r="G363" s="565"/>
      <c r="H363" s="540"/>
      <c r="I363" s="540"/>
      <c r="J363" s="540"/>
      <c r="K363" s="540"/>
    </row>
    <row r="364" spans="1:11">
      <c r="A364" s="538"/>
      <c r="B364" s="571"/>
      <c r="C364" s="572"/>
      <c r="D364" s="542"/>
      <c r="E364" s="542"/>
      <c r="F364" s="573"/>
      <c r="G364" s="574"/>
      <c r="H364" s="540"/>
      <c r="I364" s="540"/>
      <c r="J364" s="540"/>
      <c r="K364" s="540"/>
    </row>
    <row r="365" spans="1:11">
      <c r="A365" s="538"/>
      <c r="B365" s="562"/>
      <c r="C365" s="563"/>
      <c r="D365" s="539"/>
      <c r="E365" s="539"/>
      <c r="F365" s="564"/>
      <c r="G365" s="565"/>
      <c r="H365" s="540"/>
      <c r="I365" s="540"/>
      <c r="J365" s="540"/>
      <c r="K365" s="540"/>
    </row>
    <row r="366" spans="1:11">
      <c r="A366" s="538"/>
      <c r="B366" s="571"/>
      <c r="C366" s="572"/>
      <c r="D366" s="542"/>
      <c r="E366" s="542"/>
      <c r="F366" s="573"/>
      <c r="G366" s="574"/>
      <c r="H366" s="540"/>
      <c r="I366" s="540"/>
      <c r="J366" s="540"/>
      <c r="K366" s="540"/>
    </row>
    <row r="367" spans="1:11">
      <c r="A367" s="538"/>
      <c r="B367" s="571"/>
      <c r="C367" s="572"/>
      <c r="D367" s="542"/>
      <c r="E367" s="542"/>
      <c r="F367" s="573"/>
      <c r="G367" s="574"/>
      <c r="H367" s="540"/>
      <c r="I367" s="540"/>
      <c r="J367" s="540"/>
      <c r="K367" s="540"/>
    </row>
    <row r="368" spans="1:11">
      <c r="A368" s="538"/>
      <c r="B368" s="571"/>
      <c r="C368" s="572"/>
      <c r="D368" s="542"/>
      <c r="E368" s="542"/>
      <c r="F368" s="573"/>
      <c r="G368" s="574"/>
      <c r="H368" s="540"/>
      <c r="I368" s="540"/>
      <c r="J368" s="540"/>
      <c r="K368" s="540"/>
    </row>
    <row r="369" spans="1:11">
      <c r="A369" s="538"/>
      <c r="B369" s="571"/>
      <c r="C369" s="572"/>
      <c r="D369" s="542"/>
      <c r="E369" s="542"/>
      <c r="F369" s="573"/>
      <c r="G369" s="574"/>
      <c r="H369" s="540"/>
      <c r="I369" s="540"/>
      <c r="J369" s="540"/>
      <c r="K369" s="540"/>
    </row>
    <row r="370" spans="1:11">
      <c r="A370" s="538"/>
      <c r="B370" s="571"/>
      <c r="C370" s="572"/>
      <c r="D370" s="542"/>
      <c r="E370" s="542"/>
      <c r="F370" s="573"/>
      <c r="G370" s="574"/>
      <c r="H370" s="540"/>
      <c r="I370" s="540"/>
      <c r="J370" s="540"/>
      <c r="K370" s="540"/>
    </row>
    <row r="371" spans="1:11">
      <c r="A371" s="538"/>
      <c r="B371" s="571"/>
      <c r="C371" s="572"/>
      <c r="D371" s="542"/>
      <c r="E371" s="542"/>
      <c r="F371" s="573"/>
      <c r="G371" s="574"/>
      <c r="H371" s="540"/>
      <c r="I371" s="540"/>
      <c r="J371" s="540"/>
      <c r="K371" s="540"/>
    </row>
    <row r="372" spans="1:11">
      <c r="A372" s="538"/>
      <c r="B372" s="571"/>
      <c r="C372" s="572"/>
      <c r="D372" s="542"/>
      <c r="E372" s="542"/>
      <c r="F372" s="573"/>
      <c r="G372" s="574"/>
      <c r="H372" s="540"/>
      <c r="I372" s="540"/>
      <c r="J372" s="540"/>
      <c r="K372" s="540"/>
    </row>
    <row r="373" spans="1:11">
      <c r="A373" s="538"/>
      <c r="B373" s="571"/>
      <c r="C373" s="572"/>
      <c r="D373" s="542"/>
      <c r="E373" s="542"/>
      <c r="F373" s="573"/>
      <c r="G373" s="574"/>
      <c r="H373" s="540"/>
      <c r="I373" s="540"/>
      <c r="J373" s="540"/>
      <c r="K373" s="540"/>
    </row>
    <row r="374" spans="1:11">
      <c r="A374" s="538"/>
      <c r="B374" s="571"/>
      <c r="C374" s="572"/>
      <c r="D374" s="542"/>
      <c r="E374" s="542"/>
      <c r="F374" s="573"/>
      <c r="G374" s="574"/>
      <c r="H374" s="540"/>
      <c r="I374" s="540"/>
      <c r="J374" s="540"/>
      <c r="K374" s="540"/>
    </row>
    <row r="375" spans="1:11">
      <c r="A375" s="538"/>
      <c r="B375" s="571"/>
      <c r="C375" s="572"/>
      <c r="D375" s="542"/>
      <c r="E375" s="542"/>
      <c r="F375" s="573"/>
      <c r="G375" s="574"/>
      <c r="H375" s="540"/>
      <c r="I375" s="540"/>
      <c r="J375" s="540"/>
      <c r="K375" s="540"/>
    </row>
    <row r="376" spans="1:11">
      <c r="A376" s="538"/>
      <c r="B376" s="571"/>
      <c r="C376" s="572"/>
      <c r="D376" s="542"/>
      <c r="E376" s="542"/>
      <c r="F376" s="573"/>
      <c r="G376" s="574"/>
      <c r="H376" s="540"/>
      <c r="I376" s="540"/>
      <c r="J376" s="540"/>
      <c r="K376" s="540"/>
    </row>
    <row r="377" spans="1:11">
      <c r="A377" s="538"/>
      <c r="B377" s="571"/>
      <c r="C377" s="572"/>
      <c r="D377" s="542"/>
      <c r="E377" s="542"/>
      <c r="F377" s="573"/>
      <c r="G377" s="574"/>
      <c r="H377" s="540"/>
      <c r="I377" s="540"/>
      <c r="J377" s="540"/>
      <c r="K377" s="540"/>
    </row>
    <row r="378" spans="1:11">
      <c r="A378" s="538"/>
      <c r="B378" s="571"/>
      <c r="C378" s="572"/>
      <c r="D378" s="542"/>
      <c r="E378" s="542"/>
      <c r="F378" s="573"/>
      <c r="G378" s="574"/>
      <c r="H378" s="540"/>
      <c r="I378" s="540"/>
      <c r="J378" s="540"/>
      <c r="K378" s="540"/>
    </row>
    <row r="379" spans="1:11">
      <c r="A379" s="538"/>
      <c r="B379" s="571"/>
      <c r="C379" s="572"/>
      <c r="D379" s="542"/>
      <c r="E379" s="542"/>
      <c r="F379" s="573"/>
      <c r="G379" s="574"/>
      <c r="H379" s="540"/>
      <c r="I379" s="540"/>
      <c r="J379" s="540"/>
      <c r="K379" s="540"/>
    </row>
    <row r="380" spans="1:11">
      <c r="A380" s="538"/>
      <c r="B380" s="571"/>
      <c r="C380" s="572"/>
      <c r="D380" s="542"/>
      <c r="E380" s="542"/>
      <c r="F380" s="573"/>
      <c r="G380" s="574"/>
      <c r="H380" s="540"/>
      <c r="I380" s="540"/>
      <c r="J380" s="540"/>
      <c r="K380" s="540"/>
    </row>
    <row r="381" spans="1:11">
      <c r="A381" s="538"/>
      <c r="B381" s="562"/>
      <c r="C381" s="563"/>
      <c r="D381" s="539"/>
      <c r="E381" s="539"/>
      <c r="F381" s="564"/>
      <c r="G381" s="565"/>
      <c r="H381" s="540"/>
      <c r="I381" s="540"/>
      <c r="J381" s="540"/>
      <c r="K381" s="540"/>
    </row>
    <row r="382" spans="1:11">
      <c r="A382" s="538"/>
      <c r="B382" s="571"/>
      <c r="C382" s="572"/>
      <c r="D382" s="542"/>
      <c r="E382" s="542"/>
      <c r="F382" s="573"/>
      <c r="G382" s="574"/>
      <c r="H382" s="540"/>
      <c r="I382" s="540"/>
      <c r="J382" s="540"/>
      <c r="K382" s="540"/>
    </row>
    <row r="383" spans="1:11">
      <c r="A383" s="538"/>
      <c r="B383" s="562"/>
      <c r="C383" s="563"/>
      <c r="D383" s="539"/>
      <c r="E383" s="539"/>
      <c r="F383" s="564"/>
      <c r="G383" s="565"/>
      <c r="H383" s="540"/>
      <c r="I383" s="540"/>
      <c r="J383" s="540"/>
      <c r="K383" s="540"/>
    </row>
    <row r="384" spans="1:11">
      <c r="A384" s="538"/>
      <c r="B384" s="571"/>
      <c r="C384" s="572"/>
      <c r="D384" s="542"/>
      <c r="E384" s="542"/>
      <c r="F384" s="573"/>
      <c r="G384" s="574"/>
      <c r="H384" s="540"/>
      <c r="I384" s="540"/>
      <c r="J384" s="540"/>
      <c r="K384" s="540"/>
    </row>
    <row r="385" spans="1:11">
      <c r="A385" s="538"/>
      <c r="B385" s="562"/>
      <c r="C385" s="563"/>
      <c r="D385" s="539"/>
      <c r="E385" s="539"/>
      <c r="F385" s="564"/>
      <c r="G385" s="565"/>
      <c r="H385" s="540"/>
      <c r="I385" s="540"/>
      <c r="J385" s="540"/>
      <c r="K385" s="540"/>
    </row>
    <row r="386" spans="1:11">
      <c r="A386" s="538"/>
      <c r="B386" s="571"/>
      <c r="C386" s="572"/>
      <c r="D386" s="542"/>
      <c r="E386" s="542"/>
      <c r="F386" s="573"/>
      <c r="G386" s="574"/>
      <c r="H386" s="540"/>
      <c r="I386" s="540"/>
      <c r="J386" s="540"/>
      <c r="K386" s="540"/>
    </row>
    <row r="387" spans="1:11">
      <c r="A387" s="538"/>
      <c r="B387" s="562"/>
      <c r="C387" s="563"/>
      <c r="D387" s="539"/>
      <c r="E387" s="539"/>
      <c r="F387" s="564"/>
      <c r="G387" s="565"/>
      <c r="H387" s="540"/>
      <c r="I387" s="540"/>
      <c r="J387" s="540"/>
      <c r="K387" s="540"/>
    </row>
    <row r="388" spans="1:11">
      <c r="A388" s="538"/>
      <c r="B388" s="571"/>
      <c r="C388" s="572"/>
      <c r="D388" s="542"/>
      <c r="E388" s="542"/>
      <c r="F388" s="573"/>
      <c r="G388" s="574"/>
      <c r="H388" s="540"/>
      <c r="I388" s="540"/>
      <c r="J388" s="540"/>
      <c r="K388" s="540"/>
    </row>
    <row r="389" spans="1:11">
      <c r="A389" s="538"/>
      <c r="B389" s="562"/>
      <c r="C389" s="563"/>
      <c r="D389" s="539"/>
      <c r="E389" s="539"/>
      <c r="F389" s="564"/>
      <c r="G389" s="565"/>
      <c r="H389" s="540"/>
      <c r="I389" s="540"/>
      <c r="J389" s="540"/>
      <c r="K389" s="540"/>
    </row>
    <row r="390" spans="1:11">
      <c r="A390" s="538"/>
      <c r="B390" s="571"/>
      <c r="C390" s="572"/>
      <c r="D390" s="542"/>
      <c r="E390" s="542"/>
      <c r="F390" s="573"/>
      <c r="G390" s="574"/>
      <c r="H390" s="540"/>
      <c r="I390" s="540"/>
      <c r="J390" s="540"/>
      <c r="K390" s="540"/>
    </row>
    <row r="391" spans="1:11">
      <c r="A391" s="538"/>
      <c r="B391" s="562"/>
      <c r="C391" s="563"/>
      <c r="D391" s="539"/>
      <c r="E391" s="539"/>
      <c r="F391" s="564"/>
      <c r="G391" s="565"/>
      <c r="H391" s="540"/>
      <c r="I391" s="540"/>
      <c r="J391" s="540"/>
      <c r="K391" s="540"/>
    </row>
    <row r="392" spans="1:11">
      <c r="A392" s="538"/>
      <c r="B392" s="562"/>
      <c r="C392" s="563"/>
      <c r="D392" s="539"/>
      <c r="E392" s="539"/>
      <c r="F392" s="564"/>
      <c r="G392" s="565"/>
      <c r="H392" s="540"/>
      <c r="I392" s="540"/>
      <c r="J392" s="540"/>
      <c r="K392" s="540"/>
    </row>
    <row r="393" spans="1:11">
      <c r="A393" s="538"/>
      <c r="B393" s="562"/>
      <c r="C393" s="563"/>
      <c r="D393" s="539"/>
      <c r="E393" s="539"/>
      <c r="F393" s="564"/>
      <c r="G393" s="565"/>
      <c r="H393" s="540"/>
      <c r="I393" s="540"/>
      <c r="J393" s="540"/>
      <c r="K393" s="540"/>
    </row>
    <row r="394" spans="1:11">
      <c r="A394" s="538"/>
      <c r="B394" s="562"/>
      <c r="C394" s="563"/>
      <c r="D394" s="539"/>
      <c r="E394" s="539"/>
      <c r="F394" s="564"/>
      <c r="G394" s="565"/>
      <c r="H394" s="540"/>
      <c r="I394" s="540"/>
      <c r="J394" s="540"/>
      <c r="K394" s="540"/>
    </row>
    <row r="395" spans="1:11">
      <c r="A395" s="544"/>
      <c r="B395" s="577"/>
      <c r="C395" s="578"/>
      <c r="D395" s="545"/>
      <c r="E395" s="545"/>
      <c r="F395" s="579"/>
      <c r="G395" s="580"/>
      <c r="H395" s="546"/>
      <c r="I395" s="546"/>
      <c r="J395" s="546"/>
      <c r="K395" s="546"/>
    </row>
    <row r="396" spans="1:11">
      <c r="A396" s="547" t="s">
        <v>148</v>
      </c>
      <c r="B396" s="581"/>
      <c r="C396" s="582"/>
      <c r="D396" s="583"/>
      <c r="E396" s="583"/>
      <c r="F396" s="584" t="s">
        <v>246</v>
      </c>
      <c r="G396" s="585"/>
      <c r="H396" s="586" t="s">
        <v>219</v>
      </c>
      <c r="I396" s="548">
        <f>SUM(I342:I395)</f>
        <v>0</v>
      </c>
      <c r="J396" s="586"/>
      <c r="K396" s="548">
        <f>SUM(K342:K395)</f>
        <v>0</v>
      </c>
    </row>
    <row r="397" spans="1:11">
      <c r="A397" s="533" t="s">
        <v>143</v>
      </c>
      <c r="B397" s="554" t="s">
        <v>198</v>
      </c>
      <c r="C397" s="1496" t="s">
        <v>199</v>
      </c>
      <c r="D397" s="1497"/>
      <c r="E397" s="1497"/>
      <c r="F397" s="1498"/>
      <c r="G397" s="555" t="s">
        <v>200</v>
      </c>
      <c r="H397" s="534" t="s">
        <v>201</v>
      </c>
      <c r="I397" s="534" t="s">
        <v>156</v>
      </c>
      <c r="J397" s="590" t="s">
        <v>286</v>
      </c>
      <c r="K397" s="590" t="s">
        <v>288</v>
      </c>
    </row>
    <row r="398" spans="1:11">
      <c r="A398" s="278"/>
      <c r="B398" s="557"/>
      <c r="C398" s="558" t="s">
        <v>186</v>
      </c>
      <c r="D398" s="559" t="s">
        <v>182</v>
      </c>
      <c r="E398" s="559" t="s">
        <v>187</v>
      </c>
      <c r="F398" s="560" t="s">
        <v>188</v>
      </c>
      <c r="G398" s="561"/>
      <c r="H398" s="536" t="s">
        <v>247</v>
      </c>
      <c r="I398" s="536" t="s">
        <v>247</v>
      </c>
      <c r="J398" s="591" t="s">
        <v>287</v>
      </c>
      <c r="K398" s="591" t="s">
        <v>287</v>
      </c>
    </row>
    <row r="399" spans="1:11">
      <c r="A399" s="538"/>
      <c r="B399" s="562"/>
      <c r="C399" s="563"/>
      <c r="D399" s="539"/>
      <c r="E399" s="539"/>
      <c r="F399" s="564"/>
      <c r="G399" s="565"/>
      <c r="H399" s="540"/>
      <c r="I399" s="540"/>
      <c r="J399" s="540"/>
      <c r="K399" s="540"/>
    </row>
    <row r="400" spans="1:11">
      <c r="A400" s="538"/>
      <c r="B400" s="562"/>
      <c r="C400" s="563"/>
      <c r="D400" s="539"/>
      <c r="E400" s="539"/>
      <c r="F400" s="564"/>
      <c r="G400" s="565"/>
      <c r="H400" s="540"/>
      <c r="I400" s="540"/>
      <c r="J400" s="540"/>
      <c r="K400" s="540"/>
    </row>
    <row r="401" spans="1:11">
      <c r="A401" s="538"/>
      <c r="B401" s="567"/>
      <c r="C401" s="568"/>
      <c r="D401" s="569"/>
      <c r="E401" s="569"/>
      <c r="F401" s="570"/>
      <c r="G401" s="565"/>
      <c r="H401" s="540"/>
      <c r="I401" s="540"/>
      <c r="J401" s="540"/>
      <c r="K401" s="540"/>
    </row>
    <row r="402" spans="1:11">
      <c r="A402" s="538"/>
      <c r="B402" s="562"/>
      <c r="C402" s="563"/>
      <c r="D402" s="539"/>
      <c r="E402" s="539"/>
      <c r="F402" s="564"/>
      <c r="G402" s="565"/>
      <c r="H402" s="540"/>
      <c r="I402" s="540"/>
      <c r="J402" s="540"/>
      <c r="K402" s="540"/>
    </row>
    <row r="403" spans="1:11">
      <c r="A403" s="538"/>
      <c r="B403" s="571"/>
      <c r="C403" s="572"/>
      <c r="D403" s="542"/>
      <c r="E403" s="542"/>
      <c r="F403" s="573"/>
      <c r="G403" s="574"/>
      <c r="H403" s="540"/>
      <c r="I403" s="540"/>
      <c r="J403" s="540"/>
      <c r="K403" s="540"/>
    </row>
    <row r="404" spans="1:11">
      <c r="A404" s="538"/>
      <c r="B404" s="562"/>
      <c r="C404" s="563"/>
      <c r="D404" s="539"/>
      <c r="E404" s="539"/>
      <c r="F404" s="564"/>
      <c r="G404" s="565"/>
      <c r="H404" s="540"/>
      <c r="I404" s="540"/>
      <c r="J404" s="540"/>
      <c r="K404" s="540"/>
    </row>
    <row r="405" spans="1:11">
      <c r="A405" s="538"/>
      <c r="B405" s="571"/>
      <c r="C405" s="572"/>
      <c r="D405" s="542"/>
      <c r="E405" s="542"/>
      <c r="F405" s="573"/>
      <c r="G405" s="574"/>
      <c r="H405" s="540"/>
      <c r="I405" s="540"/>
      <c r="J405" s="540"/>
      <c r="K405" s="540"/>
    </row>
    <row r="406" spans="1:11">
      <c r="A406" s="538"/>
      <c r="B406" s="562"/>
      <c r="C406" s="563"/>
      <c r="D406" s="539"/>
      <c r="E406" s="539"/>
      <c r="F406" s="564"/>
      <c r="G406" s="565"/>
      <c r="H406" s="540"/>
      <c r="I406" s="540"/>
      <c r="J406" s="540"/>
      <c r="K406" s="540"/>
    </row>
    <row r="407" spans="1:11">
      <c r="A407" s="538"/>
      <c r="B407" s="571"/>
      <c r="C407" s="572"/>
      <c r="D407" s="542"/>
      <c r="E407" s="542"/>
      <c r="F407" s="573"/>
      <c r="G407" s="574"/>
      <c r="H407" s="540"/>
      <c r="I407" s="540"/>
      <c r="J407" s="540"/>
      <c r="K407" s="540"/>
    </row>
    <row r="408" spans="1:11">
      <c r="A408" s="538"/>
      <c r="B408" s="562"/>
      <c r="C408" s="563"/>
      <c r="D408" s="539"/>
      <c r="E408" s="539"/>
      <c r="F408" s="564"/>
      <c r="G408" s="565"/>
      <c r="H408" s="540"/>
      <c r="I408" s="540"/>
      <c r="J408" s="540"/>
      <c r="K408" s="540"/>
    </row>
    <row r="409" spans="1:11">
      <c r="A409" s="538"/>
      <c r="B409" s="571"/>
      <c r="C409" s="572"/>
      <c r="D409" s="542"/>
      <c r="E409" s="542"/>
      <c r="F409" s="573"/>
      <c r="G409" s="574"/>
      <c r="H409" s="540"/>
      <c r="I409" s="540"/>
      <c r="J409" s="540"/>
      <c r="K409" s="540"/>
    </row>
    <row r="410" spans="1:11">
      <c r="A410" s="538"/>
      <c r="B410" s="562"/>
      <c r="C410" s="563"/>
      <c r="D410" s="539"/>
      <c r="E410" s="539"/>
      <c r="F410" s="564"/>
      <c r="G410" s="565"/>
      <c r="H410" s="540"/>
      <c r="I410" s="540"/>
      <c r="J410" s="540"/>
      <c r="K410" s="540"/>
    </row>
    <row r="411" spans="1:11">
      <c r="A411" s="538"/>
      <c r="B411" s="571"/>
      <c r="C411" s="572"/>
      <c r="D411" s="542"/>
      <c r="E411" s="542"/>
      <c r="F411" s="573"/>
      <c r="G411" s="574"/>
      <c r="H411" s="540"/>
      <c r="I411" s="540"/>
      <c r="J411" s="540"/>
      <c r="K411" s="540"/>
    </row>
    <row r="412" spans="1:11">
      <c r="A412" s="538"/>
      <c r="B412" s="562"/>
      <c r="C412" s="563"/>
      <c r="D412" s="539"/>
      <c r="E412" s="539"/>
      <c r="F412" s="564"/>
      <c r="G412" s="565"/>
      <c r="H412" s="540"/>
      <c r="I412" s="540"/>
      <c r="J412" s="540"/>
      <c r="K412" s="540"/>
    </row>
    <row r="413" spans="1:11">
      <c r="A413" s="538"/>
      <c r="B413" s="571"/>
      <c r="C413" s="572"/>
      <c r="D413" s="542"/>
      <c r="E413" s="542"/>
      <c r="F413" s="573"/>
      <c r="G413" s="574"/>
      <c r="H413" s="540"/>
      <c r="I413" s="540"/>
      <c r="J413" s="540"/>
      <c r="K413" s="540"/>
    </row>
    <row r="414" spans="1:11">
      <c r="A414" s="538"/>
      <c r="B414" s="562"/>
      <c r="C414" s="563"/>
      <c r="D414" s="539"/>
      <c r="E414" s="539"/>
      <c r="F414" s="564"/>
      <c r="G414" s="565"/>
      <c r="H414" s="540"/>
      <c r="I414" s="540"/>
      <c r="J414" s="540"/>
      <c r="K414" s="540"/>
    </row>
    <row r="415" spans="1:11">
      <c r="A415" s="538"/>
      <c r="B415" s="571"/>
      <c r="C415" s="572"/>
      <c r="D415" s="542"/>
      <c r="E415" s="542"/>
      <c r="F415" s="573"/>
      <c r="G415" s="574"/>
      <c r="H415" s="540"/>
      <c r="I415" s="540"/>
      <c r="J415" s="540"/>
      <c r="K415" s="540"/>
    </row>
    <row r="416" spans="1:11">
      <c r="A416" s="538"/>
      <c r="B416" s="562"/>
      <c r="C416" s="563"/>
      <c r="D416" s="539"/>
      <c r="E416" s="539"/>
      <c r="F416" s="564"/>
      <c r="G416" s="565"/>
      <c r="H416" s="540"/>
      <c r="I416" s="540"/>
      <c r="J416" s="540"/>
      <c r="K416" s="540"/>
    </row>
    <row r="417" spans="1:11">
      <c r="A417" s="538"/>
      <c r="B417" s="571"/>
      <c r="C417" s="572"/>
      <c r="D417" s="542"/>
      <c r="E417" s="542"/>
      <c r="F417" s="573"/>
      <c r="G417" s="574"/>
      <c r="H417" s="540"/>
      <c r="I417" s="540"/>
      <c r="J417" s="540"/>
      <c r="K417" s="540"/>
    </row>
    <row r="418" spans="1:11">
      <c r="A418" s="538"/>
      <c r="B418" s="562"/>
      <c r="C418" s="563"/>
      <c r="D418" s="539"/>
      <c r="E418" s="539"/>
      <c r="F418" s="564"/>
      <c r="G418" s="565"/>
      <c r="H418" s="540"/>
      <c r="I418" s="540"/>
      <c r="J418" s="540"/>
      <c r="K418" s="540"/>
    </row>
    <row r="419" spans="1:11">
      <c r="A419" s="538"/>
      <c r="B419" s="571"/>
      <c r="C419" s="572"/>
      <c r="D419" s="542"/>
      <c r="E419" s="542"/>
      <c r="F419" s="573"/>
      <c r="G419" s="574"/>
      <c r="H419" s="540"/>
      <c r="I419" s="540"/>
      <c r="J419" s="540"/>
      <c r="K419" s="540"/>
    </row>
    <row r="420" spans="1:11">
      <c r="A420" s="538"/>
      <c r="B420" s="562"/>
      <c r="C420" s="563"/>
      <c r="D420" s="539"/>
      <c r="E420" s="539"/>
      <c r="F420" s="564"/>
      <c r="G420" s="565"/>
      <c r="H420" s="540"/>
      <c r="I420" s="540"/>
      <c r="J420" s="540"/>
      <c r="K420" s="540"/>
    </row>
    <row r="421" spans="1:11">
      <c r="A421" s="538"/>
      <c r="B421" s="571"/>
      <c r="C421" s="572"/>
      <c r="D421" s="542"/>
      <c r="E421" s="542"/>
      <c r="F421" s="573"/>
      <c r="G421" s="574"/>
      <c r="H421" s="540"/>
      <c r="I421" s="540"/>
      <c r="J421" s="540"/>
      <c r="K421" s="540"/>
    </row>
    <row r="422" spans="1:11">
      <c r="A422" s="538"/>
      <c r="B422" s="562"/>
      <c r="C422" s="563"/>
      <c r="D422" s="539"/>
      <c r="E422" s="539"/>
      <c r="F422" s="564"/>
      <c r="G422" s="565"/>
      <c r="H422" s="540"/>
      <c r="I422" s="540"/>
      <c r="J422" s="540"/>
      <c r="K422" s="540"/>
    </row>
    <row r="423" spans="1:11">
      <c r="A423" s="538"/>
      <c r="B423" s="571"/>
      <c r="C423" s="572"/>
      <c r="D423" s="542"/>
      <c r="E423" s="542"/>
      <c r="F423" s="573"/>
      <c r="G423" s="574"/>
      <c r="H423" s="540"/>
      <c r="I423" s="540"/>
      <c r="J423" s="540"/>
      <c r="K423" s="540"/>
    </row>
    <row r="424" spans="1:11">
      <c r="A424" s="538"/>
      <c r="B424" s="571"/>
      <c r="C424" s="572"/>
      <c r="D424" s="542"/>
      <c r="E424" s="542"/>
      <c r="F424" s="573"/>
      <c r="G424" s="574"/>
      <c r="H424" s="540"/>
      <c r="I424" s="540"/>
      <c r="J424" s="540"/>
      <c r="K424" s="540"/>
    </row>
    <row r="425" spans="1:11">
      <c r="A425" s="538"/>
      <c r="B425" s="571"/>
      <c r="C425" s="572"/>
      <c r="D425" s="542"/>
      <c r="E425" s="542"/>
      <c r="F425" s="573"/>
      <c r="G425" s="574"/>
      <c r="H425" s="540"/>
      <c r="I425" s="540"/>
      <c r="J425" s="540"/>
      <c r="K425" s="540"/>
    </row>
    <row r="426" spans="1:11">
      <c r="A426" s="538"/>
      <c r="B426" s="571"/>
      <c r="C426" s="572"/>
      <c r="D426" s="542"/>
      <c r="E426" s="542"/>
      <c r="F426" s="573"/>
      <c r="G426" s="574"/>
      <c r="H426" s="540"/>
      <c r="I426" s="540"/>
      <c r="J426" s="540"/>
      <c r="K426" s="540"/>
    </row>
    <row r="427" spans="1:11">
      <c r="A427" s="538"/>
      <c r="B427" s="571"/>
      <c r="C427" s="572"/>
      <c r="D427" s="542"/>
      <c r="E427" s="542"/>
      <c r="F427" s="573"/>
      <c r="G427" s="574"/>
      <c r="H427" s="540"/>
      <c r="I427" s="540"/>
      <c r="J427" s="540"/>
      <c r="K427" s="540"/>
    </row>
    <row r="428" spans="1:11">
      <c r="A428" s="538"/>
      <c r="B428" s="571"/>
      <c r="C428" s="572"/>
      <c r="D428" s="542"/>
      <c r="E428" s="542"/>
      <c r="F428" s="573"/>
      <c r="G428" s="574"/>
      <c r="H428" s="540"/>
      <c r="I428" s="540"/>
      <c r="J428" s="540"/>
      <c r="K428" s="540"/>
    </row>
    <row r="429" spans="1:11">
      <c r="A429" s="538"/>
      <c r="B429" s="571"/>
      <c r="C429" s="572"/>
      <c r="D429" s="542"/>
      <c r="E429" s="542"/>
      <c r="F429" s="573"/>
      <c r="G429" s="574"/>
      <c r="H429" s="540"/>
      <c r="I429" s="540"/>
      <c r="J429" s="540"/>
      <c r="K429" s="540"/>
    </row>
    <row r="430" spans="1:11">
      <c r="A430" s="538"/>
      <c r="B430" s="571"/>
      <c r="C430" s="572"/>
      <c r="D430" s="542"/>
      <c r="E430" s="542"/>
      <c r="F430" s="573"/>
      <c r="G430" s="574"/>
      <c r="H430" s="540"/>
      <c r="I430" s="540"/>
      <c r="J430" s="540"/>
      <c r="K430" s="540"/>
    </row>
    <row r="431" spans="1:11">
      <c r="A431" s="538"/>
      <c r="B431" s="571"/>
      <c r="C431" s="572"/>
      <c r="D431" s="542"/>
      <c r="E431" s="542"/>
      <c r="F431" s="573"/>
      <c r="G431" s="574"/>
      <c r="H431" s="540"/>
      <c r="I431" s="540"/>
      <c r="J431" s="540"/>
      <c r="K431" s="540"/>
    </row>
    <row r="432" spans="1:11">
      <c r="A432" s="538"/>
      <c r="B432" s="571"/>
      <c r="C432" s="572"/>
      <c r="D432" s="542"/>
      <c r="E432" s="542"/>
      <c r="F432" s="573"/>
      <c r="G432" s="574"/>
      <c r="H432" s="540"/>
      <c r="I432" s="540"/>
      <c r="J432" s="540"/>
      <c r="K432" s="540"/>
    </row>
    <row r="433" spans="1:11">
      <c r="A433" s="538"/>
      <c r="B433" s="571"/>
      <c r="C433" s="572"/>
      <c r="D433" s="542"/>
      <c r="E433" s="542"/>
      <c r="F433" s="573"/>
      <c r="G433" s="574"/>
      <c r="H433" s="540"/>
      <c r="I433" s="540"/>
      <c r="J433" s="540"/>
      <c r="K433" s="540"/>
    </row>
    <row r="434" spans="1:11">
      <c r="A434" s="538"/>
      <c r="B434" s="571"/>
      <c r="C434" s="572"/>
      <c r="D434" s="542"/>
      <c r="E434" s="542"/>
      <c r="F434" s="573"/>
      <c r="G434" s="574"/>
      <c r="H434" s="540"/>
      <c r="I434" s="540"/>
      <c r="J434" s="540"/>
      <c r="K434" s="540"/>
    </row>
    <row r="435" spans="1:11">
      <c r="A435" s="538"/>
      <c r="B435" s="571"/>
      <c r="C435" s="572"/>
      <c r="D435" s="542"/>
      <c r="E435" s="542"/>
      <c r="F435" s="573"/>
      <c r="G435" s="574"/>
      <c r="H435" s="540"/>
      <c r="I435" s="540"/>
      <c r="J435" s="540"/>
      <c r="K435" s="540"/>
    </row>
    <row r="436" spans="1:11">
      <c r="A436" s="538"/>
      <c r="B436" s="571"/>
      <c r="C436" s="572"/>
      <c r="D436" s="542"/>
      <c r="E436" s="542"/>
      <c r="F436" s="573"/>
      <c r="G436" s="574"/>
      <c r="H436" s="540"/>
      <c r="I436" s="540"/>
      <c r="J436" s="540"/>
      <c r="K436" s="540"/>
    </row>
    <row r="437" spans="1:11">
      <c r="A437" s="538"/>
      <c r="B437" s="562"/>
      <c r="C437" s="563"/>
      <c r="D437" s="539"/>
      <c r="E437" s="539"/>
      <c r="F437" s="564"/>
      <c r="G437" s="565"/>
      <c r="H437" s="540"/>
      <c r="I437" s="540"/>
      <c r="J437" s="540"/>
      <c r="K437" s="540"/>
    </row>
    <row r="438" spans="1:11">
      <c r="A438" s="538"/>
      <c r="B438" s="571"/>
      <c r="C438" s="572"/>
      <c r="D438" s="542"/>
      <c r="E438" s="542"/>
      <c r="F438" s="573"/>
      <c r="G438" s="574"/>
      <c r="H438" s="540"/>
      <c r="I438" s="540"/>
      <c r="J438" s="540"/>
      <c r="K438" s="540"/>
    </row>
    <row r="439" spans="1:11">
      <c r="A439" s="538"/>
      <c r="B439" s="562"/>
      <c r="C439" s="563"/>
      <c r="D439" s="539"/>
      <c r="E439" s="539"/>
      <c r="F439" s="564"/>
      <c r="G439" s="565"/>
      <c r="H439" s="540"/>
      <c r="I439" s="540"/>
      <c r="J439" s="540"/>
      <c r="K439" s="540"/>
    </row>
    <row r="440" spans="1:11">
      <c r="A440" s="538"/>
      <c r="B440" s="571"/>
      <c r="C440" s="572"/>
      <c r="D440" s="542"/>
      <c r="E440" s="542"/>
      <c r="F440" s="573"/>
      <c r="G440" s="574"/>
      <c r="H440" s="540"/>
      <c r="I440" s="540"/>
      <c r="J440" s="540"/>
      <c r="K440" s="540"/>
    </row>
    <row r="441" spans="1:11">
      <c r="A441" s="538"/>
      <c r="B441" s="562"/>
      <c r="C441" s="563"/>
      <c r="D441" s="539"/>
      <c r="E441" s="539"/>
      <c r="F441" s="564"/>
      <c r="G441" s="565"/>
      <c r="H441" s="540"/>
      <c r="I441" s="540"/>
      <c r="J441" s="540"/>
      <c r="K441" s="540"/>
    </row>
    <row r="442" spans="1:11">
      <c r="A442" s="538"/>
      <c r="B442" s="571"/>
      <c r="C442" s="572"/>
      <c r="D442" s="542"/>
      <c r="E442" s="542"/>
      <c r="F442" s="573"/>
      <c r="G442" s="574"/>
      <c r="H442" s="540"/>
      <c r="I442" s="540"/>
      <c r="J442" s="540"/>
      <c r="K442" s="540"/>
    </row>
    <row r="443" spans="1:11">
      <c r="A443" s="538"/>
      <c r="B443" s="562"/>
      <c r="C443" s="563"/>
      <c r="D443" s="539"/>
      <c r="E443" s="539"/>
      <c r="F443" s="564"/>
      <c r="G443" s="565"/>
      <c r="H443" s="540"/>
      <c r="I443" s="540"/>
      <c r="J443" s="540"/>
      <c r="K443" s="540"/>
    </row>
    <row r="444" spans="1:11">
      <c r="A444" s="538"/>
      <c r="B444" s="571"/>
      <c r="C444" s="572"/>
      <c r="D444" s="542"/>
      <c r="E444" s="542"/>
      <c r="F444" s="573"/>
      <c r="G444" s="574"/>
      <c r="H444" s="540"/>
      <c r="I444" s="540"/>
      <c r="J444" s="540"/>
      <c r="K444" s="540"/>
    </row>
    <row r="445" spans="1:11">
      <c r="A445" s="538"/>
      <c r="B445" s="562"/>
      <c r="C445" s="563"/>
      <c r="D445" s="539"/>
      <c r="E445" s="539"/>
      <c r="F445" s="564"/>
      <c r="G445" s="565"/>
      <c r="H445" s="540"/>
      <c r="I445" s="540"/>
      <c r="J445" s="540"/>
      <c r="K445" s="540"/>
    </row>
    <row r="446" spans="1:11">
      <c r="A446" s="538"/>
      <c r="B446" s="571"/>
      <c r="C446" s="572"/>
      <c r="D446" s="542"/>
      <c r="E446" s="542"/>
      <c r="F446" s="573"/>
      <c r="G446" s="574"/>
      <c r="H446" s="540"/>
      <c r="I446" s="540"/>
      <c r="J446" s="540"/>
      <c r="K446" s="540"/>
    </row>
    <row r="447" spans="1:11">
      <c r="A447" s="538"/>
      <c r="B447" s="562"/>
      <c r="C447" s="563"/>
      <c r="D447" s="539"/>
      <c r="E447" s="539"/>
      <c r="F447" s="564"/>
      <c r="G447" s="565"/>
      <c r="H447" s="540"/>
      <c r="I447" s="540"/>
      <c r="J447" s="540"/>
      <c r="K447" s="540"/>
    </row>
    <row r="448" spans="1:11">
      <c r="A448" s="538"/>
      <c r="B448" s="562"/>
      <c r="C448" s="563"/>
      <c r="D448" s="539"/>
      <c r="E448" s="539"/>
      <c r="F448" s="564"/>
      <c r="G448" s="565"/>
      <c r="H448" s="540"/>
      <c r="I448" s="540"/>
      <c r="J448" s="540"/>
      <c r="K448" s="540"/>
    </row>
    <row r="449" spans="1:11">
      <c r="A449" s="538"/>
      <c r="B449" s="562"/>
      <c r="C449" s="563"/>
      <c r="D449" s="539"/>
      <c r="E449" s="539"/>
      <c r="F449" s="564"/>
      <c r="G449" s="565"/>
      <c r="H449" s="540"/>
      <c r="I449" s="540"/>
      <c r="J449" s="540"/>
      <c r="K449" s="540"/>
    </row>
    <row r="450" spans="1:11">
      <c r="A450" s="538"/>
      <c r="B450" s="562"/>
      <c r="C450" s="563"/>
      <c r="D450" s="539"/>
      <c r="E450" s="539"/>
      <c r="F450" s="564"/>
      <c r="G450" s="565"/>
      <c r="H450" s="540"/>
      <c r="I450" s="540"/>
      <c r="J450" s="540"/>
      <c r="K450" s="540"/>
    </row>
    <row r="451" spans="1:11">
      <c r="A451" s="538"/>
      <c r="B451" s="562"/>
      <c r="C451" s="563"/>
      <c r="D451" s="539"/>
      <c r="E451" s="539"/>
      <c r="F451" s="564"/>
      <c r="G451" s="565"/>
      <c r="H451" s="540"/>
      <c r="I451" s="540"/>
      <c r="J451" s="540"/>
      <c r="K451" s="540"/>
    </row>
    <row r="452" spans="1:11">
      <c r="A452" s="544"/>
      <c r="B452" s="577"/>
      <c r="C452" s="578"/>
      <c r="D452" s="545"/>
      <c r="E452" s="545"/>
      <c r="F452" s="579"/>
      <c r="G452" s="580"/>
      <c r="H452" s="546"/>
      <c r="I452" s="546"/>
      <c r="J452" s="546"/>
      <c r="K452" s="546"/>
    </row>
    <row r="453" spans="1:11">
      <c r="A453" s="547" t="s">
        <v>148</v>
      </c>
      <c r="B453" s="581"/>
      <c r="C453" s="582"/>
      <c r="D453" s="583"/>
      <c r="E453" s="583"/>
      <c r="F453" s="584" t="s">
        <v>246</v>
      </c>
      <c r="G453" s="585"/>
      <c r="H453" s="586" t="s">
        <v>219</v>
      </c>
      <c r="I453" s="548">
        <f>SUM(I399:I452)</f>
        <v>0</v>
      </c>
      <c r="J453" s="586"/>
      <c r="K453" s="548">
        <f>SUM(K399:K452)</f>
        <v>0</v>
      </c>
    </row>
    <row r="454" spans="1:11">
      <c r="A454" s="533" t="s">
        <v>143</v>
      </c>
      <c r="B454" s="554" t="s">
        <v>198</v>
      </c>
      <c r="C454" s="1496" t="s">
        <v>199</v>
      </c>
      <c r="D454" s="1497"/>
      <c r="E454" s="1497"/>
      <c r="F454" s="1498"/>
      <c r="G454" s="555" t="s">
        <v>200</v>
      </c>
      <c r="H454" s="534" t="s">
        <v>201</v>
      </c>
      <c r="I454" s="534" t="s">
        <v>156</v>
      </c>
      <c r="J454" s="590" t="s">
        <v>286</v>
      </c>
      <c r="K454" s="590" t="s">
        <v>288</v>
      </c>
    </row>
    <row r="455" spans="1:11">
      <c r="A455" s="278"/>
      <c r="B455" s="557"/>
      <c r="C455" s="558" t="s">
        <v>186</v>
      </c>
      <c r="D455" s="559" t="s">
        <v>182</v>
      </c>
      <c r="E455" s="559" t="s">
        <v>187</v>
      </c>
      <c r="F455" s="560" t="s">
        <v>188</v>
      </c>
      <c r="G455" s="561"/>
      <c r="H455" s="536" t="s">
        <v>247</v>
      </c>
      <c r="I455" s="536" t="s">
        <v>247</v>
      </c>
      <c r="J455" s="591" t="s">
        <v>287</v>
      </c>
      <c r="K455" s="591" t="s">
        <v>287</v>
      </c>
    </row>
    <row r="456" spans="1:11">
      <c r="A456" s="538"/>
      <c r="B456" s="562"/>
      <c r="C456" s="563"/>
      <c r="D456" s="539"/>
      <c r="E456" s="539"/>
      <c r="F456" s="564"/>
      <c r="G456" s="565"/>
      <c r="H456" s="540"/>
      <c r="I456" s="540"/>
      <c r="J456" s="540"/>
      <c r="K456" s="540"/>
    </row>
    <row r="457" spans="1:11">
      <c r="A457" s="538"/>
      <c r="B457" s="562"/>
      <c r="C457" s="563"/>
      <c r="D457" s="539"/>
      <c r="E457" s="539"/>
      <c r="F457" s="564"/>
      <c r="G457" s="565"/>
      <c r="H457" s="540"/>
      <c r="I457" s="540"/>
      <c r="J457" s="540"/>
      <c r="K457" s="540"/>
    </row>
    <row r="458" spans="1:11">
      <c r="A458" s="538"/>
      <c r="B458" s="567"/>
      <c r="C458" s="568"/>
      <c r="D458" s="569"/>
      <c r="E458" s="569"/>
      <c r="F458" s="570"/>
      <c r="G458" s="565"/>
      <c r="H458" s="540"/>
      <c r="I458" s="540"/>
      <c r="J458" s="540"/>
      <c r="K458" s="540"/>
    </row>
    <row r="459" spans="1:11">
      <c r="A459" s="538"/>
      <c r="B459" s="562"/>
      <c r="C459" s="563"/>
      <c r="D459" s="539"/>
      <c r="E459" s="539"/>
      <c r="F459" s="564"/>
      <c r="G459" s="565"/>
      <c r="H459" s="540"/>
      <c r="I459" s="540"/>
      <c r="J459" s="540"/>
      <c r="K459" s="540"/>
    </row>
    <row r="460" spans="1:11">
      <c r="A460" s="538"/>
      <c r="B460" s="571"/>
      <c r="C460" s="572"/>
      <c r="D460" s="542"/>
      <c r="E460" s="542"/>
      <c r="F460" s="573"/>
      <c r="G460" s="574"/>
      <c r="H460" s="540"/>
      <c r="I460" s="540"/>
      <c r="J460" s="540"/>
      <c r="K460" s="540"/>
    </row>
    <row r="461" spans="1:11">
      <c r="A461" s="538"/>
      <c r="B461" s="562"/>
      <c r="C461" s="563"/>
      <c r="D461" s="539"/>
      <c r="E461" s="539"/>
      <c r="F461" s="564"/>
      <c r="G461" s="565"/>
      <c r="H461" s="540"/>
      <c r="I461" s="540"/>
      <c r="J461" s="540"/>
      <c r="K461" s="540"/>
    </row>
    <row r="462" spans="1:11">
      <c r="A462" s="538"/>
      <c r="B462" s="571"/>
      <c r="C462" s="572"/>
      <c r="D462" s="542"/>
      <c r="E462" s="542"/>
      <c r="F462" s="573"/>
      <c r="G462" s="574"/>
      <c r="H462" s="540"/>
      <c r="I462" s="540"/>
      <c r="J462" s="540"/>
      <c r="K462" s="540"/>
    </row>
    <row r="463" spans="1:11">
      <c r="A463" s="538"/>
      <c r="B463" s="562"/>
      <c r="C463" s="563"/>
      <c r="D463" s="539"/>
      <c r="E463" s="539"/>
      <c r="F463" s="564"/>
      <c r="G463" s="565"/>
      <c r="H463" s="540"/>
      <c r="I463" s="540"/>
      <c r="J463" s="540"/>
      <c r="K463" s="540"/>
    </row>
    <row r="464" spans="1:11">
      <c r="A464" s="538"/>
      <c r="B464" s="571"/>
      <c r="C464" s="572"/>
      <c r="D464" s="542"/>
      <c r="E464" s="542"/>
      <c r="F464" s="573"/>
      <c r="G464" s="574"/>
      <c r="H464" s="540"/>
      <c r="I464" s="540"/>
      <c r="J464" s="540"/>
      <c r="K464" s="540"/>
    </row>
    <row r="465" spans="1:11">
      <c r="A465" s="538"/>
      <c r="B465" s="562"/>
      <c r="C465" s="563"/>
      <c r="D465" s="539"/>
      <c r="E465" s="539"/>
      <c r="F465" s="564"/>
      <c r="G465" s="565"/>
      <c r="H465" s="540"/>
      <c r="I465" s="540"/>
      <c r="J465" s="540"/>
      <c r="K465" s="540"/>
    </row>
    <row r="466" spans="1:11">
      <c r="A466" s="538"/>
      <c r="B466" s="571"/>
      <c r="C466" s="572"/>
      <c r="D466" s="542"/>
      <c r="E466" s="542"/>
      <c r="F466" s="573"/>
      <c r="G466" s="574"/>
      <c r="H466" s="540"/>
      <c r="I466" s="540"/>
      <c r="J466" s="540"/>
      <c r="K466" s="540"/>
    </row>
    <row r="467" spans="1:11">
      <c r="A467" s="538"/>
      <c r="B467" s="562"/>
      <c r="C467" s="563"/>
      <c r="D467" s="539"/>
      <c r="E467" s="539"/>
      <c r="F467" s="564"/>
      <c r="G467" s="565"/>
      <c r="H467" s="540"/>
      <c r="I467" s="540"/>
      <c r="J467" s="540"/>
      <c r="K467" s="540"/>
    </row>
    <row r="468" spans="1:11">
      <c r="A468" s="538"/>
      <c r="B468" s="571"/>
      <c r="C468" s="572"/>
      <c r="D468" s="542"/>
      <c r="E468" s="542"/>
      <c r="F468" s="573"/>
      <c r="G468" s="574"/>
      <c r="H468" s="540"/>
      <c r="I468" s="540"/>
      <c r="J468" s="540"/>
      <c r="K468" s="540"/>
    </row>
    <row r="469" spans="1:11">
      <c r="A469" s="538"/>
      <c r="B469" s="562"/>
      <c r="C469" s="563"/>
      <c r="D469" s="539"/>
      <c r="E469" s="539"/>
      <c r="F469" s="564"/>
      <c r="G469" s="565"/>
      <c r="H469" s="540"/>
      <c r="I469" s="540"/>
      <c r="J469" s="540"/>
      <c r="K469" s="540"/>
    </row>
    <row r="470" spans="1:11">
      <c r="A470" s="538"/>
      <c r="B470" s="571"/>
      <c r="C470" s="572"/>
      <c r="D470" s="542"/>
      <c r="E470" s="542"/>
      <c r="F470" s="573"/>
      <c r="G470" s="574"/>
      <c r="H470" s="540"/>
      <c r="I470" s="540"/>
      <c r="J470" s="540"/>
      <c r="K470" s="540"/>
    </row>
    <row r="471" spans="1:11">
      <c r="A471" s="538"/>
      <c r="B471" s="562"/>
      <c r="C471" s="563"/>
      <c r="D471" s="539"/>
      <c r="E471" s="539"/>
      <c r="F471" s="564"/>
      <c r="G471" s="565"/>
      <c r="H471" s="540"/>
      <c r="I471" s="540"/>
      <c r="J471" s="540"/>
      <c r="K471" s="540"/>
    </row>
    <row r="472" spans="1:11">
      <c r="A472" s="538"/>
      <c r="B472" s="571"/>
      <c r="C472" s="572"/>
      <c r="D472" s="542"/>
      <c r="E472" s="542"/>
      <c r="F472" s="573"/>
      <c r="G472" s="574"/>
      <c r="H472" s="540"/>
      <c r="I472" s="540"/>
      <c r="J472" s="540"/>
      <c r="K472" s="540"/>
    </row>
    <row r="473" spans="1:11">
      <c r="A473" s="538"/>
      <c r="B473" s="562"/>
      <c r="C473" s="563"/>
      <c r="D473" s="539"/>
      <c r="E473" s="539"/>
      <c r="F473" s="564"/>
      <c r="G473" s="565"/>
      <c r="H473" s="540"/>
      <c r="I473" s="540"/>
      <c r="J473" s="540"/>
      <c r="K473" s="540"/>
    </row>
    <row r="474" spans="1:11">
      <c r="A474" s="538"/>
      <c r="B474" s="571"/>
      <c r="C474" s="572"/>
      <c r="D474" s="542"/>
      <c r="E474" s="542"/>
      <c r="F474" s="573"/>
      <c r="G474" s="574"/>
      <c r="H474" s="540"/>
      <c r="I474" s="540"/>
      <c r="J474" s="540"/>
      <c r="K474" s="540"/>
    </row>
    <row r="475" spans="1:11">
      <c r="A475" s="538"/>
      <c r="B475" s="562"/>
      <c r="C475" s="563"/>
      <c r="D475" s="539"/>
      <c r="E475" s="539"/>
      <c r="F475" s="564"/>
      <c r="G475" s="565"/>
      <c r="H475" s="540"/>
      <c r="I475" s="540"/>
      <c r="J475" s="540"/>
      <c r="K475" s="540"/>
    </row>
    <row r="476" spans="1:11">
      <c r="A476" s="538"/>
      <c r="B476" s="571"/>
      <c r="C476" s="572"/>
      <c r="D476" s="542"/>
      <c r="E476" s="542"/>
      <c r="F476" s="573"/>
      <c r="G476" s="574"/>
      <c r="H476" s="540"/>
      <c r="I476" s="540"/>
      <c r="J476" s="540"/>
      <c r="K476" s="540"/>
    </row>
    <row r="477" spans="1:11">
      <c r="A477" s="538"/>
      <c r="B477" s="562"/>
      <c r="C477" s="563"/>
      <c r="D477" s="539"/>
      <c r="E477" s="539"/>
      <c r="F477" s="564"/>
      <c r="G477" s="565"/>
      <c r="H477" s="540"/>
      <c r="I477" s="540"/>
      <c r="J477" s="540"/>
      <c r="K477" s="540"/>
    </row>
    <row r="478" spans="1:11">
      <c r="A478" s="538"/>
      <c r="B478" s="571"/>
      <c r="C478" s="572"/>
      <c r="D478" s="542"/>
      <c r="E478" s="542"/>
      <c r="F478" s="573"/>
      <c r="G478" s="574"/>
      <c r="H478" s="540"/>
      <c r="I478" s="540"/>
      <c r="J478" s="540"/>
      <c r="K478" s="540"/>
    </row>
    <row r="479" spans="1:11">
      <c r="A479" s="538"/>
      <c r="B479" s="562"/>
      <c r="C479" s="563"/>
      <c r="D479" s="539"/>
      <c r="E479" s="539"/>
      <c r="F479" s="564"/>
      <c r="G479" s="565"/>
      <c r="H479" s="540"/>
      <c r="I479" s="540"/>
      <c r="J479" s="540"/>
      <c r="K479" s="540"/>
    </row>
    <row r="480" spans="1:11">
      <c r="A480" s="538"/>
      <c r="B480" s="571"/>
      <c r="C480" s="572"/>
      <c r="D480" s="542"/>
      <c r="E480" s="542"/>
      <c r="F480" s="573"/>
      <c r="G480" s="574"/>
      <c r="H480" s="540"/>
      <c r="I480" s="540"/>
      <c r="J480" s="540"/>
      <c r="K480" s="540"/>
    </row>
    <row r="481" spans="1:11">
      <c r="A481" s="538"/>
      <c r="B481" s="562"/>
      <c r="C481" s="563"/>
      <c r="D481" s="539"/>
      <c r="E481" s="539"/>
      <c r="F481" s="564"/>
      <c r="G481" s="565"/>
      <c r="H481" s="540"/>
      <c r="I481" s="540"/>
      <c r="J481" s="540"/>
      <c r="K481" s="540"/>
    </row>
    <row r="482" spans="1:11">
      <c r="A482" s="538"/>
      <c r="B482" s="562"/>
      <c r="C482" s="563"/>
      <c r="D482" s="539"/>
      <c r="E482" s="539"/>
      <c r="F482" s="564"/>
      <c r="G482" s="565"/>
      <c r="H482" s="540"/>
      <c r="I482" s="540"/>
      <c r="J482" s="540"/>
      <c r="K482" s="540"/>
    </row>
    <row r="483" spans="1:11">
      <c r="A483" s="538"/>
      <c r="B483" s="562"/>
      <c r="C483" s="563"/>
      <c r="D483" s="539"/>
      <c r="E483" s="539"/>
      <c r="F483" s="564"/>
      <c r="G483" s="565"/>
      <c r="H483" s="540"/>
      <c r="I483" s="540"/>
      <c r="J483" s="540"/>
      <c r="K483" s="540"/>
    </row>
    <row r="484" spans="1:11">
      <c r="A484" s="538"/>
      <c r="B484" s="562"/>
      <c r="C484" s="563"/>
      <c r="D484" s="539"/>
      <c r="E484" s="539"/>
      <c r="F484" s="564"/>
      <c r="G484" s="565"/>
      <c r="H484" s="540"/>
      <c r="I484" s="540"/>
      <c r="J484" s="540"/>
      <c r="K484" s="540"/>
    </row>
    <row r="485" spans="1:11">
      <c r="A485" s="538"/>
      <c r="B485" s="562"/>
      <c r="C485" s="563"/>
      <c r="D485" s="539"/>
      <c r="E485" s="539"/>
      <c r="F485" s="564"/>
      <c r="G485" s="565"/>
      <c r="H485" s="540"/>
      <c r="I485" s="540"/>
      <c r="J485" s="540"/>
      <c r="K485" s="540"/>
    </row>
    <row r="486" spans="1:11">
      <c r="A486" s="538"/>
      <c r="B486" s="562"/>
      <c r="C486" s="563"/>
      <c r="D486" s="539"/>
      <c r="E486" s="539"/>
      <c r="F486" s="564"/>
      <c r="G486" s="565"/>
      <c r="H486" s="540"/>
      <c r="I486" s="540"/>
      <c r="J486" s="540"/>
      <c r="K486" s="540"/>
    </row>
    <row r="487" spans="1:11">
      <c r="A487" s="538"/>
      <c r="B487" s="562"/>
      <c r="C487" s="563"/>
      <c r="D487" s="539"/>
      <c r="E487" s="539"/>
      <c r="F487" s="564"/>
      <c r="G487" s="565"/>
      <c r="H487" s="540"/>
      <c r="I487" s="540"/>
      <c r="J487" s="540"/>
      <c r="K487" s="540"/>
    </row>
    <row r="488" spans="1:11">
      <c r="A488" s="538"/>
      <c r="B488" s="562"/>
      <c r="C488" s="563"/>
      <c r="D488" s="539"/>
      <c r="E488" s="539"/>
      <c r="F488" s="564"/>
      <c r="G488" s="565"/>
      <c r="H488" s="540"/>
      <c r="I488" s="540"/>
      <c r="J488" s="540"/>
      <c r="K488" s="540"/>
    </row>
    <row r="489" spans="1:11">
      <c r="A489" s="538"/>
      <c r="B489" s="562"/>
      <c r="C489" s="563"/>
      <c r="D489" s="539"/>
      <c r="E489" s="539"/>
      <c r="F489" s="564"/>
      <c r="G489" s="565"/>
      <c r="H489" s="540"/>
      <c r="I489" s="540"/>
      <c r="J489" s="540"/>
      <c r="K489" s="540"/>
    </row>
    <row r="490" spans="1:11">
      <c r="A490" s="538"/>
      <c r="B490" s="562"/>
      <c r="C490" s="563"/>
      <c r="D490" s="539"/>
      <c r="E490" s="539"/>
      <c r="F490" s="564"/>
      <c r="G490" s="565"/>
      <c r="H490" s="540"/>
      <c r="I490" s="540"/>
      <c r="J490" s="540"/>
      <c r="K490" s="540"/>
    </row>
    <row r="491" spans="1:11">
      <c r="A491" s="538"/>
      <c r="B491" s="562"/>
      <c r="C491" s="563"/>
      <c r="D491" s="539"/>
      <c r="E491" s="539"/>
      <c r="F491" s="564"/>
      <c r="G491" s="565"/>
      <c r="H491" s="540"/>
      <c r="I491" s="540"/>
      <c r="J491" s="540"/>
      <c r="K491" s="540"/>
    </row>
    <row r="492" spans="1:11">
      <c r="A492" s="538"/>
      <c r="B492" s="562"/>
      <c r="C492" s="563"/>
      <c r="D492" s="539"/>
      <c r="E492" s="539"/>
      <c r="F492" s="564"/>
      <c r="G492" s="565"/>
      <c r="H492" s="540"/>
      <c r="I492" s="540"/>
      <c r="J492" s="540"/>
      <c r="K492" s="540"/>
    </row>
    <row r="493" spans="1:11">
      <c r="A493" s="538"/>
      <c r="B493" s="562"/>
      <c r="C493" s="563"/>
      <c r="D493" s="539"/>
      <c r="E493" s="539"/>
      <c r="F493" s="564"/>
      <c r="G493" s="565"/>
      <c r="H493" s="540"/>
      <c r="I493" s="540"/>
      <c r="J493" s="540"/>
      <c r="K493" s="540"/>
    </row>
    <row r="494" spans="1:11">
      <c r="A494" s="538"/>
      <c r="B494" s="562"/>
      <c r="C494" s="563"/>
      <c r="D494" s="539"/>
      <c r="E494" s="539"/>
      <c r="F494" s="564"/>
      <c r="G494" s="565"/>
      <c r="H494" s="540"/>
      <c r="I494" s="540"/>
      <c r="J494" s="540"/>
      <c r="K494" s="540"/>
    </row>
    <row r="495" spans="1:11">
      <c r="A495" s="538"/>
      <c r="B495" s="571"/>
      <c r="C495" s="572"/>
      <c r="D495" s="542"/>
      <c r="E495" s="542"/>
      <c r="F495" s="573"/>
      <c r="G495" s="574"/>
      <c r="H495" s="540"/>
      <c r="I495" s="540"/>
      <c r="J495" s="540"/>
      <c r="K495" s="540"/>
    </row>
    <row r="496" spans="1:11">
      <c r="A496" s="538"/>
      <c r="B496" s="562"/>
      <c r="C496" s="563"/>
      <c r="D496" s="539"/>
      <c r="E496" s="539"/>
      <c r="F496" s="564"/>
      <c r="G496" s="565"/>
      <c r="H496" s="540"/>
      <c r="I496" s="540"/>
      <c r="J496" s="540"/>
      <c r="K496" s="540"/>
    </row>
    <row r="497" spans="1:11">
      <c r="A497" s="538"/>
      <c r="B497" s="571"/>
      <c r="C497" s="572"/>
      <c r="D497" s="542"/>
      <c r="E497" s="542"/>
      <c r="F497" s="573"/>
      <c r="G497" s="574"/>
      <c r="H497" s="540"/>
      <c r="I497" s="540"/>
      <c r="J497" s="540"/>
      <c r="K497" s="540"/>
    </row>
    <row r="498" spans="1:11">
      <c r="A498" s="538"/>
      <c r="B498" s="562"/>
      <c r="C498" s="563"/>
      <c r="D498" s="539"/>
      <c r="E498" s="539"/>
      <c r="F498" s="564"/>
      <c r="G498" s="565"/>
      <c r="H498" s="540"/>
      <c r="I498" s="540"/>
      <c r="J498" s="540"/>
      <c r="K498" s="540"/>
    </row>
    <row r="499" spans="1:11">
      <c r="A499" s="538"/>
      <c r="B499" s="571"/>
      <c r="C499" s="572"/>
      <c r="D499" s="542"/>
      <c r="E499" s="542"/>
      <c r="F499" s="573"/>
      <c r="G499" s="574"/>
      <c r="H499" s="540"/>
      <c r="I499" s="540"/>
      <c r="J499" s="540"/>
      <c r="K499" s="540"/>
    </row>
    <row r="500" spans="1:11">
      <c r="A500" s="538"/>
      <c r="B500" s="562"/>
      <c r="C500" s="563"/>
      <c r="D500" s="539"/>
      <c r="E500" s="539"/>
      <c r="F500" s="564"/>
      <c r="G500" s="565"/>
      <c r="H500" s="540"/>
      <c r="I500" s="540"/>
      <c r="J500" s="540"/>
      <c r="K500" s="540"/>
    </row>
    <row r="501" spans="1:11">
      <c r="A501" s="538"/>
      <c r="B501" s="571"/>
      <c r="C501" s="572"/>
      <c r="D501" s="542"/>
      <c r="E501" s="542"/>
      <c r="F501" s="573"/>
      <c r="G501" s="574"/>
      <c r="H501" s="540"/>
      <c r="I501" s="540"/>
      <c r="J501" s="540"/>
      <c r="K501" s="540"/>
    </row>
    <row r="502" spans="1:11">
      <c r="A502" s="538"/>
      <c r="B502" s="562"/>
      <c r="C502" s="563"/>
      <c r="D502" s="539"/>
      <c r="E502" s="539"/>
      <c r="F502" s="564"/>
      <c r="G502" s="565"/>
      <c r="H502" s="540"/>
      <c r="I502" s="540"/>
      <c r="J502" s="540"/>
      <c r="K502" s="540"/>
    </row>
    <row r="503" spans="1:11">
      <c r="A503" s="538"/>
      <c r="B503" s="571"/>
      <c r="C503" s="572"/>
      <c r="D503" s="542"/>
      <c r="E503" s="542"/>
      <c r="F503" s="573"/>
      <c r="G503" s="574"/>
      <c r="H503" s="540"/>
      <c r="I503" s="540"/>
      <c r="J503" s="540"/>
      <c r="K503" s="540"/>
    </row>
    <row r="504" spans="1:11">
      <c r="A504" s="538"/>
      <c r="B504" s="562"/>
      <c r="C504" s="563"/>
      <c r="D504" s="539"/>
      <c r="E504" s="539"/>
      <c r="F504" s="564"/>
      <c r="G504" s="565"/>
      <c r="H504" s="540"/>
      <c r="I504" s="540"/>
      <c r="J504" s="540"/>
      <c r="K504" s="540"/>
    </row>
    <row r="505" spans="1:11">
      <c r="A505" s="538"/>
      <c r="B505" s="562"/>
      <c r="C505" s="563"/>
      <c r="D505" s="539"/>
      <c r="E505" s="539"/>
      <c r="F505" s="564"/>
      <c r="G505" s="565"/>
      <c r="H505" s="540"/>
      <c r="I505" s="540"/>
      <c r="J505" s="540"/>
      <c r="K505" s="540"/>
    </row>
    <row r="506" spans="1:11">
      <c r="A506" s="538"/>
      <c r="B506" s="562"/>
      <c r="C506" s="563"/>
      <c r="D506" s="539"/>
      <c r="E506" s="539"/>
      <c r="F506" s="564"/>
      <c r="G506" s="565"/>
      <c r="H506" s="540"/>
      <c r="I506" s="540"/>
      <c r="J506" s="540"/>
      <c r="K506" s="540"/>
    </row>
    <row r="507" spans="1:11">
      <c r="A507" s="538"/>
      <c r="B507" s="562"/>
      <c r="C507" s="563"/>
      <c r="D507" s="539"/>
      <c r="E507" s="539"/>
      <c r="F507" s="564"/>
      <c r="G507" s="565"/>
      <c r="H507" s="540"/>
      <c r="I507" s="540"/>
      <c r="J507" s="540"/>
      <c r="K507" s="540"/>
    </row>
    <row r="508" spans="1:11">
      <c r="A508" s="538"/>
      <c r="B508" s="562"/>
      <c r="C508" s="563"/>
      <c r="D508" s="539"/>
      <c r="E508" s="539"/>
      <c r="F508" s="564"/>
      <c r="G508" s="565"/>
      <c r="H508" s="540"/>
      <c r="I508" s="540"/>
      <c r="J508" s="540"/>
      <c r="K508" s="540"/>
    </row>
    <row r="509" spans="1:11">
      <c r="A509" s="544"/>
      <c r="B509" s="577"/>
      <c r="C509" s="578"/>
      <c r="D509" s="545"/>
      <c r="E509" s="545"/>
      <c r="F509" s="579"/>
      <c r="G509" s="580"/>
      <c r="H509" s="546"/>
      <c r="I509" s="546"/>
      <c r="J509" s="546"/>
      <c r="K509" s="546"/>
    </row>
    <row r="510" spans="1:11">
      <c r="A510" s="547" t="s">
        <v>148</v>
      </c>
      <c r="B510" s="581"/>
      <c r="C510" s="582"/>
      <c r="D510" s="583"/>
      <c r="E510" s="583"/>
      <c r="F510" s="584" t="s">
        <v>246</v>
      </c>
      <c r="G510" s="585"/>
      <c r="H510" s="586" t="s">
        <v>219</v>
      </c>
      <c r="I510" s="548">
        <f>SUM(I456:I509)</f>
        <v>0</v>
      </c>
      <c r="J510" s="586"/>
      <c r="K510" s="548">
        <f>SUM(K456:K509)</f>
        <v>0</v>
      </c>
    </row>
    <row r="511" spans="1:11">
      <c r="A511" s="533" t="s">
        <v>143</v>
      </c>
      <c r="B511" s="554" t="s">
        <v>198</v>
      </c>
      <c r="C511" s="1496" t="s">
        <v>199</v>
      </c>
      <c r="D511" s="1497"/>
      <c r="E511" s="1497"/>
      <c r="F511" s="1498"/>
      <c r="G511" s="555" t="s">
        <v>200</v>
      </c>
      <c r="H511" s="534" t="s">
        <v>201</v>
      </c>
      <c r="I511" s="534" t="s">
        <v>156</v>
      </c>
      <c r="J511" s="590" t="s">
        <v>286</v>
      </c>
      <c r="K511" s="590" t="s">
        <v>288</v>
      </c>
    </row>
    <row r="512" spans="1:11">
      <c r="A512" s="278"/>
      <c r="B512" s="557"/>
      <c r="C512" s="558" t="s">
        <v>186</v>
      </c>
      <c r="D512" s="559" t="s">
        <v>182</v>
      </c>
      <c r="E512" s="559" t="s">
        <v>187</v>
      </c>
      <c r="F512" s="560" t="s">
        <v>188</v>
      </c>
      <c r="G512" s="561"/>
      <c r="H512" s="536" t="s">
        <v>247</v>
      </c>
      <c r="I512" s="536" t="s">
        <v>247</v>
      </c>
      <c r="J512" s="591" t="s">
        <v>287</v>
      </c>
      <c r="K512" s="591" t="s">
        <v>287</v>
      </c>
    </row>
    <row r="513" spans="1:11">
      <c r="A513" s="538"/>
      <c r="B513" s="562"/>
      <c r="C513" s="563"/>
      <c r="D513" s="539"/>
      <c r="E513" s="539"/>
      <c r="F513" s="564"/>
      <c r="G513" s="565"/>
      <c r="H513" s="540"/>
      <c r="I513" s="540"/>
      <c r="J513" s="540"/>
      <c r="K513" s="540"/>
    </row>
    <row r="514" spans="1:11">
      <c r="A514" s="538"/>
      <c r="B514" s="562"/>
      <c r="C514" s="563"/>
      <c r="D514" s="539"/>
      <c r="E514" s="539"/>
      <c r="F514" s="564"/>
      <c r="G514" s="565"/>
      <c r="H514" s="540"/>
      <c r="I514" s="540"/>
      <c r="J514" s="540"/>
      <c r="K514" s="540"/>
    </row>
    <row r="515" spans="1:11">
      <c r="A515" s="538"/>
      <c r="B515" s="567"/>
      <c r="C515" s="568"/>
      <c r="D515" s="569"/>
      <c r="E515" s="569"/>
      <c r="F515" s="570"/>
      <c r="G515" s="565"/>
      <c r="H515" s="540"/>
      <c r="I515" s="540"/>
      <c r="J515" s="540"/>
      <c r="K515" s="540"/>
    </row>
    <row r="516" spans="1:11">
      <c r="A516" s="538"/>
      <c r="B516" s="562"/>
      <c r="C516" s="563"/>
      <c r="D516" s="539"/>
      <c r="E516" s="539"/>
      <c r="F516" s="564"/>
      <c r="G516" s="565"/>
      <c r="H516" s="540"/>
      <c r="I516" s="540"/>
      <c r="J516" s="540"/>
      <c r="K516" s="540"/>
    </row>
    <row r="517" spans="1:11">
      <c r="A517" s="538"/>
      <c r="B517" s="571"/>
      <c r="C517" s="572"/>
      <c r="D517" s="542"/>
      <c r="E517" s="542"/>
      <c r="F517" s="573"/>
      <c r="G517" s="574"/>
      <c r="H517" s="540"/>
      <c r="I517" s="540"/>
      <c r="J517" s="540"/>
      <c r="K517" s="540"/>
    </row>
    <row r="518" spans="1:11">
      <c r="A518" s="538"/>
      <c r="B518" s="562"/>
      <c r="C518" s="563"/>
      <c r="D518" s="539"/>
      <c r="E518" s="539"/>
      <c r="F518" s="564"/>
      <c r="G518" s="565"/>
      <c r="H518" s="540"/>
      <c r="I518" s="540"/>
      <c r="J518" s="540"/>
      <c r="K518" s="540"/>
    </row>
    <row r="519" spans="1:11">
      <c r="A519" s="538"/>
      <c r="B519" s="571"/>
      <c r="C519" s="572"/>
      <c r="D519" s="542"/>
      <c r="E519" s="542"/>
      <c r="F519" s="573"/>
      <c r="G519" s="574"/>
      <c r="H519" s="540"/>
      <c r="I519" s="540"/>
      <c r="J519" s="540"/>
      <c r="K519" s="540"/>
    </row>
    <row r="520" spans="1:11">
      <c r="A520" s="538"/>
      <c r="B520" s="562"/>
      <c r="C520" s="563"/>
      <c r="D520" s="539"/>
      <c r="E520" s="539"/>
      <c r="F520" s="564"/>
      <c r="G520" s="565"/>
      <c r="H520" s="540"/>
      <c r="I520" s="540"/>
      <c r="J520" s="540"/>
      <c r="K520" s="540"/>
    </row>
    <row r="521" spans="1:11">
      <c r="A521" s="538"/>
      <c r="B521" s="571"/>
      <c r="C521" s="572"/>
      <c r="D521" s="542"/>
      <c r="E521" s="542"/>
      <c r="F521" s="573"/>
      <c r="G521" s="574"/>
      <c r="H521" s="540"/>
      <c r="I521" s="540"/>
      <c r="J521" s="540"/>
      <c r="K521" s="540"/>
    </row>
    <row r="522" spans="1:11">
      <c r="A522" s="538"/>
      <c r="B522" s="562"/>
      <c r="C522" s="563"/>
      <c r="D522" s="539"/>
      <c r="E522" s="539"/>
      <c r="F522" s="564"/>
      <c r="G522" s="565"/>
      <c r="H522" s="540"/>
      <c r="I522" s="540"/>
      <c r="J522" s="540"/>
      <c r="K522" s="540"/>
    </row>
    <row r="523" spans="1:11">
      <c r="A523" s="538"/>
      <c r="B523" s="571"/>
      <c r="C523" s="572"/>
      <c r="D523" s="542"/>
      <c r="E523" s="542"/>
      <c r="F523" s="573"/>
      <c r="G523" s="574"/>
      <c r="H523" s="540"/>
      <c r="I523" s="540"/>
      <c r="J523" s="540"/>
      <c r="K523" s="540"/>
    </row>
    <row r="524" spans="1:11">
      <c r="A524" s="538"/>
      <c r="B524" s="562"/>
      <c r="C524" s="563"/>
      <c r="D524" s="539"/>
      <c r="E524" s="539"/>
      <c r="F524" s="564"/>
      <c r="G524" s="565"/>
      <c r="H524" s="540"/>
      <c r="I524" s="540"/>
      <c r="J524" s="540"/>
      <c r="K524" s="540"/>
    </row>
    <row r="525" spans="1:11">
      <c r="A525" s="538"/>
      <c r="B525" s="571"/>
      <c r="C525" s="572"/>
      <c r="D525" s="542"/>
      <c r="E525" s="542"/>
      <c r="F525" s="573"/>
      <c r="G525" s="574"/>
      <c r="H525" s="540"/>
      <c r="I525" s="540"/>
      <c r="J525" s="540"/>
      <c r="K525" s="540"/>
    </row>
    <row r="526" spans="1:11">
      <c r="A526" s="538"/>
      <c r="B526" s="562"/>
      <c r="C526" s="563"/>
      <c r="D526" s="539"/>
      <c r="E526" s="539"/>
      <c r="F526" s="564"/>
      <c r="G526" s="565"/>
      <c r="H526" s="540"/>
      <c r="I526" s="540"/>
      <c r="J526" s="540"/>
      <c r="K526" s="540"/>
    </row>
    <row r="527" spans="1:11">
      <c r="A527" s="538"/>
      <c r="B527" s="571"/>
      <c r="C527" s="572"/>
      <c r="D527" s="542"/>
      <c r="E527" s="542"/>
      <c r="F527" s="573"/>
      <c r="G527" s="574"/>
      <c r="H527" s="540"/>
      <c r="I527" s="540"/>
      <c r="J527" s="540"/>
      <c r="K527" s="540"/>
    </row>
    <row r="528" spans="1:11">
      <c r="A528" s="538"/>
      <c r="B528" s="562"/>
      <c r="C528" s="563"/>
      <c r="D528" s="539"/>
      <c r="E528" s="539"/>
      <c r="F528" s="564"/>
      <c r="G528" s="565"/>
      <c r="H528" s="540"/>
      <c r="I528" s="540"/>
      <c r="J528" s="540"/>
      <c r="K528" s="540"/>
    </row>
    <row r="529" spans="1:11">
      <c r="A529" s="538"/>
      <c r="B529" s="571"/>
      <c r="C529" s="572"/>
      <c r="D529" s="542"/>
      <c r="E529" s="542"/>
      <c r="F529" s="573"/>
      <c r="G529" s="574"/>
      <c r="H529" s="540"/>
      <c r="I529" s="540"/>
      <c r="J529" s="540"/>
      <c r="K529" s="540"/>
    </row>
    <row r="530" spans="1:11">
      <c r="A530" s="538"/>
      <c r="B530" s="562"/>
      <c r="C530" s="563"/>
      <c r="D530" s="539"/>
      <c r="E530" s="539"/>
      <c r="F530" s="564"/>
      <c r="G530" s="565"/>
      <c r="H530" s="540"/>
      <c r="I530" s="540"/>
      <c r="J530" s="540"/>
      <c r="K530" s="540"/>
    </row>
    <row r="531" spans="1:11">
      <c r="A531" s="538"/>
      <c r="B531" s="562"/>
      <c r="C531" s="563"/>
      <c r="D531" s="539"/>
      <c r="E531" s="539"/>
      <c r="F531" s="564"/>
      <c r="G531" s="565"/>
      <c r="H531" s="540"/>
      <c r="I531" s="540"/>
      <c r="J531" s="540"/>
      <c r="K531" s="540"/>
    </row>
    <row r="532" spans="1:11">
      <c r="A532" s="538"/>
      <c r="B532" s="562"/>
      <c r="C532" s="563"/>
      <c r="D532" s="539"/>
      <c r="E532" s="539"/>
      <c r="F532" s="564"/>
      <c r="G532" s="565"/>
      <c r="H532" s="540"/>
      <c r="I532" s="540"/>
      <c r="J532" s="540"/>
      <c r="K532" s="540"/>
    </row>
    <row r="533" spans="1:11">
      <c r="A533" s="538"/>
      <c r="B533" s="562"/>
      <c r="C533" s="563"/>
      <c r="D533" s="539"/>
      <c r="E533" s="539"/>
      <c r="F533" s="564"/>
      <c r="G533" s="565"/>
      <c r="H533" s="540"/>
      <c r="I533" s="540"/>
      <c r="J533" s="540"/>
      <c r="K533" s="540"/>
    </row>
    <row r="534" spans="1:11">
      <c r="A534" s="538"/>
      <c r="B534" s="562"/>
      <c r="C534" s="563"/>
      <c r="D534" s="539"/>
      <c r="E534" s="539"/>
      <c r="F534" s="564"/>
      <c r="G534" s="565"/>
      <c r="H534" s="540"/>
      <c r="I534" s="540"/>
      <c r="J534" s="540"/>
      <c r="K534" s="540"/>
    </row>
    <row r="535" spans="1:11">
      <c r="A535" s="538"/>
      <c r="B535" s="562"/>
      <c r="C535" s="563"/>
      <c r="D535" s="539"/>
      <c r="E535" s="539"/>
      <c r="F535" s="564"/>
      <c r="G535" s="565"/>
      <c r="H535" s="540"/>
      <c r="I535" s="540"/>
      <c r="J535" s="540"/>
      <c r="K535" s="540"/>
    </row>
    <row r="536" spans="1:11">
      <c r="A536" s="538"/>
      <c r="B536" s="562"/>
      <c r="C536" s="563"/>
      <c r="D536" s="539"/>
      <c r="E536" s="539"/>
      <c r="F536" s="564"/>
      <c r="G536" s="565"/>
      <c r="H536" s="540"/>
      <c r="I536" s="540"/>
      <c r="J536" s="540"/>
      <c r="K536" s="540"/>
    </row>
    <row r="537" spans="1:11">
      <c r="A537" s="538"/>
      <c r="B537" s="562"/>
      <c r="C537" s="563"/>
      <c r="D537" s="539"/>
      <c r="E537" s="539"/>
      <c r="F537" s="564"/>
      <c r="G537" s="565"/>
      <c r="H537" s="540"/>
      <c r="I537" s="540"/>
      <c r="J537" s="540"/>
      <c r="K537" s="540"/>
    </row>
    <row r="538" spans="1:11">
      <c r="A538" s="538"/>
      <c r="B538" s="562"/>
      <c r="C538" s="563"/>
      <c r="D538" s="539"/>
      <c r="E538" s="539"/>
      <c r="F538" s="564"/>
      <c r="G538" s="565"/>
      <c r="H538" s="540"/>
      <c r="I538" s="540"/>
      <c r="J538" s="540"/>
      <c r="K538" s="540"/>
    </row>
    <row r="539" spans="1:11">
      <c r="A539" s="538"/>
      <c r="B539" s="562"/>
      <c r="C539" s="563"/>
      <c r="D539" s="539"/>
      <c r="E539" s="539"/>
      <c r="F539" s="564"/>
      <c r="G539" s="565"/>
      <c r="H539" s="540"/>
      <c r="I539" s="540"/>
      <c r="J539" s="540"/>
      <c r="K539" s="540"/>
    </row>
    <row r="540" spans="1:11">
      <c r="A540" s="538"/>
      <c r="B540" s="562"/>
      <c r="C540" s="563"/>
      <c r="D540" s="539"/>
      <c r="E540" s="539"/>
      <c r="F540" s="564"/>
      <c r="G540" s="565"/>
      <c r="H540" s="540"/>
      <c r="I540" s="540"/>
      <c r="J540" s="540"/>
      <c r="K540" s="540"/>
    </row>
    <row r="541" spans="1:11">
      <c r="A541" s="538"/>
      <c r="B541" s="562"/>
      <c r="C541" s="563"/>
      <c r="D541" s="539"/>
      <c r="E541" s="539"/>
      <c r="F541" s="564"/>
      <c r="G541" s="565"/>
      <c r="H541" s="540"/>
      <c r="I541" s="540"/>
      <c r="J541" s="540"/>
      <c r="K541" s="540"/>
    </row>
    <row r="542" spans="1:11">
      <c r="A542" s="538"/>
      <c r="B542" s="562"/>
      <c r="C542" s="563"/>
      <c r="D542" s="539"/>
      <c r="E542" s="539"/>
      <c r="F542" s="564"/>
      <c r="G542" s="565"/>
      <c r="H542" s="540"/>
      <c r="I542" s="540"/>
      <c r="J542" s="540"/>
      <c r="K542" s="540"/>
    </row>
    <row r="543" spans="1:11">
      <c r="A543" s="538"/>
      <c r="B543" s="562"/>
      <c r="C543" s="563"/>
      <c r="D543" s="539"/>
      <c r="E543" s="539"/>
      <c r="F543" s="564"/>
      <c r="G543" s="565"/>
      <c r="H543" s="540"/>
      <c r="I543" s="540"/>
      <c r="J543" s="540"/>
      <c r="K543" s="540"/>
    </row>
    <row r="544" spans="1:11">
      <c r="A544" s="538"/>
      <c r="B544" s="571"/>
      <c r="C544" s="572"/>
      <c r="D544" s="542"/>
      <c r="E544" s="542"/>
      <c r="F544" s="573"/>
      <c r="G544" s="574"/>
      <c r="H544" s="540"/>
      <c r="I544" s="540"/>
      <c r="J544" s="540"/>
      <c r="K544" s="540"/>
    </row>
    <row r="545" spans="1:11">
      <c r="A545" s="538"/>
      <c r="B545" s="562"/>
      <c r="C545" s="563"/>
      <c r="D545" s="539"/>
      <c r="E545" s="539"/>
      <c r="F545" s="564"/>
      <c r="G545" s="565"/>
      <c r="H545" s="540"/>
      <c r="I545" s="540"/>
      <c r="J545" s="540"/>
      <c r="K545" s="540"/>
    </row>
    <row r="546" spans="1:11">
      <c r="A546" s="538"/>
      <c r="B546" s="571"/>
      <c r="C546" s="572"/>
      <c r="D546" s="542"/>
      <c r="E546" s="542"/>
      <c r="F546" s="573"/>
      <c r="G546" s="574"/>
      <c r="H546" s="540"/>
      <c r="I546" s="540"/>
      <c r="J546" s="540"/>
      <c r="K546" s="540"/>
    </row>
    <row r="547" spans="1:11">
      <c r="A547" s="538"/>
      <c r="B547" s="562"/>
      <c r="C547" s="563"/>
      <c r="D547" s="539"/>
      <c r="E547" s="539"/>
      <c r="F547" s="564"/>
      <c r="G547" s="565"/>
      <c r="H547" s="540"/>
      <c r="I547" s="540"/>
      <c r="J547" s="540"/>
      <c r="K547" s="540"/>
    </row>
    <row r="548" spans="1:11">
      <c r="A548" s="538"/>
      <c r="B548" s="571"/>
      <c r="C548" s="572"/>
      <c r="D548" s="542"/>
      <c r="E548" s="542"/>
      <c r="F548" s="573"/>
      <c r="G548" s="574"/>
      <c r="H548" s="540"/>
      <c r="I548" s="540"/>
      <c r="J548" s="540"/>
      <c r="K548" s="540"/>
    </row>
    <row r="549" spans="1:11">
      <c r="A549" s="538"/>
      <c r="B549" s="562"/>
      <c r="C549" s="563"/>
      <c r="D549" s="539"/>
      <c r="E549" s="539"/>
      <c r="F549" s="564"/>
      <c r="G549" s="565"/>
      <c r="H549" s="540"/>
      <c r="I549" s="540"/>
      <c r="J549" s="540"/>
      <c r="K549" s="540"/>
    </row>
    <row r="550" spans="1:11">
      <c r="A550" s="538"/>
      <c r="B550" s="571"/>
      <c r="C550" s="572"/>
      <c r="D550" s="542"/>
      <c r="E550" s="542"/>
      <c r="F550" s="573"/>
      <c r="G550" s="574"/>
      <c r="H550" s="540"/>
      <c r="I550" s="540"/>
      <c r="J550" s="540"/>
      <c r="K550" s="540"/>
    </row>
    <row r="551" spans="1:11">
      <c r="A551" s="538"/>
      <c r="B551" s="562"/>
      <c r="C551" s="563"/>
      <c r="D551" s="539"/>
      <c r="E551" s="539"/>
      <c r="F551" s="564"/>
      <c r="G551" s="565"/>
      <c r="H551" s="540"/>
      <c r="I551" s="540"/>
      <c r="J551" s="540"/>
      <c r="K551" s="540"/>
    </row>
    <row r="552" spans="1:11">
      <c r="A552" s="538"/>
      <c r="B552" s="571"/>
      <c r="C552" s="572"/>
      <c r="D552" s="542"/>
      <c r="E552" s="542"/>
      <c r="F552" s="573"/>
      <c r="G552" s="574"/>
      <c r="H552" s="540"/>
      <c r="I552" s="540"/>
      <c r="J552" s="540"/>
      <c r="K552" s="540"/>
    </row>
    <row r="553" spans="1:11">
      <c r="A553" s="538"/>
      <c r="B553" s="562"/>
      <c r="C553" s="563"/>
      <c r="D553" s="539"/>
      <c r="E553" s="539"/>
      <c r="F553" s="564"/>
      <c r="G553" s="565"/>
      <c r="H553" s="540"/>
      <c r="I553" s="540"/>
      <c r="J553" s="540"/>
      <c r="K553" s="540"/>
    </row>
    <row r="554" spans="1:11">
      <c r="A554" s="538"/>
      <c r="B554" s="571"/>
      <c r="C554" s="572"/>
      <c r="D554" s="542"/>
      <c r="E554" s="542"/>
      <c r="F554" s="573"/>
      <c r="G554" s="574"/>
      <c r="H554" s="540"/>
      <c r="I554" s="540"/>
      <c r="J554" s="540"/>
      <c r="K554" s="540"/>
    </row>
    <row r="555" spans="1:11">
      <c r="A555" s="538"/>
      <c r="B555" s="562"/>
      <c r="C555" s="563"/>
      <c r="D555" s="539"/>
      <c r="E555" s="539"/>
      <c r="F555" s="564"/>
      <c r="G555" s="565"/>
      <c r="H555" s="540"/>
      <c r="I555" s="540"/>
      <c r="J555" s="540"/>
      <c r="K555" s="540"/>
    </row>
    <row r="556" spans="1:11">
      <c r="A556" s="538"/>
      <c r="B556" s="571"/>
      <c r="C556" s="572"/>
      <c r="D556" s="542"/>
      <c r="E556" s="542"/>
      <c r="F556" s="573"/>
      <c r="G556" s="574"/>
      <c r="H556" s="540"/>
      <c r="I556" s="540"/>
      <c r="J556" s="540"/>
      <c r="K556" s="540"/>
    </row>
    <row r="557" spans="1:11">
      <c r="A557" s="538"/>
      <c r="B557" s="562"/>
      <c r="C557" s="563"/>
      <c r="D557" s="539"/>
      <c r="E557" s="539"/>
      <c r="F557" s="564"/>
      <c r="G557" s="565"/>
      <c r="H557" s="540"/>
      <c r="I557" s="540"/>
      <c r="J557" s="540"/>
      <c r="K557" s="540"/>
    </row>
    <row r="558" spans="1:11">
      <c r="A558" s="538"/>
      <c r="B558" s="571"/>
      <c r="C558" s="572"/>
      <c r="D558" s="542"/>
      <c r="E558" s="542"/>
      <c r="F558" s="573"/>
      <c r="G558" s="574"/>
      <c r="H558" s="540"/>
      <c r="I558" s="540"/>
      <c r="J558" s="540"/>
      <c r="K558" s="540"/>
    </row>
    <row r="559" spans="1:11">
      <c r="A559" s="538"/>
      <c r="B559" s="562"/>
      <c r="C559" s="563"/>
      <c r="D559" s="539"/>
      <c r="E559" s="539"/>
      <c r="F559" s="564"/>
      <c r="G559" s="565"/>
      <c r="H559" s="540"/>
      <c r="I559" s="540"/>
      <c r="J559" s="540"/>
      <c r="K559" s="540"/>
    </row>
    <row r="560" spans="1:11">
      <c r="A560" s="538"/>
      <c r="B560" s="571"/>
      <c r="C560" s="572"/>
      <c r="D560" s="542"/>
      <c r="E560" s="542"/>
      <c r="F560" s="573"/>
      <c r="G560" s="574"/>
      <c r="H560" s="540"/>
      <c r="I560" s="540"/>
      <c r="J560" s="540"/>
      <c r="K560" s="540"/>
    </row>
    <row r="561" spans="1:11">
      <c r="A561" s="538"/>
      <c r="B561" s="562"/>
      <c r="C561" s="563"/>
      <c r="D561" s="539"/>
      <c r="E561" s="539"/>
      <c r="F561" s="564"/>
      <c r="G561" s="565"/>
      <c r="H561" s="540"/>
      <c r="I561" s="540"/>
      <c r="J561" s="540"/>
      <c r="K561" s="540"/>
    </row>
    <row r="562" spans="1:11">
      <c r="A562" s="538"/>
      <c r="B562" s="562"/>
      <c r="C562" s="563"/>
      <c r="D562" s="539"/>
      <c r="E562" s="539"/>
      <c r="F562" s="564"/>
      <c r="G562" s="565"/>
      <c r="H562" s="540"/>
      <c r="I562" s="540"/>
      <c r="J562" s="540"/>
      <c r="K562" s="540"/>
    </row>
    <row r="563" spans="1:11">
      <c r="A563" s="538"/>
      <c r="B563" s="562"/>
      <c r="C563" s="563"/>
      <c r="D563" s="539"/>
      <c r="E563" s="539"/>
      <c r="F563" s="564"/>
      <c r="G563" s="565"/>
      <c r="H563" s="540"/>
      <c r="I563" s="540"/>
      <c r="J563" s="540"/>
      <c r="K563" s="540"/>
    </row>
    <row r="564" spans="1:11">
      <c r="A564" s="538"/>
      <c r="B564" s="562"/>
      <c r="C564" s="563"/>
      <c r="D564" s="539"/>
      <c r="E564" s="539"/>
      <c r="F564" s="564"/>
      <c r="G564" s="565"/>
      <c r="H564" s="540"/>
      <c r="I564" s="540"/>
      <c r="J564" s="540"/>
      <c r="K564" s="540"/>
    </row>
    <row r="565" spans="1:11">
      <c r="A565" s="538"/>
      <c r="B565" s="562"/>
      <c r="C565" s="563"/>
      <c r="D565" s="539"/>
      <c r="E565" s="539"/>
      <c r="F565" s="564"/>
      <c r="G565" s="565"/>
      <c r="H565" s="540"/>
      <c r="I565" s="540"/>
      <c r="J565" s="540"/>
      <c r="K565" s="540"/>
    </row>
    <row r="566" spans="1:11">
      <c r="A566" s="544"/>
      <c r="B566" s="577"/>
      <c r="C566" s="578"/>
      <c r="D566" s="545"/>
      <c r="E566" s="545"/>
      <c r="F566" s="579"/>
      <c r="G566" s="580"/>
      <c r="H566" s="546"/>
      <c r="I566" s="546"/>
      <c r="J566" s="546"/>
      <c r="K566" s="546"/>
    </row>
    <row r="567" spans="1:11">
      <c r="A567" s="547" t="s">
        <v>148</v>
      </c>
      <c r="B567" s="581"/>
      <c r="C567" s="582"/>
      <c r="D567" s="583"/>
      <c r="E567" s="583"/>
      <c r="F567" s="584" t="s">
        <v>246</v>
      </c>
      <c r="G567" s="585"/>
      <c r="H567" s="586" t="s">
        <v>219</v>
      </c>
      <c r="I567" s="548">
        <f>SUM(I513:I566)</f>
        <v>0</v>
      </c>
      <c r="J567" s="586"/>
      <c r="K567" s="548">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14"/>
  </sheetPr>
  <dimension ref="A1:K52"/>
  <sheetViews>
    <sheetView workbookViewId="0"/>
  </sheetViews>
  <sheetFormatPr defaultRowHeight="13.2"/>
  <cols>
    <col min="1" max="1" width="3.6640625" bestFit="1" customWidth="1"/>
    <col min="2" max="2" width="4.44140625" bestFit="1" customWidth="1"/>
    <col min="4" max="4" width="56.6640625" customWidth="1"/>
    <col min="5" max="8" width="9.109375" bestFit="1" customWidth="1"/>
    <col min="10" max="11" width="9.109375" bestFit="1" customWidth="1"/>
  </cols>
  <sheetData>
    <row r="1" spans="1:11">
      <c r="K1" t="s">
        <v>3399</v>
      </c>
    </row>
    <row r="2" spans="1:11" ht="28.8">
      <c r="A2" s="1117">
        <v>1</v>
      </c>
      <c r="B2" s="1118">
        <v>104</v>
      </c>
      <c r="C2" s="1118" t="s">
        <v>3329</v>
      </c>
      <c r="D2" s="1118" t="s">
        <v>3330</v>
      </c>
      <c r="E2" s="1118">
        <v>75</v>
      </c>
      <c r="F2" s="1118">
        <v>50</v>
      </c>
      <c r="G2" s="1118">
        <v>1</v>
      </c>
      <c r="H2" s="1118">
        <v>360</v>
      </c>
      <c r="I2" s="1118" t="s">
        <v>3331</v>
      </c>
      <c r="J2" s="1119">
        <v>4.12</v>
      </c>
      <c r="K2" s="1119">
        <f>ROUNDUP(J2*1.145,2)</f>
        <v>4.72</v>
      </c>
    </row>
    <row r="3" spans="1:11" ht="28.8">
      <c r="A3" s="1117">
        <v>2</v>
      </c>
      <c r="B3" s="1118">
        <v>104</v>
      </c>
      <c r="C3" s="1118" t="s">
        <v>3332</v>
      </c>
      <c r="D3" s="1118" t="s">
        <v>3330</v>
      </c>
      <c r="E3" s="1118">
        <v>75</v>
      </c>
      <c r="F3" s="1118">
        <v>75</v>
      </c>
      <c r="G3" s="1118">
        <v>1</v>
      </c>
      <c r="H3" s="1118">
        <v>1050</v>
      </c>
      <c r="I3" s="1118" t="s">
        <v>3331</v>
      </c>
      <c r="J3" s="1119">
        <v>4.84</v>
      </c>
      <c r="K3" s="1119">
        <f t="shared" ref="K3:K52" si="0">ROUNDUP(J3*1.145,2)</f>
        <v>5.55</v>
      </c>
    </row>
    <row r="4" spans="1:11" ht="28.8">
      <c r="A4" s="1117">
        <v>3</v>
      </c>
      <c r="B4" s="1118">
        <v>104</v>
      </c>
      <c r="C4" s="1118" t="s">
        <v>3333</v>
      </c>
      <c r="D4" s="1118" t="s">
        <v>3330</v>
      </c>
      <c r="E4" s="1118">
        <v>100</v>
      </c>
      <c r="F4" s="1118">
        <v>75</v>
      </c>
      <c r="G4" s="1118">
        <v>1</v>
      </c>
      <c r="H4" s="1118">
        <v>120</v>
      </c>
      <c r="I4" s="1118" t="s">
        <v>3331</v>
      </c>
      <c r="J4" s="1119">
        <v>5.56</v>
      </c>
      <c r="K4" s="1119">
        <f t="shared" si="0"/>
        <v>6.37</v>
      </c>
    </row>
    <row r="5" spans="1:11" ht="28.8">
      <c r="A5" s="1117">
        <v>4</v>
      </c>
      <c r="B5" s="1118">
        <v>104</v>
      </c>
      <c r="C5" s="1118" t="s">
        <v>3334</v>
      </c>
      <c r="D5" s="1118" t="s">
        <v>3330</v>
      </c>
      <c r="E5" s="1118">
        <v>125</v>
      </c>
      <c r="F5" s="1118">
        <v>75</v>
      </c>
      <c r="G5" s="1118">
        <v>1</v>
      </c>
      <c r="H5" s="1118">
        <v>30</v>
      </c>
      <c r="I5" s="1118" t="s">
        <v>3331</v>
      </c>
      <c r="J5" s="1119">
        <v>6.3</v>
      </c>
      <c r="K5" s="1119">
        <f t="shared" si="0"/>
        <v>7.22</v>
      </c>
    </row>
    <row r="6" spans="1:11" ht="28.8">
      <c r="A6" s="1117">
        <v>5</v>
      </c>
      <c r="B6" s="1118">
        <v>104</v>
      </c>
      <c r="C6" s="1118" t="s">
        <v>3335</v>
      </c>
      <c r="D6" s="1118" t="s">
        <v>3330</v>
      </c>
      <c r="E6" s="1118">
        <v>150</v>
      </c>
      <c r="F6" s="1118">
        <v>75</v>
      </c>
      <c r="G6" s="1118">
        <v>1</v>
      </c>
      <c r="H6" s="1118">
        <v>90</v>
      </c>
      <c r="I6" s="1118" t="s">
        <v>3331</v>
      </c>
      <c r="J6" s="1119">
        <v>6.99</v>
      </c>
      <c r="K6" s="1119">
        <f t="shared" si="0"/>
        <v>8.01</v>
      </c>
    </row>
    <row r="7" spans="1:11" ht="28.8">
      <c r="A7" s="1117">
        <v>6</v>
      </c>
      <c r="B7" s="1118">
        <v>104</v>
      </c>
      <c r="C7" s="1118" t="s">
        <v>3336</v>
      </c>
      <c r="D7" s="1118" t="s">
        <v>3330</v>
      </c>
      <c r="E7" s="1118">
        <v>250</v>
      </c>
      <c r="F7" s="1118">
        <v>75</v>
      </c>
      <c r="G7" s="1118">
        <v>1</v>
      </c>
      <c r="H7" s="1118">
        <v>15</v>
      </c>
      <c r="I7" s="1118" t="s">
        <v>3331</v>
      </c>
      <c r="J7" s="1119">
        <v>9.85</v>
      </c>
      <c r="K7" s="1119">
        <f t="shared" si="0"/>
        <v>11.28</v>
      </c>
    </row>
    <row r="8" spans="1:11" ht="28.8">
      <c r="A8" s="1117">
        <v>7</v>
      </c>
      <c r="B8" s="1118">
        <v>104</v>
      </c>
      <c r="C8" s="1118" t="s">
        <v>3337</v>
      </c>
      <c r="D8" s="1118" t="s">
        <v>3330</v>
      </c>
      <c r="E8" s="1118">
        <v>200</v>
      </c>
      <c r="F8" s="1118">
        <v>100</v>
      </c>
      <c r="G8" s="1118">
        <v>1</v>
      </c>
      <c r="H8" s="1118">
        <v>45</v>
      </c>
      <c r="I8" s="1118" t="s">
        <v>3331</v>
      </c>
      <c r="J8" s="1119">
        <v>9.14</v>
      </c>
      <c r="K8" s="1119">
        <f t="shared" si="0"/>
        <v>10.47</v>
      </c>
    </row>
    <row r="9" spans="1:11" ht="28.8">
      <c r="A9" s="1117">
        <v>8</v>
      </c>
      <c r="B9" s="1118">
        <v>104</v>
      </c>
      <c r="C9" s="1118" t="s">
        <v>3338</v>
      </c>
      <c r="D9" s="1118" t="s">
        <v>3330</v>
      </c>
      <c r="E9" s="1118">
        <v>400</v>
      </c>
      <c r="F9" s="1118">
        <v>100</v>
      </c>
      <c r="G9" s="1118" t="s">
        <v>3339</v>
      </c>
      <c r="H9" s="1118">
        <v>15</v>
      </c>
      <c r="I9" s="1118" t="s">
        <v>3331</v>
      </c>
      <c r="J9" s="1119">
        <v>17.72</v>
      </c>
      <c r="K9" s="1119">
        <f t="shared" si="0"/>
        <v>20.290000000000003</v>
      </c>
    </row>
    <row r="10" spans="1:11" ht="43.2">
      <c r="A10" s="1117">
        <v>9</v>
      </c>
      <c r="B10" s="1118">
        <v>106</v>
      </c>
      <c r="C10" s="1118" t="s">
        <v>3340</v>
      </c>
      <c r="D10" s="1118" t="s">
        <v>3341</v>
      </c>
      <c r="E10" s="1118">
        <v>75</v>
      </c>
      <c r="F10" s="1118">
        <v>50</v>
      </c>
      <c r="G10" s="1118">
        <v>1</v>
      </c>
      <c r="H10" s="1118">
        <v>50</v>
      </c>
      <c r="I10" s="1118" t="s">
        <v>3342</v>
      </c>
      <c r="J10" s="1119">
        <v>2.17</v>
      </c>
      <c r="K10" s="1119">
        <f t="shared" si="0"/>
        <v>2.4899999999999998</v>
      </c>
    </row>
    <row r="11" spans="1:11" ht="43.2">
      <c r="A11" s="1117">
        <v>10</v>
      </c>
      <c r="B11" s="1118">
        <v>106</v>
      </c>
      <c r="C11" s="1118" t="s">
        <v>3343</v>
      </c>
      <c r="D11" s="1118" t="s">
        <v>3341</v>
      </c>
      <c r="E11" s="1118">
        <v>75</v>
      </c>
      <c r="F11" s="1118">
        <v>75</v>
      </c>
      <c r="G11" s="1118">
        <v>1</v>
      </c>
      <c r="H11" s="1118">
        <v>150</v>
      </c>
      <c r="I11" s="1118" t="s">
        <v>3342</v>
      </c>
      <c r="J11" s="1119">
        <v>2.5299999999999998</v>
      </c>
      <c r="K11" s="1119">
        <f t="shared" si="0"/>
        <v>2.9</v>
      </c>
    </row>
    <row r="12" spans="1:11" ht="43.2">
      <c r="A12" s="1117">
        <v>11</v>
      </c>
      <c r="B12" s="1118">
        <v>106</v>
      </c>
      <c r="C12" s="1118" t="s">
        <v>3344</v>
      </c>
      <c r="D12" s="1118" t="s">
        <v>3341</v>
      </c>
      <c r="E12" s="1118">
        <v>100</v>
      </c>
      <c r="F12" s="1118">
        <v>75</v>
      </c>
      <c r="G12" s="1118">
        <v>1</v>
      </c>
      <c r="H12" s="1118">
        <v>15</v>
      </c>
      <c r="I12" s="1118" t="s">
        <v>3342</v>
      </c>
      <c r="J12" s="1119">
        <v>3.16</v>
      </c>
      <c r="K12" s="1119">
        <f t="shared" si="0"/>
        <v>3.6199999999999997</v>
      </c>
    </row>
    <row r="13" spans="1:11" ht="43.2">
      <c r="A13" s="1117">
        <v>12</v>
      </c>
      <c r="B13" s="1118">
        <v>106</v>
      </c>
      <c r="C13" s="1118" t="s">
        <v>3345</v>
      </c>
      <c r="D13" s="1118" t="s">
        <v>3341</v>
      </c>
      <c r="E13" s="1118">
        <v>125</v>
      </c>
      <c r="F13" s="1118">
        <v>75</v>
      </c>
      <c r="G13" s="1118">
        <v>1</v>
      </c>
      <c r="H13" s="1118">
        <v>5</v>
      </c>
      <c r="I13" s="1118" t="s">
        <v>3342</v>
      </c>
      <c r="J13" s="1119">
        <v>3.93</v>
      </c>
      <c r="K13" s="1119">
        <f t="shared" si="0"/>
        <v>4.5</v>
      </c>
    </row>
    <row r="14" spans="1:11" ht="43.2">
      <c r="A14" s="1117">
        <v>13</v>
      </c>
      <c r="B14" s="1118">
        <v>106</v>
      </c>
      <c r="C14" s="1118" t="s">
        <v>3346</v>
      </c>
      <c r="D14" s="1118" t="s">
        <v>3341</v>
      </c>
      <c r="E14" s="1118">
        <v>150</v>
      </c>
      <c r="F14" s="1118">
        <v>75</v>
      </c>
      <c r="G14" s="1118">
        <v>1</v>
      </c>
      <c r="H14" s="1118">
        <v>10</v>
      </c>
      <c r="I14" s="1118" t="s">
        <v>3342</v>
      </c>
      <c r="J14" s="1119">
        <v>4.62</v>
      </c>
      <c r="K14" s="1119">
        <f t="shared" si="0"/>
        <v>5.29</v>
      </c>
    </row>
    <row r="15" spans="1:11" ht="43.2">
      <c r="A15" s="1117">
        <v>14</v>
      </c>
      <c r="B15" s="1118">
        <v>106</v>
      </c>
      <c r="C15" s="1118" t="s">
        <v>3347</v>
      </c>
      <c r="D15" s="1118" t="s">
        <v>3341</v>
      </c>
      <c r="E15" s="1118">
        <v>250</v>
      </c>
      <c r="F15" s="1118">
        <v>75</v>
      </c>
      <c r="G15" s="1118">
        <v>1</v>
      </c>
      <c r="H15" s="1118">
        <v>2</v>
      </c>
      <c r="I15" s="1118" t="s">
        <v>3342</v>
      </c>
      <c r="J15" s="1119">
        <v>8.43</v>
      </c>
      <c r="K15" s="1119">
        <f t="shared" si="0"/>
        <v>9.66</v>
      </c>
    </row>
    <row r="16" spans="1:11" ht="43.2">
      <c r="A16" s="1117">
        <v>15</v>
      </c>
      <c r="B16" s="1118">
        <v>106</v>
      </c>
      <c r="C16" s="1118" t="s">
        <v>3348</v>
      </c>
      <c r="D16" s="1118" t="s">
        <v>3341</v>
      </c>
      <c r="E16" s="1118">
        <v>200</v>
      </c>
      <c r="F16" s="1118">
        <v>100</v>
      </c>
      <c r="G16" s="1118">
        <v>1</v>
      </c>
      <c r="H16" s="1118">
        <v>7</v>
      </c>
      <c r="I16" s="1118" t="s">
        <v>3342</v>
      </c>
      <c r="J16" s="1119">
        <v>6.96</v>
      </c>
      <c r="K16" s="1119">
        <f t="shared" si="0"/>
        <v>7.97</v>
      </c>
    </row>
    <row r="17" spans="1:11" ht="43.2">
      <c r="A17" s="1117">
        <v>16</v>
      </c>
      <c r="B17" s="1118">
        <v>106</v>
      </c>
      <c r="C17" s="1118" t="s">
        <v>3349</v>
      </c>
      <c r="D17" s="1118" t="s">
        <v>3341</v>
      </c>
      <c r="E17" s="1118">
        <v>400</v>
      </c>
      <c r="F17" s="1118">
        <v>100</v>
      </c>
      <c r="G17" s="1118" t="s">
        <v>3339</v>
      </c>
      <c r="H17" s="1118">
        <v>2</v>
      </c>
      <c r="I17" s="1118" t="s">
        <v>3342</v>
      </c>
      <c r="J17" s="1119">
        <v>21.53</v>
      </c>
      <c r="K17" s="1119">
        <f t="shared" si="0"/>
        <v>24.66</v>
      </c>
    </row>
    <row r="18" spans="1:11" ht="43.2">
      <c r="A18" s="1117">
        <v>17</v>
      </c>
      <c r="B18" s="1118">
        <v>109</v>
      </c>
      <c r="C18" s="1118" t="s">
        <v>3350</v>
      </c>
      <c r="D18" s="1118" t="s">
        <v>3351</v>
      </c>
      <c r="E18" s="1118">
        <v>75</v>
      </c>
      <c r="F18" s="1118">
        <v>50</v>
      </c>
      <c r="G18" s="1118">
        <v>1</v>
      </c>
      <c r="H18" s="1118">
        <v>40</v>
      </c>
      <c r="I18" s="1118" t="s">
        <v>3342</v>
      </c>
      <c r="J18" s="1119">
        <v>1.77</v>
      </c>
      <c r="K18" s="1119">
        <f t="shared" si="0"/>
        <v>2.0299999999999998</v>
      </c>
    </row>
    <row r="19" spans="1:11" ht="43.2">
      <c r="A19" s="1117">
        <v>18</v>
      </c>
      <c r="B19" s="1118">
        <v>109</v>
      </c>
      <c r="C19" s="1118" t="s">
        <v>3352</v>
      </c>
      <c r="D19" s="1118" t="s">
        <v>3351</v>
      </c>
      <c r="E19" s="1118">
        <v>75</v>
      </c>
      <c r="F19" s="1118">
        <v>75</v>
      </c>
      <c r="G19" s="1118">
        <v>1</v>
      </c>
      <c r="H19" s="1118">
        <v>120</v>
      </c>
      <c r="I19" s="1118" t="s">
        <v>3342</v>
      </c>
      <c r="J19" s="1119">
        <v>2.81</v>
      </c>
      <c r="K19" s="1119">
        <f t="shared" si="0"/>
        <v>3.2199999999999998</v>
      </c>
    </row>
    <row r="20" spans="1:11" ht="43.2">
      <c r="A20" s="1117">
        <v>19</v>
      </c>
      <c r="B20" s="1118">
        <v>109</v>
      </c>
      <c r="C20" s="1118" t="s">
        <v>3353</v>
      </c>
      <c r="D20" s="1118" t="s">
        <v>3351</v>
      </c>
      <c r="E20" s="1118">
        <v>100</v>
      </c>
      <c r="F20" s="1118">
        <v>75</v>
      </c>
      <c r="G20" s="1118">
        <v>1</v>
      </c>
      <c r="H20" s="1118">
        <v>15</v>
      </c>
      <c r="I20" s="1118" t="s">
        <v>3342</v>
      </c>
      <c r="J20" s="1119">
        <v>3.15</v>
      </c>
      <c r="K20" s="1119">
        <f t="shared" si="0"/>
        <v>3.61</v>
      </c>
    </row>
    <row r="21" spans="1:11" ht="43.2">
      <c r="A21" s="1117">
        <v>20</v>
      </c>
      <c r="B21" s="1118">
        <v>109</v>
      </c>
      <c r="C21" s="1118" t="s">
        <v>3354</v>
      </c>
      <c r="D21" s="1118" t="s">
        <v>3351</v>
      </c>
      <c r="E21" s="1118">
        <v>125</v>
      </c>
      <c r="F21" s="1118">
        <v>75</v>
      </c>
      <c r="G21" s="1118">
        <v>1</v>
      </c>
      <c r="H21" s="1118">
        <v>3</v>
      </c>
      <c r="I21" s="1118" t="s">
        <v>3342</v>
      </c>
      <c r="J21" s="1119">
        <v>3.57</v>
      </c>
      <c r="K21" s="1119">
        <f t="shared" si="0"/>
        <v>4.09</v>
      </c>
    </row>
    <row r="22" spans="1:11" ht="43.2">
      <c r="A22" s="1117">
        <v>21</v>
      </c>
      <c r="B22" s="1118">
        <v>109</v>
      </c>
      <c r="C22" s="1118" t="s">
        <v>3355</v>
      </c>
      <c r="D22" s="1118" t="s">
        <v>3351</v>
      </c>
      <c r="E22" s="1118">
        <v>150</v>
      </c>
      <c r="F22" s="1118">
        <v>75</v>
      </c>
      <c r="G22" s="1118">
        <v>1</v>
      </c>
      <c r="H22" s="1118">
        <v>10</v>
      </c>
      <c r="I22" s="1118" t="s">
        <v>3342</v>
      </c>
      <c r="J22" s="1119">
        <v>3.81</v>
      </c>
      <c r="K22" s="1119">
        <f t="shared" si="0"/>
        <v>4.37</v>
      </c>
    </row>
    <row r="23" spans="1:11" ht="43.2">
      <c r="A23" s="1117">
        <v>22</v>
      </c>
      <c r="B23" s="1118">
        <v>109</v>
      </c>
      <c r="C23" s="1118" t="s">
        <v>3356</v>
      </c>
      <c r="D23" s="1118" t="s">
        <v>3351</v>
      </c>
      <c r="E23" s="1118">
        <v>250</v>
      </c>
      <c r="F23" s="1118">
        <v>75</v>
      </c>
      <c r="G23" s="1118">
        <v>1</v>
      </c>
      <c r="H23" s="1118">
        <v>2</v>
      </c>
      <c r="I23" s="1118" t="s">
        <v>3342</v>
      </c>
      <c r="J23" s="1119">
        <v>5.14</v>
      </c>
      <c r="K23" s="1119">
        <f t="shared" si="0"/>
        <v>5.89</v>
      </c>
    </row>
    <row r="24" spans="1:11" ht="43.2">
      <c r="A24" s="1117">
        <v>23</v>
      </c>
      <c r="B24" s="1118">
        <v>109</v>
      </c>
      <c r="C24" s="1118" t="s">
        <v>3357</v>
      </c>
      <c r="D24" s="1118" t="s">
        <v>3351</v>
      </c>
      <c r="E24" s="1118">
        <v>200</v>
      </c>
      <c r="F24" s="1118">
        <v>100</v>
      </c>
      <c r="G24" s="1118">
        <v>1</v>
      </c>
      <c r="H24" s="1118">
        <v>5</v>
      </c>
      <c r="I24" s="1118" t="s">
        <v>3342</v>
      </c>
      <c r="J24" s="1119">
        <v>5.61</v>
      </c>
      <c r="K24" s="1119">
        <f t="shared" si="0"/>
        <v>6.43</v>
      </c>
    </row>
    <row r="25" spans="1:11" ht="43.2">
      <c r="A25" s="1117">
        <v>24</v>
      </c>
      <c r="B25" s="1118">
        <v>109</v>
      </c>
      <c r="C25" s="1118" t="s">
        <v>3358</v>
      </c>
      <c r="D25" s="1118" t="s">
        <v>3351</v>
      </c>
      <c r="E25" s="1118">
        <v>400</v>
      </c>
      <c r="F25" s="1118">
        <v>100</v>
      </c>
      <c r="G25" s="1118" t="s">
        <v>3339</v>
      </c>
      <c r="H25" s="1118">
        <v>2</v>
      </c>
      <c r="I25" s="1118" t="s">
        <v>3342</v>
      </c>
      <c r="J25" s="1119">
        <v>10.7</v>
      </c>
      <c r="K25" s="1119">
        <f t="shared" si="0"/>
        <v>12.26</v>
      </c>
    </row>
    <row r="26" spans="1:11" ht="43.2">
      <c r="A26" s="1117">
        <v>25</v>
      </c>
      <c r="B26" s="1118">
        <v>106</v>
      </c>
      <c r="C26" s="1118" t="s">
        <v>3359</v>
      </c>
      <c r="D26" s="1118" t="s">
        <v>3360</v>
      </c>
      <c r="E26" s="1118">
        <v>75</v>
      </c>
      <c r="F26" s="1118">
        <v>50</v>
      </c>
      <c r="G26" s="1118">
        <v>1</v>
      </c>
      <c r="H26" s="1118">
        <v>10</v>
      </c>
      <c r="I26" s="1118" t="s">
        <v>3342</v>
      </c>
      <c r="J26" s="1119">
        <v>2.6</v>
      </c>
      <c r="K26" s="1119">
        <f t="shared" si="0"/>
        <v>2.98</v>
      </c>
    </row>
    <row r="27" spans="1:11" ht="43.2">
      <c r="A27" s="1117">
        <v>26</v>
      </c>
      <c r="B27" s="1118">
        <v>106</v>
      </c>
      <c r="C27" s="1118" t="s">
        <v>3361</v>
      </c>
      <c r="D27" s="1118" t="s">
        <v>3360</v>
      </c>
      <c r="E27" s="1118">
        <v>75</v>
      </c>
      <c r="F27" s="1118">
        <v>75</v>
      </c>
      <c r="G27" s="1118">
        <v>1</v>
      </c>
      <c r="H27" s="1118">
        <v>30</v>
      </c>
      <c r="I27" s="1118" t="s">
        <v>3342</v>
      </c>
      <c r="J27" s="1119">
        <v>2.81</v>
      </c>
      <c r="K27" s="1119">
        <f t="shared" si="0"/>
        <v>3.2199999999999998</v>
      </c>
    </row>
    <row r="28" spans="1:11" ht="43.2">
      <c r="A28" s="1117">
        <v>27</v>
      </c>
      <c r="B28" s="1118">
        <v>106</v>
      </c>
      <c r="C28" s="1118" t="s">
        <v>3362</v>
      </c>
      <c r="D28" s="1118" t="s">
        <v>3360</v>
      </c>
      <c r="E28" s="1118">
        <v>100</v>
      </c>
      <c r="F28" s="1118">
        <v>75</v>
      </c>
      <c r="G28" s="1118">
        <v>1</v>
      </c>
      <c r="H28" s="1118">
        <v>10</v>
      </c>
      <c r="I28" s="1118" t="s">
        <v>3342</v>
      </c>
      <c r="J28" s="1119">
        <v>3.47</v>
      </c>
      <c r="K28" s="1119">
        <f t="shared" si="0"/>
        <v>3.98</v>
      </c>
    </row>
    <row r="29" spans="1:11" ht="43.2">
      <c r="A29" s="1117">
        <v>28</v>
      </c>
      <c r="B29" s="1118">
        <v>106</v>
      </c>
      <c r="C29" s="1118" t="s">
        <v>3363</v>
      </c>
      <c r="D29" s="1118" t="s">
        <v>3360</v>
      </c>
      <c r="E29" s="1118">
        <v>125</v>
      </c>
      <c r="F29" s="1118">
        <v>75</v>
      </c>
      <c r="G29" s="1118">
        <v>1</v>
      </c>
      <c r="H29" s="1118">
        <v>2</v>
      </c>
      <c r="I29" s="1118" t="s">
        <v>3342</v>
      </c>
      <c r="J29" s="1119">
        <v>4.3499999999999996</v>
      </c>
      <c r="K29" s="1119">
        <f t="shared" si="0"/>
        <v>4.99</v>
      </c>
    </row>
    <row r="30" spans="1:11" ht="43.2">
      <c r="A30" s="1117">
        <v>29</v>
      </c>
      <c r="B30" s="1118">
        <v>106</v>
      </c>
      <c r="C30" s="1118" t="s">
        <v>3364</v>
      </c>
      <c r="D30" s="1118" t="s">
        <v>3360</v>
      </c>
      <c r="E30" s="1118">
        <v>150</v>
      </c>
      <c r="F30" s="1118">
        <v>75</v>
      </c>
      <c r="G30" s="1118">
        <v>1</v>
      </c>
      <c r="H30" s="1118">
        <v>3</v>
      </c>
      <c r="I30" s="1118" t="s">
        <v>3342</v>
      </c>
      <c r="J30" s="1119">
        <v>5.01</v>
      </c>
      <c r="K30" s="1119">
        <f t="shared" si="0"/>
        <v>5.74</v>
      </c>
    </row>
    <row r="31" spans="1:11" ht="43.2">
      <c r="A31" s="1117">
        <v>30</v>
      </c>
      <c r="B31" s="1118">
        <v>106</v>
      </c>
      <c r="C31" s="1118" t="s">
        <v>3365</v>
      </c>
      <c r="D31" s="1118" t="s">
        <v>3360</v>
      </c>
      <c r="E31" s="1118">
        <v>250</v>
      </c>
      <c r="F31" s="1118">
        <v>75</v>
      </c>
      <c r="G31" s="1118">
        <v>1</v>
      </c>
      <c r="H31" s="1118">
        <v>1</v>
      </c>
      <c r="I31" s="1118" t="s">
        <v>3342</v>
      </c>
      <c r="J31" s="1119">
        <v>8.99</v>
      </c>
      <c r="K31" s="1119">
        <f t="shared" si="0"/>
        <v>10.299999999999999</v>
      </c>
    </row>
    <row r="32" spans="1:11" ht="43.2">
      <c r="A32" s="1117">
        <v>31</v>
      </c>
      <c r="B32" s="1118">
        <v>106</v>
      </c>
      <c r="C32" s="1118" t="s">
        <v>3366</v>
      </c>
      <c r="D32" s="1118" t="s">
        <v>3360</v>
      </c>
      <c r="E32" s="1118">
        <v>200</v>
      </c>
      <c r="F32" s="1118">
        <v>100</v>
      </c>
      <c r="G32" s="1118">
        <v>1</v>
      </c>
      <c r="H32" s="1118">
        <v>2</v>
      </c>
      <c r="I32" s="1118" t="s">
        <v>3342</v>
      </c>
      <c r="J32" s="1119">
        <v>7.15</v>
      </c>
      <c r="K32" s="1119">
        <f t="shared" si="0"/>
        <v>8.19</v>
      </c>
    </row>
    <row r="33" spans="1:11" ht="43.2">
      <c r="A33" s="1117">
        <v>32</v>
      </c>
      <c r="B33" s="1118">
        <v>106</v>
      </c>
      <c r="C33" s="1118" t="s">
        <v>3367</v>
      </c>
      <c r="D33" s="1118" t="s">
        <v>3360</v>
      </c>
      <c r="E33" s="1118">
        <v>400</v>
      </c>
      <c r="F33" s="1118">
        <v>100</v>
      </c>
      <c r="G33" s="1118" t="s">
        <v>3339</v>
      </c>
      <c r="H33" s="1118">
        <v>1</v>
      </c>
      <c r="I33" s="1118" t="s">
        <v>3342</v>
      </c>
      <c r="J33" s="1119">
        <v>21.99</v>
      </c>
      <c r="K33" s="1119">
        <f t="shared" si="0"/>
        <v>25.180000000000003</v>
      </c>
    </row>
    <row r="34" spans="1:11" ht="43.2">
      <c r="A34" s="1117">
        <v>33</v>
      </c>
      <c r="B34" s="1118">
        <v>43</v>
      </c>
      <c r="C34" s="1118" t="s">
        <v>3368</v>
      </c>
      <c r="D34" s="1118" t="s">
        <v>3369</v>
      </c>
      <c r="E34" s="1118">
        <v>50</v>
      </c>
      <c r="F34" s="1118">
        <v>50</v>
      </c>
      <c r="G34" s="1118" t="s">
        <v>3370</v>
      </c>
      <c r="H34" s="1118">
        <v>45</v>
      </c>
      <c r="I34" s="1118" t="s">
        <v>3331</v>
      </c>
      <c r="J34" s="1119">
        <v>1.86</v>
      </c>
      <c r="K34" s="1119">
        <f t="shared" si="0"/>
        <v>2.13</v>
      </c>
    </row>
    <row r="35" spans="1:11" ht="43.2">
      <c r="A35" s="1117">
        <v>34</v>
      </c>
      <c r="B35" s="1118">
        <v>43</v>
      </c>
      <c r="C35" s="1118" t="s">
        <v>3371</v>
      </c>
      <c r="D35" s="1118" t="s">
        <v>3369</v>
      </c>
      <c r="E35" s="1118">
        <v>100</v>
      </c>
      <c r="F35" s="1118">
        <v>50</v>
      </c>
      <c r="G35" s="1118" t="s">
        <v>3372</v>
      </c>
      <c r="H35" s="1118">
        <v>390</v>
      </c>
      <c r="I35" s="1118" t="s">
        <v>3331</v>
      </c>
      <c r="J35" s="1119">
        <v>2.36</v>
      </c>
      <c r="K35" s="1119">
        <f t="shared" si="0"/>
        <v>2.71</v>
      </c>
    </row>
    <row r="36" spans="1:11" ht="43.2">
      <c r="A36" s="1117">
        <v>35</v>
      </c>
      <c r="B36" s="1118">
        <v>43</v>
      </c>
      <c r="C36" s="1118" t="s">
        <v>3373</v>
      </c>
      <c r="D36" s="1118" t="s">
        <v>3369</v>
      </c>
      <c r="E36" s="1118">
        <v>200</v>
      </c>
      <c r="F36" s="1118">
        <v>50</v>
      </c>
      <c r="G36" s="1118" t="s">
        <v>3372</v>
      </c>
      <c r="H36" s="1118">
        <v>180</v>
      </c>
      <c r="I36" s="1118" t="s">
        <v>3331</v>
      </c>
      <c r="J36" s="1119">
        <v>3.46</v>
      </c>
      <c r="K36" s="1119">
        <f t="shared" si="0"/>
        <v>3.9699999999999998</v>
      </c>
    </row>
    <row r="37" spans="1:11" ht="43.2">
      <c r="A37" s="1117">
        <v>36</v>
      </c>
      <c r="B37" s="1118">
        <v>43</v>
      </c>
      <c r="C37" s="1118" t="s">
        <v>3374</v>
      </c>
      <c r="D37" s="1118" t="s">
        <v>3369</v>
      </c>
      <c r="E37" s="1118">
        <v>250</v>
      </c>
      <c r="F37" s="1118">
        <v>50</v>
      </c>
      <c r="G37" s="1118">
        <v>1</v>
      </c>
      <c r="H37" s="1118">
        <v>90</v>
      </c>
      <c r="I37" s="1118" t="s">
        <v>3331</v>
      </c>
      <c r="J37" s="1119">
        <v>4.87</v>
      </c>
      <c r="K37" s="1119">
        <f t="shared" si="0"/>
        <v>5.58</v>
      </c>
    </row>
    <row r="38" spans="1:11" ht="43.2">
      <c r="A38" s="1117">
        <v>37</v>
      </c>
      <c r="B38" s="1118">
        <v>43</v>
      </c>
      <c r="C38" s="1118" t="s">
        <v>3375</v>
      </c>
      <c r="D38" s="1118" t="s">
        <v>3369</v>
      </c>
      <c r="E38" s="1118">
        <v>300</v>
      </c>
      <c r="F38" s="1118">
        <v>50</v>
      </c>
      <c r="G38" s="1118">
        <v>1</v>
      </c>
      <c r="H38" s="1118">
        <v>225</v>
      </c>
      <c r="I38" s="1118" t="s">
        <v>3331</v>
      </c>
      <c r="J38" s="1119">
        <v>5.4</v>
      </c>
      <c r="K38" s="1119">
        <f t="shared" si="0"/>
        <v>6.1899999999999995</v>
      </c>
    </row>
    <row r="39" spans="1:11" ht="43.2">
      <c r="A39" s="1117">
        <v>38</v>
      </c>
      <c r="B39" s="1118">
        <v>43</v>
      </c>
      <c r="C39" s="1118" t="s">
        <v>3376</v>
      </c>
      <c r="D39" s="1118" t="s">
        <v>3369</v>
      </c>
      <c r="E39" s="1118">
        <v>400</v>
      </c>
      <c r="F39" s="1118">
        <v>50</v>
      </c>
      <c r="G39" s="1118" t="s">
        <v>3370</v>
      </c>
      <c r="H39" s="1118">
        <v>90</v>
      </c>
      <c r="I39" s="1118" t="s">
        <v>3331</v>
      </c>
      <c r="J39" s="1119">
        <v>7.63</v>
      </c>
      <c r="K39" s="1119">
        <f t="shared" si="0"/>
        <v>8.74</v>
      </c>
    </row>
    <row r="40" spans="1:11" ht="43.2">
      <c r="A40" s="1117">
        <v>39</v>
      </c>
      <c r="B40" s="1118">
        <v>43</v>
      </c>
      <c r="C40" s="1118" t="s">
        <v>3377</v>
      </c>
      <c r="D40" s="1118" t="s">
        <v>3369</v>
      </c>
      <c r="E40" s="1118">
        <v>500</v>
      </c>
      <c r="F40" s="1118">
        <v>50</v>
      </c>
      <c r="G40" s="1118" t="s">
        <v>3339</v>
      </c>
      <c r="H40" s="1118">
        <v>465</v>
      </c>
      <c r="I40" s="1118" t="s">
        <v>3331</v>
      </c>
      <c r="J40" s="1119">
        <v>9.81</v>
      </c>
      <c r="K40" s="1119">
        <f t="shared" si="0"/>
        <v>11.24</v>
      </c>
    </row>
    <row r="41" spans="1:11" ht="28.8">
      <c r="A41" s="1117">
        <v>40</v>
      </c>
      <c r="B41" s="1118">
        <v>43</v>
      </c>
      <c r="C41" s="1118" t="s">
        <v>3378</v>
      </c>
      <c r="D41" s="1118" t="s">
        <v>3379</v>
      </c>
      <c r="E41" s="1118" t="s">
        <v>3380</v>
      </c>
      <c r="F41" s="1118">
        <v>50</v>
      </c>
      <c r="G41" s="1118" t="s">
        <v>3370</v>
      </c>
      <c r="H41" s="1118">
        <v>1000</v>
      </c>
      <c r="I41" s="1118" t="s">
        <v>3342</v>
      </c>
      <c r="J41" s="1119">
        <v>0.21</v>
      </c>
      <c r="K41" s="1119">
        <f t="shared" si="0"/>
        <v>0.25</v>
      </c>
    </row>
    <row r="42" spans="1:11" ht="43.2">
      <c r="A42" s="1117">
        <v>41</v>
      </c>
      <c r="B42" s="1118">
        <v>298</v>
      </c>
      <c r="C42" s="1118" t="s">
        <v>3381</v>
      </c>
      <c r="D42" s="1118" t="s">
        <v>3382</v>
      </c>
      <c r="E42" s="1118">
        <v>50</v>
      </c>
      <c r="F42" s="1118">
        <v>10</v>
      </c>
      <c r="G42" s="1118" t="s">
        <v>3372</v>
      </c>
      <c r="H42" s="1118">
        <v>21</v>
      </c>
      <c r="I42" s="1118" t="s">
        <v>3331</v>
      </c>
      <c r="J42" s="1119">
        <v>0.93</v>
      </c>
      <c r="K42" s="1119">
        <f t="shared" si="0"/>
        <v>1.07</v>
      </c>
    </row>
    <row r="43" spans="1:11" ht="43.2">
      <c r="A43" s="1117">
        <v>42</v>
      </c>
      <c r="B43" s="1118">
        <v>298</v>
      </c>
      <c r="C43" s="1118" t="s">
        <v>3383</v>
      </c>
      <c r="D43" s="1118" t="s">
        <v>3382</v>
      </c>
      <c r="E43" s="1118">
        <v>100</v>
      </c>
      <c r="F43" s="1118">
        <v>10</v>
      </c>
      <c r="G43" s="1118" t="s">
        <v>3372</v>
      </c>
      <c r="H43" s="1118">
        <v>60</v>
      </c>
      <c r="I43" s="1118" t="s">
        <v>3331</v>
      </c>
      <c r="J43" s="1119">
        <v>1.38</v>
      </c>
      <c r="K43" s="1119">
        <f t="shared" si="0"/>
        <v>1.59</v>
      </c>
    </row>
    <row r="44" spans="1:11" ht="43.2">
      <c r="A44" s="1117">
        <v>43</v>
      </c>
      <c r="B44" s="1118">
        <v>298</v>
      </c>
      <c r="C44" s="1118" t="s">
        <v>3384</v>
      </c>
      <c r="D44" s="1118" t="s">
        <v>3382</v>
      </c>
      <c r="E44" s="1118">
        <v>200</v>
      </c>
      <c r="F44" s="1118">
        <v>10</v>
      </c>
      <c r="G44" s="1118" t="s">
        <v>3372</v>
      </c>
      <c r="H44" s="1118">
        <v>45</v>
      </c>
      <c r="I44" s="1118" t="s">
        <v>3331</v>
      </c>
      <c r="J44" s="1119">
        <v>2.48</v>
      </c>
      <c r="K44" s="1119">
        <f t="shared" si="0"/>
        <v>2.84</v>
      </c>
    </row>
    <row r="45" spans="1:11" ht="43.2">
      <c r="A45" s="1117">
        <v>44</v>
      </c>
      <c r="B45" s="1118">
        <v>298</v>
      </c>
      <c r="C45" s="1118" t="s">
        <v>3385</v>
      </c>
      <c r="D45" s="1118" t="s">
        <v>3382</v>
      </c>
      <c r="E45" s="1118">
        <v>250</v>
      </c>
      <c r="F45" s="1118">
        <v>10</v>
      </c>
      <c r="G45" s="1118">
        <v>1</v>
      </c>
      <c r="H45" s="1118">
        <v>60</v>
      </c>
      <c r="I45" s="1118" t="s">
        <v>3331</v>
      </c>
      <c r="J45" s="1119">
        <v>4.2300000000000004</v>
      </c>
      <c r="K45" s="1119">
        <f t="shared" si="0"/>
        <v>4.8499999999999996</v>
      </c>
    </row>
    <row r="46" spans="1:11" ht="43.2">
      <c r="A46" s="1117">
        <v>45</v>
      </c>
      <c r="B46" s="1118">
        <v>298</v>
      </c>
      <c r="C46" s="1118" t="s">
        <v>3386</v>
      </c>
      <c r="D46" s="1118" t="s">
        <v>3382</v>
      </c>
      <c r="E46" s="1118">
        <v>300</v>
      </c>
      <c r="F46" s="1118">
        <v>10</v>
      </c>
      <c r="G46" s="1118">
        <v>1</v>
      </c>
      <c r="H46" s="1118">
        <v>15</v>
      </c>
      <c r="I46" s="1118" t="s">
        <v>3331</v>
      </c>
      <c r="J46" s="1119">
        <v>4.82</v>
      </c>
      <c r="K46" s="1119">
        <f t="shared" si="0"/>
        <v>5.52</v>
      </c>
    </row>
    <row r="47" spans="1:11" ht="43.2">
      <c r="A47" s="1117">
        <v>46</v>
      </c>
      <c r="B47" s="1118">
        <v>298</v>
      </c>
      <c r="C47" s="1118" t="s">
        <v>3387</v>
      </c>
      <c r="D47" s="1118" t="s">
        <v>3382</v>
      </c>
      <c r="E47" s="1118">
        <v>500</v>
      </c>
      <c r="F47" s="1118">
        <v>10</v>
      </c>
      <c r="G47" s="1118" t="s">
        <v>3339</v>
      </c>
      <c r="H47" s="1118">
        <v>60</v>
      </c>
      <c r="I47" s="1118" t="s">
        <v>3331</v>
      </c>
      <c r="J47" s="1119">
        <v>8.42</v>
      </c>
      <c r="K47" s="1119">
        <f t="shared" si="0"/>
        <v>9.65</v>
      </c>
    </row>
    <row r="48" spans="1:11" ht="28.8">
      <c r="A48" s="1117">
        <v>47</v>
      </c>
      <c r="B48" s="1118">
        <v>299</v>
      </c>
      <c r="C48" s="1118" t="s">
        <v>3388</v>
      </c>
      <c r="D48" s="1118" t="s">
        <v>3389</v>
      </c>
      <c r="E48" s="1118">
        <v>0</v>
      </c>
      <c r="F48" s="1118">
        <v>50</v>
      </c>
      <c r="G48" s="1118">
        <v>2</v>
      </c>
      <c r="H48" s="1118">
        <v>540</v>
      </c>
      <c r="I48" s="1118" t="s">
        <v>3342</v>
      </c>
      <c r="J48" s="1119">
        <v>0.28999999999999998</v>
      </c>
      <c r="K48" s="1119">
        <f t="shared" si="0"/>
        <v>0.34</v>
      </c>
    </row>
    <row r="49" spans="1:11" ht="28.8">
      <c r="A49" s="1117">
        <v>48</v>
      </c>
      <c r="B49" s="1118">
        <v>348</v>
      </c>
      <c r="C49" s="1118" t="s">
        <v>3390</v>
      </c>
      <c r="D49" s="1118" t="s">
        <v>3391</v>
      </c>
      <c r="E49" s="1118">
        <v>41</v>
      </c>
      <c r="F49" s="1118">
        <v>21</v>
      </c>
      <c r="G49" s="1118" t="s">
        <v>3339</v>
      </c>
      <c r="H49" s="1118">
        <v>900</v>
      </c>
      <c r="I49" s="1118" t="s">
        <v>3331</v>
      </c>
      <c r="J49" s="1119">
        <v>1.46</v>
      </c>
      <c r="K49" s="1119">
        <f t="shared" si="0"/>
        <v>1.68</v>
      </c>
    </row>
    <row r="50" spans="1:11" ht="28.8">
      <c r="A50" s="1117">
        <v>49</v>
      </c>
      <c r="B50" s="1118">
        <v>349</v>
      </c>
      <c r="C50" s="1118" t="s">
        <v>3392</v>
      </c>
      <c r="D50" s="1118" t="s">
        <v>3393</v>
      </c>
      <c r="E50" s="1118">
        <v>41</v>
      </c>
      <c r="F50" s="1118">
        <v>41</v>
      </c>
      <c r="G50" s="1118" t="s">
        <v>3339</v>
      </c>
      <c r="H50" s="1118">
        <v>1200</v>
      </c>
      <c r="I50" s="1118" t="s">
        <v>3331</v>
      </c>
      <c r="J50" s="1119">
        <v>2.0699999999999998</v>
      </c>
      <c r="K50" s="1119">
        <f t="shared" si="0"/>
        <v>2.38</v>
      </c>
    </row>
    <row r="51" spans="1:11" ht="14.4">
      <c r="A51" s="1117">
        <v>50</v>
      </c>
      <c r="B51" s="1118">
        <v>419</v>
      </c>
      <c r="C51" s="1118" t="s">
        <v>3394</v>
      </c>
      <c r="D51" s="1118" t="s">
        <v>3395</v>
      </c>
      <c r="E51" s="1118">
        <v>0</v>
      </c>
      <c r="F51" s="1118">
        <v>0</v>
      </c>
      <c r="G51" s="1118" t="s">
        <v>3396</v>
      </c>
      <c r="H51" s="1118">
        <v>400</v>
      </c>
      <c r="I51" s="1118" t="s">
        <v>3342</v>
      </c>
      <c r="J51" s="1119">
        <v>0.8</v>
      </c>
      <c r="K51" s="1119">
        <f t="shared" si="0"/>
        <v>0.92</v>
      </c>
    </row>
    <row r="52" spans="1:11" ht="14.4">
      <c r="A52" s="1117">
        <v>51</v>
      </c>
      <c r="B52" s="1118">
        <v>419</v>
      </c>
      <c r="C52" s="1118" t="s">
        <v>3397</v>
      </c>
      <c r="D52" s="1118" t="s">
        <v>3395</v>
      </c>
      <c r="E52" s="1118">
        <v>0</v>
      </c>
      <c r="F52" s="1118">
        <v>0</v>
      </c>
      <c r="G52" s="1118" t="s">
        <v>3398</v>
      </c>
      <c r="H52" s="1118">
        <v>600</v>
      </c>
      <c r="I52" s="1118" t="s">
        <v>3342</v>
      </c>
      <c r="J52" s="1119">
        <v>0.97</v>
      </c>
      <c r="K52" s="1119">
        <f t="shared" si="0"/>
        <v>1.1200000000000001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14"/>
  </sheetPr>
  <dimension ref="A2:H23"/>
  <sheetViews>
    <sheetView workbookViewId="0"/>
  </sheetViews>
  <sheetFormatPr defaultRowHeight="13.2"/>
  <cols>
    <col min="1" max="1" width="49.33203125" customWidth="1"/>
    <col min="2" max="2" width="16.88671875" style="301" customWidth="1"/>
    <col min="3" max="4" width="13.5546875" style="301" customWidth="1"/>
    <col min="5" max="8" width="13.5546875" customWidth="1"/>
  </cols>
  <sheetData>
    <row r="2" spans="1:6">
      <c r="A2" s="535" t="s">
        <v>3407</v>
      </c>
    </row>
    <row r="3" spans="1:6">
      <c r="C3" s="1499" t="s">
        <v>3406</v>
      </c>
      <c r="D3" s="1499"/>
      <c r="E3" s="1499" t="s">
        <v>3424</v>
      </c>
      <c r="F3" s="1499"/>
    </row>
    <row r="4" spans="1:6">
      <c r="A4" s="535" t="s">
        <v>3405</v>
      </c>
      <c r="B4" s="1023" t="s">
        <v>3404</v>
      </c>
      <c r="C4" s="1139" t="s">
        <v>286</v>
      </c>
      <c r="D4" s="1139" t="s">
        <v>288</v>
      </c>
      <c r="E4" s="1139" t="s">
        <v>286</v>
      </c>
      <c r="F4" s="1139" t="s">
        <v>288</v>
      </c>
    </row>
    <row r="5" spans="1:6">
      <c r="A5" t="s">
        <v>3321</v>
      </c>
      <c r="B5" s="301">
        <v>40</v>
      </c>
      <c r="C5" s="1120">
        <v>45.68</v>
      </c>
      <c r="D5" s="1120">
        <f>C5*B5</f>
        <v>1827.2</v>
      </c>
      <c r="E5" s="1120">
        <v>29.68</v>
      </c>
      <c r="F5" s="1120">
        <f>E5*B5</f>
        <v>1187.2</v>
      </c>
    </row>
    <row r="6" spans="1:6">
      <c r="A6" t="s">
        <v>3322</v>
      </c>
      <c r="B6" s="301">
        <v>16</v>
      </c>
      <c r="C6" s="1120">
        <v>60.36</v>
      </c>
      <c r="D6" s="1120">
        <f>C6*B6</f>
        <v>965.76</v>
      </c>
      <c r="E6" s="1120">
        <v>30.59</v>
      </c>
      <c r="F6" s="1120">
        <f t="shared" ref="F6:F8" si="0">E6*B6</f>
        <v>489.44</v>
      </c>
    </row>
    <row r="7" spans="1:6">
      <c r="A7" t="s">
        <v>3319</v>
      </c>
      <c r="B7" s="301">
        <v>16</v>
      </c>
      <c r="C7" s="1120">
        <v>14.25</v>
      </c>
      <c r="D7" s="1120">
        <f>C7*B7</f>
        <v>228</v>
      </c>
      <c r="E7" s="1120">
        <v>26.07</v>
      </c>
      <c r="F7" s="1120">
        <f t="shared" si="0"/>
        <v>417.12</v>
      </c>
    </row>
    <row r="8" spans="1:6">
      <c r="A8" t="s">
        <v>3320</v>
      </c>
      <c r="B8" s="301">
        <v>20</v>
      </c>
      <c r="C8" s="1120">
        <v>38.950000000000003</v>
      </c>
      <c r="D8" s="1120">
        <f>C8*B8</f>
        <v>779</v>
      </c>
      <c r="E8" s="1120">
        <v>26.07</v>
      </c>
      <c r="F8" s="1120">
        <f t="shared" si="0"/>
        <v>521.4</v>
      </c>
    </row>
    <row r="9" spans="1:6">
      <c r="C9" s="1120"/>
      <c r="D9" s="1121">
        <f>SUM(D5:D8)</f>
        <v>3799.96</v>
      </c>
      <c r="E9" s="1120"/>
      <c r="F9" s="1121">
        <f>SUM(F5:F8)</f>
        <v>2615.1600000000003</v>
      </c>
    </row>
    <row r="12" spans="1:6">
      <c r="A12" s="535" t="s">
        <v>3411</v>
      </c>
    </row>
    <row r="13" spans="1:6">
      <c r="A13" s="535"/>
    </row>
    <row r="14" spans="1:6">
      <c r="C14" s="1499" t="s">
        <v>3406</v>
      </c>
      <c r="D14" s="1499"/>
      <c r="E14" s="1499" t="s">
        <v>3424</v>
      </c>
      <c r="F14" s="1499"/>
    </row>
    <row r="15" spans="1:6">
      <c r="A15" s="535" t="s">
        <v>3405</v>
      </c>
      <c r="B15" s="1023" t="s">
        <v>3404</v>
      </c>
      <c r="C15" s="1139" t="s">
        <v>286</v>
      </c>
      <c r="D15" s="1139" t="s">
        <v>288</v>
      </c>
      <c r="E15" s="1139" t="s">
        <v>286</v>
      </c>
      <c r="F15" s="1139" t="s">
        <v>288</v>
      </c>
    </row>
    <row r="16" spans="1:6">
      <c r="A16" s="543" t="s">
        <v>3408</v>
      </c>
      <c r="B16" s="301">
        <v>3</v>
      </c>
      <c r="C16" s="301">
        <f>96.15-2.79-2.79-3.75-3.75-28.35</f>
        <v>54.719999999999992</v>
      </c>
      <c r="D16" s="1120">
        <f t="shared" ref="D16:D18" si="1">C16*B16</f>
        <v>164.15999999999997</v>
      </c>
      <c r="E16" s="301">
        <f>62.5+2.08+2.08+2.1</f>
        <v>68.759999999999991</v>
      </c>
      <c r="F16" s="301">
        <f>E16*B16</f>
        <v>206.27999999999997</v>
      </c>
    </row>
    <row r="17" spans="1:8">
      <c r="A17" s="543" t="s">
        <v>3409</v>
      </c>
      <c r="B17" s="301">
        <v>13</v>
      </c>
      <c r="C17" s="301">
        <f>36.15+5.1+5.1+8.37</f>
        <v>54.72</v>
      </c>
      <c r="D17" s="1120">
        <f t="shared" si="1"/>
        <v>711.36</v>
      </c>
      <c r="E17" s="301">
        <f t="shared" ref="E17:E18" si="2">62.5+2.08+2.08+2.1</f>
        <v>68.759999999999991</v>
      </c>
      <c r="F17" s="301">
        <f t="shared" ref="F17:F18" si="3">E17*B17</f>
        <v>893.87999999999988</v>
      </c>
    </row>
    <row r="18" spans="1:8">
      <c r="A18" s="543" t="s">
        <v>3410</v>
      </c>
      <c r="B18" s="301">
        <v>7</v>
      </c>
      <c r="C18" s="301">
        <f>36.15+5.1+5.1+8.37</f>
        <v>54.72</v>
      </c>
      <c r="D18" s="1120">
        <f t="shared" si="1"/>
        <v>383.03999999999996</v>
      </c>
      <c r="E18" s="301">
        <f t="shared" si="2"/>
        <v>68.759999999999991</v>
      </c>
      <c r="F18" s="301">
        <f t="shared" si="3"/>
        <v>481.31999999999994</v>
      </c>
    </row>
    <row r="19" spans="1:8">
      <c r="D19" s="1121">
        <f>SUM(D16:D18)</f>
        <v>1258.56</v>
      </c>
      <c r="E19" s="301"/>
      <c r="F19" s="1121">
        <f>SUM(F16:F18)</f>
        <v>1581.4799999999998</v>
      </c>
    </row>
    <row r="21" spans="1:8">
      <c r="C21" s="1499" t="s">
        <v>3406</v>
      </c>
      <c r="D21" s="1499"/>
      <c r="E21" s="1499" t="s">
        <v>3424</v>
      </c>
      <c r="F21" s="1499"/>
      <c r="G21" s="1499" t="s">
        <v>3614</v>
      </c>
      <c r="H21" s="1499"/>
    </row>
    <row r="22" spans="1:8">
      <c r="B22" s="1023" t="s">
        <v>3404</v>
      </c>
      <c r="C22" s="1139" t="s">
        <v>286</v>
      </c>
      <c r="D22" s="1139" t="s">
        <v>288</v>
      </c>
      <c r="E22" s="1139" t="s">
        <v>286</v>
      </c>
      <c r="F22" s="1139" t="s">
        <v>288</v>
      </c>
      <c r="G22" s="1139" t="s">
        <v>286</v>
      </c>
      <c r="H22" s="1139" t="s">
        <v>288</v>
      </c>
    </row>
    <row r="23" spans="1:8">
      <c r="A23" s="535" t="s">
        <v>3598</v>
      </c>
      <c r="B23" s="301">
        <v>9</v>
      </c>
      <c r="C23" s="1120"/>
      <c r="D23" s="1120">
        <v>18565</v>
      </c>
      <c r="E23" s="1120"/>
      <c r="F23" s="1120">
        <v>19433</v>
      </c>
      <c r="G23" s="1120">
        <f>2199+75+8</f>
        <v>2282</v>
      </c>
      <c r="H23" s="1120">
        <f>G23*B23</f>
        <v>20538</v>
      </c>
    </row>
  </sheetData>
  <mergeCells count="7">
    <mergeCell ref="G21:H21"/>
    <mergeCell ref="C3:D3"/>
    <mergeCell ref="C14:D14"/>
    <mergeCell ref="E3:F3"/>
    <mergeCell ref="E14:F14"/>
    <mergeCell ref="C21:D21"/>
    <mergeCell ref="E21:F21"/>
  </mergeCells>
  <phoneticPr fontId="1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9CCD-8567-48A5-AFF5-C21A164C3232}">
  <sheetPr>
    <tabColor indexed="14"/>
  </sheetPr>
  <dimension ref="A1:C3"/>
  <sheetViews>
    <sheetView workbookViewId="0">
      <selection activeCell="D21" sqref="D21"/>
    </sheetView>
  </sheetViews>
  <sheetFormatPr defaultRowHeight="13.2"/>
  <cols>
    <col min="1" max="1" width="18.6640625" customWidth="1"/>
    <col min="2" max="2" width="24" customWidth="1"/>
  </cols>
  <sheetData>
    <row r="1" spans="1:3">
      <c r="A1" s="535" t="s">
        <v>3746</v>
      </c>
      <c r="B1" s="535" t="s">
        <v>3747</v>
      </c>
    </row>
    <row r="2" spans="1:3">
      <c r="A2" s="535" t="s">
        <v>3748</v>
      </c>
      <c r="B2" s="535" t="s">
        <v>3749</v>
      </c>
      <c r="C2" s="535" t="s">
        <v>3750</v>
      </c>
    </row>
    <row r="3" spans="1:3">
      <c r="C3" s="535" t="s">
        <v>3751</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ELV_Fire_Security_BOQ</vt:lpstr>
      <vt:lpstr>Notes</vt:lpstr>
      <vt:lpstr>Quote</vt:lpstr>
      <vt:lpstr>ML_Sum</vt:lpstr>
      <vt:lpstr>Elec_Rates</vt:lpstr>
      <vt:lpstr>Elec_Est</vt:lpstr>
      <vt:lpstr>Fire_Stopping_Est</vt:lpstr>
      <vt:lpstr>MEP_BOQ</vt:lpstr>
      <vt:lpstr>Fire_Stopping_BOQ</vt:lpstr>
      <vt:lpstr>Summary</vt:lpstr>
      <vt:lpstr>E_DBOQ</vt:lpstr>
      <vt:lpstr>Ardic</vt:lpstr>
      <vt:lpstr>Price Comparisons</vt:lpstr>
      <vt:lpstr>Sheet1</vt:lpstr>
      <vt:lpstr>Access_Bathroom</vt:lpstr>
      <vt:lpstr>Access_Control</vt:lpstr>
      <vt:lpstr>ELV_Fire_Security_BOQ!AREAS</vt:lpstr>
      <vt:lpstr>AREAS</vt:lpstr>
      <vt:lpstr>CCTV</vt:lpstr>
      <vt:lpstr>Data</vt:lpstr>
      <vt:lpstr>Electrical</vt:lpstr>
      <vt:lpstr>Fire_Alarm</vt:lpstr>
      <vt:lpstr>Fire_Stopping</vt:lpstr>
      <vt:lpstr>Intercom</vt:lpstr>
      <vt:lpstr>LPS</vt:lpstr>
      <vt:lpstr>Preliminaries</vt:lpstr>
      <vt:lpstr>Elec_Est!Print_Area</vt:lpstr>
      <vt:lpstr>ELV_Fire_Security_BOQ!Print_Area</vt:lpstr>
      <vt:lpstr>Fire_Stopping_BOQ!Print_Area</vt:lpstr>
      <vt:lpstr>Fire_Stopping_Est!Print_Area</vt:lpstr>
      <vt:lpstr>MEP_BOQ!Print_Area</vt:lpstr>
      <vt:lpstr>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2025-07-21T09:58:00Z</cp:lastPrinted>
  <dcterms:created xsi:type="dcterms:W3CDTF">2004-05-27T15:45:27Z</dcterms:created>
  <dcterms:modified xsi:type="dcterms:W3CDTF">2026-04-02T06:55:20Z</dcterms:modified>
  <cp:contentStatus/>
</cp:coreProperties>
</file>